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png" ContentType="image/png"/>
  <Default Extension="jpeg" ContentType="image/jpeg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4.xml" ContentType="application/vnd.ms-office.chartstyle+xml"/>
  <Override PartName="/xl/charts/color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7.xml" ContentType="application/vnd.ms-office.chartstyle+xml"/>
  <Override PartName="/xl/charts/color7.xml" ContentType="application/vnd.ms-office.chartcolorstyle+xml"/>
  <Override PartName="/xl/charts/chart8.xml" ContentType="application/vnd.openxmlformats-officedocument.drawingml.char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6" rupBuild="28308"/>
  <workbookPr codeName="ЭтаКнига" filterPrivacy="1"/>
  <workbookProtection workbookAlgorithmName="SHA-512" workbookHashValue="y+nJRsrnNw3Yply+9NOFua7XSqjRFX4iSY+DFW+f0DB9pptGMuivyDflvATUP6R9/BPEOwb6p8sVjsM0HgoZIQ==" workbookSaltValue="MN/ZRaaSUK2p/Yonpm6GlA==" workbookSpinCount="100000" lockStructure="1"/>
  <bookViews>
    <workbookView xWindow="-108" yWindow="-108" windowWidth="23256" windowHeight="12456" tabRatio="802" activeTab="0"/>
  </bookViews>
  <sheets>
    <sheet name="Титульный лист" sheetId="1" r:id="rId2"/>
    <sheet name="Содержание" sheetId="25" r:id="rId3"/>
    <sheet name="Обращение" sheetId="3" r:id="rId4"/>
    <sheet name="Программы финансирования" sheetId="6" r:id="rId5"/>
    <sheet name="Руководство" sheetId="32" r:id="rId6"/>
    <sheet name="support" sheetId="33" state="hidden" r:id="rId7"/>
    <sheet name="Параметры займа" sheetId="7" r:id="rId8"/>
    <sheet name="Предпосылки" sheetId="4" r:id="rId9"/>
    <sheet name="Источники" sheetId="9" r:id="rId10"/>
    <sheet name="Капитальные вложения" sheetId="10" r:id="rId11"/>
    <sheet name="Продажи" sheetId="12" r:id="rId12"/>
    <sheet name="Операционные затраты" sheetId="13" r:id="rId13"/>
    <sheet name="ФОТ" sheetId="14" r:id="rId14"/>
    <sheet name="Оборотный капитал" sheetId="18" r:id="rId15"/>
    <sheet name="Налоги" sheetId="15" r:id="rId16"/>
    <sheet name="Финансирование" sheetId="16" r:id="rId17"/>
    <sheet name="Квартальная отчетность" sheetId="11" r:id="rId18"/>
    <sheet name="Годовая отчетность" sheetId="29" r:id="rId19"/>
    <sheet name="Показатели" sheetId="22" r:id="rId20"/>
    <sheet name="Чувствительность" sheetId="23" r:id="rId21"/>
    <sheet name="Графики" sheetId="24" r:id="rId22"/>
    <sheet name="Выводы" sheetId="31" r:id="rId23"/>
    <sheet name="Проверка" sheetId="21" r:id="rId24"/>
    <sheet name="tables" sheetId="34" state="hidden" r:id="rId25"/>
  </sheets>
  <definedNames>
    <definedName name="easy_hard_transaction">#REF!</definedName>
    <definedName name="Дата_погашения_Займа">'Параметры займа'!$J$10</definedName>
    <definedName name="Дата_получения_Займа">'Параметры займа'!$E$10</definedName>
    <definedName name="Единица_измерения">Предпосылки!$C$17</definedName>
    <definedName name="Единый_тариф_СтрхВзнс_МСП_До">Предпосылки!$C$515:$R$515</definedName>
    <definedName name="Единый_тариф_СтрхВзнс_МСП_После">Предпосылки!$C$517:$R$517</definedName>
    <definedName name="_xlnm.Print_Titles" localSheetId="21">Выводы!$1:$5</definedName>
    <definedName name="_xlnm.Print_Titles" localSheetId="20">Графики!$1:$5</definedName>
    <definedName name="_xlnm.Print_Titles" localSheetId="4">Руководство!$2:$5</definedName>
    <definedName name="Имя_Проекта">Предпосылки!$B$9</definedName>
    <definedName name="Кварталов_в_году">Предпосылки!$C$20</definedName>
    <definedName name="Месяцев_в_году">Предпосылки!$C$18</definedName>
    <definedName name="Месяцев_в_квартале">Предпосылки!$C$19</definedName>
    <definedName name="_xlnm.Print_Area" localSheetId="21">Выводы!$B$2:$M$223</definedName>
    <definedName name="_xlnm.Print_Area" localSheetId="20">Графики!$B$2:$M$173</definedName>
    <definedName name="_xlnm.Print_Area" localSheetId="2">Обращение!$A$1:$R$37</definedName>
    <definedName name="_xlnm.Print_Area" localSheetId="6">'Параметры займа'!$A$1:$AI$64</definedName>
    <definedName name="_xlnm.Print_Area" localSheetId="3">'Программы финансирования'!$A$1:$O$22,'Программы финансирования'!$A$23:$BS$1048576</definedName>
    <definedName name="_xlnm.Print_Area" localSheetId="4">Руководство!$B$2:$O$426</definedName>
    <definedName name="_xlnm.Print_Area" localSheetId="0">'Титульный лист'!$A$1:$I$22</definedName>
    <definedName name="Проверка">Проверка!$G$55</definedName>
    <definedName name="Программа">'Параметры займа'!$E$7</definedName>
    <definedName name="Регион">Предпосылки!$C$11</definedName>
    <definedName name="Срок_возмещения_НДС">Предпосылки!$C$501</definedName>
    <definedName name="Ставка_Дисконтирования">Предпосылки!$C$464</definedName>
    <definedName name="Ставки_До_ОМС">Предпосылки!$C$510:$R$510</definedName>
    <definedName name="Ставки_До_ОСС">Предпосылки!$C$509:$R$509</definedName>
    <definedName name="Ставки_До_СтрхВзнс">Предпосылки!$C$508:$R$508</definedName>
    <definedName name="Ставки_До_ФСС">Предпосылки!$C$511:$R$511</definedName>
    <definedName name="Ставки_НДС_льготная">Предпосылки!$C$482:$R$482</definedName>
    <definedName name="Ставки_НДС_основная">Предпосылки!$C$481:$R$481</definedName>
    <definedName name="Ставки_НДФЛ_до_2400_тыс_руб">Предпосылки!$C$485:$R$485</definedName>
    <definedName name="Ставки_НДФЛ_от_20000_до_50000_тыс_руб">Предпосылки!$C$488:$R$488</definedName>
    <definedName name="Ставки_НДФЛ_от_2400_до_5000_тыс_руб">Предпосылки!$C$486:$R$486</definedName>
    <definedName name="Ставки_НДФЛ_от_5000_до_20000_тыс_руб">Предпосылки!$C$487:$R$487</definedName>
    <definedName name="Ставки_НДФЛ_свыше_50000_тыс_руб">Предпосылки!$C$489:$R$489</definedName>
    <definedName name="Ставки_НнИ">Предпосылки!$C$484:$R$484</definedName>
    <definedName name="Ставки_НнП">Предпосылки!$C$483:$R$483</definedName>
    <definedName name="Ставки_После_ОМС">Предпосылки!$C$530:$R$530</definedName>
    <definedName name="Ставки_После_ОПС">Предпосылки!$C$528:$R$528</definedName>
    <definedName name="Ставки_После_ОСС">Предпосылки!$C$529:$R$529</definedName>
    <definedName name="Ставки_После_ФСС">Предпосылки!$C$531:$R$531</definedName>
    <definedName name="Сумм_МРОТ">Предпосылки!$C$516:$R$516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" l="1"/>
</calcChain>
</file>

<file path=xl/sharedStrings.xml><?xml version="1.0" encoding="utf-8"?>
<sst xmlns="http://schemas.openxmlformats.org/spreadsheetml/2006/main" count="3417" uniqueCount="1273">
  <si>
    <t xml:space="preserve">Техподдержка:   mail@frp27.ru </t>
  </si>
  <si>
    <t>Финансовая модель по проекту:</t>
  </si>
  <si>
    <t>2015-2024</t>
  </si>
  <si>
    <t>Фонд развития промышленности Хабаровского края</t>
  </si>
  <si>
    <t>Версия ФМ 15 лет: 1.7.9.</t>
  </si>
  <si>
    <t>Содержание</t>
  </si>
  <si>
    <t>Обращение</t>
  </si>
  <si>
    <t>Программы финансирования</t>
  </si>
  <si>
    <t>Руководство</t>
  </si>
  <si>
    <t>Параметры займа</t>
  </si>
  <si>
    <t>Предпосылки</t>
  </si>
  <si>
    <t>Источники</t>
  </si>
  <si>
    <t>Капитальные вложения</t>
  </si>
  <si>
    <t>Продажи</t>
  </si>
  <si>
    <t>Операционные затраты</t>
  </si>
  <si>
    <t>ФОТ</t>
  </si>
  <si>
    <t>Оборотный капитал</t>
  </si>
  <si>
    <t>Налоги</t>
  </si>
  <si>
    <t>Финансирование</t>
  </si>
  <si>
    <t>Квартальная отчетность</t>
  </si>
  <si>
    <t>Годовая отчетность</t>
  </si>
  <si>
    <t>Показатели</t>
  </si>
  <si>
    <t>Чувствительность</t>
  </si>
  <si>
    <t>Графики</t>
  </si>
  <si>
    <t>Выводы</t>
  </si>
  <si>
    <t>Проверка</t>
  </si>
  <si>
    <t>Уважаемый заявитель!</t>
  </si>
  <si>
    <t>Основные условия</t>
  </si>
  <si>
    <t>Наименование программы</t>
  </si>
  <si>
    <t>Минимальная сумма займа, тыс. руб.</t>
  </si>
  <si>
    <t>Максимальная сумма займа, тыс. руб.</t>
  </si>
  <si>
    <t>Максимальный срок займа, месяцев</t>
  </si>
  <si>
    <t>Базовая процентная ставка, % годовых</t>
  </si>
  <si>
    <t>Условия</t>
  </si>
  <si>
    <t>Развитие промышленного производства №1</t>
  </si>
  <si>
    <t>Развитие промышленного производства №2</t>
  </si>
  <si>
    <t>Условия для использования льготных процентных ставок</t>
  </si>
  <si>
    <t>Величина льготной ставки, % годовых</t>
  </si>
  <si>
    <t>Длительность использования льготной ставки, месяцев</t>
  </si>
  <si>
    <t>Список для листа "параметры займа"</t>
  </si>
  <si>
    <t>Программа 1</t>
  </si>
  <si>
    <t>Программа 2</t>
  </si>
  <si>
    <t>Результат</t>
  </si>
  <si>
    <t>Критерий целевого объема продаж новой продукции</t>
  </si>
  <si>
    <t>Мин. доля от суммы займа, начиная со 2 года серийного пр-ва, %</t>
  </si>
  <si>
    <t>Минимальный бюджет и минимальная сумма финансирования проекта собственными средствами</t>
  </si>
  <si>
    <t>Доля софинансирования, %</t>
  </si>
  <si>
    <t>в т.ч. за счет собственных средств, %</t>
  </si>
  <si>
    <t>Мин. бюджет проекта, 
тыс. руб.</t>
  </si>
  <si>
    <t>Мин. финансирование собственными средствами, 
тыс. руб.</t>
  </si>
  <si>
    <t>Руководство по заполнению финансовой модели</t>
  </si>
  <si>
    <t>Лист "Параметры займа"</t>
  </si>
  <si>
    <r>
      <t>Исходные параметры</t>
    </r>
    <r>
      <rPr>
        <b/>
        <vertAlign val="superscript"/>
        <sz val="16"/>
        <color theme="1" tint="0.14996999502182"/>
        <rFont val="Calibri Light"/>
        <family val="2"/>
        <charset val="204"/>
        <scheme val="major"/>
      </rPr>
      <t>1</t>
    </r>
  </si>
  <si>
    <t>Параметр</t>
  </si>
  <si>
    <t>Пояснение</t>
  </si>
  <si>
    <t>Программа финансирования</t>
  </si>
  <si>
    <r>
      <t>Выбрать из раскрывающегося списка программу финансирования. Ознакомиться с условиями программ можно на листе "Программы финансирования"</t>
    </r>
    <r>
      <rPr>
        <vertAlign val="super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scheme val="minor"/>
      </rPr>
      <t xml:space="preserve"> либо на сайте Фонда.</t>
    </r>
  </si>
  <si>
    <t>Сумма займа</t>
  </si>
  <si>
    <t>Установить запрашиваемую сумму займа (в тыс. руб.). Если заём планируется привлекать в рамках совместной программы с региональным фондом, то необходимо установить общую сумму займа.</t>
  </si>
  <si>
    <t>Срок займа</t>
  </si>
  <si>
    <t>Установить запрашиваемый срок займа (в месяцах), но не более максимального срока, предусмотренного в рамках выбранной программы.</t>
  </si>
  <si>
    <t>Дата получения займа</t>
  </si>
  <si>
    <t>Установить прогнозную дату получения займа. Если неизвестна, то установить дату середины квартала + 1 день.</t>
  </si>
  <si>
    <t>Продолжительность погашения тела займа</t>
  </si>
  <si>
    <t>Установить продолжительность срока погашения тела займа (в месяцах) в соответствии со Стандартом Фонда для выбранной программы. Ознакомиться со стандартами можно на сайте Фонда.</t>
  </si>
  <si>
    <t>Пониженная процентная ставка, % годовых</t>
  </si>
  <si>
    <r>
      <t xml:space="preserve">Установить пониженную процентную ставку по займу в случае наличия оснований для её применения. </t>
    </r>
    <r>
      <rPr>
        <sz val="11"/>
        <color theme="1"/>
        <rFont val="Calibri"/>
        <family val="2"/>
        <charset val="204"/>
        <scheme val="minor"/>
      </rPr>
      <t>Если пониженная ставка не применяется, то в ячейке необходимо установить базовую ставку по выбранной программе.</t>
    </r>
  </si>
  <si>
    <t>Установить базовую процентную ставку по займу в соответствии со Стандартом Фонда для выбранной программы. Ознакомиться со стандартами можно на сайте Фонда.</t>
  </si>
  <si>
    <t>Гарантия на всю сумму займа и на весь срок займа</t>
  </si>
  <si>
    <t>Выбрать из раскрывающегося списка наличие / отсутствие банковской гарантии либо гарантии ВЭБ.РФ, Корпорации МСП или РГО в качестве обеспечения на всю сумму займа и на весь срок займа.</t>
  </si>
  <si>
    <t>Размер коммиссионного вознаграждения за БГ в год, %% годовых</t>
  </si>
  <si>
    <t>Установить размер годового комиссионного вознаграждения за банковскую гарантию / гарантию ВЭБ / Корпорации МСП</t>
  </si>
  <si>
    <t>Расчет обеспечения</t>
  </si>
  <si>
    <t>После ввведения всех данных нажмите F9 (или Fn+F9). Корректная сумма обеспечения будет рассчитана в ячейке J14.</t>
  </si>
  <si>
    <t>Примечание</t>
  </si>
  <si>
    <t>1 Расчёт процентов по займу осуществляется с учетом допущения погрешности. Фактическое значение процентов по договору займа может отличаться как в большую, так и в меньшую сторону.
2 Информация на листе "Программы финансирования" приведена по состоянию на июль 2021 года. Актуальная информация указана на сайте Фонда.</t>
  </si>
  <si>
    <t>Лист "Предпосылки"</t>
  </si>
  <si>
    <t>Общие сведения</t>
  </si>
  <si>
    <t>Наименование проекта</t>
  </si>
  <si>
    <r>
      <t xml:space="preserve">Установить наименование проекта по типу: </t>
    </r>
    <r>
      <rPr>
        <sz val="11"/>
        <color theme="1"/>
        <rFont val="Calibri"/>
        <family val="2"/>
        <charset val="204"/>
        <scheme val="minor"/>
      </rPr>
      <t>номер проекта_название проекта (регион)</t>
    </r>
    <r>
      <rPr>
        <sz val="11"/>
        <color theme="1"/>
        <rFont val="Calibri"/>
        <family val="2"/>
        <scheme val="minor"/>
      </rPr>
      <t xml:space="preserve"> Например, </t>
    </r>
    <r>
      <rPr>
        <i/>
        <sz val="11"/>
        <color theme="1"/>
        <rFont val="Calibri"/>
        <family val="2"/>
        <charset val="204"/>
        <scheme val="minor"/>
      </rPr>
      <t>5555_Производство инновационной продукции промышленного назначения (г. Омск)</t>
    </r>
  </si>
  <si>
    <t>Регион реализации проекта</t>
  </si>
  <si>
    <t>Выбрать из раскрывающегося списка регион реализации проекта.</t>
  </si>
  <si>
    <t>Дополнительная валюта №1</t>
  </si>
  <si>
    <t>Выбрать из раскрывающегося списка валюту при наличии доходов/затрат не в российских рублях.</t>
  </si>
  <si>
    <t>Дополнительная валюта №2</t>
  </si>
  <si>
    <t>Выбрать из раскрывающегося списка валюту при наличии доходов/затрат не в российских рублях и не в дополнительной валюте №1.</t>
  </si>
  <si>
    <t>Дополнительная валюта №3</t>
  </si>
  <si>
    <t>Выбрать из раскрывающегося списка валюту при наличии доходов/затрат не в российских рублях и не в дополнительных валютах № 1 и №2.</t>
  </si>
  <si>
    <t>Контактные данные лица по вопросам ФМ</t>
  </si>
  <si>
    <t>Указать контактные данные лица (ФИО, эл. почта, телефон), ответственного за разъяснения по данным, используемым в финансовой модели проекта.</t>
  </si>
  <si>
    <t>Данные об объектах капитальных вложений</t>
  </si>
  <si>
    <t>Наименование</t>
  </si>
  <si>
    <t>Установить наименования объектов капитальных вложений, приобретаемых в рамках проекта (в т.ч. объекты, учитываемые в составе ранее понесенных затрат).</t>
  </si>
  <si>
    <t>Облагается НДС?</t>
  </si>
  <si>
    <r>
      <t>Выбрать из раскрывающегося списка наличие / отсутствие входящего НДС по каждому объекту капитальных вложений.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</si>
  <si>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Важно! Если объект ОС полностью приобретен в течение 2-ух лет до момента подачи заявки и НДС по приобретенному оборудования уже возмещен из бюджета, то в столбце C "Облагается НДС" нужно выбрать "Нет".</t>
  </si>
  <si>
    <t>Период поступления на баланс</t>
  </si>
  <si>
    <r>
      <t>Выбрать из раскрывающегося списка период поступления объектов на баланс проекта. До момента ввода в эксплуатацию амортизация не начисляется.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</si>
  <si>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Период ввода в эксплуатацию</t>
  </si>
  <si>
    <r>
      <t>Выбрать из раскрывающегося списка период ввода в эксплуатацию объектов (период начала начисления амортизации).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</si>
  <si>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Норма амортизации</t>
  </si>
  <si>
    <t>Установить норму амортизации (% в год). Формула расчёта: 100% / Срок полезного использования (в годах). Если объект не амортизируется, то установить значение 0% либо оставить ячейку пустой.</t>
  </si>
  <si>
    <t>Облагается налогом на имущество?</t>
  </si>
  <si>
    <r>
      <t>Выбрать из раскрывающегося списка наличие / отсутствие налогообложения налогом на имущество по каждому объекту капитальных вложений.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</si>
  <si>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1 Если значение не установлено, то по умолчанию налог применяется.
2 Если значение не установлено, то по умолчанию 1-й период проекта.</t>
  </si>
  <si>
    <t>Оплата объектов капитальных вложений</t>
  </si>
  <si>
    <t>Ранее понесённые затраты</t>
  </si>
  <si>
    <t>Сумма</t>
  </si>
  <si>
    <r>
      <t>Установить сумму ранее понесенных затрат (в тыс. руб.) по тем объектам капитальных вложений, по которым оплата (в т.ч. частичная) уже была осуществлена.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</si>
  <si>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1 Сумма в валюте пересчитывается заявителем по курсу ЦБ РФ на дату оплаты.</t>
  </si>
  <si>
    <t>Планируемые затраты (в т.ч. остаток задолженности)</t>
  </si>
  <si>
    <t>Валюта затрат</t>
  </si>
  <si>
    <r>
      <t>Выбрать из раскрывающегося списка валюту, в которой будут осуществляться платежи, по каждому объекту капитальных вложений.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</si>
  <si>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Установить сумму планируемых затрат (в тыс. валюты затрат) по каждому объекту капитальных вложений, в т.ч. сумму погашения остатка задолженности, если часть затрат ранее была осуществлена.
Стоимость приобретаемого в рамках Проекта оборудования, помимо собственно стоимости изготовления, должна включать: НДС, таможенные платежи (в случае приобретения не у российского поставщика), расходы на доставку, монтаж, пуско-наладочные расходы.</t>
  </si>
  <si>
    <t>1 Если значение не установлено, то по умолчанию RUB (российский рубль).</t>
  </si>
  <si>
    <t>График оплаты объектов капитальных вложений</t>
  </si>
  <si>
    <t>Доля по периодам</t>
  </si>
  <si>
    <t>Установить долю оплаты по периоду (в % от суммы планируемых затрат в т.ч. от остатка задолженности). Сумма по каждой строке должна составлять 100% (полная оплата).</t>
  </si>
  <si>
    <t>Параметры реализуемой продукции</t>
  </si>
  <si>
    <r>
      <t>Установить наименование по каждому виду продукции, реализуемой в рамках проекта.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</si>
  <si>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Единица измерения</t>
  </si>
  <si>
    <r>
      <t xml:space="preserve">Установить единицу измерения по каждому виду продукции. Например: </t>
    </r>
    <r>
      <rPr>
        <i/>
        <sz val="11"/>
        <color theme="1"/>
        <rFont val="Calibri"/>
        <family val="2"/>
        <charset val="204"/>
        <scheme val="minor"/>
      </rPr>
      <t>шт.</t>
    </r>
    <r>
      <rPr>
        <sz val="11"/>
        <color theme="1"/>
        <rFont val="Calibri"/>
        <family val="2"/>
        <scheme val="minor"/>
      </rPr>
      <t xml:space="preserve"> (штуки), </t>
    </r>
    <r>
      <rPr>
        <i/>
        <sz val="11"/>
        <color theme="1"/>
        <rFont val="Calibri"/>
        <family val="2"/>
        <charset val="204"/>
        <scheme val="minor"/>
      </rPr>
      <t>ед.</t>
    </r>
    <r>
      <rPr>
        <sz val="11"/>
        <color theme="1"/>
        <rFont val="Calibri"/>
        <family val="2"/>
        <scheme val="minor"/>
      </rPr>
      <t xml:space="preserve"> (единицы), </t>
    </r>
    <r>
      <rPr>
        <i/>
        <sz val="11"/>
        <color theme="1"/>
        <rFont val="Calibri"/>
        <family val="2"/>
        <charset val="204"/>
        <scheme val="minor"/>
      </rPr>
      <t>кг</t>
    </r>
    <r>
      <rPr>
        <sz val="11"/>
        <color theme="1"/>
        <rFont val="Calibri"/>
        <family val="2"/>
        <scheme val="minor"/>
      </rPr>
      <t xml:space="preserve"> (килограммы), </t>
    </r>
    <r>
      <rPr>
        <i/>
        <sz val="11"/>
        <color theme="1"/>
        <rFont val="Calibri"/>
        <family val="2"/>
        <charset val="204"/>
        <scheme val="minor"/>
      </rPr>
      <t>т</t>
    </r>
    <r>
      <rPr>
        <sz val="11"/>
        <color theme="1"/>
        <rFont val="Calibri"/>
        <family val="2"/>
        <scheme val="minor"/>
      </rPr>
      <t xml:space="preserve"> (тонны), </t>
    </r>
    <r>
      <rPr>
        <i/>
        <sz val="11"/>
        <color theme="1"/>
        <rFont val="Calibri"/>
        <family val="2"/>
        <charset val="204"/>
        <scheme val="minor"/>
      </rPr>
      <t>м</t>
    </r>
    <r>
      <rPr>
        <sz val="11"/>
        <color theme="1"/>
        <rFont val="Calibri"/>
        <family val="2"/>
        <scheme val="minor"/>
      </rPr>
      <t xml:space="preserve"> (метры) и т.д.</t>
    </r>
  </si>
  <si>
    <t>Валюта продаж</t>
  </si>
  <si>
    <r>
      <t>Выбрать из раскрывающегося списка валюту, в которой будут осуществляться продажи, по каждому виду продукции.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</si>
  <si>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Выбрать из раскрывающегося списка наличие / отсутствие исходящего НДС по каждому виду продукции.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</si>
  <si>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Вид ставки НДС</t>
  </si>
  <si>
    <r>
      <t>Выбрать из раскрывающегося списка вид ставки НДС по каждому виду продукции.</t>
    </r>
    <r>
      <rPr>
        <vertAlign val="superscript"/>
        <sz val="11"/>
        <color theme="1"/>
        <rFont val="Calibri"/>
        <family val="2"/>
        <charset val="204"/>
        <scheme val="minor"/>
      </rPr>
      <t>4</t>
    </r>
  </si>
  <si>
    <t>Экспорт?</t>
  </si>
  <si>
    <r>
      <t xml:space="preserve">Выбрать из раскрывающегося списка наличие / отсутствие экспорта по каждому виду продукции. </t>
    </r>
    <r>
      <rPr>
        <vertAlign val="superscript"/>
        <sz val="11"/>
        <color theme="1"/>
        <rFont val="Calibri"/>
        <family val="2"/>
        <charset val="204"/>
        <scheme val="minor"/>
      </rPr>
      <t>5</t>
    </r>
  </si>
  <si>
    <t>Оборачиваемость запасов</t>
  </si>
  <si>
    <r>
      <t>Установить значение оборачиваемости запасов (в днях) по каждому виду продукции, реализуемой в рамках проекта.</t>
    </r>
    <r>
      <rPr>
        <vertAlign val="superscript"/>
        <sz val="11"/>
        <color theme="1"/>
        <rFont val="Calibri"/>
        <family val="2"/>
        <charset val="204"/>
        <scheme val="minor"/>
      </rPr>
      <t xml:space="preserve">6  </t>
    </r>
    <r>
      <rPr>
        <sz val="11"/>
        <color theme="1"/>
        <rFont val="Calibri"/>
        <family val="2"/>
        <charset val="204"/>
        <scheme val="minor"/>
      </rPr>
      <t>Возможный срок от 0 до 90 дней.</t>
    </r>
  </si>
  <si>
    <t>Срок расчётов с покупателями</t>
  </si>
  <si>
    <r>
      <t>Установить значение срока расчёта с покупателями (в днях) по каждому виду продукции, реализуемой в рамках проекта.</t>
    </r>
    <r>
      <rPr>
        <vertAlign val="superscript"/>
        <sz val="11"/>
        <color theme="1"/>
        <rFont val="Calibri"/>
        <family val="2"/>
        <charset val="204"/>
        <scheme val="minor"/>
      </rPr>
      <t xml:space="preserve">7 </t>
    </r>
    <r>
      <rPr>
        <sz val="11"/>
        <color theme="1"/>
        <rFont val="Calibri"/>
        <family val="2"/>
        <charset val="204"/>
        <scheme val="minor"/>
      </rPr>
      <t>Возможный срок в днях от - 90 дней до 90 дней. Положительные значения срока расчетов означает постоплатную систему расчетов, отрицательные значения сроков оборачиваемости - предполатную систему расчетов.</t>
    </r>
  </si>
  <si>
    <t>1 Если отдельный вид продукции планируется к реализации как на внутреннем рынке, так и на экспорт, то необходимо разделить такую продукцию по разным строкам. 
Например: Продукт А (внутренний рынок), Продукт А (экспорт)
2 Если значение не установлено, то по умолчанию RUB (российский рубль).
3 Если значение не установлено, то по умолчанию налог применяется.
4 Если значение не установлено, то по умолчанию основная ставка (в случае если налог применяется).
5 Если значение не установлено, то по умолчанию продукт не учитывается в экспорте.
6 Формирование запасов до начала производства: только положительные числа, но не более 90 дней.
7 Положительные числа (отсрочка) - не более 90 дней. Отрицательные числа (предоплата) - не более 90 дней.</t>
  </si>
  <si>
    <t>Цена за единицу продукции</t>
  </si>
  <si>
    <t>Установить цену (в тыс. валюты продаж, в т.ч. НДС) по каждому виду продукции по периодам. Цены указываются без учета инфляции.</t>
  </si>
  <si>
    <t>Объем продаж в натуральном выражении</t>
  </si>
  <si>
    <t>Объем продаж</t>
  </si>
  <si>
    <t>Установить объем продаж (в натуральном выражении) по каждому виду продукции по периодам.</t>
  </si>
  <si>
    <t>Прямые затраты</t>
  </si>
  <si>
    <t>Установить наименование по каждому виду затрат, относимых на производственную себестоимость.</t>
  </si>
  <si>
    <r>
      <t xml:space="preserve">Установить единицу измерения по каждому виду затрат. Например: </t>
    </r>
    <r>
      <rPr>
        <i/>
        <sz val="11"/>
        <color theme="1"/>
        <rFont val="Calibri"/>
        <family val="2"/>
        <charset val="204"/>
        <scheme val="minor"/>
      </rPr>
      <t>шт.</t>
    </r>
    <r>
      <rPr>
        <sz val="11"/>
        <color theme="1"/>
        <rFont val="Calibri"/>
        <family val="2"/>
        <scheme val="minor"/>
      </rPr>
      <t xml:space="preserve"> (штуки), </t>
    </r>
    <r>
      <rPr>
        <i/>
        <sz val="11"/>
        <color theme="1"/>
        <rFont val="Calibri"/>
        <family val="2"/>
        <charset val="204"/>
        <scheme val="minor"/>
      </rPr>
      <t>ед.</t>
    </r>
    <r>
      <rPr>
        <sz val="11"/>
        <color theme="1"/>
        <rFont val="Calibri"/>
        <family val="2"/>
        <scheme val="minor"/>
      </rPr>
      <t xml:space="preserve"> (единицы), </t>
    </r>
    <r>
      <rPr>
        <i/>
        <sz val="11"/>
        <color theme="1"/>
        <rFont val="Calibri"/>
        <family val="2"/>
        <charset val="204"/>
        <scheme val="minor"/>
      </rPr>
      <t>кг</t>
    </r>
    <r>
      <rPr>
        <sz val="11"/>
        <color theme="1"/>
        <rFont val="Calibri"/>
        <family val="2"/>
        <scheme val="minor"/>
      </rPr>
      <t xml:space="preserve"> (килограммы), </t>
    </r>
    <r>
      <rPr>
        <i/>
        <sz val="11"/>
        <color theme="1"/>
        <rFont val="Calibri"/>
        <family val="2"/>
        <charset val="204"/>
        <scheme val="minor"/>
      </rPr>
      <t>т</t>
    </r>
    <r>
      <rPr>
        <sz val="11"/>
        <color theme="1"/>
        <rFont val="Calibri"/>
        <family val="2"/>
        <scheme val="minor"/>
      </rPr>
      <t xml:space="preserve"> (тонны), </t>
    </r>
    <r>
      <rPr>
        <i/>
        <sz val="11"/>
        <color theme="1"/>
        <rFont val="Calibri"/>
        <family val="2"/>
        <charset val="204"/>
        <scheme val="minor"/>
      </rPr>
      <t>м</t>
    </r>
    <r>
      <rPr>
        <sz val="11"/>
        <color theme="1"/>
        <rFont val="Calibri"/>
        <family val="2"/>
        <scheme val="minor"/>
      </rPr>
      <t xml:space="preserve"> (метры) и т.д.</t>
    </r>
  </si>
  <si>
    <r>
      <t>Выбрать из раскрывающегося списка валюту, в которой будут осуществляться платежи,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</si>
  <si>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r>
      <t>Выбрать из раскрывающегося списка наличие / отсутствие входящего НДС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</si>
  <si>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Выбрать из раскрывающегося списка вид ставки НДС по каждому виду продукции.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</si>
  <si>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Срок расчётов с поставщиками</t>
  </si>
  <si>
    <r>
      <t>Установить значение срока расчёта с поставщиками (в днях)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4</t>
    </r>
  </si>
  <si>
    <t>1 Если значение не установлено, то по умолчанию RUB (российский рубль).
2 Если значение не установлено, то по умолчанию налог применяется.
3 Если значение не установлено, то по умолчанию основная ставка (в случае если налог применяется).
4 Положительные числа (отсрочка) - не более 90 дней. Отрицательные числа (предоплата) - не более 90 дней.</t>
  </si>
  <si>
    <t>Цена за единицу прямых затрат</t>
  </si>
  <si>
    <t>Установить цену (в тыс. валюты затрат, в т.ч. НДС) по каждому виду затрат по периодам. Цены указываются без учета инфляции.</t>
  </si>
  <si>
    <t>Норма расхода на единицу продукции</t>
  </si>
  <si>
    <t>Норма расхода</t>
  </si>
  <si>
    <t>Установить нормы расхода прямых затрат (в натуральном выражении) по каждому виду продукции.</t>
  </si>
  <si>
    <t>Параметры общехозяйственных затрат</t>
  </si>
  <si>
    <t>Установить наименование по каждому виду общехозяйственных затрат.</t>
  </si>
  <si>
    <t>Категория затрат</t>
  </si>
  <si>
    <r>
      <t>Выбрать из раскрывающегося списка категорию, на которую относится каждый вид затрат.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</si>
  <si>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r>
      <t>Выбрать из раскрывающегося списка валюту, в которой будут осуществляться платежи,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</si>
  <si>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Выбрать из раскрывающегося списка наличие / отсутствие входящего НДС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</si>
  <si>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r>
      <t>Выбрать из раскрывающегося списка вид ставки НДС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4</t>
    </r>
  </si>
  <si>
    <t>Применять индексацию?</t>
  </si>
  <si>
    <r>
      <t>Выбрать из раскрывающегося списка применение / неприменение индексации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5</t>
    </r>
  </si>
  <si>
    <r>
      <t>Установить значение срока расчёта с поставщиками (в днях) по каждому виду затрат.</t>
    </r>
    <r>
      <rPr>
        <vertAlign val="superscript"/>
        <sz val="11"/>
        <color theme="1"/>
        <rFont val="Calibri"/>
        <family val="2"/>
        <charset val="204"/>
        <scheme val="minor"/>
      </rPr>
      <t>6</t>
    </r>
  </si>
  <si>
    <t>1 Значение должно быть обязательно установлено.
2 Если значение не установлено, то по умолчанию RUB (российский рубль).
3 Если значение не установлено, то по умолчанию налог применяется.
4 Если значение не установлено, то по умолчанию основная ставка (в случае если налог применяется).
5 Если значение не установлено, то по умолчанию индексация применяется.
6 Положительные числа (отсрочка) - не более 90 дней. Отрицательные числа (предоплата) - не более 90 дней.</t>
  </si>
  <si>
    <t>Общехозяйственные затраты</t>
  </si>
  <si>
    <t>Установить сумму (в тыс. валюты затрат, в т.ч. НДС) по каждому виду затрат по периодам в т.ч. ранее понесённые затраты. Суммы указываются без учета инфляции.</t>
  </si>
  <si>
    <t>Фонд оплаты труда</t>
  </si>
  <si>
    <t>Установить наименование должности.</t>
  </si>
  <si>
    <r>
      <t>Выбрать из раскрывающегося списка категорию, к которой относятся затраты, по каждой должности.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</si>
  <si>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Заработная плата в месяц</t>
  </si>
  <si>
    <t>Установить значение заработной платы (в тыс. руб. в месяц) по каждой должности.</t>
  </si>
  <si>
    <t>Количество</t>
  </si>
  <si>
    <t>Установить количество сотрудников по каждой должности по периодам.</t>
  </si>
  <si>
    <t>1 Значение должно быть обязательно установлено.</t>
  </si>
  <si>
    <t>Количество рабочих мест, созданных в ходе реализации проекта</t>
  </si>
  <si>
    <t>Новые рабочие места</t>
  </si>
  <si>
    <t>Установить количество рабочих мест, созданных в ходе реализации проекта, по каждому календарному году.</t>
  </si>
  <si>
    <t>Собственные средства</t>
  </si>
  <si>
    <t>Ранее привлечено в проект</t>
  </si>
  <si>
    <t>Установить сумму ранее привлеченных собственных средст в проект (в тыс. руб.). Например, средства из текущей деятельности, вклад в УК.</t>
  </si>
  <si>
    <t>График привлечения собственных средств в проект</t>
  </si>
  <si>
    <t>Установить сумму привлечения собственных средст в проект (в тыс. руб.) по периодам. Например, средства из текущей деятельности, вклад в УК.</t>
  </si>
  <si>
    <t>Заёмное финансирование: заём бенефициара/аффилированных лиц</t>
  </si>
  <si>
    <t>Сведения об источнике</t>
  </si>
  <si>
    <r>
      <t xml:space="preserve">Установить наименование займа. Например, </t>
    </r>
    <r>
      <rPr>
        <i/>
        <sz val="11"/>
        <color theme="1"/>
        <rFont val="Calibri"/>
        <family val="2"/>
        <charset val="204"/>
        <scheme val="minor"/>
      </rPr>
      <t>Заём бенефициара</t>
    </r>
    <r>
      <rPr>
        <sz val="11"/>
        <color theme="1"/>
        <rFont val="Calibri"/>
        <family val="2"/>
        <scheme val="minor"/>
      </rPr>
      <t>, З</t>
    </r>
    <r>
      <rPr>
        <i/>
        <sz val="11"/>
        <color theme="1"/>
        <rFont val="Calibri"/>
        <family val="2"/>
        <charset val="204"/>
        <scheme val="minor"/>
      </rPr>
      <t>аём аффилированного лица.</t>
    </r>
  </si>
  <si>
    <t>Процентная ставка</t>
  </si>
  <si>
    <t>Установить процентную ставку по займу (в % годовых).</t>
  </si>
  <si>
    <t>Установить сумму раннее привлеченных средств в проект (в тыс. руб.) по данному источнику. Если средства ранее не привлекались, то установить значение 0 либо оставить ячейку пустой.</t>
  </si>
  <si>
    <t>График привлечения и погашения средств источника в проект</t>
  </si>
  <si>
    <t>Привлечение займа</t>
  </si>
  <si>
    <t>Установить сумму привлечения средств источника в проект (в тыс. руб.) по периодам.</t>
  </si>
  <si>
    <t>Погашение займа</t>
  </si>
  <si>
    <r>
      <t>Установить сумму погашения задолженности перед источником (в тыс. руб.) по периодам.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</si>
  <si>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1 С положительным знаком.</t>
  </si>
  <si>
    <t>Заёмное финансирование: кредит/заём</t>
  </si>
  <si>
    <r>
      <t xml:space="preserve">Установить наименование кредита/займа. Например, </t>
    </r>
    <r>
      <rPr>
        <i/>
        <sz val="11"/>
        <color theme="1"/>
        <rFont val="Calibri"/>
        <family val="2"/>
        <charset val="204"/>
        <scheme val="minor"/>
      </rPr>
      <t>Кредит Банк А.</t>
    </r>
  </si>
  <si>
    <t>Установить процентную ставку по кредиту/займу (в % годовых).</t>
  </si>
  <si>
    <t>Привлечение кредита/займа</t>
  </si>
  <si>
    <t>Погашение кредита/займа</t>
  </si>
  <si>
    <t>График привлечения и погашения займа ФРП</t>
  </si>
  <si>
    <t>Установить параметры привлечения займа ФРП (в т.ч. РФРП) на листе "Параметры займа".</t>
  </si>
  <si>
    <t>Ставка дисконтирования</t>
  </si>
  <si>
    <t>Норма доходности собственного капитала (CAPM)</t>
  </si>
  <si>
    <t>Отрасль</t>
  </si>
  <si>
    <r>
      <t>Выбрать из раскрывающегося списка отрасль (вид деятельности), к которой относится проект.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</si>
  <si>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Безрисковая ставка в руб. для РФ</t>
  </si>
  <si>
    <t>Установить значение безрисковой ставки в рублях для РФ (в %). На листе "Источники" указать источник (обоснование), на котором основано установленное значение.</t>
  </si>
  <si>
    <t>Премия за инвестиционный риск (impliedERP)</t>
  </si>
  <si>
    <t>Установить значение премии за инвестиционный риск проекта (в %). На листе "Источники" указать источник (обоснование), на котором основано установленное значение.</t>
  </si>
  <si>
    <t>Премия за страновой риск</t>
  </si>
  <si>
    <t>Установить значение премии за страновой риск проекта (в %). На листе "Источники" указать источник (обоснование), на котором основано установленное значение.</t>
  </si>
  <si>
    <t>Премия за размер компании</t>
  </si>
  <si>
    <t>Установить значение премии за размер компании-заявителя (в %). На листе "Источники" указать источник (обоснование), на котором основано установленное значение.</t>
  </si>
  <si>
    <t>1 Если значение не установлено, то по умолчанию бета-коэффициент равен 1.</t>
  </si>
  <si>
    <t>Премия за специфические риски</t>
  </si>
  <si>
    <t>Уровень отпускных цен</t>
  </si>
  <si>
    <t>Установить значение премии за данный вид риска проекта (в %). На листе "Источники" указать источник (обоснование), на котором основано установленное значение.</t>
  </si>
  <si>
    <t>Зависимость от ключевых сотрудников</t>
  </si>
  <si>
    <t>Корпоративное управление</t>
  </si>
  <si>
    <t>Зависимость от ключевых потребителей</t>
  </si>
  <si>
    <t>Зависимость от ключевых поставщиков</t>
  </si>
  <si>
    <t>Наличие перспективы развития бизнеса</t>
  </si>
  <si>
    <t>Состояние основных фондов</t>
  </si>
  <si>
    <t>Средневзвешенная стоимость капитала (WACC)</t>
  </si>
  <si>
    <t>Доля собственного капитала</t>
  </si>
  <si>
    <t>Установить значение доли собственного капитала в проекте (в %). На листе "Источники" указать источник (обоснование), на котором основано установленное значение.</t>
  </si>
  <si>
    <t>Стоимость заемного капитала</t>
  </si>
  <si>
    <t>Установить значение стоимости заёмного капитала (в %). На листе "Источники" указать источник (обоснование), на котором основано установленное значение.</t>
  </si>
  <si>
    <t>Макроэкономика</t>
  </si>
  <si>
    <t>Инфляция</t>
  </si>
  <si>
    <t>Цены на продукцию</t>
  </si>
  <si>
    <t>Установить значение инфляции цен на продукцию (в %) по календарным годам. На листе "Источники" указать источник (обоснование), на котором основано установленное значение.</t>
  </si>
  <si>
    <t>Установить значение инфляции прямых затрат (в %) по календарным годам. На листе "Источники" указать источник (обоснование), на котором основано установленное значение.</t>
  </si>
  <si>
    <t>Установить значение инфляции общехозяйственных затрат (в %) по календарным годам. На листе "Источники" указать источник (обоснование), на котором основано установленное значение.</t>
  </si>
  <si>
    <t>Заработные платы</t>
  </si>
  <si>
    <t>Установить значение инфляции заработных плат (в %) по календарным годам. На листе "Источники" указать источник (обоснование), на котором основано установленное значение.</t>
  </si>
  <si>
    <t>Курсы валют</t>
  </si>
  <si>
    <t>Курс валюты</t>
  </si>
  <si>
    <r>
      <t>Установить значение курса валюты по отношению к российскому рублю (в руб.) по календарным годам. На листе "Источники" указать источник (обоснование), на котором основано установленное значение.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</si>
  <si>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1 Если значение не установлено, то по умолчанию курс валюты равен 1:1.</t>
  </si>
  <si>
    <t>НДС (основная ставка)</t>
  </si>
  <si>
    <t>Установить значение основной ставки НДС (в %) по календарным годам. По умолчанию 20%. Если значение иное, то на листе "Источники" указать источник (обоснование), на котором основано установленное значение.</t>
  </si>
  <si>
    <t>НДС (льготная ставка)</t>
  </si>
  <si>
    <t>Установить значение льготной ставки НДС (в %) по календарным годам. По умолчанию 10%. Если значение иное, то на листе "Источники" указать источник (обоснование), на котором основано установленное значение.</t>
  </si>
  <si>
    <t>Налог на прибыль</t>
  </si>
  <si>
    <t>Установить значение налога на прибыль (в %) по календарным годам. По умолчанию 20%. Если значение иное, то на листе "Источники" указать источник (обоснование), на котором основано установленное значение.</t>
  </si>
  <si>
    <t>Налог на имущество</t>
  </si>
  <si>
    <t>Установить значение налога на имущество (в %) по календарным годам. По умолчанию 2,2%. Если значение иное, то на листе "Источники" указать источник (обоснование), на котором основано установленное значение.</t>
  </si>
  <si>
    <t>НДФЛ</t>
  </si>
  <si>
    <t>Установить значение НДФЛ (в %) по календарным годам. По умолчанию 13%. Если значение иное, то на листе "Источники" указать источник (обоснование), на котором основано установленное значение.</t>
  </si>
  <si>
    <t>Максимальное уменьшение прибыли на убытки</t>
  </si>
  <si>
    <t>Установить значение максимального уменьшения прибыли на убытки прошлых периодов (в %) по календарным годам. По умолчанию 50%.</t>
  </si>
  <si>
    <t>Срок возмещения НДС из бюджета</t>
  </si>
  <si>
    <t>Установить значение срока возмещения НДС из бюджета (в кварталах).</t>
  </si>
  <si>
    <t>Страховые взносы</t>
  </si>
  <si>
    <t>Тариф до предельной суммы</t>
  </si>
  <si>
    <t>Обязательное пенсионное страхование</t>
  </si>
  <si>
    <t>Установить значение тарифа до предельной суммы (в %) по календарным годам. По умолчанию 22%.</t>
  </si>
  <si>
    <t>Обязательное социальное страхование</t>
  </si>
  <si>
    <t>Установить значение тарифа до предельной суммы (в %) по календарным годам. По умолчанию 2,9%.</t>
  </si>
  <si>
    <t>Обязательное медицинское страхование</t>
  </si>
  <si>
    <t>Установить значение тарифа до предельной суммы (в %) по календарным годам. По умолчанию 5,1%.</t>
  </si>
  <si>
    <t>Социальное страхование от несчастных случаев</t>
  </si>
  <si>
    <t>Установить значение тарифа до предельной суммы (в %) по календарным годам. По умолчанию 0,2%.</t>
  </si>
  <si>
    <t>Предельная сумма</t>
  </si>
  <si>
    <t>Установить значение предельной суммы (в тыс. руб.) по календарным годам. По умолчанию 1 917 тыс. руб. в 2023 году с ежегодной индексацией.</t>
  </si>
  <si>
    <t>Предельная сумма отсутствует.</t>
  </si>
  <si>
    <t>Тариф после предельной суммы</t>
  </si>
  <si>
    <t>Установить значение тарифа после предельной суммы (в %) по календарным годам. По умолчанию 10%.</t>
  </si>
  <si>
    <t>Установить значение тарифа после предельной суммы (в %) по календарным годам. По умолчанию 0% (после превышения предельной суммы взносы не начисляются).</t>
  </si>
  <si>
    <t>Пониженный тариф отстутствует.</t>
  </si>
  <si>
    <t>Текущая деятельность</t>
  </si>
  <si>
    <r>
      <t>Отчет о финансовых результатах за последние 3 квартала</t>
    </r>
    <r>
      <rPr>
        <b/>
        <vertAlign val="superscript"/>
        <sz val="10"/>
        <color theme="2" tint="-0.499960005283356"/>
        <rFont val="Calibri Light"/>
        <family val="2"/>
        <charset val="204"/>
        <scheme val="major"/>
      </rPr>
      <t>1</t>
    </r>
  </si>
  <si>
    <t>Выручка</t>
  </si>
  <si>
    <t>Установить значение выручки за последние 3 календарных квартала, предшествующих прогнозному кварталу получения займа ФРП.</t>
  </si>
  <si>
    <r>
      <t xml:space="preserve">Валовая прибыль </t>
    </r>
    <r>
      <rPr>
        <sz val="11"/>
        <color theme="1"/>
        <rFont val="Calibri"/>
        <family val="2"/>
        <scheme val="minor"/>
      </rPr>
      <t>(убыток)</t>
    </r>
  </si>
  <si>
    <r>
      <t>Установить значение валовой прибыли (убытка)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</si>
  <si>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Проценты к получению</t>
  </si>
  <si>
    <t>Установить значение процентов к получению за последние 3 календарных квартала, предшествующих прогнозному кварталу получения займа ФРП.</t>
  </si>
  <si>
    <t>Проценты к уплате</t>
  </si>
  <si>
    <r>
      <t>Установить значение процентов к уплате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</si>
  <si>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Прибыль (убыток) до налогообложения</t>
  </si>
  <si>
    <r>
      <t>Установить значение прибыли (убытка) до налогообложения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</si>
  <si>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Чистая прибыль (убыток)</t>
  </si>
  <si>
    <r>
      <t>Установить значение чистой прибыли (убытка)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</si>
  <si>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Амортизация</t>
  </si>
  <si>
    <r>
      <t>Установить значение начисленной амортизации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4</t>
    </r>
  </si>
  <si>
    <t>1 Не накопленным итогом.
2 С отрицательным знаком указывается убыток.
3 С отрицательным знаком.
4 С положительным знаком.</t>
  </si>
  <si>
    <r>
      <t>Отчет о движении денежных средств за последние 3 квартала</t>
    </r>
    <r>
      <rPr>
        <b/>
        <vertAlign val="superscript"/>
        <sz val="10"/>
        <color theme="2" tint="-0.499960005283356"/>
        <rFont val="Calibri Light"/>
        <family val="2"/>
        <charset val="204"/>
        <scheme val="major"/>
      </rPr>
      <t>1</t>
    </r>
  </si>
  <si>
    <t>Денежный поток от текущих операций</t>
  </si>
  <si>
    <r>
      <t>Установить значение сальдо операционного потока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</si>
  <si>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Денежный поток от инвестиционных операций</t>
  </si>
  <si>
    <r>
      <t>Установить значение сальдо инвестиционного потока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</si>
  <si>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Денежный поток от финансовых операций</t>
  </si>
  <si>
    <r>
      <t>Установить значение сальдо финансового потока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</si>
  <si>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1 Не накопленным итогом.
2 Отрицательное сальдо отражается с отрицательным знаком.</t>
  </si>
  <si>
    <r>
      <t>Расчёт CFADS и DSCR за последние 3 квартала</t>
    </r>
    <r>
      <rPr>
        <b/>
        <vertAlign val="superscript"/>
        <sz val="10"/>
        <color theme="2" tint="-0.499960005283356"/>
        <rFont val="Calibri Light"/>
        <family val="2"/>
        <charset val="204"/>
        <scheme val="major"/>
      </rPr>
      <t>1</t>
    </r>
  </si>
  <si>
    <t>Привлечение долга</t>
  </si>
  <si>
    <t>Установить значение привлечения долга за последние 3 календарных квартала, предшествующих прогнозному кварталу получения займа ФРП.</t>
  </si>
  <si>
    <t>Взносы учредителей (акционеров)</t>
  </si>
  <si>
    <t>Установить значение привлечения взносов акционеров (учредителей) за последние 3 календарных квартала, предшествующих прогнозному кварталу получения займа ФРП (в т.ч. РФРП).</t>
  </si>
  <si>
    <t>Погашение кредитов и займов</t>
  </si>
  <si>
    <r>
      <t>Установить значение погашения долга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</si>
  <si>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Выплата процентов по кредитам и займам</t>
  </si>
  <si>
    <r>
      <t>Установить значение уплаченных процентов за последние 3 календарных квартала, предшествующих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</si>
  <si>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1 Не накопленным итогом.
2 С отрицательным знаком.</t>
  </si>
  <si>
    <t>Выручка за последний отчётный год</t>
  </si>
  <si>
    <t>Установить значение выручки за последний отчётный год.</t>
  </si>
  <si>
    <t>Баланс на начало периода планирования</t>
  </si>
  <si>
    <t>Запасы</t>
  </si>
  <si>
    <t>Установить значение запасов на конец квартала, предшествующего прогнозному кварталу получения займа ФРП.</t>
  </si>
  <si>
    <t>Дебиторская задолженность</t>
  </si>
  <si>
    <t>Установить значение дебиторской задолженности на конец квартала, предшествующего прогнозному кварталу получения займа ФРП.</t>
  </si>
  <si>
    <t>Кредиторская задолженность</t>
  </si>
  <si>
    <t>Установить значение кредиторской задолженности на конец квартала, предшествующего прогнозному кварталу получения займа ФРП.</t>
  </si>
  <si>
    <t>Состав выручки по текущей деятельности</t>
  </si>
  <si>
    <t>Выручка по текущ. д-ти на листе (без проекта)</t>
  </si>
  <si>
    <t>Установить значение прогнозной выручки по текущей деятельности без проекта (в тыс. руб., без НДС) в разрезе источников её формирования.</t>
  </si>
  <si>
    <r>
      <t>Дополнительные параметры для проверки критерия целевого объема продаж новой продукции</t>
    </r>
    <r>
      <rPr>
        <b/>
        <vertAlign val="superscript"/>
        <sz val="16"/>
        <color theme="1" tint="0.14996999502182"/>
        <rFont val="Calibri Light"/>
        <family val="2"/>
        <charset val="204"/>
        <scheme val="major"/>
      </rPr>
      <t>1</t>
    </r>
  </si>
  <si>
    <t>Год начала серийного производства</t>
  </si>
  <si>
    <t>Установить значение календарного года, соответствующего году начала серийного производства.</t>
  </si>
  <si>
    <t>1 Раздел должен быть заполнен в случае, если условиями программы предусмотрен критерий минимального объема продаж (от суммы займа в год) начиная со 2 года серийного производства.</t>
  </si>
  <si>
    <t>Лист "Квартальная отчётность"</t>
  </si>
  <si>
    <t>Период прогноза</t>
  </si>
  <si>
    <t>Ячейка K3</t>
  </si>
  <si>
    <t>Из выпадающего списка необходимо указать квартал, по который необходимо построить прогноз по текущей деятельности и по проекту.</t>
  </si>
  <si>
    <t>Отчет о финансовых результатах</t>
  </si>
  <si>
    <r>
      <t>Заполнить прогнозный отчет о финансовых результатах по периодам (не накопленным итогом). Основные допущения, использованные при построении прогнозного отчёта, указать на листе "Источники".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</si>
  <si>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r>
      <t>Установить значение начисленной амортизации по периодам.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</si>
  <si>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1 С отрицательным знаком указываются: себестоимость, коммерческие и управленческие расходы, прочие расходы, проценты к уплате, налог на прибыль.
2 С положительным знаком.</t>
  </si>
  <si>
    <t>Отчет о движении денежных средств</t>
  </si>
  <si>
    <r>
      <t>Заполнить прогнозный отчет о движении денежных средств по периодам (не накопленным итогом). Основные допущения, использованные при построении прогнозного отчёта, указать на листе "Источники".</t>
    </r>
    <r>
      <rPr>
        <vertAlign val="superscript"/>
        <sz val="11"/>
        <color theme="1"/>
        <rFont val="Calibri"/>
        <family val="2"/>
        <charset val="204"/>
        <scheme val="minor"/>
      </rPr>
      <t>1</t>
    </r>
  </si>
  <si>
    <t>Остаток денежных средств на начало 1-го периода</t>
  </si>
  <si>
    <r>
      <t>Установить фактическое значение остатка денежных средств на конец квартала, предшествующего прогнозному кварталу получения займа ФРП.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</si>
  <si>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1 С отрицательным знаком указываются платежи по операционной, инвестиционной и финансовой деятельности.
2 Согласно бухгалтерской (управленческой) отчетности компании-заявителя.</t>
  </si>
  <si>
    <t>Баланс</t>
  </si>
  <si>
    <t>Заполнить прогнозный баланс. Основные допущения, использованные при построении прогнозного баланса, указать на листе "Источники".</t>
  </si>
  <si>
    <t>Лист "Показатели"</t>
  </si>
  <si>
    <t>Показатели инвестиционной оценки</t>
  </si>
  <si>
    <t>Ячейка D32</t>
  </si>
  <si>
    <t>Из выпадающего списка необходимо указать квартал, по который необходимо рассчитать показатели эффективности Проекта.</t>
  </si>
  <si>
    <t>Лист "Проверка"</t>
  </si>
  <si>
    <t>Корректный расчёт1</t>
  </si>
  <si>
    <t>Все параметры займа установлены</t>
  </si>
  <si>
    <t>На листе "Параметры займа" заполнены все ячейки.</t>
  </si>
  <si>
    <t>Параметры займа установлены верно</t>
  </si>
  <si>
    <t>На листе "Параметры займа" все установленные параметры займа корректны, т.е. соответствуют выбранной программе финансирования.</t>
  </si>
  <si>
    <t>Периоды поступления на баланс установлены корректно</t>
  </si>
  <si>
    <t>На листе "Параметры займа" квартал поступления на баланс основного средства установлен корректно (выбран из выпадающего списка). Квартал не может быть раньше первого прогнозного квартала. Пример формата вводна данных: "1 кв. 2023", где 1 - порядковый номер квартала, 2023 - год.</t>
  </si>
  <si>
    <t>Периоды ввода в эксплуатацию установлены корректно</t>
  </si>
  <si>
    <t>На листе "Параметры займа" квартал ввода в эксплуатацию основного средства установлен в соответствующем квартале (выбран из выпадающего списка). Квартал не может быть раньше первого прогнозного квартала. Пример формата вводна данных: "1 кв. 2023", где 1 - порядковый номер квартала, 2023 - год.</t>
  </si>
  <si>
    <t>Сумма долей всех предстоящих платежей составляет 100%</t>
  </si>
  <si>
    <t>В блоке "График оплаты объектов капитальных вложений, % от суммы планируемых затрат (в т.ч. от остатка задолженности)" сумма всех долей равна 100%.</t>
  </si>
  <si>
    <t>На листе "Предпосылки" срок оборачиваемости запасов установлен не менее 0 и не более 90 дней.</t>
  </si>
  <si>
    <t>Расчёты с покупателями</t>
  </si>
  <si>
    <t>На листе "Предпосылки" срок расчётов с покупателями установлен не менее -90 и не более 90 дней.</t>
  </si>
  <si>
    <t>Расчёты с поставщиками прямых затрат</t>
  </si>
  <si>
    <t>На листе "Предпосылки" срок расчётов с поставщиками прямых затрат установлен не менее -90 и не более 90 дней.</t>
  </si>
  <si>
    <t>Расчёты с поставщиками общехозяйственных затрат</t>
  </si>
  <si>
    <t>На листе "Предпосылки" срок расчётов с поставщиками общехозяйственных затрат установлен не менее -90 и не более 90 дней.</t>
  </si>
  <si>
    <t>Заём бенефициара/аффилированных лиц</t>
  </si>
  <si>
    <t>На листе "Предпосылки" сумма погашения займа бенефициара/аффилированных лиц не превышает сумму привлечения (в т.ч. ранее привлеченных средств в проект).</t>
  </si>
  <si>
    <t>Кредит/заём</t>
  </si>
  <si>
    <t>На листе "Предпосылки" сумма погашения кредита/займа не превышает сумму привлечения (в т.ч. ранее привлеченных средств в проект).</t>
  </si>
  <si>
    <t>Ранее понесенные затраты</t>
  </si>
  <si>
    <t>На листе "Предпосылки" сумма ранее понесенных затрат (по капитальным вложениям и общехозяйственным затратам) не превышает сумму ранее привлеченного финансирования в проект.</t>
  </si>
  <si>
    <t>Учет объектов капитальных вложений</t>
  </si>
  <si>
    <t>На листе "Предпосылки" корректно установлены: периоды принятия на на баланс и ввода в эксплуатацию, график оплаты объектов.</t>
  </si>
  <si>
    <t>Общехозяйственные затраты разнесены корректно</t>
  </si>
  <si>
    <t>На листе "Предпосылки" установлена категория затрат по каждому виду общехозяйственных затрат.</t>
  </si>
  <si>
    <t>Затраты на ФОТ разнесены корректно</t>
  </si>
  <si>
    <t>На листе "Предпосылки" установлена категория затрат по каждой должности сотрудников проекта.</t>
  </si>
  <si>
    <t>Отсутствие отрицательных остатков д/с в ОДДС</t>
  </si>
  <si>
    <t>На листах "Квартальная отчётность" и "Годовая отчетность" в отчете о движении денежных средств (по проекту, по текущей д-ти, по текущей д-ти с учётом проекта) отсутствуют кассовые разрывы.</t>
  </si>
  <si>
    <t>Балансовое равенство</t>
  </si>
  <si>
    <t>На листах "Квартальная отчётность" и "Годовая отчетность" в балансе (по проекту, по текущей д-ти, по текущей д-ти с учётом проекта) соблюдается балансовое равенство, т.е. активы равны пассивам.</t>
  </si>
  <si>
    <t>1 В ином случае ошибка.</t>
  </si>
  <si>
    <t>Справка</t>
  </si>
  <si>
    <t>Параметры анализа чувствительности</t>
  </si>
  <si>
    <t>Анализ чувствительности может быть проведён с учётом / без учёта ранее понесённых затрат, а также в течение срока действия договора займа. Параметры устанавливаются на листе "Чувствительность".</t>
  </si>
  <si>
    <t>Обновление анализа чувствительности</t>
  </si>
  <si>
    <t>После внесения всех изменений нажмите комбинацию F9 (fn + F9), чтобы пересчитать значения таблиц данных на листе "Чувствительность".</t>
  </si>
  <si>
    <t>Сохранение данных</t>
  </si>
  <si>
    <t>Cохранение листов "Руководство", "Выводы", "Графики" в виде презентации: Файл --&gt;  Сохранить как --&gt; Обзор (выберите папку) --&gt; Имя файла (укажите наименование) --&gt; Тип файла (выберите PDF) --&gt; Сохранить</t>
  </si>
  <si>
    <t>Максимальное значение</t>
  </si>
  <si>
    <t>Дата</t>
  </si>
  <si>
    <t>После ввода всех данных необходимо нажать F9 (Fn+F9)!</t>
  </si>
  <si>
    <t>Технические расчёты (скрыты)</t>
  </si>
  <si>
    <t>Исходные параметры</t>
  </si>
  <si>
    <t>Технические параметры (скрыты)</t>
  </si>
  <si>
    <t>Расчётные параметры</t>
  </si>
  <si>
    <t>Дата середины квартала погашения займа</t>
  </si>
  <si>
    <t>Дата 1-го процентного платежа</t>
  </si>
  <si>
    <t>Сумма займа, тыс. руб.</t>
  </si>
  <si>
    <t>Месяц даты погашения займа</t>
  </si>
  <si>
    <t>Дата начала начисления % по базовой ставке</t>
  </si>
  <si>
    <t>Срок займа, мес.</t>
  </si>
  <si>
    <t>Последний месяц квартала получения займа</t>
  </si>
  <si>
    <t>Дата 1-го платежа по телу займа</t>
  </si>
  <si>
    <t>Последний месяц квартала, предшествующего дате погашения займа</t>
  </si>
  <si>
    <t>Дата погашения займа</t>
  </si>
  <si>
    <t>Продолжительность погашения тела займа, мес.</t>
  </si>
  <si>
    <t>Год получения займа</t>
  </si>
  <si>
    <t>Ежеквартальный платеж, тыс. руб.</t>
  </si>
  <si>
    <t>Ставка, % годовых</t>
  </si>
  <si>
    <t>Проверка: установлены все параметры займа</t>
  </si>
  <si>
    <t>Итого сумма платежей, тыс. руб.</t>
  </si>
  <si>
    <t>Проверка: все параметры займа установлены верно</t>
  </si>
  <si>
    <t>Требуемое обеспечение, тыс. руб.</t>
  </si>
  <si>
    <t>Проверка срока займа</t>
  </si>
  <si>
    <t>да</t>
  </si>
  <si>
    <t>Проверка обеспечения, тыс. руб.</t>
  </si>
  <si>
    <t>Дата выдачи с максимальной суммой обеспечения, тыс. руб.</t>
  </si>
  <si>
    <t>График погашения тела займа</t>
  </si>
  <si>
    <t>График обслуживания займа</t>
  </si>
  <si>
    <t>Проценты с учетом калькуляции по дням</t>
  </si>
  <si>
    <t>Дата погашения тела займа</t>
  </si>
  <si>
    <t>Год</t>
  </si>
  <si>
    <t>№ календарного квартала</t>
  </si>
  <si>
    <t>Сумма погашения, тыс. руб.</t>
  </si>
  <si>
    <t>Задолженность по телу займа, тыс. руб.</t>
  </si>
  <si>
    <t>Дата процентного платежа</t>
  </si>
  <si>
    <t>Сумма процентного платежа, тыс. руб.</t>
  </si>
  <si>
    <t>Начисление процентов, тыс. руб.</t>
  </si>
  <si>
    <t>Техподдержка финансовой модели Фонда: mail@frp27.ru</t>
  </si>
  <si>
    <t>Номер проекта</t>
  </si>
  <si>
    <t>Заявитель</t>
  </si>
  <si>
    <r>
      <t xml:space="preserve">Признак вхождения в реестр субъектов МСП </t>
    </r>
    <r>
      <rPr>
        <b/>
        <sz val="11"/>
        <color theme="1"/>
        <rFont val="Calibri"/>
        <family val="2"/>
        <charset val="204"/>
        <scheme val="minor"/>
      </rPr>
      <t>(влияет на расчет страховых взносов!!!)</t>
    </r>
  </si>
  <si>
    <t>не входит в реестр субъектов МСП</t>
  </si>
  <si>
    <t>Дата начала прогнозного периода</t>
  </si>
  <si>
    <t>Валюта денежных потоков - Российский рубль</t>
  </si>
  <si>
    <t>RUB</t>
  </si>
  <si>
    <t>Длительность прогнозного периода, кварталов</t>
  </si>
  <si>
    <t>USD</t>
  </si>
  <si>
    <t>Дата завершения прогнозного периода</t>
  </si>
  <si>
    <t>CNY</t>
  </si>
  <si>
    <t>EUR</t>
  </si>
  <si>
    <t>Единица измерения денежных потоков</t>
  </si>
  <si>
    <t>тыс. руб.</t>
  </si>
  <si>
    <t>Ячейки заголовков</t>
  </si>
  <si>
    <t>Месяцев в году</t>
  </si>
  <si>
    <t>Расчётные ячейки</t>
  </si>
  <si>
    <t>Месяцев в квартале</t>
  </si>
  <si>
    <t>Изменяемые ячейки</t>
  </si>
  <si>
    <t>Кварталов в году</t>
  </si>
  <si>
    <t>Ячейки итогов</t>
  </si>
  <si>
    <t>Контактные данные лица, ответственного за предоставление разъяснений по данным в финмодели</t>
  </si>
  <si>
    <t>Норма амортизации, % в год</t>
  </si>
  <si>
    <t>Код НДС</t>
  </si>
  <si>
    <t>Проверка периода поступления на баланс</t>
  </si>
  <si>
    <t>Проверка периода ввода в эксплуатацию</t>
  </si>
  <si>
    <t>График оплаты объектов капитальных вложений, % от суммы планируемых затрат (в т.ч. от остатка задолженности)</t>
  </si>
  <si>
    <t>Сумма в валюте затрат,
тыс. в т.ч. НДС</t>
  </si>
  <si>
    <t>Код валюты</t>
  </si>
  <si>
    <t>Итого</t>
  </si>
  <si>
    <t>Проверка 100%</t>
  </si>
  <si>
    <t>Ед. изм. продукции</t>
  </si>
  <si>
    <t>Оборачиваемость запасов, дней</t>
  </si>
  <si>
    <t>Срок расчётов с покупателями, дней</t>
  </si>
  <si>
    <t>Продукт 1</t>
  </si>
  <si>
    <t>Продукт 2</t>
  </si>
  <si>
    <t>Продукт 3</t>
  </si>
  <si>
    <t>Продукт 4</t>
  </si>
  <si>
    <t>Продукт 5</t>
  </si>
  <si>
    <t>Продукт 6</t>
  </si>
  <si>
    <t>Продукт 7</t>
  </si>
  <si>
    <t>Продукт 8</t>
  </si>
  <si>
    <t>Продукт 9</t>
  </si>
  <si>
    <t>Продукт 10</t>
  </si>
  <si>
    <t>Продукт 11</t>
  </si>
  <si>
    <t>Продукт 12</t>
  </si>
  <si>
    <t>Продукт 13</t>
  </si>
  <si>
    <t>Продукт 14</t>
  </si>
  <si>
    <t>Продукт 15</t>
  </si>
  <si>
    <t>Продукт 16</t>
  </si>
  <si>
    <t>Продукт 17</t>
  </si>
  <si>
    <t>Продукт 18</t>
  </si>
  <si>
    <t>Продукт 19</t>
  </si>
  <si>
    <t>Продукт 20</t>
  </si>
  <si>
    <t>Срок оборачиваемости запасов установлен корректно</t>
  </si>
  <si>
    <t>Срок расчётов с покупателями установлен корректно</t>
  </si>
  <si>
    <t>Цена за единицу продукции, в т.ч. НДС</t>
  </si>
  <si>
    <t>Ед. изм.</t>
  </si>
  <si>
    <t>Срок расчётов с поставщиками, дней</t>
  </si>
  <si>
    <t>Операционные затраты 1</t>
  </si>
  <si>
    <t>Операционные затраты 2</t>
  </si>
  <si>
    <t>Операционные затраты 3</t>
  </si>
  <si>
    <t>Операционные затраты 4</t>
  </si>
  <si>
    <t>Операционные затраты 5</t>
  </si>
  <si>
    <t>Операционные затраты 6</t>
  </si>
  <si>
    <t>Операционные затраты 7</t>
  </si>
  <si>
    <t>Операционные затраты 8</t>
  </si>
  <si>
    <t>Операционные затраты 9</t>
  </si>
  <si>
    <t>Операционные затраты 10</t>
  </si>
  <si>
    <t>Операционные затраты 11</t>
  </si>
  <si>
    <t>Операционные затраты 12</t>
  </si>
  <si>
    <t>Операционные затраты 13</t>
  </si>
  <si>
    <t>Операционные затраты 14</t>
  </si>
  <si>
    <t>Операционные затраты 15</t>
  </si>
  <si>
    <t>Операционные затраты 16</t>
  </si>
  <si>
    <t>Операционные затраты 17</t>
  </si>
  <si>
    <t>Операционные затраты 18</t>
  </si>
  <si>
    <t>Операционные затраты 19</t>
  </si>
  <si>
    <t>Операционные затраты 20</t>
  </si>
  <si>
    <t>Срок расчётов с поставщиками прямых затрат установлен корректно</t>
  </si>
  <si>
    <t>Цена за единицу прямых затрат, в т.ч. НДС</t>
  </si>
  <si>
    <t>Наименование затрат →</t>
  </si>
  <si>
    <t>Ед. изм. →</t>
  </si>
  <si>
    <t>Комиссионное вознаграждение за банк. гарантию</t>
  </si>
  <si>
    <t>управленческие</t>
  </si>
  <si>
    <t>нет</t>
  </si>
  <si>
    <t>Срок расчётов с поставщиками общехоз. затрат установлен корректно</t>
  </si>
  <si>
    <t>Общехозяйственные затраты, в т.ч. НДС</t>
  </si>
  <si>
    <t>Валюта</t>
  </si>
  <si>
    <t>Формирование оборотного капитала на начало проекта</t>
  </si>
  <si>
    <t>Входящий остаток, без НДС</t>
  </si>
  <si>
    <t>Изменение оборотного капитала</t>
  </si>
  <si>
    <t>Срок расчётов с персоналом, дней</t>
  </si>
  <si>
    <t>Для финансирования капитальных вложений</t>
  </si>
  <si>
    <t>Для финансирования общехозяйственных затрат</t>
  </si>
  <si>
    <t>Финансирование инвестиционных затрат</t>
  </si>
  <si>
    <t>Наименование займодавца</t>
  </si>
  <si>
    <t>Процентная ставка, % годовых</t>
  </si>
  <si>
    <t>Сумма погашения не превышает сумму привлечения</t>
  </si>
  <si>
    <t>Наименование кредитора/займодавца</t>
  </si>
  <si>
    <t>Структура финансирования проекта</t>
  </si>
  <si>
    <t>Источник</t>
  </si>
  <si>
    <t>Ранее привлечено</t>
  </si>
  <si>
    <t>Планируется к привлечению</t>
  </si>
  <si>
    <t>Доля, %</t>
  </si>
  <si>
    <t>Сумма ранее понесенных затрат не превышает сумму ранее привлеченного финансирования</t>
  </si>
  <si>
    <t>Остаток денежных средств на начало периода планирования</t>
  </si>
  <si>
    <t>Машиностроение</t>
  </si>
  <si>
    <t>β-коэффициент</t>
  </si>
  <si>
    <t>Итого стоимость собственного капитала</t>
  </si>
  <si>
    <t>Итого премия</t>
  </si>
  <si>
    <t>Стоимость собственного капитала</t>
  </si>
  <si>
    <t>Доля заемного капитала</t>
  </si>
  <si>
    <t>Ставка налога на прибыль</t>
  </si>
  <si>
    <t>Итого средневзвешенная стоимость капитала</t>
  </si>
  <si>
    <t>НДФЛ при годовом доходе до 2,4 млн руб.</t>
  </si>
  <si>
    <t>НДФЛ при годовом доходе от 2,4 млн руб. до 5 млн руб.</t>
  </si>
  <si>
    <t>НДФЛ при годовом доходе от 5 млн руб. до 20 млн руб.</t>
  </si>
  <si>
    <t>НДФЛ при годовом доходе от 20 млн руб. до 50 млн руб.</t>
  </si>
  <si>
    <t>НДФЛ при годовом доходе свыше 50 млн руб.</t>
  </si>
  <si>
    <t>НДФЛ 13%</t>
  </si>
  <si>
    <t>НДФЛ 15%</t>
  </si>
  <si>
    <t>НДФЛ 18%</t>
  </si>
  <si>
    <t>НДФЛ 20%</t>
  </si>
  <si>
    <t>НДФЛ 22%</t>
  </si>
  <si>
    <t>&gt;50000</t>
  </si>
  <si>
    <t>Максимальное уменьшение прибыли на убытки предыдущих периодов</t>
  </si>
  <si>
    <t>Срок возмещения НДС из бюджета, кварталов</t>
  </si>
  <si>
    <t>Признак вхождения в реестр субъектов МСП</t>
  </si>
  <si>
    <t>Страховые взносы (для всех, кроме субъектов малого и среднего предприниимательства)</t>
  </si>
  <si>
    <t>Единый тариф страховых взносов</t>
  </si>
  <si>
    <t>Страховые взносы для субъектов малого и среднего предприниимательства</t>
  </si>
  <si>
    <t>Единый тариф страховых взносов до суммы МРОТ</t>
  </si>
  <si>
    <t>Сумм МРОТ</t>
  </si>
  <si>
    <t>Единый тариф страховых взносов свыше суммы МРОТ</t>
  </si>
  <si>
    <t>Единый тариф страховых взносов после превышения предельной суммы</t>
  </si>
  <si>
    <t>Отчет о финансовых результатах за последние 4 квартала (не накопленным итогом)</t>
  </si>
  <si>
    <t>Показатель</t>
  </si>
  <si>
    <r>
      <t xml:space="preserve">Себестоимость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</si>
  <si>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Валовая прибыль </t>
    </r>
    <r>
      <rPr>
        <b/>
        <sz val="11"/>
        <color rgb="FFFF0000"/>
        <rFont val="Calibri"/>
        <family val="2"/>
        <charset val="204"/>
        <scheme val="minor"/>
      </rPr>
      <t>(убыток)</t>
    </r>
  </si>
  <si>
    <r>
      <t>Коммерческие расходы</t>
    </r>
    <r>
      <rPr>
        <sz val="11"/>
        <color rgb="FFFF0000"/>
        <rFont val="Calibri"/>
        <family val="2"/>
        <charset val="204"/>
        <scheme val="minor"/>
      </rPr>
      <t xml:space="preserve"> (-)</t>
    </r>
  </si>
  <si>
    <r>
      <t xml:space="preserve">Управленческие расходы </t>
    </r>
    <r>
      <rPr>
        <sz val="11"/>
        <color rgb="FFFF0000"/>
        <rFont val="Calibri"/>
        <family val="2"/>
        <charset val="204"/>
        <scheme val="minor"/>
      </rPr>
      <t>(-)</t>
    </r>
  </si>
  <si>
    <r>
      <t>Прибыль</t>
    </r>
    <r>
      <rPr>
        <b/>
        <sz val="11"/>
        <color rgb="FFFF0000"/>
        <rFont val="Calibri"/>
        <family val="2"/>
        <charset val="204"/>
        <scheme val="minor"/>
      </rPr>
      <t xml:space="preserve"> (убыток)</t>
    </r>
    <r>
      <rPr>
        <b/>
        <sz val="11"/>
        <color theme="1"/>
        <rFont val="Calibri"/>
        <family val="2"/>
        <charset val="204"/>
        <scheme val="minor"/>
      </rPr>
      <t xml:space="preserve"> от продаж</t>
    </r>
  </si>
  <si>
    <t>Доходы от участия в других организациях</t>
  </si>
  <si>
    <r>
      <t xml:space="preserve">Проценты к уплате </t>
    </r>
    <r>
      <rPr>
        <sz val="11"/>
        <color rgb="FFFF0000"/>
        <rFont val="Calibri"/>
        <family val="2"/>
        <charset val="204"/>
        <scheme val="minor"/>
      </rPr>
      <t>(-)</t>
    </r>
  </si>
  <si>
    <t>Прочие доходы</t>
  </si>
  <si>
    <r>
      <t>Прочие расходы</t>
    </r>
    <r>
      <rPr>
        <sz val="11"/>
        <color rgb="FFFF0000"/>
        <rFont val="Calibri"/>
        <family val="2"/>
        <charset val="204"/>
        <scheme val="minor"/>
      </rPr>
      <t xml:space="preserve"> (-)</t>
    </r>
  </si>
  <si>
    <r>
      <t xml:space="preserve">Прибыль </t>
    </r>
    <r>
      <rPr>
        <b/>
        <sz val="11"/>
        <color rgb="FFFF0000"/>
        <rFont val="Calibri"/>
        <family val="2"/>
        <charset val="204"/>
        <scheme val="minor"/>
      </rPr>
      <t>(убыток)</t>
    </r>
    <r>
      <rPr>
        <b/>
        <sz val="11"/>
        <color theme="1"/>
        <rFont val="Calibri"/>
        <family val="2"/>
        <charset val="204"/>
        <scheme val="minor"/>
      </rPr>
      <t xml:space="preserve"> до налогообложения</t>
    </r>
  </si>
  <si>
    <r>
      <t xml:space="preserve">Налог на прибыль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</si>
  <si>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Чистая прибыль </t>
    </r>
    <r>
      <rPr>
        <b/>
        <sz val="11"/>
        <color rgb="FFFF0000"/>
        <rFont val="Calibri"/>
        <family val="2"/>
        <charset val="204"/>
        <scheme val="minor"/>
      </rPr>
      <t>(убыток)</t>
    </r>
  </si>
  <si>
    <t>Справочно: амортизация (+)</t>
  </si>
  <si>
    <t>EBIT</t>
  </si>
  <si>
    <t>EBITDA</t>
  </si>
  <si>
    <t>Отчет о движении денежных средств за последние 3 квартала (не накопленным итогом)</t>
  </si>
  <si>
    <t>Изменение денежных потоков за период</t>
  </si>
  <si>
    <t>Расчёт CFADS и DSCR за последние 3 квартала (не накопленным итогом)</t>
  </si>
  <si>
    <t>CFADS</t>
  </si>
  <si>
    <r>
      <t xml:space="preserve">Погашение кредитов и займов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</si>
  <si>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Выплата процентов по кредитам и займам </t>
    </r>
    <r>
      <rPr>
        <sz val="11"/>
        <color rgb="FFFF0000"/>
        <rFont val="Calibri"/>
        <family val="2"/>
        <charset val="204"/>
        <scheme val="minor"/>
      </rPr>
      <t>(-)</t>
    </r>
  </si>
  <si>
    <t>DSCR</t>
  </si>
  <si>
    <t>Дополнительные параметры для проверки критерия целевого объема продаж новой продукции</t>
  </si>
  <si>
    <t>Наличие критерия для выбранной программы</t>
  </si>
  <si>
    <t>Выручка начиная со 2 года серийного производства</t>
  </si>
  <si>
    <t>Проверка выполнения критерия</t>
  </si>
  <si>
    <t>Безрисковая ставка в руб. для России</t>
  </si>
  <si>
    <t xml:space="preserve">Доходность по 10-летним государственным облигациям федерального займа https://www.cbr.ru/hd_base/zcyc_params/zcyc/ </t>
  </si>
  <si>
    <t xml:space="preserve">Implied ERP on January 2022 https://pages.stern.nyu.edu/~adamodar/ </t>
  </si>
  <si>
    <t xml:space="preserve">Total Equity Risk Premium (GDP weighted) on January 2022, https://pages.stern.nyu.edu/~adamodar/New_Home_Page/dataarchived.html#discrate </t>
  </si>
  <si>
    <t>Установить в размере 3,21% Duff &amp; Phelps, Valuation Handbook 2022</t>
  </si>
  <si>
    <t>Доля собственного капитала приравнена отраслевому значению коэффициента автономии российских компаний согласно данным Федеральной службы государственной статистики, https://www.fedstat.ru/</t>
  </si>
  <si>
    <t>Статистические данные ЦБ РФ о средневзвешенных процентных ставках по кредитам, предоставленным кредитными организациями нефинансовым организациям (субъектам МСП) в рублях на срок от 1 до 3 лет (по состоянию на июль 2021 г.), http://www.cbr.ru/statistics/bank_sector/int_rat/</t>
  </si>
  <si>
    <t>Бета-коэффициент</t>
  </si>
  <si>
    <t>http://www.stern.nyu.edu/~adamodar/pc/datasets/</t>
  </si>
  <si>
    <t>Отрасль (вид деятельности)</t>
  </si>
  <si>
    <t>Значение</t>
  </si>
  <si>
    <t>Аэрокосмическая/оборонная промышленность</t>
  </si>
  <si>
    <t>Автомобильная промышленность</t>
  </si>
  <si>
    <t>Автомобильные запчасти</t>
  </si>
  <si>
    <t>Биотехнологии</t>
  </si>
  <si>
    <t>Воздушный транспорт</t>
  </si>
  <si>
    <t>Возобновляемая энергия</t>
  </si>
  <si>
    <t>Горнодобывающая промышленность</t>
  </si>
  <si>
    <t>Грузоперевозки</t>
  </si>
  <si>
    <t>Грузоперевозки (ж/д)</t>
  </si>
  <si>
    <t>Деловые и потребительские услуги</t>
  </si>
  <si>
    <t>Добыча/разведка нефти и газа</t>
  </si>
  <si>
    <t>Драгоценные металлы</t>
  </si>
  <si>
    <t>Информационные услуги</t>
  </si>
  <si>
    <t>Кабельное ТВ</t>
  </si>
  <si>
    <t>Компьютерные услуги</t>
  </si>
  <si>
    <t>Мебельная промышленность</t>
  </si>
  <si>
    <t>Медицинские информационные технологии</t>
  </si>
  <si>
    <t>Медицинские услуги</t>
  </si>
  <si>
    <t>Нефтесервисные услуги/оборудование</t>
  </si>
  <si>
    <t>Образование</t>
  </si>
  <si>
    <t>Обувь</t>
  </si>
  <si>
    <t>Одежда</t>
  </si>
  <si>
    <t>Офисное оборудование и услуги</t>
  </si>
  <si>
    <t>Охрана окружающей среды и утилизация отходов</t>
  </si>
  <si>
    <t>Переработка пищевых продуктов</t>
  </si>
  <si>
    <t>Полупроводниковая промышленность</t>
  </si>
  <si>
    <t>Программное обеспечение</t>
  </si>
  <si>
    <t>Проектирование и разработка</t>
  </si>
  <si>
    <t>Производство бытовой/офисной электроники</t>
  </si>
  <si>
    <t>Производство резины/шин</t>
  </si>
  <si>
    <t>Сельское хозяйство</t>
  </si>
  <si>
    <t>Сталелитейная промышленность</t>
  </si>
  <si>
    <t>Строительные материалы</t>
  </si>
  <si>
    <t>Строительство жилых домов</t>
  </si>
  <si>
    <t>Судостроение и морское дело</t>
  </si>
  <si>
    <t>Телекоммуникационная отрасль</t>
  </si>
  <si>
    <t>Телекоммуникационное оборудование</t>
  </si>
  <si>
    <t>Телерадиовещание</t>
  </si>
  <si>
    <t>Товары для дома</t>
  </si>
  <si>
    <t>Товары для здоровья</t>
  </si>
  <si>
    <t>Транспортировка нефти и газа</t>
  </si>
  <si>
    <t>Угольная промышленность</t>
  </si>
  <si>
    <t>Упаковка и тара</t>
  </si>
  <si>
    <t>Услуги по поддержке здравоохранения</t>
  </si>
  <si>
    <t>Фармацевтическая отрасль</t>
  </si>
  <si>
    <t>Химическая промышленность</t>
  </si>
  <si>
    <t>Целлюлозно-бумажное производство</t>
  </si>
  <si>
    <t>Электронная промышленность</t>
  </si>
  <si>
    <t>Электрооборудование</t>
  </si>
  <si>
    <t>Энергетика</t>
  </si>
  <si>
    <t>Макроэкономический опрос Банка России (https://www.cbr.ru/statistics/ddkp/mo_br/)</t>
  </si>
  <si>
    <t>НДС</t>
  </si>
  <si>
    <t>НК РФ</t>
  </si>
  <si>
    <t>Тариф по страхованию от несчастных случаев</t>
  </si>
  <si>
    <t>Предельные суммы для расчета НДФЛ</t>
  </si>
  <si>
    <t>Предельные суммы по страховым взносам</t>
  </si>
  <si>
    <t>Основные допущения, использованные при построении прогнозной отчётности по текущей деятельности</t>
  </si>
  <si>
    <t>Отчёт</t>
  </si>
  <si>
    <t>Допущения</t>
  </si>
  <si>
    <t>Перечень субъектов РФ</t>
  </si>
  <si>
    <t>Наименование субъекта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</si>
  <si>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</si>
  <si>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</si>
  <si>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</si>
  <si>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</si>
  <si>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</si>
  <si>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</si>
  <si>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</si>
  <si>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</si>
  <si>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</si>
  <si>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</si>
  <si>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Донецкая Народная Республика</t>
  </si>
  <si>
    <t>Еврейская автономная область</t>
  </si>
  <si>
    <t>Забайкальский край</t>
  </si>
  <si>
    <t>Запорожская область</t>
  </si>
  <si>
    <t>Ивановская область</t>
  </si>
  <si>
    <t>Иркутская область</t>
  </si>
  <si>
    <t>Кабардино-Балкарская Республика</t>
  </si>
  <si>
    <t>Калининградская область</t>
  </si>
  <si>
    <t>Калужская область</t>
  </si>
  <si>
    <t>Камчатский край</t>
  </si>
  <si>
    <t>Карачаево-Черкесская Республика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</si>
  <si>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</si>
  <si>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</si>
  <si>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</si>
  <si>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</si>
  <si>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</si>
  <si>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</si>
  <si>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</si>
  <si>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</si>
  <si>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</si>
  <si>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Луганская Народная Республика</t>
  </si>
  <si>
    <t>Магаданская область</t>
  </si>
  <si>
    <t>Москва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</si>
  <si>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</si>
  <si>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</si>
  <si>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</si>
  <si>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</si>
  <si>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</si>
  <si>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</si>
  <si>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</si>
  <si>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</si>
  <si>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</si>
  <si>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</si>
  <si>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</si>
  <si>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</si>
  <si>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</si>
  <si>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</si>
  <si>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</si>
  <si>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</si>
  <si>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</si>
  <si>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</si>
  <si>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</si>
  <si>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Калмыкия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</si>
  <si>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</si>
  <si>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</si>
  <si>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</si>
  <si>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</si>
  <si>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</si>
  <si>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</si>
  <si>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– Алания</t>
  </si>
  <si>
    <t>Республика Татарстан</t>
  </si>
  <si>
    <t>Республика Тыва</t>
  </si>
  <si>
    <t>Республика Хакасия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</si>
  <si>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</si>
  <si>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</si>
  <si>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</si>
  <si>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</si>
  <si>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</si>
  <si>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</si>
  <si>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</si>
  <si>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Севастополь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</si>
  <si>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</si>
  <si>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</si>
  <si>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</si>
  <si>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</si>
  <si>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</si>
  <si>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</si>
  <si>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</si>
  <si>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Удмуртская Республика</t>
  </si>
  <si>
    <t>Ульяновская область</t>
  </si>
  <si>
    <t>Хабаровский край</t>
  </si>
  <si>
    <t>Ханты-Мансийский автономный округ – Югра</t>
  </si>
  <si>
    <t>Херсонская область</t>
  </si>
  <si>
    <t>Челябинская область</t>
  </si>
  <si>
    <t>Чеченская Республика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</si>
  <si>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</si>
  <si>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</si>
  <si>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</si>
  <si>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</si>
  <si>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Перечень валют</t>
  </si>
  <si>
    <t>Буквенный код</t>
  </si>
  <si>
    <t>Доллар США</t>
  </si>
  <si>
    <t>Евро</t>
  </si>
  <si>
    <t>Китайский юань</t>
  </si>
  <si>
    <t>Швейцарский франк</t>
  </si>
  <si>
    <t>CHF</t>
  </si>
  <si>
    <t>Фунт стерлингов Соединенного королевства</t>
  </si>
  <si>
    <t>GBP</t>
  </si>
  <si>
    <t>Австралийский доллар</t>
  </si>
  <si>
    <t>AUD</t>
  </si>
  <si>
    <t>Азербайджанский манат</t>
  </si>
  <si>
    <t>AZN</t>
  </si>
  <si>
    <t>Армянский драм</t>
  </si>
  <si>
    <t>AMD</t>
  </si>
  <si>
    <t>Белорусский рубль</t>
  </si>
  <si>
    <t>BYN</t>
  </si>
  <si>
    <t>Болгарский лев</t>
  </si>
  <si>
    <t>BGN</t>
  </si>
  <si>
    <t>Бразильский реал</t>
  </si>
  <si>
    <t>BRL</t>
  </si>
  <si>
    <t>Венгерский форинт</t>
  </si>
  <si>
    <t>HUF</t>
  </si>
  <si>
    <t>Вон Республики Корея</t>
  </si>
  <si>
    <t>KRW</t>
  </si>
  <si>
    <t>Гонконгский доллар</t>
  </si>
  <si>
    <t>HKD</t>
  </si>
  <si>
    <t>Датская крона</t>
  </si>
  <si>
    <t>DKK</t>
  </si>
  <si>
    <t>Индийский рупий</t>
  </si>
  <si>
    <t>INR</t>
  </si>
  <si>
    <t>Казахстанский тенге</t>
  </si>
  <si>
    <t>KZT</t>
  </si>
  <si>
    <t>Канадский доллар</t>
  </si>
  <si>
    <t>CAD</t>
  </si>
  <si>
    <t>Киргизский сом</t>
  </si>
  <si>
    <t>KGS</t>
  </si>
  <si>
    <t>Молдавский лей</t>
  </si>
  <si>
    <t>MDL</t>
  </si>
  <si>
    <t>Новый туркменский манат</t>
  </si>
  <si>
    <t>TMT</t>
  </si>
  <si>
    <t>Норвежская крона</t>
  </si>
  <si>
    <t>NOK</t>
  </si>
  <si>
    <t>Польский злотый</t>
  </si>
  <si>
    <t>PLN</t>
  </si>
  <si>
    <t>Румынский лей</t>
  </si>
  <si>
    <t>RON</t>
  </si>
  <si>
    <t>Сингапурский доллар</t>
  </si>
  <si>
    <t>SGD</t>
  </si>
  <si>
    <t>Таджикский сомони</t>
  </si>
  <si>
    <t>TJS</t>
  </si>
  <si>
    <t>Турецкая лира</t>
  </si>
  <si>
    <t>TRY</t>
  </si>
  <si>
    <t>Узбекский сум</t>
  </si>
  <si>
    <t>UZS</t>
  </si>
  <si>
    <t>Украинская гривна</t>
  </si>
  <si>
    <t>UAH</t>
  </si>
  <si>
    <t>Чешская крона</t>
  </si>
  <si>
    <t>CZK</t>
  </si>
  <si>
    <t>Шведская крона</t>
  </si>
  <si>
    <t>SEK</t>
  </si>
  <si>
    <t>Южноафриканский рэнд</t>
  </si>
  <si>
    <t>ZAR</t>
  </si>
  <si>
    <t>Японская иена</t>
  </si>
  <si>
    <t>JPY</t>
  </si>
  <si>
    <t>Календарный квартал</t>
  </si>
  <si>
    <t>Ставка НДС (основная)</t>
  </si>
  <si>
    <t>%</t>
  </si>
  <si>
    <t>Платежи поставщикам, в т.ч. НДС</t>
  </si>
  <si>
    <t>Планируемые затраты</t>
  </si>
  <si>
    <t>Платежи поставщикам, без НДС</t>
  </si>
  <si>
    <t>НДС по капитальным вложениям</t>
  </si>
  <si>
    <t>Принятие объектов капитальных вложений на баланс, без НДС</t>
  </si>
  <si>
    <t>Период ввода в эксплуатацию объектов капитальных вложений</t>
  </si>
  <si>
    <t>бинарный флаг</t>
  </si>
  <si>
    <t>Принятие к учёту объектов капитальных вложений, без НДС</t>
  </si>
  <si>
    <t>Взаиморасчёты с поставщиками объектов капитальных вложений, без НДС</t>
  </si>
  <si>
    <t>Сальдо на начало периода</t>
  </si>
  <si>
    <t>Передача объектов</t>
  </si>
  <si>
    <r>
      <t xml:space="preserve">Платежи поставщикам </t>
    </r>
    <r>
      <rPr>
        <sz val="11"/>
        <color rgb="FFFF0000"/>
        <rFont val="Calibri"/>
        <family val="2"/>
        <charset val="204"/>
        <scheme val="minor"/>
      </rPr>
      <t>(-)</t>
    </r>
  </si>
  <si>
    <t>Сальдо на конец периода</t>
  </si>
  <si>
    <t>в т.ч. авансы поставщикам</t>
  </si>
  <si>
    <t>в т.ч. кредиторская задолженность</t>
  </si>
  <si>
    <t>ОСВ: Вложения во внеоборотные активы</t>
  </si>
  <si>
    <t>Поступление ВНА</t>
  </si>
  <si>
    <r>
      <t xml:space="preserve">Принятие к учету ОС </t>
    </r>
    <r>
      <rPr>
        <sz val="11"/>
        <color rgb="FFFF0000"/>
        <rFont val="Calibri"/>
        <family val="2"/>
        <charset val="204"/>
        <scheme val="minor"/>
      </rPr>
      <t>(-)</t>
    </r>
  </si>
  <si>
    <t>Корректность учета ОС</t>
  </si>
  <si>
    <t>Период амортизации объектов капитальных вложений</t>
  </si>
  <si>
    <t>ОСВ: Основные средства</t>
  </si>
  <si>
    <t>Остаточная стоимость на начало периода</t>
  </si>
  <si>
    <t>Принятие к учёту основных средств, без НДС</t>
  </si>
  <si>
    <r>
      <t xml:space="preserve">Амортизация </t>
    </r>
    <r>
      <rPr>
        <b/>
        <sz val="12"/>
        <color rgb="FFFF0000"/>
        <rFont val="Calibri Light"/>
        <family val="2"/>
        <charset val="204"/>
        <scheme val="major"/>
      </rPr>
      <t>(-)</t>
    </r>
  </si>
  <si>
    <t>Остаточная стоимость на конец периода</t>
  </si>
  <si>
    <t>Календарный год</t>
  </si>
  <si>
    <t>Ставка НДС (льготная)</t>
  </si>
  <si>
    <t>Объемы продаж, в натуральном выражении</t>
  </si>
  <si>
    <t>Индексация цен на продукцию</t>
  </si>
  <si>
    <t>Индекс цен за период</t>
  </si>
  <si>
    <t>Накопленный индекс цен</t>
  </si>
  <si>
    <t>Цены на продукцию, в т.ч. НДС</t>
  </si>
  <si>
    <t>Выручка, в т.ч. НДС</t>
  </si>
  <si>
    <t>НДС по выручке</t>
  </si>
  <si>
    <t>Выручка, без НДС</t>
  </si>
  <si>
    <t>Выручка в разрезе направлений продаж, без НДС</t>
  </si>
  <si>
    <t>Экспорт</t>
  </si>
  <si>
    <t>Внутренний рынок</t>
  </si>
  <si>
    <t>Индексация цен на прямые затраты</t>
  </si>
  <si>
    <t>Прямые затраты, в т.ч. НДС</t>
  </si>
  <si>
    <t>Итого прямые затраты, в т.ч. НДС</t>
  </si>
  <si>
    <t>По видам затрат</t>
  </si>
  <si>
    <t>По видам продукции</t>
  </si>
  <si>
    <t>НДС по прямым затратам</t>
  </si>
  <si>
    <t>Итого прямые затраты, без НДС</t>
  </si>
  <si>
    <t>Индексация цен на общехозяйственные затраты</t>
  </si>
  <si>
    <t>НДС по общехозяйственным затратам</t>
  </si>
  <si>
    <t>Отнесение на затраты</t>
  </si>
  <si>
    <t>Производственные</t>
  </si>
  <si>
    <t>Коммерческие</t>
  </si>
  <si>
    <t>Управленческие</t>
  </si>
  <si>
    <t>Себестоимость</t>
  </si>
  <si>
    <t>Общехозяйственные затраты (производственные)</t>
  </si>
  <si>
    <t>ФОТ (производственный)</t>
  </si>
  <si>
    <t>Численность сотрудников</t>
  </si>
  <si>
    <t>чел.</t>
  </si>
  <si>
    <t>Индексация заработной платы</t>
  </si>
  <si>
    <t>Заработная плата 1 сотрудника в квартал</t>
  </si>
  <si>
    <t>Фонд заработной платы</t>
  </si>
  <si>
    <t>Заработная плата 1 сотрудника накопленным итогом с начала года</t>
  </si>
  <si>
    <t>Единые страховые взносы</t>
  </si>
  <si>
    <t>Расчет для всех Заявителей, кроме субъектов МСП</t>
  </si>
  <si>
    <t>Расчет для всех Заявителей- субъектов МСП на 1-ого сотрудника</t>
  </si>
  <si>
    <t>Расчет для всех Заявителей- субъектов МСП на весь штат</t>
  </si>
  <si>
    <t>Взносы на обязательное социальное страхование</t>
  </si>
  <si>
    <t>Взносы на обязательное медицинское страхование</t>
  </si>
  <si>
    <t>Взносы на социальное страхование от несчастных случаев</t>
  </si>
  <si>
    <t>Итого взносы</t>
  </si>
  <si>
    <t>Запасы, без НДС</t>
  </si>
  <si>
    <t>Прямые затраты, без НДС</t>
  </si>
  <si>
    <t>Остаток запасов на начало периода</t>
  </si>
  <si>
    <t>Инвестиции в запасы</t>
  </si>
  <si>
    <t>ОСВ: запасы, без НДС</t>
  </si>
  <si>
    <t>Начисление прямых затрат</t>
  </si>
  <si>
    <t>Формирование запасов</t>
  </si>
  <si>
    <t>Расчёты с покупателями, без НДС</t>
  </si>
  <si>
    <t>Начисление выручки</t>
  </si>
  <si>
    <r>
      <t>Поступление денежных средств от покупателей</t>
    </r>
    <r>
      <rPr>
        <b/>
        <sz val="12"/>
        <color rgb="FFFF0000"/>
        <rFont val="Calibri Light"/>
        <family val="2"/>
        <charset val="204"/>
        <scheme val="major"/>
      </rPr>
      <t xml:space="preserve"> (-)</t>
    </r>
  </si>
  <si>
    <t>Задолженность покупателей</t>
  </si>
  <si>
    <t>Авансы от покупателей</t>
  </si>
  <si>
    <t>Поступление денежных средств от покупателей, в т.ч. НДС</t>
  </si>
  <si>
    <t>Расчёты с поставщиками прямых затрат, без НДС</t>
  </si>
  <si>
    <r>
      <t>Оплата прямых затрат</t>
    </r>
    <r>
      <rPr>
        <b/>
        <sz val="12"/>
        <color rgb="FFFF0000"/>
        <rFont val="Calibri Light"/>
        <family val="2"/>
        <charset val="204"/>
        <scheme val="major"/>
      </rPr>
      <t xml:space="preserve"> (-)</t>
    </r>
  </si>
  <si>
    <t>Авансы поставщикам</t>
  </si>
  <si>
    <r>
      <t>Оплата прямых затрат, в т.ч. НДС</t>
    </r>
    <r>
      <rPr>
        <b/>
        <sz val="12"/>
        <color rgb="FFFF0000"/>
        <rFont val="Calibri Light"/>
        <family val="2"/>
        <charset val="204"/>
        <scheme val="major"/>
      </rPr>
      <t xml:space="preserve"> (-)</t>
    </r>
  </si>
  <si>
    <t>Расчёты с поставщиками общехозяйственных затрат, без НДС</t>
  </si>
  <si>
    <t>Начисление общехозяйственных затрат</t>
  </si>
  <si>
    <r>
      <t>Оплата общехозяйственных затрат</t>
    </r>
    <r>
      <rPr>
        <b/>
        <sz val="12"/>
        <color rgb="FFFF0000"/>
        <rFont val="Calibri Light"/>
        <family val="2"/>
        <charset val="204"/>
        <scheme val="major"/>
      </rPr>
      <t xml:space="preserve"> (-)</t>
    </r>
  </si>
  <si>
    <r>
      <t>Оплата общехозяйственных затрат, в т.ч. НДС</t>
    </r>
    <r>
      <rPr>
        <b/>
        <sz val="12"/>
        <color rgb="FFFF0000"/>
        <rFont val="Calibri Light"/>
        <family val="2"/>
        <charset val="204"/>
        <scheme val="major"/>
      </rPr>
      <t xml:space="preserve"> (-)</t>
    </r>
  </si>
  <si>
    <t>Расчёты с персоналом по оплате труда</t>
  </si>
  <si>
    <t>Начисление заработной платы</t>
  </si>
  <si>
    <r>
      <t>Выплата заработной платы</t>
    </r>
    <r>
      <rPr>
        <sz val="11"/>
        <color rgb="FFFF0000"/>
        <rFont val="Calibri"/>
        <family val="2"/>
        <charset val="204"/>
        <scheme val="minor"/>
      </rPr>
      <t xml:space="preserve"> (-)</t>
    </r>
  </si>
  <si>
    <t>Авансы поставщикам капитальных вложений</t>
  </si>
  <si>
    <t>Авансы поставщикам прямых затрат</t>
  </si>
  <si>
    <t>Авансы поставщикам общехозяйственных затрат</t>
  </si>
  <si>
    <t>Задолженность перед поставщиками капитальных вложений</t>
  </si>
  <si>
    <t>Задолженность перед поставщиками прямых затрат</t>
  </si>
  <si>
    <t>Задолженность перед поставщиками общехозяйственных затрат</t>
  </si>
  <si>
    <t>Задолженность перед персоналом по оплате труда</t>
  </si>
  <si>
    <t>Входящий НДС</t>
  </si>
  <si>
    <t>Исходящий НДС</t>
  </si>
  <si>
    <t>ОСВ: НДС по приобретенным ценностям</t>
  </si>
  <si>
    <t>НДС к возмещению</t>
  </si>
  <si>
    <r>
      <t xml:space="preserve">Возмещение НДС </t>
    </r>
    <r>
      <rPr>
        <sz val="11"/>
        <color rgb="FFFF0000"/>
        <rFont val="Calibri"/>
        <family val="2"/>
        <charset val="204"/>
        <scheme val="minor"/>
      </rPr>
      <t>(-)</t>
    </r>
  </si>
  <si>
    <t>ОСВ: Задолженность перед бюджетом по НДС</t>
  </si>
  <si>
    <t>НДС к уплате</t>
  </si>
  <si>
    <r>
      <t xml:space="preserve">Уплата НДС </t>
    </r>
    <r>
      <rPr>
        <sz val="11"/>
        <color rgb="FFFF0000"/>
        <rFont val="Calibri"/>
        <family val="2"/>
        <charset val="204"/>
        <scheme val="minor"/>
      </rPr>
      <t>(-)</t>
    </r>
  </si>
  <si>
    <t>Ставка налога на имущество (год)</t>
  </si>
  <si>
    <t>Ставка налога на имущество (квартал)</t>
  </si>
  <si>
    <t>Остаточная стоимость, объектов облагаемых налогом на имущество</t>
  </si>
  <si>
    <t>Налоговая база</t>
  </si>
  <si>
    <t>Средняя остаточная стоимость за период</t>
  </si>
  <si>
    <t>ОСВ: Налог на имущество</t>
  </si>
  <si>
    <t>Начисление налога на имущество</t>
  </si>
  <si>
    <r>
      <t xml:space="preserve">Уплата налога на имущество </t>
    </r>
    <r>
      <rPr>
        <sz val="11"/>
        <color rgb="FFFF0000"/>
        <rFont val="Calibri"/>
        <family val="2"/>
        <charset val="204"/>
        <scheme val="minor"/>
      </rPr>
      <t>(-)</t>
    </r>
  </si>
  <si>
    <t>Максимальное уменьшение налоговой базы на убытки</t>
  </si>
  <si>
    <t>Расчёт налоговой базы</t>
  </si>
  <si>
    <t>Допустимое уменьшение налоговой базы</t>
  </si>
  <si>
    <t>Убытки прошлых периодов</t>
  </si>
  <si>
    <t>Накопление убытков</t>
  </si>
  <si>
    <r>
      <t xml:space="preserve">Использование убытков </t>
    </r>
    <r>
      <rPr>
        <sz val="11"/>
        <color rgb="FFFF0000"/>
        <rFont val="Calibri"/>
        <family val="2"/>
        <charset val="204"/>
        <scheme val="minor"/>
      </rPr>
      <t>(-)</t>
    </r>
  </si>
  <si>
    <t>Прибыль до налогообложения</t>
  </si>
  <si>
    <t>Использование убытков</t>
  </si>
  <si>
    <t>ОСВ: Налог на прибыль</t>
  </si>
  <si>
    <t>Начисление налога на прибыль</t>
  </si>
  <si>
    <r>
      <t xml:space="preserve">Уплата налога на прибыль </t>
    </r>
    <r>
      <rPr>
        <sz val="11"/>
        <color rgb="FFFF0000"/>
        <rFont val="Calibri"/>
        <family val="2"/>
        <charset val="204"/>
        <scheme val="minor"/>
      </rPr>
      <t>(-)</t>
    </r>
  </si>
  <si>
    <t>Заработная плата 1 сотрудника</t>
  </si>
  <si>
    <t>Ставки НДФЛ</t>
  </si>
  <si>
    <t>НДФЛ накопленным итогом (внутри года)</t>
  </si>
  <si>
    <t>НДФЛ поквартально</t>
  </si>
  <si>
    <t>ОСВ: НДФЛ</t>
  </si>
  <si>
    <t>Начисление НДФЛ</t>
  </si>
  <si>
    <r>
      <t xml:space="preserve">Уплата НДФЛ </t>
    </r>
    <r>
      <rPr>
        <sz val="11"/>
        <color rgb="FFFF0000"/>
        <rFont val="Calibri"/>
        <family val="2"/>
        <charset val="204"/>
        <scheme val="minor"/>
      </rPr>
      <t>(-)</t>
    </r>
  </si>
  <si>
    <t>ОСВ: Страховые взносы</t>
  </si>
  <si>
    <t>Начисление страховых взносов</t>
  </si>
  <si>
    <r>
      <t xml:space="preserve">Уплата страховых взносов </t>
    </r>
    <r>
      <rPr>
        <sz val="11"/>
        <color rgb="FFFF0000"/>
        <rFont val="Calibri"/>
        <family val="2"/>
        <charset val="204"/>
        <scheme val="minor"/>
      </rPr>
      <t>(-)</t>
    </r>
  </si>
  <si>
    <t>ОСВ: задолженность перед бюджетом по налогам и сборам</t>
  </si>
  <si>
    <t>Задолженность перед бюджетом</t>
  </si>
  <si>
    <t>Денежный поток Проекта</t>
  </si>
  <si>
    <t>Привлечение средств займа в Проект</t>
  </si>
  <si>
    <t>Начисление процентов</t>
  </si>
  <si>
    <t>Выплата процентов</t>
  </si>
  <si>
    <t>Привлечение долга в Проект</t>
  </si>
  <si>
    <t>Погашение долга</t>
  </si>
  <si>
    <t>Процентная ставка (квартал)</t>
  </si>
  <si>
    <t>Привлечение финансирования</t>
  </si>
  <si>
    <t>Финансирование оборотного капитала из собственных средств</t>
  </si>
  <si>
    <t>Денежный поток до привлечения финансирования</t>
  </si>
  <si>
    <t>в т.ч. наколенным итогом</t>
  </si>
  <si>
    <t>ОСВ: Собственные средства в Проекте</t>
  </si>
  <si>
    <t>Привлечение собственных средств в Проект</t>
  </si>
  <si>
    <t xml:space="preserve">Рассчитать по </t>
  </si>
  <si>
    <t>Отчетность по кварталам</t>
  </si>
  <si>
    <t>Проект</t>
  </si>
  <si>
    <r>
      <t>Себестоимость продаж</t>
    </r>
    <r>
      <rPr>
        <sz val="11"/>
        <color rgb="FFFF0000"/>
        <rFont val="Calibri"/>
        <family val="2"/>
        <charset val="204"/>
        <scheme val="minor"/>
      </rPr>
      <t xml:space="preserve"> (-)</t>
    </r>
  </si>
  <si>
    <t>Валовая прибыль (убыток)</t>
  </si>
  <si>
    <r>
      <t xml:space="preserve">Коммерческие расходы </t>
    </r>
    <r>
      <rPr>
        <sz val="11"/>
        <color rgb="FFFF0000"/>
        <rFont val="Calibri"/>
        <family val="2"/>
        <charset val="204"/>
        <scheme val="minor"/>
      </rPr>
      <t>(-)</t>
    </r>
  </si>
  <si>
    <t>Прибыль (убыток) от продаж</t>
  </si>
  <si>
    <r>
      <t xml:space="preserve">Прочие расходы </t>
    </r>
    <r>
      <rPr>
        <sz val="11"/>
        <color rgb="FFFF0000"/>
        <rFont val="Calibri"/>
        <family val="2"/>
        <charset val="204"/>
        <scheme val="minor"/>
      </rPr>
      <t>(-)</t>
    </r>
  </si>
  <si>
    <t>ОСВ: Нераспределенная прибыль (непокрытый убыток)</t>
  </si>
  <si>
    <r>
      <t xml:space="preserve">Чистая прибыль (убыток) </t>
    </r>
    <r>
      <rPr>
        <sz val="11"/>
        <color rgb="FFFF0000"/>
        <rFont val="Calibri"/>
        <family val="2"/>
        <charset val="204"/>
        <scheme val="minor"/>
      </rPr>
      <t>(-)</t>
    </r>
  </si>
  <si>
    <t>Денежный поток по операционной деятельности</t>
  </si>
  <si>
    <t>Поступления</t>
  </si>
  <si>
    <t>Поступления от покупателей</t>
  </si>
  <si>
    <t>Возмещение НДС</t>
  </si>
  <si>
    <t>Платежи</t>
  </si>
  <si>
    <r>
      <t xml:space="preserve">Платежи поставщикам, в т.ч. формирование запасов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</si>
  <si>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Выплата заработной платы </t>
    </r>
    <r>
      <rPr>
        <sz val="11"/>
        <color rgb="FFFF0000"/>
        <rFont val="Calibri"/>
        <family val="2"/>
        <charset val="204"/>
        <scheme val="minor"/>
      </rPr>
      <t>(-)</t>
    </r>
  </si>
  <si>
    <t>Итого операционный денежный поток</t>
  </si>
  <si>
    <t>Денежный поток по инвестиционной деятельности</t>
  </si>
  <si>
    <r>
      <t xml:space="preserve">Платежи по капитальным вложениям </t>
    </r>
    <r>
      <rPr>
        <sz val="11"/>
        <color rgb="FFFF0000"/>
        <rFont val="Calibri"/>
        <family val="2"/>
        <charset val="204"/>
        <scheme val="minor"/>
      </rPr>
      <t>(-)</t>
    </r>
  </si>
  <si>
    <t>Итого инвестиционный денежный поток</t>
  </si>
  <si>
    <t>Денежный поток по финансовой деятельности</t>
  </si>
  <si>
    <t>Получение кредитов и займов</t>
  </si>
  <si>
    <t>Итого финансовый денежный поток</t>
  </si>
  <si>
    <t>ОСВ: Денежные средства</t>
  </si>
  <si>
    <t>Остаток д/с на начало периода</t>
  </si>
  <si>
    <t>Изменение д/с за период</t>
  </si>
  <si>
    <t>Остаток д/с на конец периода</t>
  </si>
  <si>
    <t>Проверка отсутствия отрицательных остатков в течение срока займа</t>
  </si>
  <si>
    <t>Проверка отсутствия отрицательных остатков в течение всех периодов</t>
  </si>
  <si>
    <t>Внеоборотные активы</t>
  </si>
  <si>
    <t>Вложения во внеоборотные активы</t>
  </si>
  <si>
    <t>Основные средства</t>
  </si>
  <si>
    <t>Итого внеоборотные активы</t>
  </si>
  <si>
    <t>Оборотные активы</t>
  </si>
  <si>
    <t>НДС по приобретенным ценностям</t>
  </si>
  <si>
    <t>Денежные средства</t>
  </si>
  <si>
    <t>Итого оборотные активы</t>
  </si>
  <si>
    <t>Итого активы</t>
  </si>
  <si>
    <t>Собственные средства в Проекте</t>
  </si>
  <si>
    <t>Нераспределенная прибыль (непокрытый убыток)</t>
  </si>
  <si>
    <t>Итого собственные средства</t>
  </si>
  <si>
    <t>Обязательства</t>
  </si>
  <si>
    <t>Заемные средства</t>
  </si>
  <si>
    <t>Итого обязательства</t>
  </si>
  <si>
    <t>Итого пассивы</t>
  </si>
  <si>
    <t>Активы - Пассивы</t>
  </si>
  <si>
    <t>Проверка балансового равенства в течение срока займа</t>
  </si>
  <si>
    <t>Проверка балансового равенства в течение всех периодов</t>
  </si>
  <si>
    <t>Рост в %%</t>
  </si>
  <si>
    <t>(Вы можете воспользоваться автоматизированным расчетом показателей ОФР или ввести значения вручную)</t>
  </si>
  <si>
    <t>Валовая рентабельность</t>
  </si>
  <si>
    <t>Рентабельность продаж</t>
  </si>
  <si>
    <t>Чистая рентабельность</t>
  </si>
  <si>
    <t>Справочно: амортизация, EBITDA</t>
  </si>
  <si>
    <t>Амортизация (указываете со знаком "+")</t>
  </si>
  <si>
    <t>Рентабельность по EBITDA</t>
  </si>
  <si>
    <t>Продажа продукции, товаров, работ, услуг</t>
  </si>
  <si>
    <t>Арендные платежи, лицензионные соглашения, роялти, комиссионные и иные аналогичные платежи платежи</t>
  </si>
  <si>
    <t>Перепродажа финансовых вложений</t>
  </si>
  <si>
    <t>Прочие поступления</t>
  </si>
  <si>
    <r>
      <t xml:space="preserve">Платежи поставщикам затрат по текущей д-ти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</si>
  <si>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Оплата труда работников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</si>
  <si>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Проценты по долговым обязательствам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</si>
  <si>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Прочие платежи </t>
    </r>
    <r>
      <rPr>
        <sz val="11"/>
        <color rgb="FFFF0000"/>
        <rFont val="Calibri"/>
        <family val="2"/>
        <charset val="204"/>
        <scheme val="minor"/>
      </rPr>
      <t>(-)</t>
    </r>
  </si>
  <si>
    <t>Продажа внеоборотных активов</t>
  </si>
  <si>
    <t>Продажа долей участия</t>
  </si>
  <si>
    <t>Возврат выданных займов</t>
  </si>
  <si>
    <t>Дивиденды (проценты) по фин. вложениям</t>
  </si>
  <si>
    <r>
      <t xml:space="preserve">Финансирование затрат по Проекту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</si>
  <si>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Приобретение долей участия в др. организациях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</si>
  <si>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Предоставление займов </t>
    </r>
    <r>
      <rPr>
        <sz val="11"/>
        <color rgb="FFFF0000"/>
        <rFont val="Calibri"/>
        <family val="2"/>
        <charset val="204"/>
        <scheme val="minor"/>
      </rPr>
      <t>(-)</t>
    </r>
  </si>
  <si>
    <t>Получение кредитов и займов, в т.ч.</t>
  </si>
  <si>
    <t xml:space="preserve">  - краткосрочные кредиты и займы</t>
  </si>
  <si>
    <t xml:space="preserve">  - долгосрочные кредиты и займы</t>
  </si>
  <si>
    <t>Денежные вклады акционеров (учредителей)</t>
  </si>
  <si>
    <t>Выпуск акций (долей участия)</t>
  </si>
  <si>
    <t>Выпуск долговых ценных бумаг</t>
  </si>
  <si>
    <r>
      <t xml:space="preserve">Выкуп акций (долей участия)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</si>
  <si>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Уплата дивидендов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</si>
  <si>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  - краткосрочные кредиты и займы  </t>
    </r>
    <r>
      <rPr>
        <sz val="11"/>
        <color rgb="FFFF0000"/>
        <rFont val="Calibri"/>
        <family val="2"/>
        <charset val="204"/>
        <scheme val="minor"/>
      </rPr>
      <t>(-)</t>
    </r>
  </si>
  <si>
    <r>
      <t xml:space="preserve">  - долгосрочные кредиты и займы </t>
    </r>
    <r>
      <rPr>
        <sz val="11"/>
        <color rgb="FFFF0000"/>
        <rFont val="Calibri"/>
        <family val="2"/>
        <charset val="204"/>
        <scheme val="minor"/>
      </rPr>
      <t xml:space="preserve"> (-)</t>
    </r>
  </si>
  <si>
    <t>Нематериальные активы</t>
  </si>
  <si>
    <t>Результаты исследований и разработок</t>
  </si>
  <si>
    <t>Нематериальные поисковые активы</t>
  </si>
  <si>
    <t>Материальные поисковые активы</t>
  </si>
  <si>
    <t>Доходные вложения в материальные ценности</t>
  </si>
  <si>
    <t>Финансовые вложения</t>
  </si>
  <si>
    <t>Отложенные налоговые активы</t>
  </si>
  <si>
    <t>Прочие внеоборотные активы</t>
  </si>
  <si>
    <t>Инвестиции в Проект</t>
  </si>
  <si>
    <t>Денежные средства и денежные эквиваленты</t>
  </si>
  <si>
    <t>Прочие оборотные активы</t>
  </si>
  <si>
    <t>Капитал и резервы</t>
  </si>
  <si>
    <t>Уставный капитал</t>
  </si>
  <si>
    <t>Собственные акции, выкупленные у акционеров</t>
  </si>
  <si>
    <t>Переоценка внеоборотных активов</t>
  </si>
  <si>
    <t>Добавочный капитал (без переоценки)</t>
  </si>
  <si>
    <t>Резервный капитал</t>
  </si>
  <si>
    <t>Итого капитал и резервы</t>
  </si>
  <si>
    <t>Долгосрочные обязательства</t>
  </si>
  <si>
    <t>Отложенные налоговые обязательства</t>
  </si>
  <si>
    <t>Оценочные обязательства</t>
  </si>
  <si>
    <t>Прочие обязательства</t>
  </si>
  <si>
    <t>Итого долгосрочные обязательства</t>
  </si>
  <si>
    <t>Краткосрочные обязательства</t>
  </si>
  <si>
    <t>Доходы будущих периодов</t>
  </si>
  <si>
    <t>Итого краткосрочные обязательства</t>
  </si>
  <si>
    <t>Текущая деятельность с учетом Проекта</t>
  </si>
  <si>
    <r>
      <t xml:space="preserve">Платежи поставщикам затрат </t>
    </r>
    <r>
      <rPr>
        <sz val="11"/>
        <color rgb="FFFF0000"/>
        <rFont val="Calibri"/>
        <family val="2"/>
        <charset val="204"/>
        <scheme val="minor"/>
      </rPr>
      <t>(-)</t>
    </r>
  </si>
  <si>
    <t>Отчетность по годам</t>
  </si>
  <si>
    <t>Проверка отсутствия отрицательных остатков</t>
  </si>
  <si>
    <t>Проверка балансового равенства</t>
  </si>
  <si>
    <t>Справочно: амортизация</t>
  </si>
  <si>
    <r>
      <t xml:space="preserve">Платежи поставщикам затрат по Проекту </t>
    </r>
    <r>
      <rPr>
        <sz val="11"/>
        <color rgb="FFFF0000"/>
        <rFont val="Calibri"/>
        <family val="2"/>
        <charset val="204"/>
        <scheme val="minor"/>
      </rPr>
      <t>(-)</t>
    </r>
  </si>
  <si>
    <t>Текущая деятельность с учетом проекта</t>
  </si>
  <si>
    <t>Инвестиционная оценка</t>
  </si>
  <si>
    <t>Без учета ранее понесенных затрат</t>
  </si>
  <si>
    <t>Денежный поток до дисконтирования</t>
  </si>
  <si>
    <t>Чистый денежный поток</t>
  </si>
  <si>
    <t>в т.ч. накопленным итогом</t>
  </si>
  <si>
    <t>Окупаемость</t>
  </si>
  <si>
    <t>Фактор дисконтирования</t>
  </si>
  <si>
    <t>Ставка дисконтирования (квартал)</t>
  </si>
  <si>
    <t>Коэффициент дисконтирования</t>
  </si>
  <si>
    <t>Дисконтированный денежный поток</t>
  </si>
  <si>
    <t>Дисконтированная окупаемость</t>
  </si>
  <si>
    <t>период по</t>
  </si>
  <si>
    <t>&lt;=</t>
  </si>
  <si>
    <t>Чистая приведённая стоимость (NPV)</t>
  </si>
  <si>
    <t>Внутренняя норма доходности (IRR)</t>
  </si>
  <si>
    <t>Простой срок окупаемости (PBP)</t>
  </si>
  <si>
    <t>лет</t>
  </si>
  <si>
    <t>Дисконтированный срок окупаемости (DPBP)</t>
  </si>
  <si>
    <t>С учетом ранее понесенных затрат</t>
  </si>
  <si>
    <t>Сумма ранее понесенных затрат</t>
  </si>
  <si>
    <t>Направления продаж в абсолютном выражении</t>
  </si>
  <si>
    <t>Итого выручка</t>
  </si>
  <si>
    <t>Направления продаж в относительном выражении</t>
  </si>
  <si>
    <t>Объемы продаж в натуральном выражении</t>
  </si>
  <si>
    <t>Объемы продаж в стоимостном выражении, без НДС</t>
  </si>
  <si>
    <t>Объем налоговых поступлений в бюджеты бюджетной системы РФ (Проект)</t>
  </si>
  <si>
    <t>Привлечение средств частных инвесторов (Проект)</t>
  </si>
  <si>
    <t>Финансовые результаты (Проект)</t>
  </si>
  <si>
    <r>
      <t xml:space="preserve">Проценты к получению </t>
    </r>
    <r>
      <rPr>
        <sz val="11"/>
        <color rgb="FFFF0000"/>
        <rFont val="Calibri"/>
        <family val="2"/>
        <charset val="204"/>
        <scheme val="minor"/>
      </rPr>
      <t>(-)</t>
    </r>
  </si>
  <si>
    <t>Долговая нагрузка (Проект)</t>
  </si>
  <si>
    <t>Долг / EBITDA</t>
  </si>
  <si>
    <t>Финансовый долг</t>
  </si>
  <si>
    <t>доли 1</t>
  </si>
  <si>
    <t>Чистый долг / EBITDA</t>
  </si>
  <si>
    <t>Коэффициент покрытия процентных выплат</t>
  </si>
  <si>
    <t>EBIT/Проценты</t>
  </si>
  <si>
    <t>Коэффициент покрытия долга (DSCR)</t>
  </si>
  <si>
    <r>
      <rPr>
        <sz val="11"/>
        <color theme="1"/>
        <rFont val="Calibri"/>
        <family val="2"/>
        <charset val="204"/>
        <scheme val="minor"/>
      </rPr>
      <t>DSCR</t>
    </r>
    <r>
      <rPr>
        <vertAlign val="subscript"/>
        <sz val="11"/>
        <color theme="1"/>
        <rFont val="Calibri"/>
        <family val="2"/>
        <charset val="204"/>
        <scheme val="minor"/>
      </rPr>
      <t>accum</t>
    </r>
  </si>
  <si>
    <t>Ликвидность (Проект)</t>
  </si>
  <si>
    <t>Коэффициент абсолютной ликвидности</t>
  </si>
  <si>
    <t>Коэффициент текущей ликвидности</t>
  </si>
  <si>
    <t>Рентабельность (Проект)</t>
  </si>
  <si>
    <t>Рентабельность по валовой прибыли</t>
  </si>
  <si>
    <t>Рентабельность по прибыли от продаж</t>
  </si>
  <si>
    <t>Рентабельность по чистой прибыли</t>
  </si>
  <si>
    <t>Рентабельность по EBIT</t>
  </si>
  <si>
    <t>Доля выручки Проекта в общей прогнозной выручке</t>
  </si>
  <si>
    <t>Выручка по Проекту</t>
  </si>
  <si>
    <t>Общая прогнозная выручка</t>
  </si>
  <si>
    <t>Доля</t>
  </si>
  <si>
    <t>Долговая нагрузка (Текущая деятельность с учётом Проекта)</t>
  </si>
  <si>
    <t>Долг (Текущая деятельность)</t>
  </si>
  <si>
    <t>EBITDA (Проект)</t>
  </si>
  <si>
    <t>EBITDA (Текущая деятельность)</t>
  </si>
  <si>
    <r>
      <t>EBITDA</t>
    </r>
    <r>
      <rPr>
        <vertAlign val="subscript"/>
        <sz val="11"/>
        <color theme="1"/>
        <rFont val="Calibri"/>
        <family val="2"/>
        <charset val="204"/>
        <scheme val="minor"/>
      </rPr>
      <t>LTM</t>
    </r>
  </si>
  <si>
    <t>Чистый долг</t>
  </si>
  <si>
    <r>
      <t xml:space="preserve">Денежные средства </t>
    </r>
    <r>
      <rPr>
        <sz val="11"/>
        <color rgb="FFFF0000"/>
        <rFont val="Calibri"/>
        <family val="2"/>
        <charset val="204"/>
        <scheme val="minor"/>
      </rPr>
      <t>(-)</t>
    </r>
  </si>
  <si>
    <t>Чистый долг / EBITDALTM</t>
  </si>
  <si>
    <r>
      <t>CFADS</t>
    </r>
    <r>
      <rPr>
        <vertAlign val="subscript"/>
        <sz val="11"/>
        <color theme="1"/>
        <rFont val="Calibri"/>
        <family val="2"/>
        <charset val="204"/>
        <scheme val="minor"/>
      </rPr>
      <t>LTM</t>
    </r>
  </si>
  <si>
    <r>
      <rPr>
        <sz val="11"/>
        <color theme="1"/>
        <rFont val="Calibri"/>
        <family val="2"/>
        <charset val="204"/>
        <scheme val="minor"/>
      </rPr>
      <t>DSCR</t>
    </r>
    <r>
      <rPr>
        <vertAlign val="subscript"/>
        <sz val="11"/>
        <color theme="1"/>
        <rFont val="Calibri"/>
        <family val="2"/>
        <charset val="204"/>
        <scheme val="minor"/>
      </rPr>
      <t>LTM</t>
    </r>
  </si>
  <si>
    <r>
      <rPr>
        <sz val="11"/>
        <color theme="1"/>
        <rFont val="Calibri"/>
        <family val="2"/>
        <charset val="204"/>
        <scheme val="minor"/>
      </rPr>
      <t>DSCR</t>
    </r>
    <r>
      <rPr>
        <vertAlign val="subscript"/>
        <sz val="11"/>
        <color theme="1"/>
        <rFont val="Calibri"/>
        <family val="2"/>
        <charset val="204"/>
        <scheme val="minor"/>
      </rPr>
      <t>accum adj</t>
    </r>
  </si>
  <si>
    <t>Коэффициент покрытия процентных выплат (Текущая деятельность с учётом Проекта)</t>
  </si>
  <si>
    <t>EBIT (Проект)</t>
  </si>
  <si>
    <t>EBIT (Текущая деятельность)</t>
  </si>
  <si>
    <r>
      <t>EBIT</t>
    </r>
    <r>
      <rPr>
        <vertAlign val="subscript"/>
        <sz val="11"/>
        <color theme="1"/>
        <rFont val="Calibri"/>
        <family val="2"/>
        <charset val="204"/>
        <scheme val="minor"/>
      </rPr>
      <t>LTM</t>
    </r>
  </si>
  <si>
    <t>Проценты к уплате (Проект)</t>
  </si>
  <si>
    <t>Проценты к уплате (Текущая деятельность)</t>
  </si>
  <si>
    <r>
      <t>Проценты к уплате</t>
    </r>
    <r>
      <rPr>
        <vertAlign val="subscript"/>
        <sz val="11"/>
        <color theme="1"/>
        <rFont val="Calibri"/>
        <family val="2"/>
        <charset val="204"/>
        <scheme val="minor"/>
      </rPr>
      <t>LTM</t>
    </r>
  </si>
  <si>
    <r>
      <t>EBIT</t>
    </r>
    <r>
      <rPr>
        <b/>
        <sz val="12"/>
        <color theme="1" tint="0.349990010261536"/>
        <rFont val="Calibri Light"/>
        <family val="2"/>
        <charset val="204"/>
        <scheme val="major"/>
      </rPr>
      <t xml:space="preserve"> / Проценты к уплате</t>
    </r>
  </si>
  <si>
    <t>EBITLTM / Проценты к уплатеLTM</t>
  </si>
  <si>
    <t>Ликвидность (Текущая деятельность с учётом Проекта)</t>
  </si>
  <si>
    <t>Погашение задолженности по кредитам и займам (Текущая деятельность с учётом Проекта)</t>
  </si>
  <si>
    <t>Прочие кредиторы - Проект (основной долг)</t>
  </si>
  <si>
    <t>Прочие кредиторы - Проект (проценты)</t>
  </si>
  <si>
    <t>Прочие кредиторы - Текущая д-ть (основной долг)</t>
  </si>
  <si>
    <t>Прочие кредиторы - Текущая д-ть (проценты)</t>
  </si>
  <si>
    <t>Учитывать ранее понесённые затраты в анализе?</t>
  </si>
  <si>
    <t>Анализ в течение срока действия договора займа?</t>
  </si>
  <si>
    <t>нажмите F9 (fn + F9), чтобы пересчитать значения</t>
  </si>
  <si>
    <t>Параметры</t>
  </si>
  <si>
    <t>Базисное значение</t>
  </si>
  <si>
    <t>Отклонение</t>
  </si>
  <si>
    <t>Изменение цен на продукцию</t>
  </si>
  <si>
    <t>NPV, тыс. руб.</t>
  </si>
  <si>
    <t>DPBP, лет</t>
  </si>
  <si>
    <t>Мин. ост., тыс. руб.</t>
  </si>
  <si>
    <t>Изменение объемов продаж</t>
  </si>
  <si>
    <t>Изменение стоимости прямых затрат</t>
  </si>
  <si>
    <t>Изменение стоимости капитальных вложений</t>
  </si>
  <si>
    <t>Изменение курса валют</t>
  </si>
  <si>
    <t>Изменение ставки дисконтирования</t>
  </si>
  <si>
    <t xml:space="preserve"> Динамика свободного денежного потока и погашения задолженности с учётом Проекта</t>
  </si>
  <si>
    <t>Финансовый долг и уровень долговой нагрузки с учетом Проекта</t>
  </si>
  <si>
    <t>Погашение задолженности по кредитам и займам с учетом Проекта</t>
  </si>
  <si>
    <t>Распределение продукции в общем объеме продаж (Проект)</t>
  </si>
  <si>
    <t>Состав прямых затрат (Проект)</t>
  </si>
  <si>
    <t>Чувствительность NPV Проекта</t>
  </si>
  <si>
    <t>млн руб.</t>
  </si>
  <si>
    <t>Результаты Проекта</t>
  </si>
  <si>
    <t>в т.ч. за период займа</t>
  </si>
  <si>
    <t>Валовая прибыль</t>
  </si>
  <si>
    <t>Чистая прибыль</t>
  </si>
  <si>
    <t>Операционный денежный поток (CFO)</t>
  </si>
  <si>
    <t>Инвестиционный денежный поток (CFI)</t>
  </si>
  <si>
    <t>Финансовый денежный поток (CFF)</t>
  </si>
  <si>
    <t>Чистый денежный поток (NCF)</t>
  </si>
  <si>
    <t>Свободный денежный поток (FCFF)</t>
  </si>
  <si>
    <t>Дисконтированный денежный поток (DFF)</t>
  </si>
  <si>
    <t>c учетом ранее понесенных расходов</t>
  </si>
  <si>
    <t>без учета ранее понесенных расходов</t>
  </si>
  <si>
    <t>NPV</t>
  </si>
  <si>
    <t>IRR</t>
  </si>
  <si>
    <t>PBP</t>
  </si>
  <si>
    <t>DPBP</t>
  </si>
  <si>
    <t>Целевые показатели</t>
  </si>
  <si>
    <t>Целевой объем продаж новой продукции</t>
  </si>
  <si>
    <t>Объем налоговых поступлений</t>
  </si>
  <si>
    <t>Объем средств частных инвесторов</t>
  </si>
  <si>
    <t>Количество создаваемых рабочих мест</t>
  </si>
  <si>
    <t>ед.</t>
  </si>
  <si>
    <t>Источники финансирования</t>
  </si>
  <si>
    <t>Планируется 
к привлечению</t>
  </si>
  <si>
    <t>Собственные средства организации</t>
  </si>
  <si>
    <t>Средства аффилированных лиц, бенефициаров</t>
  </si>
  <si>
    <t>Банковское кредитование</t>
  </si>
  <si>
    <t>Итого бюджет</t>
  </si>
  <si>
    <t>к изменению цен на продукцию</t>
  </si>
  <si>
    <t>к изменению объемов продаж</t>
  </si>
  <si>
    <t>к изменению стоимости прямых затрат</t>
  </si>
  <si>
    <t>к изменению стоимости капитальных вложений</t>
  </si>
  <si>
    <t>к изменению курса валют</t>
  </si>
  <si>
    <t>к изменению ставки дисконтирования</t>
  </si>
  <si>
    <t>Текущая деятельность (с учетом Проекта)</t>
  </si>
  <si>
    <t>Изменение</t>
  </si>
  <si>
    <t>`</t>
  </si>
  <si>
    <t>Активы</t>
  </si>
  <si>
    <t>Пассивы</t>
  </si>
  <si>
    <t>Нераспределенная прибыль</t>
  </si>
  <si>
    <t>Прочее</t>
  </si>
  <si>
    <t>Долгосрочные кредиты и займы</t>
  </si>
  <si>
    <t>Прочие долгосрочные обязательства</t>
  </si>
  <si>
    <t>Краткосрочные кредиты и займы</t>
  </si>
  <si>
    <t>Прочие краткосрочные обязательства</t>
  </si>
  <si>
    <t>Показатели и коэффициенты</t>
  </si>
  <si>
    <t>Процентные расходы</t>
  </si>
  <si>
    <r>
      <t>EBIT</t>
    </r>
    <r>
      <rPr>
        <sz val="11"/>
        <color theme="1"/>
        <rFont val="Calibri"/>
        <family val="2"/>
        <scheme val="minor"/>
      </rPr>
      <t xml:space="preserve"> / Проценты к уплате</t>
    </r>
  </si>
  <si>
    <t>DSCR accum</t>
  </si>
  <si>
    <t>DSCR accum adj</t>
  </si>
  <si>
    <t>Срок расчётов с поставщиками общехозяйственных затрат установлен корректно</t>
  </si>
  <si>
    <t>Лист "Капитальные вложения"</t>
  </si>
  <si>
    <t>Корректность учета объектов капитальных вложений</t>
  </si>
  <si>
    <t>Лист "Операционные расходы"</t>
  </si>
  <si>
    <t>Лист "ФОТ"</t>
  </si>
  <si>
    <t>Лист "Квартальная отчетность"</t>
  </si>
  <si>
    <t>Отсутствие отрицательных остатков д/с в ОДДС - Проект</t>
  </si>
  <si>
    <t>Балансовое равенство - Проект</t>
  </si>
  <si>
    <t>Отсутствие отрицательных остатков д/с в ОДДС - Текущая деятельность</t>
  </si>
  <si>
    <t>Балансовое равенство - Текущая деятельность</t>
  </si>
  <si>
    <t>Отсутствие отрицательных остатков д/с в ОДДС - Текущая деятельность с учетом Проекта</t>
  </si>
  <si>
    <t>Балансовое равенство - Текущая деятельность с учетом Проекта</t>
  </si>
  <si>
    <t>Лист "Годовая отчетность"</t>
  </si>
  <si>
    <t>Проверка корректности финансовой модели</t>
  </si>
  <si>
    <t>One Pager</t>
  </si>
  <si>
    <t>Основные финансовые показатели Заявителя (с учетом Проекта):</t>
  </si>
  <si>
    <t>прогноз</t>
  </si>
  <si>
    <t>Рентабельность,%</t>
  </si>
  <si>
    <t>Маржа EBITDA</t>
  </si>
  <si>
    <t>Долг/EBITDA</t>
  </si>
  <si>
    <t>Чистый долг/EBITDA</t>
  </si>
  <si>
    <t>К-т абсолютной ликвидности</t>
  </si>
  <si>
    <t>К-т текущей ликвидности</t>
  </si>
  <si>
    <t>DSCR accum.</t>
  </si>
  <si>
    <t>Основные финансовые показатели Проекта</t>
  </si>
  <si>
    <t>Основные финансовые показатели Компании с учетом Проекта, млн. руб.</t>
  </si>
  <si>
    <t>EBIT / Проценты к уплате</t>
  </si>
  <si>
    <t>Анализ чувствительности NPV Проекта</t>
  </si>
  <si>
    <t>Объемы продаж, в натуральном выражении (по годам)</t>
  </si>
  <si>
    <t>Вид продукции</t>
  </si>
  <si>
    <t>Цена (1 кв. прогнозного периода), тыс. руб.</t>
  </si>
  <si>
    <t>Объемы продаж, в стоимостном выражении (по годам)</t>
  </si>
  <si>
    <t>Инвестиции</t>
  </si>
  <si>
    <t>Капитальные вложения, тыс. руб.</t>
  </si>
  <si>
    <t>Заём ФРП</t>
  </si>
  <si>
    <t>Остаток средств</t>
  </si>
  <si>
    <t xml:space="preserve">Показатели рентабельности по текущей деятельности - поквартально </t>
  </si>
  <si>
    <t>Период</t>
  </si>
  <si>
    <t>-</t>
  </si>
  <si>
    <t>Показатели рентабельности по текущей деятельности -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</si>
</sst>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%"/>
    <numFmt numFmtId="165" formatCode="#,##0.00_ ;[Red]\-#,##0.00\ "/>
    <numFmt numFmtId="166" formatCode="#,##0_ ;[Red]\-#,##0\ "/>
    <numFmt numFmtId="167" formatCode="0.0\х"/>
    <numFmt numFmtId="168" formatCode="#,##0.0%_ ;[Red]\-#,##0.0%\ "/>
    <numFmt numFmtId="169" formatCode="\+#,##0.0%_ ;[Red]\-#,##0.0%\ "/>
    <numFmt numFmtId="170" formatCode="0.00000"/>
    <numFmt numFmtId="171" formatCode="#,##0.0"/>
    <numFmt numFmtId="172" formatCode="0.0000000"/>
    <numFmt numFmtId="173" formatCode="#,##0.000"/>
    <numFmt numFmtId="174" formatCode="#,##0.000_ ;[Red]\-#,##0.000\ "/>
    <numFmt numFmtId="175" formatCode="#,##0.0000000_ ;[Red]\-#,##0.0000000\ "/>
  </numFmts>
  <fonts count="5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rgb="FF092332"/>
      <name val="Brutal Type"/>
      <family val="3"/>
    </font>
    <font>
      <sz val="11"/>
      <color rgb="FF092332"/>
      <name val="Calibri"/>
      <family val="2"/>
      <charset val="204"/>
      <scheme val="minor"/>
    </font>
    <font>
      <sz val="10"/>
      <color rgb="FF092332"/>
      <name val="Calibri"/>
      <family val="2"/>
      <charset val="204"/>
      <scheme val="minor"/>
    </font>
    <font>
      <b/>
      <sz val="12"/>
      <color rgb="FF092332"/>
      <name val="Calibri"/>
      <family val="2"/>
      <charset val="204"/>
      <scheme val="minor"/>
    </font>
    <font>
      <b/>
      <sz val="24"/>
      <color theme="1"/>
      <name val="Calibri Light"/>
      <family val="2"/>
      <charset val="204"/>
      <scheme val="major"/>
    </font>
    <font>
      <sz val="14"/>
      <color theme="1"/>
      <name val="Calibri"/>
      <family val="2"/>
      <charset val="204"/>
      <scheme val="minor"/>
    </font>
    <font>
      <b/>
      <sz val="14"/>
      <color rgb="FF092332"/>
      <name val="Calibri"/>
      <family val="2"/>
      <charset val="204"/>
      <scheme val="minor"/>
    </font>
    <font>
      <b/>
      <sz val="12"/>
      <color theme="1" tint="0.499980002641678"/>
      <name val="Calibri Light"/>
      <family val="2"/>
      <charset val="204"/>
      <scheme val="maj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6"/>
      <color theme="1"/>
      <name val="Calibri"/>
      <family val="2"/>
      <scheme val="minor"/>
    </font>
    <font>
      <b/>
      <sz val="16"/>
      <color theme="1" tint="0.150000005960464"/>
      <name val="Calibri Light"/>
      <family val="2"/>
      <charset val="204"/>
      <scheme val="major"/>
    </font>
    <font>
      <b/>
      <sz val="12"/>
      <color theme="1" tint="0.349990010261536"/>
      <name val="Calibri Light"/>
      <family val="2"/>
      <charset val="204"/>
      <scheme val="major"/>
    </font>
    <font>
      <b/>
      <sz val="10"/>
      <color theme="2" tint="-0.499960005283356"/>
      <name val="Calibri Light"/>
      <family val="2"/>
      <charset val="204"/>
      <scheme val="major"/>
    </font>
    <font>
      <b/>
      <sz val="11"/>
      <color rgb="FFFF0000"/>
      <name val="Calibri"/>
      <family val="2"/>
      <charset val="204"/>
      <scheme val="minor"/>
    </font>
    <font>
      <u val="single"/>
      <sz val="11"/>
      <color theme="1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rgb="FFFF0000"/>
      <name val="Calibri Light"/>
      <family val="2"/>
      <charset val="204"/>
      <scheme val="major"/>
    </font>
    <font>
      <i/>
      <sz val="11"/>
      <color theme="1"/>
      <name val="Calibri"/>
      <family val="2"/>
      <charset val="204"/>
      <scheme val="minor"/>
    </font>
    <font>
      <vertAlign val="subscript"/>
      <sz val="11"/>
      <color theme="1"/>
      <name val="Calibri"/>
      <family val="2"/>
      <charset val="204"/>
      <scheme val="minor"/>
    </font>
    <font>
      <sz val="14"/>
      <color theme="1"/>
      <name val="Wingdings 2"/>
      <family val="1"/>
      <charset val="2"/>
    </font>
    <font>
      <sz val="11"/>
      <color theme="10"/>
      <name val="Calibri"/>
      <family val="2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scheme val="minor"/>
    </font>
    <font>
      <b/>
      <vertAlign val="superscript"/>
      <sz val="10"/>
      <color theme="2" tint="-0.499960005283356"/>
      <name val="Calibri Light"/>
      <family val="2"/>
      <charset val="204"/>
      <scheme val="major"/>
    </font>
    <font>
      <b/>
      <vertAlign val="superscript"/>
      <sz val="16"/>
      <color theme="1" tint="0.14996999502182"/>
      <name val="Calibri Light"/>
      <family val="2"/>
      <charset val="204"/>
      <scheme val="major"/>
    </font>
    <font>
      <sz val="11"/>
      <color theme="0"/>
      <name val="Calibri"/>
      <family val="2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color theme="1"/>
      <name val="Arial Narrow"/>
      <family val="2"/>
      <charset val="204"/>
    </font>
    <font>
      <i/>
      <sz val="10"/>
      <color theme="1"/>
      <name val="Arial Narrow"/>
      <family val="2"/>
      <charset val="204"/>
    </font>
    <font>
      <b/>
      <sz val="10"/>
      <color rgb="FFFFFFFF"/>
      <name val="Arial Narrow"/>
      <family val="2"/>
      <charset val="204"/>
    </font>
    <font>
      <sz val="10"/>
      <color rgb="FFFFFFFF"/>
      <name val="Arial Narrow"/>
      <family val="2"/>
      <charset val="204"/>
    </font>
    <font>
      <sz val="10"/>
      <color rgb="FF000000"/>
      <name val="Arial Narrow"/>
      <family val="2"/>
      <charset val="204"/>
    </font>
    <font>
      <i/>
      <sz val="10"/>
      <color rgb="FF00000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9"/>
      <color rgb="FFFFFFFF"/>
      <name val="Arial Narrow"/>
      <family val="2"/>
      <charset val="204"/>
    </font>
    <font>
      <sz val="9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"/>
      <color rgb="FF2A2D4F"/>
      <name val="Calibri"/>
      <family val="2"/>
      <charset val="204"/>
      <scheme val="minor"/>
    </font>
    <font>
      <sz val="11"/>
      <color rgb="FFFFFFFF"/>
      <name val="Calibri"/>
      <family val="2"/>
      <scheme val="minor"/>
    </font>
    <font>
      <b/>
      <sz val="16"/>
      <name val="Calibri Light"/>
      <family val="2"/>
      <charset val="204"/>
      <scheme val="major"/>
    </font>
    <font>
      <sz val="11"/>
      <name val="Calibri"/>
      <family val="2"/>
      <scheme val="minor"/>
    </font>
    <font>
      <b/>
      <sz val="1"/>
      <color rgb="FFFF0000"/>
      <name val="Calibri"/>
      <family val="2"/>
      <charset val="204"/>
      <scheme val="minor"/>
    </font>
    <font>
      <sz val="10"/>
      <color rgb="FF0070C0"/>
      <name val="Arial Narrow"/>
      <family val="2"/>
    </font>
    <font>
      <sz val="10"/>
      <color theme="3" tint="-0.499989986419678"/>
      <name val="Arial Narrow"/>
      <family val="2"/>
    </font>
    <font>
      <sz val="10.5"/>
      <color theme="1"/>
      <name val="Calibri"/>
      <family val="2"/>
      <scheme val="minor"/>
    </font>
    <font>
      <sz val="11"/>
      <color theme="3" tint="-0.499989986419678"/>
      <name val="Calibri"/>
      <family val="2"/>
      <scheme val="minor"/>
    </font>
    <font>
      <sz val="11"/>
      <color theme="1"/>
      <name val="Arial Narrow"/>
      <family val="2"/>
    </font>
    <font>
      <sz val="10"/>
      <color theme="3" tint="-0.5"/>
      <name val="Arial Narrow"/>
      <family val="2"/>
    </font>
    <font>
      <sz val="10.5"/>
      <color theme="1"/>
      <name val="Arial Narrow"/>
      <family val="2"/>
    </font>
    <font>
      <sz val="11"/>
      <color theme="3" tint="-0.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2A2D4F"/>
        <bgColor indexed="64"/>
      </patternFill>
    </fill>
    <fill>
      <patternFill patternType="solid">
        <fgColor rgb="FFFFF6DD"/>
        <bgColor indexed="64"/>
      </patternFill>
    </fill>
    <fill>
      <patternFill patternType="solid">
        <fgColor rgb="FFC8E6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0499700009822845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rgb="FFFFE4D6"/>
        <bgColor indexed="64"/>
      </patternFill>
    </fill>
    <fill>
      <patternFill patternType="solid">
        <fgColor rgb="FF548DD4"/>
        <bgColor indexed="64"/>
      </patternFill>
    </fill>
  </fills>
  <borders count="5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1" tint="0.499980002641678"/>
      </left>
      <right style="thin">
        <color theme="1" tint="0.499980002641678"/>
      </right>
      <top style="thin">
        <color theme="1" tint="0.499980002641678"/>
      </top>
      <bottom style="thin">
        <color theme="1" tint="0.499980002641678"/>
      </bottom>
    </border>
    <border>
      <left style="thin">
        <color theme="1" tint="0.499980002641678"/>
      </left>
      <right style="thin">
        <color theme="1" tint="0.499980002641678"/>
      </right>
      <top/>
      <bottom style="thin">
        <color theme="1" tint="0.499980002641678"/>
      </bottom>
    </border>
    <border>
      <left style="thin">
        <color theme="1" tint="0.499980002641678"/>
      </left>
      <right/>
      <top style="thin">
        <color theme="1" tint="0.499980002641678"/>
      </top>
      <bottom style="thin">
        <color theme="1" tint="0.499980002641678"/>
      </bottom>
    </border>
    <border>
      <left/>
      <right/>
      <top/>
      <bottom style="thin">
        <color theme="0"/>
      </bottom>
    </border>
    <border>
      <left/>
      <right style="thin">
        <color theme="0"/>
      </right>
      <top/>
      <bottom/>
    </border>
    <border>
      <left/>
      <right/>
      <top/>
      <bottom style="thin">
        <color theme="0" tint="-0.149979993700981"/>
      </bottom>
    </border>
    <border>
      <left style="thin">
        <color theme="0" tint="-0.149979993700981"/>
      </left>
      <right/>
      <top style="thin">
        <color theme="0" tint="-0.149979993700981"/>
      </top>
      <bottom/>
    </border>
    <border>
      <left/>
      <right/>
      <top style="thin">
        <color theme="0" tint="-0.149979993700981"/>
      </top>
      <bottom/>
    </border>
    <border>
      <left/>
      <right style="thin">
        <color theme="0" tint="-0.149979993700981"/>
      </right>
      <top style="thin">
        <color theme="0" tint="-0.149979993700981"/>
      </top>
      <bottom/>
    </border>
    <border>
      <left style="thin">
        <color theme="0" tint="-0.149979993700981"/>
      </left>
      <right/>
      <top/>
      <bottom style="thin">
        <color theme="0" tint="-0.149979993700981"/>
      </bottom>
    </border>
    <border>
      <left/>
      <right style="thin">
        <color theme="0" tint="-0.149979993700981"/>
      </right>
      <top/>
      <bottom style="thin">
        <color theme="0" tint="-0.149979993700981"/>
      </bottom>
    </border>
    <border>
      <left style="thin">
        <color theme="1" tint="0.499980002641678"/>
      </left>
      <right style="thin">
        <color theme="0"/>
      </right>
      <top style="thin">
        <color theme="1" tint="0.499980002641678"/>
      </top>
      <bottom style="thin">
        <color theme="1" tint="0.499980002641678"/>
      </bottom>
    </border>
    <border>
      <left style="thin">
        <color theme="1" tint="0.499980002641678"/>
      </left>
      <right/>
      <top/>
      <bottom style="thin">
        <color theme="1" tint="0.499980002641678"/>
      </bottom>
    </border>
    <border>
      <left style="thin">
        <color theme="0"/>
      </left>
      <right/>
      <top/>
      <bottom style="thin">
        <color theme="0"/>
      </bottom>
    </border>
    <border>
      <left/>
      <right style="thin">
        <color theme="0"/>
      </right>
      <top/>
      <bottom style="thin">
        <color theme="0"/>
      </bottom>
    </border>
    <border>
      <left style="thin">
        <color theme="1" tint="0.499980002641678"/>
      </left>
      <right style="thin">
        <color theme="1" tint="0.499980002641678"/>
      </right>
      <top style="thin">
        <color theme="1" tint="0.499980002641678"/>
      </top>
      <bottom/>
    </border>
    <border>
      <left style="thin">
        <color theme="0"/>
      </left>
      <right/>
      <top/>
      <bottom/>
    </border>
    <border>
      <left style="thin">
        <color theme="1" tint="0.499980002641678"/>
      </left>
      <right style="thin">
        <color theme="1" tint="0.499980002641678"/>
      </right>
      <top style="thin">
        <color theme="0"/>
      </top>
      <bottom style="thin">
        <color theme="1" tint="0.499980002641678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/>
      <top style="thin">
        <color auto="1"/>
      </top>
      <bottom/>
    </border>
    <border>
      <left/>
      <right/>
      <top style="thin">
        <color theme="1" tint="0.499980002641678"/>
      </top>
      <bottom style="thin">
        <color theme="1" tint="0.499980002641678"/>
      </bottom>
    </border>
    <border>
      <left/>
      <right style="thin">
        <color theme="1" tint="0.499980002641678"/>
      </right>
      <top style="thin">
        <color theme="1" tint="0.499980002641678"/>
      </top>
      <bottom style="thin">
        <color theme="1" tint="0.499980002641678"/>
      </bottom>
    </border>
    <border>
      <left style="thin">
        <color theme="0"/>
      </left>
      <right style="thin">
        <color theme="0"/>
      </right>
      <top/>
      <bottom style="thin">
        <color theme="0"/>
      </bottom>
    </border>
    <border>
      <left style="thin">
        <color theme="0"/>
      </left>
      <right style="thin">
        <color theme="0"/>
      </right>
      <top/>
      <bottom/>
    </border>
    <border>
      <left/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thin">
        <color theme="0"/>
      </right>
      <top style="thin">
        <color theme="0"/>
      </top>
      <bottom/>
    </border>
    <border>
      <left/>
      <right/>
      <top/>
      <bottom style="thin">
        <color theme="1" tint="0.499980002641678"/>
      </bottom>
    </border>
    <border>
      <left/>
      <right style="thin">
        <color theme="1" tint="0.499980002641678"/>
      </right>
      <top/>
      <bottom style="thin">
        <color theme="1" tint="0.499980002641678"/>
      </bottom>
    </border>
    <border>
      <left style="thin">
        <color theme="0" tint="-0.149979993700981"/>
      </left>
      <right/>
      <top/>
      <bottom/>
    </border>
    <border>
      <left/>
      <right style="thin">
        <color theme="0" tint="-0.149979993700981"/>
      </right>
      <top/>
      <bottom/>
    </border>
    <border>
      <left style="thin">
        <color theme="0"/>
      </left>
      <right/>
      <top style="thin">
        <color theme="0"/>
      </top>
      <bottom/>
    </border>
    <border>
      <left/>
      <right/>
      <top style="thin">
        <color theme="0"/>
      </top>
      <bottom/>
    </border>
    <border>
      <left/>
      <right style="thin">
        <color theme="0"/>
      </right>
      <top style="thin">
        <color theme="0"/>
      </top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/>
      <top style="thin">
        <color theme="0"/>
      </top>
      <bottom style="thin">
        <color theme="0"/>
      </bottom>
    </border>
    <border>
      <left style="thin">
        <color theme="1" tint="0.499980002641678"/>
      </left>
      <right/>
      <top style="thin">
        <color theme="1" tint="0.499980002641678"/>
      </top>
      <bottom/>
    </border>
    <border>
      <left/>
      <right/>
      <top style="thin">
        <color theme="1" tint="0.499980002641678"/>
      </top>
      <bottom/>
    </border>
    <border>
      <left/>
      <right style="thin">
        <color theme="1" tint="0.499980002641678"/>
      </right>
      <top style="thin">
        <color theme="1" tint="0.499980002641678"/>
      </top>
      <bottom/>
    </border>
    <border>
      <left style="thin">
        <color theme="1" tint="0.499980002641678"/>
      </left>
      <right style="thin">
        <color theme="1" tint="0.499980002641678"/>
      </right>
      <top/>
      <bottom/>
    </border>
    <border>
      <left style="thin">
        <color theme="1" tint="0.499980002641678"/>
      </left>
      <right/>
      <top/>
      <bottom/>
    </border>
    <border>
      <left/>
      <right style="thin">
        <color theme="1" tint="0.499980002641678"/>
      </right>
      <top/>
      <bottom/>
    </border>
    <border>
      <left style="thin">
        <color theme="0"/>
      </left>
      <right style="thin">
        <color theme="0"/>
      </right>
      <top/>
      <bottom style="thin">
        <color theme="1" tint="0.499980002641678"/>
      </bottom>
    </border>
    <border>
      <left style="thin">
        <color theme="0"/>
      </left>
      <right/>
      <top/>
      <bottom style="thin">
        <color theme="1" tint="0.499980002641678"/>
      </bottom>
    </border>
    <border>
      <left style="thin">
        <color theme="1" tint="0.499980002641678"/>
      </left>
      <right/>
      <top style="thin">
        <color theme="0"/>
      </top>
      <bottom style="thin">
        <color theme="1" tint="0.499980002641678"/>
      </bottom>
    </border>
    <border>
      <left/>
      <right/>
      <top style="thin">
        <color theme="0"/>
      </top>
      <bottom style="thin">
        <color theme="1" tint="0.499980002641678"/>
      </bottom>
    </border>
    <border>
      <left/>
      <right style="thin">
        <color theme="1" tint="0.499980002641678"/>
      </right>
      <top style="thin">
        <color theme="0"/>
      </top>
      <bottom style="thin">
        <color theme="1" tint="0.499980002641678"/>
      </bottom>
    </border>
    <border>
      <left/>
      <right style="thin">
        <color theme="0"/>
      </right>
      <top/>
      <bottom style="thin">
        <color theme="1" tint="0.499980002641678"/>
      </bottom>
    </border>
    <border>
      <left style="thin">
        <color theme="1" tint="0.499980002641678"/>
      </left>
      <right style="thin">
        <color theme="1" tint="0.499980002641678"/>
      </right>
      <top style="thin">
        <color theme="0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</borders>
  <cellStyleXfs count="27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32" fillId="0" borderId="0">
      <alignment/>
      <protection/>
    </xf>
    <xf numFmtId="0" fontId="33" fillId="0" borderId="0">
      <alignment/>
      <protection/>
    </xf>
    <xf numFmtId="0" fontId="2" fillId="2" borderId="1" applyNumberFormat="0" applyBorder="0" applyProtection="0">
      <alignment/>
    </xf>
    <xf numFmtId="0" fontId="0" fillId="3" borderId="2" applyNumberFormat="0" applyBorder="0" applyProtection="0">
      <alignment/>
    </xf>
    <xf numFmtId="0" fontId="0" fillId="4" borderId="3" applyNumberFormat="0" applyBorder="0" applyProtection="0">
      <alignment/>
    </xf>
    <xf numFmtId="9" fontId="0" fillId="0" borderId="0" applyFont="0" applyFill="0" applyBorder="0" applyAlignment="0" applyProtection="0"/>
  </cellStyleXfs>
  <cellXfs count="666">
    <xf numFmtId="0" fontId="0" fillId="0" borderId="0" xfId="0"/>
    <xf numFmtId="0" fontId="4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top" wrapText="1"/>
    </xf>
    <xf numFmtId="0" fontId="3" fillId="0" borderId="0" xfId="0" applyFont="1"/>
    <xf numFmtId="0" fontId="8" fillId="0" borderId="0" xfId="0" applyFont="1"/>
    <xf numFmtId="0" fontId="0" fillId="0" borderId="2" xfId="0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vertical="top"/>
    </xf>
    <xf numFmtId="0" fontId="11" fillId="0" borderId="0" xfId="0" applyFont="1" applyAlignment="1">
      <alignment vertical="top"/>
    </xf>
    <xf numFmtId="0" fontId="0" fillId="5" borderId="2" xfId="0" applyFill="1" applyBorder="1" applyAlignment="1">
      <alignment vertical="top" wrapText="1"/>
    </xf>
    <xf numFmtId="0" fontId="0" fillId="5" borderId="2" xfId="0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2" fillId="0" borderId="0" xfId="0" applyFont="1"/>
    <xf numFmtId="0" fontId="0" fillId="5" borderId="2" xfId="0" applyFill="1" applyBorder="1" applyAlignment="1">
      <alignment horizontal="left" vertical="center" wrapText="1"/>
    </xf>
    <xf numFmtId="0" fontId="0" fillId="5" borderId="4" xfId="0" applyFill="1" applyBorder="1" applyAlignment="1">
      <alignment horizontal="left" vertical="center" wrapText="1"/>
    </xf>
    <xf numFmtId="0" fontId="0" fillId="5" borderId="3" xfId="0" applyFill="1" applyBorder="1" applyAlignment="1">
      <alignment horizontal="left" vertical="center" wrapText="1"/>
    </xf>
    <xf numFmtId="0" fontId="0" fillId="0" borderId="5" xfId="0" applyBorder="1" applyAlignment="1">
      <alignment vertical="top" wrapText="1"/>
    </xf>
    <xf numFmtId="0" fontId="0" fillId="0" borderId="6" xfId="0" applyBorder="1"/>
    <xf numFmtId="0" fontId="0" fillId="5" borderId="3" xfId="0" applyFill="1" applyBorder="1" applyAlignment="1">
      <alignment horizontal="center" vertical="top"/>
    </xf>
    <xf numFmtId="0" fontId="0" fillId="5" borderId="3" xfId="0" applyFill="1" applyBorder="1" applyAlignment="1">
      <alignment vertical="top" wrapText="1"/>
    </xf>
    <xf numFmtId="0" fontId="16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8" fillId="0" borderId="0" xfId="0" applyFont="1" applyAlignment="1">
      <alignment vertical="top"/>
    </xf>
    <xf numFmtId="14" fontId="3" fillId="0" borderId="0" xfId="0" applyNumberFormat="1" applyFont="1"/>
    <xf numFmtId="0" fontId="0" fillId="0" borderId="4" xfId="0" applyBorder="1" applyAlignment="1">
      <alignment horizontal="left" vertical="top" wrapText="1"/>
    </xf>
    <xf numFmtId="4" fontId="0" fillId="5" borderId="2" xfId="0" applyNumberFormat="1" applyFill="1" applyBorder="1" applyAlignment="1">
      <alignment horizontal="center" vertical="center" wrapText="1"/>
    </xf>
    <xf numFmtId="10" fontId="0" fillId="0" borderId="0" xfId="0" applyNumberFormat="1"/>
    <xf numFmtId="0" fontId="0" fillId="5" borderId="0" xfId="0" applyFill="1" applyAlignment="1">
      <alignment vertical="top" wrapText="1"/>
    </xf>
    <xf numFmtId="0" fontId="0" fillId="0" borderId="7" xfId="0" applyBorder="1"/>
    <xf numFmtId="0" fontId="0" fillId="6" borderId="8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  <xf numFmtId="0" fontId="0" fillId="6" borderId="7" xfId="0" applyFill="1" applyBorder="1"/>
    <xf numFmtId="0" fontId="0" fillId="6" borderId="12" xfId="0" applyFill="1" applyBorder="1"/>
    <xf numFmtId="0" fontId="15" fillId="0" borderId="0" xfId="0" applyFont="1" applyAlignment="1">
      <alignment horizontal="left"/>
    </xf>
    <xf numFmtId="0" fontId="0" fillId="0" borderId="3" xfId="0" applyBorder="1" applyAlignment="1">
      <alignment horizontal="center" vertical="top" wrapText="1"/>
    </xf>
    <xf numFmtId="0" fontId="0" fillId="5" borderId="2" xfId="0" applyFill="1" applyBorder="1" applyAlignment="1">
      <alignment horizontal="left" wrapText="1"/>
    </xf>
    <xf numFmtId="0" fontId="0" fillId="5" borderId="3" xfId="0" applyFill="1" applyBorder="1" applyAlignment="1">
      <alignment horizontal="left" wrapText="1"/>
    </xf>
    <xf numFmtId="0" fontId="0" fillId="5" borderId="2" xfId="0" applyFill="1" applyBorder="1" applyAlignment="1">
      <alignment horizontal="left"/>
    </xf>
    <xf numFmtId="14" fontId="0" fillId="0" borderId="4" xfId="0" applyNumberFormat="1" applyBorder="1" applyAlignment="1">
      <alignment horizontal="center" vertical="top" wrapText="1"/>
    </xf>
    <xf numFmtId="0" fontId="8" fillId="0" borderId="5" xfId="0" applyFont="1" applyBorder="1"/>
    <xf numFmtId="0" fontId="3" fillId="0" borderId="5" xfId="0" applyFont="1" applyBorder="1"/>
    <xf numFmtId="0" fontId="0" fillId="0" borderId="0" xfId="0" applyAlignment="1">
      <alignment vertical="center"/>
    </xf>
    <xf numFmtId="0" fontId="25" fillId="5" borderId="2" xfId="0" applyFont="1" applyFill="1" applyBorder="1" applyAlignment="1">
      <alignment horizontal="center" vertical="center" wrapText="1"/>
    </xf>
    <xf numFmtId="14" fontId="0" fillId="5" borderId="0" xfId="0" applyNumberFormat="1" applyFill="1" applyAlignment="1">
      <alignment horizontal="center" vertical="center" wrapText="1"/>
    </xf>
    <xf numFmtId="4" fontId="0" fillId="5" borderId="0" xfId="0" applyNumberFormat="1" applyFill="1" applyAlignment="1">
      <alignment horizontal="center" vertical="center" wrapText="1"/>
    </xf>
    <xf numFmtId="0" fontId="0" fillId="5" borderId="0" xfId="0" applyFill="1" applyAlignment="1">
      <alignment horizontal="left" vertical="center" wrapText="1"/>
    </xf>
    <xf numFmtId="0" fontId="0" fillId="5" borderId="0" xfId="0" applyFill="1" applyAlignment="1">
      <alignment horizontal="center" vertical="top"/>
    </xf>
    <xf numFmtId="0" fontId="28" fillId="0" borderId="0" xfId="0" applyFont="1" applyAlignment="1">
      <alignment horizontal="right"/>
    </xf>
    <xf numFmtId="4" fontId="0" fillId="5" borderId="0" xfId="0" applyNumberFormat="1" applyFill="1" applyAlignment="1">
      <alignment horizontal="left" vertical="center"/>
    </xf>
    <xf numFmtId="4" fontId="0" fillId="5" borderId="2" xfId="0" applyNumberFormat="1" applyFill="1" applyBorder="1" applyAlignment="1" applyProtection="1">
      <alignment horizontal="center" vertical="top" wrapText="1"/>
      <protection locked="0"/>
    </xf>
    <xf numFmtId="14" fontId="0" fillId="5" borderId="0" xfId="0" applyNumberFormat="1" applyFill="1" applyAlignment="1">
      <alignment horizontal="center" vertical="top"/>
    </xf>
    <xf numFmtId="14" fontId="0" fillId="0" borderId="0" xfId="0" applyNumberForma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1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14" fontId="0" fillId="0" borderId="2" xfId="0" applyNumberFormat="1" applyBorder="1" applyAlignment="1">
      <alignment horizontal="center" vertical="center" wrapText="1"/>
    </xf>
    <xf numFmtId="4" fontId="0" fillId="7" borderId="3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vertical="top"/>
    </xf>
    <xf numFmtId="0" fontId="0" fillId="0" borderId="3" xfId="20" applyFont="1" applyBorder="1" applyAlignment="1">
      <alignment horizontal="center" vertical="top" wrapText="1"/>
    </xf>
    <xf numFmtId="0" fontId="0" fillId="0" borderId="3" xfId="2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5" borderId="14" xfId="0" applyFill="1" applyBorder="1" applyAlignment="1">
      <alignment horizontal="left" vertical="center" wrapText="1"/>
    </xf>
    <xf numFmtId="0" fontId="0" fillId="5" borderId="3" xfId="0" applyFill="1" applyBorder="1" applyAlignment="1" applyProtection="1">
      <alignment horizontal="center" vertical="top"/>
      <protection hidden="1"/>
    </xf>
    <xf numFmtId="0" fontId="0" fillId="5" borderId="3" xfId="0" applyFill="1" applyBorder="1" applyAlignment="1" applyProtection="1">
      <alignment horizontal="left" vertical="center" wrapText="1"/>
      <protection hidden="1"/>
    </xf>
    <xf numFmtId="0" fontId="25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3" xfId="0" applyFill="1" applyBorder="1" applyAlignment="1" applyProtection="1">
      <alignment vertical="center" wrapText="1"/>
      <protection hidden="1"/>
    </xf>
    <xf numFmtId="4" fontId="0" fillId="5" borderId="3" xfId="0" applyNumberFormat="1" applyFill="1" applyBorder="1" applyAlignment="1" applyProtection="1">
      <alignment horizontal="center" vertical="top" wrapText="1"/>
      <protection hidden="1"/>
    </xf>
    <xf numFmtId="0" fontId="0" fillId="5" borderId="3" xfId="0" applyFill="1" applyBorder="1" applyAlignment="1" applyProtection="1">
      <alignment horizontal="center" vertical="top" wrapText="1"/>
      <protection hidden="1"/>
    </xf>
    <xf numFmtId="0" fontId="0" fillId="5" borderId="3" xfId="0" applyFill="1" applyBorder="1" applyAlignment="1" applyProtection="1">
      <alignment vertical="top" wrapText="1"/>
      <protection hidden="1"/>
    </xf>
    <xf numFmtId="0" fontId="0" fillId="5" borderId="2" xfId="0" applyFill="1" applyBorder="1" applyAlignment="1" applyProtection="1">
      <alignment vertical="top" wrapText="1"/>
      <protection hidden="1"/>
    </xf>
    <xf numFmtId="4" fontId="0" fillId="5" borderId="2" xfId="0" applyNumberForma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top"/>
      <protection hidden="1"/>
    </xf>
    <xf numFmtId="4" fontId="0" fillId="5" borderId="3" xfId="0" applyNumberFormat="1" applyFill="1" applyBorder="1" applyAlignment="1" applyProtection="1">
      <alignment horizontal="center" vertical="center" wrapText="1"/>
      <protection hidden="1"/>
    </xf>
    <xf numFmtId="164" fontId="0" fillId="5" borderId="3" xfId="0" applyNumberFormat="1" applyFill="1" applyBorder="1" applyAlignment="1" applyProtection="1">
      <alignment horizontal="center" vertical="center" wrapText="1"/>
      <protection hidden="1"/>
    </xf>
    <xf numFmtId="0" fontId="0" fillId="5" borderId="2" xfId="0" applyFill="1" applyBorder="1" applyAlignment="1" applyProtection="1">
      <alignment horizontal="left" vertical="center" wrapText="1"/>
      <protection hidden="1"/>
    </xf>
    <xf numFmtId="14" fontId="0" fillId="0" borderId="2" xfId="0" applyNumberFormat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165" fontId="0" fillId="5" borderId="2" xfId="0" applyNumberFormat="1" applyFill="1" applyBorder="1" applyAlignment="1" applyProtection="1">
      <alignment horizontal="center" vertical="top" wrapText="1"/>
      <protection hidden="1"/>
    </xf>
    <xf numFmtId="0" fontId="16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17" fillId="0" borderId="0" xfId="0" applyFont="1" applyAlignment="1" applyProtection="1">
      <alignment vertical="top"/>
      <protection hidden="1"/>
    </xf>
    <xf numFmtId="0" fontId="25" fillId="5" borderId="2" xfId="0" applyFont="1" applyFill="1" applyBorder="1" applyAlignment="1" applyProtection="1">
      <alignment horizontal="center" vertical="center"/>
      <protection hidden="1"/>
    </xf>
    <xf numFmtId="0" fontId="0" fillId="5" borderId="3" xfId="0" applyFill="1" applyBorder="1" applyAlignment="1" applyProtection="1">
      <alignment horizontal="left" wrapText="1"/>
      <protection hidden="1"/>
    </xf>
    <xf numFmtId="0" fontId="0" fillId="5" borderId="2" xfId="0" applyFill="1" applyBorder="1" applyAlignment="1" applyProtection="1">
      <alignment horizontal="left" wrapText="1"/>
      <protection hidden="1"/>
    </xf>
    <xf numFmtId="0" fontId="0" fillId="5" borderId="2" xfId="0" applyFill="1" applyBorder="1" applyAlignment="1">
      <alignment horizontal="center" wrapText="1"/>
    </xf>
    <xf numFmtId="0" fontId="8" fillId="0" borderId="0" xfId="0" applyFont="1" applyProtection="1">
      <protection hidden="1"/>
    </xf>
    <xf numFmtId="0" fontId="0" fillId="0" borderId="13" xfId="0" applyBorder="1" applyAlignment="1" applyProtection="1">
      <alignment vertical="center"/>
      <protection hidden="1"/>
    </xf>
    <xf numFmtId="0" fontId="0" fillId="5" borderId="2" xfId="0" applyFill="1" applyBorder="1" applyAlignment="1" applyProtection="1">
      <alignment horizontal="left" vertical="center"/>
      <protection hidden="1"/>
    </xf>
    <xf numFmtId="0" fontId="0" fillId="5" borderId="2" xfId="0" applyFill="1" applyBorder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top" wrapText="1"/>
      <protection hidden="1"/>
    </xf>
    <xf numFmtId="0" fontId="0" fillId="5" borderId="0" xfId="0" applyFill="1" applyAlignment="1" applyProtection="1">
      <alignment vertical="top" wrapText="1"/>
      <protection hidden="1"/>
    </xf>
    <xf numFmtId="0" fontId="0" fillId="5" borderId="2" xfId="0" applyFill="1" applyBorder="1" applyAlignment="1" applyProtection="1">
      <alignment horizontal="left" vertical="top" wrapText="1"/>
      <protection hidden="1"/>
    </xf>
    <xf numFmtId="168" fontId="0" fillId="5" borderId="2" xfId="0" applyNumberFormat="1" applyFill="1" applyBorder="1" applyAlignment="1" applyProtection="1">
      <alignment horizontal="center" vertical="top" wrapText="1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hidden="1"/>
    </xf>
    <xf numFmtId="0" fontId="0" fillId="0" borderId="14" xfId="0" applyBorder="1" applyAlignment="1">
      <alignment horizontal="left" vertical="center" wrapText="1"/>
    </xf>
    <xf numFmtId="4" fontId="0" fillId="5" borderId="3" xfId="0" applyNumberFormat="1" applyFill="1" applyBorder="1" applyAlignment="1" applyProtection="1">
      <alignment horizontal="center" vertical="top" wrapText="1"/>
      <protection locked="0"/>
    </xf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14" xfId="0" applyBorder="1" applyAlignment="1">
      <alignment horizontal="left" vertical="top" wrapText="1"/>
    </xf>
    <xf numFmtId="0" fontId="0" fillId="5" borderId="3" xfId="0" applyFill="1" applyBorder="1" applyAlignment="1">
      <alignment horizontal="center" wrapText="1"/>
    </xf>
    <xf numFmtId="0" fontId="25" fillId="5" borderId="3" xfId="0" applyFont="1" applyFill="1" applyBorder="1" applyAlignment="1" applyProtection="1">
      <alignment horizontal="center" vertical="center" wrapText="1"/>
      <protection hidden="1"/>
    </xf>
    <xf numFmtId="0" fontId="0" fillId="5" borderId="17" xfId="0" applyFill="1" applyBorder="1" applyAlignment="1" applyProtection="1">
      <alignment horizontal="left" vertical="center" wrapText="1"/>
      <protection hidden="1"/>
    </xf>
    <xf numFmtId="0" fontId="0" fillId="5" borderId="3" xfId="0" applyFill="1" applyBorder="1" applyAlignment="1" applyProtection="1">
      <alignment horizontal="left" vertical="center"/>
      <protection hidden="1"/>
    </xf>
    <xf numFmtId="0" fontId="0" fillId="0" borderId="18" xfId="0" applyBorder="1" applyProtection="1">
      <protection hidden="1"/>
    </xf>
    <xf numFmtId="0" fontId="0" fillId="0" borderId="6" xfId="0" applyBorder="1" applyProtection="1">
      <protection hidden="1"/>
    </xf>
    <xf numFmtId="0" fontId="18" fillId="0" borderId="18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 wrapText="1"/>
      <protection hidden="1"/>
    </xf>
    <xf numFmtId="0" fontId="0" fillId="5" borderId="19" xfId="0" applyFill="1" applyBorder="1" applyAlignment="1" applyProtection="1">
      <alignment horizontal="left" vertical="top" wrapText="1"/>
      <protection hidden="1"/>
    </xf>
    <xf numFmtId="168" fontId="0" fillId="5" borderId="19" xfId="0" applyNumberFormat="1" applyFill="1" applyBorder="1" applyAlignment="1" applyProtection="1">
      <alignment horizontal="center" vertical="top" wrapText="1"/>
      <protection hidden="1"/>
    </xf>
    <xf numFmtId="0" fontId="0" fillId="0" borderId="2" xfId="0" applyBorder="1" applyAlignment="1">
      <alignment horizontal="left" vertical="top" wrapText="1"/>
    </xf>
    <xf numFmtId="165" fontId="0" fillId="5" borderId="3" xfId="0" applyNumberFormat="1" applyFill="1" applyBorder="1" applyAlignment="1" applyProtection="1">
      <alignment horizontal="center" vertical="center" wrapText="1"/>
      <protection locked="0"/>
    </xf>
    <xf numFmtId="0" fontId="0" fillId="5" borderId="2" xfId="0" applyFill="1" applyBorder="1" applyAlignment="1" applyProtection="1">
      <alignment horizontal="left"/>
      <protection hidden="1"/>
    </xf>
    <xf numFmtId="0" fontId="0" fillId="5" borderId="2" xfId="0" applyFill="1" applyBorder="1" applyAlignment="1">
      <alignment horizontal="center" vertical="top" wrapText="1"/>
    </xf>
    <xf numFmtId="165" fontId="0" fillId="5" borderId="2" xfId="0" applyNumberFormat="1" applyFill="1" applyBorder="1" applyAlignment="1">
      <alignment horizontal="center" vertical="top" wrapText="1"/>
    </xf>
    <xf numFmtId="164" fontId="0" fillId="5" borderId="2" xfId="0" applyNumberFormat="1" applyFill="1" applyBorder="1" applyAlignment="1">
      <alignment horizontal="center" vertical="top" wrapText="1"/>
    </xf>
    <xf numFmtId="166" fontId="0" fillId="5" borderId="2" xfId="0" applyNumberFormat="1" applyFill="1" applyBorder="1" applyAlignment="1">
      <alignment horizontal="center" vertical="top" wrapText="1"/>
    </xf>
    <xf numFmtId="0" fontId="0" fillId="5" borderId="2" xfId="0" applyFill="1" applyBorder="1" applyAlignment="1">
      <alignment vertical="top"/>
    </xf>
    <xf numFmtId="4" fontId="0" fillId="5" borderId="2" xfId="0" applyNumberFormat="1" applyFill="1" applyBorder="1" applyAlignment="1">
      <alignment horizontal="center" vertical="top" wrapText="1"/>
    </xf>
    <xf numFmtId="0" fontId="0" fillId="5" borderId="2" xfId="0" applyFill="1" applyBorder="1" applyAlignment="1">
      <alignment horizontal="left" vertical="top" wrapText="1"/>
    </xf>
    <xf numFmtId="165" fontId="0" fillId="0" borderId="0" xfId="0" applyNumberFormat="1"/>
    <xf numFmtId="2" fontId="0" fillId="5" borderId="2" xfId="0" applyNumberFormat="1" applyFill="1" applyBorder="1" applyAlignment="1">
      <alignment horizontal="center" vertical="top" wrapText="1"/>
    </xf>
    <xf numFmtId="0" fontId="23" fillId="5" borderId="2" xfId="0" applyFont="1" applyFill="1" applyBorder="1" applyAlignment="1">
      <alignment horizontal="left" vertical="top" wrapText="1" indent="1"/>
    </xf>
    <xf numFmtId="0" fontId="23" fillId="5" borderId="2" xfId="0" applyFont="1" applyFill="1" applyBorder="1" applyAlignment="1">
      <alignment horizontal="center" vertical="top" wrapText="1"/>
    </xf>
    <xf numFmtId="165" fontId="23" fillId="5" borderId="2" xfId="0" applyNumberFormat="1" applyFont="1" applyFill="1" applyBorder="1" applyAlignment="1">
      <alignment horizontal="center" vertical="top" wrapText="1"/>
    </xf>
    <xf numFmtId="164" fontId="23" fillId="5" borderId="2" xfId="0" applyNumberFormat="1" applyFont="1" applyFill="1" applyBorder="1" applyAlignment="1">
      <alignment horizontal="center" vertical="top" wrapText="1"/>
    </xf>
    <xf numFmtId="0" fontId="0" fillId="5" borderId="3" xfId="0" applyFill="1" applyBorder="1" applyAlignment="1">
      <alignment horizontal="center" vertical="center" wrapText="1"/>
    </xf>
    <xf numFmtId="165" fontId="0" fillId="5" borderId="3" xfId="0" applyNumberFormat="1" applyFill="1" applyBorder="1" applyAlignment="1">
      <alignment horizontal="center" vertical="top" wrapText="1"/>
    </xf>
    <xf numFmtId="0" fontId="24" fillId="5" borderId="2" xfId="0" applyFont="1" applyFill="1" applyBorder="1" applyAlignment="1">
      <alignment vertical="top" wrapText="1"/>
    </xf>
    <xf numFmtId="167" fontId="3" fillId="5" borderId="2" xfId="0" applyNumberFormat="1" applyFont="1" applyFill="1" applyBorder="1" applyAlignment="1">
      <alignment horizontal="center" vertical="top" wrapText="1"/>
    </xf>
    <xf numFmtId="167" fontId="0" fillId="5" borderId="2" xfId="0" applyNumberFormat="1" applyFill="1" applyBorder="1" applyAlignment="1">
      <alignment horizontal="center" vertical="top" wrapText="1"/>
    </xf>
    <xf numFmtId="0" fontId="0" fillId="5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165" fontId="0" fillId="5" borderId="3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165" fontId="0" fillId="5" borderId="2" xfId="0" applyNumberFormat="1" applyFill="1" applyBorder="1" applyAlignment="1">
      <alignment horizontal="center" vertical="center"/>
    </xf>
    <xf numFmtId="0" fontId="23" fillId="5" borderId="2" xfId="0" applyFont="1" applyFill="1" applyBorder="1" applyAlignment="1">
      <alignment vertical="center"/>
    </xf>
    <xf numFmtId="0" fontId="23" fillId="5" borderId="2" xfId="0" applyFont="1" applyFill="1" applyBorder="1" applyAlignment="1">
      <alignment horizontal="center" vertical="top"/>
    </xf>
    <xf numFmtId="164" fontId="23" fillId="5" borderId="2" xfId="0" applyNumberFormat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164" fontId="0" fillId="5" borderId="2" xfId="0" applyNumberFormat="1" applyFill="1" applyBorder="1" applyAlignment="1">
      <alignment horizontal="center" vertical="center"/>
    </xf>
    <xf numFmtId="166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right" vertical="top"/>
    </xf>
    <xf numFmtId="0" fontId="23" fillId="5" borderId="2" xfId="0" applyFont="1" applyFill="1" applyBorder="1" applyAlignment="1">
      <alignment horizontal="center" vertical="center"/>
    </xf>
    <xf numFmtId="0" fontId="0" fillId="5" borderId="3" xfId="0" applyFill="1" applyBorder="1"/>
    <xf numFmtId="0" fontId="0" fillId="5" borderId="2" xfId="0" applyFill="1" applyBorder="1"/>
    <xf numFmtId="167" fontId="0" fillId="5" borderId="2" xfId="0" applyNumberFormat="1" applyFill="1" applyBorder="1" applyAlignment="1">
      <alignment horizontal="center" vertical="top"/>
    </xf>
    <xf numFmtId="0" fontId="25" fillId="5" borderId="3" xfId="0" applyFont="1" applyFill="1" applyBorder="1" applyAlignment="1">
      <alignment horizontal="center" vertical="center" wrapText="1"/>
    </xf>
    <xf numFmtId="4" fontId="0" fillId="5" borderId="3" xfId="0" applyNumberFormat="1" applyFill="1" applyBorder="1" applyAlignment="1">
      <alignment horizontal="center" vertical="center" wrapText="1"/>
    </xf>
    <xf numFmtId="164" fontId="0" fillId="5" borderId="3" xfId="0" applyNumberFormat="1" applyFill="1" applyBorder="1" applyAlignment="1">
      <alignment horizontal="center" vertical="center" wrapText="1"/>
    </xf>
    <xf numFmtId="164" fontId="0" fillId="5" borderId="2" xfId="0" applyNumberFormat="1" applyFill="1" applyBorder="1" applyAlignment="1">
      <alignment horizontal="center" vertical="center" wrapText="1"/>
    </xf>
    <xf numFmtId="4" fontId="0" fillId="5" borderId="3" xfId="0" applyNumberFormat="1" applyFill="1" applyBorder="1" applyAlignment="1">
      <alignment horizontal="center" vertical="top" wrapText="1"/>
    </xf>
    <xf numFmtId="14" fontId="0" fillId="5" borderId="2" xfId="0" applyNumberFormat="1" applyFill="1" applyBorder="1" applyAlignment="1">
      <alignment horizontal="center" vertical="top"/>
    </xf>
    <xf numFmtId="14" fontId="0" fillId="0" borderId="2" xfId="0" applyNumberFormat="1" applyBorder="1" applyAlignment="1">
      <alignment horizontal="center" vertical="top" wrapText="1"/>
    </xf>
    <xf numFmtId="165" fontId="0" fillId="5" borderId="0" xfId="0" applyNumberFormat="1" applyFill="1" applyAlignment="1">
      <alignment horizontal="center" vertical="top" wrapText="1"/>
    </xf>
    <xf numFmtId="165" fontId="0" fillId="7" borderId="0" xfId="0" applyNumberFormat="1" applyFill="1" applyAlignment="1">
      <alignment horizontal="center" vertical="top" wrapText="1"/>
    </xf>
    <xf numFmtId="164" fontId="0" fillId="5" borderId="0" xfId="0" applyNumberFormat="1" applyFill="1" applyAlignment="1">
      <alignment horizontal="center" vertical="top" wrapText="1"/>
    </xf>
    <xf numFmtId="165" fontId="0" fillId="0" borderId="5" xfId="0" applyNumberFormat="1" applyBorder="1" applyAlignment="1">
      <alignment vertical="top" wrapText="1"/>
    </xf>
    <xf numFmtId="165" fontId="0" fillId="0" borderId="2" xfId="0" applyNumberFormat="1" applyBorder="1" applyAlignment="1">
      <alignment horizontal="center" vertical="top" wrapText="1"/>
    </xf>
    <xf numFmtId="165" fontId="0" fillId="0" borderId="0" xfId="0" applyNumberFormat="1" applyAlignment="1">
      <alignment vertical="top" wrapText="1"/>
    </xf>
    <xf numFmtId="169" fontId="0" fillId="8" borderId="0" xfId="0" applyNumberFormat="1" applyFill="1" applyAlignment="1">
      <alignment horizontal="center" vertical="center"/>
    </xf>
    <xf numFmtId="0" fontId="31" fillId="0" borderId="0" xfId="0" applyFont="1" applyAlignment="1" applyProtection="1">
      <alignment vertical="top" wrapText="1"/>
      <protection hidden="1"/>
    </xf>
    <xf numFmtId="170" fontId="0" fillId="0" borderId="0" xfId="0" applyNumberFormat="1"/>
    <xf numFmtId="4" fontId="0" fillId="0" borderId="0" xfId="0" applyNumberFormat="1"/>
    <xf numFmtId="14" fontId="0" fillId="0" borderId="0" xfId="0" applyNumberFormat="1"/>
    <xf numFmtId="14" fontId="31" fillId="0" borderId="0" xfId="0" applyNumberFormat="1" applyFont="1" applyAlignment="1">
      <alignment horizontal="center" vertical="top" wrapText="1"/>
    </xf>
    <xf numFmtId="0" fontId="0" fillId="5" borderId="0" xfId="0" applyFill="1" applyAlignment="1">
      <alignment horizontal="center" vertical="center" wrapText="1"/>
    </xf>
    <xf numFmtId="0" fontId="31" fillId="0" borderId="0" xfId="0" applyFont="1"/>
    <xf numFmtId="0" fontId="2" fillId="0" borderId="0" xfId="0" applyFont="1"/>
    <xf numFmtId="14" fontId="0" fillId="5" borderId="2" xfId="0" applyNumberFormat="1" applyFill="1" applyBorder="1" applyAlignment="1" applyProtection="1">
      <alignment horizontal="center" vertical="top" wrapText="1"/>
      <protection hidden="1"/>
    </xf>
    <xf numFmtId="166" fontId="0" fillId="5" borderId="3" xfId="0" applyNumberFormat="1" applyFill="1" applyBorder="1" applyAlignment="1">
      <alignment horizontal="center" vertical="center"/>
    </xf>
    <xf numFmtId="3" fontId="0" fillId="5" borderId="3" xfId="0" applyNumberFormat="1" applyFill="1" applyBorder="1" applyAlignment="1">
      <alignment horizontal="center" vertical="top"/>
    </xf>
    <xf numFmtId="3" fontId="0" fillId="5" borderId="2" xfId="0" applyNumberFormat="1" applyFill="1" applyBorder="1" applyAlignment="1">
      <alignment horizontal="center" vertical="top"/>
    </xf>
    <xf numFmtId="3" fontId="0" fillId="5" borderId="3" xfId="0" applyNumberFormat="1" applyFill="1" applyBorder="1" applyAlignment="1">
      <alignment horizontal="center" vertical="center"/>
    </xf>
    <xf numFmtId="3" fontId="0" fillId="5" borderId="2" xfId="0" applyNumberFormat="1" applyFill="1" applyBorder="1" applyAlignment="1">
      <alignment horizontal="center" vertical="center"/>
    </xf>
    <xf numFmtId="171" fontId="0" fillId="5" borderId="3" xfId="0" applyNumberFormat="1" applyFill="1" applyBorder="1" applyAlignment="1">
      <alignment horizontal="center" vertical="center"/>
    </xf>
    <xf numFmtId="171" fontId="0" fillId="5" borderId="2" xfId="0" applyNumberFormat="1" applyFill="1" applyBorder="1" applyAlignment="1">
      <alignment horizontal="center" vertical="center"/>
    </xf>
    <xf numFmtId="2" fontId="0" fillId="0" borderId="0" xfId="0" applyNumberFormat="1"/>
    <xf numFmtId="4" fontId="3" fillId="0" borderId="0" xfId="0" applyNumberFormat="1" applyFont="1"/>
    <xf numFmtId="4" fontId="0" fillId="0" borderId="0" xfId="0" applyNumberFormat="1" applyAlignment="1">
      <alignment vertical="top" wrapText="1"/>
    </xf>
    <xf numFmtId="0" fontId="3" fillId="5" borderId="2" xfId="0" applyFont="1" applyFill="1" applyBorder="1" applyAlignment="1">
      <alignment vertical="top" wrapText="1"/>
    </xf>
    <xf numFmtId="169" fontId="0" fillId="5" borderId="19" xfId="0" applyNumberFormat="1" applyFill="1" applyBorder="1" applyAlignment="1" applyProtection="1">
      <alignment horizontal="center" vertical="top" wrapText="1"/>
      <protection hidden="1" locked="0"/>
    </xf>
    <xf numFmtId="168" fontId="0" fillId="5" borderId="19" xfId="0" applyNumberFormat="1" applyFill="1" applyBorder="1" applyAlignment="1" applyProtection="1">
      <alignment horizontal="center" vertical="top" wrapText="1"/>
      <protection hidden="1" locked="0"/>
    </xf>
    <xf numFmtId="168" fontId="0" fillId="5" borderId="2" xfId="0" applyNumberFormat="1" applyFill="1" applyBorder="1" applyAlignment="1" applyProtection="1">
      <alignment horizontal="center" vertical="top" wrapText="1"/>
      <protection hidden="1" locked="0"/>
    </xf>
    <xf numFmtId="0" fontId="34" fillId="5" borderId="2" xfId="0" applyFont="1" applyFill="1" applyBorder="1" applyAlignment="1">
      <alignment vertical="center"/>
    </xf>
    <xf numFmtId="10" fontId="34" fillId="0" borderId="2" xfId="0" applyNumberFormat="1" applyFont="1" applyBorder="1" applyAlignment="1">
      <alignment horizontal="center"/>
    </xf>
    <xf numFmtId="171" fontId="34" fillId="0" borderId="2" xfId="0" applyNumberFormat="1" applyFont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8" fillId="0" borderId="20" xfId="0" applyFont="1" applyBorder="1" applyAlignment="1">
      <alignment vertical="center" wrapText="1"/>
    </xf>
    <xf numFmtId="0" fontId="39" fillId="0" borderId="20" xfId="0" applyFont="1" applyBorder="1" applyAlignment="1">
      <alignment vertical="center" wrapText="1"/>
    </xf>
    <xf numFmtId="164" fontId="39" fillId="0" borderId="20" xfId="0" applyNumberFormat="1" applyFont="1" applyBorder="1" applyAlignment="1">
      <alignment horizontal="center" vertical="center" wrapText="1"/>
    </xf>
    <xf numFmtId="3" fontId="38" fillId="0" borderId="20" xfId="0" applyNumberFormat="1" applyFont="1" applyBorder="1" applyAlignment="1">
      <alignment horizontal="center" vertical="center" wrapText="1"/>
    </xf>
    <xf numFmtId="171" fontId="38" fillId="0" borderId="20" xfId="0" applyNumberFormat="1" applyFont="1" applyBorder="1" applyAlignment="1">
      <alignment horizontal="center" vertical="center" wrapText="1"/>
    </xf>
    <xf numFmtId="3" fontId="34" fillId="0" borderId="2" xfId="0" applyNumberFormat="1" applyFont="1" applyBorder="1" applyAlignment="1">
      <alignment horizontal="center" vertical="center"/>
    </xf>
    <xf numFmtId="164" fontId="35" fillId="0" borderId="2" xfId="0" applyNumberFormat="1" applyFont="1" applyBorder="1" applyAlignment="1">
      <alignment horizontal="center" vertical="center"/>
    </xf>
    <xf numFmtId="3" fontId="40" fillId="0" borderId="2" xfId="0" applyNumberFormat="1" applyFont="1" applyBorder="1" applyAlignment="1">
      <alignment horizontal="center" vertical="center"/>
    </xf>
    <xf numFmtId="0" fontId="34" fillId="0" borderId="20" xfId="0" applyFont="1" applyBorder="1"/>
    <xf numFmtId="9" fontId="34" fillId="0" borderId="20" xfId="0" applyNumberFormat="1" applyFont="1" applyBorder="1" applyAlignment="1">
      <alignment horizontal="center"/>
    </xf>
    <xf numFmtId="0" fontId="40" fillId="0" borderId="0" xfId="0" applyFont="1"/>
    <xf numFmtId="4" fontId="34" fillId="0" borderId="20" xfId="0" applyNumberFormat="1" applyFont="1" applyBorder="1"/>
    <xf numFmtId="0" fontId="41" fillId="0" borderId="0" xfId="0" applyFont="1" applyAlignment="1">
      <alignment vertical="top"/>
    </xf>
    <xf numFmtId="0" fontId="37" fillId="9" borderId="21" xfId="0" applyFont="1" applyFill="1" applyBorder="1" applyAlignment="1">
      <alignment horizontal="center" vertical="center" wrapText="1"/>
    </xf>
    <xf numFmtId="0" fontId="34" fillId="0" borderId="0" xfId="0" applyFont="1"/>
    <xf numFmtId="0" fontId="38" fillId="0" borderId="20" xfId="0" applyFont="1" applyBorder="1" applyAlignment="1">
      <alignment horizontal="center" vertical="center" wrapText="1"/>
    </xf>
    <xf numFmtId="9" fontId="34" fillId="0" borderId="0" xfId="0" applyNumberFormat="1" applyFont="1"/>
    <xf numFmtId="0" fontId="34" fillId="0" borderId="0" xfId="0" applyFont="1" applyAlignment="1">
      <alignment vertical="center" wrapText="1"/>
    </xf>
    <xf numFmtId="0" fontId="38" fillId="0" borderId="22" xfId="0" applyFont="1" applyBorder="1" applyAlignment="1">
      <alignment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14" fontId="43" fillId="9" borderId="20" xfId="0" applyNumberFormat="1" applyFont="1" applyFill="1" applyBorder="1" applyAlignment="1">
      <alignment horizontal="center" vertical="center" wrapText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23" xfId="0" applyBorder="1" applyAlignment="1" applyProtection="1">
      <alignment horizontal="left" vertical="center"/>
      <protection hidden="1"/>
    </xf>
    <xf numFmtId="0" fontId="0" fillId="0" borderId="24" xfId="0" applyBorder="1" applyAlignment="1" applyProtection="1">
      <alignment horizontal="left" vertical="center"/>
      <protection hidden="1"/>
    </xf>
    <xf numFmtId="169" fontId="0" fillId="5" borderId="19" xfId="0" applyNumberFormat="1" applyFill="1" applyBorder="1" applyAlignment="1" applyProtection="1">
      <alignment horizontal="center" vertical="top" wrapText="1"/>
      <protection locked="0"/>
    </xf>
    <xf numFmtId="0" fontId="0" fillId="5" borderId="0" xfId="0" applyFill="1" applyAlignment="1" applyProtection="1">
      <alignment horizontal="left" vertical="center" wrapText="1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left" wrapText="1"/>
      <protection hidden="1"/>
    </xf>
    <xf numFmtId="0" fontId="0" fillId="0" borderId="13" xfId="0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horizontal="left" vertical="center" wrapText="1"/>
      <protection hidden="1"/>
    </xf>
    <xf numFmtId="1" fontId="44" fillId="0" borderId="20" xfId="0" applyNumberFormat="1" applyFont="1" applyBorder="1" applyAlignment="1">
      <alignment horizontal="center"/>
    </xf>
    <xf numFmtId="3" fontId="34" fillId="0" borderId="20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45" fillId="0" borderId="20" xfId="0" applyFont="1" applyBorder="1" applyAlignment="1">
      <alignment horizontal="center" vertical="center" wrapText="1"/>
    </xf>
    <xf numFmtId="14" fontId="34" fillId="0" borderId="0" xfId="0" applyNumberFormat="1" applyFont="1"/>
    <xf numFmtId="3" fontId="34" fillId="0" borderId="20" xfId="0" applyNumberFormat="1" applyFont="1" applyBorder="1" applyAlignment="1">
      <alignment horizontal="center" vertical="center"/>
    </xf>
    <xf numFmtId="3" fontId="42" fillId="9" borderId="20" xfId="0" applyNumberFormat="1" applyFont="1" applyFill="1" applyBorder="1" applyAlignment="1">
      <alignment horizontal="center" vertical="center"/>
    </xf>
    <xf numFmtId="9" fontId="42" fillId="9" borderId="20" xfId="0" applyNumberFormat="1" applyFont="1" applyFill="1" applyBorder="1" applyAlignment="1">
      <alignment horizontal="center" vertical="center"/>
    </xf>
    <xf numFmtId="9" fontId="42" fillId="9" borderId="20" xfId="0" applyNumberFormat="1" applyFont="1" applyFill="1" applyBorder="1"/>
    <xf numFmtId="0" fontId="34" fillId="0" borderId="20" xfId="0" applyFont="1" applyBorder="1" applyAlignment="1">
      <alignment horizontal="center"/>
    </xf>
    <xf numFmtId="9" fontId="37" fillId="9" borderId="20" xfId="0" applyNumberFormat="1" applyFont="1" applyFill="1" applyBorder="1" applyAlignment="1">
      <alignment horizontal="center" vertical="center" wrapText="1"/>
    </xf>
    <xf numFmtId="165" fontId="0" fillId="7" borderId="23" xfId="0" applyNumberFormat="1" applyFill="1" applyBorder="1" applyAlignment="1">
      <alignment horizontal="center" vertical="top" wrapText="1"/>
    </xf>
    <xf numFmtId="165" fontId="0" fillId="7" borderId="24" xfId="0" applyNumberFormat="1" applyFill="1" applyBorder="1" applyAlignment="1">
      <alignment horizontal="center" vertical="top" wrapText="1"/>
    </xf>
    <xf numFmtId="164" fontId="0" fillId="0" borderId="2" xfId="0" applyNumberFormat="1" applyBorder="1" applyAlignment="1">
      <alignment horizontal="center"/>
    </xf>
    <xf numFmtId="4" fontId="0" fillId="0" borderId="3" xfId="0" applyNumberFormat="1" applyBorder="1" applyAlignment="1" applyProtection="1">
      <alignment horizontal="center" vertical="center" wrapText="1"/>
      <protection hidden="1"/>
    </xf>
    <xf numFmtId="3" fontId="0" fillId="0" borderId="3" xfId="0" applyNumberFormat="1" applyBorder="1" applyAlignment="1" applyProtection="1">
      <alignment horizontal="center" vertical="center" wrapText="1"/>
      <protection hidden="1"/>
    </xf>
    <xf numFmtId="164" fontId="0" fillId="0" borderId="3" xfId="0" applyNumberFormat="1" applyBorder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4" fontId="0" fillId="0" borderId="2" xfId="0" applyNumberFormat="1" applyBorder="1" applyAlignment="1" applyProtection="1">
      <alignment horizontal="center" vertical="center" wrapText="1"/>
      <protection hidden="1"/>
    </xf>
    <xf numFmtId="0" fontId="2" fillId="2" borderId="1" xfId="23" applyBorder="1" applyAlignment="1" applyProtection="1">
      <alignment horizontal="center" vertical="center" wrapText="1"/>
      <protection hidden="1"/>
    </xf>
    <xf numFmtId="14" fontId="2" fillId="2" borderId="1" xfId="23" applyNumberFormat="1" applyBorder="1" applyAlignment="1" applyProtection="1">
      <alignment horizontal="center" vertical="center" wrapText="1"/>
      <protection hidden="1"/>
    </xf>
    <xf numFmtId="0" fontId="2" fillId="2" borderId="1" xfId="23" applyBorder="1" applyAlignment="1">
      <alignment horizontal="center" vertical="center" wrapText="1"/>
    </xf>
    <xf numFmtId="0" fontId="2" fillId="2" borderId="25" xfId="23" applyBorder="1" applyAlignment="1" applyProtection="1">
      <alignment horizontal="center" vertical="center" wrapText="1"/>
      <protection hidden="1"/>
    </xf>
    <xf numFmtId="0" fontId="2" fillId="2" borderId="25" xfId="23" applyBorder="1" applyAlignment="1">
      <alignment horizontal="center" vertical="center" wrapText="1"/>
    </xf>
    <xf numFmtId="14" fontId="2" fillId="2" borderId="25" xfId="23" applyNumberFormat="1" applyBorder="1" applyAlignment="1" applyProtection="1">
      <alignment horizontal="center" vertical="center" wrapText="1"/>
      <protection hidden="1"/>
    </xf>
    <xf numFmtId="0" fontId="2" fillId="2" borderId="1" xfId="23" applyNumberFormat="1" applyBorder="1" applyAlignment="1" applyProtection="1">
      <alignment horizontal="center" vertical="center" wrapText="1"/>
      <protection hidden="1"/>
    </xf>
    <xf numFmtId="0" fontId="2" fillId="2" borderId="16" xfId="23" applyNumberFormat="1" applyBorder="1" applyAlignment="1" applyProtection="1">
      <alignment horizontal="center" vertical="center" wrapText="1"/>
      <protection hidden="1"/>
    </xf>
    <xf numFmtId="14" fontId="2" fillId="2" borderId="26" xfId="23" applyNumberFormat="1" applyBorder="1" applyAlignment="1" applyProtection="1">
      <alignment horizontal="center" vertical="center" wrapText="1"/>
      <protection hidden="1"/>
    </xf>
    <xf numFmtId="14" fontId="2" fillId="2" borderId="27" xfId="23" applyNumberFormat="1" applyBorder="1" applyAlignment="1" applyProtection="1">
      <alignment horizontal="center" vertical="center" wrapText="1"/>
      <protection hidden="1"/>
    </xf>
    <xf numFmtId="0" fontId="2" fillId="2" borderId="1" xfId="23" applyBorder="1" applyAlignment="1" applyProtection="1">
      <alignment horizontal="center" vertical="center" wrapText="1"/>
      <protection/>
    </xf>
    <xf numFmtId="0" fontId="2" fillId="2" borderId="1" xfId="23" applyBorder="1" applyAlignment="1" applyProtection="1">
      <alignment horizontal="center" vertical="center"/>
      <protection/>
    </xf>
    <xf numFmtId="0" fontId="2" fillId="2" borderId="28" xfId="23" applyBorder="1" applyAlignment="1" applyProtection="1">
      <alignment horizontal="center" vertical="center" wrapText="1"/>
      <protection hidden="1"/>
    </xf>
    <xf numFmtId="0" fontId="2" fillId="2" borderId="28" xfId="23" applyNumberFormat="1" applyBorder="1" applyAlignment="1" applyProtection="1">
      <alignment horizontal="center" vertical="center"/>
      <protection/>
    </xf>
    <xf numFmtId="0" fontId="2" fillId="2" borderId="1" xfId="23" applyNumberFormat="1" applyBorder="1" applyAlignment="1" applyProtection="1">
      <alignment horizontal="center" vertical="center"/>
      <protection/>
    </xf>
    <xf numFmtId="0" fontId="2" fillId="2" borderId="25" xfId="23" applyBorder="1" applyAlignment="1" applyProtection="1">
      <alignment horizontal="center" vertical="center" wrapText="1"/>
      <protection/>
    </xf>
    <xf numFmtId="0" fontId="0" fillId="4" borderId="3" xfId="25" applyNumberFormat="1" applyBorder="1" applyAlignment="1" applyProtection="1">
      <alignment horizontal="left" vertical="center" wrapText="1"/>
      <protection hidden="1"/>
    </xf>
    <xf numFmtId="14" fontId="0" fillId="4" borderId="2" xfId="25" applyNumberFormat="1" applyBorder="1" applyAlignment="1" applyProtection="1">
      <alignment horizontal="center" vertical="top" wrapText="1"/>
      <protection hidden="1"/>
    </xf>
    <xf numFmtId="14" fontId="0" fillId="4" borderId="3" xfId="25" applyNumberFormat="1" applyBorder="1" applyAlignment="1" applyProtection="1">
      <alignment horizontal="center" vertical="top" wrapText="1"/>
      <protection hidden="1"/>
    </xf>
    <xf numFmtId="4" fontId="0" fillId="4" borderId="3" xfId="25" applyNumberFormat="1" applyBorder="1" applyAlignment="1" applyProtection="1">
      <alignment horizontal="center" vertical="top" wrapText="1"/>
      <protection hidden="1"/>
    </xf>
    <xf numFmtId="4" fontId="0" fillId="4" borderId="2" xfId="25" applyNumberFormat="1" applyBorder="1" applyAlignment="1" applyProtection="1">
      <alignment horizontal="center" vertical="top" wrapText="1"/>
      <protection hidden="1"/>
    </xf>
    <xf numFmtId="14" fontId="3" fillId="4" borderId="2" xfId="25" applyNumberFormat="1" applyFont="1" applyBorder="1" applyAlignment="1" applyProtection="1">
      <alignment horizontal="center" vertical="top" wrapText="1"/>
      <protection hidden="1"/>
    </xf>
    <xf numFmtId="4" fontId="0" fillId="4" borderId="3" xfId="25" applyNumberFormat="1" applyBorder="1" applyAlignment="1" applyProtection="1">
      <alignment horizontal="center" vertical="center" wrapText="1"/>
      <protection hidden="1"/>
    </xf>
    <xf numFmtId="164" fontId="0" fillId="4" borderId="3" xfId="25" applyNumberFormat="1" applyBorder="1" applyAlignment="1">
      <alignment horizontal="center" vertical="top" wrapText="1"/>
    </xf>
    <xf numFmtId="164" fontId="0" fillId="4" borderId="3" xfId="25" applyNumberFormat="1" applyBorder="1" applyAlignment="1" applyProtection="1">
      <alignment horizontal="center" vertical="top" wrapText="1"/>
      <protection/>
    </xf>
    <xf numFmtId="0" fontId="0" fillId="4" borderId="2" xfId="25" applyNumberFormat="1" applyBorder="1" applyAlignment="1" applyProtection="1">
      <alignment horizontal="left" vertical="top" wrapText="1"/>
      <protection hidden="1"/>
    </xf>
    <xf numFmtId="0" fontId="0" fillId="4" borderId="2" xfId="25" applyNumberFormat="1" applyBorder="1" applyAlignment="1" applyProtection="1">
      <alignment horizontal="center" vertical="top" wrapText="1"/>
      <protection hidden="1"/>
    </xf>
    <xf numFmtId="165" fontId="0" fillId="4" borderId="2" xfId="25" applyNumberFormat="1" applyBorder="1" applyAlignment="1" applyProtection="1">
      <alignment horizontal="center" vertical="top" wrapText="1"/>
      <protection/>
    </xf>
    <xf numFmtId="164" fontId="0" fillId="4" borderId="3" xfId="25" applyNumberFormat="1" applyBorder="1" applyAlignment="1">
      <alignment horizontal="left" vertical="top" wrapText="1"/>
    </xf>
    <xf numFmtId="4" fontId="0" fillId="4" borderId="3" xfId="25" applyNumberFormat="1" applyBorder="1" applyAlignment="1" applyProtection="1">
      <alignment horizontal="center" vertical="top" wrapText="1"/>
      <protection/>
    </xf>
    <xf numFmtId="4" fontId="0" fillId="4" borderId="2" xfId="25" applyNumberFormat="1" applyBorder="1" applyAlignment="1" applyProtection="1">
      <alignment horizontal="center" vertical="top" wrapText="1"/>
      <protection/>
    </xf>
    <xf numFmtId="165" fontId="0" fillId="4" borderId="3" xfId="25" applyNumberFormat="1" applyBorder="1" applyAlignment="1" applyProtection="1">
      <alignment horizontal="center" vertical="top" wrapText="1"/>
      <protection/>
    </xf>
    <xf numFmtId="4" fontId="0" fillId="4" borderId="2" xfId="25" applyNumberFormat="1" applyBorder="1" applyAlignment="1">
      <alignment vertical="top" wrapText="1"/>
    </xf>
    <xf numFmtId="164" fontId="0" fillId="4" borderId="2" xfId="25" applyNumberFormat="1" applyBorder="1" applyAlignment="1" applyProtection="1">
      <alignment horizontal="center" vertical="top" wrapText="1"/>
      <protection/>
    </xf>
    <xf numFmtId="4" fontId="3" fillId="4" borderId="2" xfId="25" applyNumberFormat="1" applyFont="1" applyBorder="1" applyAlignment="1" applyProtection="1">
      <alignment horizontal="center" vertical="top" wrapText="1"/>
      <protection/>
    </xf>
    <xf numFmtId="4" fontId="0" fillId="4" borderId="2" xfId="25" applyNumberFormat="1" applyBorder="1" applyAlignment="1">
      <alignment vertical="center" wrapText="1"/>
    </xf>
    <xf numFmtId="167" fontId="0" fillId="4" borderId="2" xfId="25" applyNumberFormat="1" applyBorder="1" applyAlignment="1" applyProtection="1">
      <alignment horizontal="center" vertical="top" wrapText="1"/>
      <protection/>
    </xf>
    <xf numFmtId="165" fontId="0" fillId="3" borderId="3" xfId="24" applyNumberFormat="1" applyBorder="1" applyAlignment="1" applyProtection="1">
      <alignment horizontal="center" vertical="center" wrapText="1"/>
      <protection locked="0"/>
    </xf>
    <xf numFmtId="0" fontId="0" fillId="3" borderId="3" xfId="24" applyNumberFormat="1" applyBorder="1" applyAlignment="1" applyProtection="1">
      <alignment horizontal="center" vertical="center" wrapText="1"/>
      <protection locked="0"/>
    </xf>
    <xf numFmtId="4" fontId="3" fillId="4" borderId="2" xfId="25" applyNumberFormat="1" applyFont="1" applyBorder="1" applyAlignment="1" applyProtection="1">
      <alignment horizontal="center" vertical="center" wrapText="1"/>
      <protection hidden="1"/>
    </xf>
    <xf numFmtId="0" fontId="0" fillId="4" borderId="2" xfId="25" applyNumberFormat="1" applyBorder="1" applyAlignment="1" applyProtection="1">
      <alignment horizontal="left" vertical="top" wrapText="1"/>
      <protection/>
    </xf>
    <xf numFmtId="0" fontId="0" fillId="4" borderId="2" xfId="25" applyNumberFormat="1" applyBorder="1" applyAlignment="1" applyProtection="1">
      <alignment horizontal="center" vertical="top" wrapText="1"/>
      <protection/>
    </xf>
    <xf numFmtId="165" fontId="3" fillId="4" borderId="2" xfId="25" applyNumberFormat="1" applyFont="1" applyBorder="1" applyAlignment="1" applyProtection="1">
      <alignment horizontal="center" vertical="top" wrapText="1"/>
      <protection/>
    </xf>
    <xf numFmtId="0" fontId="3" fillId="4" borderId="2" xfId="25" applyNumberFormat="1" applyFont="1" applyBorder="1" applyAlignment="1" applyProtection="1">
      <alignment horizontal="left" vertical="top" wrapText="1"/>
      <protection/>
    </xf>
    <xf numFmtId="0" fontId="3" fillId="4" borderId="2" xfId="25" applyNumberFormat="1" applyFont="1" applyBorder="1" applyAlignment="1" applyProtection="1">
      <alignment horizontal="center" vertical="top" wrapText="1"/>
      <protection/>
    </xf>
    <xf numFmtId="164" fontId="3" fillId="4" borderId="2" xfId="25" applyNumberFormat="1" applyFont="1" applyBorder="1" applyAlignment="1" applyProtection="1">
      <alignment horizontal="center" vertical="top" wrapText="1"/>
      <protection/>
    </xf>
    <xf numFmtId="166" fontId="0" fillId="4" borderId="2" xfId="25" applyNumberFormat="1" applyBorder="1" applyAlignment="1" applyProtection="1">
      <alignment horizontal="center" vertical="top" wrapText="1"/>
      <protection hidden="1"/>
    </xf>
    <xf numFmtId="165" fontId="0" fillId="4" borderId="2" xfId="25" applyNumberFormat="1" applyBorder="1" applyAlignment="1" applyProtection="1">
      <alignment horizontal="center" vertical="top" wrapText="1"/>
      <protection hidden="1"/>
    </xf>
    <xf numFmtId="0" fontId="0" fillId="3" borderId="2" xfId="24" applyBorder="1" applyAlignment="1" applyProtection="1">
      <alignment horizontal="center" vertical="center"/>
      <protection locked="0"/>
    </xf>
    <xf numFmtId="166" fontId="0" fillId="4" borderId="3" xfId="25" applyNumberFormat="1" applyBorder="1" applyAlignment="1" applyProtection="1">
      <alignment horizontal="center" vertical="center"/>
      <protection/>
    </xf>
    <xf numFmtId="166" fontId="0" fillId="4" borderId="2" xfId="25" applyNumberFormat="1" applyBorder="1" applyAlignment="1" applyProtection="1">
      <alignment horizontal="center" vertical="center"/>
      <protection/>
    </xf>
    <xf numFmtId="164" fontId="0" fillId="4" borderId="2" xfId="25" applyNumberFormat="1" applyBorder="1" applyAlignment="1" applyProtection="1">
      <alignment horizontal="center" vertical="center"/>
      <protection/>
    </xf>
    <xf numFmtId="3" fontId="0" fillId="3" borderId="2" xfId="24" applyNumberFormat="1" applyBorder="1" applyAlignment="1" applyProtection="1">
      <alignment horizontal="center" vertical="top" wrapText="1"/>
      <protection locked="0"/>
    </xf>
    <xf numFmtId="0" fontId="0" fillId="4" borderId="2" xfId="25" applyNumberFormat="1" applyBorder="1" applyAlignment="1" applyProtection="1">
      <alignment vertical="center"/>
      <protection/>
    </xf>
    <xf numFmtId="3" fontId="0" fillId="4" borderId="2" xfId="25" applyNumberFormat="1" applyBorder="1" applyAlignment="1" applyProtection="1">
      <alignment horizontal="center" vertical="center"/>
      <protection/>
    </xf>
    <xf numFmtId="165" fontId="0" fillId="4" borderId="3" xfId="25" applyNumberFormat="1" applyBorder="1" applyAlignment="1" applyProtection="1">
      <alignment horizontal="center" vertical="center"/>
      <protection/>
    </xf>
    <xf numFmtId="165" fontId="0" fillId="4" borderId="2" xfId="25" applyNumberFormat="1" applyBorder="1" applyAlignment="1" applyProtection="1">
      <alignment horizontal="center" vertical="center"/>
      <protection/>
    </xf>
    <xf numFmtId="164" fontId="0" fillId="4" borderId="3" xfId="25" applyNumberFormat="1" applyBorder="1" applyAlignment="1" applyProtection="1">
      <alignment horizontal="center" vertical="center"/>
      <protection/>
    </xf>
    <xf numFmtId="0" fontId="3" fillId="4" borderId="2" xfId="25" applyNumberFormat="1" applyFont="1" applyBorder="1" applyAlignment="1" applyProtection="1">
      <alignment vertical="center"/>
      <protection/>
    </xf>
    <xf numFmtId="3" fontId="3" fillId="4" borderId="2" xfId="25" applyNumberFormat="1" applyFont="1" applyBorder="1" applyAlignment="1" applyProtection="1">
      <alignment horizontal="center" vertical="center"/>
      <protection/>
    </xf>
    <xf numFmtId="165" fontId="3" fillId="4" borderId="2" xfId="25" applyNumberFormat="1" applyFont="1" applyBorder="1" applyAlignment="1" applyProtection="1">
      <alignment horizontal="center" vertical="center"/>
      <protection/>
    </xf>
    <xf numFmtId="164" fontId="3" fillId="4" borderId="2" xfId="25" applyNumberFormat="1" applyFont="1" applyBorder="1" applyAlignment="1" applyProtection="1">
      <alignment horizontal="center" vertical="center"/>
      <protection/>
    </xf>
    <xf numFmtId="171" fontId="3" fillId="4" borderId="2" xfId="25" applyNumberFormat="1" applyFont="1" applyBorder="1" applyAlignment="1" applyProtection="1">
      <alignment horizontal="center" vertical="center"/>
      <protection/>
    </xf>
    <xf numFmtId="168" fontId="0" fillId="4" borderId="2" xfId="25" applyNumberFormat="1" applyBorder="1" applyAlignment="1" applyProtection="1">
      <alignment horizontal="center" vertical="center"/>
      <protection/>
    </xf>
    <xf numFmtId="169" fontId="0" fillId="4" borderId="2" xfId="25" applyNumberFormat="1" applyBorder="1" applyAlignment="1" applyProtection="1">
      <alignment horizontal="center" vertical="center"/>
      <protection/>
    </xf>
    <xf numFmtId="0" fontId="0" fillId="4" borderId="2" xfId="25" applyNumberFormat="1" applyBorder="1" applyAlignment="1" applyProtection="1">
      <alignment horizontal="center" vertical="center"/>
      <protection/>
    </xf>
    <xf numFmtId="0" fontId="3" fillId="4" borderId="2" xfId="25" applyNumberFormat="1" applyFont="1" applyBorder="1" applyAlignment="1" applyProtection="1">
      <alignment horizontal="center" vertical="center"/>
      <protection/>
    </xf>
    <xf numFmtId="4" fontId="0" fillId="3" borderId="2" xfId="24" applyNumberFormat="1" applyBorder="1" applyAlignment="1" applyProtection="1">
      <alignment horizontal="center" vertical="top" wrapText="1"/>
      <protection locked="0"/>
    </xf>
    <xf numFmtId="0" fontId="0" fillId="3" borderId="2" xfId="24" applyBorder="1" applyAlignment="1" applyProtection="1">
      <alignment horizontal="center" vertical="top" wrapText="1"/>
      <protection locked="0"/>
    </xf>
    <xf numFmtId="14" fontId="0" fillId="3" borderId="2" xfId="24" applyNumberFormat="1" applyBorder="1" applyAlignment="1" applyProtection="1">
      <alignment horizontal="center" vertical="top" wrapText="1"/>
      <protection locked="0"/>
    </xf>
    <xf numFmtId="164" fontId="0" fillId="3" borderId="3" xfId="24" applyNumberFormat="1" applyBorder="1" applyAlignment="1" applyProtection="1">
      <alignment horizontal="center" vertical="top" wrapText="1"/>
      <protection locked="0"/>
    </xf>
    <xf numFmtId="0" fontId="0" fillId="3" borderId="2" xfId="24" applyBorder="1" applyAlignment="1">
      <alignment horizontal="center" vertical="top" wrapText="1"/>
    </xf>
    <xf numFmtId="0" fontId="0" fillId="3" borderId="3" xfId="24" applyBorder="1" applyAlignment="1" applyProtection="1">
      <alignment horizontal="left" vertical="center" wrapText="1"/>
      <protection locked="0"/>
    </xf>
    <xf numFmtId="14" fontId="0" fillId="3" borderId="3" xfId="24" applyNumberFormat="1" applyBorder="1" applyAlignment="1" applyProtection="1">
      <alignment horizontal="center" vertical="top" wrapText="1"/>
      <protection locked="0"/>
    </xf>
    <xf numFmtId="0" fontId="0" fillId="3" borderId="3" xfId="24" applyBorder="1" applyAlignment="1" applyProtection="1">
      <alignment horizontal="center" vertical="top" wrapText="1"/>
      <protection locked="0"/>
    </xf>
    <xf numFmtId="4" fontId="0" fillId="3" borderId="3" xfId="24" applyNumberFormat="1" applyBorder="1" applyAlignment="1" applyProtection="1">
      <alignment horizontal="center" vertical="top" wrapText="1"/>
      <protection locked="0"/>
    </xf>
    <xf numFmtId="164" fontId="0" fillId="3" borderId="2" xfId="24" applyNumberFormat="1" applyBorder="1" applyAlignment="1" applyProtection="1">
      <alignment horizontal="center" vertical="top" wrapText="1"/>
      <protection locked="0"/>
    </xf>
    <xf numFmtId="0" fontId="0" fillId="3" borderId="3" xfId="24" applyBorder="1" applyAlignment="1" applyProtection="1">
      <alignment horizontal="center" vertical="top"/>
      <protection locked="0"/>
    </xf>
    <xf numFmtId="166" fontId="0" fillId="3" borderId="3" xfId="24" applyNumberFormat="1" applyBorder="1" applyAlignment="1" applyProtection="1">
      <alignment horizontal="center" vertical="top" wrapText="1"/>
      <protection locked="0"/>
    </xf>
    <xf numFmtId="3" fontId="0" fillId="3" borderId="3" xfId="24" applyNumberFormat="1" applyBorder="1" applyAlignment="1" applyProtection="1">
      <alignment horizontal="center" vertical="top" wrapText="1"/>
      <protection locked="0"/>
    </xf>
    <xf numFmtId="0" fontId="0" fillId="3" borderId="3" xfId="24" applyBorder="1" applyAlignment="1" applyProtection="1">
      <alignment horizontal="center" vertical="center" wrapText="1"/>
      <protection locked="0"/>
    </xf>
    <xf numFmtId="166" fontId="0" fillId="3" borderId="2" xfId="24" applyNumberFormat="1" applyBorder="1" applyAlignment="1" applyProtection="1">
      <alignment horizontal="center" vertical="top" wrapText="1"/>
      <protection locked="0"/>
    </xf>
    <xf numFmtId="1" fontId="0" fillId="0" borderId="3" xfId="0" applyNumberFormat="1" applyBorder="1" applyAlignment="1" applyProtection="1">
      <alignment horizontal="left" vertical="center" wrapText="1"/>
      <protection hidden="1"/>
    </xf>
    <xf numFmtId="4" fontId="0" fillId="3" borderId="3" xfId="24" applyNumberFormat="1" applyBorder="1" applyAlignment="1" applyProtection="1">
      <alignment horizontal="center" vertical="center" wrapText="1"/>
      <protection locked="0"/>
    </xf>
    <xf numFmtId="4" fontId="0" fillId="3" borderId="2" xfId="24" applyNumberFormat="1" applyBorder="1" applyAlignment="1" applyProtection="1">
      <alignment horizontal="center" vertical="center" wrapText="1"/>
      <protection locked="0"/>
    </xf>
    <xf numFmtId="2" fontId="0" fillId="3" borderId="3" xfId="24" applyNumberFormat="1" applyBorder="1" applyAlignment="1" applyProtection="1">
      <alignment horizontal="center" vertical="center" wrapText="1"/>
      <protection locked="0"/>
    </xf>
    <xf numFmtId="0" fontId="0" fillId="3" borderId="2" xfId="24" applyBorder="1" applyAlignment="1" applyProtection="1">
      <alignment horizontal="left" vertical="center" wrapText="1"/>
      <protection locked="0"/>
    </xf>
    <xf numFmtId="2" fontId="0" fillId="3" borderId="2" xfId="24" applyNumberFormat="1" applyBorder="1" applyAlignment="1" applyProtection="1">
      <alignment horizontal="center" vertical="center" wrapText="1"/>
      <protection locked="0"/>
    </xf>
    <xf numFmtId="166" fontId="0" fillId="3" borderId="2" xfId="24" applyNumberFormat="1" applyBorder="1" applyAlignment="1" applyProtection="1">
      <alignment horizontal="center" vertical="center" wrapText="1"/>
      <protection locked="0"/>
    </xf>
    <xf numFmtId="0" fontId="0" fillId="3" borderId="2" xfId="24" applyNumberFormat="1" applyBorder="1" applyAlignment="1" applyProtection="1">
      <alignment horizontal="center" vertical="center"/>
      <protection locked="0"/>
    </xf>
    <xf numFmtId="164" fontId="0" fillId="3" borderId="2" xfId="24" applyNumberFormat="1" applyBorder="1" applyAlignment="1" applyProtection="1">
      <alignment horizontal="center" vertical="center" wrapText="1"/>
      <protection locked="0"/>
    </xf>
    <xf numFmtId="165" fontId="0" fillId="3" borderId="2" xfId="24" applyNumberFormat="1" applyBorder="1" applyAlignment="1" applyProtection="1">
      <alignment horizontal="center" vertical="center" wrapText="1"/>
      <protection locked="0"/>
    </xf>
    <xf numFmtId="0" fontId="0" fillId="3" borderId="2" xfId="24" applyBorder="1" applyAlignment="1" applyProtection="1">
      <alignment horizontal="center" vertical="center" wrapText="1"/>
      <protection locked="0"/>
    </xf>
    <xf numFmtId="164" fontId="0" fillId="3" borderId="3" xfId="24" applyNumberFormat="1" applyBorder="1" applyAlignment="1" applyProtection="1">
      <alignment horizontal="center" vertical="center" wrapText="1"/>
      <protection locked="0"/>
    </xf>
    <xf numFmtId="3" fontId="0" fillId="3" borderId="2" xfId="24" applyNumberFormat="1" applyBorder="1" applyAlignment="1" applyProtection="1">
      <alignment horizontal="center" vertical="center" wrapText="1"/>
      <protection locked="0"/>
    </xf>
    <xf numFmtId="9" fontId="0" fillId="3" borderId="2" xfId="24" applyNumberFormat="1" applyBorder="1" applyAlignment="1" applyProtection="1">
      <alignment horizontal="center" vertical="center" wrapText="1"/>
      <protection locked="0"/>
    </xf>
    <xf numFmtId="165" fontId="0" fillId="3" borderId="2" xfId="24" applyNumberFormat="1" applyBorder="1" applyAlignment="1" applyProtection="1">
      <alignment horizontal="center" vertical="top" wrapText="1"/>
      <protection locked="0"/>
    </xf>
    <xf numFmtId="0" fontId="2" fillId="2" borderId="28" xfId="23" applyBorder="1" applyAlignment="1" applyProtection="1">
      <alignment horizontal="center" vertical="center" wrapText="1"/>
      <protection/>
    </xf>
    <xf numFmtId="0" fontId="2" fillId="2" borderId="28" xfId="23" applyBorder="1" applyAlignment="1" applyProtection="1">
      <alignment horizontal="center" vertical="center"/>
      <protection/>
    </xf>
    <xf numFmtId="0" fontId="46" fillId="2" borderId="28" xfId="23" applyNumberFormat="1" applyFont="1" applyBorder="1" applyAlignment="1" applyProtection="1">
      <alignment horizontal="center" vertical="center" wrapText="1"/>
      <protection hidden="1"/>
    </xf>
    <xf numFmtId="14" fontId="0" fillId="3" borderId="2" xfId="24" applyNumberFormat="1" applyBorder="1" applyAlignment="1" applyProtection="1">
      <alignment horizontal="center" vertical="center" wrapText="1"/>
      <protection locked="0"/>
    </xf>
    <xf numFmtId="4" fontId="3" fillId="4" borderId="2" xfId="25" applyNumberFormat="1" applyFont="1" applyBorder="1" applyAlignment="1">
      <alignment wrapText="1"/>
    </xf>
    <xf numFmtId="0" fontId="2" fillId="2" borderId="1" xfId="23" applyNumberFormat="1" applyBorder="1" applyAlignment="1" applyProtection="1">
      <alignment horizontal="center" vertical="center" wrapText="1"/>
      <protection/>
    </xf>
    <xf numFmtId="0" fontId="19" fillId="0" borderId="0" xfId="0" applyFont="1"/>
    <xf numFmtId="0" fontId="0" fillId="0" borderId="3" xfId="20" applyFont="1" applyBorder="1" applyAlignment="1">
      <alignment horizontal="center" vertical="center" wrapText="1"/>
    </xf>
    <xf numFmtId="164" fontId="0" fillId="4" borderId="2" xfId="26" applyNumberFormat="1" applyFill="1" applyBorder="1" applyAlignment="1" applyProtection="1">
      <alignment horizontal="center" vertical="top" wrapText="1"/>
      <protection/>
    </xf>
    <xf numFmtId="171" fontId="34" fillId="0" borderId="20" xfId="0" applyNumberFormat="1" applyFont="1" applyBorder="1" applyAlignment="1">
      <alignment horizontal="center"/>
    </xf>
    <xf numFmtId="4" fontId="34" fillId="0" borderId="20" xfId="0" applyNumberFormat="1" applyFont="1" applyBorder="1" applyAlignment="1">
      <alignment horizontal="center"/>
    </xf>
    <xf numFmtId="172" fontId="0" fillId="0" borderId="5" xfId="0" applyNumberFormat="1" applyBorder="1" applyAlignment="1">
      <alignment vertical="top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4" fontId="0" fillId="0" borderId="3" xfId="24" applyNumberFormat="1" applyFill="1" applyBorder="1" applyAlignment="1" applyProtection="1">
      <alignment horizontal="center" vertical="center" wrapText="1"/>
      <protection locked="0"/>
    </xf>
    <xf numFmtId="164" fontId="0" fillId="0" borderId="2" xfId="24" applyNumberFormat="1" applyFill="1" applyBorder="1" applyAlignment="1" applyProtection="1">
      <alignment horizontal="center" vertical="center" wrapText="1"/>
      <protection locked="0"/>
    </xf>
    <xf numFmtId="0" fontId="0" fillId="3" borderId="3" xfId="24" applyFont="1" applyBorder="1" applyAlignment="1" applyProtection="1">
      <alignment horizontal="left" vertical="center" wrapText="1"/>
      <protection locked="0"/>
    </xf>
    <xf numFmtId="0" fontId="0" fillId="3" borderId="2" xfId="24" applyFont="1" applyBorder="1" applyAlignment="1" applyProtection="1">
      <alignment horizontal="left" vertical="center" wrapText="1"/>
      <protection locked="0"/>
    </xf>
    <xf numFmtId="0" fontId="0" fillId="5" borderId="0" xfId="0" applyFill="1" applyAlignment="1">
      <alignment horizontal="center" vertical="top" wrapText="1"/>
    </xf>
    <xf numFmtId="0" fontId="0" fillId="5" borderId="0" xfId="0" applyFill="1" applyAlignment="1">
      <alignment horizontal="left" wrapText="1"/>
    </xf>
    <xf numFmtId="164" fontId="0" fillId="0" borderId="0" xfId="24" applyNumberFormat="1" applyFill="1" applyBorder="1" applyAlignment="1" applyProtection="1">
      <alignment horizontal="center" vertical="center" wrapText="1"/>
      <protection locked="0"/>
    </xf>
    <xf numFmtId="165" fontId="3" fillId="4" borderId="3" xfId="25" applyNumberFormat="1" applyFont="1" applyBorder="1" applyAlignment="1" applyProtection="1">
      <alignment horizontal="center" vertical="top" wrapText="1"/>
      <protection/>
    </xf>
    <xf numFmtId="173" fontId="0" fillId="3" borderId="3" xfId="0" applyNumberFormat="1" applyFill="1" applyBorder="1" applyAlignment="1" applyProtection="1">
      <alignment horizontal="center" vertical="center" wrapText="1"/>
      <protection locked="0"/>
    </xf>
    <xf numFmtId="0" fontId="0" fillId="0" borderId="0" xfId="25" applyNumberFormat="1" applyFill="1" applyBorder="1" applyAlignment="1" applyProtection="1">
      <alignment horizontal="left" vertical="top" wrapText="1"/>
      <protection/>
    </xf>
    <xf numFmtId="0" fontId="0" fillId="0" borderId="0" xfId="25" applyNumberFormat="1" applyFill="1" applyBorder="1" applyAlignment="1" applyProtection="1">
      <alignment horizontal="center" vertical="top" wrapText="1"/>
      <protection/>
    </xf>
    <xf numFmtId="165" fontId="3" fillId="0" borderId="0" xfId="25" applyNumberFormat="1" applyFont="1" applyFill="1" applyBorder="1" applyAlignment="1" applyProtection="1">
      <alignment horizontal="center" vertical="top" wrapText="1"/>
      <protection/>
    </xf>
    <xf numFmtId="165" fontId="0" fillId="0" borderId="0" xfId="25" applyNumberFormat="1" applyFill="1" applyBorder="1" applyAlignment="1" applyProtection="1">
      <alignment horizontal="center" vertical="top" wrapText="1"/>
      <protection/>
    </xf>
    <xf numFmtId="174" fontId="0" fillId="5" borderId="2" xfId="0" applyNumberFormat="1" applyFill="1" applyBorder="1" applyAlignment="1">
      <alignment horizontal="center" vertical="top" wrapText="1"/>
    </xf>
    <xf numFmtId="175" fontId="0" fillId="0" borderId="0" xfId="25" applyNumberFormat="1" applyFill="1" applyBorder="1" applyAlignment="1" applyProtection="1">
      <alignment horizontal="center" vertical="top" wrapText="1"/>
      <protection/>
    </xf>
    <xf numFmtId="165" fontId="0" fillId="0" borderId="2" xfId="25" applyNumberFormat="1" applyFill="1" applyBorder="1" applyAlignment="1" applyProtection="1">
      <alignment horizontal="center" vertical="top" wrapText="1"/>
      <protection/>
    </xf>
    <xf numFmtId="165" fontId="0" fillId="0" borderId="20" xfId="0" applyNumberFormat="1" applyBorder="1" applyAlignment="1">
      <alignment horizontal="center" vertical="top" wrapText="1"/>
    </xf>
    <xf numFmtId="167" fontId="3" fillId="0" borderId="2" xfId="0" applyNumberFormat="1" applyFont="1" applyBorder="1" applyAlignment="1">
      <alignment horizontal="center" vertical="top" wrapText="1"/>
    </xf>
    <xf numFmtId="167" fontId="0" fillId="0" borderId="2" xfId="0" applyNumberFormat="1" applyBorder="1" applyAlignment="1">
      <alignment horizontal="center" vertical="top" wrapText="1"/>
    </xf>
    <xf numFmtId="4" fontId="0" fillId="0" borderId="0" xfId="0" applyNumberFormat="1" applyProtection="1">
      <protection hidden="1"/>
    </xf>
    <xf numFmtId="3" fontId="0" fillId="0" borderId="2" xfId="24" applyNumberFormat="1" applyFill="1" applyBorder="1" applyAlignment="1" applyProtection="1">
      <alignment horizontal="center" vertical="center" wrapText="1"/>
      <protection/>
    </xf>
    <xf numFmtId="164" fontId="0" fillId="0" borderId="3" xfId="24" applyNumberFormat="1" applyFill="1" applyBorder="1" applyAlignment="1" applyProtection="1">
      <alignment horizontal="center" vertical="center" wrapText="1"/>
      <protection/>
    </xf>
    <xf numFmtId="164" fontId="0" fillId="0" borderId="2" xfId="24" applyNumberFormat="1" applyFill="1" applyBorder="1" applyAlignment="1" applyProtection="1">
      <alignment horizontal="center" vertical="center" wrapText="1"/>
      <protection/>
    </xf>
    <xf numFmtId="173" fontId="0" fillId="0" borderId="3" xfId="0" applyNumberFormat="1" applyBorder="1" applyAlignment="1">
      <alignment horizontal="center" vertical="center" wrapText="1"/>
    </xf>
    <xf numFmtId="173" fontId="0" fillId="0" borderId="3" xfId="0" applyNumberFormat="1" applyBorder="1" applyAlignment="1" applyProtection="1">
      <alignment horizontal="center" vertical="center" wrapText="1"/>
      <protection hidden="1"/>
    </xf>
    <xf numFmtId="0" fontId="0" fillId="3" borderId="14" xfId="24" applyBorder="1" applyAlignment="1" applyProtection="1">
      <alignment horizontal="left" vertical="center"/>
      <protection locked="0"/>
    </xf>
    <xf numFmtId="0" fontId="0" fillId="3" borderId="29" xfId="24" applyBorder="1" applyAlignment="1" applyProtection="1">
      <alignment horizontal="left" vertical="center"/>
      <protection locked="0"/>
    </xf>
    <xf numFmtId="0" fontId="0" fillId="3" borderId="30" xfId="24" applyBorder="1" applyAlignment="1" applyProtection="1">
      <alignment horizontal="left" vertical="center"/>
      <protection locked="0"/>
    </xf>
    <xf numFmtId="0" fontId="47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0" fillId="0" borderId="0" xfId="25" applyNumberFormat="1" applyFill="1" applyBorder="1" applyAlignment="1" applyProtection="1">
      <alignment horizontal="left" vertical="top" wrapText="1"/>
      <protection hidden="1"/>
    </xf>
    <xf numFmtId="164" fontId="0" fillId="0" borderId="0" xfId="0" applyNumberFormat="1" applyAlignment="1" applyProtection="1">
      <alignment horizontal="center" vertical="center" wrapText="1"/>
      <protection hidden="1"/>
    </xf>
    <xf numFmtId="4" fontId="0" fillId="0" borderId="0" xfId="0" applyNumberFormat="1" applyAlignment="1" applyProtection="1">
      <alignment horizontal="center" vertical="center" wrapText="1"/>
      <protection hidden="1"/>
    </xf>
    <xf numFmtId="164" fontId="0" fillId="0" borderId="0" xfId="25" applyNumberFormat="1" applyFill="1" applyBorder="1" applyAlignment="1" applyProtection="1">
      <alignment horizontal="center" vertical="top" wrapText="1"/>
      <protection hidden="1"/>
    </xf>
    <xf numFmtId="0" fontId="2" fillId="0" borderId="0" xfId="23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 vertical="center" wrapText="1"/>
    </xf>
    <xf numFmtId="0" fontId="2" fillId="0" borderId="0" xfId="23" applyFill="1" applyBorder="1" applyAlignment="1">
      <alignment horizontal="center" vertical="center" wrapText="1"/>
    </xf>
    <xf numFmtId="0" fontId="0" fillId="0" borderId="0" xfId="24" applyFill="1" applyBorder="1" applyAlignment="1" applyProtection="1">
      <alignment horizontal="left" vertical="center" wrapText="1"/>
      <protection locked="0"/>
    </xf>
    <xf numFmtId="4" fontId="0" fillId="0" borderId="0" xfId="24" applyNumberFormat="1" applyFill="1" applyBorder="1" applyAlignment="1" applyProtection="1">
      <alignment horizontal="center" vertical="center" wrapText="1"/>
      <protection locked="0"/>
    </xf>
    <xf numFmtId="4" fontId="0" fillId="0" borderId="0" xfId="25" applyNumberFormat="1" applyFill="1" applyBorder="1" applyAlignment="1">
      <alignment vertical="center" wrapText="1"/>
    </xf>
    <xf numFmtId="4" fontId="0" fillId="0" borderId="0" xfId="25" applyNumberForma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0" fontId="23" fillId="0" borderId="0" xfId="0" applyFont="1" applyAlignment="1">
      <alignment horizontal="left" vertical="top" wrapText="1" indent="1"/>
    </xf>
    <xf numFmtId="0" fontId="23" fillId="0" borderId="0" xfId="0" applyFont="1" applyAlignment="1">
      <alignment horizontal="center" vertical="top" wrapText="1"/>
    </xf>
    <xf numFmtId="165" fontId="23" fillId="0" borderId="0" xfId="0" applyNumberFormat="1" applyFont="1" applyAlignment="1">
      <alignment horizontal="center" vertical="top" wrapText="1"/>
    </xf>
    <xf numFmtId="164" fontId="0" fillId="0" borderId="0" xfId="0" applyNumberFormat="1" applyAlignment="1">
      <alignment horizontal="center" vertical="top" wrapText="1"/>
    </xf>
    <xf numFmtId="164" fontId="23" fillId="0" borderId="0" xfId="0" applyNumberFormat="1" applyFont="1" applyAlignment="1">
      <alignment horizontal="center" vertical="top" wrapText="1"/>
    </xf>
    <xf numFmtId="0" fontId="2" fillId="0" borderId="0" xfId="23" applyFill="1" applyBorder="1" applyAlignment="1" applyProtection="1">
      <alignment horizontal="center" vertical="center" wrapText="1"/>
      <protection/>
    </xf>
    <xf numFmtId="0" fontId="2" fillId="0" borderId="0" xfId="23" applyFill="1" applyBorder="1" applyAlignment="1" applyProtection="1">
      <alignment horizontal="center" vertical="center"/>
      <protection/>
    </xf>
    <xf numFmtId="0" fontId="0" fillId="0" borderId="0" xfId="0" applyAlignment="1">
      <alignment horizontal="center" vertical="top"/>
    </xf>
    <xf numFmtId="164" fontId="3" fillId="0" borderId="0" xfId="25" applyNumberFormat="1" applyFont="1" applyFill="1" applyBorder="1" applyAlignment="1" applyProtection="1">
      <alignment horizontal="center" vertical="top" wrapText="1"/>
      <protection/>
    </xf>
    <xf numFmtId="0" fontId="0" fillId="0" borderId="0" xfId="25" applyNumberFormat="1" applyFill="1" applyBorder="1" applyAlignment="1" applyProtection="1">
      <alignment horizontal="center" vertical="center" wrapText="1"/>
      <protection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0" xfId="25" applyNumberFormat="1" applyFill="1" applyBorder="1" applyAlignment="1" applyProtection="1">
      <alignment horizontal="center" vertical="center" wrapText="1"/>
      <protection/>
    </xf>
    <xf numFmtId="0" fontId="48" fillId="0" borderId="0" xfId="0" applyFont="1" applyAlignment="1">
      <alignment vertical="top"/>
    </xf>
    <xf numFmtId="0" fontId="49" fillId="0" borderId="0" xfId="0" applyFont="1"/>
    <xf numFmtId="14" fontId="50" fillId="2" borderId="25" xfId="23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top"/>
    </xf>
    <xf numFmtId="10" fontId="0" fillId="0" borderId="3" xfId="0" applyNumberFormat="1" applyBorder="1" applyAlignment="1" applyProtection="1">
      <alignment vertical="center" wrapText="1"/>
      <protection hidden="1"/>
    </xf>
    <xf numFmtId="9" fontId="0" fillId="0" borderId="0" xfId="26" applyFont="1"/>
    <xf numFmtId="0" fontId="0" fillId="0" borderId="20" xfId="0" applyBorder="1"/>
    <xf numFmtId="9" fontId="0" fillId="0" borderId="20" xfId="26" applyFont="1" applyBorder="1"/>
    <xf numFmtId="0" fontId="0" fillId="0" borderId="20" xfId="20" applyFont="1" applyBorder="1" applyAlignment="1" applyProtection="1">
      <alignment horizontal="center" vertical="center" wrapText="1"/>
      <protection/>
    </xf>
    <xf numFmtId="0" fontId="0" fillId="0" borderId="0" xfId="0" applyAlignment="1" applyProtection="1">
      <alignment wrapText="1"/>
      <protection locked="0"/>
    </xf>
    <xf numFmtId="0" fontId="9" fillId="6" borderId="31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10" fillId="6" borderId="31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6" borderId="3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0" fillId="0" borderId="0" xfId="0" applyAlignment="1" applyProtection="1">
      <alignment horizontal="left" vertical="top" wrapText="1"/>
      <protection hidden="1"/>
    </xf>
    <xf numFmtId="0" fontId="3" fillId="0" borderId="0" xfId="0" applyFont="1" applyAlignment="1">
      <alignment horizontal="center"/>
    </xf>
    <xf numFmtId="0" fontId="2" fillId="0" borderId="0" xfId="23" applyFill="1" applyBorder="1" applyAlignment="1" applyProtection="1">
      <alignment horizontal="center" vertical="center" wrapText="1"/>
      <protection hidden="1"/>
    </xf>
    <xf numFmtId="0" fontId="0" fillId="0" borderId="0" xfId="25" applyNumberFormat="1" applyFill="1" applyBorder="1" applyAlignment="1" applyProtection="1">
      <alignment horizontal="left" vertical="top" wrapText="1"/>
      <protection hidden="1"/>
    </xf>
    <xf numFmtId="0" fontId="0" fillId="0" borderId="0" xfId="25" applyNumberFormat="1" applyFill="1" applyBorder="1" applyAlignment="1">
      <alignment wrapText="1"/>
    </xf>
    <xf numFmtId="0" fontId="14" fillId="2" borderId="28" xfId="23" applyFont="1" applyBorder="1" applyAlignment="1" applyProtection="1">
      <alignment horizontal="center" vertical="center" wrapText="1"/>
      <protection hidden="1"/>
    </xf>
    <xf numFmtId="0" fontId="14" fillId="2" borderId="26" xfId="23" applyFont="1" applyBorder="1" applyAlignment="1" applyProtection="1">
      <alignment horizontal="center" vertical="center" wrapText="1"/>
      <protection hidden="1"/>
    </xf>
    <xf numFmtId="0" fontId="14" fillId="2" borderId="25" xfId="23" applyFont="1" applyBorder="1" applyAlignment="1" applyProtection="1">
      <alignment horizontal="center" vertical="center" wrapText="1"/>
      <protection hidden="1"/>
    </xf>
    <xf numFmtId="0" fontId="2" fillId="2" borderId="1" xfId="23" applyBorder="1" applyAlignment="1" applyProtection="1">
      <alignment horizontal="center" vertical="center" wrapText="1"/>
      <protection hidden="1"/>
    </xf>
    <xf numFmtId="0" fontId="14" fillId="2" borderId="1" xfId="23" applyFont="1" applyBorder="1" applyAlignment="1" applyProtection="1">
      <alignment horizontal="center" vertical="center" wrapText="1"/>
      <protection hidden="1"/>
    </xf>
    <xf numFmtId="0" fontId="2" fillId="2" borderId="28" xfId="23" applyBorder="1" applyAlignment="1" applyProtection="1">
      <alignment horizontal="center" vertical="center" wrapText="1"/>
      <protection hidden="1"/>
    </xf>
    <xf numFmtId="0" fontId="2" fillId="2" borderId="26" xfId="23" applyBorder="1" applyAlignment="1" applyProtection="1">
      <alignment horizontal="center" vertical="center" wrapText="1"/>
      <protection hidden="1"/>
    </xf>
    <xf numFmtId="0" fontId="2" fillId="2" borderId="25" xfId="23" applyBorder="1" applyAlignment="1" applyProtection="1">
      <alignment horizontal="center" vertical="center" wrapText="1"/>
      <protection hidden="1"/>
    </xf>
    <xf numFmtId="0" fontId="2" fillId="2" borderId="33" xfId="23" applyBorder="1" applyAlignment="1" applyProtection="1">
      <alignment horizontal="center" vertical="center" wrapText="1"/>
      <protection hidden="1"/>
    </xf>
    <xf numFmtId="0" fontId="2" fillId="2" borderId="34" xfId="23" applyBorder="1" applyAlignment="1" applyProtection="1">
      <alignment horizontal="center" vertical="center" wrapText="1"/>
      <protection hidden="1"/>
    </xf>
    <xf numFmtId="0" fontId="2" fillId="2" borderId="35" xfId="23" applyBorder="1" applyAlignment="1" applyProtection="1">
      <alignment horizontal="center" vertical="center" wrapText="1"/>
      <protection hidden="1"/>
    </xf>
    <xf numFmtId="0" fontId="2" fillId="2" borderId="18" xfId="23" applyBorder="1" applyAlignment="1" applyProtection="1">
      <alignment horizontal="center" vertical="center" wrapText="1"/>
      <protection hidden="1"/>
    </xf>
    <xf numFmtId="0" fontId="2" fillId="2" borderId="0" xfId="23" applyBorder="1" applyAlignment="1" applyProtection="1">
      <alignment horizontal="center" vertical="center" wrapText="1"/>
      <protection hidden="1"/>
    </xf>
    <xf numFmtId="0" fontId="2" fillId="2" borderId="6" xfId="23" applyBorder="1" applyAlignment="1" applyProtection="1">
      <alignment horizontal="center" vertical="center" wrapText="1"/>
      <protection hidden="1"/>
    </xf>
    <xf numFmtId="0" fontId="2" fillId="2" borderId="15" xfId="23" applyBorder="1" applyAlignment="1" applyProtection="1">
      <alignment horizontal="center" vertical="center" wrapText="1"/>
      <protection hidden="1"/>
    </xf>
    <xf numFmtId="0" fontId="2" fillId="2" borderId="5" xfId="23" applyBorder="1" applyAlignment="1" applyProtection="1">
      <alignment horizontal="center" vertical="center" wrapText="1"/>
      <protection hidden="1"/>
    </xf>
    <xf numFmtId="0" fontId="2" fillId="2" borderId="16" xfId="23" applyBorder="1" applyAlignment="1" applyProtection="1">
      <alignment horizontal="center" vertical="center" wrapText="1"/>
      <protection hidden="1"/>
    </xf>
    <xf numFmtId="0" fontId="13" fillId="0" borderId="28" xfId="0" applyFont="1" applyBorder="1" applyAlignment="1" applyProtection="1">
      <alignment horizontal="center" vertical="center" wrapText="1"/>
      <protection hidden="1"/>
    </xf>
    <xf numFmtId="0" fontId="13" fillId="0" borderId="26" xfId="0" applyFont="1" applyBorder="1" applyAlignment="1" applyProtection="1">
      <alignment horizontal="center" vertical="center" wrapText="1"/>
      <protection hidden="1"/>
    </xf>
    <xf numFmtId="0" fontId="13" fillId="0" borderId="25" xfId="0" applyFont="1" applyBorder="1" applyAlignment="1" applyProtection="1">
      <alignment horizontal="center" vertical="center" wrapText="1"/>
      <protection hidden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5" borderId="14" xfId="0" applyFill="1" applyBorder="1" applyAlignment="1" applyProtection="1">
      <alignment horizontal="left"/>
      <protection hidden="1"/>
    </xf>
    <xf numFmtId="0" fontId="0" fillId="5" borderId="29" xfId="0" applyFill="1" applyBorder="1" applyAlignment="1" applyProtection="1">
      <alignment horizontal="left"/>
      <protection hidden="1"/>
    </xf>
    <xf numFmtId="0" fontId="0" fillId="5" borderId="30" xfId="0" applyFill="1" applyBorder="1" applyAlignment="1" applyProtection="1">
      <alignment horizontal="left"/>
      <protection hidden="1"/>
    </xf>
    <xf numFmtId="0" fontId="0" fillId="5" borderId="4" xfId="0" applyFill="1" applyBorder="1" applyAlignment="1" applyProtection="1">
      <alignment horizontal="left"/>
      <protection hidden="1"/>
    </xf>
    <xf numFmtId="0" fontId="0" fillId="5" borderId="23" xfId="0" applyFill="1" applyBorder="1" applyAlignment="1" applyProtection="1">
      <alignment horizontal="left"/>
      <protection hidden="1"/>
    </xf>
    <xf numFmtId="0" fontId="0" fillId="5" borderId="24" xfId="0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2" fillId="2" borderId="36" xfId="23" applyBorder="1" applyAlignment="1" applyProtection="1">
      <alignment horizontal="center" vertical="center" wrapText="1"/>
      <protection hidden="1"/>
    </xf>
    <xf numFmtId="0" fontId="2" fillId="2" borderId="37" xfId="23" applyBorder="1" applyAlignment="1" applyProtection="1">
      <alignment horizontal="center" vertical="center" wrapText="1"/>
      <protection hidden="1"/>
    </xf>
    <xf numFmtId="0" fontId="2" fillId="2" borderId="27" xfId="23" applyBorder="1" applyAlignment="1" applyProtection="1">
      <alignment horizontal="center" vertical="center" wrapText="1"/>
      <protection hidden="1"/>
    </xf>
    <xf numFmtId="0" fontId="0" fillId="4" borderId="14" xfId="25" applyNumberFormat="1" applyBorder="1" applyAlignment="1" applyProtection="1">
      <alignment horizontal="left" vertical="center" wrapText="1"/>
      <protection hidden="1"/>
    </xf>
    <xf numFmtId="0" fontId="0" fillId="4" borderId="29" xfId="25" applyNumberFormat="1" applyBorder="1" applyAlignment="1" applyProtection="1">
      <alignment horizontal="left" vertical="center" wrapText="1"/>
      <protection hidden="1"/>
    </xf>
    <xf numFmtId="0" fontId="0" fillId="4" borderId="30" xfId="25" applyNumberFormat="1" applyBorder="1" applyAlignment="1" applyProtection="1">
      <alignment horizontal="left" vertical="center" wrapText="1"/>
      <protection hidden="1"/>
    </xf>
    <xf numFmtId="0" fontId="0" fillId="0" borderId="0" xfId="25" applyNumberFormat="1" applyFill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 applyProtection="1">
      <alignment horizontal="left" vertical="center"/>
      <protection hidden="1"/>
    </xf>
    <xf numFmtId="0" fontId="0" fillId="5" borderId="23" xfId="0" applyFill="1" applyBorder="1" applyAlignment="1" applyProtection="1">
      <alignment horizontal="left" vertical="center"/>
      <protection hidden="1"/>
    </xf>
    <xf numFmtId="0" fontId="0" fillId="5" borderId="24" xfId="0" applyFill="1" applyBorder="1" applyAlignment="1" applyProtection="1">
      <alignment horizontal="left" vertical="center"/>
      <protection hidden="1"/>
    </xf>
    <xf numFmtId="0" fontId="0" fillId="5" borderId="4" xfId="0" applyFill="1" applyBorder="1" applyAlignment="1" applyProtection="1">
      <alignment horizontal="left" wrapText="1"/>
      <protection hidden="1"/>
    </xf>
    <xf numFmtId="0" fontId="0" fillId="5" borderId="23" xfId="0" applyFill="1" applyBorder="1" applyAlignment="1" applyProtection="1">
      <alignment horizontal="left" wrapText="1"/>
      <protection hidden="1"/>
    </xf>
    <xf numFmtId="0" fontId="0" fillId="5" borderId="24" xfId="0" applyFill="1" applyBorder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4" borderId="17" xfId="25" applyNumberFormat="1" applyBorder="1" applyAlignment="1" applyProtection="1">
      <alignment horizontal="left" vertical="center" wrapText="1"/>
      <protection hidden="1"/>
    </xf>
    <xf numFmtId="0" fontId="0" fillId="4" borderId="3" xfId="25" applyNumberFormat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 applyProtection="1">
      <alignment horizontal="left" vertical="center" wrapText="1"/>
      <protection hidden="1"/>
    </xf>
    <xf numFmtId="0" fontId="0" fillId="5" borderId="23" xfId="0" applyFill="1" applyBorder="1" applyAlignment="1" applyProtection="1">
      <alignment horizontal="left" vertical="center" wrapText="1"/>
      <protection hidden="1"/>
    </xf>
    <xf numFmtId="0" fontId="0" fillId="5" borderId="24" xfId="0" applyFill="1" applyBorder="1" applyAlignment="1" applyProtection="1">
      <alignment horizontal="left" vertical="center" wrapText="1"/>
      <protection hidden="1"/>
    </xf>
    <xf numFmtId="0" fontId="0" fillId="4" borderId="38" xfId="25" applyNumberFormat="1" applyBorder="1" applyAlignment="1" applyProtection="1">
      <alignment horizontal="left" vertical="center" wrapText="1"/>
      <protection hidden="1"/>
    </xf>
    <xf numFmtId="0" fontId="0" fillId="4" borderId="39" xfId="25" applyNumberFormat="1" applyBorder="1" applyAlignment="1" applyProtection="1">
      <alignment horizontal="left" vertical="center" wrapText="1"/>
      <protection hidden="1"/>
    </xf>
    <xf numFmtId="0" fontId="0" fillId="4" borderId="40" xfId="25" applyNumberFormat="1" applyBorder="1" applyAlignment="1" applyProtection="1">
      <alignment horizontal="left" vertical="center" wrapText="1"/>
      <protection hidden="1"/>
    </xf>
    <xf numFmtId="0" fontId="0" fillId="5" borderId="38" xfId="0" applyFill="1" applyBorder="1" applyAlignment="1" applyProtection="1">
      <alignment horizontal="left" vertical="center"/>
      <protection hidden="1"/>
    </xf>
    <xf numFmtId="0" fontId="0" fillId="5" borderId="39" xfId="0" applyFill="1" applyBorder="1" applyAlignment="1" applyProtection="1">
      <alignment horizontal="left" vertical="center"/>
      <protection hidden="1"/>
    </xf>
    <xf numFmtId="0" fontId="0" fillId="5" borderId="40" xfId="0" applyFill="1" applyBorder="1" applyAlignment="1" applyProtection="1">
      <alignment horizontal="left" vertical="center"/>
      <protection hidden="1"/>
    </xf>
    <xf numFmtId="0" fontId="0" fillId="4" borderId="38" xfId="25" applyNumberFormat="1" applyBorder="1" applyAlignment="1" applyProtection="1">
      <alignment horizontal="left" wrapText="1"/>
      <protection hidden="1"/>
    </xf>
    <xf numFmtId="0" fontId="0" fillId="4" borderId="39" xfId="25" applyNumberFormat="1" applyBorder="1" applyAlignment="1" applyProtection="1">
      <alignment horizontal="left" wrapText="1"/>
      <protection hidden="1"/>
    </xf>
    <xf numFmtId="0" fontId="0" fillId="4" borderId="40" xfId="25" applyNumberFormat="1" applyBorder="1" applyAlignment="1" applyProtection="1">
      <alignment horizontal="left" wrapText="1"/>
      <protection hidden="1"/>
    </xf>
    <xf numFmtId="0" fontId="0" fillId="4" borderId="14" xfId="25" applyNumberFormat="1" applyBorder="1" applyAlignment="1" applyProtection="1">
      <alignment horizontal="left" wrapText="1"/>
      <protection hidden="1"/>
    </xf>
    <xf numFmtId="0" fontId="0" fillId="4" borderId="29" xfId="25" applyNumberFormat="1" applyBorder="1" applyAlignment="1" applyProtection="1">
      <alignment horizontal="left" wrapText="1"/>
      <protection hidden="1"/>
    </xf>
    <xf numFmtId="0" fontId="0" fillId="4" borderId="30" xfId="25" applyNumberFormat="1" applyBorder="1" applyAlignment="1" applyProtection="1">
      <alignment horizontal="left" wrapText="1"/>
      <protection hidden="1"/>
    </xf>
    <xf numFmtId="0" fontId="0" fillId="4" borderId="41" xfId="25" applyNumberFormat="1" applyBorder="1" applyAlignment="1" applyProtection="1">
      <alignment horizontal="left" vertical="center" wrapText="1"/>
      <protection hidden="1"/>
    </xf>
    <xf numFmtId="0" fontId="0" fillId="4" borderId="42" xfId="25" applyNumberFormat="1" applyBorder="1" applyAlignment="1" applyProtection="1">
      <alignment horizontal="left" vertical="center" wrapText="1"/>
      <protection hidden="1"/>
    </xf>
    <xf numFmtId="0" fontId="0" fillId="4" borderId="0" xfId="25" applyNumberFormat="1" applyBorder="1" applyAlignment="1" applyProtection="1">
      <alignment horizontal="left" vertical="center" wrapText="1"/>
      <protection hidden="1"/>
    </xf>
    <xf numFmtId="0" fontId="0" fillId="4" borderId="43" xfId="25" applyNumberFormat="1" applyBorder="1" applyAlignment="1" applyProtection="1">
      <alignment horizontal="left" vertical="center" wrapText="1"/>
      <protection hidden="1"/>
    </xf>
    <xf numFmtId="0" fontId="0" fillId="5" borderId="14" xfId="0" applyFill="1" applyBorder="1" applyAlignment="1" applyProtection="1">
      <alignment horizontal="left" vertical="center"/>
      <protection hidden="1"/>
    </xf>
    <xf numFmtId="0" fontId="0" fillId="5" borderId="29" xfId="0" applyFill="1" applyBorder="1" applyAlignment="1" applyProtection="1">
      <alignment horizontal="left" vertical="center"/>
      <protection hidden="1"/>
    </xf>
    <xf numFmtId="0" fontId="0" fillId="5" borderId="30" xfId="0" applyFill="1" applyBorder="1" applyAlignment="1" applyProtection="1">
      <alignment horizontal="left" vertical="center"/>
      <protection hidden="1"/>
    </xf>
    <xf numFmtId="0" fontId="0" fillId="5" borderId="38" xfId="0" applyFill="1" applyBorder="1" applyAlignment="1" applyProtection="1">
      <alignment horizontal="left" vertical="center" wrapText="1"/>
      <protection hidden="1"/>
    </xf>
    <xf numFmtId="0" fontId="0" fillId="0" borderId="39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5" borderId="17" xfId="0" applyFill="1" applyBorder="1" applyAlignment="1" applyProtection="1">
      <alignment horizontal="left" vertical="center" wrapText="1"/>
      <protection hidden="1"/>
    </xf>
    <xf numFmtId="0" fontId="0" fillId="0" borderId="3" xfId="0" applyBorder="1" applyAlignment="1">
      <alignment horizontal="left" vertical="center" wrapText="1"/>
    </xf>
    <xf numFmtId="0" fontId="3" fillId="5" borderId="4" xfId="0" applyFont="1" applyFill="1" applyBorder="1" applyAlignment="1" applyProtection="1">
      <alignment horizontal="left" wrapText="1"/>
      <protection hidden="1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2" fillId="2" borderId="26" xfId="23" applyBorder="1" applyAlignment="1" applyProtection="1">
      <alignment horizontal="center" vertical="center" wrapText="1"/>
      <protection/>
    </xf>
    <xf numFmtId="0" fontId="2" fillId="2" borderId="44" xfId="23" applyBorder="1" applyAlignment="1" applyProtection="1">
      <alignment horizontal="center" vertical="center" wrapText="1"/>
      <protection/>
    </xf>
    <xf numFmtId="0" fontId="16" fillId="0" borderId="0" xfId="0" applyFont="1" applyAlignment="1">
      <alignment horizontal="center" vertical="top"/>
    </xf>
    <xf numFmtId="0" fontId="0" fillId="0" borderId="1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9" fontId="0" fillId="3" borderId="17" xfId="24" applyNumberFormat="1" applyBorder="1" applyAlignment="1" applyProtection="1">
      <alignment horizontal="center" vertical="center" wrapText="1"/>
      <protection locked="0"/>
    </xf>
    <xf numFmtId="0" fontId="0" fillId="3" borderId="3" xfId="24" applyBorder="1" applyAlignment="1">
      <alignment horizontal="center" vertical="center" wrapText="1"/>
    </xf>
    <xf numFmtId="0" fontId="2" fillId="2" borderId="1" xfId="23" applyBorder="1" applyAlignment="1">
      <alignment horizontal="center" vertical="center" wrapText="1"/>
    </xf>
    <xf numFmtId="0" fontId="2" fillId="2" borderId="28" xfId="23" applyBorder="1" applyAlignment="1">
      <alignment horizontal="center" vertical="center" wrapText="1"/>
    </xf>
    <xf numFmtId="0" fontId="2" fillId="2" borderId="26" xfId="23" applyBorder="1" applyAlignment="1">
      <alignment horizontal="center" vertical="center" wrapText="1"/>
    </xf>
    <xf numFmtId="0" fontId="2" fillId="2" borderId="25" xfId="23" applyBorder="1" applyAlignment="1">
      <alignment horizontal="center" vertical="center" wrapText="1"/>
    </xf>
    <xf numFmtId="0" fontId="2" fillId="2" borderId="18" xfId="23" applyBorder="1" applyAlignment="1">
      <alignment/>
    </xf>
    <xf numFmtId="0" fontId="2" fillId="2" borderId="45" xfId="23" applyBorder="1" applyAlignment="1">
      <alignment/>
    </xf>
    <xf numFmtId="0" fontId="0" fillId="3" borderId="4" xfId="24" applyBorder="1" applyAlignment="1" applyProtection="1">
      <alignment horizontal="center" vertical="top" wrapText="1"/>
      <protection locked="0"/>
    </xf>
    <xf numFmtId="0" fontId="0" fillId="3" borderId="23" xfId="24" applyBorder="1" applyAlignment="1" applyProtection="1">
      <alignment horizontal="center" vertical="top" wrapText="1"/>
      <protection locked="0"/>
    </xf>
    <xf numFmtId="0" fontId="0" fillId="3" borderId="24" xfId="24" applyBorder="1" applyAlignment="1" applyProtection="1">
      <alignment horizontal="center" vertical="top" wrapText="1"/>
      <protection locked="0"/>
    </xf>
    <xf numFmtId="0" fontId="0" fillId="5" borderId="46" xfId="0" applyFill="1" applyBorder="1" applyAlignment="1" applyProtection="1">
      <alignment horizontal="left" vertical="center" wrapText="1"/>
      <protection hidden="1"/>
    </xf>
    <xf numFmtId="0" fontId="0" fillId="5" borderId="47" xfId="0" applyFill="1" applyBorder="1" applyAlignment="1" applyProtection="1">
      <alignment horizontal="left" vertical="center" wrapText="1"/>
      <protection hidden="1"/>
    </xf>
    <xf numFmtId="0" fontId="0" fillId="5" borderId="48" xfId="0" applyFill="1" applyBorder="1" applyAlignment="1" applyProtection="1">
      <alignment horizontal="left" vertical="center" wrapText="1"/>
      <protection hidden="1"/>
    </xf>
    <xf numFmtId="0" fontId="0" fillId="5" borderId="4" xfId="0" applyFill="1" applyBorder="1" applyAlignment="1">
      <alignment horizontal="left" wrapText="1"/>
    </xf>
    <xf numFmtId="0" fontId="0" fillId="5" borderId="23" xfId="0" applyFill="1" applyBorder="1" applyAlignment="1">
      <alignment horizontal="left" wrapText="1"/>
    </xf>
    <xf numFmtId="0" fontId="0" fillId="5" borderId="24" xfId="0" applyFill="1" applyBorder="1" applyAlignment="1">
      <alignment horizontal="left" wrapText="1"/>
    </xf>
    <xf numFmtId="0" fontId="2" fillId="2" borderId="35" xfId="23" applyBorder="1" applyAlignment="1">
      <alignment horizontal="center" vertical="center" wrapText="1"/>
    </xf>
    <xf numFmtId="0" fontId="2" fillId="2" borderId="6" xfId="23" applyBorder="1" applyAlignment="1">
      <alignment horizontal="center" vertical="center" wrapText="1"/>
    </xf>
    <xf numFmtId="0" fontId="2" fillId="2" borderId="16" xfId="23" applyBorder="1" applyAlignment="1">
      <alignment horizontal="center" vertical="center" wrapText="1"/>
    </xf>
    <xf numFmtId="4" fontId="0" fillId="4" borderId="4" xfId="25" applyNumberFormat="1" applyBorder="1" applyAlignment="1" applyProtection="1">
      <alignment horizontal="left" vertical="center" wrapText="1"/>
      <protection/>
    </xf>
    <xf numFmtId="4" fontId="0" fillId="4" borderId="23" xfId="25" applyNumberFormat="1" applyBorder="1" applyAlignment="1" applyProtection="1">
      <alignment horizontal="left" vertical="center" wrapText="1"/>
      <protection/>
    </xf>
    <xf numFmtId="4" fontId="0" fillId="4" borderId="24" xfId="25" applyNumberFormat="1" applyBorder="1" applyAlignment="1" applyProtection="1">
      <alignment horizontal="left" vertical="center" wrapText="1"/>
      <protection/>
    </xf>
    <xf numFmtId="0" fontId="2" fillId="2" borderId="36" xfId="23" applyBorder="1" applyAlignment="1">
      <alignment horizontal="center" vertical="center" wrapText="1"/>
    </xf>
    <xf numFmtId="0" fontId="2" fillId="2" borderId="37" xfId="23" applyBorder="1" applyAlignment="1">
      <alignment horizontal="center" vertical="center" wrapText="1"/>
    </xf>
    <xf numFmtId="0" fontId="2" fillId="2" borderId="27" xfId="23" applyBorder="1" applyAlignment="1">
      <alignment horizontal="center" vertical="center" wrapText="1"/>
    </xf>
    <xf numFmtId="0" fontId="0" fillId="3" borderId="14" xfId="24" applyFont="1" applyBorder="1" applyAlignment="1" applyProtection="1">
      <alignment horizontal="center" vertical="top" wrapText="1"/>
      <protection locked="0"/>
    </xf>
    <xf numFmtId="0" fontId="0" fillId="3" borderId="29" xfId="24" applyBorder="1" applyAlignment="1" applyProtection="1">
      <alignment horizontal="center" vertical="top" wrapText="1"/>
      <protection locked="0"/>
    </xf>
    <xf numFmtId="0" fontId="0" fillId="3" borderId="30" xfId="24" applyBorder="1" applyAlignment="1" applyProtection="1">
      <alignment horizontal="center" vertical="top" wrapText="1"/>
      <protection locked="0"/>
    </xf>
    <xf numFmtId="0" fontId="0" fillId="0" borderId="4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23" xfId="0" applyBorder="1" applyAlignment="1" applyProtection="1">
      <alignment horizontal="left" vertical="center"/>
      <protection hidden="1"/>
    </xf>
    <xf numFmtId="0" fontId="0" fillId="0" borderId="24" xfId="0" applyBorder="1" applyAlignment="1" applyProtection="1">
      <alignment horizontal="left" vertical="center"/>
      <protection hidden="1"/>
    </xf>
    <xf numFmtId="0" fontId="2" fillId="2" borderId="35" xfId="23" applyBorder="1" applyAlignment="1" applyProtection="1">
      <alignment horizontal="center" vertical="center" wrapText="1"/>
      <protection/>
    </xf>
    <xf numFmtId="0" fontId="2" fillId="2" borderId="6" xfId="23" applyBorder="1" applyAlignment="1" applyProtection="1">
      <alignment horizontal="center" vertical="center" wrapText="1"/>
      <protection/>
    </xf>
    <xf numFmtId="0" fontId="2" fillId="2" borderId="16" xfId="23" applyBorder="1" applyAlignment="1" applyProtection="1">
      <alignment horizontal="center" vertical="center" wrapText="1"/>
      <protection/>
    </xf>
    <xf numFmtId="0" fontId="0" fillId="3" borderId="4" xfId="24" applyFont="1" applyBorder="1" applyAlignment="1" applyProtection="1">
      <alignment horizontal="center" vertical="top" wrapText="1"/>
      <protection locked="0"/>
    </xf>
    <xf numFmtId="0" fontId="18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26" fillId="0" borderId="14" xfId="20" applyFont="1" applyBorder="1" applyAlignment="1" applyProtection="1">
      <alignment horizontal="center" vertical="top" wrapText="1"/>
      <protection hidden="1"/>
    </xf>
    <xf numFmtId="0" fontId="26" fillId="0" borderId="29" xfId="20" applyFont="1" applyBorder="1" applyAlignment="1" applyProtection="1">
      <alignment horizontal="center" vertical="top" wrapText="1"/>
      <protection hidden="1"/>
    </xf>
    <xf numFmtId="0" fontId="26" fillId="0" borderId="30" xfId="20" applyFont="1" applyBorder="1" applyAlignment="1" applyProtection="1">
      <alignment horizontal="center" vertical="top" wrapText="1"/>
      <protection hidden="1"/>
    </xf>
    <xf numFmtId="0" fontId="0" fillId="0" borderId="20" xfId="0" applyBorder="1" applyAlignment="1">
      <alignment horizontal="center"/>
    </xf>
    <xf numFmtId="0" fontId="0" fillId="3" borderId="38" xfId="24" applyBorder="1" applyAlignment="1" applyProtection="1">
      <alignment horizontal="left" vertical="center" wrapText="1"/>
      <protection locked="0"/>
    </xf>
    <xf numFmtId="0" fontId="0" fillId="3" borderId="39" xfId="24" applyBorder="1" applyAlignment="1" applyProtection="1">
      <alignment horizontal="left" vertical="center" wrapText="1"/>
      <protection locked="0"/>
    </xf>
    <xf numFmtId="0" fontId="0" fillId="3" borderId="40" xfId="24" applyBorder="1" applyAlignment="1" applyProtection="1">
      <alignment horizontal="left" vertical="center" wrapText="1"/>
      <protection locked="0"/>
    </xf>
    <xf numFmtId="0" fontId="0" fillId="3" borderId="14" xfId="24" applyBorder="1" applyAlignment="1" applyProtection="1">
      <alignment horizontal="left" vertical="center" wrapText="1"/>
      <protection locked="0"/>
    </xf>
    <xf numFmtId="0" fontId="0" fillId="3" borderId="29" xfId="24" applyBorder="1" applyAlignment="1" applyProtection="1">
      <alignment horizontal="left" vertical="center" wrapText="1"/>
      <protection locked="0"/>
    </xf>
    <xf numFmtId="0" fontId="0" fillId="3" borderId="30" xfId="24" applyBorder="1" applyAlignment="1" applyProtection="1">
      <alignment horizontal="left" vertical="center" wrapText="1"/>
      <protection locked="0"/>
    </xf>
    <xf numFmtId="0" fontId="2" fillId="2" borderId="33" xfId="23" applyBorder="1" applyAlignment="1">
      <alignment horizontal="center" vertical="center" wrapText="1"/>
    </xf>
    <xf numFmtId="0" fontId="2" fillId="2" borderId="34" xfId="23" applyBorder="1" applyAlignment="1">
      <alignment horizontal="center" vertical="center" wrapText="1"/>
    </xf>
    <xf numFmtId="0" fontId="2" fillId="2" borderId="18" xfId="23" applyBorder="1" applyAlignment="1">
      <alignment horizontal="center" vertical="center" wrapText="1"/>
    </xf>
    <xf numFmtId="0" fontId="2" fillId="2" borderId="0" xfId="23" applyBorder="1" applyAlignment="1">
      <alignment horizontal="center" vertical="center" wrapText="1"/>
    </xf>
    <xf numFmtId="0" fontId="2" fillId="2" borderId="15" xfId="23" applyBorder="1" applyAlignment="1">
      <alignment horizontal="center" vertical="center" wrapText="1"/>
    </xf>
    <xf numFmtId="0" fontId="2" fillId="2" borderId="5" xfId="23" applyBorder="1" applyAlignment="1">
      <alignment horizontal="center" vertical="center" wrapText="1"/>
    </xf>
    <xf numFmtId="0" fontId="0" fillId="0" borderId="17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3" borderId="4" xfId="24" applyBorder="1" applyAlignment="1" applyProtection="1">
      <alignment horizontal="left" vertical="center"/>
      <protection locked="0"/>
    </xf>
    <xf numFmtId="0" fontId="0" fillId="3" borderId="23" xfId="24" applyBorder="1" applyAlignment="1" applyProtection="1">
      <alignment horizontal="left" vertical="center"/>
      <protection locked="0"/>
    </xf>
    <xf numFmtId="0" fontId="0" fillId="3" borderId="24" xfId="24" applyBorder="1" applyAlignment="1" applyProtection="1">
      <alignment horizontal="left" vertical="center"/>
      <protection locked="0"/>
    </xf>
    <xf numFmtId="0" fontId="0" fillId="3" borderId="14" xfId="24" applyBorder="1" applyAlignment="1" applyProtection="1">
      <alignment horizontal="left" vertical="center"/>
      <protection locked="0"/>
    </xf>
    <xf numFmtId="0" fontId="0" fillId="3" borderId="29" xfId="24" applyBorder="1" applyAlignment="1" applyProtection="1">
      <alignment horizontal="left" vertical="center"/>
      <protection locked="0"/>
    </xf>
    <xf numFmtId="0" fontId="0" fillId="3" borderId="30" xfId="24" applyBorder="1" applyAlignment="1" applyProtection="1">
      <alignment horizontal="left" vertical="center"/>
      <protection locked="0"/>
    </xf>
    <xf numFmtId="0" fontId="0" fillId="3" borderId="4" xfId="24" applyBorder="1" applyAlignment="1" applyProtection="1">
      <alignment horizontal="left"/>
      <protection locked="0"/>
    </xf>
    <xf numFmtId="0" fontId="0" fillId="3" borderId="23" xfId="24" applyBorder="1" applyAlignment="1" applyProtection="1">
      <alignment horizontal="left"/>
      <protection locked="0"/>
    </xf>
    <xf numFmtId="0" fontId="0" fillId="3" borderId="24" xfId="24" applyBorder="1" applyAlignment="1" applyProtection="1">
      <alignment horizontal="left"/>
      <protection locked="0"/>
    </xf>
    <xf numFmtId="0" fontId="26" fillId="0" borderId="4" xfId="20" applyFont="1" applyBorder="1" applyAlignment="1" applyProtection="1">
      <alignment horizontal="center" vertical="center"/>
      <protection hidden="1"/>
    </xf>
    <xf numFmtId="0" fontId="26" fillId="0" borderId="23" xfId="20" applyFont="1" applyBorder="1" applyAlignment="1" applyProtection="1">
      <alignment horizontal="center" vertical="center"/>
      <protection hidden="1"/>
    </xf>
    <xf numFmtId="0" fontId="26" fillId="0" borderId="24" xfId="20" applyFont="1" applyBorder="1" applyAlignment="1" applyProtection="1">
      <alignment horizontal="center" vertical="center"/>
      <protection hidden="1"/>
    </xf>
    <xf numFmtId="0" fontId="0" fillId="3" borderId="14" xfId="24" applyBorder="1" applyAlignment="1" applyProtection="1">
      <alignment horizontal="left"/>
      <protection locked="0"/>
    </xf>
    <xf numFmtId="0" fontId="0" fillId="3" borderId="29" xfId="24" applyBorder="1" applyAlignment="1" applyProtection="1">
      <alignment horizontal="left"/>
      <protection locked="0"/>
    </xf>
    <xf numFmtId="0" fontId="0" fillId="3" borderId="30" xfId="24" applyBorder="1" applyAlignment="1" applyProtection="1">
      <alignment horizontal="left"/>
      <protection locked="0"/>
    </xf>
    <xf numFmtId="0" fontId="26" fillId="0" borderId="4" xfId="20" applyFont="1" applyBorder="1" applyAlignment="1" applyProtection="1">
      <alignment horizontal="center" vertical="top" wrapText="1"/>
      <protection hidden="1"/>
    </xf>
    <xf numFmtId="0" fontId="26" fillId="0" borderId="23" xfId="20" applyFont="1" applyBorder="1" applyAlignment="1" applyProtection="1">
      <alignment horizontal="center" vertical="top" wrapText="1"/>
      <protection hidden="1"/>
    </xf>
    <xf numFmtId="0" fontId="26" fillId="0" borderId="24" xfId="20" applyFont="1" applyBorder="1" applyAlignment="1" applyProtection="1">
      <alignment horizontal="center" vertical="top" wrapText="1"/>
      <protection hidden="1"/>
    </xf>
    <xf numFmtId="14" fontId="2" fillId="2" borderId="35" xfId="23" applyNumberFormat="1" applyBorder="1" applyAlignment="1" applyProtection="1">
      <alignment horizontal="center" vertical="center" wrapText="1"/>
      <protection hidden="1"/>
    </xf>
    <xf numFmtId="14" fontId="2" fillId="2" borderId="6" xfId="23" applyNumberFormat="1" applyBorder="1" applyAlignment="1" applyProtection="1">
      <alignment horizontal="center" vertical="center" wrapText="1"/>
      <protection hidden="1"/>
    </xf>
    <xf numFmtId="0" fontId="2" fillId="2" borderId="49" xfId="23" applyBorder="1" applyAlignment="1">
      <alignment/>
    </xf>
    <xf numFmtId="14" fontId="2" fillId="2" borderId="34" xfId="23" applyNumberFormat="1" applyBorder="1" applyAlignment="1" applyProtection="1">
      <alignment horizontal="center" vertical="center" wrapText="1"/>
      <protection hidden="1"/>
    </xf>
    <xf numFmtId="14" fontId="2" fillId="2" borderId="0" xfId="23" applyNumberFormat="1" applyBorder="1" applyAlignment="1" applyProtection="1">
      <alignment horizontal="center" vertical="center" wrapText="1"/>
      <protection hidden="1"/>
    </xf>
    <xf numFmtId="0" fontId="2" fillId="2" borderId="29" xfId="23" applyBorder="1" applyAlignment="1">
      <alignment/>
    </xf>
    <xf numFmtId="14" fontId="2" fillId="2" borderId="28" xfId="23" applyNumberFormat="1" applyBorder="1" applyAlignment="1" applyProtection="1">
      <alignment horizontal="center" vertical="center" wrapText="1"/>
      <protection hidden="1"/>
    </xf>
    <xf numFmtId="14" fontId="2" fillId="2" borderId="26" xfId="23" applyNumberFormat="1" applyBorder="1" applyAlignment="1" applyProtection="1">
      <alignment horizontal="center" vertical="center" wrapText="1"/>
      <protection hidden="1"/>
    </xf>
    <xf numFmtId="14" fontId="2" fillId="2" borderId="25" xfId="23" applyNumberFormat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>
      <alignment horizontal="left" vertical="center" wrapText="1"/>
    </xf>
    <xf numFmtId="0" fontId="0" fillId="5" borderId="24" xfId="0" applyFill="1" applyBorder="1" applyAlignment="1">
      <alignment horizontal="left" vertical="center" wrapText="1"/>
    </xf>
    <xf numFmtId="0" fontId="0" fillId="5" borderId="41" xfId="0" applyFill="1" applyBorder="1" applyAlignment="1" applyProtection="1">
      <alignment horizontal="left" vertical="center" wrapText="1"/>
      <protection hidden="1"/>
    </xf>
    <xf numFmtId="0" fontId="0" fillId="5" borderId="3" xfId="0" applyFill="1" applyBorder="1" applyAlignment="1" applyProtection="1">
      <alignment horizontal="left" vertical="center" wrapText="1"/>
      <protection hidden="1"/>
    </xf>
    <xf numFmtId="0" fontId="0" fillId="5" borderId="50" xfId="0" applyFill="1" applyBorder="1" applyAlignment="1" applyProtection="1">
      <alignment horizontal="left" vertical="center" wrapText="1"/>
      <protection hidden="1"/>
    </xf>
    <xf numFmtId="0" fontId="2" fillId="2" borderId="28" xfId="23" applyNumberFormat="1" applyBorder="1" applyAlignment="1">
      <alignment horizontal="center" vertical="center" wrapText="1"/>
    </xf>
    <xf numFmtId="0" fontId="2" fillId="2" borderId="25" xfId="23" applyNumberFormat="1" applyBorder="1" applyAlignment="1">
      <alignment horizontal="center" vertical="center" wrapText="1"/>
    </xf>
    <xf numFmtId="0" fontId="2" fillId="2" borderId="28" xfId="23" applyNumberFormat="1" applyBorder="1" applyAlignment="1" applyProtection="1">
      <alignment horizontal="center" vertical="center"/>
      <protection/>
    </xf>
    <xf numFmtId="0" fontId="2" fillId="2" borderId="25" xfId="23" applyNumberFormat="1" applyBorder="1" applyAlignment="1" applyProtection="1">
      <alignment horizontal="center" vertical="center"/>
      <protection/>
    </xf>
    <xf numFmtId="0" fontId="2" fillId="2" borderId="28" xfId="23" applyNumberFormat="1" applyBorder="1" applyAlignment="1" applyProtection="1">
      <alignment horizontal="center" vertical="center" wrapText="1"/>
      <protection/>
    </xf>
    <xf numFmtId="0" fontId="2" fillId="2" borderId="25" xfId="23" applyNumberFormat="1" applyBorder="1" applyAlignment="1" applyProtection="1">
      <alignment horizontal="center" vertical="center" wrapText="1"/>
      <protection/>
    </xf>
    <xf numFmtId="0" fontId="2" fillId="2" borderId="36" xfId="23" applyNumberFormat="1" applyBorder="1" applyAlignment="1" applyProtection="1">
      <alignment horizontal="center" vertical="center"/>
      <protection/>
    </xf>
    <xf numFmtId="0" fontId="2" fillId="2" borderId="27" xfId="23" applyNumberFormat="1" applyBorder="1" applyAlignment="1" applyProtection="1">
      <alignment horizontal="center" vertical="center"/>
      <protection/>
    </xf>
    <xf numFmtId="0" fontId="0" fillId="4" borderId="4" xfId="25" applyNumberFormat="1" applyBorder="1" applyAlignment="1" applyProtection="1">
      <alignment horizontal="left" vertical="center" wrapText="1"/>
      <protection hidden="1"/>
    </xf>
    <xf numFmtId="0" fontId="0" fillId="4" borderId="23" xfId="25" applyNumberFormat="1" applyBorder="1" applyAlignment="1" applyProtection="1">
      <alignment horizontal="left" vertical="center" wrapText="1"/>
      <protection hidden="1"/>
    </xf>
    <xf numFmtId="0" fontId="0" fillId="4" borderId="24" xfId="25" applyNumberFormat="1" applyBorder="1" applyAlignment="1" applyProtection="1">
      <alignment horizontal="left" vertical="center" wrapText="1"/>
      <protection hidden="1"/>
    </xf>
    <xf numFmtId="0" fontId="34" fillId="0" borderId="20" xfId="0" applyFont="1" applyBorder="1" applyAlignment="1">
      <alignment wrapText="1"/>
    </xf>
    <xf numFmtId="0" fontId="42" fillId="9" borderId="0" xfId="0" applyFont="1" applyFill="1" applyAlignment="1">
      <alignment horizontal="left"/>
    </xf>
    <xf numFmtId="0" fontId="36" fillId="9" borderId="51" xfId="0" applyFont="1" applyFill="1" applyBorder="1" applyAlignment="1">
      <alignment horizontal="center" vertical="center" wrapText="1"/>
    </xf>
    <xf numFmtId="0" fontId="36" fillId="9" borderId="52" xfId="0" applyFont="1" applyFill="1" applyBorder="1" applyAlignment="1">
      <alignment horizontal="center" vertical="center" wrapText="1"/>
    </xf>
    <xf numFmtId="0" fontId="37" fillId="9" borderId="51" xfId="0" applyFont="1" applyFill="1" applyBorder="1" applyAlignment="1">
      <alignment horizontal="center" vertical="center" wrapText="1"/>
    </xf>
    <xf numFmtId="0" fontId="34" fillId="0" borderId="53" xfId="0" applyFont="1" applyBorder="1" applyAlignment="1">
      <alignment horizontal="center" vertical="center" wrapText="1"/>
    </xf>
    <xf numFmtId="0" fontId="37" fillId="9" borderId="54" xfId="0" applyFont="1" applyFill="1" applyBorder="1" applyAlignment="1">
      <alignment horizontal="center" vertical="center" wrapText="1"/>
    </xf>
    <xf numFmtId="0" fontId="34" fillId="0" borderId="55" xfId="0" applyFont="1" applyBorder="1" applyAlignment="1">
      <alignment horizontal="center" vertical="center" wrapText="1"/>
    </xf>
    <xf numFmtId="0" fontId="38" fillId="0" borderId="21" xfId="0" applyFont="1" applyBorder="1" applyAlignment="1">
      <alignment vertical="center" wrapText="1"/>
    </xf>
    <xf numFmtId="0" fontId="34" fillId="0" borderId="56" xfId="0" applyFont="1" applyBorder="1" applyAlignment="1">
      <alignment vertical="center" wrapText="1"/>
    </xf>
    <xf numFmtId="0" fontId="34" fillId="0" borderId="57" xfId="0" applyFont="1" applyBorder="1" applyAlignment="1">
      <alignment vertical="center" wrapText="1"/>
    </xf>
    <xf numFmtId="0" fontId="34" fillId="0" borderId="52" xfId="0" applyFont="1" applyBorder="1" applyAlignment="1">
      <alignment horizontal="center" vertical="center" wrapText="1"/>
    </xf>
    <xf numFmtId="0" fontId="37" fillId="9" borderId="21" xfId="0" applyFont="1" applyFill="1" applyBorder="1" applyAlignment="1">
      <alignment horizontal="center" vertical="center" wrapText="1"/>
    </xf>
    <xf numFmtId="0" fontId="34" fillId="0" borderId="56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3" fontId="0" fillId="0" borderId="46" xfId="0" applyNumberFormat="1" applyFont="1" applyBorder="1" applyAlignment="1" applyProtection="1">
      <alignment horizontal="left" vertical="center" wrapText="1"/>
      <protection hidden="1"/>
    </xf>
    <xf numFmtId="3" fontId="0" fillId="0" borderId="47" xfId="0" applyNumberFormat="1" applyFont="1" applyBorder="1" applyAlignment="1" applyProtection="1">
      <alignment horizontal="left" vertical="center" wrapText="1"/>
      <protection hidden="1"/>
    </xf>
    <xf numFmtId="3" fontId="0" fillId="0" borderId="48" xfId="0" applyNumberFormat="1" applyFont="1" applyBorder="1" applyAlignment="1" applyProtection="1">
      <alignment horizontal="left" vertical="center" wrapText="1"/>
      <protection hidden="1"/>
    </xf>
    <xf numFmtId="3" fontId="0" fillId="0" borderId="4" xfId="0" applyNumberFormat="1" applyFont="1" applyBorder="1" applyAlignment="1" applyProtection="1">
      <alignment horizontal="left" vertical="center" wrapText="1"/>
      <protection hidden="1"/>
    </xf>
    <xf numFmtId="3" fontId="0" fillId="0" borderId="23" xfId="0" applyNumberFormat="1" applyFont="1" applyBorder="1" applyAlignment="1" applyProtection="1">
      <alignment horizontal="left" vertical="center" wrapText="1"/>
      <protection hidden="1"/>
    </xf>
    <xf numFmtId="3" fontId="0" fillId="0" borderId="24" xfId="0" applyNumberFormat="1" applyFont="1" applyBorder="1" applyAlignment="1" applyProtection="1">
      <alignment horizontal="left" vertical="center" wrapText="1"/>
      <protection hidden="1"/>
    </xf>
    <xf numFmtId="0" fontId="0" fillId="5" borderId="2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 wrapText="1"/>
    </xf>
    <xf numFmtId="0" fontId="0" fillId="5" borderId="24" xfId="0" applyFont="1" applyFill="1" applyBorder="1" applyAlignment="1">
      <alignment horizontal="left" vertical="center" wrapText="1"/>
    </xf>
    <xf numFmtId="0" fontId="0" fillId="5" borderId="2" xfId="0" applyFont="1" applyFill="1" applyBorder="1" applyAlignment="1">
      <alignment horizontal="left" vertical="center" wrapText="1"/>
    </xf>
    <xf numFmtId="0" fontId="0" fillId="5" borderId="23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0" fillId="4" borderId="2" xfId="25" applyNumberFormat="1" applyFont="1" applyBorder="1" applyAlignment="1" applyProtection="1">
      <alignment horizontal="left" vertical="top" wrapText="1"/>
      <protection/>
    </xf>
    <xf numFmtId="0" fontId="0" fillId="4" borderId="2" xfId="25" applyNumberFormat="1" applyFont="1" applyBorder="1" applyAlignment="1" applyProtection="1">
      <alignment horizontal="center" vertical="top" wrapText="1"/>
      <protection/>
    </xf>
    <xf numFmtId="165" fontId="0" fillId="4" borderId="2" xfId="25" applyNumberFormat="1" applyFont="1" applyBorder="1" applyAlignment="1" applyProtection="1">
      <alignment horizontal="center" vertical="top" wrapText="1"/>
      <protection/>
    </xf>
    <xf numFmtId="164" fontId="0" fillId="0" borderId="0" xfId="0" applyNumberFormat="1" applyFont="1" applyAlignment="1">
      <alignment horizontal="center" vertical="top" wrapText="1"/>
    </xf>
    <xf numFmtId="0" fontId="0" fillId="0" borderId="0" xfId="0" applyFont="1"/>
    <xf numFmtId="0" fontId="0" fillId="5" borderId="39" xfId="0" applyFont="1" applyFill="1" applyBorder="1" applyAlignment="1" applyProtection="1">
      <alignment horizontal="left" vertical="center" wrapText="1" indent="1"/>
      <protection hidden="1"/>
    </xf>
    <xf numFmtId="0" fontId="0" fillId="5" borderId="40" xfId="0" applyFont="1" applyFill="1" applyBorder="1" applyAlignment="1" applyProtection="1">
      <alignment horizontal="left" vertical="center" wrapText="1" indent="1"/>
      <protection hidden="1"/>
    </xf>
    <xf numFmtId="0" fontId="0" fillId="5" borderId="0" xfId="0" applyFont="1" applyFill="1" applyAlignment="1" applyProtection="1">
      <alignment horizontal="left" vertical="center" wrapText="1" indent="1"/>
      <protection hidden="1"/>
    </xf>
    <xf numFmtId="0" fontId="0" fillId="5" borderId="29" xfId="0" applyFont="1" applyFill="1" applyBorder="1" applyAlignment="1" applyProtection="1">
      <alignment horizontal="left" vertical="center" wrapText="1" indent="1"/>
      <protection hidden="1"/>
    </xf>
    <xf numFmtId="0" fontId="0" fillId="5" borderId="30" xfId="0" applyFont="1" applyFill="1" applyBorder="1" applyAlignment="1" applyProtection="1">
      <alignment horizontal="left" vertical="center" wrapText="1" indent="1"/>
      <protection hidden="1"/>
    </xf>
    <xf numFmtId="166" fontId="0" fillId="5" borderId="2" xfId="0" applyNumberFormat="1" applyFont="1" applyFill="1" applyBorder="1" applyAlignment="1">
      <alignment horizontal="center" vertical="center"/>
    </xf>
    <xf numFmtId="165" fontId="0" fillId="5" borderId="0" xfId="0" applyNumberFormat="1" applyFont="1" applyFill="1" applyAlignment="1">
      <alignment horizontal="center" vertical="center"/>
    </xf>
    <xf numFmtId="165" fontId="0" fillId="5" borderId="2" xfId="0" applyNumberFormat="1" applyFont="1" applyFill="1" applyBorder="1" applyAlignment="1">
      <alignment horizontal="center" vertical="center"/>
    </xf>
    <xf numFmtId="0" fontId="34" fillId="0" borderId="52" xfId="0" applyFont="1" applyBorder="1" applyAlignment="1">
      <alignment/>
    </xf>
    <xf numFmtId="0" fontId="34" fillId="0" borderId="53" xfId="0" applyFont="1" applyBorder="1" applyAlignment="1">
      <alignment/>
    </xf>
  </cellXfs>
  <cellStyles count="13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Гиперссылка" xfId="20" builtinId="8"/>
    <cellStyle name="Обычный 4 2" xfId="21"/>
    <cellStyle name="Обычный 10" xfId="22"/>
    <cellStyle name="Ячейки заголовков" xfId="23"/>
    <cellStyle name="Изменяемые ячейки" xfId="24"/>
    <cellStyle name="Ячейки итогов" xfId="25"/>
    <cellStyle name="Процентный" xfId="26" builtinId="5"/>
  </cellStyles>
  <dxfs count="17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Gray">
          <bgColor theme="0"/>
        </patternFill>
      </fill>
    </dxf>
    <dxf>
      <fill>
        <patternFill patternType="lightGray">
          <bgColor theme="0"/>
        </patternFill>
      </fill>
    </dxf>
    <dxf>
      <fill>
        <patternFill patternType="lightGray">
          <bgColor theme="0"/>
        </patternFill>
      </fill>
    </dxf>
    <dxf>
      <fill>
        <patternFill patternType="lightGray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Gray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Gray"/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/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9" Type="http://schemas.openxmlformats.org/officeDocument/2006/relationships/worksheet" Target="worksheets/sheet8.xml" /><Relationship Id="rId8" Type="http://schemas.openxmlformats.org/officeDocument/2006/relationships/worksheet" Target="worksheets/sheet7.xml" /><Relationship Id="rId6" Type="http://schemas.openxmlformats.org/officeDocument/2006/relationships/worksheet" Target="worksheets/sheet5.xml" /><Relationship Id="rId5" Type="http://schemas.openxmlformats.org/officeDocument/2006/relationships/worksheet" Target="worksheets/sheet4.xml" /><Relationship Id="rId4" Type="http://schemas.openxmlformats.org/officeDocument/2006/relationships/worksheet" Target="worksheets/sheet3.xml" /><Relationship Id="rId27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7" Type="http://schemas.openxmlformats.org/officeDocument/2006/relationships/worksheet" Target="worksheets/sheet6.xml" /><Relationship Id="rId3" Type="http://schemas.openxmlformats.org/officeDocument/2006/relationships/worksheet" Target="worksheets/sheet2.xml" /><Relationship Id="rId21" Type="http://schemas.openxmlformats.org/officeDocument/2006/relationships/worksheet" Target="worksheets/sheet20.xml" /><Relationship Id="rId16" Type="http://schemas.openxmlformats.org/officeDocument/2006/relationships/worksheet" Target="worksheets/sheet15.xml" /><Relationship Id="rId22" Type="http://schemas.openxmlformats.org/officeDocument/2006/relationships/worksheet" Target="worksheets/sheet21.xml" /><Relationship Id="rId24" Type="http://schemas.openxmlformats.org/officeDocument/2006/relationships/worksheet" Target="worksheets/sheet23.xml" /><Relationship Id="rId14" Type="http://schemas.openxmlformats.org/officeDocument/2006/relationships/worksheet" Target="worksheets/sheet13.xml" /><Relationship Id="rId28" Type="http://schemas.openxmlformats.org/officeDocument/2006/relationships/calcChain" Target="calcChain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3" Type="http://schemas.openxmlformats.org/officeDocument/2006/relationships/worksheet" Target="worksheets/sheet22.xml" /><Relationship Id="rId25" Type="http://schemas.openxmlformats.org/officeDocument/2006/relationships/worksheet" Target="worksheets/sheet24.xml" /><Relationship Id="rId26" Type="http://schemas.openxmlformats.org/officeDocument/2006/relationships/styles" Target="styles.xml" /><Relationship Id="rId15" Type="http://schemas.openxmlformats.org/officeDocument/2006/relationships/worksheet" Target="worksheets/sheet14.xml" /><Relationship Id="rId20" Type="http://schemas.openxmlformats.org/officeDocument/2006/relationships/worksheet" Target="worksheets/sheet19.xml" /><Relationship Id="rId17" Type="http://schemas.openxmlformats.org/officeDocument/2006/relationships/worksheet" Target="worksheets/sheet16.xml" /></Relationships>
</file>

<file path=xl/charts/_rels/chart4.xml.rels><?xml version="1.0" encoding="UTF-8" standalone="yes"?><Relationships xmlns="http://schemas.openxmlformats.org/package/2006/relationships"><Relationship Id="rId2" Type="http://schemas.microsoft.com/office/2011/relationships/chartColorStyle" Target="color4.xml" /><Relationship Id="rId1" Type="http://schemas.microsoft.com/office/2011/relationships/chartStyle" Target="style4.xml" /></Relationships>
</file>

<file path=xl/charts/_rels/chart5.xml.rels><?xml version="1.0" encoding="UTF-8" standalone="yes"?><Relationships xmlns="http://schemas.openxmlformats.org/package/2006/relationships"><Relationship Id="rId2" Type="http://schemas.microsoft.com/office/2011/relationships/chartColorStyle" Target="color5.xml" /><Relationship Id="rId1" Type="http://schemas.microsoft.com/office/2011/relationships/chartStyle" Target="style5.xml" /></Relationships>
</file>

<file path=xl/charts/_rels/chart7.xml.rels><?xml version="1.0" encoding="UTF-8" standalone="yes"?><Relationships xmlns="http://schemas.openxmlformats.org/package/2006/relationships"><Relationship Id="rId2" Type="http://schemas.microsoft.com/office/2011/relationships/chartColorStyle" Target="color7.xml" /><Relationship Id="rId1" Type="http://schemas.microsoft.com/office/2011/relationships/chartStyle" Target="style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3825"/>
          <c:y val="0.02425"/>
          <c:w val="0.9325"/>
          <c:h val="0.8185"/>
        </c:manualLayout>
      </c:layout>
      <c:areaChart>
        <c:grouping val="standard"/>
        <c:varyColors val="0"/>
        <c:ser>
          <c:idx val="0"/>
          <c:order val="0"/>
          <c:tx>
            <c:strRef>
              <c:f>Показатели!$B$259:$C$259</c:f>
              <c:strCache>
                <c:ptCount val="1"/>
                <c:pt idx="0">
                  <c:v>тыс. руб.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  <a:effectLst>
              <a:softEdge rad="0"/>
            </a:effectLst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Показатели!$E$259:$BM$259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B-48AE-A418-0FAC29DF7FC7}"/>
            </c:ext>
          </c:extLst>
        </c:ser>
        <c:axId val="1663974"/>
        <c:axId val="66023333"/>
      </c:areaChart>
      <c:barChart>
        <c:barDir val="col"/>
        <c:grouping val="stacked"/>
        <c:varyColors val="0"/>
        <c:ser>
          <c:idx val="2"/>
          <c:order val="1"/>
          <c:tx>
            <c:strRef>
              <c:f>Показатели!$B$260:$C$260</c:f>
              <c:strCache>
                <c:ptCount val="1"/>
                <c:pt idx="0">
                  <c:v>тыс. руб.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Показатели!$E$260:$BM$260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B-48AE-A418-0FAC29DF7FC7}"/>
            </c:ext>
          </c:extLst>
        </c:ser>
        <c:ser>
          <c:idx val="1"/>
          <c:order val="2"/>
          <c:tx>
            <c:strRef>
              <c:f>Показатели!$B$261:$C$261</c:f>
              <c:strCache>
                <c:ptCount val="1"/>
                <c:pt idx="0">
                  <c:v>тыс. руб.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Показатели!$E$261:$BM$261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DB-48AE-A418-0FAC29DF7FC7}"/>
            </c:ext>
          </c:extLst>
        </c:ser>
        <c:overlap val="100"/>
        <c:gapWidth val="60"/>
        <c:axId val="1663974"/>
        <c:axId val="66023333"/>
      </c:barChart>
      <c:lineChart>
        <c:grouping val="standard"/>
        <c:varyColors val="0"/>
        <c:ser>
          <c:idx val="3"/>
          <c:order val="3"/>
          <c:tx>
            <c:strRef>
              <c:f>Показатели!$B$262:$C$262</c:f>
              <c:strCache>
                <c:ptCount val="1"/>
                <c:pt idx="0">
                  <c:v>доли 1</c:v>
                </c:pt>
              </c:strCache>
            </c:strRef>
          </c:tx>
          <c:spPr>
            <a:ln w="38100" cmpd="sng"/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rgbClr val="F9B35C"/>
              </a:solidFill>
              <a:ln w="38100" cap="flat" cmpd="sng">
                <a:solidFill>
                  <a:srgbClr val="F9B35C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Показатели!$E$262:$BM$262</c:f>
              <c:numCache>
                <c:formatCode>0.0\х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5DB-48AE-A418-0FAC29DF7FC7}"/>
            </c:ext>
          </c:extLst>
        </c:ser>
        <c:marker val="1"/>
        <c:axId val="50243869"/>
        <c:axId val="32688166"/>
      </c:lineChart>
      <c:catAx>
        <c:axId val="16639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66023333"/>
        <c:crosses val="autoZero"/>
        <c:auto val="1"/>
        <c:lblOffset val="100"/>
        <c:noMultiLvlLbl val="0"/>
      </c:catAx>
      <c:valAx>
        <c:axId val="66023333"/>
        <c:scaling>
          <c:orientation val="minMax"/>
        </c:scaling>
        <c:delete val="0"/>
        <c:axPos val="l"/>
        <c:numFmt formatCode="#,##0_ ;[Red]\-#,##0\ 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1663974"/>
        <c:crosses val="autoZero"/>
        <c:crossBetween val="between"/>
      </c:valAx>
      <c:catAx>
        <c:axId val="50243869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6350" cap="flat" cmpd="sng"/>
        </c:spPr>
        <c:crossAx val="32688166"/>
        <c:crosses val="autoZero"/>
        <c:auto val="1"/>
        <c:lblOffset val="100"/>
        <c:noMultiLvlLbl val="0"/>
      </c:catAx>
      <c:valAx>
        <c:axId val="32688166"/>
        <c:scaling>
          <c:orientation val="minMax"/>
          <c:min val="0"/>
        </c:scaling>
        <c:delete val="0"/>
        <c:axPos val="l"/>
        <c:numFmt formatCode="0.0\х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50243869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95"/>
          <c:y val="0.95075"/>
          <c:w val="0.73475"/>
          <c:h val="0.04925"/>
        </c:manualLayout>
      </c:layout>
      <c:overlay val="0"/>
      <c:txPr>
        <a:bodyPr vert="horz" rot="0"/>
        <a:lstStyle/>
        <a:p>
          <a:pPr>
            <a:defRPr lang="en-US" sz="1100" b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ln w="6350">
      <a:noFill/>
    </a:ln>
  </c:spPr>
  <c:txPr>
    <a:bodyPr vert="horz" rot="0"/>
    <a:lstStyle/>
    <a:p>
      <a:pPr>
        <a:defRPr lang="en-US" u="none" baseline="0">
          <a:solidFill>
            <a:srgbClr val="0070C0"/>
          </a:solidFill>
          <a:latin typeface="Arial Narrow"/>
          <a:ea typeface="Arial Narrow"/>
          <a:cs typeface="Arial Narrow"/>
        </a:defRPr>
      </a:pPr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3"/>
          <c:y val="0.0285"/>
          <c:w val="0.93425"/>
          <c:h val="0.851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Показатели!$B$225</c:f>
              <c:strCache>
                <c:ptCount val="1"/>
                <c:pt idx="0">
                  <c:v>Долг (Текущая деятельность)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Показатели!$E$225:$BM$225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6-449C-A622-A6C9E548A701}"/>
            </c:ext>
          </c:extLst>
        </c:ser>
        <c:ser>
          <c:idx val="1"/>
          <c:order val="2"/>
          <c:tx>
            <c:strRef>
              <c:f>Показатели!$B$224</c:f>
              <c:strCache>
                <c:ptCount val="1"/>
                <c:pt idx="0">
                  <c:v>Кредит/заём с графиком (Проект)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Показатели!$E$224:$BM$224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6-449C-A622-A6C9E548A701}"/>
            </c:ext>
          </c:extLst>
        </c:ser>
        <c:ser>
          <c:idx val="5"/>
          <c:order val="3"/>
          <c:tx>
            <c:strRef>
              <c:f>Показатели!$B$223</c:f>
              <c:strCache>
                <c:ptCount val="1"/>
                <c:pt idx="0">
                  <c:v>Заём бенефициара/аффилированных лиц</c:v>
                </c:pt>
              </c:strCache>
            </c:strRef>
          </c:tx>
          <c:spPr>
            <a:solidFill>
              <a:srgbClr val="92D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Показатели!$E$223:$BM$223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F6-449C-A622-A6C9E548A701}"/>
            </c:ext>
          </c:extLst>
        </c:ser>
        <c:ser>
          <c:idx val="2"/>
          <c:order val="4"/>
          <c:tx>
            <c:strRef>
              <c:f>Показатели!$B$222</c:f>
              <c:strCache>
                <c:ptCount val="1"/>
                <c:pt idx="0">
                  <c:v>Заём ФРП</c:v>
                </c:pt>
              </c:strCache>
            </c:strRef>
          </c:tx>
          <c:spPr>
            <a:solidFill>
              <a:srgbClr val="CC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Показатели!$E$11:$BM$11</c:f>
              <c:strCache>
                <c:ptCount val="61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  <c:pt idx="29">
                  <c:v>2 кв. 2032</c:v>
                </c:pt>
                <c:pt idx="30">
                  <c:v>3 кв. 2032</c:v>
                </c:pt>
                <c:pt idx="31">
                  <c:v>4 кв. 2032</c:v>
                </c:pt>
                <c:pt idx="32">
                  <c:v>1 кв. 2033</c:v>
                </c:pt>
                <c:pt idx="33">
                  <c:v>2 кв. 2033</c:v>
                </c:pt>
                <c:pt idx="34">
                  <c:v>3 кв. 2033</c:v>
                </c:pt>
                <c:pt idx="35">
                  <c:v>4 кв. 2033</c:v>
                </c:pt>
                <c:pt idx="36">
                  <c:v>1 кв. 2034</c:v>
                </c:pt>
                <c:pt idx="37">
                  <c:v>2 кв. 2034</c:v>
                </c:pt>
                <c:pt idx="38">
                  <c:v>3 кв. 2034</c:v>
                </c:pt>
                <c:pt idx="39">
                  <c:v>4 кв. 2034</c:v>
                </c:pt>
                <c:pt idx="40">
                  <c:v>1 кв. 2035</c:v>
                </c:pt>
                <c:pt idx="41">
                  <c:v>2 кв. 2035</c:v>
                </c:pt>
                <c:pt idx="42">
                  <c:v>3 кв. 2035</c:v>
                </c:pt>
                <c:pt idx="43">
                  <c:v>4 кв. 2035</c:v>
                </c:pt>
                <c:pt idx="44">
                  <c:v>1 кв. 2036</c:v>
                </c:pt>
                <c:pt idx="45">
                  <c:v>2 кв. 2036</c:v>
                </c:pt>
                <c:pt idx="46">
                  <c:v>3 кв. 2036</c:v>
                </c:pt>
                <c:pt idx="47">
                  <c:v>4 кв. 2036</c:v>
                </c:pt>
                <c:pt idx="48">
                  <c:v>1 кв. 2037</c:v>
                </c:pt>
                <c:pt idx="49">
                  <c:v>2 кв. 2037</c:v>
                </c:pt>
                <c:pt idx="50">
                  <c:v>3 кв. 2037</c:v>
                </c:pt>
                <c:pt idx="51">
                  <c:v>4 кв. 2037</c:v>
                </c:pt>
                <c:pt idx="52">
                  <c:v>1 кв. 2038</c:v>
                </c:pt>
                <c:pt idx="53">
                  <c:v>2 кв. 2038</c:v>
                </c:pt>
                <c:pt idx="54">
                  <c:v>3 кв. 2038</c:v>
                </c:pt>
                <c:pt idx="55">
                  <c:v>4 кв. 2038</c:v>
                </c:pt>
                <c:pt idx="56">
                  <c:v>1 кв. 2039</c:v>
                </c:pt>
                <c:pt idx="57">
                  <c:v>2 кв. 2039</c:v>
                </c:pt>
                <c:pt idx="58">
                  <c:v>3 кв. 2039</c:v>
                </c:pt>
                <c:pt idx="59">
                  <c:v>4 кв. 2039</c:v>
                </c:pt>
                <c:pt idx="60">
                  <c:v>1 кв. 2040</c:v>
                </c:pt>
              </c:strCache>
            </c:strRef>
          </c:cat>
          <c:val>
            <c:numRef>
              <c:f>Показатели!$E$222:$BM$222</c:f>
              <c:numCache>
                <c:formatCode>#,##0.00_ ;[Red]\-#,##0.00\ 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F6-449C-A622-A6C9E548A701}"/>
            </c:ext>
          </c:extLst>
        </c:ser>
        <c:overlap val="100"/>
        <c:axId val="471482"/>
        <c:axId val="27659165"/>
      </c:barChart>
      <c:lineChart>
        <c:grouping val="standard"/>
        <c:varyColors val="0"/>
        <c:ser>
          <c:idx val="0"/>
          <c:order val="0"/>
          <c:tx>
            <c:strRef>
              <c:f>Показатели!$B$237</c:f>
              <c:strCache>
                <c:ptCount val="1"/>
                <c:pt idx="0">
                  <c:v>Долг / EBITDA</c:v>
                </c:pt>
              </c:strCache>
            </c:strRef>
          </c:tx>
          <c:spPr>
            <a:ln w="38100" cmpd="sng"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rgbClr val="FFC000"/>
              </a:solidFill>
              <a:ln w="38100" cap="rnd" cmpd="sng">
                <a:solidFill>
                  <a:schemeClr val="accent4"/>
                </a:solidFill>
                <a:prstDash val="solid"/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Показатели!$E$237:$AG$237</c:f>
              <c:numCache>
                <c:formatCode>0.0\х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6F6-449C-A622-A6C9E548A701}"/>
            </c:ext>
          </c:extLst>
        </c:ser>
        <c:marker val="1"/>
        <c:axId val="56565442"/>
        <c:axId val="28255954"/>
      </c:lineChart>
      <c:catAx>
        <c:axId val="4714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27659165"/>
        <c:crosses val="autoZero"/>
        <c:auto val="1"/>
        <c:lblOffset val="100"/>
        <c:noMultiLvlLbl val="0"/>
      </c:catAx>
      <c:valAx>
        <c:axId val="27659165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471482"/>
        <c:crosses val="autoZero"/>
        <c:crossBetween val="between"/>
      </c:valAx>
      <c:catAx>
        <c:axId val="56565442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6350" cap="flat" cmpd="sng"/>
        </c:spPr>
        <c:crossAx val="28255954"/>
        <c:crosses val="autoZero"/>
        <c:auto val="1"/>
        <c:lblOffset val="100"/>
        <c:noMultiLvlLbl val="0"/>
      </c:catAx>
      <c:valAx>
        <c:axId val="28255954"/>
        <c:scaling>
          <c:orientation val="minMax"/>
          <c:min val="0"/>
        </c:scaling>
        <c:delete val="0"/>
        <c:axPos val="l"/>
        <c:numFmt formatCode="0.0\х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5656544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03475"/>
          <c:y val="0.93725"/>
          <c:w val="0.92175"/>
          <c:h val="0.06275"/>
        </c:manualLayout>
      </c:layout>
      <c:overlay val="0"/>
      <c:txPr>
        <a:bodyPr vert="horz" rot="0"/>
        <a:lstStyle/>
        <a:p>
          <a:pPr>
            <a:defRPr lang="en-US" sz="1100" b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ln w="6350">
      <a:noFill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15"/>
          <c:y val="0.0285"/>
          <c:w val="0.92925"/>
          <c:h val="0.80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Показатели!$B$225</c:f>
              <c:strCache>
                <c:ptCount val="1"/>
                <c:pt idx="0">
                  <c:v>Долг (Текущая деятельность)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Показатели!$E$225:$AG$225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3-4309-8997-B8C5F157981D}"/>
            </c:ext>
          </c:extLst>
        </c:ser>
        <c:ser>
          <c:idx val="1"/>
          <c:order val="2"/>
          <c:tx>
            <c:strRef>
              <c:f>Показатели!$B$224</c:f>
              <c:strCache>
                <c:ptCount val="1"/>
                <c:pt idx="0">
                  <c:v>Кредит/заём с графиком (Проект)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Показатели!$E$224:$AG$224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A-4267-A3A3-C79EC98EC482}"/>
            </c:ext>
          </c:extLst>
        </c:ser>
        <c:ser>
          <c:idx val="5"/>
          <c:order val="3"/>
          <c:tx>
            <c:strRef>
              <c:f>Показатели!$B$223</c:f>
              <c:strCache>
                <c:ptCount val="1"/>
                <c:pt idx="0">
                  <c:v>Заём бенефициара/аффилированных лиц</c:v>
                </c:pt>
              </c:strCache>
            </c:strRef>
          </c:tx>
          <c:spPr>
            <a:solidFill>
              <a:srgbClr val="92D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cat>
          <c:val>
            <c:numRef>
              <c:f>Показатели!$E$223:$AG$223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6-4555-BF88-C133589AFACC}"/>
            </c:ext>
          </c:extLst>
        </c:ser>
        <c:ser>
          <c:idx val="2"/>
          <c:order val="4"/>
          <c:tx>
            <c:strRef>
              <c:f>Показатели!$B$222</c:f>
              <c:strCache>
                <c:ptCount val="1"/>
                <c:pt idx="0">
                  <c:v>Заём ФРП</c:v>
                </c:pt>
              </c:strCache>
            </c:strRef>
          </c:tx>
          <c:spPr>
            <a:solidFill>
              <a:srgbClr val="CC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Показатели!$E$222:$AG$222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A-4267-A3A3-C79EC98EC482}"/>
            </c:ext>
          </c:extLst>
        </c:ser>
        <c:overlap val="100"/>
        <c:axId val="60761633"/>
        <c:axId val="66383927"/>
      </c:barChart>
      <c:lineChart>
        <c:grouping val="standard"/>
        <c:varyColors val="0"/>
        <c:ser>
          <c:idx val="0"/>
          <c:order val="0"/>
          <c:tx>
            <c:strRef>
              <c:f>Показатели!$B$237</c:f>
              <c:strCache>
                <c:ptCount val="1"/>
                <c:pt idx="0">
                  <c:v>Долг / EBITDA</c:v>
                </c:pt>
              </c:strCache>
            </c:strRef>
          </c:tx>
          <c:spPr>
            <a:ln w="38100" cmpd="sng"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rgbClr val="FFC000"/>
              </a:solidFill>
              <a:ln w="38100" cap="rnd" cmpd="sng">
                <a:solidFill>
                  <a:schemeClr val="accent4"/>
                </a:solidFill>
                <a:prstDash val="solid"/>
                <a:round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Показатели!$E$237:$AG$237</c:f>
              <c:numCache>
                <c:formatCode>0.0\х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F3A-4267-A3A3-C79EC98EC482}"/>
            </c:ext>
          </c:extLst>
        </c:ser>
        <c:marker val="1"/>
        <c:axId val="55614361"/>
        <c:axId val="38415297"/>
      </c:lineChart>
      <c:catAx>
        <c:axId val="607616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66383927"/>
        <c:crosses val="autoZero"/>
        <c:auto val="1"/>
        <c:lblOffset val="100"/>
        <c:tickLblSkip val="1"/>
        <c:noMultiLvlLbl val="0"/>
      </c:catAx>
      <c:valAx>
        <c:axId val="66383927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60761633"/>
        <c:crosses val="autoZero"/>
        <c:crossBetween val="between"/>
      </c:valAx>
      <c:catAx>
        <c:axId val="55614361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6350" cap="flat" cmpd="sng"/>
        </c:spPr>
        <c:crossAx val="38415297"/>
        <c:crosses val="autoZero"/>
        <c:auto val="1"/>
        <c:lblOffset val="100"/>
        <c:noMultiLvlLbl val="0"/>
      </c:catAx>
      <c:valAx>
        <c:axId val="38415297"/>
        <c:scaling>
          <c:orientation val="minMax"/>
          <c:min val="0"/>
        </c:scaling>
        <c:delete val="0"/>
        <c:axPos val="l"/>
        <c:numFmt formatCode="0.0\х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55614361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03475"/>
          <c:y val="0.916"/>
          <c:w val="0.931"/>
          <c:h val="0.084"/>
        </c:manualLayout>
      </c:layout>
      <c:overlay val="0"/>
      <c:txPr>
        <a:bodyPr vert="horz" rot="0"/>
        <a:lstStyle/>
        <a:p>
          <a:pPr>
            <a:defRPr lang="en-US" sz="1100" b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ln w="6350">
      <a:noFill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39"/>
          <c:y val="0.0285"/>
          <c:w val="0.93175"/>
          <c:h val="0.82175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Показатели!$B$302</c:f>
              <c:strCache>
                <c:ptCount val="1"/>
                <c:pt idx="0">
                  <c:v>Прочие кредиторы - Текущая д-ть (проценты)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Показатели!$O$302:$AG$302</c:f>
              <c:numCache>
                <c:formatCode>#,##0.00_ ;[Red]\-#,##0.00\ 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F-4E77-9A96-545C206490B0}"/>
            </c:ext>
          </c:extLst>
        </c:ser>
        <c:ser>
          <c:idx val="4"/>
          <c:order val="1"/>
          <c:tx>
            <c:strRef>
              <c:f>Показатели!$B$301</c:f>
              <c:strCache>
                <c:ptCount val="1"/>
                <c:pt idx="0">
                  <c:v>Прочие кредиторы - Текущая д-ть (основной долг)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Показатели!$E$301:$AG$301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F-4E77-9A96-545C206490B0}"/>
            </c:ext>
          </c:extLst>
        </c:ser>
        <c:ser>
          <c:idx val="3"/>
          <c:order val="2"/>
          <c:tx>
            <c:strRef>
              <c:f>Показатели!$B$300</c:f>
              <c:strCache>
                <c:ptCount val="1"/>
                <c:pt idx="0">
                  <c:v>Прочие кредиторы - Проект (проценты)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Показатели!$E$300:$AG$300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5D-4A7F-88CA-422D1FA153F1}"/>
            </c:ext>
          </c:extLst>
        </c:ser>
        <c:ser>
          <c:idx val="0"/>
          <c:order val="3"/>
          <c:tx>
            <c:strRef>
              <c:f>Показатели!$B$299</c:f>
              <c:strCache>
                <c:ptCount val="1"/>
                <c:pt idx="0">
                  <c:v>Прочие кредиторы - Проект (основной долг)</c:v>
                </c:pt>
              </c:strCache>
            </c:strRef>
          </c:tx>
          <c:spPr>
            <a:solidFill>
              <a:schemeClr val="accent5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Показатели!$E$299:$AG$299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5D-4A7F-88CA-422D1FA153F1}"/>
            </c:ext>
          </c:extLst>
        </c:ser>
        <c:ser>
          <c:idx val="1"/>
          <c:order val="4"/>
          <c:tx>
            <c:strRef>
              <c:f>Показатели!$B$298</c:f>
              <c:strCache>
                <c:ptCount val="1"/>
                <c:pt idx="0">
                  <c:v>Заём ФРП (проценты)</c:v>
                </c:pt>
              </c:strCache>
            </c:strRef>
          </c:tx>
          <c:spPr>
            <a:solidFill>
              <a:srgbClr val="FFE4D6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Показатели!$E$298:$AG$298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D-4A7F-88CA-422D1FA153F1}"/>
            </c:ext>
          </c:extLst>
        </c:ser>
        <c:ser>
          <c:idx val="2"/>
          <c:order val="5"/>
          <c:tx>
            <c:strRef>
              <c:f>Показатели!$B$297</c:f>
              <c:strCache>
                <c:ptCount val="1"/>
                <c:pt idx="0">
                  <c:v>Заём ФРП (основной долг)</c:v>
                </c:pt>
              </c:strCache>
            </c:strRef>
          </c:tx>
          <c:spPr>
            <a:solidFill>
              <a:srgbClr val="CC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Показатели!$E$297:$AG$297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D-4A7F-88CA-422D1FA153F1}"/>
            </c:ext>
          </c:extLst>
        </c:ser>
        <c:overlap val="100"/>
        <c:gapWidth val="60"/>
        <c:axId val="3955374"/>
        <c:axId val="56832811"/>
      </c:barChart>
      <c:catAx>
        <c:axId val="39553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56832811"/>
        <c:crosses val="autoZero"/>
        <c:auto val="1"/>
        <c:lblOffset val="100"/>
        <c:noMultiLvlLbl val="0"/>
      </c:catAx>
      <c:valAx>
        <c:axId val="56832811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395537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03225"/>
          <c:y val="0.94675"/>
          <c:w val="0.967"/>
          <c:h val="0.05325"/>
        </c:manualLayout>
      </c:layout>
      <c:overlay val="0"/>
      <c:txPr>
        <a:bodyPr vert="horz" rot="0"/>
        <a:lstStyle/>
        <a:p>
          <a:pPr>
            <a:defRPr lang="en-US" sz="1100" b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ln w="6350">
      <a:noFill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025"/>
          <c:y val="0.064"/>
          <c:w val="0.45325"/>
          <c:h val="0.8595"/>
        </c:manualLayout>
      </c:layout>
      <c:pieChart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0"/>
          <c:dPt>
            <c:idx val="0"/>
            <c:spPr>
              <a:solidFill>
                <a:schemeClr val="accent1">
                  <a:shade val="42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spPr>
              <a:solidFill>
                <a:schemeClr val="accent1">
                  <a:shade val="4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spPr>
              <a:solidFill>
                <a:schemeClr val="accent1">
                  <a:shade val="5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spPr>
              <a:solidFill>
                <a:schemeClr val="accent1">
                  <a:shade val="56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spPr>
              <a:solidFill>
                <a:schemeClr val="accent1">
                  <a:shade val="6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spPr>
              <a:solidFill>
                <a:schemeClr val="accent1">
                  <a:shade val="7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spPr>
              <a:solidFill>
                <a:schemeClr val="accent1">
                  <a:shade val="47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spPr>
              <a:solidFill>
                <a:schemeClr val="accent1">
                  <a:shade val="56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spPr>
              <a:solidFill>
                <a:schemeClr val="accent1">
                  <a:shade val="65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spPr>
              <a:solidFill>
                <a:schemeClr val="accent1">
                  <a:shade val="7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0"/>
            <c:spPr>
              <a:solidFill>
                <a:schemeClr val="accent1">
                  <a:shade val="82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1"/>
            <c:spPr>
              <a:solidFill>
                <a:schemeClr val="accent1">
                  <a:shade val="55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2"/>
            <c:spPr>
              <a:solidFill>
                <a:schemeClr val="accent1">
                  <a:shade val="68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spPr>
              <a:solidFill>
                <a:schemeClr val="accent1">
                  <a:shade val="8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4"/>
            <c:spPr>
              <a:solidFill>
                <a:schemeClr val="accent1">
                  <a:shade val="9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5"/>
            <c:spPr>
              <a:solidFill>
                <a:schemeClr val="accent1">
                  <a:tint val="94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spPr>
              <a:solidFill>
                <a:schemeClr val="accent1">
                  <a:tint val="81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spPr>
              <a:solidFill>
                <a:schemeClr val="accent1">
                  <a:tint val="69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8"/>
            <c:spPr>
              <a:solidFill>
                <a:schemeClr val="accent1">
                  <a:tint val="56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9"/>
            <c:spPr>
              <a:solidFill>
                <a:schemeClr val="accent1">
                  <a:tint val="4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11"/>
              <c:layout/>
              <c:numFmt formatCode="0%;\-0;;@" sourceLinked="0"/>
              <c:spPr>
                <a:solidFill>
                  <a:srgbClr val="FFFFFF"/>
                </a:solidFill>
                <a:ln w="6350" cap="flat" cmpd="sng">
                  <a:solidFill>
                    <a:srgbClr val="000000">
                      <a:lumMod val="65000"/>
                      <a:lumOff val="35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vert="horz" rot="0">
                  <a:spAutoFit/>
                </a:bodyPr>
                <a:lstStyle/>
                <a:p>
                  <a:pPr algn="ctr">
                    <a:defRPr lang="en-US" sz="1100" b="0" i="0" u="none" baseline="0">
                      <a:solidFill>
                        <a:schemeClr val="tx1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numFmt formatCode="0%;\-0;;@" sourceLinked="0"/>
            <c:spPr>
              <a:solidFill>
                <a:srgbClr val="FFFFFF"/>
              </a:solidFill>
              <a:ln w="6350" cap="flat" cmpd="sng">
                <a:solidFill>
                  <a:srgbClr val="000000">
                    <a:lumMod val="65000"/>
                    <a:lumOff val="35000"/>
                  </a:srgb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vert="horz" rot="0">
                <a:spAutoFit/>
              </a:bodyPr>
              <a:lstStyle/>
              <a:p>
                <a:pPr algn="ctr">
                  <a:defRPr lang="en-US" sz="1050" b="0" i="0" u="none" baseline="0">
                    <a:solidFill>
                      <a:schemeClr val="tx1"/>
                    </a:solidFill>
                    <a:latin typeface="Arial Narrow"/>
                    <a:ea typeface="Arial Narrow"/>
                    <a:cs typeface="Arial Narrow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Продажи!$B$112:$B$131</c:f>
              <c:strCache>
                <c:ptCount val="20"/>
                <c:pt idx="0">
                  <c:v>Продукт 1</c:v>
                </c:pt>
                <c:pt idx="1">
                  <c:v>Продукт 2</c:v>
                </c:pt>
                <c:pt idx="2">
                  <c:v>Продукт 3</c:v>
                </c:pt>
                <c:pt idx="3">
                  <c:v>Продукт 4</c:v>
                </c:pt>
                <c:pt idx="4">
                  <c:v>Продукт 5</c:v>
                </c:pt>
                <c:pt idx="5">
                  <c:v>Продукт 6</c:v>
                </c:pt>
                <c:pt idx="6">
                  <c:v>Продукт 7</c:v>
                </c:pt>
                <c:pt idx="7">
                  <c:v>Продукт 8</c:v>
                </c:pt>
                <c:pt idx="8">
                  <c:v>Продукт 9</c:v>
                </c:pt>
                <c:pt idx="9">
                  <c:v>Продукт 10</c:v>
                </c:pt>
                <c:pt idx="10">
                  <c:v>Продукт 11</c:v>
                </c:pt>
                <c:pt idx="11">
                  <c:v>Продукт 12</c:v>
                </c:pt>
                <c:pt idx="12">
                  <c:v>Продукт 13</c:v>
                </c:pt>
                <c:pt idx="13">
                  <c:v>Продукт 14</c:v>
                </c:pt>
                <c:pt idx="14">
                  <c:v>Продукт 15</c:v>
                </c:pt>
                <c:pt idx="15">
                  <c:v>Продукт 16</c:v>
                </c:pt>
                <c:pt idx="16">
                  <c:v>Продукт 17</c:v>
                </c:pt>
                <c:pt idx="17">
                  <c:v>Продукт 18</c:v>
                </c:pt>
                <c:pt idx="18">
                  <c:v>Продукт 19</c:v>
                </c:pt>
                <c:pt idx="19">
                  <c:v>Продукт 20</c:v>
                </c:pt>
              </c:strCache>
            </c:strRef>
          </c:cat>
          <c:val>
            <c:numRef>
              <c:f>Продажи!$D$112:$D$131</c:f>
              <c:numCache>
                <c:formatCode>#,##0.00_ ;[Red]\-#,##0.00\ 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CA-4034-83B1-3C36A77F7291}"/>
            </c:ext>
          </c:extLst>
        </c:ser>
      </c:pieChart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578"/>
          <c:y val="0.00325"/>
          <c:w val="0.41625"/>
          <c:h val="0.996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1100" b="0" i="0" u="none" baseline="0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zero"/>
    <c:showDLblsOverMax val="0"/>
  </c:chart>
  <c:spPr>
    <a:solidFill>
      <a:schemeClr val="bg1"/>
    </a:solidFill>
    <a:ln w="6350">
      <a:noFill/>
      <a:prstDash val="solid"/>
      <a:round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525"/>
          <c:y val="0.07525"/>
          <c:w val="0.4555"/>
          <c:h val="0.8605"/>
        </c:manualLayout>
      </c:layout>
      <c:pieChart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0"/>
          <c:dPt>
            <c:idx val="0"/>
            <c:spPr>
              <a:solidFill>
                <a:schemeClr val="accent2">
                  <a:tint val="4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spPr>
              <a:solidFill>
                <a:schemeClr val="accent2">
                  <a:tint val="44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spPr>
              <a:solidFill>
                <a:schemeClr val="accent2">
                  <a:tint val="5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spPr>
              <a:solidFill>
                <a:schemeClr val="accent2">
                  <a:tint val="57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spPr>
              <a:solidFill>
                <a:schemeClr val="accent2">
                  <a:tint val="64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spPr>
              <a:solidFill>
                <a:schemeClr val="accent2">
                  <a:tint val="7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spPr>
              <a:solidFill>
                <a:schemeClr val="accent2">
                  <a:tint val="77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spPr>
              <a:solidFill>
                <a:schemeClr val="accent2">
                  <a:tint val="84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spPr>
              <a:solidFill>
                <a:schemeClr val="accent2">
                  <a:tint val="9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spPr>
              <a:solidFill>
                <a:schemeClr val="accent2">
                  <a:tint val="97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0"/>
            <c:spPr>
              <a:solidFill>
                <a:schemeClr val="accent2">
                  <a:shade val="96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1"/>
            <c:spPr>
              <a:solidFill>
                <a:schemeClr val="accent2">
                  <a:tint val="56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2"/>
            <c:spPr>
              <a:solidFill>
                <a:schemeClr val="accent2">
                  <a:tint val="69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spPr>
              <a:solidFill>
                <a:schemeClr val="accent2">
                  <a:tint val="81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4"/>
            <c:spPr>
              <a:solidFill>
                <a:schemeClr val="accent2">
                  <a:tint val="94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5"/>
            <c:spPr>
              <a:solidFill>
                <a:schemeClr val="accent2">
                  <a:shade val="93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spPr>
              <a:solidFill>
                <a:schemeClr val="accent2">
                  <a:shade val="80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spPr>
              <a:solidFill>
                <a:schemeClr val="accent2">
                  <a:shade val="68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8"/>
            <c:spPr>
              <a:solidFill>
                <a:schemeClr val="accent2">
                  <a:shade val="55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9"/>
            <c:spPr>
              <a:solidFill>
                <a:schemeClr val="accent2">
                  <a:shade val="42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Lbls>
            <c:numFmt formatCode="0%;\-0;;@" sourceLinked="0"/>
            <c:spPr>
              <a:solidFill>
                <a:srgbClr val="FFFFFF"/>
              </a:solidFill>
              <a:ln w="6350" cap="flat" cmpd="sng">
                <a:solidFill>
                  <a:srgbClr val="000000">
                    <a:lumMod val="65000"/>
                    <a:lumOff val="35000"/>
                  </a:srgb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vert="horz" rot="0">
                <a:spAutoFit/>
              </a:bodyPr>
              <a:lstStyle/>
              <a:p>
                <a:pPr algn="ctr">
                  <a:defRPr lang="en-US" sz="1100" b="0" i="0" u="none" baseline="0">
                    <a:solidFill>
                      <a:schemeClr val="tx1"/>
                    </a:solidFill>
                    <a:latin typeface="Arial Narrow"/>
                    <a:ea typeface="Arial Narrow"/>
                    <a:cs typeface="Arial Narrow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'Операционные затраты'!$B$578:$B$597</c:f>
              <c:strCache>
                <c:ptCount val="20"/>
                <c:pt idx="0">
                  <c:v>Операционные затраты 1</c:v>
                </c:pt>
                <c:pt idx="1">
                  <c:v>Операционные затраты 2</c:v>
                </c:pt>
                <c:pt idx="2">
                  <c:v>Операционные затраты 3</c:v>
                </c:pt>
                <c:pt idx="3">
                  <c:v>Операционные затраты 4</c:v>
                </c:pt>
                <c:pt idx="4">
                  <c:v>Операционные затраты 5</c:v>
                </c:pt>
                <c:pt idx="5">
                  <c:v>Операционные затраты 6</c:v>
                </c:pt>
                <c:pt idx="6">
                  <c:v>Операционные затраты 7</c:v>
                </c:pt>
                <c:pt idx="7">
                  <c:v>Операционные затраты 8</c:v>
                </c:pt>
                <c:pt idx="8">
                  <c:v>Операционные затраты 9</c:v>
                </c:pt>
                <c:pt idx="9">
                  <c:v>Операционные затраты 10</c:v>
                </c:pt>
                <c:pt idx="10">
                  <c:v>Операционные затраты 11</c:v>
                </c:pt>
                <c:pt idx="11">
                  <c:v>Операционные затраты 12</c:v>
                </c:pt>
                <c:pt idx="12">
                  <c:v>Операционные затраты 13</c:v>
                </c:pt>
                <c:pt idx="13">
                  <c:v>Операционные затраты 14</c:v>
                </c:pt>
                <c:pt idx="14">
                  <c:v>Операционные затраты 15</c:v>
                </c:pt>
                <c:pt idx="15">
                  <c:v>Операционные затраты 16</c:v>
                </c:pt>
                <c:pt idx="16">
                  <c:v>Операционные затраты 17</c:v>
                </c:pt>
                <c:pt idx="17">
                  <c:v>Операционные затраты 18</c:v>
                </c:pt>
                <c:pt idx="18">
                  <c:v>Операционные затраты 19</c:v>
                </c:pt>
                <c:pt idx="19">
                  <c:v>Операционные затраты 20</c:v>
                </c:pt>
              </c:strCache>
            </c:strRef>
          </c:cat>
          <c:val>
            <c:numRef>
              <c:f>'Операционные затраты'!$D$578:$D$597</c:f>
              <c:numCache>
                <c:formatCode>#,##0.00_ ;[Red]\-#,##0.00\ 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F-423F-91CA-B27B20FC8D56}"/>
            </c:ext>
          </c:extLst>
        </c:ser>
      </c:pieChart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61375"/>
          <c:y val="0"/>
          <c:w val="0.38625"/>
          <c:h val="1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1100" b="0" i="0" u="none" baseline="0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zero"/>
    <c:showDLblsOverMax val="0"/>
  </c:chart>
  <c:spPr>
    <a:solidFill>
      <a:schemeClr val="bg1"/>
    </a:solidFill>
    <a:ln w="6350">
      <a:noFill/>
      <a:prstDash val="solid"/>
      <a:round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3725"/>
          <c:y val="0.069"/>
          <c:w val="0.9385"/>
          <c:h val="0.774"/>
        </c:manualLayout>
      </c:layout>
      <c:lineChart>
        <c:grouping val="standard"/>
        <c:varyColors val="0"/>
        <c:ser>
          <c:idx val="0"/>
          <c:order val="0"/>
          <c:tx>
            <c:strRef>
              <c:f>Чувствительность!$B$12</c:f>
              <c:strCache>
                <c:ptCount val="1"/>
                <c:pt idx="0">
                  <c:v>Изменение цен на продукцию</c:v>
                </c:pt>
              </c:strCache>
            </c:strRef>
          </c:tx>
          <c:spPr>
            <a:ln w="25400" cap="rnd" cmpd="sng">
              <a:solidFill>
                <a:schemeClr val="accent1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Чувствительность!$E$13:$O$13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AB20-4DD4-8062-26CD4144918F}"/>
            </c:ext>
          </c:extLst>
        </c:ser>
        <c:ser>
          <c:idx val="1"/>
          <c:order val="1"/>
          <c:tx>
            <c:strRef>
              <c:f>Чувствительность!$B$16</c:f>
              <c:strCache>
                <c:ptCount val="1"/>
                <c:pt idx="0">
                  <c:v>Изменение объемов продаж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Чувствительность!$E$17:$O$17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AB20-4DD4-8062-26CD4144918F}"/>
            </c:ext>
          </c:extLst>
        </c:ser>
        <c:ser>
          <c:idx val="2"/>
          <c:order val="2"/>
          <c:tx>
            <c:strRef>
              <c:f>Чувствительность!$B$20</c:f>
              <c:strCache>
                <c:ptCount val="1"/>
                <c:pt idx="0">
                  <c:v>Изменение стоимости прямых затрат</c:v>
                </c:pt>
              </c:strCache>
            </c:strRef>
          </c:tx>
          <c:spPr>
            <a:ln w="25400" cap="rnd" cmpd="sng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Чувствительность!$E$21:$O$21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AB20-4DD4-8062-26CD4144918F}"/>
            </c:ext>
          </c:extLst>
        </c:ser>
        <c:ser>
          <c:idx val="3"/>
          <c:order val="3"/>
          <c:tx>
            <c:strRef>
              <c:f>Чувствительность!$B$24</c:f>
              <c:strCache>
                <c:ptCount val="1"/>
                <c:pt idx="0">
                  <c:v>Изменение стоимости капитальных вложений</c:v>
                </c:pt>
              </c:strCache>
            </c:strRef>
          </c:tx>
          <c:spPr>
            <a:ln w="25400" cap="rnd" cmpd="sng">
              <a:solidFill>
                <a:srgbClr val="7030A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Чувствительность!$E$25:$O$25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20-4DD4-8062-26CD4144918F}"/>
            </c:ext>
          </c:extLst>
        </c:ser>
        <c:ser>
          <c:idx val="4"/>
          <c:order val="4"/>
          <c:tx>
            <c:strRef>
              <c:f>Чувствительность!$B$28</c:f>
              <c:strCache>
                <c:ptCount val="1"/>
                <c:pt idx="0">
                  <c:v>Изменение курса валют</c:v>
                </c:pt>
              </c:strCache>
            </c:strRef>
          </c:tx>
          <c:spPr>
            <a:ln w="25400" cap="rnd" cmpd="sng">
              <a:solidFill>
                <a:srgbClr val="FFFF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Чувствительность!$E$29:$O$29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AB20-4DD4-8062-26CD4144918F}"/>
            </c:ext>
          </c:extLst>
        </c:ser>
        <c:ser>
          <c:idx val="5"/>
          <c:order val="5"/>
          <c:tx>
            <c:strRef>
              <c:f>Чувствительность!$B$32</c:f>
              <c:strCache>
                <c:ptCount val="1"/>
                <c:pt idx="0">
                  <c:v>Изменение ставки дисконтирования</c:v>
                </c:pt>
              </c:strCache>
            </c:strRef>
          </c:tx>
          <c:spPr>
            <a:ln w="25400" cap="rnd" cmpd="sng">
              <a:solidFill>
                <a:srgbClr val="FF505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Чувствительность!$E$33:$O$33</c:f>
              <c:numCache>
                <c:formatCode>#,##0_ ;[Red]\-#,##0\ </c:formatCode>
                <c:ptCount val="11"/>
                <c:pt idx="0">
                  <c:v>-0.000967473889828579</c:v>
                </c:pt>
                <c:pt idx="1">
                  <c:v>-0.000965380551550108</c:v>
                </c:pt>
                <c:pt idx="2">
                  <c:v>-0.000963296252490417</c:v>
                </c:pt>
                <c:pt idx="3">
                  <c:v>-0.000961220934227428</c:v>
                </c:pt>
                <c:pt idx="4">
                  <c:v>-0.000959154538841439</c:v>
                </c:pt>
                <c:pt idx="5">
                  <c:v>-0.000957097008909734</c:v>
                </c:pt>
                <c:pt idx="6">
                  <c:v>-0.000955048287501262</c:v>
                </c:pt>
                <c:pt idx="7">
                  <c:v>-0.000953008318171389</c:v>
                </c:pt>
                <c:pt idx="8">
                  <c:v>-0.00095097704495671</c:v>
                </c:pt>
                <c:pt idx="9">
                  <c:v>-0.000948954412369939</c:v>
                </c:pt>
                <c:pt idx="10">
                  <c:v>-0.000946940365394847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AB20-4DD4-8062-26CD4144918F}"/>
            </c:ext>
          </c:extLst>
        </c:ser>
        <c:marker val="1"/>
        <c:axId val="14888200"/>
        <c:axId val="39738206"/>
      </c:lineChart>
      <c:catAx>
        <c:axId val="14888200"/>
        <c:scaling>
          <c:orientation val="minMax"/>
        </c:scaling>
        <c:delete val="0"/>
        <c:axPos val="b"/>
        <c:minorGridlines>
          <c:spPr>
            <a:ln w="6350" cap="flat" cmpd="sng">
              <a:solidFill>
                <a:schemeClr val="tx1">
                  <a:tint val="50000"/>
                </a:schemeClr>
              </a:solidFill>
              <a:prstDash val="solid"/>
              <a:round/>
            </a:ln>
          </c:spPr>
        </c:minorGridlines>
        <c:numFmt formatCode="\+###0%_ ;[Red]\-###0%\ " sourceLinked="0"/>
        <c:majorTickMark val="out"/>
        <c:minorTickMark val="none"/>
        <c:tickLblPos val="nextTo"/>
        <c:spPr>
          <a:noFill/>
          <a:ln w="6350" cap="flat" cmpd="sng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100" b="0" i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39738206"/>
        <c:crosses val="max"/>
        <c:auto val="1"/>
        <c:lblOffset val="100"/>
        <c:noMultiLvlLbl val="0"/>
      </c:catAx>
      <c:valAx>
        <c:axId val="39738206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chemeClr val="bg1">
                  <a:lumMod val="65000"/>
                </a:schemeClr>
              </a:solidFill>
              <a:prstDash val="sysDot"/>
              <a:round/>
            </a:ln>
          </c:spPr>
        </c:majorGridlines>
        <c:numFmt formatCode="#,##0_ ;[Red]\-#,##0\ " sourceLinked="0"/>
        <c:majorTickMark val="out"/>
        <c:minorTickMark val="none"/>
        <c:tickLblPos val="nextTo"/>
        <c:spPr>
          <a:noFill/>
          <a:ln w="6350" cap="flat" cmpd="sng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100" b="0" i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14888200"/>
        <c:crossesAt val="1"/>
        <c:crossBetween val="midCat"/>
      </c:valAx>
      <c:spPr>
        <a:solidFill>
          <a:schemeClr val="bg1"/>
        </a:solidFill>
        <a:ln w="6350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b"/>
      <c:layout>
        <c:manualLayout>
          <c:xMode val="edge"/>
          <c:yMode val="edge"/>
          <c:x val="0.086"/>
          <c:y val="0.89575"/>
          <c:w val="0.89575"/>
          <c:h val="0.101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1100" b="0" i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6350">
      <a:noFill/>
      <a:prstDash val="solid"/>
      <a:round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5"/>
          <c:y val="0.07875"/>
          <c:w val="0.49125"/>
          <c:h val="0.84275"/>
        </c:manualLayout>
      </c:layout>
      <c:pieChart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0"/>
          <c:dPt>
            <c:idx val="0"/>
            <c:spPr>
              <a:solidFill>
                <a:schemeClr val="bg1">
                  <a:lumMod val="85000"/>
                </a:schemeClr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spPr>
              <a:solidFill>
                <a:srgbClr val="92D050"/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spPr>
              <a:solidFill>
                <a:srgbClr val="0070C0"/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spPr>
              <a:solidFill>
                <a:srgbClr val="DA0000"/>
              </a:solidFill>
              <a:ln w="63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Lbls>
            <c:numFmt formatCode="0%;\-0;;@" sourceLinked="0"/>
            <c:spPr>
              <a:solidFill>
                <a:srgbClr val="FFFFFF"/>
              </a:solidFill>
              <a:ln w="6350" cap="flat" cmpd="sng">
                <a:solidFill>
                  <a:srgbClr val="000000">
                    <a:lumMod val="65000"/>
                    <a:lumOff val="35000"/>
                  </a:srgb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vert="horz" rot="0">
                <a:spAutoFit/>
              </a:bodyPr>
              <a:lstStyle/>
              <a:p>
                <a:pPr algn="ctr">
                  <a:defRPr lang="en-US" sz="1100" b="0" i="0" u="none" baseline="0">
                    <a:solidFill>
                      <a:schemeClr val="tx1"/>
                    </a:solidFill>
                    <a:latin typeface="Arial Narrow"/>
                    <a:ea typeface="Arial Narrow"/>
                    <a:cs typeface="Arial Narrow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Предпосылки!$B$436:$B$439</c:f>
              <c:strCache>
                <c:ptCount val="4"/>
                <c:pt idx="0">
                  <c:v>Собственные средства</c:v>
                </c:pt>
                <c:pt idx="1">
                  <c:v>Заём бенефициара/аффилированных лиц</c:v>
                </c:pt>
                <c:pt idx="2">
                  <c:v>Кредит/заём (с графиком)</c:v>
                </c:pt>
                <c:pt idx="3">
                  <c:v>Заём ФРП</c:v>
                </c:pt>
              </c:strCache>
            </c:strRef>
          </c:cat>
          <c:val>
            <c:numRef>
              <c:f>Предпосылки!$E$436:$E$439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D61-463A-B62F-A21F9CF240FA}"/>
            </c:ext>
          </c:extLst>
        </c:ser>
      </c:pieChart>
      <c:spPr>
        <a:noFill/>
        <a:ln w="6350">
          <a:noFill/>
        </a:ln>
      </c:spPr>
    </c:plotArea>
    <c:legend>
      <c:legendPos val="r"/>
      <c:layout>
        <c:manualLayout>
          <c:xMode val="edge"/>
          <c:yMode val="edge"/>
          <c:x val="0.56"/>
          <c:y val="0.0005"/>
          <c:w val="0.431"/>
          <c:h val="0.996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1100" b="0" i="0" u="none" baseline="0">
              <a:solidFill>
                <a:schemeClr val="tx2">
                  <a:lumMod val="50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zero"/>
    <c:showDLblsOverMax val="0"/>
  </c:chart>
  <c:spPr>
    <a:solidFill>
      <a:schemeClr val="bg1"/>
    </a:solidFill>
    <a:ln w="6350">
      <a:noFill/>
      <a:prstDash val="solid"/>
      <a:round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37"/>
          <c:y val="0.0285"/>
          <c:w val="0.9365"/>
          <c:h val="0.815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Показатели!$B$216</c:f>
              <c:strCache>
                <c:ptCount val="1"/>
                <c:pt idx="0">
                  <c:v>Выручка по Проекту</c:v>
                </c:pt>
              </c:strCache>
            </c:strRef>
          </c:tx>
          <c:spPr>
            <a:solidFill>
              <a:srgbClr val="FF5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Показатели!$E$216:$AG$216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D2-4A22-B746-6C0445F73552}"/>
            </c:ext>
          </c:extLst>
        </c:ser>
        <c:ser>
          <c:idx val="2"/>
          <c:order val="1"/>
          <c:tx>
            <c:strRef>
              <c:f>Показатели!$B$217</c:f>
              <c:strCache>
                <c:ptCount val="1"/>
                <c:pt idx="0">
                  <c:v>Общая прогнозная выручка</c:v>
                </c:pt>
              </c:strCache>
            </c:strRef>
          </c:tx>
          <c:spPr>
            <a:solidFill>
              <a:srgbClr val="0099FF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Показатели!$E$11:$AG$11</c:f>
              <c:strCache>
                <c:ptCount val="29"/>
                <c:pt idx="0">
                  <c:v>1 кв. 2025</c:v>
                </c:pt>
                <c:pt idx="1">
                  <c:v>2 кв. 2025</c:v>
                </c:pt>
                <c:pt idx="2">
                  <c:v>3 кв. 2025</c:v>
                </c:pt>
                <c:pt idx="3">
                  <c:v>4 кв. 2025</c:v>
                </c:pt>
                <c:pt idx="4">
                  <c:v>1 кв. 2026</c:v>
                </c:pt>
                <c:pt idx="5">
                  <c:v>2 кв. 2026</c:v>
                </c:pt>
                <c:pt idx="6">
                  <c:v>3 кв. 2026</c:v>
                </c:pt>
                <c:pt idx="7">
                  <c:v>4 кв. 2026</c:v>
                </c:pt>
                <c:pt idx="8">
                  <c:v>1 кв. 2027</c:v>
                </c:pt>
                <c:pt idx="9">
                  <c:v>2 кв. 2027</c:v>
                </c:pt>
                <c:pt idx="10">
                  <c:v>3 кв. 2027</c:v>
                </c:pt>
                <c:pt idx="11">
                  <c:v>4 кв. 2027</c:v>
                </c:pt>
                <c:pt idx="12">
                  <c:v>1 кв. 2028</c:v>
                </c:pt>
                <c:pt idx="13">
                  <c:v>2 кв. 2028</c:v>
                </c:pt>
                <c:pt idx="14">
                  <c:v>3 кв. 2028</c:v>
                </c:pt>
                <c:pt idx="15">
                  <c:v>4 кв. 2028</c:v>
                </c:pt>
                <c:pt idx="16">
                  <c:v>1 кв. 2029</c:v>
                </c:pt>
                <c:pt idx="17">
                  <c:v>2 кв. 2029</c:v>
                </c:pt>
                <c:pt idx="18">
                  <c:v>3 кв. 2029</c:v>
                </c:pt>
                <c:pt idx="19">
                  <c:v>4 кв. 2029</c:v>
                </c:pt>
                <c:pt idx="20">
                  <c:v>1 кв. 2030</c:v>
                </c:pt>
                <c:pt idx="21">
                  <c:v>2 кв. 2030</c:v>
                </c:pt>
                <c:pt idx="22">
                  <c:v>3 кв. 2030</c:v>
                </c:pt>
                <c:pt idx="23">
                  <c:v>4 кв. 2030</c:v>
                </c:pt>
                <c:pt idx="24">
                  <c:v>1 кв. 2031</c:v>
                </c:pt>
                <c:pt idx="25">
                  <c:v>2 кв. 2031</c:v>
                </c:pt>
                <c:pt idx="26">
                  <c:v>3 кв. 2031</c:v>
                </c:pt>
                <c:pt idx="27">
                  <c:v>4 кв. 2031</c:v>
                </c:pt>
                <c:pt idx="28">
                  <c:v>1 кв. 2032</c:v>
                </c:pt>
              </c:strCache>
            </c:strRef>
          </c:cat>
          <c:val>
            <c:numRef>
              <c:f>Показатели!$E$217:$AG$217</c:f>
              <c:numCache>
                <c:formatCode>#,##0.00_ ;[Red]\-#,##0.00\ 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D2-4A22-B746-6C0445F73552}"/>
            </c:ext>
          </c:extLst>
        </c:ser>
        <c:gapWidth val="60"/>
        <c:axId val="1424590"/>
        <c:axId val="17907137"/>
      </c:barChart>
      <c:lineChart>
        <c:grouping val="standard"/>
        <c:varyColors val="0"/>
        <c:ser>
          <c:idx val="0"/>
          <c:order val="2"/>
          <c:tx>
            <c:strRef>
              <c:f>Показатели!$B$218</c:f>
              <c:strCache>
                <c:ptCount val="1"/>
                <c:pt idx="0">
                  <c:v>Доля</c:v>
                </c:pt>
              </c:strCache>
            </c:strRef>
          </c:tx>
          <c:spPr>
            <a:ln w="38100" cmpd="sng"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rgbClr val="FFC000"/>
              </a:solidFill>
              <a:ln w="38100" cap="rnd" cmpd="sng">
                <a:solidFill>
                  <a:srgbClr val="FFC000">
                    <a:alpha val="93000"/>
                  </a:srgb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cat>
          <c:val>
            <c:numRef>
              <c:f>Показатели!$E$218:$AG$218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3AD2-4A22-B746-6C0445F73552}"/>
            </c:ext>
          </c:extLst>
        </c:ser>
        <c:marker val="1"/>
        <c:axId val="42564776"/>
        <c:axId val="32694332"/>
      </c:lineChart>
      <c:catAx>
        <c:axId val="14245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17907137"/>
        <c:crosses val="autoZero"/>
        <c:auto val="1"/>
        <c:lblOffset val="100"/>
        <c:noMultiLvlLbl val="0"/>
      </c:catAx>
      <c:valAx>
        <c:axId val="17907137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6350" cap="flat" cmpd="sng">
            <a:solidFill>
              <a:srgbClr val="00589A"/>
            </a:solidFill>
          </a:ln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1424590"/>
        <c:crosses val="autoZero"/>
        <c:crossBetween val="between"/>
      </c:valAx>
      <c:catAx>
        <c:axId val="42564776"/>
        <c:scaling>
          <c:orientation val="minMax"/>
        </c:scaling>
        <c:delete val="1"/>
        <c:axPos val="b"/>
        <c:majorTickMark val="out"/>
        <c:minorTickMark val="none"/>
        <c:tickLblPos val="nextTo"/>
        <c:spPr>
          <a:ln w="6350" cap="flat" cmpd="sng"/>
        </c:spPr>
        <c:crossAx val="32694332"/>
        <c:crosses val="autoZero"/>
        <c:auto val="1"/>
        <c:lblOffset val="100"/>
        <c:noMultiLvlLbl val="0"/>
      </c:catAx>
      <c:valAx>
        <c:axId val="32694332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6350" cap="flat" cmpd="sng"/>
        </c:spPr>
        <c:txPr>
          <a:bodyPr/>
          <a:lstStyle/>
          <a:p>
            <a:pPr>
              <a:defRPr lang="en-US" sz="1100" b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42564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03375"/>
          <c:y val="0.94675"/>
          <c:w val="0.96625"/>
          <c:h val="0.05325"/>
        </c:manualLayout>
      </c:layout>
      <c:overlay val="0"/>
      <c:txPr>
        <a:bodyPr vert="horz" rot="0"/>
        <a:lstStyle/>
        <a:p>
          <a:pPr>
            <a:defRPr lang="en-US" sz="1100" b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ln w="6350">
      <a:noFill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3725"/>
          <c:y val="0.069"/>
          <c:w val="0.9385"/>
          <c:h val="0.774"/>
        </c:manualLayout>
      </c:layout>
      <c:lineChart>
        <c:grouping val="standard"/>
        <c:varyColors val="0"/>
        <c:ser>
          <c:idx val="0"/>
          <c:order val="0"/>
          <c:tx>
            <c:strRef>
              <c:f>Чувствительность!$B$12</c:f>
              <c:strCache>
                <c:ptCount val="1"/>
                <c:pt idx="0">
                  <c:v>Изменение цен на продукцию</c:v>
                </c:pt>
              </c:strCache>
            </c:strRef>
          </c:tx>
          <c:spPr>
            <a:ln w="25400" cap="rnd" cmpd="sng">
              <a:solidFill>
                <a:schemeClr val="accent1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Чувствительность!$E$13:$O$13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1BF-40FA-883C-509DA50B94F9}"/>
            </c:ext>
          </c:extLst>
        </c:ser>
        <c:ser>
          <c:idx val="1"/>
          <c:order val="1"/>
          <c:tx>
            <c:strRef>
              <c:f>Чувствительность!$B$16</c:f>
              <c:strCache>
                <c:ptCount val="1"/>
                <c:pt idx="0">
                  <c:v>Изменение объемов продаж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Чувствительность!$E$17:$O$17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1BF-40FA-883C-509DA50B94F9}"/>
            </c:ext>
          </c:extLst>
        </c:ser>
        <c:ser>
          <c:idx val="2"/>
          <c:order val="2"/>
          <c:tx>
            <c:strRef>
              <c:f>Чувствительность!$B$20</c:f>
              <c:strCache>
                <c:ptCount val="1"/>
                <c:pt idx="0">
                  <c:v>Изменение стоимости прямых затрат</c:v>
                </c:pt>
              </c:strCache>
            </c:strRef>
          </c:tx>
          <c:spPr>
            <a:ln w="25400" cap="rnd" cmpd="sng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Чувствительность!$E$21:$O$21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1BF-40FA-883C-509DA50B94F9}"/>
            </c:ext>
          </c:extLst>
        </c:ser>
        <c:ser>
          <c:idx val="3"/>
          <c:order val="3"/>
          <c:tx>
            <c:strRef>
              <c:f>Чувствительность!$B$24</c:f>
              <c:strCache>
                <c:ptCount val="1"/>
                <c:pt idx="0">
                  <c:v>Изменение стоимости капитальных вложений</c:v>
                </c:pt>
              </c:strCache>
            </c:strRef>
          </c:tx>
          <c:spPr>
            <a:ln w="25400" cap="rnd" cmpd="sng">
              <a:solidFill>
                <a:srgbClr val="7030A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Чувствительность!$E$25:$O$25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BF-40FA-883C-509DA50B94F9}"/>
            </c:ext>
          </c:extLst>
        </c:ser>
        <c:ser>
          <c:idx val="4"/>
          <c:order val="4"/>
          <c:tx>
            <c:strRef>
              <c:f>Чувствительность!$B$28</c:f>
              <c:strCache>
                <c:ptCount val="1"/>
                <c:pt idx="0">
                  <c:v>Изменение курса валют</c:v>
                </c:pt>
              </c:strCache>
            </c:strRef>
          </c:tx>
          <c:spPr>
            <a:ln w="25400" cap="rnd" cmpd="sng">
              <a:solidFill>
                <a:srgbClr val="FFFF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Чувствительность!$E$29:$O$29</c:f>
              <c:numCache>
                <c:formatCode>#,##0_ ;[Red]\-#,##0\ </c:formatCode>
                <c:ptCount val="11"/>
                <c:pt idx="0">
                  <c:v>-0.000957097008909734</c:v>
                </c:pt>
                <c:pt idx="1">
                  <c:v>-0.000957097008909734</c:v>
                </c:pt>
                <c:pt idx="2">
                  <c:v>-0.000957097008909734</c:v>
                </c:pt>
                <c:pt idx="3">
                  <c:v>-0.000957097008909734</c:v>
                </c:pt>
                <c:pt idx="4">
                  <c:v>-0.000957097008909734</c:v>
                </c:pt>
                <c:pt idx="5">
                  <c:v>-0.000957097008909734</c:v>
                </c:pt>
                <c:pt idx="6">
                  <c:v>-0.000957097008909734</c:v>
                </c:pt>
                <c:pt idx="7">
                  <c:v>-0.000957097008909734</c:v>
                </c:pt>
                <c:pt idx="8">
                  <c:v>-0.000957097008909734</c:v>
                </c:pt>
                <c:pt idx="9">
                  <c:v>-0.000957097008909734</c:v>
                </c:pt>
                <c:pt idx="10">
                  <c:v>-0.000957097008909734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1BF-40FA-883C-509DA50B94F9}"/>
            </c:ext>
          </c:extLst>
        </c:ser>
        <c:ser>
          <c:idx val="5"/>
          <c:order val="5"/>
          <c:tx>
            <c:strRef>
              <c:f>Чувствительность!$B$32</c:f>
              <c:strCache>
                <c:ptCount val="1"/>
                <c:pt idx="0">
                  <c:v>Изменение ставки дисконтирования</c:v>
                </c:pt>
              </c:strCache>
            </c:strRef>
          </c:tx>
          <c:spPr>
            <a:ln w="25400" cap="rnd" cmpd="sng">
              <a:solidFill>
                <a:srgbClr val="FF505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Чувствительность!$E$12:$O$12</c:f>
              <c:numCache>
                <c:formatCode>\+#,##0.0%_ ;[Red]\-#,##0.0%\ </c:formatCode>
                <c:ptCount val="11"/>
                <c:pt idx="0">
                  <c:v>-0.25</c:v>
                </c:pt>
                <c:pt idx="1">
                  <c:v>-0.2</c:v>
                </c:pt>
                <c:pt idx="2">
                  <c:v>-0.15</c:v>
                </c:pt>
                <c:pt idx="3">
                  <c:v>-0.1</c:v>
                </c:pt>
                <c:pt idx="4">
                  <c:v>-0.05</c:v>
                </c:pt>
                <c:pt idx="5">
                  <c:v>0</c:v>
                </c:pt>
                <c:pt idx="6">
                  <c:v>0.05</c:v>
                </c:pt>
                <c:pt idx="7">
                  <c:v>0.1</c:v>
                </c:pt>
                <c:pt idx="8">
                  <c:v>0.15</c:v>
                </c:pt>
                <c:pt idx="9">
                  <c:v>0.2</c:v>
                </c:pt>
                <c:pt idx="10">
                  <c:v>0.25</c:v>
                </c:pt>
              </c:numCache>
            </c:numRef>
          </c:cat>
          <c:val>
            <c:numRef>
              <c:f>Чувствительность!$E$33:$O$33</c:f>
              <c:numCache>
                <c:formatCode>#,##0_ ;[Red]\-#,##0\ </c:formatCode>
                <c:ptCount val="11"/>
                <c:pt idx="0">
                  <c:v>-0.000967473889828579</c:v>
                </c:pt>
                <c:pt idx="1">
                  <c:v>-0.000965380551550108</c:v>
                </c:pt>
                <c:pt idx="2">
                  <c:v>-0.000963296252490417</c:v>
                </c:pt>
                <c:pt idx="3">
                  <c:v>-0.000961220934227428</c:v>
                </c:pt>
                <c:pt idx="4">
                  <c:v>-0.000959154538841439</c:v>
                </c:pt>
                <c:pt idx="5">
                  <c:v>-0.000957097008909734</c:v>
                </c:pt>
                <c:pt idx="6">
                  <c:v>-0.000955048287501262</c:v>
                </c:pt>
                <c:pt idx="7">
                  <c:v>-0.000953008318171389</c:v>
                </c:pt>
                <c:pt idx="8">
                  <c:v>-0.00095097704495671</c:v>
                </c:pt>
                <c:pt idx="9">
                  <c:v>-0.000948954412369939</c:v>
                </c:pt>
                <c:pt idx="10">
                  <c:v>-0.000946940365394847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1BF-40FA-883C-509DA50B94F9}"/>
            </c:ext>
          </c:extLst>
        </c:ser>
        <c:marker val="1"/>
        <c:axId val="62001087"/>
        <c:axId val="47078712"/>
      </c:lineChart>
      <c:catAx>
        <c:axId val="62001087"/>
        <c:scaling>
          <c:orientation val="minMax"/>
        </c:scaling>
        <c:delete val="0"/>
        <c:axPos val="b"/>
        <c:minorGridlines>
          <c:spPr>
            <a:ln w="6350" cap="flat" cmpd="sng">
              <a:solidFill>
                <a:schemeClr val="tx1">
                  <a:tint val="50000"/>
                </a:schemeClr>
              </a:solidFill>
              <a:prstDash val="solid"/>
              <a:round/>
            </a:ln>
          </c:spPr>
        </c:minorGridlines>
        <c:numFmt formatCode="\+###0%_ ;[Red]\-###0%\ " sourceLinked="0"/>
        <c:majorTickMark val="out"/>
        <c:minorTickMark val="none"/>
        <c:tickLblPos val="nextTo"/>
        <c:spPr>
          <a:noFill/>
          <a:ln w="6350" cap="flat" cmpd="sng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100" b="0" i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47078712"/>
        <c:crosses val="max"/>
        <c:auto val="1"/>
        <c:lblOffset val="100"/>
        <c:noMultiLvlLbl val="0"/>
      </c:catAx>
      <c:valAx>
        <c:axId val="4707871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chemeClr val="bg1">
                  <a:lumMod val="65000"/>
                </a:schemeClr>
              </a:solidFill>
              <a:prstDash val="sysDot"/>
              <a:round/>
            </a:ln>
          </c:spPr>
        </c:majorGridlines>
        <c:numFmt formatCode="#,##0_ ;[Red]\-#,##0\ " sourceLinked="0"/>
        <c:majorTickMark val="out"/>
        <c:minorTickMark val="none"/>
        <c:tickLblPos val="nextTo"/>
        <c:spPr>
          <a:noFill/>
          <a:ln w="6350" cap="flat" cmpd="sng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100" b="0" i="0" u="none" baseline="0">
                <a:solidFill>
                  <a:schemeClr val="tx1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62001087"/>
        <c:crossesAt val="1"/>
        <c:crossBetween val="midCat"/>
      </c:valAx>
      <c:spPr>
        <a:solidFill>
          <a:schemeClr val="bg1"/>
        </a:solidFill>
        <a:ln w="6350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b"/>
      <c:layout>
        <c:manualLayout>
          <c:xMode val="edge"/>
          <c:yMode val="edge"/>
          <c:x val="0.049"/>
          <c:y val="0.89575"/>
          <c:w val="0.9345"/>
          <c:h val="0.10175"/>
        </c:manualLayout>
      </c:layout>
      <c:overlay val="0"/>
      <c:spPr>
        <a:noFill/>
        <a:ln w="6350">
          <a:noFill/>
        </a:ln>
      </c:spPr>
      <c:txPr>
        <a:bodyPr vert="horz" rot="0"/>
        <a:lstStyle/>
        <a:p>
          <a:pPr>
            <a:defRPr lang="en-US" sz="1100" b="0" i="0" u="none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6350">
      <a:noFill/>
      <a:prstDash val="solid"/>
      <a:round/>
    </a:ln>
  </c:spPr>
  <c:txPr>
    <a:bodyPr vert="horz" rot="0"/>
    <a:lstStyle/>
    <a:p>
      <a:pPr>
        <a:defRPr lang="en-US" u="none" baseline="0">
          <a:solidFill>
            <a:schemeClr val="tx2">
              <a:lumMod val="50000"/>
            </a:schemeClr>
          </a:solidFill>
          <a:latin typeface="Arial Narrow"/>
          <a:ea typeface="Arial Narrow"/>
          <a:cs typeface="Arial Narrow"/>
        </a:defRPr>
      </a:pPr>
    </a:p>
  </c:txPr>
</c:chartSpace>
</file>

<file path=xl/charts/color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5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hyperlink" Target="http://frp27.ru/" TargetMode="External" /><Relationship Id="rId4" Type="http://schemas.openxmlformats.org/officeDocument/2006/relationships/hyperlink" Target="http://frp27.ru/zaymyi/" TargetMode="External" /><Relationship Id="rId2" Type="http://schemas.openxmlformats.org/officeDocument/2006/relationships/hyperlink" Target="http://frp27.ru/home/kontaktyi/" TargetMode="External" /><Relationship Id="rId9" Type="http://schemas.openxmlformats.org/officeDocument/2006/relationships/hyperlink" Target="#&#1042;&#1099;&#1074;&#1086;&#1076;&#1099;!A1" /><Relationship Id="rId1" Type="http://schemas.openxmlformats.org/officeDocument/2006/relationships/image" Target="../media/image2.jpeg" /><Relationship Id="rId8" Type="http://schemas.openxmlformats.org/officeDocument/2006/relationships/hyperlink" Target="#&#1055;&#1088;&#1077;&#1076;&#1087;&#1086;&#1089;&#1099;&#1083;&#1082;&#1080;!A1" /><Relationship Id="rId6" Type="http://schemas.openxmlformats.org/officeDocument/2006/relationships/hyperlink" Target="http://frp27.ru/home/kontaktyi/" TargetMode="External" /><Relationship Id="rId7" Type="http://schemas.openxmlformats.org/officeDocument/2006/relationships/hyperlink" Target="#'&#1055;&#1072;&#1088;&#1072;&#1084;&#1077;&#1090;&#1088;&#1099; &#1079;&#1072;&#1081;&#1084;&#1072;'!A1" /><Relationship Id="rId5" Type="http://schemas.openxmlformats.org/officeDocument/2006/relationships/hyperlink" Target="https://frprf.ru" TargetMode="External" /></Relationships>
</file>

<file path=xl/drawings/_rels/drawing10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1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2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3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4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5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6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7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8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19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3.jpeg" /></Relationships>
</file>

<file path=xl/drawings/_rels/drawing20.xml.rels><?xml version="1.0" encoding="UTF-8" standalone="yes"?><Relationships xmlns="http://schemas.openxmlformats.org/package/2006/relationships"><Relationship Id="rId3" Type="http://schemas.openxmlformats.org/officeDocument/2006/relationships/chart" Target="../charts/chart3.xml" /><Relationship Id="rId4" Type="http://schemas.openxmlformats.org/officeDocument/2006/relationships/chart" Target="../charts/chart4.xml" /><Relationship Id="rId2" Type="http://schemas.openxmlformats.org/officeDocument/2006/relationships/chart" Target="../charts/chart2.xml" /><Relationship Id="rId9" Type="http://schemas.openxmlformats.org/officeDocument/2006/relationships/image" Target="../media/image1.png" /><Relationship Id="rId1" Type="http://schemas.openxmlformats.org/officeDocument/2006/relationships/chart" Target="../charts/chart1.xml" /><Relationship Id="rId8" Type="http://schemas.openxmlformats.org/officeDocument/2006/relationships/chart" Target="../charts/chart8.xml" /><Relationship Id="rId6" Type="http://schemas.openxmlformats.org/officeDocument/2006/relationships/chart" Target="../charts/chart6.xml" /><Relationship Id="rId7" Type="http://schemas.openxmlformats.org/officeDocument/2006/relationships/chart" Target="../charts/chart7.xml" /><Relationship Id="rId10" Type="http://schemas.openxmlformats.org/officeDocument/2006/relationships/hyperlink" Target="http://frp27.ru/home/kontaktyi/" TargetMode="External" /><Relationship Id="rId5" Type="http://schemas.openxmlformats.org/officeDocument/2006/relationships/chart" Target="../charts/chart5.xml" /></Relationships>
</file>

<file path=xl/drawings/_rels/drawing21.xml.rels><?xml version="1.0" encoding="UTF-8" standalone="yes"?><Relationships xmlns="http://schemas.openxmlformats.org/package/2006/relationships"><Relationship Id="rId4" Type="http://schemas.openxmlformats.org/officeDocument/2006/relationships/hyperlink" Target="http://frp27.ru/home/kontaktyi/" TargetMode="External" /><Relationship Id="rId2" Type="http://schemas.openxmlformats.org/officeDocument/2006/relationships/chart" Target="../charts/chart10.xml" /><Relationship Id="rId3" Type="http://schemas.openxmlformats.org/officeDocument/2006/relationships/image" Target="../media/image1.png" /><Relationship Id="rId1" Type="http://schemas.openxmlformats.org/officeDocument/2006/relationships/chart" Target="../charts/chart9.xml" /></Relationships>
</file>

<file path=xl/drawings/_rels/drawing22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2.pn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image" Target="../media/image5.jpeg" /><Relationship Id="rId3" Type="http://schemas.openxmlformats.org/officeDocument/2006/relationships/hyperlink" Target="http://frp27.ru/home/kontaktyi/" TargetMode="External" /><Relationship Id="rId1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6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3.jpeg" /></Relationships>
</file>

<file path=xl/drawings/_rels/drawing6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8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_rels/drawing9.xml.rels><?xml version="1.0" encoding="UTF-8" standalone="yes"?><Relationships xmlns="http://schemas.openxmlformats.org/package/2006/relationships"><Relationship Id="rId2" Type="http://schemas.openxmlformats.org/officeDocument/2006/relationships/hyperlink" Target="http://frp27.ru/home/kontaktyi/" TargetMode="External" /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519505</xdr:colOff>
      <xdr:row>0</xdr:row>
      <xdr:rowOff>19805</xdr:rowOff>
    </xdr:from>
    <xdr:to>
      <xdr:col>2</xdr:col>
      <xdr:colOff>628650</xdr:colOff>
      <xdr:row>2</xdr:row>
      <xdr:rowOff>146050</xdr:rowOff>
    </xdr:to>
    <xdr:pic>
      <xdr:nvPicPr>
        <xdr:cNvPr id="2" name="Рисунок 1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4850" y="19050"/>
          <a:ext cx="10572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3174</xdr:colOff>
      <xdr:row>3</xdr:row>
      <xdr:rowOff>131618</xdr:rowOff>
    </xdr:from>
    <xdr:to>
      <xdr:col>2</xdr:col>
      <xdr:colOff>459501</xdr:colOff>
      <xdr:row>5</xdr:row>
      <xdr:rowOff>59400</xdr:rowOff>
    </xdr:to>
    <xdr:sp macro="" fLocksText="0">
      <xdr:nvSpPr>
        <xdr:cNvPr id="3" name="Скругленный прямоугольник 2">
          <a:hlinkClick r:id="rId3" tooltip="Сведения о деятельности фонда"/>
        </xdr:cNvPr>
        <xdr:cNvSpPr/>
      </xdr:nvSpPr>
      <xdr:spPr>
        <a:xfrm>
          <a:off x="180975" y="704850"/>
          <a:ext cx="1409700" cy="304800"/>
        </a:xfrm>
        <a:prstGeom prst="roundRect"/>
        <a:ln>
          <a:noFill/>
        </a:ln>
      </xdr:spPr>
      <xdr:style>
        <a:lnRef idx="2">
          <a:schemeClr val="tx1"/>
        </a:lnRef>
        <a:fillRef idx="1">
          <a:schemeClr val="bg1"/>
        </a:fillRef>
        <a:effectRef idx="0">
          <a:schemeClr val="tx1"/>
        </a:effectRef>
        <a:fontRef idx="minor">
          <a:schemeClr val="tx1"/>
        </a:fontRef>
      </xdr:style>
      <xdr:txBody>
        <a:bodyPr vertOverflow="clip" horzOverflow="clip" anchor="ctr"/>
        <a:lstStyle/>
        <a:p>
          <a:pPr algn="ctr"/>
          <a:r>
            <a:rPr lang="ru-RU" sz="1400">
              <a:solidFill>
                <a:schemeClr val="bg1">
                  <a:lumMod val="50000"/>
                </a:schemeClr>
              </a:solidFill>
            </a:rPr>
            <a:t>О фонде</a:t>
          </a:r>
        </a:p>
      </xdr:txBody>
    </xdr:sp>
    <xdr:clientData/>
  </xdr:twoCellAnchor>
  <xdr:twoCellAnchor>
    <xdr:from>
      <xdr:col>2</xdr:col>
      <xdr:colOff>852337</xdr:colOff>
      <xdr:row>3</xdr:row>
      <xdr:rowOff>131619</xdr:rowOff>
    </xdr:from>
    <xdr:to>
      <xdr:col>4</xdr:col>
      <xdr:colOff>324992</xdr:colOff>
      <xdr:row>5</xdr:row>
      <xdr:rowOff>59401</xdr:rowOff>
    </xdr:to>
    <xdr:sp macro="" fLocksText="0">
      <xdr:nvSpPr>
        <xdr:cNvPr id="4" name="Скругленный прямоугольник 3">
          <a:hlinkClick r:id="rId4" tooltip="Основные условия программ финансирования"/>
        </xdr:cNvPr>
        <xdr:cNvSpPr/>
      </xdr:nvSpPr>
      <xdr:spPr>
        <a:xfrm>
          <a:off x="1981200" y="704850"/>
          <a:ext cx="1381125" cy="304800"/>
        </a:xfrm>
        <a:prstGeom prst="roundRect"/>
        <a:ln>
          <a:noFill/>
        </a:ln>
      </xdr:spPr>
      <xdr:style>
        <a:lnRef idx="2">
          <a:schemeClr val="tx1"/>
        </a:lnRef>
        <a:fillRef idx="1">
          <a:schemeClr val="bg1"/>
        </a:fillRef>
        <a:effectRef idx="0">
          <a:schemeClr val="tx1"/>
        </a:effectRef>
        <a:fontRef idx="minor">
          <a:schemeClr val="tx1"/>
        </a:fontRef>
      </xdr:style>
      <xdr:txBody>
        <a:bodyPr vertOverflow="clip" horzOverflow="clip" anchor="ctr"/>
        <a:lstStyle/>
        <a:p>
          <a:pPr algn="ctr" indent="0" marL="0"/>
          <a:r>
            <a:rPr lang="ru-RU" sz="140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Программы</a:t>
          </a:r>
        </a:p>
      </xdr:txBody>
    </xdr:sp>
    <xdr:clientData/>
  </xdr:twoCellAnchor>
  <xdr:twoCellAnchor>
    <xdr:from>
      <xdr:col>4</xdr:col>
      <xdr:colOff>709474</xdr:colOff>
      <xdr:row>3</xdr:row>
      <xdr:rowOff>134791</xdr:rowOff>
    </xdr:from>
    <xdr:to>
      <xdr:col>6</xdr:col>
      <xdr:colOff>182128</xdr:colOff>
      <xdr:row>5</xdr:row>
      <xdr:rowOff>62573</xdr:rowOff>
    </xdr:to>
    <xdr:sp macro="" fLocksText="0">
      <xdr:nvSpPr>
        <xdr:cNvPr id="10" name="Скругленный прямоугольник 9">
          <a:hlinkClick r:id="rId5" tooltip="Региональные фонды развития промышленности, институты развития и другие партнёры"/>
        </xdr:cNvPr>
        <xdr:cNvSpPr/>
      </xdr:nvSpPr>
      <xdr:spPr>
        <a:xfrm>
          <a:off x="3743325" y="704850"/>
          <a:ext cx="1381125" cy="314325"/>
        </a:xfrm>
        <a:prstGeom prst="roundRect"/>
        <a:ln>
          <a:noFill/>
        </a:ln>
      </xdr:spPr>
      <xdr:style>
        <a:lnRef idx="2">
          <a:schemeClr val="tx1"/>
        </a:lnRef>
        <a:fillRef idx="1">
          <a:schemeClr val="bg1"/>
        </a:fillRef>
        <a:effectRef idx="0">
          <a:schemeClr val="tx1"/>
        </a:effectRef>
        <a:fontRef idx="minor">
          <a:schemeClr val="tx1"/>
        </a:fontRef>
      </xdr:style>
      <xdr:txBody>
        <a:bodyPr vertOverflow="clip" horzOverflow="clip" anchor="ctr"/>
        <a:lstStyle/>
        <a:p>
          <a:pPr algn="ctr" indent="0" marL="0"/>
          <a:r>
            <a:rPr lang="ru-RU" sz="140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Партнёры</a:t>
          </a:r>
        </a:p>
      </xdr:txBody>
    </xdr:sp>
    <xdr:clientData/>
  </xdr:twoCellAnchor>
  <xdr:twoCellAnchor>
    <xdr:from>
      <xdr:col>6</xdr:col>
      <xdr:colOff>533403</xdr:colOff>
      <xdr:row>3</xdr:row>
      <xdr:rowOff>131617</xdr:rowOff>
    </xdr:from>
    <xdr:to>
      <xdr:col>8</xdr:col>
      <xdr:colOff>6058</xdr:colOff>
      <xdr:row>5</xdr:row>
      <xdr:rowOff>59399</xdr:rowOff>
    </xdr:to>
    <xdr:sp macro="" fLocksText="0">
      <xdr:nvSpPr>
        <xdr:cNvPr id="9" name="Скругленный прямоугольник 8">
          <a:hlinkClick r:id="rId6" tooltip="Контактные данные фонда"/>
        </xdr:cNvPr>
        <xdr:cNvSpPr/>
      </xdr:nvSpPr>
      <xdr:spPr>
        <a:xfrm>
          <a:off x="5476875" y="704850"/>
          <a:ext cx="1381125" cy="304800"/>
        </a:xfrm>
        <a:prstGeom prst="roundRect"/>
        <a:ln>
          <a:noFill/>
        </a:ln>
      </xdr:spPr>
      <xdr:style>
        <a:lnRef idx="2">
          <a:schemeClr val="tx1"/>
        </a:lnRef>
        <a:fillRef idx="1">
          <a:schemeClr val="bg1"/>
        </a:fillRef>
        <a:effectRef idx="0">
          <a:schemeClr val="tx1"/>
        </a:effectRef>
        <a:fontRef idx="minor">
          <a:schemeClr val="tx1"/>
        </a:fontRef>
      </xdr:style>
      <xdr:txBody>
        <a:bodyPr vertOverflow="clip" horzOverflow="clip" anchor="ctr"/>
        <a:lstStyle/>
        <a:p>
          <a:pPr algn="ctr" indent="0" marL="0"/>
          <a:r>
            <a:rPr lang="ru-RU" sz="140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Контакты</a:t>
          </a:r>
        </a:p>
      </xdr:txBody>
    </xdr:sp>
    <xdr:clientData/>
  </xdr:twoCellAnchor>
  <xdr:twoCellAnchor>
    <xdr:from>
      <xdr:col>0</xdr:col>
      <xdr:colOff>193269</xdr:colOff>
      <xdr:row>14</xdr:row>
      <xdr:rowOff>90051</xdr:rowOff>
    </xdr:from>
    <xdr:to>
      <xdr:col>2</xdr:col>
      <xdr:colOff>816325</xdr:colOff>
      <xdr:row>17</xdr:row>
      <xdr:rowOff>89724</xdr:rowOff>
    </xdr:to>
    <xdr:sp macro="" fLocksText="0">
      <xdr:nvSpPr>
        <xdr:cNvPr id="11" name="Скругленный прямоугольник 10">
          <a:hlinkClick r:id="rId7" tooltip="Установить параметры привлечения займа"/>
        </xdr:cNvPr>
        <xdr:cNvSpPr/>
      </xdr:nvSpPr>
      <xdr:spPr>
        <a:xfrm>
          <a:off x="180975" y="2752725"/>
          <a:ext cx="1771650" cy="571500"/>
        </a:xfrm>
        <a:prstGeom prst="roundRect"/>
        <a:solidFill>
          <a:srgbClr val="2A2D4F"/>
        </a:solidFill>
        <a:ln w="38100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Параметры</a:t>
          </a:r>
          <a:r>
            <a:rPr lang="ru-RU" sz="1400" baseline="0">
              <a:solidFill>
                <a:schemeClr val="bg1"/>
              </a:solidFill>
            </a:rPr>
            <a:t> займа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561107</xdr:colOff>
      <xdr:row>14</xdr:row>
      <xdr:rowOff>96977</xdr:rowOff>
    </xdr:from>
    <xdr:to>
      <xdr:col>5</xdr:col>
      <xdr:colOff>393761</xdr:colOff>
      <xdr:row>17</xdr:row>
      <xdr:rowOff>96650</xdr:rowOff>
    </xdr:to>
    <xdr:sp macro="" fLocksText="0">
      <xdr:nvSpPr>
        <xdr:cNvPr id="12" name="Скругленный прямоугольник 11">
          <a:hlinkClick r:id="rId8" tooltip="Установить параметры реализации проекта"/>
        </xdr:cNvPr>
        <xdr:cNvSpPr/>
      </xdr:nvSpPr>
      <xdr:spPr>
        <a:xfrm>
          <a:off x="2647950" y="2762250"/>
          <a:ext cx="1733550" cy="571500"/>
        </a:xfrm>
        <a:prstGeom prst="roundRect"/>
        <a:solidFill>
          <a:srgbClr val="2A2D4F"/>
        </a:solidFill>
        <a:ln w="38100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Предпосылки</a:t>
          </a:r>
        </a:p>
      </xdr:txBody>
    </xdr:sp>
    <xdr:clientData/>
  </xdr:twoCellAnchor>
  <xdr:twoCellAnchor>
    <xdr:from>
      <xdr:col>6</xdr:col>
      <xdr:colOff>166253</xdr:colOff>
      <xdr:row>14</xdr:row>
      <xdr:rowOff>96980</xdr:rowOff>
    </xdr:from>
    <xdr:to>
      <xdr:col>7</xdr:col>
      <xdr:colOff>974961</xdr:colOff>
      <xdr:row>17</xdr:row>
      <xdr:rowOff>96653</xdr:rowOff>
    </xdr:to>
    <xdr:sp macro="" fLocksText="0">
      <xdr:nvSpPr>
        <xdr:cNvPr id="13" name="Скругленный прямоугольник 12">
          <a:hlinkClick r:id="rId9" tooltip="Ознакомиться с результатами проекта"/>
        </xdr:cNvPr>
        <xdr:cNvSpPr/>
      </xdr:nvSpPr>
      <xdr:spPr>
        <a:xfrm>
          <a:off x="5105400" y="2762250"/>
          <a:ext cx="1743075" cy="571500"/>
        </a:xfrm>
        <a:prstGeom prst="roundRect"/>
        <a:solidFill>
          <a:srgbClr val="2A2D4F"/>
        </a:solidFill>
        <a:ln w="38100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ctr"/>
        <a:lstStyle/>
        <a:p>
          <a:pPr algn="ctr"/>
          <a:r>
            <a:rPr lang="ru-RU" sz="1400">
              <a:solidFill>
                <a:schemeClr val="bg1"/>
              </a:solidFill>
            </a:rPr>
            <a:t>Выводы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66675</xdr:colOff>
      <xdr:row>0</xdr:row>
      <xdr:rowOff>180975</xdr:rowOff>
    </xdr:from>
    <xdr:to>
      <xdr:col>1</xdr:col>
      <xdr:colOff>1160070</xdr:colOff>
      <xdr:row>3</xdr:row>
      <xdr:rowOff>126245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7650" y="180975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95250</xdr:colOff>
      <xdr:row>0</xdr:row>
      <xdr:rowOff>180975</xdr:rowOff>
    </xdr:from>
    <xdr:to>
      <xdr:col>1</xdr:col>
      <xdr:colOff>1188645</xdr:colOff>
      <xdr:row>3</xdr:row>
      <xdr:rowOff>126245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5" y="180975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57150</xdr:colOff>
      <xdr:row>0</xdr:row>
      <xdr:rowOff>180975</xdr:rowOff>
    </xdr:from>
    <xdr:to>
      <xdr:col>1</xdr:col>
      <xdr:colOff>1150545</xdr:colOff>
      <xdr:row>3</xdr:row>
      <xdr:rowOff>126245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125" y="180975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57150</xdr:colOff>
      <xdr:row>1</xdr:row>
      <xdr:rowOff>0</xdr:rowOff>
    </xdr:from>
    <xdr:to>
      <xdr:col>1</xdr:col>
      <xdr:colOff>1150545</xdr:colOff>
      <xdr:row>3</xdr:row>
      <xdr:rowOff>135770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125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38100</xdr:colOff>
      <xdr:row>1</xdr:row>
      <xdr:rowOff>0</xdr:rowOff>
    </xdr:from>
    <xdr:to>
      <xdr:col>1</xdr:col>
      <xdr:colOff>1131495</xdr:colOff>
      <xdr:row>3</xdr:row>
      <xdr:rowOff>135770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075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57150</xdr:colOff>
      <xdr:row>0</xdr:row>
      <xdr:rowOff>180975</xdr:rowOff>
    </xdr:from>
    <xdr:to>
      <xdr:col>1</xdr:col>
      <xdr:colOff>1150545</xdr:colOff>
      <xdr:row>3</xdr:row>
      <xdr:rowOff>126245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125" y="180975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38100</xdr:colOff>
      <xdr:row>1</xdr:row>
      <xdr:rowOff>0</xdr:rowOff>
    </xdr:from>
    <xdr:to>
      <xdr:col>1</xdr:col>
      <xdr:colOff>1131495</xdr:colOff>
      <xdr:row>3</xdr:row>
      <xdr:rowOff>135770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075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28575</xdr:colOff>
      <xdr:row>1</xdr:row>
      <xdr:rowOff>0</xdr:rowOff>
    </xdr:from>
    <xdr:to>
      <xdr:col>1</xdr:col>
      <xdr:colOff>1121970</xdr:colOff>
      <xdr:row>3</xdr:row>
      <xdr:rowOff>135770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550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47625</xdr:colOff>
      <xdr:row>1</xdr:row>
      <xdr:rowOff>0</xdr:rowOff>
    </xdr:from>
    <xdr:to>
      <xdr:col>1</xdr:col>
      <xdr:colOff>1141020</xdr:colOff>
      <xdr:row>3</xdr:row>
      <xdr:rowOff>135770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8600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1</xdr:row>
      <xdr:rowOff>0</xdr:rowOff>
    </xdr:from>
    <xdr:to>
      <xdr:col>1</xdr:col>
      <xdr:colOff>1093395</xdr:colOff>
      <xdr:row>3</xdr:row>
      <xdr:rowOff>135770</xdr:rowOff>
    </xdr:to>
    <xdr:pic>
      <xdr:nvPicPr>
        <xdr:cNvPr id="2" name="Рисунок 1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975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114300</xdr:colOff>
      <xdr:row>0</xdr:row>
      <xdr:rowOff>152400</xdr:rowOff>
    </xdr:from>
    <xdr:to>
      <xdr:col>1</xdr:col>
      <xdr:colOff>1207695</xdr:colOff>
      <xdr:row>3</xdr:row>
      <xdr:rowOff>94495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4800" y="1524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1</xdr:colOff>
      <xdr:row>8</xdr:row>
      <xdr:rowOff>0</xdr:rowOff>
    </xdr:from>
    <xdr:to>
      <xdr:col>16</xdr:col>
      <xdr:colOff>1226345</xdr:colOff>
      <xdr:row>33</xdr:row>
      <xdr:rowOff>9525</xdr:rowOff>
    </xdr:to>
    <xdr:graphicFrame macro="">
      <xdr:nvGraphicFramePr>
        <xdr:cNvPr id="3" name="Диаграмма 2"/>
        <xdr:cNvGraphicFramePr/>
      </xdr:nvGraphicFramePr>
      <xdr:xfrm>
        <a:off x="180975" y="1790700"/>
        <a:ext cx="21764625" cy="4772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</xdr:col>
      <xdr:colOff>1</xdr:colOff>
      <xdr:row>35</xdr:row>
      <xdr:rowOff>190498</xdr:rowOff>
    </xdr:from>
    <xdr:to>
      <xdr:col>17</xdr:col>
      <xdr:colOff>2</xdr:colOff>
      <xdr:row>61</xdr:row>
      <xdr:rowOff>19050</xdr:rowOff>
    </xdr:to>
    <xdr:graphicFrame macro="">
      <xdr:nvGraphicFramePr>
        <xdr:cNvPr id="4" name="Диаграмма 3"/>
        <xdr:cNvGraphicFramePr/>
      </xdr:nvGraphicFramePr>
      <xdr:xfrm>
        <a:off x="180975" y="7200900"/>
        <a:ext cx="21793200" cy="4781550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0</xdr:col>
      <xdr:colOff>180975</xdr:colOff>
      <xdr:row>64</xdr:row>
      <xdr:rowOff>38099</xdr:rowOff>
    </xdr:from>
    <xdr:to>
      <xdr:col>12</xdr:col>
      <xdr:colOff>1295399</xdr:colOff>
      <xdr:row>89</xdr:row>
      <xdr:rowOff>0</xdr:rowOff>
    </xdr:to>
    <xdr:graphicFrame macro="">
      <xdr:nvGraphicFramePr>
        <xdr:cNvPr id="6" name="Диаграмма 1"/>
        <xdr:cNvGraphicFramePr/>
      </xdr:nvGraphicFramePr>
      <xdr:xfrm>
        <a:off x="180975" y="12649200"/>
        <a:ext cx="16764000" cy="4724400"/>
      </xdr:xfrm>
      <a:graphic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</xdr:col>
      <xdr:colOff>19050</xdr:colOff>
      <xdr:row>92</xdr:row>
      <xdr:rowOff>0</xdr:rowOff>
    </xdr:from>
    <xdr:to>
      <xdr:col>6</xdr:col>
      <xdr:colOff>0</xdr:colOff>
      <xdr:row>116</xdr:row>
      <xdr:rowOff>2</xdr:rowOff>
    </xdr:to>
    <xdr:graphicFrame macro="">
      <xdr:nvGraphicFramePr>
        <xdr:cNvPr id="7" name="Диаграмма 6"/>
        <xdr:cNvGraphicFramePr/>
      </xdr:nvGraphicFramePr>
      <xdr:xfrm>
        <a:off x="200025" y="18021300"/>
        <a:ext cx="7943850" cy="4572000"/>
      </xdr:xfrm>
      <a:graphic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6</xdr:col>
      <xdr:colOff>0</xdr:colOff>
      <xdr:row>92</xdr:row>
      <xdr:rowOff>0</xdr:rowOff>
    </xdr:from>
    <xdr:to>
      <xdr:col>12</xdr:col>
      <xdr:colOff>1047750</xdr:colOff>
      <xdr:row>116</xdr:row>
      <xdr:rowOff>2</xdr:rowOff>
    </xdr:to>
    <xdr:graphicFrame macro="">
      <xdr:nvGraphicFramePr>
        <xdr:cNvPr id="10" name="Диаграмма 9"/>
        <xdr:cNvGraphicFramePr/>
      </xdr:nvGraphicFramePr>
      <xdr:xfrm>
        <a:off x="8143875" y="18021300"/>
        <a:ext cx="8591550" cy="4572000"/>
      </xdr:xfrm>
      <a:graphic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</xdr:col>
      <xdr:colOff>19050</xdr:colOff>
      <xdr:row>120</xdr:row>
      <xdr:rowOff>0</xdr:rowOff>
    </xdr:from>
    <xdr:to>
      <xdr:col>6</xdr:col>
      <xdr:colOff>0</xdr:colOff>
      <xdr:row>146</xdr:row>
      <xdr:rowOff>2</xdr:rowOff>
    </xdr:to>
    <xdr:graphicFrame macro="">
      <xdr:nvGraphicFramePr>
        <xdr:cNvPr id="8" name="Диаграмма 7"/>
        <xdr:cNvGraphicFramePr/>
      </xdr:nvGraphicFramePr>
      <xdr:xfrm>
        <a:off x="200025" y="23431500"/>
        <a:ext cx="7943850" cy="4953000"/>
      </xdr:xfrm>
      <a:graphic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6</xdr:col>
      <xdr:colOff>0</xdr:colOff>
      <xdr:row>120</xdr:row>
      <xdr:rowOff>0</xdr:rowOff>
    </xdr:from>
    <xdr:to>
      <xdr:col>12</xdr:col>
      <xdr:colOff>1057275</xdr:colOff>
      <xdr:row>146</xdr:row>
      <xdr:rowOff>2</xdr:rowOff>
    </xdr:to>
    <xdr:graphicFrame macro="">
      <xdr:nvGraphicFramePr>
        <xdr:cNvPr id="9" name="Диаграмма 8"/>
        <xdr:cNvGraphicFramePr/>
      </xdr:nvGraphicFramePr>
      <xdr:xfrm>
        <a:off x="8143875" y="23431500"/>
        <a:ext cx="8601075" cy="4953000"/>
      </xdr:xfrm>
      <a:graphic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1</xdr:col>
      <xdr:colOff>1</xdr:colOff>
      <xdr:row>149</xdr:row>
      <xdr:rowOff>0</xdr:rowOff>
    </xdr:from>
    <xdr:to>
      <xdr:col>13</xdr:col>
      <xdr:colOff>0</xdr:colOff>
      <xdr:row>172</xdr:row>
      <xdr:rowOff>152401</xdr:rowOff>
    </xdr:to>
    <xdr:graphicFrame macro="">
      <xdr:nvGraphicFramePr>
        <xdr:cNvPr id="11" name="Диаграмма 1"/>
        <xdr:cNvGraphicFramePr/>
      </xdr:nvGraphicFramePr>
      <xdr:xfrm>
        <a:off x="180975" y="29032200"/>
        <a:ext cx="16764000" cy="4533900"/>
      </xdr:xfrm>
      <a:graphic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  <xdr:twoCellAnchor editAs="oneCell">
    <xdr:from>
      <xdr:col>1</xdr:col>
      <xdr:colOff>28575</xdr:colOff>
      <xdr:row>0</xdr:row>
      <xdr:rowOff>180975</xdr:rowOff>
    </xdr:from>
    <xdr:to>
      <xdr:col>1</xdr:col>
      <xdr:colOff>1121970</xdr:colOff>
      <xdr:row>3</xdr:row>
      <xdr:rowOff>126245</xdr:rowOff>
    </xdr:to>
    <xdr:pic>
      <xdr:nvPicPr>
        <xdr:cNvPr id="5" name="Рисунок 4">
          <a:hlinkClick r:id="rId10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550" y="180975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2799</xdr:colOff>
      <xdr:row>86</xdr:row>
      <xdr:rowOff>26896</xdr:rowOff>
    </xdr:from>
    <xdr:to>
      <xdr:col>12</xdr:col>
      <xdr:colOff>1285875</xdr:colOff>
      <xdr:row>111</xdr:row>
      <xdr:rowOff>185058</xdr:rowOff>
    </xdr:to>
    <xdr:graphicFrame macro="">
      <xdr:nvGraphicFramePr>
        <xdr:cNvPr id="4" name="Диаграмма 3"/>
        <xdr:cNvGraphicFramePr/>
      </xdr:nvGraphicFramePr>
      <xdr:xfrm>
        <a:off x="180975" y="16925925"/>
        <a:ext cx="16764000" cy="4914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</xdr:col>
      <xdr:colOff>1</xdr:colOff>
      <xdr:row>185</xdr:row>
      <xdr:rowOff>9525</xdr:rowOff>
    </xdr:from>
    <xdr:to>
      <xdr:col>20</xdr:col>
      <xdr:colOff>1190624</xdr:colOff>
      <xdr:row>223</xdr:row>
      <xdr:rowOff>0</xdr:rowOff>
    </xdr:to>
    <xdr:graphicFrame macro="">
      <xdr:nvGraphicFramePr>
        <xdr:cNvPr id="7" name="Диаграмма 6"/>
        <xdr:cNvGraphicFramePr/>
      </xdr:nvGraphicFramePr>
      <xdr:xfrm>
        <a:off x="180975" y="35994975"/>
        <a:ext cx="26755725" cy="7229475"/>
      </xdr:xfrm>
      <a:graphic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1093395</xdr:colOff>
      <xdr:row>3</xdr:row>
      <xdr:rowOff>135770</xdr:rowOff>
    </xdr:to>
    <xdr:pic>
      <xdr:nvPicPr>
        <xdr:cNvPr id="3" name="Рисунок 2">
          <a:hlinkClick r:id="rId4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975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38100</xdr:colOff>
      <xdr:row>0</xdr:row>
      <xdr:rowOff>180975</xdr:rowOff>
    </xdr:from>
    <xdr:to>
      <xdr:col>1</xdr:col>
      <xdr:colOff>1131495</xdr:colOff>
      <xdr:row>3</xdr:row>
      <xdr:rowOff>126245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9075" y="180975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194732</xdr:colOff>
      <xdr:row>5</xdr:row>
      <xdr:rowOff>179294</xdr:rowOff>
    </xdr:from>
    <xdr:to>
      <xdr:col>8</xdr:col>
      <xdr:colOff>1821</xdr:colOff>
      <xdr:row>6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r:embed="rId1"/>
        <a:srcRect l="0" t="0" r="1020" b="0"/>
        <a:stretch>
          <a:fillRect/>
        </a:stretch>
      </xdr:blipFill>
      <xdr:spPr>
        <a:xfrm>
          <a:off x="190500" y="904875"/>
          <a:ext cx="4267200" cy="0"/>
        </a:xfrm>
        <a:prstGeom prst="rect"/>
      </xdr:spPr>
    </xdr:pic>
    <xdr:clientData/>
  </xdr:twoCellAnchor>
  <xdr:twoCellAnchor editAs="oneCell">
    <xdr:from>
      <xdr:col>1</xdr:col>
      <xdr:colOff>200025</xdr:colOff>
      <xdr:row>0</xdr:row>
      <xdr:rowOff>142875</xdr:rowOff>
    </xdr:from>
    <xdr:to>
      <xdr:col>3</xdr:col>
      <xdr:colOff>36120</xdr:colOff>
      <xdr:row>3</xdr:row>
      <xdr:rowOff>107195</xdr:rowOff>
    </xdr:to>
    <xdr:pic>
      <xdr:nvPicPr>
        <xdr:cNvPr id="3" name="Рисунок 2">
          <a:hlinkClick r:id="rId3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0525" y="142875"/>
          <a:ext cx="10572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174172</xdr:colOff>
      <xdr:row>0</xdr:row>
      <xdr:rowOff>141514</xdr:rowOff>
    </xdr:from>
    <xdr:to>
      <xdr:col>1</xdr:col>
      <xdr:colOff>1267567</xdr:colOff>
      <xdr:row>3</xdr:row>
      <xdr:rowOff>82702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1950" y="142875"/>
          <a:ext cx="1095375" cy="4953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95250</xdr:colOff>
      <xdr:row>0</xdr:row>
      <xdr:rowOff>114300</xdr:rowOff>
    </xdr:from>
    <xdr:to>
      <xdr:col>1</xdr:col>
      <xdr:colOff>1188645</xdr:colOff>
      <xdr:row>3</xdr:row>
      <xdr:rowOff>69095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5" y="1143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84666</xdr:colOff>
      <xdr:row>0</xdr:row>
      <xdr:rowOff>186267</xdr:rowOff>
    </xdr:from>
    <xdr:to>
      <xdr:col>1</xdr:col>
      <xdr:colOff>1178061</xdr:colOff>
      <xdr:row>3</xdr:row>
      <xdr:rowOff>92379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6225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69273</xdr:colOff>
      <xdr:row>1</xdr:row>
      <xdr:rowOff>0</xdr:rowOff>
    </xdr:from>
    <xdr:to>
      <xdr:col>1</xdr:col>
      <xdr:colOff>1162668</xdr:colOff>
      <xdr:row>3</xdr:row>
      <xdr:rowOff>119318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7650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66675</xdr:colOff>
      <xdr:row>1</xdr:row>
      <xdr:rowOff>0</xdr:rowOff>
    </xdr:from>
    <xdr:to>
      <xdr:col>1</xdr:col>
      <xdr:colOff>1160070</xdr:colOff>
      <xdr:row>3</xdr:row>
      <xdr:rowOff>126245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7650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47625</xdr:colOff>
      <xdr:row>1</xdr:row>
      <xdr:rowOff>0</xdr:rowOff>
    </xdr:from>
    <xdr:to>
      <xdr:col>1</xdr:col>
      <xdr:colOff>1141020</xdr:colOff>
      <xdr:row>3</xdr:row>
      <xdr:rowOff>135770</xdr:rowOff>
    </xdr:to>
    <xdr:pic>
      <xdr:nvPicPr>
        <xdr:cNvPr id="3" name="Рисунок 2">
          <a:hlinkClick r:id="rId2" tooltip="Перейти на сайт Фонда развития промышленности"/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8600" y="190500"/>
          <a:ext cx="109537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drawing" Target="../drawings/drawing9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drawing" Target="../drawings/drawing10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2.bin" /><Relationship Id="rId1" Type="http://schemas.openxmlformats.org/officeDocument/2006/relationships/drawing" Target="../drawings/drawing11.xml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3.bin" /><Relationship Id="rId1" Type="http://schemas.openxmlformats.org/officeDocument/2006/relationships/drawing" Target="../drawings/drawing12.xml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4.bin" /><Relationship Id="rId1" Type="http://schemas.openxmlformats.org/officeDocument/2006/relationships/drawing" Target="../drawings/drawing13.xml" /></Relationships>
</file>

<file path=xl/worksheets/_rels/sheet1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5.bin" /><Relationship Id="rId1" Type="http://schemas.openxmlformats.org/officeDocument/2006/relationships/drawing" Target="../drawings/drawing14.xml" /></Relationships>
</file>

<file path=xl/worksheets/_rels/sheet1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6.bin" /><Relationship Id="rId1" Type="http://schemas.openxmlformats.org/officeDocument/2006/relationships/drawing" Target="../drawings/drawing15.xml" /></Relationships>
</file>

<file path=xl/worksheets/_rels/sheet1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7.bin" /><Relationship Id="rId1" Type="http://schemas.openxmlformats.org/officeDocument/2006/relationships/drawing" Target="../drawings/drawing16.xml" /></Relationships>
</file>

<file path=xl/worksheets/_rels/sheet1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8.bin" /><Relationship Id="rId1" Type="http://schemas.openxmlformats.org/officeDocument/2006/relationships/drawing" Target="../drawings/drawing17.xml" /></Relationships>
</file>

<file path=xl/worksheets/_rels/sheet1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9.bin" /><Relationship Id="rId1" Type="http://schemas.openxmlformats.org/officeDocument/2006/relationships/drawing" Target="../drawings/drawing18.x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2.xml" /></Relationships>
</file>

<file path=xl/worksheets/_rels/sheet2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0.bin" /><Relationship Id="rId1" Type="http://schemas.openxmlformats.org/officeDocument/2006/relationships/drawing" Target="../drawings/drawing19.xml" /></Relationships>
</file>

<file path=xl/worksheets/_rels/sheet2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1.bin" /><Relationship Id="rId1" Type="http://schemas.openxmlformats.org/officeDocument/2006/relationships/drawing" Target="../drawings/drawing20.xml" /></Relationships>
</file>

<file path=xl/worksheets/_rels/sheet2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2.bin" /><Relationship Id="rId1" Type="http://schemas.openxmlformats.org/officeDocument/2006/relationships/drawing" Target="../drawings/drawing21.xml" /></Relationships>
</file>

<file path=xl/worksheets/_rels/sheet2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3.bin" /><Relationship Id="rId1" Type="http://schemas.openxmlformats.org/officeDocument/2006/relationships/drawing" Target="../drawings/drawing22.xml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6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8.bin" /><Relationship Id="rId1" Type="http://schemas.openxmlformats.org/officeDocument/2006/relationships/drawing" Target="../drawings/drawing7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8.xml" /><Relationship Id="rId3" Type="http://schemas.openxmlformats.org/officeDocument/2006/relationships/printerSettings" Target="../printerSettings/printerSettings9.bin" /><Relationship Id="rId1" Type="http://schemas.openxmlformats.org/officeDocument/2006/relationships/hyperlink" Target="http://www.stern.nyu.edu/~adamodar/pc/datasets/" TargetMode="Externa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2A2D4F"/>
    <pageSetUpPr fitToPage="1"/>
  </sheetPr>
  <dimension ref="B2:K23"/>
  <sheetViews>
    <sheetView showGridLines="0" showRowColHeaders="0" tabSelected="1" zoomScale="130" zoomScaleNormal="130" workbookViewId="0" topLeftCell="A3">
      <selection pane="topLeft" activeCell="D14" sqref="D14"/>
    </sheetView>
  </sheetViews>
  <sheetFormatPr defaultColWidth="0" defaultRowHeight="15.6" customHeight="1" zeroHeight="1"/>
  <cols>
    <col min="1" max="1" width="2.71428571428571" customWidth="1"/>
    <col min="2" max="8" width="14.2857142857143" customWidth="1"/>
    <col min="9" max="9" width="2.71428571428571" customWidth="1"/>
    <col min="10" max="15" width="0" hidden="1" customWidth="1"/>
    <col min="16" max="16384" width="9.14285714285714" hidden="1"/>
  </cols>
  <sheetData>
    <row r="1" ht="15" customHeight="1"/>
    <row r="2" spans="6:8" ht="15" customHeight="1">
      <c r="F2" s="428" t="s">
        <v>0</v>
      </c>
      <c s="428"/>
      <c s="428"/>
    </row>
    <row r="3" spans="2:8" ht="15" customHeight="1">
      <c r="B3" s="31"/>
      <c s="31"/>
      <c s="31"/>
      <c s="31"/>
      <c s="31"/>
      <c s="31"/>
      <c s="31"/>
    </row>
    <row r="4" ht="15" customHeight="1"/>
    <row r="5" ht="15" customHeight="1"/>
    <row r="6" ht="15" customHeight="1"/>
    <row r="7" spans="2:8" ht="15" customHeight="1">
      <c r="B7" s="32"/>
      <c s="33"/>
      <c s="33"/>
      <c s="33"/>
      <c s="33"/>
      <c s="33"/>
      <c s="34"/>
    </row>
    <row r="8" spans="2:8" ht="15" customHeight="1">
      <c r="B8" s="432" t="s">
        <v>1</v>
      </c>
      <c s="433"/>
      <c s="433"/>
      <c s="433"/>
      <c s="433"/>
      <c s="433"/>
      <c s="434"/>
    </row>
    <row r="9" spans="2:8" ht="15" customHeight="1">
      <c r="B9" s="429" t="str">
        <f>IF(ISBLANK(Предпосылки!B9),"&lt;…&gt;",CONCATENATE(Предпосылки!C10," ",Предпосылки!B9," ",Предпосылки!E10))</f>
        <v>&lt;…&gt;</v>
      </c>
      <c s="430"/>
      <c s="430"/>
      <c s="430"/>
      <c s="430"/>
      <c s="430"/>
      <c s="431"/>
    </row>
    <row r="10" spans="2:8" ht="15" customHeight="1">
      <c r="B10" s="429"/>
      <c s="430"/>
      <c s="430"/>
      <c s="430"/>
      <c s="430"/>
      <c s="430"/>
      <c s="431"/>
    </row>
    <row r="11" spans="2:8" ht="15" customHeight="1">
      <c r="B11" s="429"/>
      <c s="430"/>
      <c s="430"/>
      <c s="430"/>
      <c s="430"/>
      <c s="430"/>
      <c s="431"/>
    </row>
    <row r="12" spans="2:8" ht="15" customHeight="1">
      <c r="B12" s="429"/>
      <c s="430"/>
      <c s="430"/>
      <c s="430"/>
      <c s="430"/>
      <c s="430"/>
      <c s="431"/>
    </row>
    <row r="13" spans="2:8" ht="15" customHeight="1">
      <c r="B13" s="35"/>
      <c s="36"/>
      <c s="36"/>
      <c s="36"/>
      <c s="36"/>
      <c s="36"/>
      <c s="37"/>
    </row>
    <row r="14" ht="15" customHeight="1"/>
    <row r="15" ht="15" customHeight="1"/>
    <row r="16" ht="15" customHeight="1"/>
    <row r="17" ht="15" customHeight="1"/>
    <row r="18" ht="15" customHeight="1"/>
    <row r="19" spans="2:5" ht="15" customHeight="1">
      <c r="B19" s="3"/>
      <c r="D19" s="2"/>
      <c s="4"/>
    </row>
    <row r="20" spans="2:8" ht="15" customHeight="1">
      <c r="B20" s="435" t="s">
        <v>2</v>
      </c>
      <c s="638"/>
      <c s="638"/>
      <c s="638"/>
      <c s="638"/>
      <c s="638"/>
      <c s="638"/>
    </row>
    <row r="21" spans="2:8" ht="15" customHeight="1">
      <c r="B21" s="436" t="s">
        <v>3</v>
      </c>
      <c s="436"/>
      <c s="436"/>
      <c s="436"/>
      <c s="436"/>
      <c s="436"/>
      <c s="436"/>
    </row>
    <row r="22" spans="2:8" ht="15" customHeight="1">
      <c r="B22" s="38"/>
      <c r="H22" s="52" t="s">
        <v>4</v>
      </c>
    </row>
    <row r="23" spans="11:11" ht="15" customHeight="1" hidden="1">
      <c r="K23" s="1"/>
    </row>
  </sheetData>
  <sheetProtection algorithmName="SHA-512" hashValue="mesnGWxNln72+6lEyOEOyghjAFTPIDVTzpys0JtZ/DePeuYewkxbo/jxiIHyXky0J+W0ZkTTZ1QyZJHRMfisow==" saltValue="xzgTJlTT97nYAkoJKDdmww==" spinCount="100000" sheet="1" objects="1" scenarios="1"/>
  <mergeCells count="5">
    <mergeCell ref="F2:H2"/>
    <mergeCell ref="B9:H12"/>
    <mergeCell ref="B8:H8"/>
    <mergeCell ref="B20:H20"/>
    <mergeCell ref="B21:H21"/>
  </mergeCells>
  <pageMargins left="0.7" right="0.7" top="0.75" bottom="0.75" header="0.3" footer="0.3"/>
  <pageSetup orientation="landscape" paperSize="9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0"/>
    <pageSetUpPr fitToPage="1"/>
  </sheetPr>
  <dimension ref="B2:BS634"/>
  <sheetViews>
    <sheetView showGridLines="0" workbookViewId="0" topLeftCell="A1">
      <pane xSplit="4" ySplit="8" topLeftCell="E9" activePane="bottomRight" state="frozen"/>
      <selection pane="topLeft" activeCell="A1" sqref="A1"/>
      <selection pane="bottomLeft" activeCell="A1" sqref="A1"/>
      <selection pane="topRight" activeCell="A1" sqref="A1"/>
      <selection pane="bottomRight" activeCell="J2" sqref="J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65" width="17.2857142857143" customWidth="1"/>
    <col min="66" max="66" width="2.71428571428571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12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2" t="s">
        <v>91</v>
      </c>
      <c s="602" t="s">
        <v>482</v>
      </c>
      <c s="599"/>
      <c s="255">
        <f>SUM(D6,1)</f>
        <v>1</v>
      </c>
      <c s="255">
        <f t="shared" si="0" ref="F6:BM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0"/>
        <v>30</v>
      </c>
      <c s="255">
        <f t="shared" si="0"/>
        <v>31</v>
      </c>
      <c s="255">
        <f t="shared" si="0"/>
        <v>32</v>
      </c>
      <c s="255">
        <f t="shared" si="0"/>
        <v>33</v>
      </c>
      <c s="255">
        <f t="shared" si="0"/>
        <v>34</v>
      </c>
      <c s="255">
        <f t="shared" si="0"/>
        <v>35</v>
      </c>
      <c s="255">
        <f t="shared" si="0"/>
        <v>36</v>
      </c>
      <c s="255">
        <f t="shared" si="0"/>
        <v>37</v>
      </c>
      <c s="255">
        <f t="shared" si="0"/>
        <v>38</v>
      </c>
      <c s="255">
        <f t="shared" si="0"/>
        <v>39</v>
      </c>
      <c s="255">
        <f t="shared" si="0"/>
        <v>40</v>
      </c>
      <c s="255">
        <f t="shared" si="0"/>
        <v>41</v>
      </c>
      <c s="255">
        <f t="shared" si="0"/>
        <v>42</v>
      </c>
      <c s="255">
        <f t="shared" si="0"/>
        <v>43</v>
      </c>
      <c s="255">
        <f t="shared" si="0"/>
        <v>44</v>
      </c>
      <c s="255">
        <f t="shared" si="0"/>
        <v>45</v>
      </c>
      <c s="255">
        <f t="shared" si="0"/>
        <v>46</v>
      </c>
      <c s="255">
        <f t="shared" si="0"/>
        <v>47</v>
      </c>
      <c s="255">
        <f t="shared" si="0"/>
        <v>48</v>
      </c>
      <c s="255">
        <f t="shared" si="0"/>
        <v>49</v>
      </c>
      <c s="255">
        <f t="shared" si="0"/>
        <v>50</v>
      </c>
      <c s="255">
        <f t="shared" si="0"/>
        <v>51</v>
      </c>
      <c s="255">
        <f t="shared" si="0"/>
        <v>52</v>
      </c>
      <c s="255">
        <f t="shared" si="0"/>
        <v>53</v>
      </c>
      <c s="255">
        <f t="shared" si="0"/>
        <v>54</v>
      </c>
      <c s="255">
        <f t="shared" si="0"/>
        <v>55</v>
      </c>
      <c s="255">
        <f t="shared" si="0"/>
        <v>56</v>
      </c>
      <c s="255">
        <f t="shared" si="0"/>
        <v>57</v>
      </c>
      <c s="255">
        <f t="shared" si="0"/>
        <v>58</v>
      </c>
      <c s="255">
        <f t="shared" si="0"/>
        <v>59</v>
      </c>
      <c s="255">
        <f t="shared" si="0"/>
        <v>60</v>
      </c>
      <c s="255">
        <f t="shared" si="0"/>
        <v>61</v>
      </c>
    </row>
    <row r="7" spans="2:65" ht="15" customHeight="1">
      <c r="B7" s="603"/>
      <c s="603"/>
      <c s="600"/>
      <c s="250">
        <f>IF(E$6=1,Предпосылки!$C$13,'Капитальные вложения'!D8+1)</f>
        <v>45658</v>
      </c>
      <c s="250">
        <f>IF(F$6=1,Предпосылки!$C$13,'Капитальные вложения'!E8+1)</f>
        <v>45748</v>
      </c>
      <c s="250">
        <f>IF(G$6=1,Предпосылки!$C$13,'Капитальные вложения'!F8+1)</f>
        <v>45839</v>
      </c>
      <c s="250">
        <f>IF(H$6=1,Предпосылки!$C$13,'Капитальные вложения'!G8+1)</f>
        <v>45931</v>
      </c>
      <c s="250">
        <f>IF(I$6=1,Предпосылки!$C$13,'Капитальные вложения'!H8+1)</f>
        <v>46023</v>
      </c>
      <c s="250">
        <f>IF(J$6=1,Предпосылки!$C$13,'Капитальные вложения'!I8+1)</f>
        <v>46113</v>
      </c>
      <c s="250">
        <f>IF(K$6=1,Предпосылки!$C$13,'Капитальные вложения'!J8+1)</f>
        <v>46204</v>
      </c>
      <c s="250">
        <f>IF(L$6=1,Предпосылки!$C$13,'Капитальные вложения'!K8+1)</f>
        <v>46296</v>
      </c>
      <c s="250">
        <f>IF(M$6=1,Предпосылки!$C$13,'Капитальные вложения'!L8+1)</f>
        <v>46388</v>
      </c>
      <c s="250">
        <f>IF(N$6=1,Предпосылки!$C$13,'Капитальные вложения'!M8+1)</f>
        <v>46478</v>
      </c>
      <c s="250">
        <f>IF(O$6=1,Предпосылки!$C$13,'Капитальные вложения'!N8+1)</f>
        <v>46569</v>
      </c>
      <c s="250">
        <f>IF(P$6=1,Предпосылки!$C$13,'Капитальные вложения'!O8+1)</f>
        <v>46661</v>
      </c>
      <c s="250">
        <f>IF(Q$6=1,Предпосылки!$C$13,'Капитальные вложения'!P8+1)</f>
        <v>46753</v>
      </c>
      <c s="250">
        <f>IF(R$6=1,Предпосылки!$C$13,'Капитальные вложения'!Q8+1)</f>
        <v>46844</v>
      </c>
      <c s="250">
        <f>IF(S$6=1,Предпосылки!$C$13,'Капитальные вложения'!R8+1)</f>
        <v>46935</v>
      </c>
      <c s="250">
        <f>IF(T$6=1,Предпосылки!$C$13,'Капитальные вложения'!S8+1)</f>
        <v>47027</v>
      </c>
      <c s="250">
        <f>IF(U$6=1,Предпосылки!$C$13,'Капитальные вложения'!T8+1)</f>
        <v>47119</v>
      </c>
      <c s="250">
        <f>IF(V$6=1,Предпосылки!$C$13,'Капитальные вложения'!U8+1)</f>
        <v>47209</v>
      </c>
      <c s="250">
        <f>IF(W$6=1,Предпосылки!$C$13,'Капитальные вложения'!V8+1)</f>
        <v>47300</v>
      </c>
      <c s="250">
        <f>IF(X$6=1,Предпосылки!$C$13,'Капитальные вложения'!W8+1)</f>
        <v>47392</v>
      </c>
      <c s="250">
        <f>IF(Y$6=1,Предпосылки!$C$13,'Капитальные вложения'!X8+1)</f>
        <v>47484</v>
      </c>
      <c s="250">
        <f>IF(Z$6=1,Предпосылки!$C$13,'Капитальные вложения'!Y8+1)</f>
        <v>47574</v>
      </c>
      <c s="250">
        <f>IF(AA$6=1,Предпосылки!$C$13,'Капитальные вложения'!Z8+1)</f>
        <v>47665</v>
      </c>
      <c s="250">
        <f>IF(AB$6=1,Предпосылки!$C$13,'Капитальные вложения'!AA8+1)</f>
        <v>47757</v>
      </c>
      <c s="250">
        <f>IF(AC$6=1,Предпосылки!$C$13,'Капитальные вложения'!AB8+1)</f>
        <v>47849</v>
      </c>
      <c s="250">
        <f>IF(AD$6=1,Предпосылки!$C$13,'Капитальные вложения'!AC8+1)</f>
        <v>47939</v>
      </c>
      <c s="250">
        <f>IF(AE$6=1,Предпосылки!$C$13,'Капитальные вложения'!AD8+1)</f>
        <v>48030</v>
      </c>
      <c s="250">
        <f>IF(AF$6=1,Предпосылки!$C$13,'Капитальные вложения'!AE8+1)</f>
        <v>48122</v>
      </c>
      <c s="250">
        <f>IF(AG$6=1,Предпосылки!$C$13,'Капитальные вложения'!AF8+1)</f>
        <v>48214</v>
      </c>
      <c s="250">
        <f>IF(AH$6=1,Предпосылки!$C$13,'Капитальные вложения'!AG8+1)</f>
        <v>48305</v>
      </c>
      <c s="250">
        <f>IF(AI$6=1,Предпосылки!$C$13,'Капитальные вложения'!AH8+1)</f>
        <v>48396</v>
      </c>
      <c s="250">
        <f>IF(AJ$6=1,Предпосылки!$C$13,'Капитальные вложения'!AI8+1)</f>
        <v>48488</v>
      </c>
      <c s="250">
        <f>IF(AK$6=1,Предпосылки!$C$13,'Капитальные вложения'!AJ8+1)</f>
        <v>48580</v>
      </c>
      <c s="250">
        <f>IF(AL$6=1,Предпосылки!$C$13,'Капитальные вложения'!AK8+1)</f>
        <v>48670</v>
      </c>
      <c s="250">
        <f>IF(AM$6=1,Предпосылки!$C$13,'Капитальные вложения'!AL8+1)</f>
        <v>48761</v>
      </c>
      <c s="250">
        <f>IF(AN$6=1,Предпосылки!$C$13,'Капитальные вложения'!AM8+1)</f>
        <v>48853</v>
      </c>
      <c s="250">
        <f>IF(AO$6=1,Предпосылки!$C$13,'Капитальные вложения'!AN8+1)</f>
        <v>48945</v>
      </c>
      <c s="250">
        <f>IF(AP$6=1,Предпосылки!$C$13,'Капитальные вложения'!AO8+1)</f>
        <v>49035</v>
      </c>
      <c s="250">
        <f>IF(AQ$6=1,Предпосылки!$C$13,'Капитальные вложения'!AP8+1)</f>
        <v>49126</v>
      </c>
      <c s="250">
        <f>IF(AR$6=1,Предпосылки!$C$13,'Капитальные вложения'!AQ8+1)</f>
        <v>49218</v>
      </c>
      <c s="250">
        <f>IF(AS$6=1,Предпосылки!$C$13,'Капитальные вложения'!AR8+1)</f>
        <v>49310</v>
      </c>
      <c s="250">
        <f>IF(AT$6=1,Предпосылки!$C$13,'Капитальные вложения'!AS8+1)</f>
        <v>49400</v>
      </c>
      <c s="250">
        <f>IF(AU$6=1,Предпосылки!$C$13,'Капитальные вложения'!AT8+1)</f>
        <v>49491</v>
      </c>
      <c s="250">
        <f>IF(AV$6=1,Предпосылки!$C$13,'Капитальные вложения'!AU8+1)</f>
        <v>49583</v>
      </c>
      <c s="250">
        <f>IF(AW$6=1,Предпосылки!$C$13,'Капитальные вложения'!AV8+1)</f>
        <v>49675</v>
      </c>
      <c s="250">
        <f>IF(AX$6=1,Предпосылки!$C$13,'Капитальные вложения'!AW8+1)</f>
        <v>49766</v>
      </c>
      <c s="250">
        <f>IF(AY$6=1,Предпосылки!$C$13,'Капитальные вложения'!AX8+1)</f>
        <v>49857</v>
      </c>
      <c s="250">
        <f>IF(AZ$6=1,Предпосылки!$C$13,'Капитальные вложения'!AY8+1)</f>
        <v>49949</v>
      </c>
      <c s="250">
        <f>IF(BA$6=1,Предпосылки!$C$13,'Капитальные вложения'!AZ8+1)</f>
        <v>50041</v>
      </c>
      <c s="250">
        <f>IF(BB$6=1,Предпосылки!$C$13,'Капитальные вложения'!BA8+1)</f>
        <v>50131</v>
      </c>
      <c s="250">
        <f>IF(BC$6=1,Предпосылки!$C$13,'Капитальные вложения'!BB8+1)</f>
        <v>50222</v>
      </c>
      <c s="250">
        <f>IF(BD$6=1,Предпосылки!$C$13,'Капитальные вложения'!BC8+1)</f>
        <v>50314</v>
      </c>
      <c s="250">
        <f>IF(BE$6=1,Предпосылки!$C$13,'Капитальные вложения'!BD8+1)</f>
        <v>50406</v>
      </c>
      <c s="250">
        <f>IF(BF$6=1,Предпосылки!$C$13,'Капитальные вложения'!BE8+1)</f>
        <v>50496</v>
      </c>
      <c s="250">
        <f>IF(BG$6=1,Предпосылки!$C$13,'Капитальные вложения'!BF8+1)</f>
        <v>50587</v>
      </c>
      <c s="250">
        <f>IF(BH$6=1,Предпосылки!$C$13,'Капитальные вложения'!BG8+1)</f>
        <v>50679</v>
      </c>
      <c s="250">
        <f>IF(BI$6=1,Предпосылки!$C$13,'Капитальные вложения'!BH8+1)</f>
        <v>50771</v>
      </c>
      <c s="250">
        <f>IF(BJ$6=1,Предпосылки!$C$13,'Капитальные вложения'!BI8+1)</f>
        <v>50861</v>
      </c>
      <c s="250">
        <f>IF(BK$6=1,Предпосылки!$C$13,'Капитальные вложения'!BJ8+1)</f>
        <v>50952</v>
      </c>
      <c s="250">
        <f>IF(BL$6=1,Предпосылки!$C$13,'Капитальные вложения'!BK8+1)</f>
        <v>51044</v>
      </c>
      <c s="250">
        <f>IF(BM$6=1,Предпосылки!$C$13,'Капитальные вложения'!BL8+1)</f>
        <v>51136</v>
      </c>
    </row>
    <row r="8" spans="2:65" ht="15" customHeight="1">
      <c r="B8" s="603"/>
      <c s="603"/>
      <c s="600"/>
      <c s="250">
        <f t="shared" si="1" ref="E8:AG8">EOMONTH(E7,Месяцев_в_квартале-1)</f>
        <v>45747</v>
      </c>
      <c s="250">
        <f t="shared" si="1"/>
        <v>45838</v>
      </c>
      <c s="250">
        <f t="shared" si="1"/>
        <v>45930</v>
      </c>
      <c s="250">
        <f t="shared" si="1"/>
        <v>46022</v>
      </c>
      <c s="250">
        <f t="shared" si="1"/>
        <v>46112</v>
      </c>
      <c s="250">
        <f t="shared" si="1"/>
        <v>46203</v>
      </c>
      <c s="250">
        <f t="shared" si="1"/>
        <v>46295</v>
      </c>
      <c s="250">
        <f t="shared" si="1"/>
        <v>46387</v>
      </c>
      <c s="250">
        <f t="shared" si="1"/>
        <v>46477</v>
      </c>
      <c s="250">
        <f t="shared" si="1"/>
        <v>46568</v>
      </c>
      <c s="250">
        <f t="shared" si="1"/>
        <v>46660</v>
      </c>
      <c s="250">
        <f t="shared" si="1"/>
        <v>46752</v>
      </c>
      <c s="250">
        <f t="shared" si="1"/>
        <v>46843</v>
      </c>
      <c s="250">
        <f t="shared" si="1"/>
        <v>46934</v>
      </c>
      <c s="250">
        <f t="shared" si="1"/>
        <v>47026</v>
      </c>
      <c s="250">
        <f t="shared" si="1"/>
        <v>47118</v>
      </c>
      <c s="250">
        <f t="shared" si="1"/>
        <v>47208</v>
      </c>
      <c s="250">
        <f t="shared" si="1"/>
        <v>47299</v>
      </c>
      <c s="250">
        <f t="shared" si="1"/>
        <v>47391</v>
      </c>
      <c s="250">
        <f t="shared" si="1"/>
        <v>47483</v>
      </c>
      <c s="250">
        <f t="shared" si="1"/>
        <v>47573</v>
      </c>
      <c s="250">
        <f t="shared" si="1"/>
        <v>47664</v>
      </c>
      <c s="250">
        <f t="shared" si="1"/>
        <v>47756</v>
      </c>
      <c s="250">
        <f t="shared" si="1"/>
        <v>47848</v>
      </c>
      <c s="250">
        <f t="shared" si="1"/>
        <v>47938</v>
      </c>
      <c s="250">
        <f t="shared" si="1"/>
        <v>48029</v>
      </c>
      <c s="250">
        <f t="shared" si="1"/>
        <v>48121</v>
      </c>
      <c s="250">
        <f t="shared" si="1"/>
        <v>48213</v>
      </c>
      <c s="250">
        <f t="shared" si="1"/>
        <v>48304</v>
      </c>
      <c s="250">
        <f t="shared" si="2" ref="AH8:AQ8">EOMONTH(AH7,Месяцев_в_квартале-1)</f>
        <v>48395</v>
      </c>
      <c s="250">
        <f t="shared" si="2"/>
        <v>48487</v>
      </c>
      <c s="250">
        <f t="shared" si="2"/>
        <v>48579</v>
      </c>
      <c s="250">
        <f t="shared" si="2"/>
        <v>48669</v>
      </c>
      <c s="250">
        <f t="shared" si="2"/>
        <v>48760</v>
      </c>
      <c s="250">
        <f t="shared" si="2"/>
        <v>48852</v>
      </c>
      <c s="250">
        <f t="shared" si="2"/>
        <v>48944</v>
      </c>
      <c s="250">
        <f t="shared" si="2"/>
        <v>49034</v>
      </c>
      <c s="250">
        <f t="shared" si="2"/>
        <v>49125</v>
      </c>
      <c s="250">
        <f t="shared" si="2"/>
        <v>49217</v>
      </c>
      <c s="250">
        <f t="shared" si="3" ref="AR8:AY8">EOMONTH(AR7,Месяцев_в_квартале-1)</f>
        <v>49309</v>
      </c>
      <c s="250">
        <f t="shared" si="3"/>
        <v>49399</v>
      </c>
      <c s="250">
        <f t="shared" si="3"/>
        <v>49490</v>
      </c>
      <c s="250">
        <f t="shared" si="3"/>
        <v>49582</v>
      </c>
      <c s="250">
        <f t="shared" si="3"/>
        <v>49674</v>
      </c>
      <c s="250">
        <f t="shared" si="3"/>
        <v>49765</v>
      </c>
      <c s="250">
        <f t="shared" si="3"/>
        <v>49856</v>
      </c>
      <c s="250">
        <f t="shared" si="3"/>
        <v>49948</v>
      </c>
      <c s="250">
        <f t="shared" si="4" ref="AZ8:BC8">EOMONTH(AZ7,Месяцев_в_квартале-1)</f>
        <v>50040</v>
      </c>
      <c s="250">
        <f t="shared" si="4"/>
        <v>50130</v>
      </c>
      <c s="250">
        <f t="shared" si="4"/>
        <v>50221</v>
      </c>
      <c s="250">
        <f t="shared" si="4"/>
        <v>50313</v>
      </c>
      <c s="250">
        <f t="shared" si="5" ref="BD8:BJ8">EOMONTH(BD7,Месяцев_в_квартале-1)</f>
        <v>50405</v>
      </c>
      <c s="250">
        <f t="shared" si="5"/>
        <v>50495</v>
      </c>
      <c s="250">
        <f t="shared" si="5"/>
        <v>50586</v>
      </c>
      <c s="250">
        <f t="shared" si="5"/>
        <v>50678</v>
      </c>
      <c s="250">
        <f t="shared" si="5"/>
        <v>50770</v>
      </c>
      <c s="250">
        <f t="shared" si="5"/>
        <v>50860</v>
      </c>
      <c s="250">
        <f t="shared" si="5"/>
        <v>50951</v>
      </c>
      <c s="250">
        <f t="shared" si="6" ref="BK8:BM8">EOMONTH(BK7,Месяцев_в_квартале-1)</f>
        <v>51043</v>
      </c>
      <c s="250">
        <f t="shared" si="6"/>
        <v>51135</v>
      </c>
      <c s="250">
        <f t="shared" si="6"/>
        <v>51226</v>
      </c>
    </row>
    <row r="9" spans="2:65" ht="15" customHeight="1">
      <c r="B9" s="604"/>
      <c s="604"/>
      <c s="601"/>
      <c s="255">
        <f>YEAR(E8)</f>
        <v>2025</v>
      </c>
      <c s="255">
        <f t="shared" si="7" ref="F9:BM9">YEAR(F8)</f>
        <v>2025</v>
      </c>
      <c s="255">
        <f t="shared" si="7"/>
        <v>2025</v>
      </c>
      <c s="255">
        <f t="shared" si="7"/>
        <v>2025</v>
      </c>
      <c s="255">
        <f t="shared" si="7"/>
        <v>2026</v>
      </c>
      <c s="255">
        <f t="shared" si="7"/>
        <v>2026</v>
      </c>
      <c s="255">
        <f t="shared" si="7"/>
        <v>2026</v>
      </c>
      <c s="255">
        <f t="shared" si="7"/>
        <v>2026</v>
      </c>
      <c s="255">
        <f t="shared" si="7"/>
        <v>2027</v>
      </c>
      <c s="255">
        <f t="shared" si="7"/>
        <v>2027</v>
      </c>
      <c s="255">
        <f t="shared" si="7"/>
        <v>2027</v>
      </c>
      <c s="255">
        <f t="shared" si="7"/>
        <v>2027</v>
      </c>
      <c s="255">
        <f t="shared" si="7"/>
        <v>2028</v>
      </c>
      <c s="255">
        <f t="shared" si="7"/>
        <v>2028</v>
      </c>
      <c s="255">
        <f t="shared" si="7"/>
        <v>2028</v>
      </c>
      <c s="255">
        <f t="shared" si="7"/>
        <v>2028</v>
      </c>
      <c s="255">
        <f t="shared" si="7"/>
        <v>2029</v>
      </c>
      <c s="255">
        <f t="shared" si="7"/>
        <v>2029</v>
      </c>
      <c s="255">
        <f t="shared" si="7"/>
        <v>2029</v>
      </c>
      <c s="255">
        <f t="shared" si="7"/>
        <v>2029</v>
      </c>
      <c s="255">
        <f t="shared" si="7"/>
        <v>2030</v>
      </c>
      <c s="255">
        <f t="shared" si="7"/>
        <v>2030</v>
      </c>
      <c s="255">
        <f t="shared" si="7"/>
        <v>2030</v>
      </c>
      <c s="255">
        <f t="shared" si="7"/>
        <v>2030</v>
      </c>
      <c s="255">
        <f t="shared" si="7"/>
        <v>2031</v>
      </c>
      <c s="255">
        <f t="shared" si="7"/>
        <v>2031</v>
      </c>
      <c s="255">
        <f t="shared" si="7"/>
        <v>2031</v>
      </c>
      <c s="255">
        <f t="shared" si="7"/>
        <v>2031</v>
      </c>
      <c s="255">
        <f t="shared" si="7"/>
        <v>2032</v>
      </c>
      <c s="255">
        <f t="shared" si="7"/>
        <v>2032</v>
      </c>
      <c s="255">
        <f t="shared" si="7"/>
        <v>2032</v>
      </c>
      <c s="255">
        <f t="shared" si="7"/>
        <v>2032</v>
      </c>
      <c s="255">
        <f t="shared" si="7"/>
        <v>2033</v>
      </c>
      <c s="255">
        <f t="shared" si="7"/>
        <v>2033</v>
      </c>
      <c s="255">
        <f t="shared" si="7"/>
        <v>2033</v>
      </c>
      <c s="255">
        <f t="shared" si="7"/>
        <v>2033</v>
      </c>
      <c s="255">
        <f t="shared" si="7"/>
        <v>2034</v>
      </c>
      <c s="255">
        <f t="shared" si="7"/>
        <v>2034</v>
      </c>
      <c s="255">
        <f t="shared" si="7"/>
        <v>2034</v>
      </c>
      <c s="255">
        <f t="shared" si="7"/>
        <v>2034</v>
      </c>
      <c s="255">
        <f t="shared" si="7"/>
        <v>2035</v>
      </c>
      <c s="255">
        <f t="shared" si="7"/>
        <v>2035</v>
      </c>
      <c s="255">
        <f t="shared" si="7"/>
        <v>2035</v>
      </c>
      <c s="255">
        <f t="shared" si="7"/>
        <v>2035</v>
      </c>
      <c s="255">
        <f t="shared" si="7"/>
        <v>2036</v>
      </c>
      <c s="255">
        <f t="shared" si="7"/>
        <v>2036</v>
      </c>
      <c s="255">
        <f t="shared" si="7"/>
        <v>2036</v>
      </c>
      <c s="255">
        <f t="shared" si="7"/>
        <v>2036</v>
      </c>
      <c s="255">
        <f t="shared" si="7"/>
        <v>2037</v>
      </c>
      <c s="255">
        <f t="shared" si="7"/>
        <v>2037</v>
      </c>
      <c s="255">
        <f t="shared" si="7"/>
        <v>2037</v>
      </c>
      <c s="255">
        <f t="shared" si="7"/>
        <v>2037</v>
      </c>
      <c s="255">
        <f t="shared" si="7"/>
        <v>2038</v>
      </c>
      <c s="255">
        <f t="shared" si="7"/>
        <v>2038</v>
      </c>
      <c s="255">
        <f t="shared" si="7"/>
        <v>2038</v>
      </c>
      <c s="255">
        <f t="shared" si="7"/>
        <v>2038</v>
      </c>
      <c s="255">
        <f t="shared" si="7"/>
        <v>2039</v>
      </c>
      <c s="255">
        <f t="shared" si="7"/>
        <v>2039</v>
      </c>
      <c s="255">
        <f t="shared" si="7"/>
        <v>2039</v>
      </c>
      <c s="255">
        <f t="shared" si="7"/>
        <v>2039</v>
      </c>
      <c s="255">
        <f t="shared" si="7"/>
        <v>2040</v>
      </c>
    </row>
    <row r="10" spans="2:65" ht="15" customHeight="1">
      <c r="B10" s="12" t="s">
        <v>815</v>
      </c>
      <c s="124"/>
      <c s="125"/>
      <c s="124" t="str">
        <f t="shared" si="8" ref="E10:AG10">ROUNDUP(MONTH(E7)/Месяцев_в_квартале,0)&amp;" кв. "&amp;YEAR(E8)</f>
        <v>1 кв. 2025</v>
      </c>
      <c s="124" t="str">
        <f t="shared" si="8"/>
        <v>2 кв. 2025</v>
      </c>
      <c s="124" t="str">
        <f t="shared" si="8"/>
        <v>3 кв. 2025</v>
      </c>
      <c s="124" t="str">
        <f t="shared" si="8"/>
        <v>4 кв. 2025</v>
      </c>
      <c s="124" t="str">
        <f t="shared" si="8"/>
        <v>1 кв. 2026</v>
      </c>
      <c s="124" t="str">
        <f t="shared" si="8"/>
        <v>2 кв. 2026</v>
      </c>
      <c s="124" t="str">
        <f t="shared" si="8"/>
        <v>3 кв. 2026</v>
      </c>
      <c s="124" t="str">
        <f t="shared" si="8"/>
        <v>4 кв. 2026</v>
      </c>
      <c s="124" t="str">
        <f t="shared" si="8"/>
        <v>1 кв. 2027</v>
      </c>
      <c s="124" t="str">
        <f t="shared" si="8"/>
        <v>2 кв. 2027</v>
      </c>
      <c s="124" t="str">
        <f t="shared" si="8"/>
        <v>3 кв. 2027</v>
      </c>
      <c s="124" t="str">
        <f t="shared" si="8"/>
        <v>4 кв. 2027</v>
      </c>
      <c s="124" t="str">
        <f t="shared" si="8"/>
        <v>1 кв. 2028</v>
      </c>
      <c s="124" t="str">
        <f t="shared" si="8"/>
        <v>2 кв. 2028</v>
      </c>
      <c s="124" t="str">
        <f t="shared" si="8"/>
        <v>3 кв. 2028</v>
      </c>
      <c s="124" t="str">
        <f t="shared" si="8"/>
        <v>4 кв. 2028</v>
      </c>
      <c s="124" t="str">
        <f t="shared" si="8"/>
        <v>1 кв. 2029</v>
      </c>
      <c s="124" t="str">
        <f t="shared" si="8"/>
        <v>2 кв. 2029</v>
      </c>
      <c s="124" t="str">
        <f t="shared" si="8"/>
        <v>3 кв. 2029</v>
      </c>
      <c s="124" t="str">
        <f t="shared" si="8"/>
        <v>4 кв. 2029</v>
      </c>
      <c s="124" t="str">
        <f t="shared" si="8"/>
        <v>1 кв. 2030</v>
      </c>
      <c s="124" t="str">
        <f t="shared" si="8"/>
        <v>2 кв. 2030</v>
      </c>
      <c s="124" t="str">
        <f t="shared" si="8"/>
        <v>3 кв. 2030</v>
      </c>
      <c s="124" t="str">
        <f t="shared" si="8"/>
        <v>4 кв. 2030</v>
      </c>
      <c s="124" t="str">
        <f t="shared" si="8"/>
        <v>1 кв. 2031</v>
      </c>
      <c s="124" t="str">
        <f t="shared" si="8"/>
        <v>2 кв. 2031</v>
      </c>
      <c s="124" t="str">
        <f t="shared" si="8"/>
        <v>3 кв. 2031</v>
      </c>
      <c s="124" t="str">
        <f t="shared" si="8"/>
        <v>4 кв. 2031</v>
      </c>
      <c s="124" t="str">
        <f t="shared" si="8"/>
        <v>1 кв. 2032</v>
      </c>
      <c s="124" t="str">
        <f t="shared" si="9" ref="AH10:BM10">ROUNDUP(MONTH(AH7)/Месяцев_в_квартале,0)&amp;" кв. "&amp;YEAR(AH8)</f>
        <v>2 кв. 2032</v>
      </c>
      <c s="124" t="str">
        <f t="shared" si="9"/>
        <v>3 кв. 2032</v>
      </c>
      <c s="124" t="str">
        <f t="shared" si="9"/>
        <v>4 кв. 2032</v>
      </c>
      <c s="124" t="str">
        <f t="shared" si="9"/>
        <v>1 кв. 2033</v>
      </c>
      <c s="124" t="str">
        <f t="shared" si="9"/>
        <v>2 кв. 2033</v>
      </c>
      <c s="124" t="str">
        <f t="shared" si="9"/>
        <v>3 кв. 2033</v>
      </c>
      <c s="124" t="str">
        <f t="shared" si="9"/>
        <v>4 кв. 2033</v>
      </c>
      <c s="124" t="str">
        <f t="shared" si="9"/>
        <v>1 кв. 2034</v>
      </c>
      <c s="124" t="str">
        <f t="shared" si="9"/>
        <v>2 кв. 2034</v>
      </c>
      <c s="124" t="str">
        <f t="shared" si="9"/>
        <v>3 кв. 2034</v>
      </c>
      <c s="124" t="str">
        <f t="shared" si="9"/>
        <v>4 кв. 2034</v>
      </c>
      <c s="124" t="str">
        <f t="shared" si="9"/>
        <v>1 кв. 2035</v>
      </c>
      <c s="124" t="str">
        <f t="shared" si="9"/>
        <v>2 кв. 2035</v>
      </c>
      <c s="124" t="str">
        <f t="shared" si="9"/>
        <v>3 кв. 2035</v>
      </c>
      <c s="124" t="str">
        <f t="shared" si="9"/>
        <v>4 кв. 2035</v>
      </c>
      <c s="124" t="str">
        <f t="shared" si="9"/>
        <v>1 кв. 2036</v>
      </c>
      <c s="124" t="str">
        <f t="shared" si="9"/>
        <v>2 кв. 2036</v>
      </c>
      <c s="124" t="str">
        <f t="shared" si="9"/>
        <v>3 кв. 2036</v>
      </c>
      <c s="124" t="str">
        <f t="shared" si="9"/>
        <v>4 кв. 2036</v>
      </c>
      <c s="124" t="str">
        <f t="shared" si="9"/>
        <v>1 кв. 2037</v>
      </c>
      <c s="124" t="str">
        <f t="shared" si="9"/>
        <v>2 кв. 2037</v>
      </c>
      <c s="124" t="str">
        <f t="shared" si="9"/>
        <v>3 кв. 2037</v>
      </c>
      <c s="124" t="str">
        <f t="shared" si="9"/>
        <v>4 кв. 2037</v>
      </c>
      <c s="124" t="str">
        <f t="shared" si="9"/>
        <v>1 кв. 2038</v>
      </c>
      <c s="124" t="str">
        <f t="shared" si="9"/>
        <v>2 кв. 2038</v>
      </c>
      <c s="124" t="str">
        <f t="shared" si="9"/>
        <v>3 кв. 2038</v>
      </c>
      <c s="124" t="str">
        <f t="shared" si="9"/>
        <v>4 кв. 2038</v>
      </c>
      <c s="124" t="str">
        <f t="shared" si="9"/>
        <v>1 кв. 2039</v>
      </c>
      <c s="124" t="str">
        <f t="shared" si="9"/>
        <v>2 кв. 2039</v>
      </c>
      <c s="124" t="str">
        <f t="shared" si="9"/>
        <v>3 кв. 2039</v>
      </c>
      <c s="124" t="str">
        <f t="shared" si="9"/>
        <v>4 кв. 2039</v>
      </c>
      <c s="124" t="str">
        <f t="shared" si="9"/>
        <v>1 кв. 2040</v>
      </c>
    </row>
    <row r="11" spans="2:65" ht="15" customHeight="1">
      <c r="B11" s="12" t="s">
        <v>816</v>
      </c>
      <c s="124" t="s">
        <v>817</v>
      </c>
      <c s="126"/>
      <c s="126">
        <f>LOOKUP(YEAR(E$8),Предпосылки!$C$480:$R$480,Ставки_НДС_основная)</f>
        <v>0.20000000000000001</v>
      </c>
      <c s="126">
        <f>LOOKUP(YEAR(F$8),Предпосылки!$C$480:$R$480,Ставки_НДС_основная)</f>
        <v>0.20000000000000001</v>
      </c>
      <c s="126">
        <f>LOOKUP(YEAR(G$8),Предпосылки!$C$480:$R$480,Ставки_НДС_основная)</f>
        <v>0.20000000000000001</v>
      </c>
      <c s="126">
        <f>LOOKUP(YEAR(H$8),Предпосылки!$C$480:$R$480,Ставки_НДС_основная)</f>
        <v>0.20000000000000001</v>
      </c>
      <c s="126">
        <f>LOOKUP(YEAR(I$8),Предпосылки!$C$480:$R$480,Ставки_НДС_основная)</f>
        <v>0.20000000000000001</v>
      </c>
      <c s="126">
        <f>LOOKUP(YEAR(J$8),Предпосылки!$C$480:$R$480,Ставки_НДС_основная)</f>
        <v>0.20000000000000001</v>
      </c>
      <c s="126">
        <f>LOOKUP(YEAR(K$8),Предпосылки!$C$480:$R$480,Ставки_НДС_основная)</f>
        <v>0.20000000000000001</v>
      </c>
      <c s="126">
        <f>LOOKUP(YEAR(L$8),Предпосылки!$C$480:$R$480,Ставки_НДС_основная)</f>
        <v>0.20000000000000001</v>
      </c>
      <c s="126">
        <f>LOOKUP(YEAR(M$8),Предпосылки!$C$480:$R$480,Ставки_НДС_основная)</f>
        <v>0.20000000000000001</v>
      </c>
      <c s="126">
        <f>LOOKUP(YEAR(N$8),Предпосылки!$C$480:$R$480,Ставки_НДС_основная)</f>
        <v>0.20000000000000001</v>
      </c>
      <c s="126">
        <f>LOOKUP(YEAR(O$8),Предпосылки!$C$480:$R$480,Ставки_НДС_основная)</f>
        <v>0.20000000000000001</v>
      </c>
      <c s="126">
        <f>LOOKUP(YEAR(P$8),Предпосылки!$C$480:$R$480,Ставки_НДС_основная)</f>
        <v>0.20000000000000001</v>
      </c>
      <c s="126">
        <f>LOOKUP(YEAR(Q$8),Предпосылки!$C$480:$R$480,Ставки_НДС_основная)</f>
        <v>0.20000000000000001</v>
      </c>
      <c s="126">
        <f>LOOKUP(YEAR(R$8),Предпосылки!$C$480:$R$480,Ставки_НДС_основная)</f>
        <v>0.20000000000000001</v>
      </c>
      <c s="126">
        <f>LOOKUP(YEAR(S$8),Предпосылки!$C$480:$R$480,Ставки_НДС_основная)</f>
        <v>0.20000000000000001</v>
      </c>
      <c s="126">
        <f>LOOKUP(YEAR(T$8),Предпосылки!$C$480:$R$480,Ставки_НДС_основная)</f>
        <v>0.20000000000000001</v>
      </c>
      <c s="126">
        <f>LOOKUP(YEAR(U$8),Предпосылки!$C$480:$R$480,Ставки_НДС_основная)</f>
        <v>0.20000000000000001</v>
      </c>
      <c s="126">
        <f>LOOKUP(YEAR(V$8),Предпосылки!$C$480:$R$480,Ставки_НДС_основная)</f>
        <v>0.20000000000000001</v>
      </c>
      <c s="126">
        <f>LOOKUP(YEAR(W$8),Предпосылки!$C$480:$R$480,Ставки_НДС_основная)</f>
        <v>0.20000000000000001</v>
      </c>
      <c s="126">
        <f>LOOKUP(YEAR(X$8),Предпосылки!$C$480:$R$480,Ставки_НДС_основная)</f>
        <v>0.20000000000000001</v>
      </c>
      <c s="126">
        <f>LOOKUP(YEAR(Y$8),Предпосылки!$C$480:$R$480,Ставки_НДС_основная)</f>
        <v>0.20000000000000001</v>
      </c>
      <c s="126">
        <f>LOOKUP(YEAR(Z$8),Предпосылки!$C$480:$R$480,Ставки_НДС_основная)</f>
        <v>0.20000000000000001</v>
      </c>
      <c s="126">
        <f>LOOKUP(YEAR(AA$8),Предпосылки!$C$480:$R$480,Ставки_НДС_основная)</f>
        <v>0.20000000000000001</v>
      </c>
      <c s="126">
        <f>LOOKUP(YEAR(AB$8),Предпосылки!$C$480:$R$480,Ставки_НДС_основная)</f>
        <v>0.20000000000000001</v>
      </c>
      <c s="126">
        <f>LOOKUP(YEAR(AC$8),Предпосылки!$C$480:$R$480,Ставки_НДС_основная)</f>
        <v>0.20000000000000001</v>
      </c>
      <c s="126">
        <f>LOOKUP(YEAR(AD$8),Предпосылки!$C$480:$R$480,Ставки_НДС_основная)</f>
        <v>0.20000000000000001</v>
      </c>
      <c s="126">
        <f>LOOKUP(YEAR(AE$8),Предпосылки!$C$480:$R$480,Ставки_НДС_основная)</f>
        <v>0.20000000000000001</v>
      </c>
      <c s="126">
        <f>LOOKUP(YEAR(AF$8),Предпосылки!$C$480:$R$480,Ставки_НДС_основная)</f>
        <v>0.20000000000000001</v>
      </c>
      <c s="126">
        <f>LOOKUP(YEAR(AG$8),Предпосылки!$C$480:$R$480,Ставки_НДС_основная)</f>
        <v>0.20000000000000001</v>
      </c>
      <c s="126">
        <f>LOOKUP(YEAR(AH$8),Предпосылки!$C$480:$R$480,Ставки_НДС_основная)</f>
        <v>0.20000000000000001</v>
      </c>
      <c s="126">
        <f>LOOKUP(YEAR(AI$8),Предпосылки!$C$480:$R$480,Ставки_НДС_основная)</f>
        <v>0.20000000000000001</v>
      </c>
      <c s="126">
        <f>LOOKUP(YEAR(AJ$8),Предпосылки!$C$480:$R$480,Ставки_НДС_основная)</f>
        <v>0.20000000000000001</v>
      </c>
      <c s="126">
        <f>LOOKUP(YEAR(AK$8),Предпосылки!$C$480:$R$480,Ставки_НДС_основная)</f>
        <v>0.20000000000000001</v>
      </c>
      <c s="126">
        <f>LOOKUP(YEAR(AL$8),Предпосылки!$C$480:$R$480,Ставки_НДС_основная)</f>
        <v>0.20000000000000001</v>
      </c>
      <c s="126">
        <f>LOOKUP(YEAR(AM$8),Предпосылки!$C$480:$R$480,Ставки_НДС_основная)</f>
        <v>0.20000000000000001</v>
      </c>
      <c s="126">
        <f>LOOKUP(YEAR(AN$8),Предпосылки!$C$480:$R$480,Ставки_НДС_основная)</f>
        <v>0.20000000000000001</v>
      </c>
      <c s="126">
        <f>LOOKUP(YEAR(AO$8),Предпосылки!$C$480:$R$480,Ставки_НДС_основная)</f>
        <v>0.20000000000000001</v>
      </c>
      <c s="126">
        <f>LOOKUP(YEAR(AP$8),Предпосылки!$C$480:$R$480,Ставки_НДС_основная)</f>
        <v>0.20000000000000001</v>
      </c>
      <c s="126">
        <f>LOOKUP(YEAR(AQ$8),Предпосылки!$C$480:$R$480,Ставки_НДС_основная)</f>
        <v>0.20000000000000001</v>
      </c>
      <c s="126">
        <f>LOOKUP(YEAR(AR$8),Предпосылки!$C$480:$R$480,Ставки_НДС_основная)</f>
        <v>0.20000000000000001</v>
      </c>
      <c s="126">
        <f>LOOKUP(YEAR(AS$8),Предпосылки!$C$480:$R$480,Ставки_НДС_основная)</f>
        <v>0.20000000000000001</v>
      </c>
      <c s="126">
        <f>LOOKUP(YEAR(AT$8),Предпосылки!$C$480:$R$480,Ставки_НДС_основная)</f>
        <v>0.20000000000000001</v>
      </c>
      <c s="126">
        <f>LOOKUP(YEAR(AU$8),Предпосылки!$C$480:$R$480,Ставки_НДС_основная)</f>
        <v>0.20000000000000001</v>
      </c>
      <c s="126">
        <f>LOOKUP(YEAR(AV$8),Предпосылки!$C$480:$R$480,Ставки_НДС_основная)</f>
        <v>0.20000000000000001</v>
      </c>
      <c s="126">
        <f>LOOKUP(YEAR(AW$8),Предпосылки!$C$480:$R$480,Ставки_НДС_основная)</f>
        <v>0.20000000000000001</v>
      </c>
      <c s="126">
        <f>LOOKUP(YEAR(AX$8),Предпосылки!$C$480:$R$480,Ставки_НДС_основная)</f>
        <v>0.20000000000000001</v>
      </c>
      <c s="126">
        <f>LOOKUP(YEAR(AY$8),Предпосылки!$C$480:$R$480,Ставки_НДС_основная)</f>
        <v>0.20000000000000001</v>
      </c>
      <c s="126">
        <f>LOOKUP(YEAR(AZ$8),Предпосылки!$C$480:$R$480,Ставки_НДС_основная)</f>
        <v>0.20000000000000001</v>
      </c>
      <c s="126">
        <f>LOOKUP(YEAR(BA$8),Предпосылки!$C$480:$R$480,Ставки_НДС_основная)</f>
        <v>0.20000000000000001</v>
      </c>
      <c s="126">
        <f>LOOKUP(YEAR(BB$8),Предпосылки!$C$480:$R$480,Ставки_НДС_основная)</f>
        <v>0.20000000000000001</v>
      </c>
      <c s="126">
        <f>LOOKUP(YEAR(BC$8),Предпосылки!$C$480:$R$480,Ставки_НДС_основная)</f>
        <v>0.20000000000000001</v>
      </c>
      <c s="126">
        <f>LOOKUP(YEAR(BD$8),Предпосылки!$C$480:$R$480,Ставки_НДС_основная)</f>
        <v>0.20000000000000001</v>
      </c>
      <c s="126">
        <f>LOOKUP(YEAR(BE$8),Предпосылки!$C$480:$R$480,Ставки_НДС_основная)</f>
        <v>0.20000000000000001</v>
      </c>
      <c s="126">
        <f>LOOKUP(YEAR(BF$8),Предпосылки!$C$480:$R$480,Ставки_НДС_основная)</f>
        <v>0.20000000000000001</v>
      </c>
      <c s="126">
        <f>LOOKUP(YEAR(BG$8),Предпосылки!$C$480:$R$480,Ставки_НДС_основная)</f>
        <v>0.20000000000000001</v>
      </c>
      <c s="126">
        <f>LOOKUP(YEAR(BH$8),Предпосылки!$C$480:$R$480,Ставки_НДС_основная)</f>
        <v>0.20000000000000001</v>
      </c>
      <c s="126">
        <f>LOOKUP(YEAR(BI$8),Предпосылки!$C$480:$R$480,Ставки_НДС_основная)</f>
        <v>0.20000000000000001</v>
      </c>
      <c s="126">
        <f>LOOKUP(YEAR(BJ$8),Предпосылки!$C$480:$R$480,Ставки_НДС_основная)</f>
        <v>0.20000000000000001</v>
      </c>
      <c s="126">
        <f>LOOKUP(YEAR(BK$8),Предпосылки!$C$480:$R$480,Ставки_НДС_основная)</f>
        <v>0.20000000000000001</v>
      </c>
      <c s="126">
        <f>LOOKUP(YEAR(BL$8),Предпосылки!$C$480:$R$480,Ставки_НДС_основная)</f>
        <v>0.20000000000000001</v>
      </c>
      <c s="126">
        <f>LOOKUP(YEAR(BM$8),Предпосылки!$C$480:$R$480,Ставки_НДС_основная)</f>
        <v>0.20000000000000001</v>
      </c>
    </row>
    <row r="12" ht="15" customHeight="1"/>
    <row r="13" spans="2:65" ht="15" customHeight="1">
      <c r="B13" s="12" t="str">
        <f>Предпосылки!B476</f>
        <v>Курс USD/RUB</v>
      </c>
      <c s="124">
        <v>2</v>
      </c>
      <c s="125"/>
      <c s="125">
        <f>IF(ISBLANK(LOOKUP(YEAR(E$8),Предпосылки!$C$475:$R$475,Предпосылки!$C476:$R476)),1,LOOKUP(YEAR(E$8),Предпосылки!$C$475:$R$475,Предпосылки!$C476:$R476))*(1+Чувствительность!$D$28)</f>
        <v>90</v>
      </c>
      <c s="125">
        <f>IF(ISBLANK(LOOKUP(YEAR(F$8),Предпосылки!$C$475:$R$475,Предпосылки!$C476:$R476)),1,LOOKUP(YEAR(F$8),Предпосылки!$C$475:$R$475,Предпосылки!$C476:$R476))*(1+Чувствительность!$D$28)</f>
        <v>90</v>
      </c>
      <c s="125">
        <f>IF(ISBLANK(LOOKUP(YEAR(G$8),Предпосылки!$C$475:$R$475,Предпосылки!$C476:$R476)),1,LOOKUP(YEAR(G$8),Предпосылки!$C$475:$R$475,Предпосылки!$C476:$R476))*(1+Чувствительность!$D$28)</f>
        <v>90</v>
      </c>
      <c s="125">
        <f>IF(ISBLANK(LOOKUP(YEAR(H$8),Предпосылки!$C$475:$R$475,Предпосылки!$C476:$R476)),1,LOOKUP(YEAR(H$8),Предпосылки!$C$475:$R$475,Предпосылки!$C476:$R476))*(1+Чувствительность!$D$28)</f>
        <v>90</v>
      </c>
      <c s="125">
        <f>IF(ISBLANK(LOOKUP(YEAR(I$8),Предпосылки!$C$475:$R$475,Предпосылки!$C476:$R476)),1,LOOKUP(YEAR(I$8),Предпосылки!$C$475:$R$475,Предпосылки!$C476:$R476))*(1+Чувствительность!$D$28)</f>
        <v>90</v>
      </c>
      <c s="125">
        <f>IF(ISBLANK(LOOKUP(YEAR(J$8),Предпосылки!$C$475:$R$475,Предпосылки!$C476:$R476)),1,LOOKUP(YEAR(J$8),Предпосылки!$C$475:$R$475,Предпосылки!$C476:$R476))*(1+Чувствительность!$D$28)</f>
        <v>90</v>
      </c>
      <c s="125">
        <f>IF(ISBLANK(LOOKUP(YEAR(K$8),Предпосылки!$C$475:$R$475,Предпосылки!$C476:$R476)),1,LOOKUP(YEAR(K$8),Предпосылки!$C$475:$R$475,Предпосылки!$C476:$R476))*(1+Чувствительность!$D$28)</f>
        <v>90</v>
      </c>
      <c s="125">
        <f>IF(ISBLANK(LOOKUP(YEAR(L$8),Предпосылки!$C$475:$R$475,Предпосылки!$C476:$R476)),1,LOOKUP(YEAR(L$8),Предпосылки!$C$475:$R$475,Предпосылки!$C476:$R476))*(1+Чувствительность!$D$28)</f>
        <v>90</v>
      </c>
      <c s="125">
        <f>IF(ISBLANK(LOOKUP(YEAR(M$8),Предпосылки!$C$475:$R$475,Предпосылки!$C476:$R476)),1,LOOKUP(YEAR(M$8),Предпосылки!$C$475:$R$475,Предпосылки!$C476:$R476))*(1+Чувствительность!$D$28)</f>
        <v>90</v>
      </c>
      <c s="125">
        <f>IF(ISBLANK(LOOKUP(YEAR(N$8),Предпосылки!$C$475:$R$475,Предпосылки!$C476:$R476)),1,LOOKUP(YEAR(N$8),Предпосылки!$C$475:$R$475,Предпосылки!$C476:$R476))*(1+Чувствительность!$D$28)</f>
        <v>90</v>
      </c>
      <c s="125">
        <f>IF(ISBLANK(LOOKUP(YEAR(O$8),Предпосылки!$C$475:$R$475,Предпосылки!$C476:$R476)),1,LOOKUP(YEAR(O$8),Предпосылки!$C$475:$R$475,Предпосылки!$C476:$R476))*(1+Чувствительность!$D$28)</f>
        <v>90</v>
      </c>
      <c s="125">
        <f>IF(ISBLANK(LOOKUP(YEAR(P$8),Предпосылки!$C$475:$R$475,Предпосылки!$C476:$R476)),1,LOOKUP(YEAR(P$8),Предпосылки!$C$475:$R$475,Предпосылки!$C476:$R476))*(1+Чувствительность!$D$28)</f>
        <v>90</v>
      </c>
      <c s="125">
        <f>IF(ISBLANK(LOOKUP(YEAR(Q$8),Предпосылки!$C$475:$R$475,Предпосылки!$C476:$R476)),1,LOOKUP(YEAR(Q$8),Предпосылки!$C$475:$R$475,Предпосылки!$C476:$R476))*(1+Чувствительность!$D$28)</f>
        <v>90</v>
      </c>
      <c s="125">
        <f>IF(ISBLANK(LOOKUP(YEAR(R$8),Предпосылки!$C$475:$R$475,Предпосылки!$C476:$R476)),1,LOOKUP(YEAR(R$8),Предпосылки!$C$475:$R$475,Предпосылки!$C476:$R476))*(1+Чувствительность!$D$28)</f>
        <v>90</v>
      </c>
      <c s="125">
        <f>IF(ISBLANK(LOOKUP(YEAR(S$8),Предпосылки!$C$475:$R$475,Предпосылки!$C476:$R476)),1,LOOKUP(YEAR(S$8),Предпосылки!$C$475:$R$475,Предпосылки!$C476:$R476))*(1+Чувствительность!$D$28)</f>
        <v>90</v>
      </c>
      <c s="125">
        <f>IF(ISBLANK(LOOKUP(YEAR(T$8),Предпосылки!$C$475:$R$475,Предпосылки!$C476:$R476)),1,LOOKUP(YEAR(T$8),Предпосылки!$C$475:$R$475,Предпосылки!$C476:$R476))*(1+Чувствительность!$D$28)</f>
        <v>90</v>
      </c>
      <c s="125">
        <f>IF(ISBLANK(LOOKUP(YEAR(U$8),Предпосылки!$C$475:$R$475,Предпосылки!$C476:$R476)),1,LOOKUP(YEAR(U$8),Предпосылки!$C$475:$R$475,Предпосылки!$C476:$R476))*(1+Чувствительность!$D$28)</f>
        <v>90</v>
      </c>
      <c s="125">
        <f>IF(ISBLANK(LOOKUP(YEAR(V$8),Предпосылки!$C$475:$R$475,Предпосылки!$C476:$R476)),1,LOOKUP(YEAR(V$8),Предпосылки!$C$475:$R$475,Предпосылки!$C476:$R476))*(1+Чувствительность!$D$28)</f>
        <v>90</v>
      </c>
      <c s="125">
        <f>IF(ISBLANK(LOOKUP(YEAR(W$8),Предпосылки!$C$475:$R$475,Предпосылки!$C476:$R476)),1,LOOKUP(YEAR(W$8),Предпосылки!$C$475:$R$475,Предпосылки!$C476:$R476))*(1+Чувствительность!$D$28)</f>
        <v>90</v>
      </c>
      <c s="125">
        <f>IF(ISBLANK(LOOKUP(YEAR(X$8),Предпосылки!$C$475:$R$475,Предпосылки!$C476:$R476)),1,LOOKUP(YEAR(X$8),Предпосылки!$C$475:$R$475,Предпосылки!$C476:$R476))*(1+Чувствительность!$D$28)</f>
        <v>90</v>
      </c>
      <c s="125">
        <f>IF(ISBLANK(LOOKUP(YEAR(Y$8),Предпосылки!$C$475:$R$475,Предпосылки!$C476:$R476)),1,LOOKUP(YEAR(Y$8),Предпосылки!$C$475:$R$475,Предпосылки!$C476:$R476))*(1+Чувствительность!$D$28)</f>
        <v>90</v>
      </c>
      <c s="125">
        <f>IF(ISBLANK(LOOKUP(YEAR(Z$8),Предпосылки!$C$475:$R$475,Предпосылки!$C476:$R476)),1,LOOKUP(YEAR(Z$8),Предпосылки!$C$475:$R$475,Предпосылки!$C476:$R476))*(1+Чувствительность!$D$28)</f>
        <v>90</v>
      </c>
      <c s="125">
        <f>IF(ISBLANK(LOOKUP(YEAR(AA$8),Предпосылки!$C$475:$R$475,Предпосылки!$C476:$R476)),1,LOOKUP(YEAR(AA$8),Предпосылки!$C$475:$R$475,Предпосылки!$C476:$R476))*(1+Чувствительность!$D$28)</f>
        <v>90</v>
      </c>
      <c s="125">
        <f>IF(ISBLANK(LOOKUP(YEAR(AB$8),Предпосылки!$C$475:$R$475,Предпосылки!$C476:$R476)),1,LOOKUP(YEAR(AB$8),Предпосылки!$C$475:$R$475,Предпосылки!$C476:$R476))*(1+Чувствительность!$D$28)</f>
        <v>90</v>
      </c>
      <c s="125">
        <f>IF(ISBLANK(LOOKUP(YEAR(AC$8),Предпосылки!$C$475:$R$475,Предпосылки!$C476:$R476)),1,LOOKUP(YEAR(AC$8),Предпосылки!$C$475:$R$475,Предпосылки!$C476:$R476))*(1+Чувствительность!$D$28)</f>
        <v>90</v>
      </c>
      <c s="125">
        <f>IF(ISBLANK(LOOKUP(YEAR(AD$8),Предпосылки!$C$475:$R$475,Предпосылки!$C476:$R476)),1,LOOKUP(YEAR(AD$8),Предпосылки!$C$475:$R$475,Предпосылки!$C476:$R476))*(1+Чувствительность!$D$28)</f>
        <v>90</v>
      </c>
      <c s="125">
        <f>IF(ISBLANK(LOOKUP(YEAR(AE$8),Предпосылки!$C$475:$R$475,Предпосылки!$C476:$R476)),1,LOOKUP(YEAR(AE$8),Предпосылки!$C$475:$R$475,Предпосылки!$C476:$R476))*(1+Чувствительность!$D$28)</f>
        <v>90</v>
      </c>
      <c s="125">
        <f>IF(ISBLANK(LOOKUP(YEAR(AF$8),Предпосылки!$C$475:$R$475,Предпосылки!$C476:$R476)),1,LOOKUP(YEAR(AF$8),Предпосылки!$C$475:$R$475,Предпосылки!$C476:$R476))*(1+Чувствительность!$D$28)</f>
        <v>90</v>
      </c>
      <c s="125">
        <f>IF(ISBLANK(LOOKUP(YEAR(AG$8),Предпосылки!$C$475:$R$475,Предпосылки!$C476:$R476)),1,LOOKUP(YEAR(AG$8),Предпосылки!$C$475:$R$475,Предпосылки!$C476:$R476))*(1+Чувствительность!$D$28)</f>
        <v>90</v>
      </c>
      <c s="125">
        <f>IF(ISBLANK(LOOKUP(YEAR(AH$8),Предпосылки!$C$475:$R$475,Предпосылки!$C476:$R476)),1,LOOKUP(YEAR(AH$8),Предпосылки!$C$475:$R$475,Предпосылки!$C476:$R476))*(1+Чувствительность!$D$28)</f>
        <v>90</v>
      </c>
      <c s="125">
        <f>IF(ISBLANK(LOOKUP(YEAR(AI$8),Предпосылки!$C$475:$R$475,Предпосылки!$C476:$R476)),1,LOOKUP(YEAR(AI$8),Предпосылки!$C$475:$R$475,Предпосылки!$C476:$R476))*(1+Чувствительность!$D$28)</f>
        <v>90</v>
      </c>
      <c s="125">
        <f>IF(ISBLANK(LOOKUP(YEAR(AJ$8),Предпосылки!$C$475:$R$475,Предпосылки!$C476:$R476)),1,LOOKUP(YEAR(AJ$8),Предпосылки!$C$475:$R$475,Предпосылки!$C476:$R476))*(1+Чувствительность!$D$28)</f>
        <v>90</v>
      </c>
      <c s="125">
        <f>IF(ISBLANK(LOOKUP(YEAR(AK$8),Предпосылки!$C$475:$R$475,Предпосылки!$C476:$R476)),1,LOOKUP(YEAR(AK$8),Предпосылки!$C$475:$R$475,Предпосылки!$C476:$R476))*(1+Чувствительность!$D$28)</f>
        <v>90</v>
      </c>
      <c s="125">
        <f>IF(ISBLANK(LOOKUP(YEAR(AL$8),Предпосылки!$C$475:$R$475,Предпосылки!$C476:$R476)),1,LOOKUP(YEAR(AL$8),Предпосылки!$C$475:$R$475,Предпосылки!$C476:$R476))*(1+Чувствительность!$D$28)</f>
        <v>90</v>
      </c>
      <c s="125">
        <f>IF(ISBLANK(LOOKUP(YEAR(AM$8),Предпосылки!$C$475:$R$475,Предпосылки!$C476:$R476)),1,LOOKUP(YEAR(AM$8),Предпосылки!$C$475:$R$475,Предпосылки!$C476:$R476))*(1+Чувствительность!$D$28)</f>
        <v>90</v>
      </c>
      <c s="125">
        <f>IF(ISBLANK(LOOKUP(YEAR(AN$8),Предпосылки!$C$475:$R$475,Предпосылки!$C476:$R476)),1,LOOKUP(YEAR(AN$8),Предпосылки!$C$475:$R$475,Предпосылки!$C476:$R476))*(1+Чувствительность!$D$28)</f>
        <v>90</v>
      </c>
      <c s="125">
        <f>IF(ISBLANK(LOOKUP(YEAR(AO$8),Предпосылки!$C$475:$R$475,Предпосылки!$C476:$R476)),1,LOOKUP(YEAR(AO$8),Предпосылки!$C$475:$R$475,Предпосылки!$C476:$R476))*(1+Чувствительность!$D$28)</f>
        <v>90</v>
      </c>
      <c s="125">
        <f>IF(ISBLANK(LOOKUP(YEAR(AP$8),Предпосылки!$C$475:$R$475,Предпосылки!$C476:$R476)),1,LOOKUP(YEAR(AP$8),Предпосылки!$C$475:$R$475,Предпосылки!$C476:$R476))*(1+Чувствительность!$D$28)</f>
        <v>90</v>
      </c>
      <c s="125">
        <f>IF(ISBLANK(LOOKUP(YEAR(AQ$8),Предпосылки!$C$475:$R$475,Предпосылки!$C476:$R476)),1,LOOKUP(YEAR(AQ$8),Предпосылки!$C$475:$R$475,Предпосылки!$C476:$R476))*(1+Чувствительность!$D$28)</f>
        <v>90</v>
      </c>
      <c s="125">
        <f>IF(ISBLANK(LOOKUP(YEAR(AR$8),Предпосылки!$C$475:$R$475,Предпосылки!$C476:$R476)),1,LOOKUP(YEAR(AR$8),Предпосылки!$C$475:$R$475,Предпосылки!$C476:$R476))*(1+Чувствительность!$D$28)</f>
        <v>90</v>
      </c>
      <c s="125">
        <f>IF(ISBLANK(LOOKUP(YEAR(AS$8),Предпосылки!$C$475:$R$475,Предпосылки!$C476:$R476)),1,LOOKUP(YEAR(AS$8),Предпосылки!$C$475:$R$475,Предпосылки!$C476:$R476))*(1+Чувствительность!$D$28)</f>
        <v>90</v>
      </c>
      <c s="125">
        <f>IF(ISBLANK(LOOKUP(YEAR(AT$8),Предпосылки!$C$475:$R$475,Предпосылки!$C476:$R476)),1,LOOKUP(YEAR(AT$8),Предпосылки!$C$475:$R$475,Предпосылки!$C476:$R476))*(1+Чувствительность!$D$28)</f>
        <v>90</v>
      </c>
      <c s="125">
        <f>IF(ISBLANK(LOOKUP(YEAR(AU$8),Предпосылки!$C$475:$R$475,Предпосылки!$C476:$R476)),1,LOOKUP(YEAR(AU$8),Предпосылки!$C$475:$R$475,Предпосылки!$C476:$R476))*(1+Чувствительность!$D$28)</f>
        <v>90</v>
      </c>
      <c s="125">
        <f>IF(ISBLANK(LOOKUP(YEAR(AV$8),Предпосылки!$C$475:$R$475,Предпосылки!$C476:$R476)),1,LOOKUP(YEAR(AV$8),Предпосылки!$C$475:$R$475,Предпосылки!$C476:$R476))*(1+Чувствительность!$D$28)</f>
        <v>90</v>
      </c>
      <c s="125">
        <f>IF(ISBLANK(LOOKUP(YEAR(AW$8),Предпосылки!$C$475:$R$475,Предпосылки!$C476:$R476)),1,LOOKUP(YEAR(AW$8),Предпосылки!$C$475:$R$475,Предпосылки!$C476:$R476))*(1+Чувствительность!$D$28)</f>
        <v>90</v>
      </c>
      <c s="125">
        <f>IF(ISBLANK(LOOKUP(YEAR(AX$8),Предпосылки!$C$475:$R$475,Предпосылки!$C476:$R476)),1,LOOKUP(YEAR(AX$8),Предпосылки!$C$475:$R$475,Предпосылки!$C476:$R476))*(1+Чувствительность!$D$28)</f>
        <v>90</v>
      </c>
      <c s="125">
        <f>IF(ISBLANK(LOOKUP(YEAR(AY$8),Предпосылки!$C$475:$R$475,Предпосылки!$C476:$R476)),1,LOOKUP(YEAR(AY$8),Предпосылки!$C$475:$R$475,Предпосылки!$C476:$R476))*(1+Чувствительность!$D$28)</f>
        <v>90</v>
      </c>
      <c s="125">
        <f>IF(ISBLANK(LOOKUP(YEAR(AZ$8),Предпосылки!$C$475:$R$475,Предпосылки!$C476:$R476)),1,LOOKUP(YEAR(AZ$8),Предпосылки!$C$475:$R$475,Предпосылки!$C476:$R476))*(1+Чувствительность!$D$28)</f>
        <v>90</v>
      </c>
      <c s="125">
        <f>IF(ISBLANK(LOOKUP(YEAR(BA$8),Предпосылки!$C$475:$R$475,Предпосылки!$C476:$R476)),1,LOOKUP(YEAR(BA$8),Предпосылки!$C$475:$R$475,Предпосылки!$C476:$R476))*(1+Чувствительность!$D$28)</f>
        <v>90</v>
      </c>
      <c s="125">
        <f>IF(ISBLANK(LOOKUP(YEAR(BB$8),Предпосылки!$C$475:$R$475,Предпосылки!$C476:$R476)),1,LOOKUP(YEAR(BB$8),Предпосылки!$C$475:$R$475,Предпосылки!$C476:$R476))*(1+Чувствительность!$D$28)</f>
        <v>90</v>
      </c>
      <c s="125">
        <f>IF(ISBLANK(LOOKUP(YEAR(BC$8),Предпосылки!$C$475:$R$475,Предпосылки!$C476:$R476)),1,LOOKUP(YEAR(BC$8),Предпосылки!$C$475:$R$475,Предпосылки!$C476:$R476))*(1+Чувствительность!$D$28)</f>
        <v>90</v>
      </c>
      <c s="125">
        <f>IF(ISBLANK(LOOKUP(YEAR(BD$8),Предпосылки!$C$475:$R$475,Предпосылки!$C476:$R476)),1,LOOKUP(YEAR(BD$8),Предпосылки!$C$475:$R$475,Предпосылки!$C476:$R476))*(1+Чувствительность!$D$28)</f>
        <v>90</v>
      </c>
      <c s="125">
        <f>IF(ISBLANK(LOOKUP(YEAR(BE$8),Предпосылки!$C$475:$R$475,Предпосылки!$C476:$R476)),1,LOOKUP(YEAR(BE$8),Предпосылки!$C$475:$R$475,Предпосылки!$C476:$R476))*(1+Чувствительность!$D$28)</f>
        <v>90</v>
      </c>
      <c s="125">
        <f>IF(ISBLANK(LOOKUP(YEAR(BF$8),Предпосылки!$C$475:$R$475,Предпосылки!$C476:$R476)),1,LOOKUP(YEAR(BF$8),Предпосылки!$C$475:$R$475,Предпосылки!$C476:$R476))*(1+Чувствительность!$D$28)</f>
        <v>90</v>
      </c>
      <c s="125">
        <f>IF(ISBLANK(LOOKUP(YEAR(BG$8),Предпосылки!$C$475:$R$475,Предпосылки!$C476:$R476)),1,LOOKUP(YEAR(BG$8),Предпосылки!$C$475:$R$475,Предпосылки!$C476:$R476))*(1+Чувствительность!$D$28)</f>
        <v>90</v>
      </c>
      <c s="125">
        <f>IF(ISBLANK(LOOKUP(YEAR(BH$8),Предпосылки!$C$475:$R$475,Предпосылки!$C476:$R476)),1,LOOKUP(YEAR(BH$8),Предпосылки!$C$475:$R$475,Предпосылки!$C476:$R476))*(1+Чувствительность!$D$28)</f>
        <v>90</v>
      </c>
      <c s="125">
        <f>IF(ISBLANK(LOOKUP(YEAR(BI$8),Предпосылки!$C$475:$R$475,Предпосылки!$C476:$R476)),1,LOOKUP(YEAR(BI$8),Предпосылки!$C$475:$R$475,Предпосылки!$C476:$R476))*(1+Чувствительность!$D$28)</f>
        <v>90</v>
      </c>
      <c s="125">
        <f>IF(ISBLANK(LOOKUP(YEAR(BJ$8),Предпосылки!$C$475:$R$475,Предпосылки!$C476:$R476)),1,LOOKUP(YEAR(BJ$8),Предпосылки!$C$475:$R$475,Предпосылки!$C476:$R476))*(1+Чувствительность!$D$28)</f>
        <v>90</v>
      </c>
      <c s="125">
        <f>IF(ISBLANK(LOOKUP(YEAR(BK$8),Предпосылки!$C$475:$R$475,Предпосылки!$C476:$R476)),1,LOOKUP(YEAR(BK$8),Предпосылки!$C$475:$R$475,Предпосылки!$C476:$R476))*(1+Чувствительность!$D$28)</f>
        <v>90</v>
      </c>
      <c s="125">
        <f>IF(ISBLANK(LOOKUP(YEAR(BL$8),Предпосылки!$C$475:$R$475,Предпосылки!$C476:$R476)),1,LOOKUP(YEAR(BL$8),Предпосылки!$C$475:$R$475,Предпосылки!$C476:$R476))*(1+Чувствительность!$D$28)</f>
        <v>90</v>
      </c>
      <c s="125">
        <f>IF(ISBLANK(LOOKUP(YEAR(BM$8),Предпосылки!$C$475:$R$475,Предпосылки!$C476:$R476)),1,LOOKUP(YEAR(BM$8),Предпосылки!$C$475:$R$475,Предпосылки!$C476:$R476))*(1+Чувствительность!$D$28)</f>
        <v>90</v>
      </c>
    </row>
    <row r="14" spans="2:65" ht="15" customHeight="1">
      <c r="B14" s="22" t="str">
        <f>Предпосылки!B477</f>
        <v>Курс CNY/RUB</v>
      </c>
      <c s="124">
        <v>3</v>
      </c>
      <c s="125"/>
      <c s="125">
        <f>IF(ISBLANK(LOOKUP(YEAR(E$8),Предпосылки!$C$475:$R$475,Предпосылки!$C477:$R477)),1,LOOKUP(YEAR(E$8),Предпосылки!$C$475:$R$475,Предпосылки!$C477:$R477))*(1+Чувствительность!$D$28)</f>
        <v>12.5</v>
      </c>
      <c s="125">
        <f>IF(ISBLANK(LOOKUP(YEAR(F$8),Предпосылки!$C$475:$R$475,Предпосылки!$C477:$R477)),1,LOOKUP(YEAR(F$8),Предпосылки!$C$475:$R$475,Предпосылки!$C477:$R477))*(1+Чувствительность!$D$28)</f>
        <v>12.5</v>
      </c>
      <c s="125">
        <f>IF(ISBLANK(LOOKUP(YEAR(G$8),Предпосылки!$C$475:$R$475,Предпосылки!$C477:$R477)),1,LOOKUP(YEAR(G$8),Предпосылки!$C$475:$R$475,Предпосылки!$C477:$R477))*(1+Чувствительность!$D$28)</f>
        <v>12.5</v>
      </c>
      <c s="125">
        <f>IF(ISBLANK(LOOKUP(YEAR(H$8),Предпосылки!$C$475:$R$475,Предпосылки!$C477:$R477)),1,LOOKUP(YEAR(H$8),Предпосылки!$C$475:$R$475,Предпосылки!$C477:$R477))*(1+Чувствительность!$D$28)</f>
        <v>12.5</v>
      </c>
      <c s="125">
        <f>IF(ISBLANK(LOOKUP(YEAR(I$8),Предпосылки!$C$475:$R$475,Предпосылки!$C477:$R477)),1,LOOKUP(YEAR(I$8),Предпосылки!$C$475:$R$475,Предпосылки!$C477:$R477))*(1+Чувствительность!$D$28)</f>
        <v>12.5</v>
      </c>
      <c s="125">
        <f>IF(ISBLANK(LOOKUP(YEAR(J$8),Предпосылки!$C$475:$R$475,Предпосылки!$C477:$R477)),1,LOOKUP(YEAR(J$8),Предпосылки!$C$475:$R$475,Предпосылки!$C477:$R477))*(1+Чувствительность!$D$28)</f>
        <v>12.5</v>
      </c>
      <c s="125">
        <f>IF(ISBLANK(LOOKUP(YEAR(K$8),Предпосылки!$C$475:$R$475,Предпосылки!$C477:$R477)),1,LOOKUP(YEAR(K$8),Предпосылки!$C$475:$R$475,Предпосылки!$C477:$R477))*(1+Чувствительность!$D$28)</f>
        <v>12.5</v>
      </c>
      <c s="125">
        <f>IF(ISBLANK(LOOKUP(YEAR(L$8),Предпосылки!$C$475:$R$475,Предпосылки!$C477:$R477)),1,LOOKUP(YEAR(L$8),Предпосылки!$C$475:$R$475,Предпосылки!$C477:$R477))*(1+Чувствительность!$D$28)</f>
        <v>12.5</v>
      </c>
      <c s="125">
        <f>IF(ISBLANK(LOOKUP(YEAR(M$8),Предпосылки!$C$475:$R$475,Предпосылки!$C477:$R477)),1,LOOKUP(YEAR(M$8),Предпосылки!$C$475:$R$475,Предпосылки!$C477:$R477))*(1+Чувствительность!$D$28)</f>
        <v>12.5</v>
      </c>
      <c s="125">
        <f>IF(ISBLANK(LOOKUP(YEAR(N$8),Предпосылки!$C$475:$R$475,Предпосылки!$C477:$R477)),1,LOOKUP(YEAR(N$8),Предпосылки!$C$475:$R$475,Предпосылки!$C477:$R477))*(1+Чувствительность!$D$28)</f>
        <v>12.5</v>
      </c>
      <c s="125">
        <f>IF(ISBLANK(LOOKUP(YEAR(O$8),Предпосылки!$C$475:$R$475,Предпосылки!$C477:$R477)),1,LOOKUP(YEAR(O$8),Предпосылки!$C$475:$R$475,Предпосылки!$C477:$R477))*(1+Чувствительность!$D$28)</f>
        <v>12.5</v>
      </c>
      <c s="125">
        <f>IF(ISBLANK(LOOKUP(YEAR(P$8),Предпосылки!$C$475:$R$475,Предпосылки!$C477:$R477)),1,LOOKUP(YEAR(P$8),Предпосылки!$C$475:$R$475,Предпосылки!$C477:$R477))*(1+Чувствительность!$D$28)</f>
        <v>12.5</v>
      </c>
      <c s="125">
        <f>IF(ISBLANK(LOOKUP(YEAR(Q$8),Предпосылки!$C$475:$R$475,Предпосылки!$C477:$R477)),1,LOOKUP(YEAR(Q$8),Предпосылки!$C$475:$R$475,Предпосылки!$C477:$R477))*(1+Чувствительность!$D$28)</f>
        <v>12.5</v>
      </c>
      <c s="125">
        <f>IF(ISBLANK(LOOKUP(YEAR(R$8),Предпосылки!$C$475:$R$475,Предпосылки!$C477:$R477)),1,LOOKUP(YEAR(R$8),Предпосылки!$C$475:$R$475,Предпосылки!$C477:$R477))*(1+Чувствительность!$D$28)</f>
        <v>12.5</v>
      </c>
      <c s="125">
        <f>IF(ISBLANK(LOOKUP(YEAR(S$8),Предпосылки!$C$475:$R$475,Предпосылки!$C477:$R477)),1,LOOKUP(YEAR(S$8),Предпосылки!$C$475:$R$475,Предпосылки!$C477:$R477))*(1+Чувствительность!$D$28)</f>
        <v>12.5</v>
      </c>
      <c s="125">
        <f>IF(ISBLANK(LOOKUP(YEAR(T$8),Предпосылки!$C$475:$R$475,Предпосылки!$C477:$R477)),1,LOOKUP(YEAR(T$8),Предпосылки!$C$475:$R$475,Предпосылки!$C477:$R477))*(1+Чувствительность!$D$28)</f>
        <v>12.5</v>
      </c>
      <c s="125">
        <f>IF(ISBLANK(LOOKUP(YEAR(U$8),Предпосылки!$C$475:$R$475,Предпосылки!$C477:$R477)),1,LOOKUP(YEAR(U$8),Предпосылки!$C$475:$R$475,Предпосылки!$C477:$R477))*(1+Чувствительность!$D$28)</f>
        <v>12.5</v>
      </c>
      <c s="125">
        <f>IF(ISBLANK(LOOKUP(YEAR(V$8),Предпосылки!$C$475:$R$475,Предпосылки!$C477:$R477)),1,LOOKUP(YEAR(V$8),Предпосылки!$C$475:$R$475,Предпосылки!$C477:$R477))*(1+Чувствительность!$D$28)</f>
        <v>12.5</v>
      </c>
      <c s="125">
        <f>IF(ISBLANK(LOOKUP(YEAR(W$8),Предпосылки!$C$475:$R$475,Предпосылки!$C477:$R477)),1,LOOKUP(YEAR(W$8),Предпосылки!$C$475:$R$475,Предпосылки!$C477:$R477))*(1+Чувствительность!$D$28)</f>
        <v>12.5</v>
      </c>
      <c s="125">
        <f>IF(ISBLANK(LOOKUP(YEAR(X$8),Предпосылки!$C$475:$R$475,Предпосылки!$C477:$R477)),1,LOOKUP(YEAR(X$8),Предпосылки!$C$475:$R$475,Предпосылки!$C477:$R477))*(1+Чувствительность!$D$28)</f>
        <v>12.5</v>
      </c>
      <c s="125">
        <f>IF(ISBLANK(LOOKUP(YEAR(Y$8),Предпосылки!$C$475:$R$475,Предпосылки!$C477:$R477)),1,LOOKUP(YEAR(Y$8),Предпосылки!$C$475:$R$475,Предпосылки!$C477:$R477))*(1+Чувствительность!$D$28)</f>
        <v>12.5</v>
      </c>
      <c s="125">
        <f>IF(ISBLANK(LOOKUP(YEAR(Z$8),Предпосылки!$C$475:$R$475,Предпосылки!$C477:$R477)),1,LOOKUP(YEAR(Z$8),Предпосылки!$C$475:$R$475,Предпосылки!$C477:$R477))*(1+Чувствительность!$D$28)</f>
        <v>12.5</v>
      </c>
      <c s="125">
        <f>IF(ISBLANK(LOOKUP(YEAR(AA$8),Предпосылки!$C$475:$R$475,Предпосылки!$C477:$R477)),1,LOOKUP(YEAR(AA$8),Предпосылки!$C$475:$R$475,Предпосылки!$C477:$R477))*(1+Чувствительность!$D$28)</f>
        <v>12.5</v>
      </c>
      <c s="125">
        <f>IF(ISBLANK(LOOKUP(YEAR(AB$8),Предпосылки!$C$475:$R$475,Предпосылки!$C477:$R477)),1,LOOKUP(YEAR(AB$8),Предпосылки!$C$475:$R$475,Предпосылки!$C477:$R477))*(1+Чувствительность!$D$28)</f>
        <v>12.5</v>
      </c>
      <c s="125">
        <f>IF(ISBLANK(LOOKUP(YEAR(AC$8),Предпосылки!$C$475:$R$475,Предпосылки!$C477:$R477)),1,LOOKUP(YEAR(AC$8),Предпосылки!$C$475:$R$475,Предпосылки!$C477:$R477))*(1+Чувствительность!$D$28)</f>
        <v>12.5</v>
      </c>
      <c s="125">
        <f>IF(ISBLANK(LOOKUP(YEAR(AD$8),Предпосылки!$C$475:$R$475,Предпосылки!$C477:$R477)),1,LOOKUP(YEAR(AD$8),Предпосылки!$C$475:$R$475,Предпосылки!$C477:$R477))*(1+Чувствительность!$D$28)</f>
        <v>12.5</v>
      </c>
      <c s="125">
        <f>IF(ISBLANK(LOOKUP(YEAR(AE$8),Предпосылки!$C$475:$R$475,Предпосылки!$C477:$R477)),1,LOOKUP(YEAR(AE$8),Предпосылки!$C$475:$R$475,Предпосылки!$C477:$R477))*(1+Чувствительность!$D$28)</f>
        <v>12.5</v>
      </c>
      <c s="125">
        <f>IF(ISBLANK(LOOKUP(YEAR(AF$8),Предпосылки!$C$475:$R$475,Предпосылки!$C477:$R477)),1,LOOKUP(YEAR(AF$8),Предпосылки!$C$475:$R$475,Предпосылки!$C477:$R477))*(1+Чувствительность!$D$28)</f>
        <v>12.5</v>
      </c>
      <c s="125">
        <f>IF(ISBLANK(LOOKUP(YEAR(AG$8),Предпосылки!$C$475:$R$475,Предпосылки!$C477:$R477)),1,LOOKUP(YEAR(AG$8),Предпосылки!$C$475:$R$475,Предпосылки!$C477:$R477))*(1+Чувствительность!$D$28)</f>
        <v>12.5</v>
      </c>
      <c s="125">
        <f>IF(ISBLANK(LOOKUP(YEAR(AH$8),Предпосылки!$C$475:$R$475,Предпосылки!$C477:$R477)),1,LOOKUP(YEAR(AH$8),Предпосылки!$C$475:$R$475,Предпосылки!$C477:$R477))*(1+Чувствительность!$D$28)</f>
        <v>12.5</v>
      </c>
      <c s="125">
        <f>IF(ISBLANK(LOOKUP(YEAR(AI$8),Предпосылки!$C$475:$R$475,Предпосылки!$C477:$R477)),1,LOOKUP(YEAR(AI$8),Предпосылки!$C$475:$R$475,Предпосылки!$C477:$R477))*(1+Чувствительность!$D$28)</f>
        <v>12.5</v>
      </c>
      <c s="125">
        <f>IF(ISBLANK(LOOKUP(YEAR(AJ$8),Предпосылки!$C$475:$R$475,Предпосылки!$C477:$R477)),1,LOOKUP(YEAR(AJ$8),Предпосылки!$C$475:$R$475,Предпосылки!$C477:$R477))*(1+Чувствительность!$D$28)</f>
        <v>12.5</v>
      </c>
      <c s="125">
        <f>IF(ISBLANK(LOOKUP(YEAR(AK$8),Предпосылки!$C$475:$R$475,Предпосылки!$C477:$R477)),1,LOOKUP(YEAR(AK$8),Предпосылки!$C$475:$R$475,Предпосылки!$C477:$R477))*(1+Чувствительность!$D$28)</f>
        <v>12.5</v>
      </c>
      <c s="125">
        <f>IF(ISBLANK(LOOKUP(YEAR(AL$8),Предпосылки!$C$475:$R$475,Предпосылки!$C477:$R477)),1,LOOKUP(YEAR(AL$8),Предпосылки!$C$475:$R$475,Предпосылки!$C477:$R477))*(1+Чувствительность!$D$28)</f>
        <v>12.5</v>
      </c>
      <c s="125">
        <f>IF(ISBLANK(LOOKUP(YEAR(AM$8),Предпосылки!$C$475:$R$475,Предпосылки!$C477:$R477)),1,LOOKUP(YEAR(AM$8),Предпосылки!$C$475:$R$475,Предпосылки!$C477:$R477))*(1+Чувствительность!$D$28)</f>
        <v>12.5</v>
      </c>
      <c s="125">
        <f>IF(ISBLANK(LOOKUP(YEAR(AN$8),Предпосылки!$C$475:$R$475,Предпосылки!$C477:$R477)),1,LOOKUP(YEAR(AN$8),Предпосылки!$C$475:$R$475,Предпосылки!$C477:$R477))*(1+Чувствительность!$D$28)</f>
        <v>12.5</v>
      </c>
      <c s="125">
        <f>IF(ISBLANK(LOOKUP(YEAR(AO$8),Предпосылки!$C$475:$R$475,Предпосылки!$C477:$R477)),1,LOOKUP(YEAR(AO$8),Предпосылки!$C$475:$R$475,Предпосылки!$C477:$R477))*(1+Чувствительность!$D$28)</f>
        <v>12.5</v>
      </c>
      <c s="125">
        <f>IF(ISBLANK(LOOKUP(YEAR(AP$8),Предпосылки!$C$475:$R$475,Предпосылки!$C477:$R477)),1,LOOKUP(YEAR(AP$8),Предпосылки!$C$475:$R$475,Предпосылки!$C477:$R477))*(1+Чувствительность!$D$28)</f>
        <v>12.5</v>
      </c>
      <c s="125">
        <f>IF(ISBLANK(LOOKUP(YEAR(AQ$8),Предпосылки!$C$475:$R$475,Предпосылки!$C477:$R477)),1,LOOKUP(YEAR(AQ$8),Предпосылки!$C$475:$R$475,Предпосылки!$C477:$R477))*(1+Чувствительность!$D$28)</f>
        <v>12.5</v>
      </c>
      <c s="125">
        <f>IF(ISBLANK(LOOKUP(YEAR(AR$8),Предпосылки!$C$475:$R$475,Предпосылки!$C477:$R477)),1,LOOKUP(YEAR(AR$8),Предпосылки!$C$475:$R$475,Предпосылки!$C477:$R477))*(1+Чувствительность!$D$28)</f>
        <v>12.5</v>
      </c>
      <c s="125">
        <f>IF(ISBLANK(LOOKUP(YEAR(AS$8),Предпосылки!$C$475:$R$475,Предпосылки!$C477:$R477)),1,LOOKUP(YEAR(AS$8),Предпосылки!$C$475:$R$475,Предпосылки!$C477:$R477))*(1+Чувствительность!$D$28)</f>
        <v>12.5</v>
      </c>
      <c s="125">
        <f>IF(ISBLANK(LOOKUP(YEAR(AT$8),Предпосылки!$C$475:$R$475,Предпосылки!$C477:$R477)),1,LOOKUP(YEAR(AT$8),Предпосылки!$C$475:$R$475,Предпосылки!$C477:$R477))*(1+Чувствительность!$D$28)</f>
        <v>12.5</v>
      </c>
      <c s="125">
        <f>IF(ISBLANK(LOOKUP(YEAR(AU$8),Предпосылки!$C$475:$R$475,Предпосылки!$C477:$R477)),1,LOOKUP(YEAR(AU$8),Предпосылки!$C$475:$R$475,Предпосылки!$C477:$R477))*(1+Чувствительность!$D$28)</f>
        <v>12.5</v>
      </c>
      <c s="125">
        <f>IF(ISBLANK(LOOKUP(YEAR(AV$8),Предпосылки!$C$475:$R$475,Предпосылки!$C477:$R477)),1,LOOKUP(YEAR(AV$8),Предпосылки!$C$475:$R$475,Предпосылки!$C477:$R477))*(1+Чувствительность!$D$28)</f>
        <v>12.5</v>
      </c>
      <c s="125">
        <f>IF(ISBLANK(LOOKUP(YEAR(AW$8),Предпосылки!$C$475:$R$475,Предпосылки!$C477:$R477)),1,LOOKUP(YEAR(AW$8),Предпосылки!$C$475:$R$475,Предпосылки!$C477:$R477))*(1+Чувствительность!$D$28)</f>
        <v>12.5</v>
      </c>
      <c s="125">
        <f>IF(ISBLANK(LOOKUP(YEAR(AX$8),Предпосылки!$C$475:$R$475,Предпосылки!$C477:$R477)),1,LOOKUP(YEAR(AX$8),Предпосылки!$C$475:$R$475,Предпосылки!$C477:$R477))*(1+Чувствительность!$D$28)</f>
        <v>12.5</v>
      </c>
      <c s="125">
        <f>IF(ISBLANK(LOOKUP(YEAR(AY$8),Предпосылки!$C$475:$R$475,Предпосылки!$C477:$R477)),1,LOOKUP(YEAR(AY$8),Предпосылки!$C$475:$R$475,Предпосылки!$C477:$R477))*(1+Чувствительность!$D$28)</f>
        <v>12.5</v>
      </c>
      <c s="125">
        <f>IF(ISBLANK(LOOKUP(YEAR(AZ$8),Предпосылки!$C$475:$R$475,Предпосылки!$C477:$R477)),1,LOOKUP(YEAR(AZ$8),Предпосылки!$C$475:$R$475,Предпосылки!$C477:$R477))*(1+Чувствительность!$D$28)</f>
        <v>12.5</v>
      </c>
      <c s="125">
        <f>IF(ISBLANK(LOOKUP(YEAR(BA$8),Предпосылки!$C$475:$R$475,Предпосылки!$C477:$R477)),1,LOOKUP(YEAR(BA$8),Предпосылки!$C$475:$R$475,Предпосылки!$C477:$R477))*(1+Чувствительность!$D$28)</f>
        <v>12.5</v>
      </c>
      <c s="125">
        <f>IF(ISBLANK(LOOKUP(YEAR(BB$8),Предпосылки!$C$475:$R$475,Предпосылки!$C477:$R477)),1,LOOKUP(YEAR(BB$8),Предпосылки!$C$475:$R$475,Предпосылки!$C477:$R477))*(1+Чувствительность!$D$28)</f>
        <v>12.5</v>
      </c>
      <c s="125">
        <f>IF(ISBLANK(LOOKUP(YEAR(BC$8),Предпосылки!$C$475:$R$475,Предпосылки!$C477:$R477)),1,LOOKUP(YEAR(BC$8),Предпосылки!$C$475:$R$475,Предпосылки!$C477:$R477))*(1+Чувствительность!$D$28)</f>
        <v>12.5</v>
      </c>
      <c s="125">
        <f>IF(ISBLANK(LOOKUP(YEAR(BD$8),Предпосылки!$C$475:$R$475,Предпосылки!$C477:$R477)),1,LOOKUP(YEAR(BD$8),Предпосылки!$C$475:$R$475,Предпосылки!$C477:$R477))*(1+Чувствительность!$D$28)</f>
        <v>12.5</v>
      </c>
      <c s="125">
        <f>IF(ISBLANK(LOOKUP(YEAR(BE$8),Предпосылки!$C$475:$R$475,Предпосылки!$C477:$R477)),1,LOOKUP(YEAR(BE$8),Предпосылки!$C$475:$R$475,Предпосылки!$C477:$R477))*(1+Чувствительность!$D$28)</f>
        <v>12.5</v>
      </c>
      <c s="125">
        <f>IF(ISBLANK(LOOKUP(YEAR(BF$8),Предпосылки!$C$475:$R$475,Предпосылки!$C477:$R477)),1,LOOKUP(YEAR(BF$8),Предпосылки!$C$475:$R$475,Предпосылки!$C477:$R477))*(1+Чувствительность!$D$28)</f>
        <v>12.5</v>
      </c>
      <c s="125">
        <f>IF(ISBLANK(LOOKUP(YEAR(BG$8),Предпосылки!$C$475:$R$475,Предпосылки!$C477:$R477)),1,LOOKUP(YEAR(BG$8),Предпосылки!$C$475:$R$475,Предпосылки!$C477:$R477))*(1+Чувствительность!$D$28)</f>
        <v>12.5</v>
      </c>
      <c s="125">
        <f>IF(ISBLANK(LOOKUP(YEAR(BH$8),Предпосылки!$C$475:$R$475,Предпосылки!$C477:$R477)),1,LOOKUP(YEAR(BH$8),Предпосылки!$C$475:$R$475,Предпосылки!$C477:$R477))*(1+Чувствительность!$D$28)</f>
        <v>12.5</v>
      </c>
      <c s="125">
        <f>IF(ISBLANK(LOOKUP(YEAR(BI$8),Предпосылки!$C$475:$R$475,Предпосылки!$C477:$R477)),1,LOOKUP(YEAR(BI$8),Предпосылки!$C$475:$R$475,Предпосылки!$C477:$R477))*(1+Чувствительность!$D$28)</f>
        <v>12.5</v>
      </c>
      <c s="125">
        <f>IF(ISBLANK(LOOKUP(YEAR(BJ$8),Предпосылки!$C$475:$R$475,Предпосылки!$C477:$R477)),1,LOOKUP(YEAR(BJ$8),Предпосылки!$C$475:$R$475,Предпосылки!$C477:$R477))*(1+Чувствительность!$D$28)</f>
        <v>12.5</v>
      </c>
      <c s="125">
        <f>IF(ISBLANK(LOOKUP(YEAR(BK$8),Предпосылки!$C$475:$R$475,Предпосылки!$C477:$R477)),1,LOOKUP(YEAR(BK$8),Предпосылки!$C$475:$R$475,Предпосылки!$C477:$R477))*(1+Чувствительность!$D$28)</f>
        <v>12.5</v>
      </c>
      <c s="125">
        <f>IF(ISBLANK(LOOKUP(YEAR(BL$8),Предпосылки!$C$475:$R$475,Предпосылки!$C477:$R477)),1,LOOKUP(YEAR(BL$8),Предпосылки!$C$475:$R$475,Предпосылки!$C477:$R477))*(1+Чувствительность!$D$28)</f>
        <v>12.5</v>
      </c>
      <c s="125">
        <f>IF(ISBLANK(LOOKUP(YEAR(BM$8),Предпосылки!$C$475:$R$475,Предпосылки!$C477:$R477)),1,LOOKUP(YEAR(BM$8),Предпосылки!$C$475:$R$475,Предпосылки!$C477:$R477))*(1+Чувствительность!$D$28)</f>
        <v>12.5</v>
      </c>
    </row>
    <row r="15" spans="2:65" ht="15" customHeight="1">
      <c r="B15" s="22" t="str">
        <f>Предпосылки!B478</f>
        <v>Курс EUR/RUB</v>
      </c>
      <c s="124">
        <v>4</v>
      </c>
      <c s="125"/>
      <c s="125">
        <f>IF(ISBLANK(LOOKUP(YEAR(E$8),Предпосылки!$C$475:$R$475,Предпосылки!$C478:$R478)),1,LOOKUP(YEAR(E$8),Предпосылки!$C$475:$R$475,Предпосылки!$C478:$R478))*(1+Чувствительность!$D$28)</f>
        <v>97</v>
      </c>
      <c s="125">
        <f>IF(ISBLANK(LOOKUP(YEAR(F$8),Предпосылки!$C$475:$R$475,Предпосылки!$C478:$R478)),1,LOOKUP(YEAR(F$8),Предпосылки!$C$475:$R$475,Предпосылки!$C478:$R478))*(1+Чувствительность!$D$28)</f>
        <v>97</v>
      </c>
      <c s="125">
        <f>IF(ISBLANK(LOOKUP(YEAR(G$8),Предпосылки!$C$475:$R$475,Предпосылки!$C478:$R478)),1,LOOKUP(YEAR(G$8),Предпосылки!$C$475:$R$475,Предпосылки!$C478:$R478))*(1+Чувствительность!$D$28)</f>
        <v>97</v>
      </c>
      <c s="125">
        <f>IF(ISBLANK(LOOKUP(YEAR(H$8),Предпосылки!$C$475:$R$475,Предпосылки!$C478:$R478)),1,LOOKUP(YEAR(H$8),Предпосылки!$C$475:$R$475,Предпосылки!$C478:$R478))*(1+Чувствительность!$D$28)</f>
        <v>97</v>
      </c>
      <c s="125">
        <f>IF(ISBLANK(LOOKUP(YEAR(I$8),Предпосылки!$C$475:$R$475,Предпосылки!$C478:$R478)),1,LOOKUP(YEAR(I$8),Предпосылки!$C$475:$R$475,Предпосылки!$C478:$R478))*(1+Чувствительность!$D$28)</f>
        <v>97</v>
      </c>
      <c s="125">
        <f>IF(ISBLANK(LOOKUP(YEAR(J$8),Предпосылки!$C$475:$R$475,Предпосылки!$C478:$R478)),1,LOOKUP(YEAR(J$8),Предпосылки!$C$475:$R$475,Предпосылки!$C478:$R478))*(1+Чувствительность!$D$28)</f>
        <v>97</v>
      </c>
      <c s="125">
        <f>IF(ISBLANK(LOOKUP(YEAR(K$8),Предпосылки!$C$475:$R$475,Предпосылки!$C478:$R478)),1,LOOKUP(YEAR(K$8),Предпосылки!$C$475:$R$475,Предпосылки!$C478:$R478))*(1+Чувствительность!$D$28)</f>
        <v>97</v>
      </c>
      <c s="125">
        <f>IF(ISBLANK(LOOKUP(YEAR(L$8),Предпосылки!$C$475:$R$475,Предпосылки!$C478:$R478)),1,LOOKUP(YEAR(L$8),Предпосылки!$C$475:$R$475,Предпосылки!$C478:$R478))*(1+Чувствительность!$D$28)</f>
        <v>97</v>
      </c>
      <c s="125">
        <f>IF(ISBLANK(LOOKUP(YEAR(M$8),Предпосылки!$C$475:$R$475,Предпосылки!$C478:$R478)),1,LOOKUP(YEAR(M$8),Предпосылки!$C$475:$R$475,Предпосылки!$C478:$R478))*(1+Чувствительность!$D$28)</f>
        <v>97</v>
      </c>
      <c s="125">
        <f>IF(ISBLANK(LOOKUP(YEAR(N$8),Предпосылки!$C$475:$R$475,Предпосылки!$C478:$R478)),1,LOOKUP(YEAR(N$8),Предпосылки!$C$475:$R$475,Предпосылки!$C478:$R478))*(1+Чувствительность!$D$28)</f>
        <v>97</v>
      </c>
      <c s="125">
        <f>IF(ISBLANK(LOOKUP(YEAR(O$8),Предпосылки!$C$475:$R$475,Предпосылки!$C478:$R478)),1,LOOKUP(YEAR(O$8),Предпосылки!$C$475:$R$475,Предпосылки!$C478:$R478))*(1+Чувствительность!$D$28)</f>
        <v>97</v>
      </c>
      <c s="125">
        <f>IF(ISBLANK(LOOKUP(YEAR(P$8),Предпосылки!$C$475:$R$475,Предпосылки!$C478:$R478)),1,LOOKUP(YEAR(P$8),Предпосылки!$C$475:$R$475,Предпосылки!$C478:$R478))*(1+Чувствительность!$D$28)</f>
        <v>97</v>
      </c>
      <c s="125">
        <f>IF(ISBLANK(LOOKUP(YEAR(Q$8),Предпосылки!$C$475:$R$475,Предпосылки!$C478:$R478)),1,LOOKUP(YEAR(Q$8),Предпосылки!$C$475:$R$475,Предпосылки!$C478:$R478))*(1+Чувствительность!$D$28)</f>
        <v>97</v>
      </c>
      <c s="125">
        <f>IF(ISBLANK(LOOKUP(YEAR(R$8),Предпосылки!$C$475:$R$475,Предпосылки!$C478:$R478)),1,LOOKUP(YEAR(R$8),Предпосылки!$C$475:$R$475,Предпосылки!$C478:$R478))*(1+Чувствительность!$D$28)</f>
        <v>97</v>
      </c>
      <c s="125">
        <f>IF(ISBLANK(LOOKUP(YEAR(S$8),Предпосылки!$C$475:$R$475,Предпосылки!$C478:$R478)),1,LOOKUP(YEAR(S$8),Предпосылки!$C$475:$R$475,Предпосылки!$C478:$R478))*(1+Чувствительность!$D$28)</f>
        <v>97</v>
      </c>
      <c s="125">
        <f>IF(ISBLANK(LOOKUP(YEAR(T$8),Предпосылки!$C$475:$R$475,Предпосылки!$C478:$R478)),1,LOOKUP(YEAR(T$8),Предпосылки!$C$475:$R$475,Предпосылки!$C478:$R478))*(1+Чувствительность!$D$28)</f>
        <v>97</v>
      </c>
      <c s="125">
        <f>IF(ISBLANK(LOOKUP(YEAR(U$8),Предпосылки!$C$475:$R$475,Предпосылки!$C478:$R478)),1,LOOKUP(YEAR(U$8),Предпосылки!$C$475:$R$475,Предпосылки!$C478:$R478))*(1+Чувствительность!$D$28)</f>
        <v>97</v>
      </c>
      <c s="125">
        <f>IF(ISBLANK(LOOKUP(YEAR(V$8),Предпосылки!$C$475:$R$475,Предпосылки!$C478:$R478)),1,LOOKUP(YEAR(V$8),Предпосылки!$C$475:$R$475,Предпосылки!$C478:$R478))*(1+Чувствительность!$D$28)</f>
        <v>97</v>
      </c>
      <c s="125">
        <f>IF(ISBLANK(LOOKUP(YEAR(W$8),Предпосылки!$C$475:$R$475,Предпосылки!$C478:$R478)),1,LOOKUP(YEAR(W$8),Предпосылки!$C$475:$R$475,Предпосылки!$C478:$R478))*(1+Чувствительность!$D$28)</f>
        <v>97</v>
      </c>
      <c s="125">
        <f>IF(ISBLANK(LOOKUP(YEAR(X$8),Предпосылки!$C$475:$R$475,Предпосылки!$C478:$R478)),1,LOOKUP(YEAR(X$8),Предпосылки!$C$475:$R$475,Предпосылки!$C478:$R478))*(1+Чувствительность!$D$28)</f>
        <v>97</v>
      </c>
      <c s="125">
        <f>IF(ISBLANK(LOOKUP(YEAR(Y$8),Предпосылки!$C$475:$R$475,Предпосылки!$C478:$R478)),1,LOOKUP(YEAR(Y$8),Предпосылки!$C$475:$R$475,Предпосылки!$C478:$R478))*(1+Чувствительность!$D$28)</f>
        <v>97</v>
      </c>
      <c s="125">
        <f>IF(ISBLANK(LOOKUP(YEAR(Z$8),Предпосылки!$C$475:$R$475,Предпосылки!$C478:$R478)),1,LOOKUP(YEAR(Z$8),Предпосылки!$C$475:$R$475,Предпосылки!$C478:$R478))*(1+Чувствительность!$D$28)</f>
        <v>97</v>
      </c>
      <c s="125">
        <f>IF(ISBLANK(LOOKUP(YEAR(AA$8),Предпосылки!$C$475:$R$475,Предпосылки!$C478:$R478)),1,LOOKUP(YEAR(AA$8),Предпосылки!$C$475:$R$475,Предпосылки!$C478:$R478))*(1+Чувствительность!$D$28)</f>
        <v>97</v>
      </c>
      <c s="125">
        <f>IF(ISBLANK(LOOKUP(YEAR(AB$8),Предпосылки!$C$475:$R$475,Предпосылки!$C478:$R478)),1,LOOKUP(YEAR(AB$8),Предпосылки!$C$475:$R$475,Предпосылки!$C478:$R478))*(1+Чувствительность!$D$28)</f>
        <v>97</v>
      </c>
      <c s="125">
        <f>IF(ISBLANK(LOOKUP(YEAR(AC$8),Предпосылки!$C$475:$R$475,Предпосылки!$C478:$R478)),1,LOOKUP(YEAR(AC$8),Предпосылки!$C$475:$R$475,Предпосылки!$C478:$R478))*(1+Чувствительность!$D$28)</f>
        <v>97</v>
      </c>
      <c s="125">
        <f>IF(ISBLANK(LOOKUP(YEAR(AD$8),Предпосылки!$C$475:$R$475,Предпосылки!$C478:$R478)),1,LOOKUP(YEAR(AD$8),Предпосылки!$C$475:$R$475,Предпосылки!$C478:$R478))*(1+Чувствительность!$D$28)</f>
        <v>97</v>
      </c>
      <c s="125">
        <f>IF(ISBLANK(LOOKUP(YEAR(AE$8),Предпосылки!$C$475:$R$475,Предпосылки!$C478:$R478)),1,LOOKUP(YEAR(AE$8),Предпосылки!$C$475:$R$475,Предпосылки!$C478:$R478))*(1+Чувствительность!$D$28)</f>
        <v>97</v>
      </c>
      <c s="125">
        <f>IF(ISBLANK(LOOKUP(YEAR(AF$8),Предпосылки!$C$475:$R$475,Предпосылки!$C478:$R478)),1,LOOKUP(YEAR(AF$8),Предпосылки!$C$475:$R$475,Предпосылки!$C478:$R478))*(1+Чувствительность!$D$28)</f>
        <v>97</v>
      </c>
      <c s="125">
        <f>IF(ISBLANK(LOOKUP(YEAR(AG$8),Предпосылки!$C$475:$R$475,Предпосылки!$C478:$R478)),1,LOOKUP(YEAR(AG$8),Предпосылки!$C$475:$R$475,Предпосылки!$C478:$R478))*(1+Чувствительность!$D$28)</f>
        <v>97</v>
      </c>
      <c s="125">
        <f>IF(ISBLANK(LOOKUP(YEAR(AH$8),Предпосылки!$C$475:$R$475,Предпосылки!$C478:$R478)),1,LOOKUP(YEAR(AH$8),Предпосылки!$C$475:$R$475,Предпосылки!$C478:$R478))*(1+Чувствительность!$D$28)</f>
        <v>97</v>
      </c>
      <c s="125">
        <f>IF(ISBLANK(LOOKUP(YEAR(AI$8),Предпосылки!$C$475:$R$475,Предпосылки!$C478:$R478)),1,LOOKUP(YEAR(AI$8),Предпосылки!$C$475:$R$475,Предпосылки!$C478:$R478))*(1+Чувствительность!$D$28)</f>
        <v>97</v>
      </c>
      <c s="125">
        <f>IF(ISBLANK(LOOKUP(YEAR(AJ$8),Предпосылки!$C$475:$R$475,Предпосылки!$C478:$R478)),1,LOOKUP(YEAR(AJ$8),Предпосылки!$C$475:$R$475,Предпосылки!$C478:$R478))*(1+Чувствительность!$D$28)</f>
        <v>97</v>
      </c>
      <c s="125">
        <f>IF(ISBLANK(LOOKUP(YEAR(AK$8),Предпосылки!$C$475:$R$475,Предпосылки!$C478:$R478)),1,LOOKUP(YEAR(AK$8),Предпосылки!$C$475:$R$475,Предпосылки!$C478:$R478))*(1+Чувствительность!$D$28)</f>
        <v>97</v>
      </c>
      <c s="125">
        <f>IF(ISBLANK(LOOKUP(YEAR(AL$8),Предпосылки!$C$475:$R$475,Предпосылки!$C478:$R478)),1,LOOKUP(YEAR(AL$8),Предпосылки!$C$475:$R$475,Предпосылки!$C478:$R478))*(1+Чувствительность!$D$28)</f>
        <v>97</v>
      </c>
      <c s="125">
        <f>IF(ISBLANK(LOOKUP(YEAR(AM$8),Предпосылки!$C$475:$R$475,Предпосылки!$C478:$R478)),1,LOOKUP(YEAR(AM$8),Предпосылки!$C$475:$R$475,Предпосылки!$C478:$R478))*(1+Чувствительность!$D$28)</f>
        <v>97</v>
      </c>
      <c s="125">
        <f>IF(ISBLANK(LOOKUP(YEAR(AN$8),Предпосылки!$C$475:$R$475,Предпосылки!$C478:$R478)),1,LOOKUP(YEAR(AN$8),Предпосылки!$C$475:$R$475,Предпосылки!$C478:$R478))*(1+Чувствительность!$D$28)</f>
        <v>97</v>
      </c>
      <c s="125">
        <f>IF(ISBLANK(LOOKUP(YEAR(AO$8),Предпосылки!$C$475:$R$475,Предпосылки!$C478:$R478)),1,LOOKUP(YEAR(AO$8),Предпосылки!$C$475:$R$475,Предпосылки!$C478:$R478))*(1+Чувствительность!$D$28)</f>
        <v>97</v>
      </c>
      <c s="125">
        <f>IF(ISBLANK(LOOKUP(YEAR(AP$8),Предпосылки!$C$475:$R$475,Предпосылки!$C478:$R478)),1,LOOKUP(YEAR(AP$8),Предпосылки!$C$475:$R$475,Предпосылки!$C478:$R478))*(1+Чувствительность!$D$28)</f>
        <v>97</v>
      </c>
      <c s="125">
        <f>IF(ISBLANK(LOOKUP(YEAR(AQ$8),Предпосылки!$C$475:$R$475,Предпосылки!$C478:$R478)),1,LOOKUP(YEAR(AQ$8),Предпосылки!$C$475:$R$475,Предпосылки!$C478:$R478))*(1+Чувствительность!$D$28)</f>
        <v>97</v>
      </c>
      <c s="125">
        <f>IF(ISBLANK(LOOKUP(YEAR(AR$8),Предпосылки!$C$475:$R$475,Предпосылки!$C478:$R478)),1,LOOKUP(YEAR(AR$8),Предпосылки!$C$475:$R$475,Предпосылки!$C478:$R478))*(1+Чувствительность!$D$28)</f>
        <v>97</v>
      </c>
      <c s="125">
        <f>IF(ISBLANK(LOOKUP(YEAR(AS$8),Предпосылки!$C$475:$R$475,Предпосылки!$C478:$R478)),1,LOOKUP(YEAR(AS$8),Предпосылки!$C$475:$R$475,Предпосылки!$C478:$R478))*(1+Чувствительность!$D$28)</f>
        <v>97</v>
      </c>
      <c s="125">
        <f>IF(ISBLANK(LOOKUP(YEAR(AT$8),Предпосылки!$C$475:$R$475,Предпосылки!$C478:$R478)),1,LOOKUP(YEAR(AT$8),Предпосылки!$C$475:$R$475,Предпосылки!$C478:$R478))*(1+Чувствительность!$D$28)</f>
        <v>97</v>
      </c>
      <c s="125">
        <f>IF(ISBLANK(LOOKUP(YEAR(AU$8),Предпосылки!$C$475:$R$475,Предпосылки!$C478:$R478)),1,LOOKUP(YEAR(AU$8),Предпосылки!$C$475:$R$475,Предпосылки!$C478:$R478))*(1+Чувствительность!$D$28)</f>
        <v>97</v>
      </c>
      <c s="125">
        <f>IF(ISBLANK(LOOKUP(YEAR(AV$8),Предпосылки!$C$475:$R$475,Предпосылки!$C478:$R478)),1,LOOKUP(YEAR(AV$8),Предпосылки!$C$475:$R$475,Предпосылки!$C478:$R478))*(1+Чувствительность!$D$28)</f>
        <v>97</v>
      </c>
      <c s="125">
        <f>IF(ISBLANK(LOOKUP(YEAR(AW$8),Предпосылки!$C$475:$R$475,Предпосылки!$C478:$R478)),1,LOOKUP(YEAR(AW$8),Предпосылки!$C$475:$R$475,Предпосылки!$C478:$R478))*(1+Чувствительность!$D$28)</f>
        <v>97</v>
      </c>
      <c s="125">
        <f>IF(ISBLANK(LOOKUP(YEAR(AX$8),Предпосылки!$C$475:$R$475,Предпосылки!$C478:$R478)),1,LOOKUP(YEAR(AX$8),Предпосылки!$C$475:$R$475,Предпосылки!$C478:$R478))*(1+Чувствительность!$D$28)</f>
        <v>97</v>
      </c>
      <c s="125">
        <f>IF(ISBLANK(LOOKUP(YEAR(AY$8),Предпосылки!$C$475:$R$475,Предпосылки!$C478:$R478)),1,LOOKUP(YEAR(AY$8),Предпосылки!$C$475:$R$475,Предпосылки!$C478:$R478))*(1+Чувствительность!$D$28)</f>
        <v>97</v>
      </c>
      <c s="125">
        <f>IF(ISBLANK(LOOKUP(YEAR(AZ$8),Предпосылки!$C$475:$R$475,Предпосылки!$C478:$R478)),1,LOOKUP(YEAR(AZ$8),Предпосылки!$C$475:$R$475,Предпосылки!$C478:$R478))*(1+Чувствительность!$D$28)</f>
        <v>97</v>
      </c>
      <c s="125">
        <f>IF(ISBLANK(LOOKUP(YEAR(BA$8),Предпосылки!$C$475:$R$475,Предпосылки!$C478:$R478)),1,LOOKUP(YEAR(BA$8),Предпосылки!$C$475:$R$475,Предпосылки!$C478:$R478))*(1+Чувствительность!$D$28)</f>
        <v>97</v>
      </c>
      <c s="125">
        <f>IF(ISBLANK(LOOKUP(YEAR(BB$8),Предпосылки!$C$475:$R$475,Предпосылки!$C478:$R478)),1,LOOKUP(YEAR(BB$8),Предпосылки!$C$475:$R$475,Предпосылки!$C478:$R478))*(1+Чувствительность!$D$28)</f>
        <v>97</v>
      </c>
      <c s="125">
        <f>IF(ISBLANK(LOOKUP(YEAR(BC$8),Предпосылки!$C$475:$R$475,Предпосылки!$C478:$R478)),1,LOOKUP(YEAR(BC$8),Предпосылки!$C$475:$R$475,Предпосылки!$C478:$R478))*(1+Чувствительность!$D$28)</f>
        <v>97</v>
      </c>
      <c s="125">
        <f>IF(ISBLANK(LOOKUP(YEAR(BD$8),Предпосылки!$C$475:$R$475,Предпосылки!$C478:$R478)),1,LOOKUP(YEAR(BD$8),Предпосылки!$C$475:$R$475,Предпосылки!$C478:$R478))*(1+Чувствительность!$D$28)</f>
        <v>97</v>
      </c>
      <c s="125">
        <f>IF(ISBLANK(LOOKUP(YEAR(BE$8),Предпосылки!$C$475:$R$475,Предпосылки!$C478:$R478)),1,LOOKUP(YEAR(BE$8),Предпосылки!$C$475:$R$475,Предпосылки!$C478:$R478))*(1+Чувствительность!$D$28)</f>
        <v>97</v>
      </c>
      <c s="125">
        <f>IF(ISBLANK(LOOKUP(YEAR(BF$8),Предпосылки!$C$475:$R$475,Предпосылки!$C478:$R478)),1,LOOKUP(YEAR(BF$8),Предпосылки!$C$475:$R$475,Предпосылки!$C478:$R478))*(1+Чувствительность!$D$28)</f>
        <v>97</v>
      </c>
      <c s="125">
        <f>IF(ISBLANK(LOOKUP(YEAR(BG$8),Предпосылки!$C$475:$R$475,Предпосылки!$C478:$R478)),1,LOOKUP(YEAR(BG$8),Предпосылки!$C$475:$R$475,Предпосылки!$C478:$R478))*(1+Чувствительность!$D$28)</f>
        <v>97</v>
      </c>
      <c s="125">
        <f>IF(ISBLANK(LOOKUP(YEAR(BH$8),Предпосылки!$C$475:$R$475,Предпосылки!$C478:$R478)),1,LOOKUP(YEAR(BH$8),Предпосылки!$C$475:$R$475,Предпосылки!$C478:$R478))*(1+Чувствительность!$D$28)</f>
        <v>97</v>
      </c>
      <c s="125">
        <f>IF(ISBLANK(LOOKUP(YEAR(BI$8),Предпосылки!$C$475:$R$475,Предпосылки!$C478:$R478)),1,LOOKUP(YEAR(BI$8),Предпосылки!$C$475:$R$475,Предпосылки!$C478:$R478))*(1+Чувствительность!$D$28)</f>
        <v>97</v>
      </c>
      <c s="125">
        <f>IF(ISBLANK(LOOKUP(YEAR(BJ$8),Предпосылки!$C$475:$R$475,Предпосылки!$C478:$R478)),1,LOOKUP(YEAR(BJ$8),Предпосылки!$C$475:$R$475,Предпосылки!$C478:$R478))*(1+Чувствительность!$D$28)</f>
        <v>97</v>
      </c>
      <c s="125">
        <f>IF(ISBLANK(LOOKUP(YEAR(BK$8),Предпосылки!$C$475:$R$475,Предпосылки!$C478:$R478)),1,LOOKUP(YEAR(BK$8),Предпосылки!$C$475:$R$475,Предпосылки!$C478:$R478))*(1+Чувствительность!$D$28)</f>
        <v>97</v>
      </c>
      <c s="125">
        <f>IF(ISBLANK(LOOKUP(YEAR(BL$8),Предпосылки!$C$475:$R$475,Предпосылки!$C478:$R478)),1,LOOKUP(YEAR(BL$8),Предпосылки!$C$475:$R$475,Предпосылки!$C478:$R478))*(1+Чувствительность!$D$28)</f>
        <v>97</v>
      </c>
      <c s="125">
        <f>IF(ISBLANK(LOOKUP(YEAR(BM$8),Предпосылки!$C$475:$R$475,Предпосылки!$C478:$R478)),1,LOOKUP(YEAR(BM$8),Предпосылки!$C$475:$R$475,Предпосылки!$C478:$R478))*(1+Чувствительность!$D$28)</f>
        <v>97</v>
      </c>
    </row>
    <row r="16" spans="2:71" ht="21">
      <c r="B16" s="23" t="s">
        <v>818</v>
      </c>
      <c r="D16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" spans="2:2" ht="15" customHeight="1">
      <c r="B17" s="24" t="s">
        <v>106</v>
      </c>
    </row>
    <row r="18" spans="2:4" ht="15" customHeight="1">
      <c r="B18" s="12" t="str">
        <f>IF(ISBLANK(Предпосылки!B30),"-",Предпосылки!B30)</f>
        <v>-</v>
      </c>
      <c s="124" t="str">
        <f t="shared" si="10" ref="C18:C58">Единица_измерения</f>
        <v>тыс. руб.</v>
      </c>
      <c s="125">
        <f>Предпосылки!C76</f>
        <v>0</v>
      </c>
    </row>
    <row r="19" spans="2:4" ht="15" customHeight="1">
      <c r="B19" s="12" t="str">
        <f>IF(ISBLANK(Предпосылки!B31),"-",Предпосылки!B31)</f>
        <v>-</v>
      </c>
      <c s="124" t="str">
        <f t="shared" si="10"/>
        <v>тыс. руб.</v>
      </c>
      <c s="125">
        <f>Предпосылки!C77</f>
        <v>0</v>
      </c>
    </row>
    <row r="20" spans="2:4" ht="15" customHeight="1">
      <c r="B20" s="12" t="str">
        <f>IF(ISBLANK(Предпосылки!B32),"-",Предпосылки!B32)</f>
        <v>-</v>
      </c>
      <c s="124" t="str">
        <f t="shared" si="10"/>
        <v>тыс. руб.</v>
      </c>
      <c s="125">
        <f>Предпосылки!C78</f>
        <v>0</v>
      </c>
    </row>
    <row r="21" spans="2:4" ht="15" customHeight="1">
      <c r="B21" s="12" t="str">
        <f>IF(ISBLANK(Предпосылки!B33),"-",Предпосылки!B33)</f>
        <v>-</v>
      </c>
      <c s="124" t="str">
        <f t="shared" si="10"/>
        <v>тыс. руб.</v>
      </c>
      <c s="125">
        <f>Предпосылки!C79</f>
        <v>0</v>
      </c>
    </row>
    <row r="22" spans="2:4" ht="15" customHeight="1">
      <c r="B22" s="12" t="str">
        <f>IF(ISBLANK(Предпосылки!B34),"-",Предпосылки!B34)</f>
        <v>-</v>
      </c>
      <c s="124" t="str">
        <f t="shared" si="10"/>
        <v>тыс. руб.</v>
      </c>
      <c s="125">
        <f>Предпосылки!C80</f>
        <v>0</v>
      </c>
    </row>
    <row r="23" spans="2:4" ht="15" customHeight="1">
      <c r="B23" s="12" t="str">
        <f>IF(ISBLANK(Предпосылки!B35),"-",Предпосылки!B35)</f>
        <v>-</v>
      </c>
      <c s="124" t="str">
        <f t="shared" si="10"/>
        <v>тыс. руб.</v>
      </c>
      <c s="125">
        <f>Предпосылки!C81</f>
        <v>0</v>
      </c>
    </row>
    <row r="24" spans="2:4" ht="15" customHeight="1">
      <c r="B24" s="12" t="str">
        <f>IF(ISBLANK(Предпосылки!B36),"-",Предпосылки!B36)</f>
        <v>-</v>
      </c>
      <c s="124" t="str">
        <f t="shared" si="10"/>
        <v>тыс. руб.</v>
      </c>
      <c s="125">
        <f>Предпосылки!C82</f>
        <v>0</v>
      </c>
    </row>
    <row r="25" spans="2:4" ht="15" customHeight="1">
      <c r="B25" s="12" t="str">
        <f>IF(ISBLANK(Предпосылки!B37),"-",Предпосылки!B37)</f>
        <v>-</v>
      </c>
      <c s="124" t="str">
        <f t="shared" si="10"/>
        <v>тыс. руб.</v>
      </c>
      <c s="125">
        <f>Предпосылки!C83</f>
        <v>0</v>
      </c>
    </row>
    <row r="26" spans="2:4" ht="15" customHeight="1">
      <c r="B26" s="12" t="str">
        <f>IF(ISBLANK(Предпосылки!B38),"-",Предпосылки!B38)</f>
        <v>-</v>
      </c>
      <c s="124" t="str">
        <f t="shared" si="10"/>
        <v>тыс. руб.</v>
      </c>
      <c s="125">
        <f>Предпосылки!C84</f>
        <v>0</v>
      </c>
    </row>
    <row r="27" spans="2:4" ht="15" customHeight="1">
      <c r="B27" s="12" t="str">
        <f>IF(ISBLANK(Предпосылки!B39),"-",Предпосылки!B39)</f>
        <v>-</v>
      </c>
      <c s="124" t="str">
        <f t="shared" si="10"/>
        <v>тыс. руб.</v>
      </c>
      <c s="125">
        <f>Предпосылки!C85</f>
        <v>0</v>
      </c>
    </row>
    <row r="28" spans="2:4" ht="15" customHeight="1">
      <c r="B28" s="12" t="str">
        <f>IF(ISBLANK(Предпосылки!B40),"-",Предпосылки!B40)</f>
        <v>-</v>
      </c>
      <c s="124" t="str">
        <f t="shared" si="10"/>
        <v>тыс. руб.</v>
      </c>
      <c s="125">
        <f>Предпосылки!C86</f>
        <v>0</v>
      </c>
    </row>
    <row r="29" spans="2:4" ht="15" customHeight="1">
      <c r="B29" s="12" t="str">
        <f>IF(ISBLANK(Предпосылки!B41),"-",Предпосылки!B41)</f>
        <v>-</v>
      </c>
      <c s="124" t="str">
        <f t="shared" si="10"/>
        <v>тыс. руб.</v>
      </c>
      <c s="125">
        <f>Предпосылки!C87</f>
        <v>0</v>
      </c>
    </row>
    <row r="30" spans="2:4" ht="15" customHeight="1">
      <c r="B30" s="12" t="str">
        <f>IF(ISBLANK(Предпосылки!B42),"-",Предпосылки!B42)</f>
        <v>-</v>
      </c>
      <c s="124" t="str">
        <f t="shared" si="10"/>
        <v>тыс. руб.</v>
      </c>
      <c s="125">
        <f>Предпосылки!C88</f>
        <v>0</v>
      </c>
    </row>
    <row r="31" spans="2:4" ht="15" customHeight="1">
      <c r="B31" s="12" t="str">
        <f>IF(ISBLANK(Предпосылки!B43),"-",Предпосылки!B43)</f>
        <v>-</v>
      </c>
      <c s="124" t="str">
        <f t="shared" si="10"/>
        <v>тыс. руб.</v>
      </c>
      <c s="125">
        <f>Предпосылки!C89</f>
        <v>0</v>
      </c>
    </row>
    <row r="32" spans="2:4" ht="15" customHeight="1">
      <c r="B32" s="12" t="str">
        <f>IF(ISBLANK(Предпосылки!B44),"-",Предпосылки!B44)</f>
        <v>-</v>
      </c>
      <c s="124" t="str">
        <f t="shared" si="10"/>
        <v>тыс. руб.</v>
      </c>
      <c s="125">
        <f>Предпосылки!C90</f>
        <v>0</v>
      </c>
    </row>
    <row r="33" spans="2:4" ht="15" customHeight="1">
      <c r="B33" s="12" t="str">
        <f>IF(ISBLANK(Предпосылки!B45),"-",Предпосылки!B45)</f>
        <v>-</v>
      </c>
      <c s="124" t="str">
        <f t="shared" si="10"/>
        <v>тыс. руб.</v>
      </c>
      <c s="125">
        <f>Предпосылки!C91</f>
        <v>0</v>
      </c>
    </row>
    <row r="34" spans="2:4" ht="15" customHeight="1">
      <c r="B34" s="12" t="str">
        <f>IF(ISBLANK(Предпосылки!B46),"-",Предпосылки!B46)</f>
        <v>-</v>
      </c>
      <c s="124" t="str">
        <f t="shared" si="10"/>
        <v>тыс. руб.</v>
      </c>
      <c s="125">
        <f>Предпосылки!C92</f>
        <v>0</v>
      </c>
    </row>
    <row r="35" spans="2:4" ht="15" customHeight="1">
      <c r="B35" s="12" t="str">
        <f>IF(ISBLANK(Предпосылки!B47),"-",Предпосылки!B47)</f>
        <v>-</v>
      </c>
      <c s="124" t="str">
        <f t="shared" si="10"/>
        <v>тыс. руб.</v>
      </c>
      <c s="125">
        <f>Предпосылки!C93</f>
        <v>0</v>
      </c>
    </row>
    <row r="36" spans="2:4" ht="15" customHeight="1">
      <c r="B36" s="12" t="str">
        <f>IF(ISBLANK(Предпосылки!B48),"-",Предпосылки!B48)</f>
        <v>-</v>
      </c>
      <c s="124" t="str">
        <f t="shared" si="10"/>
        <v>тыс. руб.</v>
      </c>
      <c s="125">
        <f>Предпосылки!C94</f>
        <v>0</v>
      </c>
    </row>
    <row r="37" spans="2:4" ht="15" customHeight="1">
      <c r="B37" s="12" t="str">
        <f>IF(ISBLANK(Предпосылки!B49),"-",Предпосылки!B49)</f>
        <v>-</v>
      </c>
      <c s="124" t="str">
        <f t="shared" si="10"/>
        <v>тыс. руб.</v>
      </c>
      <c s="125">
        <f>Предпосылки!C95</f>
        <v>0</v>
      </c>
    </row>
    <row r="38" spans="2:4" ht="15" customHeight="1">
      <c r="B38" s="12" t="str">
        <f>IF(ISBLANK(Предпосылки!B50),"-",Предпосылки!B50)</f>
        <v>-</v>
      </c>
      <c s="124" t="str">
        <f t="shared" si="10"/>
        <v>тыс. руб.</v>
      </c>
      <c s="125">
        <f>Предпосылки!C96</f>
        <v>0</v>
      </c>
    </row>
    <row r="39" spans="2:4" ht="15" customHeight="1">
      <c r="B39" s="12" t="str">
        <f>IF(ISBLANK(Предпосылки!B51),"-",Предпосылки!B51)</f>
        <v>-</v>
      </c>
      <c s="124" t="str">
        <f t="shared" si="10"/>
        <v>тыс. руб.</v>
      </c>
      <c s="125">
        <f>Предпосылки!C97</f>
        <v>0</v>
      </c>
    </row>
    <row r="40" spans="2:4" ht="15" customHeight="1">
      <c r="B40" s="12" t="str">
        <f>IF(ISBLANK(Предпосылки!B52),"-",Предпосылки!B52)</f>
        <v>-</v>
      </c>
      <c s="124" t="str">
        <f t="shared" si="10"/>
        <v>тыс. руб.</v>
      </c>
      <c s="125">
        <f>Предпосылки!C98</f>
        <v>0</v>
      </c>
    </row>
    <row r="41" spans="2:4" ht="15" customHeight="1">
      <c r="B41" s="12" t="str">
        <f>IF(ISBLANK(Предпосылки!B53),"-",Предпосылки!B53)</f>
        <v>-</v>
      </c>
      <c s="124" t="str">
        <f t="shared" si="10"/>
        <v>тыс. руб.</v>
      </c>
      <c s="125">
        <f>Предпосылки!C99</f>
        <v>0</v>
      </c>
    </row>
    <row r="42" spans="2:4" ht="15" customHeight="1">
      <c r="B42" s="12" t="str">
        <f>IF(ISBLANK(Предпосылки!B54),"-",Предпосылки!B54)</f>
        <v>-</v>
      </c>
      <c s="124" t="str">
        <f t="shared" si="10"/>
        <v>тыс. руб.</v>
      </c>
      <c s="125">
        <f>Предпосылки!C100</f>
        <v>0</v>
      </c>
    </row>
    <row r="43" spans="2:4" ht="15" customHeight="1">
      <c r="B43" s="12" t="str">
        <f>IF(ISBLANK(Предпосылки!B55),"-",Предпосылки!B55)</f>
        <v>-</v>
      </c>
      <c s="124" t="str">
        <f t="shared" si="10"/>
        <v>тыс. руб.</v>
      </c>
      <c s="125">
        <f>Предпосылки!C101</f>
        <v>0</v>
      </c>
    </row>
    <row r="44" spans="2:4" ht="15" customHeight="1">
      <c r="B44" s="12" t="str">
        <f>IF(ISBLANK(Предпосылки!B56),"-",Предпосылки!B56)</f>
        <v>-</v>
      </c>
      <c s="124" t="str">
        <f t="shared" si="10"/>
        <v>тыс. руб.</v>
      </c>
      <c s="125">
        <f>Предпосылки!C102</f>
        <v>0</v>
      </c>
    </row>
    <row r="45" spans="2:4" ht="15" customHeight="1">
      <c r="B45" s="12" t="str">
        <f>IF(ISBLANK(Предпосылки!B57),"-",Предпосылки!B57)</f>
        <v>-</v>
      </c>
      <c s="124" t="str">
        <f t="shared" si="10"/>
        <v>тыс. руб.</v>
      </c>
      <c s="125">
        <f>Предпосылки!C103</f>
        <v>0</v>
      </c>
    </row>
    <row r="46" spans="2:4" ht="15" customHeight="1">
      <c r="B46" s="12" t="str">
        <f>IF(ISBLANK(Предпосылки!B58),"-",Предпосылки!B58)</f>
        <v>-</v>
      </c>
      <c s="124" t="str">
        <f t="shared" si="10"/>
        <v>тыс. руб.</v>
      </c>
      <c s="125">
        <f>Предпосылки!C104</f>
        <v>0</v>
      </c>
    </row>
    <row r="47" spans="2:4" ht="15" customHeight="1">
      <c r="B47" s="12" t="str">
        <f>IF(ISBLANK(Предпосылки!B59),"-",Предпосылки!B59)</f>
        <v>-</v>
      </c>
      <c s="124" t="str">
        <f t="shared" si="10"/>
        <v>тыс. руб.</v>
      </c>
      <c s="125">
        <f>Предпосылки!C105</f>
        <v>0</v>
      </c>
    </row>
    <row r="48" spans="2:4" ht="15" customHeight="1">
      <c r="B48" s="12" t="str">
        <f>IF(ISBLANK(Предпосылки!B60),"-",Предпосылки!B60)</f>
        <v>-</v>
      </c>
      <c s="124" t="str">
        <f t="shared" si="10"/>
        <v>тыс. руб.</v>
      </c>
      <c s="125">
        <f>Предпосылки!C106</f>
        <v>0</v>
      </c>
    </row>
    <row r="49" spans="2:4" ht="15" customHeight="1">
      <c r="B49" s="12" t="str">
        <f>IF(ISBLANK(Предпосылки!B61),"-",Предпосылки!B61)</f>
        <v>-</v>
      </c>
      <c s="124" t="str">
        <f t="shared" si="10"/>
        <v>тыс. руб.</v>
      </c>
      <c s="125">
        <f>Предпосылки!C107</f>
        <v>0</v>
      </c>
    </row>
    <row r="50" spans="2:4" ht="15" customHeight="1">
      <c r="B50" s="12" t="str">
        <f>IF(ISBLANK(Предпосылки!B62),"-",Предпосылки!B62)</f>
        <v>-</v>
      </c>
      <c s="124" t="str">
        <f t="shared" si="10"/>
        <v>тыс. руб.</v>
      </c>
      <c s="125">
        <f>Предпосылки!C108</f>
        <v>0</v>
      </c>
    </row>
    <row r="51" spans="2:4" ht="15" customHeight="1">
      <c r="B51" s="12" t="str">
        <f>IF(ISBLANK(Предпосылки!B63),"-",Предпосылки!B63)</f>
        <v>-</v>
      </c>
      <c s="124" t="str">
        <f t="shared" si="10"/>
        <v>тыс. руб.</v>
      </c>
      <c s="125">
        <f>Предпосылки!C109</f>
        <v>0</v>
      </c>
    </row>
    <row r="52" spans="2:4" ht="15" customHeight="1">
      <c r="B52" s="12" t="str">
        <f>IF(ISBLANK(Предпосылки!B64),"-",Предпосылки!B64)</f>
        <v>-</v>
      </c>
      <c s="124" t="str">
        <f t="shared" si="10"/>
        <v>тыс. руб.</v>
      </c>
      <c s="125">
        <f>Предпосылки!C110</f>
        <v>0</v>
      </c>
    </row>
    <row r="53" spans="2:4" ht="15" customHeight="1">
      <c r="B53" s="12" t="str">
        <f>IF(ISBLANK(Предпосылки!B65),"-",Предпосылки!B65)</f>
        <v>-</v>
      </c>
      <c s="124" t="str">
        <f t="shared" si="10"/>
        <v>тыс. руб.</v>
      </c>
      <c s="125">
        <f>Предпосылки!C111</f>
        <v>0</v>
      </c>
    </row>
    <row r="54" spans="2:4" ht="15" customHeight="1">
      <c r="B54" s="12" t="str">
        <f>IF(ISBLANK(Предпосылки!B66),"-",Предпосылки!B66)</f>
        <v>-</v>
      </c>
      <c s="124" t="str">
        <f t="shared" si="10"/>
        <v>тыс. руб.</v>
      </c>
      <c s="125">
        <f>Предпосылки!C112</f>
        <v>0</v>
      </c>
    </row>
    <row r="55" spans="2:4" ht="15" customHeight="1">
      <c r="B55" s="12" t="str">
        <f>IF(ISBLANK(Предпосылки!B67),"-",Предпосылки!B67)</f>
        <v>-</v>
      </c>
      <c s="124" t="str">
        <f t="shared" si="10"/>
        <v>тыс. руб.</v>
      </c>
      <c s="125">
        <f>Предпосылки!C113</f>
        <v>0</v>
      </c>
    </row>
    <row r="56" spans="2:4" ht="15" customHeight="1">
      <c r="B56" s="12" t="str">
        <f>IF(ISBLANK(Предпосылки!B68),"-",Предпосылки!B68)</f>
        <v>-</v>
      </c>
      <c s="124" t="str">
        <f t="shared" si="10"/>
        <v>тыс. руб.</v>
      </c>
      <c s="125">
        <f>Предпосылки!C114</f>
        <v>0</v>
      </c>
    </row>
    <row r="57" spans="2:4" ht="15" customHeight="1">
      <c r="B57" s="12" t="str">
        <f>IF(ISBLANK(Предпосылки!B69),"-",Предпосылки!B69)</f>
        <v>-</v>
      </c>
      <c s="124" t="str">
        <f t="shared" si="10"/>
        <v>тыс. руб.</v>
      </c>
      <c s="125">
        <f>Предпосылки!C115</f>
        <v>0</v>
      </c>
    </row>
    <row r="58" spans="2:4" ht="15" customHeight="1">
      <c r="B58" s="289" t="s">
        <v>454</v>
      </c>
      <c s="290" t="str">
        <f t="shared" si="10"/>
        <v>тыс. руб.</v>
      </c>
      <c s="291">
        <f>SUM(D18:D57)</f>
        <v>0</v>
      </c>
    </row>
    <row r="59" ht="15" customHeight="1"/>
    <row r="60" spans="2:2" ht="15" customHeight="1">
      <c r="B60" s="24" t="s">
        <v>819</v>
      </c>
    </row>
    <row r="61" spans="2:65" ht="15" customHeight="1">
      <c r="B61" s="12" t="str">
        <f>B18</f>
        <v>-</v>
      </c>
      <c s="124" t="str">
        <f t="shared" si="11" ref="C61:C101">Единица_измерения</f>
        <v>тыс. руб.</v>
      </c>
      <c s="276">
        <f>SUM(E61:BM61)</f>
        <v>0</v>
      </c>
      <c s="125">
        <f>Предпосылки!$I76*Предпосылки!M76*(1+Чувствительность!$D$24)*IFERROR(LOOKUP(Предпосылки!$J76,$C$13:$C$15,E$13:E$15),1)</f>
        <v>0</v>
      </c>
      <c s="125">
        <f>Предпосылки!$I76*Предпосылки!N76*(1+Чувствительность!$D$24)*IFERROR(LOOKUP(Предпосылки!$J76,$C$13:$C$15,F$13:F$15),1)</f>
        <v>0</v>
      </c>
      <c s="125">
        <f>Предпосылки!$I76*Предпосылки!O76*(1+Чувствительность!$D$24)*IFERROR(LOOKUP(Предпосылки!$J76,$C$13:$C$15,G$13:G$15),1)</f>
        <v>0</v>
      </c>
      <c s="125">
        <f>Предпосылки!$I76*Предпосылки!P76*(1+Чувствительность!$D$24)*IFERROR(LOOKUP(Предпосылки!$J76,$C$13:$C$15,H$13:H$15),1)</f>
        <v>0</v>
      </c>
      <c s="125">
        <f>Предпосылки!$I76*Предпосылки!Q76*(1+Чувствительность!$D$24)*IFERROR(LOOKUP(Предпосылки!$J76,$C$13:$C$15,I$13:I$15),1)</f>
        <v>0</v>
      </c>
      <c s="125">
        <f>Предпосылки!$I76*Предпосылки!R76*(1+Чувствительность!$D$24)*IFERROR(LOOKUP(Предпосылки!$J76,$C$13:$C$15,J$13:J$15),1)</f>
        <v>0</v>
      </c>
      <c s="125">
        <f>Предпосылки!$I76*Предпосылки!S76*(1+Чувствительность!$D$24)*IFERROR(LOOKUP(Предпосылки!$J76,$C$13:$C$15,K$13:K$15),1)</f>
        <v>0</v>
      </c>
      <c s="125">
        <f>Предпосылки!$I76*Предпосылки!T76*(1+Чувствительность!$D$24)*IFERROR(LOOKUP(Предпосылки!$J76,$C$13:$C$15,L$13:L$15),1)</f>
        <v>0</v>
      </c>
      <c s="125">
        <f>Предпосылки!$I76*Предпосылки!U76*(1+Чувствительность!$D$24)*IFERROR(LOOKUP(Предпосылки!$J76,$C$13:$C$15,M$13:M$15),1)</f>
        <v>0</v>
      </c>
      <c s="125">
        <f>Предпосылки!$I76*Предпосылки!V76*(1+Чувствительность!$D$24)*IFERROR(LOOKUP(Предпосылки!$J76,$C$13:$C$15,N$13:N$15),1)</f>
        <v>0</v>
      </c>
      <c s="125">
        <f>Предпосылки!$I76*Предпосылки!W76*(1+Чувствительность!$D$24)*IFERROR(LOOKUP(Предпосылки!$J76,$C$13:$C$15,O$13:O$15),1)</f>
        <v>0</v>
      </c>
      <c s="125">
        <f>Предпосылки!$I76*Предпосылки!X76*(1+Чувствительность!$D$24)*IFERROR(LOOKUP(Предпосылки!$J76,$C$13:$C$15,P$13:P$15),1)</f>
        <v>0</v>
      </c>
      <c s="125">
        <f>Предпосылки!$I76*Предпосылки!Y76*(1+Чувствительность!$D$24)*IFERROR(LOOKUP(Предпосылки!$J76,$C$13:$C$15,Q$13:Q$15),1)</f>
        <v>0</v>
      </c>
      <c s="125">
        <f>Предпосылки!$I76*Предпосылки!Z76*(1+Чувствительность!$D$24)*IFERROR(LOOKUP(Предпосылки!$J76,$C$13:$C$15,R$13:R$15),1)</f>
        <v>0</v>
      </c>
      <c s="125">
        <f>Предпосылки!$I76*Предпосылки!AA76*(1+Чувствительность!$D$24)*IFERROR(LOOKUP(Предпосылки!$J76,$C$13:$C$15,S$13:S$15),1)</f>
        <v>0</v>
      </c>
      <c s="125">
        <f>Предпосылки!$I76*Предпосылки!AB76*(1+Чувствительность!$D$24)*IFERROR(LOOKUP(Предпосылки!$J76,$C$13:$C$15,T$13:T$15),1)</f>
        <v>0</v>
      </c>
      <c s="125">
        <f>Предпосылки!$I76*Предпосылки!AC76*(1+Чувствительность!$D$24)*IFERROR(LOOKUP(Предпосылки!$J76,$C$13:$C$15,U$13:U$15),1)</f>
        <v>0</v>
      </c>
      <c s="125">
        <f>Предпосылки!$I76*Предпосылки!AD76*(1+Чувствительность!$D$24)*IFERROR(LOOKUP(Предпосылки!$J76,$C$13:$C$15,V$13:V$15),1)</f>
        <v>0</v>
      </c>
      <c s="125">
        <f>Предпосылки!$I76*Предпосылки!AE76*(1+Чувствительность!$D$24)*IFERROR(LOOKUP(Предпосылки!$J76,$C$13:$C$15,W$13:W$15),1)</f>
        <v>0</v>
      </c>
      <c s="125">
        <f>Предпосылки!$I76*Предпосылки!AF76*(1+Чувствительность!$D$24)*IFERROR(LOOKUP(Предпосылки!$J76,$C$13:$C$15,X$13:X$15),1)</f>
        <v>0</v>
      </c>
      <c s="125">
        <f>Предпосылки!$I76*Предпосылки!AG76*(1+Чувствительность!$D$24)*IFERROR(LOOKUP(Предпосылки!$J76,$C$13:$C$15,Y$13:Y$15),1)</f>
        <v>0</v>
      </c>
      <c s="125">
        <f>Предпосылки!$I76*Предпосылки!AH76*(1+Чувствительность!$D$24)*IFERROR(LOOKUP(Предпосылки!$J76,$C$13:$C$15,Z$13:Z$15),1)</f>
        <v>0</v>
      </c>
      <c s="125">
        <f>Предпосылки!$I76*Предпосылки!AI76*(1+Чувствительность!$D$24)*IFERROR(LOOKUP(Предпосылки!$J76,$C$13:$C$15,AA$13:AA$15),1)</f>
        <v>0</v>
      </c>
      <c s="125">
        <f>Предпосылки!$I76*Предпосылки!AJ76*(1+Чувствительность!$D$24)*IFERROR(LOOKUP(Предпосылки!$J76,$C$13:$C$15,AB$13:AB$15),1)</f>
        <v>0</v>
      </c>
      <c s="125">
        <f>Предпосылки!$I76*Предпосылки!AK76*(1+Чувствительность!$D$24)*IFERROR(LOOKUP(Предпосылки!$J76,$C$13:$C$15,AC$13:AC$15),1)</f>
        <v>0</v>
      </c>
      <c s="125">
        <f>Предпосылки!$I76*Предпосылки!AL76*(1+Чувствительность!$D$24)*IFERROR(LOOKUP(Предпосылки!$J76,$C$13:$C$15,AD$13:AD$15),1)</f>
        <v>0</v>
      </c>
      <c s="125">
        <f>Предпосылки!$I76*Предпосылки!AM76*(1+Чувствительность!$D$24)*IFERROR(LOOKUP(Предпосылки!$J76,$C$13:$C$15,AE$13:AE$15),1)</f>
        <v>0</v>
      </c>
      <c s="125">
        <f>Предпосылки!$I76*Предпосылки!AN76*(1+Чувствительность!$D$24)*IFERROR(LOOKUP(Предпосылки!$J76,$C$13:$C$15,AF$13:AF$15),1)</f>
        <v>0</v>
      </c>
      <c s="125">
        <f>Предпосылки!$I76*Предпосылки!AO76*(1+Чувствительность!$D$24)*IFERROR(LOOKUP(Предпосылки!$J76,$C$13:$C$15,AG$13:AG$15),1)</f>
        <v>0</v>
      </c>
      <c s="125">
        <f>Предпосылки!$I76*Предпосылки!AP76*(1+Чувствительность!$D$24)*IFERROR(LOOKUP(Предпосылки!$J76,$C$13:$C$15,AH$13:AH$15),1)</f>
        <v>0</v>
      </c>
      <c s="125">
        <f>Предпосылки!$I76*Предпосылки!AQ76*(1+Чувствительность!$D$24)*IFERROR(LOOKUP(Предпосылки!$J76,$C$13:$C$15,AI$13:AI$15),1)</f>
        <v>0</v>
      </c>
      <c s="125">
        <f>Предпосылки!$I76*Предпосылки!AR76*(1+Чувствительность!$D$24)*IFERROR(LOOKUP(Предпосылки!$J76,$C$13:$C$15,AJ$13:AJ$15),1)</f>
        <v>0</v>
      </c>
      <c s="125">
        <f>Предпосылки!$I76*Предпосылки!AS76*(1+Чувствительность!$D$24)*IFERROR(LOOKUP(Предпосылки!$J76,$C$13:$C$15,AK$13:AK$15),1)</f>
        <v>0</v>
      </c>
      <c s="125">
        <f>Предпосылки!$I76*Предпосылки!AT76*(1+Чувствительность!$D$24)*IFERROR(LOOKUP(Предпосылки!$J76,$C$13:$C$15,AL$13:AL$15),1)</f>
        <v>0</v>
      </c>
      <c s="125">
        <f>Предпосылки!$I76*Предпосылки!AU76*(1+Чувствительность!$D$24)*IFERROR(LOOKUP(Предпосылки!$J76,$C$13:$C$15,AM$13:AM$15),1)</f>
        <v>0</v>
      </c>
      <c s="125">
        <f>Предпосылки!$I76*Предпосылки!AV76*(1+Чувствительность!$D$24)*IFERROR(LOOKUP(Предпосылки!$J76,$C$13:$C$15,AN$13:AN$15),1)</f>
        <v>0</v>
      </c>
      <c s="125">
        <f>Предпосылки!$I76*Предпосылки!AW76*(1+Чувствительность!$D$24)*IFERROR(LOOKUP(Предпосылки!$J76,$C$13:$C$15,AO$13:AO$15),1)</f>
        <v>0</v>
      </c>
      <c s="125">
        <f>Предпосылки!$I76*Предпосылки!AX76*(1+Чувствительность!$D$24)*IFERROR(LOOKUP(Предпосылки!$J76,$C$13:$C$15,AP$13:AP$15),1)</f>
        <v>0</v>
      </c>
      <c s="125">
        <f>Предпосылки!$I76*Предпосылки!AY76*(1+Чувствительность!$D$24)*IFERROR(LOOKUP(Предпосылки!$J76,$C$13:$C$15,AQ$13:AQ$15),1)</f>
        <v>0</v>
      </c>
      <c s="125">
        <f>Предпосылки!$I76*Предпосылки!AZ76*(1+Чувствительность!$D$24)*IFERROR(LOOKUP(Предпосылки!$J76,$C$13:$C$15,AR$13:AR$15),1)</f>
        <v>0</v>
      </c>
      <c s="125">
        <f>Предпосылки!$I76*Предпосылки!BA76*(1+Чувствительность!$D$24)*IFERROR(LOOKUP(Предпосылки!$J76,$C$13:$C$15,AS$13:AS$15),1)</f>
        <v>0</v>
      </c>
      <c s="125">
        <f>Предпосылки!$I76*Предпосылки!BB76*(1+Чувствительность!$D$24)*IFERROR(LOOKUP(Предпосылки!$J76,$C$13:$C$15,AT$13:AT$15),1)</f>
        <v>0</v>
      </c>
      <c s="125">
        <f>Предпосылки!$I76*Предпосылки!BC76*(1+Чувствительность!$D$24)*IFERROR(LOOKUP(Предпосылки!$J76,$C$13:$C$15,AU$13:AU$15),1)</f>
        <v>0</v>
      </c>
      <c s="125">
        <f>Предпосылки!$I76*Предпосылки!BD76*(1+Чувствительность!$D$24)*IFERROR(LOOKUP(Предпосылки!$J76,$C$13:$C$15,AV$13:AV$15),1)</f>
        <v>0</v>
      </c>
      <c s="125">
        <f>Предпосылки!$I76*Предпосылки!BE76*(1+Чувствительность!$D$24)*IFERROR(LOOKUP(Предпосылки!$J76,$C$13:$C$15,AW$13:AW$15),1)</f>
        <v>0</v>
      </c>
      <c s="125">
        <f>Предпосылки!$I76*Предпосылки!BF76*(1+Чувствительность!$D$24)*IFERROR(LOOKUP(Предпосылки!$J76,$C$13:$C$15,AX$13:AX$15),1)</f>
        <v>0</v>
      </c>
      <c s="125">
        <f>Предпосылки!$I76*Предпосылки!BG76*(1+Чувствительность!$D$24)*IFERROR(LOOKUP(Предпосылки!$J76,$C$13:$C$15,AY$13:AY$15),1)</f>
        <v>0</v>
      </c>
      <c s="125">
        <f>Предпосылки!$I76*Предпосылки!BH76*(1+Чувствительность!$D$24)*IFERROR(LOOKUP(Предпосылки!$J76,$C$13:$C$15,AZ$13:AZ$15),1)</f>
        <v>0</v>
      </c>
      <c s="125">
        <f>Предпосылки!$I76*Предпосылки!BI76*(1+Чувствительность!$D$24)*IFERROR(LOOKUP(Предпосылки!$J76,$C$13:$C$15,BA$13:BA$15),1)</f>
        <v>0</v>
      </c>
      <c s="125">
        <f>Предпосылки!$I76*Предпосылки!BJ76*(1+Чувствительность!$D$24)*IFERROR(LOOKUP(Предпосылки!$J76,$C$13:$C$15,BB$13:BB$15),1)</f>
        <v>0</v>
      </c>
      <c s="125">
        <f>Предпосылки!$I76*Предпосылки!BK76*(1+Чувствительность!$D$24)*IFERROR(LOOKUP(Предпосылки!$J76,$C$13:$C$15,BC$13:BC$15),1)</f>
        <v>0</v>
      </c>
      <c s="125">
        <f>Предпосылки!$I76*Предпосылки!BL76*(1+Чувствительность!$D$24)*IFERROR(LOOKUP(Предпосылки!$J76,$C$13:$C$15,BD$13:BD$15),1)</f>
        <v>0</v>
      </c>
      <c s="125">
        <f>Предпосылки!$I76*Предпосылки!BM76*(1+Чувствительность!$D$24)*IFERROR(LOOKUP(Предпосылки!$J76,$C$13:$C$15,BE$13:BE$15),1)</f>
        <v>0</v>
      </c>
      <c s="125">
        <f>Предпосылки!$I76*Предпосылки!BN76*(1+Чувствительность!$D$24)*IFERROR(LOOKUP(Предпосылки!$J76,$C$13:$C$15,BF$13:BF$15),1)</f>
        <v>0</v>
      </c>
      <c s="125">
        <f>Предпосылки!$I76*Предпосылки!BO76*(1+Чувствительность!$D$24)*IFERROR(LOOKUP(Предпосылки!$J76,$C$13:$C$15,BG$13:BG$15),1)</f>
        <v>0</v>
      </c>
      <c s="125">
        <f>Предпосылки!$I76*Предпосылки!BP76*(1+Чувствительность!$D$24)*IFERROR(LOOKUP(Предпосылки!$J76,$C$13:$C$15,BH$13:BH$15),1)</f>
        <v>0</v>
      </c>
      <c s="125">
        <f>Предпосылки!$I76*Предпосылки!BQ76*(1+Чувствительность!$D$24)*IFERROR(LOOKUP(Предпосылки!$J76,$C$13:$C$15,BI$13:BI$15),1)</f>
        <v>0</v>
      </c>
      <c s="125">
        <f>Предпосылки!$I76*Предпосылки!BR76*(1+Чувствительность!$D$24)*IFERROR(LOOKUP(Предпосылки!$J76,$C$13:$C$15,BJ$13:BJ$15),1)</f>
        <v>0</v>
      </c>
      <c s="125">
        <f>Предпосылки!$I76*Предпосылки!BS76*(1+Чувствительность!$D$24)*IFERROR(LOOKUP(Предпосылки!$J76,$C$13:$C$15,BK$13:BK$15),1)</f>
        <v>0</v>
      </c>
      <c s="125">
        <f>Предпосылки!$I76*Предпосылки!BT76*(1+Чувствительность!$D$24)*IFERROR(LOOKUP(Предпосылки!$J76,$C$13:$C$15,BL$13:BL$15),1)</f>
        <v>0</v>
      </c>
      <c s="125">
        <f>Предпосылки!$I76*Предпосылки!BU76*(1+Чувствительность!$D$24)*IFERROR(LOOKUP(Предпосылки!$J76,$C$13:$C$15,BM$13:BM$15),1)</f>
        <v>0</v>
      </c>
    </row>
    <row r="62" spans="2:65" ht="15" customHeight="1">
      <c r="B62" s="12" t="str">
        <f t="shared" si="12" ref="B62:B100">B19</f>
        <v>-</v>
      </c>
      <c s="124" t="str">
        <f t="shared" si="11"/>
        <v>тыс. руб.</v>
      </c>
      <c s="276">
        <f t="shared" si="13" ref="D62:D100">SUM(E62:BM62)</f>
        <v>0</v>
      </c>
      <c s="125">
        <f>Предпосылки!$I77*Предпосылки!M77*(1+Чувствительность!$D$24)*IFERROR(LOOKUP(Предпосылки!$J77,$C$13:$C$15,E$13:E$15),1)</f>
        <v>0</v>
      </c>
      <c s="125">
        <f>Предпосылки!$I77*Предпосылки!N77*(1+Чувствительность!$D$24)*IFERROR(LOOKUP(Предпосылки!$J77,$C$13:$C$15,F$13:F$15),1)</f>
        <v>0</v>
      </c>
      <c s="125">
        <f>Предпосылки!$I77*Предпосылки!O77*(1+Чувствительность!$D$24)*IFERROR(LOOKUP(Предпосылки!$J77,$C$13:$C$15,G$13:G$15),1)</f>
        <v>0</v>
      </c>
      <c s="125">
        <f>Предпосылки!$I77*Предпосылки!P77*(1+Чувствительность!$D$24)*IFERROR(LOOKUP(Предпосылки!$J77,$C$13:$C$15,H$13:H$15),1)</f>
        <v>0</v>
      </c>
      <c s="125">
        <f>Предпосылки!$I77*Предпосылки!Q77*(1+Чувствительность!$D$24)*IFERROR(LOOKUP(Предпосылки!$J77,$C$13:$C$15,I$13:I$15),1)</f>
        <v>0</v>
      </c>
      <c s="125">
        <f>Предпосылки!$I77*Предпосылки!R77*(1+Чувствительность!$D$24)*IFERROR(LOOKUP(Предпосылки!$J77,$C$13:$C$15,J$13:J$15),1)</f>
        <v>0</v>
      </c>
      <c s="125">
        <f>Предпосылки!$I77*Предпосылки!S77*(1+Чувствительность!$D$24)*IFERROR(LOOKUP(Предпосылки!$J77,$C$13:$C$15,K$13:K$15),1)</f>
        <v>0</v>
      </c>
      <c s="125">
        <f>Предпосылки!$I77*Предпосылки!T77*(1+Чувствительность!$D$24)*IFERROR(LOOKUP(Предпосылки!$J77,$C$13:$C$15,L$13:L$15),1)</f>
        <v>0</v>
      </c>
      <c s="125">
        <f>Предпосылки!$I77*Предпосылки!U77*(1+Чувствительность!$D$24)*IFERROR(LOOKUP(Предпосылки!$J77,$C$13:$C$15,M$13:M$15),1)</f>
        <v>0</v>
      </c>
      <c s="125">
        <f>Предпосылки!$I77*Предпосылки!V77*(1+Чувствительность!$D$24)*IFERROR(LOOKUP(Предпосылки!$J77,$C$13:$C$15,N$13:N$15),1)</f>
        <v>0</v>
      </c>
      <c s="125">
        <f>Предпосылки!$I77*Предпосылки!W77*(1+Чувствительность!$D$24)*IFERROR(LOOKUP(Предпосылки!$J77,$C$13:$C$15,O$13:O$15),1)</f>
        <v>0</v>
      </c>
      <c s="125">
        <f>Предпосылки!$I77*Предпосылки!X77*(1+Чувствительность!$D$24)*IFERROR(LOOKUP(Предпосылки!$J77,$C$13:$C$15,P$13:P$15),1)</f>
        <v>0</v>
      </c>
      <c s="125">
        <f>Предпосылки!$I77*Предпосылки!Y77*(1+Чувствительность!$D$24)*IFERROR(LOOKUP(Предпосылки!$J77,$C$13:$C$15,Q$13:Q$15),1)</f>
        <v>0</v>
      </c>
      <c s="125">
        <f>Предпосылки!$I77*Предпосылки!Z77*(1+Чувствительность!$D$24)*IFERROR(LOOKUP(Предпосылки!$J77,$C$13:$C$15,R$13:R$15),1)</f>
        <v>0</v>
      </c>
      <c s="125">
        <f>Предпосылки!$I77*Предпосылки!AA77*(1+Чувствительность!$D$24)*IFERROR(LOOKUP(Предпосылки!$J77,$C$13:$C$15,S$13:S$15),1)</f>
        <v>0</v>
      </c>
      <c s="125">
        <f>Предпосылки!$I77*Предпосылки!AB77*(1+Чувствительность!$D$24)*IFERROR(LOOKUP(Предпосылки!$J77,$C$13:$C$15,T$13:T$15),1)</f>
        <v>0</v>
      </c>
      <c s="125">
        <f>Предпосылки!$I77*Предпосылки!AC77*(1+Чувствительность!$D$24)*IFERROR(LOOKUP(Предпосылки!$J77,$C$13:$C$15,U$13:U$15),1)</f>
        <v>0</v>
      </c>
      <c s="125">
        <f>Предпосылки!$I77*Предпосылки!AD77*(1+Чувствительность!$D$24)*IFERROR(LOOKUP(Предпосылки!$J77,$C$13:$C$15,V$13:V$15),1)</f>
        <v>0</v>
      </c>
      <c s="125">
        <f>Предпосылки!$I77*Предпосылки!AE77*(1+Чувствительность!$D$24)*IFERROR(LOOKUP(Предпосылки!$J77,$C$13:$C$15,W$13:W$15),1)</f>
        <v>0</v>
      </c>
      <c s="125">
        <f>Предпосылки!$I77*Предпосылки!AF77*(1+Чувствительность!$D$24)*IFERROR(LOOKUP(Предпосылки!$J77,$C$13:$C$15,X$13:X$15),1)</f>
        <v>0</v>
      </c>
      <c s="125">
        <f>Предпосылки!$I77*Предпосылки!AG77*(1+Чувствительность!$D$24)*IFERROR(LOOKUP(Предпосылки!$J77,$C$13:$C$15,Y$13:Y$15),1)</f>
        <v>0</v>
      </c>
      <c s="125">
        <f>Предпосылки!$I77*Предпосылки!AH77*(1+Чувствительность!$D$24)*IFERROR(LOOKUP(Предпосылки!$J77,$C$13:$C$15,Z$13:Z$15),1)</f>
        <v>0</v>
      </c>
      <c s="125">
        <f>Предпосылки!$I77*Предпосылки!AI77*(1+Чувствительность!$D$24)*IFERROR(LOOKUP(Предпосылки!$J77,$C$13:$C$15,AA$13:AA$15),1)</f>
        <v>0</v>
      </c>
      <c s="125">
        <f>Предпосылки!$I77*Предпосылки!AJ77*(1+Чувствительность!$D$24)*IFERROR(LOOKUP(Предпосылки!$J77,$C$13:$C$15,AB$13:AB$15),1)</f>
        <v>0</v>
      </c>
      <c s="125">
        <f>Предпосылки!$I77*Предпосылки!AK77*(1+Чувствительность!$D$24)*IFERROR(LOOKUP(Предпосылки!$J77,$C$13:$C$15,AC$13:AC$15),1)</f>
        <v>0</v>
      </c>
      <c s="125">
        <f>Предпосылки!$I77*Предпосылки!AL77*(1+Чувствительность!$D$24)*IFERROR(LOOKUP(Предпосылки!$J77,$C$13:$C$15,AD$13:AD$15),1)</f>
        <v>0</v>
      </c>
      <c s="125">
        <f>Предпосылки!$I77*Предпосылки!AM77*(1+Чувствительность!$D$24)*IFERROR(LOOKUP(Предпосылки!$J77,$C$13:$C$15,AE$13:AE$15),1)</f>
        <v>0</v>
      </c>
      <c s="125">
        <f>Предпосылки!$I77*Предпосылки!AN77*(1+Чувствительность!$D$24)*IFERROR(LOOKUP(Предпосылки!$J77,$C$13:$C$15,AF$13:AF$15),1)</f>
        <v>0</v>
      </c>
      <c s="125">
        <f>Предпосылки!$I77*Предпосылки!AO77*(1+Чувствительность!$D$24)*IFERROR(LOOKUP(Предпосылки!$J77,$C$13:$C$15,AG$13:AG$15),1)</f>
        <v>0</v>
      </c>
      <c s="125">
        <f>Предпосылки!$I77*Предпосылки!AP77*(1+Чувствительность!$D$24)*IFERROR(LOOKUP(Предпосылки!$J77,$C$13:$C$15,AH$13:AH$15),1)</f>
        <v>0</v>
      </c>
      <c s="125">
        <f>Предпосылки!$I77*Предпосылки!AQ77*(1+Чувствительность!$D$24)*IFERROR(LOOKUP(Предпосылки!$J77,$C$13:$C$15,AI$13:AI$15),1)</f>
        <v>0</v>
      </c>
      <c s="125">
        <f>Предпосылки!$I77*Предпосылки!AR77*(1+Чувствительность!$D$24)*IFERROR(LOOKUP(Предпосылки!$J77,$C$13:$C$15,AJ$13:AJ$15),1)</f>
        <v>0</v>
      </c>
      <c s="125">
        <f>Предпосылки!$I77*Предпосылки!AS77*(1+Чувствительность!$D$24)*IFERROR(LOOKUP(Предпосылки!$J77,$C$13:$C$15,AK$13:AK$15),1)</f>
        <v>0</v>
      </c>
      <c s="125">
        <f>Предпосылки!$I77*Предпосылки!AT77*(1+Чувствительность!$D$24)*IFERROR(LOOKUP(Предпосылки!$J77,$C$13:$C$15,AL$13:AL$15),1)</f>
        <v>0</v>
      </c>
      <c s="125">
        <f>Предпосылки!$I77*Предпосылки!AU77*(1+Чувствительность!$D$24)*IFERROR(LOOKUP(Предпосылки!$J77,$C$13:$C$15,AM$13:AM$15),1)</f>
        <v>0</v>
      </c>
      <c s="125">
        <f>Предпосылки!$I77*Предпосылки!AV77*(1+Чувствительность!$D$24)*IFERROR(LOOKUP(Предпосылки!$J77,$C$13:$C$15,AN$13:AN$15),1)</f>
        <v>0</v>
      </c>
      <c s="125">
        <f>Предпосылки!$I77*Предпосылки!AW77*(1+Чувствительность!$D$24)*IFERROR(LOOKUP(Предпосылки!$J77,$C$13:$C$15,AO$13:AO$15),1)</f>
        <v>0</v>
      </c>
      <c s="125">
        <f>Предпосылки!$I77*Предпосылки!AX77*(1+Чувствительность!$D$24)*IFERROR(LOOKUP(Предпосылки!$J77,$C$13:$C$15,AP$13:AP$15),1)</f>
        <v>0</v>
      </c>
      <c s="125">
        <f>Предпосылки!$I77*Предпосылки!AY77*(1+Чувствительность!$D$24)*IFERROR(LOOKUP(Предпосылки!$J77,$C$13:$C$15,AQ$13:AQ$15),1)</f>
        <v>0</v>
      </c>
      <c s="125">
        <f>Предпосылки!$I77*Предпосылки!AZ77*(1+Чувствительность!$D$24)*IFERROR(LOOKUP(Предпосылки!$J77,$C$13:$C$15,AR$13:AR$15),1)</f>
        <v>0</v>
      </c>
      <c s="125">
        <f>Предпосылки!$I77*Предпосылки!BA77*(1+Чувствительность!$D$24)*IFERROR(LOOKUP(Предпосылки!$J77,$C$13:$C$15,AS$13:AS$15),1)</f>
        <v>0</v>
      </c>
      <c s="125">
        <f>Предпосылки!$I77*Предпосылки!BB77*(1+Чувствительность!$D$24)*IFERROR(LOOKUP(Предпосылки!$J77,$C$13:$C$15,AT$13:AT$15),1)</f>
        <v>0</v>
      </c>
      <c s="125">
        <f>Предпосылки!$I77*Предпосылки!BC77*(1+Чувствительность!$D$24)*IFERROR(LOOKUP(Предпосылки!$J77,$C$13:$C$15,AU$13:AU$15),1)</f>
        <v>0</v>
      </c>
      <c s="125">
        <f>Предпосылки!$I77*Предпосылки!BD77*(1+Чувствительность!$D$24)*IFERROR(LOOKUP(Предпосылки!$J77,$C$13:$C$15,AV$13:AV$15),1)</f>
        <v>0</v>
      </c>
      <c s="125">
        <f>Предпосылки!$I77*Предпосылки!BE77*(1+Чувствительность!$D$24)*IFERROR(LOOKUP(Предпосылки!$J77,$C$13:$C$15,AW$13:AW$15),1)</f>
        <v>0</v>
      </c>
      <c s="125">
        <f>Предпосылки!$I77*Предпосылки!BF77*(1+Чувствительность!$D$24)*IFERROR(LOOKUP(Предпосылки!$J77,$C$13:$C$15,AX$13:AX$15),1)</f>
        <v>0</v>
      </c>
      <c s="125">
        <f>Предпосылки!$I77*Предпосылки!BG77*(1+Чувствительность!$D$24)*IFERROR(LOOKUP(Предпосылки!$J77,$C$13:$C$15,AY$13:AY$15),1)</f>
        <v>0</v>
      </c>
      <c s="125">
        <f>Предпосылки!$I77*Предпосылки!BH77*(1+Чувствительность!$D$24)*IFERROR(LOOKUP(Предпосылки!$J77,$C$13:$C$15,AZ$13:AZ$15),1)</f>
        <v>0</v>
      </c>
      <c s="125">
        <f>Предпосылки!$I77*Предпосылки!BI77*(1+Чувствительность!$D$24)*IFERROR(LOOKUP(Предпосылки!$J77,$C$13:$C$15,BA$13:BA$15),1)</f>
        <v>0</v>
      </c>
      <c s="125">
        <f>Предпосылки!$I77*Предпосылки!BJ77*(1+Чувствительность!$D$24)*IFERROR(LOOKUP(Предпосылки!$J77,$C$13:$C$15,BB$13:BB$15),1)</f>
        <v>0</v>
      </c>
      <c s="125">
        <f>Предпосылки!$I77*Предпосылки!BK77*(1+Чувствительность!$D$24)*IFERROR(LOOKUP(Предпосылки!$J77,$C$13:$C$15,BC$13:BC$15),1)</f>
        <v>0</v>
      </c>
      <c s="125">
        <f>Предпосылки!$I77*Предпосылки!BL77*(1+Чувствительность!$D$24)*IFERROR(LOOKUP(Предпосылки!$J77,$C$13:$C$15,BD$13:BD$15),1)</f>
        <v>0</v>
      </c>
      <c s="125">
        <f>Предпосылки!$I77*Предпосылки!BM77*(1+Чувствительность!$D$24)*IFERROR(LOOKUP(Предпосылки!$J77,$C$13:$C$15,BE$13:BE$15),1)</f>
        <v>0</v>
      </c>
      <c s="125">
        <f>Предпосылки!$I77*Предпосылки!BN77*(1+Чувствительность!$D$24)*IFERROR(LOOKUP(Предпосылки!$J77,$C$13:$C$15,BF$13:BF$15),1)</f>
        <v>0</v>
      </c>
      <c s="125">
        <f>Предпосылки!$I77*Предпосылки!BO77*(1+Чувствительность!$D$24)*IFERROR(LOOKUP(Предпосылки!$J77,$C$13:$C$15,BG$13:BG$15),1)</f>
        <v>0</v>
      </c>
      <c s="125">
        <f>Предпосылки!$I77*Предпосылки!BP77*(1+Чувствительность!$D$24)*IFERROR(LOOKUP(Предпосылки!$J77,$C$13:$C$15,BH$13:BH$15),1)</f>
        <v>0</v>
      </c>
      <c s="125">
        <f>Предпосылки!$I77*Предпосылки!BQ77*(1+Чувствительность!$D$24)*IFERROR(LOOKUP(Предпосылки!$J77,$C$13:$C$15,BI$13:BI$15),1)</f>
        <v>0</v>
      </c>
      <c s="125">
        <f>Предпосылки!$I77*Предпосылки!BR77*(1+Чувствительность!$D$24)*IFERROR(LOOKUP(Предпосылки!$J77,$C$13:$C$15,BJ$13:BJ$15),1)</f>
        <v>0</v>
      </c>
      <c s="125">
        <f>Предпосылки!$I77*Предпосылки!BS77*(1+Чувствительность!$D$24)*IFERROR(LOOKUP(Предпосылки!$J77,$C$13:$C$15,BK$13:BK$15),1)</f>
        <v>0</v>
      </c>
      <c s="125">
        <f>Предпосылки!$I77*Предпосылки!BT77*(1+Чувствительность!$D$24)*IFERROR(LOOKUP(Предпосылки!$J77,$C$13:$C$15,BL$13:BL$15),1)</f>
        <v>0</v>
      </c>
      <c s="125">
        <f>Предпосылки!$I77*Предпосылки!BU77*(1+Чувствительность!$D$24)*IFERROR(LOOKUP(Предпосылки!$J77,$C$13:$C$15,BM$13:BM$15),1)</f>
        <v>0</v>
      </c>
    </row>
    <row r="63" spans="2:65" ht="15" customHeight="1">
      <c r="B63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Предпосылки!$I78*Предпосылки!M78*(1+Чувствительность!$D$24)*IFERROR(LOOKUP(Предпосылки!$J78,$C$13:$C$15,E$13:E$15),1)</f>
        <v>0</v>
      </c>
      <c s="125">
        <f>Предпосылки!$I78*Предпосылки!N78*(1+Чувствительность!$D$24)*IFERROR(LOOKUP(Предпосылки!$J78,$C$13:$C$15,F$13:F$15),1)</f>
        <v>0</v>
      </c>
      <c s="125">
        <f>Предпосылки!$I78*Предпосылки!O78*(1+Чувствительность!$D$24)*IFERROR(LOOKUP(Предпосылки!$J78,$C$13:$C$15,G$13:G$15),1)</f>
        <v>0</v>
      </c>
      <c s="125">
        <f>Предпосылки!$I78*Предпосылки!P78*(1+Чувствительность!$D$24)*IFERROR(LOOKUP(Предпосылки!$J78,$C$13:$C$15,H$13:H$15),1)</f>
        <v>0</v>
      </c>
      <c s="125">
        <f>Предпосылки!$I78*Предпосылки!Q78*(1+Чувствительность!$D$24)*IFERROR(LOOKUP(Предпосылки!$J78,$C$13:$C$15,I$13:I$15),1)</f>
        <v>0</v>
      </c>
      <c s="125">
        <f>Предпосылки!$I78*Предпосылки!R78*(1+Чувствительность!$D$24)*IFERROR(LOOKUP(Предпосылки!$J78,$C$13:$C$15,J$13:J$15),1)</f>
        <v>0</v>
      </c>
      <c s="125">
        <f>Предпосылки!$I78*Предпосылки!S78*(1+Чувствительность!$D$24)*IFERROR(LOOKUP(Предпосылки!$J78,$C$13:$C$15,K$13:K$15),1)</f>
        <v>0</v>
      </c>
      <c s="125">
        <f>Предпосылки!$I78*Предпосылки!T78*(1+Чувствительность!$D$24)*IFERROR(LOOKUP(Предпосылки!$J78,$C$13:$C$15,L$13:L$15),1)</f>
        <v>0</v>
      </c>
      <c s="125">
        <f>Предпосылки!$I78*Предпосылки!U78*(1+Чувствительность!$D$24)*IFERROR(LOOKUP(Предпосылки!$J78,$C$13:$C$15,M$13:M$15),1)</f>
        <v>0</v>
      </c>
      <c s="125">
        <f>Предпосылки!$I78*Предпосылки!V78*(1+Чувствительность!$D$24)*IFERROR(LOOKUP(Предпосылки!$J78,$C$13:$C$15,N$13:N$15),1)</f>
        <v>0</v>
      </c>
      <c s="125">
        <f>Предпосылки!$I78*Предпосылки!W78*(1+Чувствительность!$D$24)*IFERROR(LOOKUP(Предпосылки!$J78,$C$13:$C$15,O$13:O$15),1)</f>
        <v>0</v>
      </c>
      <c s="125">
        <f>Предпосылки!$I78*Предпосылки!X78*(1+Чувствительность!$D$24)*IFERROR(LOOKUP(Предпосылки!$J78,$C$13:$C$15,P$13:P$15),1)</f>
        <v>0</v>
      </c>
      <c s="125">
        <f>Предпосылки!$I78*Предпосылки!Y78*(1+Чувствительность!$D$24)*IFERROR(LOOKUP(Предпосылки!$J78,$C$13:$C$15,Q$13:Q$15),1)</f>
        <v>0</v>
      </c>
      <c s="125">
        <f>Предпосылки!$I78*Предпосылки!Z78*(1+Чувствительность!$D$24)*IFERROR(LOOKUP(Предпосылки!$J78,$C$13:$C$15,R$13:R$15),1)</f>
        <v>0</v>
      </c>
      <c s="125">
        <f>Предпосылки!$I78*Предпосылки!AA78*(1+Чувствительность!$D$24)*IFERROR(LOOKUP(Предпосылки!$J78,$C$13:$C$15,S$13:S$15),1)</f>
        <v>0</v>
      </c>
      <c s="125">
        <f>Предпосылки!$I78*Предпосылки!AB78*(1+Чувствительность!$D$24)*IFERROR(LOOKUP(Предпосылки!$J78,$C$13:$C$15,T$13:T$15),1)</f>
        <v>0</v>
      </c>
      <c s="125">
        <f>Предпосылки!$I78*Предпосылки!AC78*(1+Чувствительность!$D$24)*IFERROR(LOOKUP(Предпосылки!$J78,$C$13:$C$15,U$13:U$15),1)</f>
        <v>0</v>
      </c>
      <c s="125">
        <f>Предпосылки!$I78*Предпосылки!AD78*(1+Чувствительность!$D$24)*IFERROR(LOOKUP(Предпосылки!$J78,$C$13:$C$15,V$13:V$15),1)</f>
        <v>0</v>
      </c>
      <c s="125">
        <f>Предпосылки!$I78*Предпосылки!AE78*(1+Чувствительность!$D$24)*IFERROR(LOOKUP(Предпосылки!$J78,$C$13:$C$15,W$13:W$15),1)</f>
        <v>0</v>
      </c>
      <c s="125">
        <f>Предпосылки!$I78*Предпосылки!AF78*(1+Чувствительность!$D$24)*IFERROR(LOOKUP(Предпосылки!$J78,$C$13:$C$15,X$13:X$15),1)</f>
        <v>0</v>
      </c>
      <c s="125">
        <f>Предпосылки!$I78*Предпосылки!AG78*(1+Чувствительность!$D$24)*IFERROR(LOOKUP(Предпосылки!$J78,$C$13:$C$15,Y$13:Y$15),1)</f>
        <v>0</v>
      </c>
      <c s="125">
        <f>Предпосылки!$I78*Предпосылки!AH78*(1+Чувствительность!$D$24)*IFERROR(LOOKUP(Предпосылки!$J78,$C$13:$C$15,Z$13:Z$15),1)</f>
        <v>0</v>
      </c>
      <c s="125">
        <f>Предпосылки!$I78*Предпосылки!AI78*(1+Чувствительность!$D$24)*IFERROR(LOOKUP(Предпосылки!$J78,$C$13:$C$15,AA$13:AA$15),1)</f>
        <v>0</v>
      </c>
      <c s="125">
        <f>Предпосылки!$I78*Предпосылки!AJ78*(1+Чувствительность!$D$24)*IFERROR(LOOKUP(Предпосылки!$J78,$C$13:$C$15,AB$13:AB$15),1)</f>
        <v>0</v>
      </c>
      <c s="125">
        <f>Предпосылки!$I78*Предпосылки!AK78*(1+Чувствительность!$D$24)*IFERROR(LOOKUP(Предпосылки!$J78,$C$13:$C$15,AC$13:AC$15),1)</f>
        <v>0</v>
      </c>
      <c s="125">
        <f>Предпосылки!$I78*Предпосылки!AL78*(1+Чувствительность!$D$24)*IFERROR(LOOKUP(Предпосылки!$J78,$C$13:$C$15,AD$13:AD$15),1)</f>
        <v>0</v>
      </c>
      <c s="125">
        <f>Предпосылки!$I78*Предпосылки!AM78*(1+Чувствительность!$D$24)*IFERROR(LOOKUP(Предпосылки!$J78,$C$13:$C$15,AE$13:AE$15),1)</f>
        <v>0</v>
      </c>
      <c s="125">
        <f>Предпосылки!$I78*Предпосылки!AN78*(1+Чувствительность!$D$24)*IFERROR(LOOKUP(Предпосылки!$J78,$C$13:$C$15,AF$13:AF$15),1)</f>
        <v>0</v>
      </c>
      <c s="125">
        <f>Предпосылки!$I78*Предпосылки!AO78*(1+Чувствительность!$D$24)*IFERROR(LOOKUP(Предпосылки!$J78,$C$13:$C$15,AG$13:AG$15),1)</f>
        <v>0</v>
      </c>
      <c s="125">
        <f>Предпосылки!$I78*Предпосылки!AP78*(1+Чувствительность!$D$24)*IFERROR(LOOKUP(Предпосылки!$J78,$C$13:$C$15,AH$13:AH$15),1)</f>
        <v>0</v>
      </c>
      <c s="125">
        <f>Предпосылки!$I78*Предпосылки!AQ78*(1+Чувствительность!$D$24)*IFERROR(LOOKUP(Предпосылки!$J78,$C$13:$C$15,AI$13:AI$15),1)</f>
        <v>0</v>
      </c>
      <c s="125">
        <f>Предпосылки!$I78*Предпосылки!AR78*(1+Чувствительность!$D$24)*IFERROR(LOOKUP(Предпосылки!$J78,$C$13:$C$15,AJ$13:AJ$15),1)</f>
        <v>0</v>
      </c>
      <c s="125">
        <f>Предпосылки!$I78*Предпосылки!AS78*(1+Чувствительность!$D$24)*IFERROR(LOOKUP(Предпосылки!$J78,$C$13:$C$15,AK$13:AK$15),1)</f>
        <v>0</v>
      </c>
      <c s="125">
        <f>Предпосылки!$I78*Предпосылки!AT78*(1+Чувствительность!$D$24)*IFERROR(LOOKUP(Предпосылки!$J78,$C$13:$C$15,AL$13:AL$15),1)</f>
        <v>0</v>
      </c>
      <c s="125">
        <f>Предпосылки!$I78*Предпосылки!AU78*(1+Чувствительность!$D$24)*IFERROR(LOOKUP(Предпосылки!$J78,$C$13:$C$15,AM$13:AM$15),1)</f>
        <v>0</v>
      </c>
      <c s="125">
        <f>Предпосылки!$I78*Предпосылки!AV78*(1+Чувствительность!$D$24)*IFERROR(LOOKUP(Предпосылки!$J78,$C$13:$C$15,AN$13:AN$15),1)</f>
        <v>0</v>
      </c>
      <c s="125">
        <f>Предпосылки!$I78*Предпосылки!AW78*(1+Чувствительность!$D$24)*IFERROR(LOOKUP(Предпосылки!$J78,$C$13:$C$15,AO$13:AO$15),1)</f>
        <v>0</v>
      </c>
      <c s="125">
        <f>Предпосылки!$I78*Предпосылки!AX78*(1+Чувствительность!$D$24)*IFERROR(LOOKUP(Предпосылки!$J78,$C$13:$C$15,AP$13:AP$15),1)</f>
        <v>0</v>
      </c>
      <c s="125">
        <f>Предпосылки!$I78*Предпосылки!AY78*(1+Чувствительность!$D$24)*IFERROR(LOOKUP(Предпосылки!$J78,$C$13:$C$15,AQ$13:AQ$15),1)</f>
        <v>0</v>
      </c>
      <c s="125">
        <f>Предпосылки!$I78*Предпосылки!AZ78*(1+Чувствительность!$D$24)*IFERROR(LOOKUP(Предпосылки!$J78,$C$13:$C$15,AR$13:AR$15),1)</f>
        <v>0</v>
      </c>
      <c s="125">
        <f>Предпосылки!$I78*Предпосылки!BA78*(1+Чувствительность!$D$24)*IFERROR(LOOKUP(Предпосылки!$J78,$C$13:$C$15,AS$13:AS$15),1)</f>
        <v>0</v>
      </c>
      <c s="125">
        <f>Предпосылки!$I78*Предпосылки!BB78*(1+Чувствительность!$D$24)*IFERROR(LOOKUP(Предпосылки!$J78,$C$13:$C$15,AT$13:AT$15),1)</f>
        <v>0</v>
      </c>
      <c s="125">
        <f>Предпосылки!$I78*Предпосылки!BC78*(1+Чувствительность!$D$24)*IFERROR(LOOKUP(Предпосылки!$J78,$C$13:$C$15,AU$13:AU$15),1)</f>
        <v>0</v>
      </c>
      <c s="125">
        <f>Предпосылки!$I78*Предпосылки!BD78*(1+Чувствительность!$D$24)*IFERROR(LOOKUP(Предпосылки!$J78,$C$13:$C$15,AV$13:AV$15),1)</f>
        <v>0</v>
      </c>
      <c s="125">
        <f>Предпосылки!$I78*Предпосылки!BE78*(1+Чувствительность!$D$24)*IFERROR(LOOKUP(Предпосылки!$J78,$C$13:$C$15,AW$13:AW$15),1)</f>
        <v>0</v>
      </c>
      <c s="125">
        <f>Предпосылки!$I78*Предпосылки!BF78*(1+Чувствительность!$D$24)*IFERROR(LOOKUP(Предпосылки!$J78,$C$13:$C$15,AX$13:AX$15),1)</f>
        <v>0</v>
      </c>
      <c s="125">
        <f>Предпосылки!$I78*Предпосылки!BG78*(1+Чувствительность!$D$24)*IFERROR(LOOKUP(Предпосылки!$J78,$C$13:$C$15,AY$13:AY$15),1)</f>
        <v>0</v>
      </c>
      <c s="125">
        <f>Предпосылки!$I78*Предпосылки!BH78*(1+Чувствительность!$D$24)*IFERROR(LOOKUP(Предпосылки!$J78,$C$13:$C$15,AZ$13:AZ$15),1)</f>
        <v>0</v>
      </c>
      <c s="125">
        <f>Предпосылки!$I78*Предпосылки!BI78*(1+Чувствительность!$D$24)*IFERROR(LOOKUP(Предпосылки!$J78,$C$13:$C$15,BA$13:BA$15),1)</f>
        <v>0</v>
      </c>
      <c s="125">
        <f>Предпосылки!$I78*Предпосылки!BJ78*(1+Чувствительность!$D$24)*IFERROR(LOOKUP(Предпосылки!$J78,$C$13:$C$15,BB$13:BB$15),1)</f>
        <v>0</v>
      </c>
      <c s="125">
        <f>Предпосылки!$I78*Предпосылки!BK78*(1+Чувствительность!$D$24)*IFERROR(LOOKUP(Предпосылки!$J78,$C$13:$C$15,BC$13:BC$15),1)</f>
        <v>0</v>
      </c>
      <c s="125">
        <f>Предпосылки!$I78*Предпосылки!BL78*(1+Чувствительность!$D$24)*IFERROR(LOOKUP(Предпосылки!$J78,$C$13:$C$15,BD$13:BD$15),1)</f>
        <v>0</v>
      </c>
      <c s="125">
        <f>Предпосылки!$I78*Предпосылки!BM78*(1+Чувствительность!$D$24)*IFERROR(LOOKUP(Предпосылки!$J78,$C$13:$C$15,BE$13:BE$15),1)</f>
        <v>0</v>
      </c>
      <c s="125">
        <f>Предпосылки!$I78*Предпосылки!BN78*(1+Чувствительность!$D$24)*IFERROR(LOOKUP(Предпосылки!$J78,$C$13:$C$15,BF$13:BF$15),1)</f>
        <v>0</v>
      </c>
      <c s="125">
        <f>Предпосылки!$I78*Предпосылки!BO78*(1+Чувствительность!$D$24)*IFERROR(LOOKUP(Предпосылки!$J78,$C$13:$C$15,BG$13:BG$15),1)</f>
        <v>0</v>
      </c>
      <c s="125">
        <f>Предпосылки!$I78*Предпосылки!BP78*(1+Чувствительность!$D$24)*IFERROR(LOOKUP(Предпосылки!$J78,$C$13:$C$15,BH$13:BH$15),1)</f>
        <v>0</v>
      </c>
      <c s="125">
        <f>Предпосылки!$I78*Предпосылки!BQ78*(1+Чувствительность!$D$24)*IFERROR(LOOKUP(Предпосылки!$J78,$C$13:$C$15,BI$13:BI$15),1)</f>
        <v>0</v>
      </c>
      <c s="125">
        <f>Предпосылки!$I78*Предпосылки!BR78*(1+Чувствительность!$D$24)*IFERROR(LOOKUP(Предпосылки!$J78,$C$13:$C$15,BJ$13:BJ$15),1)</f>
        <v>0</v>
      </c>
      <c s="125">
        <f>Предпосылки!$I78*Предпосылки!BS78*(1+Чувствительность!$D$24)*IFERROR(LOOKUP(Предпосылки!$J78,$C$13:$C$15,BK$13:BK$15),1)</f>
        <v>0</v>
      </c>
      <c s="125">
        <f>Предпосылки!$I78*Предпосылки!BT78*(1+Чувствительность!$D$24)*IFERROR(LOOKUP(Предпосылки!$J78,$C$13:$C$15,BL$13:BL$15),1)</f>
        <v>0</v>
      </c>
      <c s="125">
        <f>Предпосылки!$I78*Предпосылки!BU78*(1+Чувствительность!$D$24)*IFERROR(LOOKUP(Предпосылки!$J78,$C$13:$C$15,BM$13:BM$15),1)</f>
        <v>0</v>
      </c>
    </row>
    <row r="64" spans="2:65" ht="15" customHeight="1">
      <c r="B64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Предпосылки!$I79*Предпосылки!M79*(1+Чувствительность!$D$24)*IFERROR(LOOKUP(Предпосылки!$J79,$C$13:$C$15,E$13:E$15),1)</f>
        <v>0</v>
      </c>
      <c s="125">
        <f>Предпосылки!$I79*Предпосылки!N79*(1+Чувствительность!$D$24)*IFERROR(LOOKUP(Предпосылки!$J79,$C$13:$C$15,F$13:F$15),1)</f>
        <v>0</v>
      </c>
      <c s="125">
        <f>Предпосылки!$I79*Предпосылки!O79*(1+Чувствительность!$D$24)*IFERROR(LOOKUP(Предпосылки!$J79,$C$13:$C$15,G$13:G$15),1)</f>
        <v>0</v>
      </c>
      <c s="125">
        <f>Предпосылки!$I79*Предпосылки!P79*(1+Чувствительность!$D$24)*IFERROR(LOOKUP(Предпосылки!$J79,$C$13:$C$15,H$13:H$15),1)</f>
        <v>0</v>
      </c>
      <c s="125">
        <f>Предпосылки!$I79*Предпосылки!Q79*(1+Чувствительность!$D$24)*IFERROR(LOOKUP(Предпосылки!$J79,$C$13:$C$15,I$13:I$15),1)</f>
        <v>0</v>
      </c>
      <c s="125">
        <f>Предпосылки!$I79*Предпосылки!R79*(1+Чувствительность!$D$24)*IFERROR(LOOKUP(Предпосылки!$J79,$C$13:$C$15,J$13:J$15),1)</f>
        <v>0</v>
      </c>
      <c s="125">
        <f>Предпосылки!$I79*Предпосылки!S79*(1+Чувствительность!$D$24)*IFERROR(LOOKUP(Предпосылки!$J79,$C$13:$C$15,K$13:K$15),1)</f>
        <v>0</v>
      </c>
      <c s="125">
        <f>Предпосылки!$I79*Предпосылки!T79*(1+Чувствительность!$D$24)*IFERROR(LOOKUP(Предпосылки!$J79,$C$13:$C$15,L$13:L$15),1)</f>
        <v>0</v>
      </c>
      <c s="125">
        <f>Предпосылки!$I79*Предпосылки!U79*(1+Чувствительность!$D$24)*IFERROR(LOOKUP(Предпосылки!$J79,$C$13:$C$15,M$13:M$15),1)</f>
        <v>0</v>
      </c>
      <c s="125">
        <f>Предпосылки!$I79*Предпосылки!V79*(1+Чувствительность!$D$24)*IFERROR(LOOKUP(Предпосылки!$J79,$C$13:$C$15,N$13:N$15),1)</f>
        <v>0</v>
      </c>
      <c s="125">
        <f>Предпосылки!$I79*Предпосылки!W79*(1+Чувствительность!$D$24)*IFERROR(LOOKUP(Предпосылки!$J79,$C$13:$C$15,O$13:O$15),1)</f>
        <v>0</v>
      </c>
      <c s="125">
        <f>Предпосылки!$I79*Предпосылки!X79*(1+Чувствительность!$D$24)*IFERROR(LOOKUP(Предпосылки!$J79,$C$13:$C$15,P$13:P$15),1)</f>
        <v>0</v>
      </c>
      <c s="125">
        <f>Предпосылки!$I79*Предпосылки!Y79*(1+Чувствительность!$D$24)*IFERROR(LOOKUP(Предпосылки!$J79,$C$13:$C$15,Q$13:Q$15),1)</f>
        <v>0</v>
      </c>
      <c s="125">
        <f>Предпосылки!$I79*Предпосылки!Z79*(1+Чувствительность!$D$24)*IFERROR(LOOKUP(Предпосылки!$J79,$C$13:$C$15,R$13:R$15),1)</f>
        <v>0</v>
      </c>
      <c s="125">
        <f>Предпосылки!$I79*Предпосылки!AA79*(1+Чувствительность!$D$24)*IFERROR(LOOKUP(Предпосылки!$J79,$C$13:$C$15,S$13:S$15),1)</f>
        <v>0</v>
      </c>
      <c s="125">
        <f>Предпосылки!$I79*Предпосылки!AB79*(1+Чувствительность!$D$24)*IFERROR(LOOKUP(Предпосылки!$J79,$C$13:$C$15,T$13:T$15),1)</f>
        <v>0</v>
      </c>
      <c s="125">
        <f>Предпосылки!$I79*Предпосылки!AC79*(1+Чувствительность!$D$24)*IFERROR(LOOKUP(Предпосылки!$J79,$C$13:$C$15,U$13:U$15),1)</f>
        <v>0</v>
      </c>
      <c s="125">
        <f>Предпосылки!$I79*Предпосылки!AD79*(1+Чувствительность!$D$24)*IFERROR(LOOKUP(Предпосылки!$J79,$C$13:$C$15,V$13:V$15),1)</f>
        <v>0</v>
      </c>
      <c s="125">
        <f>Предпосылки!$I79*Предпосылки!AE79*(1+Чувствительность!$D$24)*IFERROR(LOOKUP(Предпосылки!$J79,$C$13:$C$15,W$13:W$15),1)</f>
        <v>0</v>
      </c>
      <c s="125">
        <f>Предпосылки!$I79*Предпосылки!AF79*(1+Чувствительность!$D$24)*IFERROR(LOOKUP(Предпосылки!$J79,$C$13:$C$15,X$13:X$15),1)</f>
        <v>0</v>
      </c>
      <c s="125">
        <f>Предпосылки!$I79*Предпосылки!AG79*(1+Чувствительность!$D$24)*IFERROR(LOOKUP(Предпосылки!$J79,$C$13:$C$15,Y$13:Y$15),1)</f>
        <v>0</v>
      </c>
      <c s="125">
        <f>Предпосылки!$I79*Предпосылки!AH79*(1+Чувствительность!$D$24)*IFERROR(LOOKUP(Предпосылки!$J79,$C$13:$C$15,Z$13:Z$15),1)</f>
        <v>0</v>
      </c>
      <c s="125">
        <f>Предпосылки!$I79*Предпосылки!AI79*(1+Чувствительность!$D$24)*IFERROR(LOOKUP(Предпосылки!$J79,$C$13:$C$15,AA$13:AA$15),1)</f>
        <v>0</v>
      </c>
      <c s="125">
        <f>Предпосылки!$I79*Предпосылки!AJ79*(1+Чувствительность!$D$24)*IFERROR(LOOKUP(Предпосылки!$J79,$C$13:$C$15,AB$13:AB$15),1)</f>
        <v>0</v>
      </c>
      <c s="125">
        <f>Предпосылки!$I79*Предпосылки!AK79*(1+Чувствительность!$D$24)*IFERROR(LOOKUP(Предпосылки!$J79,$C$13:$C$15,AC$13:AC$15),1)</f>
        <v>0</v>
      </c>
      <c s="125">
        <f>Предпосылки!$I79*Предпосылки!AL79*(1+Чувствительность!$D$24)*IFERROR(LOOKUP(Предпосылки!$J79,$C$13:$C$15,AD$13:AD$15),1)</f>
        <v>0</v>
      </c>
      <c s="125">
        <f>Предпосылки!$I79*Предпосылки!AM79*(1+Чувствительность!$D$24)*IFERROR(LOOKUP(Предпосылки!$J79,$C$13:$C$15,AE$13:AE$15),1)</f>
        <v>0</v>
      </c>
      <c s="125">
        <f>Предпосылки!$I79*Предпосылки!AN79*(1+Чувствительность!$D$24)*IFERROR(LOOKUP(Предпосылки!$J79,$C$13:$C$15,AF$13:AF$15),1)</f>
        <v>0</v>
      </c>
      <c s="125">
        <f>Предпосылки!$I79*Предпосылки!AO79*(1+Чувствительность!$D$24)*IFERROR(LOOKUP(Предпосылки!$J79,$C$13:$C$15,AG$13:AG$15),1)</f>
        <v>0</v>
      </c>
      <c s="125">
        <f>Предпосылки!$I79*Предпосылки!AP79*(1+Чувствительность!$D$24)*IFERROR(LOOKUP(Предпосылки!$J79,$C$13:$C$15,AH$13:AH$15),1)</f>
        <v>0</v>
      </c>
      <c s="125">
        <f>Предпосылки!$I79*Предпосылки!AQ79*(1+Чувствительность!$D$24)*IFERROR(LOOKUP(Предпосылки!$J79,$C$13:$C$15,AI$13:AI$15),1)</f>
        <v>0</v>
      </c>
      <c s="125">
        <f>Предпосылки!$I79*Предпосылки!AR79*(1+Чувствительность!$D$24)*IFERROR(LOOKUP(Предпосылки!$J79,$C$13:$C$15,AJ$13:AJ$15),1)</f>
        <v>0</v>
      </c>
      <c s="125">
        <f>Предпосылки!$I79*Предпосылки!AS79*(1+Чувствительность!$D$24)*IFERROR(LOOKUP(Предпосылки!$J79,$C$13:$C$15,AK$13:AK$15),1)</f>
        <v>0</v>
      </c>
      <c s="125">
        <f>Предпосылки!$I79*Предпосылки!AT79*(1+Чувствительность!$D$24)*IFERROR(LOOKUP(Предпосылки!$J79,$C$13:$C$15,AL$13:AL$15),1)</f>
        <v>0</v>
      </c>
      <c s="125">
        <f>Предпосылки!$I79*Предпосылки!AU79*(1+Чувствительность!$D$24)*IFERROR(LOOKUP(Предпосылки!$J79,$C$13:$C$15,AM$13:AM$15),1)</f>
        <v>0</v>
      </c>
      <c s="125">
        <f>Предпосылки!$I79*Предпосылки!AV79*(1+Чувствительность!$D$24)*IFERROR(LOOKUP(Предпосылки!$J79,$C$13:$C$15,AN$13:AN$15),1)</f>
        <v>0</v>
      </c>
      <c s="125">
        <f>Предпосылки!$I79*Предпосылки!AW79*(1+Чувствительность!$D$24)*IFERROR(LOOKUP(Предпосылки!$J79,$C$13:$C$15,AO$13:AO$15),1)</f>
        <v>0</v>
      </c>
      <c s="125">
        <f>Предпосылки!$I79*Предпосылки!AX79*(1+Чувствительность!$D$24)*IFERROR(LOOKUP(Предпосылки!$J79,$C$13:$C$15,AP$13:AP$15),1)</f>
        <v>0</v>
      </c>
      <c s="125">
        <f>Предпосылки!$I79*Предпосылки!AY79*(1+Чувствительность!$D$24)*IFERROR(LOOKUP(Предпосылки!$J79,$C$13:$C$15,AQ$13:AQ$15),1)</f>
        <v>0</v>
      </c>
      <c s="125">
        <f>Предпосылки!$I79*Предпосылки!AZ79*(1+Чувствительность!$D$24)*IFERROR(LOOKUP(Предпосылки!$J79,$C$13:$C$15,AR$13:AR$15),1)</f>
        <v>0</v>
      </c>
      <c s="125">
        <f>Предпосылки!$I79*Предпосылки!BA79*(1+Чувствительность!$D$24)*IFERROR(LOOKUP(Предпосылки!$J79,$C$13:$C$15,AS$13:AS$15),1)</f>
        <v>0</v>
      </c>
      <c s="125">
        <f>Предпосылки!$I79*Предпосылки!BB79*(1+Чувствительность!$D$24)*IFERROR(LOOKUP(Предпосылки!$J79,$C$13:$C$15,AT$13:AT$15),1)</f>
        <v>0</v>
      </c>
      <c s="125">
        <f>Предпосылки!$I79*Предпосылки!BC79*(1+Чувствительность!$D$24)*IFERROR(LOOKUP(Предпосылки!$J79,$C$13:$C$15,AU$13:AU$15),1)</f>
        <v>0</v>
      </c>
      <c s="125">
        <f>Предпосылки!$I79*Предпосылки!BD79*(1+Чувствительность!$D$24)*IFERROR(LOOKUP(Предпосылки!$J79,$C$13:$C$15,AV$13:AV$15),1)</f>
        <v>0</v>
      </c>
      <c s="125">
        <f>Предпосылки!$I79*Предпосылки!BE79*(1+Чувствительность!$D$24)*IFERROR(LOOKUP(Предпосылки!$J79,$C$13:$C$15,AW$13:AW$15),1)</f>
        <v>0</v>
      </c>
      <c s="125">
        <f>Предпосылки!$I79*Предпосылки!BF79*(1+Чувствительность!$D$24)*IFERROR(LOOKUP(Предпосылки!$J79,$C$13:$C$15,AX$13:AX$15),1)</f>
        <v>0</v>
      </c>
      <c s="125">
        <f>Предпосылки!$I79*Предпосылки!BG79*(1+Чувствительность!$D$24)*IFERROR(LOOKUP(Предпосылки!$J79,$C$13:$C$15,AY$13:AY$15),1)</f>
        <v>0</v>
      </c>
      <c s="125">
        <f>Предпосылки!$I79*Предпосылки!BH79*(1+Чувствительность!$D$24)*IFERROR(LOOKUP(Предпосылки!$J79,$C$13:$C$15,AZ$13:AZ$15),1)</f>
        <v>0</v>
      </c>
      <c s="125">
        <f>Предпосылки!$I79*Предпосылки!BI79*(1+Чувствительность!$D$24)*IFERROR(LOOKUP(Предпосылки!$J79,$C$13:$C$15,BA$13:BA$15),1)</f>
        <v>0</v>
      </c>
      <c s="125">
        <f>Предпосылки!$I79*Предпосылки!BJ79*(1+Чувствительность!$D$24)*IFERROR(LOOKUP(Предпосылки!$J79,$C$13:$C$15,BB$13:BB$15),1)</f>
        <v>0</v>
      </c>
      <c s="125">
        <f>Предпосылки!$I79*Предпосылки!BK79*(1+Чувствительность!$D$24)*IFERROR(LOOKUP(Предпосылки!$J79,$C$13:$C$15,BC$13:BC$15),1)</f>
        <v>0</v>
      </c>
      <c s="125">
        <f>Предпосылки!$I79*Предпосылки!BL79*(1+Чувствительность!$D$24)*IFERROR(LOOKUP(Предпосылки!$J79,$C$13:$C$15,BD$13:BD$15),1)</f>
        <v>0</v>
      </c>
      <c s="125">
        <f>Предпосылки!$I79*Предпосылки!BM79*(1+Чувствительность!$D$24)*IFERROR(LOOKUP(Предпосылки!$J79,$C$13:$C$15,BE$13:BE$15),1)</f>
        <v>0</v>
      </c>
      <c s="125">
        <f>Предпосылки!$I79*Предпосылки!BN79*(1+Чувствительность!$D$24)*IFERROR(LOOKUP(Предпосылки!$J79,$C$13:$C$15,BF$13:BF$15),1)</f>
        <v>0</v>
      </c>
      <c s="125">
        <f>Предпосылки!$I79*Предпосылки!BO79*(1+Чувствительность!$D$24)*IFERROR(LOOKUP(Предпосылки!$J79,$C$13:$C$15,BG$13:BG$15),1)</f>
        <v>0</v>
      </c>
      <c s="125">
        <f>Предпосылки!$I79*Предпосылки!BP79*(1+Чувствительность!$D$24)*IFERROR(LOOKUP(Предпосылки!$J79,$C$13:$C$15,BH$13:BH$15),1)</f>
        <v>0</v>
      </c>
      <c s="125">
        <f>Предпосылки!$I79*Предпосылки!BQ79*(1+Чувствительность!$D$24)*IFERROR(LOOKUP(Предпосылки!$J79,$C$13:$C$15,BI$13:BI$15),1)</f>
        <v>0</v>
      </c>
      <c s="125">
        <f>Предпосылки!$I79*Предпосылки!BR79*(1+Чувствительность!$D$24)*IFERROR(LOOKUP(Предпосылки!$J79,$C$13:$C$15,BJ$13:BJ$15),1)</f>
        <v>0</v>
      </c>
      <c s="125">
        <f>Предпосылки!$I79*Предпосылки!BS79*(1+Чувствительность!$D$24)*IFERROR(LOOKUP(Предпосылки!$J79,$C$13:$C$15,BK$13:BK$15),1)</f>
        <v>0</v>
      </c>
      <c s="125">
        <f>Предпосылки!$I79*Предпосылки!BT79*(1+Чувствительность!$D$24)*IFERROR(LOOKUP(Предпосылки!$J79,$C$13:$C$15,BL$13:BL$15),1)</f>
        <v>0</v>
      </c>
      <c s="125">
        <f>Предпосылки!$I79*Предпосылки!BU79*(1+Чувствительность!$D$24)*IFERROR(LOOKUP(Предпосылки!$J79,$C$13:$C$15,BM$13:BM$15),1)</f>
        <v>0</v>
      </c>
    </row>
    <row r="65" spans="2:65" ht="15" customHeight="1">
      <c r="B65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Предпосылки!$I80*Предпосылки!M80*(1+Чувствительность!$D$24)*IFERROR(LOOKUP(Предпосылки!$J80,$C$13:$C$15,E$13:E$15),1)</f>
        <v>0</v>
      </c>
      <c s="125">
        <f>Предпосылки!$I80*Предпосылки!N80*(1+Чувствительность!$D$24)*IFERROR(LOOKUP(Предпосылки!$J80,$C$13:$C$15,F$13:F$15),1)</f>
        <v>0</v>
      </c>
      <c s="125">
        <f>Предпосылки!$I80*Предпосылки!O80*(1+Чувствительность!$D$24)*IFERROR(LOOKUP(Предпосылки!$J80,$C$13:$C$15,G$13:G$15),1)</f>
        <v>0</v>
      </c>
      <c s="125">
        <f>Предпосылки!$I80*Предпосылки!P80*(1+Чувствительность!$D$24)*IFERROR(LOOKUP(Предпосылки!$J80,$C$13:$C$15,H$13:H$15),1)</f>
        <v>0</v>
      </c>
      <c s="125">
        <f>Предпосылки!$I80*Предпосылки!Q80*(1+Чувствительность!$D$24)*IFERROR(LOOKUP(Предпосылки!$J80,$C$13:$C$15,I$13:I$15),1)</f>
        <v>0</v>
      </c>
      <c s="125">
        <f>Предпосылки!$I80*Предпосылки!R80*(1+Чувствительность!$D$24)*IFERROR(LOOKUP(Предпосылки!$J80,$C$13:$C$15,J$13:J$15),1)</f>
        <v>0</v>
      </c>
      <c s="125">
        <f>Предпосылки!$I80*Предпосылки!S80*(1+Чувствительность!$D$24)*IFERROR(LOOKUP(Предпосылки!$J80,$C$13:$C$15,K$13:K$15),1)</f>
        <v>0</v>
      </c>
      <c s="125">
        <f>Предпосылки!$I80*Предпосылки!T80*(1+Чувствительность!$D$24)*IFERROR(LOOKUP(Предпосылки!$J80,$C$13:$C$15,L$13:L$15),1)</f>
        <v>0</v>
      </c>
      <c s="125">
        <f>Предпосылки!$I80*Предпосылки!U80*(1+Чувствительность!$D$24)*IFERROR(LOOKUP(Предпосылки!$J80,$C$13:$C$15,M$13:M$15),1)</f>
        <v>0</v>
      </c>
      <c s="125">
        <f>Предпосылки!$I80*Предпосылки!V80*(1+Чувствительность!$D$24)*IFERROR(LOOKUP(Предпосылки!$J80,$C$13:$C$15,N$13:N$15),1)</f>
        <v>0</v>
      </c>
      <c s="125">
        <f>Предпосылки!$I80*Предпосылки!W80*(1+Чувствительность!$D$24)*IFERROR(LOOKUP(Предпосылки!$J80,$C$13:$C$15,O$13:O$15),1)</f>
        <v>0</v>
      </c>
      <c s="125">
        <f>Предпосылки!$I80*Предпосылки!X80*(1+Чувствительность!$D$24)*IFERROR(LOOKUP(Предпосылки!$J80,$C$13:$C$15,P$13:P$15),1)</f>
        <v>0</v>
      </c>
      <c s="125">
        <f>Предпосылки!$I80*Предпосылки!Y80*(1+Чувствительность!$D$24)*IFERROR(LOOKUP(Предпосылки!$J80,$C$13:$C$15,Q$13:Q$15),1)</f>
        <v>0</v>
      </c>
      <c s="125">
        <f>Предпосылки!$I80*Предпосылки!Z80*(1+Чувствительность!$D$24)*IFERROR(LOOKUP(Предпосылки!$J80,$C$13:$C$15,R$13:R$15),1)</f>
        <v>0</v>
      </c>
      <c s="125">
        <f>Предпосылки!$I80*Предпосылки!AA80*(1+Чувствительность!$D$24)*IFERROR(LOOKUP(Предпосылки!$J80,$C$13:$C$15,S$13:S$15),1)</f>
        <v>0</v>
      </c>
      <c s="125">
        <f>Предпосылки!$I80*Предпосылки!AB80*(1+Чувствительность!$D$24)*IFERROR(LOOKUP(Предпосылки!$J80,$C$13:$C$15,T$13:T$15),1)</f>
        <v>0</v>
      </c>
      <c s="125">
        <f>Предпосылки!$I80*Предпосылки!AC80*(1+Чувствительность!$D$24)*IFERROR(LOOKUP(Предпосылки!$J80,$C$13:$C$15,U$13:U$15),1)</f>
        <v>0</v>
      </c>
      <c s="125">
        <f>Предпосылки!$I80*Предпосылки!AD80*(1+Чувствительность!$D$24)*IFERROR(LOOKUP(Предпосылки!$J80,$C$13:$C$15,V$13:V$15),1)</f>
        <v>0</v>
      </c>
      <c s="125">
        <f>Предпосылки!$I80*Предпосылки!AE80*(1+Чувствительность!$D$24)*IFERROR(LOOKUP(Предпосылки!$J80,$C$13:$C$15,W$13:W$15),1)</f>
        <v>0</v>
      </c>
      <c s="125">
        <f>Предпосылки!$I80*Предпосылки!AF80*(1+Чувствительность!$D$24)*IFERROR(LOOKUP(Предпосылки!$J80,$C$13:$C$15,X$13:X$15),1)</f>
        <v>0</v>
      </c>
      <c s="125">
        <f>Предпосылки!$I80*Предпосылки!AG80*(1+Чувствительность!$D$24)*IFERROR(LOOKUP(Предпосылки!$J80,$C$13:$C$15,Y$13:Y$15),1)</f>
        <v>0</v>
      </c>
      <c s="125">
        <f>Предпосылки!$I80*Предпосылки!AH80*(1+Чувствительность!$D$24)*IFERROR(LOOKUP(Предпосылки!$J80,$C$13:$C$15,Z$13:Z$15),1)</f>
        <v>0</v>
      </c>
      <c s="125">
        <f>Предпосылки!$I80*Предпосылки!AI80*(1+Чувствительность!$D$24)*IFERROR(LOOKUP(Предпосылки!$J80,$C$13:$C$15,AA$13:AA$15),1)</f>
        <v>0</v>
      </c>
      <c s="125">
        <f>Предпосылки!$I80*Предпосылки!AJ80*(1+Чувствительность!$D$24)*IFERROR(LOOKUP(Предпосылки!$J80,$C$13:$C$15,AB$13:AB$15),1)</f>
        <v>0</v>
      </c>
      <c s="125">
        <f>Предпосылки!$I80*Предпосылки!AK80*(1+Чувствительность!$D$24)*IFERROR(LOOKUP(Предпосылки!$J80,$C$13:$C$15,AC$13:AC$15),1)</f>
        <v>0</v>
      </c>
      <c s="125">
        <f>Предпосылки!$I80*Предпосылки!AL80*(1+Чувствительность!$D$24)*IFERROR(LOOKUP(Предпосылки!$J80,$C$13:$C$15,AD$13:AD$15),1)</f>
        <v>0</v>
      </c>
      <c s="125">
        <f>Предпосылки!$I80*Предпосылки!AM80*(1+Чувствительность!$D$24)*IFERROR(LOOKUP(Предпосылки!$J80,$C$13:$C$15,AE$13:AE$15),1)</f>
        <v>0</v>
      </c>
      <c s="125">
        <f>Предпосылки!$I80*Предпосылки!AN80*(1+Чувствительность!$D$24)*IFERROR(LOOKUP(Предпосылки!$J80,$C$13:$C$15,AF$13:AF$15),1)</f>
        <v>0</v>
      </c>
      <c s="125">
        <f>Предпосылки!$I80*Предпосылки!AO80*(1+Чувствительность!$D$24)*IFERROR(LOOKUP(Предпосылки!$J80,$C$13:$C$15,AG$13:AG$15),1)</f>
        <v>0</v>
      </c>
      <c s="125">
        <f>Предпосылки!$I80*Предпосылки!AP80*(1+Чувствительность!$D$24)*IFERROR(LOOKUP(Предпосылки!$J80,$C$13:$C$15,AH$13:AH$15),1)</f>
        <v>0</v>
      </c>
      <c s="125">
        <f>Предпосылки!$I80*Предпосылки!AQ80*(1+Чувствительность!$D$24)*IFERROR(LOOKUP(Предпосылки!$J80,$C$13:$C$15,AI$13:AI$15),1)</f>
        <v>0</v>
      </c>
      <c s="125">
        <f>Предпосылки!$I80*Предпосылки!AR80*(1+Чувствительность!$D$24)*IFERROR(LOOKUP(Предпосылки!$J80,$C$13:$C$15,AJ$13:AJ$15),1)</f>
        <v>0</v>
      </c>
      <c s="125">
        <f>Предпосылки!$I80*Предпосылки!AS80*(1+Чувствительность!$D$24)*IFERROR(LOOKUP(Предпосылки!$J80,$C$13:$C$15,AK$13:AK$15),1)</f>
        <v>0</v>
      </c>
      <c s="125">
        <f>Предпосылки!$I80*Предпосылки!AT80*(1+Чувствительность!$D$24)*IFERROR(LOOKUP(Предпосылки!$J80,$C$13:$C$15,AL$13:AL$15),1)</f>
        <v>0</v>
      </c>
      <c s="125">
        <f>Предпосылки!$I80*Предпосылки!AU80*(1+Чувствительность!$D$24)*IFERROR(LOOKUP(Предпосылки!$J80,$C$13:$C$15,AM$13:AM$15),1)</f>
        <v>0</v>
      </c>
      <c s="125">
        <f>Предпосылки!$I80*Предпосылки!AV80*(1+Чувствительность!$D$24)*IFERROR(LOOKUP(Предпосылки!$J80,$C$13:$C$15,AN$13:AN$15),1)</f>
        <v>0</v>
      </c>
      <c s="125">
        <f>Предпосылки!$I80*Предпосылки!AW80*(1+Чувствительность!$D$24)*IFERROR(LOOKUP(Предпосылки!$J80,$C$13:$C$15,AO$13:AO$15),1)</f>
        <v>0</v>
      </c>
      <c s="125">
        <f>Предпосылки!$I80*Предпосылки!AX80*(1+Чувствительность!$D$24)*IFERROR(LOOKUP(Предпосылки!$J80,$C$13:$C$15,AP$13:AP$15),1)</f>
        <v>0</v>
      </c>
      <c s="125">
        <f>Предпосылки!$I80*Предпосылки!AY80*(1+Чувствительность!$D$24)*IFERROR(LOOKUP(Предпосылки!$J80,$C$13:$C$15,AQ$13:AQ$15),1)</f>
        <v>0</v>
      </c>
      <c s="125">
        <f>Предпосылки!$I80*Предпосылки!AZ80*(1+Чувствительность!$D$24)*IFERROR(LOOKUP(Предпосылки!$J80,$C$13:$C$15,AR$13:AR$15),1)</f>
        <v>0</v>
      </c>
      <c s="125">
        <f>Предпосылки!$I80*Предпосылки!BA80*(1+Чувствительность!$D$24)*IFERROR(LOOKUP(Предпосылки!$J80,$C$13:$C$15,AS$13:AS$15),1)</f>
        <v>0</v>
      </c>
      <c s="125">
        <f>Предпосылки!$I80*Предпосылки!BB80*(1+Чувствительность!$D$24)*IFERROR(LOOKUP(Предпосылки!$J80,$C$13:$C$15,AT$13:AT$15),1)</f>
        <v>0</v>
      </c>
      <c s="125">
        <f>Предпосылки!$I80*Предпосылки!BC80*(1+Чувствительность!$D$24)*IFERROR(LOOKUP(Предпосылки!$J80,$C$13:$C$15,AU$13:AU$15),1)</f>
        <v>0</v>
      </c>
      <c s="125">
        <f>Предпосылки!$I80*Предпосылки!BD80*(1+Чувствительность!$D$24)*IFERROR(LOOKUP(Предпосылки!$J80,$C$13:$C$15,AV$13:AV$15),1)</f>
        <v>0</v>
      </c>
      <c s="125">
        <f>Предпосылки!$I80*Предпосылки!BE80*(1+Чувствительность!$D$24)*IFERROR(LOOKUP(Предпосылки!$J80,$C$13:$C$15,AW$13:AW$15),1)</f>
        <v>0</v>
      </c>
      <c s="125">
        <f>Предпосылки!$I80*Предпосылки!BF80*(1+Чувствительность!$D$24)*IFERROR(LOOKUP(Предпосылки!$J80,$C$13:$C$15,AX$13:AX$15),1)</f>
        <v>0</v>
      </c>
      <c s="125">
        <f>Предпосылки!$I80*Предпосылки!BG80*(1+Чувствительность!$D$24)*IFERROR(LOOKUP(Предпосылки!$J80,$C$13:$C$15,AY$13:AY$15),1)</f>
        <v>0</v>
      </c>
      <c s="125">
        <f>Предпосылки!$I80*Предпосылки!BH80*(1+Чувствительность!$D$24)*IFERROR(LOOKUP(Предпосылки!$J80,$C$13:$C$15,AZ$13:AZ$15),1)</f>
        <v>0</v>
      </c>
      <c s="125">
        <f>Предпосылки!$I80*Предпосылки!BI80*(1+Чувствительность!$D$24)*IFERROR(LOOKUP(Предпосылки!$J80,$C$13:$C$15,BA$13:BA$15),1)</f>
        <v>0</v>
      </c>
      <c s="125">
        <f>Предпосылки!$I80*Предпосылки!BJ80*(1+Чувствительность!$D$24)*IFERROR(LOOKUP(Предпосылки!$J80,$C$13:$C$15,BB$13:BB$15),1)</f>
        <v>0</v>
      </c>
      <c s="125">
        <f>Предпосылки!$I80*Предпосылки!BK80*(1+Чувствительность!$D$24)*IFERROR(LOOKUP(Предпосылки!$J80,$C$13:$C$15,BC$13:BC$15),1)</f>
        <v>0</v>
      </c>
      <c s="125">
        <f>Предпосылки!$I80*Предпосылки!BL80*(1+Чувствительность!$D$24)*IFERROR(LOOKUP(Предпосылки!$J80,$C$13:$C$15,BD$13:BD$15),1)</f>
        <v>0</v>
      </c>
      <c s="125">
        <f>Предпосылки!$I80*Предпосылки!BM80*(1+Чувствительность!$D$24)*IFERROR(LOOKUP(Предпосылки!$J80,$C$13:$C$15,BE$13:BE$15),1)</f>
        <v>0</v>
      </c>
      <c s="125">
        <f>Предпосылки!$I80*Предпосылки!BN80*(1+Чувствительность!$D$24)*IFERROR(LOOKUP(Предпосылки!$J80,$C$13:$C$15,BF$13:BF$15),1)</f>
        <v>0</v>
      </c>
      <c s="125">
        <f>Предпосылки!$I80*Предпосылки!BO80*(1+Чувствительность!$D$24)*IFERROR(LOOKUP(Предпосылки!$J80,$C$13:$C$15,BG$13:BG$15),1)</f>
        <v>0</v>
      </c>
      <c s="125">
        <f>Предпосылки!$I80*Предпосылки!BP80*(1+Чувствительность!$D$24)*IFERROR(LOOKUP(Предпосылки!$J80,$C$13:$C$15,BH$13:BH$15),1)</f>
        <v>0</v>
      </c>
      <c s="125">
        <f>Предпосылки!$I80*Предпосылки!BQ80*(1+Чувствительность!$D$24)*IFERROR(LOOKUP(Предпосылки!$J80,$C$13:$C$15,BI$13:BI$15),1)</f>
        <v>0</v>
      </c>
      <c s="125">
        <f>Предпосылки!$I80*Предпосылки!BR80*(1+Чувствительность!$D$24)*IFERROR(LOOKUP(Предпосылки!$J80,$C$13:$C$15,BJ$13:BJ$15),1)</f>
        <v>0</v>
      </c>
      <c s="125">
        <f>Предпосылки!$I80*Предпосылки!BS80*(1+Чувствительность!$D$24)*IFERROR(LOOKUP(Предпосылки!$J80,$C$13:$C$15,BK$13:BK$15),1)</f>
        <v>0</v>
      </c>
      <c s="125">
        <f>Предпосылки!$I80*Предпосылки!BT80*(1+Чувствительность!$D$24)*IFERROR(LOOKUP(Предпосылки!$J80,$C$13:$C$15,BL$13:BL$15),1)</f>
        <v>0</v>
      </c>
      <c s="125">
        <f>Предпосылки!$I80*Предпосылки!BU80*(1+Чувствительность!$D$24)*IFERROR(LOOKUP(Предпосылки!$J80,$C$13:$C$15,BM$13:BM$15),1)</f>
        <v>0</v>
      </c>
    </row>
    <row r="66" spans="2:65" ht="15" customHeight="1">
      <c r="B66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Предпосылки!$I81*Предпосылки!M81*(1+Чувствительность!$D$24)*IFERROR(LOOKUP(Предпосылки!$J81,$C$13:$C$15,E$13:E$15),1)</f>
        <v>0</v>
      </c>
      <c s="125">
        <f>Предпосылки!$I81*Предпосылки!N81*(1+Чувствительность!$D$24)*IFERROR(LOOKUP(Предпосылки!$J81,$C$13:$C$15,F$13:F$15),1)</f>
        <v>0</v>
      </c>
      <c s="125">
        <f>Предпосылки!$I81*Предпосылки!O81*(1+Чувствительность!$D$24)*IFERROR(LOOKUP(Предпосылки!$J81,$C$13:$C$15,G$13:G$15),1)</f>
        <v>0</v>
      </c>
      <c s="125">
        <f>Предпосылки!$I81*Предпосылки!P81*(1+Чувствительность!$D$24)*IFERROR(LOOKUP(Предпосылки!$J81,$C$13:$C$15,H$13:H$15),1)</f>
        <v>0</v>
      </c>
      <c s="125">
        <f>Предпосылки!$I81*Предпосылки!Q81*(1+Чувствительность!$D$24)*IFERROR(LOOKUP(Предпосылки!$J81,$C$13:$C$15,I$13:I$15),1)</f>
        <v>0</v>
      </c>
      <c s="125">
        <f>Предпосылки!$I81*Предпосылки!R81*(1+Чувствительность!$D$24)*IFERROR(LOOKUP(Предпосылки!$J81,$C$13:$C$15,J$13:J$15),1)</f>
        <v>0</v>
      </c>
      <c s="125">
        <f>Предпосылки!$I81*Предпосылки!S81*(1+Чувствительность!$D$24)*IFERROR(LOOKUP(Предпосылки!$J81,$C$13:$C$15,K$13:K$15),1)</f>
        <v>0</v>
      </c>
      <c s="125">
        <f>Предпосылки!$I81*Предпосылки!T81*(1+Чувствительность!$D$24)*IFERROR(LOOKUP(Предпосылки!$J81,$C$13:$C$15,L$13:L$15),1)</f>
        <v>0</v>
      </c>
      <c s="125">
        <f>Предпосылки!$I81*Предпосылки!U81*(1+Чувствительность!$D$24)*IFERROR(LOOKUP(Предпосылки!$J81,$C$13:$C$15,M$13:M$15),1)</f>
        <v>0</v>
      </c>
      <c s="125">
        <f>Предпосылки!$I81*Предпосылки!V81*(1+Чувствительность!$D$24)*IFERROR(LOOKUP(Предпосылки!$J81,$C$13:$C$15,N$13:N$15),1)</f>
        <v>0</v>
      </c>
      <c s="125">
        <f>Предпосылки!$I81*Предпосылки!W81*(1+Чувствительность!$D$24)*IFERROR(LOOKUP(Предпосылки!$J81,$C$13:$C$15,O$13:O$15),1)</f>
        <v>0</v>
      </c>
      <c s="125">
        <f>Предпосылки!$I81*Предпосылки!X81*(1+Чувствительность!$D$24)*IFERROR(LOOKUP(Предпосылки!$J81,$C$13:$C$15,P$13:P$15),1)</f>
        <v>0</v>
      </c>
      <c s="125">
        <f>Предпосылки!$I81*Предпосылки!Y81*(1+Чувствительность!$D$24)*IFERROR(LOOKUP(Предпосылки!$J81,$C$13:$C$15,Q$13:Q$15),1)</f>
        <v>0</v>
      </c>
      <c s="125">
        <f>Предпосылки!$I81*Предпосылки!Z81*(1+Чувствительность!$D$24)*IFERROR(LOOKUP(Предпосылки!$J81,$C$13:$C$15,R$13:R$15),1)</f>
        <v>0</v>
      </c>
      <c s="125">
        <f>Предпосылки!$I81*Предпосылки!AA81*(1+Чувствительность!$D$24)*IFERROR(LOOKUP(Предпосылки!$J81,$C$13:$C$15,S$13:S$15),1)</f>
        <v>0</v>
      </c>
      <c s="125">
        <f>Предпосылки!$I81*Предпосылки!AB81*(1+Чувствительность!$D$24)*IFERROR(LOOKUP(Предпосылки!$J81,$C$13:$C$15,T$13:T$15),1)</f>
        <v>0</v>
      </c>
      <c s="125">
        <f>Предпосылки!$I81*Предпосылки!AC81*(1+Чувствительность!$D$24)*IFERROR(LOOKUP(Предпосылки!$J81,$C$13:$C$15,U$13:U$15),1)</f>
        <v>0</v>
      </c>
      <c s="125">
        <f>Предпосылки!$I81*Предпосылки!AD81*(1+Чувствительность!$D$24)*IFERROR(LOOKUP(Предпосылки!$J81,$C$13:$C$15,V$13:V$15),1)</f>
        <v>0</v>
      </c>
      <c s="125">
        <f>Предпосылки!$I81*Предпосылки!AE81*(1+Чувствительность!$D$24)*IFERROR(LOOKUP(Предпосылки!$J81,$C$13:$C$15,W$13:W$15),1)</f>
        <v>0</v>
      </c>
      <c s="125">
        <f>Предпосылки!$I81*Предпосылки!AF81*(1+Чувствительность!$D$24)*IFERROR(LOOKUP(Предпосылки!$J81,$C$13:$C$15,X$13:X$15),1)</f>
        <v>0</v>
      </c>
      <c s="125">
        <f>Предпосылки!$I81*Предпосылки!AG81*(1+Чувствительность!$D$24)*IFERROR(LOOKUP(Предпосылки!$J81,$C$13:$C$15,Y$13:Y$15),1)</f>
        <v>0</v>
      </c>
      <c s="125">
        <f>Предпосылки!$I81*Предпосылки!AH81*(1+Чувствительность!$D$24)*IFERROR(LOOKUP(Предпосылки!$J81,$C$13:$C$15,Z$13:Z$15),1)</f>
        <v>0</v>
      </c>
      <c s="125">
        <f>Предпосылки!$I81*Предпосылки!AI81*(1+Чувствительность!$D$24)*IFERROR(LOOKUP(Предпосылки!$J81,$C$13:$C$15,AA$13:AA$15),1)</f>
        <v>0</v>
      </c>
      <c s="125">
        <f>Предпосылки!$I81*Предпосылки!AJ81*(1+Чувствительность!$D$24)*IFERROR(LOOKUP(Предпосылки!$J81,$C$13:$C$15,AB$13:AB$15),1)</f>
        <v>0</v>
      </c>
      <c s="125">
        <f>Предпосылки!$I81*Предпосылки!AK81*(1+Чувствительность!$D$24)*IFERROR(LOOKUP(Предпосылки!$J81,$C$13:$C$15,AC$13:AC$15),1)</f>
        <v>0</v>
      </c>
      <c s="125">
        <f>Предпосылки!$I81*Предпосылки!AL81*(1+Чувствительность!$D$24)*IFERROR(LOOKUP(Предпосылки!$J81,$C$13:$C$15,AD$13:AD$15),1)</f>
        <v>0</v>
      </c>
      <c s="125">
        <f>Предпосылки!$I81*Предпосылки!AM81*(1+Чувствительность!$D$24)*IFERROR(LOOKUP(Предпосылки!$J81,$C$13:$C$15,AE$13:AE$15),1)</f>
        <v>0</v>
      </c>
      <c s="125">
        <f>Предпосылки!$I81*Предпосылки!AN81*(1+Чувствительность!$D$24)*IFERROR(LOOKUP(Предпосылки!$J81,$C$13:$C$15,AF$13:AF$15),1)</f>
        <v>0</v>
      </c>
      <c s="125">
        <f>Предпосылки!$I81*Предпосылки!AO81*(1+Чувствительность!$D$24)*IFERROR(LOOKUP(Предпосылки!$J81,$C$13:$C$15,AG$13:AG$15),1)</f>
        <v>0</v>
      </c>
      <c s="125">
        <f>Предпосылки!$I81*Предпосылки!AP81*(1+Чувствительность!$D$24)*IFERROR(LOOKUP(Предпосылки!$J81,$C$13:$C$15,AH$13:AH$15),1)</f>
        <v>0</v>
      </c>
      <c s="125">
        <f>Предпосылки!$I81*Предпосылки!AQ81*(1+Чувствительность!$D$24)*IFERROR(LOOKUP(Предпосылки!$J81,$C$13:$C$15,AI$13:AI$15),1)</f>
        <v>0</v>
      </c>
      <c s="125">
        <f>Предпосылки!$I81*Предпосылки!AR81*(1+Чувствительность!$D$24)*IFERROR(LOOKUP(Предпосылки!$J81,$C$13:$C$15,AJ$13:AJ$15),1)</f>
        <v>0</v>
      </c>
      <c s="125">
        <f>Предпосылки!$I81*Предпосылки!AS81*(1+Чувствительность!$D$24)*IFERROR(LOOKUP(Предпосылки!$J81,$C$13:$C$15,AK$13:AK$15),1)</f>
        <v>0</v>
      </c>
      <c s="125">
        <f>Предпосылки!$I81*Предпосылки!AT81*(1+Чувствительность!$D$24)*IFERROR(LOOKUP(Предпосылки!$J81,$C$13:$C$15,AL$13:AL$15),1)</f>
        <v>0</v>
      </c>
      <c s="125">
        <f>Предпосылки!$I81*Предпосылки!AU81*(1+Чувствительность!$D$24)*IFERROR(LOOKUP(Предпосылки!$J81,$C$13:$C$15,AM$13:AM$15),1)</f>
        <v>0</v>
      </c>
      <c s="125">
        <f>Предпосылки!$I81*Предпосылки!AV81*(1+Чувствительность!$D$24)*IFERROR(LOOKUP(Предпосылки!$J81,$C$13:$C$15,AN$13:AN$15),1)</f>
        <v>0</v>
      </c>
      <c s="125">
        <f>Предпосылки!$I81*Предпосылки!AW81*(1+Чувствительность!$D$24)*IFERROR(LOOKUP(Предпосылки!$J81,$C$13:$C$15,AO$13:AO$15),1)</f>
        <v>0</v>
      </c>
      <c s="125">
        <f>Предпосылки!$I81*Предпосылки!AX81*(1+Чувствительность!$D$24)*IFERROR(LOOKUP(Предпосылки!$J81,$C$13:$C$15,AP$13:AP$15),1)</f>
        <v>0</v>
      </c>
      <c s="125">
        <f>Предпосылки!$I81*Предпосылки!AY81*(1+Чувствительность!$D$24)*IFERROR(LOOKUP(Предпосылки!$J81,$C$13:$C$15,AQ$13:AQ$15),1)</f>
        <v>0</v>
      </c>
      <c s="125">
        <f>Предпосылки!$I81*Предпосылки!AZ81*(1+Чувствительность!$D$24)*IFERROR(LOOKUP(Предпосылки!$J81,$C$13:$C$15,AR$13:AR$15),1)</f>
        <v>0</v>
      </c>
      <c s="125">
        <f>Предпосылки!$I81*Предпосылки!BA81*(1+Чувствительность!$D$24)*IFERROR(LOOKUP(Предпосылки!$J81,$C$13:$C$15,AS$13:AS$15),1)</f>
        <v>0</v>
      </c>
      <c s="125">
        <f>Предпосылки!$I81*Предпосылки!BB81*(1+Чувствительность!$D$24)*IFERROR(LOOKUP(Предпосылки!$J81,$C$13:$C$15,AT$13:AT$15),1)</f>
        <v>0</v>
      </c>
      <c s="125">
        <f>Предпосылки!$I81*Предпосылки!BC81*(1+Чувствительность!$D$24)*IFERROR(LOOKUP(Предпосылки!$J81,$C$13:$C$15,AU$13:AU$15),1)</f>
        <v>0</v>
      </c>
      <c s="125">
        <f>Предпосылки!$I81*Предпосылки!BD81*(1+Чувствительность!$D$24)*IFERROR(LOOKUP(Предпосылки!$J81,$C$13:$C$15,AV$13:AV$15),1)</f>
        <v>0</v>
      </c>
      <c s="125">
        <f>Предпосылки!$I81*Предпосылки!BE81*(1+Чувствительность!$D$24)*IFERROR(LOOKUP(Предпосылки!$J81,$C$13:$C$15,AW$13:AW$15),1)</f>
        <v>0</v>
      </c>
      <c s="125">
        <f>Предпосылки!$I81*Предпосылки!BF81*(1+Чувствительность!$D$24)*IFERROR(LOOKUP(Предпосылки!$J81,$C$13:$C$15,AX$13:AX$15),1)</f>
        <v>0</v>
      </c>
      <c s="125">
        <f>Предпосылки!$I81*Предпосылки!BG81*(1+Чувствительность!$D$24)*IFERROR(LOOKUP(Предпосылки!$J81,$C$13:$C$15,AY$13:AY$15),1)</f>
        <v>0</v>
      </c>
      <c s="125">
        <f>Предпосылки!$I81*Предпосылки!BH81*(1+Чувствительность!$D$24)*IFERROR(LOOKUP(Предпосылки!$J81,$C$13:$C$15,AZ$13:AZ$15),1)</f>
        <v>0</v>
      </c>
      <c s="125">
        <f>Предпосылки!$I81*Предпосылки!BI81*(1+Чувствительность!$D$24)*IFERROR(LOOKUP(Предпосылки!$J81,$C$13:$C$15,BA$13:BA$15),1)</f>
        <v>0</v>
      </c>
      <c s="125">
        <f>Предпосылки!$I81*Предпосылки!BJ81*(1+Чувствительность!$D$24)*IFERROR(LOOKUP(Предпосылки!$J81,$C$13:$C$15,BB$13:BB$15),1)</f>
        <v>0</v>
      </c>
      <c s="125">
        <f>Предпосылки!$I81*Предпосылки!BK81*(1+Чувствительность!$D$24)*IFERROR(LOOKUP(Предпосылки!$J81,$C$13:$C$15,BC$13:BC$15),1)</f>
        <v>0</v>
      </c>
      <c s="125">
        <f>Предпосылки!$I81*Предпосылки!BL81*(1+Чувствительность!$D$24)*IFERROR(LOOKUP(Предпосылки!$J81,$C$13:$C$15,BD$13:BD$15),1)</f>
        <v>0</v>
      </c>
      <c s="125">
        <f>Предпосылки!$I81*Предпосылки!BM81*(1+Чувствительность!$D$24)*IFERROR(LOOKUP(Предпосылки!$J81,$C$13:$C$15,BE$13:BE$15),1)</f>
        <v>0</v>
      </c>
      <c s="125">
        <f>Предпосылки!$I81*Предпосылки!BN81*(1+Чувствительность!$D$24)*IFERROR(LOOKUP(Предпосылки!$J81,$C$13:$C$15,BF$13:BF$15),1)</f>
        <v>0</v>
      </c>
      <c s="125">
        <f>Предпосылки!$I81*Предпосылки!BO81*(1+Чувствительность!$D$24)*IFERROR(LOOKUP(Предпосылки!$J81,$C$13:$C$15,BG$13:BG$15),1)</f>
        <v>0</v>
      </c>
      <c s="125">
        <f>Предпосылки!$I81*Предпосылки!BP81*(1+Чувствительность!$D$24)*IFERROR(LOOKUP(Предпосылки!$J81,$C$13:$C$15,BH$13:BH$15),1)</f>
        <v>0</v>
      </c>
      <c s="125">
        <f>Предпосылки!$I81*Предпосылки!BQ81*(1+Чувствительность!$D$24)*IFERROR(LOOKUP(Предпосылки!$J81,$C$13:$C$15,BI$13:BI$15),1)</f>
        <v>0</v>
      </c>
      <c s="125">
        <f>Предпосылки!$I81*Предпосылки!BR81*(1+Чувствительность!$D$24)*IFERROR(LOOKUP(Предпосылки!$J81,$C$13:$C$15,BJ$13:BJ$15),1)</f>
        <v>0</v>
      </c>
      <c s="125">
        <f>Предпосылки!$I81*Предпосылки!BS81*(1+Чувствительность!$D$24)*IFERROR(LOOKUP(Предпосылки!$J81,$C$13:$C$15,BK$13:BK$15),1)</f>
        <v>0</v>
      </c>
      <c s="125">
        <f>Предпосылки!$I81*Предпосылки!BT81*(1+Чувствительность!$D$24)*IFERROR(LOOKUP(Предпосылки!$J81,$C$13:$C$15,BL$13:BL$15),1)</f>
        <v>0</v>
      </c>
      <c s="125">
        <f>Предпосылки!$I81*Предпосылки!BU81*(1+Чувствительность!$D$24)*IFERROR(LOOKUP(Предпосылки!$J81,$C$13:$C$15,BM$13:BM$15),1)</f>
        <v>0</v>
      </c>
    </row>
    <row r="67" spans="2:65" ht="15" customHeight="1">
      <c r="B67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Предпосылки!$I82*Предпосылки!M82*(1+Чувствительность!$D$24)*IFERROR(LOOKUP(Предпосылки!$J82,$C$13:$C$15,E$13:E$15),1)</f>
        <v>0</v>
      </c>
      <c s="125">
        <f>Предпосылки!$I82*Предпосылки!N82*(1+Чувствительность!$D$24)*IFERROR(LOOKUP(Предпосылки!$J82,$C$13:$C$15,F$13:F$15),1)</f>
        <v>0</v>
      </c>
      <c s="125">
        <f>Предпосылки!$I82*Предпосылки!O82*(1+Чувствительность!$D$24)*IFERROR(LOOKUP(Предпосылки!$J82,$C$13:$C$15,G$13:G$15),1)</f>
        <v>0</v>
      </c>
      <c s="125">
        <f>Предпосылки!$I82*Предпосылки!P82*(1+Чувствительность!$D$24)*IFERROR(LOOKUP(Предпосылки!$J82,$C$13:$C$15,H$13:H$15),1)</f>
        <v>0</v>
      </c>
      <c s="125">
        <f>Предпосылки!$I82*Предпосылки!Q82*(1+Чувствительность!$D$24)*IFERROR(LOOKUP(Предпосылки!$J82,$C$13:$C$15,I$13:I$15),1)</f>
        <v>0</v>
      </c>
      <c s="125">
        <f>Предпосылки!$I82*Предпосылки!R82*(1+Чувствительность!$D$24)*IFERROR(LOOKUP(Предпосылки!$J82,$C$13:$C$15,J$13:J$15),1)</f>
        <v>0</v>
      </c>
      <c s="125">
        <f>Предпосылки!$I82*Предпосылки!S82*(1+Чувствительность!$D$24)*IFERROR(LOOKUP(Предпосылки!$J82,$C$13:$C$15,K$13:K$15),1)</f>
        <v>0</v>
      </c>
      <c s="125">
        <f>Предпосылки!$I82*Предпосылки!T82*(1+Чувствительность!$D$24)*IFERROR(LOOKUP(Предпосылки!$J82,$C$13:$C$15,L$13:L$15),1)</f>
        <v>0</v>
      </c>
      <c s="125">
        <f>Предпосылки!$I82*Предпосылки!U82*(1+Чувствительность!$D$24)*IFERROR(LOOKUP(Предпосылки!$J82,$C$13:$C$15,M$13:M$15),1)</f>
        <v>0</v>
      </c>
      <c s="125">
        <f>Предпосылки!$I82*Предпосылки!V82*(1+Чувствительность!$D$24)*IFERROR(LOOKUP(Предпосылки!$J82,$C$13:$C$15,N$13:N$15),1)</f>
        <v>0</v>
      </c>
      <c s="125">
        <f>Предпосылки!$I82*Предпосылки!W82*(1+Чувствительность!$D$24)*IFERROR(LOOKUP(Предпосылки!$J82,$C$13:$C$15,O$13:O$15),1)</f>
        <v>0</v>
      </c>
      <c s="125">
        <f>Предпосылки!$I82*Предпосылки!X82*(1+Чувствительность!$D$24)*IFERROR(LOOKUP(Предпосылки!$J82,$C$13:$C$15,P$13:P$15),1)</f>
        <v>0</v>
      </c>
      <c s="125">
        <f>Предпосылки!$I82*Предпосылки!Y82*(1+Чувствительность!$D$24)*IFERROR(LOOKUP(Предпосылки!$J82,$C$13:$C$15,Q$13:Q$15),1)</f>
        <v>0</v>
      </c>
      <c s="125">
        <f>Предпосылки!$I82*Предпосылки!Z82*(1+Чувствительность!$D$24)*IFERROR(LOOKUP(Предпосылки!$J82,$C$13:$C$15,R$13:R$15),1)</f>
        <v>0</v>
      </c>
      <c s="125">
        <f>Предпосылки!$I82*Предпосылки!AA82*(1+Чувствительность!$D$24)*IFERROR(LOOKUP(Предпосылки!$J82,$C$13:$C$15,S$13:S$15),1)</f>
        <v>0</v>
      </c>
      <c s="125">
        <f>Предпосылки!$I82*Предпосылки!AB82*(1+Чувствительность!$D$24)*IFERROR(LOOKUP(Предпосылки!$J82,$C$13:$C$15,T$13:T$15),1)</f>
        <v>0</v>
      </c>
      <c s="125">
        <f>Предпосылки!$I82*Предпосылки!AC82*(1+Чувствительность!$D$24)*IFERROR(LOOKUP(Предпосылки!$J82,$C$13:$C$15,U$13:U$15),1)</f>
        <v>0</v>
      </c>
      <c s="125">
        <f>Предпосылки!$I82*Предпосылки!AD82*(1+Чувствительность!$D$24)*IFERROR(LOOKUP(Предпосылки!$J82,$C$13:$C$15,V$13:V$15),1)</f>
        <v>0</v>
      </c>
      <c s="125">
        <f>Предпосылки!$I82*Предпосылки!AE82*(1+Чувствительность!$D$24)*IFERROR(LOOKUP(Предпосылки!$J82,$C$13:$C$15,W$13:W$15),1)</f>
        <v>0</v>
      </c>
      <c s="125">
        <f>Предпосылки!$I82*Предпосылки!AF82*(1+Чувствительность!$D$24)*IFERROR(LOOKUP(Предпосылки!$J82,$C$13:$C$15,X$13:X$15),1)</f>
        <v>0</v>
      </c>
      <c s="125">
        <f>Предпосылки!$I82*Предпосылки!AG82*(1+Чувствительность!$D$24)*IFERROR(LOOKUP(Предпосылки!$J82,$C$13:$C$15,Y$13:Y$15),1)</f>
        <v>0</v>
      </c>
      <c s="125">
        <f>Предпосылки!$I82*Предпосылки!AH82*(1+Чувствительность!$D$24)*IFERROR(LOOKUP(Предпосылки!$J82,$C$13:$C$15,Z$13:Z$15),1)</f>
        <v>0</v>
      </c>
      <c s="125">
        <f>Предпосылки!$I82*Предпосылки!AI82*(1+Чувствительность!$D$24)*IFERROR(LOOKUP(Предпосылки!$J82,$C$13:$C$15,AA$13:AA$15),1)</f>
        <v>0</v>
      </c>
      <c s="125">
        <f>Предпосылки!$I82*Предпосылки!AJ82*(1+Чувствительность!$D$24)*IFERROR(LOOKUP(Предпосылки!$J82,$C$13:$C$15,AB$13:AB$15),1)</f>
        <v>0</v>
      </c>
      <c s="125">
        <f>Предпосылки!$I82*Предпосылки!AK82*(1+Чувствительность!$D$24)*IFERROR(LOOKUP(Предпосылки!$J82,$C$13:$C$15,AC$13:AC$15),1)</f>
        <v>0</v>
      </c>
      <c s="125">
        <f>Предпосылки!$I82*Предпосылки!AL82*(1+Чувствительность!$D$24)*IFERROR(LOOKUP(Предпосылки!$J82,$C$13:$C$15,AD$13:AD$15),1)</f>
        <v>0</v>
      </c>
      <c s="125">
        <f>Предпосылки!$I82*Предпосылки!AM82*(1+Чувствительность!$D$24)*IFERROR(LOOKUP(Предпосылки!$J82,$C$13:$C$15,AE$13:AE$15),1)</f>
        <v>0</v>
      </c>
      <c s="125">
        <f>Предпосылки!$I82*Предпосылки!AN82*(1+Чувствительность!$D$24)*IFERROR(LOOKUP(Предпосылки!$J82,$C$13:$C$15,AF$13:AF$15),1)</f>
        <v>0</v>
      </c>
      <c s="125">
        <f>Предпосылки!$I82*Предпосылки!AO82*(1+Чувствительность!$D$24)*IFERROR(LOOKUP(Предпосылки!$J82,$C$13:$C$15,AG$13:AG$15),1)</f>
        <v>0</v>
      </c>
      <c s="125">
        <f>Предпосылки!$I82*Предпосылки!AP82*(1+Чувствительность!$D$24)*IFERROR(LOOKUP(Предпосылки!$J82,$C$13:$C$15,AH$13:AH$15),1)</f>
        <v>0</v>
      </c>
      <c s="125">
        <f>Предпосылки!$I82*Предпосылки!AQ82*(1+Чувствительность!$D$24)*IFERROR(LOOKUP(Предпосылки!$J82,$C$13:$C$15,AI$13:AI$15),1)</f>
        <v>0</v>
      </c>
      <c s="125">
        <f>Предпосылки!$I82*Предпосылки!AR82*(1+Чувствительность!$D$24)*IFERROR(LOOKUP(Предпосылки!$J82,$C$13:$C$15,AJ$13:AJ$15),1)</f>
        <v>0</v>
      </c>
      <c s="125">
        <f>Предпосылки!$I82*Предпосылки!AS82*(1+Чувствительность!$D$24)*IFERROR(LOOKUP(Предпосылки!$J82,$C$13:$C$15,AK$13:AK$15),1)</f>
        <v>0</v>
      </c>
      <c s="125">
        <f>Предпосылки!$I82*Предпосылки!AT82*(1+Чувствительность!$D$24)*IFERROR(LOOKUP(Предпосылки!$J82,$C$13:$C$15,AL$13:AL$15),1)</f>
        <v>0</v>
      </c>
      <c s="125">
        <f>Предпосылки!$I82*Предпосылки!AU82*(1+Чувствительность!$D$24)*IFERROR(LOOKUP(Предпосылки!$J82,$C$13:$C$15,AM$13:AM$15),1)</f>
        <v>0</v>
      </c>
      <c s="125">
        <f>Предпосылки!$I82*Предпосылки!AV82*(1+Чувствительность!$D$24)*IFERROR(LOOKUP(Предпосылки!$J82,$C$13:$C$15,AN$13:AN$15),1)</f>
        <v>0</v>
      </c>
      <c s="125">
        <f>Предпосылки!$I82*Предпосылки!AW82*(1+Чувствительность!$D$24)*IFERROR(LOOKUP(Предпосылки!$J82,$C$13:$C$15,AO$13:AO$15),1)</f>
        <v>0</v>
      </c>
      <c s="125">
        <f>Предпосылки!$I82*Предпосылки!AX82*(1+Чувствительность!$D$24)*IFERROR(LOOKUP(Предпосылки!$J82,$C$13:$C$15,AP$13:AP$15),1)</f>
        <v>0</v>
      </c>
      <c s="125">
        <f>Предпосылки!$I82*Предпосылки!AY82*(1+Чувствительность!$D$24)*IFERROR(LOOKUP(Предпосылки!$J82,$C$13:$C$15,AQ$13:AQ$15),1)</f>
        <v>0</v>
      </c>
      <c s="125">
        <f>Предпосылки!$I82*Предпосылки!AZ82*(1+Чувствительность!$D$24)*IFERROR(LOOKUP(Предпосылки!$J82,$C$13:$C$15,AR$13:AR$15),1)</f>
        <v>0</v>
      </c>
      <c s="125">
        <f>Предпосылки!$I82*Предпосылки!BA82*(1+Чувствительность!$D$24)*IFERROR(LOOKUP(Предпосылки!$J82,$C$13:$C$15,AS$13:AS$15),1)</f>
        <v>0</v>
      </c>
      <c s="125">
        <f>Предпосылки!$I82*Предпосылки!BB82*(1+Чувствительность!$D$24)*IFERROR(LOOKUP(Предпосылки!$J82,$C$13:$C$15,AT$13:AT$15),1)</f>
        <v>0</v>
      </c>
      <c s="125">
        <f>Предпосылки!$I82*Предпосылки!BC82*(1+Чувствительность!$D$24)*IFERROR(LOOKUP(Предпосылки!$J82,$C$13:$C$15,AU$13:AU$15),1)</f>
        <v>0</v>
      </c>
      <c s="125">
        <f>Предпосылки!$I82*Предпосылки!BD82*(1+Чувствительность!$D$24)*IFERROR(LOOKUP(Предпосылки!$J82,$C$13:$C$15,AV$13:AV$15),1)</f>
        <v>0</v>
      </c>
      <c s="125">
        <f>Предпосылки!$I82*Предпосылки!BE82*(1+Чувствительность!$D$24)*IFERROR(LOOKUP(Предпосылки!$J82,$C$13:$C$15,AW$13:AW$15),1)</f>
        <v>0</v>
      </c>
      <c s="125">
        <f>Предпосылки!$I82*Предпосылки!BF82*(1+Чувствительность!$D$24)*IFERROR(LOOKUP(Предпосылки!$J82,$C$13:$C$15,AX$13:AX$15),1)</f>
        <v>0</v>
      </c>
      <c s="125">
        <f>Предпосылки!$I82*Предпосылки!BG82*(1+Чувствительность!$D$24)*IFERROR(LOOKUP(Предпосылки!$J82,$C$13:$C$15,AY$13:AY$15),1)</f>
        <v>0</v>
      </c>
      <c s="125">
        <f>Предпосылки!$I82*Предпосылки!BH82*(1+Чувствительность!$D$24)*IFERROR(LOOKUP(Предпосылки!$J82,$C$13:$C$15,AZ$13:AZ$15),1)</f>
        <v>0</v>
      </c>
      <c s="125">
        <f>Предпосылки!$I82*Предпосылки!BI82*(1+Чувствительность!$D$24)*IFERROR(LOOKUP(Предпосылки!$J82,$C$13:$C$15,BA$13:BA$15),1)</f>
        <v>0</v>
      </c>
      <c s="125">
        <f>Предпосылки!$I82*Предпосылки!BJ82*(1+Чувствительность!$D$24)*IFERROR(LOOKUP(Предпосылки!$J82,$C$13:$C$15,BB$13:BB$15),1)</f>
        <v>0</v>
      </c>
      <c s="125">
        <f>Предпосылки!$I82*Предпосылки!BK82*(1+Чувствительность!$D$24)*IFERROR(LOOKUP(Предпосылки!$J82,$C$13:$C$15,BC$13:BC$15),1)</f>
        <v>0</v>
      </c>
      <c s="125">
        <f>Предпосылки!$I82*Предпосылки!BL82*(1+Чувствительность!$D$24)*IFERROR(LOOKUP(Предпосылки!$J82,$C$13:$C$15,BD$13:BD$15),1)</f>
        <v>0</v>
      </c>
      <c s="125">
        <f>Предпосылки!$I82*Предпосылки!BM82*(1+Чувствительность!$D$24)*IFERROR(LOOKUP(Предпосылки!$J82,$C$13:$C$15,BE$13:BE$15),1)</f>
        <v>0</v>
      </c>
      <c s="125">
        <f>Предпосылки!$I82*Предпосылки!BN82*(1+Чувствительность!$D$24)*IFERROR(LOOKUP(Предпосылки!$J82,$C$13:$C$15,BF$13:BF$15),1)</f>
        <v>0</v>
      </c>
      <c s="125">
        <f>Предпосылки!$I82*Предпосылки!BO82*(1+Чувствительность!$D$24)*IFERROR(LOOKUP(Предпосылки!$J82,$C$13:$C$15,BG$13:BG$15),1)</f>
        <v>0</v>
      </c>
      <c s="125">
        <f>Предпосылки!$I82*Предпосылки!BP82*(1+Чувствительность!$D$24)*IFERROR(LOOKUP(Предпосылки!$J82,$C$13:$C$15,BH$13:BH$15),1)</f>
        <v>0</v>
      </c>
      <c s="125">
        <f>Предпосылки!$I82*Предпосылки!BQ82*(1+Чувствительность!$D$24)*IFERROR(LOOKUP(Предпосылки!$J82,$C$13:$C$15,BI$13:BI$15),1)</f>
        <v>0</v>
      </c>
      <c s="125">
        <f>Предпосылки!$I82*Предпосылки!BR82*(1+Чувствительность!$D$24)*IFERROR(LOOKUP(Предпосылки!$J82,$C$13:$C$15,BJ$13:BJ$15),1)</f>
        <v>0</v>
      </c>
      <c s="125">
        <f>Предпосылки!$I82*Предпосылки!BS82*(1+Чувствительность!$D$24)*IFERROR(LOOKUP(Предпосылки!$J82,$C$13:$C$15,BK$13:BK$15),1)</f>
        <v>0</v>
      </c>
      <c s="125">
        <f>Предпосылки!$I82*Предпосылки!BT82*(1+Чувствительность!$D$24)*IFERROR(LOOKUP(Предпосылки!$J82,$C$13:$C$15,BL$13:BL$15),1)</f>
        <v>0</v>
      </c>
      <c s="125">
        <f>Предпосылки!$I82*Предпосылки!BU82*(1+Чувствительность!$D$24)*IFERROR(LOOKUP(Предпосылки!$J82,$C$13:$C$15,BM$13:BM$15),1)</f>
        <v>0</v>
      </c>
    </row>
    <row r="68" spans="2:65" ht="15" customHeight="1">
      <c r="B68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Предпосылки!$I83*Предпосылки!M83*(1+Чувствительность!$D$24)*IFERROR(LOOKUP(Предпосылки!$J83,$C$13:$C$15,E$13:E$15),1)</f>
        <v>0</v>
      </c>
      <c s="125">
        <f>Предпосылки!$I83*Предпосылки!N83*(1+Чувствительность!$D$24)*IFERROR(LOOKUP(Предпосылки!$J83,$C$13:$C$15,F$13:F$15),1)</f>
        <v>0</v>
      </c>
      <c s="125">
        <f>Предпосылки!$I83*Предпосылки!O83*(1+Чувствительность!$D$24)*IFERROR(LOOKUP(Предпосылки!$J83,$C$13:$C$15,G$13:G$15),1)</f>
        <v>0</v>
      </c>
      <c s="125">
        <f>Предпосылки!$I83*Предпосылки!P83*(1+Чувствительность!$D$24)*IFERROR(LOOKUP(Предпосылки!$J83,$C$13:$C$15,H$13:H$15),1)</f>
        <v>0</v>
      </c>
      <c s="125">
        <f>Предпосылки!$I83*Предпосылки!Q83*(1+Чувствительность!$D$24)*IFERROR(LOOKUP(Предпосылки!$J83,$C$13:$C$15,I$13:I$15),1)</f>
        <v>0</v>
      </c>
      <c s="125">
        <f>Предпосылки!$I83*Предпосылки!R83*(1+Чувствительность!$D$24)*IFERROR(LOOKUP(Предпосылки!$J83,$C$13:$C$15,J$13:J$15),1)</f>
        <v>0</v>
      </c>
      <c s="125">
        <f>Предпосылки!$I83*Предпосылки!S83*(1+Чувствительность!$D$24)*IFERROR(LOOKUP(Предпосылки!$J83,$C$13:$C$15,K$13:K$15),1)</f>
        <v>0</v>
      </c>
      <c s="125">
        <f>Предпосылки!$I83*Предпосылки!T83*(1+Чувствительность!$D$24)*IFERROR(LOOKUP(Предпосылки!$J83,$C$13:$C$15,L$13:L$15),1)</f>
        <v>0</v>
      </c>
      <c s="125">
        <f>Предпосылки!$I83*Предпосылки!U83*(1+Чувствительность!$D$24)*IFERROR(LOOKUP(Предпосылки!$J83,$C$13:$C$15,M$13:M$15),1)</f>
        <v>0</v>
      </c>
      <c s="125">
        <f>Предпосылки!$I83*Предпосылки!V83*(1+Чувствительность!$D$24)*IFERROR(LOOKUP(Предпосылки!$J83,$C$13:$C$15,N$13:N$15),1)</f>
        <v>0</v>
      </c>
      <c s="125">
        <f>Предпосылки!$I83*Предпосылки!W83*(1+Чувствительность!$D$24)*IFERROR(LOOKUP(Предпосылки!$J83,$C$13:$C$15,O$13:O$15),1)</f>
        <v>0</v>
      </c>
      <c s="125">
        <f>Предпосылки!$I83*Предпосылки!X83*(1+Чувствительность!$D$24)*IFERROR(LOOKUP(Предпосылки!$J83,$C$13:$C$15,P$13:P$15),1)</f>
        <v>0</v>
      </c>
      <c s="125">
        <f>Предпосылки!$I83*Предпосылки!Y83*(1+Чувствительность!$D$24)*IFERROR(LOOKUP(Предпосылки!$J83,$C$13:$C$15,Q$13:Q$15),1)</f>
        <v>0</v>
      </c>
      <c s="125">
        <f>Предпосылки!$I83*Предпосылки!Z83*(1+Чувствительность!$D$24)*IFERROR(LOOKUP(Предпосылки!$J83,$C$13:$C$15,R$13:R$15),1)</f>
        <v>0</v>
      </c>
      <c s="125">
        <f>Предпосылки!$I83*Предпосылки!AA83*(1+Чувствительность!$D$24)*IFERROR(LOOKUP(Предпосылки!$J83,$C$13:$C$15,S$13:S$15),1)</f>
        <v>0</v>
      </c>
      <c s="125">
        <f>Предпосылки!$I83*Предпосылки!AB83*(1+Чувствительность!$D$24)*IFERROR(LOOKUP(Предпосылки!$J83,$C$13:$C$15,T$13:T$15),1)</f>
        <v>0</v>
      </c>
      <c s="125">
        <f>Предпосылки!$I83*Предпосылки!AC83*(1+Чувствительность!$D$24)*IFERROR(LOOKUP(Предпосылки!$J83,$C$13:$C$15,U$13:U$15),1)</f>
        <v>0</v>
      </c>
      <c s="125">
        <f>Предпосылки!$I83*Предпосылки!AD83*(1+Чувствительность!$D$24)*IFERROR(LOOKUP(Предпосылки!$J83,$C$13:$C$15,V$13:V$15),1)</f>
        <v>0</v>
      </c>
      <c s="125">
        <f>Предпосылки!$I83*Предпосылки!AE83*(1+Чувствительность!$D$24)*IFERROR(LOOKUP(Предпосылки!$J83,$C$13:$C$15,W$13:W$15),1)</f>
        <v>0</v>
      </c>
      <c s="125">
        <f>Предпосылки!$I83*Предпосылки!AF83*(1+Чувствительность!$D$24)*IFERROR(LOOKUP(Предпосылки!$J83,$C$13:$C$15,X$13:X$15),1)</f>
        <v>0</v>
      </c>
      <c s="125">
        <f>Предпосылки!$I83*Предпосылки!AG83*(1+Чувствительность!$D$24)*IFERROR(LOOKUP(Предпосылки!$J83,$C$13:$C$15,Y$13:Y$15),1)</f>
        <v>0</v>
      </c>
      <c s="125">
        <f>Предпосылки!$I83*Предпосылки!AH83*(1+Чувствительность!$D$24)*IFERROR(LOOKUP(Предпосылки!$J83,$C$13:$C$15,Z$13:Z$15),1)</f>
        <v>0</v>
      </c>
      <c s="125">
        <f>Предпосылки!$I83*Предпосылки!AI83*(1+Чувствительность!$D$24)*IFERROR(LOOKUP(Предпосылки!$J83,$C$13:$C$15,AA$13:AA$15),1)</f>
        <v>0</v>
      </c>
      <c s="125">
        <f>Предпосылки!$I83*Предпосылки!AJ83*(1+Чувствительность!$D$24)*IFERROR(LOOKUP(Предпосылки!$J83,$C$13:$C$15,AB$13:AB$15),1)</f>
        <v>0</v>
      </c>
      <c s="125">
        <f>Предпосылки!$I83*Предпосылки!AK83*(1+Чувствительность!$D$24)*IFERROR(LOOKUP(Предпосылки!$J83,$C$13:$C$15,AC$13:AC$15),1)</f>
        <v>0</v>
      </c>
      <c s="125">
        <f>Предпосылки!$I83*Предпосылки!AL83*(1+Чувствительность!$D$24)*IFERROR(LOOKUP(Предпосылки!$J83,$C$13:$C$15,AD$13:AD$15),1)</f>
        <v>0</v>
      </c>
      <c s="125">
        <f>Предпосылки!$I83*Предпосылки!AM83*(1+Чувствительность!$D$24)*IFERROR(LOOKUP(Предпосылки!$J83,$C$13:$C$15,AE$13:AE$15),1)</f>
        <v>0</v>
      </c>
      <c s="125">
        <f>Предпосылки!$I83*Предпосылки!AN83*(1+Чувствительность!$D$24)*IFERROR(LOOKUP(Предпосылки!$J83,$C$13:$C$15,AF$13:AF$15),1)</f>
        <v>0</v>
      </c>
      <c s="125">
        <f>Предпосылки!$I83*Предпосылки!AO83*(1+Чувствительность!$D$24)*IFERROR(LOOKUP(Предпосылки!$J83,$C$13:$C$15,AG$13:AG$15),1)</f>
        <v>0</v>
      </c>
      <c s="125">
        <f>Предпосылки!$I83*Предпосылки!AP83*(1+Чувствительность!$D$24)*IFERROR(LOOKUP(Предпосылки!$J83,$C$13:$C$15,AH$13:AH$15),1)</f>
        <v>0</v>
      </c>
      <c s="125">
        <f>Предпосылки!$I83*Предпосылки!AQ83*(1+Чувствительность!$D$24)*IFERROR(LOOKUP(Предпосылки!$J83,$C$13:$C$15,AI$13:AI$15),1)</f>
        <v>0</v>
      </c>
      <c s="125">
        <f>Предпосылки!$I83*Предпосылки!AR83*(1+Чувствительность!$D$24)*IFERROR(LOOKUP(Предпосылки!$J83,$C$13:$C$15,AJ$13:AJ$15),1)</f>
        <v>0</v>
      </c>
      <c s="125">
        <f>Предпосылки!$I83*Предпосылки!AS83*(1+Чувствительность!$D$24)*IFERROR(LOOKUP(Предпосылки!$J83,$C$13:$C$15,AK$13:AK$15),1)</f>
        <v>0</v>
      </c>
      <c s="125">
        <f>Предпосылки!$I83*Предпосылки!AT83*(1+Чувствительность!$D$24)*IFERROR(LOOKUP(Предпосылки!$J83,$C$13:$C$15,AL$13:AL$15),1)</f>
        <v>0</v>
      </c>
      <c s="125">
        <f>Предпосылки!$I83*Предпосылки!AU83*(1+Чувствительность!$D$24)*IFERROR(LOOKUP(Предпосылки!$J83,$C$13:$C$15,AM$13:AM$15),1)</f>
        <v>0</v>
      </c>
      <c s="125">
        <f>Предпосылки!$I83*Предпосылки!AV83*(1+Чувствительность!$D$24)*IFERROR(LOOKUP(Предпосылки!$J83,$C$13:$C$15,AN$13:AN$15),1)</f>
        <v>0</v>
      </c>
      <c s="125">
        <f>Предпосылки!$I83*Предпосылки!AW83*(1+Чувствительность!$D$24)*IFERROR(LOOKUP(Предпосылки!$J83,$C$13:$C$15,AO$13:AO$15),1)</f>
        <v>0</v>
      </c>
      <c s="125">
        <f>Предпосылки!$I83*Предпосылки!AX83*(1+Чувствительность!$D$24)*IFERROR(LOOKUP(Предпосылки!$J83,$C$13:$C$15,AP$13:AP$15),1)</f>
        <v>0</v>
      </c>
      <c s="125">
        <f>Предпосылки!$I83*Предпосылки!AY83*(1+Чувствительность!$D$24)*IFERROR(LOOKUP(Предпосылки!$J83,$C$13:$C$15,AQ$13:AQ$15),1)</f>
        <v>0</v>
      </c>
      <c s="125">
        <f>Предпосылки!$I83*Предпосылки!AZ83*(1+Чувствительность!$D$24)*IFERROR(LOOKUP(Предпосылки!$J83,$C$13:$C$15,AR$13:AR$15),1)</f>
        <v>0</v>
      </c>
      <c s="125">
        <f>Предпосылки!$I83*Предпосылки!BA83*(1+Чувствительность!$D$24)*IFERROR(LOOKUP(Предпосылки!$J83,$C$13:$C$15,AS$13:AS$15),1)</f>
        <v>0</v>
      </c>
      <c s="125">
        <f>Предпосылки!$I83*Предпосылки!BB83*(1+Чувствительность!$D$24)*IFERROR(LOOKUP(Предпосылки!$J83,$C$13:$C$15,AT$13:AT$15),1)</f>
        <v>0</v>
      </c>
      <c s="125">
        <f>Предпосылки!$I83*Предпосылки!BC83*(1+Чувствительность!$D$24)*IFERROR(LOOKUP(Предпосылки!$J83,$C$13:$C$15,AU$13:AU$15),1)</f>
        <v>0</v>
      </c>
      <c s="125">
        <f>Предпосылки!$I83*Предпосылки!BD83*(1+Чувствительность!$D$24)*IFERROR(LOOKUP(Предпосылки!$J83,$C$13:$C$15,AV$13:AV$15),1)</f>
        <v>0</v>
      </c>
      <c s="125">
        <f>Предпосылки!$I83*Предпосылки!BE83*(1+Чувствительность!$D$24)*IFERROR(LOOKUP(Предпосылки!$J83,$C$13:$C$15,AW$13:AW$15),1)</f>
        <v>0</v>
      </c>
      <c s="125">
        <f>Предпосылки!$I83*Предпосылки!BF83*(1+Чувствительность!$D$24)*IFERROR(LOOKUP(Предпосылки!$J83,$C$13:$C$15,AX$13:AX$15),1)</f>
        <v>0</v>
      </c>
      <c s="125">
        <f>Предпосылки!$I83*Предпосылки!BG83*(1+Чувствительность!$D$24)*IFERROR(LOOKUP(Предпосылки!$J83,$C$13:$C$15,AY$13:AY$15),1)</f>
        <v>0</v>
      </c>
      <c s="125">
        <f>Предпосылки!$I83*Предпосылки!BH83*(1+Чувствительность!$D$24)*IFERROR(LOOKUP(Предпосылки!$J83,$C$13:$C$15,AZ$13:AZ$15),1)</f>
        <v>0</v>
      </c>
      <c s="125">
        <f>Предпосылки!$I83*Предпосылки!BI83*(1+Чувствительность!$D$24)*IFERROR(LOOKUP(Предпосылки!$J83,$C$13:$C$15,BA$13:BA$15),1)</f>
        <v>0</v>
      </c>
      <c s="125">
        <f>Предпосылки!$I83*Предпосылки!BJ83*(1+Чувствительность!$D$24)*IFERROR(LOOKUP(Предпосылки!$J83,$C$13:$C$15,BB$13:BB$15),1)</f>
        <v>0</v>
      </c>
      <c s="125">
        <f>Предпосылки!$I83*Предпосылки!BK83*(1+Чувствительность!$D$24)*IFERROR(LOOKUP(Предпосылки!$J83,$C$13:$C$15,BC$13:BC$15),1)</f>
        <v>0</v>
      </c>
      <c s="125">
        <f>Предпосылки!$I83*Предпосылки!BL83*(1+Чувствительность!$D$24)*IFERROR(LOOKUP(Предпосылки!$J83,$C$13:$C$15,BD$13:BD$15),1)</f>
        <v>0</v>
      </c>
      <c s="125">
        <f>Предпосылки!$I83*Предпосылки!BM83*(1+Чувствительность!$D$24)*IFERROR(LOOKUP(Предпосылки!$J83,$C$13:$C$15,BE$13:BE$15),1)</f>
        <v>0</v>
      </c>
      <c s="125">
        <f>Предпосылки!$I83*Предпосылки!BN83*(1+Чувствительность!$D$24)*IFERROR(LOOKUP(Предпосылки!$J83,$C$13:$C$15,BF$13:BF$15),1)</f>
        <v>0</v>
      </c>
      <c s="125">
        <f>Предпосылки!$I83*Предпосылки!BO83*(1+Чувствительность!$D$24)*IFERROR(LOOKUP(Предпосылки!$J83,$C$13:$C$15,BG$13:BG$15),1)</f>
        <v>0</v>
      </c>
      <c s="125">
        <f>Предпосылки!$I83*Предпосылки!BP83*(1+Чувствительность!$D$24)*IFERROR(LOOKUP(Предпосылки!$J83,$C$13:$C$15,BH$13:BH$15),1)</f>
        <v>0</v>
      </c>
      <c s="125">
        <f>Предпосылки!$I83*Предпосылки!BQ83*(1+Чувствительность!$D$24)*IFERROR(LOOKUP(Предпосылки!$J83,$C$13:$C$15,BI$13:BI$15),1)</f>
        <v>0</v>
      </c>
      <c s="125">
        <f>Предпосылки!$I83*Предпосылки!BR83*(1+Чувствительность!$D$24)*IFERROR(LOOKUP(Предпосылки!$J83,$C$13:$C$15,BJ$13:BJ$15),1)</f>
        <v>0</v>
      </c>
      <c s="125">
        <f>Предпосылки!$I83*Предпосылки!BS83*(1+Чувствительность!$D$24)*IFERROR(LOOKUP(Предпосылки!$J83,$C$13:$C$15,BK$13:BK$15),1)</f>
        <v>0</v>
      </c>
      <c s="125">
        <f>Предпосылки!$I83*Предпосылки!BT83*(1+Чувствительность!$D$24)*IFERROR(LOOKUP(Предпосылки!$J83,$C$13:$C$15,BL$13:BL$15),1)</f>
        <v>0</v>
      </c>
      <c s="125">
        <f>Предпосылки!$I83*Предпосылки!BU83*(1+Чувствительность!$D$24)*IFERROR(LOOKUP(Предпосылки!$J83,$C$13:$C$15,BM$13:BM$15),1)</f>
        <v>0</v>
      </c>
    </row>
    <row r="69" spans="2:65" ht="15" customHeight="1">
      <c r="B69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Предпосылки!$I84*Предпосылки!M84*(1+Чувствительность!$D$24)*IFERROR(LOOKUP(Предпосылки!$J84,$C$13:$C$15,E$13:E$15),1)</f>
        <v>0</v>
      </c>
      <c s="125">
        <f>Предпосылки!$I84*Предпосылки!N84*(1+Чувствительность!$D$24)*IFERROR(LOOKUP(Предпосылки!$J84,$C$13:$C$15,F$13:F$15),1)</f>
        <v>0</v>
      </c>
      <c s="125">
        <f>Предпосылки!$I84*Предпосылки!O84*(1+Чувствительность!$D$24)*IFERROR(LOOKUP(Предпосылки!$J84,$C$13:$C$15,G$13:G$15),1)</f>
        <v>0</v>
      </c>
      <c s="125">
        <f>Предпосылки!$I84*Предпосылки!P84*(1+Чувствительность!$D$24)*IFERROR(LOOKUP(Предпосылки!$J84,$C$13:$C$15,H$13:H$15),1)</f>
        <v>0</v>
      </c>
      <c s="125">
        <f>Предпосылки!$I84*Предпосылки!Q84*(1+Чувствительность!$D$24)*IFERROR(LOOKUP(Предпосылки!$J84,$C$13:$C$15,I$13:I$15),1)</f>
        <v>0</v>
      </c>
      <c s="125">
        <f>Предпосылки!$I84*Предпосылки!R84*(1+Чувствительность!$D$24)*IFERROR(LOOKUP(Предпосылки!$J84,$C$13:$C$15,J$13:J$15),1)</f>
        <v>0</v>
      </c>
      <c s="125">
        <f>Предпосылки!$I84*Предпосылки!S84*(1+Чувствительность!$D$24)*IFERROR(LOOKUP(Предпосылки!$J84,$C$13:$C$15,K$13:K$15),1)</f>
        <v>0</v>
      </c>
      <c s="125">
        <f>Предпосылки!$I84*Предпосылки!T84*(1+Чувствительность!$D$24)*IFERROR(LOOKUP(Предпосылки!$J84,$C$13:$C$15,L$13:L$15),1)</f>
        <v>0</v>
      </c>
      <c s="125">
        <f>Предпосылки!$I84*Предпосылки!U84*(1+Чувствительность!$D$24)*IFERROR(LOOKUP(Предпосылки!$J84,$C$13:$C$15,M$13:M$15),1)</f>
        <v>0</v>
      </c>
      <c s="125">
        <f>Предпосылки!$I84*Предпосылки!V84*(1+Чувствительность!$D$24)*IFERROR(LOOKUP(Предпосылки!$J84,$C$13:$C$15,N$13:N$15),1)</f>
        <v>0</v>
      </c>
      <c s="125">
        <f>Предпосылки!$I84*Предпосылки!W84*(1+Чувствительность!$D$24)*IFERROR(LOOKUP(Предпосылки!$J84,$C$13:$C$15,O$13:O$15),1)</f>
        <v>0</v>
      </c>
      <c s="125">
        <f>Предпосылки!$I84*Предпосылки!X84*(1+Чувствительность!$D$24)*IFERROR(LOOKUP(Предпосылки!$J84,$C$13:$C$15,P$13:P$15),1)</f>
        <v>0</v>
      </c>
      <c s="125">
        <f>Предпосылки!$I84*Предпосылки!Y84*(1+Чувствительность!$D$24)*IFERROR(LOOKUP(Предпосылки!$J84,$C$13:$C$15,Q$13:Q$15),1)</f>
        <v>0</v>
      </c>
      <c s="125">
        <f>Предпосылки!$I84*Предпосылки!Z84*(1+Чувствительность!$D$24)*IFERROR(LOOKUP(Предпосылки!$J84,$C$13:$C$15,R$13:R$15),1)</f>
        <v>0</v>
      </c>
      <c s="125">
        <f>Предпосылки!$I84*Предпосылки!AA84*(1+Чувствительность!$D$24)*IFERROR(LOOKUP(Предпосылки!$J84,$C$13:$C$15,S$13:S$15),1)</f>
        <v>0</v>
      </c>
      <c s="125">
        <f>Предпосылки!$I84*Предпосылки!AB84*(1+Чувствительность!$D$24)*IFERROR(LOOKUP(Предпосылки!$J84,$C$13:$C$15,T$13:T$15),1)</f>
        <v>0</v>
      </c>
      <c s="125">
        <f>Предпосылки!$I84*Предпосылки!AC84*(1+Чувствительность!$D$24)*IFERROR(LOOKUP(Предпосылки!$J84,$C$13:$C$15,U$13:U$15),1)</f>
        <v>0</v>
      </c>
      <c s="125">
        <f>Предпосылки!$I84*Предпосылки!AD84*(1+Чувствительность!$D$24)*IFERROR(LOOKUP(Предпосылки!$J84,$C$13:$C$15,V$13:V$15),1)</f>
        <v>0</v>
      </c>
      <c s="125">
        <f>Предпосылки!$I84*Предпосылки!AE84*(1+Чувствительность!$D$24)*IFERROR(LOOKUP(Предпосылки!$J84,$C$13:$C$15,W$13:W$15),1)</f>
        <v>0</v>
      </c>
      <c s="125">
        <f>Предпосылки!$I84*Предпосылки!AF84*(1+Чувствительность!$D$24)*IFERROR(LOOKUP(Предпосылки!$J84,$C$13:$C$15,X$13:X$15),1)</f>
        <v>0</v>
      </c>
      <c s="125">
        <f>Предпосылки!$I84*Предпосылки!AG84*(1+Чувствительность!$D$24)*IFERROR(LOOKUP(Предпосылки!$J84,$C$13:$C$15,Y$13:Y$15),1)</f>
        <v>0</v>
      </c>
      <c s="125">
        <f>Предпосылки!$I84*Предпосылки!AH84*(1+Чувствительность!$D$24)*IFERROR(LOOKUP(Предпосылки!$J84,$C$13:$C$15,Z$13:Z$15),1)</f>
        <v>0</v>
      </c>
      <c s="125">
        <f>Предпосылки!$I84*Предпосылки!AI84*(1+Чувствительность!$D$24)*IFERROR(LOOKUP(Предпосылки!$J84,$C$13:$C$15,AA$13:AA$15),1)</f>
        <v>0</v>
      </c>
      <c s="125">
        <f>Предпосылки!$I84*Предпосылки!AJ84*(1+Чувствительность!$D$24)*IFERROR(LOOKUP(Предпосылки!$J84,$C$13:$C$15,AB$13:AB$15),1)</f>
        <v>0</v>
      </c>
      <c s="125">
        <f>Предпосылки!$I84*Предпосылки!AK84*(1+Чувствительность!$D$24)*IFERROR(LOOKUP(Предпосылки!$J84,$C$13:$C$15,AC$13:AC$15),1)</f>
        <v>0</v>
      </c>
      <c s="125">
        <f>Предпосылки!$I84*Предпосылки!AL84*(1+Чувствительность!$D$24)*IFERROR(LOOKUP(Предпосылки!$J84,$C$13:$C$15,AD$13:AD$15),1)</f>
        <v>0</v>
      </c>
      <c s="125">
        <f>Предпосылки!$I84*Предпосылки!AM84*(1+Чувствительность!$D$24)*IFERROR(LOOKUP(Предпосылки!$J84,$C$13:$C$15,AE$13:AE$15),1)</f>
        <v>0</v>
      </c>
      <c s="125">
        <f>Предпосылки!$I84*Предпосылки!AN84*(1+Чувствительность!$D$24)*IFERROR(LOOKUP(Предпосылки!$J84,$C$13:$C$15,AF$13:AF$15),1)</f>
        <v>0</v>
      </c>
      <c s="125">
        <f>Предпосылки!$I84*Предпосылки!AO84*(1+Чувствительность!$D$24)*IFERROR(LOOKUP(Предпосылки!$J84,$C$13:$C$15,AG$13:AG$15),1)</f>
        <v>0</v>
      </c>
      <c s="125">
        <f>Предпосылки!$I84*Предпосылки!AP84*(1+Чувствительность!$D$24)*IFERROR(LOOKUP(Предпосылки!$J84,$C$13:$C$15,AH$13:AH$15),1)</f>
        <v>0</v>
      </c>
      <c s="125">
        <f>Предпосылки!$I84*Предпосылки!AQ84*(1+Чувствительность!$D$24)*IFERROR(LOOKUP(Предпосылки!$J84,$C$13:$C$15,AI$13:AI$15),1)</f>
        <v>0</v>
      </c>
      <c s="125">
        <f>Предпосылки!$I84*Предпосылки!AR84*(1+Чувствительность!$D$24)*IFERROR(LOOKUP(Предпосылки!$J84,$C$13:$C$15,AJ$13:AJ$15),1)</f>
        <v>0</v>
      </c>
      <c s="125">
        <f>Предпосылки!$I84*Предпосылки!AS84*(1+Чувствительность!$D$24)*IFERROR(LOOKUP(Предпосылки!$J84,$C$13:$C$15,AK$13:AK$15),1)</f>
        <v>0</v>
      </c>
      <c s="125">
        <f>Предпосылки!$I84*Предпосылки!AT84*(1+Чувствительность!$D$24)*IFERROR(LOOKUP(Предпосылки!$J84,$C$13:$C$15,AL$13:AL$15),1)</f>
        <v>0</v>
      </c>
      <c s="125">
        <f>Предпосылки!$I84*Предпосылки!AU84*(1+Чувствительность!$D$24)*IFERROR(LOOKUP(Предпосылки!$J84,$C$13:$C$15,AM$13:AM$15),1)</f>
        <v>0</v>
      </c>
      <c s="125">
        <f>Предпосылки!$I84*Предпосылки!AV84*(1+Чувствительность!$D$24)*IFERROR(LOOKUP(Предпосылки!$J84,$C$13:$C$15,AN$13:AN$15),1)</f>
        <v>0</v>
      </c>
      <c s="125">
        <f>Предпосылки!$I84*Предпосылки!AW84*(1+Чувствительность!$D$24)*IFERROR(LOOKUP(Предпосылки!$J84,$C$13:$C$15,AO$13:AO$15),1)</f>
        <v>0</v>
      </c>
      <c s="125">
        <f>Предпосылки!$I84*Предпосылки!AX84*(1+Чувствительность!$D$24)*IFERROR(LOOKUP(Предпосылки!$J84,$C$13:$C$15,AP$13:AP$15),1)</f>
        <v>0</v>
      </c>
      <c s="125">
        <f>Предпосылки!$I84*Предпосылки!AY84*(1+Чувствительность!$D$24)*IFERROR(LOOKUP(Предпосылки!$J84,$C$13:$C$15,AQ$13:AQ$15),1)</f>
        <v>0</v>
      </c>
      <c s="125">
        <f>Предпосылки!$I84*Предпосылки!AZ84*(1+Чувствительность!$D$24)*IFERROR(LOOKUP(Предпосылки!$J84,$C$13:$C$15,AR$13:AR$15),1)</f>
        <v>0</v>
      </c>
      <c s="125">
        <f>Предпосылки!$I84*Предпосылки!BA84*(1+Чувствительность!$D$24)*IFERROR(LOOKUP(Предпосылки!$J84,$C$13:$C$15,AS$13:AS$15),1)</f>
        <v>0</v>
      </c>
      <c s="125">
        <f>Предпосылки!$I84*Предпосылки!BB84*(1+Чувствительность!$D$24)*IFERROR(LOOKUP(Предпосылки!$J84,$C$13:$C$15,AT$13:AT$15),1)</f>
        <v>0</v>
      </c>
      <c s="125">
        <f>Предпосылки!$I84*Предпосылки!BC84*(1+Чувствительность!$D$24)*IFERROR(LOOKUP(Предпосылки!$J84,$C$13:$C$15,AU$13:AU$15),1)</f>
        <v>0</v>
      </c>
      <c s="125">
        <f>Предпосылки!$I84*Предпосылки!BD84*(1+Чувствительность!$D$24)*IFERROR(LOOKUP(Предпосылки!$J84,$C$13:$C$15,AV$13:AV$15),1)</f>
        <v>0</v>
      </c>
      <c s="125">
        <f>Предпосылки!$I84*Предпосылки!BE84*(1+Чувствительность!$D$24)*IFERROR(LOOKUP(Предпосылки!$J84,$C$13:$C$15,AW$13:AW$15),1)</f>
        <v>0</v>
      </c>
      <c s="125">
        <f>Предпосылки!$I84*Предпосылки!BF84*(1+Чувствительность!$D$24)*IFERROR(LOOKUP(Предпосылки!$J84,$C$13:$C$15,AX$13:AX$15),1)</f>
        <v>0</v>
      </c>
      <c s="125">
        <f>Предпосылки!$I84*Предпосылки!BG84*(1+Чувствительность!$D$24)*IFERROR(LOOKUP(Предпосылки!$J84,$C$13:$C$15,AY$13:AY$15),1)</f>
        <v>0</v>
      </c>
      <c s="125">
        <f>Предпосылки!$I84*Предпосылки!BH84*(1+Чувствительность!$D$24)*IFERROR(LOOKUP(Предпосылки!$J84,$C$13:$C$15,AZ$13:AZ$15),1)</f>
        <v>0</v>
      </c>
      <c s="125">
        <f>Предпосылки!$I84*Предпосылки!BI84*(1+Чувствительность!$D$24)*IFERROR(LOOKUP(Предпосылки!$J84,$C$13:$C$15,BA$13:BA$15),1)</f>
        <v>0</v>
      </c>
      <c s="125">
        <f>Предпосылки!$I84*Предпосылки!BJ84*(1+Чувствительность!$D$24)*IFERROR(LOOKUP(Предпосылки!$J84,$C$13:$C$15,BB$13:BB$15),1)</f>
        <v>0</v>
      </c>
      <c s="125">
        <f>Предпосылки!$I84*Предпосылки!BK84*(1+Чувствительность!$D$24)*IFERROR(LOOKUP(Предпосылки!$J84,$C$13:$C$15,BC$13:BC$15),1)</f>
        <v>0</v>
      </c>
      <c s="125">
        <f>Предпосылки!$I84*Предпосылки!BL84*(1+Чувствительность!$D$24)*IFERROR(LOOKUP(Предпосылки!$J84,$C$13:$C$15,BD$13:BD$15),1)</f>
        <v>0</v>
      </c>
      <c s="125">
        <f>Предпосылки!$I84*Предпосылки!BM84*(1+Чувствительность!$D$24)*IFERROR(LOOKUP(Предпосылки!$J84,$C$13:$C$15,BE$13:BE$15),1)</f>
        <v>0</v>
      </c>
      <c s="125">
        <f>Предпосылки!$I84*Предпосылки!BN84*(1+Чувствительность!$D$24)*IFERROR(LOOKUP(Предпосылки!$J84,$C$13:$C$15,BF$13:BF$15),1)</f>
        <v>0</v>
      </c>
      <c s="125">
        <f>Предпосылки!$I84*Предпосылки!BO84*(1+Чувствительность!$D$24)*IFERROR(LOOKUP(Предпосылки!$J84,$C$13:$C$15,BG$13:BG$15),1)</f>
        <v>0</v>
      </c>
      <c s="125">
        <f>Предпосылки!$I84*Предпосылки!BP84*(1+Чувствительность!$D$24)*IFERROR(LOOKUP(Предпосылки!$J84,$C$13:$C$15,BH$13:BH$15),1)</f>
        <v>0</v>
      </c>
      <c s="125">
        <f>Предпосылки!$I84*Предпосылки!BQ84*(1+Чувствительность!$D$24)*IFERROR(LOOKUP(Предпосылки!$J84,$C$13:$C$15,BI$13:BI$15),1)</f>
        <v>0</v>
      </c>
      <c s="125">
        <f>Предпосылки!$I84*Предпосылки!BR84*(1+Чувствительность!$D$24)*IFERROR(LOOKUP(Предпосылки!$J84,$C$13:$C$15,BJ$13:BJ$15),1)</f>
        <v>0</v>
      </c>
      <c s="125">
        <f>Предпосылки!$I84*Предпосылки!BS84*(1+Чувствительность!$D$24)*IFERROR(LOOKUP(Предпосылки!$J84,$C$13:$C$15,BK$13:BK$15),1)</f>
        <v>0</v>
      </c>
      <c s="125">
        <f>Предпосылки!$I84*Предпосылки!BT84*(1+Чувствительность!$D$24)*IFERROR(LOOKUP(Предпосылки!$J84,$C$13:$C$15,BL$13:BL$15),1)</f>
        <v>0</v>
      </c>
      <c s="125">
        <f>Предпосылки!$I84*Предпосылки!BU84*(1+Чувствительность!$D$24)*IFERROR(LOOKUP(Предпосылки!$J84,$C$13:$C$15,BM$13:BM$15),1)</f>
        <v>0</v>
      </c>
    </row>
    <row r="70" spans="2:65" ht="15" customHeight="1">
      <c r="B70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Предпосылки!$I85*Предпосылки!M85*(1+Чувствительность!$D$24)*IFERROR(LOOKUP(Предпосылки!$J85,$C$13:$C$15,E$13:E$15),1)</f>
        <v>0</v>
      </c>
      <c s="125">
        <f>Предпосылки!$I85*Предпосылки!N85*(1+Чувствительность!$D$24)*IFERROR(LOOKUP(Предпосылки!$J85,$C$13:$C$15,F$13:F$15),1)</f>
        <v>0</v>
      </c>
      <c s="125">
        <f>Предпосылки!$I85*Предпосылки!O85*(1+Чувствительность!$D$24)*IFERROR(LOOKUP(Предпосылки!$J85,$C$13:$C$15,G$13:G$15),1)</f>
        <v>0</v>
      </c>
      <c s="125">
        <f>Предпосылки!$I85*Предпосылки!P85*(1+Чувствительность!$D$24)*IFERROR(LOOKUP(Предпосылки!$J85,$C$13:$C$15,H$13:H$15),1)</f>
        <v>0</v>
      </c>
      <c s="125">
        <f>Предпосылки!$I85*Предпосылки!Q85*(1+Чувствительность!$D$24)*IFERROR(LOOKUP(Предпосылки!$J85,$C$13:$C$15,I$13:I$15),1)</f>
        <v>0</v>
      </c>
      <c s="125">
        <f>Предпосылки!$I85*Предпосылки!R85*(1+Чувствительность!$D$24)*IFERROR(LOOKUP(Предпосылки!$J85,$C$13:$C$15,J$13:J$15),1)</f>
        <v>0</v>
      </c>
      <c s="125">
        <f>Предпосылки!$I85*Предпосылки!S85*(1+Чувствительность!$D$24)*IFERROR(LOOKUP(Предпосылки!$J85,$C$13:$C$15,K$13:K$15),1)</f>
        <v>0</v>
      </c>
      <c s="125">
        <f>Предпосылки!$I85*Предпосылки!T85*(1+Чувствительность!$D$24)*IFERROR(LOOKUP(Предпосылки!$J85,$C$13:$C$15,L$13:L$15),1)</f>
        <v>0</v>
      </c>
      <c s="125">
        <f>Предпосылки!$I85*Предпосылки!U85*(1+Чувствительность!$D$24)*IFERROR(LOOKUP(Предпосылки!$J85,$C$13:$C$15,M$13:M$15),1)</f>
        <v>0</v>
      </c>
      <c s="125">
        <f>Предпосылки!$I85*Предпосылки!V85*(1+Чувствительность!$D$24)*IFERROR(LOOKUP(Предпосылки!$J85,$C$13:$C$15,N$13:N$15),1)</f>
        <v>0</v>
      </c>
      <c s="125">
        <f>Предпосылки!$I85*Предпосылки!W85*(1+Чувствительность!$D$24)*IFERROR(LOOKUP(Предпосылки!$J85,$C$13:$C$15,O$13:O$15),1)</f>
        <v>0</v>
      </c>
      <c s="125">
        <f>Предпосылки!$I85*Предпосылки!X85*(1+Чувствительность!$D$24)*IFERROR(LOOKUP(Предпосылки!$J85,$C$13:$C$15,P$13:P$15),1)</f>
        <v>0</v>
      </c>
      <c s="125">
        <f>Предпосылки!$I85*Предпосылки!Y85*(1+Чувствительность!$D$24)*IFERROR(LOOKUP(Предпосылки!$J85,$C$13:$C$15,Q$13:Q$15),1)</f>
        <v>0</v>
      </c>
      <c s="125">
        <f>Предпосылки!$I85*Предпосылки!Z85*(1+Чувствительность!$D$24)*IFERROR(LOOKUP(Предпосылки!$J85,$C$13:$C$15,R$13:R$15),1)</f>
        <v>0</v>
      </c>
      <c s="125">
        <f>Предпосылки!$I85*Предпосылки!AA85*(1+Чувствительность!$D$24)*IFERROR(LOOKUP(Предпосылки!$J85,$C$13:$C$15,S$13:S$15),1)</f>
        <v>0</v>
      </c>
      <c s="125">
        <f>Предпосылки!$I85*Предпосылки!AB85*(1+Чувствительность!$D$24)*IFERROR(LOOKUP(Предпосылки!$J85,$C$13:$C$15,T$13:T$15),1)</f>
        <v>0</v>
      </c>
      <c s="125">
        <f>Предпосылки!$I85*Предпосылки!AC85*(1+Чувствительность!$D$24)*IFERROR(LOOKUP(Предпосылки!$J85,$C$13:$C$15,U$13:U$15),1)</f>
        <v>0</v>
      </c>
      <c s="125">
        <f>Предпосылки!$I85*Предпосылки!AD85*(1+Чувствительность!$D$24)*IFERROR(LOOKUP(Предпосылки!$J85,$C$13:$C$15,V$13:V$15),1)</f>
        <v>0</v>
      </c>
      <c s="125">
        <f>Предпосылки!$I85*Предпосылки!AE85*(1+Чувствительность!$D$24)*IFERROR(LOOKUP(Предпосылки!$J85,$C$13:$C$15,W$13:W$15),1)</f>
        <v>0</v>
      </c>
      <c s="125">
        <f>Предпосылки!$I85*Предпосылки!AF85*(1+Чувствительность!$D$24)*IFERROR(LOOKUP(Предпосылки!$J85,$C$13:$C$15,X$13:X$15),1)</f>
        <v>0</v>
      </c>
      <c s="125">
        <f>Предпосылки!$I85*Предпосылки!AG85*(1+Чувствительность!$D$24)*IFERROR(LOOKUP(Предпосылки!$J85,$C$13:$C$15,Y$13:Y$15),1)</f>
        <v>0</v>
      </c>
      <c s="125">
        <f>Предпосылки!$I85*Предпосылки!AH85*(1+Чувствительность!$D$24)*IFERROR(LOOKUP(Предпосылки!$J85,$C$13:$C$15,Z$13:Z$15),1)</f>
        <v>0</v>
      </c>
      <c s="125">
        <f>Предпосылки!$I85*Предпосылки!AI85*(1+Чувствительность!$D$24)*IFERROR(LOOKUP(Предпосылки!$J85,$C$13:$C$15,AA$13:AA$15),1)</f>
        <v>0</v>
      </c>
      <c s="125">
        <f>Предпосылки!$I85*Предпосылки!AJ85*(1+Чувствительность!$D$24)*IFERROR(LOOKUP(Предпосылки!$J85,$C$13:$C$15,AB$13:AB$15),1)</f>
        <v>0</v>
      </c>
      <c s="125">
        <f>Предпосылки!$I85*Предпосылки!AK85*(1+Чувствительность!$D$24)*IFERROR(LOOKUP(Предпосылки!$J85,$C$13:$C$15,AC$13:AC$15),1)</f>
        <v>0</v>
      </c>
      <c s="125">
        <f>Предпосылки!$I85*Предпосылки!AL85*(1+Чувствительность!$D$24)*IFERROR(LOOKUP(Предпосылки!$J85,$C$13:$C$15,AD$13:AD$15),1)</f>
        <v>0</v>
      </c>
      <c s="125">
        <f>Предпосылки!$I85*Предпосылки!AM85*(1+Чувствительность!$D$24)*IFERROR(LOOKUP(Предпосылки!$J85,$C$13:$C$15,AE$13:AE$15),1)</f>
        <v>0</v>
      </c>
      <c s="125">
        <f>Предпосылки!$I85*Предпосылки!AN85*(1+Чувствительность!$D$24)*IFERROR(LOOKUP(Предпосылки!$J85,$C$13:$C$15,AF$13:AF$15),1)</f>
        <v>0</v>
      </c>
      <c s="125">
        <f>Предпосылки!$I85*Предпосылки!AO85*(1+Чувствительность!$D$24)*IFERROR(LOOKUP(Предпосылки!$J85,$C$13:$C$15,AG$13:AG$15),1)</f>
        <v>0</v>
      </c>
      <c s="125">
        <f>Предпосылки!$I85*Предпосылки!AP85*(1+Чувствительность!$D$24)*IFERROR(LOOKUP(Предпосылки!$J85,$C$13:$C$15,AH$13:AH$15),1)</f>
        <v>0</v>
      </c>
      <c s="125">
        <f>Предпосылки!$I85*Предпосылки!AQ85*(1+Чувствительность!$D$24)*IFERROR(LOOKUP(Предпосылки!$J85,$C$13:$C$15,AI$13:AI$15),1)</f>
        <v>0</v>
      </c>
      <c s="125">
        <f>Предпосылки!$I85*Предпосылки!AR85*(1+Чувствительность!$D$24)*IFERROR(LOOKUP(Предпосылки!$J85,$C$13:$C$15,AJ$13:AJ$15),1)</f>
        <v>0</v>
      </c>
      <c s="125">
        <f>Предпосылки!$I85*Предпосылки!AS85*(1+Чувствительность!$D$24)*IFERROR(LOOKUP(Предпосылки!$J85,$C$13:$C$15,AK$13:AK$15),1)</f>
        <v>0</v>
      </c>
      <c s="125">
        <f>Предпосылки!$I85*Предпосылки!AT85*(1+Чувствительность!$D$24)*IFERROR(LOOKUP(Предпосылки!$J85,$C$13:$C$15,AL$13:AL$15),1)</f>
        <v>0</v>
      </c>
      <c s="125">
        <f>Предпосылки!$I85*Предпосылки!AU85*(1+Чувствительность!$D$24)*IFERROR(LOOKUP(Предпосылки!$J85,$C$13:$C$15,AM$13:AM$15),1)</f>
        <v>0</v>
      </c>
      <c s="125">
        <f>Предпосылки!$I85*Предпосылки!AV85*(1+Чувствительность!$D$24)*IFERROR(LOOKUP(Предпосылки!$J85,$C$13:$C$15,AN$13:AN$15),1)</f>
        <v>0</v>
      </c>
      <c s="125">
        <f>Предпосылки!$I85*Предпосылки!AW85*(1+Чувствительность!$D$24)*IFERROR(LOOKUP(Предпосылки!$J85,$C$13:$C$15,AO$13:AO$15),1)</f>
        <v>0</v>
      </c>
      <c s="125">
        <f>Предпосылки!$I85*Предпосылки!AX85*(1+Чувствительность!$D$24)*IFERROR(LOOKUP(Предпосылки!$J85,$C$13:$C$15,AP$13:AP$15),1)</f>
        <v>0</v>
      </c>
      <c s="125">
        <f>Предпосылки!$I85*Предпосылки!AY85*(1+Чувствительность!$D$24)*IFERROR(LOOKUP(Предпосылки!$J85,$C$13:$C$15,AQ$13:AQ$15),1)</f>
        <v>0</v>
      </c>
      <c s="125">
        <f>Предпосылки!$I85*Предпосылки!AZ85*(1+Чувствительность!$D$24)*IFERROR(LOOKUP(Предпосылки!$J85,$C$13:$C$15,AR$13:AR$15),1)</f>
        <v>0</v>
      </c>
      <c s="125">
        <f>Предпосылки!$I85*Предпосылки!BA85*(1+Чувствительность!$D$24)*IFERROR(LOOKUP(Предпосылки!$J85,$C$13:$C$15,AS$13:AS$15),1)</f>
        <v>0</v>
      </c>
      <c s="125">
        <f>Предпосылки!$I85*Предпосылки!BB85*(1+Чувствительность!$D$24)*IFERROR(LOOKUP(Предпосылки!$J85,$C$13:$C$15,AT$13:AT$15),1)</f>
        <v>0</v>
      </c>
      <c s="125">
        <f>Предпосылки!$I85*Предпосылки!BC85*(1+Чувствительность!$D$24)*IFERROR(LOOKUP(Предпосылки!$J85,$C$13:$C$15,AU$13:AU$15),1)</f>
        <v>0</v>
      </c>
      <c s="125">
        <f>Предпосылки!$I85*Предпосылки!BD85*(1+Чувствительность!$D$24)*IFERROR(LOOKUP(Предпосылки!$J85,$C$13:$C$15,AV$13:AV$15),1)</f>
        <v>0</v>
      </c>
      <c s="125">
        <f>Предпосылки!$I85*Предпосылки!BE85*(1+Чувствительность!$D$24)*IFERROR(LOOKUP(Предпосылки!$J85,$C$13:$C$15,AW$13:AW$15),1)</f>
        <v>0</v>
      </c>
      <c s="125">
        <f>Предпосылки!$I85*Предпосылки!BF85*(1+Чувствительность!$D$24)*IFERROR(LOOKUP(Предпосылки!$J85,$C$13:$C$15,AX$13:AX$15),1)</f>
        <v>0</v>
      </c>
      <c s="125">
        <f>Предпосылки!$I85*Предпосылки!BG85*(1+Чувствительность!$D$24)*IFERROR(LOOKUP(Предпосылки!$J85,$C$13:$C$15,AY$13:AY$15),1)</f>
        <v>0</v>
      </c>
      <c s="125">
        <f>Предпосылки!$I85*Предпосылки!BH85*(1+Чувствительность!$D$24)*IFERROR(LOOKUP(Предпосылки!$J85,$C$13:$C$15,AZ$13:AZ$15),1)</f>
        <v>0</v>
      </c>
      <c s="125">
        <f>Предпосылки!$I85*Предпосылки!BI85*(1+Чувствительность!$D$24)*IFERROR(LOOKUP(Предпосылки!$J85,$C$13:$C$15,BA$13:BA$15),1)</f>
        <v>0</v>
      </c>
      <c s="125">
        <f>Предпосылки!$I85*Предпосылки!BJ85*(1+Чувствительность!$D$24)*IFERROR(LOOKUP(Предпосылки!$J85,$C$13:$C$15,BB$13:BB$15),1)</f>
        <v>0</v>
      </c>
      <c s="125">
        <f>Предпосылки!$I85*Предпосылки!BK85*(1+Чувствительность!$D$24)*IFERROR(LOOKUP(Предпосылки!$J85,$C$13:$C$15,BC$13:BC$15),1)</f>
        <v>0</v>
      </c>
      <c s="125">
        <f>Предпосылки!$I85*Предпосылки!BL85*(1+Чувствительность!$D$24)*IFERROR(LOOKUP(Предпосылки!$J85,$C$13:$C$15,BD$13:BD$15),1)</f>
        <v>0</v>
      </c>
      <c s="125">
        <f>Предпосылки!$I85*Предпосылки!BM85*(1+Чувствительность!$D$24)*IFERROR(LOOKUP(Предпосылки!$J85,$C$13:$C$15,BE$13:BE$15),1)</f>
        <v>0</v>
      </c>
      <c s="125">
        <f>Предпосылки!$I85*Предпосылки!BN85*(1+Чувствительность!$D$24)*IFERROR(LOOKUP(Предпосылки!$J85,$C$13:$C$15,BF$13:BF$15),1)</f>
        <v>0</v>
      </c>
      <c s="125">
        <f>Предпосылки!$I85*Предпосылки!BO85*(1+Чувствительность!$D$24)*IFERROR(LOOKUP(Предпосылки!$J85,$C$13:$C$15,BG$13:BG$15),1)</f>
        <v>0</v>
      </c>
      <c s="125">
        <f>Предпосылки!$I85*Предпосылки!BP85*(1+Чувствительность!$D$24)*IFERROR(LOOKUP(Предпосылки!$J85,$C$13:$C$15,BH$13:BH$15),1)</f>
        <v>0</v>
      </c>
      <c s="125">
        <f>Предпосылки!$I85*Предпосылки!BQ85*(1+Чувствительность!$D$24)*IFERROR(LOOKUP(Предпосылки!$J85,$C$13:$C$15,BI$13:BI$15),1)</f>
        <v>0</v>
      </c>
      <c s="125">
        <f>Предпосылки!$I85*Предпосылки!BR85*(1+Чувствительность!$D$24)*IFERROR(LOOKUP(Предпосылки!$J85,$C$13:$C$15,BJ$13:BJ$15),1)</f>
        <v>0</v>
      </c>
      <c s="125">
        <f>Предпосылки!$I85*Предпосылки!BS85*(1+Чувствительность!$D$24)*IFERROR(LOOKUP(Предпосылки!$J85,$C$13:$C$15,BK$13:BK$15),1)</f>
        <v>0</v>
      </c>
      <c s="125">
        <f>Предпосылки!$I85*Предпосылки!BT85*(1+Чувствительность!$D$24)*IFERROR(LOOKUP(Предпосылки!$J85,$C$13:$C$15,BL$13:BL$15),1)</f>
        <v>0</v>
      </c>
      <c s="125">
        <f>Предпосылки!$I85*Предпосылки!BU85*(1+Чувствительность!$D$24)*IFERROR(LOOKUP(Предпосылки!$J85,$C$13:$C$15,BM$13:BM$15),1)</f>
        <v>0</v>
      </c>
    </row>
    <row r="71" spans="2:65" ht="15" customHeight="1">
      <c r="B71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Предпосылки!$I86*Предпосылки!M86*(1+Чувствительность!$D$24)*IFERROR(LOOKUP(Предпосылки!$J86,$C$13:$C$15,E$13:E$15),1)</f>
        <v>0</v>
      </c>
      <c s="125">
        <f>Предпосылки!$I86*Предпосылки!N86*(1+Чувствительность!$D$24)*IFERROR(LOOKUP(Предпосылки!$J86,$C$13:$C$15,F$13:F$15),1)</f>
        <v>0</v>
      </c>
      <c s="125">
        <f>Предпосылки!$I86*Предпосылки!O86*(1+Чувствительность!$D$24)*IFERROR(LOOKUP(Предпосылки!$J86,$C$13:$C$15,G$13:G$15),1)</f>
        <v>0</v>
      </c>
      <c s="125">
        <f>Предпосылки!$I86*Предпосылки!P86*(1+Чувствительность!$D$24)*IFERROR(LOOKUP(Предпосылки!$J86,$C$13:$C$15,H$13:H$15),1)</f>
        <v>0</v>
      </c>
      <c s="125">
        <f>Предпосылки!$I86*Предпосылки!Q86*(1+Чувствительность!$D$24)*IFERROR(LOOKUP(Предпосылки!$J86,$C$13:$C$15,I$13:I$15),1)</f>
        <v>0</v>
      </c>
      <c s="125">
        <f>Предпосылки!$I86*Предпосылки!R86*(1+Чувствительность!$D$24)*IFERROR(LOOKUP(Предпосылки!$J86,$C$13:$C$15,J$13:J$15),1)</f>
        <v>0</v>
      </c>
      <c s="125">
        <f>Предпосылки!$I86*Предпосылки!S86*(1+Чувствительность!$D$24)*IFERROR(LOOKUP(Предпосылки!$J86,$C$13:$C$15,K$13:K$15),1)</f>
        <v>0</v>
      </c>
      <c s="125">
        <f>Предпосылки!$I86*Предпосылки!T86*(1+Чувствительность!$D$24)*IFERROR(LOOKUP(Предпосылки!$J86,$C$13:$C$15,L$13:L$15),1)</f>
        <v>0</v>
      </c>
      <c s="125">
        <f>Предпосылки!$I86*Предпосылки!U86*(1+Чувствительность!$D$24)*IFERROR(LOOKUP(Предпосылки!$J86,$C$13:$C$15,M$13:M$15),1)</f>
        <v>0</v>
      </c>
      <c s="125">
        <f>Предпосылки!$I86*Предпосылки!V86*(1+Чувствительность!$D$24)*IFERROR(LOOKUP(Предпосылки!$J86,$C$13:$C$15,N$13:N$15),1)</f>
        <v>0</v>
      </c>
      <c s="125">
        <f>Предпосылки!$I86*Предпосылки!W86*(1+Чувствительность!$D$24)*IFERROR(LOOKUP(Предпосылки!$J86,$C$13:$C$15,O$13:O$15),1)</f>
        <v>0</v>
      </c>
      <c s="125">
        <f>Предпосылки!$I86*Предпосылки!X86*(1+Чувствительность!$D$24)*IFERROR(LOOKUP(Предпосылки!$J86,$C$13:$C$15,P$13:P$15),1)</f>
        <v>0</v>
      </c>
      <c s="125">
        <f>Предпосылки!$I86*Предпосылки!Y86*(1+Чувствительность!$D$24)*IFERROR(LOOKUP(Предпосылки!$J86,$C$13:$C$15,Q$13:Q$15),1)</f>
        <v>0</v>
      </c>
      <c s="125">
        <f>Предпосылки!$I86*Предпосылки!Z86*(1+Чувствительность!$D$24)*IFERROR(LOOKUP(Предпосылки!$J86,$C$13:$C$15,R$13:R$15),1)</f>
        <v>0</v>
      </c>
      <c s="125">
        <f>Предпосылки!$I86*Предпосылки!AA86*(1+Чувствительность!$D$24)*IFERROR(LOOKUP(Предпосылки!$J86,$C$13:$C$15,S$13:S$15),1)</f>
        <v>0</v>
      </c>
      <c s="125">
        <f>Предпосылки!$I86*Предпосылки!AB86*(1+Чувствительность!$D$24)*IFERROR(LOOKUP(Предпосылки!$J86,$C$13:$C$15,T$13:T$15),1)</f>
        <v>0</v>
      </c>
      <c s="125">
        <f>Предпосылки!$I86*Предпосылки!AC86*(1+Чувствительность!$D$24)*IFERROR(LOOKUP(Предпосылки!$J86,$C$13:$C$15,U$13:U$15),1)</f>
        <v>0</v>
      </c>
      <c s="125">
        <f>Предпосылки!$I86*Предпосылки!AD86*(1+Чувствительность!$D$24)*IFERROR(LOOKUP(Предпосылки!$J86,$C$13:$C$15,V$13:V$15),1)</f>
        <v>0</v>
      </c>
      <c s="125">
        <f>Предпосылки!$I86*Предпосылки!AE86*(1+Чувствительность!$D$24)*IFERROR(LOOKUP(Предпосылки!$J86,$C$13:$C$15,W$13:W$15),1)</f>
        <v>0</v>
      </c>
      <c s="125">
        <f>Предпосылки!$I86*Предпосылки!AF86*(1+Чувствительность!$D$24)*IFERROR(LOOKUP(Предпосылки!$J86,$C$13:$C$15,X$13:X$15),1)</f>
        <v>0</v>
      </c>
      <c s="125">
        <f>Предпосылки!$I86*Предпосылки!AG86*(1+Чувствительность!$D$24)*IFERROR(LOOKUP(Предпосылки!$J86,$C$13:$C$15,Y$13:Y$15),1)</f>
        <v>0</v>
      </c>
      <c s="125">
        <f>Предпосылки!$I86*Предпосылки!AH86*(1+Чувствительность!$D$24)*IFERROR(LOOKUP(Предпосылки!$J86,$C$13:$C$15,Z$13:Z$15),1)</f>
        <v>0</v>
      </c>
      <c s="125">
        <f>Предпосылки!$I86*Предпосылки!AI86*(1+Чувствительность!$D$24)*IFERROR(LOOKUP(Предпосылки!$J86,$C$13:$C$15,AA$13:AA$15),1)</f>
        <v>0</v>
      </c>
      <c s="125">
        <f>Предпосылки!$I86*Предпосылки!AJ86*(1+Чувствительность!$D$24)*IFERROR(LOOKUP(Предпосылки!$J86,$C$13:$C$15,AB$13:AB$15),1)</f>
        <v>0</v>
      </c>
      <c s="125">
        <f>Предпосылки!$I86*Предпосылки!AK86*(1+Чувствительность!$D$24)*IFERROR(LOOKUP(Предпосылки!$J86,$C$13:$C$15,AC$13:AC$15),1)</f>
        <v>0</v>
      </c>
      <c s="125">
        <f>Предпосылки!$I86*Предпосылки!AL86*(1+Чувствительность!$D$24)*IFERROR(LOOKUP(Предпосылки!$J86,$C$13:$C$15,AD$13:AD$15),1)</f>
        <v>0</v>
      </c>
      <c s="125">
        <f>Предпосылки!$I86*Предпосылки!AM86*(1+Чувствительность!$D$24)*IFERROR(LOOKUP(Предпосылки!$J86,$C$13:$C$15,AE$13:AE$15),1)</f>
        <v>0</v>
      </c>
      <c s="125">
        <f>Предпосылки!$I86*Предпосылки!AN86*(1+Чувствительность!$D$24)*IFERROR(LOOKUP(Предпосылки!$J86,$C$13:$C$15,AF$13:AF$15),1)</f>
        <v>0</v>
      </c>
      <c s="125">
        <f>Предпосылки!$I86*Предпосылки!AO86*(1+Чувствительность!$D$24)*IFERROR(LOOKUP(Предпосылки!$J86,$C$13:$C$15,AG$13:AG$15),1)</f>
        <v>0</v>
      </c>
      <c s="125">
        <f>Предпосылки!$I86*Предпосылки!AP86*(1+Чувствительность!$D$24)*IFERROR(LOOKUP(Предпосылки!$J86,$C$13:$C$15,AH$13:AH$15),1)</f>
        <v>0</v>
      </c>
      <c s="125">
        <f>Предпосылки!$I86*Предпосылки!AQ86*(1+Чувствительность!$D$24)*IFERROR(LOOKUP(Предпосылки!$J86,$C$13:$C$15,AI$13:AI$15),1)</f>
        <v>0</v>
      </c>
      <c s="125">
        <f>Предпосылки!$I86*Предпосылки!AR86*(1+Чувствительность!$D$24)*IFERROR(LOOKUP(Предпосылки!$J86,$C$13:$C$15,AJ$13:AJ$15),1)</f>
        <v>0</v>
      </c>
      <c s="125">
        <f>Предпосылки!$I86*Предпосылки!AS86*(1+Чувствительность!$D$24)*IFERROR(LOOKUP(Предпосылки!$J86,$C$13:$C$15,AK$13:AK$15),1)</f>
        <v>0</v>
      </c>
      <c s="125">
        <f>Предпосылки!$I86*Предпосылки!AT86*(1+Чувствительность!$D$24)*IFERROR(LOOKUP(Предпосылки!$J86,$C$13:$C$15,AL$13:AL$15),1)</f>
        <v>0</v>
      </c>
      <c s="125">
        <f>Предпосылки!$I86*Предпосылки!AU86*(1+Чувствительность!$D$24)*IFERROR(LOOKUP(Предпосылки!$J86,$C$13:$C$15,AM$13:AM$15),1)</f>
        <v>0</v>
      </c>
      <c s="125">
        <f>Предпосылки!$I86*Предпосылки!AV86*(1+Чувствительность!$D$24)*IFERROR(LOOKUP(Предпосылки!$J86,$C$13:$C$15,AN$13:AN$15),1)</f>
        <v>0</v>
      </c>
      <c s="125">
        <f>Предпосылки!$I86*Предпосылки!AW86*(1+Чувствительность!$D$24)*IFERROR(LOOKUP(Предпосылки!$J86,$C$13:$C$15,AO$13:AO$15),1)</f>
        <v>0</v>
      </c>
      <c s="125">
        <f>Предпосылки!$I86*Предпосылки!AX86*(1+Чувствительность!$D$24)*IFERROR(LOOKUP(Предпосылки!$J86,$C$13:$C$15,AP$13:AP$15),1)</f>
        <v>0</v>
      </c>
      <c s="125">
        <f>Предпосылки!$I86*Предпосылки!AY86*(1+Чувствительность!$D$24)*IFERROR(LOOKUP(Предпосылки!$J86,$C$13:$C$15,AQ$13:AQ$15),1)</f>
        <v>0</v>
      </c>
      <c s="125">
        <f>Предпосылки!$I86*Предпосылки!AZ86*(1+Чувствительность!$D$24)*IFERROR(LOOKUP(Предпосылки!$J86,$C$13:$C$15,AR$13:AR$15),1)</f>
        <v>0</v>
      </c>
      <c s="125">
        <f>Предпосылки!$I86*Предпосылки!BA86*(1+Чувствительность!$D$24)*IFERROR(LOOKUP(Предпосылки!$J86,$C$13:$C$15,AS$13:AS$15),1)</f>
        <v>0</v>
      </c>
      <c s="125">
        <f>Предпосылки!$I86*Предпосылки!BB86*(1+Чувствительность!$D$24)*IFERROR(LOOKUP(Предпосылки!$J86,$C$13:$C$15,AT$13:AT$15),1)</f>
        <v>0</v>
      </c>
      <c s="125">
        <f>Предпосылки!$I86*Предпосылки!BC86*(1+Чувствительность!$D$24)*IFERROR(LOOKUP(Предпосылки!$J86,$C$13:$C$15,AU$13:AU$15),1)</f>
        <v>0</v>
      </c>
      <c s="125">
        <f>Предпосылки!$I86*Предпосылки!BD86*(1+Чувствительность!$D$24)*IFERROR(LOOKUP(Предпосылки!$J86,$C$13:$C$15,AV$13:AV$15),1)</f>
        <v>0</v>
      </c>
      <c s="125">
        <f>Предпосылки!$I86*Предпосылки!BE86*(1+Чувствительность!$D$24)*IFERROR(LOOKUP(Предпосылки!$J86,$C$13:$C$15,AW$13:AW$15),1)</f>
        <v>0</v>
      </c>
      <c s="125">
        <f>Предпосылки!$I86*Предпосылки!BF86*(1+Чувствительность!$D$24)*IFERROR(LOOKUP(Предпосылки!$J86,$C$13:$C$15,AX$13:AX$15),1)</f>
        <v>0</v>
      </c>
      <c s="125">
        <f>Предпосылки!$I86*Предпосылки!BG86*(1+Чувствительность!$D$24)*IFERROR(LOOKUP(Предпосылки!$J86,$C$13:$C$15,AY$13:AY$15),1)</f>
        <v>0</v>
      </c>
      <c s="125">
        <f>Предпосылки!$I86*Предпосылки!BH86*(1+Чувствительность!$D$24)*IFERROR(LOOKUP(Предпосылки!$J86,$C$13:$C$15,AZ$13:AZ$15),1)</f>
        <v>0</v>
      </c>
      <c s="125">
        <f>Предпосылки!$I86*Предпосылки!BI86*(1+Чувствительность!$D$24)*IFERROR(LOOKUP(Предпосылки!$J86,$C$13:$C$15,BA$13:BA$15),1)</f>
        <v>0</v>
      </c>
      <c s="125">
        <f>Предпосылки!$I86*Предпосылки!BJ86*(1+Чувствительность!$D$24)*IFERROR(LOOKUP(Предпосылки!$J86,$C$13:$C$15,BB$13:BB$15),1)</f>
        <v>0</v>
      </c>
      <c s="125">
        <f>Предпосылки!$I86*Предпосылки!BK86*(1+Чувствительность!$D$24)*IFERROR(LOOKUP(Предпосылки!$J86,$C$13:$C$15,BC$13:BC$15),1)</f>
        <v>0</v>
      </c>
      <c s="125">
        <f>Предпосылки!$I86*Предпосылки!BL86*(1+Чувствительность!$D$24)*IFERROR(LOOKUP(Предпосылки!$J86,$C$13:$C$15,BD$13:BD$15),1)</f>
        <v>0</v>
      </c>
      <c s="125">
        <f>Предпосылки!$I86*Предпосылки!BM86*(1+Чувствительность!$D$24)*IFERROR(LOOKUP(Предпосылки!$J86,$C$13:$C$15,BE$13:BE$15),1)</f>
        <v>0</v>
      </c>
      <c s="125">
        <f>Предпосылки!$I86*Предпосылки!BN86*(1+Чувствительность!$D$24)*IFERROR(LOOKUP(Предпосылки!$J86,$C$13:$C$15,BF$13:BF$15),1)</f>
        <v>0</v>
      </c>
      <c s="125">
        <f>Предпосылки!$I86*Предпосылки!BO86*(1+Чувствительность!$D$24)*IFERROR(LOOKUP(Предпосылки!$J86,$C$13:$C$15,BG$13:BG$15),1)</f>
        <v>0</v>
      </c>
      <c s="125">
        <f>Предпосылки!$I86*Предпосылки!BP86*(1+Чувствительность!$D$24)*IFERROR(LOOKUP(Предпосылки!$J86,$C$13:$C$15,BH$13:BH$15),1)</f>
        <v>0</v>
      </c>
      <c s="125">
        <f>Предпосылки!$I86*Предпосылки!BQ86*(1+Чувствительность!$D$24)*IFERROR(LOOKUP(Предпосылки!$J86,$C$13:$C$15,BI$13:BI$15),1)</f>
        <v>0</v>
      </c>
      <c s="125">
        <f>Предпосылки!$I86*Предпосылки!BR86*(1+Чувствительность!$D$24)*IFERROR(LOOKUP(Предпосылки!$J86,$C$13:$C$15,BJ$13:BJ$15),1)</f>
        <v>0</v>
      </c>
      <c s="125">
        <f>Предпосылки!$I86*Предпосылки!BS86*(1+Чувствительность!$D$24)*IFERROR(LOOKUP(Предпосылки!$J86,$C$13:$C$15,BK$13:BK$15),1)</f>
        <v>0</v>
      </c>
      <c s="125">
        <f>Предпосылки!$I86*Предпосылки!BT86*(1+Чувствительность!$D$24)*IFERROR(LOOKUP(Предпосылки!$J86,$C$13:$C$15,BL$13:BL$15),1)</f>
        <v>0</v>
      </c>
      <c s="125">
        <f>Предпосылки!$I86*Предпосылки!BU86*(1+Чувствительность!$D$24)*IFERROR(LOOKUP(Предпосылки!$J86,$C$13:$C$15,BM$13:BM$15),1)</f>
        <v>0</v>
      </c>
    </row>
    <row r="72" spans="2:65" ht="15" customHeight="1">
      <c r="B72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Предпосылки!$I87*Предпосылки!M87*(1+Чувствительность!$D$24)*IFERROR(LOOKUP(Предпосылки!$J87,$C$13:$C$15,E$13:E$15),1)</f>
        <v>0</v>
      </c>
      <c s="125">
        <f>Предпосылки!$I87*Предпосылки!N87*(1+Чувствительность!$D$24)*IFERROR(LOOKUP(Предпосылки!$J87,$C$13:$C$15,F$13:F$15),1)</f>
        <v>0</v>
      </c>
      <c s="125">
        <f>Предпосылки!$I87*Предпосылки!O87*(1+Чувствительность!$D$24)*IFERROR(LOOKUP(Предпосылки!$J87,$C$13:$C$15,G$13:G$15),1)</f>
        <v>0</v>
      </c>
      <c s="125">
        <f>Предпосылки!$I87*Предпосылки!P87*(1+Чувствительность!$D$24)*IFERROR(LOOKUP(Предпосылки!$J87,$C$13:$C$15,H$13:H$15),1)</f>
        <v>0</v>
      </c>
      <c s="125">
        <f>Предпосылки!$I87*Предпосылки!Q87*(1+Чувствительность!$D$24)*IFERROR(LOOKUP(Предпосылки!$J87,$C$13:$C$15,I$13:I$15),1)</f>
        <v>0</v>
      </c>
      <c s="125">
        <f>Предпосылки!$I87*Предпосылки!R87*(1+Чувствительность!$D$24)*IFERROR(LOOKUP(Предпосылки!$J87,$C$13:$C$15,J$13:J$15),1)</f>
        <v>0</v>
      </c>
      <c s="125">
        <f>Предпосылки!$I87*Предпосылки!S87*(1+Чувствительность!$D$24)*IFERROR(LOOKUP(Предпосылки!$J87,$C$13:$C$15,K$13:K$15),1)</f>
        <v>0</v>
      </c>
      <c s="125">
        <f>Предпосылки!$I87*Предпосылки!T87*(1+Чувствительность!$D$24)*IFERROR(LOOKUP(Предпосылки!$J87,$C$13:$C$15,L$13:L$15),1)</f>
        <v>0</v>
      </c>
      <c s="125">
        <f>Предпосылки!$I87*Предпосылки!U87*(1+Чувствительность!$D$24)*IFERROR(LOOKUP(Предпосылки!$J87,$C$13:$C$15,M$13:M$15),1)</f>
        <v>0</v>
      </c>
      <c s="125">
        <f>Предпосылки!$I87*Предпосылки!V87*(1+Чувствительность!$D$24)*IFERROR(LOOKUP(Предпосылки!$J87,$C$13:$C$15,N$13:N$15),1)</f>
        <v>0</v>
      </c>
      <c s="125">
        <f>Предпосылки!$I87*Предпосылки!W87*(1+Чувствительность!$D$24)*IFERROR(LOOKUP(Предпосылки!$J87,$C$13:$C$15,O$13:O$15),1)</f>
        <v>0</v>
      </c>
      <c s="125">
        <f>Предпосылки!$I87*Предпосылки!X87*(1+Чувствительность!$D$24)*IFERROR(LOOKUP(Предпосылки!$J87,$C$13:$C$15,P$13:P$15),1)</f>
        <v>0</v>
      </c>
      <c s="125">
        <f>Предпосылки!$I87*Предпосылки!Y87*(1+Чувствительность!$D$24)*IFERROR(LOOKUP(Предпосылки!$J87,$C$13:$C$15,Q$13:Q$15),1)</f>
        <v>0</v>
      </c>
      <c s="125">
        <f>Предпосылки!$I87*Предпосылки!Z87*(1+Чувствительность!$D$24)*IFERROR(LOOKUP(Предпосылки!$J87,$C$13:$C$15,R$13:R$15),1)</f>
        <v>0</v>
      </c>
      <c s="125">
        <f>Предпосылки!$I87*Предпосылки!AA87*(1+Чувствительность!$D$24)*IFERROR(LOOKUP(Предпосылки!$J87,$C$13:$C$15,S$13:S$15),1)</f>
        <v>0</v>
      </c>
      <c s="125">
        <f>Предпосылки!$I87*Предпосылки!AB87*(1+Чувствительность!$D$24)*IFERROR(LOOKUP(Предпосылки!$J87,$C$13:$C$15,T$13:T$15),1)</f>
        <v>0</v>
      </c>
      <c s="125">
        <f>Предпосылки!$I87*Предпосылки!AC87*(1+Чувствительность!$D$24)*IFERROR(LOOKUP(Предпосылки!$J87,$C$13:$C$15,U$13:U$15),1)</f>
        <v>0</v>
      </c>
      <c s="125">
        <f>Предпосылки!$I87*Предпосылки!AD87*(1+Чувствительность!$D$24)*IFERROR(LOOKUP(Предпосылки!$J87,$C$13:$C$15,V$13:V$15),1)</f>
        <v>0</v>
      </c>
      <c s="125">
        <f>Предпосылки!$I87*Предпосылки!AE87*(1+Чувствительность!$D$24)*IFERROR(LOOKUP(Предпосылки!$J87,$C$13:$C$15,W$13:W$15),1)</f>
        <v>0</v>
      </c>
      <c s="125">
        <f>Предпосылки!$I87*Предпосылки!AF87*(1+Чувствительность!$D$24)*IFERROR(LOOKUP(Предпосылки!$J87,$C$13:$C$15,X$13:X$15),1)</f>
        <v>0</v>
      </c>
      <c s="125">
        <f>Предпосылки!$I87*Предпосылки!AG87*(1+Чувствительность!$D$24)*IFERROR(LOOKUP(Предпосылки!$J87,$C$13:$C$15,Y$13:Y$15),1)</f>
        <v>0</v>
      </c>
      <c s="125">
        <f>Предпосылки!$I87*Предпосылки!AH87*(1+Чувствительность!$D$24)*IFERROR(LOOKUP(Предпосылки!$J87,$C$13:$C$15,Z$13:Z$15),1)</f>
        <v>0</v>
      </c>
      <c s="125">
        <f>Предпосылки!$I87*Предпосылки!AI87*(1+Чувствительность!$D$24)*IFERROR(LOOKUP(Предпосылки!$J87,$C$13:$C$15,AA$13:AA$15),1)</f>
        <v>0</v>
      </c>
      <c s="125">
        <f>Предпосылки!$I87*Предпосылки!AJ87*(1+Чувствительность!$D$24)*IFERROR(LOOKUP(Предпосылки!$J87,$C$13:$C$15,AB$13:AB$15),1)</f>
        <v>0</v>
      </c>
      <c s="125">
        <f>Предпосылки!$I87*Предпосылки!AK87*(1+Чувствительность!$D$24)*IFERROR(LOOKUP(Предпосылки!$J87,$C$13:$C$15,AC$13:AC$15),1)</f>
        <v>0</v>
      </c>
      <c s="125">
        <f>Предпосылки!$I87*Предпосылки!AL87*(1+Чувствительность!$D$24)*IFERROR(LOOKUP(Предпосылки!$J87,$C$13:$C$15,AD$13:AD$15),1)</f>
        <v>0</v>
      </c>
      <c s="125">
        <f>Предпосылки!$I87*Предпосылки!AM87*(1+Чувствительность!$D$24)*IFERROR(LOOKUP(Предпосылки!$J87,$C$13:$C$15,AE$13:AE$15),1)</f>
        <v>0</v>
      </c>
      <c s="125">
        <f>Предпосылки!$I87*Предпосылки!AN87*(1+Чувствительность!$D$24)*IFERROR(LOOKUP(Предпосылки!$J87,$C$13:$C$15,AF$13:AF$15),1)</f>
        <v>0</v>
      </c>
      <c s="125">
        <f>Предпосылки!$I87*Предпосылки!AO87*(1+Чувствительность!$D$24)*IFERROR(LOOKUP(Предпосылки!$J87,$C$13:$C$15,AG$13:AG$15),1)</f>
        <v>0</v>
      </c>
      <c s="125">
        <f>Предпосылки!$I87*Предпосылки!AP87*(1+Чувствительность!$D$24)*IFERROR(LOOKUP(Предпосылки!$J87,$C$13:$C$15,AH$13:AH$15),1)</f>
        <v>0</v>
      </c>
      <c s="125">
        <f>Предпосылки!$I87*Предпосылки!AQ87*(1+Чувствительность!$D$24)*IFERROR(LOOKUP(Предпосылки!$J87,$C$13:$C$15,AI$13:AI$15),1)</f>
        <v>0</v>
      </c>
      <c s="125">
        <f>Предпосылки!$I87*Предпосылки!AR87*(1+Чувствительность!$D$24)*IFERROR(LOOKUP(Предпосылки!$J87,$C$13:$C$15,AJ$13:AJ$15),1)</f>
        <v>0</v>
      </c>
      <c s="125">
        <f>Предпосылки!$I87*Предпосылки!AS87*(1+Чувствительность!$D$24)*IFERROR(LOOKUP(Предпосылки!$J87,$C$13:$C$15,AK$13:AK$15),1)</f>
        <v>0</v>
      </c>
      <c s="125">
        <f>Предпосылки!$I87*Предпосылки!AT87*(1+Чувствительность!$D$24)*IFERROR(LOOKUP(Предпосылки!$J87,$C$13:$C$15,AL$13:AL$15),1)</f>
        <v>0</v>
      </c>
      <c s="125">
        <f>Предпосылки!$I87*Предпосылки!AU87*(1+Чувствительность!$D$24)*IFERROR(LOOKUP(Предпосылки!$J87,$C$13:$C$15,AM$13:AM$15),1)</f>
        <v>0</v>
      </c>
      <c s="125">
        <f>Предпосылки!$I87*Предпосылки!AV87*(1+Чувствительность!$D$24)*IFERROR(LOOKUP(Предпосылки!$J87,$C$13:$C$15,AN$13:AN$15),1)</f>
        <v>0</v>
      </c>
      <c s="125">
        <f>Предпосылки!$I87*Предпосылки!AW87*(1+Чувствительность!$D$24)*IFERROR(LOOKUP(Предпосылки!$J87,$C$13:$C$15,AO$13:AO$15),1)</f>
        <v>0</v>
      </c>
      <c s="125">
        <f>Предпосылки!$I87*Предпосылки!AX87*(1+Чувствительность!$D$24)*IFERROR(LOOKUP(Предпосылки!$J87,$C$13:$C$15,AP$13:AP$15),1)</f>
        <v>0</v>
      </c>
      <c s="125">
        <f>Предпосылки!$I87*Предпосылки!AY87*(1+Чувствительность!$D$24)*IFERROR(LOOKUP(Предпосылки!$J87,$C$13:$C$15,AQ$13:AQ$15),1)</f>
        <v>0</v>
      </c>
      <c s="125">
        <f>Предпосылки!$I87*Предпосылки!AZ87*(1+Чувствительность!$D$24)*IFERROR(LOOKUP(Предпосылки!$J87,$C$13:$C$15,AR$13:AR$15),1)</f>
        <v>0</v>
      </c>
      <c s="125">
        <f>Предпосылки!$I87*Предпосылки!BA87*(1+Чувствительность!$D$24)*IFERROR(LOOKUP(Предпосылки!$J87,$C$13:$C$15,AS$13:AS$15),1)</f>
        <v>0</v>
      </c>
      <c s="125">
        <f>Предпосылки!$I87*Предпосылки!BB87*(1+Чувствительность!$D$24)*IFERROR(LOOKUP(Предпосылки!$J87,$C$13:$C$15,AT$13:AT$15),1)</f>
        <v>0</v>
      </c>
      <c s="125">
        <f>Предпосылки!$I87*Предпосылки!BC87*(1+Чувствительность!$D$24)*IFERROR(LOOKUP(Предпосылки!$J87,$C$13:$C$15,AU$13:AU$15),1)</f>
        <v>0</v>
      </c>
      <c s="125">
        <f>Предпосылки!$I87*Предпосылки!BD87*(1+Чувствительность!$D$24)*IFERROR(LOOKUP(Предпосылки!$J87,$C$13:$C$15,AV$13:AV$15),1)</f>
        <v>0</v>
      </c>
      <c s="125">
        <f>Предпосылки!$I87*Предпосылки!BE87*(1+Чувствительность!$D$24)*IFERROR(LOOKUP(Предпосылки!$J87,$C$13:$C$15,AW$13:AW$15),1)</f>
        <v>0</v>
      </c>
      <c s="125">
        <f>Предпосылки!$I87*Предпосылки!BF87*(1+Чувствительность!$D$24)*IFERROR(LOOKUP(Предпосылки!$J87,$C$13:$C$15,AX$13:AX$15),1)</f>
        <v>0</v>
      </c>
      <c s="125">
        <f>Предпосылки!$I87*Предпосылки!BG87*(1+Чувствительность!$D$24)*IFERROR(LOOKUP(Предпосылки!$J87,$C$13:$C$15,AY$13:AY$15),1)</f>
        <v>0</v>
      </c>
      <c s="125">
        <f>Предпосылки!$I87*Предпосылки!BH87*(1+Чувствительность!$D$24)*IFERROR(LOOKUP(Предпосылки!$J87,$C$13:$C$15,AZ$13:AZ$15),1)</f>
        <v>0</v>
      </c>
      <c s="125">
        <f>Предпосылки!$I87*Предпосылки!BI87*(1+Чувствительность!$D$24)*IFERROR(LOOKUP(Предпосылки!$J87,$C$13:$C$15,BA$13:BA$15),1)</f>
        <v>0</v>
      </c>
      <c s="125">
        <f>Предпосылки!$I87*Предпосылки!BJ87*(1+Чувствительность!$D$24)*IFERROR(LOOKUP(Предпосылки!$J87,$C$13:$C$15,BB$13:BB$15),1)</f>
        <v>0</v>
      </c>
      <c s="125">
        <f>Предпосылки!$I87*Предпосылки!BK87*(1+Чувствительность!$D$24)*IFERROR(LOOKUP(Предпосылки!$J87,$C$13:$C$15,BC$13:BC$15),1)</f>
        <v>0</v>
      </c>
      <c s="125">
        <f>Предпосылки!$I87*Предпосылки!BL87*(1+Чувствительность!$D$24)*IFERROR(LOOKUP(Предпосылки!$J87,$C$13:$C$15,BD$13:BD$15),1)</f>
        <v>0</v>
      </c>
      <c s="125">
        <f>Предпосылки!$I87*Предпосылки!BM87*(1+Чувствительность!$D$24)*IFERROR(LOOKUP(Предпосылки!$J87,$C$13:$C$15,BE$13:BE$15),1)</f>
        <v>0</v>
      </c>
      <c s="125">
        <f>Предпосылки!$I87*Предпосылки!BN87*(1+Чувствительность!$D$24)*IFERROR(LOOKUP(Предпосылки!$J87,$C$13:$C$15,BF$13:BF$15),1)</f>
        <v>0</v>
      </c>
      <c s="125">
        <f>Предпосылки!$I87*Предпосылки!BO87*(1+Чувствительность!$D$24)*IFERROR(LOOKUP(Предпосылки!$J87,$C$13:$C$15,BG$13:BG$15),1)</f>
        <v>0</v>
      </c>
      <c s="125">
        <f>Предпосылки!$I87*Предпосылки!BP87*(1+Чувствительность!$D$24)*IFERROR(LOOKUP(Предпосылки!$J87,$C$13:$C$15,BH$13:BH$15),1)</f>
        <v>0</v>
      </c>
      <c s="125">
        <f>Предпосылки!$I87*Предпосылки!BQ87*(1+Чувствительность!$D$24)*IFERROR(LOOKUP(Предпосылки!$J87,$C$13:$C$15,BI$13:BI$15),1)</f>
        <v>0</v>
      </c>
      <c s="125">
        <f>Предпосылки!$I87*Предпосылки!BR87*(1+Чувствительность!$D$24)*IFERROR(LOOKUP(Предпосылки!$J87,$C$13:$C$15,BJ$13:BJ$15),1)</f>
        <v>0</v>
      </c>
      <c s="125">
        <f>Предпосылки!$I87*Предпосылки!BS87*(1+Чувствительность!$D$24)*IFERROR(LOOKUP(Предпосылки!$J87,$C$13:$C$15,BK$13:BK$15),1)</f>
        <v>0</v>
      </c>
      <c s="125">
        <f>Предпосылки!$I87*Предпосылки!BT87*(1+Чувствительность!$D$24)*IFERROR(LOOKUP(Предпосылки!$J87,$C$13:$C$15,BL$13:BL$15),1)</f>
        <v>0</v>
      </c>
      <c s="125">
        <f>Предпосылки!$I87*Предпосылки!BU87*(1+Чувствительность!$D$24)*IFERROR(LOOKUP(Предпосылки!$J87,$C$13:$C$15,BM$13:BM$15),1)</f>
        <v>0</v>
      </c>
    </row>
    <row r="73" spans="2:65" ht="15" customHeight="1">
      <c r="B73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Предпосылки!$I88*Предпосылки!M88*(1+Чувствительность!$D$24)*IFERROR(LOOKUP(Предпосылки!$J88,$C$13:$C$15,E$13:E$15),1)</f>
        <v>0</v>
      </c>
      <c s="125">
        <f>Предпосылки!$I88*Предпосылки!N88*(1+Чувствительность!$D$24)*IFERROR(LOOKUP(Предпосылки!$J88,$C$13:$C$15,F$13:F$15),1)</f>
        <v>0</v>
      </c>
      <c s="125">
        <f>Предпосылки!$I88*Предпосылки!O88*(1+Чувствительность!$D$24)*IFERROR(LOOKUP(Предпосылки!$J88,$C$13:$C$15,G$13:G$15),1)</f>
        <v>0</v>
      </c>
      <c s="125">
        <f>Предпосылки!$I88*Предпосылки!P88*(1+Чувствительность!$D$24)*IFERROR(LOOKUP(Предпосылки!$J88,$C$13:$C$15,H$13:H$15),1)</f>
        <v>0</v>
      </c>
      <c s="125">
        <f>Предпосылки!$I88*Предпосылки!Q88*(1+Чувствительность!$D$24)*IFERROR(LOOKUP(Предпосылки!$J88,$C$13:$C$15,I$13:I$15),1)</f>
        <v>0</v>
      </c>
      <c s="125">
        <f>Предпосылки!$I88*Предпосылки!R88*(1+Чувствительность!$D$24)*IFERROR(LOOKUP(Предпосылки!$J88,$C$13:$C$15,J$13:J$15),1)</f>
        <v>0</v>
      </c>
      <c s="125">
        <f>Предпосылки!$I88*Предпосылки!S88*(1+Чувствительность!$D$24)*IFERROR(LOOKUP(Предпосылки!$J88,$C$13:$C$15,K$13:K$15),1)</f>
        <v>0</v>
      </c>
      <c s="125">
        <f>Предпосылки!$I88*Предпосылки!T88*(1+Чувствительность!$D$24)*IFERROR(LOOKUP(Предпосылки!$J88,$C$13:$C$15,L$13:L$15),1)</f>
        <v>0</v>
      </c>
      <c s="125">
        <f>Предпосылки!$I88*Предпосылки!U88*(1+Чувствительность!$D$24)*IFERROR(LOOKUP(Предпосылки!$J88,$C$13:$C$15,M$13:M$15),1)</f>
        <v>0</v>
      </c>
      <c s="125">
        <f>Предпосылки!$I88*Предпосылки!V88*(1+Чувствительность!$D$24)*IFERROR(LOOKUP(Предпосылки!$J88,$C$13:$C$15,N$13:N$15),1)</f>
        <v>0</v>
      </c>
      <c s="125">
        <f>Предпосылки!$I88*Предпосылки!W88*(1+Чувствительность!$D$24)*IFERROR(LOOKUP(Предпосылки!$J88,$C$13:$C$15,O$13:O$15),1)</f>
        <v>0</v>
      </c>
      <c s="125">
        <f>Предпосылки!$I88*Предпосылки!X88*(1+Чувствительность!$D$24)*IFERROR(LOOKUP(Предпосылки!$J88,$C$13:$C$15,P$13:P$15),1)</f>
        <v>0</v>
      </c>
      <c s="125">
        <f>Предпосылки!$I88*Предпосылки!Y88*(1+Чувствительность!$D$24)*IFERROR(LOOKUP(Предпосылки!$J88,$C$13:$C$15,Q$13:Q$15),1)</f>
        <v>0</v>
      </c>
      <c s="125">
        <f>Предпосылки!$I88*Предпосылки!Z88*(1+Чувствительность!$D$24)*IFERROR(LOOKUP(Предпосылки!$J88,$C$13:$C$15,R$13:R$15),1)</f>
        <v>0</v>
      </c>
      <c s="125">
        <f>Предпосылки!$I88*Предпосылки!AA88*(1+Чувствительность!$D$24)*IFERROR(LOOKUP(Предпосылки!$J88,$C$13:$C$15,S$13:S$15),1)</f>
        <v>0</v>
      </c>
      <c s="125">
        <f>Предпосылки!$I88*Предпосылки!AB88*(1+Чувствительность!$D$24)*IFERROR(LOOKUP(Предпосылки!$J88,$C$13:$C$15,T$13:T$15),1)</f>
        <v>0</v>
      </c>
      <c s="125">
        <f>Предпосылки!$I88*Предпосылки!AC88*(1+Чувствительность!$D$24)*IFERROR(LOOKUP(Предпосылки!$J88,$C$13:$C$15,U$13:U$15),1)</f>
        <v>0</v>
      </c>
      <c s="125">
        <f>Предпосылки!$I88*Предпосылки!AD88*(1+Чувствительность!$D$24)*IFERROR(LOOKUP(Предпосылки!$J88,$C$13:$C$15,V$13:V$15),1)</f>
        <v>0</v>
      </c>
      <c s="125">
        <f>Предпосылки!$I88*Предпосылки!AE88*(1+Чувствительность!$D$24)*IFERROR(LOOKUP(Предпосылки!$J88,$C$13:$C$15,W$13:W$15),1)</f>
        <v>0</v>
      </c>
      <c s="125">
        <f>Предпосылки!$I88*Предпосылки!AF88*(1+Чувствительность!$D$24)*IFERROR(LOOKUP(Предпосылки!$J88,$C$13:$C$15,X$13:X$15),1)</f>
        <v>0</v>
      </c>
      <c s="125">
        <f>Предпосылки!$I88*Предпосылки!AG88*(1+Чувствительность!$D$24)*IFERROR(LOOKUP(Предпосылки!$J88,$C$13:$C$15,Y$13:Y$15),1)</f>
        <v>0</v>
      </c>
      <c s="125">
        <f>Предпосылки!$I88*Предпосылки!AH88*(1+Чувствительность!$D$24)*IFERROR(LOOKUP(Предпосылки!$J88,$C$13:$C$15,Z$13:Z$15),1)</f>
        <v>0</v>
      </c>
      <c s="125">
        <f>Предпосылки!$I88*Предпосылки!AI88*(1+Чувствительность!$D$24)*IFERROR(LOOKUP(Предпосылки!$J88,$C$13:$C$15,AA$13:AA$15),1)</f>
        <v>0</v>
      </c>
      <c s="125">
        <f>Предпосылки!$I88*Предпосылки!AJ88*(1+Чувствительность!$D$24)*IFERROR(LOOKUP(Предпосылки!$J88,$C$13:$C$15,AB$13:AB$15),1)</f>
        <v>0</v>
      </c>
      <c s="125">
        <f>Предпосылки!$I88*Предпосылки!AK88*(1+Чувствительность!$D$24)*IFERROR(LOOKUP(Предпосылки!$J88,$C$13:$C$15,AC$13:AC$15),1)</f>
        <v>0</v>
      </c>
      <c s="125">
        <f>Предпосылки!$I88*Предпосылки!AL88*(1+Чувствительность!$D$24)*IFERROR(LOOKUP(Предпосылки!$J88,$C$13:$C$15,AD$13:AD$15),1)</f>
        <v>0</v>
      </c>
      <c s="125">
        <f>Предпосылки!$I88*Предпосылки!AM88*(1+Чувствительность!$D$24)*IFERROR(LOOKUP(Предпосылки!$J88,$C$13:$C$15,AE$13:AE$15),1)</f>
        <v>0</v>
      </c>
      <c s="125">
        <f>Предпосылки!$I88*Предпосылки!AN88*(1+Чувствительность!$D$24)*IFERROR(LOOKUP(Предпосылки!$J88,$C$13:$C$15,AF$13:AF$15),1)</f>
        <v>0</v>
      </c>
      <c s="125">
        <f>Предпосылки!$I88*Предпосылки!AO88*(1+Чувствительность!$D$24)*IFERROR(LOOKUP(Предпосылки!$J88,$C$13:$C$15,AG$13:AG$15),1)</f>
        <v>0</v>
      </c>
      <c s="125">
        <f>Предпосылки!$I88*Предпосылки!AP88*(1+Чувствительность!$D$24)*IFERROR(LOOKUP(Предпосылки!$J88,$C$13:$C$15,AH$13:AH$15),1)</f>
        <v>0</v>
      </c>
      <c s="125">
        <f>Предпосылки!$I88*Предпосылки!AQ88*(1+Чувствительность!$D$24)*IFERROR(LOOKUP(Предпосылки!$J88,$C$13:$C$15,AI$13:AI$15),1)</f>
        <v>0</v>
      </c>
      <c s="125">
        <f>Предпосылки!$I88*Предпосылки!AR88*(1+Чувствительность!$D$24)*IFERROR(LOOKUP(Предпосылки!$J88,$C$13:$C$15,AJ$13:AJ$15),1)</f>
        <v>0</v>
      </c>
      <c s="125">
        <f>Предпосылки!$I88*Предпосылки!AS88*(1+Чувствительность!$D$24)*IFERROR(LOOKUP(Предпосылки!$J88,$C$13:$C$15,AK$13:AK$15),1)</f>
        <v>0</v>
      </c>
      <c s="125">
        <f>Предпосылки!$I88*Предпосылки!AT88*(1+Чувствительность!$D$24)*IFERROR(LOOKUP(Предпосылки!$J88,$C$13:$C$15,AL$13:AL$15),1)</f>
        <v>0</v>
      </c>
      <c s="125">
        <f>Предпосылки!$I88*Предпосылки!AU88*(1+Чувствительность!$D$24)*IFERROR(LOOKUP(Предпосылки!$J88,$C$13:$C$15,AM$13:AM$15),1)</f>
        <v>0</v>
      </c>
      <c s="125">
        <f>Предпосылки!$I88*Предпосылки!AV88*(1+Чувствительность!$D$24)*IFERROR(LOOKUP(Предпосылки!$J88,$C$13:$C$15,AN$13:AN$15),1)</f>
        <v>0</v>
      </c>
      <c s="125">
        <f>Предпосылки!$I88*Предпосылки!AW88*(1+Чувствительность!$D$24)*IFERROR(LOOKUP(Предпосылки!$J88,$C$13:$C$15,AO$13:AO$15),1)</f>
        <v>0</v>
      </c>
      <c s="125">
        <f>Предпосылки!$I88*Предпосылки!AX88*(1+Чувствительность!$D$24)*IFERROR(LOOKUP(Предпосылки!$J88,$C$13:$C$15,AP$13:AP$15),1)</f>
        <v>0</v>
      </c>
      <c s="125">
        <f>Предпосылки!$I88*Предпосылки!AY88*(1+Чувствительность!$D$24)*IFERROR(LOOKUP(Предпосылки!$J88,$C$13:$C$15,AQ$13:AQ$15),1)</f>
        <v>0</v>
      </c>
      <c s="125">
        <f>Предпосылки!$I88*Предпосылки!AZ88*(1+Чувствительность!$D$24)*IFERROR(LOOKUP(Предпосылки!$J88,$C$13:$C$15,AR$13:AR$15),1)</f>
        <v>0</v>
      </c>
      <c s="125">
        <f>Предпосылки!$I88*Предпосылки!BA88*(1+Чувствительность!$D$24)*IFERROR(LOOKUP(Предпосылки!$J88,$C$13:$C$15,AS$13:AS$15),1)</f>
        <v>0</v>
      </c>
      <c s="125">
        <f>Предпосылки!$I88*Предпосылки!BB88*(1+Чувствительность!$D$24)*IFERROR(LOOKUP(Предпосылки!$J88,$C$13:$C$15,AT$13:AT$15),1)</f>
        <v>0</v>
      </c>
      <c s="125">
        <f>Предпосылки!$I88*Предпосылки!BC88*(1+Чувствительность!$D$24)*IFERROR(LOOKUP(Предпосылки!$J88,$C$13:$C$15,AU$13:AU$15),1)</f>
        <v>0</v>
      </c>
      <c s="125">
        <f>Предпосылки!$I88*Предпосылки!BD88*(1+Чувствительность!$D$24)*IFERROR(LOOKUP(Предпосылки!$J88,$C$13:$C$15,AV$13:AV$15),1)</f>
        <v>0</v>
      </c>
      <c s="125">
        <f>Предпосылки!$I88*Предпосылки!BE88*(1+Чувствительность!$D$24)*IFERROR(LOOKUP(Предпосылки!$J88,$C$13:$C$15,AW$13:AW$15),1)</f>
        <v>0</v>
      </c>
      <c s="125">
        <f>Предпосылки!$I88*Предпосылки!BF88*(1+Чувствительность!$D$24)*IFERROR(LOOKUP(Предпосылки!$J88,$C$13:$C$15,AX$13:AX$15),1)</f>
        <v>0</v>
      </c>
      <c s="125">
        <f>Предпосылки!$I88*Предпосылки!BG88*(1+Чувствительность!$D$24)*IFERROR(LOOKUP(Предпосылки!$J88,$C$13:$C$15,AY$13:AY$15),1)</f>
        <v>0</v>
      </c>
      <c s="125">
        <f>Предпосылки!$I88*Предпосылки!BH88*(1+Чувствительность!$D$24)*IFERROR(LOOKUP(Предпосылки!$J88,$C$13:$C$15,AZ$13:AZ$15),1)</f>
        <v>0</v>
      </c>
      <c s="125">
        <f>Предпосылки!$I88*Предпосылки!BI88*(1+Чувствительность!$D$24)*IFERROR(LOOKUP(Предпосылки!$J88,$C$13:$C$15,BA$13:BA$15),1)</f>
        <v>0</v>
      </c>
      <c s="125">
        <f>Предпосылки!$I88*Предпосылки!BJ88*(1+Чувствительность!$D$24)*IFERROR(LOOKUP(Предпосылки!$J88,$C$13:$C$15,BB$13:BB$15),1)</f>
        <v>0</v>
      </c>
      <c s="125">
        <f>Предпосылки!$I88*Предпосылки!BK88*(1+Чувствительность!$D$24)*IFERROR(LOOKUP(Предпосылки!$J88,$C$13:$C$15,BC$13:BC$15),1)</f>
        <v>0</v>
      </c>
      <c s="125">
        <f>Предпосылки!$I88*Предпосылки!BL88*(1+Чувствительность!$D$24)*IFERROR(LOOKUP(Предпосылки!$J88,$C$13:$C$15,BD$13:BD$15),1)</f>
        <v>0</v>
      </c>
      <c s="125">
        <f>Предпосылки!$I88*Предпосылки!BM88*(1+Чувствительность!$D$24)*IFERROR(LOOKUP(Предпосылки!$J88,$C$13:$C$15,BE$13:BE$15),1)</f>
        <v>0</v>
      </c>
      <c s="125">
        <f>Предпосылки!$I88*Предпосылки!BN88*(1+Чувствительность!$D$24)*IFERROR(LOOKUP(Предпосылки!$J88,$C$13:$C$15,BF$13:BF$15),1)</f>
        <v>0</v>
      </c>
      <c s="125">
        <f>Предпосылки!$I88*Предпосылки!BO88*(1+Чувствительность!$D$24)*IFERROR(LOOKUP(Предпосылки!$J88,$C$13:$C$15,BG$13:BG$15),1)</f>
        <v>0</v>
      </c>
      <c s="125">
        <f>Предпосылки!$I88*Предпосылки!BP88*(1+Чувствительность!$D$24)*IFERROR(LOOKUP(Предпосылки!$J88,$C$13:$C$15,BH$13:BH$15),1)</f>
        <v>0</v>
      </c>
      <c s="125">
        <f>Предпосылки!$I88*Предпосылки!BQ88*(1+Чувствительность!$D$24)*IFERROR(LOOKUP(Предпосылки!$J88,$C$13:$C$15,BI$13:BI$15),1)</f>
        <v>0</v>
      </c>
      <c s="125">
        <f>Предпосылки!$I88*Предпосылки!BR88*(1+Чувствительность!$D$24)*IFERROR(LOOKUP(Предпосылки!$J88,$C$13:$C$15,BJ$13:BJ$15),1)</f>
        <v>0</v>
      </c>
      <c s="125">
        <f>Предпосылки!$I88*Предпосылки!BS88*(1+Чувствительность!$D$24)*IFERROR(LOOKUP(Предпосылки!$J88,$C$13:$C$15,BK$13:BK$15),1)</f>
        <v>0</v>
      </c>
      <c s="125">
        <f>Предпосылки!$I88*Предпосылки!BT88*(1+Чувствительность!$D$24)*IFERROR(LOOKUP(Предпосылки!$J88,$C$13:$C$15,BL$13:BL$15),1)</f>
        <v>0</v>
      </c>
      <c s="125">
        <f>Предпосылки!$I88*Предпосылки!BU88*(1+Чувствительность!$D$24)*IFERROR(LOOKUP(Предпосылки!$J88,$C$13:$C$15,BM$13:BM$15),1)</f>
        <v>0</v>
      </c>
    </row>
    <row r="74" spans="2:65" ht="15" customHeight="1">
      <c r="B74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Предпосылки!$I89*Предпосылки!M89*(1+Чувствительность!$D$24)*IFERROR(LOOKUP(Предпосылки!$J89,$C$13:$C$15,E$13:E$15),1)</f>
        <v>0</v>
      </c>
      <c s="125">
        <f>Предпосылки!$I89*Предпосылки!N89*(1+Чувствительность!$D$24)*IFERROR(LOOKUP(Предпосылки!$J89,$C$13:$C$15,F$13:F$15),1)</f>
        <v>0</v>
      </c>
      <c s="125">
        <f>Предпосылки!$I89*Предпосылки!O89*(1+Чувствительность!$D$24)*IFERROR(LOOKUP(Предпосылки!$J89,$C$13:$C$15,G$13:G$15),1)</f>
        <v>0</v>
      </c>
      <c s="125">
        <f>Предпосылки!$I89*Предпосылки!P89*(1+Чувствительность!$D$24)*IFERROR(LOOKUP(Предпосылки!$J89,$C$13:$C$15,H$13:H$15),1)</f>
        <v>0</v>
      </c>
      <c s="125">
        <f>Предпосылки!$I89*Предпосылки!Q89*(1+Чувствительность!$D$24)*IFERROR(LOOKUP(Предпосылки!$J89,$C$13:$C$15,I$13:I$15),1)</f>
        <v>0</v>
      </c>
      <c s="125">
        <f>Предпосылки!$I89*Предпосылки!R89*(1+Чувствительность!$D$24)*IFERROR(LOOKUP(Предпосылки!$J89,$C$13:$C$15,J$13:J$15),1)</f>
        <v>0</v>
      </c>
      <c s="125">
        <f>Предпосылки!$I89*Предпосылки!S89*(1+Чувствительность!$D$24)*IFERROR(LOOKUP(Предпосылки!$J89,$C$13:$C$15,K$13:K$15),1)</f>
        <v>0</v>
      </c>
      <c s="125">
        <f>Предпосылки!$I89*Предпосылки!T89*(1+Чувствительность!$D$24)*IFERROR(LOOKUP(Предпосылки!$J89,$C$13:$C$15,L$13:L$15),1)</f>
        <v>0</v>
      </c>
      <c s="125">
        <f>Предпосылки!$I89*Предпосылки!U89*(1+Чувствительность!$D$24)*IFERROR(LOOKUP(Предпосылки!$J89,$C$13:$C$15,M$13:M$15),1)</f>
        <v>0</v>
      </c>
      <c s="125">
        <f>Предпосылки!$I89*Предпосылки!V89*(1+Чувствительность!$D$24)*IFERROR(LOOKUP(Предпосылки!$J89,$C$13:$C$15,N$13:N$15),1)</f>
        <v>0</v>
      </c>
      <c s="125">
        <f>Предпосылки!$I89*Предпосылки!W89*(1+Чувствительность!$D$24)*IFERROR(LOOKUP(Предпосылки!$J89,$C$13:$C$15,O$13:O$15),1)</f>
        <v>0</v>
      </c>
      <c s="125">
        <f>Предпосылки!$I89*Предпосылки!X89*(1+Чувствительность!$D$24)*IFERROR(LOOKUP(Предпосылки!$J89,$C$13:$C$15,P$13:P$15),1)</f>
        <v>0</v>
      </c>
      <c s="125">
        <f>Предпосылки!$I89*Предпосылки!Y89*(1+Чувствительность!$D$24)*IFERROR(LOOKUP(Предпосылки!$J89,$C$13:$C$15,Q$13:Q$15),1)</f>
        <v>0</v>
      </c>
      <c s="125">
        <f>Предпосылки!$I89*Предпосылки!Z89*(1+Чувствительность!$D$24)*IFERROR(LOOKUP(Предпосылки!$J89,$C$13:$C$15,R$13:R$15),1)</f>
        <v>0</v>
      </c>
      <c s="125">
        <f>Предпосылки!$I89*Предпосылки!AA89*(1+Чувствительность!$D$24)*IFERROR(LOOKUP(Предпосылки!$J89,$C$13:$C$15,S$13:S$15),1)</f>
        <v>0</v>
      </c>
      <c s="125">
        <f>Предпосылки!$I89*Предпосылки!AB89*(1+Чувствительность!$D$24)*IFERROR(LOOKUP(Предпосылки!$J89,$C$13:$C$15,T$13:T$15),1)</f>
        <v>0</v>
      </c>
      <c s="125">
        <f>Предпосылки!$I89*Предпосылки!AC89*(1+Чувствительность!$D$24)*IFERROR(LOOKUP(Предпосылки!$J89,$C$13:$C$15,U$13:U$15),1)</f>
        <v>0</v>
      </c>
      <c s="125">
        <f>Предпосылки!$I89*Предпосылки!AD89*(1+Чувствительность!$D$24)*IFERROR(LOOKUP(Предпосылки!$J89,$C$13:$C$15,V$13:V$15),1)</f>
        <v>0</v>
      </c>
      <c s="125">
        <f>Предпосылки!$I89*Предпосылки!AE89*(1+Чувствительность!$D$24)*IFERROR(LOOKUP(Предпосылки!$J89,$C$13:$C$15,W$13:W$15),1)</f>
        <v>0</v>
      </c>
      <c s="125">
        <f>Предпосылки!$I89*Предпосылки!AF89*(1+Чувствительность!$D$24)*IFERROR(LOOKUP(Предпосылки!$J89,$C$13:$C$15,X$13:X$15),1)</f>
        <v>0</v>
      </c>
      <c s="125">
        <f>Предпосылки!$I89*Предпосылки!AG89*(1+Чувствительность!$D$24)*IFERROR(LOOKUP(Предпосылки!$J89,$C$13:$C$15,Y$13:Y$15),1)</f>
        <v>0</v>
      </c>
      <c s="125">
        <f>Предпосылки!$I89*Предпосылки!AH89*(1+Чувствительность!$D$24)*IFERROR(LOOKUP(Предпосылки!$J89,$C$13:$C$15,Z$13:Z$15),1)</f>
        <v>0</v>
      </c>
      <c s="125">
        <f>Предпосылки!$I89*Предпосылки!AI89*(1+Чувствительность!$D$24)*IFERROR(LOOKUP(Предпосылки!$J89,$C$13:$C$15,AA$13:AA$15),1)</f>
        <v>0</v>
      </c>
      <c s="125">
        <f>Предпосылки!$I89*Предпосылки!AJ89*(1+Чувствительность!$D$24)*IFERROR(LOOKUP(Предпосылки!$J89,$C$13:$C$15,AB$13:AB$15),1)</f>
        <v>0</v>
      </c>
      <c s="125">
        <f>Предпосылки!$I89*Предпосылки!AK89*(1+Чувствительность!$D$24)*IFERROR(LOOKUP(Предпосылки!$J89,$C$13:$C$15,AC$13:AC$15),1)</f>
        <v>0</v>
      </c>
      <c s="125">
        <f>Предпосылки!$I89*Предпосылки!AL89*(1+Чувствительность!$D$24)*IFERROR(LOOKUP(Предпосылки!$J89,$C$13:$C$15,AD$13:AD$15),1)</f>
        <v>0</v>
      </c>
      <c s="125">
        <f>Предпосылки!$I89*Предпосылки!AM89*(1+Чувствительность!$D$24)*IFERROR(LOOKUP(Предпосылки!$J89,$C$13:$C$15,AE$13:AE$15),1)</f>
        <v>0</v>
      </c>
      <c s="125">
        <f>Предпосылки!$I89*Предпосылки!AN89*(1+Чувствительность!$D$24)*IFERROR(LOOKUP(Предпосылки!$J89,$C$13:$C$15,AF$13:AF$15),1)</f>
        <v>0</v>
      </c>
      <c s="125">
        <f>Предпосылки!$I89*Предпосылки!AO89*(1+Чувствительность!$D$24)*IFERROR(LOOKUP(Предпосылки!$J89,$C$13:$C$15,AG$13:AG$15),1)</f>
        <v>0</v>
      </c>
      <c s="125">
        <f>Предпосылки!$I89*Предпосылки!AP89*(1+Чувствительность!$D$24)*IFERROR(LOOKUP(Предпосылки!$J89,$C$13:$C$15,AH$13:AH$15),1)</f>
        <v>0</v>
      </c>
      <c s="125">
        <f>Предпосылки!$I89*Предпосылки!AQ89*(1+Чувствительность!$D$24)*IFERROR(LOOKUP(Предпосылки!$J89,$C$13:$C$15,AI$13:AI$15),1)</f>
        <v>0</v>
      </c>
      <c s="125">
        <f>Предпосылки!$I89*Предпосылки!AR89*(1+Чувствительность!$D$24)*IFERROR(LOOKUP(Предпосылки!$J89,$C$13:$C$15,AJ$13:AJ$15),1)</f>
        <v>0</v>
      </c>
      <c s="125">
        <f>Предпосылки!$I89*Предпосылки!AS89*(1+Чувствительность!$D$24)*IFERROR(LOOKUP(Предпосылки!$J89,$C$13:$C$15,AK$13:AK$15),1)</f>
        <v>0</v>
      </c>
      <c s="125">
        <f>Предпосылки!$I89*Предпосылки!AT89*(1+Чувствительность!$D$24)*IFERROR(LOOKUP(Предпосылки!$J89,$C$13:$C$15,AL$13:AL$15),1)</f>
        <v>0</v>
      </c>
      <c s="125">
        <f>Предпосылки!$I89*Предпосылки!AU89*(1+Чувствительность!$D$24)*IFERROR(LOOKUP(Предпосылки!$J89,$C$13:$C$15,AM$13:AM$15),1)</f>
        <v>0</v>
      </c>
      <c s="125">
        <f>Предпосылки!$I89*Предпосылки!AV89*(1+Чувствительность!$D$24)*IFERROR(LOOKUP(Предпосылки!$J89,$C$13:$C$15,AN$13:AN$15),1)</f>
        <v>0</v>
      </c>
      <c s="125">
        <f>Предпосылки!$I89*Предпосылки!AW89*(1+Чувствительность!$D$24)*IFERROR(LOOKUP(Предпосылки!$J89,$C$13:$C$15,AO$13:AO$15),1)</f>
        <v>0</v>
      </c>
      <c s="125">
        <f>Предпосылки!$I89*Предпосылки!AX89*(1+Чувствительность!$D$24)*IFERROR(LOOKUP(Предпосылки!$J89,$C$13:$C$15,AP$13:AP$15),1)</f>
        <v>0</v>
      </c>
      <c s="125">
        <f>Предпосылки!$I89*Предпосылки!AY89*(1+Чувствительность!$D$24)*IFERROR(LOOKUP(Предпосылки!$J89,$C$13:$C$15,AQ$13:AQ$15),1)</f>
        <v>0</v>
      </c>
      <c s="125">
        <f>Предпосылки!$I89*Предпосылки!AZ89*(1+Чувствительность!$D$24)*IFERROR(LOOKUP(Предпосылки!$J89,$C$13:$C$15,AR$13:AR$15),1)</f>
        <v>0</v>
      </c>
      <c s="125">
        <f>Предпосылки!$I89*Предпосылки!BA89*(1+Чувствительность!$D$24)*IFERROR(LOOKUP(Предпосылки!$J89,$C$13:$C$15,AS$13:AS$15),1)</f>
        <v>0</v>
      </c>
      <c s="125">
        <f>Предпосылки!$I89*Предпосылки!BB89*(1+Чувствительность!$D$24)*IFERROR(LOOKUP(Предпосылки!$J89,$C$13:$C$15,AT$13:AT$15),1)</f>
        <v>0</v>
      </c>
      <c s="125">
        <f>Предпосылки!$I89*Предпосылки!BC89*(1+Чувствительность!$D$24)*IFERROR(LOOKUP(Предпосылки!$J89,$C$13:$C$15,AU$13:AU$15),1)</f>
        <v>0</v>
      </c>
      <c s="125">
        <f>Предпосылки!$I89*Предпосылки!BD89*(1+Чувствительность!$D$24)*IFERROR(LOOKUP(Предпосылки!$J89,$C$13:$C$15,AV$13:AV$15),1)</f>
        <v>0</v>
      </c>
      <c s="125">
        <f>Предпосылки!$I89*Предпосылки!BE89*(1+Чувствительность!$D$24)*IFERROR(LOOKUP(Предпосылки!$J89,$C$13:$C$15,AW$13:AW$15),1)</f>
        <v>0</v>
      </c>
      <c s="125">
        <f>Предпосылки!$I89*Предпосылки!BF89*(1+Чувствительность!$D$24)*IFERROR(LOOKUP(Предпосылки!$J89,$C$13:$C$15,AX$13:AX$15),1)</f>
        <v>0</v>
      </c>
      <c s="125">
        <f>Предпосылки!$I89*Предпосылки!BG89*(1+Чувствительность!$D$24)*IFERROR(LOOKUP(Предпосылки!$J89,$C$13:$C$15,AY$13:AY$15),1)</f>
        <v>0</v>
      </c>
      <c s="125">
        <f>Предпосылки!$I89*Предпосылки!BH89*(1+Чувствительность!$D$24)*IFERROR(LOOKUP(Предпосылки!$J89,$C$13:$C$15,AZ$13:AZ$15),1)</f>
        <v>0</v>
      </c>
      <c s="125">
        <f>Предпосылки!$I89*Предпосылки!BI89*(1+Чувствительность!$D$24)*IFERROR(LOOKUP(Предпосылки!$J89,$C$13:$C$15,BA$13:BA$15),1)</f>
        <v>0</v>
      </c>
      <c s="125">
        <f>Предпосылки!$I89*Предпосылки!BJ89*(1+Чувствительность!$D$24)*IFERROR(LOOKUP(Предпосылки!$J89,$C$13:$C$15,BB$13:BB$15),1)</f>
        <v>0</v>
      </c>
      <c s="125">
        <f>Предпосылки!$I89*Предпосылки!BK89*(1+Чувствительность!$D$24)*IFERROR(LOOKUP(Предпосылки!$J89,$C$13:$C$15,BC$13:BC$15),1)</f>
        <v>0</v>
      </c>
      <c s="125">
        <f>Предпосылки!$I89*Предпосылки!BL89*(1+Чувствительность!$D$24)*IFERROR(LOOKUP(Предпосылки!$J89,$C$13:$C$15,BD$13:BD$15),1)</f>
        <v>0</v>
      </c>
      <c s="125">
        <f>Предпосылки!$I89*Предпосылки!BM89*(1+Чувствительность!$D$24)*IFERROR(LOOKUP(Предпосылки!$J89,$C$13:$C$15,BE$13:BE$15),1)</f>
        <v>0</v>
      </c>
      <c s="125">
        <f>Предпосылки!$I89*Предпосылки!BN89*(1+Чувствительность!$D$24)*IFERROR(LOOKUP(Предпосылки!$J89,$C$13:$C$15,BF$13:BF$15),1)</f>
        <v>0</v>
      </c>
      <c s="125">
        <f>Предпосылки!$I89*Предпосылки!BO89*(1+Чувствительность!$D$24)*IFERROR(LOOKUP(Предпосылки!$J89,$C$13:$C$15,BG$13:BG$15),1)</f>
        <v>0</v>
      </c>
      <c s="125">
        <f>Предпосылки!$I89*Предпосылки!BP89*(1+Чувствительность!$D$24)*IFERROR(LOOKUP(Предпосылки!$J89,$C$13:$C$15,BH$13:BH$15),1)</f>
        <v>0</v>
      </c>
      <c s="125">
        <f>Предпосылки!$I89*Предпосылки!BQ89*(1+Чувствительность!$D$24)*IFERROR(LOOKUP(Предпосылки!$J89,$C$13:$C$15,BI$13:BI$15),1)</f>
        <v>0</v>
      </c>
      <c s="125">
        <f>Предпосылки!$I89*Предпосылки!BR89*(1+Чувствительность!$D$24)*IFERROR(LOOKUP(Предпосылки!$J89,$C$13:$C$15,BJ$13:BJ$15),1)</f>
        <v>0</v>
      </c>
      <c s="125">
        <f>Предпосылки!$I89*Предпосылки!BS89*(1+Чувствительность!$D$24)*IFERROR(LOOKUP(Предпосылки!$J89,$C$13:$C$15,BK$13:BK$15),1)</f>
        <v>0</v>
      </c>
      <c s="125">
        <f>Предпосылки!$I89*Предпосылки!BT89*(1+Чувствительность!$D$24)*IFERROR(LOOKUP(Предпосылки!$J89,$C$13:$C$15,BL$13:BL$15),1)</f>
        <v>0</v>
      </c>
      <c s="125">
        <f>Предпосылки!$I89*Предпосылки!BU89*(1+Чувствительность!$D$24)*IFERROR(LOOKUP(Предпосылки!$J89,$C$13:$C$15,BM$13:BM$15),1)</f>
        <v>0</v>
      </c>
    </row>
    <row r="75" spans="2:65" ht="15" customHeight="1">
      <c r="B75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Предпосылки!$I90*Предпосылки!M90*(1+Чувствительность!$D$24)*IFERROR(LOOKUP(Предпосылки!$J90,$C$13:$C$15,E$13:E$15),1)</f>
        <v>0</v>
      </c>
      <c s="125">
        <f>Предпосылки!$I90*Предпосылки!N90*(1+Чувствительность!$D$24)*IFERROR(LOOKUP(Предпосылки!$J90,$C$13:$C$15,F$13:F$15),1)</f>
        <v>0</v>
      </c>
      <c s="125">
        <f>Предпосылки!$I90*Предпосылки!O90*(1+Чувствительность!$D$24)*IFERROR(LOOKUP(Предпосылки!$J90,$C$13:$C$15,G$13:G$15),1)</f>
        <v>0</v>
      </c>
      <c s="125">
        <f>Предпосылки!$I90*Предпосылки!P90*(1+Чувствительность!$D$24)*IFERROR(LOOKUP(Предпосылки!$J90,$C$13:$C$15,H$13:H$15),1)</f>
        <v>0</v>
      </c>
      <c s="125">
        <f>Предпосылки!$I90*Предпосылки!Q90*(1+Чувствительность!$D$24)*IFERROR(LOOKUP(Предпосылки!$J90,$C$13:$C$15,I$13:I$15),1)</f>
        <v>0</v>
      </c>
      <c s="125">
        <f>Предпосылки!$I90*Предпосылки!R90*(1+Чувствительность!$D$24)*IFERROR(LOOKUP(Предпосылки!$J90,$C$13:$C$15,J$13:J$15),1)</f>
        <v>0</v>
      </c>
      <c s="125">
        <f>Предпосылки!$I90*Предпосылки!S90*(1+Чувствительность!$D$24)*IFERROR(LOOKUP(Предпосылки!$J90,$C$13:$C$15,K$13:K$15),1)</f>
        <v>0</v>
      </c>
      <c s="125">
        <f>Предпосылки!$I90*Предпосылки!T90*(1+Чувствительность!$D$24)*IFERROR(LOOKUP(Предпосылки!$J90,$C$13:$C$15,L$13:L$15),1)</f>
        <v>0</v>
      </c>
      <c s="125">
        <f>Предпосылки!$I90*Предпосылки!U90*(1+Чувствительность!$D$24)*IFERROR(LOOKUP(Предпосылки!$J90,$C$13:$C$15,M$13:M$15),1)</f>
        <v>0</v>
      </c>
      <c s="125">
        <f>Предпосылки!$I90*Предпосылки!V90*(1+Чувствительность!$D$24)*IFERROR(LOOKUP(Предпосылки!$J90,$C$13:$C$15,N$13:N$15),1)</f>
        <v>0</v>
      </c>
      <c s="125">
        <f>Предпосылки!$I90*Предпосылки!W90*(1+Чувствительность!$D$24)*IFERROR(LOOKUP(Предпосылки!$J90,$C$13:$C$15,O$13:O$15),1)</f>
        <v>0</v>
      </c>
      <c s="125">
        <f>Предпосылки!$I90*Предпосылки!X90*(1+Чувствительность!$D$24)*IFERROR(LOOKUP(Предпосылки!$J90,$C$13:$C$15,P$13:P$15),1)</f>
        <v>0</v>
      </c>
      <c s="125">
        <f>Предпосылки!$I90*Предпосылки!Y90*(1+Чувствительность!$D$24)*IFERROR(LOOKUP(Предпосылки!$J90,$C$13:$C$15,Q$13:Q$15),1)</f>
        <v>0</v>
      </c>
      <c s="125">
        <f>Предпосылки!$I90*Предпосылки!Z90*(1+Чувствительность!$D$24)*IFERROR(LOOKUP(Предпосылки!$J90,$C$13:$C$15,R$13:R$15),1)</f>
        <v>0</v>
      </c>
      <c s="125">
        <f>Предпосылки!$I90*Предпосылки!AA90*(1+Чувствительность!$D$24)*IFERROR(LOOKUP(Предпосылки!$J90,$C$13:$C$15,S$13:S$15),1)</f>
        <v>0</v>
      </c>
      <c s="125">
        <f>Предпосылки!$I90*Предпосылки!AB90*(1+Чувствительность!$D$24)*IFERROR(LOOKUP(Предпосылки!$J90,$C$13:$C$15,T$13:T$15),1)</f>
        <v>0</v>
      </c>
      <c s="125">
        <f>Предпосылки!$I90*Предпосылки!AC90*(1+Чувствительность!$D$24)*IFERROR(LOOKUP(Предпосылки!$J90,$C$13:$C$15,U$13:U$15),1)</f>
        <v>0</v>
      </c>
      <c s="125">
        <f>Предпосылки!$I90*Предпосылки!AD90*(1+Чувствительность!$D$24)*IFERROR(LOOKUP(Предпосылки!$J90,$C$13:$C$15,V$13:V$15),1)</f>
        <v>0</v>
      </c>
      <c s="125">
        <f>Предпосылки!$I90*Предпосылки!AE90*(1+Чувствительность!$D$24)*IFERROR(LOOKUP(Предпосылки!$J90,$C$13:$C$15,W$13:W$15),1)</f>
        <v>0</v>
      </c>
      <c s="125">
        <f>Предпосылки!$I90*Предпосылки!AF90*(1+Чувствительность!$D$24)*IFERROR(LOOKUP(Предпосылки!$J90,$C$13:$C$15,X$13:X$15),1)</f>
        <v>0</v>
      </c>
      <c s="125">
        <f>Предпосылки!$I90*Предпосылки!AG90*(1+Чувствительность!$D$24)*IFERROR(LOOKUP(Предпосылки!$J90,$C$13:$C$15,Y$13:Y$15),1)</f>
        <v>0</v>
      </c>
      <c s="125">
        <f>Предпосылки!$I90*Предпосылки!AH90*(1+Чувствительность!$D$24)*IFERROR(LOOKUP(Предпосылки!$J90,$C$13:$C$15,Z$13:Z$15),1)</f>
        <v>0</v>
      </c>
      <c s="125">
        <f>Предпосылки!$I90*Предпосылки!AI90*(1+Чувствительность!$D$24)*IFERROR(LOOKUP(Предпосылки!$J90,$C$13:$C$15,AA$13:AA$15),1)</f>
        <v>0</v>
      </c>
      <c s="125">
        <f>Предпосылки!$I90*Предпосылки!AJ90*(1+Чувствительность!$D$24)*IFERROR(LOOKUP(Предпосылки!$J90,$C$13:$C$15,AB$13:AB$15),1)</f>
        <v>0</v>
      </c>
      <c s="125">
        <f>Предпосылки!$I90*Предпосылки!AK90*(1+Чувствительность!$D$24)*IFERROR(LOOKUP(Предпосылки!$J90,$C$13:$C$15,AC$13:AC$15),1)</f>
        <v>0</v>
      </c>
      <c s="125">
        <f>Предпосылки!$I90*Предпосылки!AL90*(1+Чувствительность!$D$24)*IFERROR(LOOKUP(Предпосылки!$J90,$C$13:$C$15,AD$13:AD$15),1)</f>
        <v>0</v>
      </c>
      <c s="125">
        <f>Предпосылки!$I90*Предпосылки!AM90*(1+Чувствительность!$D$24)*IFERROR(LOOKUP(Предпосылки!$J90,$C$13:$C$15,AE$13:AE$15),1)</f>
        <v>0</v>
      </c>
      <c s="125">
        <f>Предпосылки!$I90*Предпосылки!AN90*(1+Чувствительность!$D$24)*IFERROR(LOOKUP(Предпосылки!$J90,$C$13:$C$15,AF$13:AF$15),1)</f>
        <v>0</v>
      </c>
      <c s="125">
        <f>Предпосылки!$I90*Предпосылки!AO90*(1+Чувствительность!$D$24)*IFERROR(LOOKUP(Предпосылки!$J90,$C$13:$C$15,AG$13:AG$15),1)</f>
        <v>0</v>
      </c>
      <c s="125">
        <f>Предпосылки!$I90*Предпосылки!AP90*(1+Чувствительность!$D$24)*IFERROR(LOOKUP(Предпосылки!$J90,$C$13:$C$15,AH$13:AH$15),1)</f>
        <v>0</v>
      </c>
      <c s="125">
        <f>Предпосылки!$I90*Предпосылки!AQ90*(1+Чувствительность!$D$24)*IFERROR(LOOKUP(Предпосылки!$J90,$C$13:$C$15,AI$13:AI$15),1)</f>
        <v>0</v>
      </c>
      <c s="125">
        <f>Предпосылки!$I90*Предпосылки!AR90*(1+Чувствительность!$D$24)*IFERROR(LOOKUP(Предпосылки!$J90,$C$13:$C$15,AJ$13:AJ$15),1)</f>
        <v>0</v>
      </c>
      <c s="125">
        <f>Предпосылки!$I90*Предпосылки!AS90*(1+Чувствительность!$D$24)*IFERROR(LOOKUP(Предпосылки!$J90,$C$13:$C$15,AK$13:AK$15),1)</f>
        <v>0</v>
      </c>
      <c s="125">
        <f>Предпосылки!$I90*Предпосылки!AT90*(1+Чувствительность!$D$24)*IFERROR(LOOKUP(Предпосылки!$J90,$C$13:$C$15,AL$13:AL$15),1)</f>
        <v>0</v>
      </c>
      <c s="125">
        <f>Предпосылки!$I90*Предпосылки!AU90*(1+Чувствительность!$D$24)*IFERROR(LOOKUP(Предпосылки!$J90,$C$13:$C$15,AM$13:AM$15),1)</f>
        <v>0</v>
      </c>
      <c s="125">
        <f>Предпосылки!$I90*Предпосылки!AV90*(1+Чувствительность!$D$24)*IFERROR(LOOKUP(Предпосылки!$J90,$C$13:$C$15,AN$13:AN$15),1)</f>
        <v>0</v>
      </c>
      <c s="125">
        <f>Предпосылки!$I90*Предпосылки!AW90*(1+Чувствительность!$D$24)*IFERROR(LOOKUP(Предпосылки!$J90,$C$13:$C$15,AO$13:AO$15),1)</f>
        <v>0</v>
      </c>
      <c s="125">
        <f>Предпосылки!$I90*Предпосылки!AX90*(1+Чувствительность!$D$24)*IFERROR(LOOKUP(Предпосылки!$J90,$C$13:$C$15,AP$13:AP$15),1)</f>
        <v>0</v>
      </c>
      <c s="125">
        <f>Предпосылки!$I90*Предпосылки!AY90*(1+Чувствительность!$D$24)*IFERROR(LOOKUP(Предпосылки!$J90,$C$13:$C$15,AQ$13:AQ$15),1)</f>
        <v>0</v>
      </c>
      <c s="125">
        <f>Предпосылки!$I90*Предпосылки!AZ90*(1+Чувствительность!$D$24)*IFERROR(LOOKUP(Предпосылки!$J90,$C$13:$C$15,AR$13:AR$15),1)</f>
        <v>0</v>
      </c>
      <c s="125">
        <f>Предпосылки!$I90*Предпосылки!BA90*(1+Чувствительность!$D$24)*IFERROR(LOOKUP(Предпосылки!$J90,$C$13:$C$15,AS$13:AS$15),1)</f>
        <v>0</v>
      </c>
      <c s="125">
        <f>Предпосылки!$I90*Предпосылки!BB90*(1+Чувствительность!$D$24)*IFERROR(LOOKUP(Предпосылки!$J90,$C$13:$C$15,AT$13:AT$15),1)</f>
        <v>0</v>
      </c>
      <c s="125">
        <f>Предпосылки!$I90*Предпосылки!BC90*(1+Чувствительность!$D$24)*IFERROR(LOOKUP(Предпосылки!$J90,$C$13:$C$15,AU$13:AU$15),1)</f>
        <v>0</v>
      </c>
      <c s="125">
        <f>Предпосылки!$I90*Предпосылки!BD90*(1+Чувствительность!$D$24)*IFERROR(LOOKUP(Предпосылки!$J90,$C$13:$C$15,AV$13:AV$15),1)</f>
        <v>0</v>
      </c>
      <c s="125">
        <f>Предпосылки!$I90*Предпосылки!BE90*(1+Чувствительность!$D$24)*IFERROR(LOOKUP(Предпосылки!$J90,$C$13:$C$15,AW$13:AW$15),1)</f>
        <v>0</v>
      </c>
      <c s="125">
        <f>Предпосылки!$I90*Предпосылки!BF90*(1+Чувствительность!$D$24)*IFERROR(LOOKUP(Предпосылки!$J90,$C$13:$C$15,AX$13:AX$15),1)</f>
        <v>0</v>
      </c>
      <c s="125">
        <f>Предпосылки!$I90*Предпосылки!BG90*(1+Чувствительность!$D$24)*IFERROR(LOOKUP(Предпосылки!$J90,$C$13:$C$15,AY$13:AY$15),1)</f>
        <v>0</v>
      </c>
      <c s="125">
        <f>Предпосылки!$I90*Предпосылки!BH90*(1+Чувствительность!$D$24)*IFERROR(LOOKUP(Предпосылки!$J90,$C$13:$C$15,AZ$13:AZ$15),1)</f>
        <v>0</v>
      </c>
      <c s="125">
        <f>Предпосылки!$I90*Предпосылки!BI90*(1+Чувствительность!$D$24)*IFERROR(LOOKUP(Предпосылки!$J90,$C$13:$C$15,BA$13:BA$15),1)</f>
        <v>0</v>
      </c>
      <c s="125">
        <f>Предпосылки!$I90*Предпосылки!BJ90*(1+Чувствительность!$D$24)*IFERROR(LOOKUP(Предпосылки!$J90,$C$13:$C$15,BB$13:BB$15),1)</f>
        <v>0</v>
      </c>
      <c s="125">
        <f>Предпосылки!$I90*Предпосылки!BK90*(1+Чувствительность!$D$24)*IFERROR(LOOKUP(Предпосылки!$J90,$C$13:$C$15,BC$13:BC$15),1)</f>
        <v>0</v>
      </c>
      <c s="125">
        <f>Предпосылки!$I90*Предпосылки!BL90*(1+Чувствительность!$D$24)*IFERROR(LOOKUP(Предпосылки!$J90,$C$13:$C$15,BD$13:BD$15),1)</f>
        <v>0</v>
      </c>
      <c s="125">
        <f>Предпосылки!$I90*Предпосылки!BM90*(1+Чувствительность!$D$24)*IFERROR(LOOKUP(Предпосылки!$J90,$C$13:$C$15,BE$13:BE$15),1)</f>
        <v>0</v>
      </c>
      <c s="125">
        <f>Предпосылки!$I90*Предпосылки!BN90*(1+Чувствительность!$D$24)*IFERROR(LOOKUP(Предпосылки!$J90,$C$13:$C$15,BF$13:BF$15),1)</f>
        <v>0</v>
      </c>
      <c s="125">
        <f>Предпосылки!$I90*Предпосылки!BO90*(1+Чувствительность!$D$24)*IFERROR(LOOKUP(Предпосылки!$J90,$C$13:$C$15,BG$13:BG$15),1)</f>
        <v>0</v>
      </c>
      <c s="125">
        <f>Предпосылки!$I90*Предпосылки!BP90*(1+Чувствительность!$D$24)*IFERROR(LOOKUP(Предпосылки!$J90,$C$13:$C$15,BH$13:BH$15),1)</f>
        <v>0</v>
      </c>
      <c s="125">
        <f>Предпосылки!$I90*Предпосылки!BQ90*(1+Чувствительность!$D$24)*IFERROR(LOOKUP(Предпосылки!$J90,$C$13:$C$15,BI$13:BI$15),1)</f>
        <v>0</v>
      </c>
      <c s="125">
        <f>Предпосылки!$I90*Предпосылки!BR90*(1+Чувствительность!$D$24)*IFERROR(LOOKUP(Предпосылки!$J90,$C$13:$C$15,BJ$13:BJ$15),1)</f>
        <v>0</v>
      </c>
      <c s="125">
        <f>Предпосылки!$I90*Предпосылки!BS90*(1+Чувствительность!$D$24)*IFERROR(LOOKUP(Предпосылки!$J90,$C$13:$C$15,BK$13:BK$15),1)</f>
        <v>0</v>
      </c>
      <c s="125">
        <f>Предпосылки!$I90*Предпосылки!BT90*(1+Чувствительность!$D$24)*IFERROR(LOOKUP(Предпосылки!$J90,$C$13:$C$15,BL$13:BL$15),1)</f>
        <v>0</v>
      </c>
      <c s="125">
        <f>Предпосылки!$I90*Предпосылки!BU90*(1+Чувствительность!$D$24)*IFERROR(LOOKUP(Предпосылки!$J90,$C$13:$C$15,BM$13:BM$15),1)</f>
        <v>0</v>
      </c>
    </row>
    <row r="76" spans="2:65" ht="15" customHeight="1">
      <c r="B76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Предпосылки!$I91*Предпосылки!M91*(1+Чувствительность!$D$24)*IFERROR(LOOKUP(Предпосылки!$J91,$C$13:$C$15,E$13:E$15),1)</f>
        <v>0</v>
      </c>
      <c s="125">
        <f>Предпосылки!$I91*Предпосылки!N91*(1+Чувствительность!$D$24)*IFERROR(LOOKUP(Предпосылки!$J91,$C$13:$C$15,F$13:F$15),1)</f>
        <v>0</v>
      </c>
      <c s="125">
        <f>Предпосылки!$I91*Предпосылки!O91*(1+Чувствительность!$D$24)*IFERROR(LOOKUP(Предпосылки!$J91,$C$13:$C$15,G$13:G$15),1)</f>
        <v>0</v>
      </c>
      <c s="125">
        <f>Предпосылки!$I91*Предпосылки!P91*(1+Чувствительность!$D$24)*IFERROR(LOOKUP(Предпосылки!$J91,$C$13:$C$15,H$13:H$15),1)</f>
        <v>0</v>
      </c>
      <c s="125">
        <f>Предпосылки!$I91*Предпосылки!Q91*(1+Чувствительность!$D$24)*IFERROR(LOOKUP(Предпосылки!$J91,$C$13:$C$15,I$13:I$15),1)</f>
        <v>0</v>
      </c>
      <c s="125">
        <f>Предпосылки!$I91*Предпосылки!R91*(1+Чувствительность!$D$24)*IFERROR(LOOKUP(Предпосылки!$J91,$C$13:$C$15,J$13:J$15),1)</f>
        <v>0</v>
      </c>
      <c s="125">
        <f>Предпосылки!$I91*Предпосылки!S91*(1+Чувствительность!$D$24)*IFERROR(LOOKUP(Предпосылки!$J91,$C$13:$C$15,K$13:K$15),1)</f>
        <v>0</v>
      </c>
      <c s="125">
        <f>Предпосылки!$I91*Предпосылки!T91*(1+Чувствительность!$D$24)*IFERROR(LOOKUP(Предпосылки!$J91,$C$13:$C$15,L$13:L$15),1)</f>
        <v>0</v>
      </c>
      <c s="125">
        <f>Предпосылки!$I91*Предпосылки!U91*(1+Чувствительность!$D$24)*IFERROR(LOOKUP(Предпосылки!$J91,$C$13:$C$15,M$13:M$15),1)</f>
        <v>0</v>
      </c>
      <c s="125">
        <f>Предпосылки!$I91*Предпосылки!V91*(1+Чувствительность!$D$24)*IFERROR(LOOKUP(Предпосылки!$J91,$C$13:$C$15,N$13:N$15),1)</f>
        <v>0</v>
      </c>
      <c s="125">
        <f>Предпосылки!$I91*Предпосылки!W91*(1+Чувствительность!$D$24)*IFERROR(LOOKUP(Предпосылки!$J91,$C$13:$C$15,O$13:O$15),1)</f>
        <v>0</v>
      </c>
      <c s="125">
        <f>Предпосылки!$I91*Предпосылки!X91*(1+Чувствительность!$D$24)*IFERROR(LOOKUP(Предпосылки!$J91,$C$13:$C$15,P$13:P$15),1)</f>
        <v>0</v>
      </c>
      <c s="125">
        <f>Предпосылки!$I91*Предпосылки!Y91*(1+Чувствительность!$D$24)*IFERROR(LOOKUP(Предпосылки!$J91,$C$13:$C$15,Q$13:Q$15),1)</f>
        <v>0</v>
      </c>
      <c s="125">
        <f>Предпосылки!$I91*Предпосылки!Z91*(1+Чувствительность!$D$24)*IFERROR(LOOKUP(Предпосылки!$J91,$C$13:$C$15,R$13:R$15),1)</f>
        <v>0</v>
      </c>
      <c s="125">
        <f>Предпосылки!$I91*Предпосылки!AA91*(1+Чувствительность!$D$24)*IFERROR(LOOKUP(Предпосылки!$J91,$C$13:$C$15,S$13:S$15),1)</f>
        <v>0</v>
      </c>
      <c s="125">
        <f>Предпосылки!$I91*Предпосылки!AB91*(1+Чувствительность!$D$24)*IFERROR(LOOKUP(Предпосылки!$J91,$C$13:$C$15,T$13:T$15),1)</f>
        <v>0</v>
      </c>
      <c s="125">
        <f>Предпосылки!$I91*Предпосылки!AC91*(1+Чувствительность!$D$24)*IFERROR(LOOKUP(Предпосылки!$J91,$C$13:$C$15,U$13:U$15),1)</f>
        <v>0</v>
      </c>
      <c s="125">
        <f>Предпосылки!$I91*Предпосылки!AD91*(1+Чувствительность!$D$24)*IFERROR(LOOKUP(Предпосылки!$J91,$C$13:$C$15,V$13:V$15),1)</f>
        <v>0</v>
      </c>
      <c s="125">
        <f>Предпосылки!$I91*Предпосылки!AE91*(1+Чувствительность!$D$24)*IFERROR(LOOKUP(Предпосылки!$J91,$C$13:$C$15,W$13:W$15),1)</f>
        <v>0</v>
      </c>
      <c s="125">
        <f>Предпосылки!$I91*Предпосылки!AF91*(1+Чувствительность!$D$24)*IFERROR(LOOKUP(Предпосылки!$J91,$C$13:$C$15,X$13:X$15),1)</f>
        <v>0</v>
      </c>
      <c s="125">
        <f>Предпосылки!$I91*Предпосылки!AG91*(1+Чувствительность!$D$24)*IFERROR(LOOKUP(Предпосылки!$J91,$C$13:$C$15,Y$13:Y$15),1)</f>
        <v>0</v>
      </c>
      <c s="125">
        <f>Предпосылки!$I91*Предпосылки!AH91*(1+Чувствительность!$D$24)*IFERROR(LOOKUP(Предпосылки!$J91,$C$13:$C$15,Z$13:Z$15),1)</f>
        <v>0</v>
      </c>
      <c s="125">
        <f>Предпосылки!$I91*Предпосылки!AI91*(1+Чувствительность!$D$24)*IFERROR(LOOKUP(Предпосылки!$J91,$C$13:$C$15,AA$13:AA$15),1)</f>
        <v>0</v>
      </c>
      <c s="125">
        <f>Предпосылки!$I91*Предпосылки!AJ91*(1+Чувствительность!$D$24)*IFERROR(LOOKUP(Предпосылки!$J91,$C$13:$C$15,AB$13:AB$15),1)</f>
        <v>0</v>
      </c>
      <c s="125">
        <f>Предпосылки!$I91*Предпосылки!AK91*(1+Чувствительность!$D$24)*IFERROR(LOOKUP(Предпосылки!$J91,$C$13:$C$15,AC$13:AC$15),1)</f>
        <v>0</v>
      </c>
      <c s="125">
        <f>Предпосылки!$I91*Предпосылки!AL91*(1+Чувствительность!$D$24)*IFERROR(LOOKUP(Предпосылки!$J91,$C$13:$C$15,AD$13:AD$15),1)</f>
        <v>0</v>
      </c>
      <c s="125">
        <f>Предпосылки!$I91*Предпосылки!AM91*(1+Чувствительность!$D$24)*IFERROR(LOOKUP(Предпосылки!$J91,$C$13:$C$15,AE$13:AE$15),1)</f>
        <v>0</v>
      </c>
      <c s="125">
        <f>Предпосылки!$I91*Предпосылки!AN91*(1+Чувствительность!$D$24)*IFERROR(LOOKUP(Предпосылки!$J91,$C$13:$C$15,AF$13:AF$15),1)</f>
        <v>0</v>
      </c>
      <c s="125">
        <f>Предпосылки!$I91*Предпосылки!AO91*(1+Чувствительность!$D$24)*IFERROR(LOOKUP(Предпосылки!$J91,$C$13:$C$15,AG$13:AG$15),1)</f>
        <v>0</v>
      </c>
      <c s="125">
        <f>Предпосылки!$I91*Предпосылки!AP91*(1+Чувствительность!$D$24)*IFERROR(LOOKUP(Предпосылки!$J91,$C$13:$C$15,AH$13:AH$15),1)</f>
        <v>0</v>
      </c>
      <c s="125">
        <f>Предпосылки!$I91*Предпосылки!AQ91*(1+Чувствительность!$D$24)*IFERROR(LOOKUP(Предпосылки!$J91,$C$13:$C$15,AI$13:AI$15),1)</f>
        <v>0</v>
      </c>
      <c s="125">
        <f>Предпосылки!$I91*Предпосылки!AR91*(1+Чувствительность!$D$24)*IFERROR(LOOKUP(Предпосылки!$J91,$C$13:$C$15,AJ$13:AJ$15),1)</f>
        <v>0</v>
      </c>
      <c s="125">
        <f>Предпосылки!$I91*Предпосылки!AS91*(1+Чувствительность!$D$24)*IFERROR(LOOKUP(Предпосылки!$J91,$C$13:$C$15,AK$13:AK$15),1)</f>
        <v>0</v>
      </c>
      <c s="125">
        <f>Предпосылки!$I91*Предпосылки!AT91*(1+Чувствительность!$D$24)*IFERROR(LOOKUP(Предпосылки!$J91,$C$13:$C$15,AL$13:AL$15),1)</f>
        <v>0</v>
      </c>
      <c s="125">
        <f>Предпосылки!$I91*Предпосылки!AU91*(1+Чувствительность!$D$24)*IFERROR(LOOKUP(Предпосылки!$J91,$C$13:$C$15,AM$13:AM$15),1)</f>
        <v>0</v>
      </c>
      <c s="125">
        <f>Предпосылки!$I91*Предпосылки!AV91*(1+Чувствительность!$D$24)*IFERROR(LOOKUP(Предпосылки!$J91,$C$13:$C$15,AN$13:AN$15),1)</f>
        <v>0</v>
      </c>
      <c s="125">
        <f>Предпосылки!$I91*Предпосылки!AW91*(1+Чувствительность!$D$24)*IFERROR(LOOKUP(Предпосылки!$J91,$C$13:$C$15,AO$13:AO$15),1)</f>
        <v>0</v>
      </c>
      <c s="125">
        <f>Предпосылки!$I91*Предпосылки!AX91*(1+Чувствительность!$D$24)*IFERROR(LOOKUP(Предпосылки!$J91,$C$13:$C$15,AP$13:AP$15),1)</f>
        <v>0</v>
      </c>
      <c s="125">
        <f>Предпосылки!$I91*Предпосылки!AY91*(1+Чувствительность!$D$24)*IFERROR(LOOKUP(Предпосылки!$J91,$C$13:$C$15,AQ$13:AQ$15),1)</f>
        <v>0</v>
      </c>
      <c s="125">
        <f>Предпосылки!$I91*Предпосылки!AZ91*(1+Чувствительность!$D$24)*IFERROR(LOOKUP(Предпосылки!$J91,$C$13:$C$15,AR$13:AR$15),1)</f>
        <v>0</v>
      </c>
      <c s="125">
        <f>Предпосылки!$I91*Предпосылки!BA91*(1+Чувствительность!$D$24)*IFERROR(LOOKUP(Предпосылки!$J91,$C$13:$C$15,AS$13:AS$15),1)</f>
        <v>0</v>
      </c>
      <c s="125">
        <f>Предпосылки!$I91*Предпосылки!BB91*(1+Чувствительность!$D$24)*IFERROR(LOOKUP(Предпосылки!$J91,$C$13:$C$15,AT$13:AT$15),1)</f>
        <v>0</v>
      </c>
      <c s="125">
        <f>Предпосылки!$I91*Предпосылки!BC91*(1+Чувствительность!$D$24)*IFERROR(LOOKUP(Предпосылки!$J91,$C$13:$C$15,AU$13:AU$15),1)</f>
        <v>0</v>
      </c>
      <c s="125">
        <f>Предпосылки!$I91*Предпосылки!BD91*(1+Чувствительность!$D$24)*IFERROR(LOOKUP(Предпосылки!$J91,$C$13:$C$15,AV$13:AV$15),1)</f>
        <v>0</v>
      </c>
      <c s="125">
        <f>Предпосылки!$I91*Предпосылки!BE91*(1+Чувствительность!$D$24)*IFERROR(LOOKUP(Предпосылки!$J91,$C$13:$C$15,AW$13:AW$15),1)</f>
        <v>0</v>
      </c>
      <c s="125">
        <f>Предпосылки!$I91*Предпосылки!BF91*(1+Чувствительность!$D$24)*IFERROR(LOOKUP(Предпосылки!$J91,$C$13:$C$15,AX$13:AX$15),1)</f>
        <v>0</v>
      </c>
      <c s="125">
        <f>Предпосылки!$I91*Предпосылки!BG91*(1+Чувствительность!$D$24)*IFERROR(LOOKUP(Предпосылки!$J91,$C$13:$C$15,AY$13:AY$15),1)</f>
        <v>0</v>
      </c>
      <c s="125">
        <f>Предпосылки!$I91*Предпосылки!BH91*(1+Чувствительность!$D$24)*IFERROR(LOOKUP(Предпосылки!$J91,$C$13:$C$15,AZ$13:AZ$15),1)</f>
        <v>0</v>
      </c>
      <c s="125">
        <f>Предпосылки!$I91*Предпосылки!BI91*(1+Чувствительность!$D$24)*IFERROR(LOOKUP(Предпосылки!$J91,$C$13:$C$15,BA$13:BA$15),1)</f>
        <v>0</v>
      </c>
      <c s="125">
        <f>Предпосылки!$I91*Предпосылки!BJ91*(1+Чувствительность!$D$24)*IFERROR(LOOKUP(Предпосылки!$J91,$C$13:$C$15,BB$13:BB$15),1)</f>
        <v>0</v>
      </c>
      <c s="125">
        <f>Предпосылки!$I91*Предпосылки!BK91*(1+Чувствительность!$D$24)*IFERROR(LOOKUP(Предпосылки!$J91,$C$13:$C$15,BC$13:BC$15),1)</f>
        <v>0</v>
      </c>
      <c s="125">
        <f>Предпосылки!$I91*Предпосылки!BL91*(1+Чувствительность!$D$24)*IFERROR(LOOKUP(Предпосылки!$J91,$C$13:$C$15,BD$13:BD$15),1)</f>
        <v>0</v>
      </c>
      <c s="125">
        <f>Предпосылки!$I91*Предпосылки!BM91*(1+Чувствительность!$D$24)*IFERROR(LOOKUP(Предпосылки!$J91,$C$13:$C$15,BE$13:BE$15),1)</f>
        <v>0</v>
      </c>
      <c s="125">
        <f>Предпосылки!$I91*Предпосылки!BN91*(1+Чувствительность!$D$24)*IFERROR(LOOKUP(Предпосылки!$J91,$C$13:$C$15,BF$13:BF$15),1)</f>
        <v>0</v>
      </c>
      <c s="125">
        <f>Предпосылки!$I91*Предпосылки!BO91*(1+Чувствительность!$D$24)*IFERROR(LOOKUP(Предпосылки!$J91,$C$13:$C$15,BG$13:BG$15),1)</f>
        <v>0</v>
      </c>
      <c s="125">
        <f>Предпосылки!$I91*Предпосылки!BP91*(1+Чувствительность!$D$24)*IFERROR(LOOKUP(Предпосылки!$J91,$C$13:$C$15,BH$13:BH$15),1)</f>
        <v>0</v>
      </c>
      <c s="125">
        <f>Предпосылки!$I91*Предпосылки!BQ91*(1+Чувствительность!$D$24)*IFERROR(LOOKUP(Предпосылки!$J91,$C$13:$C$15,BI$13:BI$15),1)</f>
        <v>0</v>
      </c>
      <c s="125">
        <f>Предпосылки!$I91*Предпосылки!BR91*(1+Чувствительность!$D$24)*IFERROR(LOOKUP(Предпосылки!$J91,$C$13:$C$15,BJ$13:BJ$15),1)</f>
        <v>0</v>
      </c>
      <c s="125">
        <f>Предпосылки!$I91*Предпосылки!BS91*(1+Чувствительность!$D$24)*IFERROR(LOOKUP(Предпосылки!$J91,$C$13:$C$15,BK$13:BK$15),1)</f>
        <v>0</v>
      </c>
      <c s="125">
        <f>Предпосылки!$I91*Предпосылки!BT91*(1+Чувствительность!$D$24)*IFERROR(LOOKUP(Предпосылки!$J91,$C$13:$C$15,BL$13:BL$15),1)</f>
        <v>0</v>
      </c>
      <c s="125">
        <f>Предпосылки!$I91*Предпосылки!BU91*(1+Чувствительность!$D$24)*IFERROR(LOOKUP(Предпосылки!$J91,$C$13:$C$15,BM$13:BM$15),1)</f>
        <v>0</v>
      </c>
    </row>
    <row r="77" spans="2:65" ht="15" customHeight="1">
      <c r="B77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Предпосылки!$I92*Предпосылки!M92*(1+Чувствительность!$D$24)*IFERROR(LOOKUP(Предпосылки!$J92,$C$13:$C$15,E$13:E$15),1)</f>
        <v>0</v>
      </c>
      <c s="125">
        <f>Предпосылки!$I92*Предпосылки!N92*(1+Чувствительность!$D$24)*IFERROR(LOOKUP(Предпосылки!$J92,$C$13:$C$15,F$13:F$15),1)</f>
        <v>0</v>
      </c>
      <c s="125">
        <f>Предпосылки!$I92*Предпосылки!O92*(1+Чувствительность!$D$24)*IFERROR(LOOKUP(Предпосылки!$J92,$C$13:$C$15,G$13:G$15),1)</f>
        <v>0</v>
      </c>
      <c s="125">
        <f>Предпосылки!$I92*Предпосылки!P92*(1+Чувствительность!$D$24)*IFERROR(LOOKUP(Предпосылки!$J92,$C$13:$C$15,H$13:H$15),1)</f>
        <v>0</v>
      </c>
      <c s="125">
        <f>Предпосылки!$I92*Предпосылки!Q92*(1+Чувствительность!$D$24)*IFERROR(LOOKUP(Предпосылки!$J92,$C$13:$C$15,I$13:I$15),1)</f>
        <v>0</v>
      </c>
      <c s="125">
        <f>Предпосылки!$I92*Предпосылки!R92*(1+Чувствительность!$D$24)*IFERROR(LOOKUP(Предпосылки!$J92,$C$13:$C$15,J$13:J$15),1)</f>
        <v>0</v>
      </c>
      <c s="125">
        <f>Предпосылки!$I92*Предпосылки!S92*(1+Чувствительность!$D$24)*IFERROR(LOOKUP(Предпосылки!$J92,$C$13:$C$15,K$13:K$15),1)</f>
        <v>0</v>
      </c>
      <c s="125">
        <f>Предпосылки!$I92*Предпосылки!T92*(1+Чувствительность!$D$24)*IFERROR(LOOKUP(Предпосылки!$J92,$C$13:$C$15,L$13:L$15),1)</f>
        <v>0</v>
      </c>
      <c s="125">
        <f>Предпосылки!$I92*Предпосылки!U92*(1+Чувствительность!$D$24)*IFERROR(LOOKUP(Предпосылки!$J92,$C$13:$C$15,M$13:M$15),1)</f>
        <v>0</v>
      </c>
      <c s="125">
        <f>Предпосылки!$I92*Предпосылки!V92*(1+Чувствительность!$D$24)*IFERROR(LOOKUP(Предпосылки!$J92,$C$13:$C$15,N$13:N$15),1)</f>
        <v>0</v>
      </c>
      <c s="125">
        <f>Предпосылки!$I92*Предпосылки!W92*(1+Чувствительность!$D$24)*IFERROR(LOOKUP(Предпосылки!$J92,$C$13:$C$15,O$13:O$15),1)</f>
        <v>0</v>
      </c>
      <c s="125">
        <f>Предпосылки!$I92*Предпосылки!X92*(1+Чувствительность!$D$24)*IFERROR(LOOKUP(Предпосылки!$J92,$C$13:$C$15,P$13:P$15),1)</f>
        <v>0</v>
      </c>
      <c s="125">
        <f>Предпосылки!$I92*Предпосылки!Y92*(1+Чувствительность!$D$24)*IFERROR(LOOKUP(Предпосылки!$J92,$C$13:$C$15,Q$13:Q$15),1)</f>
        <v>0</v>
      </c>
      <c s="125">
        <f>Предпосылки!$I92*Предпосылки!Z92*(1+Чувствительность!$D$24)*IFERROR(LOOKUP(Предпосылки!$J92,$C$13:$C$15,R$13:R$15),1)</f>
        <v>0</v>
      </c>
      <c s="125">
        <f>Предпосылки!$I92*Предпосылки!AA92*(1+Чувствительность!$D$24)*IFERROR(LOOKUP(Предпосылки!$J92,$C$13:$C$15,S$13:S$15),1)</f>
        <v>0</v>
      </c>
      <c s="125">
        <f>Предпосылки!$I92*Предпосылки!AB92*(1+Чувствительность!$D$24)*IFERROR(LOOKUP(Предпосылки!$J92,$C$13:$C$15,T$13:T$15),1)</f>
        <v>0</v>
      </c>
      <c s="125">
        <f>Предпосылки!$I92*Предпосылки!AC92*(1+Чувствительность!$D$24)*IFERROR(LOOKUP(Предпосылки!$J92,$C$13:$C$15,U$13:U$15),1)</f>
        <v>0</v>
      </c>
      <c s="125">
        <f>Предпосылки!$I92*Предпосылки!AD92*(1+Чувствительность!$D$24)*IFERROR(LOOKUP(Предпосылки!$J92,$C$13:$C$15,V$13:V$15),1)</f>
        <v>0</v>
      </c>
      <c s="125">
        <f>Предпосылки!$I92*Предпосылки!AE92*(1+Чувствительность!$D$24)*IFERROR(LOOKUP(Предпосылки!$J92,$C$13:$C$15,W$13:W$15),1)</f>
        <v>0</v>
      </c>
      <c s="125">
        <f>Предпосылки!$I92*Предпосылки!AF92*(1+Чувствительность!$D$24)*IFERROR(LOOKUP(Предпосылки!$J92,$C$13:$C$15,X$13:X$15),1)</f>
        <v>0</v>
      </c>
      <c s="125">
        <f>Предпосылки!$I92*Предпосылки!AG92*(1+Чувствительность!$D$24)*IFERROR(LOOKUP(Предпосылки!$J92,$C$13:$C$15,Y$13:Y$15),1)</f>
        <v>0</v>
      </c>
      <c s="125">
        <f>Предпосылки!$I92*Предпосылки!AH92*(1+Чувствительность!$D$24)*IFERROR(LOOKUP(Предпосылки!$J92,$C$13:$C$15,Z$13:Z$15),1)</f>
        <v>0</v>
      </c>
      <c s="125">
        <f>Предпосылки!$I92*Предпосылки!AI92*(1+Чувствительность!$D$24)*IFERROR(LOOKUP(Предпосылки!$J92,$C$13:$C$15,AA$13:AA$15),1)</f>
        <v>0</v>
      </c>
      <c s="125">
        <f>Предпосылки!$I92*Предпосылки!AJ92*(1+Чувствительность!$D$24)*IFERROR(LOOKUP(Предпосылки!$J92,$C$13:$C$15,AB$13:AB$15),1)</f>
        <v>0</v>
      </c>
      <c s="125">
        <f>Предпосылки!$I92*Предпосылки!AK92*(1+Чувствительность!$D$24)*IFERROR(LOOKUP(Предпосылки!$J92,$C$13:$C$15,AC$13:AC$15),1)</f>
        <v>0</v>
      </c>
      <c s="125">
        <f>Предпосылки!$I92*Предпосылки!AL92*(1+Чувствительность!$D$24)*IFERROR(LOOKUP(Предпосылки!$J92,$C$13:$C$15,AD$13:AD$15),1)</f>
        <v>0</v>
      </c>
      <c s="125">
        <f>Предпосылки!$I92*Предпосылки!AM92*(1+Чувствительность!$D$24)*IFERROR(LOOKUP(Предпосылки!$J92,$C$13:$C$15,AE$13:AE$15),1)</f>
        <v>0</v>
      </c>
      <c s="125">
        <f>Предпосылки!$I92*Предпосылки!AN92*(1+Чувствительность!$D$24)*IFERROR(LOOKUP(Предпосылки!$J92,$C$13:$C$15,AF$13:AF$15),1)</f>
        <v>0</v>
      </c>
      <c s="125">
        <f>Предпосылки!$I92*Предпосылки!AO92*(1+Чувствительность!$D$24)*IFERROR(LOOKUP(Предпосылки!$J92,$C$13:$C$15,AG$13:AG$15),1)</f>
        <v>0</v>
      </c>
      <c s="125">
        <f>Предпосылки!$I92*Предпосылки!AP92*(1+Чувствительность!$D$24)*IFERROR(LOOKUP(Предпосылки!$J92,$C$13:$C$15,AH$13:AH$15),1)</f>
        <v>0</v>
      </c>
      <c s="125">
        <f>Предпосылки!$I92*Предпосылки!AQ92*(1+Чувствительность!$D$24)*IFERROR(LOOKUP(Предпосылки!$J92,$C$13:$C$15,AI$13:AI$15),1)</f>
        <v>0</v>
      </c>
      <c s="125">
        <f>Предпосылки!$I92*Предпосылки!AR92*(1+Чувствительность!$D$24)*IFERROR(LOOKUP(Предпосылки!$J92,$C$13:$C$15,AJ$13:AJ$15),1)</f>
        <v>0</v>
      </c>
      <c s="125">
        <f>Предпосылки!$I92*Предпосылки!AS92*(1+Чувствительность!$D$24)*IFERROR(LOOKUP(Предпосылки!$J92,$C$13:$C$15,AK$13:AK$15),1)</f>
        <v>0</v>
      </c>
      <c s="125">
        <f>Предпосылки!$I92*Предпосылки!AT92*(1+Чувствительность!$D$24)*IFERROR(LOOKUP(Предпосылки!$J92,$C$13:$C$15,AL$13:AL$15),1)</f>
        <v>0</v>
      </c>
      <c s="125">
        <f>Предпосылки!$I92*Предпосылки!AU92*(1+Чувствительность!$D$24)*IFERROR(LOOKUP(Предпосылки!$J92,$C$13:$C$15,AM$13:AM$15),1)</f>
        <v>0</v>
      </c>
      <c s="125">
        <f>Предпосылки!$I92*Предпосылки!AV92*(1+Чувствительность!$D$24)*IFERROR(LOOKUP(Предпосылки!$J92,$C$13:$C$15,AN$13:AN$15),1)</f>
        <v>0</v>
      </c>
      <c s="125">
        <f>Предпосылки!$I92*Предпосылки!AW92*(1+Чувствительность!$D$24)*IFERROR(LOOKUP(Предпосылки!$J92,$C$13:$C$15,AO$13:AO$15),1)</f>
        <v>0</v>
      </c>
      <c s="125">
        <f>Предпосылки!$I92*Предпосылки!AX92*(1+Чувствительность!$D$24)*IFERROR(LOOKUP(Предпосылки!$J92,$C$13:$C$15,AP$13:AP$15),1)</f>
        <v>0</v>
      </c>
      <c s="125">
        <f>Предпосылки!$I92*Предпосылки!AY92*(1+Чувствительность!$D$24)*IFERROR(LOOKUP(Предпосылки!$J92,$C$13:$C$15,AQ$13:AQ$15),1)</f>
        <v>0</v>
      </c>
      <c s="125">
        <f>Предпосылки!$I92*Предпосылки!AZ92*(1+Чувствительность!$D$24)*IFERROR(LOOKUP(Предпосылки!$J92,$C$13:$C$15,AR$13:AR$15),1)</f>
        <v>0</v>
      </c>
      <c s="125">
        <f>Предпосылки!$I92*Предпосылки!BA92*(1+Чувствительность!$D$24)*IFERROR(LOOKUP(Предпосылки!$J92,$C$13:$C$15,AS$13:AS$15),1)</f>
        <v>0</v>
      </c>
      <c s="125">
        <f>Предпосылки!$I92*Предпосылки!BB92*(1+Чувствительность!$D$24)*IFERROR(LOOKUP(Предпосылки!$J92,$C$13:$C$15,AT$13:AT$15),1)</f>
        <v>0</v>
      </c>
      <c s="125">
        <f>Предпосылки!$I92*Предпосылки!BC92*(1+Чувствительность!$D$24)*IFERROR(LOOKUP(Предпосылки!$J92,$C$13:$C$15,AU$13:AU$15),1)</f>
        <v>0</v>
      </c>
      <c s="125">
        <f>Предпосылки!$I92*Предпосылки!BD92*(1+Чувствительность!$D$24)*IFERROR(LOOKUP(Предпосылки!$J92,$C$13:$C$15,AV$13:AV$15),1)</f>
        <v>0</v>
      </c>
      <c s="125">
        <f>Предпосылки!$I92*Предпосылки!BE92*(1+Чувствительность!$D$24)*IFERROR(LOOKUP(Предпосылки!$J92,$C$13:$C$15,AW$13:AW$15),1)</f>
        <v>0</v>
      </c>
      <c s="125">
        <f>Предпосылки!$I92*Предпосылки!BF92*(1+Чувствительность!$D$24)*IFERROR(LOOKUP(Предпосылки!$J92,$C$13:$C$15,AX$13:AX$15),1)</f>
        <v>0</v>
      </c>
      <c s="125">
        <f>Предпосылки!$I92*Предпосылки!BG92*(1+Чувствительность!$D$24)*IFERROR(LOOKUP(Предпосылки!$J92,$C$13:$C$15,AY$13:AY$15),1)</f>
        <v>0</v>
      </c>
      <c s="125">
        <f>Предпосылки!$I92*Предпосылки!BH92*(1+Чувствительность!$D$24)*IFERROR(LOOKUP(Предпосылки!$J92,$C$13:$C$15,AZ$13:AZ$15),1)</f>
        <v>0</v>
      </c>
      <c s="125">
        <f>Предпосылки!$I92*Предпосылки!BI92*(1+Чувствительность!$D$24)*IFERROR(LOOKUP(Предпосылки!$J92,$C$13:$C$15,BA$13:BA$15),1)</f>
        <v>0</v>
      </c>
      <c s="125">
        <f>Предпосылки!$I92*Предпосылки!BJ92*(1+Чувствительность!$D$24)*IFERROR(LOOKUP(Предпосылки!$J92,$C$13:$C$15,BB$13:BB$15),1)</f>
        <v>0</v>
      </c>
      <c s="125">
        <f>Предпосылки!$I92*Предпосылки!BK92*(1+Чувствительность!$D$24)*IFERROR(LOOKUP(Предпосылки!$J92,$C$13:$C$15,BC$13:BC$15),1)</f>
        <v>0</v>
      </c>
      <c s="125">
        <f>Предпосылки!$I92*Предпосылки!BL92*(1+Чувствительность!$D$24)*IFERROR(LOOKUP(Предпосылки!$J92,$C$13:$C$15,BD$13:BD$15),1)</f>
        <v>0</v>
      </c>
      <c s="125">
        <f>Предпосылки!$I92*Предпосылки!BM92*(1+Чувствительность!$D$24)*IFERROR(LOOKUP(Предпосылки!$J92,$C$13:$C$15,BE$13:BE$15),1)</f>
        <v>0</v>
      </c>
      <c s="125">
        <f>Предпосылки!$I92*Предпосылки!BN92*(1+Чувствительность!$D$24)*IFERROR(LOOKUP(Предпосылки!$J92,$C$13:$C$15,BF$13:BF$15),1)</f>
        <v>0</v>
      </c>
      <c s="125">
        <f>Предпосылки!$I92*Предпосылки!BO92*(1+Чувствительность!$D$24)*IFERROR(LOOKUP(Предпосылки!$J92,$C$13:$C$15,BG$13:BG$15),1)</f>
        <v>0</v>
      </c>
      <c s="125">
        <f>Предпосылки!$I92*Предпосылки!BP92*(1+Чувствительность!$D$24)*IFERROR(LOOKUP(Предпосылки!$J92,$C$13:$C$15,BH$13:BH$15),1)</f>
        <v>0</v>
      </c>
      <c s="125">
        <f>Предпосылки!$I92*Предпосылки!BQ92*(1+Чувствительность!$D$24)*IFERROR(LOOKUP(Предпосылки!$J92,$C$13:$C$15,BI$13:BI$15),1)</f>
        <v>0</v>
      </c>
      <c s="125">
        <f>Предпосылки!$I92*Предпосылки!BR92*(1+Чувствительность!$D$24)*IFERROR(LOOKUP(Предпосылки!$J92,$C$13:$C$15,BJ$13:BJ$15),1)</f>
        <v>0</v>
      </c>
      <c s="125">
        <f>Предпосылки!$I92*Предпосылки!BS92*(1+Чувствительность!$D$24)*IFERROR(LOOKUP(Предпосылки!$J92,$C$13:$C$15,BK$13:BK$15),1)</f>
        <v>0</v>
      </c>
      <c s="125">
        <f>Предпосылки!$I92*Предпосылки!BT92*(1+Чувствительность!$D$24)*IFERROR(LOOKUP(Предпосылки!$J92,$C$13:$C$15,BL$13:BL$15),1)</f>
        <v>0</v>
      </c>
      <c s="125">
        <f>Предпосылки!$I92*Предпосылки!BU92*(1+Чувствительность!$D$24)*IFERROR(LOOKUP(Предпосылки!$J92,$C$13:$C$15,BM$13:BM$15),1)</f>
        <v>0</v>
      </c>
    </row>
    <row r="78" spans="2:65" ht="15" customHeight="1">
      <c r="B78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Предпосылки!$I93*Предпосылки!M93*(1+Чувствительность!$D$24)*IFERROR(LOOKUP(Предпосылки!$J93,$C$13:$C$15,E$13:E$15),1)</f>
        <v>0</v>
      </c>
      <c s="125">
        <f>Предпосылки!$I93*Предпосылки!N93*(1+Чувствительность!$D$24)*IFERROR(LOOKUP(Предпосылки!$J93,$C$13:$C$15,F$13:F$15),1)</f>
        <v>0</v>
      </c>
      <c s="125">
        <f>Предпосылки!$I93*Предпосылки!O93*(1+Чувствительность!$D$24)*IFERROR(LOOKUP(Предпосылки!$J93,$C$13:$C$15,G$13:G$15),1)</f>
        <v>0</v>
      </c>
      <c s="125">
        <f>Предпосылки!$I93*Предпосылки!P93*(1+Чувствительность!$D$24)*IFERROR(LOOKUP(Предпосылки!$J93,$C$13:$C$15,H$13:H$15),1)</f>
        <v>0</v>
      </c>
      <c s="125">
        <f>Предпосылки!$I93*Предпосылки!Q93*(1+Чувствительность!$D$24)*IFERROR(LOOKUP(Предпосылки!$J93,$C$13:$C$15,I$13:I$15),1)</f>
        <v>0</v>
      </c>
      <c s="125">
        <f>Предпосылки!$I93*Предпосылки!R93*(1+Чувствительность!$D$24)*IFERROR(LOOKUP(Предпосылки!$J93,$C$13:$C$15,J$13:J$15),1)</f>
        <v>0</v>
      </c>
      <c s="125">
        <f>Предпосылки!$I93*Предпосылки!S93*(1+Чувствительность!$D$24)*IFERROR(LOOKUP(Предпосылки!$J93,$C$13:$C$15,K$13:K$15),1)</f>
        <v>0</v>
      </c>
      <c s="125">
        <f>Предпосылки!$I93*Предпосылки!T93*(1+Чувствительность!$D$24)*IFERROR(LOOKUP(Предпосылки!$J93,$C$13:$C$15,L$13:L$15),1)</f>
        <v>0</v>
      </c>
      <c s="125">
        <f>Предпосылки!$I93*Предпосылки!U93*(1+Чувствительность!$D$24)*IFERROR(LOOKUP(Предпосылки!$J93,$C$13:$C$15,M$13:M$15),1)</f>
        <v>0</v>
      </c>
      <c s="125">
        <f>Предпосылки!$I93*Предпосылки!V93*(1+Чувствительность!$D$24)*IFERROR(LOOKUP(Предпосылки!$J93,$C$13:$C$15,N$13:N$15),1)</f>
        <v>0</v>
      </c>
      <c s="125">
        <f>Предпосылки!$I93*Предпосылки!W93*(1+Чувствительность!$D$24)*IFERROR(LOOKUP(Предпосылки!$J93,$C$13:$C$15,O$13:O$15),1)</f>
        <v>0</v>
      </c>
      <c s="125">
        <f>Предпосылки!$I93*Предпосылки!X93*(1+Чувствительность!$D$24)*IFERROR(LOOKUP(Предпосылки!$J93,$C$13:$C$15,P$13:P$15),1)</f>
        <v>0</v>
      </c>
      <c s="125">
        <f>Предпосылки!$I93*Предпосылки!Y93*(1+Чувствительность!$D$24)*IFERROR(LOOKUP(Предпосылки!$J93,$C$13:$C$15,Q$13:Q$15),1)</f>
        <v>0</v>
      </c>
      <c s="125">
        <f>Предпосылки!$I93*Предпосылки!Z93*(1+Чувствительность!$D$24)*IFERROR(LOOKUP(Предпосылки!$J93,$C$13:$C$15,R$13:R$15),1)</f>
        <v>0</v>
      </c>
      <c s="125">
        <f>Предпосылки!$I93*Предпосылки!AA93*(1+Чувствительность!$D$24)*IFERROR(LOOKUP(Предпосылки!$J93,$C$13:$C$15,S$13:S$15),1)</f>
        <v>0</v>
      </c>
      <c s="125">
        <f>Предпосылки!$I93*Предпосылки!AB93*(1+Чувствительность!$D$24)*IFERROR(LOOKUP(Предпосылки!$J93,$C$13:$C$15,T$13:T$15),1)</f>
        <v>0</v>
      </c>
      <c s="125">
        <f>Предпосылки!$I93*Предпосылки!AC93*(1+Чувствительность!$D$24)*IFERROR(LOOKUP(Предпосылки!$J93,$C$13:$C$15,U$13:U$15),1)</f>
        <v>0</v>
      </c>
      <c s="125">
        <f>Предпосылки!$I93*Предпосылки!AD93*(1+Чувствительность!$D$24)*IFERROR(LOOKUP(Предпосылки!$J93,$C$13:$C$15,V$13:V$15),1)</f>
        <v>0</v>
      </c>
      <c s="125">
        <f>Предпосылки!$I93*Предпосылки!AE93*(1+Чувствительность!$D$24)*IFERROR(LOOKUP(Предпосылки!$J93,$C$13:$C$15,W$13:W$15),1)</f>
        <v>0</v>
      </c>
      <c s="125">
        <f>Предпосылки!$I93*Предпосылки!AF93*(1+Чувствительность!$D$24)*IFERROR(LOOKUP(Предпосылки!$J93,$C$13:$C$15,X$13:X$15),1)</f>
        <v>0</v>
      </c>
      <c s="125">
        <f>Предпосылки!$I93*Предпосылки!AG93*(1+Чувствительность!$D$24)*IFERROR(LOOKUP(Предпосылки!$J93,$C$13:$C$15,Y$13:Y$15),1)</f>
        <v>0</v>
      </c>
      <c s="125">
        <f>Предпосылки!$I93*Предпосылки!AH93*(1+Чувствительность!$D$24)*IFERROR(LOOKUP(Предпосылки!$J93,$C$13:$C$15,Z$13:Z$15),1)</f>
        <v>0</v>
      </c>
      <c s="125">
        <f>Предпосылки!$I93*Предпосылки!AI93*(1+Чувствительность!$D$24)*IFERROR(LOOKUP(Предпосылки!$J93,$C$13:$C$15,AA$13:AA$15),1)</f>
        <v>0</v>
      </c>
      <c s="125">
        <f>Предпосылки!$I93*Предпосылки!AJ93*(1+Чувствительность!$D$24)*IFERROR(LOOKUP(Предпосылки!$J93,$C$13:$C$15,AB$13:AB$15),1)</f>
        <v>0</v>
      </c>
      <c s="125">
        <f>Предпосылки!$I93*Предпосылки!AK93*(1+Чувствительность!$D$24)*IFERROR(LOOKUP(Предпосылки!$J93,$C$13:$C$15,AC$13:AC$15),1)</f>
        <v>0</v>
      </c>
      <c s="125">
        <f>Предпосылки!$I93*Предпосылки!AL93*(1+Чувствительность!$D$24)*IFERROR(LOOKUP(Предпосылки!$J93,$C$13:$C$15,AD$13:AD$15),1)</f>
        <v>0</v>
      </c>
      <c s="125">
        <f>Предпосылки!$I93*Предпосылки!AM93*(1+Чувствительность!$D$24)*IFERROR(LOOKUP(Предпосылки!$J93,$C$13:$C$15,AE$13:AE$15),1)</f>
        <v>0</v>
      </c>
      <c s="125">
        <f>Предпосылки!$I93*Предпосылки!AN93*(1+Чувствительность!$D$24)*IFERROR(LOOKUP(Предпосылки!$J93,$C$13:$C$15,AF$13:AF$15),1)</f>
        <v>0</v>
      </c>
      <c s="125">
        <f>Предпосылки!$I93*Предпосылки!AO93*(1+Чувствительность!$D$24)*IFERROR(LOOKUP(Предпосылки!$J93,$C$13:$C$15,AG$13:AG$15),1)</f>
        <v>0</v>
      </c>
      <c s="125">
        <f>Предпосылки!$I93*Предпосылки!AP93*(1+Чувствительность!$D$24)*IFERROR(LOOKUP(Предпосылки!$J93,$C$13:$C$15,AH$13:AH$15),1)</f>
        <v>0</v>
      </c>
      <c s="125">
        <f>Предпосылки!$I93*Предпосылки!AQ93*(1+Чувствительность!$D$24)*IFERROR(LOOKUP(Предпосылки!$J93,$C$13:$C$15,AI$13:AI$15),1)</f>
        <v>0</v>
      </c>
      <c s="125">
        <f>Предпосылки!$I93*Предпосылки!AR93*(1+Чувствительность!$D$24)*IFERROR(LOOKUP(Предпосылки!$J93,$C$13:$C$15,AJ$13:AJ$15),1)</f>
        <v>0</v>
      </c>
      <c s="125">
        <f>Предпосылки!$I93*Предпосылки!AS93*(1+Чувствительность!$D$24)*IFERROR(LOOKUP(Предпосылки!$J93,$C$13:$C$15,AK$13:AK$15),1)</f>
        <v>0</v>
      </c>
      <c s="125">
        <f>Предпосылки!$I93*Предпосылки!AT93*(1+Чувствительность!$D$24)*IFERROR(LOOKUP(Предпосылки!$J93,$C$13:$C$15,AL$13:AL$15),1)</f>
        <v>0</v>
      </c>
      <c s="125">
        <f>Предпосылки!$I93*Предпосылки!AU93*(1+Чувствительность!$D$24)*IFERROR(LOOKUP(Предпосылки!$J93,$C$13:$C$15,AM$13:AM$15),1)</f>
        <v>0</v>
      </c>
      <c s="125">
        <f>Предпосылки!$I93*Предпосылки!AV93*(1+Чувствительность!$D$24)*IFERROR(LOOKUP(Предпосылки!$J93,$C$13:$C$15,AN$13:AN$15),1)</f>
        <v>0</v>
      </c>
      <c s="125">
        <f>Предпосылки!$I93*Предпосылки!AW93*(1+Чувствительность!$D$24)*IFERROR(LOOKUP(Предпосылки!$J93,$C$13:$C$15,AO$13:AO$15),1)</f>
        <v>0</v>
      </c>
      <c s="125">
        <f>Предпосылки!$I93*Предпосылки!AX93*(1+Чувствительность!$D$24)*IFERROR(LOOKUP(Предпосылки!$J93,$C$13:$C$15,AP$13:AP$15),1)</f>
        <v>0</v>
      </c>
      <c s="125">
        <f>Предпосылки!$I93*Предпосылки!AY93*(1+Чувствительность!$D$24)*IFERROR(LOOKUP(Предпосылки!$J93,$C$13:$C$15,AQ$13:AQ$15),1)</f>
        <v>0</v>
      </c>
      <c s="125">
        <f>Предпосылки!$I93*Предпосылки!AZ93*(1+Чувствительность!$D$24)*IFERROR(LOOKUP(Предпосылки!$J93,$C$13:$C$15,AR$13:AR$15),1)</f>
        <v>0</v>
      </c>
      <c s="125">
        <f>Предпосылки!$I93*Предпосылки!BA93*(1+Чувствительность!$D$24)*IFERROR(LOOKUP(Предпосылки!$J93,$C$13:$C$15,AS$13:AS$15),1)</f>
        <v>0</v>
      </c>
      <c s="125">
        <f>Предпосылки!$I93*Предпосылки!BB93*(1+Чувствительность!$D$24)*IFERROR(LOOKUP(Предпосылки!$J93,$C$13:$C$15,AT$13:AT$15),1)</f>
        <v>0</v>
      </c>
      <c s="125">
        <f>Предпосылки!$I93*Предпосылки!BC93*(1+Чувствительность!$D$24)*IFERROR(LOOKUP(Предпосылки!$J93,$C$13:$C$15,AU$13:AU$15),1)</f>
        <v>0</v>
      </c>
      <c s="125">
        <f>Предпосылки!$I93*Предпосылки!BD93*(1+Чувствительность!$D$24)*IFERROR(LOOKUP(Предпосылки!$J93,$C$13:$C$15,AV$13:AV$15),1)</f>
        <v>0</v>
      </c>
      <c s="125">
        <f>Предпосылки!$I93*Предпосылки!BE93*(1+Чувствительность!$D$24)*IFERROR(LOOKUP(Предпосылки!$J93,$C$13:$C$15,AW$13:AW$15),1)</f>
        <v>0</v>
      </c>
      <c s="125">
        <f>Предпосылки!$I93*Предпосылки!BF93*(1+Чувствительность!$D$24)*IFERROR(LOOKUP(Предпосылки!$J93,$C$13:$C$15,AX$13:AX$15),1)</f>
        <v>0</v>
      </c>
      <c s="125">
        <f>Предпосылки!$I93*Предпосылки!BG93*(1+Чувствительность!$D$24)*IFERROR(LOOKUP(Предпосылки!$J93,$C$13:$C$15,AY$13:AY$15),1)</f>
        <v>0</v>
      </c>
      <c s="125">
        <f>Предпосылки!$I93*Предпосылки!BH93*(1+Чувствительность!$D$24)*IFERROR(LOOKUP(Предпосылки!$J93,$C$13:$C$15,AZ$13:AZ$15),1)</f>
        <v>0</v>
      </c>
      <c s="125">
        <f>Предпосылки!$I93*Предпосылки!BI93*(1+Чувствительность!$D$24)*IFERROR(LOOKUP(Предпосылки!$J93,$C$13:$C$15,BA$13:BA$15),1)</f>
        <v>0</v>
      </c>
      <c s="125">
        <f>Предпосылки!$I93*Предпосылки!BJ93*(1+Чувствительность!$D$24)*IFERROR(LOOKUP(Предпосылки!$J93,$C$13:$C$15,BB$13:BB$15),1)</f>
        <v>0</v>
      </c>
      <c s="125">
        <f>Предпосылки!$I93*Предпосылки!BK93*(1+Чувствительность!$D$24)*IFERROR(LOOKUP(Предпосылки!$J93,$C$13:$C$15,BC$13:BC$15),1)</f>
        <v>0</v>
      </c>
      <c s="125">
        <f>Предпосылки!$I93*Предпосылки!BL93*(1+Чувствительность!$D$24)*IFERROR(LOOKUP(Предпосылки!$J93,$C$13:$C$15,BD$13:BD$15),1)</f>
        <v>0</v>
      </c>
      <c s="125">
        <f>Предпосылки!$I93*Предпосылки!BM93*(1+Чувствительность!$D$24)*IFERROR(LOOKUP(Предпосылки!$J93,$C$13:$C$15,BE$13:BE$15),1)</f>
        <v>0</v>
      </c>
      <c s="125">
        <f>Предпосылки!$I93*Предпосылки!BN93*(1+Чувствительность!$D$24)*IFERROR(LOOKUP(Предпосылки!$J93,$C$13:$C$15,BF$13:BF$15),1)</f>
        <v>0</v>
      </c>
      <c s="125">
        <f>Предпосылки!$I93*Предпосылки!BO93*(1+Чувствительность!$D$24)*IFERROR(LOOKUP(Предпосылки!$J93,$C$13:$C$15,BG$13:BG$15),1)</f>
        <v>0</v>
      </c>
      <c s="125">
        <f>Предпосылки!$I93*Предпосылки!BP93*(1+Чувствительность!$D$24)*IFERROR(LOOKUP(Предпосылки!$J93,$C$13:$C$15,BH$13:BH$15),1)</f>
        <v>0</v>
      </c>
      <c s="125">
        <f>Предпосылки!$I93*Предпосылки!BQ93*(1+Чувствительность!$D$24)*IFERROR(LOOKUP(Предпосылки!$J93,$C$13:$C$15,BI$13:BI$15),1)</f>
        <v>0</v>
      </c>
      <c s="125">
        <f>Предпосылки!$I93*Предпосылки!BR93*(1+Чувствительность!$D$24)*IFERROR(LOOKUP(Предпосылки!$J93,$C$13:$C$15,BJ$13:BJ$15),1)</f>
        <v>0</v>
      </c>
      <c s="125">
        <f>Предпосылки!$I93*Предпосылки!BS93*(1+Чувствительность!$D$24)*IFERROR(LOOKUP(Предпосылки!$J93,$C$13:$C$15,BK$13:BK$15),1)</f>
        <v>0</v>
      </c>
      <c s="125">
        <f>Предпосылки!$I93*Предпосылки!BT93*(1+Чувствительность!$D$24)*IFERROR(LOOKUP(Предпосылки!$J93,$C$13:$C$15,BL$13:BL$15),1)</f>
        <v>0</v>
      </c>
      <c s="125">
        <f>Предпосылки!$I93*Предпосылки!BU93*(1+Чувствительность!$D$24)*IFERROR(LOOKUP(Предпосылки!$J93,$C$13:$C$15,BM$13:BM$15),1)</f>
        <v>0</v>
      </c>
    </row>
    <row r="79" spans="2:65" ht="15" customHeight="1">
      <c r="B79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Предпосылки!$I94*Предпосылки!M94*(1+Чувствительность!$D$24)*IFERROR(LOOKUP(Предпосылки!$J94,$C$13:$C$15,E$13:E$15),1)</f>
        <v>0</v>
      </c>
      <c s="125">
        <f>Предпосылки!$I94*Предпосылки!N94*(1+Чувствительность!$D$24)*IFERROR(LOOKUP(Предпосылки!$J94,$C$13:$C$15,F$13:F$15),1)</f>
        <v>0</v>
      </c>
      <c s="125">
        <f>Предпосылки!$I94*Предпосылки!O94*(1+Чувствительность!$D$24)*IFERROR(LOOKUP(Предпосылки!$J94,$C$13:$C$15,G$13:G$15),1)</f>
        <v>0</v>
      </c>
      <c s="125">
        <f>Предпосылки!$I94*Предпосылки!P94*(1+Чувствительность!$D$24)*IFERROR(LOOKUP(Предпосылки!$J94,$C$13:$C$15,H$13:H$15),1)</f>
        <v>0</v>
      </c>
      <c s="125">
        <f>Предпосылки!$I94*Предпосылки!Q94*(1+Чувствительность!$D$24)*IFERROR(LOOKUP(Предпосылки!$J94,$C$13:$C$15,I$13:I$15),1)</f>
        <v>0</v>
      </c>
      <c s="125">
        <f>Предпосылки!$I94*Предпосылки!R94*(1+Чувствительность!$D$24)*IFERROR(LOOKUP(Предпосылки!$J94,$C$13:$C$15,J$13:J$15),1)</f>
        <v>0</v>
      </c>
      <c s="125">
        <f>Предпосылки!$I94*Предпосылки!S94*(1+Чувствительность!$D$24)*IFERROR(LOOKUP(Предпосылки!$J94,$C$13:$C$15,K$13:K$15),1)</f>
        <v>0</v>
      </c>
      <c s="125">
        <f>Предпосылки!$I94*Предпосылки!T94*(1+Чувствительность!$D$24)*IFERROR(LOOKUP(Предпосылки!$J94,$C$13:$C$15,L$13:L$15),1)</f>
        <v>0</v>
      </c>
      <c s="125">
        <f>Предпосылки!$I94*Предпосылки!U94*(1+Чувствительность!$D$24)*IFERROR(LOOKUP(Предпосылки!$J94,$C$13:$C$15,M$13:M$15),1)</f>
        <v>0</v>
      </c>
      <c s="125">
        <f>Предпосылки!$I94*Предпосылки!V94*(1+Чувствительность!$D$24)*IFERROR(LOOKUP(Предпосылки!$J94,$C$13:$C$15,N$13:N$15),1)</f>
        <v>0</v>
      </c>
      <c s="125">
        <f>Предпосылки!$I94*Предпосылки!W94*(1+Чувствительность!$D$24)*IFERROR(LOOKUP(Предпосылки!$J94,$C$13:$C$15,O$13:O$15),1)</f>
        <v>0</v>
      </c>
      <c s="125">
        <f>Предпосылки!$I94*Предпосылки!X94*(1+Чувствительность!$D$24)*IFERROR(LOOKUP(Предпосылки!$J94,$C$13:$C$15,P$13:P$15),1)</f>
        <v>0</v>
      </c>
      <c s="125">
        <f>Предпосылки!$I94*Предпосылки!Y94*(1+Чувствительность!$D$24)*IFERROR(LOOKUP(Предпосылки!$J94,$C$13:$C$15,Q$13:Q$15),1)</f>
        <v>0</v>
      </c>
      <c s="125">
        <f>Предпосылки!$I94*Предпосылки!Z94*(1+Чувствительность!$D$24)*IFERROR(LOOKUP(Предпосылки!$J94,$C$13:$C$15,R$13:R$15),1)</f>
        <v>0</v>
      </c>
      <c s="125">
        <f>Предпосылки!$I94*Предпосылки!AA94*(1+Чувствительность!$D$24)*IFERROR(LOOKUP(Предпосылки!$J94,$C$13:$C$15,S$13:S$15),1)</f>
        <v>0</v>
      </c>
      <c s="125">
        <f>Предпосылки!$I94*Предпосылки!AB94*(1+Чувствительность!$D$24)*IFERROR(LOOKUP(Предпосылки!$J94,$C$13:$C$15,T$13:T$15),1)</f>
        <v>0</v>
      </c>
      <c s="125">
        <f>Предпосылки!$I94*Предпосылки!AC94*(1+Чувствительность!$D$24)*IFERROR(LOOKUP(Предпосылки!$J94,$C$13:$C$15,U$13:U$15),1)</f>
        <v>0</v>
      </c>
      <c s="125">
        <f>Предпосылки!$I94*Предпосылки!AD94*(1+Чувствительность!$D$24)*IFERROR(LOOKUP(Предпосылки!$J94,$C$13:$C$15,V$13:V$15),1)</f>
        <v>0</v>
      </c>
      <c s="125">
        <f>Предпосылки!$I94*Предпосылки!AE94*(1+Чувствительность!$D$24)*IFERROR(LOOKUP(Предпосылки!$J94,$C$13:$C$15,W$13:W$15),1)</f>
        <v>0</v>
      </c>
      <c s="125">
        <f>Предпосылки!$I94*Предпосылки!AF94*(1+Чувствительность!$D$24)*IFERROR(LOOKUP(Предпосылки!$J94,$C$13:$C$15,X$13:X$15),1)</f>
        <v>0</v>
      </c>
      <c s="125">
        <f>Предпосылки!$I94*Предпосылки!AG94*(1+Чувствительность!$D$24)*IFERROR(LOOKUP(Предпосылки!$J94,$C$13:$C$15,Y$13:Y$15),1)</f>
        <v>0</v>
      </c>
      <c s="125">
        <f>Предпосылки!$I94*Предпосылки!AH94*(1+Чувствительность!$D$24)*IFERROR(LOOKUP(Предпосылки!$J94,$C$13:$C$15,Z$13:Z$15),1)</f>
        <v>0</v>
      </c>
      <c s="125">
        <f>Предпосылки!$I94*Предпосылки!AI94*(1+Чувствительность!$D$24)*IFERROR(LOOKUP(Предпосылки!$J94,$C$13:$C$15,AA$13:AA$15),1)</f>
        <v>0</v>
      </c>
      <c s="125">
        <f>Предпосылки!$I94*Предпосылки!AJ94*(1+Чувствительность!$D$24)*IFERROR(LOOKUP(Предпосылки!$J94,$C$13:$C$15,AB$13:AB$15),1)</f>
        <v>0</v>
      </c>
      <c s="125">
        <f>Предпосылки!$I94*Предпосылки!AK94*(1+Чувствительность!$D$24)*IFERROR(LOOKUP(Предпосылки!$J94,$C$13:$C$15,AC$13:AC$15),1)</f>
        <v>0</v>
      </c>
      <c s="125">
        <f>Предпосылки!$I94*Предпосылки!AL94*(1+Чувствительность!$D$24)*IFERROR(LOOKUP(Предпосылки!$J94,$C$13:$C$15,AD$13:AD$15),1)</f>
        <v>0</v>
      </c>
      <c s="125">
        <f>Предпосылки!$I94*Предпосылки!AM94*(1+Чувствительность!$D$24)*IFERROR(LOOKUP(Предпосылки!$J94,$C$13:$C$15,AE$13:AE$15),1)</f>
        <v>0</v>
      </c>
      <c s="125">
        <f>Предпосылки!$I94*Предпосылки!AN94*(1+Чувствительность!$D$24)*IFERROR(LOOKUP(Предпосылки!$J94,$C$13:$C$15,AF$13:AF$15),1)</f>
        <v>0</v>
      </c>
      <c s="125">
        <f>Предпосылки!$I94*Предпосылки!AO94*(1+Чувствительность!$D$24)*IFERROR(LOOKUP(Предпосылки!$J94,$C$13:$C$15,AG$13:AG$15),1)</f>
        <v>0</v>
      </c>
      <c s="125">
        <f>Предпосылки!$I94*Предпосылки!AP94*(1+Чувствительность!$D$24)*IFERROR(LOOKUP(Предпосылки!$J94,$C$13:$C$15,AH$13:AH$15),1)</f>
        <v>0</v>
      </c>
      <c s="125">
        <f>Предпосылки!$I94*Предпосылки!AQ94*(1+Чувствительность!$D$24)*IFERROR(LOOKUP(Предпосылки!$J94,$C$13:$C$15,AI$13:AI$15),1)</f>
        <v>0</v>
      </c>
      <c s="125">
        <f>Предпосылки!$I94*Предпосылки!AR94*(1+Чувствительность!$D$24)*IFERROR(LOOKUP(Предпосылки!$J94,$C$13:$C$15,AJ$13:AJ$15),1)</f>
        <v>0</v>
      </c>
      <c s="125">
        <f>Предпосылки!$I94*Предпосылки!AS94*(1+Чувствительность!$D$24)*IFERROR(LOOKUP(Предпосылки!$J94,$C$13:$C$15,AK$13:AK$15),1)</f>
        <v>0</v>
      </c>
      <c s="125">
        <f>Предпосылки!$I94*Предпосылки!AT94*(1+Чувствительность!$D$24)*IFERROR(LOOKUP(Предпосылки!$J94,$C$13:$C$15,AL$13:AL$15),1)</f>
        <v>0</v>
      </c>
      <c s="125">
        <f>Предпосылки!$I94*Предпосылки!AU94*(1+Чувствительность!$D$24)*IFERROR(LOOKUP(Предпосылки!$J94,$C$13:$C$15,AM$13:AM$15),1)</f>
        <v>0</v>
      </c>
      <c s="125">
        <f>Предпосылки!$I94*Предпосылки!AV94*(1+Чувствительность!$D$24)*IFERROR(LOOKUP(Предпосылки!$J94,$C$13:$C$15,AN$13:AN$15),1)</f>
        <v>0</v>
      </c>
      <c s="125">
        <f>Предпосылки!$I94*Предпосылки!AW94*(1+Чувствительность!$D$24)*IFERROR(LOOKUP(Предпосылки!$J94,$C$13:$C$15,AO$13:AO$15),1)</f>
        <v>0</v>
      </c>
      <c s="125">
        <f>Предпосылки!$I94*Предпосылки!AX94*(1+Чувствительность!$D$24)*IFERROR(LOOKUP(Предпосылки!$J94,$C$13:$C$15,AP$13:AP$15),1)</f>
        <v>0</v>
      </c>
      <c s="125">
        <f>Предпосылки!$I94*Предпосылки!AY94*(1+Чувствительность!$D$24)*IFERROR(LOOKUP(Предпосылки!$J94,$C$13:$C$15,AQ$13:AQ$15),1)</f>
        <v>0</v>
      </c>
      <c s="125">
        <f>Предпосылки!$I94*Предпосылки!AZ94*(1+Чувствительность!$D$24)*IFERROR(LOOKUP(Предпосылки!$J94,$C$13:$C$15,AR$13:AR$15),1)</f>
        <v>0</v>
      </c>
      <c s="125">
        <f>Предпосылки!$I94*Предпосылки!BA94*(1+Чувствительность!$D$24)*IFERROR(LOOKUP(Предпосылки!$J94,$C$13:$C$15,AS$13:AS$15),1)</f>
        <v>0</v>
      </c>
      <c s="125">
        <f>Предпосылки!$I94*Предпосылки!BB94*(1+Чувствительность!$D$24)*IFERROR(LOOKUP(Предпосылки!$J94,$C$13:$C$15,AT$13:AT$15),1)</f>
        <v>0</v>
      </c>
      <c s="125">
        <f>Предпосылки!$I94*Предпосылки!BC94*(1+Чувствительность!$D$24)*IFERROR(LOOKUP(Предпосылки!$J94,$C$13:$C$15,AU$13:AU$15),1)</f>
        <v>0</v>
      </c>
      <c s="125">
        <f>Предпосылки!$I94*Предпосылки!BD94*(1+Чувствительность!$D$24)*IFERROR(LOOKUP(Предпосылки!$J94,$C$13:$C$15,AV$13:AV$15),1)</f>
        <v>0</v>
      </c>
      <c s="125">
        <f>Предпосылки!$I94*Предпосылки!BE94*(1+Чувствительность!$D$24)*IFERROR(LOOKUP(Предпосылки!$J94,$C$13:$C$15,AW$13:AW$15),1)</f>
        <v>0</v>
      </c>
      <c s="125">
        <f>Предпосылки!$I94*Предпосылки!BF94*(1+Чувствительность!$D$24)*IFERROR(LOOKUP(Предпосылки!$J94,$C$13:$C$15,AX$13:AX$15),1)</f>
        <v>0</v>
      </c>
      <c s="125">
        <f>Предпосылки!$I94*Предпосылки!BG94*(1+Чувствительность!$D$24)*IFERROR(LOOKUP(Предпосылки!$J94,$C$13:$C$15,AY$13:AY$15),1)</f>
        <v>0</v>
      </c>
      <c s="125">
        <f>Предпосылки!$I94*Предпосылки!BH94*(1+Чувствительность!$D$24)*IFERROR(LOOKUP(Предпосылки!$J94,$C$13:$C$15,AZ$13:AZ$15),1)</f>
        <v>0</v>
      </c>
      <c s="125">
        <f>Предпосылки!$I94*Предпосылки!BI94*(1+Чувствительность!$D$24)*IFERROR(LOOKUP(Предпосылки!$J94,$C$13:$C$15,BA$13:BA$15),1)</f>
        <v>0</v>
      </c>
      <c s="125">
        <f>Предпосылки!$I94*Предпосылки!BJ94*(1+Чувствительность!$D$24)*IFERROR(LOOKUP(Предпосылки!$J94,$C$13:$C$15,BB$13:BB$15),1)</f>
        <v>0</v>
      </c>
      <c s="125">
        <f>Предпосылки!$I94*Предпосылки!BK94*(1+Чувствительность!$D$24)*IFERROR(LOOKUP(Предпосылки!$J94,$C$13:$C$15,BC$13:BC$15),1)</f>
        <v>0</v>
      </c>
      <c s="125">
        <f>Предпосылки!$I94*Предпосылки!BL94*(1+Чувствительность!$D$24)*IFERROR(LOOKUP(Предпосылки!$J94,$C$13:$C$15,BD$13:BD$15),1)</f>
        <v>0</v>
      </c>
      <c s="125">
        <f>Предпосылки!$I94*Предпосылки!BM94*(1+Чувствительность!$D$24)*IFERROR(LOOKUP(Предпосылки!$J94,$C$13:$C$15,BE$13:BE$15),1)</f>
        <v>0</v>
      </c>
      <c s="125">
        <f>Предпосылки!$I94*Предпосылки!BN94*(1+Чувствительность!$D$24)*IFERROR(LOOKUP(Предпосылки!$J94,$C$13:$C$15,BF$13:BF$15),1)</f>
        <v>0</v>
      </c>
      <c s="125">
        <f>Предпосылки!$I94*Предпосылки!BO94*(1+Чувствительность!$D$24)*IFERROR(LOOKUP(Предпосылки!$J94,$C$13:$C$15,BG$13:BG$15),1)</f>
        <v>0</v>
      </c>
      <c s="125">
        <f>Предпосылки!$I94*Предпосылки!BP94*(1+Чувствительность!$D$24)*IFERROR(LOOKUP(Предпосылки!$J94,$C$13:$C$15,BH$13:BH$15),1)</f>
        <v>0</v>
      </c>
      <c s="125">
        <f>Предпосылки!$I94*Предпосылки!BQ94*(1+Чувствительность!$D$24)*IFERROR(LOOKUP(Предпосылки!$J94,$C$13:$C$15,BI$13:BI$15),1)</f>
        <v>0</v>
      </c>
      <c s="125">
        <f>Предпосылки!$I94*Предпосылки!BR94*(1+Чувствительность!$D$24)*IFERROR(LOOKUP(Предпосылки!$J94,$C$13:$C$15,BJ$13:BJ$15),1)</f>
        <v>0</v>
      </c>
      <c s="125">
        <f>Предпосылки!$I94*Предпосылки!BS94*(1+Чувствительность!$D$24)*IFERROR(LOOKUP(Предпосылки!$J94,$C$13:$C$15,BK$13:BK$15),1)</f>
        <v>0</v>
      </c>
      <c s="125">
        <f>Предпосылки!$I94*Предпосылки!BT94*(1+Чувствительность!$D$24)*IFERROR(LOOKUP(Предпосылки!$J94,$C$13:$C$15,BL$13:BL$15),1)</f>
        <v>0</v>
      </c>
      <c s="125">
        <f>Предпосылки!$I94*Предпосылки!BU94*(1+Чувствительность!$D$24)*IFERROR(LOOKUP(Предпосылки!$J94,$C$13:$C$15,BM$13:BM$15),1)</f>
        <v>0</v>
      </c>
    </row>
    <row r="80" spans="2:65" ht="15" customHeight="1">
      <c r="B80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Предпосылки!$I95*Предпосылки!M95*(1+Чувствительность!$D$24)*IFERROR(LOOKUP(Предпосылки!$J95,$C$13:$C$15,E$13:E$15),1)</f>
        <v>0</v>
      </c>
      <c s="125">
        <f>Предпосылки!$I95*Предпосылки!N95*(1+Чувствительность!$D$24)*IFERROR(LOOKUP(Предпосылки!$J95,$C$13:$C$15,F$13:F$15),1)</f>
        <v>0</v>
      </c>
      <c s="125">
        <f>Предпосылки!$I95*Предпосылки!O95*(1+Чувствительность!$D$24)*IFERROR(LOOKUP(Предпосылки!$J95,$C$13:$C$15,G$13:G$15),1)</f>
        <v>0</v>
      </c>
      <c s="125">
        <f>Предпосылки!$I95*Предпосылки!P95*(1+Чувствительность!$D$24)*IFERROR(LOOKUP(Предпосылки!$J95,$C$13:$C$15,H$13:H$15),1)</f>
        <v>0</v>
      </c>
      <c s="125">
        <f>Предпосылки!$I95*Предпосылки!Q95*(1+Чувствительность!$D$24)*IFERROR(LOOKUP(Предпосылки!$J95,$C$13:$C$15,I$13:I$15),1)</f>
        <v>0</v>
      </c>
      <c s="125">
        <f>Предпосылки!$I95*Предпосылки!R95*(1+Чувствительность!$D$24)*IFERROR(LOOKUP(Предпосылки!$J95,$C$13:$C$15,J$13:J$15),1)</f>
        <v>0</v>
      </c>
      <c s="125">
        <f>Предпосылки!$I95*Предпосылки!S95*(1+Чувствительность!$D$24)*IFERROR(LOOKUP(Предпосылки!$J95,$C$13:$C$15,K$13:K$15),1)</f>
        <v>0</v>
      </c>
      <c s="125">
        <f>Предпосылки!$I95*Предпосылки!T95*(1+Чувствительность!$D$24)*IFERROR(LOOKUP(Предпосылки!$J95,$C$13:$C$15,L$13:L$15),1)</f>
        <v>0</v>
      </c>
      <c s="125">
        <f>Предпосылки!$I95*Предпосылки!U95*(1+Чувствительность!$D$24)*IFERROR(LOOKUP(Предпосылки!$J95,$C$13:$C$15,M$13:M$15),1)</f>
        <v>0</v>
      </c>
      <c s="125">
        <f>Предпосылки!$I95*Предпосылки!V95*(1+Чувствительность!$D$24)*IFERROR(LOOKUP(Предпосылки!$J95,$C$13:$C$15,N$13:N$15),1)</f>
        <v>0</v>
      </c>
      <c s="125">
        <f>Предпосылки!$I95*Предпосылки!W95*(1+Чувствительность!$D$24)*IFERROR(LOOKUP(Предпосылки!$J95,$C$13:$C$15,O$13:O$15),1)</f>
        <v>0</v>
      </c>
      <c s="125">
        <f>Предпосылки!$I95*Предпосылки!X95*(1+Чувствительность!$D$24)*IFERROR(LOOKUP(Предпосылки!$J95,$C$13:$C$15,P$13:P$15),1)</f>
        <v>0</v>
      </c>
      <c s="125">
        <f>Предпосылки!$I95*Предпосылки!Y95*(1+Чувствительность!$D$24)*IFERROR(LOOKUP(Предпосылки!$J95,$C$13:$C$15,Q$13:Q$15),1)</f>
        <v>0</v>
      </c>
      <c s="125">
        <f>Предпосылки!$I95*Предпосылки!Z95*(1+Чувствительность!$D$24)*IFERROR(LOOKUP(Предпосылки!$J95,$C$13:$C$15,R$13:R$15),1)</f>
        <v>0</v>
      </c>
      <c s="125">
        <f>Предпосылки!$I95*Предпосылки!AA95*(1+Чувствительность!$D$24)*IFERROR(LOOKUP(Предпосылки!$J95,$C$13:$C$15,S$13:S$15),1)</f>
        <v>0</v>
      </c>
      <c s="125">
        <f>Предпосылки!$I95*Предпосылки!AB95*(1+Чувствительность!$D$24)*IFERROR(LOOKUP(Предпосылки!$J95,$C$13:$C$15,T$13:T$15),1)</f>
        <v>0</v>
      </c>
      <c s="125">
        <f>Предпосылки!$I95*Предпосылки!AC95*(1+Чувствительность!$D$24)*IFERROR(LOOKUP(Предпосылки!$J95,$C$13:$C$15,U$13:U$15),1)</f>
        <v>0</v>
      </c>
      <c s="125">
        <f>Предпосылки!$I95*Предпосылки!AD95*(1+Чувствительность!$D$24)*IFERROR(LOOKUP(Предпосылки!$J95,$C$13:$C$15,V$13:V$15),1)</f>
        <v>0</v>
      </c>
      <c s="125">
        <f>Предпосылки!$I95*Предпосылки!AE95*(1+Чувствительность!$D$24)*IFERROR(LOOKUP(Предпосылки!$J95,$C$13:$C$15,W$13:W$15),1)</f>
        <v>0</v>
      </c>
      <c s="125">
        <f>Предпосылки!$I95*Предпосылки!AF95*(1+Чувствительность!$D$24)*IFERROR(LOOKUP(Предпосылки!$J95,$C$13:$C$15,X$13:X$15),1)</f>
        <v>0</v>
      </c>
      <c s="125">
        <f>Предпосылки!$I95*Предпосылки!AG95*(1+Чувствительность!$D$24)*IFERROR(LOOKUP(Предпосылки!$J95,$C$13:$C$15,Y$13:Y$15),1)</f>
        <v>0</v>
      </c>
      <c s="125">
        <f>Предпосылки!$I95*Предпосылки!AH95*(1+Чувствительность!$D$24)*IFERROR(LOOKUP(Предпосылки!$J95,$C$13:$C$15,Z$13:Z$15),1)</f>
        <v>0</v>
      </c>
      <c s="125">
        <f>Предпосылки!$I95*Предпосылки!AI95*(1+Чувствительность!$D$24)*IFERROR(LOOKUP(Предпосылки!$J95,$C$13:$C$15,AA$13:AA$15),1)</f>
        <v>0</v>
      </c>
      <c s="125">
        <f>Предпосылки!$I95*Предпосылки!AJ95*(1+Чувствительность!$D$24)*IFERROR(LOOKUP(Предпосылки!$J95,$C$13:$C$15,AB$13:AB$15),1)</f>
        <v>0</v>
      </c>
      <c s="125">
        <f>Предпосылки!$I95*Предпосылки!AK95*(1+Чувствительность!$D$24)*IFERROR(LOOKUP(Предпосылки!$J95,$C$13:$C$15,AC$13:AC$15),1)</f>
        <v>0</v>
      </c>
      <c s="125">
        <f>Предпосылки!$I95*Предпосылки!AL95*(1+Чувствительность!$D$24)*IFERROR(LOOKUP(Предпосылки!$J95,$C$13:$C$15,AD$13:AD$15),1)</f>
        <v>0</v>
      </c>
      <c s="125">
        <f>Предпосылки!$I95*Предпосылки!AM95*(1+Чувствительность!$D$24)*IFERROR(LOOKUP(Предпосылки!$J95,$C$13:$C$15,AE$13:AE$15),1)</f>
        <v>0</v>
      </c>
      <c s="125">
        <f>Предпосылки!$I95*Предпосылки!AN95*(1+Чувствительность!$D$24)*IFERROR(LOOKUP(Предпосылки!$J95,$C$13:$C$15,AF$13:AF$15),1)</f>
        <v>0</v>
      </c>
      <c s="125">
        <f>Предпосылки!$I95*Предпосылки!AO95*(1+Чувствительность!$D$24)*IFERROR(LOOKUP(Предпосылки!$J95,$C$13:$C$15,AG$13:AG$15),1)</f>
        <v>0</v>
      </c>
      <c s="125">
        <f>Предпосылки!$I95*Предпосылки!AP95*(1+Чувствительность!$D$24)*IFERROR(LOOKUP(Предпосылки!$J95,$C$13:$C$15,AH$13:AH$15),1)</f>
        <v>0</v>
      </c>
      <c s="125">
        <f>Предпосылки!$I95*Предпосылки!AQ95*(1+Чувствительность!$D$24)*IFERROR(LOOKUP(Предпосылки!$J95,$C$13:$C$15,AI$13:AI$15),1)</f>
        <v>0</v>
      </c>
      <c s="125">
        <f>Предпосылки!$I95*Предпосылки!AR95*(1+Чувствительность!$D$24)*IFERROR(LOOKUP(Предпосылки!$J95,$C$13:$C$15,AJ$13:AJ$15),1)</f>
        <v>0</v>
      </c>
      <c s="125">
        <f>Предпосылки!$I95*Предпосылки!AS95*(1+Чувствительность!$D$24)*IFERROR(LOOKUP(Предпосылки!$J95,$C$13:$C$15,AK$13:AK$15),1)</f>
        <v>0</v>
      </c>
      <c s="125">
        <f>Предпосылки!$I95*Предпосылки!AT95*(1+Чувствительность!$D$24)*IFERROR(LOOKUP(Предпосылки!$J95,$C$13:$C$15,AL$13:AL$15),1)</f>
        <v>0</v>
      </c>
      <c s="125">
        <f>Предпосылки!$I95*Предпосылки!AU95*(1+Чувствительность!$D$24)*IFERROR(LOOKUP(Предпосылки!$J95,$C$13:$C$15,AM$13:AM$15),1)</f>
        <v>0</v>
      </c>
      <c s="125">
        <f>Предпосылки!$I95*Предпосылки!AV95*(1+Чувствительность!$D$24)*IFERROR(LOOKUP(Предпосылки!$J95,$C$13:$C$15,AN$13:AN$15),1)</f>
        <v>0</v>
      </c>
      <c s="125">
        <f>Предпосылки!$I95*Предпосылки!AW95*(1+Чувствительность!$D$24)*IFERROR(LOOKUP(Предпосылки!$J95,$C$13:$C$15,AO$13:AO$15),1)</f>
        <v>0</v>
      </c>
      <c s="125">
        <f>Предпосылки!$I95*Предпосылки!AX95*(1+Чувствительность!$D$24)*IFERROR(LOOKUP(Предпосылки!$J95,$C$13:$C$15,AP$13:AP$15),1)</f>
        <v>0</v>
      </c>
      <c s="125">
        <f>Предпосылки!$I95*Предпосылки!AY95*(1+Чувствительность!$D$24)*IFERROR(LOOKUP(Предпосылки!$J95,$C$13:$C$15,AQ$13:AQ$15),1)</f>
        <v>0</v>
      </c>
      <c s="125">
        <f>Предпосылки!$I95*Предпосылки!AZ95*(1+Чувствительность!$D$24)*IFERROR(LOOKUP(Предпосылки!$J95,$C$13:$C$15,AR$13:AR$15),1)</f>
        <v>0</v>
      </c>
      <c s="125">
        <f>Предпосылки!$I95*Предпосылки!BA95*(1+Чувствительность!$D$24)*IFERROR(LOOKUP(Предпосылки!$J95,$C$13:$C$15,AS$13:AS$15),1)</f>
        <v>0</v>
      </c>
      <c s="125">
        <f>Предпосылки!$I95*Предпосылки!BB95*(1+Чувствительность!$D$24)*IFERROR(LOOKUP(Предпосылки!$J95,$C$13:$C$15,AT$13:AT$15),1)</f>
        <v>0</v>
      </c>
      <c s="125">
        <f>Предпосылки!$I95*Предпосылки!BC95*(1+Чувствительность!$D$24)*IFERROR(LOOKUP(Предпосылки!$J95,$C$13:$C$15,AU$13:AU$15),1)</f>
        <v>0</v>
      </c>
      <c s="125">
        <f>Предпосылки!$I95*Предпосылки!BD95*(1+Чувствительность!$D$24)*IFERROR(LOOKUP(Предпосылки!$J95,$C$13:$C$15,AV$13:AV$15),1)</f>
        <v>0</v>
      </c>
      <c s="125">
        <f>Предпосылки!$I95*Предпосылки!BE95*(1+Чувствительность!$D$24)*IFERROR(LOOKUP(Предпосылки!$J95,$C$13:$C$15,AW$13:AW$15),1)</f>
        <v>0</v>
      </c>
      <c s="125">
        <f>Предпосылки!$I95*Предпосылки!BF95*(1+Чувствительность!$D$24)*IFERROR(LOOKUP(Предпосылки!$J95,$C$13:$C$15,AX$13:AX$15),1)</f>
        <v>0</v>
      </c>
      <c s="125">
        <f>Предпосылки!$I95*Предпосылки!BG95*(1+Чувствительность!$D$24)*IFERROR(LOOKUP(Предпосылки!$J95,$C$13:$C$15,AY$13:AY$15),1)</f>
        <v>0</v>
      </c>
      <c s="125">
        <f>Предпосылки!$I95*Предпосылки!BH95*(1+Чувствительность!$D$24)*IFERROR(LOOKUP(Предпосылки!$J95,$C$13:$C$15,AZ$13:AZ$15),1)</f>
        <v>0</v>
      </c>
      <c s="125">
        <f>Предпосылки!$I95*Предпосылки!BI95*(1+Чувствительность!$D$24)*IFERROR(LOOKUP(Предпосылки!$J95,$C$13:$C$15,BA$13:BA$15),1)</f>
        <v>0</v>
      </c>
      <c s="125">
        <f>Предпосылки!$I95*Предпосылки!BJ95*(1+Чувствительность!$D$24)*IFERROR(LOOKUP(Предпосылки!$J95,$C$13:$C$15,BB$13:BB$15),1)</f>
        <v>0</v>
      </c>
      <c s="125">
        <f>Предпосылки!$I95*Предпосылки!BK95*(1+Чувствительность!$D$24)*IFERROR(LOOKUP(Предпосылки!$J95,$C$13:$C$15,BC$13:BC$15),1)</f>
        <v>0</v>
      </c>
      <c s="125">
        <f>Предпосылки!$I95*Предпосылки!BL95*(1+Чувствительность!$D$24)*IFERROR(LOOKUP(Предпосылки!$J95,$C$13:$C$15,BD$13:BD$15),1)</f>
        <v>0</v>
      </c>
      <c s="125">
        <f>Предпосылки!$I95*Предпосылки!BM95*(1+Чувствительность!$D$24)*IFERROR(LOOKUP(Предпосылки!$J95,$C$13:$C$15,BE$13:BE$15),1)</f>
        <v>0</v>
      </c>
      <c s="125">
        <f>Предпосылки!$I95*Предпосылки!BN95*(1+Чувствительность!$D$24)*IFERROR(LOOKUP(Предпосылки!$J95,$C$13:$C$15,BF$13:BF$15),1)</f>
        <v>0</v>
      </c>
      <c s="125">
        <f>Предпосылки!$I95*Предпосылки!BO95*(1+Чувствительность!$D$24)*IFERROR(LOOKUP(Предпосылки!$J95,$C$13:$C$15,BG$13:BG$15),1)</f>
        <v>0</v>
      </c>
      <c s="125">
        <f>Предпосылки!$I95*Предпосылки!BP95*(1+Чувствительность!$D$24)*IFERROR(LOOKUP(Предпосылки!$J95,$C$13:$C$15,BH$13:BH$15),1)</f>
        <v>0</v>
      </c>
      <c s="125">
        <f>Предпосылки!$I95*Предпосылки!BQ95*(1+Чувствительность!$D$24)*IFERROR(LOOKUP(Предпосылки!$J95,$C$13:$C$15,BI$13:BI$15),1)</f>
        <v>0</v>
      </c>
      <c s="125">
        <f>Предпосылки!$I95*Предпосылки!BR95*(1+Чувствительность!$D$24)*IFERROR(LOOKUP(Предпосылки!$J95,$C$13:$C$15,BJ$13:BJ$15),1)</f>
        <v>0</v>
      </c>
      <c s="125">
        <f>Предпосылки!$I95*Предпосылки!BS95*(1+Чувствительность!$D$24)*IFERROR(LOOKUP(Предпосылки!$J95,$C$13:$C$15,BK$13:BK$15),1)</f>
        <v>0</v>
      </c>
      <c s="125">
        <f>Предпосылки!$I95*Предпосылки!BT95*(1+Чувствительность!$D$24)*IFERROR(LOOKUP(Предпосылки!$J95,$C$13:$C$15,BL$13:BL$15),1)</f>
        <v>0</v>
      </c>
      <c s="125">
        <f>Предпосылки!$I95*Предпосылки!BU95*(1+Чувствительность!$D$24)*IFERROR(LOOKUP(Предпосылки!$J95,$C$13:$C$15,BM$13:BM$15),1)</f>
        <v>0</v>
      </c>
    </row>
    <row r="81" spans="2:65" ht="15" customHeight="1">
      <c r="B81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Предпосылки!$I96*Предпосылки!M96*(1+Чувствительность!$D$24)*IFERROR(LOOKUP(Предпосылки!$J96,$C$13:$C$15,E$13:E$15),1)</f>
        <v>0</v>
      </c>
      <c s="125">
        <f>Предпосылки!$I96*Предпосылки!N96*(1+Чувствительность!$D$24)*IFERROR(LOOKUP(Предпосылки!$J96,$C$13:$C$15,F$13:F$15),1)</f>
        <v>0</v>
      </c>
      <c s="125">
        <f>Предпосылки!$I96*Предпосылки!O96*(1+Чувствительность!$D$24)*IFERROR(LOOKUP(Предпосылки!$J96,$C$13:$C$15,G$13:G$15),1)</f>
        <v>0</v>
      </c>
      <c s="125">
        <f>Предпосылки!$I96*Предпосылки!P96*(1+Чувствительность!$D$24)*IFERROR(LOOKUP(Предпосылки!$J96,$C$13:$C$15,H$13:H$15),1)</f>
        <v>0</v>
      </c>
      <c s="125">
        <f>Предпосылки!$I96*Предпосылки!Q96*(1+Чувствительность!$D$24)*IFERROR(LOOKUP(Предпосылки!$J96,$C$13:$C$15,I$13:I$15),1)</f>
        <v>0</v>
      </c>
      <c s="125">
        <f>Предпосылки!$I96*Предпосылки!R96*(1+Чувствительность!$D$24)*IFERROR(LOOKUP(Предпосылки!$J96,$C$13:$C$15,J$13:J$15),1)</f>
        <v>0</v>
      </c>
      <c s="125">
        <f>Предпосылки!$I96*Предпосылки!S96*(1+Чувствительность!$D$24)*IFERROR(LOOKUP(Предпосылки!$J96,$C$13:$C$15,K$13:K$15),1)</f>
        <v>0</v>
      </c>
      <c s="125">
        <f>Предпосылки!$I96*Предпосылки!T96*(1+Чувствительность!$D$24)*IFERROR(LOOKUP(Предпосылки!$J96,$C$13:$C$15,L$13:L$15),1)</f>
        <v>0</v>
      </c>
      <c s="125">
        <f>Предпосылки!$I96*Предпосылки!U96*(1+Чувствительность!$D$24)*IFERROR(LOOKUP(Предпосылки!$J96,$C$13:$C$15,M$13:M$15),1)</f>
        <v>0</v>
      </c>
      <c s="125">
        <f>Предпосылки!$I96*Предпосылки!V96*(1+Чувствительность!$D$24)*IFERROR(LOOKUP(Предпосылки!$J96,$C$13:$C$15,N$13:N$15),1)</f>
        <v>0</v>
      </c>
      <c s="125">
        <f>Предпосылки!$I96*Предпосылки!W96*(1+Чувствительность!$D$24)*IFERROR(LOOKUP(Предпосылки!$J96,$C$13:$C$15,O$13:O$15),1)</f>
        <v>0</v>
      </c>
      <c s="125">
        <f>Предпосылки!$I96*Предпосылки!X96*(1+Чувствительность!$D$24)*IFERROR(LOOKUP(Предпосылки!$J96,$C$13:$C$15,P$13:P$15),1)</f>
        <v>0</v>
      </c>
      <c s="125">
        <f>Предпосылки!$I96*Предпосылки!Y96*(1+Чувствительность!$D$24)*IFERROR(LOOKUP(Предпосылки!$J96,$C$13:$C$15,Q$13:Q$15),1)</f>
        <v>0</v>
      </c>
      <c s="125">
        <f>Предпосылки!$I96*Предпосылки!Z96*(1+Чувствительность!$D$24)*IFERROR(LOOKUP(Предпосылки!$J96,$C$13:$C$15,R$13:R$15),1)</f>
        <v>0</v>
      </c>
      <c s="125">
        <f>Предпосылки!$I96*Предпосылки!AA96*(1+Чувствительность!$D$24)*IFERROR(LOOKUP(Предпосылки!$J96,$C$13:$C$15,S$13:S$15),1)</f>
        <v>0</v>
      </c>
      <c s="125">
        <f>Предпосылки!$I96*Предпосылки!AB96*(1+Чувствительность!$D$24)*IFERROR(LOOKUP(Предпосылки!$J96,$C$13:$C$15,T$13:T$15),1)</f>
        <v>0</v>
      </c>
      <c s="125">
        <f>Предпосылки!$I96*Предпосылки!AC96*(1+Чувствительность!$D$24)*IFERROR(LOOKUP(Предпосылки!$J96,$C$13:$C$15,U$13:U$15),1)</f>
        <v>0</v>
      </c>
      <c s="125">
        <f>Предпосылки!$I96*Предпосылки!AD96*(1+Чувствительность!$D$24)*IFERROR(LOOKUP(Предпосылки!$J96,$C$13:$C$15,V$13:V$15),1)</f>
        <v>0</v>
      </c>
      <c s="125">
        <f>Предпосылки!$I96*Предпосылки!AE96*(1+Чувствительность!$D$24)*IFERROR(LOOKUP(Предпосылки!$J96,$C$13:$C$15,W$13:W$15),1)</f>
        <v>0</v>
      </c>
      <c s="125">
        <f>Предпосылки!$I96*Предпосылки!AF96*(1+Чувствительность!$D$24)*IFERROR(LOOKUP(Предпосылки!$J96,$C$13:$C$15,X$13:X$15),1)</f>
        <v>0</v>
      </c>
      <c s="125">
        <f>Предпосылки!$I96*Предпосылки!AG96*(1+Чувствительность!$D$24)*IFERROR(LOOKUP(Предпосылки!$J96,$C$13:$C$15,Y$13:Y$15),1)</f>
        <v>0</v>
      </c>
      <c s="125">
        <f>Предпосылки!$I96*Предпосылки!AH96*(1+Чувствительность!$D$24)*IFERROR(LOOKUP(Предпосылки!$J96,$C$13:$C$15,Z$13:Z$15),1)</f>
        <v>0</v>
      </c>
      <c s="125">
        <f>Предпосылки!$I96*Предпосылки!AI96*(1+Чувствительность!$D$24)*IFERROR(LOOKUP(Предпосылки!$J96,$C$13:$C$15,AA$13:AA$15),1)</f>
        <v>0</v>
      </c>
      <c s="125">
        <f>Предпосылки!$I96*Предпосылки!AJ96*(1+Чувствительность!$D$24)*IFERROR(LOOKUP(Предпосылки!$J96,$C$13:$C$15,AB$13:AB$15),1)</f>
        <v>0</v>
      </c>
      <c s="125">
        <f>Предпосылки!$I96*Предпосылки!AK96*(1+Чувствительность!$D$24)*IFERROR(LOOKUP(Предпосылки!$J96,$C$13:$C$15,AC$13:AC$15),1)</f>
        <v>0</v>
      </c>
      <c s="125">
        <f>Предпосылки!$I96*Предпосылки!AL96*(1+Чувствительность!$D$24)*IFERROR(LOOKUP(Предпосылки!$J96,$C$13:$C$15,AD$13:AD$15),1)</f>
        <v>0</v>
      </c>
      <c s="125">
        <f>Предпосылки!$I96*Предпосылки!AM96*(1+Чувствительность!$D$24)*IFERROR(LOOKUP(Предпосылки!$J96,$C$13:$C$15,AE$13:AE$15),1)</f>
        <v>0</v>
      </c>
      <c s="125">
        <f>Предпосылки!$I96*Предпосылки!AN96*(1+Чувствительность!$D$24)*IFERROR(LOOKUP(Предпосылки!$J96,$C$13:$C$15,AF$13:AF$15),1)</f>
        <v>0</v>
      </c>
      <c s="125">
        <f>Предпосылки!$I96*Предпосылки!AO96*(1+Чувствительность!$D$24)*IFERROR(LOOKUP(Предпосылки!$J96,$C$13:$C$15,AG$13:AG$15),1)</f>
        <v>0</v>
      </c>
      <c s="125">
        <f>Предпосылки!$I96*Предпосылки!AP96*(1+Чувствительность!$D$24)*IFERROR(LOOKUP(Предпосылки!$J96,$C$13:$C$15,AH$13:AH$15),1)</f>
        <v>0</v>
      </c>
      <c s="125">
        <f>Предпосылки!$I96*Предпосылки!AQ96*(1+Чувствительность!$D$24)*IFERROR(LOOKUP(Предпосылки!$J96,$C$13:$C$15,AI$13:AI$15),1)</f>
        <v>0</v>
      </c>
      <c s="125">
        <f>Предпосылки!$I96*Предпосылки!AR96*(1+Чувствительность!$D$24)*IFERROR(LOOKUP(Предпосылки!$J96,$C$13:$C$15,AJ$13:AJ$15),1)</f>
        <v>0</v>
      </c>
      <c s="125">
        <f>Предпосылки!$I96*Предпосылки!AS96*(1+Чувствительность!$D$24)*IFERROR(LOOKUP(Предпосылки!$J96,$C$13:$C$15,AK$13:AK$15),1)</f>
        <v>0</v>
      </c>
      <c s="125">
        <f>Предпосылки!$I96*Предпосылки!AT96*(1+Чувствительность!$D$24)*IFERROR(LOOKUP(Предпосылки!$J96,$C$13:$C$15,AL$13:AL$15),1)</f>
        <v>0</v>
      </c>
      <c s="125">
        <f>Предпосылки!$I96*Предпосылки!AU96*(1+Чувствительность!$D$24)*IFERROR(LOOKUP(Предпосылки!$J96,$C$13:$C$15,AM$13:AM$15),1)</f>
        <v>0</v>
      </c>
      <c s="125">
        <f>Предпосылки!$I96*Предпосылки!AV96*(1+Чувствительность!$D$24)*IFERROR(LOOKUP(Предпосылки!$J96,$C$13:$C$15,AN$13:AN$15),1)</f>
        <v>0</v>
      </c>
      <c s="125">
        <f>Предпосылки!$I96*Предпосылки!AW96*(1+Чувствительность!$D$24)*IFERROR(LOOKUP(Предпосылки!$J96,$C$13:$C$15,AO$13:AO$15),1)</f>
        <v>0</v>
      </c>
      <c s="125">
        <f>Предпосылки!$I96*Предпосылки!AX96*(1+Чувствительность!$D$24)*IFERROR(LOOKUP(Предпосылки!$J96,$C$13:$C$15,AP$13:AP$15),1)</f>
        <v>0</v>
      </c>
      <c s="125">
        <f>Предпосылки!$I96*Предпосылки!AY96*(1+Чувствительность!$D$24)*IFERROR(LOOKUP(Предпосылки!$J96,$C$13:$C$15,AQ$13:AQ$15),1)</f>
        <v>0</v>
      </c>
      <c s="125">
        <f>Предпосылки!$I96*Предпосылки!AZ96*(1+Чувствительность!$D$24)*IFERROR(LOOKUP(Предпосылки!$J96,$C$13:$C$15,AR$13:AR$15),1)</f>
        <v>0</v>
      </c>
      <c s="125">
        <f>Предпосылки!$I96*Предпосылки!BA96*(1+Чувствительность!$D$24)*IFERROR(LOOKUP(Предпосылки!$J96,$C$13:$C$15,AS$13:AS$15),1)</f>
        <v>0</v>
      </c>
      <c s="125">
        <f>Предпосылки!$I96*Предпосылки!BB96*(1+Чувствительность!$D$24)*IFERROR(LOOKUP(Предпосылки!$J96,$C$13:$C$15,AT$13:AT$15),1)</f>
        <v>0</v>
      </c>
      <c s="125">
        <f>Предпосылки!$I96*Предпосылки!BC96*(1+Чувствительность!$D$24)*IFERROR(LOOKUP(Предпосылки!$J96,$C$13:$C$15,AU$13:AU$15),1)</f>
        <v>0</v>
      </c>
      <c s="125">
        <f>Предпосылки!$I96*Предпосылки!BD96*(1+Чувствительность!$D$24)*IFERROR(LOOKUP(Предпосылки!$J96,$C$13:$C$15,AV$13:AV$15),1)</f>
        <v>0</v>
      </c>
      <c s="125">
        <f>Предпосылки!$I96*Предпосылки!BE96*(1+Чувствительность!$D$24)*IFERROR(LOOKUP(Предпосылки!$J96,$C$13:$C$15,AW$13:AW$15),1)</f>
        <v>0</v>
      </c>
      <c s="125">
        <f>Предпосылки!$I96*Предпосылки!BF96*(1+Чувствительность!$D$24)*IFERROR(LOOKUP(Предпосылки!$J96,$C$13:$C$15,AX$13:AX$15),1)</f>
        <v>0</v>
      </c>
      <c s="125">
        <f>Предпосылки!$I96*Предпосылки!BG96*(1+Чувствительность!$D$24)*IFERROR(LOOKUP(Предпосылки!$J96,$C$13:$C$15,AY$13:AY$15),1)</f>
        <v>0</v>
      </c>
      <c s="125">
        <f>Предпосылки!$I96*Предпосылки!BH96*(1+Чувствительность!$D$24)*IFERROR(LOOKUP(Предпосылки!$J96,$C$13:$C$15,AZ$13:AZ$15),1)</f>
        <v>0</v>
      </c>
      <c s="125">
        <f>Предпосылки!$I96*Предпосылки!BI96*(1+Чувствительность!$D$24)*IFERROR(LOOKUP(Предпосылки!$J96,$C$13:$C$15,BA$13:BA$15),1)</f>
        <v>0</v>
      </c>
      <c s="125">
        <f>Предпосылки!$I96*Предпосылки!BJ96*(1+Чувствительность!$D$24)*IFERROR(LOOKUP(Предпосылки!$J96,$C$13:$C$15,BB$13:BB$15),1)</f>
        <v>0</v>
      </c>
      <c s="125">
        <f>Предпосылки!$I96*Предпосылки!BK96*(1+Чувствительность!$D$24)*IFERROR(LOOKUP(Предпосылки!$J96,$C$13:$C$15,BC$13:BC$15),1)</f>
        <v>0</v>
      </c>
      <c s="125">
        <f>Предпосылки!$I96*Предпосылки!BL96*(1+Чувствительность!$D$24)*IFERROR(LOOKUP(Предпосылки!$J96,$C$13:$C$15,BD$13:BD$15),1)</f>
        <v>0</v>
      </c>
      <c s="125">
        <f>Предпосылки!$I96*Предпосылки!BM96*(1+Чувствительность!$D$24)*IFERROR(LOOKUP(Предпосылки!$J96,$C$13:$C$15,BE$13:BE$15),1)</f>
        <v>0</v>
      </c>
      <c s="125">
        <f>Предпосылки!$I96*Предпосылки!BN96*(1+Чувствительность!$D$24)*IFERROR(LOOKUP(Предпосылки!$J96,$C$13:$C$15,BF$13:BF$15),1)</f>
        <v>0</v>
      </c>
      <c s="125">
        <f>Предпосылки!$I96*Предпосылки!BO96*(1+Чувствительность!$D$24)*IFERROR(LOOKUP(Предпосылки!$J96,$C$13:$C$15,BG$13:BG$15),1)</f>
        <v>0</v>
      </c>
      <c s="125">
        <f>Предпосылки!$I96*Предпосылки!BP96*(1+Чувствительность!$D$24)*IFERROR(LOOKUP(Предпосылки!$J96,$C$13:$C$15,BH$13:BH$15),1)</f>
        <v>0</v>
      </c>
      <c s="125">
        <f>Предпосылки!$I96*Предпосылки!BQ96*(1+Чувствительность!$D$24)*IFERROR(LOOKUP(Предпосылки!$J96,$C$13:$C$15,BI$13:BI$15),1)</f>
        <v>0</v>
      </c>
      <c s="125">
        <f>Предпосылки!$I96*Предпосылки!BR96*(1+Чувствительность!$D$24)*IFERROR(LOOKUP(Предпосылки!$J96,$C$13:$C$15,BJ$13:BJ$15),1)</f>
        <v>0</v>
      </c>
      <c s="125">
        <f>Предпосылки!$I96*Предпосылки!BS96*(1+Чувствительность!$D$24)*IFERROR(LOOKUP(Предпосылки!$J96,$C$13:$C$15,BK$13:BK$15),1)</f>
        <v>0</v>
      </c>
      <c s="125">
        <f>Предпосылки!$I96*Предпосылки!BT96*(1+Чувствительность!$D$24)*IFERROR(LOOKUP(Предпосылки!$J96,$C$13:$C$15,BL$13:BL$15),1)</f>
        <v>0</v>
      </c>
      <c s="125">
        <f>Предпосылки!$I96*Предпосылки!BU96*(1+Чувствительность!$D$24)*IFERROR(LOOKUP(Предпосылки!$J96,$C$13:$C$15,BM$13:BM$15),1)</f>
        <v>0</v>
      </c>
    </row>
    <row r="82" spans="2:65" ht="15" customHeight="1">
      <c r="B82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Предпосылки!$I97*Предпосылки!M97*(1+Чувствительность!$D$24)*IFERROR(LOOKUP(Предпосылки!$J97,$C$13:$C$15,E$13:E$15),1)</f>
        <v>0</v>
      </c>
      <c s="125">
        <f>Предпосылки!$I97*Предпосылки!N97*(1+Чувствительность!$D$24)*IFERROR(LOOKUP(Предпосылки!$J97,$C$13:$C$15,F$13:F$15),1)</f>
        <v>0</v>
      </c>
      <c s="125">
        <f>Предпосылки!$I97*Предпосылки!O97*(1+Чувствительность!$D$24)*IFERROR(LOOKUP(Предпосылки!$J97,$C$13:$C$15,G$13:G$15),1)</f>
        <v>0</v>
      </c>
      <c s="125">
        <f>Предпосылки!$I97*Предпосылки!P97*(1+Чувствительность!$D$24)*IFERROR(LOOKUP(Предпосылки!$J97,$C$13:$C$15,H$13:H$15),1)</f>
        <v>0</v>
      </c>
      <c s="125">
        <f>Предпосылки!$I97*Предпосылки!Q97*(1+Чувствительность!$D$24)*IFERROR(LOOKUP(Предпосылки!$J97,$C$13:$C$15,I$13:I$15),1)</f>
        <v>0</v>
      </c>
      <c s="125">
        <f>Предпосылки!$I97*Предпосылки!R97*(1+Чувствительность!$D$24)*IFERROR(LOOKUP(Предпосылки!$J97,$C$13:$C$15,J$13:J$15),1)</f>
        <v>0</v>
      </c>
      <c s="125">
        <f>Предпосылки!$I97*Предпосылки!S97*(1+Чувствительность!$D$24)*IFERROR(LOOKUP(Предпосылки!$J97,$C$13:$C$15,K$13:K$15),1)</f>
        <v>0</v>
      </c>
      <c s="125">
        <f>Предпосылки!$I97*Предпосылки!T97*(1+Чувствительность!$D$24)*IFERROR(LOOKUP(Предпосылки!$J97,$C$13:$C$15,L$13:L$15),1)</f>
        <v>0</v>
      </c>
      <c s="125">
        <f>Предпосылки!$I97*Предпосылки!U97*(1+Чувствительность!$D$24)*IFERROR(LOOKUP(Предпосылки!$J97,$C$13:$C$15,M$13:M$15),1)</f>
        <v>0</v>
      </c>
      <c s="125">
        <f>Предпосылки!$I97*Предпосылки!V97*(1+Чувствительность!$D$24)*IFERROR(LOOKUP(Предпосылки!$J97,$C$13:$C$15,N$13:N$15),1)</f>
        <v>0</v>
      </c>
      <c s="125">
        <f>Предпосылки!$I97*Предпосылки!W97*(1+Чувствительность!$D$24)*IFERROR(LOOKUP(Предпосылки!$J97,$C$13:$C$15,O$13:O$15),1)</f>
        <v>0</v>
      </c>
      <c s="125">
        <f>Предпосылки!$I97*Предпосылки!X97*(1+Чувствительность!$D$24)*IFERROR(LOOKUP(Предпосылки!$J97,$C$13:$C$15,P$13:P$15),1)</f>
        <v>0</v>
      </c>
      <c s="125">
        <f>Предпосылки!$I97*Предпосылки!Y97*(1+Чувствительность!$D$24)*IFERROR(LOOKUP(Предпосылки!$J97,$C$13:$C$15,Q$13:Q$15),1)</f>
        <v>0</v>
      </c>
      <c s="125">
        <f>Предпосылки!$I97*Предпосылки!Z97*(1+Чувствительность!$D$24)*IFERROR(LOOKUP(Предпосылки!$J97,$C$13:$C$15,R$13:R$15),1)</f>
        <v>0</v>
      </c>
      <c s="125">
        <f>Предпосылки!$I97*Предпосылки!AA97*(1+Чувствительность!$D$24)*IFERROR(LOOKUP(Предпосылки!$J97,$C$13:$C$15,S$13:S$15),1)</f>
        <v>0</v>
      </c>
      <c s="125">
        <f>Предпосылки!$I97*Предпосылки!AB97*(1+Чувствительность!$D$24)*IFERROR(LOOKUP(Предпосылки!$J97,$C$13:$C$15,T$13:T$15),1)</f>
        <v>0</v>
      </c>
      <c s="125">
        <f>Предпосылки!$I97*Предпосылки!AC97*(1+Чувствительность!$D$24)*IFERROR(LOOKUP(Предпосылки!$J97,$C$13:$C$15,U$13:U$15),1)</f>
        <v>0</v>
      </c>
      <c s="125">
        <f>Предпосылки!$I97*Предпосылки!AD97*(1+Чувствительность!$D$24)*IFERROR(LOOKUP(Предпосылки!$J97,$C$13:$C$15,V$13:V$15),1)</f>
        <v>0</v>
      </c>
      <c s="125">
        <f>Предпосылки!$I97*Предпосылки!AE97*(1+Чувствительность!$D$24)*IFERROR(LOOKUP(Предпосылки!$J97,$C$13:$C$15,W$13:W$15),1)</f>
        <v>0</v>
      </c>
      <c s="125">
        <f>Предпосылки!$I97*Предпосылки!AF97*(1+Чувствительность!$D$24)*IFERROR(LOOKUP(Предпосылки!$J97,$C$13:$C$15,X$13:X$15),1)</f>
        <v>0</v>
      </c>
      <c s="125">
        <f>Предпосылки!$I97*Предпосылки!AG97*(1+Чувствительность!$D$24)*IFERROR(LOOKUP(Предпосылки!$J97,$C$13:$C$15,Y$13:Y$15),1)</f>
        <v>0</v>
      </c>
      <c s="125">
        <f>Предпосылки!$I97*Предпосылки!AH97*(1+Чувствительность!$D$24)*IFERROR(LOOKUP(Предпосылки!$J97,$C$13:$C$15,Z$13:Z$15),1)</f>
        <v>0</v>
      </c>
      <c s="125">
        <f>Предпосылки!$I97*Предпосылки!AI97*(1+Чувствительность!$D$24)*IFERROR(LOOKUP(Предпосылки!$J97,$C$13:$C$15,AA$13:AA$15),1)</f>
        <v>0</v>
      </c>
      <c s="125">
        <f>Предпосылки!$I97*Предпосылки!AJ97*(1+Чувствительность!$D$24)*IFERROR(LOOKUP(Предпосылки!$J97,$C$13:$C$15,AB$13:AB$15),1)</f>
        <v>0</v>
      </c>
      <c s="125">
        <f>Предпосылки!$I97*Предпосылки!AK97*(1+Чувствительность!$D$24)*IFERROR(LOOKUP(Предпосылки!$J97,$C$13:$C$15,AC$13:AC$15),1)</f>
        <v>0</v>
      </c>
      <c s="125">
        <f>Предпосылки!$I97*Предпосылки!AL97*(1+Чувствительность!$D$24)*IFERROR(LOOKUP(Предпосылки!$J97,$C$13:$C$15,AD$13:AD$15),1)</f>
        <v>0</v>
      </c>
      <c s="125">
        <f>Предпосылки!$I97*Предпосылки!AM97*(1+Чувствительность!$D$24)*IFERROR(LOOKUP(Предпосылки!$J97,$C$13:$C$15,AE$13:AE$15),1)</f>
        <v>0</v>
      </c>
      <c s="125">
        <f>Предпосылки!$I97*Предпосылки!AN97*(1+Чувствительность!$D$24)*IFERROR(LOOKUP(Предпосылки!$J97,$C$13:$C$15,AF$13:AF$15),1)</f>
        <v>0</v>
      </c>
      <c s="125">
        <f>Предпосылки!$I97*Предпосылки!AO97*(1+Чувствительность!$D$24)*IFERROR(LOOKUP(Предпосылки!$J97,$C$13:$C$15,AG$13:AG$15),1)</f>
        <v>0</v>
      </c>
      <c s="125">
        <f>Предпосылки!$I97*Предпосылки!AP97*(1+Чувствительность!$D$24)*IFERROR(LOOKUP(Предпосылки!$J97,$C$13:$C$15,AH$13:AH$15),1)</f>
        <v>0</v>
      </c>
      <c s="125">
        <f>Предпосылки!$I97*Предпосылки!AQ97*(1+Чувствительность!$D$24)*IFERROR(LOOKUP(Предпосылки!$J97,$C$13:$C$15,AI$13:AI$15),1)</f>
        <v>0</v>
      </c>
      <c s="125">
        <f>Предпосылки!$I97*Предпосылки!AR97*(1+Чувствительность!$D$24)*IFERROR(LOOKUP(Предпосылки!$J97,$C$13:$C$15,AJ$13:AJ$15),1)</f>
        <v>0</v>
      </c>
      <c s="125">
        <f>Предпосылки!$I97*Предпосылки!AS97*(1+Чувствительность!$D$24)*IFERROR(LOOKUP(Предпосылки!$J97,$C$13:$C$15,AK$13:AK$15),1)</f>
        <v>0</v>
      </c>
      <c s="125">
        <f>Предпосылки!$I97*Предпосылки!AT97*(1+Чувствительность!$D$24)*IFERROR(LOOKUP(Предпосылки!$J97,$C$13:$C$15,AL$13:AL$15),1)</f>
        <v>0</v>
      </c>
      <c s="125">
        <f>Предпосылки!$I97*Предпосылки!AU97*(1+Чувствительность!$D$24)*IFERROR(LOOKUP(Предпосылки!$J97,$C$13:$C$15,AM$13:AM$15),1)</f>
        <v>0</v>
      </c>
      <c s="125">
        <f>Предпосылки!$I97*Предпосылки!AV97*(1+Чувствительность!$D$24)*IFERROR(LOOKUP(Предпосылки!$J97,$C$13:$C$15,AN$13:AN$15),1)</f>
        <v>0</v>
      </c>
      <c s="125">
        <f>Предпосылки!$I97*Предпосылки!AW97*(1+Чувствительность!$D$24)*IFERROR(LOOKUP(Предпосылки!$J97,$C$13:$C$15,AO$13:AO$15),1)</f>
        <v>0</v>
      </c>
      <c s="125">
        <f>Предпосылки!$I97*Предпосылки!AX97*(1+Чувствительность!$D$24)*IFERROR(LOOKUP(Предпосылки!$J97,$C$13:$C$15,AP$13:AP$15),1)</f>
        <v>0</v>
      </c>
      <c s="125">
        <f>Предпосылки!$I97*Предпосылки!AY97*(1+Чувствительность!$D$24)*IFERROR(LOOKUP(Предпосылки!$J97,$C$13:$C$15,AQ$13:AQ$15),1)</f>
        <v>0</v>
      </c>
      <c s="125">
        <f>Предпосылки!$I97*Предпосылки!AZ97*(1+Чувствительность!$D$24)*IFERROR(LOOKUP(Предпосылки!$J97,$C$13:$C$15,AR$13:AR$15),1)</f>
        <v>0</v>
      </c>
      <c s="125">
        <f>Предпосылки!$I97*Предпосылки!BA97*(1+Чувствительность!$D$24)*IFERROR(LOOKUP(Предпосылки!$J97,$C$13:$C$15,AS$13:AS$15),1)</f>
        <v>0</v>
      </c>
      <c s="125">
        <f>Предпосылки!$I97*Предпосылки!BB97*(1+Чувствительность!$D$24)*IFERROR(LOOKUP(Предпосылки!$J97,$C$13:$C$15,AT$13:AT$15),1)</f>
        <v>0</v>
      </c>
      <c s="125">
        <f>Предпосылки!$I97*Предпосылки!BC97*(1+Чувствительность!$D$24)*IFERROR(LOOKUP(Предпосылки!$J97,$C$13:$C$15,AU$13:AU$15),1)</f>
        <v>0</v>
      </c>
      <c s="125">
        <f>Предпосылки!$I97*Предпосылки!BD97*(1+Чувствительность!$D$24)*IFERROR(LOOKUP(Предпосылки!$J97,$C$13:$C$15,AV$13:AV$15),1)</f>
        <v>0</v>
      </c>
      <c s="125">
        <f>Предпосылки!$I97*Предпосылки!BE97*(1+Чувствительность!$D$24)*IFERROR(LOOKUP(Предпосылки!$J97,$C$13:$C$15,AW$13:AW$15),1)</f>
        <v>0</v>
      </c>
      <c s="125">
        <f>Предпосылки!$I97*Предпосылки!BF97*(1+Чувствительность!$D$24)*IFERROR(LOOKUP(Предпосылки!$J97,$C$13:$C$15,AX$13:AX$15),1)</f>
        <v>0</v>
      </c>
      <c s="125">
        <f>Предпосылки!$I97*Предпосылки!BG97*(1+Чувствительность!$D$24)*IFERROR(LOOKUP(Предпосылки!$J97,$C$13:$C$15,AY$13:AY$15),1)</f>
        <v>0</v>
      </c>
      <c s="125">
        <f>Предпосылки!$I97*Предпосылки!BH97*(1+Чувствительность!$D$24)*IFERROR(LOOKUP(Предпосылки!$J97,$C$13:$C$15,AZ$13:AZ$15),1)</f>
        <v>0</v>
      </c>
      <c s="125">
        <f>Предпосылки!$I97*Предпосылки!BI97*(1+Чувствительность!$D$24)*IFERROR(LOOKUP(Предпосылки!$J97,$C$13:$C$15,BA$13:BA$15),1)</f>
        <v>0</v>
      </c>
      <c s="125">
        <f>Предпосылки!$I97*Предпосылки!BJ97*(1+Чувствительность!$D$24)*IFERROR(LOOKUP(Предпосылки!$J97,$C$13:$C$15,BB$13:BB$15),1)</f>
        <v>0</v>
      </c>
      <c s="125">
        <f>Предпосылки!$I97*Предпосылки!BK97*(1+Чувствительность!$D$24)*IFERROR(LOOKUP(Предпосылки!$J97,$C$13:$C$15,BC$13:BC$15),1)</f>
        <v>0</v>
      </c>
      <c s="125">
        <f>Предпосылки!$I97*Предпосылки!BL97*(1+Чувствительность!$D$24)*IFERROR(LOOKUP(Предпосылки!$J97,$C$13:$C$15,BD$13:BD$15),1)</f>
        <v>0</v>
      </c>
      <c s="125">
        <f>Предпосылки!$I97*Предпосылки!BM97*(1+Чувствительность!$D$24)*IFERROR(LOOKUP(Предпосылки!$J97,$C$13:$C$15,BE$13:BE$15),1)</f>
        <v>0</v>
      </c>
      <c s="125">
        <f>Предпосылки!$I97*Предпосылки!BN97*(1+Чувствительность!$D$24)*IFERROR(LOOKUP(Предпосылки!$J97,$C$13:$C$15,BF$13:BF$15),1)</f>
        <v>0</v>
      </c>
      <c s="125">
        <f>Предпосылки!$I97*Предпосылки!BO97*(1+Чувствительность!$D$24)*IFERROR(LOOKUP(Предпосылки!$J97,$C$13:$C$15,BG$13:BG$15),1)</f>
        <v>0</v>
      </c>
      <c s="125">
        <f>Предпосылки!$I97*Предпосылки!BP97*(1+Чувствительность!$D$24)*IFERROR(LOOKUP(Предпосылки!$J97,$C$13:$C$15,BH$13:BH$15),1)</f>
        <v>0</v>
      </c>
      <c s="125">
        <f>Предпосылки!$I97*Предпосылки!BQ97*(1+Чувствительность!$D$24)*IFERROR(LOOKUP(Предпосылки!$J97,$C$13:$C$15,BI$13:BI$15),1)</f>
        <v>0</v>
      </c>
      <c s="125">
        <f>Предпосылки!$I97*Предпосылки!BR97*(1+Чувствительность!$D$24)*IFERROR(LOOKUP(Предпосылки!$J97,$C$13:$C$15,BJ$13:BJ$15),1)</f>
        <v>0</v>
      </c>
      <c s="125">
        <f>Предпосылки!$I97*Предпосылки!BS97*(1+Чувствительность!$D$24)*IFERROR(LOOKUP(Предпосылки!$J97,$C$13:$C$15,BK$13:BK$15),1)</f>
        <v>0</v>
      </c>
      <c s="125">
        <f>Предпосылки!$I97*Предпосылки!BT97*(1+Чувствительность!$D$24)*IFERROR(LOOKUP(Предпосылки!$J97,$C$13:$C$15,BL$13:BL$15),1)</f>
        <v>0</v>
      </c>
      <c s="125">
        <f>Предпосылки!$I97*Предпосылки!BU97*(1+Чувствительность!$D$24)*IFERROR(LOOKUP(Предпосылки!$J97,$C$13:$C$15,BM$13:BM$15),1)</f>
        <v>0</v>
      </c>
    </row>
    <row r="83" spans="2:65" ht="15" customHeight="1">
      <c r="B83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Предпосылки!$I98*Предпосылки!M98*(1+Чувствительность!$D$24)*IFERROR(LOOKUP(Предпосылки!$J98,$C$13:$C$15,E$13:E$15),1)</f>
        <v>0</v>
      </c>
      <c s="125">
        <f>Предпосылки!$I98*Предпосылки!N98*(1+Чувствительность!$D$24)*IFERROR(LOOKUP(Предпосылки!$J98,$C$13:$C$15,F$13:F$15),1)</f>
        <v>0</v>
      </c>
      <c s="125">
        <f>Предпосылки!$I98*Предпосылки!O98*(1+Чувствительность!$D$24)*IFERROR(LOOKUP(Предпосылки!$J98,$C$13:$C$15,G$13:G$15),1)</f>
        <v>0</v>
      </c>
      <c s="125">
        <f>Предпосылки!$I98*Предпосылки!P98*(1+Чувствительность!$D$24)*IFERROR(LOOKUP(Предпосылки!$J98,$C$13:$C$15,H$13:H$15),1)</f>
        <v>0</v>
      </c>
      <c s="125">
        <f>Предпосылки!$I98*Предпосылки!Q98*(1+Чувствительность!$D$24)*IFERROR(LOOKUP(Предпосылки!$J98,$C$13:$C$15,I$13:I$15),1)</f>
        <v>0</v>
      </c>
      <c s="125">
        <f>Предпосылки!$I98*Предпосылки!R98*(1+Чувствительность!$D$24)*IFERROR(LOOKUP(Предпосылки!$J98,$C$13:$C$15,J$13:J$15),1)</f>
        <v>0</v>
      </c>
      <c s="125">
        <f>Предпосылки!$I98*Предпосылки!S98*(1+Чувствительность!$D$24)*IFERROR(LOOKUP(Предпосылки!$J98,$C$13:$C$15,K$13:K$15),1)</f>
        <v>0</v>
      </c>
      <c s="125">
        <f>Предпосылки!$I98*Предпосылки!T98*(1+Чувствительность!$D$24)*IFERROR(LOOKUP(Предпосылки!$J98,$C$13:$C$15,L$13:L$15),1)</f>
        <v>0</v>
      </c>
      <c s="125">
        <f>Предпосылки!$I98*Предпосылки!U98*(1+Чувствительность!$D$24)*IFERROR(LOOKUP(Предпосылки!$J98,$C$13:$C$15,M$13:M$15),1)</f>
        <v>0</v>
      </c>
      <c s="125">
        <f>Предпосылки!$I98*Предпосылки!V98*(1+Чувствительность!$D$24)*IFERROR(LOOKUP(Предпосылки!$J98,$C$13:$C$15,N$13:N$15),1)</f>
        <v>0</v>
      </c>
      <c s="125">
        <f>Предпосылки!$I98*Предпосылки!W98*(1+Чувствительность!$D$24)*IFERROR(LOOKUP(Предпосылки!$J98,$C$13:$C$15,O$13:O$15),1)</f>
        <v>0</v>
      </c>
      <c s="125">
        <f>Предпосылки!$I98*Предпосылки!X98*(1+Чувствительность!$D$24)*IFERROR(LOOKUP(Предпосылки!$J98,$C$13:$C$15,P$13:P$15),1)</f>
        <v>0</v>
      </c>
      <c s="125">
        <f>Предпосылки!$I98*Предпосылки!Y98*(1+Чувствительность!$D$24)*IFERROR(LOOKUP(Предпосылки!$J98,$C$13:$C$15,Q$13:Q$15),1)</f>
        <v>0</v>
      </c>
      <c s="125">
        <f>Предпосылки!$I98*Предпосылки!Z98*(1+Чувствительность!$D$24)*IFERROR(LOOKUP(Предпосылки!$J98,$C$13:$C$15,R$13:R$15),1)</f>
        <v>0</v>
      </c>
      <c s="125">
        <f>Предпосылки!$I98*Предпосылки!AA98*(1+Чувствительность!$D$24)*IFERROR(LOOKUP(Предпосылки!$J98,$C$13:$C$15,S$13:S$15),1)</f>
        <v>0</v>
      </c>
      <c s="125">
        <f>Предпосылки!$I98*Предпосылки!AB98*(1+Чувствительность!$D$24)*IFERROR(LOOKUP(Предпосылки!$J98,$C$13:$C$15,T$13:T$15),1)</f>
        <v>0</v>
      </c>
      <c s="125">
        <f>Предпосылки!$I98*Предпосылки!AC98*(1+Чувствительность!$D$24)*IFERROR(LOOKUP(Предпосылки!$J98,$C$13:$C$15,U$13:U$15),1)</f>
        <v>0</v>
      </c>
      <c s="125">
        <f>Предпосылки!$I98*Предпосылки!AD98*(1+Чувствительность!$D$24)*IFERROR(LOOKUP(Предпосылки!$J98,$C$13:$C$15,V$13:V$15),1)</f>
        <v>0</v>
      </c>
      <c s="125">
        <f>Предпосылки!$I98*Предпосылки!AE98*(1+Чувствительность!$D$24)*IFERROR(LOOKUP(Предпосылки!$J98,$C$13:$C$15,W$13:W$15),1)</f>
        <v>0</v>
      </c>
      <c s="125">
        <f>Предпосылки!$I98*Предпосылки!AF98*(1+Чувствительность!$D$24)*IFERROR(LOOKUP(Предпосылки!$J98,$C$13:$C$15,X$13:X$15),1)</f>
        <v>0</v>
      </c>
      <c s="125">
        <f>Предпосылки!$I98*Предпосылки!AG98*(1+Чувствительность!$D$24)*IFERROR(LOOKUP(Предпосылки!$J98,$C$13:$C$15,Y$13:Y$15),1)</f>
        <v>0</v>
      </c>
      <c s="125">
        <f>Предпосылки!$I98*Предпосылки!AH98*(1+Чувствительность!$D$24)*IFERROR(LOOKUP(Предпосылки!$J98,$C$13:$C$15,Z$13:Z$15),1)</f>
        <v>0</v>
      </c>
      <c s="125">
        <f>Предпосылки!$I98*Предпосылки!AI98*(1+Чувствительность!$D$24)*IFERROR(LOOKUP(Предпосылки!$J98,$C$13:$C$15,AA$13:AA$15),1)</f>
        <v>0</v>
      </c>
      <c s="125">
        <f>Предпосылки!$I98*Предпосылки!AJ98*(1+Чувствительность!$D$24)*IFERROR(LOOKUP(Предпосылки!$J98,$C$13:$C$15,AB$13:AB$15),1)</f>
        <v>0</v>
      </c>
      <c s="125">
        <f>Предпосылки!$I98*Предпосылки!AK98*(1+Чувствительность!$D$24)*IFERROR(LOOKUP(Предпосылки!$J98,$C$13:$C$15,AC$13:AC$15),1)</f>
        <v>0</v>
      </c>
      <c s="125">
        <f>Предпосылки!$I98*Предпосылки!AL98*(1+Чувствительность!$D$24)*IFERROR(LOOKUP(Предпосылки!$J98,$C$13:$C$15,AD$13:AD$15),1)</f>
        <v>0</v>
      </c>
      <c s="125">
        <f>Предпосылки!$I98*Предпосылки!AM98*(1+Чувствительность!$D$24)*IFERROR(LOOKUP(Предпосылки!$J98,$C$13:$C$15,AE$13:AE$15),1)</f>
        <v>0</v>
      </c>
      <c s="125">
        <f>Предпосылки!$I98*Предпосылки!AN98*(1+Чувствительность!$D$24)*IFERROR(LOOKUP(Предпосылки!$J98,$C$13:$C$15,AF$13:AF$15),1)</f>
        <v>0</v>
      </c>
      <c s="125">
        <f>Предпосылки!$I98*Предпосылки!AO98*(1+Чувствительность!$D$24)*IFERROR(LOOKUP(Предпосылки!$J98,$C$13:$C$15,AG$13:AG$15),1)</f>
        <v>0</v>
      </c>
      <c s="125">
        <f>Предпосылки!$I98*Предпосылки!AP98*(1+Чувствительность!$D$24)*IFERROR(LOOKUP(Предпосылки!$J98,$C$13:$C$15,AH$13:AH$15),1)</f>
        <v>0</v>
      </c>
      <c s="125">
        <f>Предпосылки!$I98*Предпосылки!AQ98*(1+Чувствительность!$D$24)*IFERROR(LOOKUP(Предпосылки!$J98,$C$13:$C$15,AI$13:AI$15),1)</f>
        <v>0</v>
      </c>
      <c s="125">
        <f>Предпосылки!$I98*Предпосылки!AR98*(1+Чувствительность!$D$24)*IFERROR(LOOKUP(Предпосылки!$J98,$C$13:$C$15,AJ$13:AJ$15),1)</f>
        <v>0</v>
      </c>
      <c s="125">
        <f>Предпосылки!$I98*Предпосылки!AS98*(1+Чувствительность!$D$24)*IFERROR(LOOKUP(Предпосылки!$J98,$C$13:$C$15,AK$13:AK$15),1)</f>
        <v>0</v>
      </c>
      <c s="125">
        <f>Предпосылки!$I98*Предпосылки!AT98*(1+Чувствительность!$D$24)*IFERROR(LOOKUP(Предпосылки!$J98,$C$13:$C$15,AL$13:AL$15),1)</f>
        <v>0</v>
      </c>
      <c s="125">
        <f>Предпосылки!$I98*Предпосылки!AU98*(1+Чувствительность!$D$24)*IFERROR(LOOKUP(Предпосылки!$J98,$C$13:$C$15,AM$13:AM$15),1)</f>
        <v>0</v>
      </c>
      <c s="125">
        <f>Предпосылки!$I98*Предпосылки!AV98*(1+Чувствительность!$D$24)*IFERROR(LOOKUP(Предпосылки!$J98,$C$13:$C$15,AN$13:AN$15),1)</f>
        <v>0</v>
      </c>
      <c s="125">
        <f>Предпосылки!$I98*Предпосылки!AW98*(1+Чувствительность!$D$24)*IFERROR(LOOKUP(Предпосылки!$J98,$C$13:$C$15,AO$13:AO$15),1)</f>
        <v>0</v>
      </c>
      <c s="125">
        <f>Предпосылки!$I98*Предпосылки!AX98*(1+Чувствительность!$D$24)*IFERROR(LOOKUP(Предпосылки!$J98,$C$13:$C$15,AP$13:AP$15),1)</f>
        <v>0</v>
      </c>
      <c s="125">
        <f>Предпосылки!$I98*Предпосылки!AY98*(1+Чувствительность!$D$24)*IFERROR(LOOKUP(Предпосылки!$J98,$C$13:$C$15,AQ$13:AQ$15),1)</f>
        <v>0</v>
      </c>
      <c s="125">
        <f>Предпосылки!$I98*Предпосылки!AZ98*(1+Чувствительность!$D$24)*IFERROR(LOOKUP(Предпосылки!$J98,$C$13:$C$15,AR$13:AR$15),1)</f>
        <v>0</v>
      </c>
      <c s="125">
        <f>Предпосылки!$I98*Предпосылки!BA98*(1+Чувствительность!$D$24)*IFERROR(LOOKUP(Предпосылки!$J98,$C$13:$C$15,AS$13:AS$15),1)</f>
        <v>0</v>
      </c>
      <c s="125">
        <f>Предпосылки!$I98*Предпосылки!BB98*(1+Чувствительность!$D$24)*IFERROR(LOOKUP(Предпосылки!$J98,$C$13:$C$15,AT$13:AT$15),1)</f>
        <v>0</v>
      </c>
      <c s="125">
        <f>Предпосылки!$I98*Предпосылки!BC98*(1+Чувствительность!$D$24)*IFERROR(LOOKUP(Предпосылки!$J98,$C$13:$C$15,AU$13:AU$15),1)</f>
        <v>0</v>
      </c>
      <c s="125">
        <f>Предпосылки!$I98*Предпосылки!BD98*(1+Чувствительность!$D$24)*IFERROR(LOOKUP(Предпосылки!$J98,$C$13:$C$15,AV$13:AV$15),1)</f>
        <v>0</v>
      </c>
      <c s="125">
        <f>Предпосылки!$I98*Предпосылки!BE98*(1+Чувствительность!$D$24)*IFERROR(LOOKUP(Предпосылки!$J98,$C$13:$C$15,AW$13:AW$15),1)</f>
        <v>0</v>
      </c>
      <c s="125">
        <f>Предпосылки!$I98*Предпосылки!BF98*(1+Чувствительность!$D$24)*IFERROR(LOOKUP(Предпосылки!$J98,$C$13:$C$15,AX$13:AX$15),1)</f>
        <v>0</v>
      </c>
      <c s="125">
        <f>Предпосылки!$I98*Предпосылки!BG98*(1+Чувствительность!$D$24)*IFERROR(LOOKUP(Предпосылки!$J98,$C$13:$C$15,AY$13:AY$15),1)</f>
        <v>0</v>
      </c>
      <c s="125">
        <f>Предпосылки!$I98*Предпосылки!BH98*(1+Чувствительность!$D$24)*IFERROR(LOOKUP(Предпосылки!$J98,$C$13:$C$15,AZ$13:AZ$15),1)</f>
        <v>0</v>
      </c>
      <c s="125">
        <f>Предпосылки!$I98*Предпосылки!BI98*(1+Чувствительность!$D$24)*IFERROR(LOOKUP(Предпосылки!$J98,$C$13:$C$15,BA$13:BA$15),1)</f>
        <v>0</v>
      </c>
      <c s="125">
        <f>Предпосылки!$I98*Предпосылки!BJ98*(1+Чувствительность!$D$24)*IFERROR(LOOKUP(Предпосылки!$J98,$C$13:$C$15,BB$13:BB$15),1)</f>
        <v>0</v>
      </c>
      <c s="125">
        <f>Предпосылки!$I98*Предпосылки!BK98*(1+Чувствительность!$D$24)*IFERROR(LOOKUP(Предпосылки!$J98,$C$13:$C$15,BC$13:BC$15),1)</f>
        <v>0</v>
      </c>
      <c s="125">
        <f>Предпосылки!$I98*Предпосылки!BL98*(1+Чувствительность!$D$24)*IFERROR(LOOKUP(Предпосылки!$J98,$C$13:$C$15,BD$13:BD$15),1)</f>
        <v>0</v>
      </c>
      <c s="125">
        <f>Предпосылки!$I98*Предпосылки!BM98*(1+Чувствительность!$D$24)*IFERROR(LOOKUP(Предпосылки!$J98,$C$13:$C$15,BE$13:BE$15),1)</f>
        <v>0</v>
      </c>
      <c s="125">
        <f>Предпосылки!$I98*Предпосылки!BN98*(1+Чувствительность!$D$24)*IFERROR(LOOKUP(Предпосылки!$J98,$C$13:$C$15,BF$13:BF$15),1)</f>
        <v>0</v>
      </c>
      <c s="125">
        <f>Предпосылки!$I98*Предпосылки!BO98*(1+Чувствительность!$D$24)*IFERROR(LOOKUP(Предпосылки!$J98,$C$13:$C$15,BG$13:BG$15),1)</f>
        <v>0</v>
      </c>
      <c s="125">
        <f>Предпосылки!$I98*Предпосылки!BP98*(1+Чувствительность!$D$24)*IFERROR(LOOKUP(Предпосылки!$J98,$C$13:$C$15,BH$13:BH$15),1)</f>
        <v>0</v>
      </c>
      <c s="125">
        <f>Предпосылки!$I98*Предпосылки!BQ98*(1+Чувствительность!$D$24)*IFERROR(LOOKUP(Предпосылки!$J98,$C$13:$C$15,BI$13:BI$15),1)</f>
        <v>0</v>
      </c>
      <c s="125">
        <f>Предпосылки!$I98*Предпосылки!BR98*(1+Чувствительность!$D$24)*IFERROR(LOOKUP(Предпосылки!$J98,$C$13:$C$15,BJ$13:BJ$15),1)</f>
        <v>0</v>
      </c>
      <c s="125">
        <f>Предпосылки!$I98*Предпосылки!BS98*(1+Чувствительность!$D$24)*IFERROR(LOOKUP(Предпосылки!$J98,$C$13:$C$15,BK$13:BK$15),1)</f>
        <v>0</v>
      </c>
      <c s="125">
        <f>Предпосылки!$I98*Предпосылки!BT98*(1+Чувствительность!$D$24)*IFERROR(LOOKUP(Предпосылки!$J98,$C$13:$C$15,BL$13:BL$15),1)</f>
        <v>0</v>
      </c>
      <c s="125">
        <f>Предпосылки!$I98*Предпосылки!BU98*(1+Чувствительность!$D$24)*IFERROR(LOOKUP(Предпосылки!$J98,$C$13:$C$15,BM$13:BM$15),1)</f>
        <v>0</v>
      </c>
    </row>
    <row r="84" spans="2:65" ht="15" customHeight="1">
      <c r="B84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Предпосылки!$I99*Предпосылки!M99*(1+Чувствительность!$D$24)*IFERROR(LOOKUP(Предпосылки!$J99,$C$13:$C$15,E$13:E$15),1)</f>
        <v>0</v>
      </c>
      <c s="125">
        <f>Предпосылки!$I99*Предпосылки!N99*(1+Чувствительность!$D$24)*IFERROR(LOOKUP(Предпосылки!$J99,$C$13:$C$15,F$13:F$15),1)</f>
        <v>0</v>
      </c>
      <c s="125">
        <f>Предпосылки!$I99*Предпосылки!O99*(1+Чувствительность!$D$24)*IFERROR(LOOKUP(Предпосылки!$J99,$C$13:$C$15,G$13:G$15),1)</f>
        <v>0</v>
      </c>
      <c s="125">
        <f>Предпосылки!$I99*Предпосылки!P99*(1+Чувствительность!$D$24)*IFERROR(LOOKUP(Предпосылки!$J99,$C$13:$C$15,H$13:H$15),1)</f>
        <v>0</v>
      </c>
      <c s="125">
        <f>Предпосылки!$I99*Предпосылки!Q99*(1+Чувствительность!$D$24)*IFERROR(LOOKUP(Предпосылки!$J99,$C$13:$C$15,I$13:I$15),1)</f>
        <v>0</v>
      </c>
      <c s="125">
        <f>Предпосылки!$I99*Предпосылки!R99*(1+Чувствительность!$D$24)*IFERROR(LOOKUP(Предпосылки!$J99,$C$13:$C$15,J$13:J$15),1)</f>
        <v>0</v>
      </c>
      <c s="125">
        <f>Предпосылки!$I99*Предпосылки!S99*(1+Чувствительность!$D$24)*IFERROR(LOOKUP(Предпосылки!$J99,$C$13:$C$15,K$13:K$15),1)</f>
        <v>0</v>
      </c>
      <c s="125">
        <f>Предпосылки!$I99*Предпосылки!T99*(1+Чувствительность!$D$24)*IFERROR(LOOKUP(Предпосылки!$J99,$C$13:$C$15,L$13:L$15),1)</f>
        <v>0</v>
      </c>
      <c s="125">
        <f>Предпосылки!$I99*Предпосылки!U99*(1+Чувствительность!$D$24)*IFERROR(LOOKUP(Предпосылки!$J99,$C$13:$C$15,M$13:M$15),1)</f>
        <v>0</v>
      </c>
      <c s="125">
        <f>Предпосылки!$I99*Предпосылки!V99*(1+Чувствительность!$D$24)*IFERROR(LOOKUP(Предпосылки!$J99,$C$13:$C$15,N$13:N$15),1)</f>
        <v>0</v>
      </c>
      <c s="125">
        <f>Предпосылки!$I99*Предпосылки!W99*(1+Чувствительность!$D$24)*IFERROR(LOOKUP(Предпосылки!$J99,$C$13:$C$15,O$13:O$15),1)</f>
        <v>0</v>
      </c>
      <c s="125">
        <f>Предпосылки!$I99*Предпосылки!X99*(1+Чувствительность!$D$24)*IFERROR(LOOKUP(Предпосылки!$J99,$C$13:$C$15,P$13:P$15),1)</f>
        <v>0</v>
      </c>
      <c s="125">
        <f>Предпосылки!$I99*Предпосылки!Y99*(1+Чувствительность!$D$24)*IFERROR(LOOKUP(Предпосылки!$J99,$C$13:$C$15,Q$13:Q$15),1)</f>
        <v>0</v>
      </c>
      <c s="125">
        <f>Предпосылки!$I99*Предпосылки!Z99*(1+Чувствительность!$D$24)*IFERROR(LOOKUP(Предпосылки!$J99,$C$13:$C$15,R$13:R$15),1)</f>
        <v>0</v>
      </c>
      <c s="125">
        <f>Предпосылки!$I99*Предпосылки!AA99*(1+Чувствительность!$D$24)*IFERROR(LOOKUP(Предпосылки!$J99,$C$13:$C$15,S$13:S$15),1)</f>
        <v>0</v>
      </c>
      <c s="125">
        <f>Предпосылки!$I99*Предпосылки!AB99*(1+Чувствительность!$D$24)*IFERROR(LOOKUP(Предпосылки!$J99,$C$13:$C$15,T$13:T$15),1)</f>
        <v>0</v>
      </c>
      <c s="125">
        <f>Предпосылки!$I99*Предпосылки!AC99*(1+Чувствительность!$D$24)*IFERROR(LOOKUP(Предпосылки!$J99,$C$13:$C$15,U$13:U$15),1)</f>
        <v>0</v>
      </c>
      <c s="125">
        <f>Предпосылки!$I99*Предпосылки!AD99*(1+Чувствительность!$D$24)*IFERROR(LOOKUP(Предпосылки!$J99,$C$13:$C$15,V$13:V$15),1)</f>
        <v>0</v>
      </c>
      <c s="125">
        <f>Предпосылки!$I99*Предпосылки!AE99*(1+Чувствительность!$D$24)*IFERROR(LOOKUP(Предпосылки!$J99,$C$13:$C$15,W$13:W$15),1)</f>
        <v>0</v>
      </c>
      <c s="125">
        <f>Предпосылки!$I99*Предпосылки!AF99*(1+Чувствительность!$D$24)*IFERROR(LOOKUP(Предпосылки!$J99,$C$13:$C$15,X$13:X$15),1)</f>
        <v>0</v>
      </c>
      <c s="125">
        <f>Предпосылки!$I99*Предпосылки!AG99*(1+Чувствительность!$D$24)*IFERROR(LOOKUP(Предпосылки!$J99,$C$13:$C$15,Y$13:Y$15),1)</f>
        <v>0</v>
      </c>
      <c s="125">
        <f>Предпосылки!$I99*Предпосылки!AH99*(1+Чувствительность!$D$24)*IFERROR(LOOKUP(Предпосылки!$J99,$C$13:$C$15,Z$13:Z$15),1)</f>
        <v>0</v>
      </c>
      <c s="125">
        <f>Предпосылки!$I99*Предпосылки!AI99*(1+Чувствительность!$D$24)*IFERROR(LOOKUP(Предпосылки!$J99,$C$13:$C$15,AA$13:AA$15),1)</f>
        <v>0</v>
      </c>
      <c s="125">
        <f>Предпосылки!$I99*Предпосылки!AJ99*(1+Чувствительность!$D$24)*IFERROR(LOOKUP(Предпосылки!$J99,$C$13:$C$15,AB$13:AB$15),1)</f>
        <v>0</v>
      </c>
      <c s="125">
        <f>Предпосылки!$I99*Предпосылки!AK99*(1+Чувствительность!$D$24)*IFERROR(LOOKUP(Предпосылки!$J99,$C$13:$C$15,AC$13:AC$15),1)</f>
        <v>0</v>
      </c>
      <c s="125">
        <f>Предпосылки!$I99*Предпосылки!AL99*(1+Чувствительность!$D$24)*IFERROR(LOOKUP(Предпосылки!$J99,$C$13:$C$15,AD$13:AD$15),1)</f>
        <v>0</v>
      </c>
      <c s="125">
        <f>Предпосылки!$I99*Предпосылки!AM99*(1+Чувствительность!$D$24)*IFERROR(LOOKUP(Предпосылки!$J99,$C$13:$C$15,AE$13:AE$15),1)</f>
        <v>0</v>
      </c>
      <c s="125">
        <f>Предпосылки!$I99*Предпосылки!AN99*(1+Чувствительность!$D$24)*IFERROR(LOOKUP(Предпосылки!$J99,$C$13:$C$15,AF$13:AF$15),1)</f>
        <v>0</v>
      </c>
      <c s="125">
        <f>Предпосылки!$I99*Предпосылки!AO99*(1+Чувствительность!$D$24)*IFERROR(LOOKUP(Предпосылки!$J99,$C$13:$C$15,AG$13:AG$15),1)</f>
        <v>0</v>
      </c>
      <c s="125">
        <f>Предпосылки!$I99*Предпосылки!AP99*(1+Чувствительность!$D$24)*IFERROR(LOOKUP(Предпосылки!$J99,$C$13:$C$15,AH$13:AH$15),1)</f>
        <v>0</v>
      </c>
      <c s="125">
        <f>Предпосылки!$I99*Предпосылки!AQ99*(1+Чувствительность!$D$24)*IFERROR(LOOKUP(Предпосылки!$J99,$C$13:$C$15,AI$13:AI$15),1)</f>
        <v>0</v>
      </c>
      <c s="125">
        <f>Предпосылки!$I99*Предпосылки!AR99*(1+Чувствительность!$D$24)*IFERROR(LOOKUP(Предпосылки!$J99,$C$13:$C$15,AJ$13:AJ$15),1)</f>
        <v>0</v>
      </c>
      <c s="125">
        <f>Предпосылки!$I99*Предпосылки!AS99*(1+Чувствительность!$D$24)*IFERROR(LOOKUP(Предпосылки!$J99,$C$13:$C$15,AK$13:AK$15),1)</f>
        <v>0</v>
      </c>
      <c s="125">
        <f>Предпосылки!$I99*Предпосылки!AT99*(1+Чувствительность!$D$24)*IFERROR(LOOKUP(Предпосылки!$J99,$C$13:$C$15,AL$13:AL$15),1)</f>
        <v>0</v>
      </c>
      <c s="125">
        <f>Предпосылки!$I99*Предпосылки!AU99*(1+Чувствительность!$D$24)*IFERROR(LOOKUP(Предпосылки!$J99,$C$13:$C$15,AM$13:AM$15),1)</f>
        <v>0</v>
      </c>
      <c s="125">
        <f>Предпосылки!$I99*Предпосылки!AV99*(1+Чувствительность!$D$24)*IFERROR(LOOKUP(Предпосылки!$J99,$C$13:$C$15,AN$13:AN$15),1)</f>
        <v>0</v>
      </c>
      <c s="125">
        <f>Предпосылки!$I99*Предпосылки!AW99*(1+Чувствительность!$D$24)*IFERROR(LOOKUP(Предпосылки!$J99,$C$13:$C$15,AO$13:AO$15),1)</f>
        <v>0</v>
      </c>
      <c s="125">
        <f>Предпосылки!$I99*Предпосылки!AX99*(1+Чувствительность!$D$24)*IFERROR(LOOKUP(Предпосылки!$J99,$C$13:$C$15,AP$13:AP$15),1)</f>
        <v>0</v>
      </c>
      <c s="125">
        <f>Предпосылки!$I99*Предпосылки!AY99*(1+Чувствительность!$D$24)*IFERROR(LOOKUP(Предпосылки!$J99,$C$13:$C$15,AQ$13:AQ$15),1)</f>
        <v>0</v>
      </c>
      <c s="125">
        <f>Предпосылки!$I99*Предпосылки!AZ99*(1+Чувствительность!$D$24)*IFERROR(LOOKUP(Предпосылки!$J99,$C$13:$C$15,AR$13:AR$15),1)</f>
        <v>0</v>
      </c>
      <c s="125">
        <f>Предпосылки!$I99*Предпосылки!BA99*(1+Чувствительность!$D$24)*IFERROR(LOOKUP(Предпосылки!$J99,$C$13:$C$15,AS$13:AS$15),1)</f>
        <v>0</v>
      </c>
      <c s="125">
        <f>Предпосылки!$I99*Предпосылки!BB99*(1+Чувствительность!$D$24)*IFERROR(LOOKUP(Предпосылки!$J99,$C$13:$C$15,AT$13:AT$15),1)</f>
        <v>0</v>
      </c>
      <c s="125">
        <f>Предпосылки!$I99*Предпосылки!BC99*(1+Чувствительность!$D$24)*IFERROR(LOOKUP(Предпосылки!$J99,$C$13:$C$15,AU$13:AU$15),1)</f>
        <v>0</v>
      </c>
      <c s="125">
        <f>Предпосылки!$I99*Предпосылки!BD99*(1+Чувствительность!$D$24)*IFERROR(LOOKUP(Предпосылки!$J99,$C$13:$C$15,AV$13:AV$15),1)</f>
        <v>0</v>
      </c>
      <c s="125">
        <f>Предпосылки!$I99*Предпосылки!BE99*(1+Чувствительность!$D$24)*IFERROR(LOOKUP(Предпосылки!$J99,$C$13:$C$15,AW$13:AW$15),1)</f>
        <v>0</v>
      </c>
      <c s="125">
        <f>Предпосылки!$I99*Предпосылки!BF99*(1+Чувствительность!$D$24)*IFERROR(LOOKUP(Предпосылки!$J99,$C$13:$C$15,AX$13:AX$15),1)</f>
        <v>0</v>
      </c>
      <c s="125">
        <f>Предпосылки!$I99*Предпосылки!BG99*(1+Чувствительность!$D$24)*IFERROR(LOOKUP(Предпосылки!$J99,$C$13:$C$15,AY$13:AY$15),1)</f>
        <v>0</v>
      </c>
      <c s="125">
        <f>Предпосылки!$I99*Предпосылки!BH99*(1+Чувствительность!$D$24)*IFERROR(LOOKUP(Предпосылки!$J99,$C$13:$C$15,AZ$13:AZ$15),1)</f>
        <v>0</v>
      </c>
      <c s="125">
        <f>Предпосылки!$I99*Предпосылки!BI99*(1+Чувствительность!$D$24)*IFERROR(LOOKUP(Предпосылки!$J99,$C$13:$C$15,BA$13:BA$15),1)</f>
        <v>0</v>
      </c>
      <c s="125">
        <f>Предпосылки!$I99*Предпосылки!BJ99*(1+Чувствительность!$D$24)*IFERROR(LOOKUP(Предпосылки!$J99,$C$13:$C$15,BB$13:BB$15),1)</f>
        <v>0</v>
      </c>
      <c s="125">
        <f>Предпосылки!$I99*Предпосылки!BK99*(1+Чувствительность!$D$24)*IFERROR(LOOKUP(Предпосылки!$J99,$C$13:$C$15,BC$13:BC$15),1)</f>
        <v>0</v>
      </c>
      <c s="125">
        <f>Предпосылки!$I99*Предпосылки!BL99*(1+Чувствительность!$D$24)*IFERROR(LOOKUP(Предпосылки!$J99,$C$13:$C$15,BD$13:BD$15),1)</f>
        <v>0</v>
      </c>
      <c s="125">
        <f>Предпосылки!$I99*Предпосылки!BM99*(1+Чувствительность!$D$24)*IFERROR(LOOKUP(Предпосылки!$J99,$C$13:$C$15,BE$13:BE$15),1)</f>
        <v>0</v>
      </c>
      <c s="125">
        <f>Предпосылки!$I99*Предпосылки!BN99*(1+Чувствительность!$D$24)*IFERROR(LOOKUP(Предпосылки!$J99,$C$13:$C$15,BF$13:BF$15),1)</f>
        <v>0</v>
      </c>
      <c s="125">
        <f>Предпосылки!$I99*Предпосылки!BO99*(1+Чувствительность!$D$24)*IFERROR(LOOKUP(Предпосылки!$J99,$C$13:$C$15,BG$13:BG$15),1)</f>
        <v>0</v>
      </c>
      <c s="125">
        <f>Предпосылки!$I99*Предпосылки!BP99*(1+Чувствительность!$D$24)*IFERROR(LOOKUP(Предпосылки!$J99,$C$13:$C$15,BH$13:BH$15),1)</f>
        <v>0</v>
      </c>
      <c s="125">
        <f>Предпосылки!$I99*Предпосылки!BQ99*(1+Чувствительность!$D$24)*IFERROR(LOOKUP(Предпосылки!$J99,$C$13:$C$15,BI$13:BI$15),1)</f>
        <v>0</v>
      </c>
      <c s="125">
        <f>Предпосылки!$I99*Предпосылки!BR99*(1+Чувствительность!$D$24)*IFERROR(LOOKUP(Предпосылки!$J99,$C$13:$C$15,BJ$13:BJ$15),1)</f>
        <v>0</v>
      </c>
      <c s="125">
        <f>Предпосылки!$I99*Предпосылки!BS99*(1+Чувствительность!$D$24)*IFERROR(LOOKUP(Предпосылки!$J99,$C$13:$C$15,BK$13:BK$15),1)</f>
        <v>0</v>
      </c>
      <c s="125">
        <f>Предпосылки!$I99*Предпосылки!BT99*(1+Чувствительность!$D$24)*IFERROR(LOOKUP(Предпосылки!$J99,$C$13:$C$15,BL$13:BL$15),1)</f>
        <v>0</v>
      </c>
      <c s="125">
        <f>Предпосылки!$I99*Предпосылки!BU99*(1+Чувствительность!$D$24)*IFERROR(LOOKUP(Предпосылки!$J99,$C$13:$C$15,BM$13:BM$15),1)</f>
        <v>0</v>
      </c>
    </row>
    <row r="85" spans="2:65" ht="15" customHeight="1">
      <c r="B85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Предпосылки!$I100*Предпосылки!M100*(1+Чувствительность!$D$24)*IFERROR(LOOKUP(Предпосылки!$J100,$C$13:$C$15,E$13:E$15),1)</f>
        <v>0</v>
      </c>
      <c s="125">
        <f>Предпосылки!$I100*Предпосылки!N100*(1+Чувствительность!$D$24)*IFERROR(LOOKUP(Предпосылки!$J100,$C$13:$C$15,F$13:F$15),1)</f>
        <v>0</v>
      </c>
      <c s="125">
        <f>Предпосылки!$I100*Предпосылки!O100*(1+Чувствительность!$D$24)*IFERROR(LOOKUP(Предпосылки!$J100,$C$13:$C$15,G$13:G$15),1)</f>
        <v>0</v>
      </c>
      <c s="125">
        <f>Предпосылки!$I100*Предпосылки!P100*(1+Чувствительность!$D$24)*IFERROR(LOOKUP(Предпосылки!$J100,$C$13:$C$15,H$13:H$15),1)</f>
        <v>0</v>
      </c>
      <c s="125">
        <f>Предпосылки!$I100*Предпосылки!Q100*(1+Чувствительность!$D$24)*IFERROR(LOOKUP(Предпосылки!$J100,$C$13:$C$15,I$13:I$15),1)</f>
        <v>0</v>
      </c>
      <c s="125">
        <f>Предпосылки!$I100*Предпосылки!R100*(1+Чувствительность!$D$24)*IFERROR(LOOKUP(Предпосылки!$J100,$C$13:$C$15,J$13:J$15),1)</f>
        <v>0</v>
      </c>
      <c s="125">
        <f>Предпосылки!$I100*Предпосылки!S100*(1+Чувствительность!$D$24)*IFERROR(LOOKUP(Предпосылки!$J100,$C$13:$C$15,K$13:K$15),1)</f>
        <v>0</v>
      </c>
      <c s="125">
        <f>Предпосылки!$I100*Предпосылки!T100*(1+Чувствительность!$D$24)*IFERROR(LOOKUP(Предпосылки!$J100,$C$13:$C$15,L$13:L$15),1)</f>
        <v>0</v>
      </c>
      <c s="125">
        <f>Предпосылки!$I100*Предпосылки!U100*(1+Чувствительность!$D$24)*IFERROR(LOOKUP(Предпосылки!$J100,$C$13:$C$15,M$13:M$15),1)</f>
        <v>0</v>
      </c>
      <c s="125">
        <f>Предпосылки!$I100*Предпосылки!V100*(1+Чувствительность!$D$24)*IFERROR(LOOKUP(Предпосылки!$J100,$C$13:$C$15,N$13:N$15),1)</f>
        <v>0</v>
      </c>
      <c s="125">
        <f>Предпосылки!$I100*Предпосылки!W100*(1+Чувствительность!$D$24)*IFERROR(LOOKUP(Предпосылки!$J100,$C$13:$C$15,O$13:O$15),1)</f>
        <v>0</v>
      </c>
      <c s="125">
        <f>Предпосылки!$I100*Предпосылки!X100*(1+Чувствительность!$D$24)*IFERROR(LOOKUP(Предпосылки!$J100,$C$13:$C$15,P$13:P$15),1)</f>
        <v>0</v>
      </c>
      <c s="125">
        <f>Предпосылки!$I100*Предпосылки!Y100*(1+Чувствительность!$D$24)*IFERROR(LOOKUP(Предпосылки!$J100,$C$13:$C$15,Q$13:Q$15),1)</f>
        <v>0</v>
      </c>
      <c s="125">
        <f>Предпосылки!$I100*Предпосылки!Z100*(1+Чувствительность!$D$24)*IFERROR(LOOKUP(Предпосылки!$J100,$C$13:$C$15,R$13:R$15),1)</f>
        <v>0</v>
      </c>
      <c s="125">
        <f>Предпосылки!$I100*Предпосылки!AA100*(1+Чувствительность!$D$24)*IFERROR(LOOKUP(Предпосылки!$J100,$C$13:$C$15,S$13:S$15),1)</f>
        <v>0</v>
      </c>
      <c s="125">
        <f>Предпосылки!$I100*Предпосылки!AB100*(1+Чувствительность!$D$24)*IFERROR(LOOKUP(Предпосылки!$J100,$C$13:$C$15,T$13:T$15),1)</f>
        <v>0</v>
      </c>
      <c s="125">
        <f>Предпосылки!$I100*Предпосылки!AC100*(1+Чувствительность!$D$24)*IFERROR(LOOKUP(Предпосылки!$J100,$C$13:$C$15,U$13:U$15),1)</f>
        <v>0</v>
      </c>
      <c s="125">
        <f>Предпосылки!$I100*Предпосылки!AD100*(1+Чувствительность!$D$24)*IFERROR(LOOKUP(Предпосылки!$J100,$C$13:$C$15,V$13:V$15),1)</f>
        <v>0</v>
      </c>
      <c s="125">
        <f>Предпосылки!$I100*Предпосылки!AE100*(1+Чувствительность!$D$24)*IFERROR(LOOKUP(Предпосылки!$J100,$C$13:$C$15,W$13:W$15),1)</f>
        <v>0</v>
      </c>
      <c s="125">
        <f>Предпосылки!$I100*Предпосылки!AF100*(1+Чувствительность!$D$24)*IFERROR(LOOKUP(Предпосылки!$J100,$C$13:$C$15,X$13:X$15),1)</f>
        <v>0</v>
      </c>
      <c s="125">
        <f>Предпосылки!$I100*Предпосылки!AG100*(1+Чувствительность!$D$24)*IFERROR(LOOKUP(Предпосылки!$J100,$C$13:$C$15,Y$13:Y$15),1)</f>
        <v>0</v>
      </c>
      <c s="125">
        <f>Предпосылки!$I100*Предпосылки!AH100*(1+Чувствительность!$D$24)*IFERROR(LOOKUP(Предпосылки!$J100,$C$13:$C$15,Z$13:Z$15),1)</f>
        <v>0</v>
      </c>
      <c s="125">
        <f>Предпосылки!$I100*Предпосылки!AI100*(1+Чувствительность!$D$24)*IFERROR(LOOKUP(Предпосылки!$J100,$C$13:$C$15,AA$13:AA$15),1)</f>
        <v>0</v>
      </c>
      <c s="125">
        <f>Предпосылки!$I100*Предпосылки!AJ100*(1+Чувствительность!$D$24)*IFERROR(LOOKUP(Предпосылки!$J100,$C$13:$C$15,AB$13:AB$15),1)</f>
        <v>0</v>
      </c>
      <c s="125">
        <f>Предпосылки!$I100*Предпосылки!AK100*(1+Чувствительность!$D$24)*IFERROR(LOOKUP(Предпосылки!$J100,$C$13:$C$15,AC$13:AC$15),1)</f>
        <v>0</v>
      </c>
      <c s="125">
        <f>Предпосылки!$I100*Предпосылки!AL100*(1+Чувствительность!$D$24)*IFERROR(LOOKUP(Предпосылки!$J100,$C$13:$C$15,AD$13:AD$15),1)</f>
        <v>0</v>
      </c>
      <c s="125">
        <f>Предпосылки!$I100*Предпосылки!AM100*(1+Чувствительность!$D$24)*IFERROR(LOOKUP(Предпосылки!$J100,$C$13:$C$15,AE$13:AE$15),1)</f>
        <v>0</v>
      </c>
      <c s="125">
        <f>Предпосылки!$I100*Предпосылки!AN100*(1+Чувствительность!$D$24)*IFERROR(LOOKUP(Предпосылки!$J100,$C$13:$C$15,AF$13:AF$15),1)</f>
        <v>0</v>
      </c>
      <c s="125">
        <f>Предпосылки!$I100*Предпосылки!AO100*(1+Чувствительность!$D$24)*IFERROR(LOOKUP(Предпосылки!$J100,$C$13:$C$15,AG$13:AG$15),1)</f>
        <v>0</v>
      </c>
      <c s="125">
        <f>Предпосылки!$I100*Предпосылки!AP100*(1+Чувствительность!$D$24)*IFERROR(LOOKUP(Предпосылки!$J100,$C$13:$C$15,AH$13:AH$15),1)</f>
        <v>0</v>
      </c>
      <c s="125">
        <f>Предпосылки!$I100*Предпосылки!AQ100*(1+Чувствительность!$D$24)*IFERROR(LOOKUP(Предпосылки!$J100,$C$13:$C$15,AI$13:AI$15),1)</f>
        <v>0</v>
      </c>
      <c s="125">
        <f>Предпосылки!$I100*Предпосылки!AR100*(1+Чувствительность!$D$24)*IFERROR(LOOKUP(Предпосылки!$J100,$C$13:$C$15,AJ$13:AJ$15),1)</f>
        <v>0</v>
      </c>
      <c s="125">
        <f>Предпосылки!$I100*Предпосылки!AS100*(1+Чувствительность!$D$24)*IFERROR(LOOKUP(Предпосылки!$J100,$C$13:$C$15,AK$13:AK$15),1)</f>
        <v>0</v>
      </c>
      <c s="125">
        <f>Предпосылки!$I100*Предпосылки!AT100*(1+Чувствительность!$D$24)*IFERROR(LOOKUP(Предпосылки!$J100,$C$13:$C$15,AL$13:AL$15),1)</f>
        <v>0</v>
      </c>
      <c s="125">
        <f>Предпосылки!$I100*Предпосылки!AU100*(1+Чувствительность!$D$24)*IFERROR(LOOKUP(Предпосылки!$J100,$C$13:$C$15,AM$13:AM$15),1)</f>
        <v>0</v>
      </c>
      <c s="125">
        <f>Предпосылки!$I100*Предпосылки!AV100*(1+Чувствительность!$D$24)*IFERROR(LOOKUP(Предпосылки!$J100,$C$13:$C$15,AN$13:AN$15),1)</f>
        <v>0</v>
      </c>
      <c s="125">
        <f>Предпосылки!$I100*Предпосылки!AW100*(1+Чувствительность!$D$24)*IFERROR(LOOKUP(Предпосылки!$J100,$C$13:$C$15,AO$13:AO$15),1)</f>
        <v>0</v>
      </c>
      <c s="125">
        <f>Предпосылки!$I100*Предпосылки!AX100*(1+Чувствительность!$D$24)*IFERROR(LOOKUP(Предпосылки!$J100,$C$13:$C$15,AP$13:AP$15),1)</f>
        <v>0</v>
      </c>
      <c s="125">
        <f>Предпосылки!$I100*Предпосылки!AY100*(1+Чувствительность!$D$24)*IFERROR(LOOKUP(Предпосылки!$J100,$C$13:$C$15,AQ$13:AQ$15),1)</f>
        <v>0</v>
      </c>
      <c s="125">
        <f>Предпосылки!$I100*Предпосылки!AZ100*(1+Чувствительность!$D$24)*IFERROR(LOOKUP(Предпосылки!$J100,$C$13:$C$15,AR$13:AR$15),1)</f>
        <v>0</v>
      </c>
      <c s="125">
        <f>Предпосылки!$I100*Предпосылки!BA100*(1+Чувствительность!$D$24)*IFERROR(LOOKUP(Предпосылки!$J100,$C$13:$C$15,AS$13:AS$15),1)</f>
        <v>0</v>
      </c>
      <c s="125">
        <f>Предпосылки!$I100*Предпосылки!BB100*(1+Чувствительность!$D$24)*IFERROR(LOOKUP(Предпосылки!$J100,$C$13:$C$15,AT$13:AT$15),1)</f>
        <v>0</v>
      </c>
      <c s="125">
        <f>Предпосылки!$I100*Предпосылки!BC100*(1+Чувствительность!$D$24)*IFERROR(LOOKUP(Предпосылки!$J100,$C$13:$C$15,AU$13:AU$15),1)</f>
        <v>0</v>
      </c>
      <c s="125">
        <f>Предпосылки!$I100*Предпосылки!BD100*(1+Чувствительность!$D$24)*IFERROR(LOOKUP(Предпосылки!$J100,$C$13:$C$15,AV$13:AV$15),1)</f>
        <v>0</v>
      </c>
      <c s="125">
        <f>Предпосылки!$I100*Предпосылки!BE100*(1+Чувствительность!$D$24)*IFERROR(LOOKUP(Предпосылки!$J100,$C$13:$C$15,AW$13:AW$15),1)</f>
        <v>0</v>
      </c>
      <c s="125">
        <f>Предпосылки!$I100*Предпосылки!BF100*(1+Чувствительность!$D$24)*IFERROR(LOOKUP(Предпосылки!$J100,$C$13:$C$15,AX$13:AX$15),1)</f>
        <v>0</v>
      </c>
      <c s="125">
        <f>Предпосылки!$I100*Предпосылки!BG100*(1+Чувствительность!$D$24)*IFERROR(LOOKUP(Предпосылки!$J100,$C$13:$C$15,AY$13:AY$15),1)</f>
        <v>0</v>
      </c>
      <c s="125">
        <f>Предпосылки!$I100*Предпосылки!BH100*(1+Чувствительность!$D$24)*IFERROR(LOOKUP(Предпосылки!$J100,$C$13:$C$15,AZ$13:AZ$15),1)</f>
        <v>0</v>
      </c>
      <c s="125">
        <f>Предпосылки!$I100*Предпосылки!BI100*(1+Чувствительность!$D$24)*IFERROR(LOOKUP(Предпосылки!$J100,$C$13:$C$15,BA$13:BA$15),1)</f>
        <v>0</v>
      </c>
      <c s="125">
        <f>Предпосылки!$I100*Предпосылки!BJ100*(1+Чувствительность!$D$24)*IFERROR(LOOKUP(Предпосылки!$J100,$C$13:$C$15,BB$13:BB$15),1)</f>
        <v>0</v>
      </c>
      <c s="125">
        <f>Предпосылки!$I100*Предпосылки!BK100*(1+Чувствительность!$D$24)*IFERROR(LOOKUP(Предпосылки!$J100,$C$13:$C$15,BC$13:BC$15),1)</f>
        <v>0</v>
      </c>
      <c s="125">
        <f>Предпосылки!$I100*Предпосылки!BL100*(1+Чувствительность!$D$24)*IFERROR(LOOKUP(Предпосылки!$J100,$C$13:$C$15,BD$13:BD$15),1)</f>
        <v>0</v>
      </c>
      <c s="125">
        <f>Предпосылки!$I100*Предпосылки!BM100*(1+Чувствительность!$D$24)*IFERROR(LOOKUP(Предпосылки!$J100,$C$13:$C$15,BE$13:BE$15),1)</f>
        <v>0</v>
      </c>
      <c s="125">
        <f>Предпосылки!$I100*Предпосылки!BN100*(1+Чувствительность!$D$24)*IFERROR(LOOKUP(Предпосылки!$J100,$C$13:$C$15,BF$13:BF$15),1)</f>
        <v>0</v>
      </c>
      <c s="125">
        <f>Предпосылки!$I100*Предпосылки!BO100*(1+Чувствительность!$D$24)*IFERROR(LOOKUP(Предпосылки!$J100,$C$13:$C$15,BG$13:BG$15),1)</f>
        <v>0</v>
      </c>
      <c s="125">
        <f>Предпосылки!$I100*Предпосылки!BP100*(1+Чувствительность!$D$24)*IFERROR(LOOKUP(Предпосылки!$J100,$C$13:$C$15,BH$13:BH$15),1)</f>
        <v>0</v>
      </c>
      <c s="125">
        <f>Предпосылки!$I100*Предпосылки!BQ100*(1+Чувствительность!$D$24)*IFERROR(LOOKUP(Предпосылки!$J100,$C$13:$C$15,BI$13:BI$15),1)</f>
        <v>0</v>
      </c>
      <c s="125">
        <f>Предпосылки!$I100*Предпосылки!BR100*(1+Чувствительность!$D$24)*IFERROR(LOOKUP(Предпосылки!$J100,$C$13:$C$15,BJ$13:BJ$15),1)</f>
        <v>0</v>
      </c>
      <c s="125">
        <f>Предпосылки!$I100*Предпосылки!BS100*(1+Чувствительность!$D$24)*IFERROR(LOOKUP(Предпосылки!$J100,$C$13:$C$15,BK$13:BK$15),1)</f>
        <v>0</v>
      </c>
      <c s="125">
        <f>Предпосылки!$I100*Предпосылки!BT100*(1+Чувствительность!$D$24)*IFERROR(LOOKUP(Предпосылки!$J100,$C$13:$C$15,BL$13:BL$15),1)</f>
        <v>0</v>
      </c>
      <c s="125">
        <f>Предпосылки!$I100*Предпосылки!BU100*(1+Чувствительность!$D$24)*IFERROR(LOOKUP(Предпосылки!$J100,$C$13:$C$15,BM$13:BM$15),1)</f>
        <v>0</v>
      </c>
    </row>
    <row r="86" spans="2:65" ht="15" customHeight="1">
      <c r="B86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Предпосылки!$I101*Предпосылки!M101*(1+Чувствительность!$D$24)*IFERROR(LOOKUP(Предпосылки!$J101,$C$13:$C$15,E$13:E$15),1)</f>
        <v>0</v>
      </c>
      <c s="125">
        <f>Предпосылки!$I101*Предпосылки!N101*(1+Чувствительность!$D$24)*IFERROR(LOOKUP(Предпосылки!$J101,$C$13:$C$15,F$13:F$15),1)</f>
        <v>0</v>
      </c>
      <c s="125">
        <f>Предпосылки!$I101*Предпосылки!O101*(1+Чувствительность!$D$24)*IFERROR(LOOKUP(Предпосылки!$J101,$C$13:$C$15,G$13:G$15),1)</f>
        <v>0</v>
      </c>
      <c s="125">
        <f>Предпосылки!$I101*Предпосылки!P101*(1+Чувствительность!$D$24)*IFERROR(LOOKUP(Предпосылки!$J101,$C$13:$C$15,H$13:H$15),1)</f>
        <v>0</v>
      </c>
      <c s="125">
        <f>Предпосылки!$I101*Предпосылки!Q101*(1+Чувствительность!$D$24)*IFERROR(LOOKUP(Предпосылки!$J101,$C$13:$C$15,I$13:I$15),1)</f>
        <v>0</v>
      </c>
      <c s="125">
        <f>Предпосылки!$I101*Предпосылки!R101*(1+Чувствительность!$D$24)*IFERROR(LOOKUP(Предпосылки!$J101,$C$13:$C$15,J$13:J$15),1)</f>
        <v>0</v>
      </c>
      <c s="125">
        <f>Предпосылки!$I101*Предпосылки!S101*(1+Чувствительность!$D$24)*IFERROR(LOOKUP(Предпосылки!$J101,$C$13:$C$15,K$13:K$15),1)</f>
        <v>0</v>
      </c>
      <c s="125">
        <f>Предпосылки!$I101*Предпосылки!T101*(1+Чувствительность!$D$24)*IFERROR(LOOKUP(Предпосылки!$J101,$C$13:$C$15,L$13:L$15),1)</f>
        <v>0</v>
      </c>
      <c s="125">
        <f>Предпосылки!$I101*Предпосылки!U101*(1+Чувствительность!$D$24)*IFERROR(LOOKUP(Предпосылки!$J101,$C$13:$C$15,M$13:M$15),1)</f>
        <v>0</v>
      </c>
      <c s="125">
        <f>Предпосылки!$I101*Предпосылки!V101*(1+Чувствительность!$D$24)*IFERROR(LOOKUP(Предпосылки!$J101,$C$13:$C$15,N$13:N$15),1)</f>
        <v>0</v>
      </c>
      <c s="125">
        <f>Предпосылки!$I101*Предпосылки!W101*(1+Чувствительность!$D$24)*IFERROR(LOOKUP(Предпосылки!$J101,$C$13:$C$15,O$13:O$15),1)</f>
        <v>0</v>
      </c>
      <c s="125">
        <f>Предпосылки!$I101*Предпосылки!X101*(1+Чувствительность!$D$24)*IFERROR(LOOKUP(Предпосылки!$J101,$C$13:$C$15,P$13:P$15),1)</f>
        <v>0</v>
      </c>
      <c s="125">
        <f>Предпосылки!$I101*Предпосылки!Y101*(1+Чувствительность!$D$24)*IFERROR(LOOKUP(Предпосылки!$J101,$C$13:$C$15,Q$13:Q$15),1)</f>
        <v>0</v>
      </c>
      <c s="125">
        <f>Предпосылки!$I101*Предпосылки!Z101*(1+Чувствительность!$D$24)*IFERROR(LOOKUP(Предпосылки!$J101,$C$13:$C$15,R$13:R$15),1)</f>
        <v>0</v>
      </c>
      <c s="125">
        <f>Предпосылки!$I101*Предпосылки!AA101*(1+Чувствительность!$D$24)*IFERROR(LOOKUP(Предпосылки!$J101,$C$13:$C$15,S$13:S$15),1)</f>
        <v>0</v>
      </c>
      <c s="125">
        <f>Предпосылки!$I101*Предпосылки!AB101*(1+Чувствительность!$D$24)*IFERROR(LOOKUP(Предпосылки!$J101,$C$13:$C$15,T$13:T$15),1)</f>
        <v>0</v>
      </c>
      <c s="125">
        <f>Предпосылки!$I101*Предпосылки!AC101*(1+Чувствительность!$D$24)*IFERROR(LOOKUP(Предпосылки!$J101,$C$13:$C$15,U$13:U$15),1)</f>
        <v>0</v>
      </c>
      <c s="125">
        <f>Предпосылки!$I101*Предпосылки!AD101*(1+Чувствительность!$D$24)*IFERROR(LOOKUP(Предпосылки!$J101,$C$13:$C$15,V$13:V$15),1)</f>
        <v>0</v>
      </c>
      <c s="125">
        <f>Предпосылки!$I101*Предпосылки!AE101*(1+Чувствительность!$D$24)*IFERROR(LOOKUP(Предпосылки!$J101,$C$13:$C$15,W$13:W$15),1)</f>
        <v>0</v>
      </c>
      <c s="125">
        <f>Предпосылки!$I101*Предпосылки!AF101*(1+Чувствительность!$D$24)*IFERROR(LOOKUP(Предпосылки!$J101,$C$13:$C$15,X$13:X$15),1)</f>
        <v>0</v>
      </c>
      <c s="125">
        <f>Предпосылки!$I101*Предпосылки!AG101*(1+Чувствительность!$D$24)*IFERROR(LOOKUP(Предпосылки!$J101,$C$13:$C$15,Y$13:Y$15),1)</f>
        <v>0</v>
      </c>
      <c s="125">
        <f>Предпосылки!$I101*Предпосылки!AH101*(1+Чувствительность!$D$24)*IFERROR(LOOKUP(Предпосылки!$J101,$C$13:$C$15,Z$13:Z$15),1)</f>
        <v>0</v>
      </c>
      <c s="125">
        <f>Предпосылки!$I101*Предпосылки!AI101*(1+Чувствительность!$D$24)*IFERROR(LOOKUP(Предпосылки!$J101,$C$13:$C$15,AA$13:AA$15),1)</f>
        <v>0</v>
      </c>
      <c s="125">
        <f>Предпосылки!$I101*Предпосылки!AJ101*(1+Чувствительность!$D$24)*IFERROR(LOOKUP(Предпосылки!$J101,$C$13:$C$15,AB$13:AB$15),1)</f>
        <v>0</v>
      </c>
      <c s="125">
        <f>Предпосылки!$I101*Предпосылки!AK101*(1+Чувствительность!$D$24)*IFERROR(LOOKUP(Предпосылки!$J101,$C$13:$C$15,AC$13:AC$15),1)</f>
        <v>0</v>
      </c>
      <c s="125">
        <f>Предпосылки!$I101*Предпосылки!AL101*(1+Чувствительность!$D$24)*IFERROR(LOOKUP(Предпосылки!$J101,$C$13:$C$15,AD$13:AD$15),1)</f>
        <v>0</v>
      </c>
      <c s="125">
        <f>Предпосылки!$I101*Предпосылки!AM101*(1+Чувствительность!$D$24)*IFERROR(LOOKUP(Предпосылки!$J101,$C$13:$C$15,AE$13:AE$15),1)</f>
        <v>0</v>
      </c>
      <c s="125">
        <f>Предпосылки!$I101*Предпосылки!AN101*(1+Чувствительность!$D$24)*IFERROR(LOOKUP(Предпосылки!$J101,$C$13:$C$15,AF$13:AF$15),1)</f>
        <v>0</v>
      </c>
      <c s="125">
        <f>Предпосылки!$I101*Предпосылки!AO101*(1+Чувствительность!$D$24)*IFERROR(LOOKUP(Предпосылки!$J101,$C$13:$C$15,AG$13:AG$15),1)</f>
        <v>0</v>
      </c>
      <c s="125">
        <f>Предпосылки!$I101*Предпосылки!AP101*(1+Чувствительность!$D$24)*IFERROR(LOOKUP(Предпосылки!$J101,$C$13:$C$15,AH$13:AH$15),1)</f>
        <v>0</v>
      </c>
      <c s="125">
        <f>Предпосылки!$I101*Предпосылки!AQ101*(1+Чувствительность!$D$24)*IFERROR(LOOKUP(Предпосылки!$J101,$C$13:$C$15,AI$13:AI$15),1)</f>
        <v>0</v>
      </c>
      <c s="125">
        <f>Предпосылки!$I101*Предпосылки!AR101*(1+Чувствительность!$D$24)*IFERROR(LOOKUP(Предпосылки!$J101,$C$13:$C$15,AJ$13:AJ$15),1)</f>
        <v>0</v>
      </c>
      <c s="125">
        <f>Предпосылки!$I101*Предпосылки!AS101*(1+Чувствительность!$D$24)*IFERROR(LOOKUP(Предпосылки!$J101,$C$13:$C$15,AK$13:AK$15),1)</f>
        <v>0</v>
      </c>
      <c s="125">
        <f>Предпосылки!$I101*Предпосылки!AT101*(1+Чувствительность!$D$24)*IFERROR(LOOKUP(Предпосылки!$J101,$C$13:$C$15,AL$13:AL$15),1)</f>
        <v>0</v>
      </c>
      <c s="125">
        <f>Предпосылки!$I101*Предпосылки!AU101*(1+Чувствительность!$D$24)*IFERROR(LOOKUP(Предпосылки!$J101,$C$13:$C$15,AM$13:AM$15),1)</f>
        <v>0</v>
      </c>
      <c s="125">
        <f>Предпосылки!$I101*Предпосылки!AV101*(1+Чувствительность!$D$24)*IFERROR(LOOKUP(Предпосылки!$J101,$C$13:$C$15,AN$13:AN$15),1)</f>
        <v>0</v>
      </c>
      <c s="125">
        <f>Предпосылки!$I101*Предпосылки!AW101*(1+Чувствительность!$D$24)*IFERROR(LOOKUP(Предпосылки!$J101,$C$13:$C$15,AO$13:AO$15),1)</f>
        <v>0</v>
      </c>
      <c s="125">
        <f>Предпосылки!$I101*Предпосылки!AX101*(1+Чувствительность!$D$24)*IFERROR(LOOKUP(Предпосылки!$J101,$C$13:$C$15,AP$13:AP$15),1)</f>
        <v>0</v>
      </c>
      <c s="125">
        <f>Предпосылки!$I101*Предпосылки!AY101*(1+Чувствительность!$D$24)*IFERROR(LOOKUP(Предпосылки!$J101,$C$13:$C$15,AQ$13:AQ$15),1)</f>
        <v>0</v>
      </c>
      <c s="125">
        <f>Предпосылки!$I101*Предпосылки!AZ101*(1+Чувствительность!$D$24)*IFERROR(LOOKUP(Предпосылки!$J101,$C$13:$C$15,AR$13:AR$15),1)</f>
        <v>0</v>
      </c>
      <c s="125">
        <f>Предпосылки!$I101*Предпосылки!BA101*(1+Чувствительность!$D$24)*IFERROR(LOOKUP(Предпосылки!$J101,$C$13:$C$15,AS$13:AS$15),1)</f>
        <v>0</v>
      </c>
      <c s="125">
        <f>Предпосылки!$I101*Предпосылки!BB101*(1+Чувствительность!$D$24)*IFERROR(LOOKUP(Предпосылки!$J101,$C$13:$C$15,AT$13:AT$15),1)</f>
        <v>0</v>
      </c>
      <c s="125">
        <f>Предпосылки!$I101*Предпосылки!BC101*(1+Чувствительность!$D$24)*IFERROR(LOOKUP(Предпосылки!$J101,$C$13:$C$15,AU$13:AU$15),1)</f>
        <v>0</v>
      </c>
      <c s="125">
        <f>Предпосылки!$I101*Предпосылки!BD101*(1+Чувствительность!$D$24)*IFERROR(LOOKUP(Предпосылки!$J101,$C$13:$C$15,AV$13:AV$15),1)</f>
        <v>0</v>
      </c>
      <c s="125">
        <f>Предпосылки!$I101*Предпосылки!BE101*(1+Чувствительность!$D$24)*IFERROR(LOOKUP(Предпосылки!$J101,$C$13:$C$15,AW$13:AW$15),1)</f>
        <v>0</v>
      </c>
      <c s="125">
        <f>Предпосылки!$I101*Предпосылки!BF101*(1+Чувствительность!$D$24)*IFERROR(LOOKUP(Предпосылки!$J101,$C$13:$C$15,AX$13:AX$15),1)</f>
        <v>0</v>
      </c>
      <c s="125">
        <f>Предпосылки!$I101*Предпосылки!BG101*(1+Чувствительность!$D$24)*IFERROR(LOOKUP(Предпосылки!$J101,$C$13:$C$15,AY$13:AY$15),1)</f>
        <v>0</v>
      </c>
      <c s="125">
        <f>Предпосылки!$I101*Предпосылки!BH101*(1+Чувствительность!$D$24)*IFERROR(LOOKUP(Предпосылки!$J101,$C$13:$C$15,AZ$13:AZ$15),1)</f>
        <v>0</v>
      </c>
      <c s="125">
        <f>Предпосылки!$I101*Предпосылки!BI101*(1+Чувствительность!$D$24)*IFERROR(LOOKUP(Предпосылки!$J101,$C$13:$C$15,BA$13:BA$15),1)</f>
        <v>0</v>
      </c>
      <c s="125">
        <f>Предпосылки!$I101*Предпосылки!BJ101*(1+Чувствительность!$D$24)*IFERROR(LOOKUP(Предпосылки!$J101,$C$13:$C$15,BB$13:BB$15),1)</f>
        <v>0</v>
      </c>
      <c s="125">
        <f>Предпосылки!$I101*Предпосылки!BK101*(1+Чувствительность!$D$24)*IFERROR(LOOKUP(Предпосылки!$J101,$C$13:$C$15,BC$13:BC$15),1)</f>
        <v>0</v>
      </c>
      <c s="125">
        <f>Предпосылки!$I101*Предпосылки!BL101*(1+Чувствительность!$D$24)*IFERROR(LOOKUP(Предпосылки!$J101,$C$13:$C$15,BD$13:BD$15),1)</f>
        <v>0</v>
      </c>
      <c s="125">
        <f>Предпосылки!$I101*Предпосылки!BM101*(1+Чувствительность!$D$24)*IFERROR(LOOKUP(Предпосылки!$J101,$C$13:$C$15,BE$13:BE$15),1)</f>
        <v>0</v>
      </c>
      <c s="125">
        <f>Предпосылки!$I101*Предпосылки!BN101*(1+Чувствительность!$D$24)*IFERROR(LOOKUP(Предпосылки!$J101,$C$13:$C$15,BF$13:BF$15),1)</f>
        <v>0</v>
      </c>
      <c s="125">
        <f>Предпосылки!$I101*Предпосылки!BO101*(1+Чувствительность!$D$24)*IFERROR(LOOKUP(Предпосылки!$J101,$C$13:$C$15,BG$13:BG$15),1)</f>
        <v>0</v>
      </c>
      <c s="125">
        <f>Предпосылки!$I101*Предпосылки!BP101*(1+Чувствительность!$D$24)*IFERROR(LOOKUP(Предпосылки!$J101,$C$13:$C$15,BH$13:BH$15),1)</f>
        <v>0</v>
      </c>
      <c s="125">
        <f>Предпосылки!$I101*Предпосылки!BQ101*(1+Чувствительность!$D$24)*IFERROR(LOOKUP(Предпосылки!$J101,$C$13:$C$15,BI$13:BI$15),1)</f>
        <v>0</v>
      </c>
      <c s="125">
        <f>Предпосылки!$I101*Предпосылки!BR101*(1+Чувствительность!$D$24)*IFERROR(LOOKUP(Предпосылки!$J101,$C$13:$C$15,BJ$13:BJ$15),1)</f>
        <v>0</v>
      </c>
      <c s="125">
        <f>Предпосылки!$I101*Предпосылки!BS101*(1+Чувствительность!$D$24)*IFERROR(LOOKUP(Предпосылки!$J101,$C$13:$C$15,BK$13:BK$15),1)</f>
        <v>0</v>
      </c>
      <c s="125">
        <f>Предпосылки!$I101*Предпосылки!BT101*(1+Чувствительность!$D$24)*IFERROR(LOOKUP(Предпосылки!$J101,$C$13:$C$15,BL$13:BL$15),1)</f>
        <v>0</v>
      </c>
      <c s="125">
        <f>Предпосылки!$I101*Предпосылки!BU101*(1+Чувствительность!$D$24)*IFERROR(LOOKUP(Предпосылки!$J101,$C$13:$C$15,BM$13:BM$15),1)</f>
        <v>0</v>
      </c>
    </row>
    <row r="87" spans="2:65" ht="15" customHeight="1">
      <c r="B87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Предпосылки!$I102*Предпосылки!M102*(1+Чувствительность!$D$24)*IFERROR(LOOKUP(Предпосылки!$J102,$C$13:$C$15,E$13:E$15),1)</f>
        <v>0</v>
      </c>
      <c s="125">
        <f>Предпосылки!$I102*Предпосылки!N102*(1+Чувствительность!$D$24)*IFERROR(LOOKUP(Предпосылки!$J102,$C$13:$C$15,F$13:F$15),1)</f>
        <v>0</v>
      </c>
      <c s="125">
        <f>Предпосылки!$I102*Предпосылки!O102*(1+Чувствительность!$D$24)*IFERROR(LOOKUP(Предпосылки!$J102,$C$13:$C$15,G$13:G$15),1)</f>
        <v>0</v>
      </c>
      <c s="125">
        <f>Предпосылки!$I102*Предпосылки!P102*(1+Чувствительность!$D$24)*IFERROR(LOOKUP(Предпосылки!$J102,$C$13:$C$15,H$13:H$15),1)</f>
        <v>0</v>
      </c>
      <c s="125">
        <f>Предпосылки!$I102*Предпосылки!Q102*(1+Чувствительность!$D$24)*IFERROR(LOOKUP(Предпосылки!$J102,$C$13:$C$15,I$13:I$15),1)</f>
        <v>0</v>
      </c>
      <c s="125">
        <f>Предпосылки!$I102*Предпосылки!R102*(1+Чувствительность!$D$24)*IFERROR(LOOKUP(Предпосылки!$J102,$C$13:$C$15,J$13:J$15),1)</f>
        <v>0</v>
      </c>
      <c s="125">
        <f>Предпосылки!$I102*Предпосылки!S102*(1+Чувствительность!$D$24)*IFERROR(LOOKUP(Предпосылки!$J102,$C$13:$C$15,K$13:K$15),1)</f>
        <v>0</v>
      </c>
      <c s="125">
        <f>Предпосылки!$I102*Предпосылки!T102*(1+Чувствительность!$D$24)*IFERROR(LOOKUP(Предпосылки!$J102,$C$13:$C$15,L$13:L$15),1)</f>
        <v>0</v>
      </c>
      <c s="125">
        <f>Предпосылки!$I102*Предпосылки!U102*(1+Чувствительность!$D$24)*IFERROR(LOOKUP(Предпосылки!$J102,$C$13:$C$15,M$13:M$15),1)</f>
        <v>0</v>
      </c>
      <c s="125">
        <f>Предпосылки!$I102*Предпосылки!V102*(1+Чувствительность!$D$24)*IFERROR(LOOKUP(Предпосылки!$J102,$C$13:$C$15,N$13:N$15),1)</f>
        <v>0</v>
      </c>
      <c s="125">
        <f>Предпосылки!$I102*Предпосылки!W102*(1+Чувствительность!$D$24)*IFERROR(LOOKUP(Предпосылки!$J102,$C$13:$C$15,O$13:O$15),1)</f>
        <v>0</v>
      </c>
      <c s="125">
        <f>Предпосылки!$I102*Предпосылки!X102*(1+Чувствительность!$D$24)*IFERROR(LOOKUP(Предпосылки!$J102,$C$13:$C$15,P$13:P$15),1)</f>
        <v>0</v>
      </c>
      <c s="125">
        <f>Предпосылки!$I102*Предпосылки!Y102*(1+Чувствительность!$D$24)*IFERROR(LOOKUP(Предпосылки!$J102,$C$13:$C$15,Q$13:Q$15),1)</f>
        <v>0</v>
      </c>
      <c s="125">
        <f>Предпосылки!$I102*Предпосылки!Z102*(1+Чувствительность!$D$24)*IFERROR(LOOKUP(Предпосылки!$J102,$C$13:$C$15,R$13:R$15),1)</f>
        <v>0</v>
      </c>
      <c s="125">
        <f>Предпосылки!$I102*Предпосылки!AA102*(1+Чувствительность!$D$24)*IFERROR(LOOKUP(Предпосылки!$J102,$C$13:$C$15,S$13:S$15),1)</f>
        <v>0</v>
      </c>
      <c s="125">
        <f>Предпосылки!$I102*Предпосылки!AB102*(1+Чувствительность!$D$24)*IFERROR(LOOKUP(Предпосылки!$J102,$C$13:$C$15,T$13:T$15),1)</f>
        <v>0</v>
      </c>
      <c s="125">
        <f>Предпосылки!$I102*Предпосылки!AC102*(1+Чувствительность!$D$24)*IFERROR(LOOKUP(Предпосылки!$J102,$C$13:$C$15,U$13:U$15),1)</f>
        <v>0</v>
      </c>
      <c s="125">
        <f>Предпосылки!$I102*Предпосылки!AD102*(1+Чувствительность!$D$24)*IFERROR(LOOKUP(Предпосылки!$J102,$C$13:$C$15,V$13:V$15),1)</f>
        <v>0</v>
      </c>
      <c s="125">
        <f>Предпосылки!$I102*Предпосылки!AE102*(1+Чувствительность!$D$24)*IFERROR(LOOKUP(Предпосылки!$J102,$C$13:$C$15,W$13:W$15),1)</f>
        <v>0</v>
      </c>
      <c s="125">
        <f>Предпосылки!$I102*Предпосылки!AF102*(1+Чувствительность!$D$24)*IFERROR(LOOKUP(Предпосылки!$J102,$C$13:$C$15,X$13:X$15),1)</f>
        <v>0</v>
      </c>
      <c s="125">
        <f>Предпосылки!$I102*Предпосылки!AG102*(1+Чувствительность!$D$24)*IFERROR(LOOKUP(Предпосылки!$J102,$C$13:$C$15,Y$13:Y$15),1)</f>
        <v>0</v>
      </c>
      <c s="125">
        <f>Предпосылки!$I102*Предпосылки!AH102*(1+Чувствительность!$D$24)*IFERROR(LOOKUP(Предпосылки!$J102,$C$13:$C$15,Z$13:Z$15),1)</f>
        <v>0</v>
      </c>
      <c s="125">
        <f>Предпосылки!$I102*Предпосылки!AI102*(1+Чувствительность!$D$24)*IFERROR(LOOKUP(Предпосылки!$J102,$C$13:$C$15,AA$13:AA$15),1)</f>
        <v>0</v>
      </c>
      <c s="125">
        <f>Предпосылки!$I102*Предпосылки!AJ102*(1+Чувствительность!$D$24)*IFERROR(LOOKUP(Предпосылки!$J102,$C$13:$C$15,AB$13:AB$15),1)</f>
        <v>0</v>
      </c>
      <c s="125">
        <f>Предпосылки!$I102*Предпосылки!AK102*(1+Чувствительность!$D$24)*IFERROR(LOOKUP(Предпосылки!$J102,$C$13:$C$15,AC$13:AC$15),1)</f>
        <v>0</v>
      </c>
      <c s="125">
        <f>Предпосылки!$I102*Предпосылки!AL102*(1+Чувствительность!$D$24)*IFERROR(LOOKUP(Предпосылки!$J102,$C$13:$C$15,AD$13:AD$15),1)</f>
        <v>0</v>
      </c>
      <c s="125">
        <f>Предпосылки!$I102*Предпосылки!AM102*(1+Чувствительность!$D$24)*IFERROR(LOOKUP(Предпосылки!$J102,$C$13:$C$15,AE$13:AE$15),1)</f>
        <v>0</v>
      </c>
      <c s="125">
        <f>Предпосылки!$I102*Предпосылки!AN102*(1+Чувствительность!$D$24)*IFERROR(LOOKUP(Предпосылки!$J102,$C$13:$C$15,AF$13:AF$15),1)</f>
        <v>0</v>
      </c>
      <c s="125">
        <f>Предпосылки!$I102*Предпосылки!AO102*(1+Чувствительность!$D$24)*IFERROR(LOOKUP(Предпосылки!$J102,$C$13:$C$15,AG$13:AG$15),1)</f>
        <v>0</v>
      </c>
      <c s="125">
        <f>Предпосылки!$I102*Предпосылки!AP102*(1+Чувствительность!$D$24)*IFERROR(LOOKUP(Предпосылки!$J102,$C$13:$C$15,AH$13:AH$15),1)</f>
        <v>0</v>
      </c>
      <c s="125">
        <f>Предпосылки!$I102*Предпосылки!AQ102*(1+Чувствительность!$D$24)*IFERROR(LOOKUP(Предпосылки!$J102,$C$13:$C$15,AI$13:AI$15),1)</f>
        <v>0</v>
      </c>
      <c s="125">
        <f>Предпосылки!$I102*Предпосылки!AR102*(1+Чувствительность!$D$24)*IFERROR(LOOKUP(Предпосылки!$J102,$C$13:$C$15,AJ$13:AJ$15),1)</f>
        <v>0</v>
      </c>
      <c s="125">
        <f>Предпосылки!$I102*Предпосылки!AS102*(1+Чувствительность!$D$24)*IFERROR(LOOKUP(Предпосылки!$J102,$C$13:$C$15,AK$13:AK$15),1)</f>
        <v>0</v>
      </c>
      <c s="125">
        <f>Предпосылки!$I102*Предпосылки!AT102*(1+Чувствительность!$D$24)*IFERROR(LOOKUP(Предпосылки!$J102,$C$13:$C$15,AL$13:AL$15),1)</f>
        <v>0</v>
      </c>
      <c s="125">
        <f>Предпосылки!$I102*Предпосылки!AU102*(1+Чувствительность!$D$24)*IFERROR(LOOKUP(Предпосылки!$J102,$C$13:$C$15,AM$13:AM$15),1)</f>
        <v>0</v>
      </c>
      <c s="125">
        <f>Предпосылки!$I102*Предпосылки!AV102*(1+Чувствительность!$D$24)*IFERROR(LOOKUP(Предпосылки!$J102,$C$13:$C$15,AN$13:AN$15),1)</f>
        <v>0</v>
      </c>
      <c s="125">
        <f>Предпосылки!$I102*Предпосылки!AW102*(1+Чувствительность!$D$24)*IFERROR(LOOKUP(Предпосылки!$J102,$C$13:$C$15,AO$13:AO$15),1)</f>
        <v>0</v>
      </c>
      <c s="125">
        <f>Предпосылки!$I102*Предпосылки!AX102*(1+Чувствительность!$D$24)*IFERROR(LOOKUP(Предпосылки!$J102,$C$13:$C$15,AP$13:AP$15),1)</f>
        <v>0</v>
      </c>
      <c s="125">
        <f>Предпосылки!$I102*Предпосылки!AY102*(1+Чувствительность!$D$24)*IFERROR(LOOKUP(Предпосылки!$J102,$C$13:$C$15,AQ$13:AQ$15),1)</f>
        <v>0</v>
      </c>
      <c s="125">
        <f>Предпосылки!$I102*Предпосылки!AZ102*(1+Чувствительность!$D$24)*IFERROR(LOOKUP(Предпосылки!$J102,$C$13:$C$15,AR$13:AR$15),1)</f>
        <v>0</v>
      </c>
      <c s="125">
        <f>Предпосылки!$I102*Предпосылки!BA102*(1+Чувствительность!$D$24)*IFERROR(LOOKUP(Предпосылки!$J102,$C$13:$C$15,AS$13:AS$15),1)</f>
        <v>0</v>
      </c>
      <c s="125">
        <f>Предпосылки!$I102*Предпосылки!BB102*(1+Чувствительность!$D$24)*IFERROR(LOOKUP(Предпосылки!$J102,$C$13:$C$15,AT$13:AT$15),1)</f>
        <v>0</v>
      </c>
      <c s="125">
        <f>Предпосылки!$I102*Предпосылки!BC102*(1+Чувствительность!$D$24)*IFERROR(LOOKUP(Предпосылки!$J102,$C$13:$C$15,AU$13:AU$15),1)</f>
        <v>0</v>
      </c>
      <c s="125">
        <f>Предпосылки!$I102*Предпосылки!BD102*(1+Чувствительность!$D$24)*IFERROR(LOOKUP(Предпосылки!$J102,$C$13:$C$15,AV$13:AV$15),1)</f>
        <v>0</v>
      </c>
      <c s="125">
        <f>Предпосылки!$I102*Предпосылки!BE102*(1+Чувствительность!$D$24)*IFERROR(LOOKUP(Предпосылки!$J102,$C$13:$C$15,AW$13:AW$15),1)</f>
        <v>0</v>
      </c>
      <c s="125">
        <f>Предпосылки!$I102*Предпосылки!BF102*(1+Чувствительность!$D$24)*IFERROR(LOOKUP(Предпосылки!$J102,$C$13:$C$15,AX$13:AX$15),1)</f>
        <v>0</v>
      </c>
      <c s="125">
        <f>Предпосылки!$I102*Предпосылки!BG102*(1+Чувствительность!$D$24)*IFERROR(LOOKUP(Предпосылки!$J102,$C$13:$C$15,AY$13:AY$15),1)</f>
        <v>0</v>
      </c>
      <c s="125">
        <f>Предпосылки!$I102*Предпосылки!BH102*(1+Чувствительность!$D$24)*IFERROR(LOOKUP(Предпосылки!$J102,$C$13:$C$15,AZ$13:AZ$15),1)</f>
        <v>0</v>
      </c>
      <c s="125">
        <f>Предпосылки!$I102*Предпосылки!BI102*(1+Чувствительность!$D$24)*IFERROR(LOOKUP(Предпосылки!$J102,$C$13:$C$15,BA$13:BA$15),1)</f>
        <v>0</v>
      </c>
      <c s="125">
        <f>Предпосылки!$I102*Предпосылки!BJ102*(1+Чувствительность!$D$24)*IFERROR(LOOKUP(Предпосылки!$J102,$C$13:$C$15,BB$13:BB$15),1)</f>
        <v>0</v>
      </c>
      <c s="125">
        <f>Предпосылки!$I102*Предпосылки!BK102*(1+Чувствительность!$D$24)*IFERROR(LOOKUP(Предпосылки!$J102,$C$13:$C$15,BC$13:BC$15),1)</f>
        <v>0</v>
      </c>
      <c s="125">
        <f>Предпосылки!$I102*Предпосылки!BL102*(1+Чувствительность!$D$24)*IFERROR(LOOKUP(Предпосылки!$J102,$C$13:$C$15,BD$13:BD$15),1)</f>
        <v>0</v>
      </c>
      <c s="125">
        <f>Предпосылки!$I102*Предпосылки!BM102*(1+Чувствительность!$D$24)*IFERROR(LOOKUP(Предпосылки!$J102,$C$13:$C$15,BE$13:BE$15),1)</f>
        <v>0</v>
      </c>
      <c s="125">
        <f>Предпосылки!$I102*Предпосылки!BN102*(1+Чувствительность!$D$24)*IFERROR(LOOKUP(Предпосылки!$J102,$C$13:$C$15,BF$13:BF$15),1)</f>
        <v>0</v>
      </c>
      <c s="125">
        <f>Предпосылки!$I102*Предпосылки!BO102*(1+Чувствительность!$D$24)*IFERROR(LOOKUP(Предпосылки!$J102,$C$13:$C$15,BG$13:BG$15),1)</f>
        <v>0</v>
      </c>
      <c s="125">
        <f>Предпосылки!$I102*Предпосылки!BP102*(1+Чувствительность!$D$24)*IFERROR(LOOKUP(Предпосылки!$J102,$C$13:$C$15,BH$13:BH$15),1)</f>
        <v>0</v>
      </c>
      <c s="125">
        <f>Предпосылки!$I102*Предпосылки!BQ102*(1+Чувствительность!$D$24)*IFERROR(LOOKUP(Предпосылки!$J102,$C$13:$C$15,BI$13:BI$15),1)</f>
        <v>0</v>
      </c>
      <c s="125">
        <f>Предпосылки!$I102*Предпосылки!BR102*(1+Чувствительность!$D$24)*IFERROR(LOOKUP(Предпосылки!$J102,$C$13:$C$15,BJ$13:BJ$15),1)</f>
        <v>0</v>
      </c>
      <c s="125">
        <f>Предпосылки!$I102*Предпосылки!BS102*(1+Чувствительность!$D$24)*IFERROR(LOOKUP(Предпосылки!$J102,$C$13:$C$15,BK$13:BK$15),1)</f>
        <v>0</v>
      </c>
      <c s="125">
        <f>Предпосылки!$I102*Предпосылки!BT102*(1+Чувствительность!$D$24)*IFERROR(LOOKUP(Предпосылки!$J102,$C$13:$C$15,BL$13:BL$15),1)</f>
        <v>0</v>
      </c>
      <c s="125">
        <f>Предпосылки!$I102*Предпосылки!BU102*(1+Чувствительность!$D$24)*IFERROR(LOOKUP(Предпосылки!$J102,$C$13:$C$15,BM$13:BM$15),1)</f>
        <v>0</v>
      </c>
    </row>
    <row r="88" spans="2:65" ht="15" customHeight="1">
      <c r="B88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Предпосылки!$I103*Предпосылки!M103*(1+Чувствительность!$D$24)*IFERROR(LOOKUP(Предпосылки!$J103,$C$13:$C$15,E$13:E$15),1)</f>
        <v>0</v>
      </c>
      <c s="125">
        <f>Предпосылки!$I103*Предпосылки!N103*(1+Чувствительность!$D$24)*IFERROR(LOOKUP(Предпосылки!$J103,$C$13:$C$15,F$13:F$15),1)</f>
        <v>0</v>
      </c>
      <c s="125">
        <f>Предпосылки!$I103*Предпосылки!O103*(1+Чувствительность!$D$24)*IFERROR(LOOKUP(Предпосылки!$J103,$C$13:$C$15,G$13:G$15),1)</f>
        <v>0</v>
      </c>
      <c s="125">
        <f>Предпосылки!$I103*Предпосылки!P103*(1+Чувствительность!$D$24)*IFERROR(LOOKUP(Предпосылки!$J103,$C$13:$C$15,H$13:H$15),1)</f>
        <v>0</v>
      </c>
      <c s="125">
        <f>Предпосылки!$I103*Предпосылки!Q103*(1+Чувствительность!$D$24)*IFERROR(LOOKUP(Предпосылки!$J103,$C$13:$C$15,I$13:I$15),1)</f>
        <v>0</v>
      </c>
      <c s="125">
        <f>Предпосылки!$I103*Предпосылки!R103*(1+Чувствительность!$D$24)*IFERROR(LOOKUP(Предпосылки!$J103,$C$13:$C$15,J$13:J$15),1)</f>
        <v>0</v>
      </c>
      <c s="125">
        <f>Предпосылки!$I103*Предпосылки!S103*(1+Чувствительность!$D$24)*IFERROR(LOOKUP(Предпосылки!$J103,$C$13:$C$15,K$13:K$15),1)</f>
        <v>0</v>
      </c>
      <c s="125">
        <f>Предпосылки!$I103*Предпосылки!T103*(1+Чувствительность!$D$24)*IFERROR(LOOKUP(Предпосылки!$J103,$C$13:$C$15,L$13:L$15),1)</f>
        <v>0</v>
      </c>
      <c s="125">
        <f>Предпосылки!$I103*Предпосылки!U103*(1+Чувствительность!$D$24)*IFERROR(LOOKUP(Предпосылки!$J103,$C$13:$C$15,M$13:M$15),1)</f>
        <v>0</v>
      </c>
      <c s="125">
        <f>Предпосылки!$I103*Предпосылки!V103*(1+Чувствительность!$D$24)*IFERROR(LOOKUP(Предпосылки!$J103,$C$13:$C$15,N$13:N$15),1)</f>
        <v>0</v>
      </c>
      <c s="125">
        <f>Предпосылки!$I103*Предпосылки!W103*(1+Чувствительность!$D$24)*IFERROR(LOOKUP(Предпосылки!$J103,$C$13:$C$15,O$13:O$15),1)</f>
        <v>0</v>
      </c>
      <c s="125">
        <f>Предпосылки!$I103*Предпосылки!X103*(1+Чувствительность!$D$24)*IFERROR(LOOKUP(Предпосылки!$J103,$C$13:$C$15,P$13:P$15),1)</f>
        <v>0</v>
      </c>
      <c s="125">
        <f>Предпосылки!$I103*Предпосылки!Y103*(1+Чувствительность!$D$24)*IFERROR(LOOKUP(Предпосылки!$J103,$C$13:$C$15,Q$13:Q$15),1)</f>
        <v>0</v>
      </c>
      <c s="125">
        <f>Предпосылки!$I103*Предпосылки!Z103*(1+Чувствительность!$D$24)*IFERROR(LOOKUP(Предпосылки!$J103,$C$13:$C$15,R$13:R$15),1)</f>
        <v>0</v>
      </c>
      <c s="125">
        <f>Предпосылки!$I103*Предпосылки!AA103*(1+Чувствительность!$D$24)*IFERROR(LOOKUP(Предпосылки!$J103,$C$13:$C$15,S$13:S$15),1)</f>
        <v>0</v>
      </c>
      <c s="125">
        <f>Предпосылки!$I103*Предпосылки!AB103*(1+Чувствительность!$D$24)*IFERROR(LOOKUP(Предпосылки!$J103,$C$13:$C$15,T$13:T$15),1)</f>
        <v>0</v>
      </c>
      <c s="125">
        <f>Предпосылки!$I103*Предпосылки!AC103*(1+Чувствительность!$D$24)*IFERROR(LOOKUP(Предпосылки!$J103,$C$13:$C$15,U$13:U$15),1)</f>
        <v>0</v>
      </c>
      <c s="125">
        <f>Предпосылки!$I103*Предпосылки!AD103*(1+Чувствительность!$D$24)*IFERROR(LOOKUP(Предпосылки!$J103,$C$13:$C$15,V$13:V$15),1)</f>
        <v>0</v>
      </c>
      <c s="125">
        <f>Предпосылки!$I103*Предпосылки!AE103*(1+Чувствительность!$D$24)*IFERROR(LOOKUP(Предпосылки!$J103,$C$13:$C$15,W$13:W$15),1)</f>
        <v>0</v>
      </c>
      <c s="125">
        <f>Предпосылки!$I103*Предпосылки!AF103*(1+Чувствительность!$D$24)*IFERROR(LOOKUP(Предпосылки!$J103,$C$13:$C$15,X$13:X$15),1)</f>
        <v>0</v>
      </c>
      <c s="125">
        <f>Предпосылки!$I103*Предпосылки!AG103*(1+Чувствительность!$D$24)*IFERROR(LOOKUP(Предпосылки!$J103,$C$13:$C$15,Y$13:Y$15),1)</f>
        <v>0</v>
      </c>
      <c s="125">
        <f>Предпосылки!$I103*Предпосылки!AH103*(1+Чувствительность!$D$24)*IFERROR(LOOKUP(Предпосылки!$J103,$C$13:$C$15,Z$13:Z$15),1)</f>
        <v>0</v>
      </c>
      <c s="125">
        <f>Предпосылки!$I103*Предпосылки!AI103*(1+Чувствительность!$D$24)*IFERROR(LOOKUP(Предпосылки!$J103,$C$13:$C$15,AA$13:AA$15),1)</f>
        <v>0</v>
      </c>
      <c s="125">
        <f>Предпосылки!$I103*Предпосылки!AJ103*(1+Чувствительность!$D$24)*IFERROR(LOOKUP(Предпосылки!$J103,$C$13:$C$15,AB$13:AB$15),1)</f>
        <v>0</v>
      </c>
      <c s="125">
        <f>Предпосылки!$I103*Предпосылки!AK103*(1+Чувствительность!$D$24)*IFERROR(LOOKUP(Предпосылки!$J103,$C$13:$C$15,AC$13:AC$15),1)</f>
        <v>0</v>
      </c>
      <c s="125">
        <f>Предпосылки!$I103*Предпосылки!AL103*(1+Чувствительность!$D$24)*IFERROR(LOOKUP(Предпосылки!$J103,$C$13:$C$15,AD$13:AD$15),1)</f>
        <v>0</v>
      </c>
      <c s="125">
        <f>Предпосылки!$I103*Предпосылки!AM103*(1+Чувствительность!$D$24)*IFERROR(LOOKUP(Предпосылки!$J103,$C$13:$C$15,AE$13:AE$15),1)</f>
        <v>0</v>
      </c>
      <c s="125">
        <f>Предпосылки!$I103*Предпосылки!AN103*(1+Чувствительность!$D$24)*IFERROR(LOOKUP(Предпосылки!$J103,$C$13:$C$15,AF$13:AF$15),1)</f>
        <v>0</v>
      </c>
      <c s="125">
        <f>Предпосылки!$I103*Предпосылки!AO103*(1+Чувствительность!$D$24)*IFERROR(LOOKUP(Предпосылки!$J103,$C$13:$C$15,AG$13:AG$15),1)</f>
        <v>0</v>
      </c>
      <c s="125">
        <f>Предпосылки!$I103*Предпосылки!AP103*(1+Чувствительность!$D$24)*IFERROR(LOOKUP(Предпосылки!$J103,$C$13:$C$15,AH$13:AH$15),1)</f>
        <v>0</v>
      </c>
      <c s="125">
        <f>Предпосылки!$I103*Предпосылки!AQ103*(1+Чувствительность!$D$24)*IFERROR(LOOKUP(Предпосылки!$J103,$C$13:$C$15,AI$13:AI$15),1)</f>
        <v>0</v>
      </c>
      <c s="125">
        <f>Предпосылки!$I103*Предпосылки!AR103*(1+Чувствительность!$D$24)*IFERROR(LOOKUP(Предпосылки!$J103,$C$13:$C$15,AJ$13:AJ$15),1)</f>
        <v>0</v>
      </c>
      <c s="125">
        <f>Предпосылки!$I103*Предпосылки!AS103*(1+Чувствительность!$D$24)*IFERROR(LOOKUP(Предпосылки!$J103,$C$13:$C$15,AK$13:AK$15),1)</f>
        <v>0</v>
      </c>
      <c s="125">
        <f>Предпосылки!$I103*Предпосылки!AT103*(1+Чувствительность!$D$24)*IFERROR(LOOKUP(Предпосылки!$J103,$C$13:$C$15,AL$13:AL$15),1)</f>
        <v>0</v>
      </c>
      <c s="125">
        <f>Предпосылки!$I103*Предпосылки!AU103*(1+Чувствительность!$D$24)*IFERROR(LOOKUP(Предпосылки!$J103,$C$13:$C$15,AM$13:AM$15),1)</f>
        <v>0</v>
      </c>
      <c s="125">
        <f>Предпосылки!$I103*Предпосылки!AV103*(1+Чувствительность!$D$24)*IFERROR(LOOKUP(Предпосылки!$J103,$C$13:$C$15,AN$13:AN$15),1)</f>
        <v>0</v>
      </c>
      <c s="125">
        <f>Предпосылки!$I103*Предпосылки!AW103*(1+Чувствительность!$D$24)*IFERROR(LOOKUP(Предпосылки!$J103,$C$13:$C$15,AO$13:AO$15),1)</f>
        <v>0</v>
      </c>
      <c s="125">
        <f>Предпосылки!$I103*Предпосылки!AX103*(1+Чувствительность!$D$24)*IFERROR(LOOKUP(Предпосылки!$J103,$C$13:$C$15,AP$13:AP$15),1)</f>
        <v>0</v>
      </c>
      <c s="125">
        <f>Предпосылки!$I103*Предпосылки!AY103*(1+Чувствительность!$D$24)*IFERROR(LOOKUP(Предпосылки!$J103,$C$13:$C$15,AQ$13:AQ$15),1)</f>
        <v>0</v>
      </c>
      <c s="125">
        <f>Предпосылки!$I103*Предпосылки!AZ103*(1+Чувствительность!$D$24)*IFERROR(LOOKUP(Предпосылки!$J103,$C$13:$C$15,AR$13:AR$15),1)</f>
        <v>0</v>
      </c>
      <c s="125">
        <f>Предпосылки!$I103*Предпосылки!BA103*(1+Чувствительность!$D$24)*IFERROR(LOOKUP(Предпосылки!$J103,$C$13:$C$15,AS$13:AS$15),1)</f>
        <v>0</v>
      </c>
      <c s="125">
        <f>Предпосылки!$I103*Предпосылки!BB103*(1+Чувствительность!$D$24)*IFERROR(LOOKUP(Предпосылки!$J103,$C$13:$C$15,AT$13:AT$15),1)</f>
        <v>0</v>
      </c>
      <c s="125">
        <f>Предпосылки!$I103*Предпосылки!BC103*(1+Чувствительность!$D$24)*IFERROR(LOOKUP(Предпосылки!$J103,$C$13:$C$15,AU$13:AU$15),1)</f>
        <v>0</v>
      </c>
      <c s="125">
        <f>Предпосылки!$I103*Предпосылки!BD103*(1+Чувствительность!$D$24)*IFERROR(LOOKUP(Предпосылки!$J103,$C$13:$C$15,AV$13:AV$15),1)</f>
        <v>0</v>
      </c>
      <c s="125">
        <f>Предпосылки!$I103*Предпосылки!BE103*(1+Чувствительность!$D$24)*IFERROR(LOOKUP(Предпосылки!$J103,$C$13:$C$15,AW$13:AW$15),1)</f>
        <v>0</v>
      </c>
      <c s="125">
        <f>Предпосылки!$I103*Предпосылки!BF103*(1+Чувствительность!$D$24)*IFERROR(LOOKUP(Предпосылки!$J103,$C$13:$C$15,AX$13:AX$15),1)</f>
        <v>0</v>
      </c>
      <c s="125">
        <f>Предпосылки!$I103*Предпосылки!BG103*(1+Чувствительность!$D$24)*IFERROR(LOOKUP(Предпосылки!$J103,$C$13:$C$15,AY$13:AY$15),1)</f>
        <v>0</v>
      </c>
      <c s="125">
        <f>Предпосылки!$I103*Предпосылки!BH103*(1+Чувствительность!$D$24)*IFERROR(LOOKUP(Предпосылки!$J103,$C$13:$C$15,AZ$13:AZ$15),1)</f>
        <v>0</v>
      </c>
      <c s="125">
        <f>Предпосылки!$I103*Предпосылки!BI103*(1+Чувствительность!$D$24)*IFERROR(LOOKUP(Предпосылки!$J103,$C$13:$C$15,BA$13:BA$15),1)</f>
        <v>0</v>
      </c>
      <c s="125">
        <f>Предпосылки!$I103*Предпосылки!BJ103*(1+Чувствительность!$D$24)*IFERROR(LOOKUP(Предпосылки!$J103,$C$13:$C$15,BB$13:BB$15),1)</f>
        <v>0</v>
      </c>
      <c s="125">
        <f>Предпосылки!$I103*Предпосылки!BK103*(1+Чувствительность!$D$24)*IFERROR(LOOKUP(Предпосылки!$J103,$C$13:$C$15,BC$13:BC$15),1)</f>
        <v>0</v>
      </c>
      <c s="125">
        <f>Предпосылки!$I103*Предпосылки!BL103*(1+Чувствительность!$D$24)*IFERROR(LOOKUP(Предпосылки!$J103,$C$13:$C$15,BD$13:BD$15),1)</f>
        <v>0</v>
      </c>
      <c s="125">
        <f>Предпосылки!$I103*Предпосылки!BM103*(1+Чувствительность!$D$24)*IFERROR(LOOKUP(Предпосылки!$J103,$C$13:$C$15,BE$13:BE$15),1)</f>
        <v>0</v>
      </c>
      <c s="125">
        <f>Предпосылки!$I103*Предпосылки!BN103*(1+Чувствительность!$D$24)*IFERROR(LOOKUP(Предпосылки!$J103,$C$13:$C$15,BF$13:BF$15),1)</f>
        <v>0</v>
      </c>
      <c s="125">
        <f>Предпосылки!$I103*Предпосылки!BO103*(1+Чувствительность!$D$24)*IFERROR(LOOKUP(Предпосылки!$J103,$C$13:$C$15,BG$13:BG$15),1)</f>
        <v>0</v>
      </c>
      <c s="125">
        <f>Предпосылки!$I103*Предпосылки!BP103*(1+Чувствительность!$D$24)*IFERROR(LOOKUP(Предпосылки!$J103,$C$13:$C$15,BH$13:BH$15),1)</f>
        <v>0</v>
      </c>
      <c s="125">
        <f>Предпосылки!$I103*Предпосылки!BQ103*(1+Чувствительность!$D$24)*IFERROR(LOOKUP(Предпосылки!$J103,$C$13:$C$15,BI$13:BI$15),1)</f>
        <v>0</v>
      </c>
      <c s="125">
        <f>Предпосылки!$I103*Предпосылки!BR103*(1+Чувствительность!$D$24)*IFERROR(LOOKUP(Предпосылки!$J103,$C$13:$C$15,BJ$13:BJ$15),1)</f>
        <v>0</v>
      </c>
      <c s="125">
        <f>Предпосылки!$I103*Предпосылки!BS103*(1+Чувствительность!$D$24)*IFERROR(LOOKUP(Предпосылки!$J103,$C$13:$C$15,BK$13:BK$15),1)</f>
        <v>0</v>
      </c>
      <c s="125">
        <f>Предпосылки!$I103*Предпосылки!BT103*(1+Чувствительность!$D$24)*IFERROR(LOOKUP(Предпосылки!$J103,$C$13:$C$15,BL$13:BL$15),1)</f>
        <v>0</v>
      </c>
      <c s="125">
        <f>Предпосылки!$I103*Предпосылки!BU103*(1+Чувствительность!$D$24)*IFERROR(LOOKUP(Предпосылки!$J103,$C$13:$C$15,BM$13:BM$15),1)</f>
        <v>0</v>
      </c>
    </row>
    <row r="89" spans="2:65" ht="15" customHeight="1">
      <c r="B89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Предпосылки!$I104*Предпосылки!M104*(1+Чувствительность!$D$24)*IFERROR(LOOKUP(Предпосылки!$J104,$C$13:$C$15,E$13:E$15),1)</f>
        <v>0</v>
      </c>
      <c s="125">
        <f>Предпосылки!$I104*Предпосылки!N104*(1+Чувствительность!$D$24)*IFERROR(LOOKUP(Предпосылки!$J104,$C$13:$C$15,F$13:F$15),1)</f>
        <v>0</v>
      </c>
      <c s="125">
        <f>Предпосылки!$I104*Предпосылки!O104*(1+Чувствительность!$D$24)*IFERROR(LOOKUP(Предпосылки!$J104,$C$13:$C$15,G$13:G$15),1)</f>
        <v>0</v>
      </c>
      <c s="125">
        <f>Предпосылки!$I104*Предпосылки!P104*(1+Чувствительность!$D$24)*IFERROR(LOOKUP(Предпосылки!$J104,$C$13:$C$15,H$13:H$15),1)</f>
        <v>0</v>
      </c>
      <c s="125">
        <f>Предпосылки!$I104*Предпосылки!Q104*(1+Чувствительность!$D$24)*IFERROR(LOOKUP(Предпосылки!$J104,$C$13:$C$15,I$13:I$15),1)</f>
        <v>0</v>
      </c>
      <c s="125">
        <f>Предпосылки!$I104*Предпосылки!R104*(1+Чувствительность!$D$24)*IFERROR(LOOKUP(Предпосылки!$J104,$C$13:$C$15,J$13:J$15),1)</f>
        <v>0</v>
      </c>
      <c s="125">
        <f>Предпосылки!$I104*Предпосылки!S104*(1+Чувствительность!$D$24)*IFERROR(LOOKUP(Предпосылки!$J104,$C$13:$C$15,K$13:K$15),1)</f>
        <v>0</v>
      </c>
      <c s="125">
        <f>Предпосылки!$I104*Предпосылки!T104*(1+Чувствительность!$D$24)*IFERROR(LOOKUP(Предпосылки!$J104,$C$13:$C$15,L$13:L$15),1)</f>
        <v>0</v>
      </c>
      <c s="125">
        <f>Предпосылки!$I104*Предпосылки!U104*(1+Чувствительность!$D$24)*IFERROR(LOOKUP(Предпосылки!$J104,$C$13:$C$15,M$13:M$15),1)</f>
        <v>0</v>
      </c>
      <c s="125">
        <f>Предпосылки!$I104*Предпосылки!V104*(1+Чувствительность!$D$24)*IFERROR(LOOKUP(Предпосылки!$J104,$C$13:$C$15,N$13:N$15),1)</f>
        <v>0</v>
      </c>
      <c s="125">
        <f>Предпосылки!$I104*Предпосылки!W104*(1+Чувствительность!$D$24)*IFERROR(LOOKUP(Предпосылки!$J104,$C$13:$C$15,O$13:O$15),1)</f>
        <v>0</v>
      </c>
      <c s="125">
        <f>Предпосылки!$I104*Предпосылки!X104*(1+Чувствительность!$D$24)*IFERROR(LOOKUP(Предпосылки!$J104,$C$13:$C$15,P$13:P$15),1)</f>
        <v>0</v>
      </c>
      <c s="125">
        <f>Предпосылки!$I104*Предпосылки!Y104*(1+Чувствительность!$D$24)*IFERROR(LOOKUP(Предпосылки!$J104,$C$13:$C$15,Q$13:Q$15),1)</f>
        <v>0</v>
      </c>
      <c s="125">
        <f>Предпосылки!$I104*Предпосылки!Z104*(1+Чувствительность!$D$24)*IFERROR(LOOKUP(Предпосылки!$J104,$C$13:$C$15,R$13:R$15),1)</f>
        <v>0</v>
      </c>
      <c s="125">
        <f>Предпосылки!$I104*Предпосылки!AA104*(1+Чувствительность!$D$24)*IFERROR(LOOKUP(Предпосылки!$J104,$C$13:$C$15,S$13:S$15),1)</f>
        <v>0</v>
      </c>
      <c s="125">
        <f>Предпосылки!$I104*Предпосылки!AB104*(1+Чувствительность!$D$24)*IFERROR(LOOKUP(Предпосылки!$J104,$C$13:$C$15,T$13:T$15),1)</f>
        <v>0</v>
      </c>
      <c s="125">
        <f>Предпосылки!$I104*Предпосылки!AC104*(1+Чувствительность!$D$24)*IFERROR(LOOKUP(Предпосылки!$J104,$C$13:$C$15,U$13:U$15),1)</f>
        <v>0</v>
      </c>
      <c s="125">
        <f>Предпосылки!$I104*Предпосылки!AD104*(1+Чувствительность!$D$24)*IFERROR(LOOKUP(Предпосылки!$J104,$C$13:$C$15,V$13:V$15),1)</f>
        <v>0</v>
      </c>
      <c s="125">
        <f>Предпосылки!$I104*Предпосылки!AE104*(1+Чувствительность!$D$24)*IFERROR(LOOKUP(Предпосылки!$J104,$C$13:$C$15,W$13:W$15),1)</f>
        <v>0</v>
      </c>
      <c s="125">
        <f>Предпосылки!$I104*Предпосылки!AF104*(1+Чувствительность!$D$24)*IFERROR(LOOKUP(Предпосылки!$J104,$C$13:$C$15,X$13:X$15),1)</f>
        <v>0</v>
      </c>
      <c s="125">
        <f>Предпосылки!$I104*Предпосылки!AG104*(1+Чувствительность!$D$24)*IFERROR(LOOKUP(Предпосылки!$J104,$C$13:$C$15,Y$13:Y$15),1)</f>
        <v>0</v>
      </c>
      <c s="125">
        <f>Предпосылки!$I104*Предпосылки!AH104*(1+Чувствительность!$D$24)*IFERROR(LOOKUP(Предпосылки!$J104,$C$13:$C$15,Z$13:Z$15),1)</f>
        <v>0</v>
      </c>
      <c s="125">
        <f>Предпосылки!$I104*Предпосылки!AI104*(1+Чувствительность!$D$24)*IFERROR(LOOKUP(Предпосылки!$J104,$C$13:$C$15,AA$13:AA$15),1)</f>
        <v>0</v>
      </c>
      <c s="125">
        <f>Предпосылки!$I104*Предпосылки!AJ104*(1+Чувствительность!$D$24)*IFERROR(LOOKUP(Предпосылки!$J104,$C$13:$C$15,AB$13:AB$15),1)</f>
        <v>0</v>
      </c>
      <c s="125">
        <f>Предпосылки!$I104*Предпосылки!AK104*(1+Чувствительность!$D$24)*IFERROR(LOOKUP(Предпосылки!$J104,$C$13:$C$15,AC$13:AC$15),1)</f>
        <v>0</v>
      </c>
      <c s="125">
        <f>Предпосылки!$I104*Предпосылки!AL104*(1+Чувствительность!$D$24)*IFERROR(LOOKUP(Предпосылки!$J104,$C$13:$C$15,AD$13:AD$15),1)</f>
        <v>0</v>
      </c>
      <c s="125">
        <f>Предпосылки!$I104*Предпосылки!AM104*(1+Чувствительность!$D$24)*IFERROR(LOOKUP(Предпосылки!$J104,$C$13:$C$15,AE$13:AE$15),1)</f>
        <v>0</v>
      </c>
      <c s="125">
        <f>Предпосылки!$I104*Предпосылки!AN104*(1+Чувствительность!$D$24)*IFERROR(LOOKUP(Предпосылки!$J104,$C$13:$C$15,AF$13:AF$15),1)</f>
        <v>0</v>
      </c>
      <c s="125">
        <f>Предпосылки!$I104*Предпосылки!AO104*(1+Чувствительность!$D$24)*IFERROR(LOOKUP(Предпосылки!$J104,$C$13:$C$15,AG$13:AG$15),1)</f>
        <v>0</v>
      </c>
      <c s="125">
        <f>Предпосылки!$I104*Предпосылки!AP104*(1+Чувствительность!$D$24)*IFERROR(LOOKUP(Предпосылки!$J104,$C$13:$C$15,AH$13:AH$15),1)</f>
        <v>0</v>
      </c>
      <c s="125">
        <f>Предпосылки!$I104*Предпосылки!AQ104*(1+Чувствительность!$D$24)*IFERROR(LOOKUP(Предпосылки!$J104,$C$13:$C$15,AI$13:AI$15),1)</f>
        <v>0</v>
      </c>
      <c s="125">
        <f>Предпосылки!$I104*Предпосылки!AR104*(1+Чувствительность!$D$24)*IFERROR(LOOKUP(Предпосылки!$J104,$C$13:$C$15,AJ$13:AJ$15),1)</f>
        <v>0</v>
      </c>
      <c s="125">
        <f>Предпосылки!$I104*Предпосылки!AS104*(1+Чувствительность!$D$24)*IFERROR(LOOKUP(Предпосылки!$J104,$C$13:$C$15,AK$13:AK$15),1)</f>
        <v>0</v>
      </c>
      <c s="125">
        <f>Предпосылки!$I104*Предпосылки!AT104*(1+Чувствительность!$D$24)*IFERROR(LOOKUP(Предпосылки!$J104,$C$13:$C$15,AL$13:AL$15),1)</f>
        <v>0</v>
      </c>
      <c s="125">
        <f>Предпосылки!$I104*Предпосылки!AU104*(1+Чувствительность!$D$24)*IFERROR(LOOKUP(Предпосылки!$J104,$C$13:$C$15,AM$13:AM$15),1)</f>
        <v>0</v>
      </c>
      <c s="125">
        <f>Предпосылки!$I104*Предпосылки!AV104*(1+Чувствительность!$D$24)*IFERROR(LOOKUP(Предпосылки!$J104,$C$13:$C$15,AN$13:AN$15),1)</f>
        <v>0</v>
      </c>
      <c s="125">
        <f>Предпосылки!$I104*Предпосылки!AW104*(1+Чувствительность!$D$24)*IFERROR(LOOKUP(Предпосылки!$J104,$C$13:$C$15,AO$13:AO$15),1)</f>
        <v>0</v>
      </c>
      <c s="125">
        <f>Предпосылки!$I104*Предпосылки!AX104*(1+Чувствительность!$D$24)*IFERROR(LOOKUP(Предпосылки!$J104,$C$13:$C$15,AP$13:AP$15),1)</f>
        <v>0</v>
      </c>
      <c s="125">
        <f>Предпосылки!$I104*Предпосылки!AY104*(1+Чувствительность!$D$24)*IFERROR(LOOKUP(Предпосылки!$J104,$C$13:$C$15,AQ$13:AQ$15),1)</f>
        <v>0</v>
      </c>
      <c s="125">
        <f>Предпосылки!$I104*Предпосылки!AZ104*(1+Чувствительность!$D$24)*IFERROR(LOOKUP(Предпосылки!$J104,$C$13:$C$15,AR$13:AR$15),1)</f>
        <v>0</v>
      </c>
      <c s="125">
        <f>Предпосылки!$I104*Предпосылки!BA104*(1+Чувствительность!$D$24)*IFERROR(LOOKUP(Предпосылки!$J104,$C$13:$C$15,AS$13:AS$15),1)</f>
        <v>0</v>
      </c>
      <c s="125">
        <f>Предпосылки!$I104*Предпосылки!BB104*(1+Чувствительность!$D$24)*IFERROR(LOOKUP(Предпосылки!$J104,$C$13:$C$15,AT$13:AT$15),1)</f>
        <v>0</v>
      </c>
      <c s="125">
        <f>Предпосылки!$I104*Предпосылки!BC104*(1+Чувствительность!$D$24)*IFERROR(LOOKUP(Предпосылки!$J104,$C$13:$C$15,AU$13:AU$15),1)</f>
        <v>0</v>
      </c>
      <c s="125">
        <f>Предпосылки!$I104*Предпосылки!BD104*(1+Чувствительность!$D$24)*IFERROR(LOOKUP(Предпосылки!$J104,$C$13:$C$15,AV$13:AV$15),1)</f>
        <v>0</v>
      </c>
      <c s="125">
        <f>Предпосылки!$I104*Предпосылки!BE104*(1+Чувствительность!$D$24)*IFERROR(LOOKUP(Предпосылки!$J104,$C$13:$C$15,AW$13:AW$15),1)</f>
        <v>0</v>
      </c>
      <c s="125">
        <f>Предпосылки!$I104*Предпосылки!BF104*(1+Чувствительность!$D$24)*IFERROR(LOOKUP(Предпосылки!$J104,$C$13:$C$15,AX$13:AX$15),1)</f>
        <v>0</v>
      </c>
      <c s="125">
        <f>Предпосылки!$I104*Предпосылки!BG104*(1+Чувствительность!$D$24)*IFERROR(LOOKUP(Предпосылки!$J104,$C$13:$C$15,AY$13:AY$15),1)</f>
        <v>0</v>
      </c>
      <c s="125">
        <f>Предпосылки!$I104*Предпосылки!BH104*(1+Чувствительность!$D$24)*IFERROR(LOOKUP(Предпосылки!$J104,$C$13:$C$15,AZ$13:AZ$15),1)</f>
        <v>0</v>
      </c>
      <c s="125">
        <f>Предпосылки!$I104*Предпосылки!BI104*(1+Чувствительность!$D$24)*IFERROR(LOOKUP(Предпосылки!$J104,$C$13:$C$15,BA$13:BA$15),1)</f>
        <v>0</v>
      </c>
      <c s="125">
        <f>Предпосылки!$I104*Предпосылки!BJ104*(1+Чувствительность!$D$24)*IFERROR(LOOKUP(Предпосылки!$J104,$C$13:$C$15,BB$13:BB$15),1)</f>
        <v>0</v>
      </c>
      <c s="125">
        <f>Предпосылки!$I104*Предпосылки!BK104*(1+Чувствительность!$D$24)*IFERROR(LOOKUP(Предпосылки!$J104,$C$13:$C$15,BC$13:BC$15),1)</f>
        <v>0</v>
      </c>
      <c s="125">
        <f>Предпосылки!$I104*Предпосылки!BL104*(1+Чувствительность!$D$24)*IFERROR(LOOKUP(Предпосылки!$J104,$C$13:$C$15,BD$13:BD$15),1)</f>
        <v>0</v>
      </c>
      <c s="125">
        <f>Предпосылки!$I104*Предпосылки!BM104*(1+Чувствительность!$D$24)*IFERROR(LOOKUP(Предпосылки!$J104,$C$13:$C$15,BE$13:BE$15),1)</f>
        <v>0</v>
      </c>
      <c s="125">
        <f>Предпосылки!$I104*Предпосылки!BN104*(1+Чувствительность!$D$24)*IFERROR(LOOKUP(Предпосылки!$J104,$C$13:$C$15,BF$13:BF$15),1)</f>
        <v>0</v>
      </c>
      <c s="125">
        <f>Предпосылки!$I104*Предпосылки!BO104*(1+Чувствительность!$D$24)*IFERROR(LOOKUP(Предпосылки!$J104,$C$13:$C$15,BG$13:BG$15),1)</f>
        <v>0</v>
      </c>
      <c s="125">
        <f>Предпосылки!$I104*Предпосылки!BP104*(1+Чувствительность!$D$24)*IFERROR(LOOKUP(Предпосылки!$J104,$C$13:$C$15,BH$13:BH$15),1)</f>
        <v>0</v>
      </c>
      <c s="125">
        <f>Предпосылки!$I104*Предпосылки!BQ104*(1+Чувствительность!$D$24)*IFERROR(LOOKUP(Предпосылки!$J104,$C$13:$C$15,BI$13:BI$15),1)</f>
        <v>0</v>
      </c>
      <c s="125">
        <f>Предпосылки!$I104*Предпосылки!BR104*(1+Чувствительность!$D$24)*IFERROR(LOOKUP(Предпосылки!$J104,$C$13:$C$15,BJ$13:BJ$15),1)</f>
        <v>0</v>
      </c>
      <c s="125">
        <f>Предпосылки!$I104*Предпосылки!BS104*(1+Чувствительность!$D$24)*IFERROR(LOOKUP(Предпосылки!$J104,$C$13:$C$15,BK$13:BK$15),1)</f>
        <v>0</v>
      </c>
      <c s="125">
        <f>Предпосылки!$I104*Предпосылки!BT104*(1+Чувствительность!$D$24)*IFERROR(LOOKUP(Предпосылки!$J104,$C$13:$C$15,BL$13:BL$15),1)</f>
        <v>0</v>
      </c>
      <c s="125">
        <f>Предпосылки!$I104*Предпосылки!BU104*(1+Чувствительность!$D$24)*IFERROR(LOOKUP(Предпосылки!$J104,$C$13:$C$15,BM$13:BM$15),1)</f>
        <v>0</v>
      </c>
    </row>
    <row r="90" spans="2:65" ht="15" customHeight="1">
      <c r="B90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Предпосылки!$I105*Предпосылки!M105*(1+Чувствительность!$D$24)*IFERROR(LOOKUP(Предпосылки!$J105,$C$13:$C$15,E$13:E$15),1)</f>
        <v>0</v>
      </c>
      <c s="125">
        <f>Предпосылки!$I105*Предпосылки!N105*(1+Чувствительность!$D$24)*IFERROR(LOOKUP(Предпосылки!$J105,$C$13:$C$15,F$13:F$15),1)</f>
        <v>0</v>
      </c>
      <c s="125">
        <f>Предпосылки!$I105*Предпосылки!O105*(1+Чувствительность!$D$24)*IFERROR(LOOKUP(Предпосылки!$J105,$C$13:$C$15,G$13:G$15),1)</f>
        <v>0</v>
      </c>
      <c s="125">
        <f>Предпосылки!$I105*Предпосылки!P105*(1+Чувствительность!$D$24)*IFERROR(LOOKUP(Предпосылки!$J105,$C$13:$C$15,H$13:H$15),1)</f>
        <v>0</v>
      </c>
      <c s="125">
        <f>Предпосылки!$I105*Предпосылки!Q105*(1+Чувствительность!$D$24)*IFERROR(LOOKUP(Предпосылки!$J105,$C$13:$C$15,I$13:I$15),1)</f>
        <v>0</v>
      </c>
      <c s="125">
        <f>Предпосылки!$I105*Предпосылки!R105*(1+Чувствительность!$D$24)*IFERROR(LOOKUP(Предпосылки!$J105,$C$13:$C$15,J$13:J$15),1)</f>
        <v>0</v>
      </c>
      <c s="125">
        <f>Предпосылки!$I105*Предпосылки!S105*(1+Чувствительность!$D$24)*IFERROR(LOOKUP(Предпосылки!$J105,$C$13:$C$15,K$13:K$15),1)</f>
        <v>0</v>
      </c>
      <c s="125">
        <f>Предпосылки!$I105*Предпосылки!T105*(1+Чувствительность!$D$24)*IFERROR(LOOKUP(Предпосылки!$J105,$C$13:$C$15,L$13:L$15),1)</f>
        <v>0</v>
      </c>
      <c s="125">
        <f>Предпосылки!$I105*Предпосылки!U105*(1+Чувствительность!$D$24)*IFERROR(LOOKUP(Предпосылки!$J105,$C$13:$C$15,M$13:M$15),1)</f>
        <v>0</v>
      </c>
      <c s="125">
        <f>Предпосылки!$I105*Предпосылки!V105*(1+Чувствительность!$D$24)*IFERROR(LOOKUP(Предпосылки!$J105,$C$13:$C$15,N$13:N$15),1)</f>
        <v>0</v>
      </c>
      <c s="125">
        <f>Предпосылки!$I105*Предпосылки!W105*(1+Чувствительность!$D$24)*IFERROR(LOOKUP(Предпосылки!$J105,$C$13:$C$15,O$13:O$15),1)</f>
        <v>0</v>
      </c>
      <c s="125">
        <f>Предпосылки!$I105*Предпосылки!X105*(1+Чувствительность!$D$24)*IFERROR(LOOKUP(Предпосылки!$J105,$C$13:$C$15,P$13:P$15),1)</f>
        <v>0</v>
      </c>
      <c s="125">
        <f>Предпосылки!$I105*Предпосылки!Y105*(1+Чувствительность!$D$24)*IFERROR(LOOKUP(Предпосылки!$J105,$C$13:$C$15,Q$13:Q$15),1)</f>
        <v>0</v>
      </c>
      <c s="125">
        <f>Предпосылки!$I105*Предпосылки!Z105*(1+Чувствительность!$D$24)*IFERROR(LOOKUP(Предпосылки!$J105,$C$13:$C$15,R$13:R$15),1)</f>
        <v>0</v>
      </c>
      <c s="125">
        <f>Предпосылки!$I105*Предпосылки!AA105*(1+Чувствительность!$D$24)*IFERROR(LOOKUP(Предпосылки!$J105,$C$13:$C$15,S$13:S$15),1)</f>
        <v>0</v>
      </c>
      <c s="125">
        <f>Предпосылки!$I105*Предпосылки!AB105*(1+Чувствительность!$D$24)*IFERROR(LOOKUP(Предпосылки!$J105,$C$13:$C$15,T$13:T$15),1)</f>
        <v>0</v>
      </c>
      <c s="125">
        <f>Предпосылки!$I105*Предпосылки!AC105*(1+Чувствительность!$D$24)*IFERROR(LOOKUP(Предпосылки!$J105,$C$13:$C$15,U$13:U$15),1)</f>
        <v>0</v>
      </c>
      <c s="125">
        <f>Предпосылки!$I105*Предпосылки!AD105*(1+Чувствительность!$D$24)*IFERROR(LOOKUP(Предпосылки!$J105,$C$13:$C$15,V$13:V$15),1)</f>
        <v>0</v>
      </c>
      <c s="125">
        <f>Предпосылки!$I105*Предпосылки!AE105*(1+Чувствительность!$D$24)*IFERROR(LOOKUP(Предпосылки!$J105,$C$13:$C$15,W$13:W$15),1)</f>
        <v>0</v>
      </c>
      <c s="125">
        <f>Предпосылки!$I105*Предпосылки!AF105*(1+Чувствительность!$D$24)*IFERROR(LOOKUP(Предпосылки!$J105,$C$13:$C$15,X$13:X$15),1)</f>
        <v>0</v>
      </c>
      <c s="125">
        <f>Предпосылки!$I105*Предпосылки!AG105*(1+Чувствительность!$D$24)*IFERROR(LOOKUP(Предпосылки!$J105,$C$13:$C$15,Y$13:Y$15),1)</f>
        <v>0</v>
      </c>
      <c s="125">
        <f>Предпосылки!$I105*Предпосылки!AH105*(1+Чувствительность!$D$24)*IFERROR(LOOKUP(Предпосылки!$J105,$C$13:$C$15,Z$13:Z$15),1)</f>
        <v>0</v>
      </c>
      <c s="125">
        <f>Предпосылки!$I105*Предпосылки!AI105*(1+Чувствительность!$D$24)*IFERROR(LOOKUP(Предпосылки!$J105,$C$13:$C$15,AA$13:AA$15),1)</f>
        <v>0</v>
      </c>
      <c s="125">
        <f>Предпосылки!$I105*Предпосылки!AJ105*(1+Чувствительность!$D$24)*IFERROR(LOOKUP(Предпосылки!$J105,$C$13:$C$15,AB$13:AB$15),1)</f>
        <v>0</v>
      </c>
      <c s="125">
        <f>Предпосылки!$I105*Предпосылки!AK105*(1+Чувствительность!$D$24)*IFERROR(LOOKUP(Предпосылки!$J105,$C$13:$C$15,AC$13:AC$15),1)</f>
        <v>0</v>
      </c>
      <c s="125">
        <f>Предпосылки!$I105*Предпосылки!AL105*(1+Чувствительность!$D$24)*IFERROR(LOOKUP(Предпосылки!$J105,$C$13:$C$15,AD$13:AD$15),1)</f>
        <v>0</v>
      </c>
      <c s="125">
        <f>Предпосылки!$I105*Предпосылки!AM105*(1+Чувствительность!$D$24)*IFERROR(LOOKUP(Предпосылки!$J105,$C$13:$C$15,AE$13:AE$15),1)</f>
        <v>0</v>
      </c>
      <c s="125">
        <f>Предпосылки!$I105*Предпосылки!AN105*(1+Чувствительность!$D$24)*IFERROR(LOOKUP(Предпосылки!$J105,$C$13:$C$15,AF$13:AF$15),1)</f>
        <v>0</v>
      </c>
      <c s="125">
        <f>Предпосылки!$I105*Предпосылки!AO105*(1+Чувствительность!$D$24)*IFERROR(LOOKUP(Предпосылки!$J105,$C$13:$C$15,AG$13:AG$15),1)</f>
        <v>0</v>
      </c>
      <c s="125">
        <f>Предпосылки!$I105*Предпосылки!AP105*(1+Чувствительность!$D$24)*IFERROR(LOOKUP(Предпосылки!$J105,$C$13:$C$15,AH$13:AH$15),1)</f>
        <v>0</v>
      </c>
      <c s="125">
        <f>Предпосылки!$I105*Предпосылки!AQ105*(1+Чувствительность!$D$24)*IFERROR(LOOKUP(Предпосылки!$J105,$C$13:$C$15,AI$13:AI$15),1)</f>
        <v>0</v>
      </c>
      <c s="125">
        <f>Предпосылки!$I105*Предпосылки!AR105*(1+Чувствительность!$D$24)*IFERROR(LOOKUP(Предпосылки!$J105,$C$13:$C$15,AJ$13:AJ$15),1)</f>
        <v>0</v>
      </c>
      <c s="125">
        <f>Предпосылки!$I105*Предпосылки!AS105*(1+Чувствительность!$D$24)*IFERROR(LOOKUP(Предпосылки!$J105,$C$13:$C$15,AK$13:AK$15),1)</f>
        <v>0</v>
      </c>
      <c s="125">
        <f>Предпосылки!$I105*Предпосылки!AT105*(1+Чувствительность!$D$24)*IFERROR(LOOKUP(Предпосылки!$J105,$C$13:$C$15,AL$13:AL$15),1)</f>
        <v>0</v>
      </c>
      <c s="125">
        <f>Предпосылки!$I105*Предпосылки!AU105*(1+Чувствительность!$D$24)*IFERROR(LOOKUP(Предпосылки!$J105,$C$13:$C$15,AM$13:AM$15),1)</f>
        <v>0</v>
      </c>
      <c s="125">
        <f>Предпосылки!$I105*Предпосылки!AV105*(1+Чувствительность!$D$24)*IFERROR(LOOKUP(Предпосылки!$J105,$C$13:$C$15,AN$13:AN$15),1)</f>
        <v>0</v>
      </c>
      <c s="125">
        <f>Предпосылки!$I105*Предпосылки!AW105*(1+Чувствительность!$D$24)*IFERROR(LOOKUP(Предпосылки!$J105,$C$13:$C$15,AO$13:AO$15),1)</f>
        <v>0</v>
      </c>
      <c s="125">
        <f>Предпосылки!$I105*Предпосылки!AX105*(1+Чувствительность!$D$24)*IFERROR(LOOKUP(Предпосылки!$J105,$C$13:$C$15,AP$13:AP$15),1)</f>
        <v>0</v>
      </c>
      <c s="125">
        <f>Предпосылки!$I105*Предпосылки!AY105*(1+Чувствительность!$D$24)*IFERROR(LOOKUP(Предпосылки!$J105,$C$13:$C$15,AQ$13:AQ$15),1)</f>
        <v>0</v>
      </c>
      <c s="125">
        <f>Предпосылки!$I105*Предпосылки!AZ105*(1+Чувствительность!$D$24)*IFERROR(LOOKUP(Предпосылки!$J105,$C$13:$C$15,AR$13:AR$15),1)</f>
        <v>0</v>
      </c>
      <c s="125">
        <f>Предпосылки!$I105*Предпосылки!BA105*(1+Чувствительность!$D$24)*IFERROR(LOOKUP(Предпосылки!$J105,$C$13:$C$15,AS$13:AS$15),1)</f>
        <v>0</v>
      </c>
      <c s="125">
        <f>Предпосылки!$I105*Предпосылки!BB105*(1+Чувствительность!$D$24)*IFERROR(LOOKUP(Предпосылки!$J105,$C$13:$C$15,AT$13:AT$15),1)</f>
        <v>0</v>
      </c>
      <c s="125">
        <f>Предпосылки!$I105*Предпосылки!BC105*(1+Чувствительность!$D$24)*IFERROR(LOOKUP(Предпосылки!$J105,$C$13:$C$15,AU$13:AU$15),1)</f>
        <v>0</v>
      </c>
      <c s="125">
        <f>Предпосылки!$I105*Предпосылки!BD105*(1+Чувствительность!$D$24)*IFERROR(LOOKUP(Предпосылки!$J105,$C$13:$C$15,AV$13:AV$15),1)</f>
        <v>0</v>
      </c>
      <c s="125">
        <f>Предпосылки!$I105*Предпосылки!BE105*(1+Чувствительность!$D$24)*IFERROR(LOOKUP(Предпосылки!$J105,$C$13:$C$15,AW$13:AW$15),1)</f>
        <v>0</v>
      </c>
      <c s="125">
        <f>Предпосылки!$I105*Предпосылки!BF105*(1+Чувствительность!$D$24)*IFERROR(LOOKUP(Предпосылки!$J105,$C$13:$C$15,AX$13:AX$15),1)</f>
        <v>0</v>
      </c>
      <c s="125">
        <f>Предпосылки!$I105*Предпосылки!BG105*(1+Чувствительность!$D$24)*IFERROR(LOOKUP(Предпосылки!$J105,$C$13:$C$15,AY$13:AY$15),1)</f>
        <v>0</v>
      </c>
      <c s="125">
        <f>Предпосылки!$I105*Предпосылки!BH105*(1+Чувствительность!$D$24)*IFERROR(LOOKUP(Предпосылки!$J105,$C$13:$C$15,AZ$13:AZ$15),1)</f>
        <v>0</v>
      </c>
      <c s="125">
        <f>Предпосылки!$I105*Предпосылки!BI105*(1+Чувствительность!$D$24)*IFERROR(LOOKUP(Предпосылки!$J105,$C$13:$C$15,BA$13:BA$15),1)</f>
        <v>0</v>
      </c>
      <c s="125">
        <f>Предпосылки!$I105*Предпосылки!BJ105*(1+Чувствительность!$D$24)*IFERROR(LOOKUP(Предпосылки!$J105,$C$13:$C$15,BB$13:BB$15),1)</f>
        <v>0</v>
      </c>
      <c s="125">
        <f>Предпосылки!$I105*Предпосылки!BK105*(1+Чувствительность!$D$24)*IFERROR(LOOKUP(Предпосылки!$J105,$C$13:$C$15,BC$13:BC$15),1)</f>
        <v>0</v>
      </c>
      <c s="125">
        <f>Предпосылки!$I105*Предпосылки!BL105*(1+Чувствительность!$D$24)*IFERROR(LOOKUP(Предпосылки!$J105,$C$13:$C$15,BD$13:BD$15),1)</f>
        <v>0</v>
      </c>
      <c s="125">
        <f>Предпосылки!$I105*Предпосылки!BM105*(1+Чувствительность!$D$24)*IFERROR(LOOKUP(Предпосылки!$J105,$C$13:$C$15,BE$13:BE$15),1)</f>
        <v>0</v>
      </c>
      <c s="125">
        <f>Предпосылки!$I105*Предпосылки!BN105*(1+Чувствительность!$D$24)*IFERROR(LOOKUP(Предпосылки!$J105,$C$13:$C$15,BF$13:BF$15),1)</f>
        <v>0</v>
      </c>
      <c s="125">
        <f>Предпосылки!$I105*Предпосылки!BO105*(1+Чувствительность!$D$24)*IFERROR(LOOKUP(Предпосылки!$J105,$C$13:$C$15,BG$13:BG$15),1)</f>
        <v>0</v>
      </c>
      <c s="125">
        <f>Предпосылки!$I105*Предпосылки!BP105*(1+Чувствительность!$D$24)*IFERROR(LOOKUP(Предпосылки!$J105,$C$13:$C$15,BH$13:BH$15),1)</f>
        <v>0</v>
      </c>
      <c s="125">
        <f>Предпосылки!$I105*Предпосылки!BQ105*(1+Чувствительность!$D$24)*IFERROR(LOOKUP(Предпосылки!$J105,$C$13:$C$15,BI$13:BI$15),1)</f>
        <v>0</v>
      </c>
      <c s="125">
        <f>Предпосылки!$I105*Предпосылки!BR105*(1+Чувствительность!$D$24)*IFERROR(LOOKUP(Предпосылки!$J105,$C$13:$C$15,BJ$13:BJ$15),1)</f>
        <v>0</v>
      </c>
      <c s="125">
        <f>Предпосылки!$I105*Предпосылки!BS105*(1+Чувствительность!$D$24)*IFERROR(LOOKUP(Предпосылки!$J105,$C$13:$C$15,BK$13:BK$15),1)</f>
        <v>0</v>
      </c>
      <c s="125">
        <f>Предпосылки!$I105*Предпосылки!BT105*(1+Чувствительность!$D$24)*IFERROR(LOOKUP(Предпосылки!$J105,$C$13:$C$15,BL$13:BL$15),1)</f>
        <v>0</v>
      </c>
      <c s="125">
        <f>Предпосылки!$I105*Предпосылки!BU105*(1+Чувствительность!$D$24)*IFERROR(LOOKUP(Предпосылки!$J105,$C$13:$C$15,BM$13:BM$15),1)</f>
        <v>0</v>
      </c>
    </row>
    <row r="91" spans="2:65" ht="15" customHeight="1">
      <c r="B91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Предпосылки!$I106*Предпосылки!M106*(1+Чувствительность!$D$24)*IFERROR(LOOKUP(Предпосылки!$J106,$C$13:$C$15,E$13:E$15),1)</f>
        <v>0</v>
      </c>
      <c s="125">
        <f>Предпосылки!$I106*Предпосылки!N106*(1+Чувствительность!$D$24)*IFERROR(LOOKUP(Предпосылки!$J106,$C$13:$C$15,F$13:F$15),1)</f>
        <v>0</v>
      </c>
      <c s="125">
        <f>Предпосылки!$I106*Предпосылки!O106*(1+Чувствительность!$D$24)*IFERROR(LOOKUP(Предпосылки!$J106,$C$13:$C$15,G$13:G$15),1)</f>
        <v>0</v>
      </c>
      <c s="125">
        <f>Предпосылки!$I106*Предпосылки!P106*(1+Чувствительность!$D$24)*IFERROR(LOOKUP(Предпосылки!$J106,$C$13:$C$15,H$13:H$15),1)</f>
        <v>0</v>
      </c>
      <c s="125">
        <f>Предпосылки!$I106*Предпосылки!Q106*(1+Чувствительность!$D$24)*IFERROR(LOOKUP(Предпосылки!$J106,$C$13:$C$15,I$13:I$15),1)</f>
        <v>0</v>
      </c>
      <c s="125">
        <f>Предпосылки!$I106*Предпосылки!R106*(1+Чувствительность!$D$24)*IFERROR(LOOKUP(Предпосылки!$J106,$C$13:$C$15,J$13:J$15),1)</f>
        <v>0</v>
      </c>
      <c s="125">
        <f>Предпосылки!$I106*Предпосылки!S106*(1+Чувствительность!$D$24)*IFERROR(LOOKUP(Предпосылки!$J106,$C$13:$C$15,K$13:K$15),1)</f>
        <v>0</v>
      </c>
      <c s="125">
        <f>Предпосылки!$I106*Предпосылки!T106*(1+Чувствительность!$D$24)*IFERROR(LOOKUP(Предпосылки!$J106,$C$13:$C$15,L$13:L$15),1)</f>
        <v>0</v>
      </c>
      <c s="125">
        <f>Предпосылки!$I106*Предпосылки!U106*(1+Чувствительность!$D$24)*IFERROR(LOOKUP(Предпосылки!$J106,$C$13:$C$15,M$13:M$15),1)</f>
        <v>0</v>
      </c>
      <c s="125">
        <f>Предпосылки!$I106*Предпосылки!V106*(1+Чувствительность!$D$24)*IFERROR(LOOKUP(Предпосылки!$J106,$C$13:$C$15,N$13:N$15),1)</f>
        <v>0</v>
      </c>
      <c s="125">
        <f>Предпосылки!$I106*Предпосылки!W106*(1+Чувствительность!$D$24)*IFERROR(LOOKUP(Предпосылки!$J106,$C$13:$C$15,O$13:O$15),1)</f>
        <v>0</v>
      </c>
      <c s="125">
        <f>Предпосылки!$I106*Предпосылки!X106*(1+Чувствительность!$D$24)*IFERROR(LOOKUP(Предпосылки!$J106,$C$13:$C$15,P$13:P$15),1)</f>
        <v>0</v>
      </c>
      <c s="125">
        <f>Предпосылки!$I106*Предпосылки!Y106*(1+Чувствительность!$D$24)*IFERROR(LOOKUP(Предпосылки!$J106,$C$13:$C$15,Q$13:Q$15),1)</f>
        <v>0</v>
      </c>
      <c s="125">
        <f>Предпосылки!$I106*Предпосылки!Z106*(1+Чувствительность!$D$24)*IFERROR(LOOKUP(Предпосылки!$J106,$C$13:$C$15,R$13:R$15),1)</f>
        <v>0</v>
      </c>
      <c s="125">
        <f>Предпосылки!$I106*Предпосылки!AA106*(1+Чувствительность!$D$24)*IFERROR(LOOKUP(Предпосылки!$J106,$C$13:$C$15,S$13:S$15),1)</f>
        <v>0</v>
      </c>
      <c s="125">
        <f>Предпосылки!$I106*Предпосылки!AB106*(1+Чувствительность!$D$24)*IFERROR(LOOKUP(Предпосылки!$J106,$C$13:$C$15,T$13:T$15),1)</f>
        <v>0</v>
      </c>
      <c s="125">
        <f>Предпосылки!$I106*Предпосылки!AC106*(1+Чувствительность!$D$24)*IFERROR(LOOKUP(Предпосылки!$J106,$C$13:$C$15,U$13:U$15),1)</f>
        <v>0</v>
      </c>
      <c s="125">
        <f>Предпосылки!$I106*Предпосылки!AD106*(1+Чувствительность!$D$24)*IFERROR(LOOKUP(Предпосылки!$J106,$C$13:$C$15,V$13:V$15),1)</f>
        <v>0</v>
      </c>
      <c s="125">
        <f>Предпосылки!$I106*Предпосылки!AE106*(1+Чувствительность!$D$24)*IFERROR(LOOKUP(Предпосылки!$J106,$C$13:$C$15,W$13:W$15),1)</f>
        <v>0</v>
      </c>
      <c s="125">
        <f>Предпосылки!$I106*Предпосылки!AF106*(1+Чувствительность!$D$24)*IFERROR(LOOKUP(Предпосылки!$J106,$C$13:$C$15,X$13:X$15),1)</f>
        <v>0</v>
      </c>
      <c s="125">
        <f>Предпосылки!$I106*Предпосылки!AG106*(1+Чувствительность!$D$24)*IFERROR(LOOKUP(Предпосылки!$J106,$C$13:$C$15,Y$13:Y$15),1)</f>
        <v>0</v>
      </c>
      <c s="125">
        <f>Предпосылки!$I106*Предпосылки!AH106*(1+Чувствительность!$D$24)*IFERROR(LOOKUP(Предпосылки!$J106,$C$13:$C$15,Z$13:Z$15),1)</f>
        <v>0</v>
      </c>
      <c s="125">
        <f>Предпосылки!$I106*Предпосылки!AI106*(1+Чувствительность!$D$24)*IFERROR(LOOKUP(Предпосылки!$J106,$C$13:$C$15,AA$13:AA$15),1)</f>
        <v>0</v>
      </c>
      <c s="125">
        <f>Предпосылки!$I106*Предпосылки!AJ106*(1+Чувствительность!$D$24)*IFERROR(LOOKUP(Предпосылки!$J106,$C$13:$C$15,AB$13:AB$15),1)</f>
        <v>0</v>
      </c>
      <c s="125">
        <f>Предпосылки!$I106*Предпосылки!AK106*(1+Чувствительность!$D$24)*IFERROR(LOOKUP(Предпосылки!$J106,$C$13:$C$15,AC$13:AC$15),1)</f>
        <v>0</v>
      </c>
      <c s="125">
        <f>Предпосылки!$I106*Предпосылки!AL106*(1+Чувствительность!$D$24)*IFERROR(LOOKUP(Предпосылки!$J106,$C$13:$C$15,AD$13:AD$15),1)</f>
        <v>0</v>
      </c>
      <c s="125">
        <f>Предпосылки!$I106*Предпосылки!AM106*(1+Чувствительность!$D$24)*IFERROR(LOOKUP(Предпосылки!$J106,$C$13:$C$15,AE$13:AE$15),1)</f>
        <v>0</v>
      </c>
      <c s="125">
        <f>Предпосылки!$I106*Предпосылки!AN106*(1+Чувствительность!$D$24)*IFERROR(LOOKUP(Предпосылки!$J106,$C$13:$C$15,AF$13:AF$15),1)</f>
        <v>0</v>
      </c>
      <c s="125">
        <f>Предпосылки!$I106*Предпосылки!AO106*(1+Чувствительность!$D$24)*IFERROR(LOOKUP(Предпосылки!$J106,$C$13:$C$15,AG$13:AG$15),1)</f>
        <v>0</v>
      </c>
      <c s="125">
        <f>Предпосылки!$I106*Предпосылки!AP106*(1+Чувствительность!$D$24)*IFERROR(LOOKUP(Предпосылки!$J106,$C$13:$C$15,AH$13:AH$15),1)</f>
        <v>0</v>
      </c>
      <c s="125">
        <f>Предпосылки!$I106*Предпосылки!AQ106*(1+Чувствительность!$D$24)*IFERROR(LOOKUP(Предпосылки!$J106,$C$13:$C$15,AI$13:AI$15),1)</f>
        <v>0</v>
      </c>
      <c s="125">
        <f>Предпосылки!$I106*Предпосылки!AR106*(1+Чувствительность!$D$24)*IFERROR(LOOKUP(Предпосылки!$J106,$C$13:$C$15,AJ$13:AJ$15),1)</f>
        <v>0</v>
      </c>
      <c s="125">
        <f>Предпосылки!$I106*Предпосылки!AS106*(1+Чувствительность!$D$24)*IFERROR(LOOKUP(Предпосылки!$J106,$C$13:$C$15,AK$13:AK$15),1)</f>
        <v>0</v>
      </c>
      <c s="125">
        <f>Предпосылки!$I106*Предпосылки!AT106*(1+Чувствительность!$D$24)*IFERROR(LOOKUP(Предпосылки!$J106,$C$13:$C$15,AL$13:AL$15),1)</f>
        <v>0</v>
      </c>
      <c s="125">
        <f>Предпосылки!$I106*Предпосылки!AU106*(1+Чувствительность!$D$24)*IFERROR(LOOKUP(Предпосылки!$J106,$C$13:$C$15,AM$13:AM$15),1)</f>
        <v>0</v>
      </c>
      <c s="125">
        <f>Предпосылки!$I106*Предпосылки!AV106*(1+Чувствительность!$D$24)*IFERROR(LOOKUP(Предпосылки!$J106,$C$13:$C$15,AN$13:AN$15),1)</f>
        <v>0</v>
      </c>
      <c s="125">
        <f>Предпосылки!$I106*Предпосылки!AW106*(1+Чувствительность!$D$24)*IFERROR(LOOKUP(Предпосылки!$J106,$C$13:$C$15,AO$13:AO$15),1)</f>
        <v>0</v>
      </c>
      <c s="125">
        <f>Предпосылки!$I106*Предпосылки!AX106*(1+Чувствительность!$D$24)*IFERROR(LOOKUP(Предпосылки!$J106,$C$13:$C$15,AP$13:AP$15),1)</f>
        <v>0</v>
      </c>
      <c s="125">
        <f>Предпосылки!$I106*Предпосылки!AY106*(1+Чувствительность!$D$24)*IFERROR(LOOKUP(Предпосылки!$J106,$C$13:$C$15,AQ$13:AQ$15),1)</f>
        <v>0</v>
      </c>
      <c s="125">
        <f>Предпосылки!$I106*Предпосылки!AZ106*(1+Чувствительность!$D$24)*IFERROR(LOOKUP(Предпосылки!$J106,$C$13:$C$15,AR$13:AR$15),1)</f>
        <v>0</v>
      </c>
      <c s="125">
        <f>Предпосылки!$I106*Предпосылки!BA106*(1+Чувствительность!$D$24)*IFERROR(LOOKUP(Предпосылки!$J106,$C$13:$C$15,AS$13:AS$15),1)</f>
        <v>0</v>
      </c>
      <c s="125">
        <f>Предпосылки!$I106*Предпосылки!BB106*(1+Чувствительность!$D$24)*IFERROR(LOOKUP(Предпосылки!$J106,$C$13:$C$15,AT$13:AT$15),1)</f>
        <v>0</v>
      </c>
      <c s="125">
        <f>Предпосылки!$I106*Предпосылки!BC106*(1+Чувствительность!$D$24)*IFERROR(LOOKUP(Предпосылки!$J106,$C$13:$C$15,AU$13:AU$15),1)</f>
        <v>0</v>
      </c>
      <c s="125">
        <f>Предпосылки!$I106*Предпосылки!BD106*(1+Чувствительность!$D$24)*IFERROR(LOOKUP(Предпосылки!$J106,$C$13:$C$15,AV$13:AV$15),1)</f>
        <v>0</v>
      </c>
      <c s="125">
        <f>Предпосылки!$I106*Предпосылки!BE106*(1+Чувствительность!$D$24)*IFERROR(LOOKUP(Предпосылки!$J106,$C$13:$C$15,AW$13:AW$15),1)</f>
        <v>0</v>
      </c>
      <c s="125">
        <f>Предпосылки!$I106*Предпосылки!BF106*(1+Чувствительность!$D$24)*IFERROR(LOOKUP(Предпосылки!$J106,$C$13:$C$15,AX$13:AX$15),1)</f>
        <v>0</v>
      </c>
      <c s="125">
        <f>Предпосылки!$I106*Предпосылки!BG106*(1+Чувствительность!$D$24)*IFERROR(LOOKUP(Предпосылки!$J106,$C$13:$C$15,AY$13:AY$15),1)</f>
        <v>0</v>
      </c>
      <c s="125">
        <f>Предпосылки!$I106*Предпосылки!BH106*(1+Чувствительность!$D$24)*IFERROR(LOOKUP(Предпосылки!$J106,$C$13:$C$15,AZ$13:AZ$15),1)</f>
        <v>0</v>
      </c>
      <c s="125">
        <f>Предпосылки!$I106*Предпосылки!BI106*(1+Чувствительность!$D$24)*IFERROR(LOOKUP(Предпосылки!$J106,$C$13:$C$15,BA$13:BA$15),1)</f>
        <v>0</v>
      </c>
      <c s="125">
        <f>Предпосылки!$I106*Предпосылки!BJ106*(1+Чувствительность!$D$24)*IFERROR(LOOKUP(Предпосылки!$J106,$C$13:$C$15,BB$13:BB$15),1)</f>
        <v>0</v>
      </c>
      <c s="125">
        <f>Предпосылки!$I106*Предпосылки!BK106*(1+Чувствительность!$D$24)*IFERROR(LOOKUP(Предпосылки!$J106,$C$13:$C$15,BC$13:BC$15),1)</f>
        <v>0</v>
      </c>
      <c s="125">
        <f>Предпосылки!$I106*Предпосылки!BL106*(1+Чувствительность!$D$24)*IFERROR(LOOKUP(Предпосылки!$J106,$C$13:$C$15,BD$13:BD$15),1)</f>
        <v>0</v>
      </c>
      <c s="125">
        <f>Предпосылки!$I106*Предпосылки!BM106*(1+Чувствительность!$D$24)*IFERROR(LOOKUP(Предпосылки!$J106,$C$13:$C$15,BE$13:BE$15),1)</f>
        <v>0</v>
      </c>
      <c s="125">
        <f>Предпосылки!$I106*Предпосылки!BN106*(1+Чувствительность!$D$24)*IFERROR(LOOKUP(Предпосылки!$J106,$C$13:$C$15,BF$13:BF$15),1)</f>
        <v>0</v>
      </c>
      <c s="125">
        <f>Предпосылки!$I106*Предпосылки!BO106*(1+Чувствительность!$D$24)*IFERROR(LOOKUP(Предпосылки!$J106,$C$13:$C$15,BG$13:BG$15),1)</f>
        <v>0</v>
      </c>
      <c s="125">
        <f>Предпосылки!$I106*Предпосылки!BP106*(1+Чувствительность!$D$24)*IFERROR(LOOKUP(Предпосылки!$J106,$C$13:$C$15,BH$13:BH$15),1)</f>
        <v>0</v>
      </c>
      <c s="125">
        <f>Предпосылки!$I106*Предпосылки!BQ106*(1+Чувствительность!$D$24)*IFERROR(LOOKUP(Предпосылки!$J106,$C$13:$C$15,BI$13:BI$15),1)</f>
        <v>0</v>
      </c>
      <c s="125">
        <f>Предпосылки!$I106*Предпосылки!BR106*(1+Чувствительность!$D$24)*IFERROR(LOOKUP(Предпосылки!$J106,$C$13:$C$15,BJ$13:BJ$15),1)</f>
        <v>0</v>
      </c>
      <c s="125">
        <f>Предпосылки!$I106*Предпосылки!BS106*(1+Чувствительность!$D$24)*IFERROR(LOOKUP(Предпосылки!$J106,$C$13:$C$15,BK$13:BK$15),1)</f>
        <v>0</v>
      </c>
      <c s="125">
        <f>Предпосылки!$I106*Предпосылки!BT106*(1+Чувствительность!$D$24)*IFERROR(LOOKUP(Предпосылки!$J106,$C$13:$C$15,BL$13:BL$15),1)</f>
        <v>0</v>
      </c>
      <c s="125">
        <f>Предпосылки!$I106*Предпосылки!BU106*(1+Чувствительность!$D$24)*IFERROR(LOOKUP(Предпосылки!$J106,$C$13:$C$15,BM$13:BM$15),1)</f>
        <v>0</v>
      </c>
    </row>
    <row r="92" spans="2:65" ht="15" customHeight="1">
      <c r="B92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Предпосылки!$I107*Предпосылки!M107*(1+Чувствительность!$D$24)*IFERROR(LOOKUP(Предпосылки!$J107,$C$13:$C$15,E$13:E$15),1)</f>
        <v>0</v>
      </c>
      <c s="125">
        <f>Предпосылки!$I107*Предпосылки!N107*(1+Чувствительность!$D$24)*IFERROR(LOOKUP(Предпосылки!$J107,$C$13:$C$15,F$13:F$15),1)</f>
        <v>0</v>
      </c>
      <c s="125">
        <f>Предпосылки!$I107*Предпосылки!O107*(1+Чувствительность!$D$24)*IFERROR(LOOKUP(Предпосылки!$J107,$C$13:$C$15,G$13:G$15),1)</f>
        <v>0</v>
      </c>
      <c s="125">
        <f>Предпосылки!$I107*Предпосылки!P107*(1+Чувствительность!$D$24)*IFERROR(LOOKUP(Предпосылки!$J107,$C$13:$C$15,H$13:H$15),1)</f>
        <v>0</v>
      </c>
      <c s="125">
        <f>Предпосылки!$I107*Предпосылки!Q107*(1+Чувствительность!$D$24)*IFERROR(LOOKUP(Предпосылки!$J107,$C$13:$C$15,I$13:I$15),1)</f>
        <v>0</v>
      </c>
      <c s="125">
        <f>Предпосылки!$I107*Предпосылки!R107*(1+Чувствительность!$D$24)*IFERROR(LOOKUP(Предпосылки!$J107,$C$13:$C$15,J$13:J$15),1)</f>
        <v>0</v>
      </c>
      <c s="125">
        <f>Предпосылки!$I107*Предпосылки!S107*(1+Чувствительность!$D$24)*IFERROR(LOOKUP(Предпосылки!$J107,$C$13:$C$15,K$13:K$15),1)</f>
        <v>0</v>
      </c>
      <c s="125">
        <f>Предпосылки!$I107*Предпосылки!T107*(1+Чувствительность!$D$24)*IFERROR(LOOKUP(Предпосылки!$J107,$C$13:$C$15,L$13:L$15),1)</f>
        <v>0</v>
      </c>
      <c s="125">
        <f>Предпосылки!$I107*Предпосылки!U107*(1+Чувствительность!$D$24)*IFERROR(LOOKUP(Предпосылки!$J107,$C$13:$C$15,M$13:M$15),1)</f>
        <v>0</v>
      </c>
      <c s="125">
        <f>Предпосылки!$I107*Предпосылки!V107*(1+Чувствительность!$D$24)*IFERROR(LOOKUP(Предпосылки!$J107,$C$13:$C$15,N$13:N$15),1)</f>
        <v>0</v>
      </c>
      <c s="125">
        <f>Предпосылки!$I107*Предпосылки!W107*(1+Чувствительность!$D$24)*IFERROR(LOOKUP(Предпосылки!$J107,$C$13:$C$15,O$13:O$15),1)</f>
        <v>0</v>
      </c>
      <c s="125">
        <f>Предпосылки!$I107*Предпосылки!X107*(1+Чувствительность!$D$24)*IFERROR(LOOKUP(Предпосылки!$J107,$C$13:$C$15,P$13:P$15),1)</f>
        <v>0</v>
      </c>
      <c s="125">
        <f>Предпосылки!$I107*Предпосылки!Y107*(1+Чувствительность!$D$24)*IFERROR(LOOKUP(Предпосылки!$J107,$C$13:$C$15,Q$13:Q$15),1)</f>
        <v>0</v>
      </c>
      <c s="125">
        <f>Предпосылки!$I107*Предпосылки!Z107*(1+Чувствительность!$D$24)*IFERROR(LOOKUP(Предпосылки!$J107,$C$13:$C$15,R$13:R$15),1)</f>
        <v>0</v>
      </c>
      <c s="125">
        <f>Предпосылки!$I107*Предпосылки!AA107*(1+Чувствительность!$D$24)*IFERROR(LOOKUP(Предпосылки!$J107,$C$13:$C$15,S$13:S$15),1)</f>
        <v>0</v>
      </c>
      <c s="125">
        <f>Предпосылки!$I107*Предпосылки!AB107*(1+Чувствительность!$D$24)*IFERROR(LOOKUP(Предпосылки!$J107,$C$13:$C$15,T$13:T$15),1)</f>
        <v>0</v>
      </c>
      <c s="125">
        <f>Предпосылки!$I107*Предпосылки!AC107*(1+Чувствительность!$D$24)*IFERROR(LOOKUP(Предпосылки!$J107,$C$13:$C$15,U$13:U$15),1)</f>
        <v>0</v>
      </c>
      <c s="125">
        <f>Предпосылки!$I107*Предпосылки!AD107*(1+Чувствительность!$D$24)*IFERROR(LOOKUP(Предпосылки!$J107,$C$13:$C$15,V$13:V$15),1)</f>
        <v>0</v>
      </c>
      <c s="125">
        <f>Предпосылки!$I107*Предпосылки!AE107*(1+Чувствительность!$D$24)*IFERROR(LOOKUP(Предпосылки!$J107,$C$13:$C$15,W$13:W$15),1)</f>
        <v>0</v>
      </c>
      <c s="125">
        <f>Предпосылки!$I107*Предпосылки!AF107*(1+Чувствительность!$D$24)*IFERROR(LOOKUP(Предпосылки!$J107,$C$13:$C$15,X$13:X$15),1)</f>
        <v>0</v>
      </c>
      <c s="125">
        <f>Предпосылки!$I107*Предпосылки!AG107*(1+Чувствительность!$D$24)*IFERROR(LOOKUP(Предпосылки!$J107,$C$13:$C$15,Y$13:Y$15),1)</f>
        <v>0</v>
      </c>
      <c s="125">
        <f>Предпосылки!$I107*Предпосылки!AH107*(1+Чувствительность!$D$24)*IFERROR(LOOKUP(Предпосылки!$J107,$C$13:$C$15,Z$13:Z$15),1)</f>
        <v>0</v>
      </c>
      <c s="125">
        <f>Предпосылки!$I107*Предпосылки!AI107*(1+Чувствительность!$D$24)*IFERROR(LOOKUP(Предпосылки!$J107,$C$13:$C$15,AA$13:AA$15),1)</f>
        <v>0</v>
      </c>
      <c s="125">
        <f>Предпосылки!$I107*Предпосылки!AJ107*(1+Чувствительность!$D$24)*IFERROR(LOOKUP(Предпосылки!$J107,$C$13:$C$15,AB$13:AB$15),1)</f>
        <v>0</v>
      </c>
      <c s="125">
        <f>Предпосылки!$I107*Предпосылки!AK107*(1+Чувствительность!$D$24)*IFERROR(LOOKUP(Предпосылки!$J107,$C$13:$C$15,AC$13:AC$15),1)</f>
        <v>0</v>
      </c>
      <c s="125">
        <f>Предпосылки!$I107*Предпосылки!AL107*(1+Чувствительность!$D$24)*IFERROR(LOOKUP(Предпосылки!$J107,$C$13:$C$15,AD$13:AD$15),1)</f>
        <v>0</v>
      </c>
      <c s="125">
        <f>Предпосылки!$I107*Предпосылки!AM107*(1+Чувствительность!$D$24)*IFERROR(LOOKUP(Предпосылки!$J107,$C$13:$C$15,AE$13:AE$15),1)</f>
        <v>0</v>
      </c>
      <c s="125">
        <f>Предпосылки!$I107*Предпосылки!AN107*(1+Чувствительность!$D$24)*IFERROR(LOOKUP(Предпосылки!$J107,$C$13:$C$15,AF$13:AF$15),1)</f>
        <v>0</v>
      </c>
      <c s="125">
        <f>Предпосылки!$I107*Предпосылки!AO107*(1+Чувствительность!$D$24)*IFERROR(LOOKUP(Предпосылки!$J107,$C$13:$C$15,AG$13:AG$15),1)</f>
        <v>0</v>
      </c>
      <c s="125">
        <f>Предпосылки!$I107*Предпосылки!AP107*(1+Чувствительность!$D$24)*IFERROR(LOOKUP(Предпосылки!$J107,$C$13:$C$15,AH$13:AH$15),1)</f>
        <v>0</v>
      </c>
      <c s="125">
        <f>Предпосылки!$I107*Предпосылки!AQ107*(1+Чувствительность!$D$24)*IFERROR(LOOKUP(Предпосылки!$J107,$C$13:$C$15,AI$13:AI$15),1)</f>
        <v>0</v>
      </c>
      <c s="125">
        <f>Предпосылки!$I107*Предпосылки!AR107*(1+Чувствительность!$D$24)*IFERROR(LOOKUP(Предпосылки!$J107,$C$13:$C$15,AJ$13:AJ$15),1)</f>
        <v>0</v>
      </c>
      <c s="125">
        <f>Предпосылки!$I107*Предпосылки!AS107*(1+Чувствительность!$D$24)*IFERROR(LOOKUP(Предпосылки!$J107,$C$13:$C$15,AK$13:AK$15),1)</f>
        <v>0</v>
      </c>
      <c s="125">
        <f>Предпосылки!$I107*Предпосылки!AT107*(1+Чувствительность!$D$24)*IFERROR(LOOKUP(Предпосылки!$J107,$C$13:$C$15,AL$13:AL$15),1)</f>
        <v>0</v>
      </c>
      <c s="125">
        <f>Предпосылки!$I107*Предпосылки!AU107*(1+Чувствительность!$D$24)*IFERROR(LOOKUP(Предпосылки!$J107,$C$13:$C$15,AM$13:AM$15),1)</f>
        <v>0</v>
      </c>
      <c s="125">
        <f>Предпосылки!$I107*Предпосылки!AV107*(1+Чувствительность!$D$24)*IFERROR(LOOKUP(Предпосылки!$J107,$C$13:$C$15,AN$13:AN$15),1)</f>
        <v>0</v>
      </c>
      <c s="125">
        <f>Предпосылки!$I107*Предпосылки!AW107*(1+Чувствительность!$D$24)*IFERROR(LOOKUP(Предпосылки!$J107,$C$13:$C$15,AO$13:AO$15),1)</f>
        <v>0</v>
      </c>
      <c s="125">
        <f>Предпосылки!$I107*Предпосылки!AX107*(1+Чувствительность!$D$24)*IFERROR(LOOKUP(Предпосылки!$J107,$C$13:$C$15,AP$13:AP$15),1)</f>
        <v>0</v>
      </c>
      <c s="125">
        <f>Предпосылки!$I107*Предпосылки!AY107*(1+Чувствительность!$D$24)*IFERROR(LOOKUP(Предпосылки!$J107,$C$13:$C$15,AQ$13:AQ$15),1)</f>
        <v>0</v>
      </c>
      <c s="125">
        <f>Предпосылки!$I107*Предпосылки!AZ107*(1+Чувствительность!$D$24)*IFERROR(LOOKUP(Предпосылки!$J107,$C$13:$C$15,AR$13:AR$15),1)</f>
        <v>0</v>
      </c>
      <c s="125">
        <f>Предпосылки!$I107*Предпосылки!BA107*(1+Чувствительность!$D$24)*IFERROR(LOOKUP(Предпосылки!$J107,$C$13:$C$15,AS$13:AS$15),1)</f>
        <v>0</v>
      </c>
      <c s="125">
        <f>Предпосылки!$I107*Предпосылки!BB107*(1+Чувствительность!$D$24)*IFERROR(LOOKUP(Предпосылки!$J107,$C$13:$C$15,AT$13:AT$15),1)</f>
        <v>0</v>
      </c>
      <c s="125">
        <f>Предпосылки!$I107*Предпосылки!BC107*(1+Чувствительность!$D$24)*IFERROR(LOOKUP(Предпосылки!$J107,$C$13:$C$15,AU$13:AU$15),1)</f>
        <v>0</v>
      </c>
      <c s="125">
        <f>Предпосылки!$I107*Предпосылки!BD107*(1+Чувствительность!$D$24)*IFERROR(LOOKUP(Предпосылки!$J107,$C$13:$C$15,AV$13:AV$15),1)</f>
        <v>0</v>
      </c>
      <c s="125">
        <f>Предпосылки!$I107*Предпосылки!BE107*(1+Чувствительность!$D$24)*IFERROR(LOOKUP(Предпосылки!$J107,$C$13:$C$15,AW$13:AW$15),1)</f>
        <v>0</v>
      </c>
      <c s="125">
        <f>Предпосылки!$I107*Предпосылки!BF107*(1+Чувствительность!$D$24)*IFERROR(LOOKUP(Предпосылки!$J107,$C$13:$C$15,AX$13:AX$15),1)</f>
        <v>0</v>
      </c>
      <c s="125">
        <f>Предпосылки!$I107*Предпосылки!BG107*(1+Чувствительность!$D$24)*IFERROR(LOOKUP(Предпосылки!$J107,$C$13:$C$15,AY$13:AY$15),1)</f>
        <v>0</v>
      </c>
      <c s="125">
        <f>Предпосылки!$I107*Предпосылки!BH107*(1+Чувствительность!$D$24)*IFERROR(LOOKUP(Предпосылки!$J107,$C$13:$C$15,AZ$13:AZ$15),1)</f>
        <v>0</v>
      </c>
      <c s="125">
        <f>Предпосылки!$I107*Предпосылки!BI107*(1+Чувствительность!$D$24)*IFERROR(LOOKUP(Предпосылки!$J107,$C$13:$C$15,BA$13:BA$15),1)</f>
        <v>0</v>
      </c>
      <c s="125">
        <f>Предпосылки!$I107*Предпосылки!BJ107*(1+Чувствительность!$D$24)*IFERROR(LOOKUP(Предпосылки!$J107,$C$13:$C$15,BB$13:BB$15),1)</f>
        <v>0</v>
      </c>
      <c s="125">
        <f>Предпосылки!$I107*Предпосылки!BK107*(1+Чувствительность!$D$24)*IFERROR(LOOKUP(Предпосылки!$J107,$C$13:$C$15,BC$13:BC$15),1)</f>
        <v>0</v>
      </c>
      <c s="125">
        <f>Предпосылки!$I107*Предпосылки!BL107*(1+Чувствительность!$D$24)*IFERROR(LOOKUP(Предпосылки!$J107,$C$13:$C$15,BD$13:BD$15),1)</f>
        <v>0</v>
      </c>
      <c s="125">
        <f>Предпосылки!$I107*Предпосылки!BM107*(1+Чувствительность!$D$24)*IFERROR(LOOKUP(Предпосылки!$J107,$C$13:$C$15,BE$13:BE$15),1)</f>
        <v>0</v>
      </c>
      <c s="125">
        <f>Предпосылки!$I107*Предпосылки!BN107*(1+Чувствительность!$D$24)*IFERROR(LOOKUP(Предпосылки!$J107,$C$13:$C$15,BF$13:BF$15),1)</f>
        <v>0</v>
      </c>
      <c s="125">
        <f>Предпосылки!$I107*Предпосылки!BO107*(1+Чувствительность!$D$24)*IFERROR(LOOKUP(Предпосылки!$J107,$C$13:$C$15,BG$13:BG$15),1)</f>
        <v>0</v>
      </c>
      <c s="125">
        <f>Предпосылки!$I107*Предпосылки!BP107*(1+Чувствительность!$D$24)*IFERROR(LOOKUP(Предпосылки!$J107,$C$13:$C$15,BH$13:BH$15),1)</f>
        <v>0</v>
      </c>
      <c s="125">
        <f>Предпосылки!$I107*Предпосылки!BQ107*(1+Чувствительность!$D$24)*IFERROR(LOOKUP(Предпосылки!$J107,$C$13:$C$15,BI$13:BI$15),1)</f>
        <v>0</v>
      </c>
      <c s="125">
        <f>Предпосылки!$I107*Предпосылки!BR107*(1+Чувствительность!$D$24)*IFERROR(LOOKUP(Предпосылки!$J107,$C$13:$C$15,BJ$13:BJ$15),1)</f>
        <v>0</v>
      </c>
      <c s="125">
        <f>Предпосылки!$I107*Предпосылки!BS107*(1+Чувствительность!$D$24)*IFERROR(LOOKUP(Предпосылки!$J107,$C$13:$C$15,BK$13:BK$15),1)</f>
        <v>0</v>
      </c>
      <c s="125">
        <f>Предпосылки!$I107*Предпосылки!BT107*(1+Чувствительность!$D$24)*IFERROR(LOOKUP(Предпосылки!$J107,$C$13:$C$15,BL$13:BL$15),1)</f>
        <v>0</v>
      </c>
      <c s="125">
        <f>Предпосылки!$I107*Предпосылки!BU107*(1+Чувствительность!$D$24)*IFERROR(LOOKUP(Предпосылки!$J107,$C$13:$C$15,BM$13:BM$15),1)</f>
        <v>0</v>
      </c>
    </row>
    <row r="93" spans="2:65" ht="15" customHeight="1">
      <c r="B93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Предпосылки!$I108*Предпосылки!M108*(1+Чувствительность!$D$24)*IFERROR(LOOKUP(Предпосылки!$J108,$C$13:$C$15,E$13:E$15),1)</f>
        <v>0</v>
      </c>
      <c s="125">
        <f>Предпосылки!$I108*Предпосылки!N108*(1+Чувствительность!$D$24)*IFERROR(LOOKUP(Предпосылки!$J108,$C$13:$C$15,F$13:F$15),1)</f>
        <v>0</v>
      </c>
      <c s="125">
        <f>Предпосылки!$I108*Предпосылки!O108*(1+Чувствительность!$D$24)*IFERROR(LOOKUP(Предпосылки!$J108,$C$13:$C$15,G$13:G$15),1)</f>
        <v>0</v>
      </c>
      <c s="125">
        <f>Предпосылки!$I108*Предпосылки!P108*(1+Чувствительность!$D$24)*IFERROR(LOOKUP(Предпосылки!$J108,$C$13:$C$15,H$13:H$15),1)</f>
        <v>0</v>
      </c>
      <c s="125">
        <f>Предпосылки!$I108*Предпосылки!Q108*(1+Чувствительность!$D$24)*IFERROR(LOOKUP(Предпосылки!$J108,$C$13:$C$15,I$13:I$15),1)</f>
        <v>0</v>
      </c>
      <c s="125">
        <f>Предпосылки!$I108*Предпосылки!R108*(1+Чувствительность!$D$24)*IFERROR(LOOKUP(Предпосылки!$J108,$C$13:$C$15,J$13:J$15),1)</f>
        <v>0</v>
      </c>
      <c s="125">
        <f>Предпосылки!$I108*Предпосылки!S108*(1+Чувствительность!$D$24)*IFERROR(LOOKUP(Предпосылки!$J108,$C$13:$C$15,K$13:K$15),1)</f>
        <v>0</v>
      </c>
      <c s="125">
        <f>Предпосылки!$I108*Предпосылки!T108*(1+Чувствительность!$D$24)*IFERROR(LOOKUP(Предпосылки!$J108,$C$13:$C$15,L$13:L$15),1)</f>
        <v>0</v>
      </c>
      <c s="125">
        <f>Предпосылки!$I108*Предпосылки!U108*(1+Чувствительность!$D$24)*IFERROR(LOOKUP(Предпосылки!$J108,$C$13:$C$15,M$13:M$15),1)</f>
        <v>0</v>
      </c>
      <c s="125">
        <f>Предпосылки!$I108*Предпосылки!V108*(1+Чувствительность!$D$24)*IFERROR(LOOKUP(Предпосылки!$J108,$C$13:$C$15,N$13:N$15),1)</f>
        <v>0</v>
      </c>
      <c s="125">
        <f>Предпосылки!$I108*Предпосылки!W108*(1+Чувствительность!$D$24)*IFERROR(LOOKUP(Предпосылки!$J108,$C$13:$C$15,O$13:O$15),1)</f>
        <v>0</v>
      </c>
      <c s="125">
        <f>Предпосылки!$I108*Предпосылки!X108*(1+Чувствительность!$D$24)*IFERROR(LOOKUP(Предпосылки!$J108,$C$13:$C$15,P$13:P$15),1)</f>
        <v>0</v>
      </c>
      <c s="125">
        <f>Предпосылки!$I108*Предпосылки!Y108*(1+Чувствительность!$D$24)*IFERROR(LOOKUP(Предпосылки!$J108,$C$13:$C$15,Q$13:Q$15),1)</f>
        <v>0</v>
      </c>
      <c s="125">
        <f>Предпосылки!$I108*Предпосылки!Z108*(1+Чувствительность!$D$24)*IFERROR(LOOKUP(Предпосылки!$J108,$C$13:$C$15,R$13:R$15),1)</f>
        <v>0</v>
      </c>
      <c s="125">
        <f>Предпосылки!$I108*Предпосылки!AA108*(1+Чувствительность!$D$24)*IFERROR(LOOKUP(Предпосылки!$J108,$C$13:$C$15,S$13:S$15),1)</f>
        <v>0</v>
      </c>
      <c s="125">
        <f>Предпосылки!$I108*Предпосылки!AB108*(1+Чувствительность!$D$24)*IFERROR(LOOKUP(Предпосылки!$J108,$C$13:$C$15,T$13:T$15),1)</f>
        <v>0</v>
      </c>
      <c s="125">
        <f>Предпосылки!$I108*Предпосылки!AC108*(1+Чувствительность!$D$24)*IFERROR(LOOKUP(Предпосылки!$J108,$C$13:$C$15,U$13:U$15),1)</f>
        <v>0</v>
      </c>
      <c s="125">
        <f>Предпосылки!$I108*Предпосылки!AD108*(1+Чувствительность!$D$24)*IFERROR(LOOKUP(Предпосылки!$J108,$C$13:$C$15,V$13:V$15),1)</f>
        <v>0</v>
      </c>
      <c s="125">
        <f>Предпосылки!$I108*Предпосылки!AE108*(1+Чувствительность!$D$24)*IFERROR(LOOKUP(Предпосылки!$J108,$C$13:$C$15,W$13:W$15),1)</f>
        <v>0</v>
      </c>
      <c s="125">
        <f>Предпосылки!$I108*Предпосылки!AF108*(1+Чувствительность!$D$24)*IFERROR(LOOKUP(Предпосылки!$J108,$C$13:$C$15,X$13:X$15),1)</f>
        <v>0</v>
      </c>
      <c s="125">
        <f>Предпосылки!$I108*Предпосылки!AG108*(1+Чувствительность!$D$24)*IFERROR(LOOKUP(Предпосылки!$J108,$C$13:$C$15,Y$13:Y$15),1)</f>
        <v>0</v>
      </c>
      <c s="125">
        <f>Предпосылки!$I108*Предпосылки!AH108*(1+Чувствительность!$D$24)*IFERROR(LOOKUP(Предпосылки!$J108,$C$13:$C$15,Z$13:Z$15),1)</f>
        <v>0</v>
      </c>
      <c s="125">
        <f>Предпосылки!$I108*Предпосылки!AI108*(1+Чувствительность!$D$24)*IFERROR(LOOKUP(Предпосылки!$J108,$C$13:$C$15,AA$13:AA$15),1)</f>
        <v>0</v>
      </c>
      <c s="125">
        <f>Предпосылки!$I108*Предпосылки!AJ108*(1+Чувствительность!$D$24)*IFERROR(LOOKUP(Предпосылки!$J108,$C$13:$C$15,AB$13:AB$15),1)</f>
        <v>0</v>
      </c>
      <c s="125">
        <f>Предпосылки!$I108*Предпосылки!AK108*(1+Чувствительность!$D$24)*IFERROR(LOOKUP(Предпосылки!$J108,$C$13:$C$15,AC$13:AC$15),1)</f>
        <v>0</v>
      </c>
      <c s="125">
        <f>Предпосылки!$I108*Предпосылки!AL108*(1+Чувствительность!$D$24)*IFERROR(LOOKUP(Предпосылки!$J108,$C$13:$C$15,AD$13:AD$15),1)</f>
        <v>0</v>
      </c>
      <c s="125">
        <f>Предпосылки!$I108*Предпосылки!AM108*(1+Чувствительность!$D$24)*IFERROR(LOOKUP(Предпосылки!$J108,$C$13:$C$15,AE$13:AE$15),1)</f>
        <v>0</v>
      </c>
      <c s="125">
        <f>Предпосылки!$I108*Предпосылки!AN108*(1+Чувствительность!$D$24)*IFERROR(LOOKUP(Предпосылки!$J108,$C$13:$C$15,AF$13:AF$15),1)</f>
        <v>0</v>
      </c>
      <c s="125">
        <f>Предпосылки!$I108*Предпосылки!AO108*(1+Чувствительность!$D$24)*IFERROR(LOOKUP(Предпосылки!$J108,$C$13:$C$15,AG$13:AG$15),1)</f>
        <v>0</v>
      </c>
      <c s="125">
        <f>Предпосылки!$I108*Предпосылки!AP108*(1+Чувствительность!$D$24)*IFERROR(LOOKUP(Предпосылки!$J108,$C$13:$C$15,AH$13:AH$15),1)</f>
        <v>0</v>
      </c>
      <c s="125">
        <f>Предпосылки!$I108*Предпосылки!AQ108*(1+Чувствительность!$D$24)*IFERROR(LOOKUP(Предпосылки!$J108,$C$13:$C$15,AI$13:AI$15),1)</f>
        <v>0</v>
      </c>
      <c s="125">
        <f>Предпосылки!$I108*Предпосылки!AR108*(1+Чувствительность!$D$24)*IFERROR(LOOKUP(Предпосылки!$J108,$C$13:$C$15,AJ$13:AJ$15),1)</f>
        <v>0</v>
      </c>
      <c s="125">
        <f>Предпосылки!$I108*Предпосылки!AS108*(1+Чувствительность!$D$24)*IFERROR(LOOKUP(Предпосылки!$J108,$C$13:$C$15,AK$13:AK$15),1)</f>
        <v>0</v>
      </c>
      <c s="125">
        <f>Предпосылки!$I108*Предпосылки!AT108*(1+Чувствительность!$D$24)*IFERROR(LOOKUP(Предпосылки!$J108,$C$13:$C$15,AL$13:AL$15),1)</f>
        <v>0</v>
      </c>
      <c s="125">
        <f>Предпосылки!$I108*Предпосылки!AU108*(1+Чувствительность!$D$24)*IFERROR(LOOKUP(Предпосылки!$J108,$C$13:$C$15,AM$13:AM$15),1)</f>
        <v>0</v>
      </c>
      <c s="125">
        <f>Предпосылки!$I108*Предпосылки!AV108*(1+Чувствительность!$D$24)*IFERROR(LOOKUP(Предпосылки!$J108,$C$13:$C$15,AN$13:AN$15),1)</f>
        <v>0</v>
      </c>
      <c s="125">
        <f>Предпосылки!$I108*Предпосылки!AW108*(1+Чувствительность!$D$24)*IFERROR(LOOKUP(Предпосылки!$J108,$C$13:$C$15,AO$13:AO$15),1)</f>
        <v>0</v>
      </c>
      <c s="125">
        <f>Предпосылки!$I108*Предпосылки!AX108*(1+Чувствительность!$D$24)*IFERROR(LOOKUP(Предпосылки!$J108,$C$13:$C$15,AP$13:AP$15),1)</f>
        <v>0</v>
      </c>
      <c s="125">
        <f>Предпосылки!$I108*Предпосылки!AY108*(1+Чувствительность!$D$24)*IFERROR(LOOKUP(Предпосылки!$J108,$C$13:$C$15,AQ$13:AQ$15),1)</f>
        <v>0</v>
      </c>
      <c s="125">
        <f>Предпосылки!$I108*Предпосылки!AZ108*(1+Чувствительность!$D$24)*IFERROR(LOOKUP(Предпосылки!$J108,$C$13:$C$15,AR$13:AR$15),1)</f>
        <v>0</v>
      </c>
      <c s="125">
        <f>Предпосылки!$I108*Предпосылки!BA108*(1+Чувствительность!$D$24)*IFERROR(LOOKUP(Предпосылки!$J108,$C$13:$C$15,AS$13:AS$15),1)</f>
        <v>0</v>
      </c>
      <c s="125">
        <f>Предпосылки!$I108*Предпосылки!BB108*(1+Чувствительность!$D$24)*IFERROR(LOOKUP(Предпосылки!$J108,$C$13:$C$15,AT$13:AT$15),1)</f>
        <v>0</v>
      </c>
      <c s="125">
        <f>Предпосылки!$I108*Предпосылки!BC108*(1+Чувствительность!$D$24)*IFERROR(LOOKUP(Предпосылки!$J108,$C$13:$C$15,AU$13:AU$15),1)</f>
        <v>0</v>
      </c>
      <c s="125">
        <f>Предпосылки!$I108*Предпосылки!BD108*(1+Чувствительность!$D$24)*IFERROR(LOOKUP(Предпосылки!$J108,$C$13:$C$15,AV$13:AV$15),1)</f>
        <v>0</v>
      </c>
      <c s="125">
        <f>Предпосылки!$I108*Предпосылки!BE108*(1+Чувствительность!$D$24)*IFERROR(LOOKUP(Предпосылки!$J108,$C$13:$C$15,AW$13:AW$15),1)</f>
        <v>0</v>
      </c>
      <c s="125">
        <f>Предпосылки!$I108*Предпосылки!BF108*(1+Чувствительность!$D$24)*IFERROR(LOOKUP(Предпосылки!$J108,$C$13:$C$15,AX$13:AX$15),1)</f>
        <v>0</v>
      </c>
      <c s="125">
        <f>Предпосылки!$I108*Предпосылки!BG108*(1+Чувствительность!$D$24)*IFERROR(LOOKUP(Предпосылки!$J108,$C$13:$C$15,AY$13:AY$15),1)</f>
        <v>0</v>
      </c>
      <c s="125">
        <f>Предпосылки!$I108*Предпосылки!BH108*(1+Чувствительность!$D$24)*IFERROR(LOOKUP(Предпосылки!$J108,$C$13:$C$15,AZ$13:AZ$15),1)</f>
        <v>0</v>
      </c>
      <c s="125">
        <f>Предпосылки!$I108*Предпосылки!BI108*(1+Чувствительность!$D$24)*IFERROR(LOOKUP(Предпосылки!$J108,$C$13:$C$15,BA$13:BA$15),1)</f>
        <v>0</v>
      </c>
      <c s="125">
        <f>Предпосылки!$I108*Предпосылки!BJ108*(1+Чувствительность!$D$24)*IFERROR(LOOKUP(Предпосылки!$J108,$C$13:$C$15,BB$13:BB$15),1)</f>
        <v>0</v>
      </c>
      <c s="125">
        <f>Предпосылки!$I108*Предпосылки!BK108*(1+Чувствительность!$D$24)*IFERROR(LOOKUP(Предпосылки!$J108,$C$13:$C$15,BC$13:BC$15),1)</f>
        <v>0</v>
      </c>
      <c s="125">
        <f>Предпосылки!$I108*Предпосылки!BL108*(1+Чувствительность!$D$24)*IFERROR(LOOKUP(Предпосылки!$J108,$C$13:$C$15,BD$13:BD$15),1)</f>
        <v>0</v>
      </c>
      <c s="125">
        <f>Предпосылки!$I108*Предпосылки!BM108*(1+Чувствительность!$D$24)*IFERROR(LOOKUP(Предпосылки!$J108,$C$13:$C$15,BE$13:BE$15),1)</f>
        <v>0</v>
      </c>
      <c s="125">
        <f>Предпосылки!$I108*Предпосылки!BN108*(1+Чувствительность!$D$24)*IFERROR(LOOKUP(Предпосылки!$J108,$C$13:$C$15,BF$13:BF$15),1)</f>
        <v>0</v>
      </c>
      <c s="125">
        <f>Предпосылки!$I108*Предпосылки!BO108*(1+Чувствительность!$D$24)*IFERROR(LOOKUP(Предпосылки!$J108,$C$13:$C$15,BG$13:BG$15),1)</f>
        <v>0</v>
      </c>
      <c s="125">
        <f>Предпосылки!$I108*Предпосылки!BP108*(1+Чувствительность!$D$24)*IFERROR(LOOKUP(Предпосылки!$J108,$C$13:$C$15,BH$13:BH$15),1)</f>
        <v>0</v>
      </c>
      <c s="125">
        <f>Предпосылки!$I108*Предпосылки!BQ108*(1+Чувствительность!$D$24)*IFERROR(LOOKUP(Предпосылки!$J108,$C$13:$C$15,BI$13:BI$15),1)</f>
        <v>0</v>
      </c>
      <c s="125">
        <f>Предпосылки!$I108*Предпосылки!BR108*(1+Чувствительность!$D$24)*IFERROR(LOOKUP(Предпосылки!$J108,$C$13:$C$15,BJ$13:BJ$15),1)</f>
        <v>0</v>
      </c>
      <c s="125">
        <f>Предпосылки!$I108*Предпосылки!BS108*(1+Чувствительность!$D$24)*IFERROR(LOOKUP(Предпосылки!$J108,$C$13:$C$15,BK$13:BK$15),1)</f>
        <v>0</v>
      </c>
      <c s="125">
        <f>Предпосылки!$I108*Предпосылки!BT108*(1+Чувствительность!$D$24)*IFERROR(LOOKUP(Предпосылки!$J108,$C$13:$C$15,BL$13:BL$15),1)</f>
        <v>0</v>
      </c>
      <c s="125">
        <f>Предпосылки!$I108*Предпосылки!BU108*(1+Чувствительность!$D$24)*IFERROR(LOOKUP(Предпосылки!$J108,$C$13:$C$15,BM$13:BM$15),1)</f>
        <v>0</v>
      </c>
    </row>
    <row r="94" spans="2:65" ht="15" customHeight="1">
      <c r="B94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Предпосылки!$I109*Предпосылки!M109*(1+Чувствительность!$D$24)*IFERROR(LOOKUP(Предпосылки!$J109,$C$13:$C$15,E$13:E$15),1)</f>
        <v>0</v>
      </c>
      <c s="125">
        <f>Предпосылки!$I109*Предпосылки!N109*(1+Чувствительность!$D$24)*IFERROR(LOOKUP(Предпосылки!$J109,$C$13:$C$15,F$13:F$15),1)</f>
        <v>0</v>
      </c>
      <c s="125">
        <f>Предпосылки!$I109*Предпосылки!O109*(1+Чувствительность!$D$24)*IFERROR(LOOKUP(Предпосылки!$J109,$C$13:$C$15,G$13:G$15),1)</f>
        <v>0</v>
      </c>
      <c s="125">
        <f>Предпосылки!$I109*Предпосылки!P109*(1+Чувствительность!$D$24)*IFERROR(LOOKUP(Предпосылки!$J109,$C$13:$C$15,H$13:H$15),1)</f>
        <v>0</v>
      </c>
      <c s="125">
        <f>Предпосылки!$I109*Предпосылки!Q109*(1+Чувствительность!$D$24)*IFERROR(LOOKUP(Предпосылки!$J109,$C$13:$C$15,I$13:I$15),1)</f>
        <v>0</v>
      </c>
      <c s="125">
        <f>Предпосылки!$I109*Предпосылки!R109*(1+Чувствительность!$D$24)*IFERROR(LOOKUP(Предпосылки!$J109,$C$13:$C$15,J$13:J$15),1)</f>
        <v>0</v>
      </c>
      <c s="125">
        <f>Предпосылки!$I109*Предпосылки!S109*(1+Чувствительность!$D$24)*IFERROR(LOOKUP(Предпосылки!$J109,$C$13:$C$15,K$13:K$15),1)</f>
        <v>0</v>
      </c>
      <c s="125">
        <f>Предпосылки!$I109*Предпосылки!T109*(1+Чувствительность!$D$24)*IFERROR(LOOKUP(Предпосылки!$J109,$C$13:$C$15,L$13:L$15),1)</f>
        <v>0</v>
      </c>
      <c s="125">
        <f>Предпосылки!$I109*Предпосылки!U109*(1+Чувствительность!$D$24)*IFERROR(LOOKUP(Предпосылки!$J109,$C$13:$C$15,M$13:M$15),1)</f>
        <v>0</v>
      </c>
      <c s="125">
        <f>Предпосылки!$I109*Предпосылки!V109*(1+Чувствительность!$D$24)*IFERROR(LOOKUP(Предпосылки!$J109,$C$13:$C$15,N$13:N$15),1)</f>
        <v>0</v>
      </c>
      <c s="125">
        <f>Предпосылки!$I109*Предпосылки!W109*(1+Чувствительность!$D$24)*IFERROR(LOOKUP(Предпосылки!$J109,$C$13:$C$15,O$13:O$15),1)</f>
        <v>0</v>
      </c>
      <c s="125">
        <f>Предпосылки!$I109*Предпосылки!X109*(1+Чувствительность!$D$24)*IFERROR(LOOKUP(Предпосылки!$J109,$C$13:$C$15,P$13:P$15),1)</f>
        <v>0</v>
      </c>
      <c s="125">
        <f>Предпосылки!$I109*Предпосылки!Y109*(1+Чувствительность!$D$24)*IFERROR(LOOKUP(Предпосылки!$J109,$C$13:$C$15,Q$13:Q$15),1)</f>
        <v>0</v>
      </c>
      <c s="125">
        <f>Предпосылки!$I109*Предпосылки!Z109*(1+Чувствительность!$D$24)*IFERROR(LOOKUP(Предпосылки!$J109,$C$13:$C$15,R$13:R$15),1)</f>
        <v>0</v>
      </c>
      <c s="125">
        <f>Предпосылки!$I109*Предпосылки!AA109*(1+Чувствительность!$D$24)*IFERROR(LOOKUP(Предпосылки!$J109,$C$13:$C$15,S$13:S$15),1)</f>
        <v>0</v>
      </c>
      <c s="125">
        <f>Предпосылки!$I109*Предпосылки!AB109*(1+Чувствительность!$D$24)*IFERROR(LOOKUP(Предпосылки!$J109,$C$13:$C$15,T$13:T$15),1)</f>
        <v>0</v>
      </c>
      <c s="125">
        <f>Предпосылки!$I109*Предпосылки!AC109*(1+Чувствительность!$D$24)*IFERROR(LOOKUP(Предпосылки!$J109,$C$13:$C$15,U$13:U$15),1)</f>
        <v>0</v>
      </c>
      <c s="125">
        <f>Предпосылки!$I109*Предпосылки!AD109*(1+Чувствительность!$D$24)*IFERROR(LOOKUP(Предпосылки!$J109,$C$13:$C$15,V$13:V$15),1)</f>
        <v>0</v>
      </c>
      <c s="125">
        <f>Предпосылки!$I109*Предпосылки!AE109*(1+Чувствительность!$D$24)*IFERROR(LOOKUP(Предпосылки!$J109,$C$13:$C$15,W$13:W$15),1)</f>
        <v>0</v>
      </c>
      <c s="125">
        <f>Предпосылки!$I109*Предпосылки!AF109*(1+Чувствительность!$D$24)*IFERROR(LOOKUP(Предпосылки!$J109,$C$13:$C$15,X$13:X$15),1)</f>
        <v>0</v>
      </c>
      <c s="125">
        <f>Предпосылки!$I109*Предпосылки!AG109*(1+Чувствительность!$D$24)*IFERROR(LOOKUP(Предпосылки!$J109,$C$13:$C$15,Y$13:Y$15),1)</f>
        <v>0</v>
      </c>
      <c s="125">
        <f>Предпосылки!$I109*Предпосылки!AH109*(1+Чувствительность!$D$24)*IFERROR(LOOKUP(Предпосылки!$J109,$C$13:$C$15,Z$13:Z$15),1)</f>
        <v>0</v>
      </c>
      <c s="125">
        <f>Предпосылки!$I109*Предпосылки!AI109*(1+Чувствительность!$D$24)*IFERROR(LOOKUP(Предпосылки!$J109,$C$13:$C$15,AA$13:AA$15),1)</f>
        <v>0</v>
      </c>
      <c s="125">
        <f>Предпосылки!$I109*Предпосылки!AJ109*(1+Чувствительность!$D$24)*IFERROR(LOOKUP(Предпосылки!$J109,$C$13:$C$15,AB$13:AB$15),1)</f>
        <v>0</v>
      </c>
      <c s="125">
        <f>Предпосылки!$I109*Предпосылки!AK109*(1+Чувствительность!$D$24)*IFERROR(LOOKUP(Предпосылки!$J109,$C$13:$C$15,AC$13:AC$15),1)</f>
        <v>0</v>
      </c>
      <c s="125">
        <f>Предпосылки!$I109*Предпосылки!AL109*(1+Чувствительность!$D$24)*IFERROR(LOOKUP(Предпосылки!$J109,$C$13:$C$15,AD$13:AD$15),1)</f>
        <v>0</v>
      </c>
      <c s="125">
        <f>Предпосылки!$I109*Предпосылки!AM109*(1+Чувствительность!$D$24)*IFERROR(LOOKUP(Предпосылки!$J109,$C$13:$C$15,AE$13:AE$15),1)</f>
        <v>0</v>
      </c>
      <c s="125">
        <f>Предпосылки!$I109*Предпосылки!AN109*(1+Чувствительность!$D$24)*IFERROR(LOOKUP(Предпосылки!$J109,$C$13:$C$15,AF$13:AF$15),1)</f>
        <v>0</v>
      </c>
      <c s="125">
        <f>Предпосылки!$I109*Предпосылки!AO109*(1+Чувствительность!$D$24)*IFERROR(LOOKUP(Предпосылки!$J109,$C$13:$C$15,AG$13:AG$15),1)</f>
        <v>0</v>
      </c>
      <c s="125">
        <f>Предпосылки!$I109*Предпосылки!AP109*(1+Чувствительность!$D$24)*IFERROR(LOOKUP(Предпосылки!$J109,$C$13:$C$15,AH$13:AH$15),1)</f>
        <v>0</v>
      </c>
      <c s="125">
        <f>Предпосылки!$I109*Предпосылки!AQ109*(1+Чувствительность!$D$24)*IFERROR(LOOKUP(Предпосылки!$J109,$C$13:$C$15,AI$13:AI$15),1)</f>
        <v>0</v>
      </c>
      <c s="125">
        <f>Предпосылки!$I109*Предпосылки!AR109*(1+Чувствительность!$D$24)*IFERROR(LOOKUP(Предпосылки!$J109,$C$13:$C$15,AJ$13:AJ$15),1)</f>
        <v>0</v>
      </c>
      <c s="125">
        <f>Предпосылки!$I109*Предпосылки!AS109*(1+Чувствительность!$D$24)*IFERROR(LOOKUP(Предпосылки!$J109,$C$13:$C$15,AK$13:AK$15),1)</f>
        <v>0</v>
      </c>
      <c s="125">
        <f>Предпосылки!$I109*Предпосылки!AT109*(1+Чувствительность!$D$24)*IFERROR(LOOKUP(Предпосылки!$J109,$C$13:$C$15,AL$13:AL$15),1)</f>
        <v>0</v>
      </c>
      <c s="125">
        <f>Предпосылки!$I109*Предпосылки!AU109*(1+Чувствительность!$D$24)*IFERROR(LOOKUP(Предпосылки!$J109,$C$13:$C$15,AM$13:AM$15),1)</f>
        <v>0</v>
      </c>
      <c s="125">
        <f>Предпосылки!$I109*Предпосылки!AV109*(1+Чувствительность!$D$24)*IFERROR(LOOKUP(Предпосылки!$J109,$C$13:$C$15,AN$13:AN$15),1)</f>
        <v>0</v>
      </c>
      <c s="125">
        <f>Предпосылки!$I109*Предпосылки!AW109*(1+Чувствительность!$D$24)*IFERROR(LOOKUP(Предпосылки!$J109,$C$13:$C$15,AO$13:AO$15),1)</f>
        <v>0</v>
      </c>
      <c s="125">
        <f>Предпосылки!$I109*Предпосылки!AX109*(1+Чувствительность!$D$24)*IFERROR(LOOKUP(Предпосылки!$J109,$C$13:$C$15,AP$13:AP$15),1)</f>
        <v>0</v>
      </c>
      <c s="125">
        <f>Предпосылки!$I109*Предпосылки!AY109*(1+Чувствительность!$D$24)*IFERROR(LOOKUP(Предпосылки!$J109,$C$13:$C$15,AQ$13:AQ$15),1)</f>
        <v>0</v>
      </c>
      <c s="125">
        <f>Предпосылки!$I109*Предпосылки!AZ109*(1+Чувствительность!$D$24)*IFERROR(LOOKUP(Предпосылки!$J109,$C$13:$C$15,AR$13:AR$15),1)</f>
        <v>0</v>
      </c>
      <c s="125">
        <f>Предпосылки!$I109*Предпосылки!BA109*(1+Чувствительность!$D$24)*IFERROR(LOOKUP(Предпосылки!$J109,$C$13:$C$15,AS$13:AS$15),1)</f>
        <v>0</v>
      </c>
      <c s="125">
        <f>Предпосылки!$I109*Предпосылки!BB109*(1+Чувствительность!$D$24)*IFERROR(LOOKUP(Предпосылки!$J109,$C$13:$C$15,AT$13:AT$15),1)</f>
        <v>0</v>
      </c>
      <c s="125">
        <f>Предпосылки!$I109*Предпосылки!BC109*(1+Чувствительность!$D$24)*IFERROR(LOOKUP(Предпосылки!$J109,$C$13:$C$15,AU$13:AU$15),1)</f>
        <v>0</v>
      </c>
      <c s="125">
        <f>Предпосылки!$I109*Предпосылки!BD109*(1+Чувствительность!$D$24)*IFERROR(LOOKUP(Предпосылки!$J109,$C$13:$C$15,AV$13:AV$15),1)</f>
        <v>0</v>
      </c>
      <c s="125">
        <f>Предпосылки!$I109*Предпосылки!BE109*(1+Чувствительность!$D$24)*IFERROR(LOOKUP(Предпосылки!$J109,$C$13:$C$15,AW$13:AW$15),1)</f>
        <v>0</v>
      </c>
      <c s="125">
        <f>Предпосылки!$I109*Предпосылки!BF109*(1+Чувствительность!$D$24)*IFERROR(LOOKUP(Предпосылки!$J109,$C$13:$C$15,AX$13:AX$15),1)</f>
        <v>0</v>
      </c>
      <c s="125">
        <f>Предпосылки!$I109*Предпосылки!BG109*(1+Чувствительность!$D$24)*IFERROR(LOOKUP(Предпосылки!$J109,$C$13:$C$15,AY$13:AY$15),1)</f>
        <v>0</v>
      </c>
      <c s="125">
        <f>Предпосылки!$I109*Предпосылки!BH109*(1+Чувствительность!$D$24)*IFERROR(LOOKUP(Предпосылки!$J109,$C$13:$C$15,AZ$13:AZ$15),1)</f>
        <v>0</v>
      </c>
      <c s="125">
        <f>Предпосылки!$I109*Предпосылки!BI109*(1+Чувствительность!$D$24)*IFERROR(LOOKUP(Предпосылки!$J109,$C$13:$C$15,BA$13:BA$15),1)</f>
        <v>0</v>
      </c>
      <c s="125">
        <f>Предпосылки!$I109*Предпосылки!BJ109*(1+Чувствительность!$D$24)*IFERROR(LOOKUP(Предпосылки!$J109,$C$13:$C$15,BB$13:BB$15),1)</f>
        <v>0</v>
      </c>
      <c s="125">
        <f>Предпосылки!$I109*Предпосылки!BK109*(1+Чувствительность!$D$24)*IFERROR(LOOKUP(Предпосылки!$J109,$C$13:$C$15,BC$13:BC$15),1)</f>
        <v>0</v>
      </c>
      <c s="125">
        <f>Предпосылки!$I109*Предпосылки!BL109*(1+Чувствительность!$D$24)*IFERROR(LOOKUP(Предпосылки!$J109,$C$13:$C$15,BD$13:BD$15),1)</f>
        <v>0</v>
      </c>
      <c s="125">
        <f>Предпосылки!$I109*Предпосылки!BM109*(1+Чувствительность!$D$24)*IFERROR(LOOKUP(Предпосылки!$J109,$C$13:$C$15,BE$13:BE$15),1)</f>
        <v>0</v>
      </c>
      <c s="125">
        <f>Предпосылки!$I109*Предпосылки!BN109*(1+Чувствительность!$D$24)*IFERROR(LOOKUP(Предпосылки!$J109,$C$13:$C$15,BF$13:BF$15),1)</f>
        <v>0</v>
      </c>
      <c s="125">
        <f>Предпосылки!$I109*Предпосылки!BO109*(1+Чувствительность!$D$24)*IFERROR(LOOKUP(Предпосылки!$J109,$C$13:$C$15,BG$13:BG$15),1)</f>
        <v>0</v>
      </c>
      <c s="125">
        <f>Предпосылки!$I109*Предпосылки!BP109*(1+Чувствительность!$D$24)*IFERROR(LOOKUP(Предпосылки!$J109,$C$13:$C$15,BH$13:BH$15),1)</f>
        <v>0</v>
      </c>
      <c s="125">
        <f>Предпосылки!$I109*Предпосылки!BQ109*(1+Чувствительность!$D$24)*IFERROR(LOOKUP(Предпосылки!$J109,$C$13:$C$15,BI$13:BI$15),1)</f>
        <v>0</v>
      </c>
      <c s="125">
        <f>Предпосылки!$I109*Предпосылки!BR109*(1+Чувствительность!$D$24)*IFERROR(LOOKUP(Предпосылки!$J109,$C$13:$C$15,BJ$13:BJ$15),1)</f>
        <v>0</v>
      </c>
      <c s="125">
        <f>Предпосылки!$I109*Предпосылки!BS109*(1+Чувствительность!$D$24)*IFERROR(LOOKUP(Предпосылки!$J109,$C$13:$C$15,BK$13:BK$15),1)</f>
        <v>0</v>
      </c>
      <c s="125">
        <f>Предпосылки!$I109*Предпосылки!BT109*(1+Чувствительность!$D$24)*IFERROR(LOOKUP(Предпосылки!$J109,$C$13:$C$15,BL$13:BL$15),1)</f>
        <v>0</v>
      </c>
      <c s="125">
        <f>Предпосылки!$I109*Предпосылки!BU109*(1+Чувствительность!$D$24)*IFERROR(LOOKUP(Предпосылки!$J109,$C$13:$C$15,BM$13:BM$15),1)</f>
        <v>0</v>
      </c>
    </row>
    <row r="95" spans="2:65" ht="15" customHeight="1">
      <c r="B95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Предпосылки!$I110*Предпосылки!M110*(1+Чувствительность!$D$24)*IFERROR(LOOKUP(Предпосылки!$J110,$C$13:$C$15,E$13:E$15),1)</f>
        <v>0</v>
      </c>
      <c s="125">
        <f>Предпосылки!$I110*Предпосылки!N110*(1+Чувствительность!$D$24)*IFERROR(LOOKUP(Предпосылки!$J110,$C$13:$C$15,F$13:F$15),1)</f>
        <v>0</v>
      </c>
      <c s="125">
        <f>Предпосылки!$I110*Предпосылки!O110*(1+Чувствительность!$D$24)*IFERROR(LOOKUP(Предпосылки!$J110,$C$13:$C$15,G$13:G$15),1)</f>
        <v>0</v>
      </c>
      <c s="125">
        <f>Предпосылки!$I110*Предпосылки!P110*(1+Чувствительность!$D$24)*IFERROR(LOOKUP(Предпосылки!$J110,$C$13:$C$15,H$13:H$15),1)</f>
        <v>0</v>
      </c>
      <c s="125">
        <f>Предпосылки!$I110*Предпосылки!Q110*(1+Чувствительность!$D$24)*IFERROR(LOOKUP(Предпосылки!$J110,$C$13:$C$15,I$13:I$15),1)</f>
        <v>0</v>
      </c>
      <c s="125">
        <f>Предпосылки!$I110*Предпосылки!R110*(1+Чувствительность!$D$24)*IFERROR(LOOKUP(Предпосылки!$J110,$C$13:$C$15,J$13:J$15),1)</f>
        <v>0</v>
      </c>
      <c s="125">
        <f>Предпосылки!$I110*Предпосылки!S110*(1+Чувствительность!$D$24)*IFERROR(LOOKUP(Предпосылки!$J110,$C$13:$C$15,K$13:K$15),1)</f>
        <v>0</v>
      </c>
      <c s="125">
        <f>Предпосылки!$I110*Предпосылки!T110*(1+Чувствительность!$D$24)*IFERROR(LOOKUP(Предпосылки!$J110,$C$13:$C$15,L$13:L$15),1)</f>
        <v>0</v>
      </c>
      <c s="125">
        <f>Предпосылки!$I110*Предпосылки!U110*(1+Чувствительность!$D$24)*IFERROR(LOOKUP(Предпосылки!$J110,$C$13:$C$15,M$13:M$15),1)</f>
        <v>0</v>
      </c>
      <c s="125">
        <f>Предпосылки!$I110*Предпосылки!V110*(1+Чувствительность!$D$24)*IFERROR(LOOKUP(Предпосылки!$J110,$C$13:$C$15,N$13:N$15),1)</f>
        <v>0</v>
      </c>
      <c s="125">
        <f>Предпосылки!$I110*Предпосылки!W110*(1+Чувствительность!$D$24)*IFERROR(LOOKUP(Предпосылки!$J110,$C$13:$C$15,O$13:O$15),1)</f>
        <v>0</v>
      </c>
      <c s="125">
        <f>Предпосылки!$I110*Предпосылки!X110*(1+Чувствительность!$D$24)*IFERROR(LOOKUP(Предпосылки!$J110,$C$13:$C$15,P$13:P$15),1)</f>
        <v>0</v>
      </c>
      <c s="125">
        <f>Предпосылки!$I110*Предпосылки!Y110*(1+Чувствительность!$D$24)*IFERROR(LOOKUP(Предпосылки!$J110,$C$13:$C$15,Q$13:Q$15),1)</f>
        <v>0</v>
      </c>
      <c s="125">
        <f>Предпосылки!$I110*Предпосылки!Z110*(1+Чувствительность!$D$24)*IFERROR(LOOKUP(Предпосылки!$J110,$C$13:$C$15,R$13:R$15),1)</f>
        <v>0</v>
      </c>
      <c s="125">
        <f>Предпосылки!$I110*Предпосылки!AA110*(1+Чувствительность!$D$24)*IFERROR(LOOKUP(Предпосылки!$J110,$C$13:$C$15,S$13:S$15),1)</f>
        <v>0</v>
      </c>
      <c s="125">
        <f>Предпосылки!$I110*Предпосылки!AB110*(1+Чувствительность!$D$24)*IFERROR(LOOKUP(Предпосылки!$J110,$C$13:$C$15,T$13:T$15),1)</f>
        <v>0</v>
      </c>
      <c s="125">
        <f>Предпосылки!$I110*Предпосылки!AC110*(1+Чувствительность!$D$24)*IFERROR(LOOKUP(Предпосылки!$J110,$C$13:$C$15,U$13:U$15),1)</f>
        <v>0</v>
      </c>
      <c s="125">
        <f>Предпосылки!$I110*Предпосылки!AD110*(1+Чувствительность!$D$24)*IFERROR(LOOKUP(Предпосылки!$J110,$C$13:$C$15,V$13:V$15),1)</f>
        <v>0</v>
      </c>
      <c s="125">
        <f>Предпосылки!$I110*Предпосылки!AE110*(1+Чувствительность!$D$24)*IFERROR(LOOKUP(Предпосылки!$J110,$C$13:$C$15,W$13:W$15),1)</f>
        <v>0</v>
      </c>
      <c s="125">
        <f>Предпосылки!$I110*Предпосылки!AF110*(1+Чувствительность!$D$24)*IFERROR(LOOKUP(Предпосылки!$J110,$C$13:$C$15,X$13:X$15),1)</f>
        <v>0</v>
      </c>
      <c s="125">
        <f>Предпосылки!$I110*Предпосылки!AG110*(1+Чувствительность!$D$24)*IFERROR(LOOKUP(Предпосылки!$J110,$C$13:$C$15,Y$13:Y$15),1)</f>
        <v>0</v>
      </c>
      <c s="125">
        <f>Предпосылки!$I110*Предпосылки!AH110*(1+Чувствительность!$D$24)*IFERROR(LOOKUP(Предпосылки!$J110,$C$13:$C$15,Z$13:Z$15),1)</f>
        <v>0</v>
      </c>
      <c s="125">
        <f>Предпосылки!$I110*Предпосылки!AI110*(1+Чувствительность!$D$24)*IFERROR(LOOKUP(Предпосылки!$J110,$C$13:$C$15,AA$13:AA$15),1)</f>
        <v>0</v>
      </c>
      <c s="125">
        <f>Предпосылки!$I110*Предпосылки!AJ110*(1+Чувствительность!$D$24)*IFERROR(LOOKUP(Предпосылки!$J110,$C$13:$C$15,AB$13:AB$15),1)</f>
        <v>0</v>
      </c>
      <c s="125">
        <f>Предпосылки!$I110*Предпосылки!AK110*(1+Чувствительность!$D$24)*IFERROR(LOOKUP(Предпосылки!$J110,$C$13:$C$15,AC$13:AC$15),1)</f>
        <v>0</v>
      </c>
      <c s="125">
        <f>Предпосылки!$I110*Предпосылки!AL110*(1+Чувствительность!$D$24)*IFERROR(LOOKUP(Предпосылки!$J110,$C$13:$C$15,AD$13:AD$15),1)</f>
        <v>0</v>
      </c>
      <c s="125">
        <f>Предпосылки!$I110*Предпосылки!AM110*(1+Чувствительность!$D$24)*IFERROR(LOOKUP(Предпосылки!$J110,$C$13:$C$15,AE$13:AE$15),1)</f>
        <v>0</v>
      </c>
      <c s="125">
        <f>Предпосылки!$I110*Предпосылки!AN110*(1+Чувствительность!$D$24)*IFERROR(LOOKUP(Предпосылки!$J110,$C$13:$C$15,AF$13:AF$15),1)</f>
        <v>0</v>
      </c>
      <c s="125">
        <f>Предпосылки!$I110*Предпосылки!AO110*(1+Чувствительность!$D$24)*IFERROR(LOOKUP(Предпосылки!$J110,$C$13:$C$15,AG$13:AG$15),1)</f>
        <v>0</v>
      </c>
      <c s="125">
        <f>Предпосылки!$I110*Предпосылки!AP110*(1+Чувствительность!$D$24)*IFERROR(LOOKUP(Предпосылки!$J110,$C$13:$C$15,AH$13:AH$15),1)</f>
        <v>0</v>
      </c>
      <c s="125">
        <f>Предпосылки!$I110*Предпосылки!AQ110*(1+Чувствительность!$D$24)*IFERROR(LOOKUP(Предпосылки!$J110,$C$13:$C$15,AI$13:AI$15),1)</f>
        <v>0</v>
      </c>
      <c s="125">
        <f>Предпосылки!$I110*Предпосылки!AR110*(1+Чувствительность!$D$24)*IFERROR(LOOKUP(Предпосылки!$J110,$C$13:$C$15,AJ$13:AJ$15),1)</f>
        <v>0</v>
      </c>
      <c s="125">
        <f>Предпосылки!$I110*Предпосылки!AS110*(1+Чувствительность!$D$24)*IFERROR(LOOKUP(Предпосылки!$J110,$C$13:$C$15,AK$13:AK$15),1)</f>
        <v>0</v>
      </c>
      <c s="125">
        <f>Предпосылки!$I110*Предпосылки!AT110*(1+Чувствительность!$D$24)*IFERROR(LOOKUP(Предпосылки!$J110,$C$13:$C$15,AL$13:AL$15),1)</f>
        <v>0</v>
      </c>
      <c s="125">
        <f>Предпосылки!$I110*Предпосылки!AU110*(1+Чувствительность!$D$24)*IFERROR(LOOKUP(Предпосылки!$J110,$C$13:$C$15,AM$13:AM$15),1)</f>
        <v>0</v>
      </c>
      <c s="125">
        <f>Предпосылки!$I110*Предпосылки!AV110*(1+Чувствительность!$D$24)*IFERROR(LOOKUP(Предпосылки!$J110,$C$13:$C$15,AN$13:AN$15),1)</f>
        <v>0</v>
      </c>
      <c s="125">
        <f>Предпосылки!$I110*Предпосылки!AW110*(1+Чувствительность!$D$24)*IFERROR(LOOKUP(Предпосылки!$J110,$C$13:$C$15,AO$13:AO$15),1)</f>
        <v>0</v>
      </c>
      <c s="125">
        <f>Предпосылки!$I110*Предпосылки!AX110*(1+Чувствительность!$D$24)*IFERROR(LOOKUP(Предпосылки!$J110,$C$13:$C$15,AP$13:AP$15),1)</f>
        <v>0</v>
      </c>
      <c s="125">
        <f>Предпосылки!$I110*Предпосылки!AY110*(1+Чувствительность!$D$24)*IFERROR(LOOKUP(Предпосылки!$J110,$C$13:$C$15,AQ$13:AQ$15),1)</f>
        <v>0</v>
      </c>
      <c s="125">
        <f>Предпосылки!$I110*Предпосылки!AZ110*(1+Чувствительность!$D$24)*IFERROR(LOOKUP(Предпосылки!$J110,$C$13:$C$15,AR$13:AR$15),1)</f>
        <v>0</v>
      </c>
      <c s="125">
        <f>Предпосылки!$I110*Предпосылки!BA110*(1+Чувствительность!$D$24)*IFERROR(LOOKUP(Предпосылки!$J110,$C$13:$C$15,AS$13:AS$15),1)</f>
        <v>0</v>
      </c>
      <c s="125">
        <f>Предпосылки!$I110*Предпосылки!BB110*(1+Чувствительность!$D$24)*IFERROR(LOOKUP(Предпосылки!$J110,$C$13:$C$15,AT$13:AT$15),1)</f>
        <v>0</v>
      </c>
      <c s="125">
        <f>Предпосылки!$I110*Предпосылки!BC110*(1+Чувствительность!$D$24)*IFERROR(LOOKUP(Предпосылки!$J110,$C$13:$C$15,AU$13:AU$15),1)</f>
        <v>0</v>
      </c>
      <c s="125">
        <f>Предпосылки!$I110*Предпосылки!BD110*(1+Чувствительность!$D$24)*IFERROR(LOOKUP(Предпосылки!$J110,$C$13:$C$15,AV$13:AV$15),1)</f>
        <v>0</v>
      </c>
      <c s="125">
        <f>Предпосылки!$I110*Предпосылки!BE110*(1+Чувствительность!$D$24)*IFERROR(LOOKUP(Предпосылки!$J110,$C$13:$C$15,AW$13:AW$15),1)</f>
        <v>0</v>
      </c>
      <c s="125">
        <f>Предпосылки!$I110*Предпосылки!BF110*(1+Чувствительность!$D$24)*IFERROR(LOOKUP(Предпосылки!$J110,$C$13:$C$15,AX$13:AX$15),1)</f>
        <v>0</v>
      </c>
      <c s="125">
        <f>Предпосылки!$I110*Предпосылки!BG110*(1+Чувствительность!$D$24)*IFERROR(LOOKUP(Предпосылки!$J110,$C$13:$C$15,AY$13:AY$15),1)</f>
        <v>0</v>
      </c>
      <c s="125">
        <f>Предпосылки!$I110*Предпосылки!BH110*(1+Чувствительность!$D$24)*IFERROR(LOOKUP(Предпосылки!$J110,$C$13:$C$15,AZ$13:AZ$15),1)</f>
        <v>0</v>
      </c>
      <c s="125">
        <f>Предпосылки!$I110*Предпосылки!BI110*(1+Чувствительность!$D$24)*IFERROR(LOOKUP(Предпосылки!$J110,$C$13:$C$15,BA$13:BA$15),1)</f>
        <v>0</v>
      </c>
      <c s="125">
        <f>Предпосылки!$I110*Предпосылки!BJ110*(1+Чувствительность!$D$24)*IFERROR(LOOKUP(Предпосылки!$J110,$C$13:$C$15,BB$13:BB$15),1)</f>
        <v>0</v>
      </c>
      <c s="125">
        <f>Предпосылки!$I110*Предпосылки!BK110*(1+Чувствительность!$D$24)*IFERROR(LOOKUP(Предпосылки!$J110,$C$13:$C$15,BC$13:BC$15),1)</f>
        <v>0</v>
      </c>
      <c s="125">
        <f>Предпосылки!$I110*Предпосылки!BL110*(1+Чувствительность!$D$24)*IFERROR(LOOKUP(Предпосылки!$J110,$C$13:$C$15,BD$13:BD$15),1)</f>
        <v>0</v>
      </c>
      <c s="125">
        <f>Предпосылки!$I110*Предпосылки!BM110*(1+Чувствительность!$D$24)*IFERROR(LOOKUP(Предпосылки!$J110,$C$13:$C$15,BE$13:BE$15),1)</f>
        <v>0</v>
      </c>
      <c s="125">
        <f>Предпосылки!$I110*Предпосылки!BN110*(1+Чувствительность!$D$24)*IFERROR(LOOKUP(Предпосылки!$J110,$C$13:$C$15,BF$13:BF$15),1)</f>
        <v>0</v>
      </c>
      <c s="125">
        <f>Предпосылки!$I110*Предпосылки!BO110*(1+Чувствительность!$D$24)*IFERROR(LOOKUP(Предпосылки!$J110,$C$13:$C$15,BG$13:BG$15),1)</f>
        <v>0</v>
      </c>
      <c s="125">
        <f>Предпосылки!$I110*Предпосылки!BP110*(1+Чувствительность!$D$24)*IFERROR(LOOKUP(Предпосылки!$J110,$C$13:$C$15,BH$13:BH$15),1)</f>
        <v>0</v>
      </c>
      <c s="125">
        <f>Предпосылки!$I110*Предпосылки!BQ110*(1+Чувствительность!$D$24)*IFERROR(LOOKUP(Предпосылки!$J110,$C$13:$C$15,BI$13:BI$15),1)</f>
        <v>0</v>
      </c>
      <c s="125">
        <f>Предпосылки!$I110*Предпосылки!BR110*(1+Чувствительность!$D$24)*IFERROR(LOOKUP(Предпосылки!$J110,$C$13:$C$15,BJ$13:BJ$15),1)</f>
        <v>0</v>
      </c>
      <c s="125">
        <f>Предпосылки!$I110*Предпосылки!BS110*(1+Чувствительность!$D$24)*IFERROR(LOOKUP(Предпосылки!$J110,$C$13:$C$15,BK$13:BK$15),1)</f>
        <v>0</v>
      </c>
      <c s="125">
        <f>Предпосылки!$I110*Предпосылки!BT110*(1+Чувствительность!$D$24)*IFERROR(LOOKUP(Предпосылки!$J110,$C$13:$C$15,BL$13:BL$15),1)</f>
        <v>0</v>
      </c>
      <c s="125">
        <f>Предпосылки!$I110*Предпосылки!BU110*(1+Чувствительность!$D$24)*IFERROR(LOOKUP(Предпосылки!$J110,$C$13:$C$15,BM$13:BM$15),1)</f>
        <v>0</v>
      </c>
    </row>
    <row r="96" spans="2:65" ht="15" customHeight="1">
      <c r="B96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Предпосылки!$I111*Предпосылки!M111*(1+Чувствительность!$D$24)*IFERROR(LOOKUP(Предпосылки!$J111,$C$13:$C$15,E$13:E$15),1)</f>
        <v>0</v>
      </c>
      <c s="125">
        <f>Предпосылки!$I111*Предпосылки!N111*(1+Чувствительность!$D$24)*IFERROR(LOOKUP(Предпосылки!$J111,$C$13:$C$15,F$13:F$15),1)</f>
        <v>0</v>
      </c>
      <c s="125">
        <f>Предпосылки!$I111*Предпосылки!O111*(1+Чувствительность!$D$24)*IFERROR(LOOKUP(Предпосылки!$J111,$C$13:$C$15,G$13:G$15),1)</f>
        <v>0</v>
      </c>
      <c s="125">
        <f>Предпосылки!$I111*Предпосылки!P111*(1+Чувствительность!$D$24)*IFERROR(LOOKUP(Предпосылки!$J111,$C$13:$C$15,H$13:H$15),1)</f>
        <v>0</v>
      </c>
      <c s="125">
        <f>Предпосылки!$I111*Предпосылки!Q111*(1+Чувствительность!$D$24)*IFERROR(LOOKUP(Предпосылки!$J111,$C$13:$C$15,I$13:I$15),1)</f>
        <v>0</v>
      </c>
      <c s="125">
        <f>Предпосылки!$I111*Предпосылки!R111*(1+Чувствительность!$D$24)*IFERROR(LOOKUP(Предпосылки!$J111,$C$13:$C$15,J$13:J$15),1)</f>
        <v>0</v>
      </c>
      <c s="125">
        <f>Предпосылки!$I111*Предпосылки!S111*(1+Чувствительность!$D$24)*IFERROR(LOOKUP(Предпосылки!$J111,$C$13:$C$15,K$13:K$15),1)</f>
        <v>0</v>
      </c>
      <c s="125">
        <f>Предпосылки!$I111*Предпосылки!T111*(1+Чувствительность!$D$24)*IFERROR(LOOKUP(Предпосылки!$J111,$C$13:$C$15,L$13:L$15),1)</f>
        <v>0</v>
      </c>
      <c s="125">
        <f>Предпосылки!$I111*Предпосылки!U111*(1+Чувствительность!$D$24)*IFERROR(LOOKUP(Предпосылки!$J111,$C$13:$C$15,M$13:M$15),1)</f>
        <v>0</v>
      </c>
      <c s="125">
        <f>Предпосылки!$I111*Предпосылки!V111*(1+Чувствительность!$D$24)*IFERROR(LOOKUP(Предпосылки!$J111,$C$13:$C$15,N$13:N$15),1)</f>
        <v>0</v>
      </c>
      <c s="125">
        <f>Предпосылки!$I111*Предпосылки!W111*(1+Чувствительность!$D$24)*IFERROR(LOOKUP(Предпосылки!$J111,$C$13:$C$15,O$13:O$15),1)</f>
        <v>0</v>
      </c>
      <c s="125">
        <f>Предпосылки!$I111*Предпосылки!X111*(1+Чувствительность!$D$24)*IFERROR(LOOKUP(Предпосылки!$J111,$C$13:$C$15,P$13:P$15),1)</f>
        <v>0</v>
      </c>
      <c s="125">
        <f>Предпосылки!$I111*Предпосылки!Y111*(1+Чувствительность!$D$24)*IFERROR(LOOKUP(Предпосылки!$J111,$C$13:$C$15,Q$13:Q$15),1)</f>
        <v>0</v>
      </c>
      <c s="125">
        <f>Предпосылки!$I111*Предпосылки!Z111*(1+Чувствительность!$D$24)*IFERROR(LOOKUP(Предпосылки!$J111,$C$13:$C$15,R$13:R$15),1)</f>
        <v>0</v>
      </c>
      <c s="125">
        <f>Предпосылки!$I111*Предпосылки!AA111*(1+Чувствительность!$D$24)*IFERROR(LOOKUP(Предпосылки!$J111,$C$13:$C$15,S$13:S$15),1)</f>
        <v>0</v>
      </c>
      <c s="125">
        <f>Предпосылки!$I111*Предпосылки!AB111*(1+Чувствительность!$D$24)*IFERROR(LOOKUP(Предпосылки!$J111,$C$13:$C$15,T$13:T$15),1)</f>
        <v>0</v>
      </c>
      <c s="125">
        <f>Предпосылки!$I111*Предпосылки!AC111*(1+Чувствительность!$D$24)*IFERROR(LOOKUP(Предпосылки!$J111,$C$13:$C$15,U$13:U$15),1)</f>
        <v>0</v>
      </c>
      <c s="125">
        <f>Предпосылки!$I111*Предпосылки!AD111*(1+Чувствительность!$D$24)*IFERROR(LOOKUP(Предпосылки!$J111,$C$13:$C$15,V$13:V$15),1)</f>
        <v>0</v>
      </c>
      <c s="125">
        <f>Предпосылки!$I111*Предпосылки!AE111*(1+Чувствительность!$D$24)*IFERROR(LOOKUP(Предпосылки!$J111,$C$13:$C$15,W$13:W$15),1)</f>
        <v>0</v>
      </c>
      <c s="125">
        <f>Предпосылки!$I111*Предпосылки!AF111*(1+Чувствительность!$D$24)*IFERROR(LOOKUP(Предпосылки!$J111,$C$13:$C$15,X$13:X$15),1)</f>
        <v>0</v>
      </c>
      <c s="125">
        <f>Предпосылки!$I111*Предпосылки!AG111*(1+Чувствительность!$D$24)*IFERROR(LOOKUP(Предпосылки!$J111,$C$13:$C$15,Y$13:Y$15),1)</f>
        <v>0</v>
      </c>
      <c s="125">
        <f>Предпосылки!$I111*Предпосылки!AH111*(1+Чувствительность!$D$24)*IFERROR(LOOKUP(Предпосылки!$J111,$C$13:$C$15,Z$13:Z$15),1)</f>
        <v>0</v>
      </c>
      <c s="125">
        <f>Предпосылки!$I111*Предпосылки!AI111*(1+Чувствительность!$D$24)*IFERROR(LOOKUP(Предпосылки!$J111,$C$13:$C$15,AA$13:AA$15),1)</f>
        <v>0</v>
      </c>
      <c s="125">
        <f>Предпосылки!$I111*Предпосылки!AJ111*(1+Чувствительность!$D$24)*IFERROR(LOOKUP(Предпосылки!$J111,$C$13:$C$15,AB$13:AB$15),1)</f>
        <v>0</v>
      </c>
      <c s="125">
        <f>Предпосылки!$I111*Предпосылки!AK111*(1+Чувствительность!$D$24)*IFERROR(LOOKUP(Предпосылки!$J111,$C$13:$C$15,AC$13:AC$15),1)</f>
        <v>0</v>
      </c>
      <c s="125">
        <f>Предпосылки!$I111*Предпосылки!AL111*(1+Чувствительность!$D$24)*IFERROR(LOOKUP(Предпосылки!$J111,$C$13:$C$15,AD$13:AD$15),1)</f>
        <v>0</v>
      </c>
      <c s="125">
        <f>Предпосылки!$I111*Предпосылки!AM111*(1+Чувствительность!$D$24)*IFERROR(LOOKUP(Предпосылки!$J111,$C$13:$C$15,AE$13:AE$15),1)</f>
        <v>0</v>
      </c>
      <c s="125">
        <f>Предпосылки!$I111*Предпосылки!AN111*(1+Чувствительность!$D$24)*IFERROR(LOOKUP(Предпосылки!$J111,$C$13:$C$15,AF$13:AF$15),1)</f>
        <v>0</v>
      </c>
      <c s="125">
        <f>Предпосылки!$I111*Предпосылки!AO111*(1+Чувствительность!$D$24)*IFERROR(LOOKUP(Предпосылки!$J111,$C$13:$C$15,AG$13:AG$15),1)</f>
        <v>0</v>
      </c>
      <c s="125">
        <f>Предпосылки!$I111*Предпосылки!AP111*(1+Чувствительность!$D$24)*IFERROR(LOOKUP(Предпосылки!$J111,$C$13:$C$15,AH$13:AH$15),1)</f>
        <v>0</v>
      </c>
      <c s="125">
        <f>Предпосылки!$I111*Предпосылки!AQ111*(1+Чувствительность!$D$24)*IFERROR(LOOKUP(Предпосылки!$J111,$C$13:$C$15,AI$13:AI$15),1)</f>
        <v>0</v>
      </c>
      <c s="125">
        <f>Предпосылки!$I111*Предпосылки!AR111*(1+Чувствительность!$D$24)*IFERROR(LOOKUP(Предпосылки!$J111,$C$13:$C$15,AJ$13:AJ$15),1)</f>
        <v>0</v>
      </c>
      <c s="125">
        <f>Предпосылки!$I111*Предпосылки!AS111*(1+Чувствительность!$D$24)*IFERROR(LOOKUP(Предпосылки!$J111,$C$13:$C$15,AK$13:AK$15),1)</f>
        <v>0</v>
      </c>
      <c s="125">
        <f>Предпосылки!$I111*Предпосылки!AT111*(1+Чувствительность!$D$24)*IFERROR(LOOKUP(Предпосылки!$J111,$C$13:$C$15,AL$13:AL$15),1)</f>
        <v>0</v>
      </c>
      <c s="125">
        <f>Предпосылки!$I111*Предпосылки!AU111*(1+Чувствительность!$D$24)*IFERROR(LOOKUP(Предпосылки!$J111,$C$13:$C$15,AM$13:AM$15),1)</f>
        <v>0</v>
      </c>
      <c s="125">
        <f>Предпосылки!$I111*Предпосылки!AV111*(1+Чувствительность!$D$24)*IFERROR(LOOKUP(Предпосылки!$J111,$C$13:$C$15,AN$13:AN$15),1)</f>
        <v>0</v>
      </c>
      <c s="125">
        <f>Предпосылки!$I111*Предпосылки!AW111*(1+Чувствительность!$D$24)*IFERROR(LOOKUP(Предпосылки!$J111,$C$13:$C$15,AO$13:AO$15),1)</f>
        <v>0</v>
      </c>
      <c s="125">
        <f>Предпосылки!$I111*Предпосылки!AX111*(1+Чувствительность!$D$24)*IFERROR(LOOKUP(Предпосылки!$J111,$C$13:$C$15,AP$13:AP$15),1)</f>
        <v>0</v>
      </c>
      <c s="125">
        <f>Предпосылки!$I111*Предпосылки!AY111*(1+Чувствительность!$D$24)*IFERROR(LOOKUP(Предпосылки!$J111,$C$13:$C$15,AQ$13:AQ$15),1)</f>
        <v>0</v>
      </c>
      <c s="125">
        <f>Предпосылки!$I111*Предпосылки!AZ111*(1+Чувствительность!$D$24)*IFERROR(LOOKUP(Предпосылки!$J111,$C$13:$C$15,AR$13:AR$15),1)</f>
        <v>0</v>
      </c>
      <c s="125">
        <f>Предпосылки!$I111*Предпосылки!BA111*(1+Чувствительность!$D$24)*IFERROR(LOOKUP(Предпосылки!$J111,$C$13:$C$15,AS$13:AS$15),1)</f>
        <v>0</v>
      </c>
      <c s="125">
        <f>Предпосылки!$I111*Предпосылки!BB111*(1+Чувствительность!$D$24)*IFERROR(LOOKUP(Предпосылки!$J111,$C$13:$C$15,AT$13:AT$15),1)</f>
        <v>0</v>
      </c>
      <c s="125">
        <f>Предпосылки!$I111*Предпосылки!BC111*(1+Чувствительность!$D$24)*IFERROR(LOOKUP(Предпосылки!$J111,$C$13:$C$15,AU$13:AU$15),1)</f>
        <v>0</v>
      </c>
      <c s="125">
        <f>Предпосылки!$I111*Предпосылки!BD111*(1+Чувствительность!$D$24)*IFERROR(LOOKUP(Предпосылки!$J111,$C$13:$C$15,AV$13:AV$15),1)</f>
        <v>0</v>
      </c>
      <c s="125">
        <f>Предпосылки!$I111*Предпосылки!BE111*(1+Чувствительность!$D$24)*IFERROR(LOOKUP(Предпосылки!$J111,$C$13:$C$15,AW$13:AW$15),1)</f>
        <v>0</v>
      </c>
      <c s="125">
        <f>Предпосылки!$I111*Предпосылки!BF111*(1+Чувствительность!$D$24)*IFERROR(LOOKUP(Предпосылки!$J111,$C$13:$C$15,AX$13:AX$15),1)</f>
        <v>0</v>
      </c>
      <c s="125">
        <f>Предпосылки!$I111*Предпосылки!BG111*(1+Чувствительность!$D$24)*IFERROR(LOOKUP(Предпосылки!$J111,$C$13:$C$15,AY$13:AY$15),1)</f>
        <v>0</v>
      </c>
      <c s="125">
        <f>Предпосылки!$I111*Предпосылки!BH111*(1+Чувствительность!$D$24)*IFERROR(LOOKUP(Предпосылки!$J111,$C$13:$C$15,AZ$13:AZ$15),1)</f>
        <v>0</v>
      </c>
      <c s="125">
        <f>Предпосылки!$I111*Предпосылки!BI111*(1+Чувствительность!$D$24)*IFERROR(LOOKUP(Предпосылки!$J111,$C$13:$C$15,BA$13:BA$15),1)</f>
        <v>0</v>
      </c>
      <c s="125">
        <f>Предпосылки!$I111*Предпосылки!BJ111*(1+Чувствительность!$D$24)*IFERROR(LOOKUP(Предпосылки!$J111,$C$13:$C$15,BB$13:BB$15),1)</f>
        <v>0</v>
      </c>
      <c s="125">
        <f>Предпосылки!$I111*Предпосылки!BK111*(1+Чувствительность!$D$24)*IFERROR(LOOKUP(Предпосылки!$J111,$C$13:$C$15,BC$13:BC$15),1)</f>
        <v>0</v>
      </c>
      <c s="125">
        <f>Предпосылки!$I111*Предпосылки!BL111*(1+Чувствительность!$D$24)*IFERROR(LOOKUP(Предпосылки!$J111,$C$13:$C$15,BD$13:BD$15),1)</f>
        <v>0</v>
      </c>
      <c s="125">
        <f>Предпосылки!$I111*Предпосылки!BM111*(1+Чувствительность!$D$24)*IFERROR(LOOKUP(Предпосылки!$J111,$C$13:$C$15,BE$13:BE$15),1)</f>
        <v>0</v>
      </c>
      <c s="125">
        <f>Предпосылки!$I111*Предпосылки!BN111*(1+Чувствительность!$D$24)*IFERROR(LOOKUP(Предпосылки!$J111,$C$13:$C$15,BF$13:BF$15),1)</f>
        <v>0</v>
      </c>
      <c s="125">
        <f>Предпосылки!$I111*Предпосылки!BO111*(1+Чувствительность!$D$24)*IFERROR(LOOKUP(Предпосылки!$J111,$C$13:$C$15,BG$13:BG$15),1)</f>
        <v>0</v>
      </c>
      <c s="125">
        <f>Предпосылки!$I111*Предпосылки!BP111*(1+Чувствительность!$D$24)*IFERROR(LOOKUP(Предпосылки!$J111,$C$13:$C$15,BH$13:BH$15),1)</f>
        <v>0</v>
      </c>
      <c s="125">
        <f>Предпосылки!$I111*Предпосылки!BQ111*(1+Чувствительность!$D$24)*IFERROR(LOOKUP(Предпосылки!$J111,$C$13:$C$15,BI$13:BI$15),1)</f>
        <v>0</v>
      </c>
      <c s="125">
        <f>Предпосылки!$I111*Предпосылки!BR111*(1+Чувствительность!$D$24)*IFERROR(LOOKUP(Предпосылки!$J111,$C$13:$C$15,BJ$13:BJ$15),1)</f>
        <v>0</v>
      </c>
      <c s="125">
        <f>Предпосылки!$I111*Предпосылки!BS111*(1+Чувствительность!$D$24)*IFERROR(LOOKUP(Предпосылки!$J111,$C$13:$C$15,BK$13:BK$15),1)</f>
        <v>0</v>
      </c>
      <c s="125">
        <f>Предпосылки!$I111*Предпосылки!BT111*(1+Чувствительность!$D$24)*IFERROR(LOOKUP(Предпосылки!$J111,$C$13:$C$15,BL$13:BL$15),1)</f>
        <v>0</v>
      </c>
      <c s="125">
        <f>Предпосылки!$I111*Предпосылки!BU111*(1+Чувствительность!$D$24)*IFERROR(LOOKUP(Предпосылки!$J111,$C$13:$C$15,BM$13:BM$15),1)</f>
        <v>0</v>
      </c>
    </row>
    <row r="97" spans="2:65" ht="15" customHeight="1">
      <c r="B97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Предпосылки!$I112*Предпосылки!M112*(1+Чувствительность!$D$24)*IFERROR(LOOKUP(Предпосылки!$J112,$C$13:$C$15,E$13:E$15),1)</f>
        <v>0</v>
      </c>
      <c s="125">
        <f>Предпосылки!$I112*Предпосылки!N112*(1+Чувствительность!$D$24)*IFERROR(LOOKUP(Предпосылки!$J112,$C$13:$C$15,F$13:F$15),1)</f>
        <v>0</v>
      </c>
      <c s="125">
        <f>Предпосылки!$I112*Предпосылки!O112*(1+Чувствительность!$D$24)*IFERROR(LOOKUP(Предпосылки!$J112,$C$13:$C$15,G$13:G$15),1)</f>
        <v>0</v>
      </c>
      <c s="125">
        <f>Предпосылки!$I112*Предпосылки!P112*(1+Чувствительность!$D$24)*IFERROR(LOOKUP(Предпосылки!$J112,$C$13:$C$15,H$13:H$15),1)</f>
        <v>0</v>
      </c>
      <c s="125">
        <f>Предпосылки!$I112*Предпосылки!Q112*(1+Чувствительность!$D$24)*IFERROR(LOOKUP(Предпосылки!$J112,$C$13:$C$15,I$13:I$15),1)</f>
        <v>0</v>
      </c>
      <c s="125">
        <f>Предпосылки!$I112*Предпосылки!R112*(1+Чувствительность!$D$24)*IFERROR(LOOKUP(Предпосылки!$J112,$C$13:$C$15,J$13:J$15),1)</f>
        <v>0</v>
      </c>
      <c s="125">
        <f>Предпосылки!$I112*Предпосылки!S112*(1+Чувствительность!$D$24)*IFERROR(LOOKUP(Предпосылки!$J112,$C$13:$C$15,K$13:K$15),1)</f>
        <v>0</v>
      </c>
      <c s="125">
        <f>Предпосылки!$I112*Предпосылки!T112*(1+Чувствительность!$D$24)*IFERROR(LOOKUP(Предпосылки!$J112,$C$13:$C$15,L$13:L$15),1)</f>
        <v>0</v>
      </c>
      <c s="125">
        <f>Предпосылки!$I112*Предпосылки!U112*(1+Чувствительность!$D$24)*IFERROR(LOOKUP(Предпосылки!$J112,$C$13:$C$15,M$13:M$15),1)</f>
        <v>0</v>
      </c>
      <c s="125">
        <f>Предпосылки!$I112*Предпосылки!V112*(1+Чувствительность!$D$24)*IFERROR(LOOKUP(Предпосылки!$J112,$C$13:$C$15,N$13:N$15),1)</f>
        <v>0</v>
      </c>
      <c s="125">
        <f>Предпосылки!$I112*Предпосылки!W112*(1+Чувствительность!$D$24)*IFERROR(LOOKUP(Предпосылки!$J112,$C$13:$C$15,O$13:O$15),1)</f>
        <v>0</v>
      </c>
      <c s="125">
        <f>Предпосылки!$I112*Предпосылки!X112*(1+Чувствительность!$D$24)*IFERROR(LOOKUP(Предпосылки!$J112,$C$13:$C$15,P$13:P$15),1)</f>
        <v>0</v>
      </c>
      <c s="125">
        <f>Предпосылки!$I112*Предпосылки!Y112*(1+Чувствительность!$D$24)*IFERROR(LOOKUP(Предпосылки!$J112,$C$13:$C$15,Q$13:Q$15),1)</f>
        <v>0</v>
      </c>
      <c s="125">
        <f>Предпосылки!$I112*Предпосылки!Z112*(1+Чувствительность!$D$24)*IFERROR(LOOKUP(Предпосылки!$J112,$C$13:$C$15,R$13:R$15),1)</f>
        <v>0</v>
      </c>
      <c s="125">
        <f>Предпосылки!$I112*Предпосылки!AA112*(1+Чувствительность!$D$24)*IFERROR(LOOKUP(Предпосылки!$J112,$C$13:$C$15,S$13:S$15),1)</f>
        <v>0</v>
      </c>
      <c s="125">
        <f>Предпосылки!$I112*Предпосылки!AB112*(1+Чувствительность!$D$24)*IFERROR(LOOKUP(Предпосылки!$J112,$C$13:$C$15,T$13:T$15),1)</f>
        <v>0</v>
      </c>
      <c s="125">
        <f>Предпосылки!$I112*Предпосылки!AC112*(1+Чувствительность!$D$24)*IFERROR(LOOKUP(Предпосылки!$J112,$C$13:$C$15,U$13:U$15),1)</f>
        <v>0</v>
      </c>
      <c s="125">
        <f>Предпосылки!$I112*Предпосылки!AD112*(1+Чувствительность!$D$24)*IFERROR(LOOKUP(Предпосылки!$J112,$C$13:$C$15,V$13:V$15),1)</f>
        <v>0</v>
      </c>
      <c s="125">
        <f>Предпосылки!$I112*Предпосылки!AE112*(1+Чувствительность!$D$24)*IFERROR(LOOKUP(Предпосылки!$J112,$C$13:$C$15,W$13:W$15),1)</f>
        <v>0</v>
      </c>
      <c s="125">
        <f>Предпосылки!$I112*Предпосылки!AF112*(1+Чувствительность!$D$24)*IFERROR(LOOKUP(Предпосылки!$J112,$C$13:$C$15,X$13:X$15),1)</f>
        <v>0</v>
      </c>
      <c s="125">
        <f>Предпосылки!$I112*Предпосылки!AG112*(1+Чувствительность!$D$24)*IFERROR(LOOKUP(Предпосылки!$J112,$C$13:$C$15,Y$13:Y$15),1)</f>
        <v>0</v>
      </c>
      <c s="125">
        <f>Предпосылки!$I112*Предпосылки!AH112*(1+Чувствительность!$D$24)*IFERROR(LOOKUP(Предпосылки!$J112,$C$13:$C$15,Z$13:Z$15),1)</f>
        <v>0</v>
      </c>
      <c s="125">
        <f>Предпосылки!$I112*Предпосылки!AI112*(1+Чувствительность!$D$24)*IFERROR(LOOKUP(Предпосылки!$J112,$C$13:$C$15,AA$13:AA$15),1)</f>
        <v>0</v>
      </c>
      <c s="125">
        <f>Предпосылки!$I112*Предпосылки!AJ112*(1+Чувствительность!$D$24)*IFERROR(LOOKUP(Предпосылки!$J112,$C$13:$C$15,AB$13:AB$15),1)</f>
        <v>0</v>
      </c>
      <c s="125">
        <f>Предпосылки!$I112*Предпосылки!AK112*(1+Чувствительность!$D$24)*IFERROR(LOOKUP(Предпосылки!$J112,$C$13:$C$15,AC$13:AC$15),1)</f>
        <v>0</v>
      </c>
      <c s="125">
        <f>Предпосылки!$I112*Предпосылки!AL112*(1+Чувствительность!$D$24)*IFERROR(LOOKUP(Предпосылки!$J112,$C$13:$C$15,AD$13:AD$15),1)</f>
        <v>0</v>
      </c>
      <c s="125">
        <f>Предпосылки!$I112*Предпосылки!AM112*(1+Чувствительность!$D$24)*IFERROR(LOOKUP(Предпосылки!$J112,$C$13:$C$15,AE$13:AE$15),1)</f>
        <v>0</v>
      </c>
      <c s="125">
        <f>Предпосылки!$I112*Предпосылки!AN112*(1+Чувствительность!$D$24)*IFERROR(LOOKUP(Предпосылки!$J112,$C$13:$C$15,AF$13:AF$15),1)</f>
        <v>0</v>
      </c>
      <c s="125">
        <f>Предпосылки!$I112*Предпосылки!AO112*(1+Чувствительность!$D$24)*IFERROR(LOOKUP(Предпосылки!$J112,$C$13:$C$15,AG$13:AG$15),1)</f>
        <v>0</v>
      </c>
      <c s="125">
        <f>Предпосылки!$I112*Предпосылки!AP112*(1+Чувствительность!$D$24)*IFERROR(LOOKUP(Предпосылки!$J112,$C$13:$C$15,AH$13:AH$15),1)</f>
        <v>0</v>
      </c>
      <c s="125">
        <f>Предпосылки!$I112*Предпосылки!AQ112*(1+Чувствительность!$D$24)*IFERROR(LOOKUP(Предпосылки!$J112,$C$13:$C$15,AI$13:AI$15),1)</f>
        <v>0</v>
      </c>
      <c s="125">
        <f>Предпосылки!$I112*Предпосылки!AR112*(1+Чувствительность!$D$24)*IFERROR(LOOKUP(Предпосылки!$J112,$C$13:$C$15,AJ$13:AJ$15),1)</f>
        <v>0</v>
      </c>
      <c s="125">
        <f>Предпосылки!$I112*Предпосылки!AS112*(1+Чувствительность!$D$24)*IFERROR(LOOKUP(Предпосылки!$J112,$C$13:$C$15,AK$13:AK$15),1)</f>
        <v>0</v>
      </c>
      <c s="125">
        <f>Предпосылки!$I112*Предпосылки!AT112*(1+Чувствительность!$D$24)*IFERROR(LOOKUP(Предпосылки!$J112,$C$13:$C$15,AL$13:AL$15),1)</f>
        <v>0</v>
      </c>
      <c s="125">
        <f>Предпосылки!$I112*Предпосылки!AU112*(1+Чувствительность!$D$24)*IFERROR(LOOKUP(Предпосылки!$J112,$C$13:$C$15,AM$13:AM$15),1)</f>
        <v>0</v>
      </c>
      <c s="125">
        <f>Предпосылки!$I112*Предпосылки!AV112*(1+Чувствительность!$D$24)*IFERROR(LOOKUP(Предпосылки!$J112,$C$13:$C$15,AN$13:AN$15),1)</f>
        <v>0</v>
      </c>
      <c s="125">
        <f>Предпосылки!$I112*Предпосылки!AW112*(1+Чувствительность!$D$24)*IFERROR(LOOKUP(Предпосылки!$J112,$C$13:$C$15,AO$13:AO$15),1)</f>
        <v>0</v>
      </c>
      <c s="125">
        <f>Предпосылки!$I112*Предпосылки!AX112*(1+Чувствительность!$D$24)*IFERROR(LOOKUP(Предпосылки!$J112,$C$13:$C$15,AP$13:AP$15),1)</f>
        <v>0</v>
      </c>
      <c s="125">
        <f>Предпосылки!$I112*Предпосылки!AY112*(1+Чувствительность!$D$24)*IFERROR(LOOKUP(Предпосылки!$J112,$C$13:$C$15,AQ$13:AQ$15),1)</f>
        <v>0</v>
      </c>
      <c s="125">
        <f>Предпосылки!$I112*Предпосылки!AZ112*(1+Чувствительность!$D$24)*IFERROR(LOOKUP(Предпосылки!$J112,$C$13:$C$15,AR$13:AR$15),1)</f>
        <v>0</v>
      </c>
      <c s="125">
        <f>Предпосылки!$I112*Предпосылки!BA112*(1+Чувствительность!$D$24)*IFERROR(LOOKUP(Предпосылки!$J112,$C$13:$C$15,AS$13:AS$15),1)</f>
        <v>0</v>
      </c>
      <c s="125">
        <f>Предпосылки!$I112*Предпосылки!BB112*(1+Чувствительность!$D$24)*IFERROR(LOOKUP(Предпосылки!$J112,$C$13:$C$15,AT$13:AT$15),1)</f>
        <v>0</v>
      </c>
      <c s="125">
        <f>Предпосылки!$I112*Предпосылки!BC112*(1+Чувствительность!$D$24)*IFERROR(LOOKUP(Предпосылки!$J112,$C$13:$C$15,AU$13:AU$15),1)</f>
        <v>0</v>
      </c>
      <c s="125">
        <f>Предпосылки!$I112*Предпосылки!BD112*(1+Чувствительность!$D$24)*IFERROR(LOOKUP(Предпосылки!$J112,$C$13:$C$15,AV$13:AV$15),1)</f>
        <v>0</v>
      </c>
      <c s="125">
        <f>Предпосылки!$I112*Предпосылки!BE112*(1+Чувствительность!$D$24)*IFERROR(LOOKUP(Предпосылки!$J112,$C$13:$C$15,AW$13:AW$15),1)</f>
        <v>0</v>
      </c>
      <c s="125">
        <f>Предпосылки!$I112*Предпосылки!BF112*(1+Чувствительность!$D$24)*IFERROR(LOOKUP(Предпосылки!$J112,$C$13:$C$15,AX$13:AX$15),1)</f>
        <v>0</v>
      </c>
      <c s="125">
        <f>Предпосылки!$I112*Предпосылки!BG112*(1+Чувствительность!$D$24)*IFERROR(LOOKUP(Предпосылки!$J112,$C$13:$C$15,AY$13:AY$15),1)</f>
        <v>0</v>
      </c>
      <c s="125">
        <f>Предпосылки!$I112*Предпосылки!BH112*(1+Чувствительность!$D$24)*IFERROR(LOOKUP(Предпосылки!$J112,$C$13:$C$15,AZ$13:AZ$15),1)</f>
        <v>0</v>
      </c>
      <c s="125">
        <f>Предпосылки!$I112*Предпосылки!BI112*(1+Чувствительность!$D$24)*IFERROR(LOOKUP(Предпосылки!$J112,$C$13:$C$15,BA$13:BA$15),1)</f>
        <v>0</v>
      </c>
      <c s="125">
        <f>Предпосылки!$I112*Предпосылки!BJ112*(1+Чувствительность!$D$24)*IFERROR(LOOKUP(Предпосылки!$J112,$C$13:$C$15,BB$13:BB$15),1)</f>
        <v>0</v>
      </c>
      <c s="125">
        <f>Предпосылки!$I112*Предпосылки!BK112*(1+Чувствительность!$D$24)*IFERROR(LOOKUP(Предпосылки!$J112,$C$13:$C$15,BC$13:BC$15),1)</f>
        <v>0</v>
      </c>
      <c s="125">
        <f>Предпосылки!$I112*Предпосылки!BL112*(1+Чувствительность!$D$24)*IFERROR(LOOKUP(Предпосылки!$J112,$C$13:$C$15,BD$13:BD$15),1)</f>
        <v>0</v>
      </c>
      <c s="125">
        <f>Предпосылки!$I112*Предпосылки!BM112*(1+Чувствительность!$D$24)*IFERROR(LOOKUP(Предпосылки!$J112,$C$13:$C$15,BE$13:BE$15),1)</f>
        <v>0</v>
      </c>
      <c s="125">
        <f>Предпосылки!$I112*Предпосылки!BN112*(1+Чувствительность!$D$24)*IFERROR(LOOKUP(Предпосылки!$J112,$C$13:$C$15,BF$13:BF$15),1)</f>
        <v>0</v>
      </c>
      <c s="125">
        <f>Предпосылки!$I112*Предпосылки!BO112*(1+Чувствительность!$D$24)*IFERROR(LOOKUP(Предпосылки!$J112,$C$13:$C$15,BG$13:BG$15),1)</f>
        <v>0</v>
      </c>
      <c s="125">
        <f>Предпосылки!$I112*Предпосылки!BP112*(1+Чувствительность!$D$24)*IFERROR(LOOKUP(Предпосылки!$J112,$C$13:$C$15,BH$13:BH$15),1)</f>
        <v>0</v>
      </c>
      <c s="125">
        <f>Предпосылки!$I112*Предпосылки!BQ112*(1+Чувствительность!$D$24)*IFERROR(LOOKUP(Предпосылки!$J112,$C$13:$C$15,BI$13:BI$15),1)</f>
        <v>0</v>
      </c>
      <c s="125">
        <f>Предпосылки!$I112*Предпосылки!BR112*(1+Чувствительность!$D$24)*IFERROR(LOOKUP(Предпосылки!$J112,$C$13:$C$15,BJ$13:BJ$15),1)</f>
        <v>0</v>
      </c>
      <c s="125">
        <f>Предпосылки!$I112*Предпосылки!BS112*(1+Чувствительность!$D$24)*IFERROR(LOOKUP(Предпосылки!$J112,$C$13:$C$15,BK$13:BK$15),1)</f>
        <v>0</v>
      </c>
      <c s="125">
        <f>Предпосылки!$I112*Предпосылки!BT112*(1+Чувствительность!$D$24)*IFERROR(LOOKUP(Предпосылки!$J112,$C$13:$C$15,BL$13:BL$15),1)</f>
        <v>0</v>
      </c>
      <c s="125">
        <f>Предпосылки!$I112*Предпосылки!BU112*(1+Чувствительность!$D$24)*IFERROR(LOOKUP(Предпосылки!$J112,$C$13:$C$15,BM$13:BM$15),1)</f>
        <v>0</v>
      </c>
    </row>
    <row r="98" spans="2:65" ht="15" customHeight="1">
      <c r="B98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Предпосылки!$I113*Предпосылки!M113*(1+Чувствительность!$D$24)*IFERROR(LOOKUP(Предпосылки!$J113,$C$13:$C$15,E$13:E$15),1)</f>
        <v>0</v>
      </c>
      <c s="125">
        <f>Предпосылки!$I113*Предпосылки!N113*(1+Чувствительность!$D$24)*IFERROR(LOOKUP(Предпосылки!$J113,$C$13:$C$15,F$13:F$15),1)</f>
        <v>0</v>
      </c>
      <c s="125">
        <f>Предпосылки!$I113*Предпосылки!O113*(1+Чувствительность!$D$24)*IFERROR(LOOKUP(Предпосылки!$J113,$C$13:$C$15,G$13:G$15),1)</f>
        <v>0</v>
      </c>
      <c s="125">
        <f>Предпосылки!$I113*Предпосылки!P113*(1+Чувствительность!$D$24)*IFERROR(LOOKUP(Предпосылки!$J113,$C$13:$C$15,H$13:H$15),1)</f>
        <v>0</v>
      </c>
      <c s="125">
        <f>Предпосылки!$I113*Предпосылки!Q113*(1+Чувствительность!$D$24)*IFERROR(LOOKUP(Предпосылки!$J113,$C$13:$C$15,I$13:I$15),1)</f>
        <v>0</v>
      </c>
      <c s="125">
        <f>Предпосылки!$I113*Предпосылки!R113*(1+Чувствительность!$D$24)*IFERROR(LOOKUP(Предпосылки!$J113,$C$13:$C$15,J$13:J$15),1)</f>
        <v>0</v>
      </c>
      <c s="125">
        <f>Предпосылки!$I113*Предпосылки!S113*(1+Чувствительность!$D$24)*IFERROR(LOOKUP(Предпосылки!$J113,$C$13:$C$15,K$13:K$15),1)</f>
        <v>0</v>
      </c>
      <c s="125">
        <f>Предпосылки!$I113*Предпосылки!T113*(1+Чувствительность!$D$24)*IFERROR(LOOKUP(Предпосылки!$J113,$C$13:$C$15,L$13:L$15),1)</f>
        <v>0</v>
      </c>
      <c s="125">
        <f>Предпосылки!$I113*Предпосылки!U113*(1+Чувствительность!$D$24)*IFERROR(LOOKUP(Предпосылки!$J113,$C$13:$C$15,M$13:M$15),1)</f>
        <v>0</v>
      </c>
      <c s="125">
        <f>Предпосылки!$I113*Предпосылки!V113*(1+Чувствительность!$D$24)*IFERROR(LOOKUP(Предпосылки!$J113,$C$13:$C$15,N$13:N$15),1)</f>
        <v>0</v>
      </c>
      <c s="125">
        <f>Предпосылки!$I113*Предпосылки!W113*(1+Чувствительность!$D$24)*IFERROR(LOOKUP(Предпосылки!$J113,$C$13:$C$15,O$13:O$15),1)</f>
        <v>0</v>
      </c>
      <c s="125">
        <f>Предпосылки!$I113*Предпосылки!X113*(1+Чувствительность!$D$24)*IFERROR(LOOKUP(Предпосылки!$J113,$C$13:$C$15,P$13:P$15),1)</f>
        <v>0</v>
      </c>
      <c s="125">
        <f>Предпосылки!$I113*Предпосылки!Y113*(1+Чувствительность!$D$24)*IFERROR(LOOKUP(Предпосылки!$J113,$C$13:$C$15,Q$13:Q$15),1)</f>
        <v>0</v>
      </c>
      <c s="125">
        <f>Предпосылки!$I113*Предпосылки!Z113*(1+Чувствительность!$D$24)*IFERROR(LOOKUP(Предпосылки!$J113,$C$13:$C$15,R$13:R$15),1)</f>
        <v>0</v>
      </c>
      <c s="125">
        <f>Предпосылки!$I113*Предпосылки!AA113*(1+Чувствительность!$D$24)*IFERROR(LOOKUP(Предпосылки!$J113,$C$13:$C$15,S$13:S$15),1)</f>
        <v>0</v>
      </c>
      <c s="125">
        <f>Предпосылки!$I113*Предпосылки!AB113*(1+Чувствительность!$D$24)*IFERROR(LOOKUP(Предпосылки!$J113,$C$13:$C$15,T$13:T$15),1)</f>
        <v>0</v>
      </c>
      <c s="125">
        <f>Предпосылки!$I113*Предпосылки!AC113*(1+Чувствительность!$D$24)*IFERROR(LOOKUP(Предпосылки!$J113,$C$13:$C$15,U$13:U$15),1)</f>
        <v>0</v>
      </c>
      <c s="125">
        <f>Предпосылки!$I113*Предпосылки!AD113*(1+Чувствительность!$D$24)*IFERROR(LOOKUP(Предпосылки!$J113,$C$13:$C$15,V$13:V$15),1)</f>
        <v>0</v>
      </c>
      <c s="125">
        <f>Предпосылки!$I113*Предпосылки!AE113*(1+Чувствительность!$D$24)*IFERROR(LOOKUP(Предпосылки!$J113,$C$13:$C$15,W$13:W$15),1)</f>
        <v>0</v>
      </c>
      <c s="125">
        <f>Предпосылки!$I113*Предпосылки!AF113*(1+Чувствительность!$D$24)*IFERROR(LOOKUP(Предпосылки!$J113,$C$13:$C$15,X$13:X$15),1)</f>
        <v>0</v>
      </c>
      <c s="125">
        <f>Предпосылки!$I113*Предпосылки!AG113*(1+Чувствительность!$D$24)*IFERROR(LOOKUP(Предпосылки!$J113,$C$13:$C$15,Y$13:Y$15),1)</f>
        <v>0</v>
      </c>
      <c s="125">
        <f>Предпосылки!$I113*Предпосылки!AH113*(1+Чувствительность!$D$24)*IFERROR(LOOKUP(Предпосылки!$J113,$C$13:$C$15,Z$13:Z$15),1)</f>
        <v>0</v>
      </c>
      <c s="125">
        <f>Предпосылки!$I113*Предпосылки!AI113*(1+Чувствительность!$D$24)*IFERROR(LOOKUP(Предпосылки!$J113,$C$13:$C$15,AA$13:AA$15),1)</f>
        <v>0</v>
      </c>
      <c s="125">
        <f>Предпосылки!$I113*Предпосылки!AJ113*(1+Чувствительность!$D$24)*IFERROR(LOOKUP(Предпосылки!$J113,$C$13:$C$15,AB$13:AB$15),1)</f>
        <v>0</v>
      </c>
      <c s="125">
        <f>Предпосылки!$I113*Предпосылки!AK113*(1+Чувствительность!$D$24)*IFERROR(LOOKUP(Предпосылки!$J113,$C$13:$C$15,AC$13:AC$15),1)</f>
        <v>0</v>
      </c>
      <c s="125">
        <f>Предпосылки!$I113*Предпосылки!AL113*(1+Чувствительность!$D$24)*IFERROR(LOOKUP(Предпосылки!$J113,$C$13:$C$15,AD$13:AD$15),1)</f>
        <v>0</v>
      </c>
      <c s="125">
        <f>Предпосылки!$I113*Предпосылки!AM113*(1+Чувствительность!$D$24)*IFERROR(LOOKUP(Предпосылки!$J113,$C$13:$C$15,AE$13:AE$15),1)</f>
        <v>0</v>
      </c>
      <c s="125">
        <f>Предпосылки!$I113*Предпосылки!AN113*(1+Чувствительность!$D$24)*IFERROR(LOOKUP(Предпосылки!$J113,$C$13:$C$15,AF$13:AF$15),1)</f>
        <v>0</v>
      </c>
      <c s="125">
        <f>Предпосылки!$I113*Предпосылки!AO113*(1+Чувствительность!$D$24)*IFERROR(LOOKUP(Предпосылки!$J113,$C$13:$C$15,AG$13:AG$15),1)</f>
        <v>0</v>
      </c>
      <c s="125">
        <f>Предпосылки!$I113*Предпосылки!AP113*(1+Чувствительность!$D$24)*IFERROR(LOOKUP(Предпосылки!$J113,$C$13:$C$15,AH$13:AH$15),1)</f>
        <v>0</v>
      </c>
      <c s="125">
        <f>Предпосылки!$I113*Предпосылки!AQ113*(1+Чувствительность!$D$24)*IFERROR(LOOKUP(Предпосылки!$J113,$C$13:$C$15,AI$13:AI$15),1)</f>
        <v>0</v>
      </c>
      <c s="125">
        <f>Предпосылки!$I113*Предпосылки!AR113*(1+Чувствительность!$D$24)*IFERROR(LOOKUP(Предпосылки!$J113,$C$13:$C$15,AJ$13:AJ$15),1)</f>
        <v>0</v>
      </c>
      <c s="125">
        <f>Предпосылки!$I113*Предпосылки!AS113*(1+Чувствительность!$D$24)*IFERROR(LOOKUP(Предпосылки!$J113,$C$13:$C$15,AK$13:AK$15),1)</f>
        <v>0</v>
      </c>
      <c s="125">
        <f>Предпосылки!$I113*Предпосылки!AT113*(1+Чувствительность!$D$24)*IFERROR(LOOKUP(Предпосылки!$J113,$C$13:$C$15,AL$13:AL$15),1)</f>
        <v>0</v>
      </c>
      <c s="125">
        <f>Предпосылки!$I113*Предпосылки!AU113*(1+Чувствительность!$D$24)*IFERROR(LOOKUP(Предпосылки!$J113,$C$13:$C$15,AM$13:AM$15),1)</f>
        <v>0</v>
      </c>
      <c s="125">
        <f>Предпосылки!$I113*Предпосылки!AV113*(1+Чувствительность!$D$24)*IFERROR(LOOKUP(Предпосылки!$J113,$C$13:$C$15,AN$13:AN$15),1)</f>
        <v>0</v>
      </c>
      <c s="125">
        <f>Предпосылки!$I113*Предпосылки!AW113*(1+Чувствительность!$D$24)*IFERROR(LOOKUP(Предпосылки!$J113,$C$13:$C$15,AO$13:AO$15),1)</f>
        <v>0</v>
      </c>
      <c s="125">
        <f>Предпосылки!$I113*Предпосылки!AX113*(1+Чувствительность!$D$24)*IFERROR(LOOKUP(Предпосылки!$J113,$C$13:$C$15,AP$13:AP$15),1)</f>
        <v>0</v>
      </c>
      <c s="125">
        <f>Предпосылки!$I113*Предпосылки!AY113*(1+Чувствительность!$D$24)*IFERROR(LOOKUP(Предпосылки!$J113,$C$13:$C$15,AQ$13:AQ$15),1)</f>
        <v>0</v>
      </c>
      <c s="125">
        <f>Предпосылки!$I113*Предпосылки!AZ113*(1+Чувствительность!$D$24)*IFERROR(LOOKUP(Предпосылки!$J113,$C$13:$C$15,AR$13:AR$15),1)</f>
        <v>0</v>
      </c>
      <c s="125">
        <f>Предпосылки!$I113*Предпосылки!BA113*(1+Чувствительность!$D$24)*IFERROR(LOOKUP(Предпосылки!$J113,$C$13:$C$15,AS$13:AS$15),1)</f>
        <v>0</v>
      </c>
      <c s="125">
        <f>Предпосылки!$I113*Предпосылки!BB113*(1+Чувствительность!$D$24)*IFERROR(LOOKUP(Предпосылки!$J113,$C$13:$C$15,AT$13:AT$15),1)</f>
        <v>0</v>
      </c>
      <c s="125">
        <f>Предпосылки!$I113*Предпосылки!BC113*(1+Чувствительность!$D$24)*IFERROR(LOOKUP(Предпосылки!$J113,$C$13:$C$15,AU$13:AU$15),1)</f>
        <v>0</v>
      </c>
      <c s="125">
        <f>Предпосылки!$I113*Предпосылки!BD113*(1+Чувствительность!$D$24)*IFERROR(LOOKUP(Предпосылки!$J113,$C$13:$C$15,AV$13:AV$15),1)</f>
        <v>0</v>
      </c>
      <c s="125">
        <f>Предпосылки!$I113*Предпосылки!BE113*(1+Чувствительность!$D$24)*IFERROR(LOOKUP(Предпосылки!$J113,$C$13:$C$15,AW$13:AW$15),1)</f>
        <v>0</v>
      </c>
      <c s="125">
        <f>Предпосылки!$I113*Предпосылки!BF113*(1+Чувствительность!$D$24)*IFERROR(LOOKUP(Предпосылки!$J113,$C$13:$C$15,AX$13:AX$15),1)</f>
        <v>0</v>
      </c>
      <c s="125">
        <f>Предпосылки!$I113*Предпосылки!BG113*(1+Чувствительность!$D$24)*IFERROR(LOOKUP(Предпосылки!$J113,$C$13:$C$15,AY$13:AY$15),1)</f>
        <v>0</v>
      </c>
      <c s="125">
        <f>Предпосылки!$I113*Предпосылки!BH113*(1+Чувствительность!$D$24)*IFERROR(LOOKUP(Предпосылки!$J113,$C$13:$C$15,AZ$13:AZ$15),1)</f>
        <v>0</v>
      </c>
      <c s="125">
        <f>Предпосылки!$I113*Предпосылки!BI113*(1+Чувствительность!$D$24)*IFERROR(LOOKUP(Предпосылки!$J113,$C$13:$C$15,BA$13:BA$15),1)</f>
        <v>0</v>
      </c>
      <c s="125">
        <f>Предпосылки!$I113*Предпосылки!BJ113*(1+Чувствительность!$D$24)*IFERROR(LOOKUP(Предпосылки!$J113,$C$13:$C$15,BB$13:BB$15),1)</f>
        <v>0</v>
      </c>
      <c s="125">
        <f>Предпосылки!$I113*Предпосылки!BK113*(1+Чувствительность!$D$24)*IFERROR(LOOKUP(Предпосылки!$J113,$C$13:$C$15,BC$13:BC$15),1)</f>
        <v>0</v>
      </c>
      <c s="125">
        <f>Предпосылки!$I113*Предпосылки!BL113*(1+Чувствительность!$D$24)*IFERROR(LOOKUP(Предпосылки!$J113,$C$13:$C$15,BD$13:BD$15),1)</f>
        <v>0</v>
      </c>
      <c s="125">
        <f>Предпосылки!$I113*Предпосылки!BM113*(1+Чувствительность!$D$24)*IFERROR(LOOKUP(Предпосылки!$J113,$C$13:$C$15,BE$13:BE$15),1)</f>
        <v>0</v>
      </c>
      <c s="125">
        <f>Предпосылки!$I113*Предпосылки!BN113*(1+Чувствительность!$D$24)*IFERROR(LOOKUP(Предпосылки!$J113,$C$13:$C$15,BF$13:BF$15),1)</f>
        <v>0</v>
      </c>
      <c s="125">
        <f>Предпосылки!$I113*Предпосылки!BO113*(1+Чувствительность!$D$24)*IFERROR(LOOKUP(Предпосылки!$J113,$C$13:$C$15,BG$13:BG$15),1)</f>
        <v>0</v>
      </c>
      <c s="125">
        <f>Предпосылки!$I113*Предпосылки!BP113*(1+Чувствительность!$D$24)*IFERROR(LOOKUP(Предпосылки!$J113,$C$13:$C$15,BH$13:BH$15),1)</f>
        <v>0</v>
      </c>
      <c s="125">
        <f>Предпосылки!$I113*Предпосылки!BQ113*(1+Чувствительность!$D$24)*IFERROR(LOOKUP(Предпосылки!$J113,$C$13:$C$15,BI$13:BI$15),1)</f>
        <v>0</v>
      </c>
      <c s="125">
        <f>Предпосылки!$I113*Предпосылки!BR113*(1+Чувствительность!$D$24)*IFERROR(LOOKUP(Предпосылки!$J113,$C$13:$C$15,BJ$13:BJ$15),1)</f>
        <v>0</v>
      </c>
      <c s="125">
        <f>Предпосылки!$I113*Предпосылки!BS113*(1+Чувствительность!$D$24)*IFERROR(LOOKUP(Предпосылки!$J113,$C$13:$C$15,BK$13:BK$15),1)</f>
        <v>0</v>
      </c>
      <c s="125">
        <f>Предпосылки!$I113*Предпосылки!BT113*(1+Чувствительность!$D$24)*IFERROR(LOOKUP(Предпосылки!$J113,$C$13:$C$15,BL$13:BL$15),1)</f>
        <v>0</v>
      </c>
      <c s="125">
        <f>Предпосылки!$I113*Предпосылки!BU113*(1+Чувствительность!$D$24)*IFERROR(LOOKUP(Предпосылки!$J113,$C$13:$C$15,BM$13:BM$15),1)</f>
        <v>0</v>
      </c>
    </row>
    <row r="99" spans="2:65" ht="15" customHeight="1">
      <c r="B99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Предпосылки!$I114*Предпосылки!M114*(1+Чувствительность!$D$24)*IFERROR(LOOKUP(Предпосылки!$J114,$C$13:$C$15,E$13:E$15),1)</f>
        <v>0</v>
      </c>
      <c s="125">
        <f>Предпосылки!$I114*Предпосылки!N114*(1+Чувствительность!$D$24)*IFERROR(LOOKUP(Предпосылки!$J114,$C$13:$C$15,F$13:F$15),1)</f>
        <v>0</v>
      </c>
      <c s="125">
        <f>Предпосылки!$I114*Предпосылки!O114*(1+Чувствительность!$D$24)*IFERROR(LOOKUP(Предпосылки!$J114,$C$13:$C$15,G$13:G$15),1)</f>
        <v>0</v>
      </c>
      <c s="125">
        <f>Предпосылки!$I114*Предпосылки!P114*(1+Чувствительность!$D$24)*IFERROR(LOOKUP(Предпосылки!$J114,$C$13:$C$15,H$13:H$15),1)</f>
        <v>0</v>
      </c>
      <c s="125">
        <f>Предпосылки!$I114*Предпосылки!Q114*(1+Чувствительность!$D$24)*IFERROR(LOOKUP(Предпосылки!$J114,$C$13:$C$15,I$13:I$15),1)</f>
        <v>0</v>
      </c>
      <c s="125">
        <f>Предпосылки!$I114*Предпосылки!R114*(1+Чувствительность!$D$24)*IFERROR(LOOKUP(Предпосылки!$J114,$C$13:$C$15,J$13:J$15),1)</f>
        <v>0</v>
      </c>
      <c s="125">
        <f>Предпосылки!$I114*Предпосылки!S114*(1+Чувствительность!$D$24)*IFERROR(LOOKUP(Предпосылки!$J114,$C$13:$C$15,K$13:K$15),1)</f>
        <v>0</v>
      </c>
      <c s="125">
        <f>Предпосылки!$I114*Предпосылки!T114*(1+Чувствительность!$D$24)*IFERROR(LOOKUP(Предпосылки!$J114,$C$13:$C$15,L$13:L$15),1)</f>
        <v>0</v>
      </c>
      <c s="125">
        <f>Предпосылки!$I114*Предпосылки!U114*(1+Чувствительность!$D$24)*IFERROR(LOOKUP(Предпосылки!$J114,$C$13:$C$15,M$13:M$15),1)</f>
        <v>0</v>
      </c>
      <c s="125">
        <f>Предпосылки!$I114*Предпосылки!V114*(1+Чувствительность!$D$24)*IFERROR(LOOKUP(Предпосылки!$J114,$C$13:$C$15,N$13:N$15),1)</f>
        <v>0</v>
      </c>
      <c s="125">
        <f>Предпосылки!$I114*Предпосылки!W114*(1+Чувствительность!$D$24)*IFERROR(LOOKUP(Предпосылки!$J114,$C$13:$C$15,O$13:O$15),1)</f>
        <v>0</v>
      </c>
      <c s="125">
        <f>Предпосылки!$I114*Предпосылки!X114*(1+Чувствительность!$D$24)*IFERROR(LOOKUP(Предпосылки!$J114,$C$13:$C$15,P$13:P$15),1)</f>
        <v>0</v>
      </c>
      <c s="125">
        <f>Предпосылки!$I114*Предпосылки!Y114*(1+Чувствительность!$D$24)*IFERROR(LOOKUP(Предпосылки!$J114,$C$13:$C$15,Q$13:Q$15),1)</f>
        <v>0</v>
      </c>
      <c s="125">
        <f>Предпосылки!$I114*Предпосылки!Z114*(1+Чувствительность!$D$24)*IFERROR(LOOKUP(Предпосылки!$J114,$C$13:$C$15,R$13:R$15),1)</f>
        <v>0</v>
      </c>
      <c s="125">
        <f>Предпосылки!$I114*Предпосылки!AA114*(1+Чувствительность!$D$24)*IFERROR(LOOKUP(Предпосылки!$J114,$C$13:$C$15,S$13:S$15),1)</f>
        <v>0</v>
      </c>
      <c s="125">
        <f>Предпосылки!$I114*Предпосылки!AB114*(1+Чувствительность!$D$24)*IFERROR(LOOKUP(Предпосылки!$J114,$C$13:$C$15,T$13:T$15),1)</f>
        <v>0</v>
      </c>
      <c s="125">
        <f>Предпосылки!$I114*Предпосылки!AC114*(1+Чувствительность!$D$24)*IFERROR(LOOKUP(Предпосылки!$J114,$C$13:$C$15,U$13:U$15),1)</f>
        <v>0</v>
      </c>
      <c s="125">
        <f>Предпосылки!$I114*Предпосылки!AD114*(1+Чувствительность!$D$24)*IFERROR(LOOKUP(Предпосылки!$J114,$C$13:$C$15,V$13:V$15),1)</f>
        <v>0</v>
      </c>
      <c s="125">
        <f>Предпосылки!$I114*Предпосылки!AE114*(1+Чувствительность!$D$24)*IFERROR(LOOKUP(Предпосылки!$J114,$C$13:$C$15,W$13:W$15),1)</f>
        <v>0</v>
      </c>
      <c s="125">
        <f>Предпосылки!$I114*Предпосылки!AF114*(1+Чувствительность!$D$24)*IFERROR(LOOKUP(Предпосылки!$J114,$C$13:$C$15,X$13:X$15),1)</f>
        <v>0</v>
      </c>
      <c s="125">
        <f>Предпосылки!$I114*Предпосылки!AG114*(1+Чувствительность!$D$24)*IFERROR(LOOKUP(Предпосылки!$J114,$C$13:$C$15,Y$13:Y$15),1)</f>
        <v>0</v>
      </c>
      <c s="125">
        <f>Предпосылки!$I114*Предпосылки!AH114*(1+Чувствительность!$D$24)*IFERROR(LOOKUP(Предпосылки!$J114,$C$13:$C$15,Z$13:Z$15),1)</f>
        <v>0</v>
      </c>
      <c s="125">
        <f>Предпосылки!$I114*Предпосылки!AI114*(1+Чувствительность!$D$24)*IFERROR(LOOKUP(Предпосылки!$J114,$C$13:$C$15,AA$13:AA$15),1)</f>
        <v>0</v>
      </c>
      <c s="125">
        <f>Предпосылки!$I114*Предпосылки!AJ114*(1+Чувствительность!$D$24)*IFERROR(LOOKUP(Предпосылки!$J114,$C$13:$C$15,AB$13:AB$15),1)</f>
        <v>0</v>
      </c>
      <c s="125">
        <f>Предпосылки!$I114*Предпосылки!AK114*(1+Чувствительность!$D$24)*IFERROR(LOOKUP(Предпосылки!$J114,$C$13:$C$15,AC$13:AC$15),1)</f>
        <v>0</v>
      </c>
      <c s="125">
        <f>Предпосылки!$I114*Предпосылки!AL114*(1+Чувствительность!$D$24)*IFERROR(LOOKUP(Предпосылки!$J114,$C$13:$C$15,AD$13:AD$15),1)</f>
        <v>0</v>
      </c>
      <c s="125">
        <f>Предпосылки!$I114*Предпосылки!AM114*(1+Чувствительность!$D$24)*IFERROR(LOOKUP(Предпосылки!$J114,$C$13:$C$15,AE$13:AE$15),1)</f>
        <v>0</v>
      </c>
      <c s="125">
        <f>Предпосылки!$I114*Предпосылки!AN114*(1+Чувствительность!$D$24)*IFERROR(LOOKUP(Предпосылки!$J114,$C$13:$C$15,AF$13:AF$15),1)</f>
        <v>0</v>
      </c>
      <c s="125">
        <f>Предпосылки!$I114*Предпосылки!AO114*(1+Чувствительность!$D$24)*IFERROR(LOOKUP(Предпосылки!$J114,$C$13:$C$15,AG$13:AG$15),1)</f>
        <v>0</v>
      </c>
      <c s="125">
        <f>Предпосылки!$I114*Предпосылки!AP114*(1+Чувствительность!$D$24)*IFERROR(LOOKUP(Предпосылки!$J114,$C$13:$C$15,AH$13:AH$15),1)</f>
        <v>0</v>
      </c>
      <c s="125">
        <f>Предпосылки!$I114*Предпосылки!AQ114*(1+Чувствительность!$D$24)*IFERROR(LOOKUP(Предпосылки!$J114,$C$13:$C$15,AI$13:AI$15),1)</f>
        <v>0</v>
      </c>
      <c s="125">
        <f>Предпосылки!$I114*Предпосылки!AR114*(1+Чувствительность!$D$24)*IFERROR(LOOKUP(Предпосылки!$J114,$C$13:$C$15,AJ$13:AJ$15),1)</f>
        <v>0</v>
      </c>
      <c s="125">
        <f>Предпосылки!$I114*Предпосылки!AS114*(1+Чувствительность!$D$24)*IFERROR(LOOKUP(Предпосылки!$J114,$C$13:$C$15,AK$13:AK$15),1)</f>
        <v>0</v>
      </c>
      <c s="125">
        <f>Предпосылки!$I114*Предпосылки!AT114*(1+Чувствительность!$D$24)*IFERROR(LOOKUP(Предпосылки!$J114,$C$13:$C$15,AL$13:AL$15),1)</f>
        <v>0</v>
      </c>
      <c s="125">
        <f>Предпосылки!$I114*Предпосылки!AU114*(1+Чувствительность!$D$24)*IFERROR(LOOKUP(Предпосылки!$J114,$C$13:$C$15,AM$13:AM$15),1)</f>
        <v>0</v>
      </c>
      <c s="125">
        <f>Предпосылки!$I114*Предпосылки!AV114*(1+Чувствительность!$D$24)*IFERROR(LOOKUP(Предпосылки!$J114,$C$13:$C$15,AN$13:AN$15),1)</f>
        <v>0</v>
      </c>
      <c s="125">
        <f>Предпосылки!$I114*Предпосылки!AW114*(1+Чувствительность!$D$24)*IFERROR(LOOKUP(Предпосылки!$J114,$C$13:$C$15,AO$13:AO$15),1)</f>
        <v>0</v>
      </c>
      <c s="125">
        <f>Предпосылки!$I114*Предпосылки!AX114*(1+Чувствительность!$D$24)*IFERROR(LOOKUP(Предпосылки!$J114,$C$13:$C$15,AP$13:AP$15),1)</f>
        <v>0</v>
      </c>
      <c s="125">
        <f>Предпосылки!$I114*Предпосылки!AY114*(1+Чувствительность!$D$24)*IFERROR(LOOKUP(Предпосылки!$J114,$C$13:$C$15,AQ$13:AQ$15),1)</f>
        <v>0</v>
      </c>
      <c s="125">
        <f>Предпосылки!$I114*Предпосылки!AZ114*(1+Чувствительность!$D$24)*IFERROR(LOOKUP(Предпосылки!$J114,$C$13:$C$15,AR$13:AR$15),1)</f>
        <v>0</v>
      </c>
      <c s="125">
        <f>Предпосылки!$I114*Предпосылки!BA114*(1+Чувствительность!$D$24)*IFERROR(LOOKUP(Предпосылки!$J114,$C$13:$C$15,AS$13:AS$15),1)</f>
        <v>0</v>
      </c>
      <c s="125">
        <f>Предпосылки!$I114*Предпосылки!BB114*(1+Чувствительность!$D$24)*IFERROR(LOOKUP(Предпосылки!$J114,$C$13:$C$15,AT$13:AT$15),1)</f>
        <v>0</v>
      </c>
      <c s="125">
        <f>Предпосылки!$I114*Предпосылки!BC114*(1+Чувствительность!$D$24)*IFERROR(LOOKUP(Предпосылки!$J114,$C$13:$C$15,AU$13:AU$15),1)</f>
        <v>0</v>
      </c>
      <c s="125">
        <f>Предпосылки!$I114*Предпосылки!BD114*(1+Чувствительность!$D$24)*IFERROR(LOOKUP(Предпосылки!$J114,$C$13:$C$15,AV$13:AV$15),1)</f>
        <v>0</v>
      </c>
      <c s="125">
        <f>Предпосылки!$I114*Предпосылки!BE114*(1+Чувствительность!$D$24)*IFERROR(LOOKUP(Предпосылки!$J114,$C$13:$C$15,AW$13:AW$15),1)</f>
        <v>0</v>
      </c>
      <c s="125">
        <f>Предпосылки!$I114*Предпосылки!BF114*(1+Чувствительность!$D$24)*IFERROR(LOOKUP(Предпосылки!$J114,$C$13:$C$15,AX$13:AX$15),1)</f>
        <v>0</v>
      </c>
      <c s="125">
        <f>Предпосылки!$I114*Предпосылки!BG114*(1+Чувствительность!$D$24)*IFERROR(LOOKUP(Предпосылки!$J114,$C$13:$C$15,AY$13:AY$15),1)</f>
        <v>0</v>
      </c>
      <c s="125">
        <f>Предпосылки!$I114*Предпосылки!BH114*(1+Чувствительность!$D$24)*IFERROR(LOOKUP(Предпосылки!$J114,$C$13:$C$15,AZ$13:AZ$15),1)</f>
        <v>0</v>
      </c>
      <c s="125">
        <f>Предпосылки!$I114*Предпосылки!BI114*(1+Чувствительность!$D$24)*IFERROR(LOOKUP(Предпосылки!$J114,$C$13:$C$15,BA$13:BA$15),1)</f>
        <v>0</v>
      </c>
      <c s="125">
        <f>Предпосылки!$I114*Предпосылки!BJ114*(1+Чувствительность!$D$24)*IFERROR(LOOKUP(Предпосылки!$J114,$C$13:$C$15,BB$13:BB$15),1)</f>
        <v>0</v>
      </c>
      <c s="125">
        <f>Предпосылки!$I114*Предпосылки!BK114*(1+Чувствительность!$D$24)*IFERROR(LOOKUP(Предпосылки!$J114,$C$13:$C$15,BC$13:BC$15),1)</f>
        <v>0</v>
      </c>
      <c s="125">
        <f>Предпосылки!$I114*Предпосылки!BL114*(1+Чувствительность!$D$24)*IFERROR(LOOKUP(Предпосылки!$J114,$C$13:$C$15,BD$13:BD$15),1)</f>
        <v>0</v>
      </c>
      <c s="125">
        <f>Предпосылки!$I114*Предпосылки!BM114*(1+Чувствительность!$D$24)*IFERROR(LOOKUP(Предпосылки!$J114,$C$13:$C$15,BE$13:BE$15),1)</f>
        <v>0</v>
      </c>
      <c s="125">
        <f>Предпосылки!$I114*Предпосылки!BN114*(1+Чувствительность!$D$24)*IFERROR(LOOKUP(Предпосылки!$J114,$C$13:$C$15,BF$13:BF$15),1)</f>
        <v>0</v>
      </c>
      <c s="125">
        <f>Предпосылки!$I114*Предпосылки!BO114*(1+Чувствительность!$D$24)*IFERROR(LOOKUP(Предпосылки!$J114,$C$13:$C$15,BG$13:BG$15),1)</f>
        <v>0</v>
      </c>
      <c s="125">
        <f>Предпосылки!$I114*Предпосылки!BP114*(1+Чувствительность!$D$24)*IFERROR(LOOKUP(Предпосылки!$J114,$C$13:$C$15,BH$13:BH$15),1)</f>
        <v>0</v>
      </c>
      <c s="125">
        <f>Предпосылки!$I114*Предпосылки!BQ114*(1+Чувствительность!$D$24)*IFERROR(LOOKUP(Предпосылки!$J114,$C$13:$C$15,BI$13:BI$15),1)</f>
        <v>0</v>
      </c>
      <c s="125">
        <f>Предпосылки!$I114*Предпосылки!BR114*(1+Чувствительность!$D$24)*IFERROR(LOOKUP(Предпосылки!$J114,$C$13:$C$15,BJ$13:BJ$15),1)</f>
        <v>0</v>
      </c>
      <c s="125">
        <f>Предпосылки!$I114*Предпосылки!BS114*(1+Чувствительность!$D$24)*IFERROR(LOOKUP(Предпосылки!$J114,$C$13:$C$15,BK$13:BK$15),1)</f>
        <v>0</v>
      </c>
      <c s="125">
        <f>Предпосылки!$I114*Предпосылки!BT114*(1+Чувствительность!$D$24)*IFERROR(LOOKUP(Предпосылки!$J114,$C$13:$C$15,BL$13:BL$15),1)</f>
        <v>0</v>
      </c>
      <c s="125">
        <f>Предпосылки!$I114*Предпосылки!BU114*(1+Чувствительность!$D$24)*IFERROR(LOOKUP(Предпосылки!$J114,$C$13:$C$15,BM$13:BM$15),1)</f>
        <v>0</v>
      </c>
    </row>
    <row r="100" spans="2:65" ht="15" customHeight="1">
      <c r="B100" s="12" t="str">
        <f t="shared" si="12"/>
        <v>-</v>
      </c>
      <c s="124" t="str">
        <f t="shared" si="11"/>
        <v>тыс. руб.</v>
      </c>
      <c s="276">
        <f t="shared" si="13"/>
        <v>0</v>
      </c>
      <c s="125">
        <f>Предпосылки!$I115*Предпосылки!M115*(1+Чувствительность!$D$24)*IFERROR(LOOKUP(Предпосылки!$J115,$C$13:$C$15,E$13:E$15),1)</f>
        <v>0</v>
      </c>
      <c s="125">
        <f>Предпосылки!$I115*Предпосылки!N115*(1+Чувствительность!$D$24)*IFERROR(LOOKUP(Предпосылки!$J115,$C$13:$C$15,F$13:F$15),1)</f>
        <v>0</v>
      </c>
      <c s="125">
        <f>Предпосылки!$I115*Предпосылки!O115*(1+Чувствительность!$D$24)*IFERROR(LOOKUP(Предпосылки!$J115,$C$13:$C$15,G$13:G$15),1)</f>
        <v>0</v>
      </c>
      <c s="125">
        <f>Предпосылки!$I115*Предпосылки!P115*(1+Чувствительность!$D$24)*IFERROR(LOOKUP(Предпосылки!$J115,$C$13:$C$15,H$13:H$15),1)</f>
        <v>0</v>
      </c>
      <c s="125">
        <f>Предпосылки!$I115*Предпосылки!Q115*(1+Чувствительность!$D$24)*IFERROR(LOOKUP(Предпосылки!$J115,$C$13:$C$15,I$13:I$15),1)</f>
        <v>0</v>
      </c>
      <c s="125">
        <f>Предпосылки!$I115*Предпосылки!R115*(1+Чувствительность!$D$24)*IFERROR(LOOKUP(Предпосылки!$J115,$C$13:$C$15,J$13:J$15),1)</f>
        <v>0</v>
      </c>
      <c s="125">
        <f>Предпосылки!$I115*Предпосылки!S115*(1+Чувствительность!$D$24)*IFERROR(LOOKUP(Предпосылки!$J115,$C$13:$C$15,K$13:K$15),1)</f>
        <v>0</v>
      </c>
      <c s="125">
        <f>Предпосылки!$I115*Предпосылки!T115*(1+Чувствительность!$D$24)*IFERROR(LOOKUP(Предпосылки!$J115,$C$13:$C$15,L$13:L$15),1)</f>
        <v>0</v>
      </c>
      <c s="125">
        <f>Предпосылки!$I115*Предпосылки!U115*(1+Чувствительность!$D$24)*IFERROR(LOOKUP(Предпосылки!$J115,$C$13:$C$15,M$13:M$15),1)</f>
        <v>0</v>
      </c>
      <c s="125">
        <f>Предпосылки!$I115*Предпосылки!V115*(1+Чувствительность!$D$24)*IFERROR(LOOKUP(Предпосылки!$J115,$C$13:$C$15,N$13:N$15),1)</f>
        <v>0</v>
      </c>
      <c s="125">
        <f>Предпосылки!$I115*Предпосылки!W115*(1+Чувствительность!$D$24)*IFERROR(LOOKUP(Предпосылки!$J115,$C$13:$C$15,O$13:O$15),1)</f>
        <v>0</v>
      </c>
      <c s="125">
        <f>Предпосылки!$I115*Предпосылки!X115*(1+Чувствительность!$D$24)*IFERROR(LOOKUP(Предпосылки!$J115,$C$13:$C$15,P$13:P$15),1)</f>
        <v>0</v>
      </c>
      <c s="125">
        <f>Предпосылки!$I115*Предпосылки!Y115*(1+Чувствительность!$D$24)*IFERROR(LOOKUP(Предпосылки!$J115,$C$13:$C$15,Q$13:Q$15),1)</f>
        <v>0</v>
      </c>
      <c s="125">
        <f>Предпосылки!$I115*Предпосылки!Z115*(1+Чувствительность!$D$24)*IFERROR(LOOKUP(Предпосылки!$J115,$C$13:$C$15,R$13:R$15),1)</f>
        <v>0</v>
      </c>
      <c s="125">
        <f>Предпосылки!$I115*Предпосылки!AA115*(1+Чувствительность!$D$24)*IFERROR(LOOKUP(Предпосылки!$J115,$C$13:$C$15,S$13:S$15),1)</f>
        <v>0</v>
      </c>
      <c s="125">
        <f>Предпосылки!$I115*Предпосылки!AB115*(1+Чувствительность!$D$24)*IFERROR(LOOKUP(Предпосылки!$J115,$C$13:$C$15,T$13:T$15),1)</f>
        <v>0</v>
      </c>
      <c s="125">
        <f>Предпосылки!$I115*Предпосылки!AC115*(1+Чувствительность!$D$24)*IFERROR(LOOKUP(Предпосылки!$J115,$C$13:$C$15,U$13:U$15),1)</f>
        <v>0</v>
      </c>
      <c s="125">
        <f>Предпосылки!$I115*Предпосылки!AD115*(1+Чувствительность!$D$24)*IFERROR(LOOKUP(Предпосылки!$J115,$C$13:$C$15,V$13:V$15),1)</f>
        <v>0</v>
      </c>
      <c s="125">
        <f>Предпосылки!$I115*Предпосылки!AE115*(1+Чувствительность!$D$24)*IFERROR(LOOKUP(Предпосылки!$J115,$C$13:$C$15,W$13:W$15),1)</f>
        <v>0</v>
      </c>
      <c s="125">
        <f>Предпосылки!$I115*Предпосылки!AF115*(1+Чувствительность!$D$24)*IFERROR(LOOKUP(Предпосылки!$J115,$C$13:$C$15,X$13:X$15),1)</f>
        <v>0</v>
      </c>
      <c s="125">
        <f>Предпосылки!$I115*Предпосылки!AG115*(1+Чувствительность!$D$24)*IFERROR(LOOKUP(Предпосылки!$J115,$C$13:$C$15,Y$13:Y$15),1)</f>
        <v>0</v>
      </c>
      <c s="125">
        <f>Предпосылки!$I115*Предпосылки!AH115*(1+Чувствительность!$D$24)*IFERROR(LOOKUP(Предпосылки!$J115,$C$13:$C$15,Z$13:Z$15),1)</f>
        <v>0</v>
      </c>
      <c s="125">
        <f>Предпосылки!$I115*Предпосылки!AI115*(1+Чувствительность!$D$24)*IFERROR(LOOKUP(Предпосылки!$J115,$C$13:$C$15,AA$13:AA$15),1)</f>
        <v>0</v>
      </c>
      <c s="125">
        <f>Предпосылки!$I115*Предпосылки!AJ115*(1+Чувствительность!$D$24)*IFERROR(LOOKUP(Предпосылки!$J115,$C$13:$C$15,AB$13:AB$15),1)</f>
        <v>0</v>
      </c>
      <c s="125">
        <f>Предпосылки!$I115*Предпосылки!AK115*(1+Чувствительность!$D$24)*IFERROR(LOOKUP(Предпосылки!$J115,$C$13:$C$15,AC$13:AC$15),1)</f>
        <v>0</v>
      </c>
      <c s="125">
        <f>Предпосылки!$I115*Предпосылки!AL115*(1+Чувствительность!$D$24)*IFERROR(LOOKUP(Предпосылки!$J115,$C$13:$C$15,AD$13:AD$15),1)</f>
        <v>0</v>
      </c>
      <c s="125">
        <f>Предпосылки!$I115*Предпосылки!AM115*(1+Чувствительность!$D$24)*IFERROR(LOOKUP(Предпосылки!$J115,$C$13:$C$15,AE$13:AE$15),1)</f>
        <v>0</v>
      </c>
      <c s="125">
        <f>Предпосылки!$I115*Предпосылки!AN115*(1+Чувствительность!$D$24)*IFERROR(LOOKUP(Предпосылки!$J115,$C$13:$C$15,AF$13:AF$15),1)</f>
        <v>0</v>
      </c>
      <c s="125">
        <f>Предпосылки!$I115*Предпосылки!AO115*(1+Чувствительность!$D$24)*IFERROR(LOOKUP(Предпосылки!$J115,$C$13:$C$15,AG$13:AG$15),1)</f>
        <v>0</v>
      </c>
      <c s="125">
        <f>Предпосылки!$I115*Предпосылки!AP115*(1+Чувствительность!$D$24)*IFERROR(LOOKUP(Предпосылки!$J115,$C$13:$C$15,AH$13:AH$15),1)</f>
        <v>0</v>
      </c>
      <c s="125">
        <f>Предпосылки!$I115*Предпосылки!AQ115*(1+Чувствительность!$D$24)*IFERROR(LOOKUP(Предпосылки!$J115,$C$13:$C$15,AI$13:AI$15),1)</f>
        <v>0</v>
      </c>
      <c s="125">
        <f>Предпосылки!$I115*Предпосылки!AR115*(1+Чувствительность!$D$24)*IFERROR(LOOKUP(Предпосылки!$J115,$C$13:$C$15,AJ$13:AJ$15),1)</f>
        <v>0</v>
      </c>
      <c s="125">
        <f>Предпосылки!$I115*Предпосылки!AS115*(1+Чувствительность!$D$24)*IFERROR(LOOKUP(Предпосылки!$J115,$C$13:$C$15,AK$13:AK$15),1)</f>
        <v>0</v>
      </c>
      <c s="125">
        <f>Предпосылки!$I115*Предпосылки!AT115*(1+Чувствительность!$D$24)*IFERROR(LOOKUP(Предпосылки!$J115,$C$13:$C$15,AL$13:AL$15),1)</f>
        <v>0</v>
      </c>
      <c s="125">
        <f>Предпосылки!$I115*Предпосылки!AU115*(1+Чувствительность!$D$24)*IFERROR(LOOKUP(Предпосылки!$J115,$C$13:$C$15,AM$13:AM$15),1)</f>
        <v>0</v>
      </c>
      <c s="125">
        <f>Предпосылки!$I115*Предпосылки!AV115*(1+Чувствительность!$D$24)*IFERROR(LOOKUP(Предпосылки!$J115,$C$13:$C$15,AN$13:AN$15),1)</f>
        <v>0</v>
      </c>
      <c s="125">
        <f>Предпосылки!$I115*Предпосылки!AW115*(1+Чувствительность!$D$24)*IFERROR(LOOKUP(Предпосылки!$J115,$C$13:$C$15,AO$13:AO$15),1)</f>
        <v>0</v>
      </c>
      <c s="125">
        <f>Предпосылки!$I115*Предпосылки!AX115*(1+Чувствительность!$D$24)*IFERROR(LOOKUP(Предпосылки!$J115,$C$13:$C$15,AP$13:AP$15),1)</f>
        <v>0</v>
      </c>
      <c s="125">
        <f>Предпосылки!$I115*Предпосылки!AY115*(1+Чувствительность!$D$24)*IFERROR(LOOKUP(Предпосылки!$J115,$C$13:$C$15,AQ$13:AQ$15),1)</f>
        <v>0</v>
      </c>
      <c s="125">
        <f>Предпосылки!$I115*Предпосылки!AZ115*(1+Чувствительность!$D$24)*IFERROR(LOOKUP(Предпосылки!$J115,$C$13:$C$15,AR$13:AR$15),1)</f>
        <v>0</v>
      </c>
      <c s="125">
        <f>Предпосылки!$I115*Предпосылки!BA115*(1+Чувствительность!$D$24)*IFERROR(LOOKUP(Предпосылки!$J115,$C$13:$C$15,AS$13:AS$15),1)</f>
        <v>0</v>
      </c>
      <c s="125">
        <f>Предпосылки!$I115*Предпосылки!BB115*(1+Чувствительность!$D$24)*IFERROR(LOOKUP(Предпосылки!$J115,$C$13:$C$15,AT$13:AT$15),1)</f>
        <v>0</v>
      </c>
      <c s="125">
        <f>Предпосылки!$I115*Предпосылки!BC115*(1+Чувствительность!$D$24)*IFERROR(LOOKUP(Предпосылки!$J115,$C$13:$C$15,AU$13:AU$15),1)</f>
        <v>0</v>
      </c>
      <c s="125">
        <f>Предпосылки!$I115*Предпосылки!BD115*(1+Чувствительность!$D$24)*IFERROR(LOOKUP(Предпосылки!$J115,$C$13:$C$15,AV$13:AV$15),1)</f>
        <v>0</v>
      </c>
      <c s="125">
        <f>Предпосылки!$I115*Предпосылки!BE115*(1+Чувствительность!$D$24)*IFERROR(LOOKUP(Предпосылки!$J115,$C$13:$C$15,AW$13:AW$15),1)</f>
        <v>0</v>
      </c>
      <c s="125">
        <f>Предпосылки!$I115*Предпосылки!BF115*(1+Чувствительность!$D$24)*IFERROR(LOOKUP(Предпосылки!$J115,$C$13:$C$15,AX$13:AX$15),1)</f>
        <v>0</v>
      </c>
      <c s="125">
        <f>Предпосылки!$I115*Предпосылки!BG115*(1+Чувствительность!$D$24)*IFERROR(LOOKUP(Предпосылки!$J115,$C$13:$C$15,AY$13:AY$15),1)</f>
        <v>0</v>
      </c>
      <c s="125">
        <f>Предпосылки!$I115*Предпосылки!BH115*(1+Чувствительность!$D$24)*IFERROR(LOOKUP(Предпосылки!$J115,$C$13:$C$15,AZ$13:AZ$15),1)</f>
        <v>0</v>
      </c>
      <c s="125">
        <f>Предпосылки!$I115*Предпосылки!BI115*(1+Чувствительность!$D$24)*IFERROR(LOOKUP(Предпосылки!$J115,$C$13:$C$15,BA$13:BA$15),1)</f>
        <v>0</v>
      </c>
      <c s="125">
        <f>Предпосылки!$I115*Предпосылки!BJ115*(1+Чувствительность!$D$24)*IFERROR(LOOKUP(Предпосылки!$J115,$C$13:$C$15,BB$13:BB$15),1)</f>
        <v>0</v>
      </c>
      <c s="125">
        <f>Предпосылки!$I115*Предпосылки!BK115*(1+Чувствительность!$D$24)*IFERROR(LOOKUP(Предпосылки!$J115,$C$13:$C$15,BC$13:BC$15),1)</f>
        <v>0</v>
      </c>
      <c s="125">
        <f>Предпосылки!$I115*Предпосылки!BL115*(1+Чувствительность!$D$24)*IFERROR(LOOKUP(Предпосылки!$J115,$C$13:$C$15,BD$13:BD$15),1)</f>
        <v>0</v>
      </c>
      <c s="125">
        <f>Предпосылки!$I115*Предпосылки!BM115*(1+Чувствительность!$D$24)*IFERROR(LOOKUP(Предпосылки!$J115,$C$13:$C$15,BE$13:BE$15),1)</f>
        <v>0</v>
      </c>
      <c s="125">
        <f>Предпосылки!$I115*Предпосылки!BN115*(1+Чувствительность!$D$24)*IFERROR(LOOKUP(Предпосылки!$J115,$C$13:$C$15,BF$13:BF$15),1)</f>
        <v>0</v>
      </c>
      <c s="125">
        <f>Предпосылки!$I115*Предпосылки!BO115*(1+Чувствительность!$D$24)*IFERROR(LOOKUP(Предпосылки!$J115,$C$13:$C$15,BG$13:BG$15),1)</f>
        <v>0</v>
      </c>
      <c s="125">
        <f>Предпосылки!$I115*Предпосылки!BP115*(1+Чувствительность!$D$24)*IFERROR(LOOKUP(Предпосылки!$J115,$C$13:$C$15,BH$13:BH$15),1)</f>
        <v>0</v>
      </c>
      <c s="125">
        <f>Предпосылки!$I115*Предпосылки!BQ115*(1+Чувствительность!$D$24)*IFERROR(LOOKUP(Предпосылки!$J115,$C$13:$C$15,BI$13:BI$15),1)</f>
        <v>0</v>
      </c>
      <c s="125">
        <f>Предпосылки!$I115*Предпосылки!BR115*(1+Чувствительность!$D$24)*IFERROR(LOOKUP(Предпосылки!$J115,$C$13:$C$15,BJ$13:BJ$15),1)</f>
        <v>0</v>
      </c>
      <c s="125">
        <f>Предпосылки!$I115*Предпосылки!BS115*(1+Чувствительность!$D$24)*IFERROR(LOOKUP(Предпосылки!$J115,$C$13:$C$15,BK$13:BK$15),1)</f>
        <v>0</v>
      </c>
      <c s="125">
        <f>Предпосылки!$I115*Предпосылки!BT115*(1+Чувствительность!$D$24)*IFERROR(LOOKUP(Предпосылки!$J115,$C$13:$C$15,BL$13:BL$15),1)</f>
        <v>0</v>
      </c>
      <c s="125">
        <f>Предпосылки!$I115*Предпосылки!BU115*(1+Чувствительность!$D$24)*IFERROR(LOOKUP(Предпосылки!$J115,$C$13:$C$15,BM$13:BM$15),1)</f>
        <v>0</v>
      </c>
    </row>
    <row r="101" spans="2:65" ht="15" customHeight="1">
      <c r="B101" s="289" t="s">
        <v>454</v>
      </c>
      <c s="290" t="str">
        <f t="shared" si="11"/>
        <v>тыс. руб.</v>
      </c>
      <c s="291">
        <f>SUM(D61:D100)</f>
        <v>0</v>
      </c>
      <c s="276">
        <f>SUM(E61:E100)</f>
        <v>0</v>
      </c>
      <c s="276">
        <f t="shared" si="14" ref="F101:AG101">SUM(F61:F100)</f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4"/>
        <v>0</v>
      </c>
      <c s="276">
        <f t="shared" si="15" ref="AH101:BM101">SUM(AH61:AH100)</f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  <c s="276">
        <f t="shared" si="15"/>
        <v>0</v>
      </c>
    </row>
    <row r="102" ht="15" customHeight="1"/>
    <row r="103" spans="2:71" ht="21">
      <c r="B103" s="23" t="s">
        <v>820</v>
      </c>
      <c r="D10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4" spans="2:2" ht="15" customHeight="1">
      <c r="B104" s="24" t="s">
        <v>106</v>
      </c>
    </row>
    <row r="105" spans="2:4" ht="15" customHeight="1">
      <c r="B105" s="12" t="str">
        <f>B61</f>
        <v>-</v>
      </c>
      <c s="124" t="str">
        <f t="shared" si="16" ref="C105:C145">Единица_измерения</f>
        <v>тыс. руб.</v>
      </c>
      <c s="125">
        <f>D18/(1+Предпосылки!$C$481*Предпосылки!$H30)</f>
        <v>0</v>
      </c>
    </row>
    <row r="106" spans="2:4" ht="15" customHeight="1">
      <c r="B106" s="12" t="str">
        <f t="shared" si="17" ref="B106:B144">B62</f>
        <v>-</v>
      </c>
      <c s="124" t="str">
        <f t="shared" si="16"/>
        <v>тыс. руб.</v>
      </c>
      <c s="125">
        <f>D19/(1+Предпосылки!$C$481*Предпосылки!$H31)</f>
        <v>0</v>
      </c>
    </row>
    <row r="107" spans="2:4" ht="15" customHeight="1">
      <c r="B107" s="12" t="str">
        <f t="shared" si="17"/>
        <v>-</v>
      </c>
      <c s="124" t="str">
        <f t="shared" si="16"/>
        <v>тыс. руб.</v>
      </c>
      <c s="125">
        <f>D20/(1+Предпосылки!$C$481*Предпосылки!$H32)</f>
        <v>0</v>
      </c>
    </row>
    <row r="108" spans="2:4" ht="15" customHeight="1">
      <c r="B108" s="12" t="str">
        <f t="shared" si="17"/>
        <v>-</v>
      </c>
      <c s="124" t="str">
        <f t="shared" si="16"/>
        <v>тыс. руб.</v>
      </c>
      <c s="125">
        <f>D21/(1+Предпосылки!$C$481*Предпосылки!$H33)</f>
        <v>0</v>
      </c>
    </row>
    <row r="109" spans="2:4" ht="15" customHeight="1">
      <c r="B109" s="12" t="str">
        <f t="shared" si="17"/>
        <v>-</v>
      </c>
      <c s="124" t="str">
        <f t="shared" si="16"/>
        <v>тыс. руб.</v>
      </c>
      <c s="125">
        <f>D22/(1+Предпосылки!$C$481*Предпосылки!$H34)</f>
        <v>0</v>
      </c>
    </row>
    <row r="110" spans="2:4" ht="15" customHeight="1">
      <c r="B110" s="12" t="str">
        <f t="shared" si="17"/>
        <v>-</v>
      </c>
      <c s="124" t="str">
        <f t="shared" si="16"/>
        <v>тыс. руб.</v>
      </c>
      <c s="125">
        <f>D23/(1+Предпосылки!$C$481*Предпосылки!$H35)</f>
        <v>0</v>
      </c>
    </row>
    <row r="111" spans="2:4" ht="15" customHeight="1">
      <c r="B111" s="12" t="str">
        <f t="shared" si="17"/>
        <v>-</v>
      </c>
      <c s="124" t="str">
        <f t="shared" si="16"/>
        <v>тыс. руб.</v>
      </c>
      <c s="125">
        <f>D24/(1+Предпосылки!$C$481*Предпосылки!$H36)</f>
        <v>0</v>
      </c>
    </row>
    <row r="112" spans="2:4" ht="15" customHeight="1">
      <c r="B112" s="12" t="str">
        <f t="shared" si="17"/>
        <v>-</v>
      </c>
      <c s="124" t="str">
        <f t="shared" si="16"/>
        <v>тыс. руб.</v>
      </c>
      <c s="125">
        <f>D25/(1+Предпосылки!$C$481*Предпосылки!$H37)</f>
        <v>0</v>
      </c>
    </row>
    <row r="113" spans="2:4" ht="15" customHeight="1">
      <c r="B113" s="12" t="str">
        <f t="shared" si="17"/>
        <v>-</v>
      </c>
      <c s="124" t="str">
        <f t="shared" si="16"/>
        <v>тыс. руб.</v>
      </c>
      <c s="125">
        <f>D26/(1+Предпосылки!$C$481*Предпосылки!$H38)</f>
        <v>0</v>
      </c>
    </row>
    <row r="114" spans="2:4" ht="15" customHeight="1">
      <c r="B114" s="12" t="str">
        <f t="shared" si="17"/>
        <v>-</v>
      </c>
      <c s="124" t="str">
        <f t="shared" si="16"/>
        <v>тыс. руб.</v>
      </c>
      <c s="125">
        <f>D27/(1+Предпосылки!$C$481*Предпосылки!$H39)</f>
        <v>0</v>
      </c>
    </row>
    <row r="115" spans="2:4" ht="15" customHeight="1">
      <c r="B115" s="12" t="str">
        <f t="shared" si="17"/>
        <v>-</v>
      </c>
      <c s="124" t="str">
        <f t="shared" si="16"/>
        <v>тыс. руб.</v>
      </c>
      <c s="125">
        <f>D28/(1+Предпосылки!$C$481*Предпосылки!$H40)</f>
        <v>0</v>
      </c>
    </row>
    <row r="116" spans="2:4" ht="15" customHeight="1">
      <c r="B116" s="12" t="str">
        <f t="shared" si="17"/>
        <v>-</v>
      </c>
      <c s="124" t="str">
        <f t="shared" si="16"/>
        <v>тыс. руб.</v>
      </c>
      <c s="125">
        <f>D29/(1+Предпосылки!$C$481*Предпосылки!$H41)</f>
        <v>0</v>
      </c>
    </row>
    <row r="117" spans="2:4" ht="15" customHeight="1">
      <c r="B117" s="12" t="str">
        <f t="shared" si="17"/>
        <v>-</v>
      </c>
      <c s="124" t="str">
        <f t="shared" si="16"/>
        <v>тыс. руб.</v>
      </c>
      <c s="125">
        <f>D30/(1+Предпосылки!$C$481*Предпосылки!$H42)</f>
        <v>0</v>
      </c>
    </row>
    <row r="118" spans="2:4" ht="15" customHeight="1">
      <c r="B118" s="12" t="str">
        <f t="shared" si="17"/>
        <v>-</v>
      </c>
      <c s="124" t="str">
        <f t="shared" si="16"/>
        <v>тыс. руб.</v>
      </c>
      <c s="125">
        <f>D31/(1+Предпосылки!$C$481*Предпосылки!$H43)</f>
        <v>0</v>
      </c>
    </row>
    <row r="119" spans="2:4" ht="15" customHeight="1">
      <c r="B119" s="12" t="str">
        <f t="shared" si="17"/>
        <v>-</v>
      </c>
      <c s="124" t="str">
        <f t="shared" si="16"/>
        <v>тыс. руб.</v>
      </c>
      <c s="125">
        <f>D32/(1+Предпосылки!$C$481*Предпосылки!$H44)</f>
        <v>0</v>
      </c>
    </row>
    <row r="120" spans="2:4" ht="15" customHeight="1">
      <c r="B120" s="12" t="str">
        <f t="shared" si="17"/>
        <v>-</v>
      </c>
      <c s="124" t="str">
        <f t="shared" si="16"/>
        <v>тыс. руб.</v>
      </c>
      <c s="125">
        <f>D33/(1+Предпосылки!$C$481*Предпосылки!$H45)</f>
        <v>0</v>
      </c>
    </row>
    <row r="121" spans="2:4" ht="15" customHeight="1">
      <c r="B121" s="12" t="str">
        <f t="shared" si="17"/>
        <v>-</v>
      </c>
      <c s="124" t="str">
        <f t="shared" si="16"/>
        <v>тыс. руб.</v>
      </c>
      <c s="125">
        <f>D34/(1+Предпосылки!$C$481*Предпосылки!$H46)</f>
        <v>0</v>
      </c>
    </row>
    <row r="122" spans="2:4" ht="15" customHeight="1">
      <c r="B122" s="12" t="str">
        <f t="shared" si="17"/>
        <v>-</v>
      </c>
      <c s="124" t="str">
        <f t="shared" si="16"/>
        <v>тыс. руб.</v>
      </c>
      <c s="125">
        <f>D35/(1+Предпосылки!$C$481*Предпосылки!$H47)</f>
        <v>0</v>
      </c>
    </row>
    <row r="123" spans="2:4" ht="15" customHeight="1">
      <c r="B123" s="12" t="str">
        <f t="shared" si="17"/>
        <v>-</v>
      </c>
      <c s="124" t="str">
        <f t="shared" si="16"/>
        <v>тыс. руб.</v>
      </c>
      <c s="125">
        <f>D36/(1+Предпосылки!$C$481*Предпосылки!$H48)</f>
        <v>0</v>
      </c>
    </row>
    <row r="124" spans="2:4" ht="15" customHeight="1">
      <c r="B124" s="12" t="str">
        <f t="shared" si="17"/>
        <v>-</v>
      </c>
      <c s="124" t="str">
        <f t="shared" si="16"/>
        <v>тыс. руб.</v>
      </c>
      <c s="125">
        <f>D37/(1+Предпосылки!$C$481*Предпосылки!$H49)</f>
        <v>0</v>
      </c>
    </row>
    <row r="125" spans="2:4" ht="15" customHeight="1">
      <c r="B125" s="12" t="str">
        <f t="shared" si="17"/>
        <v>-</v>
      </c>
      <c s="124" t="str">
        <f t="shared" si="16"/>
        <v>тыс. руб.</v>
      </c>
      <c s="125">
        <f>D38/(1+Предпосылки!$C$481*Предпосылки!$H50)</f>
        <v>0</v>
      </c>
    </row>
    <row r="126" spans="2:4" ht="15" customHeight="1">
      <c r="B126" s="12" t="str">
        <f t="shared" si="17"/>
        <v>-</v>
      </c>
      <c s="124" t="str">
        <f t="shared" si="16"/>
        <v>тыс. руб.</v>
      </c>
      <c s="125">
        <f>D39/(1+Предпосылки!$C$481*Предпосылки!$H51)</f>
        <v>0</v>
      </c>
    </row>
    <row r="127" spans="2:4" ht="15" customHeight="1">
      <c r="B127" s="12" t="str">
        <f t="shared" si="17"/>
        <v>-</v>
      </c>
      <c s="124" t="str">
        <f t="shared" si="16"/>
        <v>тыс. руб.</v>
      </c>
      <c s="125">
        <f>D40/(1+Предпосылки!$C$481*Предпосылки!$H52)</f>
        <v>0</v>
      </c>
    </row>
    <row r="128" spans="2:4" ht="15" customHeight="1">
      <c r="B128" s="12" t="str">
        <f t="shared" si="17"/>
        <v>-</v>
      </c>
      <c s="124" t="str">
        <f t="shared" si="16"/>
        <v>тыс. руб.</v>
      </c>
      <c s="125">
        <f>D41/(1+Предпосылки!$C$481*Предпосылки!$H53)</f>
        <v>0</v>
      </c>
    </row>
    <row r="129" spans="2:4" ht="15" customHeight="1">
      <c r="B129" s="12" t="str">
        <f t="shared" si="17"/>
        <v>-</v>
      </c>
      <c s="124" t="str">
        <f t="shared" si="16"/>
        <v>тыс. руб.</v>
      </c>
      <c s="125">
        <f>D42/(1+Предпосылки!$C$481*Предпосылки!$H54)</f>
        <v>0</v>
      </c>
    </row>
    <row r="130" spans="2:4" ht="15" customHeight="1">
      <c r="B130" s="12" t="str">
        <f t="shared" si="17"/>
        <v>-</v>
      </c>
      <c s="124" t="str">
        <f t="shared" si="16"/>
        <v>тыс. руб.</v>
      </c>
      <c s="125">
        <f>D43/(1+Предпосылки!$C$481*Предпосылки!$H55)</f>
        <v>0</v>
      </c>
    </row>
    <row r="131" spans="2:4" ht="15" customHeight="1">
      <c r="B131" s="12" t="str">
        <f t="shared" si="17"/>
        <v>-</v>
      </c>
      <c s="124" t="str">
        <f t="shared" si="16"/>
        <v>тыс. руб.</v>
      </c>
      <c s="125">
        <f>D44/(1+Предпосылки!$C$481*Предпосылки!$H56)</f>
        <v>0</v>
      </c>
    </row>
    <row r="132" spans="2:4" ht="15" customHeight="1">
      <c r="B132" s="12" t="str">
        <f t="shared" si="17"/>
        <v>-</v>
      </c>
      <c s="124" t="str">
        <f t="shared" si="16"/>
        <v>тыс. руб.</v>
      </c>
      <c s="125">
        <f>D45/(1+Предпосылки!$C$481*Предпосылки!$H57)</f>
        <v>0</v>
      </c>
    </row>
    <row r="133" spans="2:4" ht="15" customHeight="1">
      <c r="B133" s="12" t="str">
        <f t="shared" si="17"/>
        <v>-</v>
      </c>
      <c s="124" t="str">
        <f t="shared" si="16"/>
        <v>тыс. руб.</v>
      </c>
      <c s="125">
        <f>D46/(1+Предпосылки!$C$481*Предпосылки!$H58)</f>
        <v>0</v>
      </c>
    </row>
    <row r="134" spans="2:4" ht="15" customHeight="1">
      <c r="B134" s="12" t="str">
        <f t="shared" si="17"/>
        <v>-</v>
      </c>
      <c s="124" t="str">
        <f t="shared" si="16"/>
        <v>тыс. руб.</v>
      </c>
      <c s="125">
        <f>D47/(1+Предпосылки!$C$481*Предпосылки!$H59)</f>
        <v>0</v>
      </c>
    </row>
    <row r="135" spans="2:4" ht="15" customHeight="1">
      <c r="B135" s="12" t="str">
        <f t="shared" si="17"/>
        <v>-</v>
      </c>
      <c s="124" t="str">
        <f t="shared" si="16"/>
        <v>тыс. руб.</v>
      </c>
      <c s="125">
        <f>D48/(1+Предпосылки!$C$481*Предпосылки!$H60)</f>
        <v>0</v>
      </c>
    </row>
    <row r="136" spans="2:4" ht="15" customHeight="1">
      <c r="B136" s="12" t="str">
        <f t="shared" si="17"/>
        <v>-</v>
      </c>
      <c s="124" t="str">
        <f t="shared" si="16"/>
        <v>тыс. руб.</v>
      </c>
      <c s="125">
        <f>D49/(1+Предпосылки!$C$481*Предпосылки!$H61)</f>
        <v>0</v>
      </c>
    </row>
    <row r="137" spans="2:4" ht="15" customHeight="1">
      <c r="B137" s="12" t="str">
        <f t="shared" si="17"/>
        <v>-</v>
      </c>
      <c s="124" t="str">
        <f t="shared" si="16"/>
        <v>тыс. руб.</v>
      </c>
      <c s="125">
        <f>D50/(1+Предпосылки!$C$481*Предпосылки!$H62)</f>
        <v>0</v>
      </c>
    </row>
    <row r="138" spans="2:4" ht="15" customHeight="1">
      <c r="B138" s="12" t="str">
        <f t="shared" si="17"/>
        <v>-</v>
      </c>
      <c s="124" t="str">
        <f t="shared" si="16"/>
        <v>тыс. руб.</v>
      </c>
      <c s="125">
        <f>D51/(1+Предпосылки!$C$481*Предпосылки!$H63)</f>
        <v>0</v>
      </c>
    </row>
    <row r="139" spans="2:4" ht="15" customHeight="1">
      <c r="B139" s="12" t="str">
        <f t="shared" si="17"/>
        <v>-</v>
      </c>
      <c s="124" t="str">
        <f t="shared" si="16"/>
        <v>тыс. руб.</v>
      </c>
      <c s="125">
        <f>D52/(1+Предпосылки!$C$481*Предпосылки!$H64)</f>
        <v>0</v>
      </c>
    </row>
    <row r="140" spans="2:4" ht="15" customHeight="1">
      <c r="B140" s="12" t="str">
        <f t="shared" si="17"/>
        <v>-</v>
      </c>
      <c s="124" t="str">
        <f t="shared" si="16"/>
        <v>тыс. руб.</v>
      </c>
      <c s="125">
        <f>D53/(1+Предпосылки!$C$481*Предпосылки!$H65)</f>
        <v>0</v>
      </c>
    </row>
    <row r="141" spans="2:4" ht="15" customHeight="1">
      <c r="B141" s="12" t="str">
        <f t="shared" si="17"/>
        <v>-</v>
      </c>
      <c s="124" t="str">
        <f t="shared" si="16"/>
        <v>тыс. руб.</v>
      </c>
      <c s="125">
        <f>D54/(1+Предпосылки!$C$481*Предпосылки!$H66)</f>
        <v>0</v>
      </c>
    </row>
    <row r="142" spans="2:4" ht="15" customHeight="1">
      <c r="B142" s="12" t="str">
        <f t="shared" si="17"/>
        <v>-</v>
      </c>
      <c s="124" t="str">
        <f t="shared" si="16"/>
        <v>тыс. руб.</v>
      </c>
      <c s="125">
        <f>D55/(1+Предпосылки!$C$481*Предпосылки!$H67)</f>
        <v>0</v>
      </c>
    </row>
    <row r="143" spans="2:4" ht="15" customHeight="1">
      <c r="B143" s="12" t="str">
        <f t="shared" si="17"/>
        <v>-</v>
      </c>
      <c s="124" t="str">
        <f t="shared" si="16"/>
        <v>тыс. руб.</v>
      </c>
      <c s="125">
        <f>D56/(1+Предпосылки!$C$481*Предпосылки!$H68)</f>
        <v>0</v>
      </c>
    </row>
    <row r="144" spans="2:4" ht="15" customHeight="1">
      <c r="B144" s="12" t="str">
        <f t="shared" si="17"/>
        <v>-</v>
      </c>
      <c s="124" t="str">
        <f t="shared" si="16"/>
        <v>тыс. руб.</v>
      </c>
      <c s="125">
        <f>D57/(1+Предпосылки!$C$481*Предпосылки!$H69)</f>
        <v>0</v>
      </c>
    </row>
    <row r="145" spans="2:4" ht="15" customHeight="1">
      <c r="B145" s="289" t="s">
        <v>454</v>
      </c>
      <c s="290" t="str">
        <f t="shared" si="16"/>
        <v>тыс. руб.</v>
      </c>
      <c s="291">
        <f>SUM(D105:D144)</f>
        <v>0</v>
      </c>
    </row>
    <row r="146" ht="15" customHeight="1"/>
    <row r="147" spans="2:2" ht="15" customHeight="1">
      <c r="B147" s="24" t="s">
        <v>819</v>
      </c>
    </row>
    <row r="148" spans="2:65" ht="15" customHeight="1">
      <c r="B148" s="12" t="str">
        <f>B105</f>
        <v>-</v>
      </c>
      <c s="124" t="str">
        <f t="shared" si="18" ref="C148:C188">Единица_измерения</f>
        <v>тыс. руб.</v>
      </c>
      <c s="276">
        <f>SUM(E148:BM148)</f>
        <v>0</v>
      </c>
      <c s="125">
        <f>E61/(1+E$11*Предпосылки!$H30)</f>
        <v>0</v>
      </c>
      <c s="125">
        <f>F61/(1+F$11*Предпосылки!$H30)</f>
        <v>0</v>
      </c>
      <c s="125">
        <f>G61/(1+G$11*Предпосылки!$H30)</f>
        <v>0</v>
      </c>
      <c s="125">
        <f>H61/(1+H$11*Предпосылки!$H30)</f>
        <v>0</v>
      </c>
      <c s="125">
        <f>I61/(1+I$11*Предпосылки!$H30)</f>
        <v>0</v>
      </c>
      <c s="125">
        <f>J61/(1+J$11*Предпосылки!$H30)</f>
        <v>0</v>
      </c>
      <c s="125">
        <f>K61/(1+K$11*Предпосылки!$H30)</f>
        <v>0</v>
      </c>
      <c s="125">
        <f>L61/(1+L$11*Предпосылки!$H30)</f>
        <v>0</v>
      </c>
      <c s="125">
        <f>M61/(1+M$11*Предпосылки!$H30)</f>
        <v>0</v>
      </c>
      <c s="125">
        <f>N61/(1+N$11*Предпосылки!$H30)</f>
        <v>0</v>
      </c>
      <c s="125">
        <f>O61/(1+O$11*Предпосылки!$H30)</f>
        <v>0</v>
      </c>
      <c s="125">
        <f>P61/(1+P$11*Предпосылки!$H30)</f>
        <v>0</v>
      </c>
      <c s="125">
        <f>Q61/(1+Q$11*Предпосылки!$H30)</f>
        <v>0</v>
      </c>
      <c s="125">
        <f>R61/(1+R$11*Предпосылки!$H30)</f>
        <v>0</v>
      </c>
      <c s="125">
        <f>S61/(1+S$11*Предпосылки!$H30)</f>
        <v>0</v>
      </c>
      <c s="125">
        <f>T61/(1+T$11*Предпосылки!$H30)</f>
        <v>0</v>
      </c>
      <c s="125">
        <f>U61/(1+U$11*Предпосылки!$H30)</f>
        <v>0</v>
      </c>
      <c s="125">
        <f>V61/(1+V$11*Предпосылки!$H30)</f>
        <v>0</v>
      </c>
      <c s="125">
        <f>W61/(1+W$11*Предпосылки!$H30)</f>
        <v>0</v>
      </c>
      <c s="125">
        <f>X61/(1+X$11*Предпосылки!$H30)</f>
        <v>0</v>
      </c>
      <c s="125">
        <f>Y61/(1+Y$11*Предпосылки!$H30)</f>
        <v>0</v>
      </c>
      <c s="125">
        <f>Z61/(1+Z$11*Предпосылки!$H30)</f>
        <v>0</v>
      </c>
      <c s="125">
        <f>AA61/(1+AA$11*Предпосылки!$H30)</f>
        <v>0</v>
      </c>
      <c s="125">
        <f>AB61/(1+AB$11*Предпосылки!$H30)</f>
        <v>0</v>
      </c>
      <c s="125">
        <f>AC61/(1+AC$11*Предпосылки!$H30)</f>
        <v>0</v>
      </c>
      <c s="125">
        <f>AD61/(1+AD$11*Предпосылки!$H30)</f>
        <v>0</v>
      </c>
      <c s="125">
        <f>AE61/(1+AE$11*Предпосылки!$H30)</f>
        <v>0</v>
      </c>
      <c s="125">
        <f>AF61/(1+AF$11*Предпосылки!$H30)</f>
        <v>0</v>
      </c>
      <c s="125">
        <f>AG61/(1+AG$11*Предпосылки!$H30)</f>
        <v>0</v>
      </c>
      <c s="125">
        <f>AH61/(1+AH$11*Предпосылки!$H30)</f>
        <v>0</v>
      </c>
      <c s="125">
        <f>AI61/(1+AI$11*Предпосылки!$H30)</f>
        <v>0</v>
      </c>
      <c s="125">
        <f>AJ61/(1+AJ$11*Предпосылки!$H30)</f>
        <v>0</v>
      </c>
      <c s="125">
        <f>AK61/(1+AK$11*Предпосылки!$H30)</f>
        <v>0</v>
      </c>
      <c s="125">
        <f>AL61/(1+AL$11*Предпосылки!$H30)</f>
        <v>0</v>
      </c>
      <c s="125">
        <f>AM61/(1+AM$11*Предпосылки!$H30)</f>
        <v>0</v>
      </c>
      <c s="125">
        <f>AN61/(1+AN$11*Предпосылки!$H30)</f>
        <v>0</v>
      </c>
      <c s="125">
        <f>AO61/(1+AO$11*Предпосылки!$H30)</f>
        <v>0</v>
      </c>
      <c s="125">
        <f>AP61/(1+AP$11*Предпосылки!$H30)</f>
        <v>0</v>
      </c>
      <c s="125">
        <f>AQ61/(1+AQ$11*Предпосылки!$H30)</f>
        <v>0</v>
      </c>
      <c s="125">
        <f>AR61/(1+AR$11*Предпосылки!$H30)</f>
        <v>0</v>
      </c>
      <c s="125">
        <f>AS61/(1+AS$11*Предпосылки!$H30)</f>
        <v>0</v>
      </c>
      <c s="125">
        <f>AT61/(1+AT$11*Предпосылки!$H30)</f>
        <v>0</v>
      </c>
      <c s="125">
        <f>AU61/(1+AU$11*Предпосылки!$H30)</f>
        <v>0</v>
      </c>
      <c s="125">
        <f>AV61/(1+AV$11*Предпосылки!$H30)</f>
        <v>0</v>
      </c>
      <c s="125">
        <f>AW61/(1+AW$11*Предпосылки!$H30)</f>
        <v>0</v>
      </c>
      <c s="125">
        <f>AX61/(1+AX$11*Предпосылки!$H30)</f>
        <v>0</v>
      </c>
      <c s="125">
        <f>AY61/(1+AY$11*Предпосылки!$H30)</f>
        <v>0</v>
      </c>
      <c s="125">
        <f>AZ61/(1+AZ$11*Предпосылки!$H30)</f>
        <v>0</v>
      </c>
      <c s="125">
        <f>BA61/(1+BA$11*Предпосылки!$H30)</f>
        <v>0</v>
      </c>
      <c s="125">
        <f>BB61/(1+BB$11*Предпосылки!$H30)</f>
        <v>0</v>
      </c>
      <c s="125">
        <f>BC61/(1+BC$11*Предпосылки!$H30)</f>
        <v>0</v>
      </c>
      <c s="125">
        <f>BD61/(1+BD$11*Предпосылки!$H30)</f>
        <v>0</v>
      </c>
      <c s="125">
        <f>BE61/(1+BE$11*Предпосылки!$H30)</f>
        <v>0</v>
      </c>
      <c s="125">
        <f>BF61/(1+BF$11*Предпосылки!$H30)</f>
        <v>0</v>
      </c>
      <c s="125">
        <f>BG61/(1+BG$11*Предпосылки!$H30)</f>
        <v>0</v>
      </c>
      <c s="125">
        <f>BH61/(1+BH$11*Предпосылки!$H30)</f>
        <v>0</v>
      </c>
      <c s="125">
        <f>BI61/(1+BI$11*Предпосылки!$H30)</f>
        <v>0</v>
      </c>
      <c s="125">
        <f>BJ61/(1+BJ$11*Предпосылки!$H30)</f>
        <v>0</v>
      </c>
      <c s="125">
        <f>BK61/(1+BK$11*Предпосылки!$H30)</f>
        <v>0</v>
      </c>
      <c s="125">
        <f>BL61/(1+BL$11*Предпосылки!$H30)</f>
        <v>0</v>
      </c>
      <c s="125">
        <f>BM61/(1+BM$11*Предпосылки!$H30)</f>
        <v>0</v>
      </c>
    </row>
    <row r="149" spans="2:65" ht="15" customHeight="1">
      <c r="B149" s="12" t="str">
        <f t="shared" si="19" ref="B149:B187">B106</f>
        <v>-</v>
      </c>
      <c s="124" t="str">
        <f t="shared" si="18"/>
        <v>тыс. руб.</v>
      </c>
      <c s="276">
        <f t="shared" si="20" ref="D149:D187">SUM(E149:BM149)</f>
        <v>0</v>
      </c>
      <c s="125">
        <f>E62/(1+E$11*Предпосылки!$H31)</f>
        <v>0</v>
      </c>
      <c s="125">
        <f>F62/(1+F$11*Предпосылки!$H31)</f>
        <v>0</v>
      </c>
      <c s="125">
        <f>G62/(1+G$11*Предпосылки!$H31)</f>
        <v>0</v>
      </c>
      <c s="125">
        <f>H62/(1+H$11*Предпосылки!$H31)</f>
        <v>0</v>
      </c>
      <c s="125">
        <f>I62/(1+I$11*Предпосылки!$H31)</f>
        <v>0</v>
      </c>
      <c s="125">
        <f>J62/(1+J$11*Предпосылки!$H31)</f>
        <v>0</v>
      </c>
      <c s="125">
        <f>K62/(1+K$11*Предпосылки!$H31)</f>
        <v>0</v>
      </c>
      <c s="125">
        <f>L62/(1+L$11*Предпосылки!$H31)</f>
        <v>0</v>
      </c>
      <c s="125">
        <f>M62/(1+M$11*Предпосылки!$H31)</f>
        <v>0</v>
      </c>
      <c s="125">
        <f>N62/(1+N$11*Предпосылки!$H31)</f>
        <v>0</v>
      </c>
      <c s="125">
        <f>O62/(1+O$11*Предпосылки!$H31)</f>
        <v>0</v>
      </c>
      <c s="125">
        <f>P62/(1+P$11*Предпосылки!$H31)</f>
        <v>0</v>
      </c>
      <c s="125">
        <f>Q62/(1+Q$11*Предпосылки!$H31)</f>
        <v>0</v>
      </c>
      <c s="125">
        <f>R62/(1+R$11*Предпосылки!$H31)</f>
        <v>0</v>
      </c>
      <c s="125">
        <f>S62/(1+S$11*Предпосылки!$H31)</f>
        <v>0</v>
      </c>
      <c s="125">
        <f>T62/(1+T$11*Предпосылки!$H31)</f>
        <v>0</v>
      </c>
      <c s="125">
        <f>U62/(1+U$11*Предпосылки!$H31)</f>
        <v>0</v>
      </c>
      <c s="125">
        <f>V62/(1+V$11*Предпосылки!$H31)</f>
        <v>0</v>
      </c>
      <c s="125">
        <f>W62/(1+W$11*Предпосылки!$H31)</f>
        <v>0</v>
      </c>
      <c s="125">
        <f>X62/(1+X$11*Предпосылки!$H31)</f>
        <v>0</v>
      </c>
      <c s="125">
        <f>Y62/(1+Y$11*Предпосылки!$H31)</f>
        <v>0</v>
      </c>
      <c s="125">
        <f>Z62/(1+Z$11*Предпосылки!$H31)</f>
        <v>0</v>
      </c>
      <c s="125">
        <f>AA62/(1+AA$11*Предпосылки!$H31)</f>
        <v>0</v>
      </c>
      <c s="125">
        <f>AB62/(1+AB$11*Предпосылки!$H31)</f>
        <v>0</v>
      </c>
      <c s="125">
        <f>AC62/(1+AC$11*Предпосылки!$H31)</f>
        <v>0</v>
      </c>
      <c s="125">
        <f>AD62/(1+AD$11*Предпосылки!$H31)</f>
        <v>0</v>
      </c>
      <c s="125">
        <f>AE62/(1+AE$11*Предпосылки!$H31)</f>
        <v>0</v>
      </c>
      <c s="125">
        <f>AF62/(1+AF$11*Предпосылки!$H31)</f>
        <v>0</v>
      </c>
      <c s="125">
        <f>AG62/(1+AG$11*Предпосылки!$H31)</f>
        <v>0</v>
      </c>
      <c s="125">
        <f>AH62/(1+AH$11*Предпосылки!$H31)</f>
        <v>0</v>
      </c>
      <c s="125">
        <f>AI62/(1+AI$11*Предпосылки!$H31)</f>
        <v>0</v>
      </c>
      <c s="125">
        <f>AJ62/(1+AJ$11*Предпосылки!$H31)</f>
        <v>0</v>
      </c>
      <c s="125">
        <f>AK62/(1+AK$11*Предпосылки!$H31)</f>
        <v>0</v>
      </c>
      <c s="125">
        <f>AL62/(1+AL$11*Предпосылки!$H31)</f>
        <v>0</v>
      </c>
      <c s="125">
        <f>AM62/(1+AM$11*Предпосылки!$H31)</f>
        <v>0</v>
      </c>
      <c s="125">
        <f>AN62/(1+AN$11*Предпосылки!$H31)</f>
        <v>0</v>
      </c>
      <c s="125">
        <f>AO62/(1+AO$11*Предпосылки!$H31)</f>
        <v>0</v>
      </c>
      <c s="125">
        <f>AP62/(1+AP$11*Предпосылки!$H31)</f>
        <v>0</v>
      </c>
      <c s="125">
        <f>AQ62/(1+AQ$11*Предпосылки!$H31)</f>
        <v>0</v>
      </c>
      <c s="125">
        <f>AR62/(1+AR$11*Предпосылки!$H31)</f>
        <v>0</v>
      </c>
      <c s="125">
        <f>AS62/(1+AS$11*Предпосылки!$H31)</f>
        <v>0</v>
      </c>
      <c s="125">
        <f>AT62/(1+AT$11*Предпосылки!$H31)</f>
        <v>0</v>
      </c>
      <c s="125">
        <f>AU62/(1+AU$11*Предпосылки!$H31)</f>
        <v>0</v>
      </c>
      <c s="125">
        <f>AV62/(1+AV$11*Предпосылки!$H31)</f>
        <v>0</v>
      </c>
      <c s="125">
        <f>AW62/(1+AW$11*Предпосылки!$H31)</f>
        <v>0</v>
      </c>
      <c s="125">
        <f>AX62/(1+AX$11*Предпосылки!$H31)</f>
        <v>0</v>
      </c>
      <c s="125">
        <f>AY62/(1+AY$11*Предпосылки!$H31)</f>
        <v>0</v>
      </c>
      <c s="125">
        <f>AZ62/(1+AZ$11*Предпосылки!$H31)</f>
        <v>0</v>
      </c>
      <c s="125">
        <f>BA62/(1+BA$11*Предпосылки!$H31)</f>
        <v>0</v>
      </c>
      <c s="125">
        <f>BB62/(1+BB$11*Предпосылки!$H31)</f>
        <v>0</v>
      </c>
      <c s="125">
        <f>BC62/(1+BC$11*Предпосылки!$H31)</f>
        <v>0</v>
      </c>
      <c s="125">
        <f>BD62/(1+BD$11*Предпосылки!$H31)</f>
        <v>0</v>
      </c>
      <c s="125">
        <f>BE62/(1+BE$11*Предпосылки!$H31)</f>
        <v>0</v>
      </c>
      <c s="125">
        <f>BF62/(1+BF$11*Предпосылки!$H31)</f>
        <v>0</v>
      </c>
      <c s="125">
        <f>BG62/(1+BG$11*Предпосылки!$H31)</f>
        <v>0</v>
      </c>
      <c s="125">
        <f>BH62/(1+BH$11*Предпосылки!$H31)</f>
        <v>0</v>
      </c>
      <c s="125">
        <f>BI62/(1+BI$11*Предпосылки!$H31)</f>
        <v>0</v>
      </c>
      <c s="125">
        <f>BJ62/(1+BJ$11*Предпосылки!$H31)</f>
        <v>0</v>
      </c>
      <c s="125">
        <f>BK62/(1+BK$11*Предпосылки!$H31)</f>
        <v>0</v>
      </c>
      <c s="125">
        <f>BL62/(1+BL$11*Предпосылки!$H31)</f>
        <v>0</v>
      </c>
      <c s="125">
        <f>BM62/(1+BM$11*Предпосылки!$H31)</f>
        <v>0</v>
      </c>
    </row>
    <row r="150" spans="2:65" ht="15" customHeight="1">
      <c r="B150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E63/(1+E$11*Предпосылки!$H32)</f>
        <v>0</v>
      </c>
      <c s="125">
        <f>F63/(1+F$11*Предпосылки!$H32)</f>
        <v>0</v>
      </c>
      <c s="125">
        <f>G63/(1+G$11*Предпосылки!$H32)</f>
        <v>0</v>
      </c>
      <c s="125">
        <f>H63/(1+H$11*Предпосылки!$H32)</f>
        <v>0</v>
      </c>
      <c s="125">
        <f>I63/(1+I$11*Предпосылки!$H32)</f>
        <v>0</v>
      </c>
      <c s="125">
        <f>J63/(1+J$11*Предпосылки!$H32)</f>
        <v>0</v>
      </c>
      <c s="125">
        <f>K63/(1+K$11*Предпосылки!$H32)</f>
        <v>0</v>
      </c>
      <c s="125">
        <f>L63/(1+L$11*Предпосылки!$H32)</f>
        <v>0</v>
      </c>
      <c s="125">
        <f>M63/(1+M$11*Предпосылки!$H32)</f>
        <v>0</v>
      </c>
      <c s="125">
        <f>N63/(1+N$11*Предпосылки!$H32)</f>
        <v>0</v>
      </c>
      <c s="125">
        <f>O63/(1+O$11*Предпосылки!$H32)</f>
        <v>0</v>
      </c>
      <c s="125">
        <f>P63/(1+P$11*Предпосылки!$H32)</f>
        <v>0</v>
      </c>
      <c s="125">
        <f>Q63/(1+Q$11*Предпосылки!$H32)</f>
        <v>0</v>
      </c>
      <c s="125">
        <f>R63/(1+R$11*Предпосылки!$H32)</f>
        <v>0</v>
      </c>
      <c s="125">
        <f>S63/(1+S$11*Предпосылки!$H32)</f>
        <v>0</v>
      </c>
      <c s="125">
        <f>T63/(1+T$11*Предпосылки!$H32)</f>
        <v>0</v>
      </c>
      <c s="125">
        <f>U63/(1+U$11*Предпосылки!$H32)</f>
        <v>0</v>
      </c>
      <c s="125">
        <f>V63/(1+V$11*Предпосылки!$H32)</f>
        <v>0</v>
      </c>
      <c s="125">
        <f>W63/(1+W$11*Предпосылки!$H32)</f>
        <v>0</v>
      </c>
      <c s="125">
        <f>X63/(1+X$11*Предпосылки!$H32)</f>
        <v>0</v>
      </c>
      <c s="125">
        <f>Y63/(1+Y$11*Предпосылки!$H32)</f>
        <v>0</v>
      </c>
      <c s="125">
        <f>Z63/(1+Z$11*Предпосылки!$H32)</f>
        <v>0</v>
      </c>
      <c s="125">
        <f>AA63/(1+AA$11*Предпосылки!$H32)</f>
        <v>0</v>
      </c>
      <c s="125">
        <f>AB63/(1+AB$11*Предпосылки!$H32)</f>
        <v>0</v>
      </c>
      <c s="125">
        <f>AC63/(1+AC$11*Предпосылки!$H32)</f>
        <v>0</v>
      </c>
      <c s="125">
        <f>AD63/(1+AD$11*Предпосылки!$H32)</f>
        <v>0</v>
      </c>
      <c s="125">
        <f>AE63/(1+AE$11*Предпосылки!$H32)</f>
        <v>0</v>
      </c>
      <c s="125">
        <f>AF63/(1+AF$11*Предпосылки!$H32)</f>
        <v>0</v>
      </c>
      <c s="125">
        <f>AG63/(1+AG$11*Предпосылки!$H32)</f>
        <v>0</v>
      </c>
      <c s="125">
        <f>AH63/(1+AH$11*Предпосылки!$H32)</f>
        <v>0</v>
      </c>
      <c s="125">
        <f>AI63/(1+AI$11*Предпосылки!$H32)</f>
        <v>0</v>
      </c>
      <c s="125">
        <f>AJ63/(1+AJ$11*Предпосылки!$H32)</f>
        <v>0</v>
      </c>
      <c s="125">
        <f>AK63/(1+AK$11*Предпосылки!$H32)</f>
        <v>0</v>
      </c>
      <c s="125">
        <f>AL63/(1+AL$11*Предпосылки!$H32)</f>
        <v>0</v>
      </c>
      <c s="125">
        <f>AM63/(1+AM$11*Предпосылки!$H32)</f>
        <v>0</v>
      </c>
      <c s="125">
        <f>AN63/(1+AN$11*Предпосылки!$H32)</f>
        <v>0</v>
      </c>
      <c s="125">
        <f>AO63/(1+AO$11*Предпосылки!$H32)</f>
        <v>0</v>
      </c>
      <c s="125">
        <f>AP63/(1+AP$11*Предпосылки!$H32)</f>
        <v>0</v>
      </c>
      <c s="125">
        <f>AQ63/(1+AQ$11*Предпосылки!$H32)</f>
        <v>0</v>
      </c>
      <c s="125">
        <f>AR63/(1+AR$11*Предпосылки!$H32)</f>
        <v>0</v>
      </c>
      <c s="125">
        <f>AS63/(1+AS$11*Предпосылки!$H32)</f>
        <v>0</v>
      </c>
      <c s="125">
        <f>AT63/(1+AT$11*Предпосылки!$H32)</f>
        <v>0</v>
      </c>
      <c s="125">
        <f>AU63/(1+AU$11*Предпосылки!$H32)</f>
        <v>0</v>
      </c>
      <c s="125">
        <f>AV63/(1+AV$11*Предпосылки!$H32)</f>
        <v>0</v>
      </c>
      <c s="125">
        <f>AW63/(1+AW$11*Предпосылки!$H32)</f>
        <v>0</v>
      </c>
      <c s="125">
        <f>AX63/(1+AX$11*Предпосылки!$H32)</f>
        <v>0</v>
      </c>
      <c s="125">
        <f>AY63/(1+AY$11*Предпосылки!$H32)</f>
        <v>0</v>
      </c>
      <c s="125">
        <f>AZ63/(1+AZ$11*Предпосылки!$H32)</f>
        <v>0</v>
      </c>
      <c s="125">
        <f>BA63/(1+BA$11*Предпосылки!$H32)</f>
        <v>0</v>
      </c>
      <c s="125">
        <f>BB63/(1+BB$11*Предпосылки!$H32)</f>
        <v>0</v>
      </c>
      <c s="125">
        <f>BC63/(1+BC$11*Предпосылки!$H32)</f>
        <v>0</v>
      </c>
      <c s="125">
        <f>BD63/(1+BD$11*Предпосылки!$H32)</f>
        <v>0</v>
      </c>
      <c s="125">
        <f>BE63/(1+BE$11*Предпосылки!$H32)</f>
        <v>0</v>
      </c>
      <c s="125">
        <f>BF63/(1+BF$11*Предпосылки!$H32)</f>
        <v>0</v>
      </c>
      <c s="125">
        <f>BG63/(1+BG$11*Предпосылки!$H32)</f>
        <v>0</v>
      </c>
      <c s="125">
        <f>BH63/(1+BH$11*Предпосылки!$H32)</f>
        <v>0</v>
      </c>
      <c s="125">
        <f>BI63/(1+BI$11*Предпосылки!$H32)</f>
        <v>0</v>
      </c>
      <c s="125">
        <f>BJ63/(1+BJ$11*Предпосылки!$H32)</f>
        <v>0</v>
      </c>
      <c s="125">
        <f>BK63/(1+BK$11*Предпосылки!$H32)</f>
        <v>0</v>
      </c>
      <c s="125">
        <f>BL63/(1+BL$11*Предпосылки!$H32)</f>
        <v>0</v>
      </c>
      <c s="125">
        <f>BM63/(1+BM$11*Предпосылки!$H32)</f>
        <v>0</v>
      </c>
    </row>
    <row r="151" spans="2:65" ht="15" customHeight="1">
      <c r="B151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E64/(1+E$11*Предпосылки!$H33)</f>
        <v>0</v>
      </c>
      <c s="125">
        <f>F64/(1+F$11*Предпосылки!$H33)</f>
        <v>0</v>
      </c>
      <c s="125">
        <f>G64/(1+G$11*Предпосылки!$H33)</f>
        <v>0</v>
      </c>
      <c s="125">
        <f>H64/(1+H$11*Предпосылки!$H33)</f>
        <v>0</v>
      </c>
      <c s="125">
        <f>I64/(1+I$11*Предпосылки!$H33)</f>
        <v>0</v>
      </c>
      <c s="125">
        <f>J64/(1+J$11*Предпосылки!$H33)</f>
        <v>0</v>
      </c>
      <c s="125">
        <f>K64/(1+K$11*Предпосылки!$H33)</f>
        <v>0</v>
      </c>
      <c s="125">
        <f>L64/(1+L$11*Предпосылки!$H33)</f>
        <v>0</v>
      </c>
      <c s="125">
        <f>M64/(1+M$11*Предпосылки!$H33)</f>
        <v>0</v>
      </c>
      <c s="125">
        <f>N64/(1+N$11*Предпосылки!$H33)</f>
        <v>0</v>
      </c>
      <c s="125">
        <f>O64/(1+O$11*Предпосылки!$H33)</f>
        <v>0</v>
      </c>
      <c s="125">
        <f>P64/(1+P$11*Предпосылки!$H33)</f>
        <v>0</v>
      </c>
      <c s="125">
        <f>Q64/(1+Q$11*Предпосылки!$H33)</f>
        <v>0</v>
      </c>
      <c s="125">
        <f>R64/(1+R$11*Предпосылки!$H33)</f>
        <v>0</v>
      </c>
      <c s="125">
        <f>S64/(1+S$11*Предпосылки!$H33)</f>
        <v>0</v>
      </c>
      <c s="125">
        <f>T64/(1+T$11*Предпосылки!$H33)</f>
        <v>0</v>
      </c>
      <c s="125">
        <f>U64/(1+U$11*Предпосылки!$H33)</f>
        <v>0</v>
      </c>
      <c s="125">
        <f>V64/(1+V$11*Предпосылки!$H33)</f>
        <v>0</v>
      </c>
      <c s="125">
        <f>W64/(1+W$11*Предпосылки!$H33)</f>
        <v>0</v>
      </c>
      <c s="125">
        <f>X64/(1+X$11*Предпосылки!$H33)</f>
        <v>0</v>
      </c>
      <c s="125">
        <f>Y64/(1+Y$11*Предпосылки!$H33)</f>
        <v>0</v>
      </c>
      <c s="125">
        <f>Z64/(1+Z$11*Предпосылки!$H33)</f>
        <v>0</v>
      </c>
      <c s="125">
        <f>AA64/(1+AA$11*Предпосылки!$H33)</f>
        <v>0</v>
      </c>
      <c s="125">
        <f>AB64/(1+AB$11*Предпосылки!$H33)</f>
        <v>0</v>
      </c>
      <c s="125">
        <f>AC64/(1+AC$11*Предпосылки!$H33)</f>
        <v>0</v>
      </c>
      <c s="125">
        <f>AD64/(1+AD$11*Предпосылки!$H33)</f>
        <v>0</v>
      </c>
      <c s="125">
        <f>AE64/(1+AE$11*Предпосылки!$H33)</f>
        <v>0</v>
      </c>
      <c s="125">
        <f>AF64/(1+AF$11*Предпосылки!$H33)</f>
        <v>0</v>
      </c>
      <c s="125">
        <f>AG64/(1+AG$11*Предпосылки!$H33)</f>
        <v>0</v>
      </c>
      <c s="125">
        <f>AH64/(1+AH$11*Предпосылки!$H33)</f>
        <v>0</v>
      </c>
      <c s="125">
        <f>AI64/(1+AI$11*Предпосылки!$H33)</f>
        <v>0</v>
      </c>
      <c s="125">
        <f>AJ64/(1+AJ$11*Предпосылки!$H33)</f>
        <v>0</v>
      </c>
      <c s="125">
        <f>AK64/(1+AK$11*Предпосылки!$H33)</f>
        <v>0</v>
      </c>
      <c s="125">
        <f>AL64/(1+AL$11*Предпосылки!$H33)</f>
        <v>0</v>
      </c>
      <c s="125">
        <f>AM64/(1+AM$11*Предпосылки!$H33)</f>
        <v>0</v>
      </c>
      <c s="125">
        <f>AN64/(1+AN$11*Предпосылки!$H33)</f>
        <v>0</v>
      </c>
      <c s="125">
        <f>AO64/(1+AO$11*Предпосылки!$H33)</f>
        <v>0</v>
      </c>
      <c s="125">
        <f>AP64/(1+AP$11*Предпосылки!$H33)</f>
        <v>0</v>
      </c>
      <c s="125">
        <f>AQ64/(1+AQ$11*Предпосылки!$H33)</f>
        <v>0</v>
      </c>
      <c s="125">
        <f>AR64/(1+AR$11*Предпосылки!$H33)</f>
        <v>0</v>
      </c>
      <c s="125">
        <f>AS64/(1+AS$11*Предпосылки!$H33)</f>
        <v>0</v>
      </c>
      <c s="125">
        <f>AT64/(1+AT$11*Предпосылки!$H33)</f>
        <v>0</v>
      </c>
      <c s="125">
        <f>AU64/(1+AU$11*Предпосылки!$H33)</f>
        <v>0</v>
      </c>
      <c s="125">
        <f>AV64/(1+AV$11*Предпосылки!$H33)</f>
        <v>0</v>
      </c>
      <c s="125">
        <f>AW64/(1+AW$11*Предпосылки!$H33)</f>
        <v>0</v>
      </c>
      <c s="125">
        <f>AX64/(1+AX$11*Предпосылки!$H33)</f>
        <v>0</v>
      </c>
      <c s="125">
        <f>AY64/(1+AY$11*Предпосылки!$H33)</f>
        <v>0</v>
      </c>
      <c s="125">
        <f>AZ64/(1+AZ$11*Предпосылки!$H33)</f>
        <v>0</v>
      </c>
      <c s="125">
        <f>BA64/(1+BA$11*Предпосылки!$H33)</f>
        <v>0</v>
      </c>
      <c s="125">
        <f>BB64/(1+BB$11*Предпосылки!$H33)</f>
        <v>0</v>
      </c>
      <c s="125">
        <f>BC64/(1+BC$11*Предпосылки!$H33)</f>
        <v>0</v>
      </c>
      <c s="125">
        <f>BD64/(1+BD$11*Предпосылки!$H33)</f>
        <v>0</v>
      </c>
      <c s="125">
        <f>BE64/(1+BE$11*Предпосылки!$H33)</f>
        <v>0</v>
      </c>
      <c s="125">
        <f>BF64/(1+BF$11*Предпосылки!$H33)</f>
        <v>0</v>
      </c>
      <c s="125">
        <f>BG64/(1+BG$11*Предпосылки!$H33)</f>
        <v>0</v>
      </c>
      <c s="125">
        <f>BH64/(1+BH$11*Предпосылки!$H33)</f>
        <v>0</v>
      </c>
      <c s="125">
        <f>BI64/(1+BI$11*Предпосылки!$H33)</f>
        <v>0</v>
      </c>
      <c s="125">
        <f>BJ64/(1+BJ$11*Предпосылки!$H33)</f>
        <v>0</v>
      </c>
      <c s="125">
        <f>BK64/(1+BK$11*Предпосылки!$H33)</f>
        <v>0</v>
      </c>
      <c s="125">
        <f>BL64/(1+BL$11*Предпосылки!$H33)</f>
        <v>0</v>
      </c>
      <c s="125">
        <f>BM64/(1+BM$11*Предпосылки!$H33)</f>
        <v>0</v>
      </c>
    </row>
    <row r="152" spans="2:65" ht="15" customHeight="1">
      <c r="B152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E65/(1+E$11*Предпосылки!$H34)</f>
        <v>0</v>
      </c>
      <c s="125">
        <f>F65/(1+F$11*Предпосылки!$H34)</f>
        <v>0</v>
      </c>
      <c s="125">
        <f>G65/(1+G$11*Предпосылки!$H34)</f>
        <v>0</v>
      </c>
      <c s="125">
        <f>H65/(1+H$11*Предпосылки!$H34)</f>
        <v>0</v>
      </c>
      <c s="125">
        <f>I65/(1+I$11*Предпосылки!$H34)</f>
        <v>0</v>
      </c>
      <c s="125">
        <f>J65/(1+J$11*Предпосылки!$H34)</f>
        <v>0</v>
      </c>
      <c s="125">
        <f>K65/(1+K$11*Предпосылки!$H34)</f>
        <v>0</v>
      </c>
      <c s="125">
        <f>L65/(1+L$11*Предпосылки!$H34)</f>
        <v>0</v>
      </c>
      <c s="125">
        <f>M65/(1+M$11*Предпосылки!$H34)</f>
        <v>0</v>
      </c>
      <c s="125">
        <f>N65/(1+N$11*Предпосылки!$H34)</f>
        <v>0</v>
      </c>
      <c s="125">
        <f>O65/(1+O$11*Предпосылки!$H34)</f>
        <v>0</v>
      </c>
      <c s="125">
        <f>P65/(1+P$11*Предпосылки!$H34)</f>
        <v>0</v>
      </c>
      <c s="125">
        <f>Q65/(1+Q$11*Предпосылки!$H34)</f>
        <v>0</v>
      </c>
      <c s="125">
        <f>R65/(1+R$11*Предпосылки!$H34)</f>
        <v>0</v>
      </c>
      <c s="125">
        <f>S65/(1+S$11*Предпосылки!$H34)</f>
        <v>0</v>
      </c>
      <c s="125">
        <f>T65/(1+T$11*Предпосылки!$H34)</f>
        <v>0</v>
      </c>
      <c s="125">
        <f>U65/(1+U$11*Предпосылки!$H34)</f>
        <v>0</v>
      </c>
      <c s="125">
        <f>V65/(1+V$11*Предпосылки!$H34)</f>
        <v>0</v>
      </c>
      <c s="125">
        <f>W65/(1+W$11*Предпосылки!$H34)</f>
        <v>0</v>
      </c>
      <c s="125">
        <f>X65/(1+X$11*Предпосылки!$H34)</f>
        <v>0</v>
      </c>
      <c s="125">
        <f>Y65/(1+Y$11*Предпосылки!$H34)</f>
        <v>0</v>
      </c>
      <c s="125">
        <f>Z65/(1+Z$11*Предпосылки!$H34)</f>
        <v>0</v>
      </c>
      <c s="125">
        <f>AA65/(1+AA$11*Предпосылки!$H34)</f>
        <v>0</v>
      </c>
      <c s="125">
        <f>AB65/(1+AB$11*Предпосылки!$H34)</f>
        <v>0</v>
      </c>
      <c s="125">
        <f>AC65/(1+AC$11*Предпосылки!$H34)</f>
        <v>0</v>
      </c>
      <c s="125">
        <f>AD65/(1+AD$11*Предпосылки!$H34)</f>
        <v>0</v>
      </c>
      <c s="125">
        <f>AE65/(1+AE$11*Предпосылки!$H34)</f>
        <v>0</v>
      </c>
      <c s="125">
        <f>AF65/(1+AF$11*Предпосылки!$H34)</f>
        <v>0</v>
      </c>
      <c s="125">
        <f>AG65/(1+AG$11*Предпосылки!$H34)</f>
        <v>0</v>
      </c>
      <c s="125">
        <f>AH65/(1+AH$11*Предпосылки!$H34)</f>
        <v>0</v>
      </c>
      <c s="125">
        <f>AI65/(1+AI$11*Предпосылки!$H34)</f>
        <v>0</v>
      </c>
      <c s="125">
        <f>AJ65/(1+AJ$11*Предпосылки!$H34)</f>
        <v>0</v>
      </c>
      <c s="125">
        <f>AK65/(1+AK$11*Предпосылки!$H34)</f>
        <v>0</v>
      </c>
      <c s="125">
        <f>AL65/(1+AL$11*Предпосылки!$H34)</f>
        <v>0</v>
      </c>
      <c s="125">
        <f>AM65/(1+AM$11*Предпосылки!$H34)</f>
        <v>0</v>
      </c>
      <c s="125">
        <f>AN65/(1+AN$11*Предпосылки!$H34)</f>
        <v>0</v>
      </c>
      <c s="125">
        <f>AO65/(1+AO$11*Предпосылки!$H34)</f>
        <v>0</v>
      </c>
      <c s="125">
        <f>AP65/(1+AP$11*Предпосылки!$H34)</f>
        <v>0</v>
      </c>
      <c s="125">
        <f>AQ65/(1+AQ$11*Предпосылки!$H34)</f>
        <v>0</v>
      </c>
      <c s="125">
        <f>AR65/(1+AR$11*Предпосылки!$H34)</f>
        <v>0</v>
      </c>
      <c s="125">
        <f>AS65/(1+AS$11*Предпосылки!$H34)</f>
        <v>0</v>
      </c>
      <c s="125">
        <f>AT65/(1+AT$11*Предпосылки!$H34)</f>
        <v>0</v>
      </c>
      <c s="125">
        <f>AU65/(1+AU$11*Предпосылки!$H34)</f>
        <v>0</v>
      </c>
      <c s="125">
        <f>AV65/(1+AV$11*Предпосылки!$H34)</f>
        <v>0</v>
      </c>
      <c s="125">
        <f>AW65/(1+AW$11*Предпосылки!$H34)</f>
        <v>0</v>
      </c>
      <c s="125">
        <f>AX65/(1+AX$11*Предпосылки!$H34)</f>
        <v>0</v>
      </c>
      <c s="125">
        <f>AY65/(1+AY$11*Предпосылки!$H34)</f>
        <v>0</v>
      </c>
      <c s="125">
        <f>AZ65/(1+AZ$11*Предпосылки!$H34)</f>
        <v>0</v>
      </c>
      <c s="125">
        <f>BA65/(1+BA$11*Предпосылки!$H34)</f>
        <v>0</v>
      </c>
      <c s="125">
        <f>BB65/(1+BB$11*Предпосылки!$H34)</f>
        <v>0</v>
      </c>
      <c s="125">
        <f>BC65/(1+BC$11*Предпосылки!$H34)</f>
        <v>0</v>
      </c>
      <c s="125">
        <f>BD65/(1+BD$11*Предпосылки!$H34)</f>
        <v>0</v>
      </c>
      <c s="125">
        <f>BE65/(1+BE$11*Предпосылки!$H34)</f>
        <v>0</v>
      </c>
      <c s="125">
        <f>BF65/(1+BF$11*Предпосылки!$H34)</f>
        <v>0</v>
      </c>
      <c s="125">
        <f>BG65/(1+BG$11*Предпосылки!$H34)</f>
        <v>0</v>
      </c>
      <c s="125">
        <f>BH65/(1+BH$11*Предпосылки!$H34)</f>
        <v>0</v>
      </c>
      <c s="125">
        <f>BI65/(1+BI$11*Предпосылки!$H34)</f>
        <v>0</v>
      </c>
      <c s="125">
        <f>BJ65/(1+BJ$11*Предпосылки!$H34)</f>
        <v>0</v>
      </c>
      <c s="125">
        <f>BK65/(1+BK$11*Предпосылки!$H34)</f>
        <v>0</v>
      </c>
      <c s="125">
        <f>BL65/(1+BL$11*Предпосылки!$H34)</f>
        <v>0</v>
      </c>
      <c s="125">
        <f>BM65/(1+BM$11*Предпосылки!$H34)</f>
        <v>0</v>
      </c>
    </row>
    <row r="153" spans="2:65" ht="15" customHeight="1">
      <c r="B153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E66/(1+E$11*Предпосылки!$H35)</f>
        <v>0</v>
      </c>
      <c s="125">
        <f>F66/(1+F$11*Предпосылки!$H35)</f>
        <v>0</v>
      </c>
      <c s="125">
        <f>G66/(1+G$11*Предпосылки!$H35)</f>
        <v>0</v>
      </c>
      <c s="125">
        <f>H66/(1+H$11*Предпосылки!$H35)</f>
        <v>0</v>
      </c>
      <c s="125">
        <f>I66/(1+I$11*Предпосылки!$H35)</f>
        <v>0</v>
      </c>
      <c s="125">
        <f>J66/(1+J$11*Предпосылки!$H35)</f>
        <v>0</v>
      </c>
      <c s="125">
        <f>K66/(1+K$11*Предпосылки!$H35)</f>
        <v>0</v>
      </c>
      <c s="125">
        <f>L66/(1+L$11*Предпосылки!$H35)</f>
        <v>0</v>
      </c>
      <c s="125">
        <f>M66/(1+M$11*Предпосылки!$H35)</f>
        <v>0</v>
      </c>
      <c s="125">
        <f>N66/(1+N$11*Предпосылки!$H35)</f>
        <v>0</v>
      </c>
      <c s="125">
        <f>O66/(1+O$11*Предпосылки!$H35)</f>
        <v>0</v>
      </c>
      <c s="125">
        <f>P66/(1+P$11*Предпосылки!$H35)</f>
        <v>0</v>
      </c>
      <c s="125">
        <f>Q66/(1+Q$11*Предпосылки!$H35)</f>
        <v>0</v>
      </c>
      <c s="125">
        <f>R66/(1+R$11*Предпосылки!$H35)</f>
        <v>0</v>
      </c>
      <c s="125">
        <f>S66/(1+S$11*Предпосылки!$H35)</f>
        <v>0</v>
      </c>
      <c s="125">
        <f>T66/(1+T$11*Предпосылки!$H35)</f>
        <v>0</v>
      </c>
      <c s="125">
        <f>U66/(1+U$11*Предпосылки!$H35)</f>
        <v>0</v>
      </c>
      <c s="125">
        <f>V66/(1+V$11*Предпосылки!$H35)</f>
        <v>0</v>
      </c>
      <c s="125">
        <f>W66/(1+W$11*Предпосылки!$H35)</f>
        <v>0</v>
      </c>
      <c s="125">
        <f>X66/(1+X$11*Предпосылки!$H35)</f>
        <v>0</v>
      </c>
      <c s="125">
        <f>Y66/(1+Y$11*Предпосылки!$H35)</f>
        <v>0</v>
      </c>
      <c s="125">
        <f>Z66/(1+Z$11*Предпосылки!$H35)</f>
        <v>0</v>
      </c>
      <c s="125">
        <f>AA66/(1+AA$11*Предпосылки!$H35)</f>
        <v>0</v>
      </c>
      <c s="125">
        <f>AB66/(1+AB$11*Предпосылки!$H35)</f>
        <v>0</v>
      </c>
      <c s="125">
        <f>AC66/(1+AC$11*Предпосылки!$H35)</f>
        <v>0</v>
      </c>
      <c s="125">
        <f>AD66/(1+AD$11*Предпосылки!$H35)</f>
        <v>0</v>
      </c>
      <c s="125">
        <f>AE66/(1+AE$11*Предпосылки!$H35)</f>
        <v>0</v>
      </c>
      <c s="125">
        <f>AF66/(1+AF$11*Предпосылки!$H35)</f>
        <v>0</v>
      </c>
      <c s="125">
        <f>AG66/(1+AG$11*Предпосылки!$H35)</f>
        <v>0</v>
      </c>
      <c s="125">
        <f>AH66/(1+AH$11*Предпосылки!$H35)</f>
        <v>0</v>
      </c>
      <c s="125">
        <f>AI66/(1+AI$11*Предпосылки!$H35)</f>
        <v>0</v>
      </c>
      <c s="125">
        <f>AJ66/(1+AJ$11*Предпосылки!$H35)</f>
        <v>0</v>
      </c>
      <c s="125">
        <f>AK66/(1+AK$11*Предпосылки!$H35)</f>
        <v>0</v>
      </c>
      <c s="125">
        <f>AL66/(1+AL$11*Предпосылки!$H35)</f>
        <v>0</v>
      </c>
      <c s="125">
        <f>AM66/(1+AM$11*Предпосылки!$H35)</f>
        <v>0</v>
      </c>
      <c s="125">
        <f>AN66/(1+AN$11*Предпосылки!$H35)</f>
        <v>0</v>
      </c>
      <c s="125">
        <f>AO66/(1+AO$11*Предпосылки!$H35)</f>
        <v>0</v>
      </c>
      <c s="125">
        <f>AP66/(1+AP$11*Предпосылки!$H35)</f>
        <v>0</v>
      </c>
      <c s="125">
        <f>AQ66/(1+AQ$11*Предпосылки!$H35)</f>
        <v>0</v>
      </c>
      <c s="125">
        <f>AR66/(1+AR$11*Предпосылки!$H35)</f>
        <v>0</v>
      </c>
      <c s="125">
        <f>AS66/(1+AS$11*Предпосылки!$H35)</f>
        <v>0</v>
      </c>
      <c s="125">
        <f>AT66/(1+AT$11*Предпосылки!$H35)</f>
        <v>0</v>
      </c>
      <c s="125">
        <f>AU66/(1+AU$11*Предпосылки!$H35)</f>
        <v>0</v>
      </c>
      <c s="125">
        <f>AV66/(1+AV$11*Предпосылки!$H35)</f>
        <v>0</v>
      </c>
      <c s="125">
        <f>AW66/(1+AW$11*Предпосылки!$H35)</f>
        <v>0</v>
      </c>
      <c s="125">
        <f>AX66/(1+AX$11*Предпосылки!$H35)</f>
        <v>0</v>
      </c>
      <c s="125">
        <f>AY66/(1+AY$11*Предпосылки!$H35)</f>
        <v>0</v>
      </c>
      <c s="125">
        <f>AZ66/(1+AZ$11*Предпосылки!$H35)</f>
        <v>0</v>
      </c>
      <c s="125">
        <f>BA66/(1+BA$11*Предпосылки!$H35)</f>
        <v>0</v>
      </c>
      <c s="125">
        <f>BB66/(1+BB$11*Предпосылки!$H35)</f>
        <v>0</v>
      </c>
      <c s="125">
        <f>BC66/(1+BC$11*Предпосылки!$H35)</f>
        <v>0</v>
      </c>
      <c s="125">
        <f>BD66/(1+BD$11*Предпосылки!$H35)</f>
        <v>0</v>
      </c>
      <c s="125">
        <f>BE66/(1+BE$11*Предпосылки!$H35)</f>
        <v>0</v>
      </c>
      <c s="125">
        <f>BF66/(1+BF$11*Предпосылки!$H35)</f>
        <v>0</v>
      </c>
      <c s="125">
        <f>BG66/(1+BG$11*Предпосылки!$H35)</f>
        <v>0</v>
      </c>
      <c s="125">
        <f>BH66/(1+BH$11*Предпосылки!$H35)</f>
        <v>0</v>
      </c>
      <c s="125">
        <f>BI66/(1+BI$11*Предпосылки!$H35)</f>
        <v>0</v>
      </c>
      <c s="125">
        <f>BJ66/(1+BJ$11*Предпосылки!$H35)</f>
        <v>0</v>
      </c>
      <c s="125">
        <f>BK66/(1+BK$11*Предпосылки!$H35)</f>
        <v>0</v>
      </c>
      <c s="125">
        <f>BL66/(1+BL$11*Предпосылки!$H35)</f>
        <v>0</v>
      </c>
      <c s="125">
        <f>BM66/(1+BM$11*Предпосылки!$H35)</f>
        <v>0</v>
      </c>
    </row>
    <row r="154" spans="2:65" ht="15" customHeight="1">
      <c r="B154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E67/(1+E$11*Предпосылки!$H36)</f>
        <v>0</v>
      </c>
      <c s="125">
        <f>F67/(1+F$11*Предпосылки!$H36)</f>
        <v>0</v>
      </c>
      <c s="125">
        <f>G67/(1+G$11*Предпосылки!$H36)</f>
        <v>0</v>
      </c>
      <c s="125">
        <f>H67/(1+H$11*Предпосылки!$H36)</f>
        <v>0</v>
      </c>
      <c s="125">
        <f>I67/(1+I$11*Предпосылки!$H36)</f>
        <v>0</v>
      </c>
      <c s="125">
        <f>J67/(1+J$11*Предпосылки!$H36)</f>
        <v>0</v>
      </c>
      <c s="125">
        <f>K67/(1+K$11*Предпосылки!$H36)</f>
        <v>0</v>
      </c>
      <c s="125">
        <f>L67/(1+L$11*Предпосылки!$H36)</f>
        <v>0</v>
      </c>
      <c s="125">
        <f>M67/(1+M$11*Предпосылки!$H36)</f>
        <v>0</v>
      </c>
      <c s="125">
        <f>N67/(1+N$11*Предпосылки!$H36)</f>
        <v>0</v>
      </c>
      <c s="125">
        <f>O67/(1+O$11*Предпосылки!$H36)</f>
        <v>0</v>
      </c>
      <c s="125">
        <f>P67/(1+P$11*Предпосылки!$H36)</f>
        <v>0</v>
      </c>
      <c s="125">
        <f>Q67/(1+Q$11*Предпосылки!$H36)</f>
        <v>0</v>
      </c>
      <c s="125">
        <f>R67/(1+R$11*Предпосылки!$H36)</f>
        <v>0</v>
      </c>
      <c s="125">
        <f>S67/(1+S$11*Предпосылки!$H36)</f>
        <v>0</v>
      </c>
      <c s="125">
        <f>T67/(1+T$11*Предпосылки!$H36)</f>
        <v>0</v>
      </c>
      <c s="125">
        <f>U67/(1+U$11*Предпосылки!$H36)</f>
        <v>0</v>
      </c>
      <c s="125">
        <f>V67/(1+V$11*Предпосылки!$H36)</f>
        <v>0</v>
      </c>
      <c s="125">
        <f>W67/(1+W$11*Предпосылки!$H36)</f>
        <v>0</v>
      </c>
      <c s="125">
        <f>X67/(1+X$11*Предпосылки!$H36)</f>
        <v>0</v>
      </c>
      <c s="125">
        <f>Y67/(1+Y$11*Предпосылки!$H36)</f>
        <v>0</v>
      </c>
      <c s="125">
        <f>Z67/(1+Z$11*Предпосылки!$H36)</f>
        <v>0</v>
      </c>
      <c s="125">
        <f>AA67/(1+AA$11*Предпосылки!$H36)</f>
        <v>0</v>
      </c>
      <c s="125">
        <f>AB67/(1+AB$11*Предпосылки!$H36)</f>
        <v>0</v>
      </c>
      <c s="125">
        <f>AC67/(1+AC$11*Предпосылки!$H36)</f>
        <v>0</v>
      </c>
      <c s="125">
        <f>AD67/(1+AD$11*Предпосылки!$H36)</f>
        <v>0</v>
      </c>
      <c s="125">
        <f>AE67/(1+AE$11*Предпосылки!$H36)</f>
        <v>0</v>
      </c>
      <c s="125">
        <f>AF67/(1+AF$11*Предпосылки!$H36)</f>
        <v>0</v>
      </c>
      <c s="125">
        <f>AG67/(1+AG$11*Предпосылки!$H36)</f>
        <v>0</v>
      </c>
      <c s="125">
        <f>AH67/(1+AH$11*Предпосылки!$H36)</f>
        <v>0</v>
      </c>
      <c s="125">
        <f>AI67/(1+AI$11*Предпосылки!$H36)</f>
        <v>0</v>
      </c>
      <c s="125">
        <f>AJ67/(1+AJ$11*Предпосылки!$H36)</f>
        <v>0</v>
      </c>
      <c s="125">
        <f>AK67/(1+AK$11*Предпосылки!$H36)</f>
        <v>0</v>
      </c>
      <c s="125">
        <f>AL67/(1+AL$11*Предпосылки!$H36)</f>
        <v>0</v>
      </c>
      <c s="125">
        <f>AM67/(1+AM$11*Предпосылки!$H36)</f>
        <v>0</v>
      </c>
      <c s="125">
        <f>AN67/(1+AN$11*Предпосылки!$H36)</f>
        <v>0</v>
      </c>
      <c s="125">
        <f>AO67/(1+AO$11*Предпосылки!$H36)</f>
        <v>0</v>
      </c>
      <c s="125">
        <f>AP67/(1+AP$11*Предпосылки!$H36)</f>
        <v>0</v>
      </c>
      <c s="125">
        <f>AQ67/(1+AQ$11*Предпосылки!$H36)</f>
        <v>0</v>
      </c>
      <c s="125">
        <f>AR67/(1+AR$11*Предпосылки!$H36)</f>
        <v>0</v>
      </c>
      <c s="125">
        <f>AS67/(1+AS$11*Предпосылки!$H36)</f>
        <v>0</v>
      </c>
      <c s="125">
        <f>AT67/(1+AT$11*Предпосылки!$H36)</f>
        <v>0</v>
      </c>
      <c s="125">
        <f>AU67/(1+AU$11*Предпосылки!$H36)</f>
        <v>0</v>
      </c>
      <c s="125">
        <f>AV67/(1+AV$11*Предпосылки!$H36)</f>
        <v>0</v>
      </c>
      <c s="125">
        <f>AW67/(1+AW$11*Предпосылки!$H36)</f>
        <v>0</v>
      </c>
      <c s="125">
        <f>AX67/(1+AX$11*Предпосылки!$H36)</f>
        <v>0</v>
      </c>
      <c s="125">
        <f>AY67/(1+AY$11*Предпосылки!$H36)</f>
        <v>0</v>
      </c>
      <c s="125">
        <f>AZ67/(1+AZ$11*Предпосылки!$H36)</f>
        <v>0</v>
      </c>
      <c s="125">
        <f>BA67/(1+BA$11*Предпосылки!$H36)</f>
        <v>0</v>
      </c>
      <c s="125">
        <f>BB67/(1+BB$11*Предпосылки!$H36)</f>
        <v>0</v>
      </c>
      <c s="125">
        <f>BC67/(1+BC$11*Предпосылки!$H36)</f>
        <v>0</v>
      </c>
      <c s="125">
        <f>BD67/(1+BD$11*Предпосылки!$H36)</f>
        <v>0</v>
      </c>
      <c s="125">
        <f>BE67/(1+BE$11*Предпосылки!$H36)</f>
        <v>0</v>
      </c>
      <c s="125">
        <f>BF67/(1+BF$11*Предпосылки!$H36)</f>
        <v>0</v>
      </c>
      <c s="125">
        <f>BG67/(1+BG$11*Предпосылки!$H36)</f>
        <v>0</v>
      </c>
      <c s="125">
        <f>BH67/(1+BH$11*Предпосылки!$H36)</f>
        <v>0</v>
      </c>
      <c s="125">
        <f>BI67/(1+BI$11*Предпосылки!$H36)</f>
        <v>0</v>
      </c>
      <c s="125">
        <f>BJ67/(1+BJ$11*Предпосылки!$H36)</f>
        <v>0</v>
      </c>
      <c s="125">
        <f>BK67/(1+BK$11*Предпосылки!$H36)</f>
        <v>0</v>
      </c>
      <c s="125">
        <f>BL67/(1+BL$11*Предпосылки!$H36)</f>
        <v>0</v>
      </c>
      <c s="125">
        <f>BM67/(1+BM$11*Предпосылки!$H36)</f>
        <v>0</v>
      </c>
    </row>
    <row r="155" spans="2:65" ht="15" customHeight="1">
      <c r="B155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E68/(1+E$11*Предпосылки!$H37)</f>
        <v>0</v>
      </c>
      <c s="125">
        <f>F68/(1+F$11*Предпосылки!$H37)</f>
        <v>0</v>
      </c>
      <c s="125">
        <f>G68/(1+G$11*Предпосылки!$H37)</f>
        <v>0</v>
      </c>
      <c s="125">
        <f>H68/(1+H$11*Предпосылки!$H37)</f>
        <v>0</v>
      </c>
      <c s="125">
        <f>I68/(1+I$11*Предпосылки!$H37)</f>
        <v>0</v>
      </c>
      <c s="125">
        <f>J68/(1+J$11*Предпосылки!$H37)</f>
        <v>0</v>
      </c>
      <c s="125">
        <f>K68/(1+K$11*Предпосылки!$H37)</f>
        <v>0</v>
      </c>
      <c s="125">
        <f>L68/(1+L$11*Предпосылки!$H37)</f>
        <v>0</v>
      </c>
      <c s="125">
        <f>M68/(1+M$11*Предпосылки!$H37)</f>
        <v>0</v>
      </c>
      <c s="125">
        <f>N68/(1+N$11*Предпосылки!$H37)</f>
        <v>0</v>
      </c>
      <c s="125">
        <f>O68/(1+O$11*Предпосылки!$H37)</f>
        <v>0</v>
      </c>
      <c s="125">
        <f>P68/(1+P$11*Предпосылки!$H37)</f>
        <v>0</v>
      </c>
      <c s="125">
        <f>Q68/(1+Q$11*Предпосылки!$H37)</f>
        <v>0</v>
      </c>
      <c s="125">
        <f>R68/(1+R$11*Предпосылки!$H37)</f>
        <v>0</v>
      </c>
      <c s="125">
        <f>S68/(1+S$11*Предпосылки!$H37)</f>
        <v>0</v>
      </c>
      <c s="125">
        <f>T68/(1+T$11*Предпосылки!$H37)</f>
        <v>0</v>
      </c>
      <c s="125">
        <f>U68/(1+U$11*Предпосылки!$H37)</f>
        <v>0</v>
      </c>
      <c s="125">
        <f>V68/(1+V$11*Предпосылки!$H37)</f>
        <v>0</v>
      </c>
      <c s="125">
        <f>W68/(1+W$11*Предпосылки!$H37)</f>
        <v>0</v>
      </c>
      <c s="125">
        <f>X68/(1+X$11*Предпосылки!$H37)</f>
        <v>0</v>
      </c>
      <c s="125">
        <f>Y68/(1+Y$11*Предпосылки!$H37)</f>
        <v>0</v>
      </c>
      <c s="125">
        <f>Z68/(1+Z$11*Предпосылки!$H37)</f>
        <v>0</v>
      </c>
      <c s="125">
        <f>AA68/(1+AA$11*Предпосылки!$H37)</f>
        <v>0</v>
      </c>
      <c s="125">
        <f>AB68/(1+AB$11*Предпосылки!$H37)</f>
        <v>0</v>
      </c>
      <c s="125">
        <f>AC68/(1+AC$11*Предпосылки!$H37)</f>
        <v>0</v>
      </c>
      <c s="125">
        <f>AD68/(1+AD$11*Предпосылки!$H37)</f>
        <v>0</v>
      </c>
      <c s="125">
        <f>AE68/(1+AE$11*Предпосылки!$H37)</f>
        <v>0</v>
      </c>
      <c s="125">
        <f>AF68/(1+AF$11*Предпосылки!$H37)</f>
        <v>0</v>
      </c>
      <c s="125">
        <f>AG68/(1+AG$11*Предпосылки!$H37)</f>
        <v>0</v>
      </c>
      <c s="125">
        <f>AH68/(1+AH$11*Предпосылки!$H37)</f>
        <v>0</v>
      </c>
      <c s="125">
        <f>AI68/(1+AI$11*Предпосылки!$H37)</f>
        <v>0</v>
      </c>
      <c s="125">
        <f>AJ68/(1+AJ$11*Предпосылки!$H37)</f>
        <v>0</v>
      </c>
      <c s="125">
        <f>AK68/(1+AK$11*Предпосылки!$H37)</f>
        <v>0</v>
      </c>
      <c s="125">
        <f>AL68/(1+AL$11*Предпосылки!$H37)</f>
        <v>0</v>
      </c>
      <c s="125">
        <f>AM68/(1+AM$11*Предпосылки!$H37)</f>
        <v>0</v>
      </c>
      <c s="125">
        <f>AN68/(1+AN$11*Предпосылки!$H37)</f>
        <v>0</v>
      </c>
      <c s="125">
        <f>AO68/(1+AO$11*Предпосылки!$H37)</f>
        <v>0</v>
      </c>
      <c s="125">
        <f>AP68/(1+AP$11*Предпосылки!$H37)</f>
        <v>0</v>
      </c>
      <c s="125">
        <f>AQ68/(1+AQ$11*Предпосылки!$H37)</f>
        <v>0</v>
      </c>
      <c s="125">
        <f>AR68/(1+AR$11*Предпосылки!$H37)</f>
        <v>0</v>
      </c>
      <c s="125">
        <f>AS68/(1+AS$11*Предпосылки!$H37)</f>
        <v>0</v>
      </c>
      <c s="125">
        <f>AT68/(1+AT$11*Предпосылки!$H37)</f>
        <v>0</v>
      </c>
      <c s="125">
        <f>AU68/(1+AU$11*Предпосылки!$H37)</f>
        <v>0</v>
      </c>
      <c s="125">
        <f>AV68/(1+AV$11*Предпосылки!$H37)</f>
        <v>0</v>
      </c>
      <c s="125">
        <f>AW68/(1+AW$11*Предпосылки!$H37)</f>
        <v>0</v>
      </c>
      <c s="125">
        <f>AX68/(1+AX$11*Предпосылки!$H37)</f>
        <v>0</v>
      </c>
      <c s="125">
        <f>AY68/(1+AY$11*Предпосылки!$H37)</f>
        <v>0</v>
      </c>
      <c s="125">
        <f>AZ68/(1+AZ$11*Предпосылки!$H37)</f>
        <v>0</v>
      </c>
      <c s="125">
        <f>BA68/(1+BA$11*Предпосылки!$H37)</f>
        <v>0</v>
      </c>
      <c s="125">
        <f>BB68/(1+BB$11*Предпосылки!$H37)</f>
        <v>0</v>
      </c>
      <c s="125">
        <f>BC68/(1+BC$11*Предпосылки!$H37)</f>
        <v>0</v>
      </c>
      <c s="125">
        <f>BD68/(1+BD$11*Предпосылки!$H37)</f>
        <v>0</v>
      </c>
      <c s="125">
        <f>BE68/(1+BE$11*Предпосылки!$H37)</f>
        <v>0</v>
      </c>
      <c s="125">
        <f>BF68/(1+BF$11*Предпосылки!$H37)</f>
        <v>0</v>
      </c>
      <c s="125">
        <f>BG68/(1+BG$11*Предпосылки!$H37)</f>
        <v>0</v>
      </c>
      <c s="125">
        <f>BH68/(1+BH$11*Предпосылки!$H37)</f>
        <v>0</v>
      </c>
      <c s="125">
        <f>BI68/(1+BI$11*Предпосылки!$H37)</f>
        <v>0</v>
      </c>
      <c s="125">
        <f>BJ68/(1+BJ$11*Предпосылки!$H37)</f>
        <v>0</v>
      </c>
      <c s="125">
        <f>BK68/(1+BK$11*Предпосылки!$H37)</f>
        <v>0</v>
      </c>
      <c s="125">
        <f>BL68/(1+BL$11*Предпосылки!$H37)</f>
        <v>0</v>
      </c>
      <c s="125">
        <f>BM68/(1+BM$11*Предпосылки!$H37)</f>
        <v>0</v>
      </c>
    </row>
    <row r="156" spans="2:65" ht="15" customHeight="1">
      <c r="B156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E69/(1+E$11*Предпосылки!$H38)</f>
        <v>0</v>
      </c>
      <c s="125">
        <f>F69/(1+F$11*Предпосылки!$H38)</f>
        <v>0</v>
      </c>
      <c s="125">
        <f>G69/(1+G$11*Предпосылки!$H38)</f>
        <v>0</v>
      </c>
      <c s="125">
        <f>H69/(1+H$11*Предпосылки!$H38)</f>
        <v>0</v>
      </c>
      <c s="125">
        <f>I69/(1+I$11*Предпосылки!$H38)</f>
        <v>0</v>
      </c>
      <c s="125">
        <f>J69/(1+J$11*Предпосылки!$H38)</f>
        <v>0</v>
      </c>
      <c s="125">
        <f>K69/(1+K$11*Предпосылки!$H38)</f>
        <v>0</v>
      </c>
      <c s="125">
        <f>L69/(1+L$11*Предпосылки!$H38)</f>
        <v>0</v>
      </c>
      <c s="125">
        <f>M69/(1+M$11*Предпосылки!$H38)</f>
        <v>0</v>
      </c>
      <c s="125">
        <f>N69/(1+N$11*Предпосылки!$H38)</f>
        <v>0</v>
      </c>
      <c s="125">
        <f>O69/(1+O$11*Предпосылки!$H38)</f>
        <v>0</v>
      </c>
      <c s="125">
        <f>P69/(1+P$11*Предпосылки!$H38)</f>
        <v>0</v>
      </c>
      <c s="125">
        <f>Q69/(1+Q$11*Предпосылки!$H38)</f>
        <v>0</v>
      </c>
      <c s="125">
        <f>R69/(1+R$11*Предпосылки!$H38)</f>
        <v>0</v>
      </c>
      <c s="125">
        <f>S69/(1+S$11*Предпосылки!$H38)</f>
        <v>0</v>
      </c>
      <c s="125">
        <f>T69/(1+T$11*Предпосылки!$H38)</f>
        <v>0</v>
      </c>
      <c s="125">
        <f>U69/(1+U$11*Предпосылки!$H38)</f>
        <v>0</v>
      </c>
      <c s="125">
        <f>V69/(1+V$11*Предпосылки!$H38)</f>
        <v>0</v>
      </c>
      <c s="125">
        <f>W69/(1+W$11*Предпосылки!$H38)</f>
        <v>0</v>
      </c>
      <c s="125">
        <f>X69/(1+X$11*Предпосылки!$H38)</f>
        <v>0</v>
      </c>
      <c s="125">
        <f>Y69/(1+Y$11*Предпосылки!$H38)</f>
        <v>0</v>
      </c>
      <c s="125">
        <f>Z69/(1+Z$11*Предпосылки!$H38)</f>
        <v>0</v>
      </c>
      <c s="125">
        <f>AA69/(1+AA$11*Предпосылки!$H38)</f>
        <v>0</v>
      </c>
      <c s="125">
        <f>AB69/(1+AB$11*Предпосылки!$H38)</f>
        <v>0</v>
      </c>
      <c s="125">
        <f>AC69/(1+AC$11*Предпосылки!$H38)</f>
        <v>0</v>
      </c>
      <c s="125">
        <f>AD69/(1+AD$11*Предпосылки!$H38)</f>
        <v>0</v>
      </c>
      <c s="125">
        <f>AE69/(1+AE$11*Предпосылки!$H38)</f>
        <v>0</v>
      </c>
      <c s="125">
        <f>AF69/(1+AF$11*Предпосылки!$H38)</f>
        <v>0</v>
      </c>
      <c s="125">
        <f>AG69/(1+AG$11*Предпосылки!$H38)</f>
        <v>0</v>
      </c>
      <c s="125">
        <f>AH69/(1+AH$11*Предпосылки!$H38)</f>
        <v>0</v>
      </c>
      <c s="125">
        <f>AI69/(1+AI$11*Предпосылки!$H38)</f>
        <v>0</v>
      </c>
      <c s="125">
        <f>AJ69/(1+AJ$11*Предпосылки!$H38)</f>
        <v>0</v>
      </c>
      <c s="125">
        <f>AK69/(1+AK$11*Предпосылки!$H38)</f>
        <v>0</v>
      </c>
      <c s="125">
        <f>AL69/(1+AL$11*Предпосылки!$H38)</f>
        <v>0</v>
      </c>
      <c s="125">
        <f>AM69/(1+AM$11*Предпосылки!$H38)</f>
        <v>0</v>
      </c>
      <c s="125">
        <f>AN69/(1+AN$11*Предпосылки!$H38)</f>
        <v>0</v>
      </c>
      <c s="125">
        <f>AO69/(1+AO$11*Предпосылки!$H38)</f>
        <v>0</v>
      </c>
      <c s="125">
        <f>AP69/(1+AP$11*Предпосылки!$H38)</f>
        <v>0</v>
      </c>
      <c s="125">
        <f>AQ69/(1+AQ$11*Предпосылки!$H38)</f>
        <v>0</v>
      </c>
      <c s="125">
        <f>AR69/(1+AR$11*Предпосылки!$H38)</f>
        <v>0</v>
      </c>
      <c s="125">
        <f>AS69/(1+AS$11*Предпосылки!$H38)</f>
        <v>0</v>
      </c>
      <c s="125">
        <f>AT69/(1+AT$11*Предпосылки!$H38)</f>
        <v>0</v>
      </c>
      <c s="125">
        <f>AU69/(1+AU$11*Предпосылки!$H38)</f>
        <v>0</v>
      </c>
      <c s="125">
        <f>AV69/(1+AV$11*Предпосылки!$H38)</f>
        <v>0</v>
      </c>
      <c s="125">
        <f>AW69/(1+AW$11*Предпосылки!$H38)</f>
        <v>0</v>
      </c>
      <c s="125">
        <f>AX69/(1+AX$11*Предпосылки!$H38)</f>
        <v>0</v>
      </c>
      <c s="125">
        <f>AY69/(1+AY$11*Предпосылки!$H38)</f>
        <v>0</v>
      </c>
      <c s="125">
        <f>AZ69/(1+AZ$11*Предпосылки!$H38)</f>
        <v>0</v>
      </c>
      <c s="125">
        <f>BA69/(1+BA$11*Предпосылки!$H38)</f>
        <v>0</v>
      </c>
      <c s="125">
        <f>BB69/(1+BB$11*Предпосылки!$H38)</f>
        <v>0</v>
      </c>
      <c s="125">
        <f>BC69/(1+BC$11*Предпосылки!$H38)</f>
        <v>0</v>
      </c>
      <c s="125">
        <f>BD69/(1+BD$11*Предпосылки!$H38)</f>
        <v>0</v>
      </c>
      <c s="125">
        <f>BE69/(1+BE$11*Предпосылки!$H38)</f>
        <v>0</v>
      </c>
      <c s="125">
        <f>BF69/(1+BF$11*Предпосылки!$H38)</f>
        <v>0</v>
      </c>
      <c s="125">
        <f>BG69/(1+BG$11*Предпосылки!$H38)</f>
        <v>0</v>
      </c>
      <c s="125">
        <f>BH69/(1+BH$11*Предпосылки!$H38)</f>
        <v>0</v>
      </c>
      <c s="125">
        <f>BI69/(1+BI$11*Предпосылки!$H38)</f>
        <v>0</v>
      </c>
      <c s="125">
        <f>BJ69/(1+BJ$11*Предпосылки!$H38)</f>
        <v>0</v>
      </c>
      <c s="125">
        <f>BK69/(1+BK$11*Предпосылки!$H38)</f>
        <v>0</v>
      </c>
      <c s="125">
        <f>BL69/(1+BL$11*Предпосылки!$H38)</f>
        <v>0</v>
      </c>
      <c s="125">
        <f>BM69/(1+BM$11*Предпосылки!$H38)</f>
        <v>0</v>
      </c>
    </row>
    <row r="157" spans="2:65" ht="15" customHeight="1">
      <c r="B157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E70/(1+E$11*Предпосылки!$H39)</f>
        <v>0</v>
      </c>
      <c s="125">
        <f>F70/(1+F$11*Предпосылки!$H39)</f>
        <v>0</v>
      </c>
      <c s="125">
        <f>G70/(1+G$11*Предпосылки!$H39)</f>
        <v>0</v>
      </c>
      <c s="125">
        <f>H70/(1+H$11*Предпосылки!$H39)</f>
        <v>0</v>
      </c>
      <c s="125">
        <f>I70/(1+I$11*Предпосылки!$H39)</f>
        <v>0</v>
      </c>
      <c s="125">
        <f>J70/(1+J$11*Предпосылки!$H39)</f>
        <v>0</v>
      </c>
      <c s="125">
        <f>K70/(1+K$11*Предпосылки!$H39)</f>
        <v>0</v>
      </c>
      <c s="125">
        <f>L70/(1+L$11*Предпосылки!$H39)</f>
        <v>0</v>
      </c>
      <c s="125">
        <f>M70/(1+M$11*Предпосылки!$H39)</f>
        <v>0</v>
      </c>
      <c s="125">
        <f>N70/(1+N$11*Предпосылки!$H39)</f>
        <v>0</v>
      </c>
      <c s="125">
        <f>O70/(1+O$11*Предпосылки!$H39)</f>
        <v>0</v>
      </c>
      <c s="125">
        <f>P70/(1+P$11*Предпосылки!$H39)</f>
        <v>0</v>
      </c>
      <c s="125">
        <f>Q70/(1+Q$11*Предпосылки!$H39)</f>
        <v>0</v>
      </c>
      <c s="125">
        <f>R70/(1+R$11*Предпосылки!$H39)</f>
        <v>0</v>
      </c>
      <c s="125">
        <f>S70/(1+S$11*Предпосылки!$H39)</f>
        <v>0</v>
      </c>
      <c s="125">
        <f>T70/(1+T$11*Предпосылки!$H39)</f>
        <v>0</v>
      </c>
      <c s="125">
        <f>U70/(1+U$11*Предпосылки!$H39)</f>
        <v>0</v>
      </c>
      <c s="125">
        <f>V70/(1+V$11*Предпосылки!$H39)</f>
        <v>0</v>
      </c>
      <c s="125">
        <f>W70/(1+W$11*Предпосылки!$H39)</f>
        <v>0</v>
      </c>
      <c s="125">
        <f>X70/(1+X$11*Предпосылки!$H39)</f>
        <v>0</v>
      </c>
      <c s="125">
        <f>Y70/(1+Y$11*Предпосылки!$H39)</f>
        <v>0</v>
      </c>
      <c s="125">
        <f>Z70/(1+Z$11*Предпосылки!$H39)</f>
        <v>0</v>
      </c>
      <c s="125">
        <f>AA70/(1+AA$11*Предпосылки!$H39)</f>
        <v>0</v>
      </c>
      <c s="125">
        <f>AB70/(1+AB$11*Предпосылки!$H39)</f>
        <v>0</v>
      </c>
      <c s="125">
        <f>AC70/(1+AC$11*Предпосылки!$H39)</f>
        <v>0</v>
      </c>
      <c s="125">
        <f>AD70/(1+AD$11*Предпосылки!$H39)</f>
        <v>0</v>
      </c>
      <c s="125">
        <f>AE70/(1+AE$11*Предпосылки!$H39)</f>
        <v>0</v>
      </c>
      <c s="125">
        <f>AF70/(1+AF$11*Предпосылки!$H39)</f>
        <v>0</v>
      </c>
      <c s="125">
        <f>AG70/(1+AG$11*Предпосылки!$H39)</f>
        <v>0</v>
      </c>
      <c s="125">
        <f>AH70/(1+AH$11*Предпосылки!$H39)</f>
        <v>0</v>
      </c>
      <c s="125">
        <f>AI70/(1+AI$11*Предпосылки!$H39)</f>
        <v>0</v>
      </c>
      <c s="125">
        <f>AJ70/(1+AJ$11*Предпосылки!$H39)</f>
        <v>0</v>
      </c>
      <c s="125">
        <f>AK70/(1+AK$11*Предпосылки!$H39)</f>
        <v>0</v>
      </c>
      <c s="125">
        <f>AL70/(1+AL$11*Предпосылки!$H39)</f>
        <v>0</v>
      </c>
      <c s="125">
        <f>AM70/(1+AM$11*Предпосылки!$H39)</f>
        <v>0</v>
      </c>
      <c s="125">
        <f>AN70/(1+AN$11*Предпосылки!$H39)</f>
        <v>0</v>
      </c>
      <c s="125">
        <f>AO70/(1+AO$11*Предпосылки!$H39)</f>
        <v>0</v>
      </c>
      <c s="125">
        <f>AP70/(1+AP$11*Предпосылки!$H39)</f>
        <v>0</v>
      </c>
      <c s="125">
        <f>AQ70/(1+AQ$11*Предпосылки!$H39)</f>
        <v>0</v>
      </c>
      <c s="125">
        <f>AR70/(1+AR$11*Предпосылки!$H39)</f>
        <v>0</v>
      </c>
      <c s="125">
        <f>AS70/(1+AS$11*Предпосылки!$H39)</f>
        <v>0</v>
      </c>
      <c s="125">
        <f>AT70/(1+AT$11*Предпосылки!$H39)</f>
        <v>0</v>
      </c>
      <c s="125">
        <f>AU70/(1+AU$11*Предпосылки!$H39)</f>
        <v>0</v>
      </c>
      <c s="125">
        <f>AV70/(1+AV$11*Предпосылки!$H39)</f>
        <v>0</v>
      </c>
      <c s="125">
        <f>AW70/(1+AW$11*Предпосылки!$H39)</f>
        <v>0</v>
      </c>
      <c s="125">
        <f>AX70/(1+AX$11*Предпосылки!$H39)</f>
        <v>0</v>
      </c>
      <c s="125">
        <f>AY70/(1+AY$11*Предпосылки!$H39)</f>
        <v>0</v>
      </c>
      <c s="125">
        <f>AZ70/(1+AZ$11*Предпосылки!$H39)</f>
        <v>0</v>
      </c>
      <c s="125">
        <f>BA70/(1+BA$11*Предпосылки!$H39)</f>
        <v>0</v>
      </c>
      <c s="125">
        <f>BB70/(1+BB$11*Предпосылки!$H39)</f>
        <v>0</v>
      </c>
      <c s="125">
        <f>BC70/(1+BC$11*Предпосылки!$H39)</f>
        <v>0</v>
      </c>
      <c s="125">
        <f>BD70/(1+BD$11*Предпосылки!$H39)</f>
        <v>0</v>
      </c>
      <c s="125">
        <f>BE70/(1+BE$11*Предпосылки!$H39)</f>
        <v>0</v>
      </c>
      <c s="125">
        <f>BF70/(1+BF$11*Предпосылки!$H39)</f>
        <v>0</v>
      </c>
      <c s="125">
        <f>BG70/(1+BG$11*Предпосылки!$H39)</f>
        <v>0</v>
      </c>
      <c s="125">
        <f>BH70/(1+BH$11*Предпосылки!$H39)</f>
        <v>0</v>
      </c>
      <c s="125">
        <f>BI70/(1+BI$11*Предпосылки!$H39)</f>
        <v>0</v>
      </c>
      <c s="125">
        <f>BJ70/(1+BJ$11*Предпосылки!$H39)</f>
        <v>0</v>
      </c>
      <c s="125">
        <f>BK70/(1+BK$11*Предпосылки!$H39)</f>
        <v>0</v>
      </c>
      <c s="125">
        <f>BL70/(1+BL$11*Предпосылки!$H39)</f>
        <v>0</v>
      </c>
      <c s="125">
        <f>BM70/(1+BM$11*Предпосылки!$H39)</f>
        <v>0</v>
      </c>
    </row>
    <row r="158" spans="2:65" ht="15" customHeight="1">
      <c r="B158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E71/(1+E$11*Предпосылки!$H40)</f>
        <v>0</v>
      </c>
      <c s="125">
        <f>F71/(1+F$11*Предпосылки!$H40)</f>
        <v>0</v>
      </c>
      <c s="125">
        <f>G71/(1+G$11*Предпосылки!$H40)</f>
        <v>0</v>
      </c>
      <c s="125">
        <f>H71/(1+H$11*Предпосылки!$H40)</f>
        <v>0</v>
      </c>
      <c s="125">
        <f>I71/(1+I$11*Предпосылки!$H40)</f>
        <v>0</v>
      </c>
      <c s="125">
        <f>J71/(1+J$11*Предпосылки!$H40)</f>
        <v>0</v>
      </c>
      <c s="125">
        <f>K71/(1+K$11*Предпосылки!$H40)</f>
        <v>0</v>
      </c>
      <c s="125">
        <f>L71/(1+L$11*Предпосылки!$H40)</f>
        <v>0</v>
      </c>
      <c s="125">
        <f>M71/(1+M$11*Предпосылки!$H40)</f>
        <v>0</v>
      </c>
      <c s="125">
        <f>N71/(1+N$11*Предпосылки!$H40)</f>
        <v>0</v>
      </c>
      <c s="125">
        <f>O71/(1+O$11*Предпосылки!$H40)</f>
        <v>0</v>
      </c>
      <c s="125">
        <f>P71/(1+P$11*Предпосылки!$H40)</f>
        <v>0</v>
      </c>
      <c s="125">
        <f>Q71/(1+Q$11*Предпосылки!$H40)</f>
        <v>0</v>
      </c>
      <c s="125">
        <f>R71/(1+R$11*Предпосылки!$H40)</f>
        <v>0</v>
      </c>
      <c s="125">
        <f>S71/(1+S$11*Предпосылки!$H40)</f>
        <v>0</v>
      </c>
      <c s="125">
        <f>T71/(1+T$11*Предпосылки!$H40)</f>
        <v>0</v>
      </c>
      <c s="125">
        <f>U71/(1+U$11*Предпосылки!$H40)</f>
        <v>0</v>
      </c>
      <c s="125">
        <f>V71/(1+V$11*Предпосылки!$H40)</f>
        <v>0</v>
      </c>
      <c s="125">
        <f>W71/(1+W$11*Предпосылки!$H40)</f>
        <v>0</v>
      </c>
      <c s="125">
        <f>X71/(1+X$11*Предпосылки!$H40)</f>
        <v>0</v>
      </c>
      <c s="125">
        <f>Y71/(1+Y$11*Предпосылки!$H40)</f>
        <v>0</v>
      </c>
      <c s="125">
        <f>Z71/(1+Z$11*Предпосылки!$H40)</f>
        <v>0</v>
      </c>
      <c s="125">
        <f>AA71/(1+AA$11*Предпосылки!$H40)</f>
        <v>0</v>
      </c>
      <c s="125">
        <f>AB71/(1+AB$11*Предпосылки!$H40)</f>
        <v>0</v>
      </c>
      <c s="125">
        <f>AC71/(1+AC$11*Предпосылки!$H40)</f>
        <v>0</v>
      </c>
      <c s="125">
        <f>AD71/(1+AD$11*Предпосылки!$H40)</f>
        <v>0</v>
      </c>
      <c s="125">
        <f>AE71/(1+AE$11*Предпосылки!$H40)</f>
        <v>0</v>
      </c>
      <c s="125">
        <f>AF71/(1+AF$11*Предпосылки!$H40)</f>
        <v>0</v>
      </c>
      <c s="125">
        <f>AG71/(1+AG$11*Предпосылки!$H40)</f>
        <v>0</v>
      </c>
      <c s="125">
        <f>AH71/(1+AH$11*Предпосылки!$H40)</f>
        <v>0</v>
      </c>
      <c s="125">
        <f>AI71/(1+AI$11*Предпосылки!$H40)</f>
        <v>0</v>
      </c>
      <c s="125">
        <f>AJ71/(1+AJ$11*Предпосылки!$H40)</f>
        <v>0</v>
      </c>
      <c s="125">
        <f>AK71/(1+AK$11*Предпосылки!$H40)</f>
        <v>0</v>
      </c>
      <c s="125">
        <f>AL71/(1+AL$11*Предпосылки!$H40)</f>
        <v>0</v>
      </c>
      <c s="125">
        <f>AM71/(1+AM$11*Предпосылки!$H40)</f>
        <v>0</v>
      </c>
      <c s="125">
        <f>AN71/(1+AN$11*Предпосылки!$H40)</f>
        <v>0</v>
      </c>
      <c s="125">
        <f>AO71/(1+AO$11*Предпосылки!$H40)</f>
        <v>0</v>
      </c>
      <c s="125">
        <f>AP71/(1+AP$11*Предпосылки!$H40)</f>
        <v>0</v>
      </c>
      <c s="125">
        <f>AQ71/(1+AQ$11*Предпосылки!$H40)</f>
        <v>0</v>
      </c>
      <c s="125">
        <f>AR71/(1+AR$11*Предпосылки!$H40)</f>
        <v>0</v>
      </c>
      <c s="125">
        <f>AS71/(1+AS$11*Предпосылки!$H40)</f>
        <v>0</v>
      </c>
      <c s="125">
        <f>AT71/(1+AT$11*Предпосылки!$H40)</f>
        <v>0</v>
      </c>
      <c s="125">
        <f>AU71/(1+AU$11*Предпосылки!$H40)</f>
        <v>0</v>
      </c>
      <c s="125">
        <f>AV71/(1+AV$11*Предпосылки!$H40)</f>
        <v>0</v>
      </c>
      <c s="125">
        <f>AW71/(1+AW$11*Предпосылки!$H40)</f>
        <v>0</v>
      </c>
      <c s="125">
        <f>AX71/(1+AX$11*Предпосылки!$H40)</f>
        <v>0</v>
      </c>
      <c s="125">
        <f>AY71/(1+AY$11*Предпосылки!$H40)</f>
        <v>0</v>
      </c>
      <c s="125">
        <f>AZ71/(1+AZ$11*Предпосылки!$H40)</f>
        <v>0</v>
      </c>
      <c s="125">
        <f>BA71/(1+BA$11*Предпосылки!$H40)</f>
        <v>0</v>
      </c>
      <c s="125">
        <f>BB71/(1+BB$11*Предпосылки!$H40)</f>
        <v>0</v>
      </c>
      <c s="125">
        <f>BC71/(1+BC$11*Предпосылки!$H40)</f>
        <v>0</v>
      </c>
      <c s="125">
        <f>BD71/(1+BD$11*Предпосылки!$H40)</f>
        <v>0</v>
      </c>
      <c s="125">
        <f>BE71/(1+BE$11*Предпосылки!$H40)</f>
        <v>0</v>
      </c>
      <c s="125">
        <f>BF71/(1+BF$11*Предпосылки!$H40)</f>
        <v>0</v>
      </c>
      <c s="125">
        <f>BG71/(1+BG$11*Предпосылки!$H40)</f>
        <v>0</v>
      </c>
      <c s="125">
        <f>BH71/(1+BH$11*Предпосылки!$H40)</f>
        <v>0</v>
      </c>
      <c s="125">
        <f>BI71/(1+BI$11*Предпосылки!$H40)</f>
        <v>0</v>
      </c>
      <c s="125">
        <f>BJ71/(1+BJ$11*Предпосылки!$H40)</f>
        <v>0</v>
      </c>
      <c s="125">
        <f>BK71/(1+BK$11*Предпосылки!$H40)</f>
        <v>0</v>
      </c>
      <c s="125">
        <f>BL71/(1+BL$11*Предпосылки!$H40)</f>
        <v>0</v>
      </c>
      <c s="125">
        <f>BM71/(1+BM$11*Предпосылки!$H40)</f>
        <v>0</v>
      </c>
    </row>
    <row r="159" spans="2:65" ht="15" customHeight="1">
      <c r="B159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E72/(1+E$11*Предпосылки!$H41)</f>
        <v>0</v>
      </c>
      <c s="125">
        <f>F72/(1+F$11*Предпосылки!$H41)</f>
        <v>0</v>
      </c>
      <c s="125">
        <f>G72/(1+G$11*Предпосылки!$H41)</f>
        <v>0</v>
      </c>
      <c s="125">
        <f>H72/(1+H$11*Предпосылки!$H41)</f>
        <v>0</v>
      </c>
      <c s="125">
        <f>I72/(1+I$11*Предпосылки!$H41)</f>
        <v>0</v>
      </c>
      <c s="125">
        <f>J72/(1+J$11*Предпосылки!$H41)</f>
        <v>0</v>
      </c>
      <c s="125">
        <f>K72/(1+K$11*Предпосылки!$H41)</f>
        <v>0</v>
      </c>
      <c s="125">
        <f>L72/(1+L$11*Предпосылки!$H41)</f>
        <v>0</v>
      </c>
      <c s="125">
        <f>M72/(1+M$11*Предпосылки!$H41)</f>
        <v>0</v>
      </c>
      <c s="125">
        <f>N72/(1+N$11*Предпосылки!$H41)</f>
        <v>0</v>
      </c>
      <c s="125">
        <f>O72/(1+O$11*Предпосылки!$H41)</f>
        <v>0</v>
      </c>
      <c s="125">
        <f>P72/(1+P$11*Предпосылки!$H41)</f>
        <v>0</v>
      </c>
      <c s="125">
        <f>Q72/(1+Q$11*Предпосылки!$H41)</f>
        <v>0</v>
      </c>
      <c s="125">
        <f>R72/(1+R$11*Предпосылки!$H41)</f>
        <v>0</v>
      </c>
      <c s="125">
        <f>S72/(1+S$11*Предпосылки!$H41)</f>
        <v>0</v>
      </c>
      <c s="125">
        <f>T72/(1+T$11*Предпосылки!$H41)</f>
        <v>0</v>
      </c>
      <c s="125">
        <f>U72/(1+U$11*Предпосылки!$H41)</f>
        <v>0</v>
      </c>
      <c s="125">
        <f>V72/(1+V$11*Предпосылки!$H41)</f>
        <v>0</v>
      </c>
      <c s="125">
        <f>W72/(1+W$11*Предпосылки!$H41)</f>
        <v>0</v>
      </c>
      <c s="125">
        <f>X72/(1+X$11*Предпосылки!$H41)</f>
        <v>0</v>
      </c>
      <c s="125">
        <f>Y72/(1+Y$11*Предпосылки!$H41)</f>
        <v>0</v>
      </c>
      <c s="125">
        <f>Z72/(1+Z$11*Предпосылки!$H41)</f>
        <v>0</v>
      </c>
      <c s="125">
        <f>AA72/(1+AA$11*Предпосылки!$H41)</f>
        <v>0</v>
      </c>
      <c s="125">
        <f>AB72/(1+AB$11*Предпосылки!$H41)</f>
        <v>0</v>
      </c>
      <c s="125">
        <f>AC72/(1+AC$11*Предпосылки!$H41)</f>
        <v>0</v>
      </c>
      <c s="125">
        <f>AD72/(1+AD$11*Предпосылки!$H41)</f>
        <v>0</v>
      </c>
      <c s="125">
        <f>AE72/(1+AE$11*Предпосылки!$H41)</f>
        <v>0</v>
      </c>
      <c s="125">
        <f>AF72/(1+AF$11*Предпосылки!$H41)</f>
        <v>0</v>
      </c>
      <c s="125">
        <f>AG72/(1+AG$11*Предпосылки!$H41)</f>
        <v>0</v>
      </c>
      <c s="125">
        <f>AH72/(1+AH$11*Предпосылки!$H41)</f>
        <v>0</v>
      </c>
      <c s="125">
        <f>AI72/(1+AI$11*Предпосылки!$H41)</f>
        <v>0</v>
      </c>
      <c s="125">
        <f>AJ72/(1+AJ$11*Предпосылки!$H41)</f>
        <v>0</v>
      </c>
      <c s="125">
        <f>AK72/(1+AK$11*Предпосылки!$H41)</f>
        <v>0</v>
      </c>
      <c s="125">
        <f>AL72/(1+AL$11*Предпосылки!$H41)</f>
        <v>0</v>
      </c>
      <c s="125">
        <f>AM72/(1+AM$11*Предпосылки!$H41)</f>
        <v>0</v>
      </c>
      <c s="125">
        <f>AN72/(1+AN$11*Предпосылки!$H41)</f>
        <v>0</v>
      </c>
      <c s="125">
        <f>AO72/(1+AO$11*Предпосылки!$H41)</f>
        <v>0</v>
      </c>
      <c s="125">
        <f>AP72/(1+AP$11*Предпосылки!$H41)</f>
        <v>0</v>
      </c>
      <c s="125">
        <f>AQ72/(1+AQ$11*Предпосылки!$H41)</f>
        <v>0</v>
      </c>
      <c s="125">
        <f>AR72/(1+AR$11*Предпосылки!$H41)</f>
        <v>0</v>
      </c>
      <c s="125">
        <f>AS72/(1+AS$11*Предпосылки!$H41)</f>
        <v>0</v>
      </c>
      <c s="125">
        <f>AT72/(1+AT$11*Предпосылки!$H41)</f>
        <v>0</v>
      </c>
      <c s="125">
        <f>AU72/(1+AU$11*Предпосылки!$H41)</f>
        <v>0</v>
      </c>
      <c s="125">
        <f>AV72/(1+AV$11*Предпосылки!$H41)</f>
        <v>0</v>
      </c>
      <c s="125">
        <f>AW72/(1+AW$11*Предпосылки!$H41)</f>
        <v>0</v>
      </c>
      <c s="125">
        <f>AX72/(1+AX$11*Предпосылки!$H41)</f>
        <v>0</v>
      </c>
      <c s="125">
        <f>AY72/(1+AY$11*Предпосылки!$H41)</f>
        <v>0</v>
      </c>
      <c s="125">
        <f>AZ72/(1+AZ$11*Предпосылки!$H41)</f>
        <v>0</v>
      </c>
      <c s="125">
        <f>BA72/(1+BA$11*Предпосылки!$H41)</f>
        <v>0</v>
      </c>
      <c s="125">
        <f>BB72/(1+BB$11*Предпосылки!$H41)</f>
        <v>0</v>
      </c>
      <c s="125">
        <f>BC72/(1+BC$11*Предпосылки!$H41)</f>
        <v>0</v>
      </c>
      <c s="125">
        <f>BD72/(1+BD$11*Предпосылки!$H41)</f>
        <v>0</v>
      </c>
      <c s="125">
        <f>BE72/(1+BE$11*Предпосылки!$H41)</f>
        <v>0</v>
      </c>
      <c s="125">
        <f>BF72/(1+BF$11*Предпосылки!$H41)</f>
        <v>0</v>
      </c>
      <c s="125">
        <f>BG72/(1+BG$11*Предпосылки!$H41)</f>
        <v>0</v>
      </c>
      <c s="125">
        <f>BH72/(1+BH$11*Предпосылки!$H41)</f>
        <v>0</v>
      </c>
      <c s="125">
        <f>BI72/(1+BI$11*Предпосылки!$H41)</f>
        <v>0</v>
      </c>
      <c s="125">
        <f>BJ72/(1+BJ$11*Предпосылки!$H41)</f>
        <v>0</v>
      </c>
      <c s="125">
        <f>BK72/(1+BK$11*Предпосылки!$H41)</f>
        <v>0</v>
      </c>
      <c s="125">
        <f>BL72/(1+BL$11*Предпосылки!$H41)</f>
        <v>0</v>
      </c>
      <c s="125">
        <f>BM72/(1+BM$11*Предпосылки!$H41)</f>
        <v>0</v>
      </c>
    </row>
    <row r="160" spans="2:65" ht="15" customHeight="1">
      <c r="B160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E73/(1+E$11*Предпосылки!$H42)</f>
        <v>0</v>
      </c>
      <c s="125">
        <f>F73/(1+F$11*Предпосылки!$H42)</f>
        <v>0</v>
      </c>
      <c s="125">
        <f>G73/(1+G$11*Предпосылки!$H42)</f>
        <v>0</v>
      </c>
      <c s="125">
        <f>H73/(1+H$11*Предпосылки!$H42)</f>
        <v>0</v>
      </c>
      <c s="125">
        <f>I73/(1+I$11*Предпосылки!$H42)</f>
        <v>0</v>
      </c>
      <c s="125">
        <f>J73/(1+J$11*Предпосылки!$H42)</f>
        <v>0</v>
      </c>
      <c s="125">
        <f>K73/(1+K$11*Предпосылки!$H42)</f>
        <v>0</v>
      </c>
      <c s="125">
        <f>L73/(1+L$11*Предпосылки!$H42)</f>
        <v>0</v>
      </c>
      <c s="125">
        <f>M73/(1+M$11*Предпосылки!$H42)</f>
        <v>0</v>
      </c>
      <c s="125">
        <f>N73/(1+N$11*Предпосылки!$H42)</f>
        <v>0</v>
      </c>
      <c s="125">
        <f>O73/(1+O$11*Предпосылки!$H42)</f>
        <v>0</v>
      </c>
      <c s="125">
        <f>P73/(1+P$11*Предпосылки!$H42)</f>
        <v>0</v>
      </c>
      <c s="125">
        <f>Q73/(1+Q$11*Предпосылки!$H42)</f>
        <v>0</v>
      </c>
      <c s="125">
        <f>R73/(1+R$11*Предпосылки!$H42)</f>
        <v>0</v>
      </c>
      <c s="125">
        <f>S73/(1+S$11*Предпосылки!$H42)</f>
        <v>0</v>
      </c>
      <c s="125">
        <f>T73/(1+T$11*Предпосылки!$H42)</f>
        <v>0</v>
      </c>
      <c s="125">
        <f>U73/(1+U$11*Предпосылки!$H42)</f>
        <v>0</v>
      </c>
      <c s="125">
        <f>V73/(1+V$11*Предпосылки!$H42)</f>
        <v>0</v>
      </c>
      <c s="125">
        <f>W73/(1+W$11*Предпосылки!$H42)</f>
        <v>0</v>
      </c>
      <c s="125">
        <f>X73/(1+X$11*Предпосылки!$H42)</f>
        <v>0</v>
      </c>
      <c s="125">
        <f>Y73/(1+Y$11*Предпосылки!$H42)</f>
        <v>0</v>
      </c>
      <c s="125">
        <f>Z73/(1+Z$11*Предпосылки!$H42)</f>
        <v>0</v>
      </c>
      <c s="125">
        <f>AA73/(1+AA$11*Предпосылки!$H42)</f>
        <v>0</v>
      </c>
      <c s="125">
        <f>AB73/(1+AB$11*Предпосылки!$H42)</f>
        <v>0</v>
      </c>
      <c s="125">
        <f>AC73/(1+AC$11*Предпосылки!$H42)</f>
        <v>0</v>
      </c>
      <c s="125">
        <f>AD73/(1+AD$11*Предпосылки!$H42)</f>
        <v>0</v>
      </c>
      <c s="125">
        <f>AE73/(1+AE$11*Предпосылки!$H42)</f>
        <v>0</v>
      </c>
      <c s="125">
        <f>AF73/(1+AF$11*Предпосылки!$H42)</f>
        <v>0</v>
      </c>
      <c s="125">
        <f>AG73/(1+AG$11*Предпосылки!$H42)</f>
        <v>0</v>
      </c>
      <c s="125">
        <f>AH73/(1+AH$11*Предпосылки!$H42)</f>
        <v>0</v>
      </c>
      <c s="125">
        <f>AI73/(1+AI$11*Предпосылки!$H42)</f>
        <v>0</v>
      </c>
      <c s="125">
        <f>AJ73/(1+AJ$11*Предпосылки!$H42)</f>
        <v>0</v>
      </c>
      <c s="125">
        <f>AK73/(1+AK$11*Предпосылки!$H42)</f>
        <v>0</v>
      </c>
      <c s="125">
        <f>AL73/(1+AL$11*Предпосылки!$H42)</f>
        <v>0</v>
      </c>
      <c s="125">
        <f>AM73/(1+AM$11*Предпосылки!$H42)</f>
        <v>0</v>
      </c>
      <c s="125">
        <f>AN73/(1+AN$11*Предпосылки!$H42)</f>
        <v>0</v>
      </c>
      <c s="125">
        <f>AO73/(1+AO$11*Предпосылки!$H42)</f>
        <v>0</v>
      </c>
      <c s="125">
        <f>AP73/(1+AP$11*Предпосылки!$H42)</f>
        <v>0</v>
      </c>
      <c s="125">
        <f>AQ73/(1+AQ$11*Предпосылки!$H42)</f>
        <v>0</v>
      </c>
      <c s="125">
        <f>AR73/(1+AR$11*Предпосылки!$H42)</f>
        <v>0</v>
      </c>
      <c s="125">
        <f>AS73/(1+AS$11*Предпосылки!$H42)</f>
        <v>0</v>
      </c>
      <c s="125">
        <f>AT73/(1+AT$11*Предпосылки!$H42)</f>
        <v>0</v>
      </c>
      <c s="125">
        <f>AU73/(1+AU$11*Предпосылки!$H42)</f>
        <v>0</v>
      </c>
      <c s="125">
        <f>AV73/(1+AV$11*Предпосылки!$H42)</f>
        <v>0</v>
      </c>
      <c s="125">
        <f>AW73/(1+AW$11*Предпосылки!$H42)</f>
        <v>0</v>
      </c>
      <c s="125">
        <f>AX73/(1+AX$11*Предпосылки!$H42)</f>
        <v>0</v>
      </c>
      <c s="125">
        <f>AY73/(1+AY$11*Предпосылки!$H42)</f>
        <v>0</v>
      </c>
      <c s="125">
        <f>AZ73/(1+AZ$11*Предпосылки!$H42)</f>
        <v>0</v>
      </c>
      <c s="125">
        <f>BA73/(1+BA$11*Предпосылки!$H42)</f>
        <v>0</v>
      </c>
      <c s="125">
        <f>BB73/(1+BB$11*Предпосылки!$H42)</f>
        <v>0</v>
      </c>
      <c s="125">
        <f>BC73/(1+BC$11*Предпосылки!$H42)</f>
        <v>0</v>
      </c>
      <c s="125">
        <f>BD73/(1+BD$11*Предпосылки!$H42)</f>
        <v>0</v>
      </c>
      <c s="125">
        <f>BE73/(1+BE$11*Предпосылки!$H42)</f>
        <v>0</v>
      </c>
      <c s="125">
        <f>BF73/(1+BF$11*Предпосылки!$H42)</f>
        <v>0</v>
      </c>
      <c s="125">
        <f>BG73/(1+BG$11*Предпосылки!$H42)</f>
        <v>0</v>
      </c>
      <c s="125">
        <f>BH73/(1+BH$11*Предпосылки!$H42)</f>
        <v>0</v>
      </c>
      <c s="125">
        <f>BI73/(1+BI$11*Предпосылки!$H42)</f>
        <v>0</v>
      </c>
      <c s="125">
        <f>BJ73/(1+BJ$11*Предпосылки!$H42)</f>
        <v>0</v>
      </c>
      <c s="125">
        <f>BK73/(1+BK$11*Предпосылки!$H42)</f>
        <v>0</v>
      </c>
      <c s="125">
        <f>BL73/(1+BL$11*Предпосылки!$H42)</f>
        <v>0</v>
      </c>
      <c s="125">
        <f>BM73/(1+BM$11*Предпосылки!$H42)</f>
        <v>0</v>
      </c>
    </row>
    <row r="161" spans="2:65" ht="15" customHeight="1">
      <c r="B161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E74/(1+E$11*Предпосылки!$H43)</f>
        <v>0</v>
      </c>
      <c s="125">
        <f>F74/(1+F$11*Предпосылки!$H43)</f>
        <v>0</v>
      </c>
      <c s="125">
        <f>G74/(1+G$11*Предпосылки!$H43)</f>
        <v>0</v>
      </c>
      <c s="125">
        <f>H74/(1+H$11*Предпосылки!$H43)</f>
        <v>0</v>
      </c>
      <c s="125">
        <f>I74/(1+I$11*Предпосылки!$H43)</f>
        <v>0</v>
      </c>
      <c s="125">
        <f>J74/(1+J$11*Предпосылки!$H43)</f>
        <v>0</v>
      </c>
      <c s="125">
        <f>K74/(1+K$11*Предпосылки!$H43)</f>
        <v>0</v>
      </c>
      <c s="125">
        <f>L74/(1+L$11*Предпосылки!$H43)</f>
        <v>0</v>
      </c>
      <c s="125">
        <f>M74/(1+M$11*Предпосылки!$H43)</f>
        <v>0</v>
      </c>
      <c s="125">
        <f>N74/(1+N$11*Предпосылки!$H43)</f>
        <v>0</v>
      </c>
      <c s="125">
        <f>O74/(1+O$11*Предпосылки!$H43)</f>
        <v>0</v>
      </c>
      <c s="125">
        <f>P74/(1+P$11*Предпосылки!$H43)</f>
        <v>0</v>
      </c>
      <c s="125">
        <f>Q74/(1+Q$11*Предпосылки!$H43)</f>
        <v>0</v>
      </c>
      <c s="125">
        <f>R74/(1+R$11*Предпосылки!$H43)</f>
        <v>0</v>
      </c>
      <c s="125">
        <f>S74/(1+S$11*Предпосылки!$H43)</f>
        <v>0</v>
      </c>
      <c s="125">
        <f>T74/(1+T$11*Предпосылки!$H43)</f>
        <v>0</v>
      </c>
      <c s="125">
        <f>U74/(1+U$11*Предпосылки!$H43)</f>
        <v>0</v>
      </c>
      <c s="125">
        <f>V74/(1+V$11*Предпосылки!$H43)</f>
        <v>0</v>
      </c>
      <c s="125">
        <f>W74/(1+W$11*Предпосылки!$H43)</f>
        <v>0</v>
      </c>
      <c s="125">
        <f>X74/(1+X$11*Предпосылки!$H43)</f>
        <v>0</v>
      </c>
      <c s="125">
        <f>Y74/(1+Y$11*Предпосылки!$H43)</f>
        <v>0</v>
      </c>
      <c s="125">
        <f>Z74/(1+Z$11*Предпосылки!$H43)</f>
        <v>0</v>
      </c>
      <c s="125">
        <f>AA74/(1+AA$11*Предпосылки!$H43)</f>
        <v>0</v>
      </c>
      <c s="125">
        <f>AB74/(1+AB$11*Предпосылки!$H43)</f>
        <v>0</v>
      </c>
      <c s="125">
        <f>AC74/(1+AC$11*Предпосылки!$H43)</f>
        <v>0</v>
      </c>
      <c s="125">
        <f>AD74/(1+AD$11*Предпосылки!$H43)</f>
        <v>0</v>
      </c>
      <c s="125">
        <f>AE74/(1+AE$11*Предпосылки!$H43)</f>
        <v>0</v>
      </c>
      <c s="125">
        <f>AF74/(1+AF$11*Предпосылки!$H43)</f>
        <v>0</v>
      </c>
      <c s="125">
        <f>AG74/(1+AG$11*Предпосылки!$H43)</f>
        <v>0</v>
      </c>
      <c s="125">
        <f>AH74/(1+AH$11*Предпосылки!$H43)</f>
        <v>0</v>
      </c>
      <c s="125">
        <f>AI74/(1+AI$11*Предпосылки!$H43)</f>
        <v>0</v>
      </c>
      <c s="125">
        <f>AJ74/(1+AJ$11*Предпосылки!$H43)</f>
        <v>0</v>
      </c>
      <c s="125">
        <f>AK74/(1+AK$11*Предпосылки!$H43)</f>
        <v>0</v>
      </c>
      <c s="125">
        <f>AL74/(1+AL$11*Предпосылки!$H43)</f>
        <v>0</v>
      </c>
      <c s="125">
        <f>AM74/(1+AM$11*Предпосылки!$H43)</f>
        <v>0</v>
      </c>
      <c s="125">
        <f>AN74/(1+AN$11*Предпосылки!$H43)</f>
        <v>0</v>
      </c>
      <c s="125">
        <f>AO74/(1+AO$11*Предпосылки!$H43)</f>
        <v>0</v>
      </c>
      <c s="125">
        <f>AP74/(1+AP$11*Предпосылки!$H43)</f>
        <v>0</v>
      </c>
      <c s="125">
        <f>AQ74/(1+AQ$11*Предпосылки!$H43)</f>
        <v>0</v>
      </c>
      <c s="125">
        <f>AR74/(1+AR$11*Предпосылки!$H43)</f>
        <v>0</v>
      </c>
      <c s="125">
        <f>AS74/(1+AS$11*Предпосылки!$H43)</f>
        <v>0</v>
      </c>
      <c s="125">
        <f>AT74/(1+AT$11*Предпосылки!$H43)</f>
        <v>0</v>
      </c>
      <c s="125">
        <f>AU74/(1+AU$11*Предпосылки!$H43)</f>
        <v>0</v>
      </c>
      <c s="125">
        <f>AV74/(1+AV$11*Предпосылки!$H43)</f>
        <v>0</v>
      </c>
      <c s="125">
        <f>AW74/(1+AW$11*Предпосылки!$H43)</f>
        <v>0</v>
      </c>
      <c s="125">
        <f>AX74/(1+AX$11*Предпосылки!$H43)</f>
        <v>0</v>
      </c>
      <c s="125">
        <f>AY74/(1+AY$11*Предпосылки!$H43)</f>
        <v>0</v>
      </c>
      <c s="125">
        <f>AZ74/(1+AZ$11*Предпосылки!$H43)</f>
        <v>0</v>
      </c>
      <c s="125">
        <f>BA74/(1+BA$11*Предпосылки!$H43)</f>
        <v>0</v>
      </c>
      <c s="125">
        <f>BB74/(1+BB$11*Предпосылки!$H43)</f>
        <v>0</v>
      </c>
      <c s="125">
        <f>BC74/(1+BC$11*Предпосылки!$H43)</f>
        <v>0</v>
      </c>
      <c s="125">
        <f>BD74/(1+BD$11*Предпосылки!$H43)</f>
        <v>0</v>
      </c>
      <c s="125">
        <f>BE74/(1+BE$11*Предпосылки!$H43)</f>
        <v>0</v>
      </c>
      <c s="125">
        <f>BF74/(1+BF$11*Предпосылки!$H43)</f>
        <v>0</v>
      </c>
      <c s="125">
        <f>BG74/(1+BG$11*Предпосылки!$H43)</f>
        <v>0</v>
      </c>
      <c s="125">
        <f>BH74/(1+BH$11*Предпосылки!$H43)</f>
        <v>0</v>
      </c>
      <c s="125">
        <f>BI74/(1+BI$11*Предпосылки!$H43)</f>
        <v>0</v>
      </c>
      <c s="125">
        <f>BJ74/(1+BJ$11*Предпосылки!$H43)</f>
        <v>0</v>
      </c>
      <c s="125">
        <f>BK74/(1+BK$11*Предпосылки!$H43)</f>
        <v>0</v>
      </c>
      <c s="125">
        <f>BL74/(1+BL$11*Предпосылки!$H43)</f>
        <v>0</v>
      </c>
      <c s="125">
        <f>BM74/(1+BM$11*Предпосылки!$H43)</f>
        <v>0</v>
      </c>
    </row>
    <row r="162" spans="2:65" ht="15" customHeight="1">
      <c r="B162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E75/(1+E$11*Предпосылки!$H44)</f>
        <v>0</v>
      </c>
      <c s="125">
        <f>F75/(1+F$11*Предпосылки!$H44)</f>
        <v>0</v>
      </c>
      <c s="125">
        <f>G75/(1+G$11*Предпосылки!$H44)</f>
        <v>0</v>
      </c>
      <c s="125">
        <f>H75/(1+H$11*Предпосылки!$H44)</f>
        <v>0</v>
      </c>
      <c s="125">
        <f>I75/(1+I$11*Предпосылки!$H44)</f>
        <v>0</v>
      </c>
      <c s="125">
        <f>J75/(1+J$11*Предпосылки!$H44)</f>
        <v>0</v>
      </c>
      <c s="125">
        <f>K75/(1+K$11*Предпосылки!$H44)</f>
        <v>0</v>
      </c>
      <c s="125">
        <f>L75/(1+L$11*Предпосылки!$H44)</f>
        <v>0</v>
      </c>
      <c s="125">
        <f>M75/(1+M$11*Предпосылки!$H44)</f>
        <v>0</v>
      </c>
      <c s="125">
        <f>N75/(1+N$11*Предпосылки!$H44)</f>
        <v>0</v>
      </c>
      <c s="125">
        <f>O75/(1+O$11*Предпосылки!$H44)</f>
        <v>0</v>
      </c>
      <c s="125">
        <f>P75/(1+P$11*Предпосылки!$H44)</f>
        <v>0</v>
      </c>
      <c s="125">
        <f>Q75/(1+Q$11*Предпосылки!$H44)</f>
        <v>0</v>
      </c>
      <c s="125">
        <f>R75/(1+R$11*Предпосылки!$H44)</f>
        <v>0</v>
      </c>
      <c s="125">
        <f>S75/(1+S$11*Предпосылки!$H44)</f>
        <v>0</v>
      </c>
      <c s="125">
        <f>T75/(1+T$11*Предпосылки!$H44)</f>
        <v>0</v>
      </c>
      <c s="125">
        <f>U75/(1+U$11*Предпосылки!$H44)</f>
        <v>0</v>
      </c>
      <c s="125">
        <f>V75/(1+V$11*Предпосылки!$H44)</f>
        <v>0</v>
      </c>
      <c s="125">
        <f>W75/(1+W$11*Предпосылки!$H44)</f>
        <v>0</v>
      </c>
      <c s="125">
        <f>X75/(1+X$11*Предпосылки!$H44)</f>
        <v>0</v>
      </c>
      <c s="125">
        <f>Y75/(1+Y$11*Предпосылки!$H44)</f>
        <v>0</v>
      </c>
      <c s="125">
        <f>Z75/(1+Z$11*Предпосылки!$H44)</f>
        <v>0</v>
      </c>
      <c s="125">
        <f>AA75/(1+AA$11*Предпосылки!$H44)</f>
        <v>0</v>
      </c>
      <c s="125">
        <f>AB75/(1+AB$11*Предпосылки!$H44)</f>
        <v>0</v>
      </c>
      <c s="125">
        <f>AC75/(1+AC$11*Предпосылки!$H44)</f>
        <v>0</v>
      </c>
      <c s="125">
        <f>AD75/(1+AD$11*Предпосылки!$H44)</f>
        <v>0</v>
      </c>
      <c s="125">
        <f>AE75/(1+AE$11*Предпосылки!$H44)</f>
        <v>0</v>
      </c>
      <c s="125">
        <f>AF75/(1+AF$11*Предпосылки!$H44)</f>
        <v>0</v>
      </c>
      <c s="125">
        <f>AG75/(1+AG$11*Предпосылки!$H44)</f>
        <v>0</v>
      </c>
      <c s="125">
        <f>AH75/(1+AH$11*Предпосылки!$H44)</f>
        <v>0</v>
      </c>
      <c s="125">
        <f>AI75/(1+AI$11*Предпосылки!$H44)</f>
        <v>0</v>
      </c>
      <c s="125">
        <f>AJ75/(1+AJ$11*Предпосылки!$H44)</f>
        <v>0</v>
      </c>
      <c s="125">
        <f>AK75/(1+AK$11*Предпосылки!$H44)</f>
        <v>0</v>
      </c>
      <c s="125">
        <f>AL75/(1+AL$11*Предпосылки!$H44)</f>
        <v>0</v>
      </c>
      <c s="125">
        <f>AM75/(1+AM$11*Предпосылки!$H44)</f>
        <v>0</v>
      </c>
      <c s="125">
        <f>AN75/(1+AN$11*Предпосылки!$H44)</f>
        <v>0</v>
      </c>
      <c s="125">
        <f>AO75/(1+AO$11*Предпосылки!$H44)</f>
        <v>0</v>
      </c>
      <c s="125">
        <f>AP75/(1+AP$11*Предпосылки!$H44)</f>
        <v>0</v>
      </c>
      <c s="125">
        <f>AQ75/(1+AQ$11*Предпосылки!$H44)</f>
        <v>0</v>
      </c>
      <c s="125">
        <f>AR75/(1+AR$11*Предпосылки!$H44)</f>
        <v>0</v>
      </c>
      <c s="125">
        <f>AS75/(1+AS$11*Предпосылки!$H44)</f>
        <v>0</v>
      </c>
      <c s="125">
        <f>AT75/(1+AT$11*Предпосылки!$H44)</f>
        <v>0</v>
      </c>
      <c s="125">
        <f>AU75/(1+AU$11*Предпосылки!$H44)</f>
        <v>0</v>
      </c>
      <c s="125">
        <f>AV75/(1+AV$11*Предпосылки!$H44)</f>
        <v>0</v>
      </c>
      <c s="125">
        <f>AW75/(1+AW$11*Предпосылки!$H44)</f>
        <v>0</v>
      </c>
      <c s="125">
        <f>AX75/(1+AX$11*Предпосылки!$H44)</f>
        <v>0</v>
      </c>
      <c s="125">
        <f>AY75/(1+AY$11*Предпосылки!$H44)</f>
        <v>0</v>
      </c>
      <c s="125">
        <f>AZ75/(1+AZ$11*Предпосылки!$H44)</f>
        <v>0</v>
      </c>
      <c s="125">
        <f>BA75/(1+BA$11*Предпосылки!$H44)</f>
        <v>0</v>
      </c>
      <c s="125">
        <f>BB75/(1+BB$11*Предпосылки!$H44)</f>
        <v>0</v>
      </c>
      <c s="125">
        <f>BC75/(1+BC$11*Предпосылки!$H44)</f>
        <v>0</v>
      </c>
      <c s="125">
        <f>BD75/(1+BD$11*Предпосылки!$H44)</f>
        <v>0</v>
      </c>
      <c s="125">
        <f>BE75/(1+BE$11*Предпосылки!$H44)</f>
        <v>0</v>
      </c>
      <c s="125">
        <f>BF75/(1+BF$11*Предпосылки!$H44)</f>
        <v>0</v>
      </c>
      <c s="125">
        <f>BG75/(1+BG$11*Предпосылки!$H44)</f>
        <v>0</v>
      </c>
      <c s="125">
        <f>BH75/(1+BH$11*Предпосылки!$H44)</f>
        <v>0</v>
      </c>
      <c s="125">
        <f>BI75/(1+BI$11*Предпосылки!$H44)</f>
        <v>0</v>
      </c>
      <c s="125">
        <f>BJ75/(1+BJ$11*Предпосылки!$H44)</f>
        <v>0</v>
      </c>
      <c s="125">
        <f>BK75/(1+BK$11*Предпосылки!$H44)</f>
        <v>0</v>
      </c>
      <c s="125">
        <f>BL75/(1+BL$11*Предпосылки!$H44)</f>
        <v>0</v>
      </c>
      <c s="125">
        <f>BM75/(1+BM$11*Предпосылки!$H44)</f>
        <v>0</v>
      </c>
    </row>
    <row r="163" spans="2:65" ht="15" customHeight="1">
      <c r="B163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E76/(1+E$11*Предпосылки!$H45)</f>
        <v>0</v>
      </c>
      <c s="125">
        <f>F76/(1+F$11*Предпосылки!$H45)</f>
        <v>0</v>
      </c>
      <c s="125">
        <f>G76/(1+G$11*Предпосылки!$H45)</f>
        <v>0</v>
      </c>
      <c s="125">
        <f>H76/(1+H$11*Предпосылки!$H45)</f>
        <v>0</v>
      </c>
      <c s="125">
        <f>I76/(1+I$11*Предпосылки!$H45)</f>
        <v>0</v>
      </c>
      <c s="125">
        <f>J76/(1+J$11*Предпосылки!$H45)</f>
        <v>0</v>
      </c>
      <c s="125">
        <f>K76/(1+K$11*Предпосылки!$H45)</f>
        <v>0</v>
      </c>
      <c s="125">
        <f>L76/(1+L$11*Предпосылки!$H45)</f>
        <v>0</v>
      </c>
      <c s="125">
        <f>M76/(1+M$11*Предпосылки!$H45)</f>
        <v>0</v>
      </c>
      <c s="125">
        <f>N76/(1+N$11*Предпосылки!$H45)</f>
        <v>0</v>
      </c>
      <c s="125">
        <f>O76/(1+O$11*Предпосылки!$H45)</f>
        <v>0</v>
      </c>
      <c s="125">
        <f>P76/(1+P$11*Предпосылки!$H45)</f>
        <v>0</v>
      </c>
      <c s="125">
        <f>Q76/(1+Q$11*Предпосылки!$H45)</f>
        <v>0</v>
      </c>
      <c s="125">
        <f>R76/(1+R$11*Предпосылки!$H45)</f>
        <v>0</v>
      </c>
      <c s="125">
        <f>S76/(1+S$11*Предпосылки!$H45)</f>
        <v>0</v>
      </c>
      <c s="125">
        <f>T76/(1+T$11*Предпосылки!$H45)</f>
        <v>0</v>
      </c>
      <c s="125">
        <f>U76/(1+U$11*Предпосылки!$H45)</f>
        <v>0</v>
      </c>
      <c s="125">
        <f>V76/(1+V$11*Предпосылки!$H45)</f>
        <v>0</v>
      </c>
      <c s="125">
        <f>W76/(1+W$11*Предпосылки!$H45)</f>
        <v>0</v>
      </c>
      <c s="125">
        <f>X76/(1+X$11*Предпосылки!$H45)</f>
        <v>0</v>
      </c>
      <c s="125">
        <f>Y76/(1+Y$11*Предпосылки!$H45)</f>
        <v>0</v>
      </c>
      <c s="125">
        <f>Z76/(1+Z$11*Предпосылки!$H45)</f>
        <v>0</v>
      </c>
      <c s="125">
        <f>AA76/(1+AA$11*Предпосылки!$H45)</f>
        <v>0</v>
      </c>
      <c s="125">
        <f>AB76/(1+AB$11*Предпосылки!$H45)</f>
        <v>0</v>
      </c>
      <c s="125">
        <f>AC76/(1+AC$11*Предпосылки!$H45)</f>
        <v>0</v>
      </c>
      <c s="125">
        <f>AD76/(1+AD$11*Предпосылки!$H45)</f>
        <v>0</v>
      </c>
      <c s="125">
        <f>AE76/(1+AE$11*Предпосылки!$H45)</f>
        <v>0</v>
      </c>
      <c s="125">
        <f>AF76/(1+AF$11*Предпосылки!$H45)</f>
        <v>0</v>
      </c>
      <c s="125">
        <f>AG76/(1+AG$11*Предпосылки!$H45)</f>
        <v>0</v>
      </c>
      <c s="125">
        <f>AH76/(1+AH$11*Предпосылки!$H45)</f>
        <v>0</v>
      </c>
      <c s="125">
        <f>AI76/(1+AI$11*Предпосылки!$H45)</f>
        <v>0</v>
      </c>
      <c s="125">
        <f>AJ76/(1+AJ$11*Предпосылки!$H45)</f>
        <v>0</v>
      </c>
      <c s="125">
        <f>AK76/(1+AK$11*Предпосылки!$H45)</f>
        <v>0</v>
      </c>
      <c s="125">
        <f>AL76/(1+AL$11*Предпосылки!$H45)</f>
        <v>0</v>
      </c>
      <c s="125">
        <f>AM76/(1+AM$11*Предпосылки!$H45)</f>
        <v>0</v>
      </c>
      <c s="125">
        <f>AN76/(1+AN$11*Предпосылки!$H45)</f>
        <v>0</v>
      </c>
      <c s="125">
        <f>AO76/(1+AO$11*Предпосылки!$H45)</f>
        <v>0</v>
      </c>
      <c s="125">
        <f>AP76/(1+AP$11*Предпосылки!$H45)</f>
        <v>0</v>
      </c>
      <c s="125">
        <f>AQ76/(1+AQ$11*Предпосылки!$H45)</f>
        <v>0</v>
      </c>
      <c s="125">
        <f>AR76/(1+AR$11*Предпосылки!$H45)</f>
        <v>0</v>
      </c>
      <c s="125">
        <f>AS76/(1+AS$11*Предпосылки!$H45)</f>
        <v>0</v>
      </c>
      <c s="125">
        <f>AT76/(1+AT$11*Предпосылки!$H45)</f>
        <v>0</v>
      </c>
      <c s="125">
        <f>AU76/(1+AU$11*Предпосылки!$H45)</f>
        <v>0</v>
      </c>
      <c s="125">
        <f>AV76/(1+AV$11*Предпосылки!$H45)</f>
        <v>0</v>
      </c>
      <c s="125">
        <f>AW76/(1+AW$11*Предпосылки!$H45)</f>
        <v>0</v>
      </c>
      <c s="125">
        <f>AX76/(1+AX$11*Предпосылки!$H45)</f>
        <v>0</v>
      </c>
      <c s="125">
        <f>AY76/(1+AY$11*Предпосылки!$H45)</f>
        <v>0</v>
      </c>
      <c s="125">
        <f>AZ76/(1+AZ$11*Предпосылки!$H45)</f>
        <v>0</v>
      </c>
      <c s="125">
        <f>BA76/(1+BA$11*Предпосылки!$H45)</f>
        <v>0</v>
      </c>
      <c s="125">
        <f>BB76/(1+BB$11*Предпосылки!$H45)</f>
        <v>0</v>
      </c>
      <c s="125">
        <f>BC76/(1+BC$11*Предпосылки!$H45)</f>
        <v>0</v>
      </c>
      <c s="125">
        <f>BD76/(1+BD$11*Предпосылки!$H45)</f>
        <v>0</v>
      </c>
      <c s="125">
        <f>BE76/(1+BE$11*Предпосылки!$H45)</f>
        <v>0</v>
      </c>
      <c s="125">
        <f>BF76/(1+BF$11*Предпосылки!$H45)</f>
        <v>0</v>
      </c>
      <c s="125">
        <f>BG76/(1+BG$11*Предпосылки!$H45)</f>
        <v>0</v>
      </c>
      <c s="125">
        <f>BH76/(1+BH$11*Предпосылки!$H45)</f>
        <v>0</v>
      </c>
      <c s="125">
        <f>BI76/(1+BI$11*Предпосылки!$H45)</f>
        <v>0</v>
      </c>
      <c s="125">
        <f>BJ76/(1+BJ$11*Предпосылки!$H45)</f>
        <v>0</v>
      </c>
      <c s="125">
        <f>BK76/(1+BK$11*Предпосылки!$H45)</f>
        <v>0</v>
      </c>
      <c s="125">
        <f>BL76/(1+BL$11*Предпосылки!$H45)</f>
        <v>0</v>
      </c>
      <c s="125">
        <f>BM76/(1+BM$11*Предпосылки!$H45)</f>
        <v>0</v>
      </c>
    </row>
    <row r="164" spans="2:65" ht="15" customHeight="1">
      <c r="B164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E77/(1+E$11*Предпосылки!$H46)</f>
        <v>0</v>
      </c>
      <c s="125">
        <f>F77/(1+F$11*Предпосылки!$H46)</f>
        <v>0</v>
      </c>
      <c s="125">
        <f>G77/(1+G$11*Предпосылки!$H46)</f>
        <v>0</v>
      </c>
      <c s="125">
        <f>H77/(1+H$11*Предпосылки!$H46)</f>
        <v>0</v>
      </c>
      <c s="125">
        <f>I77/(1+I$11*Предпосылки!$H46)</f>
        <v>0</v>
      </c>
      <c s="125">
        <f>J77/(1+J$11*Предпосылки!$H46)</f>
        <v>0</v>
      </c>
      <c s="125">
        <f>K77/(1+K$11*Предпосылки!$H46)</f>
        <v>0</v>
      </c>
      <c s="125">
        <f>L77/(1+L$11*Предпосылки!$H46)</f>
        <v>0</v>
      </c>
      <c s="125">
        <f>M77/(1+M$11*Предпосылки!$H46)</f>
        <v>0</v>
      </c>
      <c s="125">
        <f>N77/(1+N$11*Предпосылки!$H46)</f>
        <v>0</v>
      </c>
      <c s="125">
        <f>O77/(1+O$11*Предпосылки!$H46)</f>
        <v>0</v>
      </c>
      <c s="125">
        <f>P77/(1+P$11*Предпосылки!$H46)</f>
        <v>0</v>
      </c>
      <c s="125">
        <f>Q77/(1+Q$11*Предпосылки!$H46)</f>
        <v>0</v>
      </c>
      <c s="125">
        <f>R77/(1+R$11*Предпосылки!$H46)</f>
        <v>0</v>
      </c>
      <c s="125">
        <f>S77/(1+S$11*Предпосылки!$H46)</f>
        <v>0</v>
      </c>
      <c s="125">
        <f>T77/(1+T$11*Предпосылки!$H46)</f>
        <v>0</v>
      </c>
      <c s="125">
        <f>U77/(1+U$11*Предпосылки!$H46)</f>
        <v>0</v>
      </c>
      <c s="125">
        <f>V77/(1+V$11*Предпосылки!$H46)</f>
        <v>0</v>
      </c>
      <c s="125">
        <f>W77/(1+W$11*Предпосылки!$H46)</f>
        <v>0</v>
      </c>
      <c s="125">
        <f>X77/(1+X$11*Предпосылки!$H46)</f>
        <v>0</v>
      </c>
      <c s="125">
        <f>Y77/(1+Y$11*Предпосылки!$H46)</f>
        <v>0</v>
      </c>
      <c s="125">
        <f>Z77/(1+Z$11*Предпосылки!$H46)</f>
        <v>0</v>
      </c>
      <c s="125">
        <f>AA77/(1+AA$11*Предпосылки!$H46)</f>
        <v>0</v>
      </c>
      <c s="125">
        <f>AB77/(1+AB$11*Предпосылки!$H46)</f>
        <v>0</v>
      </c>
      <c s="125">
        <f>AC77/(1+AC$11*Предпосылки!$H46)</f>
        <v>0</v>
      </c>
      <c s="125">
        <f>AD77/(1+AD$11*Предпосылки!$H46)</f>
        <v>0</v>
      </c>
      <c s="125">
        <f>AE77/(1+AE$11*Предпосылки!$H46)</f>
        <v>0</v>
      </c>
      <c s="125">
        <f>AF77/(1+AF$11*Предпосылки!$H46)</f>
        <v>0</v>
      </c>
      <c s="125">
        <f>AG77/(1+AG$11*Предпосылки!$H46)</f>
        <v>0</v>
      </c>
      <c s="125">
        <f>AH77/(1+AH$11*Предпосылки!$H46)</f>
        <v>0</v>
      </c>
      <c s="125">
        <f>AI77/(1+AI$11*Предпосылки!$H46)</f>
        <v>0</v>
      </c>
      <c s="125">
        <f>AJ77/(1+AJ$11*Предпосылки!$H46)</f>
        <v>0</v>
      </c>
      <c s="125">
        <f>AK77/(1+AK$11*Предпосылки!$H46)</f>
        <v>0</v>
      </c>
      <c s="125">
        <f>AL77/(1+AL$11*Предпосылки!$H46)</f>
        <v>0</v>
      </c>
      <c s="125">
        <f>AM77/(1+AM$11*Предпосылки!$H46)</f>
        <v>0</v>
      </c>
      <c s="125">
        <f>AN77/(1+AN$11*Предпосылки!$H46)</f>
        <v>0</v>
      </c>
      <c s="125">
        <f>AO77/(1+AO$11*Предпосылки!$H46)</f>
        <v>0</v>
      </c>
      <c s="125">
        <f>AP77/(1+AP$11*Предпосылки!$H46)</f>
        <v>0</v>
      </c>
      <c s="125">
        <f>AQ77/(1+AQ$11*Предпосылки!$H46)</f>
        <v>0</v>
      </c>
      <c s="125">
        <f>AR77/(1+AR$11*Предпосылки!$H46)</f>
        <v>0</v>
      </c>
      <c s="125">
        <f>AS77/(1+AS$11*Предпосылки!$H46)</f>
        <v>0</v>
      </c>
      <c s="125">
        <f>AT77/(1+AT$11*Предпосылки!$H46)</f>
        <v>0</v>
      </c>
      <c s="125">
        <f>AU77/(1+AU$11*Предпосылки!$H46)</f>
        <v>0</v>
      </c>
      <c s="125">
        <f>AV77/(1+AV$11*Предпосылки!$H46)</f>
        <v>0</v>
      </c>
      <c s="125">
        <f>AW77/(1+AW$11*Предпосылки!$H46)</f>
        <v>0</v>
      </c>
      <c s="125">
        <f>AX77/(1+AX$11*Предпосылки!$H46)</f>
        <v>0</v>
      </c>
      <c s="125">
        <f>AY77/(1+AY$11*Предпосылки!$H46)</f>
        <v>0</v>
      </c>
      <c s="125">
        <f>AZ77/(1+AZ$11*Предпосылки!$H46)</f>
        <v>0</v>
      </c>
      <c s="125">
        <f>BA77/(1+BA$11*Предпосылки!$H46)</f>
        <v>0</v>
      </c>
      <c s="125">
        <f>BB77/(1+BB$11*Предпосылки!$H46)</f>
        <v>0</v>
      </c>
      <c s="125">
        <f>BC77/(1+BC$11*Предпосылки!$H46)</f>
        <v>0</v>
      </c>
      <c s="125">
        <f>BD77/(1+BD$11*Предпосылки!$H46)</f>
        <v>0</v>
      </c>
      <c s="125">
        <f>BE77/(1+BE$11*Предпосылки!$H46)</f>
        <v>0</v>
      </c>
      <c s="125">
        <f>BF77/(1+BF$11*Предпосылки!$H46)</f>
        <v>0</v>
      </c>
      <c s="125">
        <f>BG77/(1+BG$11*Предпосылки!$H46)</f>
        <v>0</v>
      </c>
      <c s="125">
        <f>BH77/(1+BH$11*Предпосылки!$H46)</f>
        <v>0</v>
      </c>
      <c s="125">
        <f>BI77/(1+BI$11*Предпосылки!$H46)</f>
        <v>0</v>
      </c>
      <c s="125">
        <f>BJ77/(1+BJ$11*Предпосылки!$H46)</f>
        <v>0</v>
      </c>
      <c s="125">
        <f>BK77/(1+BK$11*Предпосылки!$H46)</f>
        <v>0</v>
      </c>
      <c s="125">
        <f>BL77/(1+BL$11*Предпосылки!$H46)</f>
        <v>0</v>
      </c>
      <c s="125">
        <f>BM77/(1+BM$11*Предпосылки!$H46)</f>
        <v>0</v>
      </c>
    </row>
    <row r="165" spans="2:65" ht="15" customHeight="1">
      <c r="B165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E78/(1+E$11*Предпосылки!$H47)</f>
        <v>0</v>
      </c>
      <c s="125">
        <f>F78/(1+F$11*Предпосылки!$H47)</f>
        <v>0</v>
      </c>
      <c s="125">
        <f>G78/(1+G$11*Предпосылки!$H47)</f>
        <v>0</v>
      </c>
      <c s="125">
        <f>H78/(1+H$11*Предпосылки!$H47)</f>
        <v>0</v>
      </c>
      <c s="125">
        <f>I78/(1+I$11*Предпосылки!$H47)</f>
        <v>0</v>
      </c>
      <c s="125">
        <f>J78/(1+J$11*Предпосылки!$H47)</f>
        <v>0</v>
      </c>
      <c s="125">
        <f>K78/(1+K$11*Предпосылки!$H47)</f>
        <v>0</v>
      </c>
      <c s="125">
        <f>L78/(1+L$11*Предпосылки!$H47)</f>
        <v>0</v>
      </c>
      <c s="125">
        <f>M78/(1+M$11*Предпосылки!$H47)</f>
        <v>0</v>
      </c>
      <c s="125">
        <f>N78/(1+N$11*Предпосылки!$H47)</f>
        <v>0</v>
      </c>
      <c s="125">
        <f>O78/(1+O$11*Предпосылки!$H47)</f>
        <v>0</v>
      </c>
      <c s="125">
        <f>P78/(1+P$11*Предпосылки!$H47)</f>
        <v>0</v>
      </c>
      <c s="125">
        <f>Q78/(1+Q$11*Предпосылки!$H47)</f>
        <v>0</v>
      </c>
      <c s="125">
        <f>R78/(1+R$11*Предпосылки!$H47)</f>
        <v>0</v>
      </c>
      <c s="125">
        <f>S78/(1+S$11*Предпосылки!$H47)</f>
        <v>0</v>
      </c>
      <c s="125">
        <f>T78/(1+T$11*Предпосылки!$H47)</f>
        <v>0</v>
      </c>
      <c s="125">
        <f>U78/(1+U$11*Предпосылки!$H47)</f>
        <v>0</v>
      </c>
      <c s="125">
        <f>V78/(1+V$11*Предпосылки!$H47)</f>
        <v>0</v>
      </c>
      <c s="125">
        <f>W78/(1+W$11*Предпосылки!$H47)</f>
        <v>0</v>
      </c>
      <c s="125">
        <f>X78/(1+X$11*Предпосылки!$H47)</f>
        <v>0</v>
      </c>
      <c s="125">
        <f>Y78/(1+Y$11*Предпосылки!$H47)</f>
        <v>0</v>
      </c>
      <c s="125">
        <f>Z78/(1+Z$11*Предпосылки!$H47)</f>
        <v>0</v>
      </c>
      <c s="125">
        <f>AA78/(1+AA$11*Предпосылки!$H47)</f>
        <v>0</v>
      </c>
      <c s="125">
        <f>AB78/(1+AB$11*Предпосылки!$H47)</f>
        <v>0</v>
      </c>
      <c s="125">
        <f>AC78/(1+AC$11*Предпосылки!$H47)</f>
        <v>0</v>
      </c>
      <c s="125">
        <f>AD78/(1+AD$11*Предпосылки!$H47)</f>
        <v>0</v>
      </c>
      <c s="125">
        <f>AE78/(1+AE$11*Предпосылки!$H47)</f>
        <v>0</v>
      </c>
      <c s="125">
        <f>AF78/(1+AF$11*Предпосылки!$H47)</f>
        <v>0</v>
      </c>
      <c s="125">
        <f>AG78/(1+AG$11*Предпосылки!$H47)</f>
        <v>0</v>
      </c>
      <c s="125">
        <f>AH78/(1+AH$11*Предпосылки!$H47)</f>
        <v>0</v>
      </c>
      <c s="125">
        <f>AI78/(1+AI$11*Предпосылки!$H47)</f>
        <v>0</v>
      </c>
      <c s="125">
        <f>AJ78/(1+AJ$11*Предпосылки!$H47)</f>
        <v>0</v>
      </c>
      <c s="125">
        <f>AK78/(1+AK$11*Предпосылки!$H47)</f>
        <v>0</v>
      </c>
      <c s="125">
        <f>AL78/(1+AL$11*Предпосылки!$H47)</f>
        <v>0</v>
      </c>
      <c s="125">
        <f>AM78/(1+AM$11*Предпосылки!$H47)</f>
        <v>0</v>
      </c>
      <c s="125">
        <f>AN78/(1+AN$11*Предпосылки!$H47)</f>
        <v>0</v>
      </c>
      <c s="125">
        <f>AO78/(1+AO$11*Предпосылки!$H47)</f>
        <v>0</v>
      </c>
      <c s="125">
        <f>AP78/(1+AP$11*Предпосылки!$H47)</f>
        <v>0</v>
      </c>
      <c s="125">
        <f>AQ78/(1+AQ$11*Предпосылки!$H47)</f>
        <v>0</v>
      </c>
      <c s="125">
        <f>AR78/(1+AR$11*Предпосылки!$H47)</f>
        <v>0</v>
      </c>
      <c s="125">
        <f>AS78/(1+AS$11*Предпосылки!$H47)</f>
        <v>0</v>
      </c>
      <c s="125">
        <f>AT78/(1+AT$11*Предпосылки!$H47)</f>
        <v>0</v>
      </c>
      <c s="125">
        <f>AU78/(1+AU$11*Предпосылки!$H47)</f>
        <v>0</v>
      </c>
      <c s="125">
        <f>AV78/(1+AV$11*Предпосылки!$H47)</f>
        <v>0</v>
      </c>
      <c s="125">
        <f>AW78/(1+AW$11*Предпосылки!$H47)</f>
        <v>0</v>
      </c>
      <c s="125">
        <f>AX78/(1+AX$11*Предпосылки!$H47)</f>
        <v>0</v>
      </c>
      <c s="125">
        <f>AY78/(1+AY$11*Предпосылки!$H47)</f>
        <v>0</v>
      </c>
      <c s="125">
        <f>AZ78/(1+AZ$11*Предпосылки!$H47)</f>
        <v>0</v>
      </c>
      <c s="125">
        <f>BA78/(1+BA$11*Предпосылки!$H47)</f>
        <v>0</v>
      </c>
      <c s="125">
        <f>BB78/(1+BB$11*Предпосылки!$H47)</f>
        <v>0</v>
      </c>
      <c s="125">
        <f>BC78/(1+BC$11*Предпосылки!$H47)</f>
        <v>0</v>
      </c>
      <c s="125">
        <f>BD78/(1+BD$11*Предпосылки!$H47)</f>
        <v>0</v>
      </c>
      <c s="125">
        <f>BE78/(1+BE$11*Предпосылки!$H47)</f>
        <v>0</v>
      </c>
      <c s="125">
        <f>BF78/(1+BF$11*Предпосылки!$H47)</f>
        <v>0</v>
      </c>
      <c s="125">
        <f>BG78/(1+BG$11*Предпосылки!$H47)</f>
        <v>0</v>
      </c>
      <c s="125">
        <f>BH78/(1+BH$11*Предпосылки!$H47)</f>
        <v>0</v>
      </c>
      <c s="125">
        <f>BI78/(1+BI$11*Предпосылки!$H47)</f>
        <v>0</v>
      </c>
      <c s="125">
        <f>BJ78/(1+BJ$11*Предпосылки!$H47)</f>
        <v>0</v>
      </c>
      <c s="125">
        <f>BK78/(1+BK$11*Предпосылки!$H47)</f>
        <v>0</v>
      </c>
      <c s="125">
        <f>BL78/(1+BL$11*Предпосылки!$H47)</f>
        <v>0</v>
      </c>
      <c s="125">
        <f>BM78/(1+BM$11*Предпосылки!$H47)</f>
        <v>0</v>
      </c>
    </row>
    <row r="166" spans="2:65" ht="15" customHeight="1">
      <c r="B166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E79/(1+E$11*Предпосылки!$H48)</f>
        <v>0</v>
      </c>
      <c s="125">
        <f>F79/(1+F$11*Предпосылки!$H48)</f>
        <v>0</v>
      </c>
      <c s="125">
        <f>G79/(1+G$11*Предпосылки!$H48)</f>
        <v>0</v>
      </c>
      <c s="125">
        <f>H79/(1+H$11*Предпосылки!$H48)</f>
        <v>0</v>
      </c>
      <c s="125">
        <f>I79/(1+I$11*Предпосылки!$H48)</f>
        <v>0</v>
      </c>
      <c s="125">
        <f>J79/(1+J$11*Предпосылки!$H48)</f>
        <v>0</v>
      </c>
      <c s="125">
        <f>K79/(1+K$11*Предпосылки!$H48)</f>
        <v>0</v>
      </c>
      <c s="125">
        <f>L79/(1+L$11*Предпосылки!$H48)</f>
        <v>0</v>
      </c>
      <c s="125">
        <f>M79/(1+M$11*Предпосылки!$H48)</f>
        <v>0</v>
      </c>
      <c s="125">
        <f>N79/(1+N$11*Предпосылки!$H48)</f>
        <v>0</v>
      </c>
      <c s="125">
        <f>O79/(1+O$11*Предпосылки!$H48)</f>
        <v>0</v>
      </c>
      <c s="125">
        <f>P79/(1+P$11*Предпосылки!$H48)</f>
        <v>0</v>
      </c>
      <c s="125">
        <f>Q79/(1+Q$11*Предпосылки!$H48)</f>
        <v>0</v>
      </c>
      <c s="125">
        <f>R79/(1+R$11*Предпосылки!$H48)</f>
        <v>0</v>
      </c>
      <c s="125">
        <f>S79/(1+S$11*Предпосылки!$H48)</f>
        <v>0</v>
      </c>
      <c s="125">
        <f>T79/(1+T$11*Предпосылки!$H48)</f>
        <v>0</v>
      </c>
      <c s="125">
        <f>U79/(1+U$11*Предпосылки!$H48)</f>
        <v>0</v>
      </c>
      <c s="125">
        <f>V79/(1+V$11*Предпосылки!$H48)</f>
        <v>0</v>
      </c>
      <c s="125">
        <f>W79/(1+W$11*Предпосылки!$H48)</f>
        <v>0</v>
      </c>
      <c s="125">
        <f>X79/(1+X$11*Предпосылки!$H48)</f>
        <v>0</v>
      </c>
      <c s="125">
        <f>Y79/(1+Y$11*Предпосылки!$H48)</f>
        <v>0</v>
      </c>
      <c s="125">
        <f>Z79/(1+Z$11*Предпосылки!$H48)</f>
        <v>0</v>
      </c>
      <c s="125">
        <f>AA79/(1+AA$11*Предпосылки!$H48)</f>
        <v>0</v>
      </c>
      <c s="125">
        <f>AB79/(1+AB$11*Предпосылки!$H48)</f>
        <v>0</v>
      </c>
      <c s="125">
        <f>AC79/(1+AC$11*Предпосылки!$H48)</f>
        <v>0</v>
      </c>
      <c s="125">
        <f>AD79/(1+AD$11*Предпосылки!$H48)</f>
        <v>0</v>
      </c>
      <c s="125">
        <f>AE79/(1+AE$11*Предпосылки!$H48)</f>
        <v>0</v>
      </c>
      <c s="125">
        <f>AF79/(1+AF$11*Предпосылки!$H48)</f>
        <v>0</v>
      </c>
      <c s="125">
        <f>AG79/(1+AG$11*Предпосылки!$H48)</f>
        <v>0</v>
      </c>
      <c s="125">
        <f>AH79/(1+AH$11*Предпосылки!$H48)</f>
        <v>0</v>
      </c>
      <c s="125">
        <f>AI79/(1+AI$11*Предпосылки!$H48)</f>
        <v>0</v>
      </c>
      <c s="125">
        <f>AJ79/(1+AJ$11*Предпосылки!$H48)</f>
        <v>0</v>
      </c>
      <c s="125">
        <f>AK79/(1+AK$11*Предпосылки!$H48)</f>
        <v>0</v>
      </c>
      <c s="125">
        <f>AL79/(1+AL$11*Предпосылки!$H48)</f>
        <v>0</v>
      </c>
      <c s="125">
        <f>AM79/(1+AM$11*Предпосылки!$H48)</f>
        <v>0</v>
      </c>
      <c s="125">
        <f>AN79/(1+AN$11*Предпосылки!$H48)</f>
        <v>0</v>
      </c>
      <c s="125">
        <f>AO79/(1+AO$11*Предпосылки!$H48)</f>
        <v>0</v>
      </c>
      <c s="125">
        <f>AP79/(1+AP$11*Предпосылки!$H48)</f>
        <v>0</v>
      </c>
      <c s="125">
        <f>AQ79/(1+AQ$11*Предпосылки!$H48)</f>
        <v>0</v>
      </c>
      <c s="125">
        <f>AR79/(1+AR$11*Предпосылки!$H48)</f>
        <v>0</v>
      </c>
      <c s="125">
        <f>AS79/(1+AS$11*Предпосылки!$H48)</f>
        <v>0</v>
      </c>
      <c s="125">
        <f>AT79/(1+AT$11*Предпосылки!$H48)</f>
        <v>0</v>
      </c>
      <c s="125">
        <f>AU79/(1+AU$11*Предпосылки!$H48)</f>
        <v>0</v>
      </c>
      <c s="125">
        <f>AV79/(1+AV$11*Предпосылки!$H48)</f>
        <v>0</v>
      </c>
      <c s="125">
        <f>AW79/(1+AW$11*Предпосылки!$H48)</f>
        <v>0</v>
      </c>
      <c s="125">
        <f>AX79/(1+AX$11*Предпосылки!$H48)</f>
        <v>0</v>
      </c>
      <c s="125">
        <f>AY79/(1+AY$11*Предпосылки!$H48)</f>
        <v>0</v>
      </c>
      <c s="125">
        <f>AZ79/(1+AZ$11*Предпосылки!$H48)</f>
        <v>0</v>
      </c>
      <c s="125">
        <f>BA79/(1+BA$11*Предпосылки!$H48)</f>
        <v>0</v>
      </c>
      <c s="125">
        <f>BB79/(1+BB$11*Предпосылки!$H48)</f>
        <v>0</v>
      </c>
      <c s="125">
        <f>BC79/(1+BC$11*Предпосылки!$H48)</f>
        <v>0</v>
      </c>
      <c s="125">
        <f>BD79/(1+BD$11*Предпосылки!$H48)</f>
        <v>0</v>
      </c>
      <c s="125">
        <f>BE79/(1+BE$11*Предпосылки!$H48)</f>
        <v>0</v>
      </c>
      <c s="125">
        <f>BF79/(1+BF$11*Предпосылки!$H48)</f>
        <v>0</v>
      </c>
      <c s="125">
        <f>BG79/(1+BG$11*Предпосылки!$H48)</f>
        <v>0</v>
      </c>
      <c s="125">
        <f>BH79/(1+BH$11*Предпосылки!$H48)</f>
        <v>0</v>
      </c>
      <c s="125">
        <f>BI79/(1+BI$11*Предпосылки!$H48)</f>
        <v>0</v>
      </c>
      <c s="125">
        <f>BJ79/(1+BJ$11*Предпосылки!$H48)</f>
        <v>0</v>
      </c>
      <c s="125">
        <f>BK79/(1+BK$11*Предпосылки!$H48)</f>
        <v>0</v>
      </c>
      <c s="125">
        <f>BL79/(1+BL$11*Предпосылки!$H48)</f>
        <v>0</v>
      </c>
      <c s="125">
        <f>BM79/(1+BM$11*Предпосылки!$H48)</f>
        <v>0</v>
      </c>
    </row>
    <row r="167" spans="2:65" ht="15" customHeight="1">
      <c r="B167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E80/(1+E$11*Предпосылки!$H49)</f>
        <v>0</v>
      </c>
      <c s="125">
        <f>F80/(1+F$11*Предпосылки!$H49)</f>
        <v>0</v>
      </c>
      <c s="125">
        <f>G80/(1+G$11*Предпосылки!$H49)</f>
        <v>0</v>
      </c>
      <c s="125">
        <f>H80/(1+H$11*Предпосылки!$H49)</f>
        <v>0</v>
      </c>
      <c s="125">
        <f>I80/(1+I$11*Предпосылки!$H49)</f>
        <v>0</v>
      </c>
      <c s="125">
        <f>J80/(1+J$11*Предпосылки!$H49)</f>
        <v>0</v>
      </c>
      <c s="125">
        <f>K80/(1+K$11*Предпосылки!$H49)</f>
        <v>0</v>
      </c>
      <c s="125">
        <f>L80/(1+L$11*Предпосылки!$H49)</f>
        <v>0</v>
      </c>
      <c s="125">
        <f>M80/(1+M$11*Предпосылки!$H49)</f>
        <v>0</v>
      </c>
      <c s="125">
        <f>N80/(1+N$11*Предпосылки!$H49)</f>
        <v>0</v>
      </c>
      <c s="125">
        <f>O80/(1+O$11*Предпосылки!$H49)</f>
        <v>0</v>
      </c>
      <c s="125">
        <f>P80/(1+P$11*Предпосылки!$H49)</f>
        <v>0</v>
      </c>
      <c s="125">
        <f>Q80/(1+Q$11*Предпосылки!$H49)</f>
        <v>0</v>
      </c>
      <c s="125">
        <f>R80/(1+R$11*Предпосылки!$H49)</f>
        <v>0</v>
      </c>
      <c s="125">
        <f>S80/(1+S$11*Предпосылки!$H49)</f>
        <v>0</v>
      </c>
      <c s="125">
        <f>T80/(1+T$11*Предпосылки!$H49)</f>
        <v>0</v>
      </c>
      <c s="125">
        <f>U80/(1+U$11*Предпосылки!$H49)</f>
        <v>0</v>
      </c>
      <c s="125">
        <f>V80/(1+V$11*Предпосылки!$H49)</f>
        <v>0</v>
      </c>
      <c s="125">
        <f>W80/(1+W$11*Предпосылки!$H49)</f>
        <v>0</v>
      </c>
      <c s="125">
        <f>X80/(1+X$11*Предпосылки!$H49)</f>
        <v>0</v>
      </c>
      <c s="125">
        <f>Y80/(1+Y$11*Предпосылки!$H49)</f>
        <v>0</v>
      </c>
      <c s="125">
        <f>Z80/(1+Z$11*Предпосылки!$H49)</f>
        <v>0</v>
      </c>
      <c s="125">
        <f>AA80/(1+AA$11*Предпосылки!$H49)</f>
        <v>0</v>
      </c>
      <c s="125">
        <f>AB80/(1+AB$11*Предпосылки!$H49)</f>
        <v>0</v>
      </c>
      <c s="125">
        <f>AC80/(1+AC$11*Предпосылки!$H49)</f>
        <v>0</v>
      </c>
      <c s="125">
        <f>AD80/(1+AD$11*Предпосылки!$H49)</f>
        <v>0</v>
      </c>
      <c s="125">
        <f>AE80/(1+AE$11*Предпосылки!$H49)</f>
        <v>0</v>
      </c>
      <c s="125">
        <f>AF80/(1+AF$11*Предпосылки!$H49)</f>
        <v>0</v>
      </c>
      <c s="125">
        <f>AG80/(1+AG$11*Предпосылки!$H49)</f>
        <v>0</v>
      </c>
      <c s="125">
        <f>AH80/(1+AH$11*Предпосылки!$H49)</f>
        <v>0</v>
      </c>
      <c s="125">
        <f>AI80/(1+AI$11*Предпосылки!$H49)</f>
        <v>0</v>
      </c>
      <c s="125">
        <f>AJ80/(1+AJ$11*Предпосылки!$H49)</f>
        <v>0</v>
      </c>
      <c s="125">
        <f>AK80/(1+AK$11*Предпосылки!$H49)</f>
        <v>0</v>
      </c>
      <c s="125">
        <f>AL80/(1+AL$11*Предпосылки!$H49)</f>
        <v>0</v>
      </c>
      <c s="125">
        <f>AM80/(1+AM$11*Предпосылки!$H49)</f>
        <v>0</v>
      </c>
      <c s="125">
        <f>AN80/(1+AN$11*Предпосылки!$H49)</f>
        <v>0</v>
      </c>
      <c s="125">
        <f>AO80/(1+AO$11*Предпосылки!$H49)</f>
        <v>0</v>
      </c>
      <c s="125">
        <f>AP80/(1+AP$11*Предпосылки!$H49)</f>
        <v>0</v>
      </c>
      <c s="125">
        <f>AQ80/(1+AQ$11*Предпосылки!$H49)</f>
        <v>0</v>
      </c>
      <c s="125">
        <f>AR80/(1+AR$11*Предпосылки!$H49)</f>
        <v>0</v>
      </c>
      <c s="125">
        <f>AS80/(1+AS$11*Предпосылки!$H49)</f>
        <v>0</v>
      </c>
      <c s="125">
        <f>AT80/(1+AT$11*Предпосылки!$H49)</f>
        <v>0</v>
      </c>
      <c s="125">
        <f>AU80/(1+AU$11*Предпосылки!$H49)</f>
        <v>0</v>
      </c>
      <c s="125">
        <f>AV80/(1+AV$11*Предпосылки!$H49)</f>
        <v>0</v>
      </c>
      <c s="125">
        <f>AW80/(1+AW$11*Предпосылки!$H49)</f>
        <v>0</v>
      </c>
      <c s="125">
        <f>AX80/(1+AX$11*Предпосылки!$H49)</f>
        <v>0</v>
      </c>
      <c s="125">
        <f>AY80/(1+AY$11*Предпосылки!$H49)</f>
        <v>0</v>
      </c>
      <c s="125">
        <f>AZ80/(1+AZ$11*Предпосылки!$H49)</f>
        <v>0</v>
      </c>
      <c s="125">
        <f>BA80/(1+BA$11*Предпосылки!$H49)</f>
        <v>0</v>
      </c>
      <c s="125">
        <f>BB80/(1+BB$11*Предпосылки!$H49)</f>
        <v>0</v>
      </c>
      <c s="125">
        <f>BC80/(1+BC$11*Предпосылки!$H49)</f>
        <v>0</v>
      </c>
      <c s="125">
        <f>BD80/(1+BD$11*Предпосылки!$H49)</f>
        <v>0</v>
      </c>
      <c s="125">
        <f>BE80/(1+BE$11*Предпосылки!$H49)</f>
        <v>0</v>
      </c>
      <c s="125">
        <f>BF80/(1+BF$11*Предпосылки!$H49)</f>
        <v>0</v>
      </c>
      <c s="125">
        <f>BG80/(1+BG$11*Предпосылки!$H49)</f>
        <v>0</v>
      </c>
      <c s="125">
        <f>BH80/(1+BH$11*Предпосылки!$H49)</f>
        <v>0</v>
      </c>
      <c s="125">
        <f>BI80/(1+BI$11*Предпосылки!$H49)</f>
        <v>0</v>
      </c>
      <c s="125">
        <f>BJ80/(1+BJ$11*Предпосылки!$H49)</f>
        <v>0</v>
      </c>
      <c s="125">
        <f>BK80/(1+BK$11*Предпосылки!$H49)</f>
        <v>0</v>
      </c>
      <c s="125">
        <f>BL80/(1+BL$11*Предпосылки!$H49)</f>
        <v>0</v>
      </c>
      <c s="125">
        <f>BM80/(1+BM$11*Предпосылки!$H49)</f>
        <v>0</v>
      </c>
    </row>
    <row r="168" spans="2:65" ht="15" customHeight="1">
      <c r="B168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E81/(1+E$11*Предпосылки!$H50)</f>
        <v>0</v>
      </c>
      <c s="125">
        <f>F81/(1+F$11*Предпосылки!$H50)</f>
        <v>0</v>
      </c>
      <c s="125">
        <f>G81/(1+G$11*Предпосылки!$H50)</f>
        <v>0</v>
      </c>
      <c s="125">
        <f>H81/(1+H$11*Предпосылки!$H50)</f>
        <v>0</v>
      </c>
      <c s="125">
        <f>I81/(1+I$11*Предпосылки!$H50)</f>
        <v>0</v>
      </c>
      <c s="125">
        <f>J81/(1+J$11*Предпосылки!$H50)</f>
        <v>0</v>
      </c>
      <c s="125">
        <f>K81/(1+K$11*Предпосылки!$H50)</f>
        <v>0</v>
      </c>
      <c s="125">
        <f>L81/(1+L$11*Предпосылки!$H50)</f>
        <v>0</v>
      </c>
      <c s="125">
        <f>M81/(1+M$11*Предпосылки!$H50)</f>
        <v>0</v>
      </c>
      <c s="125">
        <f>N81/(1+N$11*Предпосылки!$H50)</f>
        <v>0</v>
      </c>
      <c s="125">
        <f>O81/(1+O$11*Предпосылки!$H50)</f>
        <v>0</v>
      </c>
      <c s="125">
        <f>P81/(1+P$11*Предпосылки!$H50)</f>
        <v>0</v>
      </c>
      <c s="125">
        <f>Q81/(1+Q$11*Предпосылки!$H50)</f>
        <v>0</v>
      </c>
      <c s="125">
        <f>R81/(1+R$11*Предпосылки!$H50)</f>
        <v>0</v>
      </c>
      <c s="125">
        <f>S81/(1+S$11*Предпосылки!$H50)</f>
        <v>0</v>
      </c>
      <c s="125">
        <f>T81/(1+T$11*Предпосылки!$H50)</f>
        <v>0</v>
      </c>
      <c s="125">
        <f>U81/(1+U$11*Предпосылки!$H50)</f>
        <v>0</v>
      </c>
      <c s="125">
        <f>V81/(1+V$11*Предпосылки!$H50)</f>
        <v>0</v>
      </c>
      <c s="125">
        <f>W81/(1+W$11*Предпосылки!$H50)</f>
        <v>0</v>
      </c>
      <c s="125">
        <f>X81/(1+X$11*Предпосылки!$H50)</f>
        <v>0</v>
      </c>
      <c s="125">
        <f>Y81/(1+Y$11*Предпосылки!$H50)</f>
        <v>0</v>
      </c>
      <c s="125">
        <f>Z81/(1+Z$11*Предпосылки!$H50)</f>
        <v>0</v>
      </c>
      <c s="125">
        <f>AA81/(1+AA$11*Предпосылки!$H50)</f>
        <v>0</v>
      </c>
      <c s="125">
        <f>AB81/(1+AB$11*Предпосылки!$H50)</f>
        <v>0</v>
      </c>
      <c s="125">
        <f>AC81/(1+AC$11*Предпосылки!$H50)</f>
        <v>0</v>
      </c>
      <c s="125">
        <f>AD81/(1+AD$11*Предпосылки!$H50)</f>
        <v>0</v>
      </c>
      <c s="125">
        <f>AE81/(1+AE$11*Предпосылки!$H50)</f>
        <v>0</v>
      </c>
      <c s="125">
        <f>AF81/(1+AF$11*Предпосылки!$H50)</f>
        <v>0</v>
      </c>
      <c s="125">
        <f>AG81/(1+AG$11*Предпосылки!$H50)</f>
        <v>0</v>
      </c>
      <c s="125">
        <f>AH81/(1+AH$11*Предпосылки!$H50)</f>
        <v>0</v>
      </c>
      <c s="125">
        <f>AI81/(1+AI$11*Предпосылки!$H50)</f>
        <v>0</v>
      </c>
      <c s="125">
        <f>AJ81/(1+AJ$11*Предпосылки!$H50)</f>
        <v>0</v>
      </c>
      <c s="125">
        <f>AK81/(1+AK$11*Предпосылки!$H50)</f>
        <v>0</v>
      </c>
      <c s="125">
        <f>AL81/(1+AL$11*Предпосылки!$H50)</f>
        <v>0</v>
      </c>
      <c s="125">
        <f>AM81/(1+AM$11*Предпосылки!$H50)</f>
        <v>0</v>
      </c>
      <c s="125">
        <f>AN81/(1+AN$11*Предпосылки!$H50)</f>
        <v>0</v>
      </c>
      <c s="125">
        <f>AO81/(1+AO$11*Предпосылки!$H50)</f>
        <v>0</v>
      </c>
      <c s="125">
        <f>AP81/(1+AP$11*Предпосылки!$H50)</f>
        <v>0</v>
      </c>
      <c s="125">
        <f>AQ81/(1+AQ$11*Предпосылки!$H50)</f>
        <v>0</v>
      </c>
      <c s="125">
        <f>AR81/(1+AR$11*Предпосылки!$H50)</f>
        <v>0</v>
      </c>
      <c s="125">
        <f>AS81/(1+AS$11*Предпосылки!$H50)</f>
        <v>0</v>
      </c>
      <c s="125">
        <f>AT81/(1+AT$11*Предпосылки!$H50)</f>
        <v>0</v>
      </c>
      <c s="125">
        <f>AU81/(1+AU$11*Предпосылки!$H50)</f>
        <v>0</v>
      </c>
      <c s="125">
        <f>AV81/(1+AV$11*Предпосылки!$H50)</f>
        <v>0</v>
      </c>
      <c s="125">
        <f>AW81/(1+AW$11*Предпосылки!$H50)</f>
        <v>0</v>
      </c>
      <c s="125">
        <f>AX81/(1+AX$11*Предпосылки!$H50)</f>
        <v>0</v>
      </c>
      <c s="125">
        <f>AY81/(1+AY$11*Предпосылки!$H50)</f>
        <v>0</v>
      </c>
      <c s="125">
        <f>AZ81/(1+AZ$11*Предпосылки!$H50)</f>
        <v>0</v>
      </c>
      <c s="125">
        <f>BA81/(1+BA$11*Предпосылки!$H50)</f>
        <v>0</v>
      </c>
      <c s="125">
        <f>BB81/(1+BB$11*Предпосылки!$H50)</f>
        <v>0</v>
      </c>
      <c s="125">
        <f>BC81/(1+BC$11*Предпосылки!$H50)</f>
        <v>0</v>
      </c>
      <c s="125">
        <f>BD81/(1+BD$11*Предпосылки!$H50)</f>
        <v>0</v>
      </c>
      <c s="125">
        <f>BE81/(1+BE$11*Предпосылки!$H50)</f>
        <v>0</v>
      </c>
      <c s="125">
        <f>BF81/(1+BF$11*Предпосылки!$H50)</f>
        <v>0</v>
      </c>
      <c s="125">
        <f>BG81/(1+BG$11*Предпосылки!$H50)</f>
        <v>0</v>
      </c>
      <c s="125">
        <f>BH81/(1+BH$11*Предпосылки!$H50)</f>
        <v>0</v>
      </c>
      <c s="125">
        <f>BI81/(1+BI$11*Предпосылки!$H50)</f>
        <v>0</v>
      </c>
      <c s="125">
        <f>BJ81/(1+BJ$11*Предпосылки!$H50)</f>
        <v>0</v>
      </c>
      <c s="125">
        <f>BK81/(1+BK$11*Предпосылки!$H50)</f>
        <v>0</v>
      </c>
      <c s="125">
        <f>BL81/(1+BL$11*Предпосылки!$H50)</f>
        <v>0</v>
      </c>
      <c s="125">
        <f>BM81/(1+BM$11*Предпосылки!$H50)</f>
        <v>0</v>
      </c>
    </row>
    <row r="169" spans="2:65" ht="15" customHeight="1">
      <c r="B169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E82/(1+E$11*Предпосылки!$H51)</f>
        <v>0</v>
      </c>
      <c s="125">
        <f>F82/(1+F$11*Предпосылки!$H51)</f>
        <v>0</v>
      </c>
      <c s="125">
        <f>G82/(1+G$11*Предпосылки!$H51)</f>
        <v>0</v>
      </c>
      <c s="125">
        <f>H82/(1+H$11*Предпосылки!$H51)</f>
        <v>0</v>
      </c>
      <c s="125">
        <f>I82/(1+I$11*Предпосылки!$H51)</f>
        <v>0</v>
      </c>
      <c s="125">
        <f>J82/(1+J$11*Предпосылки!$H51)</f>
        <v>0</v>
      </c>
      <c s="125">
        <f>K82/(1+K$11*Предпосылки!$H51)</f>
        <v>0</v>
      </c>
      <c s="125">
        <f>L82/(1+L$11*Предпосылки!$H51)</f>
        <v>0</v>
      </c>
      <c s="125">
        <f>M82/(1+M$11*Предпосылки!$H51)</f>
        <v>0</v>
      </c>
      <c s="125">
        <f>N82/(1+N$11*Предпосылки!$H51)</f>
        <v>0</v>
      </c>
      <c s="125">
        <f>O82/(1+O$11*Предпосылки!$H51)</f>
        <v>0</v>
      </c>
      <c s="125">
        <f>P82/(1+P$11*Предпосылки!$H51)</f>
        <v>0</v>
      </c>
      <c s="125">
        <f>Q82/(1+Q$11*Предпосылки!$H51)</f>
        <v>0</v>
      </c>
      <c s="125">
        <f>R82/(1+R$11*Предпосылки!$H51)</f>
        <v>0</v>
      </c>
      <c s="125">
        <f>S82/(1+S$11*Предпосылки!$H51)</f>
        <v>0</v>
      </c>
      <c s="125">
        <f>T82/(1+T$11*Предпосылки!$H51)</f>
        <v>0</v>
      </c>
      <c s="125">
        <f>U82/(1+U$11*Предпосылки!$H51)</f>
        <v>0</v>
      </c>
      <c s="125">
        <f>V82/(1+V$11*Предпосылки!$H51)</f>
        <v>0</v>
      </c>
      <c s="125">
        <f>W82/(1+W$11*Предпосылки!$H51)</f>
        <v>0</v>
      </c>
      <c s="125">
        <f>X82/(1+X$11*Предпосылки!$H51)</f>
        <v>0</v>
      </c>
      <c s="125">
        <f>Y82/(1+Y$11*Предпосылки!$H51)</f>
        <v>0</v>
      </c>
      <c s="125">
        <f>Z82/(1+Z$11*Предпосылки!$H51)</f>
        <v>0</v>
      </c>
      <c s="125">
        <f>AA82/(1+AA$11*Предпосылки!$H51)</f>
        <v>0</v>
      </c>
      <c s="125">
        <f>AB82/(1+AB$11*Предпосылки!$H51)</f>
        <v>0</v>
      </c>
      <c s="125">
        <f>AC82/(1+AC$11*Предпосылки!$H51)</f>
        <v>0</v>
      </c>
      <c s="125">
        <f>AD82/(1+AD$11*Предпосылки!$H51)</f>
        <v>0</v>
      </c>
      <c s="125">
        <f>AE82/(1+AE$11*Предпосылки!$H51)</f>
        <v>0</v>
      </c>
      <c s="125">
        <f>AF82/(1+AF$11*Предпосылки!$H51)</f>
        <v>0</v>
      </c>
      <c s="125">
        <f>AG82/(1+AG$11*Предпосылки!$H51)</f>
        <v>0</v>
      </c>
      <c s="125">
        <f>AH82/(1+AH$11*Предпосылки!$H51)</f>
        <v>0</v>
      </c>
      <c s="125">
        <f>AI82/(1+AI$11*Предпосылки!$H51)</f>
        <v>0</v>
      </c>
      <c s="125">
        <f>AJ82/(1+AJ$11*Предпосылки!$H51)</f>
        <v>0</v>
      </c>
      <c s="125">
        <f>AK82/(1+AK$11*Предпосылки!$H51)</f>
        <v>0</v>
      </c>
      <c s="125">
        <f>AL82/(1+AL$11*Предпосылки!$H51)</f>
        <v>0</v>
      </c>
      <c s="125">
        <f>AM82/(1+AM$11*Предпосылки!$H51)</f>
        <v>0</v>
      </c>
      <c s="125">
        <f>AN82/(1+AN$11*Предпосылки!$H51)</f>
        <v>0</v>
      </c>
      <c s="125">
        <f>AO82/(1+AO$11*Предпосылки!$H51)</f>
        <v>0</v>
      </c>
      <c s="125">
        <f>AP82/(1+AP$11*Предпосылки!$H51)</f>
        <v>0</v>
      </c>
      <c s="125">
        <f>AQ82/(1+AQ$11*Предпосылки!$H51)</f>
        <v>0</v>
      </c>
      <c s="125">
        <f>AR82/(1+AR$11*Предпосылки!$H51)</f>
        <v>0</v>
      </c>
      <c s="125">
        <f>AS82/(1+AS$11*Предпосылки!$H51)</f>
        <v>0</v>
      </c>
      <c s="125">
        <f>AT82/(1+AT$11*Предпосылки!$H51)</f>
        <v>0</v>
      </c>
      <c s="125">
        <f>AU82/(1+AU$11*Предпосылки!$H51)</f>
        <v>0</v>
      </c>
      <c s="125">
        <f>AV82/(1+AV$11*Предпосылки!$H51)</f>
        <v>0</v>
      </c>
      <c s="125">
        <f>AW82/(1+AW$11*Предпосылки!$H51)</f>
        <v>0</v>
      </c>
      <c s="125">
        <f>AX82/(1+AX$11*Предпосылки!$H51)</f>
        <v>0</v>
      </c>
      <c s="125">
        <f>AY82/(1+AY$11*Предпосылки!$H51)</f>
        <v>0</v>
      </c>
      <c s="125">
        <f>AZ82/(1+AZ$11*Предпосылки!$H51)</f>
        <v>0</v>
      </c>
      <c s="125">
        <f>BA82/(1+BA$11*Предпосылки!$H51)</f>
        <v>0</v>
      </c>
      <c s="125">
        <f>BB82/(1+BB$11*Предпосылки!$H51)</f>
        <v>0</v>
      </c>
      <c s="125">
        <f>BC82/(1+BC$11*Предпосылки!$H51)</f>
        <v>0</v>
      </c>
      <c s="125">
        <f>BD82/(1+BD$11*Предпосылки!$H51)</f>
        <v>0</v>
      </c>
      <c s="125">
        <f>BE82/(1+BE$11*Предпосылки!$H51)</f>
        <v>0</v>
      </c>
      <c s="125">
        <f>BF82/(1+BF$11*Предпосылки!$H51)</f>
        <v>0</v>
      </c>
      <c s="125">
        <f>BG82/(1+BG$11*Предпосылки!$H51)</f>
        <v>0</v>
      </c>
      <c s="125">
        <f>BH82/(1+BH$11*Предпосылки!$H51)</f>
        <v>0</v>
      </c>
      <c s="125">
        <f>BI82/(1+BI$11*Предпосылки!$H51)</f>
        <v>0</v>
      </c>
      <c s="125">
        <f>BJ82/(1+BJ$11*Предпосылки!$H51)</f>
        <v>0</v>
      </c>
      <c s="125">
        <f>BK82/(1+BK$11*Предпосылки!$H51)</f>
        <v>0</v>
      </c>
      <c s="125">
        <f>BL82/(1+BL$11*Предпосылки!$H51)</f>
        <v>0</v>
      </c>
      <c s="125">
        <f>BM82/(1+BM$11*Предпосылки!$H51)</f>
        <v>0</v>
      </c>
    </row>
    <row r="170" spans="2:65" ht="15" customHeight="1">
      <c r="B170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E83/(1+E$11*Предпосылки!$H52)</f>
        <v>0</v>
      </c>
      <c s="125">
        <f>F83/(1+F$11*Предпосылки!$H52)</f>
        <v>0</v>
      </c>
      <c s="125">
        <f>G83/(1+G$11*Предпосылки!$H52)</f>
        <v>0</v>
      </c>
      <c s="125">
        <f>H83/(1+H$11*Предпосылки!$H52)</f>
        <v>0</v>
      </c>
      <c s="125">
        <f>I83/(1+I$11*Предпосылки!$H52)</f>
        <v>0</v>
      </c>
      <c s="125">
        <f>J83/(1+J$11*Предпосылки!$H52)</f>
        <v>0</v>
      </c>
      <c s="125">
        <f>K83/(1+K$11*Предпосылки!$H52)</f>
        <v>0</v>
      </c>
      <c s="125">
        <f>L83/(1+L$11*Предпосылки!$H52)</f>
        <v>0</v>
      </c>
      <c s="125">
        <f>M83/(1+M$11*Предпосылки!$H52)</f>
        <v>0</v>
      </c>
      <c s="125">
        <f>N83/(1+N$11*Предпосылки!$H52)</f>
        <v>0</v>
      </c>
      <c s="125">
        <f>O83/(1+O$11*Предпосылки!$H52)</f>
        <v>0</v>
      </c>
      <c s="125">
        <f>P83/(1+P$11*Предпосылки!$H52)</f>
        <v>0</v>
      </c>
      <c s="125">
        <f>Q83/(1+Q$11*Предпосылки!$H52)</f>
        <v>0</v>
      </c>
      <c s="125">
        <f>R83/(1+R$11*Предпосылки!$H52)</f>
        <v>0</v>
      </c>
      <c s="125">
        <f>S83/(1+S$11*Предпосылки!$H52)</f>
        <v>0</v>
      </c>
      <c s="125">
        <f>T83/(1+T$11*Предпосылки!$H52)</f>
        <v>0</v>
      </c>
      <c s="125">
        <f>U83/(1+U$11*Предпосылки!$H52)</f>
        <v>0</v>
      </c>
      <c s="125">
        <f>V83/(1+V$11*Предпосылки!$H52)</f>
        <v>0</v>
      </c>
      <c s="125">
        <f>W83/(1+W$11*Предпосылки!$H52)</f>
        <v>0</v>
      </c>
      <c s="125">
        <f>X83/(1+X$11*Предпосылки!$H52)</f>
        <v>0</v>
      </c>
      <c s="125">
        <f>Y83/(1+Y$11*Предпосылки!$H52)</f>
        <v>0</v>
      </c>
      <c s="125">
        <f>Z83/(1+Z$11*Предпосылки!$H52)</f>
        <v>0</v>
      </c>
      <c s="125">
        <f>AA83/(1+AA$11*Предпосылки!$H52)</f>
        <v>0</v>
      </c>
      <c s="125">
        <f>AB83/(1+AB$11*Предпосылки!$H52)</f>
        <v>0</v>
      </c>
      <c s="125">
        <f>AC83/(1+AC$11*Предпосылки!$H52)</f>
        <v>0</v>
      </c>
      <c s="125">
        <f>AD83/(1+AD$11*Предпосылки!$H52)</f>
        <v>0</v>
      </c>
      <c s="125">
        <f>AE83/(1+AE$11*Предпосылки!$H52)</f>
        <v>0</v>
      </c>
      <c s="125">
        <f>AF83/(1+AF$11*Предпосылки!$H52)</f>
        <v>0</v>
      </c>
      <c s="125">
        <f>AG83/(1+AG$11*Предпосылки!$H52)</f>
        <v>0</v>
      </c>
      <c s="125">
        <f>AH83/(1+AH$11*Предпосылки!$H52)</f>
        <v>0</v>
      </c>
      <c s="125">
        <f>AI83/(1+AI$11*Предпосылки!$H52)</f>
        <v>0</v>
      </c>
      <c s="125">
        <f>AJ83/(1+AJ$11*Предпосылки!$H52)</f>
        <v>0</v>
      </c>
      <c s="125">
        <f>AK83/(1+AK$11*Предпосылки!$H52)</f>
        <v>0</v>
      </c>
      <c s="125">
        <f>AL83/(1+AL$11*Предпосылки!$H52)</f>
        <v>0</v>
      </c>
      <c s="125">
        <f>AM83/(1+AM$11*Предпосылки!$H52)</f>
        <v>0</v>
      </c>
      <c s="125">
        <f>AN83/(1+AN$11*Предпосылки!$H52)</f>
        <v>0</v>
      </c>
      <c s="125">
        <f>AO83/(1+AO$11*Предпосылки!$H52)</f>
        <v>0</v>
      </c>
      <c s="125">
        <f>AP83/(1+AP$11*Предпосылки!$H52)</f>
        <v>0</v>
      </c>
      <c s="125">
        <f>AQ83/(1+AQ$11*Предпосылки!$H52)</f>
        <v>0</v>
      </c>
      <c s="125">
        <f>AR83/(1+AR$11*Предпосылки!$H52)</f>
        <v>0</v>
      </c>
      <c s="125">
        <f>AS83/(1+AS$11*Предпосылки!$H52)</f>
        <v>0</v>
      </c>
      <c s="125">
        <f>AT83/(1+AT$11*Предпосылки!$H52)</f>
        <v>0</v>
      </c>
      <c s="125">
        <f>AU83/(1+AU$11*Предпосылки!$H52)</f>
        <v>0</v>
      </c>
      <c s="125">
        <f>AV83/(1+AV$11*Предпосылки!$H52)</f>
        <v>0</v>
      </c>
      <c s="125">
        <f>AW83/(1+AW$11*Предпосылки!$H52)</f>
        <v>0</v>
      </c>
      <c s="125">
        <f>AX83/(1+AX$11*Предпосылки!$H52)</f>
        <v>0</v>
      </c>
      <c s="125">
        <f>AY83/(1+AY$11*Предпосылки!$H52)</f>
        <v>0</v>
      </c>
      <c s="125">
        <f>AZ83/(1+AZ$11*Предпосылки!$H52)</f>
        <v>0</v>
      </c>
      <c s="125">
        <f>BA83/(1+BA$11*Предпосылки!$H52)</f>
        <v>0</v>
      </c>
      <c s="125">
        <f>BB83/(1+BB$11*Предпосылки!$H52)</f>
        <v>0</v>
      </c>
      <c s="125">
        <f>BC83/(1+BC$11*Предпосылки!$H52)</f>
        <v>0</v>
      </c>
      <c s="125">
        <f>BD83/(1+BD$11*Предпосылки!$H52)</f>
        <v>0</v>
      </c>
      <c s="125">
        <f>BE83/(1+BE$11*Предпосылки!$H52)</f>
        <v>0</v>
      </c>
      <c s="125">
        <f>BF83/(1+BF$11*Предпосылки!$H52)</f>
        <v>0</v>
      </c>
      <c s="125">
        <f>BG83/(1+BG$11*Предпосылки!$H52)</f>
        <v>0</v>
      </c>
      <c s="125">
        <f>BH83/(1+BH$11*Предпосылки!$H52)</f>
        <v>0</v>
      </c>
      <c s="125">
        <f>BI83/(1+BI$11*Предпосылки!$H52)</f>
        <v>0</v>
      </c>
      <c s="125">
        <f>BJ83/(1+BJ$11*Предпосылки!$H52)</f>
        <v>0</v>
      </c>
      <c s="125">
        <f>BK83/(1+BK$11*Предпосылки!$H52)</f>
        <v>0</v>
      </c>
      <c s="125">
        <f>BL83/(1+BL$11*Предпосылки!$H52)</f>
        <v>0</v>
      </c>
      <c s="125">
        <f>BM83/(1+BM$11*Предпосылки!$H52)</f>
        <v>0</v>
      </c>
    </row>
    <row r="171" spans="2:65" ht="15" customHeight="1">
      <c r="B171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E84/(1+E$11*Предпосылки!$H53)</f>
        <v>0</v>
      </c>
      <c s="125">
        <f>F84/(1+F$11*Предпосылки!$H53)</f>
        <v>0</v>
      </c>
      <c s="125">
        <f>G84/(1+G$11*Предпосылки!$H53)</f>
        <v>0</v>
      </c>
      <c s="125">
        <f>H84/(1+H$11*Предпосылки!$H53)</f>
        <v>0</v>
      </c>
      <c s="125">
        <f>I84/(1+I$11*Предпосылки!$H53)</f>
        <v>0</v>
      </c>
      <c s="125">
        <f>J84/(1+J$11*Предпосылки!$H53)</f>
        <v>0</v>
      </c>
      <c s="125">
        <f>K84/(1+K$11*Предпосылки!$H53)</f>
        <v>0</v>
      </c>
      <c s="125">
        <f>L84/(1+L$11*Предпосылки!$H53)</f>
        <v>0</v>
      </c>
      <c s="125">
        <f>M84/(1+M$11*Предпосылки!$H53)</f>
        <v>0</v>
      </c>
      <c s="125">
        <f>N84/(1+N$11*Предпосылки!$H53)</f>
        <v>0</v>
      </c>
      <c s="125">
        <f>O84/(1+O$11*Предпосылки!$H53)</f>
        <v>0</v>
      </c>
      <c s="125">
        <f>P84/(1+P$11*Предпосылки!$H53)</f>
        <v>0</v>
      </c>
      <c s="125">
        <f>Q84/(1+Q$11*Предпосылки!$H53)</f>
        <v>0</v>
      </c>
      <c s="125">
        <f>R84/(1+R$11*Предпосылки!$H53)</f>
        <v>0</v>
      </c>
      <c s="125">
        <f>S84/(1+S$11*Предпосылки!$H53)</f>
        <v>0</v>
      </c>
      <c s="125">
        <f>T84/(1+T$11*Предпосылки!$H53)</f>
        <v>0</v>
      </c>
      <c s="125">
        <f>U84/(1+U$11*Предпосылки!$H53)</f>
        <v>0</v>
      </c>
      <c s="125">
        <f>V84/(1+V$11*Предпосылки!$H53)</f>
        <v>0</v>
      </c>
      <c s="125">
        <f>W84/(1+W$11*Предпосылки!$H53)</f>
        <v>0</v>
      </c>
      <c s="125">
        <f>X84/(1+X$11*Предпосылки!$H53)</f>
        <v>0</v>
      </c>
      <c s="125">
        <f>Y84/(1+Y$11*Предпосылки!$H53)</f>
        <v>0</v>
      </c>
      <c s="125">
        <f>Z84/(1+Z$11*Предпосылки!$H53)</f>
        <v>0</v>
      </c>
      <c s="125">
        <f>AA84/(1+AA$11*Предпосылки!$H53)</f>
        <v>0</v>
      </c>
      <c s="125">
        <f>AB84/(1+AB$11*Предпосылки!$H53)</f>
        <v>0</v>
      </c>
      <c s="125">
        <f>AC84/(1+AC$11*Предпосылки!$H53)</f>
        <v>0</v>
      </c>
      <c s="125">
        <f>AD84/(1+AD$11*Предпосылки!$H53)</f>
        <v>0</v>
      </c>
      <c s="125">
        <f>AE84/(1+AE$11*Предпосылки!$H53)</f>
        <v>0</v>
      </c>
      <c s="125">
        <f>AF84/(1+AF$11*Предпосылки!$H53)</f>
        <v>0</v>
      </c>
      <c s="125">
        <f>AG84/(1+AG$11*Предпосылки!$H53)</f>
        <v>0</v>
      </c>
      <c s="125">
        <f>AH84/(1+AH$11*Предпосылки!$H53)</f>
        <v>0</v>
      </c>
      <c s="125">
        <f>AI84/(1+AI$11*Предпосылки!$H53)</f>
        <v>0</v>
      </c>
      <c s="125">
        <f>AJ84/(1+AJ$11*Предпосылки!$H53)</f>
        <v>0</v>
      </c>
      <c s="125">
        <f>AK84/(1+AK$11*Предпосылки!$H53)</f>
        <v>0</v>
      </c>
      <c s="125">
        <f>AL84/(1+AL$11*Предпосылки!$H53)</f>
        <v>0</v>
      </c>
      <c s="125">
        <f>AM84/(1+AM$11*Предпосылки!$H53)</f>
        <v>0</v>
      </c>
      <c s="125">
        <f>AN84/(1+AN$11*Предпосылки!$H53)</f>
        <v>0</v>
      </c>
      <c s="125">
        <f>AO84/(1+AO$11*Предпосылки!$H53)</f>
        <v>0</v>
      </c>
      <c s="125">
        <f>AP84/(1+AP$11*Предпосылки!$H53)</f>
        <v>0</v>
      </c>
      <c s="125">
        <f>AQ84/(1+AQ$11*Предпосылки!$H53)</f>
        <v>0</v>
      </c>
      <c s="125">
        <f>AR84/(1+AR$11*Предпосылки!$H53)</f>
        <v>0</v>
      </c>
      <c s="125">
        <f>AS84/(1+AS$11*Предпосылки!$H53)</f>
        <v>0</v>
      </c>
      <c s="125">
        <f>AT84/(1+AT$11*Предпосылки!$H53)</f>
        <v>0</v>
      </c>
      <c s="125">
        <f>AU84/(1+AU$11*Предпосылки!$H53)</f>
        <v>0</v>
      </c>
      <c s="125">
        <f>AV84/(1+AV$11*Предпосылки!$H53)</f>
        <v>0</v>
      </c>
      <c s="125">
        <f>AW84/(1+AW$11*Предпосылки!$H53)</f>
        <v>0</v>
      </c>
      <c s="125">
        <f>AX84/(1+AX$11*Предпосылки!$H53)</f>
        <v>0</v>
      </c>
      <c s="125">
        <f>AY84/(1+AY$11*Предпосылки!$H53)</f>
        <v>0</v>
      </c>
      <c s="125">
        <f>AZ84/(1+AZ$11*Предпосылки!$H53)</f>
        <v>0</v>
      </c>
      <c s="125">
        <f>BA84/(1+BA$11*Предпосылки!$H53)</f>
        <v>0</v>
      </c>
      <c s="125">
        <f>BB84/(1+BB$11*Предпосылки!$H53)</f>
        <v>0</v>
      </c>
      <c s="125">
        <f>BC84/(1+BC$11*Предпосылки!$H53)</f>
        <v>0</v>
      </c>
      <c s="125">
        <f>BD84/(1+BD$11*Предпосылки!$H53)</f>
        <v>0</v>
      </c>
      <c s="125">
        <f>BE84/(1+BE$11*Предпосылки!$H53)</f>
        <v>0</v>
      </c>
      <c s="125">
        <f>BF84/(1+BF$11*Предпосылки!$H53)</f>
        <v>0</v>
      </c>
      <c s="125">
        <f>BG84/(1+BG$11*Предпосылки!$H53)</f>
        <v>0</v>
      </c>
      <c s="125">
        <f>BH84/(1+BH$11*Предпосылки!$H53)</f>
        <v>0</v>
      </c>
      <c s="125">
        <f>BI84/(1+BI$11*Предпосылки!$H53)</f>
        <v>0</v>
      </c>
      <c s="125">
        <f>BJ84/(1+BJ$11*Предпосылки!$H53)</f>
        <v>0</v>
      </c>
      <c s="125">
        <f>BK84/(1+BK$11*Предпосылки!$H53)</f>
        <v>0</v>
      </c>
      <c s="125">
        <f>BL84/(1+BL$11*Предпосылки!$H53)</f>
        <v>0</v>
      </c>
      <c s="125">
        <f>BM84/(1+BM$11*Предпосылки!$H53)</f>
        <v>0</v>
      </c>
    </row>
    <row r="172" spans="2:65" ht="15" customHeight="1">
      <c r="B172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E85/(1+E$11*Предпосылки!$H54)</f>
        <v>0</v>
      </c>
      <c s="125">
        <f>F85/(1+F$11*Предпосылки!$H54)</f>
        <v>0</v>
      </c>
      <c s="125">
        <f>G85/(1+G$11*Предпосылки!$H54)</f>
        <v>0</v>
      </c>
      <c s="125">
        <f>H85/(1+H$11*Предпосылки!$H54)</f>
        <v>0</v>
      </c>
      <c s="125">
        <f>I85/(1+I$11*Предпосылки!$H54)</f>
        <v>0</v>
      </c>
      <c s="125">
        <f>J85/(1+J$11*Предпосылки!$H54)</f>
        <v>0</v>
      </c>
      <c s="125">
        <f>K85/(1+K$11*Предпосылки!$H54)</f>
        <v>0</v>
      </c>
      <c s="125">
        <f>L85/(1+L$11*Предпосылки!$H54)</f>
        <v>0</v>
      </c>
      <c s="125">
        <f>M85/(1+M$11*Предпосылки!$H54)</f>
        <v>0</v>
      </c>
      <c s="125">
        <f>N85/(1+N$11*Предпосылки!$H54)</f>
        <v>0</v>
      </c>
      <c s="125">
        <f>O85/(1+O$11*Предпосылки!$H54)</f>
        <v>0</v>
      </c>
      <c s="125">
        <f>P85/(1+P$11*Предпосылки!$H54)</f>
        <v>0</v>
      </c>
      <c s="125">
        <f>Q85/(1+Q$11*Предпосылки!$H54)</f>
        <v>0</v>
      </c>
      <c s="125">
        <f>R85/(1+R$11*Предпосылки!$H54)</f>
        <v>0</v>
      </c>
      <c s="125">
        <f>S85/(1+S$11*Предпосылки!$H54)</f>
        <v>0</v>
      </c>
      <c s="125">
        <f>T85/(1+T$11*Предпосылки!$H54)</f>
        <v>0</v>
      </c>
      <c s="125">
        <f>U85/(1+U$11*Предпосылки!$H54)</f>
        <v>0</v>
      </c>
      <c s="125">
        <f>V85/(1+V$11*Предпосылки!$H54)</f>
        <v>0</v>
      </c>
      <c s="125">
        <f>W85/(1+W$11*Предпосылки!$H54)</f>
        <v>0</v>
      </c>
      <c s="125">
        <f>X85/(1+X$11*Предпосылки!$H54)</f>
        <v>0</v>
      </c>
      <c s="125">
        <f>Y85/(1+Y$11*Предпосылки!$H54)</f>
        <v>0</v>
      </c>
      <c s="125">
        <f>Z85/(1+Z$11*Предпосылки!$H54)</f>
        <v>0</v>
      </c>
      <c s="125">
        <f>AA85/(1+AA$11*Предпосылки!$H54)</f>
        <v>0</v>
      </c>
      <c s="125">
        <f>AB85/(1+AB$11*Предпосылки!$H54)</f>
        <v>0</v>
      </c>
      <c s="125">
        <f>AC85/(1+AC$11*Предпосылки!$H54)</f>
        <v>0</v>
      </c>
      <c s="125">
        <f>AD85/(1+AD$11*Предпосылки!$H54)</f>
        <v>0</v>
      </c>
      <c s="125">
        <f>AE85/(1+AE$11*Предпосылки!$H54)</f>
        <v>0</v>
      </c>
      <c s="125">
        <f>AF85/(1+AF$11*Предпосылки!$H54)</f>
        <v>0</v>
      </c>
      <c s="125">
        <f>AG85/(1+AG$11*Предпосылки!$H54)</f>
        <v>0</v>
      </c>
      <c s="125">
        <f>AH85/(1+AH$11*Предпосылки!$H54)</f>
        <v>0</v>
      </c>
      <c s="125">
        <f>AI85/(1+AI$11*Предпосылки!$H54)</f>
        <v>0</v>
      </c>
      <c s="125">
        <f>AJ85/(1+AJ$11*Предпосылки!$H54)</f>
        <v>0</v>
      </c>
      <c s="125">
        <f>AK85/(1+AK$11*Предпосылки!$H54)</f>
        <v>0</v>
      </c>
      <c s="125">
        <f>AL85/(1+AL$11*Предпосылки!$H54)</f>
        <v>0</v>
      </c>
      <c s="125">
        <f>AM85/(1+AM$11*Предпосылки!$H54)</f>
        <v>0</v>
      </c>
      <c s="125">
        <f>AN85/(1+AN$11*Предпосылки!$H54)</f>
        <v>0</v>
      </c>
      <c s="125">
        <f>AO85/(1+AO$11*Предпосылки!$H54)</f>
        <v>0</v>
      </c>
      <c s="125">
        <f>AP85/(1+AP$11*Предпосылки!$H54)</f>
        <v>0</v>
      </c>
      <c s="125">
        <f>AQ85/(1+AQ$11*Предпосылки!$H54)</f>
        <v>0</v>
      </c>
      <c s="125">
        <f>AR85/(1+AR$11*Предпосылки!$H54)</f>
        <v>0</v>
      </c>
      <c s="125">
        <f>AS85/(1+AS$11*Предпосылки!$H54)</f>
        <v>0</v>
      </c>
      <c s="125">
        <f>AT85/(1+AT$11*Предпосылки!$H54)</f>
        <v>0</v>
      </c>
      <c s="125">
        <f>AU85/(1+AU$11*Предпосылки!$H54)</f>
        <v>0</v>
      </c>
      <c s="125">
        <f>AV85/(1+AV$11*Предпосылки!$H54)</f>
        <v>0</v>
      </c>
      <c s="125">
        <f>AW85/(1+AW$11*Предпосылки!$H54)</f>
        <v>0</v>
      </c>
      <c s="125">
        <f>AX85/(1+AX$11*Предпосылки!$H54)</f>
        <v>0</v>
      </c>
      <c s="125">
        <f>AY85/(1+AY$11*Предпосылки!$H54)</f>
        <v>0</v>
      </c>
      <c s="125">
        <f>AZ85/(1+AZ$11*Предпосылки!$H54)</f>
        <v>0</v>
      </c>
      <c s="125">
        <f>BA85/(1+BA$11*Предпосылки!$H54)</f>
        <v>0</v>
      </c>
      <c s="125">
        <f>BB85/(1+BB$11*Предпосылки!$H54)</f>
        <v>0</v>
      </c>
      <c s="125">
        <f>BC85/(1+BC$11*Предпосылки!$H54)</f>
        <v>0</v>
      </c>
      <c s="125">
        <f>BD85/(1+BD$11*Предпосылки!$H54)</f>
        <v>0</v>
      </c>
      <c s="125">
        <f>BE85/(1+BE$11*Предпосылки!$H54)</f>
        <v>0</v>
      </c>
      <c s="125">
        <f>BF85/(1+BF$11*Предпосылки!$H54)</f>
        <v>0</v>
      </c>
      <c s="125">
        <f>BG85/(1+BG$11*Предпосылки!$H54)</f>
        <v>0</v>
      </c>
      <c s="125">
        <f>BH85/(1+BH$11*Предпосылки!$H54)</f>
        <v>0</v>
      </c>
      <c s="125">
        <f>BI85/(1+BI$11*Предпосылки!$H54)</f>
        <v>0</v>
      </c>
      <c s="125">
        <f>BJ85/(1+BJ$11*Предпосылки!$H54)</f>
        <v>0</v>
      </c>
      <c s="125">
        <f>BK85/(1+BK$11*Предпосылки!$H54)</f>
        <v>0</v>
      </c>
      <c s="125">
        <f>BL85/(1+BL$11*Предпосылки!$H54)</f>
        <v>0</v>
      </c>
      <c s="125">
        <f>BM85/(1+BM$11*Предпосылки!$H54)</f>
        <v>0</v>
      </c>
    </row>
    <row r="173" spans="2:65" ht="15" customHeight="1">
      <c r="B173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E86/(1+E$11*Предпосылки!$H55)</f>
        <v>0</v>
      </c>
      <c s="125">
        <f>F86/(1+F$11*Предпосылки!$H55)</f>
        <v>0</v>
      </c>
      <c s="125">
        <f>G86/(1+G$11*Предпосылки!$H55)</f>
        <v>0</v>
      </c>
      <c s="125">
        <f>H86/(1+H$11*Предпосылки!$H55)</f>
        <v>0</v>
      </c>
      <c s="125">
        <f>I86/(1+I$11*Предпосылки!$H55)</f>
        <v>0</v>
      </c>
      <c s="125">
        <f>J86/(1+J$11*Предпосылки!$H55)</f>
        <v>0</v>
      </c>
      <c s="125">
        <f>K86/(1+K$11*Предпосылки!$H55)</f>
        <v>0</v>
      </c>
      <c s="125">
        <f>L86/(1+L$11*Предпосылки!$H55)</f>
        <v>0</v>
      </c>
      <c s="125">
        <f>M86/(1+M$11*Предпосылки!$H55)</f>
        <v>0</v>
      </c>
      <c s="125">
        <f>N86/(1+N$11*Предпосылки!$H55)</f>
        <v>0</v>
      </c>
      <c s="125">
        <f>O86/(1+O$11*Предпосылки!$H55)</f>
        <v>0</v>
      </c>
      <c s="125">
        <f>P86/(1+P$11*Предпосылки!$H55)</f>
        <v>0</v>
      </c>
      <c s="125">
        <f>Q86/(1+Q$11*Предпосылки!$H55)</f>
        <v>0</v>
      </c>
      <c s="125">
        <f>R86/(1+R$11*Предпосылки!$H55)</f>
        <v>0</v>
      </c>
      <c s="125">
        <f>S86/(1+S$11*Предпосылки!$H55)</f>
        <v>0</v>
      </c>
      <c s="125">
        <f>T86/(1+T$11*Предпосылки!$H55)</f>
        <v>0</v>
      </c>
      <c s="125">
        <f>U86/(1+U$11*Предпосылки!$H55)</f>
        <v>0</v>
      </c>
      <c s="125">
        <f>V86/(1+V$11*Предпосылки!$H55)</f>
        <v>0</v>
      </c>
      <c s="125">
        <f>W86/(1+W$11*Предпосылки!$H55)</f>
        <v>0</v>
      </c>
      <c s="125">
        <f>X86/(1+X$11*Предпосылки!$H55)</f>
        <v>0</v>
      </c>
      <c s="125">
        <f>Y86/(1+Y$11*Предпосылки!$H55)</f>
        <v>0</v>
      </c>
      <c s="125">
        <f>Z86/(1+Z$11*Предпосылки!$H55)</f>
        <v>0</v>
      </c>
      <c s="125">
        <f>AA86/(1+AA$11*Предпосылки!$H55)</f>
        <v>0</v>
      </c>
      <c s="125">
        <f>AB86/(1+AB$11*Предпосылки!$H55)</f>
        <v>0</v>
      </c>
      <c s="125">
        <f>AC86/(1+AC$11*Предпосылки!$H55)</f>
        <v>0</v>
      </c>
      <c s="125">
        <f>AD86/(1+AD$11*Предпосылки!$H55)</f>
        <v>0</v>
      </c>
      <c s="125">
        <f>AE86/(1+AE$11*Предпосылки!$H55)</f>
        <v>0</v>
      </c>
      <c s="125">
        <f>AF86/(1+AF$11*Предпосылки!$H55)</f>
        <v>0</v>
      </c>
      <c s="125">
        <f>AG86/(1+AG$11*Предпосылки!$H55)</f>
        <v>0</v>
      </c>
      <c s="125">
        <f>AH86/(1+AH$11*Предпосылки!$H55)</f>
        <v>0</v>
      </c>
      <c s="125">
        <f>AI86/(1+AI$11*Предпосылки!$H55)</f>
        <v>0</v>
      </c>
      <c s="125">
        <f>AJ86/(1+AJ$11*Предпосылки!$H55)</f>
        <v>0</v>
      </c>
      <c s="125">
        <f>AK86/(1+AK$11*Предпосылки!$H55)</f>
        <v>0</v>
      </c>
      <c s="125">
        <f>AL86/(1+AL$11*Предпосылки!$H55)</f>
        <v>0</v>
      </c>
      <c s="125">
        <f>AM86/(1+AM$11*Предпосылки!$H55)</f>
        <v>0</v>
      </c>
      <c s="125">
        <f>AN86/(1+AN$11*Предпосылки!$H55)</f>
        <v>0</v>
      </c>
      <c s="125">
        <f>AO86/(1+AO$11*Предпосылки!$H55)</f>
        <v>0</v>
      </c>
      <c s="125">
        <f>AP86/(1+AP$11*Предпосылки!$H55)</f>
        <v>0</v>
      </c>
      <c s="125">
        <f>AQ86/(1+AQ$11*Предпосылки!$H55)</f>
        <v>0</v>
      </c>
      <c s="125">
        <f>AR86/(1+AR$11*Предпосылки!$H55)</f>
        <v>0</v>
      </c>
      <c s="125">
        <f>AS86/(1+AS$11*Предпосылки!$H55)</f>
        <v>0</v>
      </c>
      <c s="125">
        <f>AT86/(1+AT$11*Предпосылки!$H55)</f>
        <v>0</v>
      </c>
      <c s="125">
        <f>AU86/(1+AU$11*Предпосылки!$H55)</f>
        <v>0</v>
      </c>
      <c s="125">
        <f>AV86/(1+AV$11*Предпосылки!$H55)</f>
        <v>0</v>
      </c>
      <c s="125">
        <f>AW86/(1+AW$11*Предпосылки!$H55)</f>
        <v>0</v>
      </c>
      <c s="125">
        <f>AX86/(1+AX$11*Предпосылки!$H55)</f>
        <v>0</v>
      </c>
      <c s="125">
        <f>AY86/(1+AY$11*Предпосылки!$H55)</f>
        <v>0</v>
      </c>
      <c s="125">
        <f>AZ86/(1+AZ$11*Предпосылки!$H55)</f>
        <v>0</v>
      </c>
      <c s="125">
        <f>BA86/(1+BA$11*Предпосылки!$H55)</f>
        <v>0</v>
      </c>
      <c s="125">
        <f>BB86/(1+BB$11*Предпосылки!$H55)</f>
        <v>0</v>
      </c>
      <c s="125">
        <f>BC86/(1+BC$11*Предпосылки!$H55)</f>
        <v>0</v>
      </c>
      <c s="125">
        <f>BD86/(1+BD$11*Предпосылки!$H55)</f>
        <v>0</v>
      </c>
      <c s="125">
        <f>BE86/(1+BE$11*Предпосылки!$H55)</f>
        <v>0</v>
      </c>
      <c s="125">
        <f>BF86/(1+BF$11*Предпосылки!$H55)</f>
        <v>0</v>
      </c>
      <c s="125">
        <f>BG86/(1+BG$11*Предпосылки!$H55)</f>
        <v>0</v>
      </c>
      <c s="125">
        <f>BH86/(1+BH$11*Предпосылки!$H55)</f>
        <v>0</v>
      </c>
      <c s="125">
        <f>BI86/(1+BI$11*Предпосылки!$H55)</f>
        <v>0</v>
      </c>
      <c s="125">
        <f>BJ86/(1+BJ$11*Предпосылки!$H55)</f>
        <v>0</v>
      </c>
      <c s="125">
        <f>BK86/(1+BK$11*Предпосылки!$H55)</f>
        <v>0</v>
      </c>
      <c s="125">
        <f>BL86/(1+BL$11*Предпосылки!$H55)</f>
        <v>0</v>
      </c>
      <c s="125">
        <f>BM86/(1+BM$11*Предпосылки!$H55)</f>
        <v>0</v>
      </c>
    </row>
    <row r="174" spans="2:65" ht="15" customHeight="1">
      <c r="B174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E87/(1+E$11*Предпосылки!$H56)</f>
        <v>0</v>
      </c>
      <c s="125">
        <f>F87/(1+F$11*Предпосылки!$H56)</f>
        <v>0</v>
      </c>
      <c s="125">
        <f>G87/(1+G$11*Предпосылки!$H56)</f>
        <v>0</v>
      </c>
      <c s="125">
        <f>H87/(1+H$11*Предпосылки!$H56)</f>
        <v>0</v>
      </c>
      <c s="125">
        <f>I87/(1+I$11*Предпосылки!$H56)</f>
        <v>0</v>
      </c>
      <c s="125">
        <f>J87/(1+J$11*Предпосылки!$H56)</f>
        <v>0</v>
      </c>
      <c s="125">
        <f>K87/(1+K$11*Предпосылки!$H56)</f>
        <v>0</v>
      </c>
      <c s="125">
        <f>L87/(1+L$11*Предпосылки!$H56)</f>
        <v>0</v>
      </c>
      <c s="125">
        <f>M87/(1+M$11*Предпосылки!$H56)</f>
        <v>0</v>
      </c>
      <c s="125">
        <f>N87/(1+N$11*Предпосылки!$H56)</f>
        <v>0</v>
      </c>
      <c s="125">
        <f>O87/(1+O$11*Предпосылки!$H56)</f>
        <v>0</v>
      </c>
      <c s="125">
        <f>P87/(1+P$11*Предпосылки!$H56)</f>
        <v>0</v>
      </c>
      <c s="125">
        <f>Q87/(1+Q$11*Предпосылки!$H56)</f>
        <v>0</v>
      </c>
      <c s="125">
        <f>R87/(1+R$11*Предпосылки!$H56)</f>
        <v>0</v>
      </c>
      <c s="125">
        <f>S87/(1+S$11*Предпосылки!$H56)</f>
        <v>0</v>
      </c>
      <c s="125">
        <f>T87/(1+T$11*Предпосылки!$H56)</f>
        <v>0</v>
      </c>
      <c s="125">
        <f>U87/(1+U$11*Предпосылки!$H56)</f>
        <v>0</v>
      </c>
      <c s="125">
        <f>V87/(1+V$11*Предпосылки!$H56)</f>
        <v>0</v>
      </c>
      <c s="125">
        <f>W87/(1+W$11*Предпосылки!$H56)</f>
        <v>0</v>
      </c>
      <c s="125">
        <f>X87/(1+X$11*Предпосылки!$H56)</f>
        <v>0</v>
      </c>
      <c s="125">
        <f>Y87/(1+Y$11*Предпосылки!$H56)</f>
        <v>0</v>
      </c>
      <c s="125">
        <f>Z87/(1+Z$11*Предпосылки!$H56)</f>
        <v>0</v>
      </c>
      <c s="125">
        <f>AA87/(1+AA$11*Предпосылки!$H56)</f>
        <v>0</v>
      </c>
      <c s="125">
        <f>AB87/(1+AB$11*Предпосылки!$H56)</f>
        <v>0</v>
      </c>
      <c s="125">
        <f>AC87/(1+AC$11*Предпосылки!$H56)</f>
        <v>0</v>
      </c>
      <c s="125">
        <f>AD87/(1+AD$11*Предпосылки!$H56)</f>
        <v>0</v>
      </c>
      <c s="125">
        <f>AE87/(1+AE$11*Предпосылки!$H56)</f>
        <v>0</v>
      </c>
      <c s="125">
        <f>AF87/(1+AF$11*Предпосылки!$H56)</f>
        <v>0</v>
      </c>
      <c s="125">
        <f>AG87/(1+AG$11*Предпосылки!$H56)</f>
        <v>0</v>
      </c>
      <c s="125">
        <f>AH87/(1+AH$11*Предпосылки!$H56)</f>
        <v>0</v>
      </c>
      <c s="125">
        <f>AI87/(1+AI$11*Предпосылки!$H56)</f>
        <v>0</v>
      </c>
      <c s="125">
        <f>AJ87/(1+AJ$11*Предпосылки!$H56)</f>
        <v>0</v>
      </c>
      <c s="125">
        <f>AK87/(1+AK$11*Предпосылки!$H56)</f>
        <v>0</v>
      </c>
      <c s="125">
        <f>AL87/(1+AL$11*Предпосылки!$H56)</f>
        <v>0</v>
      </c>
      <c s="125">
        <f>AM87/(1+AM$11*Предпосылки!$H56)</f>
        <v>0</v>
      </c>
      <c s="125">
        <f>AN87/(1+AN$11*Предпосылки!$H56)</f>
        <v>0</v>
      </c>
      <c s="125">
        <f>AO87/(1+AO$11*Предпосылки!$H56)</f>
        <v>0</v>
      </c>
      <c s="125">
        <f>AP87/(1+AP$11*Предпосылки!$H56)</f>
        <v>0</v>
      </c>
      <c s="125">
        <f>AQ87/(1+AQ$11*Предпосылки!$H56)</f>
        <v>0</v>
      </c>
      <c s="125">
        <f>AR87/(1+AR$11*Предпосылки!$H56)</f>
        <v>0</v>
      </c>
      <c s="125">
        <f>AS87/(1+AS$11*Предпосылки!$H56)</f>
        <v>0</v>
      </c>
      <c s="125">
        <f>AT87/(1+AT$11*Предпосылки!$H56)</f>
        <v>0</v>
      </c>
      <c s="125">
        <f>AU87/(1+AU$11*Предпосылки!$H56)</f>
        <v>0</v>
      </c>
      <c s="125">
        <f>AV87/(1+AV$11*Предпосылки!$H56)</f>
        <v>0</v>
      </c>
      <c s="125">
        <f>AW87/(1+AW$11*Предпосылки!$H56)</f>
        <v>0</v>
      </c>
      <c s="125">
        <f>AX87/(1+AX$11*Предпосылки!$H56)</f>
        <v>0</v>
      </c>
      <c s="125">
        <f>AY87/(1+AY$11*Предпосылки!$H56)</f>
        <v>0</v>
      </c>
      <c s="125">
        <f>AZ87/(1+AZ$11*Предпосылки!$H56)</f>
        <v>0</v>
      </c>
      <c s="125">
        <f>BA87/(1+BA$11*Предпосылки!$H56)</f>
        <v>0</v>
      </c>
      <c s="125">
        <f>BB87/(1+BB$11*Предпосылки!$H56)</f>
        <v>0</v>
      </c>
      <c s="125">
        <f>BC87/(1+BC$11*Предпосылки!$H56)</f>
        <v>0</v>
      </c>
      <c s="125">
        <f>BD87/(1+BD$11*Предпосылки!$H56)</f>
        <v>0</v>
      </c>
      <c s="125">
        <f>BE87/(1+BE$11*Предпосылки!$H56)</f>
        <v>0</v>
      </c>
      <c s="125">
        <f>BF87/(1+BF$11*Предпосылки!$H56)</f>
        <v>0</v>
      </c>
      <c s="125">
        <f>BG87/(1+BG$11*Предпосылки!$H56)</f>
        <v>0</v>
      </c>
      <c s="125">
        <f>BH87/(1+BH$11*Предпосылки!$H56)</f>
        <v>0</v>
      </c>
      <c s="125">
        <f>BI87/(1+BI$11*Предпосылки!$H56)</f>
        <v>0</v>
      </c>
      <c s="125">
        <f>BJ87/(1+BJ$11*Предпосылки!$H56)</f>
        <v>0</v>
      </c>
      <c s="125">
        <f>BK87/(1+BK$11*Предпосылки!$H56)</f>
        <v>0</v>
      </c>
      <c s="125">
        <f>BL87/(1+BL$11*Предпосылки!$H56)</f>
        <v>0</v>
      </c>
      <c s="125">
        <f>BM87/(1+BM$11*Предпосылки!$H56)</f>
        <v>0</v>
      </c>
    </row>
    <row r="175" spans="2:65" ht="15" customHeight="1">
      <c r="B175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E88/(1+E$11*Предпосылки!$H57)</f>
        <v>0</v>
      </c>
      <c s="125">
        <f>F88/(1+F$11*Предпосылки!$H57)</f>
        <v>0</v>
      </c>
      <c s="125">
        <f>G88/(1+G$11*Предпосылки!$H57)</f>
        <v>0</v>
      </c>
      <c s="125">
        <f>H88/(1+H$11*Предпосылки!$H57)</f>
        <v>0</v>
      </c>
      <c s="125">
        <f>I88/(1+I$11*Предпосылки!$H57)</f>
        <v>0</v>
      </c>
      <c s="125">
        <f>J88/(1+J$11*Предпосылки!$H57)</f>
        <v>0</v>
      </c>
      <c s="125">
        <f>K88/(1+K$11*Предпосылки!$H57)</f>
        <v>0</v>
      </c>
      <c s="125">
        <f>L88/(1+L$11*Предпосылки!$H57)</f>
        <v>0</v>
      </c>
      <c s="125">
        <f>M88/(1+M$11*Предпосылки!$H57)</f>
        <v>0</v>
      </c>
      <c s="125">
        <f>N88/(1+N$11*Предпосылки!$H57)</f>
        <v>0</v>
      </c>
      <c s="125">
        <f>O88/(1+O$11*Предпосылки!$H57)</f>
        <v>0</v>
      </c>
      <c s="125">
        <f>P88/(1+P$11*Предпосылки!$H57)</f>
        <v>0</v>
      </c>
      <c s="125">
        <f>Q88/(1+Q$11*Предпосылки!$H57)</f>
        <v>0</v>
      </c>
      <c s="125">
        <f>R88/(1+R$11*Предпосылки!$H57)</f>
        <v>0</v>
      </c>
      <c s="125">
        <f>S88/(1+S$11*Предпосылки!$H57)</f>
        <v>0</v>
      </c>
      <c s="125">
        <f>T88/(1+T$11*Предпосылки!$H57)</f>
        <v>0</v>
      </c>
      <c s="125">
        <f>U88/(1+U$11*Предпосылки!$H57)</f>
        <v>0</v>
      </c>
      <c s="125">
        <f>V88/(1+V$11*Предпосылки!$H57)</f>
        <v>0</v>
      </c>
      <c s="125">
        <f>W88/(1+W$11*Предпосылки!$H57)</f>
        <v>0</v>
      </c>
      <c s="125">
        <f>X88/(1+X$11*Предпосылки!$H57)</f>
        <v>0</v>
      </c>
      <c s="125">
        <f>Y88/(1+Y$11*Предпосылки!$H57)</f>
        <v>0</v>
      </c>
      <c s="125">
        <f>Z88/(1+Z$11*Предпосылки!$H57)</f>
        <v>0</v>
      </c>
      <c s="125">
        <f>AA88/(1+AA$11*Предпосылки!$H57)</f>
        <v>0</v>
      </c>
      <c s="125">
        <f>AB88/(1+AB$11*Предпосылки!$H57)</f>
        <v>0</v>
      </c>
      <c s="125">
        <f>AC88/(1+AC$11*Предпосылки!$H57)</f>
        <v>0</v>
      </c>
      <c s="125">
        <f>AD88/(1+AD$11*Предпосылки!$H57)</f>
        <v>0</v>
      </c>
      <c s="125">
        <f>AE88/(1+AE$11*Предпосылки!$H57)</f>
        <v>0</v>
      </c>
      <c s="125">
        <f>AF88/(1+AF$11*Предпосылки!$H57)</f>
        <v>0</v>
      </c>
      <c s="125">
        <f>AG88/(1+AG$11*Предпосылки!$H57)</f>
        <v>0</v>
      </c>
      <c s="125">
        <f>AH88/(1+AH$11*Предпосылки!$H57)</f>
        <v>0</v>
      </c>
      <c s="125">
        <f>AI88/(1+AI$11*Предпосылки!$H57)</f>
        <v>0</v>
      </c>
      <c s="125">
        <f>AJ88/(1+AJ$11*Предпосылки!$H57)</f>
        <v>0</v>
      </c>
      <c s="125">
        <f>AK88/(1+AK$11*Предпосылки!$H57)</f>
        <v>0</v>
      </c>
      <c s="125">
        <f>AL88/(1+AL$11*Предпосылки!$H57)</f>
        <v>0</v>
      </c>
      <c s="125">
        <f>AM88/(1+AM$11*Предпосылки!$H57)</f>
        <v>0</v>
      </c>
      <c s="125">
        <f>AN88/(1+AN$11*Предпосылки!$H57)</f>
        <v>0</v>
      </c>
      <c s="125">
        <f>AO88/(1+AO$11*Предпосылки!$H57)</f>
        <v>0</v>
      </c>
      <c s="125">
        <f>AP88/(1+AP$11*Предпосылки!$H57)</f>
        <v>0</v>
      </c>
      <c s="125">
        <f>AQ88/(1+AQ$11*Предпосылки!$H57)</f>
        <v>0</v>
      </c>
      <c s="125">
        <f>AR88/(1+AR$11*Предпосылки!$H57)</f>
        <v>0</v>
      </c>
      <c s="125">
        <f>AS88/(1+AS$11*Предпосылки!$H57)</f>
        <v>0</v>
      </c>
      <c s="125">
        <f>AT88/(1+AT$11*Предпосылки!$H57)</f>
        <v>0</v>
      </c>
      <c s="125">
        <f>AU88/(1+AU$11*Предпосылки!$H57)</f>
        <v>0</v>
      </c>
      <c s="125">
        <f>AV88/(1+AV$11*Предпосылки!$H57)</f>
        <v>0</v>
      </c>
      <c s="125">
        <f>AW88/(1+AW$11*Предпосылки!$H57)</f>
        <v>0</v>
      </c>
      <c s="125">
        <f>AX88/(1+AX$11*Предпосылки!$H57)</f>
        <v>0</v>
      </c>
      <c s="125">
        <f>AY88/(1+AY$11*Предпосылки!$H57)</f>
        <v>0</v>
      </c>
      <c s="125">
        <f>AZ88/(1+AZ$11*Предпосылки!$H57)</f>
        <v>0</v>
      </c>
      <c s="125">
        <f>BA88/(1+BA$11*Предпосылки!$H57)</f>
        <v>0</v>
      </c>
      <c s="125">
        <f>BB88/(1+BB$11*Предпосылки!$H57)</f>
        <v>0</v>
      </c>
      <c s="125">
        <f>BC88/(1+BC$11*Предпосылки!$H57)</f>
        <v>0</v>
      </c>
      <c s="125">
        <f>BD88/(1+BD$11*Предпосылки!$H57)</f>
        <v>0</v>
      </c>
      <c s="125">
        <f>BE88/(1+BE$11*Предпосылки!$H57)</f>
        <v>0</v>
      </c>
      <c s="125">
        <f>BF88/(1+BF$11*Предпосылки!$H57)</f>
        <v>0</v>
      </c>
      <c s="125">
        <f>BG88/(1+BG$11*Предпосылки!$H57)</f>
        <v>0</v>
      </c>
      <c s="125">
        <f>BH88/(1+BH$11*Предпосылки!$H57)</f>
        <v>0</v>
      </c>
      <c s="125">
        <f>BI88/(1+BI$11*Предпосылки!$H57)</f>
        <v>0</v>
      </c>
      <c s="125">
        <f>BJ88/(1+BJ$11*Предпосылки!$H57)</f>
        <v>0</v>
      </c>
      <c s="125">
        <f>BK88/(1+BK$11*Предпосылки!$H57)</f>
        <v>0</v>
      </c>
      <c s="125">
        <f>BL88/(1+BL$11*Предпосылки!$H57)</f>
        <v>0</v>
      </c>
      <c s="125">
        <f>BM88/(1+BM$11*Предпосылки!$H57)</f>
        <v>0</v>
      </c>
    </row>
    <row r="176" spans="2:65" ht="15" customHeight="1">
      <c r="B176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E89/(1+E$11*Предпосылки!$H58)</f>
        <v>0</v>
      </c>
      <c s="125">
        <f>F89/(1+F$11*Предпосылки!$H58)</f>
        <v>0</v>
      </c>
      <c s="125">
        <f>G89/(1+G$11*Предпосылки!$H58)</f>
        <v>0</v>
      </c>
      <c s="125">
        <f>H89/(1+H$11*Предпосылки!$H58)</f>
        <v>0</v>
      </c>
      <c s="125">
        <f>I89/(1+I$11*Предпосылки!$H58)</f>
        <v>0</v>
      </c>
      <c s="125">
        <f>J89/(1+J$11*Предпосылки!$H58)</f>
        <v>0</v>
      </c>
      <c s="125">
        <f>K89/(1+K$11*Предпосылки!$H58)</f>
        <v>0</v>
      </c>
      <c s="125">
        <f>L89/(1+L$11*Предпосылки!$H58)</f>
        <v>0</v>
      </c>
      <c s="125">
        <f>M89/(1+M$11*Предпосылки!$H58)</f>
        <v>0</v>
      </c>
      <c s="125">
        <f>N89/(1+N$11*Предпосылки!$H58)</f>
        <v>0</v>
      </c>
      <c s="125">
        <f>O89/(1+O$11*Предпосылки!$H58)</f>
        <v>0</v>
      </c>
      <c s="125">
        <f>P89/(1+P$11*Предпосылки!$H58)</f>
        <v>0</v>
      </c>
      <c s="125">
        <f>Q89/(1+Q$11*Предпосылки!$H58)</f>
        <v>0</v>
      </c>
      <c s="125">
        <f>R89/(1+R$11*Предпосылки!$H58)</f>
        <v>0</v>
      </c>
      <c s="125">
        <f>S89/(1+S$11*Предпосылки!$H58)</f>
        <v>0</v>
      </c>
      <c s="125">
        <f>T89/(1+T$11*Предпосылки!$H58)</f>
        <v>0</v>
      </c>
      <c s="125">
        <f>U89/(1+U$11*Предпосылки!$H58)</f>
        <v>0</v>
      </c>
      <c s="125">
        <f>V89/(1+V$11*Предпосылки!$H58)</f>
        <v>0</v>
      </c>
      <c s="125">
        <f>W89/(1+W$11*Предпосылки!$H58)</f>
        <v>0</v>
      </c>
      <c s="125">
        <f>X89/(1+X$11*Предпосылки!$H58)</f>
        <v>0</v>
      </c>
      <c s="125">
        <f>Y89/(1+Y$11*Предпосылки!$H58)</f>
        <v>0</v>
      </c>
      <c s="125">
        <f>Z89/(1+Z$11*Предпосылки!$H58)</f>
        <v>0</v>
      </c>
      <c s="125">
        <f>AA89/(1+AA$11*Предпосылки!$H58)</f>
        <v>0</v>
      </c>
      <c s="125">
        <f>AB89/(1+AB$11*Предпосылки!$H58)</f>
        <v>0</v>
      </c>
      <c s="125">
        <f>AC89/(1+AC$11*Предпосылки!$H58)</f>
        <v>0</v>
      </c>
      <c s="125">
        <f>AD89/(1+AD$11*Предпосылки!$H58)</f>
        <v>0</v>
      </c>
      <c s="125">
        <f>AE89/(1+AE$11*Предпосылки!$H58)</f>
        <v>0</v>
      </c>
      <c s="125">
        <f>AF89/(1+AF$11*Предпосылки!$H58)</f>
        <v>0</v>
      </c>
      <c s="125">
        <f>AG89/(1+AG$11*Предпосылки!$H58)</f>
        <v>0</v>
      </c>
      <c s="125">
        <f>AH89/(1+AH$11*Предпосылки!$H58)</f>
        <v>0</v>
      </c>
      <c s="125">
        <f>AI89/(1+AI$11*Предпосылки!$H58)</f>
        <v>0</v>
      </c>
      <c s="125">
        <f>AJ89/(1+AJ$11*Предпосылки!$H58)</f>
        <v>0</v>
      </c>
      <c s="125">
        <f>AK89/(1+AK$11*Предпосылки!$H58)</f>
        <v>0</v>
      </c>
      <c s="125">
        <f>AL89/(1+AL$11*Предпосылки!$H58)</f>
        <v>0</v>
      </c>
      <c s="125">
        <f>AM89/(1+AM$11*Предпосылки!$H58)</f>
        <v>0</v>
      </c>
      <c s="125">
        <f>AN89/(1+AN$11*Предпосылки!$H58)</f>
        <v>0</v>
      </c>
      <c s="125">
        <f>AO89/(1+AO$11*Предпосылки!$H58)</f>
        <v>0</v>
      </c>
      <c s="125">
        <f>AP89/(1+AP$11*Предпосылки!$H58)</f>
        <v>0</v>
      </c>
      <c s="125">
        <f>AQ89/(1+AQ$11*Предпосылки!$H58)</f>
        <v>0</v>
      </c>
      <c s="125">
        <f>AR89/(1+AR$11*Предпосылки!$H58)</f>
        <v>0</v>
      </c>
      <c s="125">
        <f>AS89/(1+AS$11*Предпосылки!$H58)</f>
        <v>0</v>
      </c>
      <c s="125">
        <f>AT89/(1+AT$11*Предпосылки!$H58)</f>
        <v>0</v>
      </c>
      <c s="125">
        <f>AU89/(1+AU$11*Предпосылки!$H58)</f>
        <v>0</v>
      </c>
      <c s="125">
        <f>AV89/(1+AV$11*Предпосылки!$H58)</f>
        <v>0</v>
      </c>
      <c s="125">
        <f>AW89/(1+AW$11*Предпосылки!$H58)</f>
        <v>0</v>
      </c>
      <c s="125">
        <f>AX89/(1+AX$11*Предпосылки!$H58)</f>
        <v>0</v>
      </c>
      <c s="125">
        <f>AY89/(1+AY$11*Предпосылки!$H58)</f>
        <v>0</v>
      </c>
      <c s="125">
        <f>AZ89/(1+AZ$11*Предпосылки!$H58)</f>
        <v>0</v>
      </c>
      <c s="125">
        <f>BA89/(1+BA$11*Предпосылки!$H58)</f>
        <v>0</v>
      </c>
      <c s="125">
        <f>BB89/(1+BB$11*Предпосылки!$H58)</f>
        <v>0</v>
      </c>
      <c s="125">
        <f>BC89/(1+BC$11*Предпосылки!$H58)</f>
        <v>0</v>
      </c>
      <c s="125">
        <f>BD89/(1+BD$11*Предпосылки!$H58)</f>
        <v>0</v>
      </c>
      <c s="125">
        <f>BE89/(1+BE$11*Предпосылки!$H58)</f>
        <v>0</v>
      </c>
      <c s="125">
        <f>BF89/(1+BF$11*Предпосылки!$H58)</f>
        <v>0</v>
      </c>
      <c s="125">
        <f>BG89/(1+BG$11*Предпосылки!$H58)</f>
        <v>0</v>
      </c>
      <c s="125">
        <f>BH89/(1+BH$11*Предпосылки!$H58)</f>
        <v>0</v>
      </c>
      <c s="125">
        <f>BI89/(1+BI$11*Предпосылки!$H58)</f>
        <v>0</v>
      </c>
      <c s="125">
        <f>BJ89/(1+BJ$11*Предпосылки!$H58)</f>
        <v>0</v>
      </c>
      <c s="125">
        <f>BK89/(1+BK$11*Предпосылки!$H58)</f>
        <v>0</v>
      </c>
      <c s="125">
        <f>BL89/(1+BL$11*Предпосылки!$H58)</f>
        <v>0</v>
      </c>
      <c s="125">
        <f>BM89/(1+BM$11*Предпосылки!$H58)</f>
        <v>0</v>
      </c>
    </row>
    <row r="177" spans="2:65" ht="15" customHeight="1">
      <c r="B177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E90/(1+E$11*Предпосылки!$H59)</f>
        <v>0</v>
      </c>
      <c s="125">
        <f>F90/(1+F$11*Предпосылки!$H59)</f>
        <v>0</v>
      </c>
      <c s="125">
        <f>G90/(1+G$11*Предпосылки!$H59)</f>
        <v>0</v>
      </c>
      <c s="125">
        <f>H90/(1+H$11*Предпосылки!$H59)</f>
        <v>0</v>
      </c>
      <c s="125">
        <f>I90/(1+I$11*Предпосылки!$H59)</f>
        <v>0</v>
      </c>
      <c s="125">
        <f>J90/(1+J$11*Предпосылки!$H59)</f>
        <v>0</v>
      </c>
      <c s="125">
        <f>K90/(1+K$11*Предпосылки!$H59)</f>
        <v>0</v>
      </c>
      <c s="125">
        <f>L90/(1+L$11*Предпосылки!$H59)</f>
        <v>0</v>
      </c>
      <c s="125">
        <f>M90/(1+M$11*Предпосылки!$H59)</f>
        <v>0</v>
      </c>
      <c s="125">
        <f>N90/(1+N$11*Предпосылки!$H59)</f>
        <v>0</v>
      </c>
      <c s="125">
        <f>O90/(1+O$11*Предпосылки!$H59)</f>
        <v>0</v>
      </c>
      <c s="125">
        <f>P90/(1+P$11*Предпосылки!$H59)</f>
        <v>0</v>
      </c>
      <c s="125">
        <f>Q90/(1+Q$11*Предпосылки!$H59)</f>
        <v>0</v>
      </c>
      <c s="125">
        <f>R90/(1+R$11*Предпосылки!$H59)</f>
        <v>0</v>
      </c>
      <c s="125">
        <f>S90/(1+S$11*Предпосылки!$H59)</f>
        <v>0</v>
      </c>
      <c s="125">
        <f>T90/(1+T$11*Предпосылки!$H59)</f>
        <v>0</v>
      </c>
      <c s="125">
        <f>U90/(1+U$11*Предпосылки!$H59)</f>
        <v>0</v>
      </c>
      <c s="125">
        <f>V90/(1+V$11*Предпосылки!$H59)</f>
        <v>0</v>
      </c>
      <c s="125">
        <f>W90/(1+W$11*Предпосылки!$H59)</f>
        <v>0</v>
      </c>
      <c s="125">
        <f>X90/(1+X$11*Предпосылки!$H59)</f>
        <v>0</v>
      </c>
      <c s="125">
        <f>Y90/(1+Y$11*Предпосылки!$H59)</f>
        <v>0</v>
      </c>
      <c s="125">
        <f>Z90/(1+Z$11*Предпосылки!$H59)</f>
        <v>0</v>
      </c>
      <c s="125">
        <f>AA90/(1+AA$11*Предпосылки!$H59)</f>
        <v>0</v>
      </c>
      <c s="125">
        <f>AB90/(1+AB$11*Предпосылки!$H59)</f>
        <v>0</v>
      </c>
      <c s="125">
        <f>AC90/(1+AC$11*Предпосылки!$H59)</f>
        <v>0</v>
      </c>
      <c s="125">
        <f>AD90/(1+AD$11*Предпосылки!$H59)</f>
        <v>0</v>
      </c>
      <c s="125">
        <f>AE90/(1+AE$11*Предпосылки!$H59)</f>
        <v>0</v>
      </c>
      <c s="125">
        <f>AF90/(1+AF$11*Предпосылки!$H59)</f>
        <v>0</v>
      </c>
      <c s="125">
        <f>AG90/(1+AG$11*Предпосылки!$H59)</f>
        <v>0</v>
      </c>
      <c s="125">
        <f>AH90/(1+AH$11*Предпосылки!$H59)</f>
        <v>0</v>
      </c>
      <c s="125">
        <f>AI90/(1+AI$11*Предпосылки!$H59)</f>
        <v>0</v>
      </c>
      <c s="125">
        <f>AJ90/(1+AJ$11*Предпосылки!$H59)</f>
        <v>0</v>
      </c>
      <c s="125">
        <f>AK90/(1+AK$11*Предпосылки!$H59)</f>
        <v>0</v>
      </c>
      <c s="125">
        <f>AL90/(1+AL$11*Предпосылки!$H59)</f>
        <v>0</v>
      </c>
      <c s="125">
        <f>AM90/(1+AM$11*Предпосылки!$H59)</f>
        <v>0</v>
      </c>
      <c s="125">
        <f>AN90/(1+AN$11*Предпосылки!$H59)</f>
        <v>0</v>
      </c>
      <c s="125">
        <f>AO90/(1+AO$11*Предпосылки!$H59)</f>
        <v>0</v>
      </c>
      <c s="125">
        <f>AP90/(1+AP$11*Предпосылки!$H59)</f>
        <v>0</v>
      </c>
      <c s="125">
        <f>AQ90/(1+AQ$11*Предпосылки!$H59)</f>
        <v>0</v>
      </c>
      <c s="125">
        <f>AR90/(1+AR$11*Предпосылки!$H59)</f>
        <v>0</v>
      </c>
      <c s="125">
        <f>AS90/(1+AS$11*Предпосылки!$H59)</f>
        <v>0</v>
      </c>
      <c s="125">
        <f>AT90/(1+AT$11*Предпосылки!$H59)</f>
        <v>0</v>
      </c>
      <c s="125">
        <f>AU90/(1+AU$11*Предпосылки!$H59)</f>
        <v>0</v>
      </c>
      <c s="125">
        <f>AV90/(1+AV$11*Предпосылки!$H59)</f>
        <v>0</v>
      </c>
      <c s="125">
        <f>AW90/(1+AW$11*Предпосылки!$H59)</f>
        <v>0</v>
      </c>
      <c s="125">
        <f>AX90/(1+AX$11*Предпосылки!$H59)</f>
        <v>0</v>
      </c>
      <c s="125">
        <f>AY90/(1+AY$11*Предпосылки!$H59)</f>
        <v>0</v>
      </c>
      <c s="125">
        <f>AZ90/(1+AZ$11*Предпосылки!$H59)</f>
        <v>0</v>
      </c>
      <c s="125">
        <f>BA90/(1+BA$11*Предпосылки!$H59)</f>
        <v>0</v>
      </c>
      <c s="125">
        <f>BB90/(1+BB$11*Предпосылки!$H59)</f>
        <v>0</v>
      </c>
      <c s="125">
        <f>BC90/(1+BC$11*Предпосылки!$H59)</f>
        <v>0</v>
      </c>
      <c s="125">
        <f>BD90/(1+BD$11*Предпосылки!$H59)</f>
        <v>0</v>
      </c>
      <c s="125">
        <f>BE90/(1+BE$11*Предпосылки!$H59)</f>
        <v>0</v>
      </c>
      <c s="125">
        <f>BF90/(1+BF$11*Предпосылки!$H59)</f>
        <v>0</v>
      </c>
      <c s="125">
        <f>BG90/(1+BG$11*Предпосылки!$H59)</f>
        <v>0</v>
      </c>
      <c s="125">
        <f>BH90/(1+BH$11*Предпосылки!$H59)</f>
        <v>0</v>
      </c>
      <c s="125">
        <f>BI90/(1+BI$11*Предпосылки!$H59)</f>
        <v>0</v>
      </c>
      <c s="125">
        <f>BJ90/(1+BJ$11*Предпосылки!$H59)</f>
        <v>0</v>
      </c>
      <c s="125">
        <f>BK90/(1+BK$11*Предпосылки!$H59)</f>
        <v>0</v>
      </c>
      <c s="125">
        <f>BL90/(1+BL$11*Предпосылки!$H59)</f>
        <v>0</v>
      </c>
      <c s="125">
        <f>BM90/(1+BM$11*Предпосылки!$H59)</f>
        <v>0</v>
      </c>
    </row>
    <row r="178" spans="2:65" ht="15" customHeight="1">
      <c r="B178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E91/(1+E$11*Предпосылки!$H60)</f>
        <v>0</v>
      </c>
      <c s="125">
        <f>F91/(1+F$11*Предпосылки!$H60)</f>
        <v>0</v>
      </c>
      <c s="125">
        <f>G91/(1+G$11*Предпосылки!$H60)</f>
        <v>0</v>
      </c>
      <c s="125">
        <f>H91/(1+H$11*Предпосылки!$H60)</f>
        <v>0</v>
      </c>
      <c s="125">
        <f>I91/(1+I$11*Предпосылки!$H60)</f>
        <v>0</v>
      </c>
      <c s="125">
        <f>J91/(1+J$11*Предпосылки!$H60)</f>
        <v>0</v>
      </c>
      <c s="125">
        <f>K91/(1+K$11*Предпосылки!$H60)</f>
        <v>0</v>
      </c>
      <c s="125">
        <f>L91/(1+L$11*Предпосылки!$H60)</f>
        <v>0</v>
      </c>
      <c s="125">
        <f>M91/(1+M$11*Предпосылки!$H60)</f>
        <v>0</v>
      </c>
      <c s="125">
        <f>N91/(1+N$11*Предпосылки!$H60)</f>
        <v>0</v>
      </c>
      <c s="125">
        <f>O91/(1+O$11*Предпосылки!$H60)</f>
        <v>0</v>
      </c>
      <c s="125">
        <f>P91/(1+P$11*Предпосылки!$H60)</f>
        <v>0</v>
      </c>
      <c s="125">
        <f>Q91/(1+Q$11*Предпосылки!$H60)</f>
        <v>0</v>
      </c>
      <c s="125">
        <f>R91/(1+R$11*Предпосылки!$H60)</f>
        <v>0</v>
      </c>
      <c s="125">
        <f>S91/(1+S$11*Предпосылки!$H60)</f>
        <v>0</v>
      </c>
      <c s="125">
        <f>T91/(1+T$11*Предпосылки!$H60)</f>
        <v>0</v>
      </c>
      <c s="125">
        <f>U91/(1+U$11*Предпосылки!$H60)</f>
        <v>0</v>
      </c>
      <c s="125">
        <f>V91/(1+V$11*Предпосылки!$H60)</f>
        <v>0</v>
      </c>
      <c s="125">
        <f>W91/(1+W$11*Предпосылки!$H60)</f>
        <v>0</v>
      </c>
      <c s="125">
        <f>X91/(1+X$11*Предпосылки!$H60)</f>
        <v>0</v>
      </c>
      <c s="125">
        <f>Y91/(1+Y$11*Предпосылки!$H60)</f>
        <v>0</v>
      </c>
      <c s="125">
        <f>Z91/(1+Z$11*Предпосылки!$H60)</f>
        <v>0</v>
      </c>
      <c s="125">
        <f>AA91/(1+AA$11*Предпосылки!$H60)</f>
        <v>0</v>
      </c>
      <c s="125">
        <f>AB91/(1+AB$11*Предпосылки!$H60)</f>
        <v>0</v>
      </c>
      <c s="125">
        <f>AC91/(1+AC$11*Предпосылки!$H60)</f>
        <v>0</v>
      </c>
      <c s="125">
        <f>AD91/(1+AD$11*Предпосылки!$H60)</f>
        <v>0</v>
      </c>
      <c s="125">
        <f>AE91/(1+AE$11*Предпосылки!$H60)</f>
        <v>0</v>
      </c>
      <c s="125">
        <f>AF91/(1+AF$11*Предпосылки!$H60)</f>
        <v>0</v>
      </c>
      <c s="125">
        <f>AG91/(1+AG$11*Предпосылки!$H60)</f>
        <v>0</v>
      </c>
      <c s="125">
        <f>AH91/(1+AH$11*Предпосылки!$H60)</f>
        <v>0</v>
      </c>
      <c s="125">
        <f>AI91/(1+AI$11*Предпосылки!$H60)</f>
        <v>0</v>
      </c>
      <c s="125">
        <f>AJ91/(1+AJ$11*Предпосылки!$H60)</f>
        <v>0</v>
      </c>
      <c s="125">
        <f>AK91/(1+AK$11*Предпосылки!$H60)</f>
        <v>0</v>
      </c>
      <c s="125">
        <f>AL91/(1+AL$11*Предпосылки!$H60)</f>
        <v>0</v>
      </c>
      <c s="125">
        <f>AM91/(1+AM$11*Предпосылки!$H60)</f>
        <v>0</v>
      </c>
      <c s="125">
        <f>AN91/(1+AN$11*Предпосылки!$H60)</f>
        <v>0</v>
      </c>
      <c s="125">
        <f>AO91/(1+AO$11*Предпосылки!$H60)</f>
        <v>0</v>
      </c>
      <c s="125">
        <f>AP91/(1+AP$11*Предпосылки!$H60)</f>
        <v>0</v>
      </c>
      <c s="125">
        <f>AQ91/(1+AQ$11*Предпосылки!$H60)</f>
        <v>0</v>
      </c>
      <c s="125">
        <f>AR91/(1+AR$11*Предпосылки!$H60)</f>
        <v>0</v>
      </c>
      <c s="125">
        <f>AS91/(1+AS$11*Предпосылки!$H60)</f>
        <v>0</v>
      </c>
      <c s="125">
        <f>AT91/(1+AT$11*Предпосылки!$H60)</f>
        <v>0</v>
      </c>
      <c s="125">
        <f>AU91/(1+AU$11*Предпосылки!$H60)</f>
        <v>0</v>
      </c>
      <c s="125">
        <f>AV91/(1+AV$11*Предпосылки!$H60)</f>
        <v>0</v>
      </c>
      <c s="125">
        <f>AW91/(1+AW$11*Предпосылки!$H60)</f>
        <v>0</v>
      </c>
      <c s="125">
        <f>AX91/(1+AX$11*Предпосылки!$H60)</f>
        <v>0</v>
      </c>
      <c s="125">
        <f>AY91/(1+AY$11*Предпосылки!$H60)</f>
        <v>0</v>
      </c>
      <c s="125">
        <f>AZ91/(1+AZ$11*Предпосылки!$H60)</f>
        <v>0</v>
      </c>
      <c s="125">
        <f>BA91/(1+BA$11*Предпосылки!$H60)</f>
        <v>0</v>
      </c>
      <c s="125">
        <f>BB91/(1+BB$11*Предпосылки!$H60)</f>
        <v>0</v>
      </c>
      <c s="125">
        <f>BC91/(1+BC$11*Предпосылки!$H60)</f>
        <v>0</v>
      </c>
      <c s="125">
        <f>BD91/(1+BD$11*Предпосылки!$H60)</f>
        <v>0</v>
      </c>
      <c s="125">
        <f>BE91/(1+BE$11*Предпосылки!$H60)</f>
        <v>0</v>
      </c>
      <c s="125">
        <f>BF91/(1+BF$11*Предпосылки!$H60)</f>
        <v>0</v>
      </c>
      <c s="125">
        <f>BG91/(1+BG$11*Предпосылки!$H60)</f>
        <v>0</v>
      </c>
      <c s="125">
        <f>BH91/(1+BH$11*Предпосылки!$H60)</f>
        <v>0</v>
      </c>
      <c s="125">
        <f>BI91/(1+BI$11*Предпосылки!$H60)</f>
        <v>0</v>
      </c>
      <c s="125">
        <f>BJ91/(1+BJ$11*Предпосылки!$H60)</f>
        <v>0</v>
      </c>
      <c s="125">
        <f>BK91/(1+BK$11*Предпосылки!$H60)</f>
        <v>0</v>
      </c>
      <c s="125">
        <f>BL91/(1+BL$11*Предпосылки!$H60)</f>
        <v>0</v>
      </c>
      <c s="125">
        <f>BM91/(1+BM$11*Предпосылки!$H60)</f>
        <v>0</v>
      </c>
    </row>
    <row r="179" spans="2:65" ht="15" customHeight="1">
      <c r="B179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E92/(1+E$11*Предпосылки!$H61)</f>
        <v>0</v>
      </c>
      <c s="125">
        <f>F92/(1+F$11*Предпосылки!$H61)</f>
        <v>0</v>
      </c>
      <c s="125">
        <f>G92/(1+G$11*Предпосылки!$H61)</f>
        <v>0</v>
      </c>
      <c s="125">
        <f>H92/(1+H$11*Предпосылки!$H61)</f>
        <v>0</v>
      </c>
      <c s="125">
        <f>I92/(1+I$11*Предпосылки!$H61)</f>
        <v>0</v>
      </c>
      <c s="125">
        <f>J92/(1+J$11*Предпосылки!$H61)</f>
        <v>0</v>
      </c>
      <c s="125">
        <f>K92/(1+K$11*Предпосылки!$H61)</f>
        <v>0</v>
      </c>
      <c s="125">
        <f>L92/(1+L$11*Предпосылки!$H61)</f>
        <v>0</v>
      </c>
      <c s="125">
        <f>M92/(1+M$11*Предпосылки!$H61)</f>
        <v>0</v>
      </c>
      <c s="125">
        <f>N92/(1+N$11*Предпосылки!$H61)</f>
        <v>0</v>
      </c>
      <c s="125">
        <f>O92/(1+O$11*Предпосылки!$H61)</f>
        <v>0</v>
      </c>
      <c s="125">
        <f>P92/(1+P$11*Предпосылки!$H61)</f>
        <v>0</v>
      </c>
      <c s="125">
        <f>Q92/(1+Q$11*Предпосылки!$H61)</f>
        <v>0</v>
      </c>
      <c s="125">
        <f>R92/(1+R$11*Предпосылки!$H61)</f>
        <v>0</v>
      </c>
      <c s="125">
        <f>S92/(1+S$11*Предпосылки!$H61)</f>
        <v>0</v>
      </c>
      <c s="125">
        <f>T92/(1+T$11*Предпосылки!$H61)</f>
        <v>0</v>
      </c>
      <c s="125">
        <f>U92/(1+U$11*Предпосылки!$H61)</f>
        <v>0</v>
      </c>
      <c s="125">
        <f>V92/(1+V$11*Предпосылки!$H61)</f>
        <v>0</v>
      </c>
      <c s="125">
        <f>W92/(1+W$11*Предпосылки!$H61)</f>
        <v>0</v>
      </c>
      <c s="125">
        <f>X92/(1+X$11*Предпосылки!$H61)</f>
        <v>0</v>
      </c>
      <c s="125">
        <f>Y92/(1+Y$11*Предпосылки!$H61)</f>
        <v>0</v>
      </c>
      <c s="125">
        <f>Z92/(1+Z$11*Предпосылки!$H61)</f>
        <v>0</v>
      </c>
      <c s="125">
        <f>AA92/(1+AA$11*Предпосылки!$H61)</f>
        <v>0</v>
      </c>
      <c s="125">
        <f>AB92/(1+AB$11*Предпосылки!$H61)</f>
        <v>0</v>
      </c>
      <c s="125">
        <f>AC92/(1+AC$11*Предпосылки!$H61)</f>
        <v>0</v>
      </c>
      <c s="125">
        <f>AD92/(1+AD$11*Предпосылки!$H61)</f>
        <v>0</v>
      </c>
      <c s="125">
        <f>AE92/(1+AE$11*Предпосылки!$H61)</f>
        <v>0</v>
      </c>
      <c s="125">
        <f>AF92/(1+AF$11*Предпосылки!$H61)</f>
        <v>0</v>
      </c>
      <c s="125">
        <f>AG92/(1+AG$11*Предпосылки!$H61)</f>
        <v>0</v>
      </c>
      <c s="125">
        <f>AH92/(1+AH$11*Предпосылки!$H61)</f>
        <v>0</v>
      </c>
      <c s="125">
        <f>AI92/(1+AI$11*Предпосылки!$H61)</f>
        <v>0</v>
      </c>
      <c s="125">
        <f>AJ92/(1+AJ$11*Предпосылки!$H61)</f>
        <v>0</v>
      </c>
      <c s="125">
        <f>AK92/(1+AK$11*Предпосылки!$H61)</f>
        <v>0</v>
      </c>
      <c s="125">
        <f>AL92/(1+AL$11*Предпосылки!$H61)</f>
        <v>0</v>
      </c>
      <c s="125">
        <f>AM92/(1+AM$11*Предпосылки!$H61)</f>
        <v>0</v>
      </c>
      <c s="125">
        <f>AN92/(1+AN$11*Предпосылки!$H61)</f>
        <v>0</v>
      </c>
      <c s="125">
        <f>AO92/(1+AO$11*Предпосылки!$H61)</f>
        <v>0</v>
      </c>
      <c s="125">
        <f>AP92/(1+AP$11*Предпосылки!$H61)</f>
        <v>0</v>
      </c>
      <c s="125">
        <f>AQ92/(1+AQ$11*Предпосылки!$H61)</f>
        <v>0</v>
      </c>
      <c s="125">
        <f>AR92/(1+AR$11*Предпосылки!$H61)</f>
        <v>0</v>
      </c>
      <c s="125">
        <f>AS92/(1+AS$11*Предпосылки!$H61)</f>
        <v>0</v>
      </c>
      <c s="125">
        <f>AT92/(1+AT$11*Предпосылки!$H61)</f>
        <v>0</v>
      </c>
      <c s="125">
        <f>AU92/(1+AU$11*Предпосылки!$H61)</f>
        <v>0</v>
      </c>
      <c s="125">
        <f>AV92/(1+AV$11*Предпосылки!$H61)</f>
        <v>0</v>
      </c>
      <c s="125">
        <f>AW92/(1+AW$11*Предпосылки!$H61)</f>
        <v>0</v>
      </c>
      <c s="125">
        <f>AX92/(1+AX$11*Предпосылки!$H61)</f>
        <v>0</v>
      </c>
      <c s="125">
        <f>AY92/(1+AY$11*Предпосылки!$H61)</f>
        <v>0</v>
      </c>
      <c s="125">
        <f>AZ92/(1+AZ$11*Предпосылки!$H61)</f>
        <v>0</v>
      </c>
      <c s="125">
        <f>BA92/(1+BA$11*Предпосылки!$H61)</f>
        <v>0</v>
      </c>
      <c s="125">
        <f>BB92/(1+BB$11*Предпосылки!$H61)</f>
        <v>0</v>
      </c>
      <c s="125">
        <f>BC92/(1+BC$11*Предпосылки!$H61)</f>
        <v>0</v>
      </c>
      <c s="125">
        <f>BD92/(1+BD$11*Предпосылки!$H61)</f>
        <v>0</v>
      </c>
      <c s="125">
        <f>BE92/(1+BE$11*Предпосылки!$H61)</f>
        <v>0</v>
      </c>
      <c s="125">
        <f>BF92/(1+BF$11*Предпосылки!$H61)</f>
        <v>0</v>
      </c>
      <c s="125">
        <f>BG92/(1+BG$11*Предпосылки!$H61)</f>
        <v>0</v>
      </c>
      <c s="125">
        <f>BH92/(1+BH$11*Предпосылки!$H61)</f>
        <v>0</v>
      </c>
      <c s="125">
        <f>BI92/(1+BI$11*Предпосылки!$H61)</f>
        <v>0</v>
      </c>
      <c s="125">
        <f>BJ92/(1+BJ$11*Предпосылки!$H61)</f>
        <v>0</v>
      </c>
      <c s="125">
        <f>BK92/(1+BK$11*Предпосылки!$H61)</f>
        <v>0</v>
      </c>
      <c s="125">
        <f>BL92/(1+BL$11*Предпосылки!$H61)</f>
        <v>0</v>
      </c>
      <c s="125">
        <f>BM92/(1+BM$11*Предпосылки!$H61)</f>
        <v>0</v>
      </c>
    </row>
    <row r="180" spans="2:65" ht="15" customHeight="1">
      <c r="B180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E93/(1+E$11*Предпосылки!$H62)</f>
        <v>0</v>
      </c>
      <c s="125">
        <f>F93/(1+F$11*Предпосылки!$H62)</f>
        <v>0</v>
      </c>
      <c s="125">
        <f>G93/(1+G$11*Предпосылки!$H62)</f>
        <v>0</v>
      </c>
      <c s="125">
        <f>H93/(1+H$11*Предпосылки!$H62)</f>
        <v>0</v>
      </c>
      <c s="125">
        <f>I93/(1+I$11*Предпосылки!$H62)</f>
        <v>0</v>
      </c>
      <c s="125">
        <f>J93/(1+J$11*Предпосылки!$H62)</f>
        <v>0</v>
      </c>
      <c s="125">
        <f>K93/(1+K$11*Предпосылки!$H62)</f>
        <v>0</v>
      </c>
      <c s="125">
        <f>L93/(1+L$11*Предпосылки!$H62)</f>
        <v>0</v>
      </c>
      <c s="125">
        <f>M93/(1+M$11*Предпосылки!$H62)</f>
        <v>0</v>
      </c>
      <c s="125">
        <f>N93/(1+N$11*Предпосылки!$H62)</f>
        <v>0</v>
      </c>
      <c s="125">
        <f>O93/(1+O$11*Предпосылки!$H62)</f>
        <v>0</v>
      </c>
      <c s="125">
        <f>P93/(1+P$11*Предпосылки!$H62)</f>
        <v>0</v>
      </c>
      <c s="125">
        <f>Q93/(1+Q$11*Предпосылки!$H62)</f>
        <v>0</v>
      </c>
      <c s="125">
        <f>R93/(1+R$11*Предпосылки!$H62)</f>
        <v>0</v>
      </c>
      <c s="125">
        <f>S93/(1+S$11*Предпосылки!$H62)</f>
        <v>0</v>
      </c>
      <c s="125">
        <f>T93/(1+T$11*Предпосылки!$H62)</f>
        <v>0</v>
      </c>
      <c s="125">
        <f>U93/(1+U$11*Предпосылки!$H62)</f>
        <v>0</v>
      </c>
      <c s="125">
        <f>V93/(1+V$11*Предпосылки!$H62)</f>
        <v>0</v>
      </c>
      <c s="125">
        <f>W93/(1+W$11*Предпосылки!$H62)</f>
        <v>0</v>
      </c>
      <c s="125">
        <f>X93/(1+X$11*Предпосылки!$H62)</f>
        <v>0</v>
      </c>
      <c s="125">
        <f>Y93/(1+Y$11*Предпосылки!$H62)</f>
        <v>0</v>
      </c>
      <c s="125">
        <f>Z93/(1+Z$11*Предпосылки!$H62)</f>
        <v>0</v>
      </c>
      <c s="125">
        <f>AA93/(1+AA$11*Предпосылки!$H62)</f>
        <v>0</v>
      </c>
      <c s="125">
        <f>AB93/(1+AB$11*Предпосылки!$H62)</f>
        <v>0</v>
      </c>
      <c s="125">
        <f>AC93/(1+AC$11*Предпосылки!$H62)</f>
        <v>0</v>
      </c>
      <c s="125">
        <f>AD93/(1+AD$11*Предпосылки!$H62)</f>
        <v>0</v>
      </c>
      <c s="125">
        <f>AE93/(1+AE$11*Предпосылки!$H62)</f>
        <v>0</v>
      </c>
      <c s="125">
        <f>AF93/(1+AF$11*Предпосылки!$H62)</f>
        <v>0</v>
      </c>
      <c s="125">
        <f>AG93/(1+AG$11*Предпосылки!$H62)</f>
        <v>0</v>
      </c>
      <c s="125">
        <f>AH93/(1+AH$11*Предпосылки!$H62)</f>
        <v>0</v>
      </c>
      <c s="125">
        <f>AI93/(1+AI$11*Предпосылки!$H62)</f>
        <v>0</v>
      </c>
      <c s="125">
        <f>AJ93/(1+AJ$11*Предпосылки!$H62)</f>
        <v>0</v>
      </c>
      <c s="125">
        <f>AK93/(1+AK$11*Предпосылки!$H62)</f>
        <v>0</v>
      </c>
      <c s="125">
        <f>AL93/(1+AL$11*Предпосылки!$H62)</f>
        <v>0</v>
      </c>
      <c s="125">
        <f>AM93/(1+AM$11*Предпосылки!$H62)</f>
        <v>0</v>
      </c>
      <c s="125">
        <f>AN93/(1+AN$11*Предпосылки!$H62)</f>
        <v>0</v>
      </c>
      <c s="125">
        <f>AO93/(1+AO$11*Предпосылки!$H62)</f>
        <v>0</v>
      </c>
      <c s="125">
        <f>AP93/(1+AP$11*Предпосылки!$H62)</f>
        <v>0</v>
      </c>
      <c s="125">
        <f>AQ93/(1+AQ$11*Предпосылки!$H62)</f>
        <v>0</v>
      </c>
      <c s="125">
        <f>AR93/(1+AR$11*Предпосылки!$H62)</f>
        <v>0</v>
      </c>
      <c s="125">
        <f>AS93/(1+AS$11*Предпосылки!$H62)</f>
        <v>0</v>
      </c>
      <c s="125">
        <f>AT93/(1+AT$11*Предпосылки!$H62)</f>
        <v>0</v>
      </c>
      <c s="125">
        <f>AU93/(1+AU$11*Предпосылки!$H62)</f>
        <v>0</v>
      </c>
      <c s="125">
        <f>AV93/(1+AV$11*Предпосылки!$H62)</f>
        <v>0</v>
      </c>
      <c s="125">
        <f>AW93/(1+AW$11*Предпосылки!$H62)</f>
        <v>0</v>
      </c>
      <c s="125">
        <f>AX93/(1+AX$11*Предпосылки!$H62)</f>
        <v>0</v>
      </c>
      <c s="125">
        <f>AY93/(1+AY$11*Предпосылки!$H62)</f>
        <v>0</v>
      </c>
      <c s="125">
        <f>AZ93/(1+AZ$11*Предпосылки!$H62)</f>
        <v>0</v>
      </c>
      <c s="125">
        <f>BA93/(1+BA$11*Предпосылки!$H62)</f>
        <v>0</v>
      </c>
      <c s="125">
        <f>BB93/(1+BB$11*Предпосылки!$H62)</f>
        <v>0</v>
      </c>
      <c s="125">
        <f>BC93/(1+BC$11*Предпосылки!$H62)</f>
        <v>0</v>
      </c>
      <c s="125">
        <f>BD93/(1+BD$11*Предпосылки!$H62)</f>
        <v>0</v>
      </c>
      <c s="125">
        <f>BE93/(1+BE$11*Предпосылки!$H62)</f>
        <v>0</v>
      </c>
      <c s="125">
        <f>BF93/(1+BF$11*Предпосылки!$H62)</f>
        <v>0</v>
      </c>
      <c s="125">
        <f>BG93/(1+BG$11*Предпосылки!$H62)</f>
        <v>0</v>
      </c>
      <c s="125">
        <f>BH93/(1+BH$11*Предпосылки!$H62)</f>
        <v>0</v>
      </c>
      <c s="125">
        <f>BI93/(1+BI$11*Предпосылки!$H62)</f>
        <v>0</v>
      </c>
      <c s="125">
        <f>BJ93/(1+BJ$11*Предпосылки!$H62)</f>
        <v>0</v>
      </c>
      <c s="125">
        <f>BK93/(1+BK$11*Предпосылки!$H62)</f>
        <v>0</v>
      </c>
      <c s="125">
        <f>BL93/(1+BL$11*Предпосылки!$H62)</f>
        <v>0</v>
      </c>
      <c s="125">
        <f>BM93/(1+BM$11*Предпосылки!$H62)</f>
        <v>0</v>
      </c>
    </row>
    <row r="181" spans="2:65" ht="15" customHeight="1">
      <c r="B181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E94/(1+E$11*Предпосылки!$H63)</f>
        <v>0</v>
      </c>
      <c s="125">
        <f>F94/(1+F$11*Предпосылки!$H63)</f>
        <v>0</v>
      </c>
      <c s="125">
        <f>G94/(1+G$11*Предпосылки!$H63)</f>
        <v>0</v>
      </c>
      <c s="125">
        <f>H94/(1+H$11*Предпосылки!$H63)</f>
        <v>0</v>
      </c>
      <c s="125">
        <f>I94/(1+I$11*Предпосылки!$H63)</f>
        <v>0</v>
      </c>
      <c s="125">
        <f>J94/(1+J$11*Предпосылки!$H63)</f>
        <v>0</v>
      </c>
      <c s="125">
        <f>K94/(1+K$11*Предпосылки!$H63)</f>
        <v>0</v>
      </c>
      <c s="125">
        <f>L94/(1+L$11*Предпосылки!$H63)</f>
        <v>0</v>
      </c>
      <c s="125">
        <f>M94/(1+M$11*Предпосылки!$H63)</f>
        <v>0</v>
      </c>
      <c s="125">
        <f>N94/(1+N$11*Предпосылки!$H63)</f>
        <v>0</v>
      </c>
      <c s="125">
        <f>O94/(1+O$11*Предпосылки!$H63)</f>
        <v>0</v>
      </c>
      <c s="125">
        <f>P94/(1+P$11*Предпосылки!$H63)</f>
        <v>0</v>
      </c>
      <c s="125">
        <f>Q94/(1+Q$11*Предпосылки!$H63)</f>
        <v>0</v>
      </c>
      <c s="125">
        <f>R94/(1+R$11*Предпосылки!$H63)</f>
        <v>0</v>
      </c>
      <c s="125">
        <f>S94/(1+S$11*Предпосылки!$H63)</f>
        <v>0</v>
      </c>
      <c s="125">
        <f>T94/(1+T$11*Предпосылки!$H63)</f>
        <v>0</v>
      </c>
      <c s="125">
        <f>U94/(1+U$11*Предпосылки!$H63)</f>
        <v>0</v>
      </c>
      <c s="125">
        <f>V94/(1+V$11*Предпосылки!$H63)</f>
        <v>0</v>
      </c>
      <c s="125">
        <f>W94/(1+W$11*Предпосылки!$H63)</f>
        <v>0</v>
      </c>
      <c s="125">
        <f>X94/(1+X$11*Предпосылки!$H63)</f>
        <v>0</v>
      </c>
      <c s="125">
        <f>Y94/(1+Y$11*Предпосылки!$H63)</f>
        <v>0</v>
      </c>
      <c s="125">
        <f>Z94/(1+Z$11*Предпосылки!$H63)</f>
        <v>0</v>
      </c>
      <c s="125">
        <f>AA94/(1+AA$11*Предпосылки!$H63)</f>
        <v>0</v>
      </c>
      <c s="125">
        <f>AB94/(1+AB$11*Предпосылки!$H63)</f>
        <v>0</v>
      </c>
      <c s="125">
        <f>AC94/(1+AC$11*Предпосылки!$H63)</f>
        <v>0</v>
      </c>
      <c s="125">
        <f>AD94/(1+AD$11*Предпосылки!$H63)</f>
        <v>0</v>
      </c>
      <c s="125">
        <f>AE94/(1+AE$11*Предпосылки!$H63)</f>
        <v>0</v>
      </c>
      <c s="125">
        <f>AF94/(1+AF$11*Предпосылки!$H63)</f>
        <v>0</v>
      </c>
      <c s="125">
        <f>AG94/(1+AG$11*Предпосылки!$H63)</f>
        <v>0</v>
      </c>
      <c s="125">
        <f>AH94/(1+AH$11*Предпосылки!$H63)</f>
        <v>0</v>
      </c>
      <c s="125">
        <f>AI94/(1+AI$11*Предпосылки!$H63)</f>
        <v>0</v>
      </c>
      <c s="125">
        <f>AJ94/(1+AJ$11*Предпосылки!$H63)</f>
        <v>0</v>
      </c>
      <c s="125">
        <f>AK94/(1+AK$11*Предпосылки!$H63)</f>
        <v>0</v>
      </c>
      <c s="125">
        <f>AL94/(1+AL$11*Предпосылки!$H63)</f>
        <v>0</v>
      </c>
      <c s="125">
        <f>AM94/(1+AM$11*Предпосылки!$H63)</f>
        <v>0</v>
      </c>
      <c s="125">
        <f>AN94/(1+AN$11*Предпосылки!$H63)</f>
        <v>0</v>
      </c>
      <c s="125">
        <f>AO94/(1+AO$11*Предпосылки!$H63)</f>
        <v>0</v>
      </c>
      <c s="125">
        <f>AP94/(1+AP$11*Предпосылки!$H63)</f>
        <v>0</v>
      </c>
      <c s="125">
        <f>AQ94/(1+AQ$11*Предпосылки!$H63)</f>
        <v>0</v>
      </c>
      <c s="125">
        <f>AR94/(1+AR$11*Предпосылки!$H63)</f>
        <v>0</v>
      </c>
      <c s="125">
        <f>AS94/(1+AS$11*Предпосылки!$H63)</f>
        <v>0</v>
      </c>
      <c s="125">
        <f>AT94/(1+AT$11*Предпосылки!$H63)</f>
        <v>0</v>
      </c>
      <c s="125">
        <f>AU94/(1+AU$11*Предпосылки!$H63)</f>
        <v>0</v>
      </c>
      <c s="125">
        <f>AV94/(1+AV$11*Предпосылки!$H63)</f>
        <v>0</v>
      </c>
      <c s="125">
        <f>AW94/(1+AW$11*Предпосылки!$H63)</f>
        <v>0</v>
      </c>
      <c s="125">
        <f>AX94/(1+AX$11*Предпосылки!$H63)</f>
        <v>0</v>
      </c>
      <c s="125">
        <f>AY94/(1+AY$11*Предпосылки!$H63)</f>
        <v>0</v>
      </c>
      <c s="125">
        <f>AZ94/(1+AZ$11*Предпосылки!$H63)</f>
        <v>0</v>
      </c>
      <c s="125">
        <f>BA94/(1+BA$11*Предпосылки!$H63)</f>
        <v>0</v>
      </c>
      <c s="125">
        <f>BB94/(1+BB$11*Предпосылки!$H63)</f>
        <v>0</v>
      </c>
      <c s="125">
        <f>BC94/(1+BC$11*Предпосылки!$H63)</f>
        <v>0</v>
      </c>
      <c s="125">
        <f>BD94/(1+BD$11*Предпосылки!$H63)</f>
        <v>0</v>
      </c>
      <c s="125">
        <f>BE94/(1+BE$11*Предпосылки!$H63)</f>
        <v>0</v>
      </c>
      <c s="125">
        <f>BF94/(1+BF$11*Предпосылки!$H63)</f>
        <v>0</v>
      </c>
      <c s="125">
        <f>BG94/(1+BG$11*Предпосылки!$H63)</f>
        <v>0</v>
      </c>
      <c s="125">
        <f>BH94/(1+BH$11*Предпосылки!$H63)</f>
        <v>0</v>
      </c>
      <c s="125">
        <f>BI94/(1+BI$11*Предпосылки!$H63)</f>
        <v>0</v>
      </c>
      <c s="125">
        <f>BJ94/(1+BJ$11*Предпосылки!$H63)</f>
        <v>0</v>
      </c>
      <c s="125">
        <f>BK94/(1+BK$11*Предпосылки!$H63)</f>
        <v>0</v>
      </c>
      <c s="125">
        <f>BL94/(1+BL$11*Предпосылки!$H63)</f>
        <v>0</v>
      </c>
      <c s="125">
        <f>BM94/(1+BM$11*Предпосылки!$H63)</f>
        <v>0</v>
      </c>
    </row>
    <row r="182" spans="2:65" ht="15" customHeight="1">
      <c r="B182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E95/(1+E$11*Предпосылки!$H64)</f>
        <v>0</v>
      </c>
      <c s="125">
        <f>F95/(1+F$11*Предпосылки!$H64)</f>
        <v>0</v>
      </c>
      <c s="125">
        <f>G95/(1+G$11*Предпосылки!$H64)</f>
        <v>0</v>
      </c>
      <c s="125">
        <f>H95/(1+H$11*Предпосылки!$H64)</f>
        <v>0</v>
      </c>
      <c s="125">
        <f>I95/(1+I$11*Предпосылки!$H64)</f>
        <v>0</v>
      </c>
      <c s="125">
        <f>J95/(1+J$11*Предпосылки!$H64)</f>
        <v>0</v>
      </c>
      <c s="125">
        <f>K95/(1+K$11*Предпосылки!$H64)</f>
        <v>0</v>
      </c>
      <c s="125">
        <f>L95/(1+L$11*Предпосылки!$H64)</f>
        <v>0</v>
      </c>
      <c s="125">
        <f>M95/(1+M$11*Предпосылки!$H64)</f>
        <v>0</v>
      </c>
      <c s="125">
        <f>N95/(1+N$11*Предпосылки!$H64)</f>
        <v>0</v>
      </c>
      <c s="125">
        <f>O95/(1+O$11*Предпосылки!$H64)</f>
        <v>0</v>
      </c>
      <c s="125">
        <f>P95/(1+P$11*Предпосылки!$H64)</f>
        <v>0</v>
      </c>
      <c s="125">
        <f>Q95/(1+Q$11*Предпосылки!$H64)</f>
        <v>0</v>
      </c>
      <c s="125">
        <f>R95/(1+R$11*Предпосылки!$H64)</f>
        <v>0</v>
      </c>
      <c s="125">
        <f>S95/(1+S$11*Предпосылки!$H64)</f>
        <v>0</v>
      </c>
      <c s="125">
        <f>T95/(1+T$11*Предпосылки!$H64)</f>
        <v>0</v>
      </c>
      <c s="125">
        <f>U95/(1+U$11*Предпосылки!$H64)</f>
        <v>0</v>
      </c>
      <c s="125">
        <f>V95/(1+V$11*Предпосылки!$H64)</f>
        <v>0</v>
      </c>
      <c s="125">
        <f>W95/(1+W$11*Предпосылки!$H64)</f>
        <v>0</v>
      </c>
      <c s="125">
        <f>X95/(1+X$11*Предпосылки!$H64)</f>
        <v>0</v>
      </c>
      <c s="125">
        <f>Y95/(1+Y$11*Предпосылки!$H64)</f>
        <v>0</v>
      </c>
      <c s="125">
        <f>Z95/(1+Z$11*Предпосылки!$H64)</f>
        <v>0</v>
      </c>
      <c s="125">
        <f>AA95/(1+AA$11*Предпосылки!$H64)</f>
        <v>0</v>
      </c>
      <c s="125">
        <f>AB95/(1+AB$11*Предпосылки!$H64)</f>
        <v>0</v>
      </c>
      <c s="125">
        <f>AC95/(1+AC$11*Предпосылки!$H64)</f>
        <v>0</v>
      </c>
      <c s="125">
        <f>AD95/(1+AD$11*Предпосылки!$H64)</f>
        <v>0</v>
      </c>
      <c s="125">
        <f>AE95/(1+AE$11*Предпосылки!$H64)</f>
        <v>0</v>
      </c>
      <c s="125">
        <f>AF95/(1+AF$11*Предпосылки!$H64)</f>
        <v>0</v>
      </c>
      <c s="125">
        <f>AG95/(1+AG$11*Предпосылки!$H64)</f>
        <v>0</v>
      </c>
      <c s="125">
        <f>AH95/(1+AH$11*Предпосылки!$H64)</f>
        <v>0</v>
      </c>
      <c s="125">
        <f>AI95/(1+AI$11*Предпосылки!$H64)</f>
        <v>0</v>
      </c>
      <c s="125">
        <f>AJ95/(1+AJ$11*Предпосылки!$H64)</f>
        <v>0</v>
      </c>
      <c s="125">
        <f>AK95/(1+AK$11*Предпосылки!$H64)</f>
        <v>0</v>
      </c>
      <c s="125">
        <f>AL95/(1+AL$11*Предпосылки!$H64)</f>
        <v>0</v>
      </c>
      <c s="125">
        <f>AM95/(1+AM$11*Предпосылки!$H64)</f>
        <v>0</v>
      </c>
      <c s="125">
        <f>AN95/(1+AN$11*Предпосылки!$H64)</f>
        <v>0</v>
      </c>
      <c s="125">
        <f>AO95/(1+AO$11*Предпосылки!$H64)</f>
        <v>0</v>
      </c>
      <c s="125">
        <f>AP95/(1+AP$11*Предпосылки!$H64)</f>
        <v>0</v>
      </c>
      <c s="125">
        <f>AQ95/(1+AQ$11*Предпосылки!$H64)</f>
        <v>0</v>
      </c>
      <c s="125">
        <f>AR95/(1+AR$11*Предпосылки!$H64)</f>
        <v>0</v>
      </c>
      <c s="125">
        <f>AS95/(1+AS$11*Предпосылки!$H64)</f>
        <v>0</v>
      </c>
      <c s="125">
        <f>AT95/(1+AT$11*Предпосылки!$H64)</f>
        <v>0</v>
      </c>
      <c s="125">
        <f>AU95/(1+AU$11*Предпосылки!$H64)</f>
        <v>0</v>
      </c>
      <c s="125">
        <f>AV95/(1+AV$11*Предпосылки!$H64)</f>
        <v>0</v>
      </c>
      <c s="125">
        <f>AW95/(1+AW$11*Предпосылки!$H64)</f>
        <v>0</v>
      </c>
      <c s="125">
        <f>AX95/(1+AX$11*Предпосылки!$H64)</f>
        <v>0</v>
      </c>
      <c s="125">
        <f>AY95/(1+AY$11*Предпосылки!$H64)</f>
        <v>0</v>
      </c>
      <c s="125">
        <f>AZ95/(1+AZ$11*Предпосылки!$H64)</f>
        <v>0</v>
      </c>
      <c s="125">
        <f>BA95/(1+BA$11*Предпосылки!$H64)</f>
        <v>0</v>
      </c>
      <c s="125">
        <f>BB95/(1+BB$11*Предпосылки!$H64)</f>
        <v>0</v>
      </c>
      <c s="125">
        <f>BC95/(1+BC$11*Предпосылки!$H64)</f>
        <v>0</v>
      </c>
      <c s="125">
        <f>BD95/(1+BD$11*Предпосылки!$H64)</f>
        <v>0</v>
      </c>
      <c s="125">
        <f>BE95/(1+BE$11*Предпосылки!$H64)</f>
        <v>0</v>
      </c>
      <c s="125">
        <f>BF95/(1+BF$11*Предпосылки!$H64)</f>
        <v>0</v>
      </c>
      <c s="125">
        <f>BG95/(1+BG$11*Предпосылки!$H64)</f>
        <v>0</v>
      </c>
      <c s="125">
        <f>BH95/(1+BH$11*Предпосылки!$H64)</f>
        <v>0</v>
      </c>
      <c s="125">
        <f>BI95/(1+BI$11*Предпосылки!$H64)</f>
        <v>0</v>
      </c>
      <c s="125">
        <f>BJ95/(1+BJ$11*Предпосылки!$H64)</f>
        <v>0</v>
      </c>
      <c s="125">
        <f>BK95/(1+BK$11*Предпосылки!$H64)</f>
        <v>0</v>
      </c>
      <c s="125">
        <f>BL95/(1+BL$11*Предпосылки!$H64)</f>
        <v>0</v>
      </c>
      <c s="125">
        <f>BM95/(1+BM$11*Предпосылки!$H64)</f>
        <v>0</v>
      </c>
    </row>
    <row r="183" spans="2:65" ht="15" customHeight="1">
      <c r="B183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E96/(1+E$11*Предпосылки!$H65)</f>
        <v>0</v>
      </c>
      <c s="125">
        <f>F96/(1+F$11*Предпосылки!$H65)</f>
        <v>0</v>
      </c>
      <c s="125">
        <f>G96/(1+G$11*Предпосылки!$H65)</f>
        <v>0</v>
      </c>
      <c s="125">
        <f>H96/(1+H$11*Предпосылки!$H65)</f>
        <v>0</v>
      </c>
      <c s="125">
        <f>I96/(1+I$11*Предпосылки!$H65)</f>
        <v>0</v>
      </c>
      <c s="125">
        <f>J96/(1+J$11*Предпосылки!$H65)</f>
        <v>0</v>
      </c>
      <c s="125">
        <f>K96/(1+K$11*Предпосылки!$H65)</f>
        <v>0</v>
      </c>
      <c s="125">
        <f>L96/(1+L$11*Предпосылки!$H65)</f>
        <v>0</v>
      </c>
      <c s="125">
        <f>M96/(1+M$11*Предпосылки!$H65)</f>
        <v>0</v>
      </c>
      <c s="125">
        <f>N96/(1+N$11*Предпосылки!$H65)</f>
        <v>0</v>
      </c>
      <c s="125">
        <f>O96/(1+O$11*Предпосылки!$H65)</f>
        <v>0</v>
      </c>
      <c s="125">
        <f>P96/(1+P$11*Предпосылки!$H65)</f>
        <v>0</v>
      </c>
      <c s="125">
        <f>Q96/(1+Q$11*Предпосылки!$H65)</f>
        <v>0</v>
      </c>
      <c s="125">
        <f>R96/(1+R$11*Предпосылки!$H65)</f>
        <v>0</v>
      </c>
      <c s="125">
        <f>S96/(1+S$11*Предпосылки!$H65)</f>
        <v>0</v>
      </c>
      <c s="125">
        <f>T96/(1+T$11*Предпосылки!$H65)</f>
        <v>0</v>
      </c>
      <c s="125">
        <f>U96/(1+U$11*Предпосылки!$H65)</f>
        <v>0</v>
      </c>
      <c s="125">
        <f>V96/(1+V$11*Предпосылки!$H65)</f>
        <v>0</v>
      </c>
      <c s="125">
        <f>W96/(1+W$11*Предпосылки!$H65)</f>
        <v>0</v>
      </c>
      <c s="125">
        <f>X96/(1+X$11*Предпосылки!$H65)</f>
        <v>0</v>
      </c>
      <c s="125">
        <f>Y96/(1+Y$11*Предпосылки!$H65)</f>
        <v>0</v>
      </c>
      <c s="125">
        <f>Z96/(1+Z$11*Предпосылки!$H65)</f>
        <v>0</v>
      </c>
      <c s="125">
        <f>AA96/(1+AA$11*Предпосылки!$H65)</f>
        <v>0</v>
      </c>
      <c s="125">
        <f>AB96/(1+AB$11*Предпосылки!$H65)</f>
        <v>0</v>
      </c>
      <c s="125">
        <f>AC96/(1+AC$11*Предпосылки!$H65)</f>
        <v>0</v>
      </c>
      <c s="125">
        <f>AD96/(1+AD$11*Предпосылки!$H65)</f>
        <v>0</v>
      </c>
      <c s="125">
        <f>AE96/(1+AE$11*Предпосылки!$H65)</f>
        <v>0</v>
      </c>
      <c s="125">
        <f>AF96/(1+AF$11*Предпосылки!$H65)</f>
        <v>0</v>
      </c>
      <c s="125">
        <f>AG96/(1+AG$11*Предпосылки!$H65)</f>
        <v>0</v>
      </c>
      <c s="125">
        <f>AH96/(1+AH$11*Предпосылки!$H65)</f>
        <v>0</v>
      </c>
      <c s="125">
        <f>AI96/(1+AI$11*Предпосылки!$H65)</f>
        <v>0</v>
      </c>
      <c s="125">
        <f>AJ96/(1+AJ$11*Предпосылки!$H65)</f>
        <v>0</v>
      </c>
      <c s="125">
        <f>AK96/(1+AK$11*Предпосылки!$H65)</f>
        <v>0</v>
      </c>
      <c s="125">
        <f>AL96/(1+AL$11*Предпосылки!$H65)</f>
        <v>0</v>
      </c>
      <c s="125">
        <f>AM96/(1+AM$11*Предпосылки!$H65)</f>
        <v>0</v>
      </c>
      <c s="125">
        <f>AN96/(1+AN$11*Предпосылки!$H65)</f>
        <v>0</v>
      </c>
      <c s="125">
        <f>AO96/(1+AO$11*Предпосылки!$H65)</f>
        <v>0</v>
      </c>
      <c s="125">
        <f>AP96/(1+AP$11*Предпосылки!$H65)</f>
        <v>0</v>
      </c>
      <c s="125">
        <f>AQ96/(1+AQ$11*Предпосылки!$H65)</f>
        <v>0</v>
      </c>
      <c s="125">
        <f>AR96/(1+AR$11*Предпосылки!$H65)</f>
        <v>0</v>
      </c>
      <c s="125">
        <f>AS96/(1+AS$11*Предпосылки!$H65)</f>
        <v>0</v>
      </c>
      <c s="125">
        <f>AT96/(1+AT$11*Предпосылки!$H65)</f>
        <v>0</v>
      </c>
      <c s="125">
        <f>AU96/(1+AU$11*Предпосылки!$H65)</f>
        <v>0</v>
      </c>
      <c s="125">
        <f>AV96/(1+AV$11*Предпосылки!$H65)</f>
        <v>0</v>
      </c>
      <c s="125">
        <f>AW96/(1+AW$11*Предпосылки!$H65)</f>
        <v>0</v>
      </c>
      <c s="125">
        <f>AX96/(1+AX$11*Предпосылки!$H65)</f>
        <v>0</v>
      </c>
      <c s="125">
        <f>AY96/(1+AY$11*Предпосылки!$H65)</f>
        <v>0</v>
      </c>
      <c s="125">
        <f>AZ96/(1+AZ$11*Предпосылки!$H65)</f>
        <v>0</v>
      </c>
      <c s="125">
        <f>BA96/(1+BA$11*Предпосылки!$H65)</f>
        <v>0</v>
      </c>
      <c s="125">
        <f>BB96/(1+BB$11*Предпосылки!$H65)</f>
        <v>0</v>
      </c>
      <c s="125">
        <f>BC96/(1+BC$11*Предпосылки!$H65)</f>
        <v>0</v>
      </c>
      <c s="125">
        <f>BD96/(1+BD$11*Предпосылки!$H65)</f>
        <v>0</v>
      </c>
      <c s="125">
        <f>BE96/(1+BE$11*Предпосылки!$H65)</f>
        <v>0</v>
      </c>
      <c s="125">
        <f>BF96/(1+BF$11*Предпосылки!$H65)</f>
        <v>0</v>
      </c>
      <c s="125">
        <f>BG96/(1+BG$11*Предпосылки!$H65)</f>
        <v>0</v>
      </c>
      <c s="125">
        <f>BH96/(1+BH$11*Предпосылки!$H65)</f>
        <v>0</v>
      </c>
      <c s="125">
        <f>BI96/(1+BI$11*Предпосылки!$H65)</f>
        <v>0</v>
      </c>
      <c s="125">
        <f>BJ96/(1+BJ$11*Предпосылки!$H65)</f>
        <v>0</v>
      </c>
      <c s="125">
        <f>BK96/(1+BK$11*Предпосылки!$H65)</f>
        <v>0</v>
      </c>
      <c s="125">
        <f>BL96/(1+BL$11*Предпосылки!$H65)</f>
        <v>0</v>
      </c>
      <c s="125">
        <f>BM96/(1+BM$11*Предпосылки!$H65)</f>
        <v>0</v>
      </c>
    </row>
    <row r="184" spans="2:65" ht="15" customHeight="1">
      <c r="B184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E97/(1+E$11*Предпосылки!$H66)</f>
        <v>0</v>
      </c>
      <c s="125">
        <f>F97/(1+F$11*Предпосылки!$H66)</f>
        <v>0</v>
      </c>
      <c s="125">
        <f>G97/(1+G$11*Предпосылки!$H66)</f>
        <v>0</v>
      </c>
      <c s="125">
        <f>H97/(1+H$11*Предпосылки!$H66)</f>
        <v>0</v>
      </c>
      <c s="125">
        <f>I97/(1+I$11*Предпосылки!$H66)</f>
        <v>0</v>
      </c>
      <c s="125">
        <f>J97/(1+J$11*Предпосылки!$H66)</f>
        <v>0</v>
      </c>
      <c s="125">
        <f>K97/(1+K$11*Предпосылки!$H66)</f>
        <v>0</v>
      </c>
      <c s="125">
        <f>L97/(1+L$11*Предпосылки!$H66)</f>
        <v>0</v>
      </c>
      <c s="125">
        <f>M97/(1+M$11*Предпосылки!$H66)</f>
        <v>0</v>
      </c>
      <c s="125">
        <f>N97/(1+N$11*Предпосылки!$H66)</f>
        <v>0</v>
      </c>
      <c s="125">
        <f>O97/(1+O$11*Предпосылки!$H66)</f>
        <v>0</v>
      </c>
      <c s="125">
        <f>P97/(1+P$11*Предпосылки!$H66)</f>
        <v>0</v>
      </c>
      <c s="125">
        <f>Q97/(1+Q$11*Предпосылки!$H66)</f>
        <v>0</v>
      </c>
      <c s="125">
        <f>R97/(1+R$11*Предпосылки!$H66)</f>
        <v>0</v>
      </c>
      <c s="125">
        <f>S97/(1+S$11*Предпосылки!$H66)</f>
        <v>0</v>
      </c>
      <c s="125">
        <f>T97/(1+T$11*Предпосылки!$H66)</f>
        <v>0</v>
      </c>
      <c s="125">
        <f>U97/(1+U$11*Предпосылки!$H66)</f>
        <v>0</v>
      </c>
      <c s="125">
        <f>V97/(1+V$11*Предпосылки!$H66)</f>
        <v>0</v>
      </c>
      <c s="125">
        <f>W97/(1+W$11*Предпосылки!$H66)</f>
        <v>0</v>
      </c>
      <c s="125">
        <f>X97/(1+X$11*Предпосылки!$H66)</f>
        <v>0</v>
      </c>
      <c s="125">
        <f>Y97/(1+Y$11*Предпосылки!$H66)</f>
        <v>0</v>
      </c>
      <c s="125">
        <f>Z97/(1+Z$11*Предпосылки!$H66)</f>
        <v>0</v>
      </c>
      <c s="125">
        <f>AA97/(1+AA$11*Предпосылки!$H66)</f>
        <v>0</v>
      </c>
      <c s="125">
        <f>AB97/(1+AB$11*Предпосылки!$H66)</f>
        <v>0</v>
      </c>
      <c s="125">
        <f>AC97/(1+AC$11*Предпосылки!$H66)</f>
        <v>0</v>
      </c>
      <c s="125">
        <f>AD97/(1+AD$11*Предпосылки!$H66)</f>
        <v>0</v>
      </c>
      <c s="125">
        <f>AE97/(1+AE$11*Предпосылки!$H66)</f>
        <v>0</v>
      </c>
      <c s="125">
        <f>AF97/(1+AF$11*Предпосылки!$H66)</f>
        <v>0</v>
      </c>
      <c s="125">
        <f>AG97/(1+AG$11*Предпосылки!$H66)</f>
        <v>0</v>
      </c>
      <c s="125">
        <f>AH97/(1+AH$11*Предпосылки!$H66)</f>
        <v>0</v>
      </c>
      <c s="125">
        <f>AI97/(1+AI$11*Предпосылки!$H66)</f>
        <v>0</v>
      </c>
      <c s="125">
        <f>AJ97/(1+AJ$11*Предпосылки!$H66)</f>
        <v>0</v>
      </c>
      <c s="125">
        <f>AK97/(1+AK$11*Предпосылки!$H66)</f>
        <v>0</v>
      </c>
      <c s="125">
        <f>AL97/(1+AL$11*Предпосылки!$H66)</f>
        <v>0</v>
      </c>
      <c s="125">
        <f>AM97/(1+AM$11*Предпосылки!$H66)</f>
        <v>0</v>
      </c>
      <c s="125">
        <f>AN97/(1+AN$11*Предпосылки!$H66)</f>
        <v>0</v>
      </c>
      <c s="125">
        <f>AO97/(1+AO$11*Предпосылки!$H66)</f>
        <v>0</v>
      </c>
      <c s="125">
        <f>AP97/(1+AP$11*Предпосылки!$H66)</f>
        <v>0</v>
      </c>
      <c s="125">
        <f>AQ97/(1+AQ$11*Предпосылки!$H66)</f>
        <v>0</v>
      </c>
      <c s="125">
        <f>AR97/(1+AR$11*Предпосылки!$H66)</f>
        <v>0</v>
      </c>
      <c s="125">
        <f>AS97/(1+AS$11*Предпосылки!$H66)</f>
        <v>0</v>
      </c>
      <c s="125">
        <f>AT97/(1+AT$11*Предпосылки!$H66)</f>
        <v>0</v>
      </c>
      <c s="125">
        <f>AU97/(1+AU$11*Предпосылки!$H66)</f>
        <v>0</v>
      </c>
      <c s="125">
        <f>AV97/(1+AV$11*Предпосылки!$H66)</f>
        <v>0</v>
      </c>
      <c s="125">
        <f>AW97/(1+AW$11*Предпосылки!$H66)</f>
        <v>0</v>
      </c>
      <c s="125">
        <f>AX97/(1+AX$11*Предпосылки!$H66)</f>
        <v>0</v>
      </c>
      <c s="125">
        <f>AY97/(1+AY$11*Предпосылки!$H66)</f>
        <v>0</v>
      </c>
      <c s="125">
        <f>AZ97/(1+AZ$11*Предпосылки!$H66)</f>
        <v>0</v>
      </c>
      <c s="125">
        <f>BA97/(1+BA$11*Предпосылки!$H66)</f>
        <v>0</v>
      </c>
      <c s="125">
        <f>BB97/(1+BB$11*Предпосылки!$H66)</f>
        <v>0</v>
      </c>
      <c s="125">
        <f>BC97/(1+BC$11*Предпосылки!$H66)</f>
        <v>0</v>
      </c>
      <c s="125">
        <f>BD97/(1+BD$11*Предпосылки!$H66)</f>
        <v>0</v>
      </c>
      <c s="125">
        <f>BE97/(1+BE$11*Предпосылки!$H66)</f>
        <v>0</v>
      </c>
      <c s="125">
        <f>BF97/(1+BF$11*Предпосылки!$H66)</f>
        <v>0</v>
      </c>
      <c s="125">
        <f>BG97/(1+BG$11*Предпосылки!$H66)</f>
        <v>0</v>
      </c>
      <c s="125">
        <f>BH97/(1+BH$11*Предпосылки!$H66)</f>
        <v>0</v>
      </c>
      <c s="125">
        <f>BI97/(1+BI$11*Предпосылки!$H66)</f>
        <v>0</v>
      </c>
      <c s="125">
        <f>BJ97/(1+BJ$11*Предпосылки!$H66)</f>
        <v>0</v>
      </c>
      <c s="125">
        <f>BK97/(1+BK$11*Предпосылки!$H66)</f>
        <v>0</v>
      </c>
      <c s="125">
        <f>BL97/(1+BL$11*Предпосылки!$H66)</f>
        <v>0</v>
      </c>
      <c s="125">
        <f>BM97/(1+BM$11*Предпосылки!$H66)</f>
        <v>0</v>
      </c>
    </row>
    <row r="185" spans="2:65" ht="15" customHeight="1">
      <c r="B185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E98/(1+E$11*Предпосылки!$H67)</f>
        <v>0</v>
      </c>
      <c s="125">
        <f>F98/(1+F$11*Предпосылки!$H67)</f>
        <v>0</v>
      </c>
      <c s="125">
        <f>G98/(1+G$11*Предпосылки!$H67)</f>
        <v>0</v>
      </c>
      <c s="125">
        <f>H98/(1+H$11*Предпосылки!$H67)</f>
        <v>0</v>
      </c>
      <c s="125">
        <f>I98/(1+I$11*Предпосылки!$H67)</f>
        <v>0</v>
      </c>
      <c s="125">
        <f>J98/(1+J$11*Предпосылки!$H67)</f>
        <v>0</v>
      </c>
      <c s="125">
        <f>K98/(1+K$11*Предпосылки!$H67)</f>
        <v>0</v>
      </c>
      <c s="125">
        <f>L98/(1+L$11*Предпосылки!$H67)</f>
        <v>0</v>
      </c>
      <c s="125">
        <f>M98/(1+M$11*Предпосылки!$H67)</f>
        <v>0</v>
      </c>
      <c s="125">
        <f>N98/(1+N$11*Предпосылки!$H67)</f>
        <v>0</v>
      </c>
      <c s="125">
        <f>O98/(1+O$11*Предпосылки!$H67)</f>
        <v>0</v>
      </c>
      <c s="125">
        <f>P98/(1+P$11*Предпосылки!$H67)</f>
        <v>0</v>
      </c>
      <c s="125">
        <f>Q98/(1+Q$11*Предпосылки!$H67)</f>
        <v>0</v>
      </c>
      <c s="125">
        <f>R98/(1+R$11*Предпосылки!$H67)</f>
        <v>0</v>
      </c>
      <c s="125">
        <f>S98/(1+S$11*Предпосылки!$H67)</f>
        <v>0</v>
      </c>
      <c s="125">
        <f>T98/(1+T$11*Предпосылки!$H67)</f>
        <v>0</v>
      </c>
      <c s="125">
        <f>U98/(1+U$11*Предпосылки!$H67)</f>
        <v>0</v>
      </c>
      <c s="125">
        <f>V98/(1+V$11*Предпосылки!$H67)</f>
        <v>0</v>
      </c>
      <c s="125">
        <f>W98/(1+W$11*Предпосылки!$H67)</f>
        <v>0</v>
      </c>
      <c s="125">
        <f>X98/(1+X$11*Предпосылки!$H67)</f>
        <v>0</v>
      </c>
      <c s="125">
        <f>Y98/(1+Y$11*Предпосылки!$H67)</f>
        <v>0</v>
      </c>
      <c s="125">
        <f>Z98/(1+Z$11*Предпосылки!$H67)</f>
        <v>0</v>
      </c>
      <c s="125">
        <f>AA98/(1+AA$11*Предпосылки!$H67)</f>
        <v>0</v>
      </c>
      <c s="125">
        <f>AB98/(1+AB$11*Предпосылки!$H67)</f>
        <v>0</v>
      </c>
      <c s="125">
        <f>AC98/(1+AC$11*Предпосылки!$H67)</f>
        <v>0</v>
      </c>
      <c s="125">
        <f>AD98/(1+AD$11*Предпосылки!$H67)</f>
        <v>0</v>
      </c>
      <c s="125">
        <f>AE98/(1+AE$11*Предпосылки!$H67)</f>
        <v>0</v>
      </c>
      <c s="125">
        <f>AF98/(1+AF$11*Предпосылки!$H67)</f>
        <v>0</v>
      </c>
      <c s="125">
        <f>AG98/(1+AG$11*Предпосылки!$H67)</f>
        <v>0</v>
      </c>
      <c s="125">
        <f>AH98/(1+AH$11*Предпосылки!$H67)</f>
        <v>0</v>
      </c>
      <c s="125">
        <f>AI98/(1+AI$11*Предпосылки!$H67)</f>
        <v>0</v>
      </c>
      <c s="125">
        <f>AJ98/(1+AJ$11*Предпосылки!$H67)</f>
        <v>0</v>
      </c>
      <c s="125">
        <f>AK98/(1+AK$11*Предпосылки!$H67)</f>
        <v>0</v>
      </c>
      <c s="125">
        <f>AL98/(1+AL$11*Предпосылки!$H67)</f>
        <v>0</v>
      </c>
      <c s="125">
        <f>AM98/(1+AM$11*Предпосылки!$H67)</f>
        <v>0</v>
      </c>
      <c s="125">
        <f>AN98/(1+AN$11*Предпосылки!$H67)</f>
        <v>0</v>
      </c>
      <c s="125">
        <f>AO98/(1+AO$11*Предпосылки!$H67)</f>
        <v>0</v>
      </c>
      <c s="125">
        <f>AP98/(1+AP$11*Предпосылки!$H67)</f>
        <v>0</v>
      </c>
      <c s="125">
        <f>AQ98/(1+AQ$11*Предпосылки!$H67)</f>
        <v>0</v>
      </c>
      <c s="125">
        <f>AR98/(1+AR$11*Предпосылки!$H67)</f>
        <v>0</v>
      </c>
      <c s="125">
        <f>AS98/(1+AS$11*Предпосылки!$H67)</f>
        <v>0</v>
      </c>
      <c s="125">
        <f>AT98/(1+AT$11*Предпосылки!$H67)</f>
        <v>0</v>
      </c>
      <c s="125">
        <f>AU98/(1+AU$11*Предпосылки!$H67)</f>
        <v>0</v>
      </c>
      <c s="125">
        <f>AV98/(1+AV$11*Предпосылки!$H67)</f>
        <v>0</v>
      </c>
      <c s="125">
        <f>AW98/(1+AW$11*Предпосылки!$H67)</f>
        <v>0</v>
      </c>
      <c s="125">
        <f>AX98/(1+AX$11*Предпосылки!$H67)</f>
        <v>0</v>
      </c>
      <c s="125">
        <f>AY98/(1+AY$11*Предпосылки!$H67)</f>
        <v>0</v>
      </c>
      <c s="125">
        <f>AZ98/(1+AZ$11*Предпосылки!$H67)</f>
        <v>0</v>
      </c>
      <c s="125">
        <f>BA98/(1+BA$11*Предпосылки!$H67)</f>
        <v>0</v>
      </c>
      <c s="125">
        <f>BB98/(1+BB$11*Предпосылки!$H67)</f>
        <v>0</v>
      </c>
      <c s="125">
        <f>BC98/(1+BC$11*Предпосылки!$H67)</f>
        <v>0</v>
      </c>
      <c s="125">
        <f>BD98/(1+BD$11*Предпосылки!$H67)</f>
        <v>0</v>
      </c>
      <c s="125">
        <f>BE98/(1+BE$11*Предпосылки!$H67)</f>
        <v>0</v>
      </c>
      <c s="125">
        <f>BF98/(1+BF$11*Предпосылки!$H67)</f>
        <v>0</v>
      </c>
      <c s="125">
        <f>BG98/(1+BG$11*Предпосылки!$H67)</f>
        <v>0</v>
      </c>
      <c s="125">
        <f>BH98/(1+BH$11*Предпосылки!$H67)</f>
        <v>0</v>
      </c>
      <c s="125">
        <f>BI98/(1+BI$11*Предпосылки!$H67)</f>
        <v>0</v>
      </c>
      <c s="125">
        <f>BJ98/(1+BJ$11*Предпосылки!$H67)</f>
        <v>0</v>
      </c>
      <c s="125">
        <f>BK98/(1+BK$11*Предпосылки!$H67)</f>
        <v>0</v>
      </c>
      <c s="125">
        <f>BL98/(1+BL$11*Предпосылки!$H67)</f>
        <v>0</v>
      </c>
      <c s="125">
        <f>BM98/(1+BM$11*Предпосылки!$H67)</f>
        <v>0</v>
      </c>
    </row>
    <row r="186" spans="2:65" ht="15" customHeight="1">
      <c r="B186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E99/(1+E$11*Предпосылки!$H68)</f>
        <v>0</v>
      </c>
      <c s="125">
        <f>F99/(1+F$11*Предпосылки!$H68)</f>
        <v>0</v>
      </c>
      <c s="125">
        <f>G99/(1+G$11*Предпосылки!$H68)</f>
        <v>0</v>
      </c>
      <c s="125">
        <f>H99/(1+H$11*Предпосылки!$H68)</f>
        <v>0</v>
      </c>
      <c s="125">
        <f>I99/(1+I$11*Предпосылки!$H68)</f>
        <v>0</v>
      </c>
      <c s="125">
        <f>J99/(1+J$11*Предпосылки!$H68)</f>
        <v>0</v>
      </c>
      <c s="125">
        <f>K99/(1+K$11*Предпосылки!$H68)</f>
        <v>0</v>
      </c>
      <c s="125">
        <f>L99/(1+L$11*Предпосылки!$H68)</f>
        <v>0</v>
      </c>
      <c s="125">
        <f>M99/(1+M$11*Предпосылки!$H68)</f>
        <v>0</v>
      </c>
      <c s="125">
        <f>N99/(1+N$11*Предпосылки!$H68)</f>
        <v>0</v>
      </c>
      <c s="125">
        <f>O99/(1+O$11*Предпосылки!$H68)</f>
        <v>0</v>
      </c>
      <c s="125">
        <f>P99/(1+P$11*Предпосылки!$H68)</f>
        <v>0</v>
      </c>
      <c s="125">
        <f>Q99/(1+Q$11*Предпосылки!$H68)</f>
        <v>0</v>
      </c>
      <c s="125">
        <f>R99/(1+R$11*Предпосылки!$H68)</f>
        <v>0</v>
      </c>
      <c s="125">
        <f>S99/(1+S$11*Предпосылки!$H68)</f>
        <v>0</v>
      </c>
      <c s="125">
        <f>T99/(1+T$11*Предпосылки!$H68)</f>
        <v>0</v>
      </c>
      <c s="125">
        <f>U99/(1+U$11*Предпосылки!$H68)</f>
        <v>0</v>
      </c>
      <c s="125">
        <f>V99/(1+V$11*Предпосылки!$H68)</f>
        <v>0</v>
      </c>
      <c s="125">
        <f>W99/(1+W$11*Предпосылки!$H68)</f>
        <v>0</v>
      </c>
      <c s="125">
        <f>X99/(1+X$11*Предпосылки!$H68)</f>
        <v>0</v>
      </c>
      <c s="125">
        <f>Y99/(1+Y$11*Предпосылки!$H68)</f>
        <v>0</v>
      </c>
      <c s="125">
        <f>Z99/(1+Z$11*Предпосылки!$H68)</f>
        <v>0</v>
      </c>
      <c s="125">
        <f>AA99/(1+AA$11*Предпосылки!$H68)</f>
        <v>0</v>
      </c>
      <c s="125">
        <f>AB99/(1+AB$11*Предпосылки!$H68)</f>
        <v>0</v>
      </c>
      <c s="125">
        <f>AC99/(1+AC$11*Предпосылки!$H68)</f>
        <v>0</v>
      </c>
      <c s="125">
        <f>AD99/(1+AD$11*Предпосылки!$H68)</f>
        <v>0</v>
      </c>
      <c s="125">
        <f>AE99/(1+AE$11*Предпосылки!$H68)</f>
        <v>0</v>
      </c>
      <c s="125">
        <f>AF99/(1+AF$11*Предпосылки!$H68)</f>
        <v>0</v>
      </c>
      <c s="125">
        <f>AG99/(1+AG$11*Предпосылки!$H68)</f>
        <v>0</v>
      </c>
      <c s="125">
        <f>AH99/(1+AH$11*Предпосылки!$H68)</f>
        <v>0</v>
      </c>
      <c s="125">
        <f>AI99/(1+AI$11*Предпосылки!$H68)</f>
        <v>0</v>
      </c>
      <c s="125">
        <f>AJ99/(1+AJ$11*Предпосылки!$H68)</f>
        <v>0</v>
      </c>
      <c s="125">
        <f>AK99/(1+AK$11*Предпосылки!$H68)</f>
        <v>0</v>
      </c>
      <c s="125">
        <f>AL99/(1+AL$11*Предпосылки!$H68)</f>
        <v>0</v>
      </c>
      <c s="125">
        <f>AM99/(1+AM$11*Предпосылки!$H68)</f>
        <v>0</v>
      </c>
      <c s="125">
        <f>AN99/(1+AN$11*Предпосылки!$H68)</f>
        <v>0</v>
      </c>
      <c s="125">
        <f>AO99/(1+AO$11*Предпосылки!$H68)</f>
        <v>0</v>
      </c>
      <c s="125">
        <f>AP99/(1+AP$11*Предпосылки!$H68)</f>
        <v>0</v>
      </c>
      <c s="125">
        <f>AQ99/(1+AQ$11*Предпосылки!$H68)</f>
        <v>0</v>
      </c>
      <c s="125">
        <f>AR99/(1+AR$11*Предпосылки!$H68)</f>
        <v>0</v>
      </c>
      <c s="125">
        <f>AS99/(1+AS$11*Предпосылки!$H68)</f>
        <v>0</v>
      </c>
      <c s="125">
        <f>AT99/(1+AT$11*Предпосылки!$H68)</f>
        <v>0</v>
      </c>
      <c s="125">
        <f>AU99/(1+AU$11*Предпосылки!$H68)</f>
        <v>0</v>
      </c>
      <c s="125">
        <f>AV99/(1+AV$11*Предпосылки!$H68)</f>
        <v>0</v>
      </c>
      <c s="125">
        <f>AW99/(1+AW$11*Предпосылки!$H68)</f>
        <v>0</v>
      </c>
      <c s="125">
        <f>AX99/(1+AX$11*Предпосылки!$H68)</f>
        <v>0</v>
      </c>
      <c s="125">
        <f>AY99/(1+AY$11*Предпосылки!$H68)</f>
        <v>0</v>
      </c>
      <c s="125">
        <f>AZ99/(1+AZ$11*Предпосылки!$H68)</f>
        <v>0</v>
      </c>
      <c s="125">
        <f>BA99/(1+BA$11*Предпосылки!$H68)</f>
        <v>0</v>
      </c>
      <c s="125">
        <f>BB99/(1+BB$11*Предпосылки!$H68)</f>
        <v>0</v>
      </c>
      <c s="125">
        <f>BC99/(1+BC$11*Предпосылки!$H68)</f>
        <v>0</v>
      </c>
      <c s="125">
        <f>BD99/(1+BD$11*Предпосылки!$H68)</f>
        <v>0</v>
      </c>
      <c s="125">
        <f>BE99/(1+BE$11*Предпосылки!$H68)</f>
        <v>0</v>
      </c>
      <c s="125">
        <f>BF99/(1+BF$11*Предпосылки!$H68)</f>
        <v>0</v>
      </c>
      <c s="125">
        <f>BG99/(1+BG$11*Предпосылки!$H68)</f>
        <v>0</v>
      </c>
      <c s="125">
        <f>BH99/(1+BH$11*Предпосылки!$H68)</f>
        <v>0</v>
      </c>
      <c s="125">
        <f>BI99/(1+BI$11*Предпосылки!$H68)</f>
        <v>0</v>
      </c>
      <c s="125">
        <f>BJ99/(1+BJ$11*Предпосылки!$H68)</f>
        <v>0</v>
      </c>
      <c s="125">
        <f>BK99/(1+BK$11*Предпосылки!$H68)</f>
        <v>0</v>
      </c>
      <c s="125">
        <f>BL99/(1+BL$11*Предпосылки!$H68)</f>
        <v>0</v>
      </c>
      <c s="125">
        <f>BM99/(1+BM$11*Предпосылки!$H68)</f>
        <v>0</v>
      </c>
    </row>
    <row r="187" spans="2:65" ht="15" customHeight="1">
      <c r="B187" s="12" t="str">
        <f t="shared" si="19"/>
        <v>-</v>
      </c>
      <c s="124" t="str">
        <f t="shared" si="18"/>
        <v>тыс. руб.</v>
      </c>
      <c s="276">
        <f t="shared" si="20"/>
        <v>0</v>
      </c>
      <c s="125">
        <f>E100/(1+E$11*Предпосылки!$H69)</f>
        <v>0</v>
      </c>
      <c s="125">
        <f>F100/(1+F$11*Предпосылки!$H69)</f>
        <v>0</v>
      </c>
      <c s="125">
        <f>G100/(1+G$11*Предпосылки!$H69)</f>
        <v>0</v>
      </c>
      <c s="125">
        <f>H100/(1+H$11*Предпосылки!$H69)</f>
        <v>0</v>
      </c>
      <c s="125">
        <f>I100/(1+I$11*Предпосылки!$H69)</f>
        <v>0</v>
      </c>
      <c s="125">
        <f>J100/(1+J$11*Предпосылки!$H69)</f>
        <v>0</v>
      </c>
      <c s="125">
        <f>K100/(1+K$11*Предпосылки!$H69)</f>
        <v>0</v>
      </c>
      <c s="125">
        <f>L100/(1+L$11*Предпосылки!$H69)</f>
        <v>0</v>
      </c>
      <c s="125">
        <f>M100/(1+M$11*Предпосылки!$H69)</f>
        <v>0</v>
      </c>
      <c s="125">
        <f>N100/(1+N$11*Предпосылки!$H69)</f>
        <v>0</v>
      </c>
      <c s="125">
        <f>O100/(1+O$11*Предпосылки!$H69)</f>
        <v>0</v>
      </c>
      <c s="125">
        <f>P100/(1+P$11*Предпосылки!$H69)</f>
        <v>0</v>
      </c>
      <c s="125">
        <f>Q100/(1+Q$11*Предпосылки!$H69)</f>
        <v>0</v>
      </c>
      <c s="125">
        <f>R100/(1+R$11*Предпосылки!$H69)</f>
        <v>0</v>
      </c>
      <c s="125">
        <f>S100/(1+S$11*Предпосылки!$H69)</f>
        <v>0</v>
      </c>
      <c s="125">
        <f>T100/(1+T$11*Предпосылки!$H69)</f>
        <v>0</v>
      </c>
      <c s="125">
        <f>U100/(1+U$11*Предпосылки!$H69)</f>
        <v>0</v>
      </c>
      <c s="125">
        <f>V100/(1+V$11*Предпосылки!$H69)</f>
        <v>0</v>
      </c>
      <c s="125">
        <f>W100/(1+W$11*Предпосылки!$H69)</f>
        <v>0</v>
      </c>
      <c s="125">
        <f>X100/(1+X$11*Предпосылки!$H69)</f>
        <v>0</v>
      </c>
      <c s="125">
        <f>Y100/(1+Y$11*Предпосылки!$H69)</f>
        <v>0</v>
      </c>
      <c s="125">
        <f>Z100/(1+Z$11*Предпосылки!$H69)</f>
        <v>0</v>
      </c>
      <c s="125">
        <f>AA100/(1+AA$11*Предпосылки!$H69)</f>
        <v>0</v>
      </c>
      <c s="125">
        <f>AB100/(1+AB$11*Предпосылки!$H69)</f>
        <v>0</v>
      </c>
      <c s="125">
        <f>AC100/(1+AC$11*Предпосылки!$H69)</f>
        <v>0</v>
      </c>
      <c s="125">
        <f>AD100/(1+AD$11*Предпосылки!$H69)</f>
        <v>0</v>
      </c>
      <c s="125">
        <f>AE100/(1+AE$11*Предпосылки!$H69)</f>
        <v>0</v>
      </c>
      <c s="125">
        <f>AF100/(1+AF$11*Предпосылки!$H69)</f>
        <v>0</v>
      </c>
      <c s="125">
        <f>AG100/(1+AG$11*Предпосылки!$H69)</f>
        <v>0</v>
      </c>
      <c s="125">
        <f>AH100/(1+AH$11*Предпосылки!$H69)</f>
        <v>0</v>
      </c>
      <c s="125">
        <f>AI100/(1+AI$11*Предпосылки!$H69)</f>
        <v>0</v>
      </c>
      <c s="125">
        <f>AJ100/(1+AJ$11*Предпосылки!$H69)</f>
        <v>0</v>
      </c>
      <c s="125">
        <f>AK100/(1+AK$11*Предпосылки!$H69)</f>
        <v>0</v>
      </c>
      <c s="125">
        <f>AL100/(1+AL$11*Предпосылки!$H69)</f>
        <v>0</v>
      </c>
      <c s="125">
        <f>AM100/(1+AM$11*Предпосылки!$H69)</f>
        <v>0</v>
      </c>
      <c s="125">
        <f>AN100/(1+AN$11*Предпосылки!$H69)</f>
        <v>0</v>
      </c>
      <c s="125">
        <f>AO100/(1+AO$11*Предпосылки!$H69)</f>
        <v>0</v>
      </c>
      <c s="125">
        <f>AP100/(1+AP$11*Предпосылки!$H69)</f>
        <v>0</v>
      </c>
      <c s="125">
        <f>AQ100/(1+AQ$11*Предпосылки!$H69)</f>
        <v>0</v>
      </c>
      <c s="125">
        <f>AR100/(1+AR$11*Предпосылки!$H69)</f>
        <v>0</v>
      </c>
      <c s="125">
        <f>AS100/(1+AS$11*Предпосылки!$H69)</f>
        <v>0</v>
      </c>
      <c s="125">
        <f>AT100/(1+AT$11*Предпосылки!$H69)</f>
        <v>0</v>
      </c>
      <c s="125">
        <f>AU100/(1+AU$11*Предпосылки!$H69)</f>
        <v>0</v>
      </c>
      <c s="125">
        <f>AV100/(1+AV$11*Предпосылки!$H69)</f>
        <v>0</v>
      </c>
      <c s="125">
        <f>AW100/(1+AW$11*Предпосылки!$H69)</f>
        <v>0</v>
      </c>
      <c s="125">
        <f>AX100/(1+AX$11*Предпосылки!$H69)</f>
        <v>0</v>
      </c>
      <c s="125">
        <f>AY100/(1+AY$11*Предпосылки!$H69)</f>
        <v>0</v>
      </c>
      <c s="125">
        <f>AZ100/(1+AZ$11*Предпосылки!$H69)</f>
        <v>0</v>
      </c>
      <c s="125">
        <f>BA100/(1+BA$11*Предпосылки!$H69)</f>
        <v>0</v>
      </c>
      <c s="125">
        <f>BB100/(1+BB$11*Предпосылки!$H69)</f>
        <v>0</v>
      </c>
      <c s="125">
        <f>BC100/(1+BC$11*Предпосылки!$H69)</f>
        <v>0</v>
      </c>
      <c s="125">
        <f>BD100/(1+BD$11*Предпосылки!$H69)</f>
        <v>0</v>
      </c>
      <c s="125">
        <f>BE100/(1+BE$11*Предпосылки!$H69)</f>
        <v>0</v>
      </c>
      <c s="125">
        <f>BF100/(1+BF$11*Предпосылки!$H69)</f>
        <v>0</v>
      </c>
      <c s="125">
        <f>BG100/(1+BG$11*Предпосылки!$H69)</f>
        <v>0</v>
      </c>
      <c s="125">
        <f>BH100/(1+BH$11*Предпосылки!$H69)</f>
        <v>0</v>
      </c>
      <c s="125">
        <f>BI100/(1+BI$11*Предпосылки!$H69)</f>
        <v>0</v>
      </c>
      <c s="125">
        <f>BJ100/(1+BJ$11*Предпосылки!$H69)</f>
        <v>0</v>
      </c>
      <c s="125">
        <f>BK100/(1+BK$11*Предпосылки!$H69)</f>
        <v>0</v>
      </c>
      <c s="125">
        <f>BL100/(1+BL$11*Предпосылки!$H69)</f>
        <v>0</v>
      </c>
      <c s="125">
        <f>BM100/(1+BM$11*Предпосылки!$H69)</f>
        <v>0</v>
      </c>
    </row>
    <row r="188" spans="2:65" ht="15" customHeight="1">
      <c r="B188" s="289" t="s">
        <v>454</v>
      </c>
      <c s="290" t="str">
        <f t="shared" si="18"/>
        <v>тыс. руб.</v>
      </c>
      <c s="291">
        <f>SUM(D148:D187)</f>
        <v>0</v>
      </c>
      <c s="276">
        <f>SUM(E148:E187)</f>
        <v>0</v>
      </c>
      <c s="276">
        <f t="shared" si="21" ref="F188:AG188">SUM(F148:F187)</f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1"/>
        <v>0</v>
      </c>
      <c s="276">
        <f t="shared" si="22" ref="AH188:BM188">SUM(AH148:AH187)</f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  <c s="276">
        <f t="shared" si="22"/>
        <v>0</v>
      </c>
    </row>
    <row r="189" ht="15" customHeight="1"/>
    <row r="190" spans="2:2" ht="21">
      <c r="B190" s="23" t="s">
        <v>821</v>
      </c>
    </row>
    <row r="191" spans="2:2" ht="15" customHeight="1">
      <c r="B191" s="24" t="s">
        <v>106</v>
      </c>
    </row>
    <row r="192" spans="2:4" ht="15" customHeight="1">
      <c r="B192" s="12" t="str">
        <f>B148</f>
        <v>-</v>
      </c>
      <c s="124" t="str">
        <f t="shared" si="23" ref="C192:C232">Единица_измерения</f>
        <v>тыс. руб.</v>
      </c>
      <c s="125">
        <f>D18-D105</f>
        <v>0</v>
      </c>
    </row>
    <row r="193" spans="2:4" ht="15" customHeight="1">
      <c r="B193" s="12" t="str">
        <f t="shared" si="24" ref="B193:B231">B149</f>
        <v>-</v>
      </c>
      <c s="124" t="str">
        <f t="shared" si="23"/>
        <v>тыс. руб.</v>
      </c>
      <c s="125">
        <f t="shared" si="25" ref="D193:D231">D19-D106</f>
        <v>0</v>
      </c>
    </row>
    <row r="194" spans="2:4" ht="15" customHeight="1">
      <c r="B194" s="12" t="str">
        <f t="shared" si="24"/>
        <v>-</v>
      </c>
      <c s="124" t="str">
        <f t="shared" si="23"/>
        <v>тыс. руб.</v>
      </c>
      <c s="125">
        <f t="shared" si="25"/>
        <v>0</v>
      </c>
    </row>
    <row r="195" spans="2:4" ht="15" customHeight="1">
      <c r="B195" s="12" t="str">
        <f t="shared" si="24"/>
        <v>-</v>
      </c>
      <c s="124" t="str">
        <f t="shared" si="23"/>
        <v>тыс. руб.</v>
      </c>
      <c s="125">
        <f t="shared" si="25"/>
        <v>0</v>
      </c>
    </row>
    <row r="196" spans="2:4" ht="15" customHeight="1">
      <c r="B196" s="12" t="str">
        <f t="shared" si="24"/>
        <v>-</v>
      </c>
      <c s="124" t="str">
        <f t="shared" si="23"/>
        <v>тыс. руб.</v>
      </c>
      <c s="125">
        <f t="shared" si="25"/>
        <v>0</v>
      </c>
    </row>
    <row r="197" spans="2:4" ht="15" customHeight="1">
      <c r="B197" s="12" t="str">
        <f t="shared" si="24"/>
        <v>-</v>
      </c>
      <c s="124" t="str">
        <f t="shared" si="23"/>
        <v>тыс. руб.</v>
      </c>
      <c s="125">
        <f t="shared" si="25"/>
        <v>0</v>
      </c>
    </row>
    <row r="198" spans="2:4" ht="15" customHeight="1">
      <c r="B198" s="12" t="str">
        <f t="shared" si="24"/>
        <v>-</v>
      </c>
      <c s="124" t="str">
        <f t="shared" si="23"/>
        <v>тыс. руб.</v>
      </c>
      <c s="125">
        <f t="shared" si="25"/>
        <v>0</v>
      </c>
    </row>
    <row r="199" spans="2:4" ht="15" customHeight="1">
      <c r="B199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0" spans="2:4" ht="15" customHeight="1">
      <c r="B200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1" spans="2:4" ht="15" customHeight="1">
      <c r="B201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2" spans="2:4" ht="15" customHeight="1">
      <c r="B202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3" spans="2:4" ht="15" customHeight="1">
      <c r="B203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4" spans="2:4" ht="15" customHeight="1">
      <c r="B204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5" spans="2:4" ht="15" customHeight="1">
      <c r="B205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6" spans="2:4" ht="15" customHeight="1">
      <c r="B206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7" spans="2:4" ht="15" customHeight="1">
      <c r="B207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8" spans="2:4" ht="15" customHeight="1">
      <c r="B208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09" spans="2:4" ht="15" customHeight="1">
      <c r="B209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0" spans="2:4" ht="15" customHeight="1">
      <c r="B210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1" spans="2:4" ht="15" customHeight="1">
      <c r="B211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2" spans="2:4" ht="15" customHeight="1">
      <c r="B212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3" spans="2:4" ht="15" customHeight="1">
      <c r="B213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4" spans="2:4" ht="15" customHeight="1">
      <c r="B214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5" spans="2:4" ht="15" customHeight="1">
      <c r="B215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6" spans="2:4" ht="15" customHeight="1">
      <c r="B216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7" spans="2:4" ht="15" customHeight="1">
      <c r="B217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8" spans="2:4" ht="15" customHeight="1">
      <c r="B218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19" spans="2:4" ht="15" customHeight="1">
      <c r="B219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0" spans="2:4" ht="15" customHeight="1">
      <c r="B220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1" spans="2:4" ht="15" customHeight="1">
      <c r="B221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2" spans="2:4" ht="15" customHeight="1">
      <c r="B222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3" spans="2:4" ht="15" customHeight="1">
      <c r="B223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4" spans="2:4" ht="15" customHeight="1">
      <c r="B224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5" spans="2:4" ht="15" customHeight="1">
      <c r="B225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6" spans="2:4" ht="15" customHeight="1">
      <c r="B226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7" spans="2:4" ht="15" customHeight="1">
      <c r="B227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8" spans="2:4" ht="15" customHeight="1">
      <c r="B228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29" spans="2:4" ht="15" customHeight="1">
      <c r="B229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30" spans="2:4" ht="15" customHeight="1">
      <c r="B230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31" spans="2:4" ht="15" customHeight="1">
      <c r="B231" s="12" t="str">
        <f t="shared" si="24"/>
        <v>-</v>
      </c>
      <c s="124" t="str">
        <f t="shared" si="23"/>
        <v>тыс. руб.</v>
      </c>
      <c s="125">
        <f t="shared" si="25"/>
        <v>0</v>
      </c>
    </row>
    <row r="232" spans="2:4" ht="15" customHeight="1">
      <c r="B232" s="289" t="s">
        <v>454</v>
      </c>
      <c s="290" t="str">
        <f t="shared" si="23"/>
        <v>тыс. руб.</v>
      </c>
      <c s="291">
        <f>SUM(D192:D231)</f>
        <v>0</v>
      </c>
    </row>
    <row r="233" ht="15" customHeight="1"/>
    <row r="234" spans="2:2" ht="15" customHeight="1">
      <c r="B234" s="24" t="s">
        <v>819</v>
      </c>
    </row>
    <row r="235" spans="2:65" ht="15" customHeight="1">
      <c r="B235" s="12" t="str">
        <f>B192</f>
        <v>-</v>
      </c>
      <c s="124" t="str">
        <f t="shared" si="26" ref="C235:C275">Единица_измерения</f>
        <v>тыс. руб.</v>
      </c>
      <c s="276">
        <f>SUM(E235:BM235)</f>
        <v>0</v>
      </c>
      <c s="125">
        <f t="shared" si="27" ref="E235:AG235">E61-E148</f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7"/>
        <v>0</v>
      </c>
      <c s="125">
        <f t="shared" si="28" ref="AH235:BM235">AH61-AH148</f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  <c s="125">
        <f t="shared" si="28"/>
        <v>0</v>
      </c>
    </row>
    <row r="236" spans="2:65" ht="15" customHeight="1">
      <c r="B236" s="12" t="str">
        <f t="shared" si="29" ref="B236:B274">B193</f>
        <v>-</v>
      </c>
      <c s="124" t="str">
        <f t="shared" si="26"/>
        <v>тыс. руб.</v>
      </c>
      <c s="276">
        <f t="shared" si="30" ref="D236:D274">SUM(E236:BM236)</f>
        <v>0</v>
      </c>
      <c s="125">
        <f t="shared" si="31" ref="E236:AG236">E62-E149</f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1"/>
        <v>0</v>
      </c>
      <c s="125">
        <f t="shared" si="32" ref="AH236:BM236">AH62-AH149</f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  <c s="125">
        <f t="shared" si="32"/>
        <v>0</v>
      </c>
    </row>
    <row r="237" spans="2:65" ht="15" customHeight="1">
      <c r="B237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33" ref="E237:AG237">E63-E150</f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3"/>
        <v>0</v>
      </c>
      <c s="125">
        <f t="shared" si="34" ref="AH237:BM237">AH63-AH150</f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  <c s="125">
        <f t="shared" si="34"/>
        <v>0</v>
      </c>
    </row>
    <row r="238" spans="2:65" ht="15" customHeight="1">
      <c r="B238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35" ref="E238:AG238">E64-E151</f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5"/>
        <v>0</v>
      </c>
      <c s="125">
        <f t="shared" si="36" ref="AH238:BM238">AH64-AH151</f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  <c s="125">
        <f t="shared" si="36"/>
        <v>0</v>
      </c>
    </row>
    <row r="239" spans="2:65" ht="15" customHeight="1">
      <c r="B239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37" ref="E239:AG239">E65-E152</f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7"/>
        <v>0</v>
      </c>
      <c s="125">
        <f t="shared" si="38" ref="AH239:BM239">AH65-AH152</f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</row>
    <row r="240" spans="2:65" ht="15" customHeight="1">
      <c r="B240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39" ref="E240:AG240">E66-E153</f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39"/>
        <v>0</v>
      </c>
      <c s="125">
        <f t="shared" si="40" ref="AH240:BM240">AH66-AH153</f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</row>
    <row r="241" spans="2:65" ht="15" customHeight="1">
      <c r="B241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41" ref="E241:AG241">E67-E154</f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2" ref="AH241:BM241">AH67-AH154</f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  <c s="125">
        <f t="shared" si="42"/>
        <v>0</v>
      </c>
    </row>
    <row r="242" spans="2:65" ht="15" customHeight="1">
      <c r="B242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43" ref="E242:AG242">E68-E155</f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3"/>
        <v>0</v>
      </c>
      <c s="125">
        <f t="shared" si="44" ref="AH242:BM242">AH68-AH155</f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</row>
    <row r="243" spans="2:65" ht="15" customHeight="1">
      <c r="B243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45" ref="E243:AG243">E69-E156</f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6" ref="AH243:BM243">AH69-AH156</f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</row>
    <row r="244" spans="2:65" ht="15" customHeight="1">
      <c r="B244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47" ref="E244:AG244">E70-E157</f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8" ref="AH244:BM244">AH70-AH157</f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</row>
    <row r="245" spans="2:65" ht="15" customHeight="1">
      <c r="B245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49" ref="E245:AG245">E71-E158</f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50" ref="AH245:BM245">AH71-AH158</f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</row>
    <row r="246" spans="2:65" ht="15" customHeight="1">
      <c r="B246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51" ref="E246:AG246">E72-E159</f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2" ref="AH246:BM246">AH72-AH159</f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</row>
    <row r="247" spans="2:65" ht="15" customHeight="1">
      <c r="B247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53" ref="E247:AG247">E73-E160</f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4" ref="AH247:BM247">AH73-AH160</f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</row>
    <row r="248" spans="2:65" ht="15" customHeight="1">
      <c r="B248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55" ref="E248:AG248">E74-E161</f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6" ref="AH248:BM248">AH74-AH161</f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</row>
    <row r="249" spans="2:65" ht="15" customHeight="1">
      <c r="B249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57" ref="E249:AG249">E75-E162</f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8" ref="AH249:BM249">AH75-AH162</f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</row>
    <row r="250" spans="2:65" ht="15" customHeight="1">
      <c r="B250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59" ref="E250:AG250">E76-E163</f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60" ref="AH250:BM250">AH76-AH163</f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</row>
    <row r="251" spans="2:65" ht="15" customHeight="1">
      <c r="B251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61" ref="E251:AG251">E77-E164</f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2" ref="AH251:BM251">AH77-AH164</f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</row>
    <row r="252" spans="2:65" ht="15" customHeight="1">
      <c r="B252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63" ref="E252:AG252">E78-E165</f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4" ref="AH252:BM252">AH78-AH165</f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</row>
    <row r="253" spans="2:65" ht="15" customHeight="1">
      <c r="B253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65" ref="E253:AG253">E79-E166</f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6" ref="AH253:BM253">AH79-AH166</f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</row>
    <row r="254" spans="2:65" ht="15" customHeight="1">
      <c r="B254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67" ref="E254:AG254">E80-E167</f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8" ref="AH254:BM254">AH80-AH167</f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</row>
    <row r="255" spans="2:65" ht="15" customHeight="1">
      <c r="B255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69" ref="E255:AG255">E81-E168</f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70" ref="AH255:BM255">AH81-AH168</f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</row>
    <row r="256" spans="2:65" ht="15" customHeight="1">
      <c r="B256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71" ref="E256:AG256">E82-E169</f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2" ref="AH256:BM256">AH82-AH169</f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</row>
    <row r="257" spans="2:65" ht="15" customHeight="1">
      <c r="B257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73" ref="E257:AG257">E83-E170</f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4" ref="AH257:BM257">AH83-AH170</f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</row>
    <row r="258" spans="2:65" ht="15" customHeight="1">
      <c r="B258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75" ref="E258:AG258">E84-E171</f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6" ref="AH258:BM258">AH84-AH171</f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</row>
    <row r="259" spans="2:65" ht="15" customHeight="1">
      <c r="B259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77" ref="E259:AG259">E85-E172</f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8" ref="AH259:BM259">AH85-AH172</f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</row>
    <row r="260" spans="2:65" ht="15" customHeight="1">
      <c r="B260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79" ref="E260:AG260">E86-E173</f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80" ref="AH260:BM260">AH86-AH173</f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</row>
    <row r="261" spans="2:65" ht="15" customHeight="1">
      <c r="B261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81" ref="E261:AG261">E87-E174</f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2" ref="AH261:BM261">AH87-AH174</f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</row>
    <row r="262" spans="2:65" ht="15" customHeight="1">
      <c r="B262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83" ref="E262:AG262">E88-E175</f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4" ref="AH262:BM262">AH88-AH175</f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</row>
    <row r="263" spans="2:65" ht="15" customHeight="1">
      <c r="B263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85" ref="E263:AG263">E89-E176</f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6" ref="AH263:BM263">AH89-AH176</f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</row>
    <row r="264" spans="2:65" ht="15" customHeight="1">
      <c r="B264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87" ref="E264:AG264">E90-E177</f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8" ref="AH264:BM264">AH90-AH177</f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</row>
    <row r="265" spans="2:65" ht="15" customHeight="1">
      <c r="B265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89" ref="E265:AG265">E91-E178</f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90" ref="AH265:BM265">AH91-AH178</f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</row>
    <row r="266" spans="2:65" ht="15" customHeight="1">
      <c r="B266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91" ref="E266:AG266">E92-E179</f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2" ref="AH266:BM266">AH92-AH179</f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</row>
    <row r="267" spans="2:65" ht="15" customHeight="1">
      <c r="B267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93" ref="E267:AG267">E93-E180</f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4" ref="AH267:BM267">AH93-AH180</f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</row>
    <row r="268" spans="2:65" ht="15" customHeight="1">
      <c r="B268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95" ref="E268:AG268">E94-E181</f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6" ref="AH268:BM268">AH94-AH181</f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</row>
    <row r="269" spans="2:65" ht="15" customHeight="1">
      <c r="B269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97" ref="E269:AG269">E95-E182</f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8" ref="AH269:BM269">AH95-AH182</f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</row>
    <row r="270" spans="2:65" ht="15" customHeight="1">
      <c r="B270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99" ref="E270:AG270">E96-E183</f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100" ref="AH270:BM270">AH96-AH183</f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</row>
    <row r="271" spans="2:65" ht="15" customHeight="1">
      <c r="B271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101" ref="E271:AG271">E97-E184</f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2" ref="AH271:BM271">AH97-AH184</f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</row>
    <row r="272" spans="2:65" ht="15" customHeight="1">
      <c r="B272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103" ref="E272:AG272">E98-E185</f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4" ref="AH272:BM272">AH98-AH185</f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</row>
    <row r="273" spans="2:65" ht="15" customHeight="1">
      <c r="B273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105" ref="E273:AG273">E99-E186</f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6" ref="AH273:BM273">AH99-AH186</f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</row>
    <row r="274" spans="2:65" ht="15" customHeight="1">
      <c r="B274" s="12" t="str">
        <f t="shared" si="29"/>
        <v>-</v>
      </c>
      <c s="124" t="str">
        <f t="shared" si="26"/>
        <v>тыс. руб.</v>
      </c>
      <c s="276">
        <f t="shared" si="30"/>
        <v>0</v>
      </c>
      <c s="125">
        <f t="shared" si="107" ref="E274:AG274">E100-E187</f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8" ref="AH274:BM274">AH100-AH187</f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</row>
    <row r="275" spans="2:65" ht="15" customHeight="1">
      <c r="B275" s="289" t="s">
        <v>454</v>
      </c>
      <c s="290" t="str">
        <f t="shared" si="26"/>
        <v>тыс. руб.</v>
      </c>
      <c s="291">
        <f>SUM(D235:D274)</f>
        <v>0</v>
      </c>
      <c s="276">
        <f>SUM(E235:E274)</f>
        <v>0</v>
      </c>
      <c s="276">
        <f t="shared" si="109" ref="F275:BM275">SUM(F235:F274)</f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</row>
    <row r="276" ht="15" customHeight="1"/>
    <row r="277" spans="2:71" ht="21">
      <c r="B277" s="23" t="s">
        <v>822</v>
      </c>
      <c r="D27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8" spans="2:65" ht="15" customHeight="1">
      <c r="B278" s="12" t="str">
        <f>B148</f>
        <v>-</v>
      </c>
      <c s="124" t="str">
        <f t="shared" si="110" ref="C278:C318">Единица_измерения</f>
        <v>тыс. руб.</v>
      </c>
      <c s="276">
        <f>SUM(E278:BM278)</f>
        <v>0</v>
      </c>
      <c s="125">
        <f>IF(E$10=IF(ISBLANK(Предпосылки!$D30),$E$10,Предпосылки!$D30),SUM($D105,$D148),0)</f>
        <v>0</v>
      </c>
      <c s="125">
        <f>IF(F$10=IF(ISBLANK(Предпосылки!$D30),$E$10,Предпосылки!$D30),SUM($D105,$D148),0)</f>
        <v>0</v>
      </c>
      <c s="125">
        <f>IF(G$10=IF(ISBLANK(Предпосылки!$D30),$E$10,Предпосылки!$D30),SUM($D105,$D148),0)</f>
        <v>0</v>
      </c>
      <c s="125">
        <f>IF(H$10=IF(ISBLANK(Предпосылки!$D30),$E$10,Предпосылки!$D30),SUM($D105,$D148),0)</f>
        <v>0</v>
      </c>
      <c s="125">
        <f>IF(I$10=IF(ISBLANK(Предпосылки!$D30),$E$10,Предпосылки!$D30),SUM($D105,$D148),0)</f>
        <v>0</v>
      </c>
      <c s="125">
        <f>IF(J$10=IF(ISBLANK(Предпосылки!$D30),$E$10,Предпосылки!$D30),SUM($D105,$D148),0)</f>
        <v>0</v>
      </c>
      <c s="125">
        <f>IF(K$10=IF(ISBLANK(Предпосылки!$D30),$E$10,Предпосылки!$D30),SUM($D105,$D148),0)</f>
        <v>0</v>
      </c>
      <c s="125">
        <f>IF(L$10=IF(ISBLANK(Предпосылки!$D30),$E$10,Предпосылки!$D30),SUM($D105,$D148),0)</f>
        <v>0</v>
      </c>
      <c s="125">
        <f>IF(M$10=IF(ISBLANK(Предпосылки!$D30),$E$10,Предпосылки!$D30),SUM($D105,$D148),0)</f>
        <v>0</v>
      </c>
      <c s="125">
        <f>IF(N$10=IF(ISBLANK(Предпосылки!$D30),$E$10,Предпосылки!$D30),SUM($D105,$D148),0)</f>
        <v>0</v>
      </c>
      <c s="125">
        <f>IF(O$10=IF(ISBLANK(Предпосылки!$D30),$E$10,Предпосылки!$D30),SUM($D105,$D148),0)</f>
        <v>0</v>
      </c>
      <c s="125">
        <f>IF(P$10=IF(ISBLANK(Предпосылки!$D30),$E$10,Предпосылки!$D30),SUM($D105,$D148),0)</f>
        <v>0</v>
      </c>
      <c s="125">
        <f>IF(Q$10=IF(ISBLANK(Предпосылки!$D30),$E$10,Предпосылки!$D30),SUM($D105,$D148),0)</f>
        <v>0</v>
      </c>
      <c s="125">
        <f>IF(R$10=IF(ISBLANK(Предпосылки!$D30),$E$10,Предпосылки!$D30),SUM($D105,$D148),0)</f>
        <v>0</v>
      </c>
      <c s="125">
        <f>IF(S$10=IF(ISBLANK(Предпосылки!$D30),$E$10,Предпосылки!$D30),SUM($D105,$D148),0)</f>
        <v>0</v>
      </c>
      <c s="125">
        <f>IF(T$10=IF(ISBLANK(Предпосылки!$D30),$E$10,Предпосылки!$D30),SUM($D105,$D148),0)</f>
        <v>0</v>
      </c>
      <c s="125">
        <f>IF(U$10=IF(ISBLANK(Предпосылки!$D30),$E$10,Предпосылки!$D30),SUM($D105,$D148),0)</f>
        <v>0</v>
      </c>
      <c s="125">
        <f>IF(V$10=IF(ISBLANK(Предпосылки!$D30),$E$10,Предпосылки!$D30),SUM($D105,$D148),0)</f>
        <v>0</v>
      </c>
      <c s="125">
        <f>IF(W$10=IF(ISBLANK(Предпосылки!$D30),$E$10,Предпосылки!$D30),SUM($D105,$D148),0)</f>
        <v>0</v>
      </c>
      <c s="125">
        <f>IF(X$10=IF(ISBLANK(Предпосылки!$D30),$E$10,Предпосылки!$D30),SUM($D105,$D148),0)</f>
        <v>0</v>
      </c>
      <c s="125">
        <f>IF(Y$10=IF(ISBLANK(Предпосылки!$D30),$E$10,Предпосылки!$D30),SUM($D105,$D148),0)</f>
        <v>0</v>
      </c>
      <c s="125">
        <f>IF(Z$10=IF(ISBLANK(Предпосылки!$D30),$E$10,Предпосылки!$D30),SUM($D105,$D148),0)</f>
        <v>0</v>
      </c>
      <c s="125">
        <f>IF(AA$10=IF(ISBLANK(Предпосылки!$D30),$E$10,Предпосылки!$D30),SUM($D105,$D148),0)</f>
        <v>0</v>
      </c>
      <c s="125">
        <f>IF(AB$10=IF(ISBLANK(Предпосылки!$D30),$E$10,Предпосылки!$D30),SUM($D105,$D148),0)</f>
        <v>0</v>
      </c>
      <c s="125">
        <f>IF(AC$10=IF(ISBLANK(Предпосылки!$D30),$E$10,Предпосылки!$D30),SUM($D105,$D148),0)</f>
        <v>0</v>
      </c>
      <c s="125">
        <f>IF(AD$10=IF(ISBLANK(Предпосылки!$D30),$E$10,Предпосылки!$D30),SUM($D105,$D148),0)</f>
        <v>0</v>
      </c>
      <c s="125">
        <f>IF(AE$10=IF(ISBLANK(Предпосылки!$D30),$E$10,Предпосылки!$D30),SUM($D105,$D148),0)</f>
        <v>0</v>
      </c>
      <c s="125">
        <f>IF(AF$10=IF(ISBLANK(Предпосылки!$D30),$E$10,Предпосылки!$D30),SUM($D105,$D148),0)</f>
        <v>0</v>
      </c>
      <c s="125">
        <f>IF(AG$10=IF(ISBLANK(Предпосылки!$D30),$E$10,Предпосылки!$D30),SUM($D105,$D148),0)</f>
        <v>0</v>
      </c>
      <c s="125">
        <f>IF(AH$10=IF(ISBLANK(Предпосылки!$D30),$E$10,Предпосылки!$D30),SUM($D105,$D148),0)</f>
        <v>0</v>
      </c>
      <c s="125">
        <f>IF(AI$10=IF(ISBLANK(Предпосылки!$D30),$E$10,Предпосылки!$D30),SUM($D105,$D148),0)</f>
        <v>0</v>
      </c>
      <c s="125">
        <f>IF(AJ$10=IF(ISBLANK(Предпосылки!$D30),$E$10,Предпосылки!$D30),SUM($D105,$D148),0)</f>
        <v>0</v>
      </c>
      <c s="125">
        <f>IF(AK$10=IF(ISBLANK(Предпосылки!$D30),$E$10,Предпосылки!$D30),SUM($D105,$D148),0)</f>
        <v>0</v>
      </c>
      <c s="125">
        <f>IF(AL$10=IF(ISBLANK(Предпосылки!$D30),$E$10,Предпосылки!$D30),SUM($D105,$D148),0)</f>
        <v>0</v>
      </c>
      <c s="125">
        <f>IF(AM$10=IF(ISBLANK(Предпосылки!$D30),$E$10,Предпосылки!$D30),SUM($D105,$D148),0)</f>
        <v>0</v>
      </c>
      <c s="125">
        <f>IF(AN$10=IF(ISBLANK(Предпосылки!$D30),$E$10,Предпосылки!$D30),SUM($D105,$D148),0)</f>
        <v>0</v>
      </c>
      <c s="125">
        <f>IF(AO$10=IF(ISBLANK(Предпосылки!$D30),$E$10,Предпосылки!$D30),SUM($D105,$D148),0)</f>
        <v>0</v>
      </c>
      <c s="125">
        <f>IF(AP$10=IF(ISBLANK(Предпосылки!$D30),$E$10,Предпосылки!$D30),SUM($D105,$D148),0)</f>
        <v>0</v>
      </c>
      <c s="125">
        <f>IF(AQ$10=IF(ISBLANK(Предпосылки!$D30),$E$10,Предпосылки!$D30),SUM($D105,$D148),0)</f>
        <v>0</v>
      </c>
      <c s="125">
        <f>IF(AR$10=IF(ISBLANK(Предпосылки!$D30),$E$10,Предпосылки!$D30),SUM($D105,$D148),0)</f>
        <v>0</v>
      </c>
      <c s="125">
        <f>IF(AS$10=IF(ISBLANK(Предпосылки!$D30),$E$10,Предпосылки!$D30),SUM($D105,$D148),0)</f>
        <v>0</v>
      </c>
      <c s="125">
        <f>IF(AT$10=IF(ISBLANK(Предпосылки!$D30),$E$10,Предпосылки!$D30),SUM($D105,$D148),0)</f>
        <v>0</v>
      </c>
      <c s="125">
        <f>IF(AU$10=IF(ISBLANK(Предпосылки!$D30),$E$10,Предпосылки!$D30),SUM($D105,$D148),0)</f>
        <v>0</v>
      </c>
      <c s="125">
        <f>IF(AV$10=IF(ISBLANK(Предпосылки!$D30),$E$10,Предпосылки!$D30),SUM($D105,$D148),0)</f>
        <v>0</v>
      </c>
      <c s="125">
        <f>IF(AW$10=IF(ISBLANK(Предпосылки!$D30),$E$10,Предпосылки!$D30),SUM($D105,$D148),0)</f>
        <v>0</v>
      </c>
      <c s="125">
        <f>IF(AX$10=IF(ISBLANK(Предпосылки!$D30),$E$10,Предпосылки!$D30),SUM($D105,$D148),0)</f>
        <v>0</v>
      </c>
      <c s="125">
        <f>IF(AY$10=IF(ISBLANK(Предпосылки!$D30),$E$10,Предпосылки!$D30),SUM($D105,$D148),0)</f>
        <v>0</v>
      </c>
      <c s="125">
        <f>IF(AZ$10=IF(ISBLANK(Предпосылки!$D30),$E$10,Предпосылки!$D30),SUM($D105,$D148),0)</f>
        <v>0</v>
      </c>
      <c s="125">
        <f>IF(BA$10=IF(ISBLANK(Предпосылки!$D30),$E$10,Предпосылки!$D30),SUM($D105,$D148),0)</f>
        <v>0</v>
      </c>
      <c s="125">
        <f>IF(BB$10=IF(ISBLANK(Предпосылки!$D30),$E$10,Предпосылки!$D30),SUM($D105,$D148),0)</f>
        <v>0</v>
      </c>
      <c s="125">
        <f>IF(BC$10=IF(ISBLANK(Предпосылки!$D30),$E$10,Предпосылки!$D30),SUM($D105,$D148),0)</f>
        <v>0</v>
      </c>
      <c s="125">
        <f>IF(BD$10=IF(ISBLANK(Предпосылки!$D30),$E$10,Предпосылки!$D30),SUM($D105,$D148),0)</f>
        <v>0</v>
      </c>
      <c s="125">
        <f>IF(BE$10=IF(ISBLANK(Предпосылки!$D30),$E$10,Предпосылки!$D30),SUM($D105,$D148),0)</f>
        <v>0</v>
      </c>
      <c s="125">
        <f>IF(BF$10=IF(ISBLANK(Предпосылки!$D30),$E$10,Предпосылки!$D30),SUM($D105,$D148),0)</f>
        <v>0</v>
      </c>
      <c s="125">
        <f>IF(BG$10=IF(ISBLANK(Предпосылки!$D30),$E$10,Предпосылки!$D30),SUM($D105,$D148),0)</f>
        <v>0</v>
      </c>
      <c s="125">
        <f>IF(BH$10=IF(ISBLANK(Предпосылки!$D30),$E$10,Предпосылки!$D30),SUM($D105,$D148),0)</f>
        <v>0</v>
      </c>
      <c s="125">
        <f>IF(BI$10=IF(ISBLANK(Предпосылки!$D30),$E$10,Предпосылки!$D30),SUM($D105,$D148),0)</f>
        <v>0</v>
      </c>
      <c s="125">
        <f>IF(BJ$10=IF(ISBLANK(Предпосылки!$D30),$E$10,Предпосылки!$D30),SUM($D105,$D148),0)</f>
        <v>0</v>
      </c>
      <c s="125">
        <f>IF(BK$10=IF(ISBLANK(Предпосылки!$D30),$E$10,Предпосылки!$D30),SUM($D105,$D148),0)</f>
        <v>0</v>
      </c>
      <c s="125">
        <f>IF(BL$10=IF(ISBLANK(Предпосылки!$D30),$E$10,Предпосылки!$D30),SUM($D105,$D148),0)</f>
        <v>0</v>
      </c>
      <c s="125">
        <f>IF(BM$10=IF(ISBLANK(Предпосылки!$D30),$E$10,Предпосылки!$D30),SUM($D105,$D148),0)</f>
        <v>0</v>
      </c>
    </row>
    <row r="279" spans="2:65" ht="15" customHeight="1">
      <c r="B279" s="12" t="str">
        <f t="shared" si="111" ref="B279:B317">B149</f>
        <v>-</v>
      </c>
      <c s="124" t="str">
        <f t="shared" si="110"/>
        <v>тыс. руб.</v>
      </c>
      <c s="276">
        <f t="shared" si="112" ref="D279:D317">SUM(E279:BM279)</f>
        <v>0</v>
      </c>
      <c s="125">
        <f>IF(E$10=IF(ISBLANK(Предпосылки!$D31),$E$10,Предпосылки!$D31),SUM($D106,$D149),0)</f>
        <v>0</v>
      </c>
      <c s="125">
        <f>IF(F$10=IF(ISBLANK(Предпосылки!$D31),$E$10,Предпосылки!$D31),SUM($D106,$D149),0)</f>
        <v>0</v>
      </c>
      <c s="125">
        <f>IF(G$10=IF(ISBLANK(Предпосылки!$D31),$E$10,Предпосылки!$D31),SUM($D106,$D149),0)</f>
        <v>0</v>
      </c>
      <c s="125">
        <f>IF(H$10=IF(ISBLANK(Предпосылки!$D31),$E$10,Предпосылки!$D31),SUM($D106,$D149),0)</f>
        <v>0</v>
      </c>
      <c s="125">
        <f>IF(I$10=IF(ISBLANK(Предпосылки!$D31),$E$10,Предпосылки!$D31),SUM($D106,$D149),0)</f>
        <v>0</v>
      </c>
      <c s="125">
        <f>IF(J$10=IF(ISBLANK(Предпосылки!$D31),$E$10,Предпосылки!$D31),SUM($D106,$D149),0)</f>
        <v>0</v>
      </c>
      <c s="125">
        <f>IF(K$10=IF(ISBLANK(Предпосылки!$D31),$E$10,Предпосылки!$D31),SUM($D106,$D149),0)</f>
        <v>0</v>
      </c>
      <c s="125">
        <f>IF(L$10=IF(ISBLANK(Предпосылки!$D31),$E$10,Предпосылки!$D31),SUM($D106,$D149),0)</f>
        <v>0</v>
      </c>
      <c s="125">
        <f>IF(M$10=IF(ISBLANK(Предпосылки!$D31),$E$10,Предпосылки!$D31),SUM($D106,$D149),0)</f>
        <v>0</v>
      </c>
      <c s="125">
        <f>IF(N$10=IF(ISBLANK(Предпосылки!$D31),$E$10,Предпосылки!$D31),SUM($D106,$D149),0)</f>
        <v>0</v>
      </c>
      <c s="125">
        <f>IF(O$10=IF(ISBLANK(Предпосылки!$D31),$E$10,Предпосылки!$D31),SUM($D106,$D149),0)</f>
        <v>0</v>
      </c>
      <c s="125">
        <f>IF(P$10=IF(ISBLANK(Предпосылки!$D31),$E$10,Предпосылки!$D31),SUM($D106,$D149),0)</f>
        <v>0</v>
      </c>
      <c s="125">
        <f>IF(Q$10=IF(ISBLANK(Предпосылки!$D31),$E$10,Предпосылки!$D31),SUM($D106,$D149),0)</f>
        <v>0</v>
      </c>
      <c s="125">
        <f>IF(R$10=IF(ISBLANK(Предпосылки!$D31),$E$10,Предпосылки!$D31),SUM($D106,$D149),0)</f>
        <v>0</v>
      </c>
      <c s="125">
        <f>IF(S$10=IF(ISBLANK(Предпосылки!$D31),$E$10,Предпосылки!$D31),SUM($D106,$D149),0)</f>
        <v>0</v>
      </c>
      <c s="125">
        <f>IF(T$10=IF(ISBLANK(Предпосылки!$D31),$E$10,Предпосылки!$D31),SUM($D106,$D149),0)</f>
        <v>0</v>
      </c>
      <c s="125">
        <f>IF(U$10=IF(ISBLANK(Предпосылки!$D31),$E$10,Предпосылки!$D31),SUM($D106,$D149),0)</f>
        <v>0</v>
      </c>
      <c s="125">
        <f>IF(V$10=IF(ISBLANK(Предпосылки!$D31),$E$10,Предпосылки!$D31),SUM($D106,$D149),0)</f>
        <v>0</v>
      </c>
      <c s="125">
        <f>IF(W$10=IF(ISBLANK(Предпосылки!$D31),$E$10,Предпосылки!$D31),SUM($D106,$D149),0)</f>
        <v>0</v>
      </c>
      <c s="125">
        <f>IF(X$10=IF(ISBLANK(Предпосылки!$D31),$E$10,Предпосылки!$D31),SUM($D106,$D149),0)</f>
        <v>0</v>
      </c>
      <c s="125">
        <f>IF(Y$10=IF(ISBLANK(Предпосылки!$D31),$E$10,Предпосылки!$D31),SUM($D106,$D149),0)</f>
        <v>0</v>
      </c>
      <c s="125">
        <f>IF(Z$10=IF(ISBLANK(Предпосылки!$D31),$E$10,Предпосылки!$D31),SUM($D106,$D149),0)</f>
        <v>0</v>
      </c>
      <c s="125">
        <f>IF(AA$10=IF(ISBLANK(Предпосылки!$D31),$E$10,Предпосылки!$D31),SUM($D106,$D149),0)</f>
        <v>0</v>
      </c>
      <c s="125">
        <f>IF(AB$10=IF(ISBLANK(Предпосылки!$D31),$E$10,Предпосылки!$D31),SUM($D106,$D149),0)</f>
        <v>0</v>
      </c>
      <c s="125">
        <f>IF(AC$10=IF(ISBLANK(Предпосылки!$D31),$E$10,Предпосылки!$D31),SUM($D106,$D149),0)</f>
        <v>0</v>
      </c>
      <c s="125">
        <f>IF(AD$10=IF(ISBLANK(Предпосылки!$D31),$E$10,Предпосылки!$D31),SUM($D106,$D149),0)</f>
        <v>0</v>
      </c>
      <c s="125">
        <f>IF(AE$10=IF(ISBLANK(Предпосылки!$D31),$E$10,Предпосылки!$D31),SUM($D106,$D149),0)</f>
        <v>0</v>
      </c>
      <c s="125">
        <f>IF(AF$10=IF(ISBLANK(Предпосылки!$D31),$E$10,Предпосылки!$D31),SUM($D106,$D149),0)</f>
        <v>0</v>
      </c>
      <c s="125">
        <f>IF(AG$10=IF(ISBLANK(Предпосылки!$D31),$E$10,Предпосылки!$D31),SUM($D106,$D149),0)</f>
        <v>0</v>
      </c>
      <c s="125">
        <f>IF(AH$10=IF(ISBLANK(Предпосылки!$D31),$E$10,Предпосылки!$D31),SUM($D106,$D149),0)</f>
        <v>0</v>
      </c>
      <c s="125">
        <f>IF(AI$10=IF(ISBLANK(Предпосылки!$D31),$E$10,Предпосылки!$D31),SUM($D106,$D149),0)</f>
        <v>0</v>
      </c>
      <c s="125">
        <f>IF(AJ$10=IF(ISBLANK(Предпосылки!$D31),$E$10,Предпосылки!$D31),SUM($D106,$D149),0)</f>
        <v>0</v>
      </c>
      <c s="125">
        <f>IF(AK$10=IF(ISBLANK(Предпосылки!$D31),$E$10,Предпосылки!$D31),SUM($D106,$D149),0)</f>
        <v>0</v>
      </c>
      <c s="125">
        <f>IF(AL$10=IF(ISBLANK(Предпосылки!$D31),$E$10,Предпосылки!$D31),SUM($D106,$D149),0)</f>
        <v>0</v>
      </c>
      <c s="125">
        <f>IF(AM$10=IF(ISBLANK(Предпосылки!$D31),$E$10,Предпосылки!$D31),SUM($D106,$D149),0)</f>
        <v>0</v>
      </c>
      <c s="125">
        <f>IF(AN$10=IF(ISBLANK(Предпосылки!$D31),$E$10,Предпосылки!$D31),SUM($D106,$D149),0)</f>
        <v>0</v>
      </c>
      <c s="125">
        <f>IF(AO$10=IF(ISBLANK(Предпосылки!$D31),$E$10,Предпосылки!$D31),SUM($D106,$D149),0)</f>
        <v>0</v>
      </c>
      <c s="125">
        <f>IF(AP$10=IF(ISBLANK(Предпосылки!$D31),$E$10,Предпосылки!$D31),SUM($D106,$D149),0)</f>
        <v>0</v>
      </c>
      <c s="125">
        <f>IF(AQ$10=IF(ISBLANK(Предпосылки!$D31),$E$10,Предпосылки!$D31),SUM($D106,$D149),0)</f>
        <v>0</v>
      </c>
      <c s="125">
        <f>IF(AR$10=IF(ISBLANK(Предпосылки!$D31),$E$10,Предпосылки!$D31),SUM($D106,$D149),0)</f>
        <v>0</v>
      </c>
      <c s="125">
        <f>IF(AS$10=IF(ISBLANK(Предпосылки!$D31),$E$10,Предпосылки!$D31),SUM($D106,$D149),0)</f>
        <v>0</v>
      </c>
      <c s="125">
        <f>IF(AT$10=IF(ISBLANK(Предпосылки!$D31),$E$10,Предпосылки!$D31),SUM($D106,$D149),0)</f>
        <v>0</v>
      </c>
      <c s="125">
        <f>IF(AU$10=IF(ISBLANK(Предпосылки!$D31),$E$10,Предпосылки!$D31),SUM($D106,$D149),0)</f>
        <v>0</v>
      </c>
      <c s="125">
        <f>IF(AV$10=IF(ISBLANK(Предпосылки!$D31),$E$10,Предпосылки!$D31),SUM($D106,$D149),0)</f>
        <v>0</v>
      </c>
      <c s="125">
        <f>IF(AW$10=IF(ISBLANK(Предпосылки!$D31),$E$10,Предпосылки!$D31),SUM($D106,$D149),0)</f>
        <v>0</v>
      </c>
      <c s="125">
        <f>IF(AX$10=IF(ISBLANK(Предпосылки!$D31),$E$10,Предпосылки!$D31),SUM($D106,$D149),0)</f>
        <v>0</v>
      </c>
      <c s="125">
        <f>IF(AY$10=IF(ISBLANK(Предпосылки!$D31),$E$10,Предпосылки!$D31),SUM($D106,$D149),0)</f>
        <v>0</v>
      </c>
      <c s="125">
        <f>IF(AZ$10=IF(ISBLANK(Предпосылки!$D31),$E$10,Предпосылки!$D31),SUM($D106,$D149),0)</f>
        <v>0</v>
      </c>
      <c s="125">
        <f>IF(BA$10=IF(ISBLANK(Предпосылки!$D31),$E$10,Предпосылки!$D31),SUM($D106,$D149),0)</f>
        <v>0</v>
      </c>
      <c s="125">
        <f>IF(BB$10=IF(ISBLANK(Предпосылки!$D31),$E$10,Предпосылки!$D31),SUM($D106,$D149),0)</f>
        <v>0</v>
      </c>
      <c s="125">
        <f>IF(BC$10=IF(ISBLANK(Предпосылки!$D31),$E$10,Предпосылки!$D31),SUM($D106,$D149),0)</f>
        <v>0</v>
      </c>
      <c s="125">
        <f>IF(BD$10=IF(ISBLANK(Предпосылки!$D31),$E$10,Предпосылки!$D31),SUM($D106,$D149),0)</f>
        <v>0</v>
      </c>
      <c s="125">
        <f>IF(BE$10=IF(ISBLANK(Предпосылки!$D31),$E$10,Предпосылки!$D31),SUM($D106,$D149),0)</f>
        <v>0</v>
      </c>
      <c s="125">
        <f>IF(BF$10=IF(ISBLANK(Предпосылки!$D31),$E$10,Предпосылки!$D31),SUM($D106,$D149),0)</f>
        <v>0</v>
      </c>
      <c s="125">
        <f>IF(BG$10=IF(ISBLANK(Предпосылки!$D31),$E$10,Предпосылки!$D31),SUM($D106,$D149),0)</f>
        <v>0</v>
      </c>
      <c s="125">
        <f>IF(BH$10=IF(ISBLANK(Предпосылки!$D31),$E$10,Предпосылки!$D31),SUM($D106,$D149),0)</f>
        <v>0</v>
      </c>
      <c s="125">
        <f>IF(BI$10=IF(ISBLANK(Предпосылки!$D31),$E$10,Предпосылки!$D31),SUM($D106,$D149),0)</f>
        <v>0</v>
      </c>
      <c s="125">
        <f>IF(BJ$10=IF(ISBLANK(Предпосылки!$D31),$E$10,Предпосылки!$D31),SUM($D106,$D149),0)</f>
        <v>0</v>
      </c>
      <c s="125">
        <f>IF(BK$10=IF(ISBLANK(Предпосылки!$D31),$E$10,Предпосылки!$D31),SUM($D106,$D149),0)</f>
        <v>0</v>
      </c>
      <c s="125">
        <f>IF(BL$10=IF(ISBLANK(Предпосылки!$D31),$E$10,Предпосылки!$D31),SUM($D106,$D149),0)</f>
        <v>0</v>
      </c>
      <c s="125">
        <f>IF(BM$10=IF(ISBLANK(Предпосылки!$D31),$E$10,Предпосылки!$D31),SUM($D106,$D149),0)</f>
        <v>0</v>
      </c>
    </row>
    <row r="280" spans="2:65" ht="15" customHeight="1">
      <c r="B280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IF(E$10=IF(ISBLANK(Предпосылки!$D32),$E$10,Предпосылки!$D32),SUM($D107,$D150),0)</f>
        <v>0</v>
      </c>
      <c s="125">
        <f>IF(F$10=IF(ISBLANK(Предпосылки!$D32),$E$10,Предпосылки!$D32),SUM($D107,$D150),0)</f>
        <v>0</v>
      </c>
      <c s="125">
        <f>IF(G$10=IF(ISBLANK(Предпосылки!$D32),$E$10,Предпосылки!$D32),SUM($D107,$D150),0)</f>
        <v>0</v>
      </c>
      <c s="125">
        <f>IF(H$10=IF(ISBLANK(Предпосылки!$D32),$E$10,Предпосылки!$D32),SUM($D107,$D150),0)</f>
        <v>0</v>
      </c>
      <c s="125">
        <f>IF(I$10=IF(ISBLANK(Предпосылки!$D32),$E$10,Предпосылки!$D32),SUM($D107,$D150),0)</f>
        <v>0</v>
      </c>
      <c s="125">
        <f>IF(J$10=IF(ISBLANK(Предпосылки!$D32),$E$10,Предпосылки!$D32),SUM($D107,$D150),0)</f>
        <v>0</v>
      </c>
      <c s="125">
        <f>IF(K$10=IF(ISBLANK(Предпосылки!$D32),$E$10,Предпосылки!$D32),SUM($D107,$D150),0)</f>
        <v>0</v>
      </c>
      <c s="125">
        <f>IF(L$10=IF(ISBLANK(Предпосылки!$D32),$E$10,Предпосылки!$D32),SUM($D107,$D150),0)</f>
        <v>0</v>
      </c>
      <c s="125">
        <f>IF(M$10=IF(ISBLANK(Предпосылки!$D32),$E$10,Предпосылки!$D32),SUM($D107,$D150),0)</f>
        <v>0</v>
      </c>
      <c s="125">
        <f>IF(N$10=IF(ISBLANK(Предпосылки!$D32),$E$10,Предпосылки!$D32),SUM($D107,$D150),0)</f>
        <v>0</v>
      </c>
      <c s="125">
        <f>IF(O$10=IF(ISBLANK(Предпосылки!$D32),$E$10,Предпосылки!$D32),SUM($D107,$D150),0)</f>
        <v>0</v>
      </c>
      <c s="125">
        <f>IF(P$10=IF(ISBLANK(Предпосылки!$D32),$E$10,Предпосылки!$D32),SUM($D107,$D150),0)</f>
        <v>0</v>
      </c>
      <c s="125">
        <f>IF(Q$10=IF(ISBLANK(Предпосылки!$D32),$E$10,Предпосылки!$D32),SUM($D107,$D150),0)</f>
        <v>0</v>
      </c>
      <c s="125">
        <f>IF(R$10=IF(ISBLANK(Предпосылки!$D32),$E$10,Предпосылки!$D32),SUM($D107,$D150),0)</f>
        <v>0</v>
      </c>
      <c s="125">
        <f>IF(S$10=IF(ISBLANK(Предпосылки!$D32),$E$10,Предпосылки!$D32),SUM($D107,$D150),0)</f>
        <v>0</v>
      </c>
      <c s="125">
        <f>IF(T$10=IF(ISBLANK(Предпосылки!$D32),$E$10,Предпосылки!$D32),SUM($D107,$D150),0)</f>
        <v>0</v>
      </c>
      <c s="125">
        <f>IF(U$10=IF(ISBLANK(Предпосылки!$D32),$E$10,Предпосылки!$D32),SUM($D107,$D150),0)</f>
        <v>0</v>
      </c>
      <c s="125">
        <f>IF(V$10=IF(ISBLANK(Предпосылки!$D32),$E$10,Предпосылки!$D32),SUM($D107,$D150),0)</f>
        <v>0</v>
      </c>
      <c s="125">
        <f>IF(W$10=IF(ISBLANK(Предпосылки!$D32),$E$10,Предпосылки!$D32),SUM($D107,$D150),0)</f>
        <v>0</v>
      </c>
      <c s="125">
        <f>IF(X$10=IF(ISBLANK(Предпосылки!$D32),$E$10,Предпосылки!$D32),SUM($D107,$D150),0)</f>
        <v>0</v>
      </c>
      <c s="125">
        <f>IF(Y$10=IF(ISBLANK(Предпосылки!$D32),$E$10,Предпосылки!$D32),SUM($D107,$D150),0)</f>
        <v>0</v>
      </c>
      <c s="125">
        <f>IF(Z$10=IF(ISBLANK(Предпосылки!$D32),$E$10,Предпосылки!$D32),SUM($D107,$D150),0)</f>
        <v>0</v>
      </c>
      <c s="125">
        <f>IF(AA$10=IF(ISBLANK(Предпосылки!$D32),$E$10,Предпосылки!$D32),SUM($D107,$D150),0)</f>
        <v>0</v>
      </c>
      <c s="125">
        <f>IF(AB$10=IF(ISBLANK(Предпосылки!$D32),$E$10,Предпосылки!$D32),SUM($D107,$D150),0)</f>
        <v>0</v>
      </c>
      <c s="125">
        <f>IF(AC$10=IF(ISBLANK(Предпосылки!$D32),$E$10,Предпосылки!$D32),SUM($D107,$D150),0)</f>
        <v>0</v>
      </c>
      <c s="125">
        <f>IF(AD$10=IF(ISBLANK(Предпосылки!$D32),$E$10,Предпосылки!$D32),SUM($D107,$D150),0)</f>
        <v>0</v>
      </c>
      <c s="125">
        <f>IF(AE$10=IF(ISBLANK(Предпосылки!$D32),$E$10,Предпосылки!$D32),SUM($D107,$D150),0)</f>
        <v>0</v>
      </c>
      <c s="125">
        <f>IF(AF$10=IF(ISBLANK(Предпосылки!$D32),$E$10,Предпосылки!$D32),SUM($D107,$D150),0)</f>
        <v>0</v>
      </c>
      <c s="125">
        <f>IF(AG$10=IF(ISBLANK(Предпосылки!$D32),$E$10,Предпосылки!$D32),SUM($D107,$D150),0)</f>
        <v>0</v>
      </c>
      <c s="125">
        <f>IF(AH$10=IF(ISBLANK(Предпосылки!$D32),$E$10,Предпосылки!$D32),SUM($D107,$D150),0)</f>
        <v>0</v>
      </c>
      <c s="125">
        <f>IF(AI$10=IF(ISBLANK(Предпосылки!$D32),$E$10,Предпосылки!$D32),SUM($D107,$D150),0)</f>
        <v>0</v>
      </c>
      <c s="125">
        <f>IF(AJ$10=IF(ISBLANK(Предпосылки!$D32),$E$10,Предпосылки!$D32),SUM($D107,$D150),0)</f>
        <v>0</v>
      </c>
      <c s="125">
        <f>IF(AK$10=IF(ISBLANK(Предпосылки!$D32),$E$10,Предпосылки!$D32),SUM($D107,$D150),0)</f>
        <v>0</v>
      </c>
      <c s="125">
        <f>IF(AL$10=IF(ISBLANK(Предпосылки!$D32),$E$10,Предпосылки!$D32),SUM($D107,$D150),0)</f>
        <v>0</v>
      </c>
      <c s="125">
        <f>IF(AM$10=IF(ISBLANK(Предпосылки!$D32),$E$10,Предпосылки!$D32),SUM($D107,$D150),0)</f>
        <v>0</v>
      </c>
      <c s="125">
        <f>IF(AN$10=IF(ISBLANK(Предпосылки!$D32),$E$10,Предпосылки!$D32),SUM($D107,$D150),0)</f>
        <v>0</v>
      </c>
      <c s="125">
        <f>IF(AO$10=IF(ISBLANK(Предпосылки!$D32),$E$10,Предпосылки!$D32),SUM($D107,$D150),0)</f>
        <v>0</v>
      </c>
      <c s="125">
        <f>IF(AP$10=IF(ISBLANK(Предпосылки!$D32),$E$10,Предпосылки!$D32),SUM($D107,$D150),0)</f>
        <v>0</v>
      </c>
      <c s="125">
        <f>IF(AQ$10=IF(ISBLANK(Предпосылки!$D32),$E$10,Предпосылки!$D32),SUM($D107,$D150),0)</f>
        <v>0</v>
      </c>
      <c s="125">
        <f>IF(AR$10=IF(ISBLANK(Предпосылки!$D32),$E$10,Предпосылки!$D32),SUM($D107,$D150),0)</f>
        <v>0</v>
      </c>
      <c s="125">
        <f>IF(AS$10=IF(ISBLANK(Предпосылки!$D32),$E$10,Предпосылки!$D32),SUM($D107,$D150),0)</f>
        <v>0</v>
      </c>
      <c s="125">
        <f>IF(AT$10=IF(ISBLANK(Предпосылки!$D32),$E$10,Предпосылки!$D32),SUM($D107,$D150),0)</f>
        <v>0</v>
      </c>
      <c s="125">
        <f>IF(AU$10=IF(ISBLANK(Предпосылки!$D32),$E$10,Предпосылки!$D32),SUM($D107,$D150),0)</f>
        <v>0</v>
      </c>
      <c s="125">
        <f>IF(AV$10=IF(ISBLANK(Предпосылки!$D32),$E$10,Предпосылки!$D32),SUM($D107,$D150),0)</f>
        <v>0</v>
      </c>
      <c s="125">
        <f>IF(AW$10=IF(ISBLANK(Предпосылки!$D32),$E$10,Предпосылки!$D32),SUM($D107,$D150),0)</f>
        <v>0</v>
      </c>
      <c s="125">
        <f>IF(AX$10=IF(ISBLANK(Предпосылки!$D32),$E$10,Предпосылки!$D32),SUM($D107,$D150),0)</f>
        <v>0</v>
      </c>
      <c s="125">
        <f>IF(AY$10=IF(ISBLANK(Предпосылки!$D32),$E$10,Предпосылки!$D32),SUM($D107,$D150),0)</f>
        <v>0</v>
      </c>
      <c s="125">
        <f>IF(AZ$10=IF(ISBLANK(Предпосылки!$D32),$E$10,Предпосылки!$D32),SUM($D107,$D150),0)</f>
        <v>0</v>
      </c>
      <c s="125">
        <f>IF(BA$10=IF(ISBLANK(Предпосылки!$D32),$E$10,Предпосылки!$D32),SUM($D107,$D150),0)</f>
        <v>0</v>
      </c>
      <c s="125">
        <f>IF(BB$10=IF(ISBLANK(Предпосылки!$D32),$E$10,Предпосылки!$D32),SUM($D107,$D150),0)</f>
        <v>0</v>
      </c>
      <c s="125">
        <f>IF(BC$10=IF(ISBLANK(Предпосылки!$D32),$E$10,Предпосылки!$D32),SUM($D107,$D150),0)</f>
        <v>0</v>
      </c>
      <c s="125">
        <f>IF(BD$10=IF(ISBLANK(Предпосылки!$D32),$E$10,Предпосылки!$D32),SUM($D107,$D150),0)</f>
        <v>0</v>
      </c>
      <c s="125">
        <f>IF(BE$10=IF(ISBLANK(Предпосылки!$D32),$E$10,Предпосылки!$D32),SUM($D107,$D150),0)</f>
        <v>0</v>
      </c>
      <c s="125">
        <f>IF(BF$10=IF(ISBLANK(Предпосылки!$D32),$E$10,Предпосылки!$D32),SUM($D107,$D150),0)</f>
        <v>0</v>
      </c>
      <c s="125">
        <f>IF(BG$10=IF(ISBLANK(Предпосылки!$D32),$E$10,Предпосылки!$D32),SUM($D107,$D150),0)</f>
        <v>0</v>
      </c>
      <c s="125">
        <f>IF(BH$10=IF(ISBLANK(Предпосылки!$D32),$E$10,Предпосылки!$D32),SUM($D107,$D150),0)</f>
        <v>0</v>
      </c>
      <c s="125">
        <f>IF(BI$10=IF(ISBLANK(Предпосылки!$D32),$E$10,Предпосылки!$D32),SUM($D107,$D150),0)</f>
        <v>0</v>
      </c>
      <c s="125">
        <f>IF(BJ$10=IF(ISBLANK(Предпосылки!$D32),$E$10,Предпосылки!$D32),SUM($D107,$D150),0)</f>
        <v>0</v>
      </c>
      <c s="125">
        <f>IF(BK$10=IF(ISBLANK(Предпосылки!$D32),$E$10,Предпосылки!$D32),SUM($D107,$D150),0)</f>
        <v>0</v>
      </c>
      <c s="125">
        <f>IF(BL$10=IF(ISBLANK(Предпосылки!$D32),$E$10,Предпосылки!$D32),SUM($D107,$D150),0)</f>
        <v>0</v>
      </c>
      <c s="125">
        <f>IF(BM$10=IF(ISBLANK(Предпосылки!$D32),$E$10,Предпосылки!$D32),SUM($D107,$D150),0)</f>
        <v>0</v>
      </c>
    </row>
    <row r="281" spans="2:65" ht="15" customHeight="1">
      <c r="B281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IF(E$10=IF(ISBLANK(Предпосылки!$D33),$E$10,Предпосылки!$D33),SUM($D108,$D151),0)</f>
        <v>0</v>
      </c>
      <c s="125">
        <f>IF(F$10=IF(ISBLANK(Предпосылки!$D33),$E$10,Предпосылки!$D33),SUM($D108,$D151),0)</f>
        <v>0</v>
      </c>
      <c s="125">
        <f>IF(G$10=IF(ISBLANK(Предпосылки!$D33),$E$10,Предпосылки!$D33),SUM($D108,$D151),0)</f>
        <v>0</v>
      </c>
      <c s="125">
        <f>IF(H$10=IF(ISBLANK(Предпосылки!$D33),$E$10,Предпосылки!$D33),SUM($D108,$D151),0)</f>
        <v>0</v>
      </c>
      <c s="125">
        <f>IF(I$10=IF(ISBLANK(Предпосылки!$D33),$E$10,Предпосылки!$D33),SUM($D108,$D151),0)</f>
        <v>0</v>
      </c>
      <c s="125">
        <f>IF(J$10=IF(ISBLANK(Предпосылки!$D33),$E$10,Предпосылки!$D33),SUM($D108,$D151),0)</f>
        <v>0</v>
      </c>
      <c s="125">
        <f>IF(K$10=IF(ISBLANK(Предпосылки!$D33),$E$10,Предпосылки!$D33),SUM($D108,$D151),0)</f>
        <v>0</v>
      </c>
      <c s="125">
        <f>IF(L$10=IF(ISBLANK(Предпосылки!$D33),$E$10,Предпосылки!$D33),SUM($D108,$D151),0)</f>
        <v>0</v>
      </c>
      <c s="125">
        <f>IF(M$10=IF(ISBLANK(Предпосылки!$D33),$E$10,Предпосылки!$D33),SUM($D108,$D151),0)</f>
        <v>0</v>
      </c>
      <c s="125">
        <f>IF(N$10=IF(ISBLANK(Предпосылки!$D33),$E$10,Предпосылки!$D33),SUM($D108,$D151),0)</f>
        <v>0</v>
      </c>
      <c s="125">
        <f>IF(O$10=IF(ISBLANK(Предпосылки!$D33),$E$10,Предпосылки!$D33),SUM($D108,$D151),0)</f>
        <v>0</v>
      </c>
      <c s="125">
        <f>IF(P$10=IF(ISBLANK(Предпосылки!$D33),$E$10,Предпосылки!$D33),SUM($D108,$D151),0)</f>
        <v>0</v>
      </c>
      <c s="125">
        <f>IF(Q$10=IF(ISBLANK(Предпосылки!$D33),$E$10,Предпосылки!$D33),SUM($D108,$D151),0)</f>
        <v>0</v>
      </c>
      <c s="125">
        <f>IF(R$10=IF(ISBLANK(Предпосылки!$D33),$E$10,Предпосылки!$D33),SUM($D108,$D151),0)</f>
        <v>0</v>
      </c>
      <c s="125">
        <f>IF(S$10=IF(ISBLANK(Предпосылки!$D33),$E$10,Предпосылки!$D33),SUM($D108,$D151),0)</f>
        <v>0</v>
      </c>
      <c s="125">
        <f>IF(T$10=IF(ISBLANK(Предпосылки!$D33),$E$10,Предпосылки!$D33),SUM($D108,$D151),0)</f>
        <v>0</v>
      </c>
      <c s="125">
        <f>IF(U$10=IF(ISBLANK(Предпосылки!$D33),$E$10,Предпосылки!$D33),SUM($D108,$D151),0)</f>
        <v>0</v>
      </c>
      <c s="125">
        <f>IF(V$10=IF(ISBLANK(Предпосылки!$D33),$E$10,Предпосылки!$D33),SUM($D108,$D151),0)</f>
        <v>0</v>
      </c>
      <c s="125">
        <f>IF(W$10=IF(ISBLANK(Предпосылки!$D33),$E$10,Предпосылки!$D33),SUM($D108,$D151),0)</f>
        <v>0</v>
      </c>
      <c s="125">
        <f>IF(X$10=IF(ISBLANK(Предпосылки!$D33),$E$10,Предпосылки!$D33),SUM($D108,$D151),0)</f>
        <v>0</v>
      </c>
      <c s="125">
        <f>IF(Y$10=IF(ISBLANK(Предпосылки!$D33),$E$10,Предпосылки!$D33),SUM($D108,$D151),0)</f>
        <v>0</v>
      </c>
      <c s="125">
        <f>IF(Z$10=IF(ISBLANK(Предпосылки!$D33),$E$10,Предпосылки!$D33),SUM($D108,$D151),0)</f>
        <v>0</v>
      </c>
      <c s="125">
        <f>IF(AA$10=IF(ISBLANK(Предпосылки!$D33),$E$10,Предпосылки!$D33),SUM($D108,$D151),0)</f>
        <v>0</v>
      </c>
      <c s="125">
        <f>IF(AB$10=IF(ISBLANK(Предпосылки!$D33),$E$10,Предпосылки!$D33),SUM($D108,$D151),0)</f>
        <v>0</v>
      </c>
      <c s="125">
        <f>IF(AC$10=IF(ISBLANK(Предпосылки!$D33),$E$10,Предпосылки!$D33),SUM($D108,$D151),0)</f>
        <v>0</v>
      </c>
      <c s="125">
        <f>IF(AD$10=IF(ISBLANK(Предпосылки!$D33),$E$10,Предпосылки!$D33),SUM($D108,$D151),0)</f>
        <v>0</v>
      </c>
      <c s="125">
        <f>IF(AE$10=IF(ISBLANK(Предпосылки!$D33),$E$10,Предпосылки!$D33),SUM($D108,$D151),0)</f>
        <v>0</v>
      </c>
      <c s="125">
        <f>IF(AF$10=IF(ISBLANK(Предпосылки!$D33),$E$10,Предпосылки!$D33),SUM($D108,$D151),0)</f>
        <v>0</v>
      </c>
      <c s="125">
        <f>IF(AG$10=IF(ISBLANK(Предпосылки!$D33),$E$10,Предпосылки!$D33),SUM($D108,$D151),0)</f>
        <v>0</v>
      </c>
      <c s="125">
        <f>IF(AH$10=IF(ISBLANK(Предпосылки!$D33),$E$10,Предпосылки!$D33),SUM($D108,$D151),0)</f>
        <v>0</v>
      </c>
      <c s="125">
        <f>IF(AI$10=IF(ISBLANK(Предпосылки!$D33),$E$10,Предпосылки!$D33),SUM($D108,$D151),0)</f>
        <v>0</v>
      </c>
      <c s="125">
        <f>IF(AJ$10=IF(ISBLANK(Предпосылки!$D33),$E$10,Предпосылки!$D33),SUM($D108,$D151),0)</f>
        <v>0</v>
      </c>
      <c s="125">
        <f>IF(AK$10=IF(ISBLANK(Предпосылки!$D33),$E$10,Предпосылки!$D33),SUM($D108,$D151),0)</f>
        <v>0</v>
      </c>
      <c s="125">
        <f>IF(AL$10=IF(ISBLANK(Предпосылки!$D33),$E$10,Предпосылки!$D33),SUM($D108,$D151),0)</f>
        <v>0</v>
      </c>
      <c s="125">
        <f>IF(AM$10=IF(ISBLANK(Предпосылки!$D33),$E$10,Предпосылки!$D33),SUM($D108,$D151),0)</f>
        <v>0</v>
      </c>
      <c s="125">
        <f>IF(AN$10=IF(ISBLANK(Предпосылки!$D33),$E$10,Предпосылки!$D33),SUM($D108,$D151),0)</f>
        <v>0</v>
      </c>
      <c s="125">
        <f>IF(AO$10=IF(ISBLANK(Предпосылки!$D33),$E$10,Предпосылки!$D33),SUM($D108,$D151),0)</f>
        <v>0</v>
      </c>
      <c s="125">
        <f>IF(AP$10=IF(ISBLANK(Предпосылки!$D33),$E$10,Предпосылки!$D33),SUM($D108,$D151),0)</f>
        <v>0</v>
      </c>
      <c s="125">
        <f>IF(AQ$10=IF(ISBLANK(Предпосылки!$D33),$E$10,Предпосылки!$D33),SUM($D108,$D151),0)</f>
        <v>0</v>
      </c>
      <c s="125">
        <f>IF(AR$10=IF(ISBLANK(Предпосылки!$D33),$E$10,Предпосылки!$D33),SUM($D108,$D151),0)</f>
        <v>0</v>
      </c>
      <c s="125">
        <f>IF(AS$10=IF(ISBLANK(Предпосылки!$D33),$E$10,Предпосылки!$D33),SUM($D108,$D151),0)</f>
        <v>0</v>
      </c>
      <c s="125">
        <f>IF(AT$10=IF(ISBLANK(Предпосылки!$D33),$E$10,Предпосылки!$D33),SUM($D108,$D151),0)</f>
        <v>0</v>
      </c>
      <c s="125">
        <f>IF(AU$10=IF(ISBLANK(Предпосылки!$D33),$E$10,Предпосылки!$D33),SUM($D108,$D151),0)</f>
        <v>0</v>
      </c>
      <c s="125">
        <f>IF(AV$10=IF(ISBLANK(Предпосылки!$D33),$E$10,Предпосылки!$D33),SUM($D108,$D151),0)</f>
        <v>0</v>
      </c>
      <c s="125">
        <f>IF(AW$10=IF(ISBLANK(Предпосылки!$D33),$E$10,Предпосылки!$D33),SUM($D108,$D151),0)</f>
        <v>0</v>
      </c>
      <c s="125">
        <f>IF(AX$10=IF(ISBLANK(Предпосылки!$D33),$E$10,Предпосылки!$D33),SUM($D108,$D151),0)</f>
        <v>0</v>
      </c>
      <c s="125">
        <f>IF(AY$10=IF(ISBLANK(Предпосылки!$D33),$E$10,Предпосылки!$D33),SUM($D108,$D151),0)</f>
        <v>0</v>
      </c>
      <c s="125">
        <f>IF(AZ$10=IF(ISBLANK(Предпосылки!$D33),$E$10,Предпосылки!$D33),SUM($D108,$D151),0)</f>
        <v>0</v>
      </c>
      <c s="125">
        <f>IF(BA$10=IF(ISBLANK(Предпосылки!$D33),$E$10,Предпосылки!$D33),SUM($D108,$D151),0)</f>
        <v>0</v>
      </c>
      <c s="125">
        <f>IF(BB$10=IF(ISBLANK(Предпосылки!$D33),$E$10,Предпосылки!$D33),SUM($D108,$D151),0)</f>
        <v>0</v>
      </c>
      <c s="125">
        <f>IF(BC$10=IF(ISBLANK(Предпосылки!$D33),$E$10,Предпосылки!$D33),SUM($D108,$D151),0)</f>
        <v>0</v>
      </c>
      <c s="125">
        <f>IF(BD$10=IF(ISBLANK(Предпосылки!$D33),$E$10,Предпосылки!$D33),SUM($D108,$D151),0)</f>
        <v>0</v>
      </c>
      <c s="125">
        <f>IF(BE$10=IF(ISBLANK(Предпосылки!$D33),$E$10,Предпосылки!$D33),SUM($D108,$D151),0)</f>
        <v>0</v>
      </c>
      <c s="125">
        <f>IF(BF$10=IF(ISBLANK(Предпосылки!$D33),$E$10,Предпосылки!$D33),SUM($D108,$D151),0)</f>
        <v>0</v>
      </c>
      <c s="125">
        <f>IF(BG$10=IF(ISBLANK(Предпосылки!$D33),$E$10,Предпосылки!$D33),SUM($D108,$D151),0)</f>
        <v>0</v>
      </c>
      <c s="125">
        <f>IF(BH$10=IF(ISBLANK(Предпосылки!$D33),$E$10,Предпосылки!$D33),SUM($D108,$D151),0)</f>
        <v>0</v>
      </c>
      <c s="125">
        <f>IF(BI$10=IF(ISBLANK(Предпосылки!$D33),$E$10,Предпосылки!$D33),SUM($D108,$D151),0)</f>
        <v>0</v>
      </c>
      <c s="125">
        <f>IF(BJ$10=IF(ISBLANK(Предпосылки!$D33),$E$10,Предпосылки!$D33),SUM($D108,$D151),0)</f>
        <v>0</v>
      </c>
      <c s="125">
        <f>IF(BK$10=IF(ISBLANK(Предпосылки!$D33),$E$10,Предпосылки!$D33),SUM($D108,$D151),0)</f>
        <v>0</v>
      </c>
      <c s="125">
        <f>IF(BL$10=IF(ISBLANK(Предпосылки!$D33),$E$10,Предпосылки!$D33),SUM($D108,$D151),0)</f>
        <v>0</v>
      </c>
      <c s="125">
        <f>IF(BM$10=IF(ISBLANK(Предпосылки!$D33),$E$10,Предпосылки!$D33),SUM($D108,$D151),0)</f>
        <v>0</v>
      </c>
    </row>
    <row r="282" spans="2:65" ht="15" customHeight="1">
      <c r="B282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IF(E$10=IF(ISBLANK(Предпосылки!$D34),$E$10,Предпосылки!$D34),SUM($D109,$D152),0)</f>
        <v>0</v>
      </c>
      <c s="125">
        <f>IF(F$10=IF(ISBLANK(Предпосылки!$D34),$E$10,Предпосылки!$D34),SUM($D109,$D152),0)</f>
        <v>0</v>
      </c>
      <c s="125">
        <f>IF(G$10=IF(ISBLANK(Предпосылки!$D34),$E$10,Предпосылки!$D34),SUM($D109,$D152),0)</f>
        <v>0</v>
      </c>
      <c s="125">
        <f>IF(H$10=IF(ISBLANK(Предпосылки!$D34),$E$10,Предпосылки!$D34),SUM($D109,$D152),0)</f>
        <v>0</v>
      </c>
      <c s="125">
        <f>IF(I$10=IF(ISBLANK(Предпосылки!$D34),$E$10,Предпосылки!$D34),SUM($D109,$D152),0)</f>
        <v>0</v>
      </c>
      <c s="125">
        <f>IF(J$10=IF(ISBLANK(Предпосылки!$D34),$E$10,Предпосылки!$D34),SUM($D109,$D152),0)</f>
        <v>0</v>
      </c>
      <c s="125">
        <f>IF(K$10=IF(ISBLANK(Предпосылки!$D34),$E$10,Предпосылки!$D34),SUM($D109,$D152),0)</f>
        <v>0</v>
      </c>
      <c s="125">
        <f>IF(L$10=IF(ISBLANK(Предпосылки!$D34),$E$10,Предпосылки!$D34),SUM($D109,$D152),0)</f>
        <v>0</v>
      </c>
      <c s="125">
        <f>IF(M$10=IF(ISBLANK(Предпосылки!$D34),$E$10,Предпосылки!$D34),SUM($D109,$D152),0)</f>
        <v>0</v>
      </c>
      <c s="125">
        <f>IF(N$10=IF(ISBLANK(Предпосылки!$D34),$E$10,Предпосылки!$D34),SUM($D109,$D152),0)</f>
        <v>0</v>
      </c>
      <c s="125">
        <f>IF(O$10=IF(ISBLANK(Предпосылки!$D34),$E$10,Предпосылки!$D34),SUM($D109,$D152),0)</f>
        <v>0</v>
      </c>
      <c s="125">
        <f>IF(P$10=IF(ISBLANK(Предпосылки!$D34),$E$10,Предпосылки!$D34),SUM($D109,$D152),0)</f>
        <v>0</v>
      </c>
      <c s="125">
        <f>IF(Q$10=IF(ISBLANK(Предпосылки!$D34),$E$10,Предпосылки!$D34),SUM($D109,$D152),0)</f>
        <v>0</v>
      </c>
      <c s="125">
        <f>IF(R$10=IF(ISBLANK(Предпосылки!$D34),$E$10,Предпосылки!$D34),SUM($D109,$D152),0)</f>
        <v>0</v>
      </c>
      <c s="125">
        <f>IF(S$10=IF(ISBLANK(Предпосылки!$D34),$E$10,Предпосылки!$D34),SUM($D109,$D152),0)</f>
        <v>0</v>
      </c>
      <c s="125">
        <f>IF(T$10=IF(ISBLANK(Предпосылки!$D34),$E$10,Предпосылки!$D34),SUM($D109,$D152),0)</f>
        <v>0</v>
      </c>
      <c s="125">
        <f>IF(U$10=IF(ISBLANK(Предпосылки!$D34),$E$10,Предпосылки!$D34),SUM($D109,$D152),0)</f>
        <v>0</v>
      </c>
      <c s="125">
        <f>IF(V$10=IF(ISBLANK(Предпосылки!$D34),$E$10,Предпосылки!$D34),SUM($D109,$D152),0)</f>
        <v>0</v>
      </c>
      <c s="125">
        <f>IF(W$10=IF(ISBLANK(Предпосылки!$D34),$E$10,Предпосылки!$D34),SUM($D109,$D152),0)</f>
        <v>0</v>
      </c>
      <c s="125">
        <f>IF(X$10=IF(ISBLANK(Предпосылки!$D34),$E$10,Предпосылки!$D34),SUM($D109,$D152),0)</f>
        <v>0</v>
      </c>
      <c s="125">
        <f>IF(Y$10=IF(ISBLANK(Предпосылки!$D34),$E$10,Предпосылки!$D34),SUM($D109,$D152),0)</f>
        <v>0</v>
      </c>
      <c s="125">
        <f>IF(Z$10=IF(ISBLANK(Предпосылки!$D34),$E$10,Предпосылки!$D34),SUM($D109,$D152),0)</f>
        <v>0</v>
      </c>
      <c s="125">
        <f>IF(AA$10=IF(ISBLANK(Предпосылки!$D34),$E$10,Предпосылки!$D34),SUM($D109,$D152),0)</f>
        <v>0</v>
      </c>
      <c s="125">
        <f>IF(AB$10=IF(ISBLANK(Предпосылки!$D34),$E$10,Предпосылки!$D34),SUM($D109,$D152),0)</f>
        <v>0</v>
      </c>
      <c s="125">
        <f>IF(AC$10=IF(ISBLANK(Предпосылки!$D34),$E$10,Предпосылки!$D34),SUM($D109,$D152),0)</f>
        <v>0</v>
      </c>
      <c s="125">
        <f>IF(AD$10=IF(ISBLANK(Предпосылки!$D34),$E$10,Предпосылки!$D34),SUM($D109,$D152),0)</f>
        <v>0</v>
      </c>
      <c s="125">
        <f>IF(AE$10=IF(ISBLANK(Предпосылки!$D34),$E$10,Предпосылки!$D34),SUM($D109,$D152),0)</f>
        <v>0</v>
      </c>
      <c s="125">
        <f>IF(AF$10=IF(ISBLANK(Предпосылки!$D34),$E$10,Предпосылки!$D34),SUM($D109,$D152),0)</f>
        <v>0</v>
      </c>
      <c s="125">
        <f>IF(AG$10=IF(ISBLANK(Предпосылки!$D34),$E$10,Предпосылки!$D34),SUM($D109,$D152),0)</f>
        <v>0</v>
      </c>
      <c s="125">
        <f>IF(AH$10=IF(ISBLANK(Предпосылки!$D34),$E$10,Предпосылки!$D34),SUM($D109,$D152),0)</f>
        <v>0</v>
      </c>
      <c s="125">
        <f>IF(AI$10=IF(ISBLANK(Предпосылки!$D34),$E$10,Предпосылки!$D34),SUM($D109,$D152),0)</f>
        <v>0</v>
      </c>
      <c s="125">
        <f>IF(AJ$10=IF(ISBLANK(Предпосылки!$D34),$E$10,Предпосылки!$D34),SUM($D109,$D152),0)</f>
        <v>0</v>
      </c>
      <c s="125">
        <f>IF(AK$10=IF(ISBLANK(Предпосылки!$D34),$E$10,Предпосылки!$D34),SUM($D109,$D152),0)</f>
        <v>0</v>
      </c>
      <c s="125">
        <f>IF(AL$10=IF(ISBLANK(Предпосылки!$D34),$E$10,Предпосылки!$D34),SUM($D109,$D152),0)</f>
        <v>0</v>
      </c>
      <c s="125">
        <f>IF(AM$10=IF(ISBLANK(Предпосылки!$D34),$E$10,Предпосылки!$D34),SUM($D109,$D152),0)</f>
        <v>0</v>
      </c>
      <c s="125">
        <f>IF(AN$10=IF(ISBLANK(Предпосылки!$D34),$E$10,Предпосылки!$D34),SUM($D109,$D152),0)</f>
        <v>0</v>
      </c>
      <c s="125">
        <f>IF(AO$10=IF(ISBLANK(Предпосылки!$D34),$E$10,Предпосылки!$D34),SUM($D109,$D152),0)</f>
        <v>0</v>
      </c>
      <c s="125">
        <f>IF(AP$10=IF(ISBLANK(Предпосылки!$D34),$E$10,Предпосылки!$D34),SUM($D109,$D152),0)</f>
        <v>0</v>
      </c>
      <c s="125">
        <f>IF(AQ$10=IF(ISBLANK(Предпосылки!$D34),$E$10,Предпосылки!$D34),SUM($D109,$D152),0)</f>
        <v>0</v>
      </c>
      <c s="125">
        <f>IF(AR$10=IF(ISBLANK(Предпосылки!$D34),$E$10,Предпосылки!$D34),SUM($D109,$D152),0)</f>
        <v>0</v>
      </c>
      <c s="125">
        <f>IF(AS$10=IF(ISBLANK(Предпосылки!$D34),$E$10,Предпосылки!$D34),SUM($D109,$D152),0)</f>
        <v>0</v>
      </c>
      <c s="125">
        <f>IF(AT$10=IF(ISBLANK(Предпосылки!$D34),$E$10,Предпосылки!$D34),SUM($D109,$D152),0)</f>
        <v>0</v>
      </c>
      <c s="125">
        <f>IF(AU$10=IF(ISBLANK(Предпосылки!$D34),$E$10,Предпосылки!$D34),SUM($D109,$D152),0)</f>
        <v>0</v>
      </c>
      <c s="125">
        <f>IF(AV$10=IF(ISBLANK(Предпосылки!$D34),$E$10,Предпосылки!$D34),SUM($D109,$D152),0)</f>
        <v>0</v>
      </c>
      <c s="125">
        <f>IF(AW$10=IF(ISBLANK(Предпосылки!$D34),$E$10,Предпосылки!$D34),SUM($D109,$D152),0)</f>
        <v>0</v>
      </c>
      <c s="125">
        <f>IF(AX$10=IF(ISBLANK(Предпосылки!$D34),$E$10,Предпосылки!$D34),SUM($D109,$D152),0)</f>
        <v>0</v>
      </c>
      <c s="125">
        <f>IF(AY$10=IF(ISBLANK(Предпосылки!$D34),$E$10,Предпосылки!$D34),SUM($D109,$D152),0)</f>
        <v>0</v>
      </c>
      <c s="125">
        <f>IF(AZ$10=IF(ISBLANK(Предпосылки!$D34),$E$10,Предпосылки!$D34),SUM($D109,$D152),0)</f>
        <v>0</v>
      </c>
      <c s="125">
        <f>IF(BA$10=IF(ISBLANK(Предпосылки!$D34),$E$10,Предпосылки!$D34),SUM($D109,$D152),0)</f>
        <v>0</v>
      </c>
      <c s="125">
        <f>IF(BB$10=IF(ISBLANK(Предпосылки!$D34),$E$10,Предпосылки!$D34),SUM($D109,$D152),0)</f>
        <v>0</v>
      </c>
      <c s="125">
        <f>IF(BC$10=IF(ISBLANK(Предпосылки!$D34),$E$10,Предпосылки!$D34),SUM($D109,$D152),0)</f>
        <v>0</v>
      </c>
      <c s="125">
        <f>IF(BD$10=IF(ISBLANK(Предпосылки!$D34),$E$10,Предпосылки!$D34),SUM($D109,$D152),0)</f>
        <v>0</v>
      </c>
      <c s="125">
        <f>IF(BE$10=IF(ISBLANK(Предпосылки!$D34),$E$10,Предпосылки!$D34),SUM($D109,$D152),0)</f>
        <v>0</v>
      </c>
      <c s="125">
        <f>IF(BF$10=IF(ISBLANK(Предпосылки!$D34),$E$10,Предпосылки!$D34),SUM($D109,$D152),0)</f>
        <v>0</v>
      </c>
      <c s="125">
        <f>IF(BG$10=IF(ISBLANK(Предпосылки!$D34),$E$10,Предпосылки!$D34),SUM($D109,$D152),0)</f>
        <v>0</v>
      </c>
      <c s="125">
        <f>IF(BH$10=IF(ISBLANK(Предпосылки!$D34),$E$10,Предпосылки!$D34),SUM($D109,$D152),0)</f>
        <v>0</v>
      </c>
      <c s="125">
        <f>IF(BI$10=IF(ISBLANK(Предпосылки!$D34),$E$10,Предпосылки!$D34),SUM($D109,$D152),0)</f>
        <v>0</v>
      </c>
      <c s="125">
        <f>IF(BJ$10=IF(ISBLANK(Предпосылки!$D34),$E$10,Предпосылки!$D34),SUM($D109,$D152),0)</f>
        <v>0</v>
      </c>
      <c s="125">
        <f>IF(BK$10=IF(ISBLANK(Предпосылки!$D34),$E$10,Предпосылки!$D34),SUM($D109,$D152),0)</f>
        <v>0</v>
      </c>
      <c s="125">
        <f>IF(BL$10=IF(ISBLANK(Предпосылки!$D34),$E$10,Предпосылки!$D34),SUM($D109,$D152),0)</f>
        <v>0</v>
      </c>
      <c s="125">
        <f>IF(BM$10=IF(ISBLANK(Предпосылки!$D34),$E$10,Предпосылки!$D34),SUM($D109,$D152),0)</f>
        <v>0</v>
      </c>
    </row>
    <row r="283" spans="2:65" ht="15" customHeight="1">
      <c r="B283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IF(E$10=IF(ISBLANK(Предпосылки!$D35),$E$10,Предпосылки!$D35),SUM($D110,$D153),0)</f>
        <v>0</v>
      </c>
      <c s="125">
        <f>IF(F$10=IF(ISBLANK(Предпосылки!$D35),$E$10,Предпосылки!$D35),SUM($D110,$D153),0)</f>
        <v>0</v>
      </c>
      <c s="125">
        <f>IF(G$10=IF(ISBLANK(Предпосылки!$D35),$E$10,Предпосылки!$D35),SUM($D110,$D153),0)</f>
        <v>0</v>
      </c>
      <c s="125">
        <f>IF(H$10=IF(ISBLANK(Предпосылки!$D35),$E$10,Предпосылки!$D35),SUM($D110,$D153),0)</f>
        <v>0</v>
      </c>
      <c s="125">
        <f>IF(I$10=IF(ISBLANK(Предпосылки!$D35),$E$10,Предпосылки!$D35),SUM($D110,$D153),0)</f>
        <v>0</v>
      </c>
      <c s="125">
        <f>IF(J$10=IF(ISBLANK(Предпосылки!$D35),$E$10,Предпосылки!$D35),SUM($D110,$D153),0)</f>
        <v>0</v>
      </c>
      <c s="125">
        <f>IF(K$10=IF(ISBLANK(Предпосылки!$D35),$E$10,Предпосылки!$D35),SUM($D110,$D153),0)</f>
        <v>0</v>
      </c>
      <c s="125">
        <f>IF(L$10=IF(ISBLANK(Предпосылки!$D35),$E$10,Предпосылки!$D35),SUM($D110,$D153),0)</f>
        <v>0</v>
      </c>
      <c s="125">
        <f>IF(M$10=IF(ISBLANK(Предпосылки!$D35),$E$10,Предпосылки!$D35),SUM($D110,$D153),0)</f>
        <v>0</v>
      </c>
      <c s="125">
        <f>IF(N$10=IF(ISBLANK(Предпосылки!$D35),$E$10,Предпосылки!$D35),SUM($D110,$D153),0)</f>
        <v>0</v>
      </c>
      <c s="125">
        <f>IF(O$10=IF(ISBLANK(Предпосылки!$D35),$E$10,Предпосылки!$D35),SUM($D110,$D153),0)</f>
        <v>0</v>
      </c>
      <c s="125">
        <f>IF(P$10=IF(ISBLANK(Предпосылки!$D35),$E$10,Предпосылки!$D35),SUM($D110,$D153),0)</f>
        <v>0</v>
      </c>
      <c s="125">
        <f>IF(Q$10=IF(ISBLANK(Предпосылки!$D35),$E$10,Предпосылки!$D35),SUM($D110,$D153),0)</f>
        <v>0</v>
      </c>
      <c s="125">
        <f>IF(R$10=IF(ISBLANK(Предпосылки!$D35),$E$10,Предпосылки!$D35),SUM($D110,$D153),0)</f>
        <v>0</v>
      </c>
      <c s="125">
        <f>IF(S$10=IF(ISBLANK(Предпосылки!$D35),$E$10,Предпосылки!$D35),SUM($D110,$D153),0)</f>
        <v>0</v>
      </c>
      <c s="125">
        <f>IF(T$10=IF(ISBLANK(Предпосылки!$D35),$E$10,Предпосылки!$D35),SUM($D110,$D153),0)</f>
        <v>0</v>
      </c>
      <c s="125">
        <f>IF(U$10=IF(ISBLANK(Предпосылки!$D35),$E$10,Предпосылки!$D35),SUM($D110,$D153),0)</f>
        <v>0</v>
      </c>
      <c s="125">
        <f>IF(V$10=IF(ISBLANK(Предпосылки!$D35),$E$10,Предпосылки!$D35),SUM($D110,$D153),0)</f>
        <v>0</v>
      </c>
      <c s="125">
        <f>IF(W$10=IF(ISBLANK(Предпосылки!$D35),$E$10,Предпосылки!$D35),SUM($D110,$D153),0)</f>
        <v>0</v>
      </c>
      <c s="125">
        <f>IF(X$10=IF(ISBLANK(Предпосылки!$D35),$E$10,Предпосылки!$D35),SUM($D110,$D153),0)</f>
        <v>0</v>
      </c>
      <c s="125">
        <f>IF(Y$10=IF(ISBLANK(Предпосылки!$D35),$E$10,Предпосылки!$D35),SUM($D110,$D153),0)</f>
        <v>0</v>
      </c>
      <c s="125">
        <f>IF(Z$10=IF(ISBLANK(Предпосылки!$D35),$E$10,Предпосылки!$D35),SUM($D110,$D153),0)</f>
        <v>0</v>
      </c>
      <c s="125">
        <f>IF(AA$10=IF(ISBLANK(Предпосылки!$D35),$E$10,Предпосылки!$D35),SUM($D110,$D153),0)</f>
        <v>0</v>
      </c>
      <c s="125">
        <f>IF(AB$10=IF(ISBLANK(Предпосылки!$D35),$E$10,Предпосылки!$D35),SUM($D110,$D153),0)</f>
        <v>0</v>
      </c>
      <c s="125">
        <f>IF(AC$10=IF(ISBLANK(Предпосылки!$D35),$E$10,Предпосылки!$D35),SUM($D110,$D153),0)</f>
        <v>0</v>
      </c>
      <c s="125">
        <f>IF(AD$10=IF(ISBLANK(Предпосылки!$D35),$E$10,Предпосылки!$D35),SUM($D110,$D153),0)</f>
        <v>0</v>
      </c>
      <c s="125">
        <f>IF(AE$10=IF(ISBLANK(Предпосылки!$D35),$E$10,Предпосылки!$D35),SUM($D110,$D153),0)</f>
        <v>0</v>
      </c>
      <c s="125">
        <f>IF(AF$10=IF(ISBLANK(Предпосылки!$D35),$E$10,Предпосылки!$D35),SUM($D110,$D153),0)</f>
        <v>0</v>
      </c>
      <c s="125">
        <f>IF(AG$10=IF(ISBLANK(Предпосылки!$D35),$E$10,Предпосылки!$D35),SUM($D110,$D153),0)</f>
        <v>0</v>
      </c>
      <c s="125">
        <f>IF(AH$10=IF(ISBLANK(Предпосылки!$D35),$E$10,Предпосылки!$D35),SUM($D110,$D153),0)</f>
        <v>0</v>
      </c>
      <c s="125">
        <f>IF(AI$10=IF(ISBLANK(Предпосылки!$D35),$E$10,Предпосылки!$D35),SUM($D110,$D153),0)</f>
        <v>0</v>
      </c>
      <c s="125">
        <f>IF(AJ$10=IF(ISBLANK(Предпосылки!$D35),$E$10,Предпосылки!$D35),SUM($D110,$D153),0)</f>
        <v>0</v>
      </c>
      <c s="125">
        <f>IF(AK$10=IF(ISBLANK(Предпосылки!$D35),$E$10,Предпосылки!$D35),SUM($D110,$D153),0)</f>
        <v>0</v>
      </c>
      <c s="125">
        <f>IF(AL$10=IF(ISBLANK(Предпосылки!$D35),$E$10,Предпосылки!$D35),SUM($D110,$D153),0)</f>
        <v>0</v>
      </c>
      <c s="125">
        <f>IF(AM$10=IF(ISBLANK(Предпосылки!$D35),$E$10,Предпосылки!$D35),SUM($D110,$D153),0)</f>
        <v>0</v>
      </c>
      <c s="125">
        <f>IF(AN$10=IF(ISBLANK(Предпосылки!$D35),$E$10,Предпосылки!$D35),SUM($D110,$D153),0)</f>
        <v>0</v>
      </c>
      <c s="125">
        <f>IF(AO$10=IF(ISBLANK(Предпосылки!$D35),$E$10,Предпосылки!$D35),SUM($D110,$D153),0)</f>
        <v>0</v>
      </c>
      <c s="125">
        <f>IF(AP$10=IF(ISBLANK(Предпосылки!$D35),$E$10,Предпосылки!$D35),SUM($D110,$D153),0)</f>
        <v>0</v>
      </c>
      <c s="125">
        <f>IF(AQ$10=IF(ISBLANK(Предпосылки!$D35),$E$10,Предпосылки!$D35),SUM($D110,$D153),0)</f>
        <v>0</v>
      </c>
      <c s="125">
        <f>IF(AR$10=IF(ISBLANK(Предпосылки!$D35),$E$10,Предпосылки!$D35),SUM($D110,$D153),0)</f>
        <v>0</v>
      </c>
      <c s="125">
        <f>IF(AS$10=IF(ISBLANK(Предпосылки!$D35),$E$10,Предпосылки!$D35),SUM($D110,$D153),0)</f>
        <v>0</v>
      </c>
      <c s="125">
        <f>IF(AT$10=IF(ISBLANK(Предпосылки!$D35),$E$10,Предпосылки!$D35),SUM($D110,$D153),0)</f>
        <v>0</v>
      </c>
      <c s="125">
        <f>IF(AU$10=IF(ISBLANK(Предпосылки!$D35),$E$10,Предпосылки!$D35),SUM($D110,$D153),0)</f>
        <v>0</v>
      </c>
      <c s="125">
        <f>IF(AV$10=IF(ISBLANK(Предпосылки!$D35),$E$10,Предпосылки!$D35),SUM($D110,$D153),0)</f>
        <v>0</v>
      </c>
      <c s="125">
        <f>IF(AW$10=IF(ISBLANK(Предпосылки!$D35),$E$10,Предпосылки!$D35),SUM($D110,$D153),0)</f>
        <v>0</v>
      </c>
      <c s="125">
        <f>IF(AX$10=IF(ISBLANK(Предпосылки!$D35),$E$10,Предпосылки!$D35),SUM($D110,$D153),0)</f>
        <v>0</v>
      </c>
      <c s="125">
        <f>IF(AY$10=IF(ISBLANK(Предпосылки!$D35),$E$10,Предпосылки!$D35),SUM($D110,$D153),0)</f>
        <v>0</v>
      </c>
      <c s="125">
        <f>IF(AZ$10=IF(ISBLANK(Предпосылки!$D35),$E$10,Предпосылки!$D35),SUM($D110,$D153),0)</f>
        <v>0</v>
      </c>
      <c s="125">
        <f>IF(BA$10=IF(ISBLANK(Предпосылки!$D35),$E$10,Предпосылки!$D35),SUM($D110,$D153),0)</f>
        <v>0</v>
      </c>
      <c s="125">
        <f>IF(BB$10=IF(ISBLANK(Предпосылки!$D35),$E$10,Предпосылки!$D35),SUM($D110,$D153),0)</f>
        <v>0</v>
      </c>
      <c s="125">
        <f>IF(BC$10=IF(ISBLANK(Предпосылки!$D35),$E$10,Предпосылки!$D35),SUM($D110,$D153),0)</f>
        <v>0</v>
      </c>
      <c s="125">
        <f>IF(BD$10=IF(ISBLANK(Предпосылки!$D35),$E$10,Предпосылки!$D35),SUM($D110,$D153),0)</f>
        <v>0</v>
      </c>
      <c s="125">
        <f>IF(BE$10=IF(ISBLANK(Предпосылки!$D35),$E$10,Предпосылки!$D35),SUM($D110,$D153),0)</f>
        <v>0</v>
      </c>
      <c s="125">
        <f>IF(BF$10=IF(ISBLANK(Предпосылки!$D35),$E$10,Предпосылки!$D35),SUM($D110,$D153),0)</f>
        <v>0</v>
      </c>
      <c s="125">
        <f>IF(BG$10=IF(ISBLANK(Предпосылки!$D35),$E$10,Предпосылки!$D35),SUM($D110,$D153),0)</f>
        <v>0</v>
      </c>
      <c s="125">
        <f>IF(BH$10=IF(ISBLANK(Предпосылки!$D35),$E$10,Предпосылки!$D35),SUM($D110,$D153),0)</f>
        <v>0</v>
      </c>
      <c s="125">
        <f>IF(BI$10=IF(ISBLANK(Предпосылки!$D35),$E$10,Предпосылки!$D35),SUM($D110,$D153),0)</f>
        <v>0</v>
      </c>
      <c s="125">
        <f>IF(BJ$10=IF(ISBLANK(Предпосылки!$D35),$E$10,Предпосылки!$D35),SUM($D110,$D153),0)</f>
        <v>0</v>
      </c>
      <c s="125">
        <f>IF(BK$10=IF(ISBLANK(Предпосылки!$D35),$E$10,Предпосылки!$D35),SUM($D110,$D153),0)</f>
        <v>0</v>
      </c>
      <c s="125">
        <f>IF(BL$10=IF(ISBLANK(Предпосылки!$D35),$E$10,Предпосылки!$D35),SUM($D110,$D153),0)</f>
        <v>0</v>
      </c>
      <c s="125">
        <f>IF(BM$10=IF(ISBLANK(Предпосылки!$D35),$E$10,Предпосылки!$D35),SUM($D110,$D153),0)</f>
        <v>0</v>
      </c>
    </row>
    <row r="284" spans="2:65" ht="15" customHeight="1">
      <c r="B284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IF(E$10=IF(ISBLANK(Предпосылки!$D36),$E$10,Предпосылки!$D36),SUM($D111,$D154),0)</f>
        <v>0</v>
      </c>
      <c s="125">
        <f>IF(F$10=IF(ISBLANK(Предпосылки!$D36),$E$10,Предпосылки!$D36),SUM($D111,$D154),0)</f>
        <v>0</v>
      </c>
      <c s="125">
        <f>IF(G$10=IF(ISBLANK(Предпосылки!$D36),$E$10,Предпосылки!$D36),SUM($D111,$D154),0)</f>
        <v>0</v>
      </c>
      <c s="125">
        <f>IF(H$10=IF(ISBLANK(Предпосылки!$D36),$E$10,Предпосылки!$D36),SUM($D111,$D154),0)</f>
        <v>0</v>
      </c>
      <c s="125">
        <f>IF(I$10=IF(ISBLANK(Предпосылки!$D36),$E$10,Предпосылки!$D36),SUM($D111,$D154),0)</f>
        <v>0</v>
      </c>
      <c s="125">
        <f>IF(J$10=IF(ISBLANK(Предпосылки!$D36),$E$10,Предпосылки!$D36),SUM($D111,$D154),0)</f>
        <v>0</v>
      </c>
      <c s="125">
        <f>IF(K$10=IF(ISBLANK(Предпосылки!$D36),$E$10,Предпосылки!$D36),SUM($D111,$D154),0)</f>
        <v>0</v>
      </c>
      <c s="125">
        <f>IF(L$10=IF(ISBLANK(Предпосылки!$D36),$E$10,Предпосылки!$D36),SUM($D111,$D154),0)</f>
        <v>0</v>
      </c>
      <c s="125">
        <f>IF(M$10=IF(ISBLANK(Предпосылки!$D36),$E$10,Предпосылки!$D36),SUM($D111,$D154),0)</f>
        <v>0</v>
      </c>
      <c s="125">
        <f>IF(N$10=IF(ISBLANK(Предпосылки!$D36),$E$10,Предпосылки!$D36),SUM($D111,$D154),0)</f>
        <v>0</v>
      </c>
      <c s="125">
        <f>IF(O$10=IF(ISBLANK(Предпосылки!$D36),$E$10,Предпосылки!$D36),SUM($D111,$D154),0)</f>
        <v>0</v>
      </c>
      <c s="125">
        <f>IF(P$10=IF(ISBLANK(Предпосылки!$D36),$E$10,Предпосылки!$D36),SUM($D111,$D154),0)</f>
        <v>0</v>
      </c>
      <c s="125">
        <f>IF(Q$10=IF(ISBLANK(Предпосылки!$D36),$E$10,Предпосылки!$D36),SUM($D111,$D154),0)</f>
        <v>0</v>
      </c>
      <c s="125">
        <f>IF(R$10=IF(ISBLANK(Предпосылки!$D36),$E$10,Предпосылки!$D36),SUM($D111,$D154),0)</f>
        <v>0</v>
      </c>
      <c s="125">
        <f>IF(S$10=IF(ISBLANK(Предпосылки!$D36),$E$10,Предпосылки!$D36),SUM($D111,$D154),0)</f>
        <v>0</v>
      </c>
      <c s="125">
        <f>IF(T$10=IF(ISBLANK(Предпосылки!$D36),$E$10,Предпосылки!$D36),SUM($D111,$D154),0)</f>
        <v>0</v>
      </c>
      <c s="125">
        <f>IF(U$10=IF(ISBLANK(Предпосылки!$D36),$E$10,Предпосылки!$D36),SUM($D111,$D154),0)</f>
        <v>0</v>
      </c>
      <c s="125">
        <f>IF(V$10=IF(ISBLANK(Предпосылки!$D36),$E$10,Предпосылки!$D36),SUM($D111,$D154),0)</f>
        <v>0</v>
      </c>
      <c s="125">
        <f>IF(W$10=IF(ISBLANK(Предпосылки!$D36),$E$10,Предпосылки!$D36),SUM($D111,$D154),0)</f>
        <v>0</v>
      </c>
      <c s="125">
        <f>IF(X$10=IF(ISBLANK(Предпосылки!$D36),$E$10,Предпосылки!$D36),SUM($D111,$D154),0)</f>
        <v>0</v>
      </c>
      <c s="125">
        <f>IF(Y$10=IF(ISBLANK(Предпосылки!$D36),$E$10,Предпосылки!$D36),SUM($D111,$D154),0)</f>
        <v>0</v>
      </c>
      <c s="125">
        <f>IF(Z$10=IF(ISBLANK(Предпосылки!$D36),$E$10,Предпосылки!$D36),SUM($D111,$D154),0)</f>
        <v>0</v>
      </c>
      <c s="125">
        <f>IF(AA$10=IF(ISBLANK(Предпосылки!$D36),$E$10,Предпосылки!$D36),SUM($D111,$D154),0)</f>
        <v>0</v>
      </c>
      <c s="125">
        <f>IF(AB$10=IF(ISBLANK(Предпосылки!$D36),$E$10,Предпосылки!$D36),SUM($D111,$D154),0)</f>
        <v>0</v>
      </c>
      <c s="125">
        <f>IF(AC$10=IF(ISBLANK(Предпосылки!$D36),$E$10,Предпосылки!$D36),SUM($D111,$D154),0)</f>
        <v>0</v>
      </c>
      <c s="125">
        <f>IF(AD$10=IF(ISBLANK(Предпосылки!$D36),$E$10,Предпосылки!$D36),SUM($D111,$D154),0)</f>
        <v>0</v>
      </c>
      <c s="125">
        <f>IF(AE$10=IF(ISBLANK(Предпосылки!$D36),$E$10,Предпосылки!$D36),SUM($D111,$D154),0)</f>
        <v>0</v>
      </c>
      <c s="125">
        <f>IF(AF$10=IF(ISBLANK(Предпосылки!$D36),$E$10,Предпосылки!$D36),SUM($D111,$D154),0)</f>
        <v>0</v>
      </c>
      <c s="125">
        <f>IF(AG$10=IF(ISBLANK(Предпосылки!$D36),$E$10,Предпосылки!$D36),SUM($D111,$D154),0)</f>
        <v>0</v>
      </c>
      <c s="125">
        <f>IF(AH$10=IF(ISBLANK(Предпосылки!$D36),$E$10,Предпосылки!$D36),SUM($D111,$D154),0)</f>
        <v>0</v>
      </c>
      <c s="125">
        <f>IF(AI$10=IF(ISBLANK(Предпосылки!$D36),$E$10,Предпосылки!$D36),SUM($D111,$D154),0)</f>
        <v>0</v>
      </c>
      <c s="125">
        <f>IF(AJ$10=IF(ISBLANK(Предпосылки!$D36),$E$10,Предпосылки!$D36),SUM($D111,$D154),0)</f>
        <v>0</v>
      </c>
      <c s="125">
        <f>IF(AK$10=IF(ISBLANK(Предпосылки!$D36),$E$10,Предпосылки!$D36),SUM($D111,$D154),0)</f>
        <v>0</v>
      </c>
      <c s="125">
        <f>IF(AL$10=IF(ISBLANK(Предпосылки!$D36),$E$10,Предпосылки!$D36),SUM($D111,$D154),0)</f>
        <v>0</v>
      </c>
      <c s="125">
        <f>IF(AM$10=IF(ISBLANK(Предпосылки!$D36),$E$10,Предпосылки!$D36),SUM($D111,$D154),0)</f>
        <v>0</v>
      </c>
      <c s="125">
        <f>IF(AN$10=IF(ISBLANK(Предпосылки!$D36),$E$10,Предпосылки!$D36),SUM($D111,$D154),0)</f>
        <v>0</v>
      </c>
      <c s="125">
        <f>IF(AO$10=IF(ISBLANK(Предпосылки!$D36),$E$10,Предпосылки!$D36),SUM($D111,$D154),0)</f>
        <v>0</v>
      </c>
      <c s="125">
        <f>IF(AP$10=IF(ISBLANK(Предпосылки!$D36),$E$10,Предпосылки!$D36),SUM($D111,$D154),0)</f>
        <v>0</v>
      </c>
      <c s="125">
        <f>IF(AQ$10=IF(ISBLANK(Предпосылки!$D36),$E$10,Предпосылки!$D36),SUM($D111,$D154),0)</f>
        <v>0</v>
      </c>
      <c s="125">
        <f>IF(AR$10=IF(ISBLANK(Предпосылки!$D36),$E$10,Предпосылки!$D36),SUM($D111,$D154),0)</f>
        <v>0</v>
      </c>
      <c s="125">
        <f>IF(AS$10=IF(ISBLANK(Предпосылки!$D36),$E$10,Предпосылки!$D36),SUM($D111,$D154),0)</f>
        <v>0</v>
      </c>
      <c s="125">
        <f>IF(AT$10=IF(ISBLANK(Предпосылки!$D36),$E$10,Предпосылки!$D36),SUM($D111,$D154),0)</f>
        <v>0</v>
      </c>
      <c s="125">
        <f>IF(AU$10=IF(ISBLANK(Предпосылки!$D36),$E$10,Предпосылки!$D36),SUM($D111,$D154),0)</f>
        <v>0</v>
      </c>
      <c s="125">
        <f>IF(AV$10=IF(ISBLANK(Предпосылки!$D36),$E$10,Предпосылки!$D36),SUM($D111,$D154),0)</f>
        <v>0</v>
      </c>
      <c s="125">
        <f>IF(AW$10=IF(ISBLANK(Предпосылки!$D36),$E$10,Предпосылки!$D36),SUM($D111,$D154),0)</f>
        <v>0</v>
      </c>
      <c s="125">
        <f>IF(AX$10=IF(ISBLANK(Предпосылки!$D36),$E$10,Предпосылки!$D36),SUM($D111,$D154),0)</f>
        <v>0</v>
      </c>
      <c s="125">
        <f>IF(AY$10=IF(ISBLANK(Предпосылки!$D36),$E$10,Предпосылки!$D36),SUM($D111,$D154),0)</f>
        <v>0</v>
      </c>
      <c s="125">
        <f>IF(AZ$10=IF(ISBLANK(Предпосылки!$D36),$E$10,Предпосылки!$D36),SUM($D111,$D154),0)</f>
        <v>0</v>
      </c>
      <c s="125">
        <f>IF(BA$10=IF(ISBLANK(Предпосылки!$D36),$E$10,Предпосылки!$D36),SUM($D111,$D154),0)</f>
        <v>0</v>
      </c>
      <c s="125">
        <f>IF(BB$10=IF(ISBLANK(Предпосылки!$D36),$E$10,Предпосылки!$D36),SUM($D111,$D154),0)</f>
        <v>0</v>
      </c>
      <c s="125">
        <f>IF(BC$10=IF(ISBLANK(Предпосылки!$D36),$E$10,Предпосылки!$D36),SUM($D111,$D154),0)</f>
        <v>0</v>
      </c>
      <c s="125">
        <f>IF(BD$10=IF(ISBLANK(Предпосылки!$D36),$E$10,Предпосылки!$D36),SUM($D111,$D154),0)</f>
        <v>0</v>
      </c>
      <c s="125">
        <f>IF(BE$10=IF(ISBLANK(Предпосылки!$D36),$E$10,Предпосылки!$D36),SUM($D111,$D154),0)</f>
        <v>0</v>
      </c>
      <c s="125">
        <f>IF(BF$10=IF(ISBLANK(Предпосылки!$D36),$E$10,Предпосылки!$D36),SUM($D111,$D154),0)</f>
        <v>0</v>
      </c>
      <c s="125">
        <f>IF(BG$10=IF(ISBLANK(Предпосылки!$D36),$E$10,Предпосылки!$D36),SUM($D111,$D154),0)</f>
        <v>0</v>
      </c>
      <c s="125">
        <f>IF(BH$10=IF(ISBLANK(Предпосылки!$D36),$E$10,Предпосылки!$D36),SUM($D111,$D154),0)</f>
        <v>0</v>
      </c>
      <c s="125">
        <f>IF(BI$10=IF(ISBLANK(Предпосылки!$D36),$E$10,Предпосылки!$D36),SUM($D111,$D154),0)</f>
        <v>0</v>
      </c>
      <c s="125">
        <f>IF(BJ$10=IF(ISBLANK(Предпосылки!$D36),$E$10,Предпосылки!$D36),SUM($D111,$D154),0)</f>
        <v>0</v>
      </c>
      <c s="125">
        <f>IF(BK$10=IF(ISBLANK(Предпосылки!$D36),$E$10,Предпосылки!$D36),SUM($D111,$D154),0)</f>
        <v>0</v>
      </c>
      <c s="125">
        <f>IF(BL$10=IF(ISBLANK(Предпосылки!$D36),$E$10,Предпосылки!$D36),SUM($D111,$D154),0)</f>
        <v>0</v>
      </c>
      <c s="125">
        <f>IF(BM$10=IF(ISBLANK(Предпосылки!$D36),$E$10,Предпосылки!$D36),SUM($D111,$D154),0)</f>
        <v>0</v>
      </c>
    </row>
    <row r="285" spans="2:65" ht="15" customHeight="1">
      <c r="B285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IF(E$10=IF(ISBLANK(Предпосылки!$D37),$E$10,Предпосылки!$D37),SUM($D112,$D155),0)</f>
        <v>0</v>
      </c>
      <c s="125">
        <f>IF(F$10=IF(ISBLANK(Предпосылки!$D37),$E$10,Предпосылки!$D37),SUM($D112,$D155),0)</f>
        <v>0</v>
      </c>
      <c s="125">
        <f>IF(G$10=IF(ISBLANK(Предпосылки!$D37),$E$10,Предпосылки!$D37),SUM($D112,$D155),0)</f>
        <v>0</v>
      </c>
      <c s="125">
        <f>IF(H$10=IF(ISBLANK(Предпосылки!$D37),$E$10,Предпосылки!$D37),SUM($D112,$D155),0)</f>
        <v>0</v>
      </c>
      <c s="125">
        <f>IF(I$10=IF(ISBLANK(Предпосылки!$D37),$E$10,Предпосылки!$D37),SUM($D112,$D155),0)</f>
        <v>0</v>
      </c>
      <c s="125">
        <f>IF(J$10=IF(ISBLANK(Предпосылки!$D37),$E$10,Предпосылки!$D37),SUM($D112,$D155),0)</f>
        <v>0</v>
      </c>
      <c s="125">
        <f>IF(K$10=IF(ISBLANK(Предпосылки!$D37),$E$10,Предпосылки!$D37),SUM($D112,$D155),0)</f>
        <v>0</v>
      </c>
      <c s="125">
        <f>IF(L$10=IF(ISBLANK(Предпосылки!$D37),$E$10,Предпосылки!$D37),SUM($D112,$D155),0)</f>
        <v>0</v>
      </c>
      <c s="125">
        <f>IF(M$10=IF(ISBLANK(Предпосылки!$D37),$E$10,Предпосылки!$D37),SUM($D112,$D155),0)</f>
        <v>0</v>
      </c>
      <c s="125">
        <f>IF(N$10=IF(ISBLANK(Предпосылки!$D37),$E$10,Предпосылки!$D37),SUM($D112,$D155),0)</f>
        <v>0</v>
      </c>
      <c s="125">
        <f>IF(O$10=IF(ISBLANK(Предпосылки!$D37),$E$10,Предпосылки!$D37),SUM($D112,$D155),0)</f>
        <v>0</v>
      </c>
      <c s="125">
        <f>IF(P$10=IF(ISBLANK(Предпосылки!$D37),$E$10,Предпосылки!$D37),SUM($D112,$D155),0)</f>
        <v>0</v>
      </c>
      <c s="125">
        <f>IF(Q$10=IF(ISBLANK(Предпосылки!$D37),$E$10,Предпосылки!$D37),SUM($D112,$D155),0)</f>
        <v>0</v>
      </c>
      <c s="125">
        <f>IF(R$10=IF(ISBLANK(Предпосылки!$D37),$E$10,Предпосылки!$D37),SUM($D112,$D155),0)</f>
        <v>0</v>
      </c>
      <c s="125">
        <f>IF(S$10=IF(ISBLANK(Предпосылки!$D37),$E$10,Предпосылки!$D37),SUM($D112,$D155),0)</f>
        <v>0</v>
      </c>
      <c s="125">
        <f>IF(T$10=IF(ISBLANK(Предпосылки!$D37),$E$10,Предпосылки!$D37),SUM($D112,$D155),0)</f>
        <v>0</v>
      </c>
      <c s="125">
        <f>IF(U$10=IF(ISBLANK(Предпосылки!$D37),$E$10,Предпосылки!$D37),SUM($D112,$D155),0)</f>
        <v>0</v>
      </c>
      <c s="125">
        <f>IF(V$10=IF(ISBLANK(Предпосылки!$D37),$E$10,Предпосылки!$D37),SUM($D112,$D155),0)</f>
        <v>0</v>
      </c>
      <c s="125">
        <f>IF(W$10=IF(ISBLANK(Предпосылки!$D37),$E$10,Предпосылки!$D37),SUM($D112,$D155),0)</f>
        <v>0</v>
      </c>
      <c s="125">
        <f>IF(X$10=IF(ISBLANK(Предпосылки!$D37),$E$10,Предпосылки!$D37),SUM($D112,$D155),0)</f>
        <v>0</v>
      </c>
      <c s="125">
        <f>IF(Y$10=IF(ISBLANK(Предпосылки!$D37),$E$10,Предпосылки!$D37),SUM($D112,$D155),0)</f>
        <v>0</v>
      </c>
      <c s="125">
        <f>IF(Z$10=IF(ISBLANK(Предпосылки!$D37),$E$10,Предпосылки!$D37),SUM($D112,$D155),0)</f>
        <v>0</v>
      </c>
      <c s="125">
        <f>IF(AA$10=IF(ISBLANK(Предпосылки!$D37),$E$10,Предпосылки!$D37),SUM($D112,$D155),0)</f>
        <v>0</v>
      </c>
      <c s="125">
        <f>IF(AB$10=IF(ISBLANK(Предпосылки!$D37),$E$10,Предпосылки!$D37),SUM($D112,$D155),0)</f>
        <v>0</v>
      </c>
      <c s="125">
        <f>IF(AC$10=IF(ISBLANK(Предпосылки!$D37),$E$10,Предпосылки!$D37),SUM($D112,$D155),0)</f>
        <v>0</v>
      </c>
      <c s="125">
        <f>IF(AD$10=IF(ISBLANK(Предпосылки!$D37),$E$10,Предпосылки!$D37),SUM($D112,$D155),0)</f>
        <v>0</v>
      </c>
      <c s="125">
        <f>IF(AE$10=IF(ISBLANK(Предпосылки!$D37),$E$10,Предпосылки!$D37),SUM($D112,$D155),0)</f>
        <v>0</v>
      </c>
      <c s="125">
        <f>IF(AF$10=IF(ISBLANK(Предпосылки!$D37),$E$10,Предпосылки!$D37),SUM($D112,$D155),0)</f>
        <v>0</v>
      </c>
      <c s="125">
        <f>IF(AG$10=IF(ISBLANK(Предпосылки!$D37),$E$10,Предпосылки!$D37),SUM($D112,$D155),0)</f>
        <v>0</v>
      </c>
      <c s="125">
        <f>IF(AH$10=IF(ISBLANK(Предпосылки!$D37),$E$10,Предпосылки!$D37),SUM($D112,$D155),0)</f>
        <v>0</v>
      </c>
      <c s="125">
        <f>IF(AI$10=IF(ISBLANK(Предпосылки!$D37),$E$10,Предпосылки!$D37),SUM($D112,$D155),0)</f>
        <v>0</v>
      </c>
      <c s="125">
        <f>IF(AJ$10=IF(ISBLANK(Предпосылки!$D37),$E$10,Предпосылки!$D37),SUM($D112,$D155),0)</f>
        <v>0</v>
      </c>
      <c s="125">
        <f>IF(AK$10=IF(ISBLANK(Предпосылки!$D37),$E$10,Предпосылки!$D37),SUM($D112,$D155),0)</f>
        <v>0</v>
      </c>
      <c s="125">
        <f>IF(AL$10=IF(ISBLANK(Предпосылки!$D37),$E$10,Предпосылки!$D37),SUM($D112,$D155),0)</f>
        <v>0</v>
      </c>
      <c s="125">
        <f>IF(AM$10=IF(ISBLANK(Предпосылки!$D37),$E$10,Предпосылки!$D37),SUM($D112,$D155),0)</f>
        <v>0</v>
      </c>
      <c s="125">
        <f>IF(AN$10=IF(ISBLANK(Предпосылки!$D37),$E$10,Предпосылки!$D37),SUM($D112,$D155),0)</f>
        <v>0</v>
      </c>
      <c s="125">
        <f>IF(AO$10=IF(ISBLANK(Предпосылки!$D37),$E$10,Предпосылки!$D37),SUM($D112,$D155),0)</f>
        <v>0</v>
      </c>
      <c s="125">
        <f>IF(AP$10=IF(ISBLANK(Предпосылки!$D37),$E$10,Предпосылки!$D37),SUM($D112,$D155),0)</f>
        <v>0</v>
      </c>
      <c s="125">
        <f>IF(AQ$10=IF(ISBLANK(Предпосылки!$D37),$E$10,Предпосылки!$D37),SUM($D112,$D155),0)</f>
        <v>0</v>
      </c>
      <c s="125">
        <f>IF(AR$10=IF(ISBLANK(Предпосылки!$D37),$E$10,Предпосылки!$D37),SUM($D112,$D155),0)</f>
        <v>0</v>
      </c>
      <c s="125">
        <f>IF(AS$10=IF(ISBLANK(Предпосылки!$D37),$E$10,Предпосылки!$D37),SUM($D112,$D155),0)</f>
        <v>0</v>
      </c>
      <c s="125">
        <f>IF(AT$10=IF(ISBLANK(Предпосылки!$D37),$E$10,Предпосылки!$D37),SUM($D112,$D155),0)</f>
        <v>0</v>
      </c>
      <c s="125">
        <f>IF(AU$10=IF(ISBLANK(Предпосылки!$D37),$E$10,Предпосылки!$D37),SUM($D112,$D155),0)</f>
        <v>0</v>
      </c>
      <c s="125">
        <f>IF(AV$10=IF(ISBLANK(Предпосылки!$D37),$E$10,Предпосылки!$D37),SUM($D112,$D155),0)</f>
        <v>0</v>
      </c>
      <c s="125">
        <f>IF(AW$10=IF(ISBLANK(Предпосылки!$D37),$E$10,Предпосылки!$D37),SUM($D112,$D155),0)</f>
        <v>0</v>
      </c>
      <c s="125">
        <f>IF(AX$10=IF(ISBLANK(Предпосылки!$D37),$E$10,Предпосылки!$D37),SUM($D112,$D155),0)</f>
        <v>0</v>
      </c>
      <c s="125">
        <f>IF(AY$10=IF(ISBLANK(Предпосылки!$D37),$E$10,Предпосылки!$D37),SUM($D112,$D155),0)</f>
        <v>0</v>
      </c>
      <c s="125">
        <f>IF(AZ$10=IF(ISBLANK(Предпосылки!$D37),$E$10,Предпосылки!$D37),SUM($D112,$D155),0)</f>
        <v>0</v>
      </c>
      <c s="125">
        <f>IF(BA$10=IF(ISBLANK(Предпосылки!$D37),$E$10,Предпосылки!$D37),SUM($D112,$D155),0)</f>
        <v>0</v>
      </c>
      <c s="125">
        <f>IF(BB$10=IF(ISBLANK(Предпосылки!$D37),$E$10,Предпосылки!$D37),SUM($D112,$D155),0)</f>
        <v>0</v>
      </c>
      <c s="125">
        <f>IF(BC$10=IF(ISBLANK(Предпосылки!$D37),$E$10,Предпосылки!$D37),SUM($D112,$D155),0)</f>
        <v>0</v>
      </c>
      <c s="125">
        <f>IF(BD$10=IF(ISBLANK(Предпосылки!$D37),$E$10,Предпосылки!$D37),SUM($D112,$D155),0)</f>
        <v>0</v>
      </c>
      <c s="125">
        <f>IF(BE$10=IF(ISBLANK(Предпосылки!$D37),$E$10,Предпосылки!$D37),SUM($D112,$D155),0)</f>
        <v>0</v>
      </c>
      <c s="125">
        <f>IF(BF$10=IF(ISBLANK(Предпосылки!$D37),$E$10,Предпосылки!$D37),SUM($D112,$D155),0)</f>
        <v>0</v>
      </c>
      <c s="125">
        <f>IF(BG$10=IF(ISBLANK(Предпосылки!$D37),$E$10,Предпосылки!$D37),SUM($D112,$D155),0)</f>
        <v>0</v>
      </c>
      <c s="125">
        <f>IF(BH$10=IF(ISBLANK(Предпосылки!$D37),$E$10,Предпосылки!$D37),SUM($D112,$D155),0)</f>
        <v>0</v>
      </c>
      <c s="125">
        <f>IF(BI$10=IF(ISBLANK(Предпосылки!$D37),$E$10,Предпосылки!$D37),SUM($D112,$D155),0)</f>
        <v>0</v>
      </c>
      <c s="125">
        <f>IF(BJ$10=IF(ISBLANK(Предпосылки!$D37),$E$10,Предпосылки!$D37),SUM($D112,$D155),0)</f>
        <v>0</v>
      </c>
      <c s="125">
        <f>IF(BK$10=IF(ISBLANK(Предпосылки!$D37),$E$10,Предпосылки!$D37),SUM($D112,$D155),0)</f>
        <v>0</v>
      </c>
      <c s="125">
        <f>IF(BL$10=IF(ISBLANK(Предпосылки!$D37),$E$10,Предпосылки!$D37),SUM($D112,$D155),0)</f>
        <v>0</v>
      </c>
      <c s="125">
        <f>IF(BM$10=IF(ISBLANK(Предпосылки!$D37),$E$10,Предпосылки!$D37),SUM($D112,$D155),0)</f>
        <v>0</v>
      </c>
    </row>
    <row r="286" spans="2:65" ht="15" customHeight="1">
      <c r="B286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IF(E$10=IF(ISBLANK(Предпосылки!$D38),$E$10,Предпосылки!$D38),SUM($D113,$D156),0)</f>
        <v>0</v>
      </c>
      <c s="125">
        <f>IF(F$10=IF(ISBLANK(Предпосылки!$D38),$E$10,Предпосылки!$D38),SUM($D113,$D156),0)</f>
        <v>0</v>
      </c>
      <c s="125">
        <f>IF(G$10=IF(ISBLANK(Предпосылки!$D38),$E$10,Предпосылки!$D38),SUM($D113,$D156),0)</f>
        <v>0</v>
      </c>
      <c s="125">
        <f>IF(H$10=IF(ISBLANK(Предпосылки!$D38),$E$10,Предпосылки!$D38),SUM($D113,$D156),0)</f>
        <v>0</v>
      </c>
      <c s="125">
        <f>IF(I$10=IF(ISBLANK(Предпосылки!$D38),$E$10,Предпосылки!$D38),SUM($D113,$D156),0)</f>
        <v>0</v>
      </c>
      <c s="125">
        <f>IF(J$10=IF(ISBLANK(Предпосылки!$D38),$E$10,Предпосылки!$D38),SUM($D113,$D156),0)</f>
        <v>0</v>
      </c>
      <c s="125">
        <f>IF(K$10=IF(ISBLANK(Предпосылки!$D38),$E$10,Предпосылки!$D38),SUM($D113,$D156),0)</f>
        <v>0</v>
      </c>
      <c s="125">
        <f>IF(L$10=IF(ISBLANK(Предпосылки!$D38),$E$10,Предпосылки!$D38),SUM($D113,$D156),0)</f>
        <v>0</v>
      </c>
      <c s="125">
        <f>IF(M$10=IF(ISBLANK(Предпосылки!$D38),$E$10,Предпосылки!$D38),SUM($D113,$D156),0)</f>
        <v>0</v>
      </c>
      <c s="125">
        <f>IF(N$10=IF(ISBLANK(Предпосылки!$D38),$E$10,Предпосылки!$D38),SUM($D113,$D156),0)</f>
        <v>0</v>
      </c>
      <c s="125">
        <f>IF(O$10=IF(ISBLANK(Предпосылки!$D38),$E$10,Предпосылки!$D38),SUM($D113,$D156),0)</f>
        <v>0</v>
      </c>
      <c s="125">
        <f>IF(P$10=IF(ISBLANK(Предпосылки!$D38),$E$10,Предпосылки!$D38),SUM($D113,$D156),0)</f>
        <v>0</v>
      </c>
      <c s="125">
        <f>IF(Q$10=IF(ISBLANK(Предпосылки!$D38),$E$10,Предпосылки!$D38),SUM($D113,$D156),0)</f>
        <v>0</v>
      </c>
      <c s="125">
        <f>IF(R$10=IF(ISBLANK(Предпосылки!$D38),$E$10,Предпосылки!$D38),SUM($D113,$D156),0)</f>
        <v>0</v>
      </c>
      <c s="125">
        <f>IF(S$10=IF(ISBLANK(Предпосылки!$D38),$E$10,Предпосылки!$D38),SUM($D113,$D156),0)</f>
        <v>0</v>
      </c>
      <c s="125">
        <f>IF(T$10=IF(ISBLANK(Предпосылки!$D38),$E$10,Предпосылки!$D38),SUM($D113,$D156),0)</f>
        <v>0</v>
      </c>
      <c s="125">
        <f>IF(U$10=IF(ISBLANK(Предпосылки!$D38),$E$10,Предпосылки!$D38),SUM($D113,$D156),0)</f>
        <v>0</v>
      </c>
      <c s="125">
        <f>IF(V$10=IF(ISBLANK(Предпосылки!$D38),$E$10,Предпосылки!$D38),SUM($D113,$D156),0)</f>
        <v>0</v>
      </c>
      <c s="125">
        <f>IF(W$10=IF(ISBLANK(Предпосылки!$D38),$E$10,Предпосылки!$D38),SUM($D113,$D156),0)</f>
        <v>0</v>
      </c>
      <c s="125">
        <f>IF(X$10=IF(ISBLANK(Предпосылки!$D38),$E$10,Предпосылки!$D38),SUM($D113,$D156),0)</f>
        <v>0</v>
      </c>
      <c s="125">
        <f>IF(Y$10=IF(ISBLANK(Предпосылки!$D38),$E$10,Предпосылки!$D38),SUM($D113,$D156),0)</f>
        <v>0</v>
      </c>
      <c s="125">
        <f>IF(Z$10=IF(ISBLANK(Предпосылки!$D38),$E$10,Предпосылки!$D38),SUM($D113,$D156),0)</f>
        <v>0</v>
      </c>
      <c s="125">
        <f>IF(AA$10=IF(ISBLANK(Предпосылки!$D38),$E$10,Предпосылки!$D38),SUM($D113,$D156),0)</f>
        <v>0</v>
      </c>
      <c s="125">
        <f>IF(AB$10=IF(ISBLANK(Предпосылки!$D38),$E$10,Предпосылки!$D38),SUM($D113,$D156),0)</f>
        <v>0</v>
      </c>
      <c s="125">
        <f>IF(AC$10=IF(ISBLANK(Предпосылки!$D38),$E$10,Предпосылки!$D38),SUM($D113,$D156),0)</f>
        <v>0</v>
      </c>
      <c s="125">
        <f>IF(AD$10=IF(ISBLANK(Предпосылки!$D38),$E$10,Предпосылки!$D38),SUM($D113,$D156),0)</f>
        <v>0</v>
      </c>
      <c s="125">
        <f>IF(AE$10=IF(ISBLANK(Предпосылки!$D38),$E$10,Предпосылки!$D38),SUM($D113,$D156),0)</f>
        <v>0</v>
      </c>
      <c s="125">
        <f>IF(AF$10=IF(ISBLANK(Предпосылки!$D38),$E$10,Предпосылки!$D38),SUM($D113,$D156),0)</f>
        <v>0</v>
      </c>
      <c s="125">
        <f>IF(AG$10=IF(ISBLANK(Предпосылки!$D38),$E$10,Предпосылки!$D38),SUM($D113,$D156),0)</f>
        <v>0</v>
      </c>
      <c s="125">
        <f>IF(AH$10=IF(ISBLANK(Предпосылки!$D38),$E$10,Предпосылки!$D38),SUM($D113,$D156),0)</f>
        <v>0</v>
      </c>
      <c s="125">
        <f>IF(AI$10=IF(ISBLANK(Предпосылки!$D38),$E$10,Предпосылки!$D38),SUM($D113,$D156),0)</f>
        <v>0</v>
      </c>
      <c s="125">
        <f>IF(AJ$10=IF(ISBLANK(Предпосылки!$D38),$E$10,Предпосылки!$D38),SUM($D113,$D156),0)</f>
        <v>0</v>
      </c>
      <c s="125">
        <f>IF(AK$10=IF(ISBLANK(Предпосылки!$D38),$E$10,Предпосылки!$D38),SUM($D113,$D156),0)</f>
        <v>0</v>
      </c>
      <c s="125">
        <f>IF(AL$10=IF(ISBLANK(Предпосылки!$D38),$E$10,Предпосылки!$D38),SUM($D113,$D156),0)</f>
        <v>0</v>
      </c>
      <c s="125">
        <f>IF(AM$10=IF(ISBLANK(Предпосылки!$D38),$E$10,Предпосылки!$D38),SUM($D113,$D156),0)</f>
        <v>0</v>
      </c>
      <c s="125">
        <f>IF(AN$10=IF(ISBLANK(Предпосылки!$D38),$E$10,Предпосылки!$D38),SUM($D113,$D156),0)</f>
        <v>0</v>
      </c>
      <c s="125">
        <f>IF(AO$10=IF(ISBLANK(Предпосылки!$D38),$E$10,Предпосылки!$D38),SUM($D113,$D156),0)</f>
        <v>0</v>
      </c>
      <c s="125">
        <f>IF(AP$10=IF(ISBLANK(Предпосылки!$D38),$E$10,Предпосылки!$D38),SUM($D113,$D156),0)</f>
        <v>0</v>
      </c>
      <c s="125">
        <f>IF(AQ$10=IF(ISBLANK(Предпосылки!$D38),$E$10,Предпосылки!$D38),SUM($D113,$D156),0)</f>
        <v>0</v>
      </c>
      <c s="125">
        <f>IF(AR$10=IF(ISBLANK(Предпосылки!$D38),$E$10,Предпосылки!$D38),SUM($D113,$D156),0)</f>
        <v>0</v>
      </c>
      <c s="125">
        <f>IF(AS$10=IF(ISBLANK(Предпосылки!$D38),$E$10,Предпосылки!$D38),SUM($D113,$D156),0)</f>
        <v>0</v>
      </c>
      <c s="125">
        <f>IF(AT$10=IF(ISBLANK(Предпосылки!$D38),$E$10,Предпосылки!$D38),SUM($D113,$D156),0)</f>
        <v>0</v>
      </c>
      <c s="125">
        <f>IF(AU$10=IF(ISBLANK(Предпосылки!$D38),$E$10,Предпосылки!$D38),SUM($D113,$D156),0)</f>
        <v>0</v>
      </c>
      <c s="125">
        <f>IF(AV$10=IF(ISBLANK(Предпосылки!$D38),$E$10,Предпосылки!$D38),SUM($D113,$D156),0)</f>
        <v>0</v>
      </c>
      <c s="125">
        <f>IF(AW$10=IF(ISBLANK(Предпосылки!$D38),$E$10,Предпосылки!$D38),SUM($D113,$D156),0)</f>
        <v>0</v>
      </c>
      <c s="125">
        <f>IF(AX$10=IF(ISBLANK(Предпосылки!$D38),$E$10,Предпосылки!$D38),SUM($D113,$D156),0)</f>
        <v>0</v>
      </c>
      <c s="125">
        <f>IF(AY$10=IF(ISBLANK(Предпосылки!$D38),$E$10,Предпосылки!$D38),SUM($D113,$D156),0)</f>
        <v>0</v>
      </c>
      <c s="125">
        <f>IF(AZ$10=IF(ISBLANK(Предпосылки!$D38),$E$10,Предпосылки!$D38),SUM($D113,$D156),0)</f>
        <v>0</v>
      </c>
      <c s="125">
        <f>IF(BA$10=IF(ISBLANK(Предпосылки!$D38),$E$10,Предпосылки!$D38),SUM($D113,$D156),0)</f>
        <v>0</v>
      </c>
      <c s="125">
        <f>IF(BB$10=IF(ISBLANK(Предпосылки!$D38),$E$10,Предпосылки!$D38),SUM($D113,$D156),0)</f>
        <v>0</v>
      </c>
      <c s="125">
        <f>IF(BC$10=IF(ISBLANK(Предпосылки!$D38),$E$10,Предпосылки!$D38),SUM($D113,$D156),0)</f>
        <v>0</v>
      </c>
      <c s="125">
        <f>IF(BD$10=IF(ISBLANK(Предпосылки!$D38),$E$10,Предпосылки!$D38),SUM($D113,$D156),0)</f>
        <v>0</v>
      </c>
      <c s="125">
        <f>IF(BE$10=IF(ISBLANK(Предпосылки!$D38),$E$10,Предпосылки!$D38),SUM($D113,$D156),0)</f>
        <v>0</v>
      </c>
      <c s="125">
        <f>IF(BF$10=IF(ISBLANK(Предпосылки!$D38),$E$10,Предпосылки!$D38),SUM($D113,$D156),0)</f>
        <v>0</v>
      </c>
      <c s="125">
        <f>IF(BG$10=IF(ISBLANK(Предпосылки!$D38),$E$10,Предпосылки!$D38),SUM($D113,$D156),0)</f>
        <v>0</v>
      </c>
      <c s="125">
        <f>IF(BH$10=IF(ISBLANK(Предпосылки!$D38),$E$10,Предпосылки!$D38),SUM($D113,$D156),0)</f>
        <v>0</v>
      </c>
      <c s="125">
        <f>IF(BI$10=IF(ISBLANK(Предпосылки!$D38),$E$10,Предпосылки!$D38),SUM($D113,$D156),0)</f>
        <v>0</v>
      </c>
      <c s="125">
        <f>IF(BJ$10=IF(ISBLANK(Предпосылки!$D38),$E$10,Предпосылки!$D38),SUM($D113,$D156),0)</f>
        <v>0</v>
      </c>
      <c s="125">
        <f>IF(BK$10=IF(ISBLANK(Предпосылки!$D38),$E$10,Предпосылки!$D38),SUM($D113,$D156),0)</f>
        <v>0</v>
      </c>
      <c s="125">
        <f>IF(BL$10=IF(ISBLANK(Предпосылки!$D38),$E$10,Предпосылки!$D38),SUM($D113,$D156),0)</f>
        <v>0</v>
      </c>
      <c s="125">
        <f>IF(BM$10=IF(ISBLANK(Предпосылки!$D38),$E$10,Предпосылки!$D38),SUM($D113,$D156),0)</f>
        <v>0</v>
      </c>
    </row>
    <row r="287" spans="2:65" ht="15" customHeight="1">
      <c r="B287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IF(E$10=IF(ISBLANK(Предпосылки!$D39),$E$10,Предпосылки!$D39),SUM($D114,$D157),0)</f>
        <v>0</v>
      </c>
      <c s="125">
        <f>IF(F$10=IF(ISBLANK(Предпосылки!$D39),$E$10,Предпосылки!$D39),SUM($D114,$D157),0)</f>
        <v>0</v>
      </c>
      <c s="125">
        <f>IF(G$10=IF(ISBLANK(Предпосылки!$D39),$E$10,Предпосылки!$D39),SUM($D114,$D157),0)</f>
        <v>0</v>
      </c>
      <c s="125">
        <f>IF(H$10=IF(ISBLANK(Предпосылки!$D39),$E$10,Предпосылки!$D39),SUM($D114,$D157),0)</f>
        <v>0</v>
      </c>
      <c s="125">
        <f>IF(I$10=IF(ISBLANK(Предпосылки!$D39),$E$10,Предпосылки!$D39),SUM($D114,$D157),0)</f>
        <v>0</v>
      </c>
      <c s="125">
        <f>IF(J$10=IF(ISBLANK(Предпосылки!$D39),$E$10,Предпосылки!$D39),SUM($D114,$D157),0)</f>
        <v>0</v>
      </c>
      <c s="125">
        <f>IF(K$10=IF(ISBLANK(Предпосылки!$D39),$E$10,Предпосылки!$D39),SUM($D114,$D157),0)</f>
        <v>0</v>
      </c>
      <c s="125">
        <f>IF(L$10=IF(ISBLANK(Предпосылки!$D39),$E$10,Предпосылки!$D39),SUM($D114,$D157),0)</f>
        <v>0</v>
      </c>
      <c s="125">
        <f>IF(M$10=IF(ISBLANK(Предпосылки!$D39),$E$10,Предпосылки!$D39),SUM($D114,$D157),0)</f>
        <v>0</v>
      </c>
      <c s="125">
        <f>IF(N$10=IF(ISBLANK(Предпосылки!$D39),$E$10,Предпосылки!$D39),SUM($D114,$D157),0)</f>
        <v>0</v>
      </c>
      <c s="125">
        <f>IF(O$10=IF(ISBLANK(Предпосылки!$D39),$E$10,Предпосылки!$D39),SUM($D114,$D157),0)</f>
        <v>0</v>
      </c>
      <c s="125">
        <f>IF(P$10=IF(ISBLANK(Предпосылки!$D39),$E$10,Предпосылки!$D39),SUM($D114,$D157),0)</f>
        <v>0</v>
      </c>
      <c s="125">
        <f>IF(Q$10=IF(ISBLANK(Предпосылки!$D39),$E$10,Предпосылки!$D39),SUM($D114,$D157),0)</f>
        <v>0</v>
      </c>
      <c s="125">
        <f>IF(R$10=IF(ISBLANK(Предпосылки!$D39),$E$10,Предпосылки!$D39),SUM($D114,$D157),0)</f>
        <v>0</v>
      </c>
      <c s="125">
        <f>IF(S$10=IF(ISBLANK(Предпосылки!$D39),$E$10,Предпосылки!$D39),SUM($D114,$D157),0)</f>
        <v>0</v>
      </c>
      <c s="125">
        <f>IF(T$10=IF(ISBLANK(Предпосылки!$D39),$E$10,Предпосылки!$D39),SUM($D114,$D157),0)</f>
        <v>0</v>
      </c>
      <c s="125">
        <f>IF(U$10=IF(ISBLANK(Предпосылки!$D39),$E$10,Предпосылки!$D39),SUM($D114,$D157),0)</f>
        <v>0</v>
      </c>
      <c s="125">
        <f>IF(V$10=IF(ISBLANK(Предпосылки!$D39),$E$10,Предпосылки!$D39),SUM($D114,$D157),0)</f>
        <v>0</v>
      </c>
      <c s="125">
        <f>IF(W$10=IF(ISBLANK(Предпосылки!$D39),$E$10,Предпосылки!$D39),SUM($D114,$D157),0)</f>
        <v>0</v>
      </c>
      <c s="125">
        <f>IF(X$10=IF(ISBLANK(Предпосылки!$D39),$E$10,Предпосылки!$D39),SUM($D114,$D157),0)</f>
        <v>0</v>
      </c>
      <c s="125">
        <f>IF(Y$10=IF(ISBLANK(Предпосылки!$D39),$E$10,Предпосылки!$D39),SUM($D114,$D157),0)</f>
        <v>0</v>
      </c>
      <c s="125">
        <f>IF(Z$10=IF(ISBLANK(Предпосылки!$D39),$E$10,Предпосылки!$D39),SUM($D114,$D157),0)</f>
        <v>0</v>
      </c>
      <c s="125">
        <f>IF(AA$10=IF(ISBLANK(Предпосылки!$D39),$E$10,Предпосылки!$D39),SUM($D114,$D157),0)</f>
        <v>0</v>
      </c>
      <c s="125">
        <f>IF(AB$10=IF(ISBLANK(Предпосылки!$D39),$E$10,Предпосылки!$D39),SUM($D114,$D157),0)</f>
        <v>0</v>
      </c>
      <c s="125">
        <f>IF(AC$10=IF(ISBLANK(Предпосылки!$D39),$E$10,Предпосылки!$D39),SUM($D114,$D157),0)</f>
        <v>0</v>
      </c>
      <c s="125">
        <f>IF(AD$10=IF(ISBLANK(Предпосылки!$D39),$E$10,Предпосылки!$D39),SUM($D114,$D157),0)</f>
        <v>0</v>
      </c>
      <c s="125">
        <f>IF(AE$10=IF(ISBLANK(Предпосылки!$D39),$E$10,Предпосылки!$D39),SUM($D114,$D157),0)</f>
        <v>0</v>
      </c>
      <c s="125">
        <f>IF(AF$10=IF(ISBLANK(Предпосылки!$D39),$E$10,Предпосылки!$D39),SUM($D114,$D157),0)</f>
        <v>0</v>
      </c>
      <c s="125">
        <f>IF(AG$10=IF(ISBLANK(Предпосылки!$D39),$E$10,Предпосылки!$D39),SUM($D114,$D157),0)</f>
        <v>0</v>
      </c>
      <c s="125">
        <f>IF(AH$10=IF(ISBLANK(Предпосылки!$D39),$E$10,Предпосылки!$D39),SUM($D114,$D157),0)</f>
        <v>0</v>
      </c>
      <c s="125">
        <f>IF(AI$10=IF(ISBLANK(Предпосылки!$D39),$E$10,Предпосылки!$D39),SUM($D114,$D157),0)</f>
        <v>0</v>
      </c>
      <c s="125">
        <f>IF(AJ$10=IF(ISBLANK(Предпосылки!$D39),$E$10,Предпосылки!$D39),SUM($D114,$D157),0)</f>
        <v>0</v>
      </c>
      <c s="125">
        <f>IF(AK$10=IF(ISBLANK(Предпосылки!$D39),$E$10,Предпосылки!$D39),SUM($D114,$D157),0)</f>
        <v>0</v>
      </c>
      <c s="125">
        <f>IF(AL$10=IF(ISBLANK(Предпосылки!$D39),$E$10,Предпосылки!$D39),SUM($D114,$D157),0)</f>
        <v>0</v>
      </c>
      <c s="125">
        <f>IF(AM$10=IF(ISBLANK(Предпосылки!$D39),$E$10,Предпосылки!$D39),SUM($D114,$D157),0)</f>
        <v>0</v>
      </c>
      <c s="125">
        <f>IF(AN$10=IF(ISBLANK(Предпосылки!$D39),$E$10,Предпосылки!$D39),SUM($D114,$D157),0)</f>
        <v>0</v>
      </c>
      <c s="125">
        <f>IF(AO$10=IF(ISBLANK(Предпосылки!$D39),$E$10,Предпосылки!$D39),SUM($D114,$D157),0)</f>
        <v>0</v>
      </c>
      <c s="125">
        <f>IF(AP$10=IF(ISBLANK(Предпосылки!$D39),$E$10,Предпосылки!$D39),SUM($D114,$D157),0)</f>
        <v>0</v>
      </c>
      <c s="125">
        <f>IF(AQ$10=IF(ISBLANK(Предпосылки!$D39),$E$10,Предпосылки!$D39),SUM($D114,$D157),0)</f>
        <v>0</v>
      </c>
      <c s="125">
        <f>IF(AR$10=IF(ISBLANK(Предпосылки!$D39),$E$10,Предпосылки!$D39),SUM($D114,$D157),0)</f>
        <v>0</v>
      </c>
      <c s="125">
        <f>IF(AS$10=IF(ISBLANK(Предпосылки!$D39),$E$10,Предпосылки!$D39),SUM($D114,$D157),0)</f>
        <v>0</v>
      </c>
      <c s="125">
        <f>IF(AT$10=IF(ISBLANK(Предпосылки!$D39),$E$10,Предпосылки!$D39),SUM($D114,$D157),0)</f>
        <v>0</v>
      </c>
      <c s="125">
        <f>IF(AU$10=IF(ISBLANK(Предпосылки!$D39),$E$10,Предпосылки!$D39),SUM($D114,$D157),0)</f>
        <v>0</v>
      </c>
      <c s="125">
        <f>IF(AV$10=IF(ISBLANK(Предпосылки!$D39),$E$10,Предпосылки!$D39),SUM($D114,$D157),0)</f>
        <v>0</v>
      </c>
      <c s="125">
        <f>IF(AW$10=IF(ISBLANK(Предпосылки!$D39),$E$10,Предпосылки!$D39),SUM($D114,$D157),0)</f>
        <v>0</v>
      </c>
      <c s="125">
        <f>IF(AX$10=IF(ISBLANK(Предпосылки!$D39),$E$10,Предпосылки!$D39),SUM($D114,$D157),0)</f>
        <v>0</v>
      </c>
      <c s="125">
        <f>IF(AY$10=IF(ISBLANK(Предпосылки!$D39),$E$10,Предпосылки!$D39),SUM($D114,$D157),0)</f>
        <v>0</v>
      </c>
      <c s="125">
        <f>IF(AZ$10=IF(ISBLANK(Предпосылки!$D39),$E$10,Предпосылки!$D39),SUM($D114,$D157),0)</f>
        <v>0</v>
      </c>
      <c s="125">
        <f>IF(BA$10=IF(ISBLANK(Предпосылки!$D39),$E$10,Предпосылки!$D39),SUM($D114,$D157),0)</f>
        <v>0</v>
      </c>
      <c s="125">
        <f>IF(BB$10=IF(ISBLANK(Предпосылки!$D39),$E$10,Предпосылки!$D39),SUM($D114,$D157),0)</f>
        <v>0</v>
      </c>
      <c s="125">
        <f>IF(BC$10=IF(ISBLANK(Предпосылки!$D39),$E$10,Предпосылки!$D39),SUM($D114,$D157),0)</f>
        <v>0</v>
      </c>
      <c s="125">
        <f>IF(BD$10=IF(ISBLANK(Предпосылки!$D39),$E$10,Предпосылки!$D39),SUM($D114,$D157),0)</f>
        <v>0</v>
      </c>
      <c s="125">
        <f>IF(BE$10=IF(ISBLANK(Предпосылки!$D39),$E$10,Предпосылки!$D39),SUM($D114,$D157),0)</f>
        <v>0</v>
      </c>
      <c s="125">
        <f>IF(BF$10=IF(ISBLANK(Предпосылки!$D39),$E$10,Предпосылки!$D39),SUM($D114,$D157),0)</f>
        <v>0</v>
      </c>
      <c s="125">
        <f>IF(BG$10=IF(ISBLANK(Предпосылки!$D39),$E$10,Предпосылки!$D39),SUM($D114,$D157),0)</f>
        <v>0</v>
      </c>
      <c s="125">
        <f>IF(BH$10=IF(ISBLANK(Предпосылки!$D39),$E$10,Предпосылки!$D39),SUM($D114,$D157),0)</f>
        <v>0</v>
      </c>
      <c s="125">
        <f>IF(BI$10=IF(ISBLANK(Предпосылки!$D39),$E$10,Предпосылки!$D39),SUM($D114,$D157),0)</f>
        <v>0</v>
      </c>
      <c s="125">
        <f>IF(BJ$10=IF(ISBLANK(Предпосылки!$D39),$E$10,Предпосылки!$D39),SUM($D114,$D157),0)</f>
        <v>0</v>
      </c>
      <c s="125">
        <f>IF(BK$10=IF(ISBLANK(Предпосылки!$D39),$E$10,Предпосылки!$D39),SUM($D114,$D157),0)</f>
        <v>0</v>
      </c>
      <c s="125">
        <f>IF(BL$10=IF(ISBLANK(Предпосылки!$D39),$E$10,Предпосылки!$D39),SUM($D114,$D157),0)</f>
        <v>0</v>
      </c>
      <c s="125">
        <f>IF(BM$10=IF(ISBLANK(Предпосылки!$D39),$E$10,Предпосылки!$D39),SUM($D114,$D157),0)</f>
        <v>0</v>
      </c>
    </row>
    <row r="288" spans="2:65" ht="15" customHeight="1">
      <c r="B288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IF(E$10=IF(ISBLANK(Предпосылки!$D40),$E$10,Предпосылки!$D40),SUM($D115,$D158),0)</f>
        <v>0</v>
      </c>
      <c s="125">
        <f>IF(F$10=IF(ISBLANK(Предпосылки!$D40),$E$10,Предпосылки!$D40),SUM($D115,$D158),0)</f>
        <v>0</v>
      </c>
      <c s="125">
        <f>IF(G$10=IF(ISBLANK(Предпосылки!$D40),$E$10,Предпосылки!$D40),SUM($D115,$D158),0)</f>
        <v>0</v>
      </c>
      <c s="125">
        <f>IF(H$10=IF(ISBLANK(Предпосылки!$D40),$E$10,Предпосылки!$D40),SUM($D115,$D158),0)</f>
        <v>0</v>
      </c>
      <c s="125">
        <f>IF(I$10=IF(ISBLANK(Предпосылки!$D40),$E$10,Предпосылки!$D40),SUM($D115,$D158),0)</f>
        <v>0</v>
      </c>
      <c s="125">
        <f>IF(J$10=IF(ISBLANK(Предпосылки!$D40),$E$10,Предпосылки!$D40),SUM($D115,$D158),0)</f>
        <v>0</v>
      </c>
      <c s="125">
        <f>IF(K$10=IF(ISBLANK(Предпосылки!$D40),$E$10,Предпосылки!$D40),SUM($D115,$D158),0)</f>
        <v>0</v>
      </c>
      <c s="125">
        <f>IF(L$10=IF(ISBLANK(Предпосылки!$D40),$E$10,Предпосылки!$D40),SUM($D115,$D158),0)</f>
        <v>0</v>
      </c>
      <c s="125">
        <f>IF(M$10=IF(ISBLANK(Предпосылки!$D40),$E$10,Предпосылки!$D40),SUM($D115,$D158),0)</f>
        <v>0</v>
      </c>
      <c s="125">
        <f>IF(N$10=IF(ISBLANK(Предпосылки!$D40),$E$10,Предпосылки!$D40),SUM($D115,$D158),0)</f>
        <v>0</v>
      </c>
      <c s="125">
        <f>IF(O$10=IF(ISBLANK(Предпосылки!$D40),$E$10,Предпосылки!$D40),SUM($D115,$D158),0)</f>
        <v>0</v>
      </c>
      <c s="125">
        <f>IF(P$10=IF(ISBLANK(Предпосылки!$D40),$E$10,Предпосылки!$D40),SUM($D115,$D158),0)</f>
        <v>0</v>
      </c>
      <c s="125">
        <f>IF(Q$10=IF(ISBLANK(Предпосылки!$D40),$E$10,Предпосылки!$D40),SUM($D115,$D158),0)</f>
        <v>0</v>
      </c>
      <c s="125">
        <f>IF(R$10=IF(ISBLANK(Предпосылки!$D40),$E$10,Предпосылки!$D40),SUM($D115,$D158),0)</f>
        <v>0</v>
      </c>
      <c s="125">
        <f>IF(S$10=IF(ISBLANK(Предпосылки!$D40),$E$10,Предпосылки!$D40),SUM($D115,$D158),0)</f>
        <v>0</v>
      </c>
      <c s="125">
        <f>IF(T$10=IF(ISBLANK(Предпосылки!$D40),$E$10,Предпосылки!$D40),SUM($D115,$D158),0)</f>
        <v>0</v>
      </c>
      <c s="125">
        <f>IF(U$10=IF(ISBLANK(Предпосылки!$D40),$E$10,Предпосылки!$D40),SUM($D115,$D158),0)</f>
        <v>0</v>
      </c>
      <c s="125">
        <f>IF(V$10=IF(ISBLANK(Предпосылки!$D40),$E$10,Предпосылки!$D40),SUM($D115,$D158),0)</f>
        <v>0</v>
      </c>
      <c s="125">
        <f>IF(W$10=IF(ISBLANK(Предпосылки!$D40),$E$10,Предпосылки!$D40),SUM($D115,$D158),0)</f>
        <v>0</v>
      </c>
      <c s="125">
        <f>IF(X$10=IF(ISBLANK(Предпосылки!$D40),$E$10,Предпосылки!$D40),SUM($D115,$D158),0)</f>
        <v>0</v>
      </c>
      <c s="125">
        <f>IF(Y$10=IF(ISBLANK(Предпосылки!$D40),$E$10,Предпосылки!$D40),SUM($D115,$D158),0)</f>
        <v>0</v>
      </c>
      <c s="125">
        <f>IF(Z$10=IF(ISBLANK(Предпосылки!$D40),$E$10,Предпосылки!$D40),SUM($D115,$D158),0)</f>
        <v>0</v>
      </c>
      <c s="125">
        <f>IF(AA$10=IF(ISBLANK(Предпосылки!$D40),$E$10,Предпосылки!$D40),SUM($D115,$D158),0)</f>
        <v>0</v>
      </c>
      <c s="125">
        <f>IF(AB$10=IF(ISBLANK(Предпосылки!$D40),$E$10,Предпосылки!$D40),SUM($D115,$D158),0)</f>
        <v>0</v>
      </c>
      <c s="125">
        <f>IF(AC$10=IF(ISBLANK(Предпосылки!$D40),$E$10,Предпосылки!$D40),SUM($D115,$D158),0)</f>
        <v>0</v>
      </c>
      <c s="125">
        <f>IF(AD$10=IF(ISBLANK(Предпосылки!$D40),$E$10,Предпосылки!$D40),SUM($D115,$D158),0)</f>
        <v>0</v>
      </c>
      <c s="125">
        <f>IF(AE$10=IF(ISBLANK(Предпосылки!$D40),$E$10,Предпосылки!$D40),SUM($D115,$D158),0)</f>
        <v>0</v>
      </c>
      <c s="125">
        <f>IF(AF$10=IF(ISBLANK(Предпосылки!$D40),$E$10,Предпосылки!$D40),SUM($D115,$D158),0)</f>
        <v>0</v>
      </c>
      <c s="125">
        <f>IF(AG$10=IF(ISBLANK(Предпосылки!$D40),$E$10,Предпосылки!$D40),SUM($D115,$D158),0)</f>
        <v>0</v>
      </c>
      <c s="125">
        <f>IF(AH$10=IF(ISBLANK(Предпосылки!$D40),$E$10,Предпосылки!$D40),SUM($D115,$D158),0)</f>
        <v>0</v>
      </c>
      <c s="125">
        <f>IF(AI$10=IF(ISBLANK(Предпосылки!$D40),$E$10,Предпосылки!$D40),SUM($D115,$D158),0)</f>
        <v>0</v>
      </c>
      <c s="125">
        <f>IF(AJ$10=IF(ISBLANK(Предпосылки!$D40),$E$10,Предпосылки!$D40),SUM($D115,$D158),0)</f>
        <v>0</v>
      </c>
      <c s="125">
        <f>IF(AK$10=IF(ISBLANK(Предпосылки!$D40),$E$10,Предпосылки!$D40),SUM($D115,$D158),0)</f>
        <v>0</v>
      </c>
      <c s="125">
        <f>IF(AL$10=IF(ISBLANK(Предпосылки!$D40),$E$10,Предпосылки!$D40),SUM($D115,$D158),0)</f>
        <v>0</v>
      </c>
      <c s="125">
        <f>IF(AM$10=IF(ISBLANK(Предпосылки!$D40),$E$10,Предпосылки!$D40),SUM($D115,$D158),0)</f>
        <v>0</v>
      </c>
      <c s="125">
        <f>IF(AN$10=IF(ISBLANK(Предпосылки!$D40),$E$10,Предпосылки!$D40),SUM($D115,$D158),0)</f>
        <v>0</v>
      </c>
      <c s="125">
        <f>IF(AO$10=IF(ISBLANK(Предпосылки!$D40),$E$10,Предпосылки!$D40),SUM($D115,$D158),0)</f>
        <v>0</v>
      </c>
      <c s="125">
        <f>IF(AP$10=IF(ISBLANK(Предпосылки!$D40),$E$10,Предпосылки!$D40),SUM($D115,$D158),0)</f>
        <v>0</v>
      </c>
      <c s="125">
        <f>IF(AQ$10=IF(ISBLANK(Предпосылки!$D40),$E$10,Предпосылки!$D40),SUM($D115,$D158),0)</f>
        <v>0</v>
      </c>
      <c s="125">
        <f>IF(AR$10=IF(ISBLANK(Предпосылки!$D40),$E$10,Предпосылки!$D40),SUM($D115,$D158),0)</f>
        <v>0</v>
      </c>
      <c s="125">
        <f>IF(AS$10=IF(ISBLANK(Предпосылки!$D40),$E$10,Предпосылки!$D40),SUM($D115,$D158),0)</f>
        <v>0</v>
      </c>
      <c s="125">
        <f>IF(AT$10=IF(ISBLANK(Предпосылки!$D40),$E$10,Предпосылки!$D40),SUM($D115,$D158),0)</f>
        <v>0</v>
      </c>
      <c s="125">
        <f>IF(AU$10=IF(ISBLANK(Предпосылки!$D40),$E$10,Предпосылки!$D40),SUM($D115,$D158),0)</f>
        <v>0</v>
      </c>
      <c s="125">
        <f>IF(AV$10=IF(ISBLANK(Предпосылки!$D40),$E$10,Предпосылки!$D40),SUM($D115,$D158),0)</f>
        <v>0</v>
      </c>
      <c s="125">
        <f>IF(AW$10=IF(ISBLANK(Предпосылки!$D40),$E$10,Предпосылки!$D40),SUM($D115,$D158),0)</f>
        <v>0</v>
      </c>
      <c s="125">
        <f>IF(AX$10=IF(ISBLANK(Предпосылки!$D40),$E$10,Предпосылки!$D40),SUM($D115,$D158),0)</f>
        <v>0</v>
      </c>
      <c s="125">
        <f>IF(AY$10=IF(ISBLANK(Предпосылки!$D40),$E$10,Предпосылки!$D40),SUM($D115,$D158),0)</f>
        <v>0</v>
      </c>
      <c s="125">
        <f>IF(AZ$10=IF(ISBLANK(Предпосылки!$D40),$E$10,Предпосылки!$D40),SUM($D115,$D158),0)</f>
        <v>0</v>
      </c>
      <c s="125">
        <f>IF(BA$10=IF(ISBLANK(Предпосылки!$D40),$E$10,Предпосылки!$D40),SUM($D115,$D158),0)</f>
        <v>0</v>
      </c>
      <c s="125">
        <f>IF(BB$10=IF(ISBLANK(Предпосылки!$D40),$E$10,Предпосылки!$D40),SUM($D115,$D158),0)</f>
        <v>0</v>
      </c>
      <c s="125">
        <f>IF(BC$10=IF(ISBLANK(Предпосылки!$D40),$E$10,Предпосылки!$D40),SUM($D115,$D158),0)</f>
        <v>0</v>
      </c>
      <c s="125">
        <f>IF(BD$10=IF(ISBLANK(Предпосылки!$D40),$E$10,Предпосылки!$D40),SUM($D115,$D158),0)</f>
        <v>0</v>
      </c>
      <c s="125">
        <f>IF(BE$10=IF(ISBLANK(Предпосылки!$D40),$E$10,Предпосылки!$D40),SUM($D115,$D158),0)</f>
        <v>0</v>
      </c>
      <c s="125">
        <f>IF(BF$10=IF(ISBLANK(Предпосылки!$D40),$E$10,Предпосылки!$D40),SUM($D115,$D158),0)</f>
        <v>0</v>
      </c>
      <c s="125">
        <f>IF(BG$10=IF(ISBLANK(Предпосылки!$D40),$E$10,Предпосылки!$D40),SUM($D115,$D158),0)</f>
        <v>0</v>
      </c>
      <c s="125">
        <f>IF(BH$10=IF(ISBLANK(Предпосылки!$D40),$E$10,Предпосылки!$D40),SUM($D115,$D158),0)</f>
        <v>0</v>
      </c>
      <c s="125">
        <f>IF(BI$10=IF(ISBLANK(Предпосылки!$D40),$E$10,Предпосылки!$D40),SUM($D115,$D158),0)</f>
        <v>0</v>
      </c>
      <c s="125">
        <f>IF(BJ$10=IF(ISBLANK(Предпосылки!$D40),$E$10,Предпосылки!$D40),SUM($D115,$D158),0)</f>
        <v>0</v>
      </c>
      <c s="125">
        <f>IF(BK$10=IF(ISBLANK(Предпосылки!$D40),$E$10,Предпосылки!$D40),SUM($D115,$D158),0)</f>
        <v>0</v>
      </c>
      <c s="125">
        <f>IF(BL$10=IF(ISBLANK(Предпосылки!$D40),$E$10,Предпосылки!$D40),SUM($D115,$D158),0)</f>
        <v>0</v>
      </c>
      <c s="125">
        <f>IF(BM$10=IF(ISBLANK(Предпосылки!$D40),$E$10,Предпосылки!$D40),SUM($D115,$D158),0)</f>
        <v>0</v>
      </c>
    </row>
    <row r="289" spans="2:65" ht="15" customHeight="1">
      <c r="B289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IF(E$10=IF(ISBLANK(Предпосылки!$D41),$E$10,Предпосылки!$D41),SUM($D116,$D159),0)</f>
        <v>0</v>
      </c>
      <c s="125">
        <f>IF(F$10=IF(ISBLANK(Предпосылки!$D41),$E$10,Предпосылки!$D41),SUM($D116,$D159),0)</f>
        <v>0</v>
      </c>
      <c s="125">
        <f>IF(G$10=IF(ISBLANK(Предпосылки!$D41),$E$10,Предпосылки!$D41),SUM($D116,$D159),0)</f>
        <v>0</v>
      </c>
      <c s="125">
        <f>IF(H$10=IF(ISBLANK(Предпосылки!$D41),$E$10,Предпосылки!$D41),SUM($D116,$D159),0)</f>
        <v>0</v>
      </c>
      <c s="125">
        <f>IF(I$10=IF(ISBLANK(Предпосылки!$D41),$E$10,Предпосылки!$D41),SUM($D116,$D159),0)</f>
        <v>0</v>
      </c>
      <c s="125">
        <f>IF(J$10=IF(ISBLANK(Предпосылки!$D41),$E$10,Предпосылки!$D41),SUM($D116,$D159),0)</f>
        <v>0</v>
      </c>
      <c s="125">
        <f>IF(K$10=IF(ISBLANK(Предпосылки!$D41),$E$10,Предпосылки!$D41),SUM($D116,$D159),0)</f>
        <v>0</v>
      </c>
      <c s="125">
        <f>IF(L$10=IF(ISBLANK(Предпосылки!$D41),$E$10,Предпосылки!$D41),SUM($D116,$D159),0)</f>
        <v>0</v>
      </c>
      <c s="125">
        <f>IF(M$10=IF(ISBLANK(Предпосылки!$D41),$E$10,Предпосылки!$D41),SUM($D116,$D159),0)</f>
        <v>0</v>
      </c>
      <c s="125">
        <f>IF(N$10=IF(ISBLANK(Предпосылки!$D41),$E$10,Предпосылки!$D41),SUM($D116,$D159),0)</f>
        <v>0</v>
      </c>
      <c s="125">
        <f>IF(O$10=IF(ISBLANK(Предпосылки!$D41),$E$10,Предпосылки!$D41),SUM($D116,$D159),0)</f>
        <v>0</v>
      </c>
      <c s="125">
        <f>IF(P$10=IF(ISBLANK(Предпосылки!$D41),$E$10,Предпосылки!$D41),SUM($D116,$D159),0)</f>
        <v>0</v>
      </c>
      <c s="125">
        <f>IF(Q$10=IF(ISBLANK(Предпосылки!$D41),$E$10,Предпосылки!$D41),SUM($D116,$D159),0)</f>
        <v>0</v>
      </c>
      <c s="125">
        <f>IF(R$10=IF(ISBLANK(Предпосылки!$D41),$E$10,Предпосылки!$D41),SUM($D116,$D159),0)</f>
        <v>0</v>
      </c>
      <c s="125">
        <f>IF(S$10=IF(ISBLANK(Предпосылки!$D41),$E$10,Предпосылки!$D41),SUM($D116,$D159),0)</f>
        <v>0</v>
      </c>
      <c s="125">
        <f>IF(T$10=IF(ISBLANK(Предпосылки!$D41),$E$10,Предпосылки!$D41),SUM($D116,$D159),0)</f>
        <v>0</v>
      </c>
      <c s="125">
        <f>IF(U$10=IF(ISBLANK(Предпосылки!$D41),$E$10,Предпосылки!$D41),SUM($D116,$D159),0)</f>
        <v>0</v>
      </c>
      <c s="125">
        <f>IF(V$10=IF(ISBLANK(Предпосылки!$D41),$E$10,Предпосылки!$D41),SUM($D116,$D159),0)</f>
        <v>0</v>
      </c>
      <c s="125">
        <f>IF(W$10=IF(ISBLANK(Предпосылки!$D41),$E$10,Предпосылки!$D41),SUM($D116,$D159),0)</f>
        <v>0</v>
      </c>
      <c s="125">
        <f>IF(X$10=IF(ISBLANK(Предпосылки!$D41),$E$10,Предпосылки!$D41),SUM($D116,$D159),0)</f>
        <v>0</v>
      </c>
      <c s="125">
        <f>IF(Y$10=IF(ISBLANK(Предпосылки!$D41),$E$10,Предпосылки!$D41),SUM($D116,$D159),0)</f>
        <v>0</v>
      </c>
      <c s="125">
        <f>IF(Z$10=IF(ISBLANK(Предпосылки!$D41),$E$10,Предпосылки!$D41),SUM($D116,$D159),0)</f>
        <v>0</v>
      </c>
      <c s="125">
        <f>IF(AA$10=IF(ISBLANK(Предпосылки!$D41),$E$10,Предпосылки!$D41),SUM($D116,$D159),0)</f>
        <v>0</v>
      </c>
      <c s="125">
        <f>IF(AB$10=IF(ISBLANK(Предпосылки!$D41),$E$10,Предпосылки!$D41),SUM($D116,$D159),0)</f>
        <v>0</v>
      </c>
      <c s="125">
        <f>IF(AC$10=IF(ISBLANK(Предпосылки!$D41),$E$10,Предпосылки!$D41),SUM($D116,$D159),0)</f>
        <v>0</v>
      </c>
      <c s="125">
        <f>IF(AD$10=IF(ISBLANK(Предпосылки!$D41),$E$10,Предпосылки!$D41),SUM($D116,$D159),0)</f>
        <v>0</v>
      </c>
      <c s="125">
        <f>IF(AE$10=IF(ISBLANK(Предпосылки!$D41),$E$10,Предпосылки!$D41),SUM($D116,$D159),0)</f>
        <v>0</v>
      </c>
      <c s="125">
        <f>IF(AF$10=IF(ISBLANK(Предпосылки!$D41),$E$10,Предпосылки!$D41),SUM($D116,$D159),0)</f>
        <v>0</v>
      </c>
      <c s="125">
        <f>IF(AG$10=IF(ISBLANK(Предпосылки!$D41),$E$10,Предпосылки!$D41),SUM($D116,$D159),0)</f>
        <v>0</v>
      </c>
      <c s="125">
        <f>IF(AH$10=IF(ISBLANK(Предпосылки!$D41),$E$10,Предпосылки!$D41),SUM($D116,$D159),0)</f>
        <v>0</v>
      </c>
      <c s="125">
        <f>IF(AI$10=IF(ISBLANK(Предпосылки!$D41),$E$10,Предпосылки!$D41),SUM($D116,$D159),0)</f>
        <v>0</v>
      </c>
      <c s="125">
        <f>IF(AJ$10=IF(ISBLANK(Предпосылки!$D41),$E$10,Предпосылки!$D41),SUM($D116,$D159),0)</f>
        <v>0</v>
      </c>
      <c s="125">
        <f>IF(AK$10=IF(ISBLANK(Предпосылки!$D41),$E$10,Предпосылки!$D41),SUM($D116,$D159),0)</f>
        <v>0</v>
      </c>
      <c s="125">
        <f>IF(AL$10=IF(ISBLANK(Предпосылки!$D41),$E$10,Предпосылки!$D41),SUM($D116,$D159),0)</f>
        <v>0</v>
      </c>
      <c s="125">
        <f>IF(AM$10=IF(ISBLANK(Предпосылки!$D41),$E$10,Предпосылки!$D41),SUM($D116,$D159),0)</f>
        <v>0</v>
      </c>
      <c s="125">
        <f>IF(AN$10=IF(ISBLANK(Предпосылки!$D41),$E$10,Предпосылки!$D41),SUM($D116,$D159),0)</f>
        <v>0</v>
      </c>
      <c s="125">
        <f>IF(AO$10=IF(ISBLANK(Предпосылки!$D41),$E$10,Предпосылки!$D41),SUM($D116,$D159),0)</f>
        <v>0</v>
      </c>
      <c s="125">
        <f>IF(AP$10=IF(ISBLANK(Предпосылки!$D41),$E$10,Предпосылки!$D41),SUM($D116,$D159),0)</f>
        <v>0</v>
      </c>
      <c s="125">
        <f>IF(AQ$10=IF(ISBLANK(Предпосылки!$D41),$E$10,Предпосылки!$D41),SUM($D116,$D159),0)</f>
        <v>0</v>
      </c>
      <c s="125">
        <f>IF(AR$10=IF(ISBLANK(Предпосылки!$D41),$E$10,Предпосылки!$D41),SUM($D116,$D159),0)</f>
        <v>0</v>
      </c>
      <c s="125">
        <f>IF(AS$10=IF(ISBLANK(Предпосылки!$D41),$E$10,Предпосылки!$D41),SUM($D116,$D159),0)</f>
        <v>0</v>
      </c>
      <c s="125">
        <f>IF(AT$10=IF(ISBLANK(Предпосылки!$D41),$E$10,Предпосылки!$D41),SUM($D116,$D159),0)</f>
        <v>0</v>
      </c>
      <c s="125">
        <f>IF(AU$10=IF(ISBLANK(Предпосылки!$D41),$E$10,Предпосылки!$D41),SUM($D116,$D159),0)</f>
        <v>0</v>
      </c>
      <c s="125">
        <f>IF(AV$10=IF(ISBLANK(Предпосылки!$D41),$E$10,Предпосылки!$D41),SUM($D116,$D159),0)</f>
        <v>0</v>
      </c>
      <c s="125">
        <f>IF(AW$10=IF(ISBLANK(Предпосылки!$D41),$E$10,Предпосылки!$D41),SUM($D116,$D159),0)</f>
        <v>0</v>
      </c>
      <c s="125">
        <f>IF(AX$10=IF(ISBLANK(Предпосылки!$D41),$E$10,Предпосылки!$D41),SUM($D116,$D159),0)</f>
        <v>0</v>
      </c>
      <c s="125">
        <f>IF(AY$10=IF(ISBLANK(Предпосылки!$D41),$E$10,Предпосылки!$D41),SUM($D116,$D159),0)</f>
        <v>0</v>
      </c>
      <c s="125">
        <f>IF(AZ$10=IF(ISBLANK(Предпосылки!$D41),$E$10,Предпосылки!$D41),SUM($D116,$D159),0)</f>
        <v>0</v>
      </c>
      <c s="125">
        <f>IF(BA$10=IF(ISBLANK(Предпосылки!$D41),$E$10,Предпосылки!$D41),SUM($D116,$D159),0)</f>
        <v>0</v>
      </c>
      <c s="125">
        <f>IF(BB$10=IF(ISBLANK(Предпосылки!$D41),$E$10,Предпосылки!$D41),SUM($D116,$D159),0)</f>
        <v>0</v>
      </c>
      <c s="125">
        <f>IF(BC$10=IF(ISBLANK(Предпосылки!$D41),$E$10,Предпосылки!$D41),SUM($D116,$D159),0)</f>
        <v>0</v>
      </c>
      <c s="125">
        <f>IF(BD$10=IF(ISBLANK(Предпосылки!$D41),$E$10,Предпосылки!$D41),SUM($D116,$D159),0)</f>
        <v>0</v>
      </c>
      <c s="125">
        <f>IF(BE$10=IF(ISBLANK(Предпосылки!$D41),$E$10,Предпосылки!$D41),SUM($D116,$D159),0)</f>
        <v>0</v>
      </c>
      <c s="125">
        <f>IF(BF$10=IF(ISBLANK(Предпосылки!$D41),$E$10,Предпосылки!$D41),SUM($D116,$D159),0)</f>
        <v>0</v>
      </c>
      <c s="125">
        <f>IF(BG$10=IF(ISBLANK(Предпосылки!$D41),$E$10,Предпосылки!$D41),SUM($D116,$D159),0)</f>
        <v>0</v>
      </c>
      <c s="125">
        <f>IF(BH$10=IF(ISBLANK(Предпосылки!$D41),$E$10,Предпосылки!$D41),SUM($D116,$D159),0)</f>
        <v>0</v>
      </c>
      <c s="125">
        <f>IF(BI$10=IF(ISBLANK(Предпосылки!$D41),$E$10,Предпосылки!$D41),SUM($D116,$D159),0)</f>
        <v>0</v>
      </c>
      <c s="125">
        <f>IF(BJ$10=IF(ISBLANK(Предпосылки!$D41),$E$10,Предпосылки!$D41),SUM($D116,$D159),0)</f>
        <v>0</v>
      </c>
      <c s="125">
        <f>IF(BK$10=IF(ISBLANK(Предпосылки!$D41),$E$10,Предпосылки!$D41),SUM($D116,$D159),0)</f>
        <v>0</v>
      </c>
      <c s="125">
        <f>IF(BL$10=IF(ISBLANK(Предпосылки!$D41),$E$10,Предпосылки!$D41),SUM($D116,$D159),0)</f>
        <v>0</v>
      </c>
      <c s="125">
        <f>IF(BM$10=IF(ISBLANK(Предпосылки!$D41),$E$10,Предпосылки!$D41),SUM($D116,$D159),0)</f>
        <v>0</v>
      </c>
    </row>
    <row r="290" spans="2:65" ht="15" customHeight="1">
      <c r="B290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IF(E$10=IF(ISBLANK(Предпосылки!$D42),$E$10,Предпосылки!$D42),SUM($D117,$D160),0)</f>
        <v>0</v>
      </c>
      <c s="125">
        <f>IF(F$10=IF(ISBLANK(Предпосылки!$D42),$E$10,Предпосылки!$D42),SUM($D117,$D160),0)</f>
        <v>0</v>
      </c>
      <c s="125">
        <f>IF(G$10=IF(ISBLANK(Предпосылки!$D42),$E$10,Предпосылки!$D42),SUM($D117,$D160),0)</f>
        <v>0</v>
      </c>
      <c s="125">
        <f>IF(H$10=IF(ISBLANK(Предпосылки!$D42),$E$10,Предпосылки!$D42),SUM($D117,$D160),0)</f>
        <v>0</v>
      </c>
      <c s="125">
        <f>IF(I$10=IF(ISBLANK(Предпосылки!$D42),$E$10,Предпосылки!$D42),SUM($D117,$D160),0)</f>
        <v>0</v>
      </c>
      <c s="125">
        <f>IF(J$10=IF(ISBLANK(Предпосылки!$D42),$E$10,Предпосылки!$D42),SUM($D117,$D160),0)</f>
        <v>0</v>
      </c>
      <c s="125">
        <f>IF(K$10=IF(ISBLANK(Предпосылки!$D42),$E$10,Предпосылки!$D42),SUM($D117,$D160),0)</f>
        <v>0</v>
      </c>
      <c s="125">
        <f>IF(L$10=IF(ISBLANK(Предпосылки!$D42),$E$10,Предпосылки!$D42),SUM($D117,$D160),0)</f>
        <v>0</v>
      </c>
      <c s="125">
        <f>IF(M$10=IF(ISBLANK(Предпосылки!$D42),$E$10,Предпосылки!$D42),SUM($D117,$D160),0)</f>
        <v>0</v>
      </c>
      <c s="125">
        <f>IF(N$10=IF(ISBLANK(Предпосылки!$D42),$E$10,Предпосылки!$D42),SUM($D117,$D160),0)</f>
        <v>0</v>
      </c>
      <c s="125">
        <f>IF(O$10=IF(ISBLANK(Предпосылки!$D42),$E$10,Предпосылки!$D42),SUM($D117,$D160),0)</f>
        <v>0</v>
      </c>
      <c s="125">
        <f>IF(P$10=IF(ISBLANK(Предпосылки!$D42),$E$10,Предпосылки!$D42),SUM($D117,$D160),0)</f>
        <v>0</v>
      </c>
      <c s="125">
        <f>IF(Q$10=IF(ISBLANK(Предпосылки!$D42),$E$10,Предпосылки!$D42),SUM($D117,$D160),0)</f>
        <v>0</v>
      </c>
      <c s="125">
        <f>IF(R$10=IF(ISBLANK(Предпосылки!$D42),$E$10,Предпосылки!$D42),SUM($D117,$D160),0)</f>
        <v>0</v>
      </c>
      <c s="125">
        <f>IF(S$10=IF(ISBLANK(Предпосылки!$D42),$E$10,Предпосылки!$D42),SUM($D117,$D160),0)</f>
        <v>0</v>
      </c>
      <c s="125">
        <f>IF(T$10=IF(ISBLANK(Предпосылки!$D42),$E$10,Предпосылки!$D42),SUM($D117,$D160),0)</f>
        <v>0</v>
      </c>
      <c s="125">
        <f>IF(U$10=IF(ISBLANK(Предпосылки!$D42),$E$10,Предпосылки!$D42),SUM($D117,$D160),0)</f>
        <v>0</v>
      </c>
      <c s="125">
        <f>IF(V$10=IF(ISBLANK(Предпосылки!$D42),$E$10,Предпосылки!$D42),SUM($D117,$D160),0)</f>
        <v>0</v>
      </c>
      <c s="125">
        <f>IF(W$10=IF(ISBLANK(Предпосылки!$D42),$E$10,Предпосылки!$D42),SUM($D117,$D160),0)</f>
        <v>0</v>
      </c>
      <c s="125">
        <f>IF(X$10=IF(ISBLANK(Предпосылки!$D42),$E$10,Предпосылки!$D42),SUM($D117,$D160),0)</f>
        <v>0</v>
      </c>
      <c s="125">
        <f>IF(Y$10=IF(ISBLANK(Предпосылки!$D42),$E$10,Предпосылки!$D42),SUM($D117,$D160),0)</f>
        <v>0</v>
      </c>
      <c s="125">
        <f>IF(Z$10=IF(ISBLANK(Предпосылки!$D42),$E$10,Предпосылки!$D42),SUM($D117,$D160),0)</f>
        <v>0</v>
      </c>
      <c s="125">
        <f>IF(AA$10=IF(ISBLANK(Предпосылки!$D42),$E$10,Предпосылки!$D42),SUM($D117,$D160),0)</f>
        <v>0</v>
      </c>
      <c s="125">
        <f>IF(AB$10=IF(ISBLANK(Предпосылки!$D42),$E$10,Предпосылки!$D42),SUM($D117,$D160),0)</f>
        <v>0</v>
      </c>
      <c s="125">
        <f>IF(AC$10=IF(ISBLANK(Предпосылки!$D42),$E$10,Предпосылки!$D42),SUM($D117,$D160),0)</f>
        <v>0</v>
      </c>
      <c s="125">
        <f>IF(AD$10=IF(ISBLANK(Предпосылки!$D42),$E$10,Предпосылки!$D42),SUM($D117,$D160),0)</f>
        <v>0</v>
      </c>
      <c s="125">
        <f>IF(AE$10=IF(ISBLANK(Предпосылки!$D42),$E$10,Предпосылки!$D42),SUM($D117,$D160),0)</f>
        <v>0</v>
      </c>
      <c s="125">
        <f>IF(AF$10=IF(ISBLANK(Предпосылки!$D42),$E$10,Предпосылки!$D42),SUM($D117,$D160),0)</f>
        <v>0</v>
      </c>
      <c s="125">
        <f>IF(AG$10=IF(ISBLANK(Предпосылки!$D42),$E$10,Предпосылки!$D42),SUM($D117,$D160),0)</f>
        <v>0</v>
      </c>
      <c s="125">
        <f>IF(AH$10=IF(ISBLANK(Предпосылки!$D42),$E$10,Предпосылки!$D42),SUM($D117,$D160),0)</f>
        <v>0</v>
      </c>
      <c s="125">
        <f>IF(AI$10=IF(ISBLANK(Предпосылки!$D42),$E$10,Предпосылки!$D42),SUM($D117,$D160),0)</f>
        <v>0</v>
      </c>
      <c s="125">
        <f>IF(AJ$10=IF(ISBLANK(Предпосылки!$D42),$E$10,Предпосылки!$D42),SUM($D117,$D160),0)</f>
        <v>0</v>
      </c>
      <c s="125">
        <f>IF(AK$10=IF(ISBLANK(Предпосылки!$D42),$E$10,Предпосылки!$D42),SUM($D117,$D160),0)</f>
        <v>0</v>
      </c>
      <c s="125">
        <f>IF(AL$10=IF(ISBLANK(Предпосылки!$D42),$E$10,Предпосылки!$D42),SUM($D117,$D160),0)</f>
        <v>0</v>
      </c>
      <c s="125">
        <f>IF(AM$10=IF(ISBLANK(Предпосылки!$D42),$E$10,Предпосылки!$D42),SUM($D117,$D160),0)</f>
        <v>0</v>
      </c>
      <c s="125">
        <f>IF(AN$10=IF(ISBLANK(Предпосылки!$D42),$E$10,Предпосылки!$D42),SUM($D117,$D160),0)</f>
        <v>0</v>
      </c>
      <c s="125">
        <f>IF(AO$10=IF(ISBLANK(Предпосылки!$D42),$E$10,Предпосылки!$D42),SUM($D117,$D160),0)</f>
        <v>0</v>
      </c>
      <c s="125">
        <f>IF(AP$10=IF(ISBLANK(Предпосылки!$D42),$E$10,Предпосылки!$D42),SUM($D117,$D160),0)</f>
        <v>0</v>
      </c>
      <c s="125">
        <f>IF(AQ$10=IF(ISBLANK(Предпосылки!$D42),$E$10,Предпосылки!$D42),SUM($D117,$D160),0)</f>
        <v>0</v>
      </c>
      <c s="125">
        <f>IF(AR$10=IF(ISBLANK(Предпосылки!$D42),$E$10,Предпосылки!$D42),SUM($D117,$D160),0)</f>
        <v>0</v>
      </c>
      <c s="125">
        <f>IF(AS$10=IF(ISBLANK(Предпосылки!$D42),$E$10,Предпосылки!$D42),SUM($D117,$D160),0)</f>
        <v>0</v>
      </c>
      <c s="125">
        <f>IF(AT$10=IF(ISBLANK(Предпосылки!$D42),$E$10,Предпосылки!$D42),SUM($D117,$D160),0)</f>
        <v>0</v>
      </c>
      <c s="125">
        <f>IF(AU$10=IF(ISBLANK(Предпосылки!$D42),$E$10,Предпосылки!$D42),SUM($D117,$D160),0)</f>
        <v>0</v>
      </c>
      <c s="125">
        <f>IF(AV$10=IF(ISBLANK(Предпосылки!$D42),$E$10,Предпосылки!$D42),SUM($D117,$D160),0)</f>
        <v>0</v>
      </c>
      <c s="125">
        <f>IF(AW$10=IF(ISBLANK(Предпосылки!$D42),$E$10,Предпосылки!$D42),SUM($D117,$D160),0)</f>
        <v>0</v>
      </c>
      <c s="125">
        <f>IF(AX$10=IF(ISBLANK(Предпосылки!$D42),$E$10,Предпосылки!$D42),SUM($D117,$D160),0)</f>
        <v>0</v>
      </c>
      <c s="125">
        <f>IF(AY$10=IF(ISBLANK(Предпосылки!$D42),$E$10,Предпосылки!$D42),SUM($D117,$D160),0)</f>
        <v>0</v>
      </c>
      <c s="125">
        <f>IF(AZ$10=IF(ISBLANK(Предпосылки!$D42),$E$10,Предпосылки!$D42),SUM($D117,$D160),0)</f>
        <v>0</v>
      </c>
      <c s="125">
        <f>IF(BA$10=IF(ISBLANK(Предпосылки!$D42),$E$10,Предпосылки!$D42),SUM($D117,$D160),0)</f>
        <v>0</v>
      </c>
      <c s="125">
        <f>IF(BB$10=IF(ISBLANK(Предпосылки!$D42),$E$10,Предпосылки!$D42),SUM($D117,$D160),0)</f>
        <v>0</v>
      </c>
      <c s="125">
        <f>IF(BC$10=IF(ISBLANK(Предпосылки!$D42),$E$10,Предпосылки!$D42),SUM($D117,$D160),0)</f>
        <v>0</v>
      </c>
      <c s="125">
        <f>IF(BD$10=IF(ISBLANK(Предпосылки!$D42),$E$10,Предпосылки!$D42),SUM($D117,$D160),0)</f>
        <v>0</v>
      </c>
      <c s="125">
        <f>IF(BE$10=IF(ISBLANK(Предпосылки!$D42),$E$10,Предпосылки!$D42),SUM($D117,$D160),0)</f>
        <v>0</v>
      </c>
      <c s="125">
        <f>IF(BF$10=IF(ISBLANK(Предпосылки!$D42),$E$10,Предпосылки!$D42),SUM($D117,$D160),0)</f>
        <v>0</v>
      </c>
      <c s="125">
        <f>IF(BG$10=IF(ISBLANK(Предпосылки!$D42),$E$10,Предпосылки!$D42),SUM($D117,$D160),0)</f>
        <v>0</v>
      </c>
      <c s="125">
        <f>IF(BH$10=IF(ISBLANK(Предпосылки!$D42),$E$10,Предпосылки!$D42),SUM($D117,$D160),0)</f>
        <v>0</v>
      </c>
      <c s="125">
        <f>IF(BI$10=IF(ISBLANK(Предпосылки!$D42),$E$10,Предпосылки!$D42),SUM($D117,$D160),0)</f>
        <v>0</v>
      </c>
      <c s="125">
        <f>IF(BJ$10=IF(ISBLANK(Предпосылки!$D42),$E$10,Предпосылки!$D42),SUM($D117,$D160),0)</f>
        <v>0</v>
      </c>
      <c s="125">
        <f>IF(BK$10=IF(ISBLANK(Предпосылки!$D42),$E$10,Предпосылки!$D42),SUM($D117,$D160),0)</f>
        <v>0</v>
      </c>
      <c s="125">
        <f>IF(BL$10=IF(ISBLANK(Предпосылки!$D42),$E$10,Предпосылки!$D42),SUM($D117,$D160),0)</f>
        <v>0</v>
      </c>
      <c s="125">
        <f>IF(BM$10=IF(ISBLANK(Предпосылки!$D42),$E$10,Предпосылки!$D42),SUM($D117,$D160),0)</f>
        <v>0</v>
      </c>
    </row>
    <row r="291" spans="2:65" ht="15" customHeight="1">
      <c r="B291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IF(E$10=IF(ISBLANK(Предпосылки!$D43),$E$10,Предпосылки!$D43),SUM($D118,$D161),0)</f>
        <v>0</v>
      </c>
      <c s="125">
        <f>IF(F$10=IF(ISBLANK(Предпосылки!$D43),$E$10,Предпосылки!$D43),SUM($D118,$D161),0)</f>
        <v>0</v>
      </c>
      <c s="125">
        <f>IF(G$10=IF(ISBLANK(Предпосылки!$D43),$E$10,Предпосылки!$D43),SUM($D118,$D161),0)</f>
        <v>0</v>
      </c>
      <c s="125">
        <f>IF(H$10=IF(ISBLANK(Предпосылки!$D43),$E$10,Предпосылки!$D43),SUM($D118,$D161),0)</f>
        <v>0</v>
      </c>
      <c s="125">
        <f>IF(I$10=IF(ISBLANK(Предпосылки!$D43),$E$10,Предпосылки!$D43),SUM($D118,$D161),0)</f>
        <v>0</v>
      </c>
      <c s="125">
        <f>IF(J$10=IF(ISBLANK(Предпосылки!$D43),$E$10,Предпосылки!$D43),SUM($D118,$D161),0)</f>
        <v>0</v>
      </c>
      <c s="125">
        <f>IF(K$10=IF(ISBLANK(Предпосылки!$D43),$E$10,Предпосылки!$D43),SUM($D118,$D161),0)</f>
        <v>0</v>
      </c>
      <c s="125">
        <f>IF(L$10=IF(ISBLANK(Предпосылки!$D43),$E$10,Предпосылки!$D43),SUM($D118,$D161),0)</f>
        <v>0</v>
      </c>
      <c s="125">
        <f>IF(M$10=IF(ISBLANK(Предпосылки!$D43),$E$10,Предпосылки!$D43),SUM($D118,$D161),0)</f>
        <v>0</v>
      </c>
      <c s="125">
        <f>IF(N$10=IF(ISBLANK(Предпосылки!$D43),$E$10,Предпосылки!$D43),SUM($D118,$D161),0)</f>
        <v>0</v>
      </c>
      <c s="125">
        <f>IF(O$10=IF(ISBLANK(Предпосылки!$D43),$E$10,Предпосылки!$D43),SUM($D118,$D161),0)</f>
        <v>0</v>
      </c>
      <c s="125">
        <f>IF(P$10=IF(ISBLANK(Предпосылки!$D43),$E$10,Предпосылки!$D43),SUM($D118,$D161),0)</f>
        <v>0</v>
      </c>
      <c s="125">
        <f>IF(Q$10=IF(ISBLANK(Предпосылки!$D43),$E$10,Предпосылки!$D43),SUM($D118,$D161),0)</f>
        <v>0</v>
      </c>
      <c s="125">
        <f>IF(R$10=IF(ISBLANK(Предпосылки!$D43),$E$10,Предпосылки!$D43),SUM($D118,$D161),0)</f>
        <v>0</v>
      </c>
      <c s="125">
        <f>IF(S$10=IF(ISBLANK(Предпосылки!$D43),$E$10,Предпосылки!$D43),SUM($D118,$D161),0)</f>
        <v>0</v>
      </c>
      <c s="125">
        <f>IF(T$10=IF(ISBLANK(Предпосылки!$D43),$E$10,Предпосылки!$D43),SUM($D118,$D161),0)</f>
        <v>0</v>
      </c>
      <c s="125">
        <f>IF(U$10=IF(ISBLANK(Предпосылки!$D43),$E$10,Предпосылки!$D43),SUM($D118,$D161),0)</f>
        <v>0</v>
      </c>
      <c s="125">
        <f>IF(V$10=IF(ISBLANK(Предпосылки!$D43),$E$10,Предпосылки!$D43),SUM($D118,$D161),0)</f>
        <v>0</v>
      </c>
      <c s="125">
        <f>IF(W$10=IF(ISBLANK(Предпосылки!$D43),$E$10,Предпосылки!$D43),SUM($D118,$D161),0)</f>
        <v>0</v>
      </c>
      <c s="125">
        <f>IF(X$10=IF(ISBLANK(Предпосылки!$D43),$E$10,Предпосылки!$D43),SUM($D118,$D161),0)</f>
        <v>0</v>
      </c>
      <c s="125">
        <f>IF(Y$10=IF(ISBLANK(Предпосылки!$D43),$E$10,Предпосылки!$D43),SUM($D118,$D161),0)</f>
        <v>0</v>
      </c>
      <c s="125">
        <f>IF(Z$10=IF(ISBLANK(Предпосылки!$D43),$E$10,Предпосылки!$D43),SUM($D118,$D161),0)</f>
        <v>0</v>
      </c>
      <c s="125">
        <f>IF(AA$10=IF(ISBLANK(Предпосылки!$D43),$E$10,Предпосылки!$D43),SUM($D118,$D161),0)</f>
        <v>0</v>
      </c>
      <c s="125">
        <f>IF(AB$10=IF(ISBLANK(Предпосылки!$D43),$E$10,Предпосылки!$D43),SUM($D118,$D161),0)</f>
        <v>0</v>
      </c>
      <c s="125">
        <f>IF(AC$10=IF(ISBLANK(Предпосылки!$D43),$E$10,Предпосылки!$D43),SUM($D118,$D161),0)</f>
        <v>0</v>
      </c>
      <c s="125">
        <f>IF(AD$10=IF(ISBLANK(Предпосылки!$D43),$E$10,Предпосылки!$D43),SUM($D118,$D161),0)</f>
        <v>0</v>
      </c>
      <c s="125">
        <f>IF(AE$10=IF(ISBLANK(Предпосылки!$D43),$E$10,Предпосылки!$D43),SUM($D118,$D161),0)</f>
        <v>0</v>
      </c>
      <c s="125">
        <f>IF(AF$10=IF(ISBLANK(Предпосылки!$D43),$E$10,Предпосылки!$D43),SUM($D118,$D161),0)</f>
        <v>0</v>
      </c>
      <c s="125">
        <f>IF(AG$10=IF(ISBLANK(Предпосылки!$D43),$E$10,Предпосылки!$D43),SUM($D118,$D161),0)</f>
        <v>0</v>
      </c>
      <c s="125">
        <f>IF(AH$10=IF(ISBLANK(Предпосылки!$D43),$E$10,Предпосылки!$D43),SUM($D118,$D161),0)</f>
        <v>0</v>
      </c>
      <c s="125">
        <f>IF(AI$10=IF(ISBLANK(Предпосылки!$D43),$E$10,Предпосылки!$D43),SUM($D118,$D161),0)</f>
        <v>0</v>
      </c>
      <c s="125">
        <f>IF(AJ$10=IF(ISBLANK(Предпосылки!$D43),$E$10,Предпосылки!$D43),SUM($D118,$D161),0)</f>
        <v>0</v>
      </c>
      <c s="125">
        <f>IF(AK$10=IF(ISBLANK(Предпосылки!$D43),$E$10,Предпосылки!$D43),SUM($D118,$D161),0)</f>
        <v>0</v>
      </c>
      <c s="125">
        <f>IF(AL$10=IF(ISBLANK(Предпосылки!$D43),$E$10,Предпосылки!$D43),SUM($D118,$D161),0)</f>
        <v>0</v>
      </c>
      <c s="125">
        <f>IF(AM$10=IF(ISBLANK(Предпосылки!$D43),$E$10,Предпосылки!$D43),SUM($D118,$D161),0)</f>
        <v>0</v>
      </c>
      <c s="125">
        <f>IF(AN$10=IF(ISBLANK(Предпосылки!$D43),$E$10,Предпосылки!$D43),SUM($D118,$D161),0)</f>
        <v>0</v>
      </c>
      <c s="125">
        <f>IF(AO$10=IF(ISBLANK(Предпосылки!$D43),$E$10,Предпосылки!$D43),SUM($D118,$D161),0)</f>
        <v>0</v>
      </c>
      <c s="125">
        <f>IF(AP$10=IF(ISBLANK(Предпосылки!$D43),$E$10,Предпосылки!$D43),SUM($D118,$D161),0)</f>
        <v>0</v>
      </c>
      <c s="125">
        <f>IF(AQ$10=IF(ISBLANK(Предпосылки!$D43),$E$10,Предпосылки!$D43),SUM($D118,$D161),0)</f>
        <v>0</v>
      </c>
      <c s="125">
        <f>IF(AR$10=IF(ISBLANK(Предпосылки!$D43),$E$10,Предпосылки!$D43),SUM($D118,$D161),0)</f>
        <v>0</v>
      </c>
      <c s="125">
        <f>IF(AS$10=IF(ISBLANK(Предпосылки!$D43),$E$10,Предпосылки!$D43),SUM($D118,$D161),0)</f>
        <v>0</v>
      </c>
      <c s="125">
        <f>IF(AT$10=IF(ISBLANK(Предпосылки!$D43),$E$10,Предпосылки!$D43),SUM($D118,$D161),0)</f>
        <v>0</v>
      </c>
      <c s="125">
        <f>IF(AU$10=IF(ISBLANK(Предпосылки!$D43),$E$10,Предпосылки!$D43),SUM($D118,$D161),0)</f>
        <v>0</v>
      </c>
      <c s="125">
        <f>IF(AV$10=IF(ISBLANK(Предпосылки!$D43),$E$10,Предпосылки!$D43),SUM($D118,$D161),0)</f>
        <v>0</v>
      </c>
      <c s="125">
        <f>IF(AW$10=IF(ISBLANK(Предпосылки!$D43),$E$10,Предпосылки!$D43),SUM($D118,$D161),0)</f>
        <v>0</v>
      </c>
      <c s="125">
        <f>IF(AX$10=IF(ISBLANK(Предпосылки!$D43),$E$10,Предпосылки!$D43),SUM($D118,$D161),0)</f>
        <v>0</v>
      </c>
      <c s="125">
        <f>IF(AY$10=IF(ISBLANK(Предпосылки!$D43),$E$10,Предпосылки!$D43),SUM($D118,$D161),0)</f>
        <v>0</v>
      </c>
      <c s="125">
        <f>IF(AZ$10=IF(ISBLANK(Предпосылки!$D43),$E$10,Предпосылки!$D43),SUM($D118,$D161),0)</f>
        <v>0</v>
      </c>
      <c s="125">
        <f>IF(BA$10=IF(ISBLANK(Предпосылки!$D43),$E$10,Предпосылки!$D43),SUM($D118,$D161),0)</f>
        <v>0</v>
      </c>
      <c s="125">
        <f>IF(BB$10=IF(ISBLANK(Предпосылки!$D43),$E$10,Предпосылки!$D43),SUM($D118,$D161),0)</f>
        <v>0</v>
      </c>
      <c s="125">
        <f>IF(BC$10=IF(ISBLANK(Предпосылки!$D43),$E$10,Предпосылки!$D43),SUM($D118,$D161),0)</f>
        <v>0</v>
      </c>
      <c s="125">
        <f>IF(BD$10=IF(ISBLANK(Предпосылки!$D43),$E$10,Предпосылки!$D43),SUM($D118,$D161),0)</f>
        <v>0</v>
      </c>
      <c s="125">
        <f>IF(BE$10=IF(ISBLANK(Предпосылки!$D43),$E$10,Предпосылки!$D43),SUM($D118,$D161),0)</f>
        <v>0</v>
      </c>
      <c s="125">
        <f>IF(BF$10=IF(ISBLANK(Предпосылки!$D43),$E$10,Предпосылки!$D43),SUM($D118,$D161),0)</f>
        <v>0</v>
      </c>
      <c s="125">
        <f>IF(BG$10=IF(ISBLANK(Предпосылки!$D43),$E$10,Предпосылки!$D43),SUM($D118,$D161),0)</f>
        <v>0</v>
      </c>
      <c s="125">
        <f>IF(BH$10=IF(ISBLANK(Предпосылки!$D43),$E$10,Предпосылки!$D43),SUM($D118,$D161),0)</f>
        <v>0</v>
      </c>
      <c s="125">
        <f>IF(BI$10=IF(ISBLANK(Предпосылки!$D43),$E$10,Предпосылки!$D43),SUM($D118,$D161),0)</f>
        <v>0</v>
      </c>
      <c s="125">
        <f>IF(BJ$10=IF(ISBLANK(Предпосылки!$D43),$E$10,Предпосылки!$D43),SUM($D118,$D161),0)</f>
        <v>0</v>
      </c>
      <c s="125">
        <f>IF(BK$10=IF(ISBLANK(Предпосылки!$D43),$E$10,Предпосылки!$D43),SUM($D118,$D161),0)</f>
        <v>0</v>
      </c>
      <c s="125">
        <f>IF(BL$10=IF(ISBLANK(Предпосылки!$D43),$E$10,Предпосылки!$D43),SUM($D118,$D161),0)</f>
        <v>0</v>
      </c>
      <c s="125">
        <f>IF(BM$10=IF(ISBLANK(Предпосылки!$D43),$E$10,Предпосылки!$D43),SUM($D118,$D161),0)</f>
        <v>0</v>
      </c>
    </row>
    <row r="292" spans="2:65" ht="15" customHeight="1">
      <c r="B292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IF(E$10=IF(ISBLANK(Предпосылки!$D44),$E$10,Предпосылки!$D44),SUM($D119,$D162),0)</f>
        <v>0</v>
      </c>
      <c s="125">
        <f>IF(F$10=IF(ISBLANK(Предпосылки!$D44),$E$10,Предпосылки!$D44),SUM($D119,$D162),0)</f>
        <v>0</v>
      </c>
      <c s="125">
        <f>IF(G$10=IF(ISBLANK(Предпосылки!$D44),$E$10,Предпосылки!$D44),SUM($D119,$D162),0)</f>
        <v>0</v>
      </c>
      <c s="125">
        <f>IF(H$10=IF(ISBLANK(Предпосылки!$D44),$E$10,Предпосылки!$D44),SUM($D119,$D162),0)</f>
        <v>0</v>
      </c>
      <c s="125">
        <f>IF(I$10=IF(ISBLANK(Предпосылки!$D44),$E$10,Предпосылки!$D44),SUM($D119,$D162),0)</f>
        <v>0</v>
      </c>
      <c s="125">
        <f>IF(J$10=IF(ISBLANK(Предпосылки!$D44),$E$10,Предпосылки!$D44),SUM($D119,$D162),0)</f>
        <v>0</v>
      </c>
      <c s="125">
        <f>IF(K$10=IF(ISBLANK(Предпосылки!$D44),$E$10,Предпосылки!$D44),SUM($D119,$D162),0)</f>
        <v>0</v>
      </c>
      <c s="125">
        <f>IF(L$10=IF(ISBLANK(Предпосылки!$D44),$E$10,Предпосылки!$D44),SUM($D119,$D162),0)</f>
        <v>0</v>
      </c>
      <c s="125">
        <f>IF(M$10=IF(ISBLANK(Предпосылки!$D44),$E$10,Предпосылки!$D44),SUM($D119,$D162),0)</f>
        <v>0</v>
      </c>
      <c s="125">
        <f>IF(N$10=IF(ISBLANK(Предпосылки!$D44),$E$10,Предпосылки!$D44),SUM($D119,$D162),0)</f>
        <v>0</v>
      </c>
      <c s="125">
        <f>IF(O$10=IF(ISBLANK(Предпосылки!$D44),$E$10,Предпосылки!$D44),SUM($D119,$D162),0)</f>
        <v>0</v>
      </c>
      <c s="125">
        <f>IF(P$10=IF(ISBLANK(Предпосылки!$D44),$E$10,Предпосылки!$D44),SUM($D119,$D162),0)</f>
        <v>0</v>
      </c>
      <c s="125">
        <f>IF(Q$10=IF(ISBLANK(Предпосылки!$D44),$E$10,Предпосылки!$D44),SUM($D119,$D162),0)</f>
        <v>0</v>
      </c>
      <c s="125">
        <f>IF(R$10=IF(ISBLANK(Предпосылки!$D44),$E$10,Предпосылки!$D44),SUM($D119,$D162),0)</f>
        <v>0</v>
      </c>
      <c s="125">
        <f>IF(S$10=IF(ISBLANK(Предпосылки!$D44),$E$10,Предпосылки!$D44),SUM($D119,$D162),0)</f>
        <v>0</v>
      </c>
      <c s="125">
        <f>IF(T$10=IF(ISBLANK(Предпосылки!$D44),$E$10,Предпосылки!$D44),SUM($D119,$D162),0)</f>
        <v>0</v>
      </c>
      <c s="125">
        <f>IF(U$10=IF(ISBLANK(Предпосылки!$D44),$E$10,Предпосылки!$D44),SUM($D119,$D162),0)</f>
        <v>0</v>
      </c>
      <c s="125">
        <f>IF(V$10=IF(ISBLANK(Предпосылки!$D44),$E$10,Предпосылки!$D44),SUM($D119,$D162),0)</f>
        <v>0</v>
      </c>
      <c s="125">
        <f>IF(W$10=IF(ISBLANK(Предпосылки!$D44),$E$10,Предпосылки!$D44),SUM($D119,$D162),0)</f>
        <v>0</v>
      </c>
      <c s="125">
        <f>IF(X$10=IF(ISBLANK(Предпосылки!$D44),$E$10,Предпосылки!$D44),SUM($D119,$D162),0)</f>
        <v>0</v>
      </c>
      <c s="125">
        <f>IF(Y$10=IF(ISBLANK(Предпосылки!$D44),$E$10,Предпосылки!$D44),SUM($D119,$D162),0)</f>
        <v>0</v>
      </c>
      <c s="125">
        <f>IF(Z$10=IF(ISBLANK(Предпосылки!$D44),$E$10,Предпосылки!$D44),SUM($D119,$D162),0)</f>
        <v>0</v>
      </c>
      <c s="125">
        <f>IF(AA$10=IF(ISBLANK(Предпосылки!$D44),$E$10,Предпосылки!$D44),SUM($D119,$D162),0)</f>
        <v>0</v>
      </c>
      <c s="125">
        <f>IF(AB$10=IF(ISBLANK(Предпосылки!$D44),$E$10,Предпосылки!$D44),SUM($D119,$D162),0)</f>
        <v>0</v>
      </c>
      <c s="125">
        <f>IF(AC$10=IF(ISBLANK(Предпосылки!$D44),$E$10,Предпосылки!$D44),SUM($D119,$D162),0)</f>
        <v>0</v>
      </c>
      <c s="125">
        <f>IF(AD$10=IF(ISBLANK(Предпосылки!$D44),$E$10,Предпосылки!$D44),SUM($D119,$D162),0)</f>
        <v>0</v>
      </c>
      <c s="125">
        <f>IF(AE$10=IF(ISBLANK(Предпосылки!$D44),$E$10,Предпосылки!$D44),SUM($D119,$D162),0)</f>
        <v>0</v>
      </c>
      <c s="125">
        <f>IF(AF$10=IF(ISBLANK(Предпосылки!$D44),$E$10,Предпосылки!$D44),SUM($D119,$D162),0)</f>
        <v>0</v>
      </c>
      <c s="125">
        <f>IF(AG$10=IF(ISBLANK(Предпосылки!$D44),$E$10,Предпосылки!$D44),SUM($D119,$D162),0)</f>
        <v>0</v>
      </c>
      <c s="125">
        <f>IF(AH$10=IF(ISBLANK(Предпосылки!$D44),$E$10,Предпосылки!$D44),SUM($D119,$D162),0)</f>
        <v>0</v>
      </c>
      <c s="125">
        <f>IF(AI$10=IF(ISBLANK(Предпосылки!$D44),$E$10,Предпосылки!$D44),SUM($D119,$D162),0)</f>
        <v>0</v>
      </c>
      <c s="125">
        <f>IF(AJ$10=IF(ISBLANK(Предпосылки!$D44),$E$10,Предпосылки!$D44),SUM($D119,$D162),0)</f>
        <v>0</v>
      </c>
      <c s="125">
        <f>IF(AK$10=IF(ISBLANK(Предпосылки!$D44),$E$10,Предпосылки!$D44),SUM($D119,$D162),0)</f>
        <v>0</v>
      </c>
      <c s="125">
        <f>IF(AL$10=IF(ISBLANK(Предпосылки!$D44),$E$10,Предпосылки!$D44),SUM($D119,$D162),0)</f>
        <v>0</v>
      </c>
      <c s="125">
        <f>IF(AM$10=IF(ISBLANK(Предпосылки!$D44),$E$10,Предпосылки!$D44),SUM($D119,$D162),0)</f>
        <v>0</v>
      </c>
      <c s="125">
        <f>IF(AN$10=IF(ISBLANK(Предпосылки!$D44),$E$10,Предпосылки!$D44),SUM($D119,$D162),0)</f>
        <v>0</v>
      </c>
      <c s="125">
        <f>IF(AO$10=IF(ISBLANK(Предпосылки!$D44),$E$10,Предпосылки!$D44),SUM($D119,$D162),0)</f>
        <v>0</v>
      </c>
      <c s="125">
        <f>IF(AP$10=IF(ISBLANK(Предпосылки!$D44),$E$10,Предпосылки!$D44),SUM($D119,$D162),0)</f>
        <v>0</v>
      </c>
      <c s="125">
        <f>IF(AQ$10=IF(ISBLANK(Предпосылки!$D44),$E$10,Предпосылки!$D44),SUM($D119,$D162),0)</f>
        <v>0</v>
      </c>
      <c s="125">
        <f>IF(AR$10=IF(ISBLANK(Предпосылки!$D44),$E$10,Предпосылки!$D44),SUM($D119,$D162),0)</f>
        <v>0</v>
      </c>
      <c s="125">
        <f>IF(AS$10=IF(ISBLANK(Предпосылки!$D44),$E$10,Предпосылки!$D44),SUM($D119,$D162),0)</f>
        <v>0</v>
      </c>
      <c s="125">
        <f>IF(AT$10=IF(ISBLANK(Предпосылки!$D44),$E$10,Предпосылки!$D44),SUM($D119,$D162),0)</f>
        <v>0</v>
      </c>
      <c s="125">
        <f>IF(AU$10=IF(ISBLANK(Предпосылки!$D44),$E$10,Предпосылки!$D44),SUM($D119,$D162),0)</f>
        <v>0</v>
      </c>
      <c s="125">
        <f>IF(AV$10=IF(ISBLANK(Предпосылки!$D44),$E$10,Предпосылки!$D44),SUM($D119,$D162),0)</f>
        <v>0</v>
      </c>
      <c s="125">
        <f>IF(AW$10=IF(ISBLANK(Предпосылки!$D44),$E$10,Предпосылки!$D44),SUM($D119,$D162),0)</f>
        <v>0</v>
      </c>
      <c s="125">
        <f>IF(AX$10=IF(ISBLANK(Предпосылки!$D44),$E$10,Предпосылки!$D44),SUM($D119,$D162),0)</f>
        <v>0</v>
      </c>
      <c s="125">
        <f>IF(AY$10=IF(ISBLANK(Предпосылки!$D44),$E$10,Предпосылки!$D44),SUM($D119,$D162),0)</f>
        <v>0</v>
      </c>
      <c s="125">
        <f>IF(AZ$10=IF(ISBLANK(Предпосылки!$D44),$E$10,Предпосылки!$D44),SUM($D119,$D162),0)</f>
        <v>0</v>
      </c>
      <c s="125">
        <f>IF(BA$10=IF(ISBLANK(Предпосылки!$D44),$E$10,Предпосылки!$D44),SUM($D119,$D162),0)</f>
        <v>0</v>
      </c>
      <c s="125">
        <f>IF(BB$10=IF(ISBLANK(Предпосылки!$D44),$E$10,Предпосылки!$D44),SUM($D119,$D162),0)</f>
        <v>0</v>
      </c>
      <c s="125">
        <f>IF(BC$10=IF(ISBLANK(Предпосылки!$D44),$E$10,Предпосылки!$D44),SUM($D119,$D162),0)</f>
        <v>0</v>
      </c>
      <c s="125">
        <f>IF(BD$10=IF(ISBLANK(Предпосылки!$D44),$E$10,Предпосылки!$D44),SUM($D119,$D162),0)</f>
        <v>0</v>
      </c>
      <c s="125">
        <f>IF(BE$10=IF(ISBLANK(Предпосылки!$D44),$E$10,Предпосылки!$D44),SUM($D119,$D162),0)</f>
        <v>0</v>
      </c>
      <c s="125">
        <f>IF(BF$10=IF(ISBLANK(Предпосылки!$D44),$E$10,Предпосылки!$D44),SUM($D119,$D162),0)</f>
        <v>0</v>
      </c>
      <c s="125">
        <f>IF(BG$10=IF(ISBLANK(Предпосылки!$D44),$E$10,Предпосылки!$D44),SUM($D119,$D162),0)</f>
        <v>0</v>
      </c>
      <c s="125">
        <f>IF(BH$10=IF(ISBLANK(Предпосылки!$D44),$E$10,Предпосылки!$D44),SUM($D119,$D162),0)</f>
        <v>0</v>
      </c>
      <c s="125">
        <f>IF(BI$10=IF(ISBLANK(Предпосылки!$D44),$E$10,Предпосылки!$D44),SUM($D119,$D162),0)</f>
        <v>0</v>
      </c>
      <c s="125">
        <f>IF(BJ$10=IF(ISBLANK(Предпосылки!$D44),$E$10,Предпосылки!$D44),SUM($D119,$D162),0)</f>
        <v>0</v>
      </c>
      <c s="125">
        <f>IF(BK$10=IF(ISBLANK(Предпосылки!$D44),$E$10,Предпосылки!$D44),SUM($D119,$D162),0)</f>
        <v>0</v>
      </c>
      <c s="125">
        <f>IF(BL$10=IF(ISBLANK(Предпосылки!$D44),$E$10,Предпосылки!$D44),SUM($D119,$D162),0)</f>
        <v>0</v>
      </c>
      <c s="125">
        <f>IF(BM$10=IF(ISBLANK(Предпосылки!$D44),$E$10,Предпосылки!$D44),SUM($D119,$D162),0)</f>
        <v>0</v>
      </c>
    </row>
    <row r="293" spans="2:65" ht="15" customHeight="1">
      <c r="B293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IF(E$10=IF(ISBLANK(Предпосылки!$D45),$E$10,Предпосылки!$D45),SUM($D120,$D163),0)</f>
        <v>0</v>
      </c>
      <c s="125">
        <f>IF(F$10=IF(ISBLANK(Предпосылки!$D45),$E$10,Предпосылки!$D45),SUM($D120,$D163),0)</f>
        <v>0</v>
      </c>
      <c s="125">
        <f>IF(G$10=IF(ISBLANK(Предпосылки!$D45),$E$10,Предпосылки!$D45),SUM($D120,$D163),0)</f>
        <v>0</v>
      </c>
      <c s="125">
        <f>IF(H$10=IF(ISBLANK(Предпосылки!$D45),$E$10,Предпосылки!$D45),SUM($D120,$D163),0)</f>
        <v>0</v>
      </c>
      <c s="125">
        <f>IF(I$10=IF(ISBLANK(Предпосылки!$D45),$E$10,Предпосылки!$D45),SUM($D120,$D163),0)</f>
        <v>0</v>
      </c>
      <c s="125">
        <f>IF(J$10=IF(ISBLANK(Предпосылки!$D45),$E$10,Предпосылки!$D45),SUM($D120,$D163),0)</f>
        <v>0</v>
      </c>
      <c s="125">
        <f>IF(K$10=IF(ISBLANK(Предпосылки!$D45),$E$10,Предпосылки!$D45),SUM($D120,$D163),0)</f>
        <v>0</v>
      </c>
      <c s="125">
        <f>IF(L$10=IF(ISBLANK(Предпосылки!$D45),$E$10,Предпосылки!$D45),SUM($D120,$D163),0)</f>
        <v>0</v>
      </c>
      <c s="125">
        <f>IF(M$10=IF(ISBLANK(Предпосылки!$D45),$E$10,Предпосылки!$D45),SUM($D120,$D163),0)</f>
        <v>0</v>
      </c>
      <c s="125">
        <f>IF(N$10=IF(ISBLANK(Предпосылки!$D45),$E$10,Предпосылки!$D45),SUM($D120,$D163),0)</f>
        <v>0</v>
      </c>
      <c s="125">
        <f>IF(O$10=IF(ISBLANK(Предпосылки!$D45),$E$10,Предпосылки!$D45),SUM($D120,$D163),0)</f>
        <v>0</v>
      </c>
      <c s="125">
        <f>IF(P$10=IF(ISBLANK(Предпосылки!$D45),$E$10,Предпосылки!$D45),SUM($D120,$D163),0)</f>
        <v>0</v>
      </c>
      <c s="125">
        <f>IF(Q$10=IF(ISBLANK(Предпосылки!$D45),$E$10,Предпосылки!$D45),SUM($D120,$D163),0)</f>
        <v>0</v>
      </c>
      <c s="125">
        <f>IF(R$10=IF(ISBLANK(Предпосылки!$D45),$E$10,Предпосылки!$D45),SUM($D120,$D163),0)</f>
        <v>0</v>
      </c>
      <c s="125">
        <f>IF(S$10=IF(ISBLANK(Предпосылки!$D45),$E$10,Предпосылки!$D45),SUM($D120,$D163),0)</f>
        <v>0</v>
      </c>
      <c s="125">
        <f>IF(T$10=IF(ISBLANK(Предпосылки!$D45),$E$10,Предпосылки!$D45),SUM($D120,$D163),0)</f>
        <v>0</v>
      </c>
      <c s="125">
        <f>IF(U$10=IF(ISBLANK(Предпосылки!$D45),$E$10,Предпосылки!$D45),SUM($D120,$D163),0)</f>
        <v>0</v>
      </c>
      <c s="125">
        <f>IF(V$10=IF(ISBLANK(Предпосылки!$D45),$E$10,Предпосылки!$D45),SUM($D120,$D163),0)</f>
        <v>0</v>
      </c>
      <c s="125">
        <f>IF(W$10=IF(ISBLANK(Предпосылки!$D45),$E$10,Предпосылки!$D45),SUM($D120,$D163),0)</f>
        <v>0</v>
      </c>
      <c s="125">
        <f>IF(X$10=IF(ISBLANK(Предпосылки!$D45),$E$10,Предпосылки!$D45),SUM($D120,$D163),0)</f>
        <v>0</v>
      </c>
      <c s="125">
        <f>IF(Y$10=IF(ISBLANK(Предпосылки!$D45),$E$10,Предпосылки!$D45),SUM($D120,$D163),0)</f>
        <v>0</v>
      </c>
      <c s="125">
        <f>IF(Z$10=IF(ISBLANK(Предпосылки!$D45),$E$10,Предпосылки!$D45),SUM($D120,$D163),0)</f>
        <v>0</v>
      </c>
      <c s="125">
        <f>IF(AA$10=IF(ISBLANK(Предпосылки!$D45),$E$10,Предпосылки!$D45),SUM($D120,$D163),0)</f>
        <v>0</v>
      </c>
      <c s="125">
        <f>IF(AB$10=IF(ISBLANK(Предпосылки!$D45),$E$10,Предпосылки!$D45),SUM($D120,$D163),0)</f>
        <v>0</v>
      </c>
      <c s="125">
        <f>IF(AC$10=IF(ISBLANK(Предпосылки!$D45),$E$10,Предпосылки!$D45),SUM($D120,$D163),0)</f>
        <v>0</v>
      </c>
      <c s="125">
        <f>IF(AD$10=IF(ISBLANK(Предпосылки!$D45),$E$10,Предпосылки!$D45),SUM($D120,$D163),0)</f>
        <v>0</v>
      </c>
      <c s="125">
        <f>IF(AE$10=IF(ISBLANK(Предпосылки!$D45),$E$10,Предпосылки!$D45),SUM($D120,$D163),0)</f>
        <v>0</v>
      </c>
      <c s="125">
        <f>IF(AF$10=IF(ISBLANK(Предпосылки!$D45),$E$10,Предпосылки!$D45),SUM($D120,$D163),0)</f>
        <v>0</v>
      </c>
      <c s="125">
        <f>IF(AG$10=IF(ISBLANK(Предпосылки!$D45),$E$10,Предпосылки!$D45),SUM($D120,$D163),0)</f>
        <v>0</v>
      </c>
      <c s="125">
        <f>IF(AH$10=IF(ISBLANK(Предпосылки!$D45),$E$10,Предпосылки!$D45),SUM($D120,$D163),0)</f>
        <v>0</v>
      </c>
      <c s="125">
        <f>IF(AI$10=IF(ISBLANK(Предпосылки!$D45),$E$10,Предпосылки!$D45),SUM($D120,$D163),0)</f>
        <v>0</v>
      </c>
      <c s="125">
        <f>IF(AJ$10=IF(ISBLANK(Предпосылки!$D45),$E$10,Предпосылки!$D45),SUM($D120,$D163),0)</f>
        <v>0</v>
      </c>
      <c s="125">
        <f>IF(AK$10=IF(ISBLANK(Предпосылки!$D45),$E$10,Предпосылки!$D45),SUM($D120,$D163),0)</f>
        <v>0</v>
      </c>
      <c s="125">
        <f>IF(AL$10=IF(ISBLANK(Предпосылки!$D45),$E$10,Предпосылки!$D45),SUM($D120,$D163),0)</f>
        <v>0</v>
      </c>
      <c s="125">
        <f>IF(AM$10=IF(ISBLANK(Предпосылки!$D45),$E$10,Предпосылки!$D45),SUM($D120,$D163),0)</f>
        <v>0</v>
      </c>
      <c s="125">
        <f>IF(AN$10=IF(ISBLANK(Предпосылки!$D45),$E$10,Предпосылки!$D45),SUM($D120,$D163),0)</f>
        <v>0</v>
      </c>
      <c s="125">
        <f>IF(AO$10=IF(ISBLANK(Предпосылки!$D45),$E$10,Предпосылки!$D45),SUM($D120,$D163),0)</f>
        <v>0</v>
      </c>
      <c s="125">
        <f>IF(AP$10=IF(ISBLANK(Предпосылки!$D45),$E$10,Предпосылки!$D45),SUM($D120,$D163),0)</f>
        <v>0</v>
      </c>
      <c s="125">
        <f>IF(AQ$10=IF(ISBLANK(Предпосылки!$D45),$E$10,Предпосылки!$D45),SUM($D120,$D163),0)</f>
        <v>0</v>
      </c>
      <c s="125">
        <f>IF(AR$10=IF(ISBLANK(Предпосылки!$D45),$E$10,Предпосылки!$D45),SUM($D120,$D163),0)</f>
        <v>0</v>
      </c>
      <c s="125">
        <f>IF(AS$10=IF(ISBLANK(Предпосылки!$D45),$E$10,Предпосылки!$D45),SUM($D120,$D163),0)</f>
        <v>0</v>
      </c>
      <c s="125">
        <f>IF(AT$10=IF(ISBLANK(Предпосылки!$D45),$E$10,Предпосылки!$D45),SUM($D120,$D163),0)</f>
        <v>0</v>
      </c>
      <c s="125">
        <f>IF(AU$10=IF(ISBLANK(Предпосылки!$D45),$E$10,Предпосылки!$D45),SUM($D120,$D163),0)</f>
        <v>0</v>
      </c>
      <c s="125">
        <f>IF(AV$10=IF(ISBLANK(Предпосылки!$D45),$E$10,Предпосылки!$D45),SUM($D120,$D163),0)</f>
        <v>0</v>
      </c>
      <c s="125">
        <f>IF(AW$10=IF(ISBLANK(Предпосылки!$D45),$E$10,Предпосылки!$D45),SUM($D120,$D163),0)</f>
        <v>0</v>
      </c>
      <c s="125">
        <f>IF(AX$10=IF(ISBLANK(Предпосылки!$D45),$E$10,Предпосылки!$D45),SUM($D120,$D163),0)</f>
        <v>0</v>
      </c>
      <c s="125">
        <f>IF(AY$10=IF(ISBLANK(Предпосылки!$D45),$E$10,Предпосылки!$D45),SUM($D120,$D163),0)</f>
        <v>0</v>
      </c>
      <c s="125">
        <f>IF(AZ$10=IF(ISBLANK(Предпосылки!$D45),$E$10,Предпосылки!$D45),SUM($D120,$D163),0)</f>
        <v>0</v>
      </c>
      <c s="125">
        <f>IF(BA$10=IF(ISBLANK(Предпосылки!$D45),$E$10,Предпосылки!$D45),SUM($D120,$D163),0)</f>
        <v>0</v>
      </c>
      <c s="125">
        <f>IF(BB$10=IF(ISBLANK(Предпосылки!$D45),$E$10,Предпосылки!$D45),SUM($D120,$D163),0)</f>
        <v>0</v>
      </c>
      <c s="125">
        <f>IF(BC$10=IF(ISBLANK(Предпосылки!$D45),$E$10,Предпосылки!$D45),SUM($D120,$D163),0)</f>
        <v>0</v>
      </c>
      <c s="125">
        <f>IF(BD$10=IF(ISBLANK(Предпосылки!$D45),$E$10,Предпосылки!$D45),SUM($D120,$D163),0)</f>
        <v>0</v>
      </c>
      <c s="125">
        <f>IF(BE$10=IF(ISBLANK(Предпосылки!$D45),$E$10,Предпосылки!$D45),SUM($D120,$D163),0)</f>
        <v>0</v>
      </c>
      <c s="125">
        <f>IF(BF$10=IF(ISBLANK(Предпосылки!$D45),$E$10,Предпосылки!$D45),SUM($D120,$D163),0)</f>
        <v>0</v>
      </c>
      <c s="125">
        <f>IF(BG$10=IF(ISBLANK(Предпосылки!$D45),$E$10,Предпосылки!$D45),SUM($D120,$D163),0)</f>
        <v>0</v>
      </c>
      <c s="125">
        <f>IF(BH$10=IF(ISBLANK(Предпосылки!$D45),$E$10,Предпосылки!$D45),SUM($D120,$D163),0)</f>
        <v>0</v>
      </c>
      <c s="125">
        <f>IF(BI$10=IF(ISBLANK(Предпосылки!$D45),$E$10,Предпосылки!$D45),SUM($D120,$D163),0)</f>
        <v>0</v>
      </c>
      <c s="125">
        <f>IF(BJ$10=IF(ISBLANK(Предпосылки!$D45),$E$10,Предпосылки!$D45),SUM($D120,$D163),0)</f>
        <v>0</v>
      </c>
      <c s="125">
        <f>IF(BK$10=IF(ISBLANK(Предпосылки!$D45),$E$10,Предпосылки!$D45),SUM($D120,$D163),0)</f>
        <v>0</v>
      </c>
      <c s="125">
        <f>IF(BL$10=IF(ISBLANK(Предпосылки!$D45),$E$10,Предпосылки!$D45),SUM($D120,$D163),0)</f>
        <v>0</v>
      </c>
      <c s="125">
        <f>IF(BM$10=IF(ISBLANK(Предпосылки!$D45),$E$10,Предпосылки!$D45),SUM($D120,$D163),0)</f>
        <v>0</v>
      </c>
    </row>
    <row r="294" spans="2:65" ht="15" customHeight="1">
      <c r="B294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IF(E$10=IF(ISBLANK(Предпосылки!$D46),$E$10,Предпосылки!$D46),SUM($D121,$D164),0)</f>
        <v>0</v>
      </c>
      <c s="125">
        <f>IF(F$10=IF(ISBLANK(Предпосылки!$D46),$E$10,Предпосылки!$D46),SUM($D121,$D164),0)</f>
        <v>0</v>
      </c>
      <c s="125">
        <f>IF(G$10=IF(ISBLANK(Предпосылки!$D46),$E$10,Предпосылки!$D46),SUM($D121,$D164),0)</f>
        <v>0</v>
      </c>
      <c s="125">
        <f>IF(H$10=IF(ISBLANK(Предпосылки!$D46),$E$10,Предпосылки!$D46),SUM($D121,$D164),0)</f>
        <v>0</v>
      </c>
      <c s="125">
        <f>IF(I$10=IF(ISBLANK(Предпосылки!$D46),$E$10,Предпосылки!$D46),SUM($D121,$D164),0)</f>
        <v>0</v>
      </c>
      <c s="125">
        <f>IF(J$10=IF(ISBLANK(Предпосылки!$D46),$E$10,Предпосылки!$D46),SUM($D121,$D164),0)</f>
        <v>0</v>
      </c>
      <c s="125">
        <f>IF(K$10=IF(ISBLANK(Предпосылки!$D46),$E$10,Предпосылки!$D46),SUM($D121,$D164),0)</f>
        <v>0</v>
      </c>
      <c s="125">
        <f>IF(L$10=IF(ISBLANK(Предпосылки!$D46),$E$10,Предпосылки!$D46),SUM($D121,$D164),0)</f>
        <v>0</v>
      </c>
      <c s="125">
        <f>IF(M$10=IF(ISBLANK(Предпосылки!$D46),$E$10,Предпосылки!$D46),SUM($D121,$D164),0)</f>
        <v>0</v>
      </c>
      <c s="125">
        <f>IF(N$10=IF(ISBLANK(Предпосылки!$D46),$E$10,Предпосылки!$D46),SUM($D121,$D164),0)</f>
        <v>0</v>
      </c>
      <c s="125">
        <f>IF(O$10=IF(ISBLANK(Предпосылки!$D46),$E$10,Предпосылки!$D46),SUM($D121,$D164),0)</f>
        <v>0</v>
      </c>
      <c s="125">
        <f>IF(P$10=IF(ISBLANK(Предпосылки!$D46),$E$10,Предпосылки!$D46),SUM($D121,$D164),0)</f>
        <v>0</v>
      </c>
      <c s="125">
        <f>IF(Q$10=IF(ISBLANK(Предпосылки!$D46),$E$10,Предпосылки!$D46),SUM($D121,$D164),0)</f>
        <v>0</v>
      </c>
      <c s="125">
        <f>IF(R$10=IF(ISBLANK(Предпосылки!$D46),$E$10,Предпосылки!$D46),SUM($D121,$D164),0)</f>
        <v>0</v>
      </c>
      <c s="125">
        <f>IF(S$10=IF(ISBLANK(Предпосылки!$D46),$E$10,Предпосылки!$D46),SUM($D121,$D164),0)</f>
        <v>0</v>
      </c>
      <c s="125">
        <f>IF(T$10=IF(ISBLANK(Предпосылки!$D46),$E$10,Предпосылки!$D46),SUM($D121,$D164),0)</f>
        <v>0</v>
      </c>
      <c s="125">
        <f>IF(U$10=IF(ISBLANK(Предпосылки!$D46),$E$10,Предпосылки!$D46),SUM($D121,$D164),0)</f>
        <v>0</v>
      </c>
      <c s="125">
        <f>IF(V$10=IF(ISBLANK(Предпосылки!$D46),$E$10,Предпосылки!$D46),SUM($D121,$D164),0)</f>
        <v>0</v>
      </c>
      <c s="125">
        <f>IF(W$10=IF(ISBLANK(Предпосылки!$D46),$E$10,Предпосылки!$D46),SUM($D121,$D164),0)</f>
        <v>0</v>
      </c>
      <c s="125">
        <f>IF(X$10=IF(ISBLANK(Предпосылки!$D46),$E$10,Предпосылки!$D46),SUM($D121,$D164),0)</f>
        <v>0</v>
      </c>
      <c s="125">
        <f>IF(Y$10=IF(ISBLANK(Предпосылки!$D46),$E$10,Предпосылки!$D46),SUM($D121,$D164),0)</f>
        <v>0</v>
      </c>
      <c s="125">
        <f>IF(Z$10=IF(ISBLANK(Предпосылки!$D46),$E$10,Предпосылки!$D46),SUM($D121,$D164),0)</f>
        <v>0</v>
      </c>
      <c s="125">
        <f>IF(AA$10=IF(ISBLANK(Предпосылки!$D46),$E$10,Предпосылки!$D46),SUM($D121,$D164),0)</f>
        <v>0</v>
      </c>
      <c s="125">
        <f>IF(AB$10=IF(ISBLANK(Предпосылки!$D46),$E$10,Предпосылки!$D46),SUM($D121,$D164),0)</f>
        <v>0</v>
      </c>
      <c s="125">
        <f>IF(AC$10=IF(ISBLANK(Предпосылки!$D46),$E$10,Предпосылки!$D46),SUM($D121,$D164),0)</f>
        <v>0</v>
      </c>
      <c s="125">
        <f>IF(AD$10=IF(ISBLANK(Предпосылки!$D46),$E$10,Предпосылки!$D46),SUM($D121,$D164),0)</f>
        <v>0</v>
      </c>
      <c s="125">
        <f>IF(AE$10=IF(ISBLANK(Предпосылки!$D46),$E$10,Предпосылки!$D46),SUM($D121,$D164),0)</f>
        <v>0</v>
      </c>
      <c s="125">
        <f>IF(AF$10=IF(ISBLANK(Предпосылки!$D46),$E$10,Предпосылки!$D46),SUM($D121,$D164),0)</f>
        <v>0</v>
      </c>
      <c s="125">
        <f>IF(AG$10=IF(ISBLANK(Предпосылки!$D46),$E$10,Предпосылки!$D46),SUM($D121,$D164),0)</f>
        <v>0</v>
      </c>
      <c s="125">
        <f>IF(AH$10=IF(ISBLANK(Предпосылки!$D46),$E$10,Предпосылки!$D46),SUM($D121,$D164),0)</f>
        <v>0</v>
      </c>
      <c s="125">
        <f>IF(AI$10=IF(ISBLANK(Предпосылки!$D46),$E$10,Предпосылки!$D46),SUM($D121,$D164),0)</f>
        <v>0</v>
      </c>
      <c s="125">
        <f>IF(AJ$10=IF(ISBLANK(Предпосылки!$D46),$E$10,Предпосылки!$D46),SUM($D121,$D164),0)</f>
        <v>0</v>
      </c>
      <c s="125">
        <f>IF(AK$10=IF(ISBLANK(Предпосылки!$D46),$E$10,Предпосылки!$D46),SUM($D121,$D164),0)</f>
        <v>0</v>
      </c>
      <c s="125">
        <f>IF(AL$10=IF(ISBLANK(Предпосылки!$D46),$E$10,Предпосылки!$D46),SUM($D121,$D164),0)</f>
        <v>0</v>
      </c>
      <c s="125">
        <f>IF(AM$10=IF(ISBLANK(Предпосылки!$D46),$E$10,Предпосылки!$D46),SUM($D121,$D164),0)</f>
        <v>0</v>
      </c>
      <c s="125">
        <f>IF(AN$10=IF(ISBLANK(Предпосылки!$D46),$E$10,Предпосылки!$D46),SUM($D121,$D164),0)</f>
        <v>0</v>
      </c>
      <c s="125">
        <f>IF(AO$10=IF(ISBLANK(Предпосылки!$D46),$E$10,Предпосылки!$D46),SUM($D121,$D164),0)</f>
        <v>0</v>
      </c>
      <c s="125">
        <f>IF(AP$10=IF(ISBLANK(Предпосылки!$D46),$E$10,Предпосылки!$D46),SUM($D121,$D164),0)</f>
        <v>0</v>
      </c>
      <c s="125">
        <f>IF(AQ$10=IF(ISBLANK(Предпосылки!$D46),$E$10,Предпосылки!$D46),SUM($D121,$D164),0)</f>
        <v>0</v>
      </c>
      <c s="125">
        <f>IF(AR$10=IF(ISBLANK(Предпосылки!$D46),$E$10,Предпосылки!$D46),SUM($D121,$D164),0)</f>
        <v>0</v>
      </c>
      <c s="125">
        <f>IF(AS$10=IF(ISBLANK(Предпосылки!$D46),$E$10,Предпосылки!$D46),SUM($D121,$D164),0)</f>
        <v>0</v>
      </c>
      <c s="125">
        <f>IF(AT$10=IF(ISBLANK(Предпосылки!$D46),$E$10,Предпосылки!$D46),SUM($D121,$D164),0)</f>
        <v>0</v>
      </c>
      <c s="125">
        <f>IF(AU$10=IF(ISBLANK(Предпосылки!$D46),$E$10,Предпосылки!$D46),SUM($D121,$D164),0)</f>
        <v>0</v>
      </c>
      <c s="125">
        <f>IF(AV$10=IF(ISBLANK(Предпосылки!$D46),$E$10,Предпосылки!$D46),SUM($D121,$D164),0)</f>
        <v>0</v>
      </c>
      <c s="125">
        <f>IF(AW$10=IF(ISBLANK(Предпосылки!$D46),$E$10,Предпосылки!$D46),SUM($D121,$D164),0)</f>
        <v>0</v>
      </c>
      <c s="125">
        <f>IF(AX$10=IF(ISBLANK(Предпосылки!$D46),$E$10,Предпосылки!$D46),SUM($D121,$D164),0)</f>
        <v>0</v>
      </c>
      <c s="125">
        <f>IF(AY$10=IF(ISBLANK(Предпосылки!$D46),$E$10,Предпосылки!$D46),SUM($D121,$D164),0)</f>
        <v>0</v>
      </c>
      <c s="125">
        <f>IF(AZ$10=IF(ISBLANK(Предпосылки!$D46),$E$10,Предпосылки!$D46),SUM($D121,$D164),0)</f>
        <v>0</v>
      </c>
      <c s="125">
        <f>IF(BA$10=IF(ISBLANK(Предпосылки!$D46),$E$10,Предпосылки!$D46),SUM($D121,$D164),0)</f>
        <v>0</v>
      </c>
      <c s="125">
        <f>IF(BB$10=IF(ISBLANK(Предпосылки!$D46),$E$10,Предпосылки!$D46),SUM($D121,$D164),0)</f>
        <v>0</v>
      </c>
      <c s="125">
        <f>IF(BC$10=IF(ISBLANK(Предпосылки!$D46),$E$10,Предпосылки!$D46),SUM($D121,$D164),0)</f>
        <v>0</v>
      </c>
      <c s="125">
        <f>IF(BD$10=IF(ISBLANK(Предпосылки!$D46),$E$10,Предпосылки!$D46),SUM($D121,$D164),0)</f>
        <v>0</v>
      </c>
      <c s="125">
        <f>IF(BE$10=IF(ISBLANK(Предпосылки!$D46),$E$10,Предпосылки!$D46),SUM($D121,$D164),0)</f>
        <v>0</v>
      </c>
      <c s="125">
        <f>IF(BF$10=IF(ISBLANK(Предпосылки!$D46),$E$10,Предпосылки!$D46),SUM($D121,$D164),0)</f>
        <v>0</v>
      </c>
      <c s="125">
        <f>IF(BG$10=IF(ISBLANK(Предпосылки!$D46),$E$10,Предпосылки!$D46),SUM($D121,$D164),0)</f>
        <v>0</v>
      </c>
      <c s="125">
        <f>IF(BH$10=IF(ISBLANK(Предпосылки!$D46),$E$10,Предпосылки!$D46),SUM($D121,$D164),0)</f>
        <v>0</v>
      </c>
      <c s="125">
        <f>IF(BI$10=IF(ISBLANK(Предпосылки!$D46),$E$10,Предпосылки!$D46),SUM($D121,$D164),0)</f>
        <v>0</v>
      </c>
      <c s="125">
        <f>IF(BJ$10=IF(ISBLANK(Предпосылки!$D46),$E$10,Предпосылки!$D46),SUM($D121,$D164),0)</f>
        <v>0</v>
      </c>
      <c s="125">
        <f>IF(BK$10=IF(ISBLANK(Предпосылки!$D46),$E$10,Предпосылки!$D46),SUM($D121,$D164),0)</f>
        <v>0</v>
      </c>
      <c s="125">
        <f>IF(BL$10=IF(ISBLANK(Предпосылки!$D46),$E$10,Предпосылки!$D46),SUM($D121,$D164),0)</f>
        <v>0</v>
      </c>
      <c s="125">
        <f>IF(BM$10=IF(ISBLANK(Предпосылки!$D46),$E$10,Предпосылки!$D46),SUM($D121,$D164),0)</f>
        <v>0</v>
      </c>
    </row>
    <row r="295" spans="2:65" ht="15" customHeight="1">
      <c r="B295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IF(E$10=IF(ISBLANK(Предпосылки!$D47),$E$10,Предпосылки!$D47),SUM($D122,$D165),0)</f>
        <v>0</v>
      </c>
      <c s="125">
        <f>IF(F$10=IF(ISBLANK(Предпосылки!$D47),$E$10,Предпосылки!$D47),SUM($D122,$D165),0)</f>
        <v>0</v>
      </c>
      <c s="125">
        <f>IF(G$10=IF(ISBLANK(Предпосылки!$D47),$E$10,Предпосылки!$D47),SUM($D122,$D165),0)</f>
        <v>0</v>
      </c>
      <c s="125">
        <f>IF(H$10=IF(ISBLANK(Предпосылки!$D47),$E$10,Предпосылки!$D47),SUM($D122,$D165),0)</f>
        <v>0</v>
      </c>
      <c s="125">
        <f>IF(I$10=IF(ISBLANK(Предпосылки!$D47),$E$10,Предпосылки!$D47),SUM($D122,$D165),0)</f>
        <v>0</v>
      </c>
      <c s="125">
        <f>IF(J$10=IF(ISBLANK(Предпосылки!$D47),$E$10,Предпосылки!$D47),SUM($D122,$D165),0)</f>
        <v>0</v>
      </c>
      <c s="125">
        <f>IF(K$10=IF(ISBLANK(Предпосылки!$D47),$E$10,Предпосылки!$D47),SUM($D122,$D165),0)</f>
        <v>0</v>
      </c>
      <c s="125">
        <f>IF(L$10=IF(ISBLANK(Предпосылки!$D47),$E$10,Предпосылки!$D47),SUM($D122,$D165),0)</f>
        <v>0</v>
      </c>
      <c s="125">
        <f>IF(M$10=IF(ISBLANK(Предпосылки!$D47),$E$10,Предпосылки!$D47),SUM($D122,$D165),0)</f>
        <v>0</v>
      </c>
      <c s="125">
        <f>IF(N$10=IF(ISBLANK(Предпосылки!$D47),$E$10,Предпосылки!$D47),SUM($D122,$D165),0)</f>
        <v>0</v>
      </c>
      <c s="125">
        <f>IF(O$10=IF(ISBLANK(Предпосылки!$D47),$E$10,Предпосылки!$D47),SUM($D122,$D165),0)</f>
        <v>0</v>
      </c>
      <c s="125">
        <f>IF(P$10=IF(ISBLANK(Предпосылки!$D47),$E$10,Предпосылки!$D47),SUM($D122,$D165),0)</f>
        <v>0</v>
      </c>
      <c s="125">
        <f>IF(Q$10=IF(ISBLANK(Предпосылки!$D47),$E$10,Предпосылки!$D47),SUM($D122,$D165),0)</f>
        <v>0</v>
      </c>
      <c s="125">
        <f>IF(R$10=IF(ISBLANK(Предпосылки!$D47),$E$10,Предпосылки!$D47),SUM($D122,$D165),0)</f>
        <v>0</v>
      </c>
      <c s="125">
        <f>IF(S$10=IF(ISBLANK(Предпосылки!$D47),$E$10,Предпосылки!$D47),SUM($D122,$D165),0)</f>
        <v>0</v>
      </c>
      <c s="125">
        <f>IF(T$10=IF(ISBLANK(Предпосылки!$D47),$E$10,Предпосылки!$D47),SUM($D122,$D165),0)</f>
        <v>0</v>
      </c>
      <c s="125">
        <f>IF(U$10=IF(ISBLANK(Предпосылки!$D47),$E$10,Предпосылки!$D47),SUM($D122,$D165),0)</f>
        <v>0</v>
      </c>
      <c s="125">
        <f>IF(V$10=IF(ISBLANK(Предпосылки!$D47),$E$10,Предпосылки!$D47),SUM($D122,$D165),0)</f>
        <v>0</v>
      </c>
      <c s="125">
        <f>IF(W$10=IF(ISBLANK(Предпосылки!$D47),$E$10,Предпосылки!$D47),SUM($D122,$D165),0)</f>
        <v>0</v>
      </c>
      <c s="125">
        <f>IF(X$10=IF(ISBLANK(Предпосылки!$D47),$E$10,Предпосылки!$D47),SUM($D122,$D165),0)</f>
        <v>0</v>
      </c>
      <c s="125">
        <f>IF(Y$10=IF(ISBLANK(Предпосылки!$D47),$E$10,Предпосылки!$D47),SUM($D122,$D165),0)</f>
        <v>0</v>
      </c>
      <c s="125">
        <f>IF(Z$10=IF(ISBLANK(Предпосылки!$D47),$E$10,Предпосылки!$D47),SUM($D122,$D165),0)</f>
        <v>0</v>
      </c>
      <c s="125">
        <f>IF(AA$10=IF(ISBLANK(Предпосылки!$D47),$E$10,Предпосылки!$D47),SUM($D122,$D165),0)</f>
        <v>0</v>
      </c>
      <c s="125">
        <f>IF(AB$10=IF(ISBLANK(Предпосылки!$D47),$E$10,Предпосылки!$D47),SUM($D122,$D165),0)</f>
        <v>0</v>
      </c>
      <c s="125">
        <f>IF(AC$10=IF(ISBLANK(Предпосылки!$D47),$E$10,Предпосылки!$D47),SUM($D122,$D165),0)</f>
        <v>0</v>
      </c>
      <c s="125">
        <f>IF(AD$10=IF(ISBLANK(Предпосылки!$D47),$E$10,Предпосылки!$D47),SUM($D122,$D165),0)</f>
        <v>0</v>
      </c>
      <c s="125">
        <f>IF(AE$10=IF(ISBLANK(Предпосылки!$D47),$E$10,Предпосылки!$D47),SUM($D122,$D165),0)</f>
        <v>0</v>
      </c>
      <c s="125">
        <f>IF(AF$10=IF(ISBLANK(Предпосылки!$D47),$E$10,Предпосылки!$D47),SUM($D122,$D165),0)</f>
        <v>0</v>
      </c>
      <c s="125">
        <f>IF(AG$10=IF(ISBLANK(Предпосылки!$D47),$E$10,Предпосылки!$D47),SUM($D122,$D165),0)</f>
        <v>0</v>
      </c>
      <c s="125">
        <f>IF(AH$10=IF(ISBLANK(Предпосылки!$D47),$E$10,Предпосылки!$D47),SUM($D122,$D165),0)</f>
        <v>0</v>
      </c>
      <c s="125">
        <f>IF(AI$10=IF(ISBLANK(Предпосылки!$D47),$E$10,Предпосылки!$D47),SUM($D122,$D165),0)</f>
        <v>0</v>
      </c>
      <c s="125">
        <f>IF(AJ$10=IF(ISBLANK(Предпосылки!$D47),$E$10,Предпосылки!$D47),SUM($D122,$D165),0)</f>
        <v>0</v>
      </c>
      <c s="125">
        <f>IF(AK$10=IF(ISBLANK(Предпосылки!$D47),$E$10,Предпосылки!$D47),SUM($D122,$D165),0)</f>
        <v>0</v>
      </c>
      <c s="125">
        <f>IF(AL$10=IF(ISBLANK(Предпосылки!$D47),$E$10,Предпосылки!$D47),SUM($D122,$D165),0)</f>
        <v>0</v>
      </c>
      <c s="125">
        <f>IF(AM$10=IF(ISBLANK(Предпосылки!$D47),$E$10,Предпосылки!$D47),SUM($D122,$D165),0)</f>
        <v>0</v>
      </c>
      <c s="125">
        <f>IF(AN$10=IF(ISBLANK(Предпосылки!$D47),$E$10,Предпосылки!$D47),SUM($D122,$D165),0)</f>
        <v>0</v>
      </c>
      <c s="125">
        <f>IF(AO$10=IF(ISBLANK(Предпосылки!$D47),$E$10,Предпосылки!$D47),SUM($D122,$D165),0)</f>
        <v>0</v>
      </c>
      <c s="125">
        <f>IF(AP$10=IF(ISBLANK(Предпосылки!$D47),$E$10,Предпосылки!$D47),SUM($D122,$D165),0)</f>
        <v>0</v>
      </c>
      <c s="125">
        <f>IF(AQ$10=IF(ISBLANK(Предпосылки!$D47),$E$10,Предпосылки!$D47),SUM($D122,$D165),0)</f>
        <v>0</v>
      </c>
      <c s="125">
        <f>IF(AR$10=IF(ISBLANK(Предпосылки!$D47),$E$10,Предпосылки!$D47),SUM($D122,$D165),0)</f>
        <v>0</v>
      </c>
      <c s="125">
        <f>IF(AS$10=IF(ISBLANK(Предпосылки!$D47),$E$10,Предпосылки!$D47),SUM($D122,$D165),0)</f>
        <v>0</v>
      </c>
      <c s="125">
        <f>IF(AT$10=IF(ISBLANK(Предпосылки!$D47),$E$10,Предпосылки!$D47),SUM($D122,$D165),0)</f>
        <v>0</v>
      </c>
      <c s="125">
        <f>IF(AU$10=IF(ISBLANK(Предпосылки!$D47),$E$10,Предпосылки!$D47),SUM($D122,$D165),0)</f>
        <v>0</v>
      </c>
      <c s="125">
        <f>IF(AV$10=IF(ISBLANK(Предпосылки!$D47),$E$10,Предпосылки!$D47),SUM($D122,$D165),0)</f>
        <v>0</v>
      </c>
      <c s="125">
        <f>IF(AW$10=IF(ISBLANK(Предпосылки!$D47),$E$10,Предпосылки!$D47),SUM($D122,$D165),0)</f>
        <v>0</v>
      </c>
      <c s="125">
        <f>IF(AX$10=IF(ISBLANK(Предпосылки!$D47),$E$10,Предпосылки!$D47),SUM($D122,$D165),0)</f>
        <v>0</v>
      </c>
      <c s="125">
        <f>IF(AY$10=IF(ISBLANK(Предпосылки!$D47),$E$10,Предпосылки!$D47),SUM($D122,$D165),0)</f>
        <v>0</v>
      </c>
      <c s="125">
        <f>IF(AZ$10=IF(ISBLANK(Предпосылки!$D47),$E$10,Предпосылки!$D47),SUM($D122,$D165),0)</f>
        <v>0</v>
      </c>
      <c s="125">
        <f>IF(BA$10=IF(ISBLANK(Предпосылки!$D47),$E$10,Предпосылки!$D47),SUM($D122,$D165),0)</f>
        <v>0</v>
      </c>
      <c s="125">
        <f>IF(BB$10=IF(ISBLANK(Предпосылки!$D47),$E$10,Предпосылки!$D47),SUM($D122,$D165),0)</f>
        <v>0</v>
      </c>
      <c s="125">
        <f>IF(BC$10=IF(ISBLANK(Предпосылки!$D47),$E$10,Предпосылки!$D47),SUM($D122,$D165),0)</f>
        <v>0</v>
      </c>
      <c s="125">
        <f>IF(BD$10=IF(ISBLANK(Предпосылки!$D47),$E$10,Предпосылки!$D47),SUM($D122,$D165),0)</f>
        <v>0</v>
      </c>
      <c s="125">
        <f>IF(BE$10=IF(ISBLANK(Предпосылки!$D47),$E$10,Предпосылки!$D47),SUM($D122,$D165),0)</f>
        <v>0</v>
      </c>
      <c s="125">
        <f>IF(BF$10=IF(ISBLANK(Предпосылки!$D47),$E$10,Предпосылки!$D47),SUM($D122,$D165),0)</f>
        <v>0</v>
      </c>
      <c s="125">
        <f>IF(BG$10=IF(ISBLANK(Предпосылки!$D47),$E$10,Предпосылки!$D47),SUM($D122,$D165),0)</f>
        <v>0</v>
      </c>
      <c s="125">
        <f>IF(BH$10=IF(ISBLANK(Предпосылки!$D47),$E$10,Предпосылки!$D47),SUM($D122,$D165),0)</f>
        <v>0</v>
      </c>
      <c s="125">
        <f>IF(BI$10=IF(ISBLANK(Предпосылки!$D47),$E$10,Предпосылки!$D47),SUM($D122,$D165),0)</f>
        <v>0</v>
      </c>
      <c s="125">
        <f>IF(BJ$10=IF(ISBLANK(Предпосылки!$D47),$E$10,Предпосылки!$D47),SUM($D122,$D165),0)</f>
        <v>0</v>
      </c>
      <c s="125">
        <f>IF(BK$10=IF(ISBLANK(Предпосылки!$D47),$E$10,Предпосылки!$D47),SUM($D122,$D165),0)</f>
        <v>0</v>
      </c>
      <c s="125">
        <f>IF(BL$10=IF(ISBLANK(Предпосылки!$D47),$E$10,Предпосылки!$D47),SUM($D122,$D165),0)</f>
        <v>0</v>
      </c>
      <c s="125">
        <f>IF(BM$10=IF(ISBLANK(Предпосылки!$D47),$E$10,Предпосылки!$D47),SUM($D122,$D165),0)</f>
        <v>0</v>
      </c>
    </row>
    <row r="296" spans="2:65" ht="15" customHeight="1">
      <c r="B296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IF(E$10=IF(ISBLANK(Предпосылки!$D48),$E$10,Предпосылки!$D48),SUM($D123,$D166),0)</f>
        <v>0</v>
      </c>
      <c s="125">
        <f>IF(F$10=IF(ISBLANK(Предпосылки!$D48),$E$10,Предпосылки!$D48),SUM($D123,$D166),0)</f>
        <v>0</v>
      </c>
      <c s="125">
        <f>IF(G$10=IF(ISBLANK(Предпосылки!$D48),$E$10,Предпосылки!$D48),SUM($D123,$D166),0)</f>
        <v>0</v>
      </c>
      <c s="125">
        <f>IF(H$10=IF(ISBLANK(Предпосылки!$D48),$E$10,Предпосылки!$D48),SUM($D123,$D166),0)</f>
        <v>0</v>
      </c>
      <c s="125">
        <f>IF(I$10=IF(ISBLANK(Предпосылки!$D48),$E$10,Предпосылки!$D48),SUM($D123,$D166),0)</f>
        <v>0</v>
      </c>
      <c s="125">
        <f>IF(J$10=IF(ISBLANK(Предпосылки!$D48),$E$10,Предпосылки!$D48),SUM($D123,$D166),0)</f>
        <v>0</v>
      </c>
      <c s="125">
        <f>IF(K$10=IF(ISBLANK(Предпосылки!$D48),$E$10,Предпосылки!$D48),SUM($D123,$D166),0)</f>
        <v>0</v>
      </c>
      <c s="125">
        <f>IF(L$10=IF(ISBLANK(Предпосылки!$D48),$E$10,Предпосылки!$D48),SUM($D123,$D166),0)</f>
        <v>0</v>
      </c>
      <c s="125">
        <f>IF(M$10=IF(ISBLANK(Предпосылки!$D48),$E$10,Предпосылки!$D48),SUM($D123,$D166),0)</f>
        <v>0</v>
      </c>
      <c s="125">
        <f>IF(N$10=IF(ISBLANK(Предпосылки!$D48),$E$10,Предпосылки!$D48),SUM($D123,$D166),0)</f>
        <v>0</v>
      </c>
      <c s="125">
        <f>IF(O$10=IF(ISBLANK(Предпосылки!$D48),$E$10,Предпосылки!$D48),SUM($D123,$D166),0)</f>
        <v>0</v>
      </c>
      <c s="125">
        <f>IF(P$10=IF(ISBLANK(Предпосылки!$D48),$E$10,Предпосылки!$D48),SUM($D123,$D166),0)</f>
        <v>0</v>
      </c>
      <c s="125">
        <f>IF(Q$10=IF(ISBLANK(Предпосылки!$D48),$E$10,Предпосылки!$D48),SUM($D123,$D166),0)</f>
        <v>0</v>
      </c>
      <c s="125">
        <f>IF(R$10=IF(ISBLANK(Предпосылки!$D48),$E$10,Предпосылки!$D48),SUM($D123,$D166),0)</f>
        <v>0</v>
      </c>
      <c s="125">
        <f>IF(S$10=IF(ISBLANK(Предпосылки!$D48),$E$10,Предпосылки!$D48),SUM($D123,$D166),0)</f>
        <v>0</v>
      </c>
      <c s="125">
        <f>IF(T$10=IF(ISBLANK(Предпосылки!$D48),$E$10,Предпосылки!$D48),SUM($D123,$D166),0)</f>
        <v>0</v>
      </c>
      <c s="125">
        <f>IF(U$10=IF(ISBLANK(Предпосылки!$D48),$E$10,Предпосылки!$D48),SUM($D123,$D166),0)</f>
        <v>0</v>
      </c>
      <c s="125">
        <f>IF(V$10=IF(ISBLANK(Предпосылки!$D48),$E$10,Предпосылки!$D48),SUM($D123,$D166),0)</f>
        <v>0</v>
      </c>
      <c s="125">
        <f>IF(W$10=IF(ISBLANK(Предпосылки!$D48),$E$10,Предпосылки!$D48),SUM($D123,$D166),0)</f>
        <v>0</v>
      </c>
      <c s="125">
        <f>IF(X$10=IF(ISBLANK(Предпосылки!$D48),$E$10,Предпосылки!$D48),SUM($D123,$D166),0)</f>
        <v>0</v>
      </c>
      <c s="125">
        <f>IF(Y$10=IF(ISBLANK(Предпосылки!$D48),$E$10,Предпосылки!$D48),SUM($D123,$D166),0)</f>
        <v>0</v>
      </c>
      <c s="125">
        <f>IF(Z$10=IF(ISBLANK(Предпосылки!$D48),$E$10,Предпосылки!$D48),SUM($D123,$D166),0)</f>
        <v>0</v>
      </c>
      <c s="125">
        <f>IF(AA$10=IF(ISBLANK(Предпосылки!$D48),$E$10,Предпосылки!$D48),SUM($D123,$D166),0)</f>
        <v>0</v>
      </c>
      <c s="125">
        <f>IF(AB$10=IF(ISBLANK(Предпосылки!$D48),$E$10,Предпосылки!$D48),SUM($D123,$D166),0)</f>
        <v>0</v>
      </c>
      <c s="125">
        <f>IF(AC$10=IF(ISBLANK(Предпосылки!$D48),$E$10,Предпосылки!$D48),SUM($D123,$D166),0)</f>
        <v>0</v>
      </c>
      <c s="125">
        <f>IF(AD$10=IF(ISBLANK(Предпосылки!$D48),$E$10,Предпосылки!$D48),SUM($D123,$D166),0)</f>
        <v>0</v>
      </c>
      <c s="125">
        <f>IF(AE$10=IF(ISBLANK(Предпосылки!$D48),$E$10,Предпосылки!$D48),SUM($D123,$D166),0)</f>
        <v>0</v>
      </c>
      <c s="125">
        <f>IF(AF$10=IF(ISBLANK(Предпосылки!$D48),$E$10,Предпосылки!$D48),SUM($D123,$D166),0)</f>
        <v>0</v>
      </c>
      <c s="125">
        <f>IF(AG$10=IF(ISBLANK(Предпосылки!$D48),$E$10,Предпосылки!$D48),SUM($D123,$D166),0)</f>
        <v>0</v>
      </c>
      <c s="125">
        <f>IF(AH$10=IF(ISBLANK(Предпосылки!$D48),$E$10,Предпосылки!$D48),SUM($D123,$D166),0)</f>
        <v>0</v>
      </c>
      <c s="125">
        <f>IF(AI$10=IF(ISBLANK(Предпосылки!$D48),$E$10,Предпосылки!$D48),SUM($D123,$D166),0)</f>
        <v>0</v>
      </c>
      <c s="125">
        <f>IF(AJ$10=IF(ISBLANK(Предпосылки!$D48),$E$10,Предпосылки!$D48),SUM($D123,$D166),0)</f>
        <v>0</v>
      </c>
      <c s="125">
        <f>IF(AK$10=IF(ISBLANK(Предпосылки!$D48),$E$10,Предпосылки!$D48),SUM($D123,$D166),0)</f>
        <v>0</v>
      </c>
      <c s="125">
        <f>IF(AL$10=IF(ISBLANK(Предпосылки!$D48),$E$10,Предпосылки!$D48),SUM($D123,$D166),0)</f>
        <v>0</v>
      </c>
      <c s="125">
        <f>IF(AM$10=IF(ISBLANK(Предпосылки!$D48),$E$10,Предпосылки!$D48),SUM($D123,$D166),0)</f>
        <v>0</v>
      </c>
      <c s="125">
        <f>IF(AN$10=IF(ISBLANK(Предпосылки!$D48),$E$10,Предпосылки!$D48),SUM($D123,$D166),0)</f>
        <v>0</v>
      </c>
      <c s="125">
        <f>IF(AO$10=IF(ISBLANK(Предпосылки!$D48),$E$10,Предпосылки!$D48),SUM($D123,$D166),0)</f>
        <v>0</v>
      </c>
      <c s="125">
        <f>IF(AP$10=IF(ISBLANK(Предпосылки!$D48),$E$10,Предпосылки!$D48),SUM($D123,$D166),0)</f>
        <v>0</v>
      </c>
      <c s="125">
        <f>IF(AQ$10=IF(ISBLANK(Предпосылки!$D48),$E$10,Предпосылки!$D48),SUM($D123,$D166),0)</f>
        <v>0</v>
      </c>
      <c s="125">
        <f>IF(AR$10=IF(ISBLANK(Предпосылки!$D48),$E$10,Предпосылки!$D48),SUM($D123,$D166),0)</f>
        <v>0</v>
      </c>
      <c s="125">
        <f>IF(AS$10=IF(ISBLANK(Предпосылки!$D48),$E$10,Предпосылки!$D48),SUM($D123,$D166),0)</f>
        <v>0</v>
      </c>
      <c s="125">
        <f>IF(AT$10=IF(ISBLANK(Предпосылки!$D48),$E$10,Предпосылки!$D48),SUM($D123,$D166),0)</f>
        <v>0</v>
      </c>
      <c s="125">
        <f>IF(AU$10=IF(ISBLANK(Предпосылки!$D48),$E$10,Предпосылки!$D48),SUM($D123,$D166),0)</f>
        <v>0</v>
      </c>
      <c s="125">
        <f>IF(AV$10=IF(ISBLANK(Предпосылки!$D48),$E$10,Предпосылки!$D48),SUM($D123,$D166),0)</f>
        <v>0</v>
      </c>
      <c s="125">
        <f>IF(AW$10=IF(ISBLANK(Предпосылки!$D48),$E$10,Предпосылки!$D48),SUM($D123,$D166),0)</f>
        <v>0</v>
      </c>
      <c s="125">
        <f>IF(AX$10=IF(ISBLANK(Предпосылки!$D48),$E$10,Предпосылки!$D48),SUM($D123,$D166),0)</f>
        <v>0</v>
      </c>
      <c s="125">
        <f>IF(AY$10=IF(ISBLANK(Предпосылки!$D48),$E$10,Предпосылки!$D48),SUM($D123,$D166),0)</f>
        <v>0</v>
      </c>
      <c s="125">
        <f>IF(AZ$10=IF(ISBLANK(Предпосылки!$D48),$E$10,Предпосылки!$D48),SUM($D123,$D166),0)</f>
        <v>0</v>
      </c>
      <c s="125">
        <f>IF(BA$10=IF(ISBLANK(Предпосылки!$D48),$E$10,Предпосылки!$D48),SUM($D123,$D166),0)</f>
        <v>0</v>
      </c>
      <c s="125">
        <f>IF(BB$10=IF(ISBLANK(Предпосылки!$D48),$E$10,Предпосылки!$D48),SUM($D123,$D166),0)</f>
        <v>0</v>
      </c>
      <c s="125">
        <f>IF(BC$10=IF(ISBLANK(Предпосылки!$D48),$E$10,Предпосылки!$D48),SUM($D123,$D166),0)</f>
        <v>0</v>
      </c>
      <c s="125">
        <f>IF(BD$10=IF(ISBLANK(Предпосылки!$D48),$E$10,Предпосылки!$D48),SUM($D123,$D166),0)</f>
        <v>0</v>
      </c>
      <c s="125">
        <f>IF(BE$10=IF(ISBLANK(Предпосылки!$D48),$E$10,Предпосылки!$D48),SUM($D123,$D166),0)</f>
        <v>0</v>
      </c>
      <c s="125">
        <f>IF(BF$10=IF(ISBLANK(Предпосылки!$D48),$E$10,Предпосылки!$D48),SUM($D123,$D166),0)</f>
        <v>0</v>
      </c>
      <c s="125">
        <f>IF(BG$10=IF(ISBLANK(Предпосылки!$D48),$E$10,Предпосылки!$D48),SUM($D123,$D166),0)</f>
        <v>0</v>
      </c>
      <c s="125">
        <f>IF(BH$10=IF(ISBLANK(Предпосылки!$D48),$E$10,Предпосылки!$D48),SUM($D123,$D166),0)</f>
        <v>0</v>
      </c>
      <c s="125">
        <f>IF(BI$10=IF(ISBLANK(Предпосылки!$D48),$E$10,Предпосылки!$D48),SUM($D123,$D166),0)</f>
        <v>0</v>
      </c>
      <c s="125">
        <f>IF(BJ$10=IF(ISBLANK(Предпосылки!$D48),$E$10,Предпосылки!$D48),SUM($D123,$D166),0)</f>
        <v>0</v>
      </c>
      <c s="125">
        <f>IF(BK$10=IF(ISBLANK(Предпосылки!$D48),$E$10,Предпосылки!$D48),SUM($D123,$D166),0)</f>
        <v>0</v>
      </c>
      <c s="125">
        <f>IF(BL$10=IF(ISBLANK(Предпосылки!$D48),$E$10,Предпосылки!$D48),SUM($D123,$D166),0)</f>
        <v>0</v>
      </c>
      <c s="125">
        <f>IF(BM$10=IF(ISBLANK(Предпосылки!$D48),$E$10,Предпосылки!$D48),SUM($D123,$D166),0)</f>
        <v>0</v>
      </c>
    </row>
    <row r="297" spans="2:65" ht="15" customHeight="1">
      <c r="B297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IF(E$10=IF(ISBLANK(Предпосылки!$D49),$E$10,Предпосылки!$D49),SUM($D124,$D167),0)</f>
        <v>0</v>
      </c>
      <c s="125">
        <f>IF(F$10=IF(ISBLANK(Предпосылки!$D49),$E$10,Предпосылки!$D49),SUM($D124,$D167),0)</f>
        <v>0</v>
      </c>
      <c s="125">
        <f>IF(G$10=IF(ISBLANK(Предпосылки!$D49),$E$10,Предпосылки!$D49),SUM($D124,$D167),0)</f>
        <v>0</v>
      </c>
      <c s="125">
        <f>IF(H$10=IF(ISBLANK(Предпосылки!$D49),$E$10,Предпосылки!$D49),SUM($D124,$D167),0)</f>
        <v>0</v>
      </c>
      <c s="125">
        <f>IF(I$10=IF(ISBLANK(Предпосылки!$D49),$E$10,Предпосылки!$D49),SUM($D124,$D167),0)</f>
        <v>0</v>
      </c>
      <c s="125">
        <f>IF(J$10=IF(ISBLANK(Предпосылки!$D49),$E$10,Предпосылки!$D49),SUM($D124,$D167),0)</f>
        <v>0</v>
      </c>
      <c s="125">
        <f>IF(K$10=IF(ISBLANK(Предпосылки!$D49),$E$10,Предпосылки!$D49),SUM($D124,$D167),0)</f>
        <v>0</v>
      </c>
      <c s="125">
        <f>IF(L$10=IF(ISBLANK(Предпосылки!$D49),$E$10,Предпосылки!$D49),SUM($D124,$D167),0)</f>
        <v>0</v>
      </c>
      <c s="125">
        <f>IF(M$10=IF(ISBLANK(Предпосылки!$D49),$E$10,Предпосылки!$D49),SUM($D124,$D167),0)</f>
        <v>0</v>
      </c>
      <c s="125">
        <f>IF(N$10=IF(ISBLANK(Предпосылки!$D49),$E$10,Предпосылки!$D49),SUM($D124,$D167),0)</f>
        <v>0</v>
      </c>
      <c s="125">
        <f>IF(O$10=IF(ISBLANK(Предпосылки!$D49),$E$10,Предпосылки!$D49),SUM($D124,$D167),0)</f>
        <v>0</v>
      </c>
      <c s="125">
        <f>IF(P$10=IF(ISBLANK(Предпосылки!$D49),$E$10,Предпосылки!$D49),SUM($D124,$D167),0)</f>
        <v>0</v>
      </c>
      <c s="125">
        <f>IF(Q$10=IF(ISBLANK(Предпосылки!$D49),$E$10,Предпосылки!$D49),SUM($D124,$D167),0)</f>
        <v>0</v>
      </c>
      <c s="125">
        <f>IF(R$10=IF(ISBLANK(Предпосылки!$D49),$E$10,Предпосылки!$D49),SUM($D124,$D167),0)</f>
        <v>0</v>
      </c>
      <c s="125">
        <f>IF(S$10=IF(ISBLANK(Предпосылки!$D49),$E$10,Предпосылки!$D49),SUM($D124,$D167),0)</f>
        <v>0</v>
      </c>
      <c s="125">
        <f>IF(T$10=IF(ISBLANK(Предпосылки!$D49),$E$10,Предпосылки!$D49),SUM($D124,$D167),0)</f>
        <v>0</v>
      </c>
      <c s="125">
        <f>IF(U$10=IF(ISBLANK(Предпосылки!$D49),$E$10,Предпосылки!$D49),SUM($D124,$D167),0)</f>
        <v>0</v>
      </c>
      <c s="125">
        <f>IF(V$10=IF(ISBLANK(Предпосылки!$D49),$E$10,Предпосылки!$D49),SUM($D124,$D167),0)</f>
        <v>0</v>
      </c>
      <c s="125">
        <f>IF(W$10=IF(ISBLANK(Предпосылки!$D49),$E$10,Предпосылки!$D49),SUM($D124,$D167),0)</f>
        <v>0</v>
      </c>
      <c s="125">
        <f>IF(X$10=IF(ISBLANK(Предпосылки!$D49),$E$10,Предпосылки!$D49),SUM($D124,$D167),0)</f>
        <v>0</v>
      </c>
      <c s="125">
        <f>IF(Y$10=IF(ISBLANK(Предпосылки!$D49),$E$10,Предпосылки!$D49),SUM($D124,$D167),0)</f>
        <v>0</v>
      </c>
      <c s="125">
        <f>IF(Z$10=IF(ISBLANK(Предпосылки!$D49),$E$10,Предпосылки!$D49),SUM($D124,$D167),0)</f>
        <v>0</v>
      </c>
      <c s="125">
        <f>IF(AA$10=IF(ISBLANK(Предпосылки!$D49),$E$10,Предпосылки!$D49),SUM($D124,$D167),0)</f>
        <v>0</v>
      </c>
      <c s="125">
        <f>IF(AB$10=IF(ISBLANK(Предпосылки!$D49),$E$10,Предпосылки!$D49),SUM($D124,$D167),0)</f>
        <v>0</v>
      </c>
      <c s="125">
        <f>IF(AC$10=IF(ISBLANK(Предпосылки!$D49),$E$10,Предпосылки!$D49),SUM($D124,$D167),0)</f>
        <v>0</v>
      </c>
      <c s="125">
        <f>IF(AD$10=IF(ISBLANK(Предпосылки!$D49),$E$10,Предпосылки!$D49),SUM($D124,$D167),0)</f>
        <v>0</v>
      </c>
      <c s="125">
        <f>IF(AE$10=IF(ISBLANK(Предпосылки!$D49),$E$10,Предпосылки!$D49),SUM($D124,$D167),0)</f>
        <v>0</v>
      </c>
      <c s="125">
        <f>IF(AF$10=IF(ISBLANK(Предпосылки!$D49),$E$10,Предпосылки!$D49),SUM($D124,$D167),0)</f>
        <v>0</v>
      </c>
      <c s="125">
        <f>IF(AG$10=IF(ISBLANK(Предпосылки!$D49),$E$10,Предпосылки!$D49),SUM($D124,$D167),0)</f>
        <v>0</v>
      </c>
      <c s="125">
        <f>IF(AH$10=IF(ISBLANK(Предпосылки!$D49),$E$10,Предпосылки!$D49),SUM($D124,$D167),0)</f>
        <v>0</v>
      </c>
      <c s="125">
        <f>IF(AI$10=IF(ISBLANK(Предпосылки!$D49),$E$10,Предпосылки!$D49),SUM($D124,$D167),0)</f>
        <v>0</v>
      </c>
      <c s="125">
        <f>IF(AJ$10=IF(ISBLANK(Предпосылки!$D49),$E$10,Предпосылки!$D49),SUM($D124,$D167),0)</f>
        <v>0</v>
      </c>
      <c s="125">
        <f>IF(AK$10=IF(ISBLANK(Предпосылки!$D49),$E$10,Предпосылки!$D49),SUM($D124,$D167),0)</f>
        <v>0</v>
      </c>
      <c s="125">
        <f>IF(AL$10=IF(ISBLANK(Предпосылки!$D49),$E$10,Предпосылки!$D49),SUM($D124,$D167),0)</f>
        <v>0</v>
      </c>
      <c s="125">
        <f>IF(AM$10=IF(ISBLANK(Предпосылки!$D49),$E$10,Предпосылки!$D49),SUM($D124,$D167),0)</f>
        <v>0</v>
      </c>
      <c s="125">
        <f>IF(AN$10=IF(ISBLANK(Предпосылки!$D49),$E$10,Предпосылки!$D49),SUM($D124,$D167),0)</f>
        <v>0</v>
      </c>
      <c s="125">
        <f>IF(AO$10=IF(ISBLANK(Предпосылки!$D49),$E$10,Предпосылки!$D49),SUM($D124,$D167),0)</f>
        <v>0</v>
      </c>
      <c s="125">
        <f>IF(AP$10=IF(ISBLANK(Предпосылки!$D49),$E$10,Предпосылки!$D49),SUM($D124,$D167),0)</f>
        <v>0</v>
      </c>
      <c s="125">
        <f>IF(AQ$10=IF(ISBLANK(Предпосылки!$D49),$E$10,Предпосылки!$D49),SUM($D124,$D167),0)</f>
        <v>0</v>
      </c>
      <c s="125">
        <f>IF(AR$10=IF(ISBLANK(Предпосылки!$D49),$E$10,Предпосылки!$D49),SUM($D124,$D167),0)</f>
        <v>0</v>
      </c>
      <c s="125">
        <f>IF(AS$10=IF(ISBLANK(Предпосылки!$D49),$E$10,Предпосылки!$D49),SUM($D124,$D167),0)</f>
        <v>0</v>
      </c>
      <c s="125">
        <f>IF(AT$10=IF(ISBLANK(Предпосылки!$D49),$E$10,Предпосылки!$D49),SUM($D124,$D167),0)</f>
        <v>0</v>
      </c>
      <c s="125">
        <f>IF(AU$10=IF(ISBLANK(Предпосылки!$D49),$E$10,Предпосылки!$D49),SUM($D124,$D167),0)</f>
        <v>0</v>
      </c>
      <c s="125">
        <f>IF(AV$10=IF(ISBLANK(Предпосылки!$D49),$E$10,Предпосылки!$D49),SUM($D124,$D167),0)</f>
        <v>0</v>
      </c>
      <c s="125">
        <f>IF(AW$10=IF(ISBLANK(Предпосылки!$D49),$E$10,Предпосылки!$D49),SUM($D124,$D167),0)</f>
        <v>0</v>
      </c>
      <c s="125">
        <f>IF(AX$10=IF(ISBLANK(Предпосылки!$D49),$E$10,Предпосылки!$D49),SUM($D124,$D167),0)</f>
        <v>0</v>
      </c>
      <c s="125">
        <f>IF(AY$10=IF(ISBLANK(Предпосылки!$D49),$E$10,Предпосылки!$D49),SUM($D124,$D167),0)</f>
        <v>0</v>
      </c>
      <c s="125">
        <f>IF(AZ$10=IF(ISBLANK(Предпосылки!$D49),$E$10,Предпосылки!$D49),SUM($D124,$D167),0)</f>
        <v>0</v>
      </c>
      <c s="125">
        <f>IF(BA$10=IF(ISBLANK(Предпосылки!$D49),$E$10,Предпосылки!$D49),SUM($D124,$D167),0)</f>
        <v>0</v>
      </c>
      <c s="125">
        <f>IF(BB$10=IF(ISBLANK(Предпосылки!$D49),$E$10,Предпосылки!$D49),SUM($D124,$D167),0)</f>
        <v>0</v>
      </c>
      <c s="125">
        <f>IF(BC$10=IF(ISBLANK(Предпосылки!$D49),$E$10,Предпосылки!$D49),SUM($D124,$D167),0)</f>
        <v>0</v>
      </c>
      <c s="125">
        <f>IF(BD$10=IF(ISBLANK(Предпосылки!$D49),$E$10,Предпосылки!$D49),SUM($D124,$D167),0)</f>
        <v>0</v>
      </c>
      <c s="125">
        <f>IF(BE$10=IF(ISBLANK(Предпосылки!$D49),$E$10,Предпосылки!$D49),SUM($D124,$D167),0)</f>
        <v>0</v>
      </c>
      <c s="125">
        <f>IF(BF$10=IF(ISBLANK(Предпосылки!$D49),$E$10,Предпосылки!$D49),SUM($D124,$D167),0)</f>
        <v>0</v>
      </c>
      <c s="125">
        <f>IF(BG$10=IF(ISBLANK(Предпосылки!$D49),$E$10,Предпосылки!$D49),SUM($D124,$D167),0)</f>
        <v>0</v>
      </c>
      <c s="125">
        <f>IF(BH$10=IF(ISBLANK(Предпосылки!$D49),$E$10,Предпосылки!$D49),SUM($D124,$D167),0)</f>
        <v>0</v>
      </c>
      <c s="125">
        <f>IF(BI$10=IF(ISBLANK(Предпосылки!$D49),$E$10,Предпосылки!$D49),SUM($D124,$D167),0)</f>
        <v>0</v>
      </c>
      <c s="125">
        <f>IF(BJ$10=IF(ISBLANK(Предпосылки!$D49),$E$10,Предпосылки!$D49),SUM($D124,$D167),0)</f>
        <v>0</v>
      </c>
      <c s="125">
        <f>IF(BK$10=IF(ISBLANK(Предпосылки!$D49),$E$10,Предпосылки!$D49),SUM($D124,$D167),0)</f>
        <v>0</v>
      </c>
      <c s="125">
        <f>IF(BL$10=IF(ISBLANK(Предпосылки!$D49),$E$10,Предпосылки!$D49),SUM($D124,$D167),0)</f>
        <v>0</v>
      </c>
      <c s="125">
        <f>IF(BM$10=IF(ISBLANK(Предпосылки!$D49),$E$10,Предпосылки!$D49),SUM($D124,$D167),0)</f>
        <v>0</v>
      </c>
    </row>
    <row r="298" spans="2:65" ht="15" customHeight="1">
      <c r="B298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IF(E$10=IF(ISBLANK(Предпосылки!$D50),$E$10,Предпосылки!$D50),SUM($D125,$D168),0)</f>
        <v>0</v>
      </c>
      <c s="125">
        <f>IF(F$10=IF(ISBLANK(Предпосылки!$D50),$E$10,Предпосылки!$D50),SUM($D125,$D168),0)</f>
        <v>0</v>
      </c>
      <c s="125">
        <f>IF(G$10=IF(ISBLANK(Предпосылки!$D50),$E$10,Предпосылки!$D50),SUM($D125,$D168),0)</f>
        <v>0</v>
      </c>
      <c s="125">
        <f>IF(H$10=IF(ISBLANK(Предпосылки!$D50),$E$10,Предпосылки!$D50),SUM($D125,$D168),0)</f>
        <v>0</v>
      </c>
      <c s="125">
        <f>IF(I$10=IF(ISBLANK(Предпосылки!$D50),$E$10,Предпосылки!$D50),SUM($D125,$D168),0)</f>
        <v>0</v>
      </c>
      <c s="125">
        <f>IF(J$10=IF(ISBLANK(Предпосылки!$D50),$E$10,Предпосылки!$D50),SUM($D125,$D168),0)</f>
        <v>0</v>
      </c>
      <c s="125">
        <f>IF(K$10=IF(ISBLANK(Предпосылки!$D50),$E$10,Предпосылки!$D50),SUM($D125,$D168),0)</f>
        <v>0</v>
      </c>
      <c s="125">
        <f>IF(L$10=IF(ISBLANK(Предпосылки!$D50),$E$10,Предпосылки!$D50),SUM($D125,$D168),0)</f>
        <v>0</v>
      </c>
      <c s="125">
        <f>IF(M$10=IF(ISBLANK(Предпосылки!$D50),$E$10,Предпосылки!$D50),SUM($D125,$D168),0)</f>
        <v>0</v>
      </c>
      <c s="125">
        <f>IF(N$10=IF(ISBLANK(Предпосылки!$D50),$E$10,Предпосылки!$D50),SUM($D125,$D168),0)</f>
        <v>0</v>
      </c>
      <c s="125">
        <f>IF(O$10=IF(ISBLANK(Предпосылки!$D50),$E$10,Предпосылки!$D50),SUM($D125,$D168),0)</f>
        <v>0</v>
      </c>
      <c s="125">
        <f>IF(P$10=IF(ISBLANK(Предпосылки!$D50),$E$10,Предпосылки!$D50),SUM($D125,$D168),0)</f>
        <v>0</v>
      </c>
      <c s="125">
        <f>IF(Q$10=IF(ISBLANK(Предпосылки!$D50),$E$10,Предпосылки!$D50),SUM($D125,$D168),0)</f>
        <v>0</v>
      </c>
      <c s="125">
        <f>IF(R$10=IF(ISBLANK(Предпосылки!$D50),$E$10,Предпосылки!$D50),SUM($D125,$D168),0)</f>
        <v>0</v>
      </c>
      <c s="125">
        <f>IF(S$10=IF(ISBLANK(Предпосылки!$D50),$E$10,Предпосылки!$D50),SUM($D125,$D168),0)</f>
        <v>0</v>
      </c>
      <c s="125">
        <f>IF(T$10=IF(ISBLANK(Предпосылки!$D50),$E$10,Предпосылки!$D50),SUM($D125,$D168),0)</f>
        <v>0</v>
      </c>
      <c s="125">
        <f>IF(U$10=IF(ISBLANK(Предпосылки!$D50),$E$10,Предпосылки!$D50),SUM($D125,$D168),0)</f>
        <v>0</v>
      </c>
      <c s="125">
        <f>IF(V$10=IF(ISBLANK(Предпосылки!$D50),$E$10,Предпосылки!$D50),SUM($D125,$D168),0)</f>
        <v>0</v>
      </c>
      <c s="125">
        <f>IF(W$10=IF(ISBLANK(Предпосылки!$D50),$E$10,Предпосылки!$D50),SUM($D125,$D168),0)</f>
        <v>0</v>
      </c>
      <c s="125">
        <f>IF(X$10=IF(ISBLANK(Предпосылки!$D50),$E$10,Предпосылки!$D50),SUM($D125,$D168),0)</f>
        <v>0</v>
      </c>
      <c s="125">
        <f>IF(Y$10=IF(ISBLANK(Предпосылки!$D50),$E$10,Предпосылки!$D50),SUM($D125,$D168),0)</f>
        <v>0</v>
      </c>
      <c s="125">
        <f>IF(Z$10=IF(ISBLANK(Предпосылки!$D50),$E$10,Предпосылки!$D50),SUM($D125,$D168),0)</f>
        <v>0</v>
      </c>
      <c s="125">
        <f>IF(AA$10=IF(ISBLANK(Предпосылки!$D50),$E$10,Предпосылки!$D50),SUM($D125,$D168),0)</f>
        <v>0</v>
      </c>
      <c s="125">
        <f>IF(AB$10=IF(ISBLANK(Предпосылки!$D50),$E$10,Предпосылки!$D50),SUM($D125,$D168),0)</f>
        <v>0</v>
      </c>
      <c s="125">
        <f>IF(AC$10=IF(ISBLANK(Предпосылки!$D50),$E$10,Предпосылки!$D50),SUM($D125,$D168),0)</f>
        <v>0</v>
      </c>
      <c s="125">
        <f>IF(AD$10=IF(ISBLANK(Предпосылки!$D50),$E$10,Предпосылки!$D50),SUM($D125,$D168),0)</f>
        <v>0</v>
      </c>
      <c s="125">
        <f>IF(AE$10=IF(ISBLANK(Предпосылки!$D50),$E$10,Предпосылки!$D50),SUM($D125,$D168),0)</f>
        <v>0</v>
      </c>
      <c s="125">
        <f>IF(AF$10=IF(ISBLANK(Предпосылки!$D50),$E$10,Предпосылки!$D50),SUM($D125,$D168),0)</f>
        <v>0</v>
      </c>
      <c s="125">
        <f>IF(AG$10=IF(ISBLANK(Предпосылки!$D50),$E$10,Предпосылки!$D50),SUM($D125,$D168),0)</f>
        <v>0</v>
      </c>
      <c s="125">
        <f>IF(AH$10=IF(ISBLANK(Предпосылки!$D50),$E$10,Предпосылки!$D50),SUM($D125,$D168),0)</f>
        <v>0</v>
      </c>
      <c s="125">
        <f>IF(AI$10=IF(ISBLANK(Предпосылки!$D50),$E$10,Предпосылки!$D50),SUM($D125,$D168),0)</f>
        <v>0</v>
      </c>
      <c s="125">
        <f>IF(AJ$10=IF(ISBLANK(Предпосылки!$D50),$E$10,Предпосылки!$D50),SUM($D125,$D168),0)</f>
        <v>0</v>
      </c>
      <c s="125">
        <f>IF(AK$10=IF(ISBLANK(Предпосылки!$D50),$E$10,Предпосылки!$D50),SUM($D125,$D168),0)</f>
        <v>0</v>
      </c>
      <c s="125">
        <f>IF(AL$10=IF(ISBLANK(Предпосылки!$D50),$E$10,Предпосылки!$D50),SUM($D125,$D168),0)</f>
        <v>0</v>
      </c>
      <c s="125">
        <f>IF(AM$10=IF(ISBLANK(Предпосылки!$D50),$E$10,Предпосылки!$D50),SUM($D125,$D168),0)</f>
        <v>0</v>
      </c>
      <c s="125">
        <f>IF(AN$10=IF(ISBLANK(Предпосылки!$D50),$E$10,Предпосылки!$D50),SUM($D125,$D168),0)</f>
        <v>0</v>
      </c>
      <c s="125">
        <f>IF(AO$10=IF(ISBLANK(Предпосылки!$D50),$E$10,Предпосылки!$D50),SUM($D125,$D168),0)</f>
        <v>0</v>
      </c>
      <c s="125">
        <f>IF(AP$10=IF(ISBLANK(Предпосылки!$D50),$E$10,Предпосылки!$D50),SUM($D125,$D168),0)</f>
        <v>0</v>
      </c>
      <c s="125">
        <f>IF(AQ$10=IF(ISBLANK(Предпосылки!$D50),$E$10,Предпосылки!$D50),SUM($D125,$D168),0)</f>
        <v>0</v>
      </c>
      <c s="125">
        <f>IF(AR$10=IF(ISBLANK(Предпосылки!$D50),$E$10,Предпосылки!$D50),SUM($D125,$D168),0)</f>
        <v>0</v>
      </c>
      <c s="125">
        <f>IF(AS$10=IF(ISBLANK(Предпосылки!$D50),$E$10,Предпосылки!$D50),SUM($D125,$D168),0)</f>
        <v>0</v>
      </c>
      <c s="125">
        <f>IF(AT$10=IF(ISBLANK(Предпосылки!$D50),$E$10,Предпосылки!$D50),SUM($D125,$D168),0)</f>
        <v>0</v>
      </c>
      <c s="125">
        <f>IF(AU$10=IF(ISBLANK(Предпосылки!$D50),$E$10,Предпосылки!$D50),SUM($D125,$D168),0)</f>
        <v>0</v>
      </c>
      <c s="125">
        <f>IF(AV$10=IF(ISBLANK(Предпосылки!$D50),$E$10,Предпосылки!$D50),SUM($D125,$D168),0)</f>
        <v>0</v>
      </c>
      <c s="125">
        <f>IF(AW$10=IF(ISBLANK(Предпосылки!$D50),$E$10,Предпосылки!$D50),SUM($D125,$D168),0)</f>
        <v>0</v>
      </c>
      <c s="125">
        <f>IF(AX$10=IF(ISBLANK(Предпосылки!$D50),$E$10,Предпосылки!$D50),SUM($D125,$D168),0)</f>
        <v>0</v>
      </c>
      <c s="125">
        <f>IF(AY$10=IF(ISBLANK(Предпосылки!$D50),$E$10,Предпосылки!$D50),SUM($D125,$D168),0)</f>
        <v>0</v>
      </c>
      <c s="125">
        <f>IF(AZ$10=IF(ISBLANK(Предпосылки!$D50),$E$10,Предпосылки!$D50),SUM($D125,$D168),0)</f>
        <v>0</v>
      </c>
      <c s="125">
        <f>IF(BA$10=IF(ISBLANK(Предпосылки!$D50),$E$10,Предпосылки!$D50),SUM($D125,$D168),0)</f>
        <v>0</v>
      </c>
      <c s="125">
        <f>IF(BB$10=IF(ISBLANK(Предпосылки!$D50),$E$10,Предпосылки!$D50),SUM($D125,$D168),0)</f>
        <v>0</v>
      </c>
      <c s="125">
        <f>IF(BC$10=IF(ISBLANK(Предпосылки!$D50),$E$10,Предпосылки!$D50),SUM($D125,$D168),0)</f>
        <v>0</v>
      </c>
      <c s="125">
        <f>IF(BD$10=IF(ISBLANK(Предпосылки!$D50),$E$10,Предпосылки!$D50),SUM($D125,$D168),0)</f>
        <v>0</v>
      </c>
      <c s="125">
        <f>IF(BE$10=IF(ISBLANK(Предпосылки!$D50),$E$10,Предпосылки!$D50),SUM($D125,$D168),0)</f>
        <v>0</v>
      </c>
      <c s="125">
        <f>IF(BF$10=IF(ISBLANK(Предпосылки!$D50),$E$10,Предпосылки!$D50),SUM($D125,$D168),0)</f>
        <v>0</v>
      </c>
      <c s="125">
        <f>IF(BG$10=IF(ISBLANK(Предпосылки!$D50),$E$10,Предпосылки!$D50),SUM($D125,$D168),0)</f>
        <v>0</v>
      </c>
      <c s="125">
        <f>IF(BH$10=IF(ISBLANK(Предпосылки!$D50),$E$10,Предпосылки!$D50),SUM($D125,$D168),0)</f>
        <v>0</v>
      </c>
      <c s="125">
        <f>IF(BI$10=IF(ISBLANK(Предпосылки!$D50),$E$10,Предпосылки!$D50),SUM($D125,$D168),0)</f>
        <v>0</v>
      </c>
      <c s="125">
        <f>IF(BJ$10=IF(ISBLANK(Предпосылки!$D50),$E$10,Предпосылки!$D50),SUM($D125,$D168),0)</f>
        <v>0</v>
      </c>
      <c s="125">
        <f>IF(BK$10=IF(ISBLANK(Предпосылки!$D50),$E$10,Предпосылки!$D50),SUM($D125,$D168),0)</f>
        <v>0</v>
      </c>
      <c s="125">
        <f>IF(BL$10=IF(ISBLANK(Предпосылки!$D50),$E$10,Предпосылки!$D50),SUM($D125,$D168),0)</f>
        <v>0</v>
      </c>
      <c s="125">
        <f>IF(BM$10=IF(ISBLANK(Предпосылки!$D50),$E$10,Предпосылки!$D50),SUM($D125,$D168),0)</f>
        <v>0</v>
      </c>
    </row>
    <row r="299" spans="2:65" ht="15" customHeight="1">
      <c r="B299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IF(E$10=IF(ISBLANK(Предпосылки!$D51),$E$10,Предпосылки!$D51),SUM($D126,$D169),0)</f>
        <v>0</v>
      </c>
      <c s="125">
        <f>IF(F$10=IF(ISBLANK(Предпосылки!$D51),$E$10,Предпосылки!$D51),SUM($D126,$D169),0)</f>
        <v>0</v>
      </c>
      <c s="125">
        <f>IF(G$10=IF(ISBLANK(Предпосылки!$D51),$E$10,Предпосылки!$D51),SUM($D126,$D169),0)</f>
        <v>0</v>
      </c>
      <c s="125">
        <f>IF(H$10=IF(ISBLANK(Предпосылки!$D51),$E$10,Предпосылки!$D51),SUM($D126,$D169),0)</f>
        <v>0</v>
      </c>
      <c s="125">
        <f>IF(I$10=IF(ISBLANK(Предпосылки!$D51),$E$10,Предпосылки!$D51),SUM($D126,$D169),0)</f>
        <v>0</v>
      </c>
      <c s="125">
        <f>IF(J$10=IF(ISBLANK(Предпосылки!$D51),$E$10,Предпосылки!$D51),SUM($D126,$D169),0)</f>
        <v>0</v>
      </c>
      <c s="125">
        <f>IF(K$10=IF(ISBLANK(Предпосылки!$D51),$E$10,Предпосылки!$D51),SUM($D126,$D169),0)</f>
        <v>0</v>
      </c>
      <c s="125">
        <f>IF(L$10=IF(ISBLANK(Предпосылки!$D51),$E$10,Предпосылки!$D51),SUM($D126,$D169),0)</f>
        <v>0</v>
      </c>
      <c s="125">
        <f>IF(M$10=IF(ISBLANK(Предпосылки!$D51),$E$10,Предпосылки!$D51),SUM($D126,$D169),0)</f>
        <v>0</v>
      </c>
      <c s="125">
        <f>IF(N$10=IF(ISBLANK(Предпосылки!$D51),$E$10,Предпосылки!$D51),SUM($D126,$D169),0)</f>
        <v>0</v>
      </c>
      <c s="125">
        <f>IF(O$10=IF(ISBLANK(Предпосылки!$D51),$E$10,Предпосылки!$D51),SUM($D126,$D169),0)</f>
        <v>0</v>
      </c>
      <c s="125">
        <f>IF(P$10=IF(ISBLANK(Предпосылки!$D51),$E$10,Предпосылки!$D51),SUM($D126,$D169),0)</f>
        <v>0</v>
      </c>
      <c s="125">
        <f>IF(Q$10=IF(ISBLANK(Предпосылки!$D51),$E$10,Предпосылки!$D51),SUM($D126,$D169),0)</f>
        <v>0</v>
      </c>
      <c s="125">
        <f>IF(R$10=IF(ISBLANK(Предпосылки!$D51),$E$10,Предпосылки!$D51),SUM($D126,$D169),0)</f>
        <v>0</v>
      </c>
      <c s="125">
        <f>IF(S$10=IF(ISBLANK(Предпосылки!$D51),$E$10,Предпосылки!$D51),SUM($D126,$D169),0)</f>
        <v>0</v>
      </c>
      <c s="125">
        <f>IF(T$10=IF(ISBLANK(Предпосылки!$D51),$E$10,Предпосылки!$D51),SUM($D126,$D169),0)</f>
        <v>0</v>
      </c>
      <c s="125">
        <f>IF(U$10=IF(ISBLANK(Предпосылки!$D51),$E$10,Предпосылки!$D51),SUM($D126,$D169),0)</f>
        <v>0</v>
      </c>
      <c s="125">
        <f>IF(V$10=IF(ISBLANK(Предпосылки!$D51),$E$10,Предпосылки!$D51),SUM($D126,$D169),0)</f>
        <v>0</v>
      </c>
      <c s="125">
        <f>IF(W$10=IF(ISBLANK(Предпосылки!$D51),$E$10,Предпосылки!$D51),SUM($D126,$D169),0)</f>
        <v>0</v>
      </c>
      <c s="125">
        <f>IF(X$10=IF(ISBLANK(Предпосылки!$D51),$E$10,Предпосылки!$D51),SUM($D126,$D169),0)</f>
        <v>0</v>
      </c>
      <c s="125">
        <f>IF(Y$10=IF(ISBLANK(Предпосылки!$D51),$E$10,Предпосылки!$D51),SUM($D126,$D169),0)</f>
        <v>0</v>
      </c>
      <c s="125">
        <f>IF(Z$10=IF(ISBLANK(Предпосылки!$D51),$E$10,Предпосылки!$D51),SUM($D126,$D169),0)</f>
        <v>0</v>
      </c>
      <c s="125">
        <f>IF(AA$10=IF(ISBLANK(Предпосылки!$D51),$E$10,Предпосылки!$D51),SUM($D126,$D169),0)</f>
        <v>0</v>
      </c>
      <c s="125">
        <f>IF(AB$10=IF(ISBLANK(Предпосылки!$D51),$E$10,Предпосылки!$D51),SUM($D126,$D169),0)</f>
        <v>0</v>
      </c>
      <c s="125">
        <f>IF(AC$10=IF(ISBLANK(Предпосылки!$D51),$E$10,Предпосылки!$D51),SUM($D126,$D169),0)</f>
        <v>0</v>
      </c>
      <c s="125">
        <f>IF(AD$10=IF(ISBLANK(Предпосылки!$D51),$E$10,Предпосылки!$D51),SUM($D126,$D169),0)</f>
        <v>0</v>
      </c>
      <c s="125">
        <f>IF(AE$10=IF(ISBLANK(Предпосылки!$D51),$E$10,Предпосылки!$D51),SUM($D126,$D169),0)</f>
        <v>0</v>
      </c>
      <c s="125">
        <f>IF(AF$10=IF(ISBLANK(Предпосылки!$D51),$E$10,Предпосылки!$D51),SUM($D126,$D169),0)</f>
        <v>0</v>
      </c>
      <c s="125">
        <f>IF(AG$10=IF(ISBLANK(Предпосылки!$D51),$E$10,Предпосылки!$D51),SUM($D126,$D169),0)</f>
        <v>0</v>
      </c>
      <c s="125">
        <f>IF(AH$10=IF(ISBLANK(Предпосылки!$D51),$E$10,Предпосылки!$D51),SUM($D126,$D169),0)</f>
        <v>0</v>
      </c>
      <c s="125">
        <f>IF(AI$10=IF(ISBLANK(Предпосылки!$D51),$E$10,Предпосылки!$D51),SUM($D126,$D169),0)</f>
        <v>0</v>
      </c>
      <c s="125">
        <f>IF(AJ$10=IF(ISBLANK(Предпосылки!$D51),$E$10,Предпосылки!$D51),SUM($D126,$D169),0)</f>
        <v>0</v>
      </c>
      <c s="125">
        <f>IF(AK$10=IF(ISBLANK(Предпосылки!$D51),$E$10,Предпосылки!$D51),SUM($D126,$D169),0)</f>
        <v>0</v>
      </c>
      <c s="125">
        <f>IF(AL$10=IF(ISBLANK(Предпосылки!$D51),$E$10,Предпосылки!$D51),SUM($D126,$D169),0)</f>
        <v>0</v>
      </c>
      <c s="125">
        <f>IF(AM$10=IF(ISBLANK(Предпосылки!$D51),$E$10,Предпосылки!$D51),SUM($D126,$D169),0)</f>
        <v>0</v>
      </c>
      <c s="125">
        <f>IF(AN$10=IF(ISBLANK(Предпосылки!$D51),$E$10,Предпосылки!$D51),SUM($D126,$D169),0)</f>
        <v>0</v>
      </c>
      <c s="125">
        <f>IF(AO$10=IF(ISBLANK(Предпосылки!$D51),$E$10,Предпосылки!$D51),SUM($D126,$D169),0)</f>
        <v>0</v>
      </c>
      <c s="125">
        <f>IF(AP$10=IF(ISBLANK(Предпосылки!$D51),$E$10,Предпосылки!$D51),SUM($D126,$D169),0)</f>
        <v>0</v>
      </c>
      <c s="125">
        <f>IF(AQ$10=IF(ISBLANK(Предпосылки!$D51),$E$10,Предпосылки!$D51),SUM($D126,$D169),0)</f>
        <v>0</v>
      </c>
      <c s="125">
        <f>IF(AR$10=IF(ISBLANK(Предпосылки!$D51),$E$10,Предпосылки!$D51),SUM($D126,$D169),0)</f>
        <v>0</v>
      </c>
      <c s="125">
        <f>IF(AS$10=IF(ISBLANK(Предпосылки!$D51),$E$10,Предпосылки!$D51),SUM($D126,$D169),0)</f>
        <v>0</v>
      </c>
      <c s="125">
        <f>IF(AT$10=IF(ISBLANK(Предпосылки!$D51),$E$10,Предпосылки!$D51),SUM($D126,$D169),0)</f>
        <v>0</v>
      </c>
      <c s="125">
        <f>IF(AU$10=IF(ISBLANK(Предпосылки!$D51),$E$10,Предпосылки!$D51),SUM($D126,$D169),0)</f>
        <v>0</v>
      </c>
      <c s="125">
        <f>IF(AV$10=IF(ISBLANK(Предпосылки!$D51),$E$10,Предпосылки!$D51),SUM($D126,$D169),0)</f>
        <v>0</v>
      </c>
      <c s="125">
        <f>IF(AW$10=IF(ISBLANK(Предпосылки!$D51),$E$10,Предпосылки!$D51),SUM($D126,$D169),0)</f>
        <v>0</v>
      </c>
      <c s="125">
        <f>IF(AX$10=IF(ISBLANK(Предпосылки!$D51),$E$10,Предпосылки!$D51),SUM($D126,$D169),0)</f>
        <v>0</v>
      </c>
      <c s="125">
        <f>IF(AY$10=IF(ISBLANK(Предпосылки!$D51),$E$10,Предпосылки!$D51),SUM($D126,$D169),0)</f>
        <v>0</v>
      </c>
      <c s="125">
        <f>IF(AZ$10=IF(ISBLANK(Предпосылки!$D51),$E$10,Предпосылки!$D51),SUM($D126,$D169),0)</f>
        <v>0</v>
      </c>
      <c s="125">
        <f>IF(BA$10=IF(ISBLANK(Предпосылки!$D51),$E$10,Предпосылки!$D51),SUM($D126,$D169),0)</f>
        <v>0</v>
      </c>
      <c s="125">
        <f>IF(BB$10=IF(ISBLANK(Предпосылки!$D51),$E$10,Предпосылки!$D51),SUM($D126,$D169),0)</f>
        <v>0</v>
      </c>
      <c s="125">
        <f>IF(BC$10=IF(ISBLANK(Предпосылки!$D51),$E$10,Предпосылки!$D51),SUM($D126,$D169),0)</f>
        <v>0</v>
      </c>
      <c s="125">
        <f>IF(BD$10=IF(ISBLANK(Предпосылки!$D51),$E$10,Предпосылки!$D51),SUM($D126,$D169),0)</f>
        <v>0</v>
      </c>
      <c s="125">
        <f>IF(BE$10=IF(ISBLANK(Предпосылки!$D51),$E$10,Предпосылки!$D51),SUM($D126,$D169),0)</f>
        <v>0</v>
      </c>
      <c s="125">
        <f>IF(BF$10=IF(ISBLANK(Предпосылки!$D51),$E$10,Предпосылки!$D51),SUM($D126,$D169),0)</f>
        <v>0</v>
      </c>
      <c s="125">
        <f>IF(BG$10=IF(ISBLANK(Предпосылки!$D51),$E$10,Предпосылки!$D51),SUM($D126,$D169),0)</f>
        <v>0</v>
      </c>
      <c s="125">
        <f>IF(BH$10=IF(ISBLANK(Предпосылки!$D51),$E$10,Предпосылки!$D51),SUM($D126,$D169),0)</f>
        <v>0</v>
      </c>
      <c s="125">
        <f>IF(BI$10=IF(ISBLANK(Предпосылки!$D51),$E$10,Предпосылки!$D51),SUM($D126,$D169),0)</f>
        <v>0</v>
      </c>
      <c s="125">
        <f>IF(BJ$10=IF(ISBLANK(Предпосылки!$D51),$E$10,Предпосылки!$D51),SUM($D126,$D169),0)</f>
        <v>0</v>
      </c>
      <c s="125">
        <f>IF(BK$10=IF(ISBLANK(Предпосылки!$D51),$E$10,Предпосылки!$D51),SUM($D126,$D169),0)</f>
        <v>0</v>
      </c>
      <c s="125">
        <f>IF(BL$10=IF(ISBLANK(Предпосылки!$D51),$E$10,Предпосылки!$D51),SUM($D126,$D169),0)</f>
        <v>0</v>
      </c>
      <c s="125">
        <f>IF(BM$10=IF(ISBLANK(Предпосылки!$D51),$E$10,Предпосылки!$D51),SUM($D126,$D169),0)</f>
        <v>0</v>
      </c>
    </row>
    <row r="300" spans="2:65" ht="15" customHeight="1">
      <c r="B300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IF(E$10=IF(ISBLANK(Предпосылки!$D52),$E$10,Предпосылки!$D52),SUM($D127,$D170),0)</f>
        <v>0</v>
      </c>
      <c s="125">
        <f>IF(F$10=IF(ISBLANK(Предпосылки!$D52),$E$10,Предпосылки!$D52),SUM($D127,$D170),0)</f>
        <v>0</v>
      </c>
      <c s="125">
        <f>IF(G$10=IF(ISBLANK(Предпосылки!$D52),$E$10,Предпосылки!$D52),SUM($D127,$D170),0)</f>
        <v>0</v>
      </c>
      <c s="125">
        <f>IF(H$10=IF(ISBLANK(Предпосылки!$D52),$E$10,Предпосылки!$D52),SUM($D127,$D170),0)</f>
        <v>0</v>
      </c>
      <c s="125">
        <f>IF(I$10=IF(ISBLANK(Предпосылки!$D52),$E$10,Предпосылки!$D52),SUM($D127,$D170),0)</f>
        <v>0</v>
      </c>
      <c s="125">
        <f>IF(J$10=IF(ISBLANK(Предпосылки!$D52),$E$10,Предпосылки!$D52),SUM($D127,$D170),0)</f>
        <v>0</v>
      </c>
      <c s="125">
        <f>IF(K$10=IF(ISBLANK(Предпосылки!$D52),$E$10,Предпосылки!$D52),SUM($D127,$D170),0)</f>
        <v>0</v>
      </c>
      <c s="125">
        <f>IF(L$10=IF(ISBLANK(Предпосылки!$D52),$E$10,Предпосылки!$D52),SUM($D127,$D170),0)</f>
        <v>0</v>
      </c>
      <c s="125">
        <f>IF(M$10=IF(ISBLANK(Предпосылки!$D52),$E$10,Предпосылки!$D52),SUM($D127,$D170),0)</f>
        <v>0</v>
      </c>
      <c s="125">
        <f>IF(N$10=IF(ISBLANK(Предпосылки!$D52),$E$10,Предпосылки!$D52),SUM($D127,$D170),0)</f>
        <v>0</v>
      </c>
      <c s="125">
        <f>IF(O$10=IF(ISBLANK(Предпосылки!$D52),$E$10,Предпосылки!$D52),SUM($D127,$D170),0)</f>
        <v>0</v>
      </c>
      <c s="125">
        <f>IF(P$10=IF(ISBLANK(Предпосылки!$D52),$E$10,Предпосылки!$D52),SUM($D127,$D170),0)</f>
        <v>0</v>
      </c>
      <c s="125">
        <f>IF(Q$10=IF(ISBLANK(Предпосылки!$D52),$E$10,Предпосылки!$D52),SUM($D127,$D170),0)</f>
        <v>0</v>
      </c>
      <c s="125">
        <f>IF(R$10=IF(ISBLANK(Предпосылки!$D52),$E$10,Предпосылки!$D52),SUM($D127,$D170),0)</f>
        <v>0</v>
      </c>
      <c s="125">
        <f>IF(S$10=IF(ISBLANK(Предпосылки!$D52),$E$10,Предпосылки!$D52),SUM($D127,$D170),0)</f>
        <v>0</v>
      </c>
      <c s="125">
        <f>IF(T$10=IF(ISBLANK(Предпосылки!$D52),$E$10,Предпосылки!$D52),SUM($D127,$D170),0)</f>
        <v>0</v>
      </c>
      <c s="125">
        <f>IF(U$10=IF(ISBLANK(Предпосылки!$D52),$E$10,Предпосылки!$D52),SUM($D127,$D170),0)</f>
        <v>0</v>
      </c>
      <c s="125">
        <f>IF(V$10=IF(ISBLANK(Предпосылки!$D52),$E$10,Предпосылки!$D52),SUM($D127,$D170),0)</f>
        <v>0</v>
      </c>
      <c s="125">
        <f>IF(W$10=IF(ISBLANK(Предпосылки!$D52),$E$10,Предпосылки!$D52),SUM($D127,$D170),0)</f>
        <v>0</v>
      </c>
      <c s="125">
        <f>IF(X$10=IF(ISBLANK(Предпосылки!$D52),$E$10,Предпосылки!$D52),SUM($D127,$D170),0)</f>
        <v>0</v>
      </c>
      <c s="125">
        <f>IF(Y$10=IF(ISBLANK(Предпосылки!$D52),$E$10,Предпосылки!$D52),SUM($D127,$D170),0)</f>
        <v>0</v>
      </c>
      <c s="125">
        <f>IF(Z$10=IF(ISBLANK(Предпосылки!$D52),$E$10,Предпосылки!$D52),SUM($D127,$D170),0)</f>
        <v>0</v>
      </c>
      <c s="125">
        <f>IF(AA$10=IF(ISBLANK(Предпосылки!$D52),$E$10,Предпосылки!$D52),SUM($D127,$D170),0)</f>
        <v>0</v>
      </c>
      <c s="125">
        <f>IF(AB$10=IF(ISBLANK(Предпосылки!$D52),$E$10,Предпосылки!$D52),SUM($D127,$D170),0)</f>
        <v>0</v>
      </c>
      <c s="125">
        <f>IF(AC$10=IF(ISBLANK(Предпосылки!$D52),$E$10,Предпосылки!$D52),SUM($D127,$D170),0)</f>
        <v>0</v>
      </c>
      <c s="125">
        <f>IF(AD$10=IF(ISBLANK(Предпосылки!$D52),$E$10,Предпосылки!$D52),SUM($D127,$D170),0)</f>
        <v>0</v>
      </c>
      <c s="125">
        <f>IF(AE$10=IF(ISBLANK(Предпосылки!$D52),$E$10,Предпосылки!$D52),SUM($D127,$D170),0)</f>
        <v>0</v>
      </c>
      <c s="125">
        <f>IF(AF$10=IF(ISBLANK(Предпосылки!$D52),$E$10,Предпосылки!$D52),SUM($D127,$D170),0)</f>
        <v>0</v>
      </c>
      <c s="125">
        <f>IF(AG$10=IF(ISBLANK(Предпосылки!$D52),$E$10,Предпосылки!$D52),SUM($D127,$D170),0)</f>
        <v>0</v>
      </c>
      <c s="125">
        <f>IF(AH$10=IF(ISBLANK(Предпосылки!$D52),$E$10,Предпосылки!$D52),SUM($D127,$D170),0)</f>
        <v>0</v>
      </c>
      <c s="125">
        <f>IF(AI$10=IF(ISBLANK(Предпосылки!$D52),$E$10,Предпосылки!$D52),SUM($D127,$D170),0)</f>
        <v>0</v>
      </c>
      <c s="125">
        <f>IF(AJ$10=IF(ISBLANK(Предпосылки!$D52),$E$10,Предпосылки!$D52),SUM($D127,$D170),0)</f>
        <v>0</v>
      </c>
      <c s="125">
        <f>IF(AK$10=IF(ISBLANK(Предпосылки!$D52),$E$10,Предпосылки!$D52),SUM($D127,$D170),0)</f>
        <v>0</v>
      </c>
      <c s="125">
        <f>IF(AL$10=IF(ISBLANK(Предпосылки!$D52),$E$10,Предпосылки!$D52),SUM($D127,$D170),0)</f>
        <v>0</v>
      </c>
      <c s="125">
        <f>IF(AM$10=IF(ISBLANK(Предпосылки!$D52),$E$10,Предпосылки!$D52),SUM($D127,$D170),0)</f>
        <v>0</v>
      </c>
      <c s="125">
        <f>IF(AN$10=IF(ISBLANK(Предпосылки!$D52),$E$10,Предпосылки!$D52),SUM($D127,$D170),0)</f>
        <v>0</v>
      </c>
      <c s="125">
        <f>IF(AO$10=IF(ISBLANK(Предпосылки!$D52),$E$10,Предпосылки!$D52),SUM($D127,$D170),0)</f>
        <v>0</v>
      </c>
      <c s="125">
        <f>IF(AP$10=IF(ISBLANK(Предпосылки!$D52),$E$10,Предпосылки!$D52),SUM($D127,$D170),0)</f>
        <v>0</v>
      </c>
      <c s="125">
        <f>IF(AQ$10=IF(ISBLANK(Предпосылки!$D52),$E$10,Предпосылки!$D52),SUM($D127,$D170),0)</f>
        <v>0</v>
      </c>
      <c s="125">
        <f>IF(AR$10=IF(ISBLANK(Предпосылки!$D52),$E$10,Предпосылки!$D52),SUM($D127,$D170),0)</f>
        <v>0</v>
      </c>
      <c s="125">
        <f>IF(AS$10=IF(ISBLANK(Предпосылки!$D52),$E$10,Предпосылки!$D52),SUM($D127,$D170),0)</f>
        <v>0</v>
      </c>
      <c s="125">
        <f>IF(AT$10=IF(ISBLANK(Предпосылки!$D52),$E$10,Предпосылки!$D52),SUM($D127,$D170),0)</f>
        <v>0</v>
      </c>
      <c s="125">
        <f>IF(AU$10=IF(ISBLANK(Предпосылки!$D52),$E$10,Предпосылки!$D52),SUM($D127,$D170),0)</f>
        <v>0</v>
      </c>
      <c s="125">
        <f>IF(AV$10=IF(ISBLANK(Предпосылки!$D52),$E$10,Предпосылки!$D52),SUM($D127,$D170),0)</f>
        <v>0</v>
      </c>
      <c s="125">
        <f>IF(AW$10=IF(ISBLANK(Предпосылки!$D52),$E$10,Предпосылки!$D52),SUM($D127,$D170),0)</f>
        <v>0</v>
      </c>
      <c s="125">
        <f>IF(AX$10=IF(ISBLANK(Предпосылки!$D52),$E$10,Предпосылки!$D52),SUM($D127,$D170),0)</f>
        <v>0</v>
      </c>
      <c s="125">
        <f>IF(AY$10=IF(ISBLANK(Предпосылки!$D52),$E$10,Предпосылки!$D52),SUM($D127,$D170),0)</f>
        <v>0</v>
      </c>
      <c s="125">
        <f>IF(AZ$10=IF(ISBLANK(Предпосылки!$D52),$E$10,Предпосылки!$D52),SUM($D127,$D170),0)</f>
        <v>0</v>
      </c>
      <c s="125">
        <f>IF(BA$10=IF(ISBLANK(Предпосылки!$D52),$E$10,Предпосылки!$D52),SUM($D127,$D170),0)</f>
        <v>0</v>
      </c>
      <c s="125">
        <f>IF(BB$10=IF(ISBLANK(Предпосылки!$D52),$E$10,Предпосылки!$D52),SUM($D127,$D170),0)</f>
        <v>0</v>
      </c>
      <c s="125">
        <f>IF(BC$10=IF(ISBLANK(Предпосылки!$D52),$E$10,Предпосылки!$D52),SUM($D127,$D170),0)</f>
        <v>0</v>
      </c>
      <c s="125">
        <f>IF(BD$10=IF(ISBLANK(Предпосылки!$D52),$E$10,Предпосылки!$D52),SUM($D127,$D170),0)</f>
        <v>0</v>
      </c>
      <c s="125">
        <f>IF(BE$10=IF(ISBLANK(Предпосылки!$D52),$E$10,Предпосылки!$D52),SUM($D127,$D170),0)</f>
        <v>0</v>
      </c>
      <c s="125">
        <f>IF(BF$10=IF(ISBLANK(Предпосылки!$D52),$E$10,Предпосылки!$D52),SUM($D127,$D170),0)</f>
        <v>0</v>
      </c>
      <c s="125">
        <f>IF(BG$10=IF(ISBLANK(Предпосылки!$D52),$E$10,Предпосылки!$D52),SUM($D127,$D170),0)</f>
        <v>0</v>
      </c>
      <c s="125">
        <f>IF(BH$10=IF(ISBLANK(Предпосылки!$D52),$E$10,Предпосылки!$D52),SUM($D127,$D170),0)</f>
        <v>0</v>
      </c>
      <c s="125">
        <f>IF(BI$10=IF(ISBLANK(Предпосылки!$D52),$E$10,Предпосылки!$D52),SUM($D127,$D170),0)</f>
        <v>0</v>
      </c>
      <c s="125">
        <f>IF(BJ$10=IF(ISBLANK(Предпосылки!$D52),$E$10,Предпосылки!$D52),SUM($D127,$D170),0)</f>
        <v>0</v>
      </c>
      <c s="125">
        <f>IF(BK$10=IF(ISBLANK(Предпосылки!$D52),$E$10,Предпосылки!$D52),SUM($D127,$D170),0)</f>
        <v>0</v>
      </c>
      <c s="125">
        <f>IF(BL$10=IF(ISBLANK(Предпосылки!$D52),$E$10,Предпосылки!$D52),SUM($D127,$D170),0)</f>
        <v>0</v>
      </c>
      <c s="125">
        <f>IF(BM$10=IF(ISBLANK(Предпосылки!$D52),$E$10,Предпосылки!$D52),SUM($D127,$D170),0)</f>
        <v>0</v>
      </c>
    </row>
    <row r="301" spans="2:65" ht="15" customHeight="1">
      <c r="B301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IF(E$10=IF(ISBLANK(Предпосылки!$D53),$E$10,Предпосылки!$D53),SUM($D128,$D171),0)</f>
        <v>0</v>
      </c>
      <c s="125">
        <f>IF(F$10=IF(ISBLANK(Предпосылки!$D53),$E$10,Предпосылки!$D53),SUM($D128,$D171),0)</f>
        <v>0</v>
      </c>
      <c s="125">
        <f>IF(G$10=IF(ISBLANK(Предпосылки!$D53),$E$10,Предпосылки!$D53),SUM($D128,$D171),0)</f>
        <v>0</v>
      </c>
      <c s="125">
        <f>IF(H$10=IF(ISBLANK(Предпосылки!$D53),$E$10,Предпосылки!$D53),SUM($D128,$D171),0)</f>
        <v>0</v>
      </c>
      <c s="125">
        <f>IF(I$10=IF(ISBLANK(Предпосылки!$D53),$E$10,Предпосылки!$D53),SUM($D128,$D171),0)</f>
        <v>0</v>
      </c>
      <c s="125">
        <f>IF(J$10=IF(ISBLANK(Предпосылки!$D53),$E$10,Предпосылки!$D53),SUM($D128,$D171),0)</f>
        <v>0</v>
      </c>
      <c s="125">
        <f>IF(K$10=IF(ISBLANK(Предпосылки!$D53),$E$10,Предпосылки!$D53),SUM($D128,$D171),0)</f>
        <v>0</v>
      </c>
      <c s="125">
        <f>IF(L$10=IF(ISBLANK(Предпосылки!$D53),$E$10,Предпосылки!$D53),SUM($D128,$D171),0)</f>
        <v>0</v>
      </c>
      <c s="125">
        <f>IF(M$10=IF(ISBLANK(Предпосылки!$D53),$E$10,Предпосылки!$D53),SUM($D128,$D171),0)</f>
        <v>0</v>
      </c>
      <c s="125">
        <f>IF(N$10=IF(ISBLANK(Предпосылки!$D53),$E$10,Предпосылки!$D53),SUM($D128,$D171),0)</f>
        <v>0</v>
      </c>
      <c s="125">
        <f>IF(O$10=IF(ISBLANK(Предпосылки!$D53),$E$10,Предпосылки!$D53),SUM($D128,$D171),0)</f>
        <v>0</v>
      </c>
      <c s="125">
        <f>IF(P$10=IF(ISBLANK(Предпосылки!$D53),$E$10,Предпосылки!$D53),SUM($D128,$D171),0)</f>
        <v>0</v>
      </c>
      <c s="125">
        <f>IF(Q$10=IF(ISBLANK(Предпосылки!$D53),$E$10,Предпосылки!$D53),SUM($D128,$D171),0)</f>
        <v>0</v>
      </c>
      <c s="125">
        <f>IF(R$10=IF(ISBLANK(Предпосылки!$D53),$E$10,Предпосылки!$D53),SUM($D128,$D171),0)</f>
        <v>0</v>
      </c>
      <c s="125">
        <f>IF(S$10=IF(ISBLANK(Предпосылки!$D53),$E$10,Предпосылки!$D53),SUM($D128,$D171),0)</f>
        <v>0</v>
      </c>
      <c s="125">
        <f>IF(T$10=IF(ISBLANK(Предпосылки!$D53),$E$10,Предпосылки!$D53),SUM($D128,$D171),0)</f>
        <v>0</v>
      </c>
      <c s="125">
        <f>IF(U$10=IF(ISBLANK(Предпосылки!$D53),$E$10,Предпосылки!$D53),SUM($D128,$D171),0)</f>
        <v>0</v>
      </c>
      <c s="125">
        <f>IF(V$10=IF(ISBLANK(Предпосылки!$D53),$E$10,Предпосылки!$D53),SUM($D128,$D171),0)</f>
        <v>0</v>
      </c>
      <c s="125">
        <f>IF(W$10=IF(ISBLANK(Предпосылки!$D53),$E$10,Предпосылки!$D53),SUM($D128,$D171),0)</f>
        <v>0</v>
      </c>
      <c s="125">
        <f>IF(X$10=IF(ISBLANK(Предпосылки!$D53),$E$10,Предпосылки!$D53),SUM($D128,$D171),0)</f>
        <v>0</v>
      </c>
      <c s="125">
        <f>IF(Y$10=IF(ISBLANK(Предпосылки!$D53),$E$10,Предпосылки!$D53),SUM($D128,$D171),0)</f>
        <v>0</v>
      </c>
      <c s="125">
        <f>IF(Z$10=IF(ISBLANK(Предпосылки!$D53),$E$10,Предпосылки!$D53),SUM($D128,$D171),0)</f>
        <v>0</v>
      </c>
      <c s="125">
        <f>IF(AA$10=IF(ISBLANK(Предпосылки!$D53),$E$10,Предпосылки!$D53),SUM($D128,$D171),0)</f>
        <v>0</v>
      </c>
      <c s="125">
        <f>IF(AB$10=IF(ISBLANK(Предпосылки!$D53),$E$10,Предпосылки!$D53),SUM($D128,$D171),0)</f>
        <v>0</v>
      </c>
      <c s="125">
        <f>IF(AC$10=IF(ISBLANK(Предпосылки!$D53),$E$10,Предпосылки!$D53),SUM($D128,$D171),0)</f>
        <v>0</v>
      </c>
      <c s="125">
        <f>IF(AD$10=IF(ISBLANK(Предпосылки!$D53),$E$10,Предпосылки!$D53),SUM($D128,$D171),0)</f>
        <v>0</v>
      </c>
      <c s="125">
        <f>IF(AE$10=IF(ISBLANK(Предпосылки!$D53),$E$10,Предпосылки!$D53),SUM($D128,$D171),0)</f>
        <v>0</v>
      </c>
      <c s="125">
        <f>IF(AF$10=IF(ISBLANK(Предпосылки!$D53),$E$10,Предпосылки!$D53),SUM($D128,$D171),0)</f>
        <v>0</v>
      </c>
      <c s="125">
        <f>IF(AG$10=IF(ISBLANK(Предпосылки!$D53),$E$10,Предпосылки!$D53),SUM($D128,$D171),0)</f>
        <v>0</v>
      </c>
      <c s="125">
        <f>IF(AH$10=IF(ISBLANK(Предпосылки!$D53),$E$10,Предпосылки!$D53),SUM($D128,$D171),0)</f>
        <v>0</v>
      </c>
      <c s="125">
        <f>IF(AI$10=IF(ISBLANK(Предпосылки!$D53),$E$10,Предпосылки!$D53),SUM($D128,$D171),0)</f>
        <v>0</v>
      </c>
      <c s="125">
        <f>IF(AJ$10=IF(ISBLANK(Предпосылки!$D53),$E$10,Предпосылки!$D53),SUM($D128,$D171),0)</f>
        <v>0</v>
      </c>
      <c s="125">
        <f>IF(AK$10=IF(ISBLANK(Предпосылки!$D53),$E$10,Предпосылки!$D53),SUM($D128,$D171),0)</f>
        <v>0</v>
      </c>
      <c s="125">
        <f>IF(AL$10=IF(ISBLANK(Предпосылки!$D53),$E$10,Предпосылки!$D53),SUM($D128,$D171),0)</f>
        <v>0</v>
      </c>
      <c s="125">
        <f>IF(AM$10=IF(ISBLANK(Предпосылки!$D53),$E$10,Предпосылки!$D53),SUM($D128,$D171),0)</f>
        <v>0</v>
      </c>
      <c s="125">
        <f>IF(AN$10=IF(ISBLANK(Предпосылки!$D53),$E$10,Предпосылки!$D53),SUM($D128,$D171),0)</f>
        <v>0</v>
      </c>
      <c s="125">
        <f>IF(AO$10=IF(ISBLANK(Предпосылки!$D53),$E$10,Предпосылки!$D53),SUM($D128,$D171),0)</f>
        <v>0</v>
      </c>
      <c s="125">
        <f>IF(AP$10=IF(ISBLANK(Предпосылки!$D53),$E$10,Предпосылки!$D53),SUM($D128,$D171),0)</f>
        <v>0</v>
      </c>
      <c s="125">
        <f>IF(AQ$10=IF(ISBLANK(Предпосылки!$D53),$E$10,Предпосылки!$D53),SUM($D128,$D171),0)</f>
        <v>0</v>
      </c>
      <c s="125">
        <f>IF(AR$10=IF(ISBLANK(Предпосылки!$D53),$E$10,Предпосылки!$D53),SUM($D128,$D171),0)</f>
        <v>0</v>
      </c>
      <c s="125">
        <f>IF(AS$10=IF(ISBLANK(Предпосылки!$D53),$E$10,Предпосылки!$D53),SUM($D128,$D171),0)</f>
        <v>0</v>
      </c>
      <c s="125">
        <f>IF(AT$10=IF(ISBLANK(Предпосылки!$D53),$E$10,Предпосылки!$D53),SUM($D128,$D171),0)</f>
        <v>0</v>
      </c>
      <c s="125">
        <f>IF(AU$10=IF(ISBLANK(Предпосылки!$D53),$E$10,Предпосылки!$D53),SUM($D128,$D171),0)</f>
        <v>0</v>
      </c>
      <c s="125">
        <f>IF(AV$10=IF(ISBLANK(Предпосылки!$D53),$E$10,Предпосылки!$D53),SUM($D128,$D171),0)</f>
        <v>0</v>
      </c>
      <c s="125">
        <f>IF(AW$10=IF(ISBLANK(Предпосылки!$D53),$E$10,Предпосылки!$D53),SUM($D128,$D171),0)</f>
        <v>0</v>
      </c>
      <c s="125">
        <f>IF(AX$10=IF(ISBLANK(Предпосылки!$D53),$E$10,Предпосылки!$D53),SUM($D128,$D171),0)</f>
        <v>0</v>
      </c>
      <c s="125">
        <f>IF(AY$10=IF(ISBLANK(Предпосылки!$D53),$E$10,Предпосылки!$D53),SUM($D128,$D171),0)</f>
        <v>0</v>
      </c>
      <c s="125">
        <f>IF(AZ$10=IF(ISBLANK(Предпосылки!$D53),$E$10,Предпосылки!$D53),SUM($D128,$D171),0)</f>
        <v>0</v>
      </c>
      <c s="125">
        <f>IF(BA$10=IF(ISBLANK(Предпосылки!$D53),$E$10,Предпосылки!$D53),SUM($D128,$D171),0)</f>
        <v>0</v>
      </c>
      <c s="125">
        <f>IF(BB$10=IF(ISBLANK(Предпосылки!$D53),$E$10,Предпосылки!$D53),SUM($D128,$D171),0)</f>
        <v>0</v>
      </c>
      <c s="125">
        <f>IF(BC$10=IF(ISBLANK(Предпосылки!$D53),$E$10,Предпосылки!$D53),SUM($D128,$D171),0)</f>
        <v>0</v>
      </c>
      <c s="125">
        <f>IF(BD$10=IF(ISBLANK(Предпосылки!$D53),$E$10,Предпосылки!$D53),SUM($D128,$D171),0)</f>
        <v>0</v>
      </c>
      <c s="125">
        <f>IF(BE$10=IF(ISBLANK(Предпосылки!$D53),$E$10,Предпосылки!$D53),SUM($D128,$D171),0)</f>
        <v>0</v>
      </c>
      <c s="125">
        <f>IF(BF$10=IF(ISBLANK(Предпосылки!$D53),$E$10,Предпосылки!$D53),SUM($D128,$D171),0)</f>
        <v>0</v>
      </c>
      <c s="125">
        <f>IF(BG$10=IF(ISBLANK(Предпосылки!$D53),$E$10,Предпосылки!$D53),SUM($D128,$D171),0)</f>
        <v>0</v>
      </c>
      <c s="125">
        <f>IF(BH$10=IF(ISBLANK(Предпосылки!$D53),$E$10,Предпосылки!$D53),SUM($D128,$D171),0)</f>
        <v>0</v>
      </c>
      <c s="125">
        <f>IF(BI$10=IF(ISBLANK(Предпосылки!$D53),$E$10,Предпосылки!$D53),SUM($D128,$D171),0)</f>
        <v>0</v>
      </c>
      <c s="125">
        <f>IF(BJ$10=IF(ISBLANK(Предпосылки!$D53),$E$10,Предпосылки!$D53),SUM($D128,$D171),0)</f>
        <v>0</v>
      </c>
      <c s="125">
        <f>IF(BK$10=IF(ISBLANK(Предпосылки!$D53),$E$10,Предпосылки!$D53),SUM($D128,$D171),0)</f>
        <v>0</v>
      </c>
      <c s="125">
        <f>IF(BL$10=IF(ISBLANK(Предпосылки!$D53),$E$10,Предпосылки!$D53),SUM($D128,$D171),0)</f>
        <v>0</v>
      </c>
      <c s="125">
        <f>IF(BM$10=IF(ISBLANK(Предпосылки!$D53),$E$10,Предпосылки!$D53),SUM($D128,$D171),0)</f>
        <v>0</v>
      </c>
    </row>
    <row r="302" spans="2:65" ht="15" customHeight="1">
      <c r="B302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IF(E$10=IF(ISBLANK(Предпосылки!$D54),$E$10,Предпосылки!$D54),SUM($D129,$D172),0)</f>
        <v>0</v>
      </c>
      <c s="125">
        <f>IF(F$10=IF(ISBLANK(Предпосылки!$D54),$E$10,Предпосылки!$D54),SUM($D129,$D172),0)</f>
        <v>0</v>
      </c>
      <c s="125">
        <f>IF(G$10=IF(ISBLANK(Предпосылки!$D54),$E$10,Предпосылки!$D54),SUM($D129,$D172),0)</f>
        <v>0</v>
      </c>
      <c s="125">
        <f>IF(H$10=IF(ISBLANK(Предпосылки!$D54),$E$10,Предпосылки!$D54),SUM($D129,$D172),0)</f>
        <v>0</v>
      </c>
      <c s="125">
        <f>IF(I$10=IF(ISBLANK(Предпосылки!$D54),$E$10,Предпосылки!$D54),SUM($D129,$D172),0)</f>
        <v>0</v>
      </c>
      <c s="125">
        <f>IF(J$10=IF(ISBLANK(Предпосылки!$D54),$E$10,Предпосылки!$D54),SUM($D129,$D172),0)</f>
        <v>0</v>
      </c>
      <c s="125">
        <f>IF(K$10=IF(ISBLANK(Предпосылки!$D54),$E$10,Предпосылки!$D54),SUM($D129,$D172),0)</f>
        <v>0</v>
      </c>
      <c s="125">
        <f>IF(L$10=IF(ISBLANK(Предпосылки!$D54),$E$10,Предпосылки!$D54),SUM($D129,$D172),0)</f>
        <v>0</v>
      </c>
      <c s="125">
        <f>IF(M$10=IF(ISBLANK(Предпосылки!$D54),$E$10,Предпосылки!$D54),SUM($D129,$D172),0)</f>
        <v>0</v>
      </c>
      <c s="125">
        <f>IF(N$10=IF(ISBLANK(Предпосылки!$D54),$E$10,Предпосылки!$D54),SUM($D129,$D172),0)</f>
        <v>0</v>
      </c>
      <c s="125">
        <f>IF(O$10=IF(ISBLANK(Предпосылки!$D54),$E$10,Предпосылки!$D54),SUM($D129,$D172),0)</f>
        <v>0</v>
      </c>
      <c s="125">
        <f>IF(P$10=IF(ISBLANK(Предпосылки!$D54),$E$10,Предпосылки!$D54),SUM($D129,$D172),0)</f>
        <v>0</v>
      </c>
      <c s="125">
        <f>IF(Q$10=IF(ISBLANK(Предпосылки!$D54),$E$10,Предпосылки!$D54),SUM($D129,$D172),0)</f>
        <v>0</v>
      </c>
      <c s="125">
        <f>IF(R$10=IF(ISBLANK(Предпосылки!$D54),$E$10,Предпосылки!$D54),SUM($D129,$D172),0)</f>
        <v>0</v>
      </c>
      <c s="125">
        <f>IF(S$10=IF(ISBLANK(Предпосылки!$D54),$E$10,Предпосылки!$D54),SUM($D129,$D172),0)</f>
        <v>0</v>
      </c>
      <c s="125">
        <f>IF(T$10=IF(ISBLANK(Предпосылки!$D54),$E$10,Предпосылки!$D54),SUM($D129,$D172),0)</f>
        <v>0</v>
      </c>
      <c s="125">
        <f>IF(U$10=IF(ISBLANK(Предпосылки!$D54),$E$10,Предпосылки!$D54),SUM($D129,$D172),0)</f>
        <v>0</v>
      </c>
      <c s="125">
        <f>IF(V$10=IF(ISBLANK(Предпосылки!$D54),$E$10,Предпосылки!$D54),SUM($D129,$D172),0)</f>
        <v>0</v>
      </c>
      <c s="125">
        <f>IF(W$10=IF(ISBLANK(Предпосылки!$D54),$E$10,Предпосылки!$D54),SUM($D129,$D172),0)</f>
        <v>0</v>
      </c>
      <c s="125">
        <f>IF(X$10=IF(ISBLANK(Предпосылки!$D54),$E$10,Предпосылки!$D54),SUM($D129,$D172),0)</f>
        <v>0</v>
      </c>
      <c s="125">
        <f>IF(Y$10=IF(ISBLANK(Предпосылки!$D54),$E$10,Предпосылки!$D54),SUM($D129,$D172),0)</f>
        <v>0</v>
      </c>
      <c s="125">
        <f>IF(Z$10=IF(ISBLANK(Предпосылки!$D54),$E$10,Предпосылки!$D54),SUM($D129,$D172),0)</f>
        <v>0</v>
      </c>
      <c s="125">
        <f>IF(AA$10=IF(ISBLANK(Предпосылки!$D54),$E$10,Предпосылки!$D54),SUM($D129,$D172),0)</f>
        <v>0</v>
      </c>
      <c s="125">
        <f>IF(AB$10=IF(ISBLANK(Предпосылки!$D54),$E$10,Предпосылки!$D54),SUM($D129,$D172),0)</f>
        <v>0</v>
      </c>
      <c s="125">
        <f>IF(AC$10=IF(ISBLANK(Предпосылки!$D54),$E$10,Предпосылки!$D54),SUM($D129,$D172),0)</f>
        <v>0</v>
      </c>
      <c s="125">
        <f>IF(AD$10=IF(ISBLANK(Предпосылки!$D54),$E$10,Предпосылки!$D54),SUM($D129,$D172),0)</f>
        <v>0</v>
      </c>
      <c s="125">
        <f>IF(AE$10=IF(ISBLANK(Предпосылки!$D54),$E$10,Предпосылки!$D54),SUM($D129,$D172),0)</f>
        <v>0</v>
      </c>
      <c s="125">
        <f>IF(AF$10=IF(ISBLANK(Предпосылки!$D54),$E$10,Предпосылки!$D54),SUM($D129,$D172),0)</f>
        <v>0</v>
      </c>
      <c s="125">
        <f>IF(AG$10=IF(ISBLANK(Предпосылки!$D54),$E$10,Предпосылки!$D54),SUM($D129,$D172),0)</f>
        <v>0</v>
      </c>
      <c s="125">
        <f>IF(AH$10=IF(ISBLANK(Предпосылки!$D54),$E$10,Предпосылки!$D54),SUM($D129,$D172),0)</f>
        <v>0</v>
      </c>
      <c s="125">
        <f>IF(AI$10=IF(ISBLANK(Предпосылки!$D54),$E$10,Предпосылки!$D54),SUM($D129,$D172),0)</f>
        <v>0</v>
      </c>
      <c s="125">
        <f>IF(AJ$10=IF(ISBLANK(Предпосылки!$D54),$E$10,Предпосылки!$D54),SUM($D129,$D172),0)</f>
        <v>0</v>
      </c>
      <c s="125">
        <f>IF(AK$10=IF(ISBLANK(Предпосылки!$D54),$E$10,Предпосылки!$D54),SUM($D129,$D172),0)</f>
        <v>0</v>
      </c>
      <c s="125">
        <f>IF(AL$10=IF(ISBLANK(Предпосылки!$D54),$E$10,Предпосылки!$D54),SUM($D129,$D172),0)</f>
        <v>0</v>
      </c>
      <c s="125">
        <f>IF(AM$10=IF(ISBLANK(Предпосылки!$D54),$E$10,Предпосылки!$D54),SUM($D129,$D172),0)</f>
        <v>0</v>
      </c>
      <c s="125">
        <f>IF(AN$10=IF(ISBLANK(Предпосылки!$D54),$E$10,Предпосылки!$D54),SUM($D129,$D172),0)</f>
        <v>0</v>
      </c>
      <c s="125">
        <f>IF(AO$10=IF(ISBLANK(Предпосылки!$D54),$E$10,Предпосылки!$D54),SUM($D129,$D172),0)</f>
        <v>0</v>
      </c>
      <c s="125">
        <f>IF(AP$10=IF(ISBLANK(Предпосылки!$D54),$E$10,Предпосылки!$D54),SUM($D129,$D172),0)</f>
        <v>0</v>
      </c>
      <c s="125">
        <f>IF(AQ$10=IF(ISBLANK(Предпосылки!$D54),$E$10,Предпосылки!$D54),SUM($D129,$D172),0)</f>
        <v>0</v>
      </c>
      <c s="125">
        <f>IF(AR$10=IF(ISBLANK(Предпосылки!$D54),$E$10,Предпосылки!$D54),SUM($D129,$D172),0)</f>
        <v>0</v>
      </c>
      <c s="125">
        <f>IF(AS$10=IF(ISBLANK(Предпосылки!$D54),$E$10,Предпосылки!$D54),SUM($D129,$D172),0)</f>
        <v>0</v>
      </c>
      <c s="125">
        <f>IF(AT$10=IF(ISBLANK(Предпосылки!$D54),$E$10,Предпосылки!$D54),SUM($D129,$D172),0)</f>
        <v>0</v>
      </c>
      <c s="125">
        <f>IF(AU$10=IF(ISBLANK(Предпосылки!$D54),$E$10,Предпосылки!$D54),SUM($D129,$D172),0)</f>
        <v>0</v>
      </c>
      <c s="125">
        <f>IF(AV$10=IF(ISBLANK(Предпосылки!$D54),$E$10,Предпосылки!$D54),SUM($D129,$D172),0)</f>
        <v>0</v>
      </c>
      <c s="125">
        <f>IF(AW$10=IF(ISBLANK(Предпосылки!$D54),$E$10,Предпосылки!$D54),SUM($D129,$D172),0)</f>
        <v>0</v>
      </c>
      <c s="125">
        <f>IF(AX$10=IF(ISBLANK(Предпосылки!$D54),$E$10,Предпосылки!$D54),SUM($D129,$D172),0)</f>
        <v>0</v>
      </c>
      <c s="125">
        <f>IF(AY$10=IF(ISBLANK(Предпосылки!$D54),$E$10,Предпосылки!$D54),SUM($D129,$D172),0)</f>
        <v>0</v>
      </c>
      <c s="125">
        <f>IF(AZ$10=IF(ISBLANK(Предпосылки!$D54),$E$10,Предпосылки!$D54),SUM($D129,$D172),0)</f>
        <v>0</v>
      </c>
      <c s="125">
        <f>IF(BA$10=IF(ISBLANK(Предпосылки!$D54),$E$10,Предпосылки!$D54),SUM($D129,$D172),0)</f>
        <v>0</v>
      </c>
      <c s="125">
        <f>IF(BB$10=IF(ISBLANK(Предпосылки!$D54),$E$10,Предпосылки!$D54),SUM($D129,$D172),0)</f>
        <v>0</v>
      </c>
      <c s="125">
        <f>IF(BC$10=IF(ISBLANK(Предпосылки!$D54),$E$10,Предпосылки!$D54),SUM($D129,$D172),0)</f>
        <v>0</v>
      </c>
      <c s="125">
        <f>IF(BD$10=IF(ISBLANK(Предпосылки!$D54),$E$10,Предпосылки!$D54),SUM($D129,$D172),0)</f>
        <v>0</v>
      </c>
      <c s="125">
        <f>IF(BE$10=IF(ISBLANK(Предпосылки!$D54),$E$10,Предпосылки!$D54),SUM($D129,$D172),0)</f>
        <v>0</v>
      </c>
      <c s="125">
        <f>IF(BF$10=IF(ISBLANK(Предпосылки!$D54),$E$10,Предпосылки!$D54),SUM($D129,$D172),0)</f>
        <v>0</v>
      </c>
      <c s="125">
        <f>IF(BG$10=IF(ISBLANK(Предпосылки!$D54),$E$10,Предпосылки!$D54),SUM($D129,$D172),0)</f>
        <v>0</v>
      </c>
      <c s="125">
        <f>IF(BH$10=IF(ISBLANK(Предпосылки!$D54),$E$10,Предпосылки!$D54),SUM($D129,$D172),0)</f>
        <v>0</v>
      </c>
      <c s="125">
        <f>IF(BI$10=IF(ISBLANK(Предпосылки!$D54),$E$10,Предпосылки!$D54),SUM($D129,$D172),0)</f>
        <v>0</v>
      </c>
      <c s="125">
        <f>IF(BJ$10=IF(ISBLANK(Предпосылки!$D54),$E$10,Предпосылки!$D54),SUM($D129,$D172),0)</f>
        <v>0</v>
      </c>
      <c s="125">
        <f>IF(BK$10=IF(ISBLANK(Предпосылки!$D54),$E$10,Предпосылки!$D54),SUM($D129,$D172),0)</f>
        <v>0</v>
      </c>
      <c s="125">
        <f>IF(BL$10=IF(ISBLANK(Предпосылки!$D54),$E$10,Предпосылки!$D54),SUM($D129,$D172),0)</f>
        <v>0</v>
      </c>
      <c s="125">
        <f>IF(BM$10=IF(ISBLANK(Предпосылки!$D54),$E$10,Предпосылки!$D54),SUM($D129,$D172),0)</f>
        <v>0</v>
      </c>
    </row>
    <row r="303" spans="2:65" ht="15" customHeight="1">
      <c r="B303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IF(E$10=IF(ISBLANK(Предпосылки!$D55),$E$10,Предпосылки!$D55),SUM($D130,$D173),0)</f>
        <v>0</v>
      </c>
      <c s="125">
        <f>IF(F$10=IF(ISBLANK(Предпосылки!$D55),$E$10,Предпосылки!$D55),SUM($D130,$D173),0)</f>
        <v>0</v>
      </c>
      <c s="125">
        <f>IF(G$10=IF(ISBLANK(Предпосылки!$D55),$E$10,Предпосылки!$D55),SUM($D130,$D173),0)</f>
        <v>0</v>
      </c>
      <c s="125">
        <f>IF(H$10=IF(ISBLANK(Предпосылки!$D55),$E$10,Предпосылки!$D55),SUM($D130,$D173),0)</f>
        <v>0</v>
      </c>
      <c s="125">
        <f>IF(I$10=IF(ISBLANK(Предпосылки!$D55),$E$10,Предпосылки!$D55),SUM($D130,$D173),0)</f>
        <v>0</v>
      </c>
      <c s="125">
        <f>IF(J$10=IF(ISBLANK(Предпосылки!$D55),$E$10,Предпосылки!$D55),SUM($D130,$D173),0)</f>
        <v>0</v>
      </c>
      <c s="125">
        <f>IF(K$10=IF(ISBLANK(Предпосылки!$D55),$E$10,Предпосылки!$D55),SUM($D130,$D173),0)</f>
        <v>0</v>
      </c>
      <c s="125">
        <f>IF(L$10=IF(ISBLANK(Предпосылки!$D55),$E$10,Предпосылки!$D55),SUM($D130,$D173),0)</f>
        <v>0</v>
      </c>
      <c s="125">
        <f>IF(M$10=IF(ISBLANK(Предпосылки!$D55),$E$10,Предпосылки!$D55),SUM($D130,$D173),0)</f>
        <v>0</v>
      </c>
      <c s="125">
        <f>IF(N$10=IF(ISBLANK(Предпосылки!$D55),$E$10,Предпосылки!$D55),SUM($D130,$D173),0)</f>
        <v>0</v>
      </c>
      <c s="125">
        <f>IF(O$10=IF(ISBLANK(Предпосылки!$D55),$E$10,Предпосылки!$D55),SUM($D130,$D173),0)</f>
        <v>0</v>
      </c>
      <c s="125">
        <f>IF(P$10=IF(ISBLANK(Предпосылки!$D55),$E$10,Предпосылки!$D55),SUM($D130,$D173),0)</f>
        <v>0</v>
      </c>
      <c s="125">
        <f>IF(Q$10=IF(ISBLANK(Предпосылки!$D55),$E$10,Предпосылки!$D55),SUM($D130,$D173),0)</f>
        <v>0</v>
      </c>
      <c s="125">
        <f>IF(R$10=IF(ISBLANK(Предпосылки!$D55),$E$10,Предпосылки!$D55),SUM($D130,$D173),0)</f>
        <v>0</v>
      </c>
      <c s="125">
        <f>IF(S$10=IF(ISBLANK(Предпосылки!$D55),$E$10,Предпосылки!$D55),SUM($D130,$D173),0)</f>
        <v>0</v>
      </c>
      <c s="125">
        <f>IF(T$10=IF(ISBLANK(Предпосылки!$D55),$E$10,Предпосылки!$D55),SUM($D130,$D173),0)</f>
        <v>0</v>
      </c>
      <c s="125">
        <f>IF(U$10=IF(ISBLANK(Предпосылки!$D55),$E$10,Предпосылки!$D55),SUM($D130,$D173),0)</f>
        <v>0</v>
      </c>
      <c s="125">
        <f>IF(V$10=IF(ISBLANK(Предпосылки!$D55),$E$10,Предпосылки!$D55),SUM($D130,$D173),0)</f>
        <v>0</v>
      </c>
      <c s="125">
        <f>IF(W$10=IF(ISBLANK(Предпосылки!$D55),$E$10,Предпосылки!$D55),SUM($D130,$D173),0)</f>
        <v>0</v>
      </c>
      <c s="125">
        <f>IF(X$10=IF(ISBLANK(Предпосылки!$D55),$E$10,Предпосылки!$D55),SUM($D130,$D173),0)</f>
        <v>0</v>
      </c>
      <c s="125">
        <f>IF(Y$10=IF(ISBLANK(Предпосылки!$D55),$E$10,Предпосылки!$D55),SUM($D130,$D173),0)</f>
        <v>0</v>
      </c>
      <c s="125">
        <f>IF(Z$10=IF(ISBLANK(Предпосылки!$D55),$E$10,Предпосылки!$D55),SUM($D130,$D173),0)</f>
        <v>0</v>
      </c>
      <c s="125">
        <f>IF(AA$10=IF(ISBLANK(Предпосылки!$D55),$E$10,Предпосылки!$D55),SUM($D130,$D173),0)</f>
        <v>0</v>
      </c>
      <c s="125">
        <f>IF(AB$10=IF(ISBLANK(Предпосылки!$D55),$E$10,Предпосылки!$D55),SUM($D130,$D173),0)</f>
        <v>0</v>
      </c>
      <c s="125">
        <f>IF(AC$10=IF(ISBLANK(Предпосылки!$D55),$E$10,Предпосылки!$D55),SUM($D130,$D173),0)</f>
        <v>0</v>
      </c>
      <c s="125">
        <f>IF(AD$10=IF(ISBLANK(Предпосылки!$D55),$E$10,Предпосылки!$D55),SUM($D130,$D173),0)</f>
        <v>0</v>
      </c>
      <c s="125">
        <f>IF(AE$10=IF(ISBLANK(Предпосылки!$D55),$E$10,Предпосылки!$D55),SUM($D130,$D173),0)</f>
        <v>0</v>
      </c>
      <c s="125">
        <f>IF(AF$10=IF(ISBLANK(Предпосылки!$D55),$E$10,Предпосылки!$D55),SUM($D130,$D173),0)</f>
        <v>0</v>
      </c>
      <c s="125">
        <f>IF(AG$10=IF(ISBLANK(Предпосылки!$D55),$E$10,Предпосылки!$D55),SUM($D130,$D173),0)</f>
        <v>0</v>
      </c>
      <c s="125">
        <f>IF(AH$10=IF(ISBLANK(Предпосылки!$D55),$E$10,Предпосылки!$D55),SUM($D130,$D173),0)</f>
        <v>0</v>
      </c>
      <c s="125">
        <f>IF(AI$10=IF(ISBLANK(Предпосылки!$D55),$E$10,Предпосылки!$D55),SUM($D130,$D173),0)</f>
        <v>0</v>
      </c>
      <c s="125">
        <f>IF(AJ$10=IF(ISBLANK(Предпосылки!$D55),$E$10,Предпосылки!$D55),SUM($D130,$D173),0)</f>
        <v>0</v>
      </c>
      <c s="125">
        <f>IF(AK$10=IF(ISBLANK(Предпосылки!$D55),$E$10,Предпосылки!$D55),SUM($D130,$D173),0)</f>
        <v>0</v>
      </c>
      <c s="125">
        <f>IF(AL$10=IF(ISBLANK(Предпосылки!$D55),$E$10,Предпосылки!$D55),SUM($D130,$D173),0)</f>
        <v>0</v>
      </c>
      <c s="125">
        <f>IF(AM$10=IF(ISBLANK(Предпосылки!$D55),$E$10,Предпосылки!$D55),SUM($D130,$D173),0)</f>
        <v>0</v>
      </c>
      <c s="125">
        <f>IF(AN$10=IF(ISBLANK(Предпосылки!$D55),$E$10,Предпосылки!$D55),SUM($D130,$D173),0)</f>
        <v>0</v>
      </c>
      <c s="125">
        <f>IF(AO$10=IF(ISBLANK(Предпосылки!$D55),$E$10,Предпосылки!$D55),SUM($D130,$D173),0)</f>
        <v>0</v>
      </c>
      <c s="125">
        <f>IF(AP$10=IF(ISBLANK(Предпосылки!$D55),$E$10,Предпосылки!$D55),SUM($D130,$D173),0)</f>
        <v>0</v>
      </c>
      <c s="125">
        <f>IF(AQ$10=IF(ISBLANK(Предпосылки!$D55),$E$10,Предпосылки!$D55),SUM($D130,$D173),0)</f>
        <v>0</v>
      </c>
      <c s="125">
        <f>IF(AR$10=IF(ISBLANK(Предпосылки!$D55),$E$10,Предпосылки!$D55),SUM($D130,$D173),0)</f>
        <v>0</v>
      </c>
      <c s="125">
        <f>IF(AS$10=IF(ISBLANK(Предпосылки!$D55),$E$10,Предпосылки!$D55),SUM($D130,$D173),0)</f>
        <v>0</v>
      </c>
      <c s="125">
        <f>IF(AT$10=IF(ISBLANK(Предпосылки!$D55),$E$10,Предпосылки!$D55),SUM($D130,$D173),0)</f>
        <v>0</v>
      </c>
      <c s="125">
        <f>IF(AU$10=IF(ISBLANK(Предпосылки!$D55),$E$10,Предпосылки!$D55),SUM($D130,$D173),0)</f>
        <v>0</v>
      </c>
      <c s="125">
        <f>IF(AV$10=IF(ISBLANK(Предпосылки!$D55),$E$10,Предпосылки!$D55),SUM($D130,$D173),0)</f>
        <v>0</v>
      </c>
      <c s="125">
        <f>IF(AW$10=IF(ISBLANK(Предпосылки!$D55),$E$10,Предпосылки!$D55),SUM($D130,$D173),0)</f>
        <v>0</v>
      </c>
      <c s="125">
        <f>IF(AX$10=IF(ISBLANK(Предпосылки!$D55),$E$10,Предпосылки!$D55),SUM($D130,$D173),0)</f>
        <v>0</v>
      </c>
      <c s="125">
        <f>IF(AY$10=IF(ISBLANK(Предпосылки!$D55),$E$10,Предпосылки!$D55),SUM($D130,$D173),0)</f>
        <v>0</v>
      </c>
      <c s="125">
        <f>IF(AZ$10=IF(ISBLANK(Предпосылки!$D55),$E$10,Предпосылки!$D55),SUM($D130,$D173),0)</f>
        <v>0</v>
      </c>
      <c s="125">
        <f>IF(BA$10=IF(ISBLANK(Предпосылки!$D55),$E$10,Предпосылки!$D55),SUM($D130,$D173),0)</f>
        <v>0</v>
      </c>
      <c s="125">
        <f>IF(BB$10=IF(ISBLANK(Предпосылки!$D55),$E$10,Предпосылки!$D55),SUM($D130,$D173),0)</f>
        <v>0</v>
      </c>
      <c s="125">
        <f>IF(BC$10=IF(ISBLANK(Предпосылки!$D55),$E$10,Предпосылки!$D55),SUM($D130,$D173),0)</f>
        <v>0</v>
      </c>
      <c s="125">
        <f>IF(BD$10=IF(ISBLANK(Предпосылки!$D55),$E$10,Предпосылки!$D55),SUM($D130,$D173),0)</f>
        <v>0</v>
      </c>
      <c s="125">
        <f>IF(BE$10=IF(ISBLANK(Предпосылки!$D55),$E$10,Предпосылки!$D55),SUM($D130,$D173),0)</f>
        <v>0</v>
      </c>
      <c s="125">
        <f>IF(BF$10=IF(ISBLANK(Предпосылки!$D55),$E$10,Предпосылки!$D55),SUM($D130,$D173),0)</f>
        <v>0</v>
      </c>
      <c s="125">
        <f>IF(BG$10=IF(ISBLANK(Предпосылки!$D55),$E$10,Предпосылки!$D55),SUM($D130,$D173),0)</f>
        <v>0</v>
      </c>
      <c s="125">
        <f>IF(BH$10=IF(ISBLANK(Предпосылки!$D55),$E$10,Предпосылки!$D55),SUM($D130,$D173),0)</f>
        <v>0</v>
      </c>
      <c s="125">
        <f>IF(BI$10=IF(ISBLANK(Предпосылки!$D55),$E$10,Предпосылки!$D55),SUM($D130,$D173),0)</f>
        <v>0</v>
      </c>
      <c s="125">
        <f>IF(BJ$10=IF(ISBLANK(Предпосылки!$D55),$E$10,Предпосылки!$D55),SUM($D130,$D173),0)</f>
        <v>0</v>
      </c>
      <c s="125">
        <f>IF(BK$10=IF(ISBLANK(Предпосылки!$D55),$E$10,Предпосылки!$D55),SUM($D130,$D173),0)</f>
        <v>0</v>
      </c>
      <c s="125">
        <f>IF(BL$10=IF(ISBLANK(Предпосылки!$D55),$E$10,Предпосылки!$D55),SUM($D130,$D173),0)</f>
        <v>0</v>
      </c>
      <c s="125">
        <f>IF(BM$10=IF(ISBLANK(Предпосылки!$D55),$E$10,Предпосылки!$D55),SUM($D130,$D173),0)</f>
        <v>0</v>
      </c>
    </row>
    <row r="304" spans="2:65" ht="15" customHeight="1">
      <c r="B304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IF(E$10=IF(ISBLANK(Предпосылки!$D56),$E$10,Предпосылки!$D56),SUM($D131,$D174),0)</f>
        <v>0</v>
      </c>
      <c s="125">
        <f>IF(F$10=IF(ISBLANK(Предпосылки!$D56),$E$10,Предпосылки!$D56),SUM($D131,$D174),0)</f>
        <v>0</v>
      </c>
      <c s="125">
        <f>IF(G$10=IF(ISBLANK(Предпосылки!$D56),$E$10,Предпосылки!$D56),SUM($D131,$D174),0)</f>
        <v>0</v>
      </c>
      <c s="125">
        <f>IF(H$10=IF(ISBLANK(Предпосылки!$D56),$E$10,Предпосылки!$D56),SUM($D131,$D174),0)</f>
        <v>0</v>
      </c>
      <c s="125">
        <f>IF(I$10=IF(ISBLANK(Предпосылки!$D56),$E$10,Предпосылки!$D56),SUM($D131,$D174),0)</f>
        <v>0</v>
      </c>
      <c s="125">
        <f>IF(J$10=IF(ISBLANK(Предпосылки!$D56),$E$10,Предпосылки!$D56),SUM($D131,$D174),0)</f>
        <v>0</v>
      </c>
      <c s="125">
        <f>IF(K$10=IF(ISBLANK(Предпосылки!$D56),$E$10,Предпосылки!$D56),SUM($D131,$D174),0)</f>
        <v>0</v>
      </c>
      <c s="125">
        <f>IF(L$10=IF(ISBLANK(Предпосылки!$D56),$E$10,Предпосылки!$D56),SUM($D131,$D174),0)</f>
        <v>0</v>
      </c>
      <c s="125">
        <f>IF(M$10=IF(ISBLANK(Предпосылки!$D56),$E$10,Предпосылки!$D56),SUM($D131,$D174),0)</f>
        <v>0</v>
      </c>
      <c s="125">
        <f>IF(N$10=IF(ISBLANK(Предпосылки!$D56),$E$10,Предпосылки!$D56),SUM($D131,$D174),0)</f>
        <v>0</v>
      </c>
      <c s="125">
        <f>IF(O$10=IF(ISBLANK(Предпосылки!$D56),$E$10,Предпосылки!$D56),SUM($D131,$D174),0)</f>
        <v>0</v>
      </c>
      <c s="125">
        <f>IF(P$10=IF(ISBLANK(Предпосылки!$D56),$E$10,Предпосылки!$D56),SUM($D131,$D174),0)</f>
        <v>0</v>
      </c>
      <c s="125">
        <f>IF(Q$10=IF(ISBLANK(Предпосылки!$D56),$E$10,Предпосылки!$D56),SUM($D131,$D174),0)</f>
        <v>0</v>
      </c>
      <c s="125">
        <f>IF(R$10=IF(ISBLANK(Предпосылки!$D56),$E$10,Предпосылки!$D56),SUM($D131,$D174),0)</f>
        <v>0</v>
      </c>
      <c s="125">
        <f>IF(S$10=IF(ISBLANK(Предпосылки!$D56),$E$10,Предпосылки!$D56),SUM($D131,$D174),0)</f>
        <v>0</v>
      </c>
      <c s="125">
        <f>IF(T$10=IF(ISBLANK(Предпосылки!$D56),$E$10,Предпосылки!$D56),SUM($D131,$D174),0)</f>
        <v>0</v>
      </c>
      <c s="125">
        <f>IF(U$10=IF(ISBLANK(Предпосылки!$D56),$E$10,Предпосылки!$D56),SUM($D131,$D174),0)</f>
        <v>0</v>
      </c>
      <c s="125">
        <f>IF(V$10=IF(ISBLANK(Предпосылки!$D56),$E$10,Предпосылки!$D56),SUM($D131,$D174),0)</f>
        <v>0</v>
      </c>
      <c s="125">
        <f>IF(W$10=IF(ISBLANK(Предпосылки!$D56),$E$10,Предпосылки!$D56),SUM($D131,$D174),0)</f>
        <v>0</v>
      </c>
      <c s="125">
        <f>IF(X$10=IF(ISBLANK(Предпосылки!$D56),$E$10,Предпосылки!$D56),SUM($D131,$D174),0)</f>
        <v>0</v>
      </c>
      <c s="125">
        <f>IF(Y$10=IF(ISBLANK(Предпосылки!$D56),$E$10,Предпосылки!$D56),SUM($D131,$D174),0)</f>
        <v>0</v>
      </c>
      <c s="125">
        <f>IF(Z$10=IF(ISBLANK(Предпосылки!$D56),$E$10,Предпосылки!$D56),SUM($D131,$D174),0)</f>
        <v>0</v>
      </c>
      <c s="125">
        <f>IF(AA$10=IF(ISBLANK(Предпосылки!$D56),$E$10,Предпосылки!$D56),SUM($D131,$D174),0)</f>
        <v>0</v>
      </c>
      <c s="125">
        <f>IF(AB$10=IF(ISBLANK(Предпосылки!$D56),$E$10,Предпосылки!$D56),SUM($D131,$D174),0)</f>
        <v>0</v>
      </c>
      <c s="125">
        <f>IF(AC$10=IF(ISBLANK(Предпосылки!$D56),$E$10,Предпосылки!$D56),SUM($D131,$D174),0)</f>
        <v>0</v>
      </c>
      <c s="125">
        <f>IF(AD$10=IF(ISBLANK(Предпосылки!$D56),$E$10,Предпосылки!$D56),SUM($D131,$D174),0)</f>
        <v>0</v>
      </c>
      <c s="125">
        <f>IF(AE$10=IF(ISBLANK(Предпосылки!$D56),$E$10,Предпосылки!$D56),SUM($D131,$D174),0)</f>
        <v>0</v>
      </c>
      <c s="125">
        <f>IF(AF$10=IF(ISBLANK(Предпосылки!$D56),$E$10,Предпосылки!$D56),SUM($D131,$D174),0)</f>
        <v>0</v>
      </c>
      <c s="125">
        <f>IF(AG$10=IF(ISBLANK(Предпосылки!$D56),$E$10,Предпосылки!$D56),SUM($D131,$D174),0)</f>
        <v>0</v>
      </c>
      <c s="125">
        <f>IF(AH$10=IF(ISBLANK(Предпосылки!$D56),$E$10,Предпосылки!$D56),SUM($D131,$D174),0)</f>
        <v>0</v>
      </c>
      <c s="125">
        <f>IF(AI$10=IF(ISBLANK(Предпосылки!$D56),$E$10,Предпосылки!$D56),SUM($D131,$D174),0)</f>
        <v>0</v>
      </c>
      <c s="125">
        <f>IF(AJ$10=IF(ISBLANK(Предпосылки!$D56),$E$10,Предпосылки!$D56),SUM($D131,$D174),0)</f>
        <v>0</v>
      </c>
      <c s="125">
        <f>IF(AK$10=IF(ISBLANK(Предпосылки!$D56),$E$10,Предпосылки!$D56),SUM($D131,$D174),0)</f>
        <v>0</v>
      </c>
      <c s="125">
        <f>IF(AL$10=IF(ISBLANK(Предпосылки!$D56),$E$10,Предпосылки!$D56),SUM($D131,$D174),0)</f>
        <v>0</v>
      </c>
      <c s="125">
        <f>IF(AM$10=IF(ISBLANK(Предпосылки!$D56),$E$10,Предпосылки!$D56),SUM($D131,$D174),0)</f>
        <v>0</v>
      </c>
      <c s="125">
        <f>IF(AN$10=IF(ISBLANK(Предпосылки!$D56),$E$10,Предпосылки!$D56),SUM($D131,$D174),0)</f>
        <v>0</v>
      </c>
      <c s="125">
        <f>IF(AO$10=IF(ISBLANK(Предпосылки!$D56),$E$10,Предпосылки!$D56),SUM($D131,$D174),0)</f>
        <v>0</v>
      </c>
      <c s="125">
        <f>IF(AP$10=IF(ISBLANK(Предпосылки!$D56),$E$10,Предпосылки!$D56),SUM($D131,$D174),0)</f>
        <v>0</v>
      </c>
      <c s="125">
        <f>IF(AQ$10=IF(ISBLANK(Предпосылки!$D56),$E$10,Предпосылки!$D56),SUM($D131,$D174),0)</f>
        <v>0</v>
      </c>
      <c s="125">
        <f>IF(AR$10=IF(ISBLANK(Предпосылки!$D56),$E$10,Предпосылки!$D56),SUM($D131,$D174),0)</f>
        <v>0</v>
      </c>
      <c s="125">
        <f>IF(AS$10=IF(ISBLANK(Предпосылки!$D56),$E$10,Предпосылки!$D56),SUM($D131,$D174),0)</f>
        <v>0</v>
      </c>
      <c s="125">
        <f>IF(AT$10=IF(ISBLANK(Предпосылки!$D56),$E$10,Предпосылки!$D56),SUM($D131,$D174),0)</f>
        <v>0</v>
      </c>
      <c s="125">
        <f>IF(AU$10=IF(ISBLANK(Предпосылки!$D56),$E$10,Предпосылки!$D56),SUM($D131,$D174),0)</f>
        <v>0</v>
      </c>
      <c s="125">
        <f>IF(AV$10=IF(ISBLANK(Предпосылки!$D56),$E$10,Предпосылки!$D56),SUM($D131,$D174),0)</f>
        <v>0</v>
      </c>
      <c s="125">
        <f>IF(AW$10=IF(ISBLANK(Предпосылки!$D56),$E$10,Предпосылки!$D56),SUM($D131,$D174),0)</f>
        <v>0</v>
      </c>
      <c s="125">
        <f>IF(AX$10=IF(ISBLANK(Предпосылки!$D56),$E$10,Предпосылки!$D56),SUM($D131,$D174),0)</f>
        <v>0</v>
      </c>
      <c s="125">
        <f>IF(AY$10=IF(ISBLANK(Предпосылки!$D56),$E$10,Предпосылки!$D56),SUM($D131,$D174),0)</f>
        <v>0</v>
      </c>
      <c s="125">
        <f>IF(AZ$10=IF(ISBLANK(Предпосылки!$D56),$E$10,Предпосылки!$D56),SUM($D131,$D174),0)</f>
        <v>0</v>
      </c>
      <c s="125">
        <f>IF(BA$10=IF(ISBLANK(Предпосылки!$D56),$E$10,Предпосылки!$D56),SUM($D131,$D174),0)</f>
        <v>0</v>
      </c>
      <c s="125">
        <f>IF(BB$10=IF(ISBLANK(Предпосылки!$D56),$E$10,Предпосылки!$D56),SUM($D131,$D174),0)</f>
        <v>0</v>
      </c>
      <c s="125">
        <f>IF(BC$10=IF(ISBLANK(Предпосылки!$D56),$E$10,Предпосылки!$D56),SUM($D131,$D174),0)</f>
        <v>0</v>
      </c>
      <c s="125">
        <f>IF(BD$10=IF(ISBLANK(Предпосылки!$D56),$E$10,Предпосылки!$D56),SUM($D131,$D174),0)</f>
        <v>0</v>
      </c>
      <c s="125">
        <f>IF(BE$10=IF(ISBLANK(Предпосылки!$D56),$E$10,Предпосылки!$D56),SUM($D131,$D174),0)</f>
        <v>0</v>
      </c>
      <c s="125">
        <f>IF(BF$10=IF(ISBLANK(Предпосылки!$D56),$E$10,Предпосылки!$D56),SUM($D131,$D174),0)</f>
        <v>0</v>
      </c>
      <c s="125">
        <f>IF(BG$10=IF(ISBLANK(Предпосылки!$D56),$E$10,Предпосылки!$D56),SUM($D131,$D174),0)</f>
        <v>0</v>
      </c>
      <c s="125">
        <f>IF(BH$10=IF(ISBLANK(Предпосылки!$D56),$E$10,Предпосылки!$D56),SUM($D131,$D174),0)</f>
        <v>0</v>
      </c>
      <c s="125">
        <f>IF(BI$10=IF(ISBLANK(Предпосылки!$D56),$E$10,Предпосылки!$D56),SUM($D131,$D174),0)</f>
        <v>0</v>
      </c>
      <c s="125">
        <f>IF(BJ$10=IF(ISBLANK(Предпосылки!$D56),$E$10,Предпосылки!$D56),SUM($D131,$D174),0)</f>
        <v>0</v>
      </c>
      <c s="125">
        <f>IF(BK$10=IF(ISBLANK(Предпосылки!$D56),$E$10,Предпосылки!$D56),SUM($D131,$D174),0)</f>
        <v>0</v>
      </c>
      <c s="125">
        <f>IF(BL$10=IF(ISBLANK(Предпосылки!$D56),$E$10,Предпосылки!$D56),SUM($D131,$D174),0)</f>
        <v>0</v>
      </c>
      <c s="125">
        <f>IF(BM$10=IF(ISBLANK(Предпосылки!$D56),$E$10,Предпосылки!$D56),SUM($D131,$D174),0)</f>
        <v>0</v>
      </c>
    </row>
    <row r="305" spans="2:65" ht="15" customHeight="1">
      <c r="B305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IF(E$10=IF(ISBLANK(Предпосылки!$D57),$E$10,Предпосылки!$D57),SUM($D132,$D175),0)</f>
        <v>0</v>
      </c>
      <c s="125">
        <f>IF(F$10=IF(ISBLANK(Предпосылки!$D57),$E$10,Предпосылки!$D57),SUM($D132,$D175),0)</f>
        <v>0</v>
      </c>
      <c s="125">
        <f>IF(G$10=IF(ISBLANK(Предпосылки!$D57),$E$10,Предпосылки!$D57),SUM($D132,$D175),0)</f>
        <v>0</v>
      </c>
      <c s="125">
        <f>IF(H$10=IF(ISBLANK(Предпосылки!$D57),$E$10,Предпосылки!$D57),SUM($D132,$D175),0)</f>
        <v>0</v>
      </c>
      <c s="125">
        <f>IF(I$10=IF(ISBLANK(Предпосылки!$D57),$E$10,Предпосылки!$D57),SUM($D132,$D175),0)</f>
        <v>0</v>
      </c>
      <c s="125">
        <f>IF(J$10=IF(ISBLANK(Предпосылки!$D57),$E$10,Предпосылки!$D57),SUM($D132,$D175),0)</f>
        <v>0</v>
      </c>
      <c s="125">
        <f>IF(K$10=IF(ISBLANK(Предпосылки!$D57),$E$10,Предпосылки!$D57),SUM($D132,$D175),0)</f>
        <v>0</v>
      </c>
      <c s="125">
        <f>IF(L$10=IF(ISBLANK(Предпосылки!$D57),$E$10,Предпосылки!$D57),SUM($D132,$D175),0)</f>
        <v>0</v>
      </c>
      <c s="125">
        <f>IF(M$10=IF(ISBLANK(Предпосылки!$D57),$E$10,Предпосылки!$D57),SUM($D132,$D175),0)</f>
        <v>0</v>
      </c>
      <c s="125">
        <f>IF(N$10=IF(ISBLANK(Предпосылки!$D57),$E$10,Предпосылки!$D57),SUM($D132,$D175),0)</f>
        <v>0</v>
      </c>
      <c s="125">
        <f>IF(O$10=IF(ISBLANK(Предпосылки!$D57),$E$10,Предпосылки!$D57),SUM($D132,$D175),0)</f>
        <v>0</v>
      </c>
      <c s="125">
        <f>IF(P$10=IF(ISBLANK(Предпосылки!$D57),$E$10,Предпосылки!$D57),SUM($D132,$D175),0)</f>
        <v>0</v>
      </c>
      <c s="125">
        <f>IF(Q$10=IF(ISBLANK(Предпосылки!$D57),$E$10,Предпосылки!$D57),SUM($D132,$D175),0)</f>
        <v>0</v>
      </c>
      <c s="125">
        <f>IF(R$10=IF(ISBLANK(Предпосылки!$D57),$E$10,Предпосылки!$D57),SUM($D132,$D175),0)</f>
        <v>0</v>
      </c>
      <c s="125">
        <f>IF(S$10=IF(ISBLANK(Предпосылки!$D57),$E$10,Предпосылки!$D57),SUM($D132,$D175),0)</f>
        <v>0</v>
      </c>
      <c s="125">
        <f>IF(T$10=IF(ISBLANK(Предпосылки!$D57),$E$10,Предпосылки!$D57),SUM($D132,$D175),0)</f>
        <v>0</v>
      </c>
      <c s="125">
        <f>IF(U$10=IF(ISBLANK(Предпосылки!$D57),$E$10,Предпосылки!$D57),SUM($D132,$D175),0)</f>
        <v>0</v>
      </c>
      <c s="125">
        <f>IF(V$10=IF(ISBLANK(Предпосылки!$D57),$E$10,Предпосылки!$D57),SUM($D132,$D175),0)</f>
        <v>0</v>
      </c>
      <c s="125">
        <f>IF(W$10=IF(ISBLANK(Предпосылки!$D57),$E$10,Предпосылки!$D57),SUM($D132,$D175),0)</f>
        <v>0</v>
      </c>
      <c s="125">
        <f>IF(X$10=IF(ISBLANK(Предпосылки!$D57),$E$10,Предпосылки!$D57),SUM($D132,$D175),0)</f>
        <v>0</v>
      </c>
      <c s="125">
        <f>IF(Y$10=IF(ISBLANK(Предпосылки!$D57),$E$10,Предпосылки!$D57),SUM($D132,$D175),0)</f>
        <v>0</v>
      </c>
      <c s="125">
        <f>IF(Z$10=IF(ISBLANK(Предпосылки!$D57),$E$10,Предпосылки!$D57),SUM($D132,$D175),0)</f>
        <v>0</v>
      </c>
      <c s="125">
        <f>IF(AA$10=IF(ISBLANK(Предпосылки!$D57),$E$10,Предпосылки!$D57),SUM($D132,$D175),0)</f>
        <v>0</v>
      </c>
      <c s="125">
        <f>IF(AB$10=IF(ISBLANK(Предпосылки!$D57),$E$10,Предпосылки!$D57),SUM($D132,$D175),0)</f>
        <v>0</v>
      </c>
      <c s="125">
        <f>IF(AC$10=IF(ISBLANK(Предпосылки!$D57),$E$10,Предпосылки!$D57),SUM($D132,$D175),0)</f>
        <v>0</v>
      </c>
      <c s="125">
        <f>IF(AD$10=IF(ISBLANK(Предпосылки!$D57),$E$10,Предпосылки!$D57),SUM($D132,$D175),0)</f>
        <v>0</v>
      </c>
      <c s="125">
        <f>IF(AE$10=IF(ISBLANK(Предпосылки!$D57),$E$10,Предпосылки!$D57),SUM($D132,$D175),0)</f>
        <v>0</v>
      </c>
      <c s="125">
        <f>IF(AF$10=IF(ISBLANK(Предпосылки!$D57),$E$10,Предпосылки!$D57),SUM($D132,$D175),0)</f>
        <v>0</v>
      </c>
      <c s="125">
        <f>IF(AG$10=IF(ISBLANK(Предпосылки!$D57),$E$10,Предпосылки!$D57),SUM($D132,$D175),0)</f>
        <v>0</v>
      </c>
      <c s="125">
        <f>IF(AH$10=IF(ISBLANK(Предпосылки!$D57),$E$10,Предпосылки!$D57),SUM($D132,$D175),0)</f>
        <v>0</v>
      </c>
      <c s="125">
        <f>IF(AI$10=IF(ISBLANK(Предпосылки!$D57),$E$10,Предпосылки!$D57),SUM($D132,$D175),0)</f>
        <v>0</v>
      </c>
      <c s="125">
        <f>IF(AJ$10=IF(ISBLANK(Предпосылки!$D57),$E$10,Предпосылки!$D57),SUM($D132,$D175),0)</f>
        <v>0</v>
      </c>
      <c s="125">
        <f>IF(AK$10=IF(ISBLANK(Предпосылки!$D57),$E$10,Предпосылки!$D57),SUM($D132,$D175),0)</f>
        <v>0</v>
      </c>
      <c s="125">
        <f>IF(AL$10=IF(ISBLANK(Предпосылки!$D57),$E$10,Предпосылки!$D57),SUM($D132,$D175),0)</f>
        <v>0</v>
      </c>
      <c s="125">
        <f>IF(AM$10=IF(ISBLANK(Предпосылки!$D57),$E$10,Предпосылки!$D57),SUM($D132,$D175),0)</f>
        <v>0</v>
      </c>
      <c s="125">
        <f>IF(AN$10=IF(ISBLANK(Предпосылки!$D57),$E$10,Предпосылки!$D57),SUM($D132,$D175),0)</f>
        <v>0</v>
      </c>
      <c s="125">
        <f>IF(AO$10=IF(ISBLANK(Предпосылки!$D57),$E$10,Предпосылки!$D57),SUM($D132,$D175),0)</f>
        <v>0</v>
      </c>
      <c s="125">
        <f>IF(AP$10=IF(ISBLANK(Предпосылки!$D57),$E$10,Предпосылки!$D57),SUM($D132,$D175),0)</f>
        <v>0</v>
      </c>
      <c s="125">
        <f>IF(AQ$10=IF(ISBLANK(Предпосылки!$D57),$E$10,Предпосылки!$D57),SUM($D132,$D175),0)</f>
        <v>0</v>
      </c>
      <c s="125">
        <f>IF(AR$10=IF(ISBLANK(Предпосылки!$D57),$E$10,Предпосылки!$D57),SUM($D132,$D175),0)</f>
        <v>0</v>
      </c>
      <c s="125">
        <f>IF(AS$10=IF(ISBLANK(Предпосылки!$D57),$E$10,Предпосылки!$D57),SUM($D132,$D175),0)</f>
        <v>0</v>
      </c>
      <c s="125">
        <f>IF(AT$10=IF(ISBLANK(Предпосылки!$D57),$E$10,Предпосылки!$D57),SUM($D132,$D175),0)</f>
        <v>0</v>
      </c>
      <c s="125">
        <f>IF(AU$10=IF(ISBLANK(Предпосылки!$D57),$E$10,Предпосылки!$D57),SUM($D132,$D175),0)</f>
        <v>0</v>
      </c>
      <c s="125">
        <f>IF(AV$10=IF(ISBLANK(Предпосылки!$D57),$E$10,Предпосылки!$D57),SUM($D132,$D175),0)</f>
        <v>0</v>
      </c>
      <c s="125">
        <f>IF(AW$10=IF(ISBLANK(Предпосылки!$D57),$E$10,Предпосылки!$D57),SUM($D132,$D175),0)</f>
        <v>0</v>
      </c>
      <c s="125">
        <f>IF(AX$10=IF(ISBLANK(Предпосылки!$D57),$E$10,Предпосылки!$D57),SUM($D132,$D175),0)</f>
        <v>0</v>
      </c>
      <c s="125">
        <f>IF(AY$10=IF(ISBLANK(Предпосылки!$D57),$E$10,Предпосылки!$D57),SUM($D132,$D175),0)</f>
        <v>0</v>
      </c>
      <c s="125">
        <f>IF(AZ$10=IF(ISBLANK(Предпосылки!$D57),$E$10,Предпосылки!$D57),SUM($D132,$D175),0)</f>
        <v>0</v>
      </c>
      <c s="125">
        <f>IF(BA$10=IF(ISBLANK(Предпосылки!$D57),$E$10,Предпосылки!$D57),SUM($D132,$D175),0)</f>
        <v>0</v>
      </c>
      <c s="125">
        <f>IF(BB$10=IF(ISBLANK(Предпосылки!$D57),$E$10,Предпосылки!$D57),SUM($D132,$D175),0)</f>
        <v>0</v>
      </c>
      <c s="125">
        <f>IF(BC$10=IF(ISBLANK(Предпосылки!$D57),$E$10,Предпосылки!$D57),SUM($D132,$D175),0)</f>
        <v>0</v>
      </c>
      <c s="125">
        <f>IF(BD$10=IF(ISBLANK(Предпосылки!$D57),$E$10,Предпосылки!$D57),SUM($D132,$D175),0)</f>
        <v>0</v>
      </c>
      <c s="125">
        <f>IF(BE$10=IF(ISBLANK(Предпосылки!$D57),$E$10,Предпосылки!$D57),SUM($D132,$D175),0)</f>
        <v>0</v>
      </c>
      <c s="125">
        <f>IF(BF$10=IF(ISBLANK(Предпосылки!$D57),$E$10,Предпосылки!$D57),SUM($D132,$D175),0)</f>
        <v>0</v>
      </c>
      <c s="125">
        <f>IF(BG$10=IF(ISBLANK(Предпосылки!$D57),$E$10,Предпосылки!$D57),SUM($D132,$D175),0)</f>
        <v>0</v>
      </c>
      <c s="125">
        <f>IF(BH$10=IF(ISBLANK(Предпосылки!$D57),$E$10,Предпосылки!$D57),SUM($D132,$D175),0)</f>
        <v>0</v>
      </c>
      <c s="125">
        <f>IF(BI$10=IF(ISBLANK(Предпосылки!$D57),$E$10,Предпосылки!$D57),SUM($D132,$D175),0)</f>
        <v>0</v>
      </c>
      <c s="125">
        <f>IF(BJ$10=IF(ISBLANK(Предпосылки!$D57),$E$10,Предпосылки!$D57),SUM($D132,$D175),0)</f>
        <v>0</v>
      </c>
      <c s="125">
        <f>IF(BK$10=IF(ISBLANK(Предпосылки!$D57),$E$10,Предпосылки!$D57),SUM($D132,$D175),0)</f>
        <v>0</v>
      </c>
      <c s="125">
        <f>IF(BL$10=IF(ISBLANK(Предпосылки!$D57),$E$10,Предпосылки!$D57),SUM($D132,$D175),0)</f>
        <v>0</v>
      </c>
      <c s="125">
        <f>IF(BM$10=IF(ISBLANK(Предпосылки!$D57),$E$10,Предпосылки!$D57),SUM($D132,$D175),0)</f>
        <v>0</v>
      </c>
    </row>
    <row r="306" spans="2:65" ht="15" customHeight="1">
      <c r="B306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IF(E$10=IF(ISBLANK(Предпосылки!$D58),$E$10,Предпосылки!$D58),SUM($D133,$D176),0)</f>
        <v>0</v>
      </c>
      <c s="125">
        <f>IF(F$10=IF(ISBLANK(Предпосылки!$D58),$E$10,Предпосылки!$D58),SUM($D133,$D176),0)</f>
        <v>0</v>
      </c>
      <c s="125">
        <f>IF(G$10=IF(ISBLANK(Предпосылки!$D58),$E$10,Предпосылки!$D58),SUM($D133,$D176),0)</f>
        <v>0</v>
      </c>
      <c s="125">
        <f>IF(H$10=IF(ISBLANK(Предпосылки!$D58),$E$10,Предпосылки!$D58),SUM($D133,$D176),0)</f>
        <v>0</v>
      </c>
      <c s="125">
        <f>IF(I$10=IF(ISBLANK(Предпосылки!$D58),$E$10,Предпосылки!$D58),SUM($D133,$D176),0)</f>
        <v>0</v>
      </c>
      <c s="125">
        <f>IF(J$10=IF(ISBLANK(Предпосылки!$D58),$E$10,Предпосылки!$D58),SUM($D133,$D176),0)</f>
        <v>0</v>
      </c>
      <c s="125">
        <f>IF(K$10=IF(ISBLANK(Предпосылки!$D58),$E$10,Предпосылки!$D58),SUM($D133,$D176),0)</f>
        <v>0</v>
      </c>
      <c s="125">
        <f>IF(L$10=IF(ISBLANK(Предпосылки!$D58),$E$10,Предпосылки!$D58),SUM($D133,$D176),0)</f>
        <v>0</v>
      </c>
      <c s="125">
        <f>IF(M$10=IF(ISBLANK(Предпосылки!$D58),$E$10,Предпосылки!$D58),SUM($D133,$D176),0)</f>
        <v>0</v>
      </c>
      <c s="125">
        <f>IF(N$10=IF(ISBLANK(Предпосылки!$D58),$E$10,Предпосылки!$D58),SUM($D133,$D176),0)</f>
        <v>0</v>
      </c>
      <c s="125">
        <f>IF(O$10=IF(ISBLANK(Предпосылки!$D58),$E$10,Предпосылки!$D58),SUM($D133,$D176),0)</f>
        <v>0</v>
      </c>
      <c s="125">
        <f>IF(P$10=IF(ISBLANK(Предпосылки!$D58),$E$10,Предпосылки!$D58),SUM($D133,$D176),0)</f>
        <v>0</v>
      </c>
      <c s="125">
        <f>IF(Q$10=IF(ISBLANK(Предпосылки!$D58),$E$10,Предпосылки!$D58),SUM($D133,$D176),0)</f>
        <v>0</v>
      </c>
      <c s="125">
        <f>IF(R$10=IF(ISBLANK(Предпосылки!$D58),$E$10,Предпосылки!$D58),SUM($D133,$D176),0)</f>
        <v>0</v>
      </c>
      <c s="125">
        <f>IF(S$10=IF(ISBLANK(Предпосылки!$D58),$E$10,Предпосылки!$D58),SUM($D133,$D176),0)</f>
        <v>0</v>
      </c>
      <c s="125">
        <f>IF(T$10=IF(ISBLANK(Предпосылки!$D58),$E$10,Предпосылки!$D58),SUM($D133,$D176),0)</f>
        <v>0</v>
      </c>
      <c s="125">
        <f>IF(U$10=IF(ISBLANK(Предпосылки!$D58),$E$10,Предпосылки!$D58),SUM($D133,$D176),0)</f>
        <v>0</v>
      </c>
      <c s="125">
        <f>IF(V$10=IF(ISBLANK(Предпосылки!$D58),$E$10,Предпосылки!$D58),SUM($D133,$D176),0)</f>
        <v>0</v>
      </c>
      <c s="125">
        <f>IF(W$10=IF(ISBLANK(Предпосылки!$D58),$E$10,Предпосылки!$D58),SUM($D133,$D176),0)</f>
        <v>0</v>
      </c>
      <c s="125">
        <f>IF(X$10=IF(ISBLANK(Предпосылки!$D58),$E$10,Предпосылки!$D58),SUM($D133,$D176),0)</f>
        <v>0</v>
      </c>
      <c s="125">
        <f>IF(Y$10=IF(ISBLANK(Предпосылки!$D58),$E$10,Предпосылки!$D58),SUM($D133,$D176),0)</f>
        <v>0</v>
      </c>
      <c s="125">
        <f>IF(Z$10=IF(ISBLANK(Предпосылки!$D58),$E$10,Предпосылки!$D58),SUM($D133,$D176),0)</f>
        <v>0</v>
      </c>
      <c s="125">
        <f>IF(AA$10=IF(ISBLANK(Предпосылки!$D58),$E$10,Предпосылки!$D58),SUM($D133,$D176),0)</f>
        <v>0</v>
      </c>
      <c s="125">
        <f>IF(AB$10=IF(ISBLANK(Предпосылки!$D58),$E$10,Предпосылки!$D58),SUM($D133,$D176),0)</f>
        <v>0</v>
      </c>
      <c s="125">
        <f>IF(AC$10=IF(ISBLANK(Предпосылки!$D58),$E$10,Предпосылки!$D58),SUM($D133,$D176),0)</f>
        <v>0</v>
      </c>
      <c s="125">
        <f>IF(AD$10=IF(ISBLANK(Предпосылки!$D58),$E$10,Предпосылки!$D58),SUM($D133,$D176),0)</f>
        <v>0</v>
      </c>
      <c s="125">
        <f>IF(AE$10=IF(ISBLANK(Предпосылки!$D58),$E$10,Предпосылки!$D58),SUM($D133,$D176),0)</f>
        <v>0</v>
      </c>
      <c s="125">
        <f>IF(AF$10=IF(ISBLANK(Предпосылки!$D58),$E$10,Предпосылки!$D58),SUM($D133,$D176),0)</f>
        <v>0</v>
      </c>
      <c s="125">
        <f>IF(AG$10=IF(ISBLANK(Предпосылки!$D58),$E$10,Предпосылки!$D58),SUM($D133,$D176),0)</f>
        <v>0</v>
      </c>
      <c s="125">
        <f>IF(AH$10=IF(ISBLANK(Предпосылки!$D58),$E$10,Предпосылки!$D58),SUM($D133,$D176),0)</f>
        <v>0</v>
      </c>
      <c s="125">
        <f>IF(AI$10=IF(ISBLANK(Предпосылки!$D58),$E$10,Предпосылки!$D58),SUM($D133,$D176),0)</f>
        <v>0</v>
      </c>
      <c s="125">
        <f>IF(AJ$10=IF(ISBLANK(Предпосылки!$D58),$E$10,Предпосылки!$D58),SUM($D133,$D176),0)</f>
        <v>0</v>
      </c>
      <c s="125">
        <f>IF(AK$10=IF(ISBLANK(Предпосылки!$D58),$E$10,Предпосылки!$D58),SUM($D133,$D176),0)</f>
        <v>0</v>
      </c>
      <c s="125">
        <f>IF(AL$10=IF(ISBLANK(Предпосылки!$D58),$E$10,Предпосылки!$D58),SUM($D133,$D176),0)</f>
        <v>0</v>
      </c>
      <c s="125">
        <f>IF(AM$10=IF(ISBLANK(Предпосылки!$D58),$E$10,Предпосылки!$D58),SUM($D133,$D176),0)</f>
        <v>0</v>
      </c>
      <c s="125">
        <f>IF(AN$10=IF(ISBLANK(Предпосылки!$D58),$E$10,Предпосылки!$D58),SUM($D133,$D176),0)</f>
        <v>0</v>
      </c>
      <c s="125">
        <f>IF(AO$10=IF(ISBLANK(Предпосылки!$D58),$E$10,Предпосылки!$D58),SUM($D133,$D176),0)</f>
        <v>0</v>
      </c>
      <c s="125">
        <f>IF(AP$10=IF(ISBLANK(Предпосылки!$D58),$E$10,Предпосылки!$D58),SUM($D133,$D176),0)</f>
        <v>0</v>
      </c>
      <c s="125">
        <f>IF(AQ$10=IF(ISBLANK(Предпосылки!$D58),$E$10,Предпосылки!$D58),SUM($D133,$D176),0)</f>
        <v>0</v>
      </c>
      <c s="125">
        <f>IF(AR$10=IF(ISBLANK(Предпосылки!$D58),$E$10,Предпосылки!$D58),SUM($D133,$D176),0)</f>
        <v>0</v>
      </c>
      <c s="125">
        <f>IF(AS$10=IF(ISBLANK(Предпосылки!$D58),$E$10,Предпосылки!$D58),SUM($D133,$D176),0)</f>
        <v>0</v>
      </c>
      <c s="125">
        <f>IF(AT$10=IF(ISBLANK(Предпосылки!$D58),$E$10,Предпосылки!$D58),SUM($D133,$D176),0)</f>
        <v>0</v>
      </c>
      <c s="125">
        <f>IF(AU$10=IF(ISBLANK(Предпосылки!$D58),$E$10,Предпосылки!$D58),SUM($D133,$D176),0)</f>
        <v>0</v>
      </c>
      <c s="125">
        <f>IF(AV$10=IF(ISBLANK(Предпосылки!$D58),$E$10,Предпосылки!$D58),SUM($D133,$D176),0)</f>
        <v>0</v>
      </c>
      <c s="125">
        <f>IF(AW$10=IF(ISBLANK(Предпосылки!$D58),$E$10,Предпосылки!$D58),SUM($D133,$D176),0)</f>
        <v>0</v>
      </c>
      <c s="125">
        <f>IF(AX$10=IF(ISBLANK(Предпосылки!$D58),$E$10,Предпосылки!$D58),SUM($D133,$D176),0)</f>
        <v>0</v>
      </c>
      <c s="125">
        <f>IF(AY$10=IF(ISBLANK(Предпосылки!$D58),$E$10,Предпосылки!$D58),SUM($D133,$D176),0)</f>
        <v>0</v>
      </c>
      <c s="125">
        <f>IF(AZ$10=IF(ISBLANK(Предпосылки!$D58),$E$10,Предпосылки!$D58),SUM($D133,$D176),0)</f>
        <v>0</v>
      </c>
      <c s="125">
        <f>IF(BA$10=IF(ISBLANK(Предпосылки!$D58),$E$10,Предпосылки!$D58),SUM($D133,$D176),0)</f>
        <v>0</v>
      </c>
      <c s="125">
        <f>IF(BB$10=IF(ISBLANK(Предпосылки!$D58),$E$10,Предпосылки!$D58),SUM($D133,$D176),0)</f>
        <v>0</v>
      </c>
      <c s="125">
        <f>IF(BC$10=IF(ISBLANK(Предпосылки!$D58),$E$10,Предпосылки!$D58),SUM($D133,$D176),0)</f>
        <v>0</v>
      </c>
      <c s="125">
        <f>IF(BD$10=IF(ISBLANK(Предпосылки!$D58),$E$10,Предпосылки!$D58),SUM($D133,$D176),0)</f>
        <v>0</v>
      </c>
      <c s="125">
        <f>IF(BE$10=IF(ISBLANK(Предпосылки!$D58),$E$10,Предпосылки!$D58),SUM($D133,$D176),0)</f>
        <v>0</v>
      </c>
      <c s="125">
        <f>IF(BF$10=IF(ISBLANK(Предпосылки!$D58),$E$10,Предпосылки!$D58),SUM($D133,$D176),0)</f>
        <v>0</v>
      </c>
      <c s="125">
        <f>IF(BG$10=IF(ISBLANK(Предпосылки!$D58),$E$10,Предпосылки!$D58),SUM($D133,$D176),0)</f>
        <v>0</v>
      </c>
      <c s="125">
        <f>IF(BH$10=IF(ISBLANK(Предпосылки!$D58),$E$10,Предпосылки!$D58),SUM($D133,$D176),0)</f>
        <v>0</v>
      </c>
      <c s="125">
        <f>IF(BI$10=IF(ISBLANK(Предпосылки!$D58),$E$10,Предпосылки!$D58),SUM($D133,$D176),0)</f>
        <v>0</v>
      </c>
      <c s="125">
        <f>IF(BJ$10=IF(ISBLANK(Предпосылки!$D58),$E$10,Предпосылки!$D58),SUM($D133,$D176),0)</f>
        <v>0</v>
      </c>
      <c s="125">
        <f>IF(BK$10=IF(ISBLANK(Предпосылки!$D58),$E$10,Предпосылки!$D58),SUM($D133,$D176),0)</f>
        <v>0</v>
      </c>
      <c s="125">
        <f>IF(BL$10=IF(ISBLANK(Предпосылки!$D58),$E$10,Предпосылки!$D58),SUM($D133,$D176),0)</f>
        <v>0</v>
      </c>
      <c s="125">
        <f>IF(BM$10=IF(ISBLANK(Предпосылки!$D58),$E$10,Предпосылки!$D58),SUM($D133,$D176),0)</f>
        <v>0</v>
      </c>
    </row>
    <row r="307" spans="2:65" ht="15" customHeight="1">
      <c r="B307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IF(E$10=IF(ISBLANK(Предпосылки!$D59),$E$10,Предпосылки!$D59),SUM($D134,$D177),0)</f>
        <v>0</v>
      </c>
      <c s="125">
        <f>IF(F$10=IF(ISBLANK(Предпосылки!$D59),$E$10,Предпосылки!$D59),SUM($D134,$D177),0)</f>
        <v>0</v>
      </c>
      <c s="125">
        <f>IF(G$10=IF(ISBLANK(Предпосылки!$D59),$E$10,Предпосылки!$D59),SUM($D134,$D177),0)</f>
        <v>0</v>
      </c>
      <c s="125">
        <f>IF(H$10=IF(ISBLANK(Предпосылки!$D59),$E$10,Предпосылки!$D59),SUM($D134,$D177),0)</f>
        <v>0</v>
      </c>
      <c s="125">
        <f>IF(I$10=IF(ISBLANK(Предпосылки!$D59),$E$10,Предпосылки!$D59),SUM($D134,$D177),0)</f>
        <v>0</v>
      </c>
      <c s="125">
        <f>IF(J$10=IF(ISBLANK(Предпосылки!$D59),$E$10,Предпосылки!$D59),SUM($D134,$D177),0)</f>
        <v>0</v>
      </c>
      <c s="125">
        <f>IF(K$10=IF(ISBLANK(Предпосылки!$D59),$E$10,Предпосылки!$D59),SUM($D134,$D177),0)</f>
        <v>0</v>
      </c>
      <c s="125">
        <f>IF(L$10=IF(ISBLANK(Предпосылки!$D59),$E$10,Предпосылки!$D59),SUM($D134,$D177),0)</f>
        <v>0</v>
      </c>
      <c s="125">
        <f>IF(M$10=IF(ISBLANK(Предпосылки!$D59),$E$10,Предпосылки!$D59),SUM($D134,$D177),0)</f>
        <v>0</v>
      </c>
      <c s="125">
        <f>IF(N$10=IF(ISBLANK(Предпосылки!$D59),$E$10,Предпосылки!$D59),SUM($D134,$D177),0)</f>
        <v>0</v>
      </c>
      <c s="125">
        <f>IF(O$10=IF(ISBLANK(Предпосылки!$D59),$E$10,Предпосылки!$D59),SUM($D134,$D177),0)</f>
        <v>0</v>
      </c>
      <c s="125">
        <f>IF(P$10=IF(ISBLANK(Предпосылки!$D59),$E$10,Предпосылки!$D59),SUM($D134,$D177),0)</f>
        <v>0</v>
      </c>
      <c s="125">
        <f>IF(Q$10=IF(ISBLANK(Предпосылки!$D59),$E$10,Предпосылки!$D59),SUM($D134,$D177),0)</f>
        <v>0</v>
      </c>
      <c s="125">
        <f>IF(R$10=IF(ISBLANK(Предпосылки!$D59),$E$10,Предпосылки!$D59),SUM($D134,$D177),0)</f>
        <v>0</v>
      </c>
      <c s="125">
        <f>IF(S$10=IF(ISBLANK(Предпосылки!$D59),$E$10,Предпосылки!$D59),SUM($D134,$D177),0)</f>
        <v>0</v>
      </c>
      <c s="125">
        <f>IF(T$10=IF(ISBLANK(Предпосылки!$D59),$E$10,Предпосылки!$D59),SUM($D134,$D177),0)</f>
        <v>0</v>
      </c>
      <c s="125">
        <f>IF(U$10=IF(ISBLANK(Предпосылки!$D59),$E$10,Предпосылки!$D59),SUM($D134,$D177),0)</f>
        <v>0</v>
      </c>
      <c s="125">
        <f>IF(V$10=IF(ISBLANK(Предпосылки!$D59),$E$10,Предпосылки!$D59),SUM($D134,$D177),0)</f>
        <v>0</v>
      </c>
      <c s="125">
        <f>IF(W$10=IF(ISBLANK(Предпосылки!$D59),$E$10,Предпосылки!$D59),SUM($D134,$D177),0)</f>
        <v>0</v>
      </c>
      <c s="125">
        <f>IF(X$10=IF(ISBLANK(Предпосылки!$D59),$E$10,Предпосылки!$D59),SUM($D134,$D177),0)</f>
        <v>0</v>
      </c>
      <c s="125">
        <f>IF(Y$10=IF(ISBLANK(Предпосылки!$D59),$E$10,Предпосылки!$D59),SUM($D134,$D177),0)</f>
        <v>0</v>
      </c>
      <c s="125">
        <f>IF(Z$10=IF(ISBLANK(Предпосылки!$D59),$E$10,Предпосылки!$D59),SUM($D134,$D177),0)</f>
        <v>0</v>
      </c>
      <c s="125">
        <f>IF(AA$10=IF(ISBLANK(Предпосылки!$D59),$E$10,Предпосылки!$D59),SUM($D134,$D177),0)</f>
        <v>0</v>
      </c>
      <c s="125">
        <f>IF(AB$10=IF(ISBLANK(Предпосылки!$D59),$E$10,Предпосылки!$D59),SUM($D134,$D177),0)</f>
        <v>0</v>
      </c>
      <c s="125">
        <f>IF(AC$10=IF(ISBLANK(Предпосылки!$D59),$E$10,Предпосылки!$D59),SUM($D134,$D177),0)</f>
        <v>0</v>
      </c>
      <c s="125">
        <f>IF(AD$10=IF(ISBLANK(Предпосылки!$D59),$E$10,Предпосылки!$D59),SUM($D134,$D177),0)</f>
        <v>0</v>
      </c>
      <c s="125">
        <f>IF(AE$10=IF(ISBLANK(Предпосылки!$D59),$E$10,Предпосылки!$D59),SUM($D134,$D177),0)</f>
        <v>0</v>
      </c>
      <c s="125">
        <f>IF(AF$10=IF(ISBLANK(Предпосылки!$D59),$E$10,Предпосылки!$D59),SUM($D134,$D177),0)</f>
        <v>0</v>
      </c>
      <c s="125">
        <f>IF(AG$10=IF(ISBLANK(Предпосылки!$D59),$E$10,Предпосылки!$D59),SUM($D134,$D177),0)</f>
        <v>0</v>
      </c>
      <c s="125">
        <f>IF(AH$10=IF(ISBLANK(Предпосылки!$D59),$E$10,Предпосылки!$D59),SUM($D134,$D177),0)</f>
        <v>0</v>
      </c>
      <c s="125">
        <f>IF(AI$10=IF(ISBLANK(Предпосылки!$D59),$E$10,Предпосылки!$D59),SUM($D134,$D177),0)</f>
        <v>0</v>
      </c>
      <c s="125">
        <f>IF(AJ$10=IF(ISBLANK(Предпосылки!$D59),$E$10,Предпосылки!$D59),SUM($D134,$D177),0)</f>
        <v>0</v>
      </c>
      <c s="125">
        <f>IF(AK$10=IF(ISBLANK(Предпосылки!$D59),$E$10,Предпосылки!$D59),SUM($D134,$D177),0)</f>
        <v>0</v>
      </c>
      <c s="125">
        <f>IF(AL$10=IF(ISBLANK(Предпосылки!$D59),$E$10,Предпосылки!$D59),SUM($D134,$D177),0)</f>
        <v>0</v>
      </c>
      <c s="125">
        <f>IF(AM$10=IF(ISBLANK(Предпосылки!$D59),$E$10,Предпосылки!$D59),SUM($D134,$D177),0)</f>
        <v>0</v>
      </c>
      <c s="125">
        <f>IF(AN$10=IF(ISBLANK(Предпосылки!$D59),$E$10,Предпосылки!$D59),SUM($D134,$D177),0)</f>
        <v>0</v>
      </c>
      <c s="125">
        <f>IF(AO$10=IF(ISBLANK(Предпосылки!$D59),$E$10,Предпосылки!$D59),SUM($D134,$D177),0)</f>
        <v>0</v>
      </c>
      <c s="125">
        <f>IF(AP$10=IF(ISBLANK(Предпосылки!$D59),$E$10,Предпосылки!$D59),SUM($D134,$D177),0)</f>
        <v>0</v>
      </c>
      <c s="125">
        <f>IF(AQ$10=IF(ISBLANK(Предпосылки!$D59),$E$10,Предпосылки!$D59),SUM($D134,$D177),0)</f>
        <v>0</v>
      </c>
      <c s="125">
        <f>IF(AR$10=IF(ISBLANK(Предпосылки!$D59),$E$10,Предпосылки!$D59),SUM($D134,$D177),0)</f>
        <v>0</v>
      </c>
      <c s="125">
        <f>IF(AS$10=IF(ISBLANK(Предпосылки!$D59),$E$10,Предпосылки!$D59),SUM($D134,$D177),0)</f>
        <v>0</v>
      </c>
      <c s="125">
        <f>IF(AT$10=IF(ISBLANK(Предпосылки!$D59),$E$10,Предпосылки!$D59),SUM($D134,$D177),0)</f>
        <v>0</v>
      </c>
      <c s="125">
        <f>IF(AU$10=IF(ISBLANK(Предпосылки!$D59),$E$10,Предпосылки!$D59),SUM($D134,$D177),0)</f>
        <v>0</v>
      </c>
      <c s="125">
        <f>IF(AV$10=IF(ISBLANK(Предпосылки!$D59),$E$10,Предпосылки!$D59),SUM($D134,$D177),0)</f>
        <v>0</v>
      </c>
      <c s="125">
        <f>IF(AW$10=IF(ISBLANK(Предпосылки!$D59),$E$10,Предпосылки!$D59),SUM($D134,$D177),0)</f>
        <v>0</v>
      </c>
      <c s="125">
        <f>IF(AX$10=IF(ISBLANK(Предпосылки!$D59),$E$10,Предпосылки!$D59),SUM($D134,$D177),0)</f>
        <v>0</v>
      </c>
      <c s="125">
        <f>IF(AY$10=IF(ISBLANK(Предпосылки!$D59),$E$10,Предпосылки!$D59),SUM($D134,$D177),0)</f>
        <v>0</v>
      </c>
      <c s="125">
        <f>IF(AZ$10=IF(ISBLANK(Предпосылки!$D59),$E$10,Предпосылки!$D59),SUM($D134,$D177),0)</f>
        <v>0</v>
      </c>
      <c s="125">
        <f>IF(BA$10=IF(ISBLANK(Предпосылки!$D59),$E$10,Предпосылки!$D59),SUM($D134,$D177),0)</f>
        <v>0</v>
      </c>
      <c s="125">
        <f>IF(BB$10=IF(ISBLANK(Предпосылки!$D59),$E$10,Предпосылки!$D59),SUM($D134,$D177),0)</f>
        <v>0</v>
      </c>
      <c s="125">
        <f>IF(BC$10=IF(ISBLANK(Предпосылки!$D59),$E$10,Предпосылки!$D59),SUM($D134,$D177),0)</f>
        <v>0</v>
      </c>
      <c s="125">
        <f>IF(BD$10=IF(ISBLANK(Предпосылки!$D59),$E$10,Предпосылки!$D59),SUM($D134,$D177),0)</f>
        <v>0</v>
      </c>
      <c s="125">
        <f>IF(BE$10=IF(ISBLANK(Предпосылки!$D59),$E$10,Предпосылки!$D59),SUM($D134,$D177),0)</f>
        <v>0</v>
      </c>
      <c s="125">
        <f>IF(BF$10=IF(ISBLANK(Предпосылки!$D59),$E$10,Предпосылки!$D59),SUM($D134,$D177),0)</f>
        <v>0</v>
      </c>
      <c s="125">
        <f>IF(BG$10=IF(ISBLANK(Предпосылки!$D59),$E$10,Предпосылки!$D59),SUM($D134,$D177),0)</f>
        <v>0</v>
      </c>
      <c s="125">
        <f>IF(BH$10=IF(ISBLANK(Предпосылки!$D59),$E$10,Предпосылки!$D59),SUM($D134,$D177),0)</f>
        <v>0</v>
      </c>
      <c s="125">
        <f>IF(BI$10=IF(ISBLANK(Предпосылки!$D59),$E$10,Предпосылки!$D59),SUM($D134,$D177),0)</f>
        <v>0</v>
      </c>
      <c s="125">
        <f>IF(BJ$10=IF(ISBLANK(Предпосылки!$D59),$E$10,Предпосылки!$D59),SUM($D134,$D177),0)</f>
        <v>0</v>
      </c>
      <c s="125">
        <f>IF(BK$10=IF(ISBLANK(Предпосылки!$D59),$E$10,Предпосылки!$D59),SUM($D134,$D177),0)</f>
        <v>0</v>
      </c>
      <c s="125">
        <f>IF(BL$10=IF(ISBLANK(Предпосылки!$D59),$E$10,Предпосылки!$D59),SUM($D134,$D177),0)</f>
        <v>0</v>
      </c>
      <c s="125">
        <f>IF(BM$10=IF(ISBLANK(Предпосылки!$D59),$E$10,Предпосылки!$D59),SUM($D134,$D177),0)</f>
        <v>0</v>
      </c>
    </row>
    <row r="308" spans="2:65" ht="15" customHeight="1">
      <c r="B308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IF(E$10=IF(ISBLANK(Предпосылки!$D60),$E$10,Предпосылки!$D60),SUM($D135,$D178),0)</f>
        <v>0</v>
      </c>
      <c s="125">
        <f>IF(F$10=IF(ISBLANK(Предпосылки!$D60),$E$10,Предпосылки!$D60),SUM($D135,$D178),0)</f>
        <v>0</v>
      </c>
      <c s="125">
        <f>IF(G$10=IF(ISBLANK(Предпосылки!$D60),$E$10,Предпосылки!$D60),SUM($D135,$D178),0)</f>
        <v>0</v>
      </c>
      <c s="125">
        <f>IF(H$10=IF(ISBLANK(Предпосылки!$D60),$E$10,Предпосылки!$D60),SUM($D135,$D178),0)</f>
        <v>0</v>
      </c>
      <c s="125">
        <f>IF(I$10=IF(ISBLANK(Предпосылки!$D60),$E$10,Предпосылки!$D60),SUM($D135,$D178),0)</f>
        <v>0</v>
      </c>
      <c s="125">
        <f>IF(J$10=IF(ISBLANK(Предпосылки!$D60),$E$10,Предпосылки!$D60),SUM($D135,$D178),0)</f>
        <v>0</v>
      </c>
      <c s="125">
        <f>IF(K$10=IF(ISBLANK(Предпосылки!$D60),$E$10,Предпосылки!$D60),SUM($D135,$D178),0)</f>
        <v>0</v>
      </c>
      <c s="125">
        <f>IF(L$10=IF(ISBLANK(Предпосылки!$D60),$E$10,Предпосылки!$D60),SUM($D135,$D178),0)</f>
        <v>0</v>
      </c>
      <c s="125">
        <f>IF(M$10=IF(ISBLANK(Предпосылки!$D60),$E$10,Предпосылки!$D60),SUM($D135,$D178),0)</f>
        <v>0</v>
      </c>
      <c s="125">
        <f>IF(N$10=IF(ISBLANK(Предпосылки!$D60),$E$10,Предпосылки!$D60),SUM($D135,$D178),0)</f>
        <v>0</v>
      </c>
      <c s="125">
        <f>IF(O$10=IF(ISBLANK(Предпосылки!$D60),$E$10,Предпосылки!$D60),SUM($D135,$D178),0)</f>
        <v>0</v>
      </c>
      <c s="125">
        <f>IF(P$10=IF(ISBLANK(Предпосылки!$D60),$E$10,Предпосылки!$D60),SUM($D135,$D178),0)</f>
        <v>0</v>
      </c>
      <c s="125">
        <f>IF(Q$10=IF(ISBLANK(Предпосылки!$D60),$E$10,Предпосылки!$D60),SUM($D135,$D178),0)</f>
        <v>0</v>
      </c>
      <c s="125">
        <f>IF(R$10=IF(ISBLANK(Предпосылки!$D60),$E$10,Предпосылки!$D60),SUM($D135,$D178),0)</f>
        <v>0</v>
      </c>
      <c s="125">
        <f>IF(S$10=IF(ISBLANK(Предпосылки!$D60),$E$10,Предпосылки!$D60),SUM($D135,$D178),0)</f>
        <v>0</v>
      </c>
      <c s="125">
        <f>IF(T$10=IF(ISBLANK(Предпосылки!$D60),$E$10,Предпосылки!$D60),SUM($D135,$D178),0)</f>
        <v>0</v>
      </c>
      <c s="125">
        <f>IF(U$10=IF(ISBLANK(Предпосылки!$D60),$E$10,Предпосылки!$D60),SUM($D135,$D178),0)</f>
        <v>0</v>
      </c>
      <c s="125">
        <f>IF(V$10=IF(ISBLANK(Предпосылки!$D60),$E$10,Предпосылки!$D60),SUM($D135,$D178),0)</f>
        <v>0</v>
      </c>
      <c s="125">
        <f>IF(W$10=IF(ISBLANK(Предпосылки!$D60),$E$10,Предпосылки!$D60),SUM($D135,$D178),0)</f>
        <v>0</v>
      </c>
      <c s="125">
        <f>IF(X$10=IF(ISBLANK(Предпосылки!$D60),$E$10,Предпосылки!$D60),SUM($D135,$D178),0)</f>
        <v>0</v>
      </c>
      <c s="125">
        <f>IF(Y$10=IF(ISBLANK(Предпосылки!$D60),$E$10,Предпосылки!$D60),SUM($D135,$D178),0)</f>
        <v>0</v>
      </c>
      <c s="125">
        <f>IF(Z$10=IF(ISBLANK(Предпосылки!$D60),$E$10,Предпосылки!$D60),SUM($D135,$D178),0)</f>
        <v>0</v>
      </c>
      <c s="125">
        <f>IF(AA$10=IF(ISBLANK(Предпосылки!$D60),$E$10,Предпосылки!$D60),SUM($D135,$D178),0)</f>
        <v>0</v>
      </c>
      <c s="125">
        <f>IF(AB$10=IF(ISBLANK(Предпосылки!$D60),$E$10,Предпосылки!$D60),SUM($D135,$D178),0)</f>
        <v>0</v>
      </c>
      <c s="125">
        <f>IF(AC$10=IF(ISBLANK(Предпосылки!$D60),$E$10,Предпосылки!$D60),SUM($D135,$D178),0)</f>
        <v>0</v>
      </c>
      <c s="125">
        <f>IF(AD$10=IF(ISBLANK(Предпосылки!$D60),$E$10,Предпосылки!$D60),SUM($D135,$D178),0)</f>
        <v>0</v>
      </c>
      <c s="125">
        <f>IF(AE$10=IF(ISBLANK(Предпосылки!$D60),$E$10,Предпосылки!$D60),SUM($D135,$D178),0)</f>
        <v>0</v>
      </c>
      <c s="125">
        <f>IF(AF$10=IF(ISBLANK(Предпосылки!$D60),$E$10,Предпосылки!$D60),SUM($D135,$D178),0)</f>
        <v>0</v>
      </c>
      <c s="125">
        <f>IF(AG$10=IF(ISBLANK(Предпосылки!$D60),$E$10,Предпосылки!$D60),SUM($D135,$D178),0)</f>
        <v>0</v>
      </c>
      <c s="125">
        <f>IF(AH$10=IF(ISBLANK(Предпосылки!$D60),$E$10,Предпосылки!$D60),SUM($D135,$D178),0)</f>
        <v>0</v>
      </c>
      <c s="125">
        <f>IF(AI$10=IF(ISBLANK(Предпосылки!$D60),$E$10,Предпосылки!$D60),SUM($D135,$D178),0)</f>
        <v>0</v>
      </c>
      <c s="125">
        <f>IF(AJ$10=IF(ISBLANK(Предпосылки!$D60),$E$10,Предпосылки!$D60),SUM($D135,$D178),0)</f>
        <v>0</v>
      </c>
      <c s="125">
        <f>IF(AK$10=IF(ISBLANK(Предпосылки!$D60),$E$10,Предпосылки!$D60),SUM($D135,$D178),0)</f>
        <v>0</v>
      </c>
      <c s="125">
        <f>IF(AL$10=IF(ISBLANK(Предпосылки!$D60),$E$10,Предпосылки!$D60),SUM($D135,$D178),0)</f>
        <v>0</v>
      </c>
      <c s="125">
        <f>IF(AM$10=IF(ISBLANK(Предпосылки!$D60),$E$10,Предпосылки!$D60),SUM($D135,$D178),0)</f>
        <v>0</v>
      </c>
      <c s="125">
        <f>IF(AN$10=IF(ISBLANK(Предпосылки!$D60),$E$10,Предпосылки!$D60),SUM($D135,$D178),0)</f>
        <v>0</v>
      </c>
      <c s="125">
        <f>IF(AO$10=IF(ISBLANK(Предпосылки!$D60),$E$10,Предпосылки!$D60),SUM($D135,$D178),0)</f>
        <v>0</v>
      </c>
      <c s="125">
        <f>IF(AP$10=IF(ISBLANK(Предпосылки!$D60),$E$10,Предпосылки!$D60),SUM($D135,$D178),0)</f>
        <v>0</v>
      </c>
      <c s="125">
        <f>IF(AQ$10=IF(ISBLANK(Предпосылки!$D60),$E$10,Предпосылки!$D60),SUM($D135,$D178),0)</f>
        <v>0</v>
      </c>
      <c s="125">
        <f>IF(AR$10=IF(ISBLANK(Предпосылки!$D60),$E$10,Предпосылки!$D60),SUM($D135,$D178),0)</f>
        <v>0</v>
      </c>
      <c s="125">
        <f>IF(AS$10=IF(ISBLANK(Предпосылки!$D60),$E$10,Предпосылки!$D60),SUM($D135,$D178),0)</f>
        <v>0</v>
      </c>
      <c s="125">
        <f>IF(AT$10=IF(ISBLANK(Предпосылки!$D60),$E$10,Предпосылки!$D60),SUM($D135,$D178),0)</f>
        <v>0</v>
      </c>
      <c s="125">
        <f>IF(AU$10=IF(ISBLANK(Предпосылки!$D60),$E$10,Предпосылки!$D60),SUM($D135,$D178),0)</f>
        <v>0</v>
      </c>
      <c s="125">
        <f>IF(AV$10=IF(ISBLANK(Предпосылки!$D60),$E$10,Предпосылки!$D60),SUM($D135,$D178),0)</f>
        <v>0</v>
      </c>
      <c s="125">
        <f>IF(AW$10=IF(ISBLANK(Предпосылки!$D60),$E$10,Предпосылки!$D60),SUM($D135,$D178),0)</f>
        <v>0</v>
      </c>
      <c s="125">
        <f>IF(AX$10=IF(ISBLANK(Предпосылки!$D60),$E$10,Предпосылки!$D60),SUM($D135,$D178),0)</f>
        <v>0</v>
      </c>
      <c s="125">
        <f>IF(AY$10=IF(ISBLANK(Предпосылки!$D60),$E$10,Предпосылки!$D60),SUM($D135,$D178),0)</f>
        <v>0</v>
      </c>
      <c s="125">
        <f>IF(AZ$10=IF(ISBLANK(Предпосылки!$D60),$E$10,Предпосылки!$D60),SUM($D135,$D178),0)</f>
        <v>0</v>
      </c>
      <c s="125">
        <f>IF(BA$10=IF(ISBLANK(Предпосылки!$D60),$E$10,Предпосылки!$D60),SUM($D135,$D178),0)</f>
        <v>0</v>
      </c>
      <c s="125">
        <f>IF(BB$10=IF(ISBLANK(Предпосылки!$D60),$E$10,Предпосылки!$D60),SUM($D135,$D178),0)</f>
        <v>0</v>
      </c>
      <c s="125">
        <f>IF(BC$10=IF(ISBLANK(Предпосылки!$D60),$E$10,Предпосылки!$D60),SUM($D135,$D178),0)</f>
        <v>0</v>
      </c>
      <c s="125">
        <f>IF(BD$10=IF(ISBLANK(Предпосылки!$D60),$E$10,Предпосылки!$D60),SUM($D135,$D178),0)</f>
        <v>0</v>
      </c>
      <c s="125">
        <f>IF(BE$10=IF(ISBLANK(Предпосылки!$D60),$E$10,Предпосылки!$D60),SUM($D135,$D178),0)</f>
        <v>0</v>
      </c>
      <c s="125">
        <f>IF(BF$10=IF(ISBLANK(Предпосылки!$D60),$E$10,Предпосылки!$D60),SUM($D135,$D178),0)</f>
        <v>0</v>
      </c>
      <c s="125">
        <f>IF(BG$10=IF(ISBLANK(Предпосылки!$D60),$E$10,Предпосылки!$D60),SUM($D135,$D178),0)</f>
        <v>0</v>
      </c>
      <c s="125">
        <f>IF(BH$10=IF(ISBLANK(Предпосылки!$D60),$E$10,Предпосылки!$D60),SUM($D135,$D178),0)</f>
        <v>0</v>
      </c>
      <c s="125">
        <f>IF(BI$10=IF(ISBLANK(Предпосылки!$D60),$E$10,Предпосылки!$D60),SUM($D135,$D178),0)</f>
        <v>0</v>
      </c>
      <c s="125">
        <f>IF(BJ$10=IF(ISBLANK(Предпосылки!$D60),$E$10,Предпосылки!$D60),SUM($D135,$D178),0)</f>
        <v>0</v>
      </c>
      <c s="125">
        <f>IF(BK$10=IF(ISBLANK(Предпосылки!$D60),$E$10,Предпосылки!$D60),SUM($D135,$D178),0)</f>
        <v>0</v>
      </c>
      <c s="125">
        <f>IF(BL$10=IF(ISBLANK(Предпосылки!$D60),$E$10,Предпосылки!$D60),SUM($D135,$D178),0)</f>
        <v>0</v>
      </c>
      <c s="125">
        <f>IF(BM$10=IF(ISBLANK(Предпосылки!$D60),$E$10,Предпосылки!$D60),SUM($D135,$D178),0)</f>
        <v>0</v>
      </c>
    </row>
    <row r="309" spans="2:65" ht="15" customHeight="1">
      <c r="B309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IF(E$10=IF(ISBLANK(Предпосылки!$D61),$E$10,Предпосылки!$D61),SUM($D136,$D179),0)</f>
        <v>0</v>
      </c>
      <c s="125">
        <f>IF(F$10=IF(ISBLANK(Предпосылки!$D61),$E$10,Предпосылки!$D61),SUM($D136,$D179),0)</f>
        <v>0</v>
      </c>
      <c s="125">
        <f>IF(G$10=IF(ISBLANK(Предпосылки!$D61),$E$10,Предпосылки!$D61),SUM($D136,$D179),0)</f>
        <v>0</v>
      </c>
      <c s="125">
        <f>IF(H$10=IF(ISBLANK(Предпосылки!$D61),$E$10,Предпосылки!$D61),SUM($D136,$D179),0)</f>
        <v>0</v>
      </c>
      <c s="125">
        <f>IF(I$10=IF(ISBLANK(Предпосылки!$D61),$E$10,Предпосылки!$D61),SUM($D136,$D179),0)</f>
        <v>0</v>
      </c>
      <c s="125">
        <f>IF(J$10=IF(ISBLANK(Предпосылки!$D61),$E$10,Предпосылки!$D61),SUM($D136,$D179),0)</f>
        <v>0</v>
      </c>
      <c s="125">
        <f>IF(K$10=IF(ISBLANK(Предпосылки!$D61),$E$10,Предпосылки!$D61),SUM($D136,$D179),0)</f>
        <v>0</v>
      </c>
      <c s="125">
        <f>IF(L$10=IF(ISBLANK(Предпосылки!$D61),$E$10,Предпосылки!$D61),SUM($D136,$D179),0)</f>
        <v>0</v>
      </c>
      <c s="125">
        <f>IF(M$10=IF(ISBLANK(Предпосылки!$D61),$E$10,Предпосылки!$D61),SUM($D136,$D179),0)</f>
        <v>0</v>
      </c>
      <c s="125">
        <f>IF(N$10=IF(ISBLANK(Предпосылки!$D61),$E$10,Предпосылки!$D61),SUM($D136,$D179),0)</f>
        <v>0</v>
      </c>
      <c s="125">
        <f>IF(O$10=IF(ISBLANK(Предпосылки!$D61),$E$10,Предпосылки!$D61),SUM($D136,$D179),0)</f>
        <v>0</v>
      </c>
      <c s="125">
        <f>IF(P$10=IF(ISBLANK(Предпосылки!$D61),$E$10,Предпосылки!$D61),SUM($D136,$D179),0)</f>
        <v>0</v>
      </c>
      <c s="125">
        <f>IF(Q$10=IF(ISBLANK(Предпосылки!$D61),$E$10,Предпосылки!$D61),SUM($D136,$D179),0)</f>
        <v>0</v>
      </c>
      <c s="125">
        <f>IF(R$10=IF(ISBLANK(Предпосылки!$D61),$E$10,Предпосылки!$D61),SUM($D136,$D179),0)</f>
        <v>0</v>
      </c>
      <c s="125">
        <f>IF(S$10=IF(ISBLANK(Предпосылки!$D61),$E$10,Предпосылки!$D61),SUM($D136,$D179),0)</f>
        <v>0</v>
      </c>
      <c s="125">
        <f>IF(T$10=IF(ISBLANK(Предпосылки!$D61),$E$10,Предпосылки!$D61),SUM($D136,$D179),0)</f>
        <v>0</v>
      </c>
      <c s="125">
        <f>IF(U$10=IF(ISBLANK(Предпосылки!$D61),$E$10,Предпосылки!$D61),SUM($D136,$D179),0)</f>
        <v>0</v>
      </c>
      <c s="125">
        <f>IF(V$10=IF(ISBLANK(Предпосылки!$D61),$E$10,Предпосылки!$D61),SUM($D136,$D179),0)</f>
        <v>0</v>
      </c>
      <c s="125">
        <f>IF(W$10=IF(ISBLANK(Предпосылки!$D61),$E$10,Предпосылки!$D61),SUM($D136,$D179),0)</f>
        <v>0</v>
      </c>
      <c s="125">
        <f>IF(X$10=IF(ISBLANK(Предпосылки!$D61),$E$10,Предпосылки!$D61),SUM($D136,$D179),0)</f>
        <v>0</v>
      </c>
      <c s="125">
        <f>IF(Y$10=IF(ISBLANK(Предпосылки!$D61),$E$10,Предпосылки!$D61),SUM($D136,$D179),0)</f>
        <v>0</v>
      </c>
      <c s="125">
        <f>IF(Z$10=IF(ISBLANK(Предпосылки!$D61),$E$10,Предпосылки!$D61),SUM($D136,$D179),0)</f>
        <v>0</v>
      </c>
      <c s="125">
        <f>IF(AA$10=IF(ISBLANK(Предпосылки!$D61),$E$10,Предпосылки!$D61),SUM($D136,$D179),0)</f>
        <v>0</v>
      </c>
      <c s="125">
        <f>IF(AB$10=IF(ISBLANK(Предпосылки!$D61),$E$10,Предпосылки!$D61),SUM($D136,$D179),0)</f>
        <v>0</v>
      </c>
      <c s="125">
        <f>IF(AC$10=IF(ISBLANK(Предпосылки!$D61),$E$10,Предпосылки!$D61),SUM($D136,$D179),0)</f>
        <v>0</v>
      </c>
      <c s="125">
        <f>IF(AD$10=IF(ISBLANK(Предпосылки!$D61),$E$10,Предпосылки!$D61),SUM($D136,$D179),0)</f>
        <v>0</v>
      </c>
      <c s="125">
        <f>IF(AE$10=IF(ISBLANK(Предпосылки!$D61),$E$10,Предпосылки!$D61),SUM($D136,$D179),0)</f>
        <v>0</v>
      </c>
      <c s="125">
        <f>IF(AF$10=IF(ISBLANK(Предпосылки!$D61),$E$10,Предпосылки!$D61),SUM($D136,$D179),0)</f>
        <v>0</v>
      </c>
      <c s="125">
        <f>IF(AG$10=IF(ISBLANK(Предпосылки!$D61),$E$10,Предпосылки!$D61),SUM($D136,$D179),0)</f>
        <v>0</v>
      </c>
      <c s="125">
        <f>IF(AH$10=IF(ISBLANK(Предпосылки!$D61),$E$10,Предпосылки!$D61),SUM($D136,$D179),0)</f>
        <v>0</v>
      </c>
      <c s="125">
        <f>IF(AI$10=IF(ISBLANK(Предпосылки!$D61),$E$10,Предпосылки!$D61),SUM($D136,$D179),0)</f>
        <v>0</v>
      </c>
      <c s="125">
        <f>IF(AJ$10=IF(ISBLANK(Предпосылки!$D61),$E$10,Предпосылки!$D61),SUM($D136,$D179),0)</f>
        <v>0</v>
      </c>
      <c s="125">
        <f>IF(AK$10=IF(ISBLANK(Предпосылки!$D61),$E$10,Предпосылки!$D61),SUM($D136,$D179),0)</f>
        <v>0</v>
      </c>
      <c s="125">
        <f>IF(AL$10=IF(ISBLANK(Предпосылки!$D61),$E$10,Предпосылки!$D61),SUM($D136,$D179),0)</f>
        <v>0</v>
      </c>
      <c s="125">
        <f>IF(AM$10=IF(ISBLANK(Предпосылки!$D61),$E$10,Предпосылки!$D61),SUM($D136,$D179),0)</f>
        <v>0</v>
      </c>
      <c s="125">
        <f>IF(AN$10=IF(ISBLANK(Предпосылки!$D61),$E$10,Предпосылки!$D61),SUM($D136,$D179),0)</f>
        <v>0</v>
      </c>
      <c s="125">
        <f>IF(AO$10=IF(ISBLANK(Предпосылки!$D61),$E$10,Предпосылки!$D61),SUM($D136,$D179),0)</f>
        <v>0</v>
      </c>
      <c s="125">
        <f>IF(AP$10=IF(ISBLANK(Предпосылки!$D61),$E$10,Предпосылки!$D61),SUM($D136,$D179),0)</f>
        <v>0</v>
      </c>
      <c s="125">
        <f>IF(AQ$10=IF(ISBLANK(Предпосылки!$D61),$E$10,Предпосылки!$D61),SUM($D136,$D179),0)</f>
        <v>0</v>
      </c>
      <c s="125">
        <f>IF(AR$10=IF(ISBLANK(Предпосылки!$D61),$E$10,Предпосылки!$D61),SUM($D136,$D179),0)</f>
        <v>0</v>
      </c>
      <c s="125">
        <f>IF(AS$10=IF(ISBLANK(Предпосылки!$D61),$E$10,Предпосылки!$D61),SUM($D136,$D179),0)</f>
        <v>0</v>
      </c>
      <c s="125">
        <f>IF(AT$10=IF(ISBLANK(Предпосылки!$D61),$E$10,Предпосылки!$D61),SUM($D136,$D179),0)</f>
        <v>0</v>
      </c>
      <c s="125">
        <f>IF(AU$10=IF(ISBLANK(Предпосылки!$D61),$E$10,Предпосылки!$D61),SUM($D136,$D179),0)</f>
        <v>0</v>
      </c>
      <c s="125">
        <f>IF(AV$10=IF(ISBLANK(Предпосылки!$D61),$E$10,Предпосылки!$D61),SUM($D136,$D179),0)</f>
        <v>0</v>
      </c>
      <c s="125">
        <f>IF(AW$10=IF(ISBLANK(Предпосылки!$D61),$E$10,Предпосылки!$D61),SUM($D136,$D179),0)</f>
        <v>0</v>
      </c>
      <c s="125">
        <f>IF(AX$10=IF(ISBLANK(Предпосылки!$D61),$E$10,Предпосылки!$D61),SUM($D136,$D179),0)</f>
        <v>0</v>
      </c>
      <c s="125">
        <f>IF(AY$10=IF(ISBLANK(Предпосылки!$D61),$E$10,Предпосылки!$D61),SUM($D136,$D179),0)</f>
        <v>0</v>
      </c>
      <c s="125">
        <f>IF(AZ$10=IF(ISBLANK(Предпосылки!$D61),$E$10,Предпосылки!$D61),SUM($D136,$D179),0)</f>
        <v>0</v>
      </c>
      <c s="125">
        <f>IF(BA$10=IF(ISBLANK(Предпосылки!$D61),$E$10,Предпосылки!$D61),SUM($D136,$D179),0)</f>
        <v>0</v>
      </c>
      <c s="125">
        <f>IF(BB$10=IF(ISBLANK(Предпосылки!$D61),$E$10,Предпосылки!$D61),SUM($D136,$D179),0)</f>
        <v>0</v>
      </c>
      <c s="125">
        <f>IF(BC$10=IF(ISBLANK(Предпосылки!$D61),$E$10,Предпосылки!$D61),SUM($D136,$D179),0)</f>
        <v>0</v>
      </c>
      <c s="125">
        <f>IF(BD$10=IF(ISBLANK(Предпосылки!$D61),$E$10,Предпосылки!$D61),SUM($D136,$D179),0)</f>
        <v>0</v>
      </c>
      <c s="125">
        <f>IF(BE$10=IF(ISBLANK(Предпосылки!$D61),$E$10,Предпосылки!$D61),SUM($D136,$D179),0)</f>
        <v>0</v>
      </c>
      <c s="125">
        <f>IF(BF$10=IF(ISBLANK(Предпосылки!$D61),$E$10,Предпосылки!$D61),SUM($D136,$D179),0)</f>
        <v>0</v>
      </c>
      <c s="125">
        <f>IF(BG$10=IF(ISBLANK(Предпосылки!$D61),$E$10,Предпосылки!$D61),SUM($D136,$D179),0)</f>
        <v>0</v>
      </c>
      <c s="125">
        <f>IF(BH$10=IF(ISBLANK(Предпосылки!$D61),$E$10,Предпосылки!$D61),SUM($D136,$D179),0)</f>
        <v>0</v>
      </c>
      <c s="125">
        <f>IF(BI$10=IF(ISBLANK(Предпосылки!$D61),$E$10,Предпосылки!$D61),SUM($D136,$D179),0)</f>
        <v>0</v>
      </c>
      <c s="125">
        <f>IF(BJ$10=IF(ISBLANK(Предпосылки!$D61),$E$10,Предпосылки!$D61),SUM($D136,$D179),0)</f>
        <v>0</v>
      </c>
      <c s="125">
        <f>IF(BK$10=IF(ISBLANK(Предпосылки!$D61),$E$10,Предпосылки!$D61),SUM($D136,$D179),0)</f>
        <v>0</v>
      </c>
      <c s="125">
        <f>IF(BL$10=IF(ISBLANK(Предпосылки!$D61),$E$10,Предпосылки!$D61),SUM($D136,$D179),0)</f>
        <v>0</v>
      </c>
      <c s="125">
        <f>IF(BM$10=IF(ISBLANK(Предпосылки!$D61),$E$10,Предпосылки!$D61),SUM($D136,$D179),0)</f>
        <v>0</v>
      </c>
    </row>
    <row r="310" spans="2:65" ht="15" customHeight="1">
      <c r="B310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IF(E$10=IF(ISBLANK(Предпосылки!$D62),$E$10,Предпосылки!$D62),SUM($D137,$D180),0)</f>
        <v>0</v>
      </c>
      <c s="125">
        <f>IF(F$10=IF(ISBLANK(Предпосылки!$D62),$E$10,Предпосылки!$D62),SUM($D137,$D180),0)</f>
        <v>0</v>
      </c>
      <c s="125">
        <f>IF(G$10=IF(ISBLANK(Предпосылки!$D62),$E$10,Предпосылки!$D62),SUM($D137,$D180),0)</f>
        <v>0</v>
      </c>
      <c s="125">
        <f>IF(H$10=IF(ISBLANK(Предпосылки!$D62),$E$10,Предпосылки!$D62),SUM($D137,$D180),0)</f>
        <v>0</v>
      </c>
      <c s="125">
        <f>IF(I$10=IF(ISBLANK(Предпосылки!$D62),$E$10,Предпосылки!$D62),SUM($D137,$D180),0)</f>
        <v>0</v>
      </c>
      <c s="125">
        <f>IF(J$10=IF(ISBLANK(Предпосылки!$D62),$E$10,Предпосылки!$D62),SUM($D137,$D180),0)</f>
        <v>0</v>
      </c>
      <c s="125">
        <f>IF(K$10=IF(ISBLANK(Предпосылки!$D62),$E$10,Предпосылки!$D62),SUM($D137,$D180),0)</f>
        <v>0</v>
      </c>
      <c s="125">
        <f>IF(L$10=IF(ISBLANK(Предпосылки!$D62),$E$10,Предпосылки!$D62),SUM($D137,$D180),0)</f>
        <v>0</v>
      </c>
      <c s="125">
        <f>IF(M$10=IF(ISBLANK(Предпосылки!$D62),$E$10,Предпосылки!$D62),SUM($D137,$D180),0)</f>
        <v>0</v>
      </c>
      <c s="125">
        <f>IF(N$10=IF(ISBLANK(Предпосылки!$D62),$E$10,Предпосылки!$D62),SUM($D137,$D180),0)</f>
        <v>0</v>
      </c>
      <c s="125">
        <f>IF(O$10=IF(ISBLANK(Предпосылки!$D62),$E$10,Предпосылки!$D62),SUM($D137,$D180),0)</f>
        <v>0</v>
      </c>
      <c s="125">
        <f>IF(P$10=IF(ISBLANK(Предпосылки!$D62),$E$10,Предпосылки!$D62),SUM($D137,$D180),0)</f>
        <v>0</v>
      </c>
      <c s="125">
        <f>IF(Q$10=IF(ISBLANK(Предпосылки!$D62),$E$10,Предпосылки!$D62),SUM($D137,$D180),0)</f>
        <v>0</v>
      </c>
      <c s="125">
        <f>IF(R$10=IF(ISBLANK(Предпосылки!$D62),$E$10,Предпосылки!$D62),SUM($D137,$D180),0)</f>
        <v>0</v>
      </c>
      <c s="125">
        <f>IF(S$10=IF(ISBLANK(Предпосылки!$D62),$E$10,Предпосылки!$D62),SUM($D137,$D180),0)</f>
        <v>0</v>
      </c>
      <c s="125">
        <f>IF(T$10=IF(ISBLANK(Предпосылки!$D62),$E$10,Предпосылки!$D62),SUM($D137,$D180),0)</f>
        <v>0</v>
      </c>
      <c s="125">
        <f>IF(U$10=IF(ISBLANK(Предпосылки!$D62),$E$10,Предпосылки!$D62),SUM($D137,$D180),0)</f>
        <v>0</v>
      </c>
      <c s="125">
        <f>IF(V$10=IF(ISBLANK(Предпосылки!$D62),$E$10,Предпосылки!$D62),SUM($D137,$D180),0)</f>
        <v>0</v>
      </c>
      <c s="125">
        <f>IF(W$10=IF(ISBLANK(Предпосылки!$D62),$E$10,Предпосылки!$D62),SUM($D137,$D180),0)</f>
        <v>0</v>
      </c>
      <c s="125">
        <f>IF(X$10=IF(ISBLANK(Предпосылки!$D62),$E$10,Предпосылки!$D62),SUM($D137,$D180),0)</f>
        <v>0</v>
      </c>
      <c s="125">
        <f>IF(Y$10=IF(ISBLANK(Предпосылки!$D62),$E$10,Предпосылки!$D62),SUM($D137,$D180),0)</f>
        <v>0</v>
      </c>
      <c s="125">
        <f>IF(Z$10=IF(ISBLANK(Предпосылки!$D62),$E$10,Предпосылки!$D62),SUM($D137,$D180),0)</f>
        <v>0</v>
      </c>
      <c s="125">
        <f>IF(AA$10=IF(ISBLANK(Предпосылки!$D62),$E$10,Предпосылки!$D62),SUM($D137,$D180),0)</f>
        <v>0</v>
      </c>
      <c s="125">
        <f>IF(AB$10=IF(ISBLANK(Предпосылки!$D62),$E$10,Предпосылки!$D62),SUM($D137,$D180),0)</f>
        <v>0</v>
      </c>
      <c s="125">
        <f>IF(AC$10=IF(ISBLANK(Предпосылки!$D62),$E$10,Предпосылки!$D62),SUM($D137,$D180),0)</f>
        <v>0</v>
      </c>
      <c s="125">
        <f>IF(AD$10=IF(ISBLANK(Предпосылки!$D62),$E$10,Предпосылки!$D62),SUM($D137,$D180),0)</f>
        <v>0</v>
      </c>
      <c s="125">
        <f>IF(AE$10=IF(ISBLANK(Предпосылки!$D62),$E$10,Предпосылки!$D62),SUM($D137,$D180),0)</f>
        <v>0</v>
      </c>
      <c s="125">
        <f>IF(AF$10=IF(ISBLANK(Предпосылки!$D62),$E$10,Предпосылки!$D62),SUM($D137,$D180),0)</f>
        <v>0</v>
      </c>
      <c s="125">
        <f>IF(AG$10=IF(ISBLANK(Предпосылки!$D62),$E$10,Предпосылки!$D62),SUM($D137,$D180),0)</f>
        <v>0</v>
      </c>
      <c s="125">
        <f>IF(AH$10=IF(ISBLANK(Предпосылки!$D62),$E$10,Предпосылки!$D62),SUM($D137,$D180),0)</f>
        <v>0</v>
      </c>
      <c s="125">
        <f>IF(AI$10=IF(ISBLANK(Предпосылки!$D62),$E$10,Предпосылки!$D62),SUM($D137,$D180),0)</f>
        <v>0</v>
      </c>
      <c s="125">
        <f>IF(AJ$10=IF(ISBLANK(Предпосылки!$D62),$E$10,Предпосылки!$D62),SUM($D137,$D180),0)</f>
        <v>0</v>
      </c>
      <c s="125">
        <f>IF(AK$10=IF(ISBLANK(Предпосылки!$D62),$E$10,Предпосылки!$D62),SUM($D137,$D180),0)</f>
        <v>0</v>
      </c>
      <c s="125">
        <f>IF(AL$10=IF(ISBLANK(Предпосылки!$D62),$E$10,Предпосылки!$D62),SUM($D137,$D180),0)</f>
        <v>0</v>
      </c>
      <c s="125">
        <f>IF(AM$10=IF(ISBLANK(Предпосылки!$D62),$E$10,Предпосылки!$D62),SUM($D137,$D180),0)</f>
        <v>0</v>
      </c>
      <c s="125">
        <f>IF(AN$10=IF(ISBLANK(Предпосылки!$D62),$E$10,Предпосылки!$D62),SUM($D137,$D180),0)</f>
        <v>0</v>
      </c>
      <c s="125">
        <f>IF(AO$10=IF(ISBLANK(Предпосылки!$D62),$E$10,Предпосылки!$D62),SUM($D137,$D180),0)</f>
        <v>0</v>
      </c>
      <c s="125">
        <f>IF(AP$10=IF(ISBLANK(Предпосылки!$D62),$E$10,Предпосылки!$D62),SUM($D137,$D180),0)</f>
        <v>0</v>
      </c>
      <c s="125">
        <f>IF(AQ$10=IF(ISBLANK(Предпосылки!$D62),$E$10,Предпосылки!$D62),SUM($D137,$D180),0)</f>
        <v>0</v>
      </c>
      <c s="125">
        <f>IF(AR$10=IF(ISBLANK(Предпосылки!$D62),$E$10,Предпосылки!$D62),SUM($D137,$D180),0)</f>
        <v>0</v>
      </c>
      <c s="125">
        <f>IF(AS$10=IF(ISBLANK(Предпосылки!$D62),$E$10,Предпосылки!$D62),SUM($D137,$D180),0)</f>
        <v>0</v>
      </c>
      <c s="125">
        <f>IF(AT$10=IF(ISBLANK(Предпосылки!$D62),$E$10,Предпосылки!$D62),SUM($D137,$D180),0)</f>
        <v>0</v>
      </c>
      <c s="125">
        <f>IF(AU$10=IF(ISBLANK(Предпосылки!$D62),$E$10,Предпосылки!$D62),SUM($D137,$D180),0)</f>
        <v>0</v>
      </c>
      <c s="125">
        <f>IF(AV$10=IF(ISBLANK(Предпосылки!$D62),$E$10,Предпосылки!$D62),SUM($D137,$D180),0)</f>
        <v>0</v>
      </c>
      <c s="125">
        <f>IF(AW$10=IF(ISBLANK(Предпосылки!$D62),$E$10,Предпосылки!$D62),SUM($D137,$D180),0)</f>
        <v>0</v>
      </c>
      <c s="125">
        <f>IF(AX$10=IF(ISBLANK(Предпосылки!$D62),$E$10,Предпосылки!$D62),SUM($D137,$D180),0)</f>
        <v>0</v>
      </c>
      <c s="125">
        <f>IF(AY$10=IF(ISBLANK(Предпосылки!$D62),$E$10,Предпосылки!$D62),SUM($D137,$D180),0)</f>
        <v>0</v>
      </c>
      <c s="125">
        <f>IF(AZ$10=IF(ISBLANK(Предпосылки!$D62),$E$10,Предпосылки!$D62),SUM($D137,$D180),0)</f>
        <v>0</v>
      </c>
      <c s="125">
        <f>IF(BA$10=IF(ISBLANK(Предпосылки!$D62),$E$10,Предпосылки!$D62),SUM($D137,$D180),0)</f>
        <v>0</v>
      </c>
      <c s="125">
        <f>IF(BB$10=IF(ISBLANK(Предпосылки!$D62),$E$10,Предпосылки!$D62),SUM($D137,$D180),0)</f>
        <v>0</v>
      </c>
      <c s="125">
        <f>IF(BC$10=IF(ISBLANK(Предпосылки!$D62),$E$10,Предпосылки!$D62),SUM($D137,$D180),0)</f>
        <v>0</v>
      </c>
      <c s="125">
        <f>IF(BD$10=IF(ISBLANK(Предпосылки!$D62),$E$10,Предпосылки!$D62),SUM($D137,$D180),0)</f>
        <v>0</v>
      </c>
      <c s="125">
        <f>IF(BE$10=IF(ISBLANK(Предпосылки!$D62),$E$10,Предпосылки!$D62),SUM($D137,$D180),0)</f>
        <v>0</v>
      </c>
      <c s="125">
        <f>IF(BF$10=IF(ISBLANK(Предпосылки!$D62),$E$10,Предпосылки!$D62),SUM($D137,$D180),0)</f>
        <v>0</v>
      </c>
      <c s="125">
        <f>IF(BG$10=IF(ISBLANK(Предпосылки!$D62),$E$10,Предпосылки!$D62),SUM($D137,$D180),0)</f>
        <v>0</v>
      </c>
      <c s="125">
        <f>IF(BH$10=IF(ISBLANK(Предпосылки!$D62),$E$10,Предпосылки!$D62),SUM($D137,$D180),0)</f>
        <v>0</v>
      </c>
      <c s="125">
        <f>IF(BI$10=IF(ISBLANK(Предпосылки!$D62),$E$10,Предпосылки!$D62),SUM($D137,$D180),0)</f>
        <v>0</v>
      </c>
      <c s="125">
        <f>IF(BJ$10=IF(ISBLANK(Предпосылки!$D62),$E$10,Предпосылки!$D62),SUM($D137,$D180),0)</f>
        <v>0</v>
      </c>
      <c s="125">
        <f>IF(BK$10=IF(ISBLANK(Предпосылки!$D62),$E$10,Предпосылки!$D62),SUM($D137,$D180),0)</f>
        <v>0</v>
      </c>
      <c s="125">
        <f>IF(BL$10=IF(ISBLANK(Предпосылки!$D62),$E$10,Предпосылки!$D62),SUM($D137,$D180),0)</f>
        <v>0</v>
      </c>
      <c s="125">
        <f>IF(BM$10=IF(ISBLANK(Предпосылки!$D62),$E$10,Предпосылки!$D62),SUM($D137,$D180),0)</f>
        <v>0</v>
      </c>
    </row>
    <row r="311" spans="2:65" ht="15" customHeight="1">
      <c r="B311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IF(E$10=IF(ISBLANK(Предпосылки!$D63),$E$10,Предпосылки!$D63),SUM($D138,$D181),0)</f>
        <v>0</v>
      </c>
      <c s="125">
        <f>IF(F$10=IF(ISBLANK(Предпосылки!$D63),$E$10,Предпосылки!$D63),SUM($D138,$D181),0)</f>
        <v>0</v>
      </c>
      <c s="125">
        <f>IF(G$10=IF(ISBLANK(Предпосылки!$D63),$E$10,Предпосылки!$D63),SUM($D138,$D181),0)</f>
        <v>0</v>
      </c>
      <c s="125">
        <f>IF(H$10=IF(ISBLANK(Предпосылки!$D63),$E$10,Предпосылки!$D63),SUM($D138,$D181),0)</f>
        <v>0</v>
      </c>
      <c s="125">
        <f>IF(I$10=IF(ISBLANK(Предпосылки!$D63),$E$10,Предпосылки!$D63),SUM($D138,$D181),0)</f>
        <v>0</v>
      </c>
      <c s="125">
        <f>IF(J$10=IF(ISBLANK(Предпосылки!$D63),$E$10,Предпосылки!$D63),SUM($D138,$D181),0)</f>
        <v>0</v>
      </c>
      <c s="125">
        <f>IF(K$10=IF(ISBLANK(Предпосылки!$D63),$E$10,Предпосылки!$D63),SUM($D138,$D181),0)</f>
        <v>0</v>
      </c>
      <c s="125">
        <f>IF(L$10=IF(ISBLANK(Предпосылки!$D63),$E$10,Предпосылки!$D63),SUM($D138,$D181),0)</f>
        <v>0</v>
      </c>
      <c s="125">
        <f>IF(M$10=IF(ISBLANK(Предпосылки!$D63),$E$10,Предпосылки!$D63),SUM($D138,$D181),0)</f>
        <v>0</v>
      </c>
      <c s="125">
        <f>IF(N$10=IF(ISBLANK(Предпосылки!$D63),$E$10,Предпосылки!$D63),SUM($D138,$D181),0)</f>
        <v>0</v>
      </c>
      <c s="125">
        <f>IF(O$10=IF(ISBLANK(Предпосылки!$D63),$E$10,Предпосылки!$D63),SUM($D138,$D181),0)</f>
        <v>0</v>
      </c>
      <c s="125">
        <f>IF(P$10=IF(ISBLANK(Предпосылки!$D63),$E$10,Предпосылки!$D63),SUM($D138,$D181),0)</f>
        <v>0</v>
      </c>
      <c s="125">
        <f>IF(Q$10=IF(ISBLANK(Предпосылки!$D63),$E$10,Предпосылки!$D63),SUM($D138,$D181),0)</f>
        <v>0</v>
      </c>
      <c s="125">
        <f>IF(R$10=IF(ISBLANK(Предпосылки!$D63),$E$10,Предпосылки!$D63),SUM($D138,$D181),0)</f>
        <v>0</v>
      </c>
      <c s="125">
        <f>IF(S$10=IF(ISBLANK(Предпосылки!$D63),$E$10,Предпосылки!$D63),SUM($D138,$D181),0)</f>
        <v>0</v>
      </c>
      <c s="125">
        <f>IF(T$10=IF(ISBLANK(Предпосылки!$D63),$E$10,Предпосылки!$D63),SUM($D138,$D181),0)</f>
        <v>0</v>
      </c>
      <c s="125">
        <f>IF(U$10=IF(ISBLANK(Предпосылки!$D63),$E$10,Предпосылки!$D63),SUM($D138,$D181),0)</f>
        <v>0</v>
      </c>
      <c s="125">
        <f>IF(V$10=IF(ISBLANK(Предпосылки!$D63),$E$10,Предпосылки!$D63),SUM($D138,$D181),0)</f>
        <v>0</v>
      </c>
      <c s="125">
        <f>IF(W$10=IF(ISBLANK(Предпосылки!$D63),$E$10,Предпосылки!$D63),SUM($D138,$D181),0)</f>
        <v>0</v>
      </c>
      <c s="125">
        <f>IF(X$10=IF(ISBLANK(Предпосылки!$D63),$E$10,Предпосылки!$D63),SUM($D138,$D181),0)</f>
        <v>0</v>
      </c>
      <c s="125">
        <f>IF(Y$10=IF(ISBLANK(Предпосылки!$D63),$E$10,Предпосылки!$D63),SUM($D138,$D181),0)</f>
        <v>0</v>
      </c>
      <c s="125">
        <f>IF(Z$10=IF(ISBLANK(Предпосылки!$D63),$E$10,Предпосылки!$D63),SUM($D138,$D181),0)</f>
        <v>0</v>
      </c>
      <c s="125">
        <f>IF(AA$10=IF(ISBLANK(Предпосылки!$D63),$E$10,Предпосылки!$D63),SUM($D138,$D181),0)</f>
        <v>0</v>
      </c>
      <c s="125">
        <f>IF(AB$10=IF(ISBLANK(Предпосылки!$D63),$E$10,Предпосылки!$D63),SUM($D138,$D181),0)</f>
        <v>0</v>
      </c>
      <c s="125">
        <f>IF(AC$10=IF(ISBLANK(Предпосылки!$D63),$E$10,Предпосылки!$D63),SUM($D138,$D181),0)</f>
        <v>0</v>
      </c>
      <c s="125">
        <f>IF(AD$10=IF(ISBLANK(Предпосылки!$D63),$E$10,Предпосылки!$D63),SUM($D138,$D181),0)</f>
        <v>0</v>
      </c>
      <c s="125">
        <f>IF(AE$10=IF(ISBLANK(Предпосылки!$D63),$E$10,Предпосылки!$D63),SUM($D138,$D181),0)</f>
        <v>0</v>
      </c>
      <c s="125">
        <f>IF(AF$10=IF(ISBLANK(Предпосылки!$D63),$E$10,Предпосылки!$D63),SUM($D138,$D181),0)</f>
        <v>0</v>
      </c>
      <c s="125">
        <f>IF(AG$10=IF(ISBLANK(Предпосылки!$D63),$E$10,Предпосылки!$D63),SUM($D138,$D181),0)</f>
        <v>0</v>
      </c>
      <c s="125">
        <f>IF(AH$10=IF(ISBLANK(Предпосылки!$D63),$E$10,Предпосылки!$D63),SUM($D138,$D181),0)</f>
        <v>0</v>
      </c>
      <c s="125">
        <f>IF(AI$10=IF(ISBLANK(Предпосылки!$D63),$E$10,Предпосылки!$D63),SUM($D138,$D181),0)</f>
        <v>0</v>
      </c>
      <c s="125">
        <f>IF(AJ$10=IF(ISBLANK(Предпосылки!$D63),$E$10,Предпосылки!$D63),SUM($D138,$D181),0)</f>
        <v>0</v>
      </c>
      <c s="125">
        <f>IF(AK$10=IF(ISBLANK(Предпосылки!$D63),$E$10,Предпосылки!$D63),SUM($D138,$D181),0)</f>
        <v>0</v>
      </c>
      <c s="125">
        <f>IF(AL$10=IF(ISBLANK(Предпосылки!$D63),$E$10,Предпосылки!$D63),SUM($D138,$D181),0)</f>
        <v>0</v>
      </c>
      <c s="125">
        <f>IF(AM$10=IF(ISBLANK(Предпосылки!$D63),$E$10,Предпосылки!$D63),SUM($D138,$D181),0)</f>
        <v>0</v>
      </c>
      <c s="125">
        <f>IF(AN$10=IF(ISBLANK(Предпосылки!$D63),$E$10,Предпосылки!$D63),SUM($D138,$D181),0)</f>
        <v>0</v>
      </c>
      <c s="125">
        <f>IF(AO$10=IF(ISBLANK(Предпосылки!$D63),$E$10,Предпосылки!$D63),SUM($D138,$D181),0)</f>
        <v>0</v>
      </c>
      <c s="125">
        <f>IF(AP$10=IF(ISBLANK(Предпосылки!$D63),$E$10,Предпосылки!$D63),SUM($D138,$D181),0)</f>
        <v>0</v>
      </c>
      <c s="125">
        <f>IF(AQ$10=IF(ISBLANK(Предпосылки!$D63),$E$10,Предпосылки!$D63),SUM($D138,$D181),0)</f>
        <v>0</v>
      </c>
      <c s="125">
        <f>IF(AR$10=IF(ISBLANK(Предпосылки!$D63),$E$10,Предпосылки!$D63),SUM($D138,$D181),0)</f>
        <v>0</v>
      </c>
      <c s="125">
        <f>IF(AS$10=IF(ISBLANK(Предпосылки!$D63),$E$10,Предпосылки!$D63),SUM($D138,$D181),0)</f>
        <v>0</v>
      </c>
      <c s="125">
        <f>IF(AT$10=IF(ISBLANK(Предпосылки!$D63),$E$10,Предпосылки!$D63),SUM($D138,$D181),0)</f>
        <v>0</v>
      </c>
      <c s="125">
        <f>IF(AU$10=IF(ISBLANK(Предпосылки!$D63),$E$10,Предпосылки!$D63),SUM($D138,$D181),0)</f>
        <v>0</v>
      </c>
      <c s="125">
        <f>IF(AV$10=IF(ISBLANK(Предпосылки!$D63),$E$10,Предпосылки!$D63),SUM($D138,$D181),0)</f>
        <v>0</v>
      </c>
      <c s="125">
        <f>IF(AW$10=IF(ISBLANK(Предпосылки!$D63),$E$10,Предпосылки!$D63),SUM($D138,$D181),0)</f>
        <v>0</v>
      </c>
      <c s="125">
        <f>IF(AX$10=IF(ISBLANK(Предпосылки!$D63),$E$10,Предпосылки!$D63),SUM($D138,$D181),0)</f>
        <v>0</v>
      </c>
      <c s="125">
        <f>IF(AY$10=IF(ISBLANK(Предпосылки!$D63),$E$10,Предпосылки!$D63),SUM($D138,$D181),0)</f>
        <v>0</v>
      </c>
      <c s="125">
        <f>IF(AZ$10=IF(ISBLANK(Предпосылки!$D63),$E$10,Предпосылки!$D63),SUM($D138,$D181),0)</f>
        <v>0</v>
      </c>
      <c s="125">
        <f>IF(BA$10=IF(ISBLANK(Предпосылки!$D63),$E$10,Предпосылки!$D63),SUM($D138,$D181),0)</f>
        <v>0</v>
      </c>
      <c s="125">
        <f>IF(BB$10=IF(ISBLANK(Предпосылки!$D63),$E$10,Предпосылки!$D63),SUM($D138,$D181),0)</f>
        <v>0</v>
      </c>
      <c s="125">
        <f>IF(BC$10=IF(ISBLANK(Предпосылки!$D63),$E$10,Предпосылки!$D63),SUM($D138,$D181),0)</f>
        <v>0</v>
      </c>
      <c s="125">
        <f>IF(BD$10=IF(ISBLANK(Предпосылки!$D63),$E$10,Предпосылки!$D63),SUM($D138,$D181),0)</f>
        <v>0</v>
      </c>
      <c s="125">
        <f>IF(BE$10=IF(ISBLANK(Предпосылки!$D63),$E$10,Предпосылки!$D63),SUM($D138,$D181),0)</f>
        <v>0</v>
      </c>
      <c s="125">
        <f>IF(BF$10=IF(ISBLANK(Предпосылки!$D63),$E$10,Предпосылки!$D63),SUM($D138,$D181),0)</f>
        <v>0</v>
      </c>
      <c s="125">
        <f>IF(BG$10=IF(ISBLANK(Предпосылки!$D63),$E$10,Предпосылки!$D63),SUM($D138,$D181),0)</f>
        <v>0</v>
      </c>
      <c s="125">
        <f>IF(BH$10=IF(ISBLANK(Предпосылки!$D63),$E$10,Предпосылки!$D63),SUM($D138,$D181),0)</f>
        <v>0</v>
      </c>
      <c s="125">
        <f>IF(BI$10=IF(ISBLANK(Предпосылки!$D63),$E$10,Предпосылки!$D63),SUM($D138,$D181),0)</f>
        <v>0</v>
      </c>
      <c s="125">
        <f>IF(BJ$10=IF(ISBLANK(Предпосылки!$D63),$E$10,Предпосылки!$D63),SUM($D138,$D181),0)</f>
        <v>0</v>
      </c>
      <c s="125">
        <f>IF(BK$10=IF(ISBLANK(Предпосылки!$D63),$E$10,Предпосылки!$D63),SUM($D138,$D181),0)</f>
        <v>0</v>
      </c>
      <c s="125">
        <f>IF(BL$10=IF(ISBLANK(Предпосылки!$D63),$E$10,Предпосылки!$D63),SUM($D138,$D181),0)</f>
        <v>0</v>
      </c>
      <c s="125">
        <f>IF(BM$10=IF(ISBLANK(Предпосылки!$D63),$E$10,Предпосылки!$D63),SUM($D138,$D181),0)</f>
        <v>0</v>
      </c>
    </row>
    <row r="312" spans="2:65" ht="15" customHeight="1">
      <c r="B312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IF(E$10=IF(ISBLANK(Предпосылки!$D64),$E$10,Предпосылки!$D64),SUM($D139,$D182),0)</f>
        <v>0</v>
      </c>
      <c s="125">
        <f>IF(F$10=IF(ISBLANK(Предпосылки!$D64),$E$10,Предпосылки!$D64),SUM($D139,$D182),0)</f>
        <v>0</v>
      </c>
      <c s="125">
        <f>IF(G$10=IF(ISBLANK(Предпосылки!$D64),$E$10,Предпосылки!$D64),SUM($D139,$D182),0)</f>
        <v>0</v>
      </c>
      <c s="125">
        <f>IF(H$10=IF(ISBLANK(Предпосылки!$D64),$E$10,Предпосылки!$D64),SUM($D139,$D182),0)</f>
        <v>0</v>
      </c>
      <c s="125">
        <f>IF(I$10=IF(ISBLANK(Предпосылки!$D64),$E$10,Предпосылки!$D64),SUM($D139,$D182),0)</f>
        <v>0</v>
      </c>
      <c s="125">
        <f>IF(J$10=IF(ISBLANK(Предпосылки!$D64),$E$10,Предпосылки!$D64),SUM($D139,$D182),0)</f>
        <v>0</v>
      </c>
      <c s="125">
        <f>IF(K$10=IF(ISBLANK(Предпосылки!$D64),$E$10,Предпосылки!$D64),SUM($D139,$D182),0)</f>
        <v>0</v>
      </c>
      <c s="125">
        <f>IF(L$10=IF(ISBLANK(Предпосылки!$D64),$E$10,Предпосылки!$D64),SUM($D139,$D182),0)</f>
        <v>0</v>
      </c>
      <c s="125">
        <f>IF(M$10=IF(ISBLANK(Предпосылки!$D64),$E$10,Предпосылки!$D64),SUM($D139,$D182),0)</f>
        <v>0</v>
      </c>
      <c s="125">
        <f>IF(N$10=IF(ISBLANK(Предпосылки!$D64),$E$10,Предпосылки!$D64),SUM($D139,$D182),0)</f>
        <v>0</v>
      </c>
      <c s="125">
        <f>IF(O$10=IF(ISBLANK(Предпосылки!$D64),$E$10,Предпосылки!$D64),SUM($D139,$D182),0)</f>
        <v>0</v>
      </c>
      <c s="125">
        <f>IF(P$10=IF(ISBLANK(Предпосылки!$D64),$E$10,Предпосылки!$D64),SUM($D139,$D182),0)</f>
        <v>0</v>
      </c>
      <c s="125">
        <f>IF(Q$10=IF(ISBLANK(Предпосылки!$D64),$E$10,Предпосылки!$D64),SUM($D139,$D182),0)</f>
        <v>0</v>
      </c>
      <c s="125">
        <f>IF(R$10=IF(ISBLANK(Предпосылки!$D64),$E$10,Предпосылки!$D64),SUM($D139,$D182),0)</f>
        <v>0</v>
      </c>
      <c s="125">
        <f>IF(S$10=IF(ISBLANK(Предпосылки!$D64),$E$10,Предпосылки!$D64),SUM($D139,$D182),0)</f>
        <v>0</v>
      </c>
      <c s="125">
        <f>IF(T$10=IF(ISBLANK(Предпосылки!$D64),$E$10,Предпосылки!$D64),SUM($D139,$D182),0)</f>
        <v>0</v>
      </c>
      <c s="125">
        <f>IF(U$10=IF(ISBLANK(Предпосылки!$D64),$E$10,Предпосылки!$D64),SUM($D139,$D182),0)</f>
        <v>0</v>
      </c>
      <c s="125">
        <f>IF(V$10=IF(ISBLANK(Предпосылки!$D64),$E$10,Предпосылки!$D64),SUM($D139,$D182),0)</f>
        <v>0</v>
      </c>
      <c s="125">
        <f>IF(W$10=IF(ISBLANK(Предпосылки!$D64),$E$10,Предпосылки!$D64),SUM($D139,$D182),0)</f>
        <v>0</v>
      </c>
      <c s="125">
        <f>IF(X$10=IF(ISBLANK(Предпосылки!$D64),$E$10,Предпосылки!$D64),SUM($D139,$D182),0)</f>
        <v>0</v>
      </c>
      <c s="125">
        <f>IF(Y$10=IF(ISBLANK(Предпосылки!$D64),$E$10,Предпосылки!$D64),SUM($D139,$D182),0)</f>
        <v>0</v>
      </c>
      <c s="125">
        <f>IF(Z$10=IF(ISBLANK(Предпосылки!$D64),$E$10,Предпосылки!$D64),SUM($D139,$D182),0)</f>
        <v>0</v>
      </c>
      <c s="125">
        <f>IF(AA$10=IF(ISBLANK(Предпосылки!$D64),$E$10,Предпосылки!$D64),SUM($D139,$D182),0)</f>
        <v>0</v>
      </c>
      <c s="125">
        <f>IF(AB$10=IF(ISBLANK(Предпосылки!$D64),$E$10,Предпосылки!$D64),SUM($D139,$D182),0)</f>
        <v>0</v>
      </c>
      <c s="125">
        <f>IF(AC$10=IF(ISBLANK(Предпосылки!$D64),$E$10,Предпосылки!$D64),SUM($D139,$D182),0)</f>
        <v>0</v>
      </c>
      <c s="125">
        <f>IF(AD$10=IF(ISBLANK(Предпосылки!$D64),$E$10,Предпосылки!$D64),SUM($D139,$D182),0)</f>
        <v>0</v>
      </c>
      <c s="125">
        <f>IF(AE$10=IF(ISBLANK(Предпосылки!$D64),$E$10,Предпосылки!$D64),SUM($D139,$D182),0)</f>
        <v>0</v>
      </c>
      <c s="125">
        <f>IF(AF$10=IF(ISBLANK(Предпосылки!$D64),$E$10,Предпосылки!$D64),SUM($D139,$D182),0)</f>
        <v>0</v>
      </c>
      <c s="125">
        <f>IF(AG$10=IF(ISBLANK(Предпосылки!$D64),$E$10,Предпосылки!$D64),SUM($D139,$D182),0)</f>
        <v>0</v>
      </c>
      <c s="125">
        <f>IF(AH$10=IF(ISBLANK(Предпосылки!$D64),$E$10,Предпосылки!$D64),SUM($D139,$D182),0)</f>
        <v>0</v>
      </c>
      <c s="125">
        <f>IF(AI$10=IF(ISBLANK(Предпосылки!$D64),$E$10,Предпосылки!$D64),SUM($D139,$D182),0)</f>
        <v>0</v>
      </c>
      <c s="125">
        <f>IF(AJ$10=IF(ISBLANK(Предпосылки!$D64),$E$10,Предпосылки!$D64),SUM($D139,$D182),0)</f>
        <v>0</v>
      </c>
      <c s="125">
        <f>IF(AK$10=IF(ISBLANK(Предпосылки!$D64),$E$10,Предпосылки!$D64),SUM($D139,$D182),0)</f>
        <v>0</v>
      </c>
      <c s="125">
        <f>IF(AL$10=IF(ISBLANK(Предпосылки!$D64),$E$10,Предпосылки!$D64),SUM($D139,$D182),0)</f>
        <v>0</v>
      </c>
      <c s="125">
        <f>IF(AM$10=IF(ISBLANK(Предпосылки!$D64),$E$10,Предпосылки!$D64),SUM($D139,$D182),0)</f>
        <v>0</v>
      </c>
      <c s="125">
        <f>IF(AN$10=IF(ISBLANK(Предпосылки!$D64),$E$10,Предпосылки!$D64),SUM($D139,$D182),0)</f>
        <v>0</v>
      </c>
      <c s="125">
        <f>IF(AO$10=IF(ISBLANK(Предпосылки!$D64),$E$10,Предпосылки!$D64),SUM($D139,$D182),0)</f>
        <v>0</v>
      </c>
      <c s="125">
        <f>IF(AP$10=IF(ISBLANK(Предпосылки!$D64),$E$10,Предпосылки!$D64),SUM($D139,$D182),0)</f>
        <v>0</v>
      </c>
      <c s="125">
        <f>IF(AQ$10=IF(ISBLANK(Предпосылки!$D64),$E$10,Предпосылки!$D64),SUM($D139,$D182),0)</f>
        <v>0</v>
      </c>
      <c s="125">
        <f>IF(AR$10=IF(ISBLANK(Предпосылки!$D64),$E$10,Предпосылки!$D64),SUM($D139,$D182),0)</f>
        <v>0</v>
      </c>
      <c s="125">
        <f>IF(AS$10=IF(ISBLANK(Предпосылки!$D64),$E$10,Предпосылки!$D64),SUM($D139,$D182),0)</f>
        <v>0</v>
      </c>
      <c s="125">
        <f>IF(AT$10=IF(ISBLANK(Предпосылки!$D64),$E$10,Предпосылки!$D64),SUM($D139,$D182),0)</f>
        <v>0</v>
      </c>
      <c s="125">
        <f>IF(AU$10=IF(ISBLANK(Предпосылки!$D64),$E$10,Предпосылки!$D64),SUM($D139,$D182),0)</f>
        <v>0</v>
      </c>
      <c s="125">
        <f>IF(AV$10=IF(ISBLANK(Предпосылки!$D64),$E$10,Предпосылки!$D64),SUM($D139,$D182),0)</f>
        <v>0</v>
      </c>
      <c s="125">
        <f>IF(AW$10=IF(ISBLANK(Предпосылки!$D64),$E$10,Предпосылки!$D64),SUM($D139,$D182),0)</f>
        <v>0</v>
      </c>
      <c s="125">
        <f>IF(AX$10=IF(ISBLANK(Предпосылки!$D64),$E$10,Предпосылки!$D64),SUM($D139,$D182),0)</f>
        <v>0</v>
      </c>
      <c s="125">
        <f>IF(AY$10=IF(ISBLANK(Предпосылки!$D64),$E$10,Предпосылки!$D64),SUM($D139,$D182),0)</f>
        <v>0</v>
      </c>
      <c s="125">
        <f>IF(AZ$10=IF(ISBLANK(Предпосылки!$D64),$E$10,Предпосылки!$D64),SUM($D139,$D182),0)</f>
        <v>0</v>
      </c>
      <c s="125">
        <f>IF(BA$10=IF(ISBLANK(Предпосылки!$D64),$E$10,Предпосылки!$D64),SUM($D139,$D182),0)</f>
        <v>0</v>
      </c>
      <c s="125">
        <f>IF(BB$10=IF(ISBLANK(Предпосылки!$D64),$E$10,Предпосылки!$D64),SUM($D139,$D182),0)</f>
        <v>0</v>
      </c>
      <c s="125">
        <f>IF(BC$10=IF(ISBLANK(Предпосылки!$D64),$E$10,Предпосылки!$D64),SUM($D139,$D182),0)</f>
        <v>0</v>
      </c>
      <c s="125">
        <f>IF(BD$10=IF(ISBLANK(Предпосылки!$D64),$E$10,Предпосылки!$D64),SUM($D139,$D182),0)</f>
        <v>0</v>
      </c>
      <c s="125">
        <f>IF(BE$10=IF(ISBLANK(Предпосылки!$D64),$E$10,Предпосылки!$D64),SUM($D139,$D182),0)</f>
        <v>0</v>
      </c>
      <c s="125">
        <f>IF(BF$10=IF(ISBLANK(Предпосылки!$D64),$E$10,Предпосылки!$D64),SUM($D139,$D182),0)</f>
        <v>0</v>
      </c>
      <c s="125">
        <f>IF(BG$10=IF(ISBLANK(Предпосылки!$D64),$E$10,Предпосылки!$D64),SUM($D139,$D182),0)</f>
        <v>0</v>
      </c>
      <c s="125">
        <f>IF(BH$10=IF(ISBLANK(Предпосылки!$D64),$E$10,Предпосылки!$D64),SUM($D139,$D182),0)</f>
        <v>0</v>
      </c>
      <c s="125">
        <f>IF(BI$10=IF(ISBLANK(Предпосылки!$D64),$E$10,Предпосылки!$D64),SUM($D139,$D182),0)</f>
        <v>0</v>
      </c>
      <c s="125">
        <f>IF(BJ$10=IF(ISBLANK(Предпосылки!$D64),$E$10,Предпосылки!$D64),SUM($D139,$D182),0)</f>
        <v>0</v>
      </c>
      <c s="125">
        <f>IF(BK$10=IF(ISBLANK(Предпосылки!$D64),$E$10,Предпосылки!$D64),SUM($D139,$D182),0)</f>
        <v>0</v>
      </c>
      <c s="125">
        <f>IF(BL$10=IF(ISBLANK(Предпосылки!$D64),$E$10,Предпосылки!$D64),SUM($D139,$D182),0)</f>
        <v>0</v>
      </c>
      <c s="125">
        <f>IF(BM$10=IF(ISBLANK(Предпосылки!$D64),$E$10,Предпосылки!$D64),SUM($D139,$D182),0)</f>
        <v>0</v>
      </c>
    </row>
    <row r="313" spans="2:65" ht="15" customHeight="1">
      <c r="B313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IF(E$10=IF(ISBLANK(Предпосылки!$D65),$E$10,Предпосылки!$D65),SUM($D140,$D183),0)</f>
        <v>0</v>
      </c>
      <c s="125">
        <f>IF(F$10=IF(ISBLANK(Предпосылки!$D65),$E$10,Предпосылки!$D65),SUM($D140,$D183),0)</f>
        <v>0</v>
      </c>
      <c s="125">
        <f>IF(G$10=IF(ISBLANK(Предпосылки!$D65),$E$10,Предпосылки!$D65),SUM($D140,$D183),0)</f>
        <v>0</v>
      </c>
      <c s="125">
        <f>IF(H$10=IF(ISBLANK(Предпосылки!$D65),$E$10,Предпосылки!$D65),SUM($D140,$D183),0)</f>
        <v>0</v>
      </c>
      <c s="125">
        <f>IF(I$10=IF(ISBLANK(Предпосылки!$D65),$E$10,Предпосылки!$D65),SUM($D140,$D183),0)</f>
        <v>0</v>
      </c>
      <c s="125">
        <f>IF(J$10=IF(ISBLANK(Предпосылки!$D65),$E$10,Предпосылки!$D65),SUM($D140,$D183),0)</f>
        <v>0</v>
      </c>
      <c s="125">
        <f>IF(K$10=IF(ISBLANK(Предпосылки!$D65),$E$10,Предпосылки!$D65),SUM($D140,$D183),0)</f>
        <v>0</v>
      </c>
      <c s="125">
        <f>IF(L$10=IF(ISBLANK(Предпосылки!$D65),$E$10,Предпосылки!$D65),SUM($D140,$D183),0)</f>
        <v>0</v>
      </c>
      <c s="125">
        <f>IF(M$10=IF(ISBLANK(Предпосылки!$D65),$E$10,Предпосылки!$D65),SUM($D140,$D183),0)</f>
        <v>0</v>
      </c>
      <c s="125">
        <f>IF(N$10=IF(ISBLANK(Предпосылки!$D65),$E$10,Предпосылки!$D65),SUM($D140,$D183),0)</f>
        <v>0</v>
      </c>
      <c s="125">
        <f>IF(O$10=IF(ISBLANK(Предпосылки!$D65),$E$10,Предпосылки!$D65),SUM($D140,$D183),0)</f>
        <v>0</v>
      </c>
      <c s="125">
        <f>IF(P$10=IF(ISBLANK(Предпосылки!$D65),$E$10,Предпосылки!$D65),SUM($D140,$D183),0)</f>
        <v>0</v>
      </c>
      <c s="125">
        <f>IF(Q$10=IF(ISBLANK(Предпосылки!$D65),$E$10,Предпосылки!$D65),SUM($D140,$D183),0)</f>
        <v>0</v>
      </c>
      <c s="125">
        <f>IF(R$10=IF(ISBLANK(Предпосылки!$D65),$E$10,Предпосылки!$D65),SUM($D140,$D183),0)</f>
        <v>0</v>
      </c>
      <c s="125">
        <f>IF(S$10=IF(ISBLANK(Предпосылки!$D65),$E$10,Предпосылки!$D65),SUM($D140,$D183),0)</f>
        <v>0</v>
      </c>
      <c s="125">
        <f>IF(T$10=IF(ISBLANK(Предпосылки!$D65),$E$10,Предпосылки!$D65),SUM($D140,$D183),0)</f>
        <v>0</v>
      </c>
      <c s="125">
        <f>IF(U$10=IF(ISBLANK(Предпосылки!$D65),$E$10,Предпосылки!$D65),SUM($D140,$D183),0)</f>
        <v>0</v>
      </c>
      <c s="125">
        <f>IF(V$10=IF(ISBLANK(Предпосылки!$D65),$E$10,Предпосылки!$D65),SUM($D140,$D183),0)</f>
        <v>0</v>
      </c>
      <c s="125">
        <f>IF(W$10=IF(ISBLANK(Предпосылки!$D65),$E$10,Предпосылки!$D65),SUM($D140,$D183),0)</f>
        <v>0</v>
      </c>
      <c s="125">
        <f>IF(X$10=IF(ISBLANK(Предпосылки!$D65),$E$10,Предпосылки!$D65),SUM($D140,$D183),0)</f>
        <v>0</v>
      </c>
      <c s="125">
        <f>IF(Y$10=IF(ISBLANK(Предпосылки!$D65),$E$10,Предпосылки!$D65),SUM($D140,$D183),0)</f>
        <v>0</v>
      </c>
      <c s="125">
        <f>IF(Z$10=IF(ISBLANK(Предпосылки!$D65),$E$10,Предпосылки!$D65),SUM($D140,$D183),0)</f>
        <v>0</v>
      </c>
      <c s="125">
        <f>IF(AA$10=IF(ISBLANK(Предпосылки!$D65),$E$10,Предпосылки!$D65),SUM($D140,$D183),0)</f>
        <v>0</v>
      </c>
      <c s="125">
        <f>IF(AB$10=IF(ISBLANK(Предпосылки!$D65),$E$10,Предпосылки!$D65),SUM($D140,$D183),0)</f>
        <v>0</v>
      </c>
      <c s="125">
        <f>IF(AC$10=IF(ISBLANK(Предпосылки!$D65),$E$10,Предпосылки!$D65),SUM($D140,$D183),0)</f>
        <v>0</v>
      </c>
      <c s="125">
        <f>IF(AD$10=IF(ISBLANK(Предпосылки!$D65),$E$10,Предпосылки!$D65),SUM($D140,$D183),0)</f>
        <v>0</v>
      </c>
      <c s="125">
        <f>IF(AE$10=IF(ISBLANK(Предпосылки!$D65),$E$10,Предпосылки!$D65),SUM($D140,$D183),0)</f>
        <v>0</v>
      </c>
      <c s="125">
        <f>IF(AF$10=IF(ISBLANK(Предпосылки!$D65),$E$10,Предпосылки!$D65),SUM($D140,$D183),0)</f>
        <v>0</v>
      </c>
      <c s="125">
        <f>IF(AG$10=IF(ISBLANK(Предпосылки!$D65),$E$10,Предпосылки!$D65),SUM($D140,$D183),0)</f>
        <v>0</v>
      </c>
      <c s="125">
        <f>IF(AH$10=IF(ISBLANK(Предпосылки!$D65),$E$10,Предпосылки!$D65),SUM($D140,$D183),0)</f>
        <v>0</v>
      </c>
      <c s="125">
        <f>IF(AI$10=IF(ISBLANK(Предпосылки!$D65),$E$10,Предпосылки!$D65),SUM($D140,$D183),0)</f>
        <v>0</v>
      </c>
      <c s="125">
        <f>IF(AJ$10=IF(ISBLANK(Предпосылки!$D65),$E$10,Предпосылки!$D65),SUM($D140,$D183),0)</f>
        <v>0</v>
      </c>
      <c s="125">
        <f>IF(AK$10=IF(ISBLANK(Предпосылки!$D65),$E$10,Предпосылки!$D65),SUM($D140,$D183),0)</f>
        <v>0</v>
      </c>
      <c s="125">
        <f>IF(AL$10=IF(ISBLANK(Предпосылки!$D65),$E$10,Предпосылки!$D65),SUM($D140,$D183),0)</f>
        <v>0</v>
      </c>
      <c s="125">
        <f>IF(AM$10=IF(ISBLANK(Предпосылки!$D65),$E$10,Предпосылки!$D65),SUM($D140,$D183),0)</f>
        <v>0</v>
      </c>
      <c s="125">
        <f>IF(AN$10=IF(ISBLANK(Предпосылки!$D65),$E$10,Предпосылки!$D65),SUM($D140,$D183),0)</f>
        <v>0</v>
      </c>
      <c s="125">
        <f>IF(AO$10=IF(ISBLANK(Предпосылки!$D65),$E$10,Предпосылки!$D65),SUM($D140,$D183),0)</f>
        <v>0</v>
      </c>
      <c s="125">
        <f>IF(AP$10=IF(ISBLANK(Предпосылки!$D65),$E$10,Предпосылки!$D65),SUM($D140,$D183),0)</f>
        <v>0</v>
      </c>
      <c s="125">
        <f>IF(AQ$10=IF(ISBLANK(Предпосылки!$D65),$E$10,Предпосылки!$D65),SUM($D140,$D183),0)</f>
        <v>0</v>
      </c>
      <c s="125">
        <f>IF(AR$10=IF(ISBLANK(Предпосылки!$D65),$E$10,Предпосылки!$D65),SUM($D140,$D183),0)</f>
        <v>0</v>
      </c>
      <c s="125">
        <f>IF(AS$10=IF(ISBLANK(Предпосылки!$D65),$E$10,Предпосылки!$D65),SUM($D140,$D183),0)</f>
        <v>0</v>
      </c>
      <c s="125">
        <f>IF(AT$10=IF(ISBLANK(Предпосылки!$D65),$E$10,Предпосылки!$D65),SUM($D140,$D183),0)</f>
        <v>0</v>
      </c>
      <c s="125">
        <f>IF(AU$10=IF(ISBLANK(Предпосылки!$D65),$E$10,Предпосылки!$D65),SUM($D140,$D183),0)</f>
        <v>0</v>
      </c>
      <c s="125">
        <f>IF(AV$10=IF(ISBLANK(Предпосылки!$D65),$E$10,Предпосылки!$D65),SUM($D140,$D183),0)</f>
        <v>0</v>
      </c>
      <c s="125">
        <f>IF(AW$10=IF(ISBLANK(Предпосылки!$D65),$E$10,Предпосылки!$D65),SUM($D140,$D183),0)</f>
        <v>0</v>
      </c>
      <c s="125">
        <f>IF(AX$10=IF(ISBLANK(Предпосылки!$D65),$E$10,Предпосылки!$D65),SUM($D140,$D183),0)</f>
        <v>0</v>
      </c>
      <c s="125">
        <f>IF(AY$10=IF(ISBLANK(Предпосылки!$D65),$E$10,Предпосылки!$D65),SUM($D140,$D183),0)</f>
        <v>0</v>
      </c>
      <c s="125">
        <f>IF(AZ$10=IF(ISBLANK(Предпосылки!$D65),$E$10,Предпосылки!$D65),SUM($D140,$D183),0)</f>
        <v>0</v>
      </c>
      <c s="125">
        <f>IF(BA$10=IF(ISBLANK(Предпосылки!$D65),$E$10,Предпосылки!$D65),SUM($D140,$D183),0)</f>
        <v>0</v>
      </c>
      <c s="125">
        <f>IF(BB$10=IF(ISBLANK(Предпосылки!$D65),$E$10,Предпосылки!$D65),SUM($D140,$D183),0)</f>
        <v>0</v>
      </c>
      <c s="125">
        <f>IF(BC$10=IF(ISBLANK(Предпосылки!$D65),$E$10,Предпосылки!$D65),SUM($D140,$D183),0)</f>
        <v>0</v>
      </c>
      <c s="125">
        <f>IF(BD$10=IF(ISBLANK(Предпосылки!$D65),$E$10,Предпосылки!$D65),SUM($D140,$D183),0)</f>
        <v>0</v>
      </c>
      <c s="125">
        <f>IF(BE$10=IF(ISBLANK(Предпосылки!$D65),$E$10,Предпосылки!$D65),SUM($D140,$D183),0)</f>
        <v>0</v>
      </c>
      <c s="125">
        <f>IF(BF$10=IF(ISBLANK(Предпосылки!$D65),$E$10,Предпосылки!$D65),SUM($D140,$D183),0)</f>
        <v>0</v>
      </c>
      <c s="125">
        <f>IF(BG$10=IF(ISBLANK(Предпосылки!$D65),$E$10,Предпосылки!$D65),SUM($D140,$D183),0)</f>
        <v>0</v>
      </c>
      <c s="125">
        <f>IF(BH$10=IF(ISBLANK(Предпосылки!$D65),$E$10,Предпосылки!$D65),SUM($D140,$D183),0)</f>
        <v>0</v>
      </c>
      <c s="125">
        <f>IF(BI$10=IF(ISBLANK(Предпосылки!$D65),$E$10,Предпосылки!$D65),SUM($D140,$D183),0)</f>
        <v>0</v>
      </c>
      <c s="125">
        <f>IF(BJ$10=IF(ISBLANK(Предпосылки!$D65),$E$10,Предпосылки!$D65),SUM($D140,$D183),0)</f>
        <v>0</v>
      </c>
      <c s="125">
        <f>IF(BK$10=IF(ISBLANK(Предпосылки!$D65),$E$10,Предпосылки!$D65),SUM($D140,$D183),0)</f>
        <v>0</v>
      </c>
      <c s="125">
        <f>IF(BL$10=IF(ISBLANK(Предпосылки!$D65),$E$10,Предпосылки!$D65),SUM($D140,$D183),0)</f>
        <v>0</v>
      </c>
      <c s="125">
        <f>IF(BM$10=IF(ISBLANK(Предпосылки!$D65),$E$10,Предпосылки!$D65),SUM($D140,$D183),0)</f>
        <v>0</v>
      </c>
    </row>
    <row r="314" spans="2:65" ht="15" customHeight="1">
      <c r="B314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IF(E$10=IF(ISBLANK(Предпосылки!$D66),$E$10,Предпосылки!$D66),SUM($D141,$D184),0)</f>
        <v>0</v>
      </c>
      <c s="125">
        <f>IF(F$10=IF(ISBLANK(Предпосылки!$D66),$E$10,Предпосылки!$D66),SUM($D141,$D184),0)</f>
        <v>0</v>
      </c>
      <c s="125">
        <f>IF(G$10=IF(ISBLANK(Предпосылки!$D66),$E$10,Предпосылки!$D66),SUM($D141,$D184),0)</f>
        <v>0</v>
      </c>
      <c s="125">
        <f>IF(H$10=IF(ISBLANK(Предпосылки!$D66),$E$10,Предпосылки!$D66),SUM($D141,$D184),0)</f>
        <v>0</v>
      </c>
      <c s="125">
        <f>IF(I$10=IF(ISBLANK(Предпосылки!$D66),$E$10,Предпосылки!$D66),SUM($D141,$D184),0)</f>
        <v>0</v>
      </c>
      <c s="125">
        <f>IF(J$10=IF(ISBLANK(Предпосылки!$D66),$E$10,Предпосылки!$D66),SUM($D141,$D184),0)</f>
        <v>0</v>
      </c>
      <c s="125">
        <f>IF(K$10=IF(ISBLANK(Предпосылки!$D66),$E$10,Предпосылки!$D66),SUM($D141,$D184),0)</f>
        <v>0</v>
      </c>
      <c s="125">
        <f>IF(L$10=IF(ISBLANK(Предпосылки!$D66),$E$10,Предпосылки!$D66),SUM($D141,$D184),0)</f>
        <v>0</v>
      </c>
      <c s="125">
        <f>IF(M$10=IF(ISBLANK(Предпосылки!$D66),$E$10,Предпосылки!$D66),SUM($D141,$D184),0)</f>
        <v>0</v>
      </c>
      <c s="125">
        <f>IF(N$10=IF(ISBLANK(Предпосылки!$D66),$E$10,Предпосылки!$D66),SUM($D141,$D184),0)</f>
        <v>0</v>
      </c>
      <c s="125">
        <f>IF(O$10=IF(ISBLANK(Предпосылки!$D66),$E$10,Предпосылки!$D66),SUM($D141,$D184),0)</f>
        <v>0</v>
      </c>
      <c s="125">
        <f>IF(P$10=IF(ISBLANK(Предпосылки!$D66),$E$10,Предпосылки!$D66),SUM($D141,$D184),0)</f>
        <v>0</v>
      </c>
      <c s="125">
        <f>IF(Q$10=IF(ISBLANK(Предпосылки!$D66),$E$10,Предпосылки!$D66),SUM($D141,$D184),0)</f>
        <v>0</v>
      </c>
      <c s="125">
        <f>IF(R$10=IF(ISBLANK(Предпосылки!$D66),$E$10,Предпосылки!$D66),SUM($D141,$D184),0)</f>
        <v>0</v>
      </c>
      <c s="125">
        <f>IF(S$10=IF(ISBLANK(Предпосылки!$D66),$E$10,Предпосылки!$D66),SUM($D141,$D184),0)</f>
        <v>0</v>
      </c>
      <c s="125">
        <f>IF(T$10=IF(ISBLANK(Предпосылки!$D66),$E$10,Предпосылки!$D66),SUM($D141,$D184),0)</f>
        <v>0</v>
      </c>
      <c s="125">
        <f>IF(U$10=IF(ISBLANK(Предпосылки!$D66),$E$10,Предпосылки!$D66),SUM($D141,$D184),0)</f>
        <v>0</v>
      </c>
      <c s="125">
        <f>IF(V$10=IF(ISBLANK(Предпосылки!$D66),$E$10,Предпосылки!$D66),SUM($D141,$D184),0)</f>
        <v>0</v>
      </c>
      <c s="125">
        <f>IF(W$10=IF(ISBLANK(Предпосылки!$D66),$E$10,Предпосылки!$D66),SUM($D141,$D184),0)</f>
        <v>0</v>
      </c>
      <c s="125">
        <f>IF(X$10=IF(ISBLANK(Предпосылки!$D66),$E$10,Предпосылки!$D66),SUM($D141,$D184),0)</f>
        <v>0</v>
      </c>
      <c s="125">
        <f>IF(Y$10=IF(ISBLANK(Предпосылки!$D66),$E$10,Предпосылки!$D66),SUM($D141,$D184),0)</f>
        <v>0</v>
      </c>
      <c s="125">
        <f>IF(Z$10=IF(ISBLANK(Предпосылки!$D66),$E$10,Предпосылки!$D66),SUM($D141,$D184),0)</f>
        <v>0</v>
      </c>
      <c s="125">
        <f>IF(AA$10=IF(ISBLANK(Предпосылки!$D66),$E$10,Предпосылки!$D66),SUM($D141,$D184),0)</f>
        <v>0</v>
      </c>
      <c s="125">
        <f>IF(AB$10=IF(ISBLANK(Предпосылки!$D66),$E$10,Предпосылки!$D66),SUM($D141,$D184),0)</f>
        <v>0</v>
      </c>
      <c s="125">
        <f>IF(AC$10=IF(ISBLANK(Предпосылки!$D66),$E$10,Предпосылки!$D66),SUM($D141,$D184),0)</f>
        <v>0</v>
      </c>
      <c s="125">
        <f>IF(AD$10=IF(ISBLANK(Предпосылки!$D66),$E$10,Предпосылки!$D66),SUM($D141,$D184),0)</f>
        <v>0</v>
      </c>
      <c s="125">
        <f>IF(AE$10=IF(ISBLANK(Предпосылки!$D66),$E$10,Предпосылки!$D66),SUM($D141,$D184),0)</f>
        <v>0</v>
      </c>
      <c s="125">
        <f>IF(AF$10=IF(ISBLANK(Предпосылки!$D66),$E$10,Предпосылки!$D66),SUM($D141,$D184),0)</f>
        <v>0</v>
      </c>
      <c s="125">
        <f>IF(AG$10=IF(ISBLANK(Предпосылки!$D66),$E$10,Предпосылки!$D66),SUM($D141,$D184),0)</f>
        <v>0</v>
      </c>
      <c s="125">
        <f>IF(AH$10=IF(ISBLANK(Предпосылки!$D66),$E$10,Предпосылки!$D66),SUM($D141,$D184),0)</f>
        <v>0</v>
      </c>
      <c s="125">
        <f>IF(AI$10=IF(ISBLANK(Предпосылки!$D66),$E$10,Предпосылки!$D66),SUM($D141,$D184),0)</f>
        <v>0</v>
      </c>
      <c s="125">
        <f>IF(AJ$10=IF(ISBLANK(Предпосылки!$D66),$E$10,Предпосылки!$D66),SUM($D141,$D184),0)</f>
        <v>0</v>
      </c>
      <c s="125">
        <f>IF(AK$10=IF(ISBLANK(Предпосылки!$D66),$E$10,Предпосылки!$D66),SUM($D141,$D184),0)</f>
        <v>0</v>
      </c>
      <c s="125">
        <f>IF(AL$10=IF(ISBLANK(Предпосылки!$D66),$E$10,Предпосылки!$D66),SUM($D141,$D184),0)</f>
        <v>0</v>
      </c>
      <c s="125">
        <f>IF(AM$10=IF(ISBLANK(Предпосылки!$D66),$E$10,Предпосылки!$D66),SUM($D141,$D184),0)</f>
        <v>0</v>
      </c>
      <c s="125">
        <f>IF(AN$10=IF(ISBLANK(Предпосылки!$D66),$E$10,Предпосылки!$D66),SUM($D141,$D184),0)</f>
        <v>0</v>
      </c>
      <c s="125">
        <f>IF(AO$10=IF(ISBLANK(Предпосылки!$D66),$E$10,Предпосылки!$D66),SUM($D141,$D184),0)</f>
        <v>0</v>
      </c>
      <c s="125">
        <f>IF(AP$10=IF(ISBLANK(Предпосылки!$D66),$E$10,Предпосылки!$D66),SUM($D141,$D184),0)</f>
        <v>0</v>
      </c>
      <c s="125">
        <f>IF(AQ$10=IF(ISBLANK(Предпосылки!$D66),$E$10,Предпосылки!$D66),SUM($D141,$D184),0)</f>
        <v>0</v>
      </c>
      <c s="125">
        <f>IF(AR$10=IF(ISBLANK(Предпосылки!$D66),$E$10,Предпосылки!$D66),SUM($D141,$D184),0)</f>
        <v>0</v>
      </c>
      <c s="125">
        <f>IF(AS$10=IF(ISBLANK(Предпосылки!$D66),$E$10,Предпосылки!$D66),SUM($D141,$D184),0)</f>
        <v>0</v>
      </c>
      <c s="125">
        <f>IF(AT$10=IF(ISBLANK(Предпосылки!$D66),$E$10,Предпосылки!$D66),SUM($D141,$D184),0)</f>
        <v>0</v>
      </c>
      <c s="125">
        <f>IF(AU$10=IF(ISBLANK(Предпосылки!$D66),$E$10,Предпосылки!$D66),SUM($D141,$D184),0)</f>
        <v>0</v>
      </c>
      <c s="125">
        <f>IF(AV$10=IF(ISBLANK(Предпосылки!$D66),$E$10,Предпосылки!$D66),SUM($D141,$D184),0)</f>
        <v>0</v>
      </c>
      <c s="125">
        <f>IF(AW$10=IF(ISBLANK(Предпосылки!$D66),$E$10,Предпосылки!$D66),SUM($D141,$D184),0)</f>
        <v>0</v>
      </c>
      <c s="125">
        <f>IF(AX$10=IF(ISBLANK(Предпосылки!$D66),$E$10,Предпосылки!$D66),SUM($D141,$D184),0)</f>
        <v>0</v>
      </c>
      <c s="125">
        <f>IF(AY$10=IF(ISBLANK(Предпосылки!$D66),$E$10,Предпосылки!$D66),SUM($D141,$D184),0)</f>
        <v>0</v>
      </c>
      <c s="125">
        <f>IF(AZ$10=IF(ISBLANK(Предпосылки!$D66),$E$10,Предпосылки!$D66),SUM($D141,$D184),0)</f>
        <v>0</v>
      </c>
      <c s="125">
        <f>IF(BA$10=IF(ISBLANK(Предпосылки!$D66),$E$10,Предпосылки!$D66),SUM($D141,$D184),0)</f>
        <v>0</v>
      </c>
      <c s="125">
        <f>IF(BB$10=IF(ISBLANK(Предпосылки!$D66),$E$10,Предпосылки!$D66),SUM($D141,$D184),0)</f>
        <v>0</v>
      </c>
      <c s="125">
        <f>IF(BC$10=IF(ISBLANK(Предпосылки!$D66),$E$10,Предпосылки!$D66),SUM($D141,$D184),0)</f>
        <v>0</v>
      </c>
      <c s="125">
        <f>IF(BD$10=IF(ISBLANK(Предпосылки!$D66),$E$10,Предпосылки!$D66),SUM($D141,$D184),0)</f>
        <v>0</v>
      </c>
      <c s="125">
        <f>IF(BE$10=IF(ISBLANK(Предпосылки!$D66),$E$10,Предпосылки!$D66),SUM($D141,$D184),0)</f>
        <v>0</v>
      </c>
      <c s="125">
        <f>IF(BF$10=IF(ISBLANK(Предпосылки!$D66),$E$10,Предпосылки!$D66),SUM($D141,$D184),0)</f>
        <v>0</v>
      </c>
      <c s="125">
        <f>IF(BG$10=IF(ISBLANK(Предпосылки!$D66),$E$10,Предпосылки!$D66),SUM($D141,$D184),0)</f>
        <v>0</v>
      </c>
      <c s="125">
        <f>IF(BH$10=IF(ISBLANK(Предпосылки!$D66),$E$10,Предпосылки!$D66),SUM($D141,$D184),0)</f>
        <v>0</v>
      </c>
      <c s="125">
        <f>IF(BI$10=IF(ISBLANK(Предпосылки!$D66),$E$10,Предпосылки!$D66),SUM($D141,$D184),0)</f>
        <v>0</v>
      </c>
      <c s="125">
        <f>IF(BJ$10=IF(ISBLANK(Предпосылки!$D66),$E$10,Предпосылки!$D66),SUM($D141,$D184),0)</f>
        <v>0</v>
      </c>
      <c s="125">
        <f>IF(BK$10=IF(ISBLANK(Предпосылки!$D66),$E$10,Предпосылки!$D66),SUM($D141,$D184),0)</f>
        <v>0</v>
      </c>
      <c s="125">
        <f>IF(BL$10=IF(ISBLANK(Предпосылки!$D66),$E$10,Предпосылки!$D66),SUM($D141,$D184),0)</f>
        <v>0</v>
      </c>
      <c s="125">
        <f>IF(BM$10=IF(ISBLANK(Предпосылки!$D66),$E$10,Предпосылки!$D66),SUM($D141,$D184),0)</f>
        <v>0</v>
      </c>
    </row>
    <row r="315" spans="2:65" ht="15" customHeight="1">
      <c r="B315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IF(E$10=IF(ISBLANK(Предпосылки!$D67),$E$10,Предпосылки!$D67),SUM($D142,$D185),0)</f>
        <v>0</v>
      </c>
      <c s="125">
        <f>IF(F$10=IF(ISBLANK(Предпосылки!$D67),$E$10,Предпосылки!$D67),SUM($D142,$D185),0)</f>
        <v>0</v>
      </c>
      <c s="125">
        <f>IF(G$10=IF(ISBLANK(Предпосылки!$D67),$E$10,Предпосылки!$D67),SUM($D142,$D185),0)</f>
        <v>0</v>
      </c>
      <c s="125">
        <f>IF(H$10=IF(ISBLANK(Предпосылки!$D67),$E$10,Предпосылки!$D67),SUM($D142,$D185),0)</f>
        <v>0</v>
      </c>
      <c s="125">
        <f>IF(I$10=IF(ISBLANK(Предпосылки!$D67),$E$10,Предпосылки!$D67),SUM($D142,$D185),0)</f>
        <v>0</v>
      </c>
      <c s="125">
        <f>IF(J$10=IF(ISBLANK(Предпосылки!$D67),$E$10,Предпосылки!$D67),SUM($D142,$D185),0)</f>
        <v>0</v>
      </c>
      <c s="125">
        <f>IF(K$10=IF(ISBLANK(Предпосылки!$D67),$E$10,Предпосылки!$D67),SUM($D142,$D185),0)</f>
        <v>0</v>
      </c>
      <c s="125">
        <f>IF(L$10=IF(ISBLANK(Предпосылки!$D67),$E$10,Предпосылки!$D67),SUM($D142,$D185),0)</f>
        <v>0</v>
      </c>
      <c s="125">
        <f>IF(M$10=IF(ISBLANK(Предпосылки!$D67),$E$10,Предпосылки!$D67),SUM($D142,$D185),0)</f>
        <v>0</v>
      </c>
      <c s="125">
        <f>IF(N$10=IF(ISBLANK(Предпосылки!$D67),$E$10,Предпосылки!$D67),SUM($D142,$D185),0)</f>
        <v>0</v>
      </c>
      <c s="125">
        <f>IF(O$10=IF(ISBLANK(Предпосылки!$D67),$E$10,Предпосылки!$D67),SUM($D142,$D185),0)</f>
        <v>0</v>
      </c>
      <c s="125">
        <f>IF(P$10=IF(ISBLANK(Предпосылки!$D67),$E$10,Предпосылки!$D67),SUM($D142,$D185),0)</f>
        <v>0</v>
      </c>
      <c s="125">
        <f>IF(Q$10=IF(ISBLANK(Предпосылки!$D67),$E$10,Предпосылки!$D67),SUM($D142,$D185),0)</f>
        <v>0</v>
      </c>
      <c s="125">
        <f>IF(R$10=IF(ISBLANK(Предпосылки!$D67),$E$10,Предпосылки!$D67),SUM($D142,$D185),0)</f>
        <v>0</v>
      </c>
      <c s="125">
        <f>IF(S$10=IF(ISBLANK(Предпосылки!$D67),$E$10,Предпосылки!$D67),SUM($D142,$D185),0)</f>
        <v>0</v>
      </c>
      <c s="125">
        <f>IF(T$10=IF(ISBLANK(Предпосылки!$D67),$E$10,Предпосылки!$D67),SUM($D142,$D185),0)</f>
        <v>0</v>
      </c>
      <c s="125">
        <f>IF(U$10=IF(ISBLANK(Предпосылки!$D67),$E$10,Предпосылки!$D67),SUM($D142,$D185),0)</f>
        <v>0</v>
      </c>
      <c s="125">
        <f>IF(V$10=IF(ISBLANK(Предпосылки!$D67),$E$10,Предпосылки!$D67),SUM($D142,$D185),0)</f>
        <v>0</v>
      </c>
      <c s="125">
        <f>IF(W$10=IF(ISBLANK(Предпосылки!$D67),$E$10,Предпосылки!$D67),SUM($D142,$D185),0)</f>
        <v>0</v>
      </c>
      <c s="125">
        <f>IF(X$10=IF(ISBLANK(Предпосылки!$D67),$E$10,Предпосылки!$D67),SUM($D142,$D185),0)</f>
        <v>0</v>
      </c>
      <c s="125">
        <f>IF(Y$10=IF(ISBLANK(Предпосылки!$D67),$E$10,Предпосылки!$D67),SUM($D142,$D185),0)</f>
        <v>0</v>
      </c>
      <c s="125">
        <f>IF(Z$10=IF(ISBLANK(Предпосылки!$D67),$E$10,Предпосылки!$D67),SUM($D142,$D185),0)</f>
        <v>0</v>
      </c>
      <c s="125">
        <f>IF(AA$10=IF(ISBLANK(Предпосылки!$D67),$E$10,Предпосылки!$D67),SUM($D142,$D185),0)</f>
        <v>0</v>
      </c>
      <c s="125">
        <f>IF(AB$10=IF(ISBLANK(Предпосылки!$D67),$E$10,Предпосылки!$D67),SUM($D142,$D185),0)</f>
        <v>0</v>
      </c>
      <c s="125">
        <f>IF(AC$10=IF(ISBLANK(Предпосылки!$D67),$E$10,Предпосылки!$D67),SUM($D142,$D185),0)</f>
        <v>0</v>
      </c>
      <c s="125">
        <f>IF(AD$10=IF(ISBLANK(Предпосылки!$D67),$E$10,Предпосылки!$D67),SUM($D142,$D185),0)</f>
        <v>0</v>
      </c>
      <c s="125">
        <f>IF(AE$10=IF(ISBLANK(Предпосылки!$D67),$E$10,Предпосылки!$D67),SUM($D142,$D185),0)</f>
        <v>0</v>
      </c>
      <c s="125">
        <f>IF(AF$10=IF(ISBLANK(Предпосылки!$D67),$E$10,Предпосылки!$D67),SUM($D142,$D185),0)</f>
        <v>0</v>
      </c>
      <c s="125">
        <f>IF(AG$10=IF(ISBLANK(Предпосылки!$D67),$E$10,Предпосылки!$D67),SUM($D142,$D185),0)</f>
        <v>0</v>
      </c>
      <c s="125">
        <f>IF(AH$10=IF(ISBLANK(Предпосылки!$D67),$E$10,Предпосылки!$D67),SUM($D142,$D185),0)</f>
        <v>0</v>
      </c>
      <c s="125">
        <f>IF(AI$10=IF(ISBLANK(Предпосылки!$D67),$E$10,Предпосылки!$D67),SUM($D142,$D185),0)</f>
        <v>0</v>
      </c>
      <c s="125">
        <f>IF(AJ$10=IF(ISBLANK(Предпосылки!$D67),$E$10,Предпосылки!$D67),SUM($D142,$D185),0)</f>
        <v>0</v>
      </c>
      <c s="125">
        <f>IF(AK$10=IF(ISBLANK(Предпосылки!$D67),$E$10,Предпосылки!$D67),SUM($D142,$D185),0)</f>
        <v>0</v>
      </c>
      <c s="125">
        <f>IF(AL$10=IF(ISBLANK(Предпосылки!$D67),$E$10,Предпосылки!$D67),SUM($D142,$D185),0)</f>
        <v>0</v>
      </c>
      <c s="125">
        <f>IF(AM$10=IF(ISBLANK(Предпосылки!$D67),$E$10,Предпосылки!$D67),SUM($D142,$D185),0)</f>
        <v>0</v>
      </c>
      <c s="125">
        <f>IF(AN$10=IF(ISBLANK(Предпосылки!$D67),$E$10,Предпосылки!$D67),SUM($D142,$D185),0)</f>
        <v>0</v>
      </c>
      <c s="125">
        <f>IF(AO$10=IF(ISBLANK(Предпосылки!$D67),$E$10,Предпосылки!$D67),SUM($D142,$D185),0)</f>
        <v>0</v>
      </c>
      <c s="125">
        <f>IF(AP$10=IF(ISBLANK(Предпосылки!$D67),$E$10,Предпосылки!$D67),SUM($D142,$D185),0)</f>
        <v>0</v>
      </c>
      <c s="125">
        <f>IF(AQ$10=IF(ISBLANK(Предпосылки!$D67),$E$10,Предпосылки!$D67),SUM($D142,$D185),0)</f>
        <v>0</v>
      </c>
      <c s="125">
        <f>IF(AR$10=IF(ISBLANK(Предпосылки!$D67),$E$10,Предпосылки!$D67),SUM($D142,$D185),0)</f>
        <v>0</v>
      </c>
      <c s="125">
        <f>IF(AS$10=IF(ISBLANK(Предпосылки!$D67),$E$10,Предпосылки!$D67),SUM($D142,$D185),0)</f>
        <v>0</v>
      </c>
      <c s="125">
        <f>IF(AT$10=IF(ISBLANK(Предпосылки!$D67),$E$10,Предпосылки!$D67),SUM($D142,$D185),0)</f>
        <v>0</v>
      </c>
      <c s="125">
        <f>IF(AU$10=IF(ISBLANK(Предпосылки!$D67),$E$10,Предпосылки!$D67),SUM($D142,$D185),0)</f>
        <v>0</v>
      </c>
      <c s="125">
        <f>IF(AV$10=IF(ISBLANK(Предпосылки!$D67),$E$10,Предпосылки!$D67),SUM($D142,$D185),0)</f>
        <v>0</v>
      </c>
      <c s="125">
        <f>IF(AW$10=IF(ISBLANK(Предпосылки!$D67),$E$10,Предпосылки!$D67),SUM($D142,$D185),0)</f>
        <v>0</v>
      </c>
      <c s="125">
        <f>IF(AX$10=IF(ISBLANK(Предпосылки!$D67),$E$10,Предпосылки!$D67),SUM($D142,$D185),0)</f>
        <v>0</v>
      </c>
      <c s="125">
        <f>IF(AY$10=IF(ISBLANK(Предпосылки!$D67),$E$10,Предпосылки!$D67),SUM($D142,$D185),0)</f>
        <v>0</v>
      </c>
      <c s="125">
        <f>IF(AZ$10=IF(ISBLANK(Предпосылки!$D67),$E$10,Предпосылки!$D67),SUM($D142,$D185),0)</f>
        <v>0</v>
      </c>
      <c s="125">
        <f>IF(BA$10=IF(ISBLANK(Предпосылки!$D67),$E$10,Предпосылки!$D67),SUM($D142,$D185),0)</f>
        <v>0</v>
      </c>
      <c s="125">
        <f>IF(BB$10=IF(ISBLANK(Предпосылки!$D67),$E$10,Предпосылки!$D67),SUM($D142,$D185),0)</f>
        <v>0</v>
      </c>
      <c s="125">
        <f>IF(BC$10=IF(ISBLANK(Предпосылки!$D67),$E$10,Предпосылки!$D67),SUM($D142,$D185),0)</f>
        <v>0</v>
      </c>
      <c s="125">
        <f>IF(BD$10=IF(ISBLANK(Предпосылки!$D67),$E$10,Предпосылки!$D67),SUM($D142,$D185),0)</f>
        <v>0</v>
      </c>
      <c s="125">
        <f>IF(BE$10=IF(ISBLANK(Предпосылки!$D67),$E$10,Предпосылки!$D67),SUM($D142,$D185),0)</f>
        <v>0</v>
      </c>
      <c s="125">
        <f>IF(BF$10=IF(ISBLANK(Предпосылки!$D67),$E$10,Предпосылки!$D67),SUM($D142,$D185),0)</f>
        <v>0</v>
      </c>
      <c s="125">
        <f>IF(BG$10=IF(ISBLANK(Предпосылки!$D67),$E$10,Предпосылки!$D67),SUM($D142,$D185),0)</f>
        <v>0</v>
      </c>
      <c s="125">
        <f>IF(BH$10=IF(ISBLANK(Предпосылки!$D67),$E$10,Предпосылки!$D67),SUM($D142,$D185),0)</f>
        <v>0</v>
      </c>
      <c s="125">
        <f>IF(BI$10=IF(ISBLANK(Предпосылки!$D67),$E$10,Предпосылки!$D67),SUM($D142,$D185),0)</f>
        <v>0</v>
      </c>
      <c s="125">
        <f>IF(BJ$10=IF(ISBLANK(Предпосылки!$D67),$E$10,Предпосылки!$D67),SUM($D142,$D185),0)</f>
        <v>0</v>
      </c>
      <c s="125">
        <f>IF(BK$10=IF(ISBLANK(Предпосылки!$D67),$E$10,Предпосылки!$D67),SUM($D142,$D185),0)</f>
        <v>0</v>
      </c>
      <c s="125">
        <f>IF(BL$10=IF(ISBLANK(Предпосылки!$D67),$E$10,Предпосылки!$D67),SUM($D142,$D185),0)</f>
        <v>0</v>
      </c>
      <c s="125">
        <f>IF(BM$10=IF(ISBLANK(Предпосылки!$D67),$E$10,Предпосылки!$D67),SUM($D142,$D185),0)</f>
        <v>0</v>
      </c>
    </row>
    <row r="316" spans="2:65" ht="15" customHeight="1">
      <c r="B316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IF(E$10=IF(ISBLANK(Предпосылки!$D68),$E$10,Предпосылки!$D68),SUM($D143,$D186),0)</f>
        <v>0</v>
      </c>
      <c s="125">
        <f>IF(F$10=IF(ISBLANK(Предпосылки!$D68),$E$10,Предпосылки!$D68),SUM($D143,$D186),0)</f>
        <v>0</v>
      </c>
      <c s="125">
        <f>IF(G$10=IF(ISBLANK(Предпосылки!$D68),$E$10,Предпосылки!$D68),SUM($D143,$D186),0)</f>
        <v>0</v>
      </c>
      <c s="125">
        <f>IF(H$10=IF(ISBLANK(Предпосылки!$D68),$E$10,Предпосылки!$D68),SUM($D143,$D186),0)</f>
        <v>0</v>
      </c>
      <c s="125">
        <f>IF(I$10=IF(ISBLANK(Предпосылки!$D68),$E$10,Предпосылки!$D68),SUM($D143,$D186),0)</f>
        <v>0</v>
      </c>
      <c s="125">
        <f>IF(J$10=IF(ISBLANK(Предпосылки!$D68),$E$10,Предпосылки!$D68),SUM($D143,$D186),0)</f>
        <v>0</v>
      </c>
      <c s="125">
        <f>IF(K$10=IF(ISBLANK(Предпосылки!$D68),$E$10,Предпосылки!$D68),SUM($D143,$D186),0)</f>
        <v>0</v>
      </c>
      <c s="125">
        <f>IF(L$10=IF(ISBLANK(Предпосылки!$D68),$E$10,Предпосылки!$D68),SUM($D143,$D186),0)</f>
        <v>0</v>
      </c>
      <c s="125">
        <f>IF(M$10=IF(ISBLANK(Предпосылки!$D68),$E$10,Предпосылки!$D68),SUM($D143,$D186),0)</f>
        <v>0</v>
      </c>
      <c s="125">
        <f>IF(N$10=IF(ISBLANK(Предпосылки!$D68),$E$10,Предпосылки!$D68),SUM($D143,$D186),0)</f>
        <v>0</v>
      </c>
      <c s="125">
        <f>IF(O$10=IF(ISBLANK(Предпосылки!$D68),$E$10,Предпосылки!$D68),SUM($D143,$D186),0)</f>
        <v>0</v>
      </c>
      <c s="125">
        <f>IF(P$10=IF(ISBLANK(Предпосылки!$D68),$E$10,Предпосылки!$D68),SUM($D143,$D186),0)</f>
        <v>0</v>
      </c>
      <c s="125">
        <f>IF(Q$10=IF(ISBLANK(Предпосылки!$D68),$E$10,Предпосылки!$D68),SUM($D143,$D186),0)</f>
        <v>0</v>
      </c>
      <c s="125">
        <f>IF(R$10=IF(ISBLANK(Предпосылки!$D68),$E$10,Предпосылки!$D68),SUM($D143,$D186),0)</f>
        <v>0</v>
      </c>
      <c s="125">
        <f>IF(S$10=IF(ISBLANK(Предпосылки!$D68),$E$10,Предпосылки!$D68),SUM($D143,$D186),0)</f>
        <v>0</v>
      </c>
      <c s="125">
        <f>IF(T$10=IF(ISBLANK(Предпосылки!$D68),$E$10,Предпосылки!$D68),SUM($D143,$D186),0)</f>
        <v>0</v>
      </c>
      <c s="125">
        <f>IF(U$10=IF(ISBLANK(Предпосылки!$D68),$E$10,Предпосылки!$D68),SUM($D143,$D186),0)</f>
        <v>0</v>
      </c>
      <c s="125">
        <f>IF(V$10=IF(ISBLANK(Предпосылки!$D68),$E$10,Предпосылки!$D68),SUM($D143,$D186),0)</f>
        <v>0</v>
      </c>
      <c s="125">
        <f>IF(W$10=IF(ISBLANK(Предпосылки!$D68),$E$10,Предпосылки!$D68),SUM($D143,$D186),0)</f>
        <v>0</v>
      </c>
      <c s="125">
        <f>IF(X$10=IF(ISBLANK(Предпосылки!$D68),$E$10,Предпосылки!$D68),SUM($D143,$D186),0)</f>
        <v>0</v>
      </c>
      <c s="125">
        <f>IF(Y$10=IF(ISBLANK(Предпосылки!$D68),$E$10,Предпосылки!$D68),SUM($D143,$D186),0)</f>
        <v>0</v>
      </c>
      <c s="125">
        <f>IF(Z$10=IF(ISBLANK(Предпосылки!$D68),$E$10,Предпосылки!$D68),SUM($D143,$D186),0)</f>
        <v>0</v>
      </c>
      <c s="125">
        <f>IF(AA$10=IF(ISBLANK(Предпосылки!$D68),$E$10,Предпосылки!$D68),SUM($D143,$D186),0)</f>
        <v>0</v>
      </c>
      <c s="125">
        <f>IF(AB$10=IF(ISBLANK(Предпосылки!$D68),$E$10,Предпосылки!$D68),SUM($D143,$D186),0)</f>
        <v>0</v>
      </c>
      <c s="125">
        <f>IF(AC$10=IF(ISBLANK(Предпосылки!$D68),$E$10,Предпосылки!$D68),SUM($D143,$D186),0)</f>
        <v>0</v>
      </c>
      <c s="125">
        <f>IF(AD$10=IF(ISBLANK(Предпосылки!$D68),$E$10,Предпосылки!$D68),SUM($D143,$D186),0)</f>
        <v>0</v>
      </c>
      <c s="125">
        <f>IF(AE$10=IF(ISBLANK(Предпосылки!$D68),$E$10,Предпосылки!$D68),SUM($D143,$D186),0)</f>
        <v>0</v>
      </c>
      <c s="125">
        <f>IF(AF$10=IF(ISBLANK(Предпосылки!$D68),$E$10,Предпосылки!$D68),SUM($D143,$D186),0)</f>
        <v>0</v>
      </c>
      <c s="125">
        <f>IF(AG$10=IF(ISBLANK(Предпосылки!$D68),$E$10,Предпосылки!$D68),SUM($D143,$D186),0)</f>
        <v>0</v>
      </c>
      <c s="125">
        <f>IF(AH$10=IF(ISBLANK(Предпосылки!$D68),$E$10,Предпосылки!$D68),SUM($D143,$D186),0)</f>
        <v>0</v>
      </c>
      <c s="125">
        <f>IF(AI$10=IF(ISBLANK(Предпосылки!$D68),$E$10,Предпосылки!$D68),SUM($D143,$D186),0)</f>
        <v>0</v>
      </c>
      <c s="125">
        <f>IF(AJ$10=IF(ISBLANK(Предпосылки!$D68),$E$10,Предпосылки!$D68),SUM($D143,$D186),0)</f>
        <v>0</v>
      </c>
      <c s="125">
        <f>IF(AK$10=IF(ISBLANK(Предпосылки!$D68),$E$10,Предпосылки!$D68),SUM($D143,$D186),0)</f>
        <v>0</v>
      </c>
      <c s="125">
        <f>IF(AL$10=IF(ISBLANK(Предпосылки!$D68),$E$10,Предпосылки!$D68),SUM($D143,$D186),0)</f>
        <v>0</v>
      </c>
      <c s="125">
        <f>IF(AM$10=IF(ISBLANK(Предпосылки!$D68),$E$10,Предпосылки!$D68),SUM($D143,$D186),0)</f>
        <v>0</v>
      </c>
      <c s="125">
        <f>IF(AN$10=IF(ISBLANK(Предпосылки!$D68),$E$10,Предпосылки!$D68),SUM($D143,$D186),0)</f>
        <v>0</v>
      </c>
      <c s="125">
        <f>IF(AO$10=IF(ISBLANK(Предпосылки!$D68),$E$10,Предпосылки!$D68),SUM($D143,$D186),0)</f>
        <v>0</v>
      </c>
      <c s="125">
        <f>IF(AP$10=IF(ISBLANK(Предпосылки!$D68),$E$10,Предпосылки!$D68),SUM($D143,$D186),0)</f>
        <v>0</v>
      </c>
      <c s="125">
        <f>IF(AQ$10=IF(ISBLANK(Предпосылки!$D68),$E$10,Предпосылки!$D68),SUM($D143,$D186),0)</f>
        <v>0</v>
      </c>
      <c s="125">
        <f>IF(AR$10=IF(ISBLANK(Предпосылки!$D68),$E$10,Предпосылки!$D68),SUM($D143,$D186),0)</f>
        <v>0</v>
      </c>
      <c s="125">
        <f>IF(AS$10=IF(ISBLANK(Предпосылки!$D68),$E$10,Предпосылки!$D68),SUM($D143,$D186),0)</f>
        <v>0</v>
      </c>
      <c s="125">
        <f>IF(AT$10=IF(ISBLANK(Предпосылки!$D68),$E$10,Предпосылки!$D68),SUM($D143,$D186),0)</f>
        <v>0</v>
      </c>
      <c s="125">
        <f>IF(AU$10=IF(ISBLANK(Предпосылки!$D68),$E$10,Предпосылки!$D68),SUM($D143,$D186),0)</f>
        <v>0</v>
      </c>
      <c s="125">
        <f>IF(AV$10=IF(ISBLANK(Предпосылки!$D68),$E$10,Предпосылки!$D68),SUM($D143,$D186),0)</f>
        <v>0</v>
      </c>
      <c s="125">
        <f>IF(AW$10=IF(ISBLANK(Предпосылки!$D68),$E$10,Предпосылки!$D68),SUM($D143,$D186),0)</f>
        <v>0</v>
      </c>
      <c s="125">
        <f>IF(AX$10=IF(ISBLANK(Предпосылки!$D68),$E$10,Предпосылки!$D68),SUM($D143,$D186),0)</f>
        <v>0</v>
      </c>
      <c s="125">
        <f>IF(AY$10=IF(ISBLANK(Предпосылки!$D68),$E$10,Предпосылки!$D68),SUM($D143,$D186),0)</f>
        <v>0</v>
      </c>
      <c s="125">
        <f>IF(AZ$10=IF(ISBLANK(Предпосылки!$D68),$E$10,Предпосылки!$D68),SUM($D143,$D186),0)</f>
        <v>0</v>
      </c>
      <c s="125">
        <f>IF(BA$10=IF(ISBLANK(Предпосылки!$D68),$E$10,Предпосылки!$D68),SUM($D143,$D186),0)</f>
        <v>0</v>
      </c>
      <c s="125">
        <f>IF(BB$10=IF(ISBLANK(Предпосылки!$D68),$E$10,Предпосылки!$D68),SUM($D143,$D186),0)</f>
        <v>0</v>
      </c>
      <c s="125">
        <f>IF(BC$10=IF(ISBLANK(Предпосылки!$D68),$E$10,Предпосылки!$D68),SUM($D143,$D186),0)</f>
        <v>0</v>
      </c>
      <c s="125">
        <f>IF(BD$10=IF(ISBLANK(Предпосылки!$D68),$E$10,Предпосылки!$D68),SUM($D143,$D186),0)</f>
        <v>0</v>
      </c>
      <c s="125">
        <f>IF(BE$10=IF(ISBLANK(Предпосылки!$D68),$E$10,Предпосылки!$D68),SUM($D143,$D186),0)</f>
        <v>0</v>
      </c>
      <c s="125">
        <f>IF(BF$10=IF(ISBLANK(Предпосылки!$D68),$E$10,Предпосылки!$D68),SUM($D143,$D186),0)</f>
        <v>0</v>
      </c>
      <c s="125">
        <f>IF(BG$10=IF(ISBLANK(Предпосылки!$D68),$E$10,Предпосылки!$D68),SUM($D143,$D186),0)</f>
        <v>0</v>
      </c>
      <c s="125">
        <f>IF(BH$10=IF(ISBLANK(Предпосылки!$D68),$E$10,Предпосылки!$D68),SUM($D143,$D186),0)</f>
        <v>0</v>
      </c>
      <c s="125">
        <f>IF(BI$10=IF(ISBLANK(Предпосылки!$D68),$E$10,Предпосылки!$D68),SUM($D143,$D186),0)</f>
        <v>0</v>
      </c>
      <c s="125">
        <f>IF(BJ$10=IF(ISBLANK(Предпосылки!$D68),$E$10,Предпосылки!$D68),SUM($D143,$D186),0)</f>
        <v>0</v>
      </c>
      <c s="125">
        <f>IF(BK$10=IF(ISBLANK(Предпосылки!$D68),$E$10,Предпосылки!$D68),SUM($D143,$D186),0)</f>
        <v>0</v>
      </c>
      <c s="125">
        <f>IF(BL$10=IF(ISBLANK(Предпосылки!$D68),$E$10,Предпосылки!$D68),SUM($D143,$D186),0)</f>
        <v>0</v>
      </c>
      <c s="125">
        <f>IF(BM$10=IF(ISBLANK(Предпосылки!$D68),$E$10,Предпосылки!$D68),SUM($D143,$D186),0)</f>
        <v>0</v>
      </c>
    </row>
    <row r="317" spans="2:65" ht="15" customHeight="1">
      <c r="B317" s="12" t="str">
        <f t="shared" si="111"/>
        <v>-</v>
      </c>
      <c s="124" t="str">
        <f t="shared" si="110"/>
        <v>тыс. руб.</v>
      </c>
      <c s="276">
        <f t="shared" si="112"/>
        <v>0</v>
      </c>
      <c s="125">
        <f>IF(E$10=IF(ISBLANK(Предпосылки!$D69),$E$10,Предпосылки!$D69),SUM($D144,$D187),0)</f>
        <v>0</v>
      </c>
      <c s="125">
        <f>IF(F$10=IF(ISBLANK(Предпосылки!$D69),$E$10,Предпосылки!$D69),SUM($D144,$D187),0)</f>
        <v>0</v>
      </c>
      <c s="125">
        <f>IF(G$10=IF(ISBLANK(Предпосылки!$D69),$E$10,Предпосылки!$D69),SUM($D144,$D187),0)</f>
        <v>0</v>
      </c>
      <c s="125">
        <f>IF(H$10=IF(ISBLANK(Предпосылки!$D69),$E$10,Предпосылки!$D69),SUM($D144,$D187),0)</f>
        <v>0</v>
      </c>
      <c s="125">
        <f>IF(I$10=IF(ISBLANK(Предпосылки!$D69),$E$10,Предпосылки!$D69),SUM($D144,$D187),0)</f>
        <v>0</v>
      </c>
      <c s="125">
        <f>IF(J$10=IF(ISBLANK(Предпосылки!$D69),$E$10,Предпосылки!$D69),SUM($D144,$D187),0)</f>
        <v>0</v>
      </c>
      <c s="125">
        <f>IF(K$10=IF(ISBLANK(Предпосылки!$D69),$E$10,Предпосылки!$D69),SUM($D144,$D187),0)</f>
        <v>0</v>
      </c>
      <c s="125">
        <f>IF(L$10=IF(ISBLANK(Предпосылки!$D69),$E$10,Предпосылки!$D69),SUM($D144,$D187),0)</f>
        <v>0</v>
      </c>
      <c s="125">
        <f>IF(M$10=IF(ISBLANK(Предпосылки!$D69),$E$10,Предпосылки!$D69),SUM($D144,$D187),0)</f>
        <v>0</v>
      </c>
      <c s="125">
        <f>IF(N$10=IF(ISBLANK(Предпосылки!$D69),$E$10,Предпосылки!$D69),SUM($D144,$D187),0)</f>
        <v>0</v>
      </c>
      <c s="125">
        <f>IF(O$10=IF(ISBLANK(Предпосылки!$D69),$E$10,Предпосылки!$D69),SUM($D144,$D187),0)</f>
        <v>0</v>
      </c>
      <c s="125">
        <f>IF(P$10=IF(ISBLANK(Предпосылки!$D69),$E$10,Предпосылки!$D69),SUM($D144,$D187),0)</f>
        <v>0</v>
      </c>
      <c s="125">
        <f>IF(Q$10=IF(ISBLANK(Предпосылки!$D69),$E$10,Предпосылки!$D69),SUM($D144,$D187),0)</f>
        <v>0</v>
      </c>
      <c s="125">
        <f>IF(R$10=IF(ISBLANK(Предпосылки!$D69),$E$10,Предпосылки!$D69),SUM($D144,$D187),0)</f>
        <v>0</v>
      </c>
      <c s="125">
        <f>IF(S$10=IF(ISBLANK(Предпосылки!$D69),$E$10,Предпосылки!$D69),SUM($D144,$D187),0)</f>
        <v>0</v>
      </c>
      <c s="125">
        <f>IF(T$10=IF(ISBLANK(Предпосылки!$D69),$E$10,Предпосылки!$D69),SUM($D144,$D187),0)</f>
        <v>0</v>
      </c>
      <c s="125">
        <f>IF(U$10=IF(ISBLANK(Предпосылки!$D69),$E$10,Предпосылки!$D69),SUM($D144,$D187),0)</f>
        <v>0</v>
      </c>
      <c s="125">
        <f>IF(V$10=IF(ISBLANK(Предпосылки!$D69),$E$10,Предпосылки!$D69),SUM($D144,$D187),0)</f>
        <v>0</v>
      </c>
      <c s="125">
        <f>IF(W$10=IF(ISBLANK(Предпосылки!$D69),$E$10,Предпосылки!$D69),SUM($D144,$D187),0)</f>
        <v>0</v>
      </c>
      <c s="125">
        <f>IF(X$10=IF(ISBLANK(Предпосылки!$D69),$E$10,Предпосылки!$D69),SUM($D144,$D187),0)</f>
        <v>0</v>
      </c>
      <c s="125">
        <f>IF(Y$10=IF(ISBLANK(Предпосылки!$D69),$E$10,Предпосылки!$D69),SUM($D144,$D187),0)</f>
        <v>0</v>
      </c>
      <c s="125">
        <f>IF(Z$10=IF(ISBLANK(Предпосылки!$D69),$E$10,Предпосылки!$D69),SUM($D144,$D187),0)</f>
        <v>0</v>
      </c>
      <c s="125">
        <f>IF(AA$10=IF(ISBLANK(Предпосылки!$D69),$E$10,Предпосылки!$D69),SUM($D144,$D187),0)</f>
        <v>0</v>
      </c>
      <c s="125">
        <f>IF(AB$10=IF(ISBLANK(Предпосылки!$D69),$E$10,Предпосылки!$D69),SUM($D144,$D187),0)</f>
        <v>0</v>
      </c>
      <c s="125">
        <f>IF(AC$10=IF(ISBLANK(Предпосылки!$D69),$E$10,Предпосылки!$D69),SUM($D144,$D187),0)</f>
        <v>0</v>
      </c>
      <c s="125">
        <f>IF(AD$10=IF(ISBLANK(Предпосылки!$D69),$E$10,Предпосылки!$D69),SUM($D144,$D187),0)</f>
        <v>0</v>
      </c>
      <c s="125">
        <f>IF(AE$10=IF(ISBLANK(Предпосылки!$D69),$E$10,Предпосылки!$D69),SUM($D144,$D187),0)</f>
        <v>0</v>
      </c>
      <c s="125">
        <f>IF(AF$10=IF(ISBLANK(Предпосылки!$D69),$E$10,Предпосылки!$D69),SUM($D144,$D187),0)</f>
        <v>0</v>
      </c>
      <c s="125">
        <f>IF(AG$10=IF(ISBLANK(Предпосылки!$D69),$E$10,Предпосылки!$D69),SUM($D144,$D187),0)</f>
        <v>0</v>
      </c>
      <c s="125">
        <f>IF(AH$10=IF(ISBLANK(Предпосылки!$D69),$E$10,Предпосылки!$D69),SUM($D144,$D187),0)</f>
        <v>0</v>
      </c>
      <c s="125">
        <f>IF(AI$10=IF(ISBLANK(Предпосылки!$D69),$E$10,Предпосылки!$D69),SUM($D144,$D187),0)</f>
        <v>0</v>
      </c>
      <c s="125">
        <f>IF(AJ$10=IF(ISBLANK(Предпосылки!$D69),$E$10,Предпосылки!$D69),SUM($D144,$D187),0)</f>
        <v>0</v>
      </c>
      <c s="125">
        <f>IF(AK$10=IF(ISBLANK(Предпосылки!$D69),$E$10,Предпосылки!$D69),SUM($D144,$D187),0)</f>
        <v>0</v>
      </c>
      <c s="125">
        <f>IF(AL$10=IF(ISBLANK(Предпосылки!$D69),$E$10,Предпосылки!$D69),SUM($D144,$D187),0)</f>
        <v>0</v>
      </c>
      <c s="125">
        <f>IF(AM$10=IF(ISBLANK(Предпосылки!$D69),$E$10,Предпосылки!$D69),SUM($D144,$D187),0)</f>
        <v>0</v>
      </c>
      <c s="125">
        <f>IF(AN$10=IF(ISBLANK(Предпосылки!$D69),$E$10,Предпосылки!$D69),SUM($D144,$D187),0)</f>
        <v>0</v>
      </c>
      <c s="125">
        <f>IF(AO$10=IF(ISBLANK(Предпосылки!$D69),$E$10,Предпосылки!$D69),SUM($D144,$D187),0)</f>
        <v>0</v>
      </c>
      <c s="125">
        <f>IF(AP$10=IF(ISBLANK(Предпосылки!$D69),$E$10,Предпосылки!$D69),SUM($D144,$D187),0)</f>
        <v>0</v>
      </c>
      <c s="125">
        <f>IF(AQ$10=IF(ISBLANK(Предпосылки!$D69),$E$10,Предпосылки!$D69),SUM($D144,$D187),0)</f>
        <v>0</v>
      </c>
      <c s="125">
        <f>IF(AR$10=IF(ISBLANK(Предпосылки!$D69),$E$10,Предпосылки!$D69),SUM($D144,$D187),0)</f>
        <v>0</v>
      </c>
      <c s="125">
        <f>IF(AS$10=IF(ISBLANK(Предпосылки!$D69),$E$10,Предпосылки!$D69),SUM($D144,$D187),0)</f>
        <v>0</v>
      </c>
      <c s="125">
        <f>IF(AT$10=IF(ISBLANK(Предпосылки!$D69),$E$10,Предпосылки!$D69),SUM($D144,$D187),0)</f>
        <v>0</v>
      </c>
      <c s="125">
        <f>IF(AU$10=IF(ISBLANK(Предпосылки!$D69),$E$10,Предпосылки!$D69),SUM($D144,$D187),0)</f>
        <v>0</v>
      </c>
      <c s="125">
        <f>IF(AV$10=IF(ISBLANK(Предпосылки!$D69),$E$10,Предпосылки!$D69),SUM($D144,$D187),0)</f>
        <v>0</v>
      </c>
      <c s="125">
        <f>IF(AW$10=IF(ISBLANK(Предпосылки!$D69),$E$10,Предпосылки!$D69),SUM($D144,$D187),0)</f>
        <v>0</v>
      </c>
      <c s="125">
        <f>IF(AX$10=IF(ISBLANK(Предпосылки!$D69),$E$10,Предпосылки!$D69),SUM($D144,$D187),0)</f>
        <v>0</v>
      </c>
      <c s="125">
        <f>IF(AY$10=IF(ISBLANK(Предпосылки!$D69),$E$10,Предпосылки!$D69),SUM($D144,$D187),0)</f>
        <v>0</v>
      </c>
      <c s="125">
        <f>IF(AZ$10=IF(ISBLANK(Предпосылки!$D69),$E$10,Предпосылки!$D69),SUM($D144,$D187),0)</f>
        <v>0</v>
      </c>
      <c s="125">
        <f>IF(BA$10=IF(ISBLANK(Предпосылки!$D69),$E$10,Предпосылки!$D69),SUM($D144,$D187),0)</f>
        <v>0</v>
      </c>
      <c s="125">
        <f>IF(BB$10=IF(ISBLANK(Предпосылки!$D69),$E$10,Предпосылки!$D69),SUM($D144,$D187),0)</f>
        <v>0</v>
      </c>
      <c s="125">
        <f>IF(BC$10=IF(ISBLANK(Предпосылки!$D69),$E$10,Предпосылки!$D69),SUM($D144,$D187),0)</f>
        <v>0</v>
      </c>
      <c s="125">
        <f>IF(BD$10=IF(ISBLANK(Предпосылки!$D69),$E$10,Предпосылки!$D69),SUM($D144,$D187),0)</f>
        <v>0</v>
      </c>
      <c s="125">
        <f>IF(BE$10=IF(ISBLANK(Предпосылки!$D69),$E$10,Предпосылки!$D69),SUM($D144,$D187),0)</f>
        <v>0</v>
      </c>
      <c s="125">
        <f>IF(BF$10=IF(ISBLANK(Предпосылки!$D69),$E$10,Предпосылки!$D69),SUM($D144,$D187),0)</f>
        <v>0</v>
      </c>
      <c s="125">
        <f>IF(BG$10=IF(ISBLANK(Предпосылки!$D69),$E$10,Предпосылки!$D69),SUM($D144,$D187),0)</f>
        <v>0</v>
      </c>
      <c s="125">
        <f>IF(BH$10=IF(ISBLANK(Предпосылки!$D69),$E$10,Предпосылки!$D69),SUM($D144,$D187),0)</f>
        <v>0</v>
      </c>
      <c s="125">
        <f>IF(BI$10=IF(ISBLANK(Предпосылки!$D69),$E$10,Предпосылки!$D69),SUM($D144,$D187),0)</f>
        <v>0</v>
      </c>
      <c s="125">
        <f>IF(BJ$10=IF(ISBLANK(Предпосылки!$D69),$E$10,Предпосылки!$D69),SUM($D144,$D187),0)</f>
        <v>0</v>
      </c>
      <c s="125">
        <f>IF(BK$10=IF(ISBLANK(Предпосылки!$D69),$E$10,Предпосылки!$D69),SUM($D144,$D187),0)</f>
        <v>0</v>
      </c>
      <c s="125">
        <f>IF(BL$10=IF(ISBLANK(Предпосылки!$D69),$E$10,Предпосылки!$D69),SUM($D144,$D187),0)</f>
        <v>0</v>
      </c>
      <c s="125">
        <f>IF(BM$10=IF(ISBLANK(Предпосылки!$D69),$E$10,Предпосылки!$D69),SUM($D144,$D187),0)</f>
        <v>0</v>
      </c>
    </row>
    <row r="318" spans="2:65" ht="15" customHeight="1">
      <c r="B318" s="289" t="s">
        <v>454</v>
      </c>
      <c s="290" t="str">
        <f t="shared" si="110"/>
        <v>тыс. руб.</v>
      </c>
      <c s="291">
        <f>SUM(D278:D317)</f>
        <v>0</v>
      </c>
      <c s="276">
        <f>SUM(E278:E317)</f>
        <v>0</v>
      </c>
      <c s="276">
        <f t="shared" si="113" ref="F318:AG318">SUM(F278:F317)</f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4" ref="AH318:BM318">SUM(AH278:AH317)</f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</row>
    <row r="319" ht="15" customHeight="1"/>
    <row r="320" spans="2:71" ht="21">
      <c r="B320" s="23" t="s">
        <v>823</v>
      </c>
      <c r="D32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21" spans="2:65" ht="15" customHeight="1">
      <c r="B321" s="12" t="str">
        <f>B278</f>
        <v>-</v>
      </c>
      <c s="124" t="s">
        <v>824</v>
      </c>
      <c s="124"/>
      <c s="124">
        <f>IF(E$10=IF(ISBLANK(Предпосылки!$E30),$E$10,Предпосылки!$E30),1,0)</f>
        <v>1</v>
      </c>
      <c s="124">
        <f>IF(F$10=IF(ISBLANK(Предпосылки!$E30),$E$10,Предпосылки!$E30),1,0)</f>
        <v>0</v>
      </c>
      <c s="124">
        <f>IF(G$10=IF(ISBLANK(Предпосылки!$E30),$E$10,Предпосылки!$E30),1,0)</f>
        <v>0</v>
      </c>
      <c s="124">
        <f>IF(H$10=IF(ISBLANK(Предпосылки!$E30),$E$10,Предпосылки!$E30),1,0)</f>
        <v>0</v>
      </c>
      <c s="124">
        <f>IF(I$10=IF(ISBLANK(Предпосылки!$E30),$E$10,Предпосылки!$E30),1,0)</f>
        <v>0</v>
      </c>
      <c s="124">
        <f>IF(J$10=IF(ISBLANK(Предпосылки!$E30),$E$10,Предпосылки!$E30),1,0)</f>
        <v>0</v>
      </c>
      <c s="124">
        <f>IF(K$10=IF(ISBLANK(Предпосылки!$E30),$E$10,Предпосылки!$E30),1,0)</f>
        <v>0</v>
      </c>
      <c s="124">
        <f>IF(L$10=IF(ISBLANK(Предпосылки!$E30),$E$10,Предпосылки!$E30),1,0)</f>
        <v>0</v>
      </c>
      <c s="124">
        <f>IF(M$10=IF(ISBLANK(Предпосылки!$E30),$E$10,Предпосылки!$E30),1,0)</f>
        <v>0</v>
      </c>
      <c s="124">
        <f>IF(N$10=IF(ISBLANK(Предпосылки!$E30),$E$10,Предпосылки!$E30),1,0)</f>
        <v>0</v>
      </c>
      <c s="124">
        <f>IF(O$10=IF(ISBLANK(Предпосылки!$E30),$E$10,Предпосылки!$E30),1,0)</f>
        <v>0</v>
      </c>
      <c s="124">
        <f>IF(P$10=IF(ISBLANK(Предпосылки!$E30),$E$10,Предпосылки!$E30),1,0)</f>
        <v>0</v>
      </c>
      <c s="124">
        <f>IF(Q$10=IF(ISBLANK(Предпосылки!$E30),$E$10,Предпосылки!$E30),1,0)</f>
        <v>0</v>
      </c>
      <c s="124">
        <f>IF(R$10=IF(ISBLANK(Предпосылки!$E30),$E$10,Предпосылки!$E30),1,0)</f>
        <v>0</v>
      </c>
      <c s="124">
        <f>IF(S$10=IF(ISBLANK(Предпосылки!$E30),$E$10,Предпосылки!$E30),1,0)</f>
        <v>0</v>
      </c>
      <c s="124">
        <f>IF(T$10=IF(ISBLANK(Предпосылки!$E30),$E$10,Предпосылки!$E30),1,0)</f>
        <v>0</v>
      </c>
      <c s="124">
        <f>IF(U$10=IF(ISBLANK(Предпосылки!$E30),$E$10,Предпосылки!$E30),1,0)</f>
        <v>0</v>
      </c>
      <c s="124">
        <f>IF(V$10=IF(ISBLANK(Предпосылки!$E30),$E$10,Предпосылки!$E30),1,0)</f>
        <v>0</v>
      </c>
      <c s="124">
        <f>IF(W$10=IF(ISBLANK(Предпосылки!$E30),$E$10,Предпосылки!$E30),1,0)</f>
        <v>0</v>
      </c>
      <c s="124">
        <f>IF(X$10=IF(ISBLANK(Предпосылки!$E30),$E$10,Предпосылки!$E30),1,0)</f>
        <v>0</v>
      </c>
      <c s="124">
        <f>IF(Y$10=IF(ISBLANK(Предпосылки!$E30),$E$10,Предпосылки!$E30),1,0)</f>
        <v>0</v>
      </c>
      <c s="124">
        <f>IF(Z$10=IF(ISBLANK(Предпосылки!$E30),$E$10,Предпосылки!$E30),1,0)</f>
        <v>0</v>
      </c>
      <c s="124">
        <f>IF(AA$10=IF(ISBLANK(Предпосылки!$E30),$E$10,Предпосылки!$E30),1,0)</f>
        <v>0</v>
      </c>
      <c s="124">
        <f>IF(AB$10=IF(ISBLANK(Предпосылки!$E30),$E$10,Предпосылки!$E30),1,0)</f>
        <v>0</v>
      </c>
      <c s="124">
        <f>IF(AC$10=IF(ISBLANK(Предпосылки!$E30),$E$10,Предпосылки!$E30),1,0)</f>
        <v>0</v>
      </c>
      <c s="124">
        <f>IF(AD$10=IF(ISBLANK(Предпосылки!$E30),$E$10,Предпосылки!$E30),1,0)</f>
        <v>0</v>
      </c>
      <c s="124">
        <f>IF(AE$10=IF(ISBLANK(Предпосылки!$E30),$E$10,Предпосылки!$E30),1,0)</f>
        <v>0</v>
      </c>
      <c s="124">
        <f>IF(AF$10=IF(ISBLANK(Предпосылки!$E30),$E$10,Предпосылки!$E30),1,0)</f>
        <v>0</v>
      </c>
      <c s="124">
        <f>IF(AG$10=IF(ISBLANK(Предпосылки!$E30),$E$10,Предпосылки!$E30),1,0)</f>
        <v>0</v>
      </c>
      <c s="124">
        <f>IF(AH$10=IF(ISBLANK(Предпосылки!$E30),$E$10,Предпосылки!$E30),1,0)</f>
        <v>0</v>
      </c>
      <c s="124">
        <f>IF(AI$10=IF(ISBLANK(Предпосылки!$E30),$E$10,Предпосылки!$E30),1,0)</f>
        <v>0</v>
      </c>
      <c s="124">
        <f>IF(AJ$10=IF(ISBLANK(Предпосылки!$E30),$E$10,Предпосылки!$E30),1,0)</f>
        <v>0</v>
      </c>
      <c s="124">
        <f>IF(AK$10=IF(ISBLANK(Предпосылки!$E30),$E$10,Предпосылки!$E30),1,0)</f>
        <v>0</v>
      </c>
      <c s="124">
        <f>IF(AL$10=IF(ISBLANK(Предпосылки!$E30),$E$10,Предпосылки!$E30),1,0)</f>
        <v>0</v>
      </c>
      <c s="124">
        <f>IF(AM$10=IF(ISBLANK(Предпосылки!$E30),$E$10,Предпосылки!$E30),1,0)</f>
        <v>0</v>
      </c>
      <c s="124">
        <f>IF(AN$10=IF(ISBLANK(Предпосылки!$E30),$E$10,Предпосылки!$E30),1,0)</f>
        <v>0</v>
      </c>
      <c s="124">
        <f>IF(AO$10=IF(ISBLANK(Предпосылки!$E30),$E$10,Предпосылки!$E30),1,0)</f>
        <v>0</v>
      </c>
      <c s="124">
        <f>IF(AP$10=IF(ISBLANK(Предпосылки!$E30),$E$10,Предпосылки!$E30),1,0)</f>
        <v>0</v>
      </c>
      <c s="124">
        <f>IF(AQ$10=IF(ISBLANK(Предпосылки!$E30),$E$10,Предпосылки!$E30),1,0)</f>
        <v>0</v>
      </c>
      <c s="124">
        <f>IF(AR$10=IF(ISBLANK(Предпосылки!$E30),$E$10,Предпосылки!$E30),1,0)</f>
        <v>0</v>
      </c>
      <c s="124">
        <f>IF(AS$10=IF(ISBLANK(Предпосылки!$E30),$E$10,Предпосылки!$E30),1,0)</f>
        <v>0</v>
      </c>
      <c s="124">
        <f>IF(AT$10=IF(ISBLANK(Предпосылки!$E30),$E$10,Предпосылки!$E30),1,0)</f>
        <v>0</v>
      </c>
      <c s="124">
        <f>IF(AU$10=IF(ISBLANK(Предпосылки!$E30),$E$10,Предпосылки!$E30),1,0)</f>
        <v>0</v>
      </c>
      <c s="124">
        <f>IF(AV$10=IF(ISBLANK(Предпосылки!$E30),$E$10,Предпосылки!$E30),1,0)</f>
        <v>0</v>
      </c>
      <c s="124">
        <f>IF(AW$10=IF(ISBLANK(Предпосылки!$E30),$E$10,Предпосылки!$E30),1,0)</f>
        <v>0</v>
      </c>
      <c s="124">
        <f>IF(AX$10=IF(ISBLANK(Предпосылки!$E30),$E$10,Предпосылки!$E30),1,0)</f>
        <v>0</v>
      </c>
      <c s="124">
        <f>IF(AY$10=IF(ISBLANK(Предпосылки!$E30),$E$10,Предпосылки!$E30),1,0)</f>
        <v>0</v>
      </c>
      <c s="124">
        <f>IF(AZ$10=IF(ISBLANK(Предпосылки!$E30),$E$10,Предпосылки!$E30),1,0)</f>
        <v>0</v>
      </c>
      <c s="124">
        <f>IF(BA$10=IF(ISBLANK(Предпосылки!$E30),$E$10,Предпосылки!$E30),1,0)</f>
        <v>0</v>
      </c>
      <c s="124">
        <f>IF(BB$10=IF(ISBLANK(Предпосылки!$E30),$E$10,Предпосылки!$E30),1,0)</f>
        <v>0</v>
      </c>
      <c s="124">
        <f>IF(BC$10=IF(ISBLANK(Предпосылки!$E30),$E$10,Предпосылки!$E30),1,0)</f>
        <v>0</v>
      </c>
      <c s="124">
        <f>IF(BD$10=IF(ISBLANK(Предпосылки!$E30),$E$10,Предпосылки!$E30),1,0)</f>
        <v>0</v>
      </c>
      <c s="124">
        <f>IF(BE$10=IF(ISBLANK(Предпосылки!$E30),$E$10,Предпосылки!$E30),1,0)</f>
        <v>0</v>
      </c>
      <c s="124">
        <f>IF(BF$10=IF(ISBLANK(Предпосылки!$E30),$E$10,Предпосылки!$E30),1,0)</f>
        <v>0</v>
      </c>
      <c s="124">
        <f>IF(BG$10=IF(ISBLANK(Предпосылки!$E30),$E$10,Предпосылки!$E30),1,0)</f>
        <v>0</v>
      </c>
      <c s="124">
        <f>IF(BH$10=IF(ISBLANK(Предпосылки!$E30),$E$10,Предпосылки!$E30),1,0)</f>
        <v>0</v>
      </c>
      <c s="124">
        <f>IF(BI$10=IF(ISBLANK(Предпосылки!$E30),$E$10,Предпосылки!$E30),1,0)</f>
        <v>0</v>
      </c>
      <c s="124">
        <f>IF(BJ$10=IF(ISBLANK(Предпосылки!$E30),$E$10,Предпосылки!$E30),1,0)</f>
        <v>0</v>
      </c>
      <c s="124">
        <f>IF(BK$10=IF(ISBLANK(Предпосылки!$E30),$E$10,Предпосылки!$E30),1,0)</f>
        <v>0</v>
      </c>
      <c s="124">
        <f>IF(BL$10=IF(ISBLANK(Предпосылки!$E30),$E$10,Предпосылки!$E30),1,0)</f>
        <v>0</v>
      </c>
      <c s="124">
        <f>IF(BM$10=IF(ISBLANK(Предпосылки!$E30),$E$10,Предпосылки!$E30),1,0)</f>
        <v>0</v>
      </c>
    </row>
    <row r="322" spans="2:65" ht="15" customHeight="1">
      <c r="B322" s="12" t="str">
        <f t="shared" si="115" ref="B322:B360">B279</f>
        <v>-</v>
      </c>
      <c s="124" t="s">
        <v>824</v>
      </c>
      <c s="124"/>
      <c s="124">
        <f>IF(E$10=IF(ISBLANK(Предпосылки!$E31),$E$10,Предпосылки!$E31),1,0)</f>
        <v>1</v>
      </c>
      <c s="124">
        <f>IF(F$10=IF(ISBLANK(Предпосылки!$E31),$E$10,Предпосылки!$E31),1,0)</f>
        <v>0</v>
      </c>
      <c s="124">
        <f>IF(G$10=IF(ISBLANK(Предпосылки!$E31),$E$10,Предпосылки!$E31),1,0)</f>
        <v>0</v>
      </c>
      <c s="124">
        <f>IF(H$10=IF(ISBLANK(Предпосылки!$E31),$E$10,Предпосылки!$E31),1,0)</f>
        <v>0</v>
      </c>
      <c s="124">
        <f>IF(I$10=IF(ISBLANK(Предпосылки!$E31),$E$10,Предпосылки!$E31),1,0)</f>
        <v>0</v>
      </c>
      <c s="124">
        <f>IF(J$10=IF(ISBLANK(Предпосылки!$E31),$E$10,Предпосылки!$E31),1,0)</f>
        <v>0</v>
      </c>
      <c s="124">
        <f>IF(K$10=IF(ISBLANK(Предпосылки!$E31),$E$10,Предпосылки!$E31),1,0)</f>
        <v>0</v>
      </c>
      <c s="124">
        <f>IF(L$10=IF(ISBLANK(Предпосылки!$E31),$E$10,Предпосылки!$E31),1,0)</f>
        <v>0</v>
      </c>
      <c s="124">
        <f>IF(M$10=IF(ISBLANK(Предпосылки!$E31),$E$10,Предпосылки!$E31),1,0)</f>
        <v>0</v>
      </c>
      <c s="124">
        <f>IF(N$10=IF(ISBLANK(Предпосылки!$E31),$E$10,Предпосылки!$E31),1,0)</f>
        <v>0</v>
      </c>
      <c s="124">
        <f>IF(O$10=IF(ISBLANK(Предпосылки!$E31),$E$10,Предпосылки!$E31),1,0)</f>
        <v>0</v>
      </c>
      <c s="124">
        <f>IF(P$10=IF(ISBLANK(Предпосылки!$E31),$E$10,Предпосылки!$E31),1,0)</f>
        <v>0</v>
      </c>
      <c s="124">
        <f>IF(Q$10=IF(ISBLANK(Предпосылки!$E31),$E$10,Предпосылки!$E31),1,0)</f>
        <v>0</v>
      </c>
      <c s="124">
        <f>IF(R$10=IF(ISBLANK(Предпосылки!$E31),$E$10,Предпосылки!$E31),1,0)</f>
        <v>0</v>
      </c>
      <c s="124">
        <f>IF(S$10=IF(ISBLANK(Предпосылки!$E31),$E$10,Предпосылки!$E31),1,0)</f>
        <v>0</v>
      </c>
      <c s="124">
        <f>IF(T$10=IF(ISBLANK(Предпосылки!$E31),$E$10,Предпосылки!$E31),1,0)</f>
        <v>0</v>
      </c>
      <c s="124">
        <f>IF(U$10=IF(ISBLANK(Предпосылки!$E31),$E$10,Предпосылки!$E31),1,0)</f>
        <v>0</v>
      </c>
      <c s="124">
        <f>IF(V$10=IF(ISBLANK(Предпосылки!$E31),$E$10,Предпосылки!$E31),1,0)</f>
        <v>0</v>
      </c>
      <c s="124">
        <f>IF(W$10=IF(ISBLANK(Предпосылки!$E31),$E$10,Предпосылки!$E31),1,0)</f>
        <v>0</v>
      </c>
      <c s="124">
        <f>IF(X$10=IF(ISBLANK(Предпосылки!$E31),$E$10,Предпосылки!$E31),1,0)</f>
        <v>0</v>
      </c>
      <c s="124">
        <f>IF(Y$10=IF(ISBLANK(Предпосылки!$E31),$E$10,Предпосылки!$E31),1,0)</f>
        <v>0</v>
      </c>
      <c s="124">
        <f>IF(Z$10=IF(ISBLANK(Предпосылки!$E31),$E$10,Предпосылки!$E31),1,0)</f>
        <v>0</v>
      </c>
      <c s="124">
        <f>IF(AA$10=IF(ISBLANK(Предпосылки!$E31),$E$10,Предпосылки!$E31),1,0)</f>
        <v>0</v>
      </c>
      <c s="124">
        <f>IF(AB$10=IF(ISBLANK(Предпосылки!$E31),$E$10,Предпосылки!$E31),1,0)</f>
        <v>0</v>
      </c>
      <c s="124">
        <f>IF(AC$10=IF(ISBLANK(Предпосылки!$E31),$E$10,Предпосылки!$E31),1,0)</f>
        <v>0</v>
      </c>
      <c s="124">
        <f>IF(AD$10=IF(ISBLANK(Предпосылки!$E31),$E$10,Предпосылки!$E31),1,0)</f>
        <v>0</v>
      </c>
      <c s="124">
        <f>IF(AE$10=IF(ISBLANK(Предпосылки!$E31),$E$10,Предпосылки!$E31),1,0)</f>
        <v>0</v>
      </c>
      <c s="124">
        <f>IF(AF$10=IF(ISBLANK(Предпосылки!$E31),$E$10,Предпосылки!$E31),1,0)</f>
        <v>0</v>
      </c>
      <c s="124">
        <f>IF(AG$10=IF(ISBLANK(Предпосылки!$E31),$E$10,Предпосылки!$E31),1,0)</f>
        <v>0</v>
      </c>
      <c s="124">
        <f>IF(AH$10=IF(ISBLANK(Предпосылки!$E31),$E$10,Предпосылки!$E31),1,0)</f>
        <v>0</v>
      </c>
      <c s="124">
        <f>IF(AI$10=IF(ISBLANK(Предпосылки!$E31),$E$10,Предпосылки!$E31),1,0)</f>
        <v>0</v>
      </c>
      <c s="124">
        <f>IF(AJ$10=IF(ISBLANK(Предпосылки!$E31),$E$10,Предпосылки!$E31),1,0)</f>
        <v>0</v>
      </c>
      <c s="124">
        <f>IF(AK$10=IF(ISBLANK(Предпосылки!$E31),$E$10,Предпосылки!$E31),1,0)</f>
        <v>0</v>
      </c>
      <c s="124">
        <f>IF(AL$10=IF(ISBLANK(Предпосылки!$E31),$E$10,Предпосылки!$E31),1,0)</f>
        <v>0</v>
      </c>
      <c s="124">
        <f>IF(AM$10=IF(ISBLANK(Предпосылки!$E31),$E$10,Предпосылки!$E31),1,0)</f>
        <v>0</v>
      </c>
      <c s="124">
        <f>IF(AN$10=IF(ISBLANK(Предпосылки!$E31),$E$10,Предпосылки!$E31),1,0)</f>
        <v>0</v>
      </c>
      <c s="124">
        <f>IF(AO$10=IF(ISBLANK(Предпосылки!$E31),$E$10,Предпосылки!$E31),1,0)</f>
        <v>0</v>
      </c>
      <c s="124">
        <f>IF(AP$10=IF(ISBLANK(Предпосылки!$E31),$E$10,Предпосылки!$E31),1,0)</f>
        <v>0</v>
      </c>
      <c s="124">
        <f>IF(AQ$10=IF(ISBLANK(Предпосылки!$E31),$E$10,Предпосылки!$E31),1,0)</f>
        <v>0</v>
      </c>
      <c s="124">
        <f>IF(AR$10=IF(ISBLANK(Предпосылки!$E31),$E$10,Предпосылки!$E31),1,0)</f>
        <v>0</v>
      </c>
      <c s="124">
        <f>IF(AS$10=IF(ISBLANK(Предпосылки!$E31),$E$10,Предпосылки!$E31),1,0)</f>
        <v>0</v>
      </c>
      <c s="124">
        <f>IF(AT$10=IF(ISBLANK(Предпосылки!$E31),$E$10,Предпосылки!$E31),1,0)</f>
        <v>0</v>
      </c>
      <c s="124">
        <f>IF(AU$10=IF(ISBLANK(Предпосылки!$E31),$E$10,Предпосылки!$E31),1,0)</f>
        <v>0</v>
      </c>
      <c s="124">
        <f>IF(AV$10=IF(ISBLANK(Предпосылки!$E31),$E$10,Предпосылки!$E31),1,0)</f>
        <v>0</v>
      </c>
      <c s="124">
        <f>IF(AW$10=IF(ISBLANK(Предпосылки!$E31),$E$10,Предпосылки!$E31),1,0)</f>
        <v>0</v>
      </c>
      <c s="124">
        <f>IF(AX$10=IF(ISBLANK(Предпосылки!$E31),$E$10,Предпосылки!$E31),1,0)</f>
        <v>0</v>
      </c>
      <c s="124">
        <f>IF(AY$10=IF(ISBLANK(Предпосылки!$E31),$E$10,Предпосылки!$E31),1,0)</f>
        <v>0</v>
      </c>
      <c s="124">
        <f>IF(AZ$10=IF(ISBLANK(Предпосылки!$E31),$E$10,Предпосылки!$E31),1,0)</f>
        <v>0</v>
      </c>
      <c s="124">
        <f>IF(BA$10=IF(ISBLANK(Предпосылки!$E31),$E$10,Предпосылки!$E31),1,0)</f>
        <v>0</v>
      </c>
      <c s="124">
        <f>IF(BB$10=IF(ISBLANK(Предпосылки!$E31),$E$10,Предпосылки!$E31),1,0)</f>
        <v>0</v>
      </c>
      <c s="124">
        <f>IF(BC$10=IF(ISBLANK(Предпосылки!$E31),$E$10,Предпосылки!$E31),1,0)</f>
        <v>0</v>
      </c>
      <c s="124">
        <f>IF(BD$10=IF(ISBLANK(Предпосылки!$E31),$E$10,Предпосылки!$E31),1,0)</f>
        <v>0</v>
      </c>
      <c s="124">
        <f>IF(BE$10=IF(ISBLANK(Предпосылки!$E31),$E$10,Предпосылки!$E31),1,0)</f>
        <v>0</v>
      </c>
      <c s="124">
        <f>IF(BF$10=IF(ISBLANK(Предпосылки!$E31),$E$10,Предпосылки!$E31),1,0)</f>
        <v>0</v>
      </c>
      <c s="124">
        <f>IF(BG$10=IF(ISBLANK(Предпосылки!$E31),$E$10,Предпосылки!$E31),1,0)</f>
        <v>0</v>
      </c>
      <c s="124">
        <f>IF(BH$10=IF(ISBLANK(Предпосылки!$E31),$E$10,Предпосылки!$E31),1,0)</f>
        <v>0</v>
      </c>
      <c s="124">
        <f>IF(BI$10=IF(ISBLANK(Предпосылки!$E31),$E$10,Предпосылки!$E31),1,0)</f>
        <v>0</v>
      </c>
      <c s="124">
        <f>IF(BJ$10=IF(ISBLANK(Предпосылки!$E31),$E$10,Предпосылки!$E31),1,0)</f>
        <v>0</v>
      </c>
      <c s="124">
        <f>IF(BK$10=IF(ISBLANK(Предпосылки!$E31),$E$10,Предпосылки!$E31),1,0)</f>
        <v>0</v>
      </c>
      <c s="124">
        <f>IF(BL$10=IF(ISBLANK(Предпосылки!$E31),$E$10,Предпосылки!$E31),1,0)</f>
        <v>0</v>
      </c>
      <c s="124">
        <f>IF(BM$10=IF(ISBLANK(Предпосылки!$E31),$E$10,Предпосылки!$E31),1,0)</f>
        <v>0</v>
      </c>
    </row>
    <row r="323" spans="2:65" ht="15" customHeight="1">
      <c r="B323" s="12" t="str">
        <f t="shared" si="115"/>
        <v>-</v>
      </c>
      <c s="124" t="s">
        <v>824</v>
      </c>
      <c s="124"/>
      <c s="124">
        <f>IF(E$10=IF(ISBLANK(Предпосылки!$E32),$E$10,Предпосылки!$E32),1,0)</f>
        <v>1</v>
      </c>
      <c s="124">
        <f>IF(F$10=IF(ISBLANK(Предпосылки!$E32),$E$10,Предпосылки!$E32),1,0)</f>
        <v>0</v>
      </c>
      <c s="124">
        <f>IF(G$10=IF(ISBLANK(Предпосылки!$E32),$E$10,Предпосылки!$E32),1,0)</f>
        <v>0</v>
      </c>
      <c s="124">
        <f>IF(H$10=IF(ISBLANK(Предпосылки!$E32),$E$10,Предпосылки!$E32),1,0)</f>
        <v>0</v>
      </c>
      <c s="124">
        <f>IF(I$10=IF(ISBLANK(Предпосылки!$E32),$E$10,Предпосылки!$E32),1,0)</f>
        <v>0</v>
      </c>
      <c s="124">
        <f>IF(J$10=IF(ISBLANK(Предпосылки!$E32),$E$10,Предпосылки!$E32),1,0)</f>
        <v>0</v>
      </c>
      <c s="124">
        <f>IF(K$10=IF(ISBLANK(Предпосылки!$E32),$E$10,Предпосылки!$E32),1,0)</f>
        <v>0</v>
      </c>
      <c s="124">
        <f>IF(L$10=IF(ISBLANK(Предпосылки!$E32),$E$10,Предпосылки!$E32),1,0)</f>
        <v>0</v>
      </c>
      <c s="124">
        <f>IF(M$10=IF(ISBLANK(Предпосылки!$E32),$E$10,Предпосылки!$E32),1,0)</f>
        <v>0</v>
      </c>
      <c s="124">
        <f>IF(N$10=IF(ISBLANK(Предпосылки!$E32),$E$10,Предпосылки!$E32),1,0)</f>
        <v>0</v>
      </c>
      <c s="124">
        <f>IF(O$10=IF(ISBLANK(Предпосылки!$E32),$E$10,Предпосылки!$E32),1,0)</f>
        <v>0</v>
      </c>
      <c s="124">
        <f>IF(P$10=IF(ISBLANK(Предпосылки!$E32),$E$10,Предпосылки!$E32),1,0)</f>
        <v>0</v>
      </c>
      <c s="124">
        <f>IF(Q$10=IF(ISBLANK(Предпосылки!$E32),$E$10,Предпосылки!$E32),1,0)</f>
        <v>0</v>
      </c>
      <c s="124">
        <f>IF(R$10=IF(ISBLANK(Предпосылки!$E32),$E$10,Предпосылки!$E32),1,0)</f>
        <v>0</v>
      </c>
      <c s="124">
        <f>IF(S$10=IF(ISBLANK(Предпосылки!$E32),$E$10,Предпосылки!$E32),1,0)</f>
        <v>0</v>
      </c>
      <c s="124">
        <f>IF(T$10=IF(ISBLANK(Предпосылки!$E32),$E$10,Предпосылки!$E32),1,0)</f>
        <v>0</v>
      </c>
      <c s="124">
        <f>IF(U$10=IF(ISBLANK(Предпосылки!$E32),$E$10,Предпосылки!$E32),1,0)</f>
        <v>0</v>
      </c>
      <c s="124">
        <f>IF(V$10=IF(ISBLANK(Предпосылки!$E32),$E$10,Предпосылки!$E32),1,0)</f>
        <v>0</v>
      </c>
      <c s="124">
        <f>IF(W$10=IF(ISBLANK(Предпосылки!$E32),$E$10,Предпосылки!$E32),1,0)</f>
        <v>0</v>
      </c>
      <c s="124">
        <f>IF(X$10=IF(ISBLANK(Предпосылки!$E32),$E$10,Предпосылки!$E32),1,0)</f>
        <v>0</v>
      </c>
      <c s="124">
        <f>IF(Y$10=IF(ISBLANK(Предпосылки!$E32),$E$10,Предпосылки!$E32),1,0)</f>
        <v>0</v>
      </c>
      <c s="124">
        <f>IF(Z$10=IF(ISBLANK(Предпосылки!$E32),$E$10,Предпосылки!$E32),1,0)</f>
        <v>0</v>
      </c>
      <c s="124">
        <f>IF(AA$10=IF(ISBLANK(Предпосылки!$E32),$E$10,Предпосылки!$E32),1,0)</f>
        <v>0</v>
      </c>
      <c s="124">
        <f>IF(AB$10=IF(ISBLANK(Предпосылки!$E32),$E$10,Предпосылки!$E32),1,0)</f>
        <v>0</v>
      </c>
      <c s="124">
        <f>IF(AC$10=IF(ISBLANK(Предпосылки!$E32),$E$10,Предпосылки!$E32),1,0)</f>
        <v>0</v>
      </c>
      <c s="124">
        <f>IF(AD$10=IF(ISBLANK(Предпосылки!$E32),$E$10,Предпосылки!$E32),1,0)</f>
        <v>0</v>
      </c>
      <c s="124">
        <f>IF(AE$10=IF(ISBLANK(Предпосылки!$E32),$E$10,Предпосылки!$E32),1,0)</f>
        <v>0</v>
      </c>
      <c s="124">
        <f>IF(AF$10=IF(ISBLANK(Предпосылки!$E32),$E$10,Предпосылки!$E32),1,0)</f>
        <v>0</v>
      </c>
      <c s="124">
        <f>IF(AG$10=IF(ISBLANK(Предпосылки!$E32),$E$10,Предпосылки!$E32),1,0)</f>
        <v>0</v>
      </c>
      <c s="124">
        <f>IF(AH$10=IF(ISBLANK(Предпосылки!$E32),$E$10,Предпосылки!$E32),1,0)</f>
        <v>0</v>
      </c>
      <c s="124">
        <f>IF(AI$10=IF(ISBLANK(Предпосылки!$E32),$E$10,Предпосылки!$E32),1,0)</f>
        <v>0</v>
      </c>
      <c s="124">
        <f>IF(AJ$10=IF(ISBLANK(Предпосылки!$E32),$E$10,Предпосылки!$E32),1,0)</f>
        <v>0</v>
      </c>
      <c s="124">
        <f>IF(AK$10=IF(ISBLANK(Предпосылки!$E32),$E$10,Предпосылки!$E32),1,0)</f>
        <v>0</v>
      </c>
      <c s="124">
        <f>IF(AL$10=IF(ISBLANK(Предпосылки!$E32),$E$10,Предпосылки!$E32),1,0)</f>
        <v>0</v>
      </c>
      <c s="124">
        <f>IF(AM$10=IF(ISBLANK(Предпосылки!$E32),$E$10,Предпосылки!$E32),1,0)</f>
        <v>0</v>
      </c>
      <c s="124">
        <f>IF(AN$10=IF(ISBLANK(Предпосылки!$E32),$E$10,Предпосылки!$E32),1,0)</f>
        <v>0</v>
      </c>
      <c s="124">
        <f>IF(AO$10=IF(ISBLANK(Предпосылки!$E32),$E$10,Предпосылки!$E32),1,0)</f>
        <v>0</v>
      </c>
      <c s="124">
        <f>IF(AP$10=IF(ISBLANK(Предпосылки!$E32),$E$10,Предпосылки!$E32),1,0)</f>
        <v>0</v>
      </c>
      <c s="124">
        <f>IF(AQ$10=IF(ISBLANK(Предпосылки!$E32),$E$10,Предпосылки!$E32),1,0)</f>
        <v>0</v>
      </c>
      <c s="124">
        <f>IF(AR$10=IF(ISBLANK(Предпосылки!$E32),$E$10,Предпосылки!$E32),1,0)</f>
        <v>0</v>
      </c>
      <c s="124">
        <f>IF(AS$10=IF(ISBLANK(Предпосылки!$E32),$E$10,Предпосылки!$E32),1,0)</f>
        <v>0</v>
      </c>
      <c s="124">
        <f>IF(AT$10=IF(ISBLANK(Предпосылки!$E32),$E$10,Предпосылки!$E32),1,0)</f>
        <v>0</v>
      </c>
      <c s="124">
        <f>IF(AU$10=IF(ISBLANK(Предпосылки!$E32),$E$10,Предпосылки!$E32),1,0)</f>
        <v>0</v>
      </c>
      <c s="124">
        <f>IF(AV$10=IF(ISBLANK(Предпосылки!$E32),$E$10,Предпосылки!$E32),1,0)</f>
        <v>0</v>
      </c>
      <c s="124">
        <f>IF(AW$10=IF(ISBLANK(Предпосылки!$E32),$E$10,Предпосылки!$E32),1,0)</f>
        <v>0</v>
      </c>
      <c s="124">
        <f>IF(AX$10=IF(ISBLANK(Предпосылки!$E32),$E$10,Предпосылки!$E32),1,0)</f>
        <v>0</v>
      </c>
      <c s="124">
        <f>IF(AY$10=IF(ISBLANK(Предпосылки!$E32),$E$10,Предпосылки!$E32),1,0)</f>
        <v>0</v>
      </c>
      <c s="124">
        <f>IF(AZ$10=IF(ISBLANK(Предпосылки!$E32),$E$10,Предпосылки!$E32),1,0)</f>
        <v>0</v>
      </c>
      <c s="124">
        <f>IF(BA$10=IF(ISBLANK(Предпосылки!$E32),$E$10,Предпосылки!$E32),1,0)</f>
        <v>0</v>
      </c>
      <c s="124">
        <f>IF(BB$10=IF(ISBLANK(Предпосылки!$E32),$E$10,Предпосылки!$E32),1,0)</f>
        <v>0</v>
      </c>
      <c s="124">
        <f>IF(BC$10=IF(ISBLANK(Предпосылки!$E32),$E$10,Предпосылки!$E32),1,0)</f>
        <v>0</v>
      </c>
      <c s="124">
        <f>IF(BD$10=IF(ISBLANK(Предпосылки!$E32),$E$10,Предпосылки!$E32),1,0)</f>
        <v>0</v>
      </c>
      <c s="124">
        <f>IF(BE$10=IF(ISBLANK(Предпосылки!$E32),$E$10,Предпосылки!$E32),1,0)</f>
        <v>0</v>
      </c>
      <c s="124">
        <f>IF(BF$10=IF(ISBLANK(Предпосылки!$E32),$E$10,Предпосылки!$E32),1,0)</f>
        <v>0</v>
      </c>
      <c s="124">
        <f>IF(BG$10=IF(ISBLANK(Предпосылки!$E32),$E$10,Предпосылки!$E32),1,0)</f>
        <v>0</v>
      </c>
      <c s="124">
        <f>IF(BH$10=IF(ISBLANK(Предпосылки!$E32),$E$10,Предпосылки!$E32),1,0)</f>
        <v>0</v>
      </c>
      <c s="124">
        <f>IF(BI$10=IF(ISBLANK(Предпосылки!$E32),$E$10,Предпосылки!$E32),1,0)</f>
        <v>0</v>
      </c>
      <c s="124">
        <f>IF(BJ$10=IF(ISBLANK(Предпосылки!$E32),$E$10,Предпосылки!$E32),1,0)</f>
        <v>0</v>
      </c>
      <c s="124">
        <f>IF(BK$10=IF(ISBLANK(Предпосылки!$E32),$E$10,Предпосылки!$E32),1,0)</f>
        <v>0</v>
      </c>
      <c s="124">
        <f>IF(BL$10=IF(ISBLANK(Предпосылки!$E32),$E$10,Предпосылки!$E32),1,0)</f>
        <v>0</v>
      </c>
      <c s="124">
        <f>IF(BM$10=IF(ISBLANK(Предпосылки!$E32),$E$10,Предпосылки!$E32),1,0)</f>
        <v>0</v>
      </c>
    </row>
    <row r="324" spans="2:65" ht="15" customHeight="1">
      <c r="B324" s="12" t="str">
        <f t="shared" si="115"/>
        <v>-</v>
      </c>
      <c s="124" t="s">
        <v>824</v>
      </c>
      <c s="124"/>
      <c s="124">
        <f>IF(E$10=IF(ISBLANK(Предпосылки!$E33),$E$10,Предпосылки!$E33),1,0)</f>
        <v>1</v>
      </c>
      <c s="124">
        <f>IF(F$10=IF(ISBLANK(Предпосылки!$E33),$E$10,Предпосылки!$E33),1,0)</f>
        <v>0</v>
      </c>
      <c s="124">
        <f>IF(G$10=IF(ISBLANK(Предпосылки!$E33),$E$10,Предпосылки!$E33),1,0)</f>
        <v>0</v>
      </c>
      <c s="124">
        <f>IF(H$10=IF(ISBLANK(Предпосылки!$E33),$E$10,Предпосылки!$E33),1,0)</f>
        <v>0</v>
      </c>
      <c s="124">
        <f>IF(I$10=IF(ISBLANK(Предпосылки!$E33),$E$10,Предпосылки!$E33),1,0)</f>
        <v>0</v>
      </c>
      <c s="124">
        <f>IF(J$10=IF(ISBLANK(Предпосылки!$E33),$E$10,Предпосылки!$E33),1,0)</f>
        <v>0</v>
      </c>
      <c s="124">
        <f>IF(K$10=IF(ISBLANK(Предпосылки!$E33),$E$10,Предпосылки!$E33),1,0)</f>
        <v>0</v>
      </c>
      <c s="124">
        <f>IF(L$10=IF(ISBLANK(Предпосылки!$E33),$E$10,Предпосылки!$E33),1,0)</f>
        <v>0</v>
      </c>
      <c s="124">
        <f>IF(M$10=IF(ISBLANK(Предпосылки!$E33),$E$10,Предпосылки!$E33),1,0)</f>
        <v>0</v>
      </c>
      <c s="124">
        <f>IF(N$10=IF(ISBLANK(Предпосылки!$E33),$E$10,Предпосылки!$E33),1,0)</f>
        <v>0</v>
      </c>
      <c s="124">
        <f>IF(O$10=IF(ISBLANK(Предпосылки!$E33),$E$10,Предпосылки!$E33),1,0)</f>
        <v>0</v>
      </c>
      <c s="124">
        <f>IF(P$10=IF(ISBLANK(Предпосылки!$E33),$E$10,Предпосылки!$E33),1,0)</f>
        <v>0</v>
      </c>
      <c s="124">
        <f>IF(Q$10=IF(ISBLANK(Предпосылки!$E33),$E$10,Предпосылки!$E33),1,0)</f>
        <v>0</v>
      </c>
      <c s="124">
        <f>IF(R$10=IF(ISBLANK(Предпосылки!$E33),$E$10,Предпосылки!$E33),1,0)</f>
        <v>0</v>
      </c>
      <c s="124">
        <f>IF(S$10=IF(ISBLANK(Предпосылки!$E33),$E$10,Предпосылки!$E33),1,0)</f>
        <v>0</v>
      </c>
      <c s="124">
        <f>IF(T$10=IF(ISBLANK(Предпосылки!$E33),$E$10,Предпосылки!$E33),1,0)</f>
        <v>0</v>
      </c>
      <c s="124">
        <f>IF(U$10=IF(ISBLANK(Предпосылки!$E33),$E$10,Предпосылки!$E33),1,0)</f>
        <v>0</v>
      </c>
      <c s="124">
        <f>IF(V$10=IF(ISBLANK(Предпосылки!$E33),$E$10,Предпосылки!$E33),1,0)</f>
        <v>0</v>
      </c>
      <c s="124">
        <f>IF(W$10=IF(ISBLANK(Предпосылки!$E33),$E$10,Предпосылки!$E33),1,0)</f>
        <v>0</v>
      </c>
      <c s="124">
        <f>IF(X$10=IF(ISBLANK(Предпосылки!$E33),$E$10,Предпосылки!$E33),1,0)</f>
        <v>0</v>
      </c>
      <c s="124">
        <f>IF(Y$10=IF(ISBLANK(Предпосылки!$E33),$E$10,Предпосылки!$E33),1,0)</f>
        <v>0</v>
      </c>
      <c s="124">
        <f>IF(Z$10=IF(ISBLANK(Предпосылки!$E33),$E$10,Предпосылки!$E33),1,0)</f>
        <v>0</v>
      </c>
      <c s="124">
        <f>IF(AA$10=IF(ISBLANK(Предпосылки!$E33),$E$10,Предпосылки!$E33),1,0)</f>
        <v>0</v>
      </c>
      <c s="124">
        <f>IF(AB$10=IF(ISBLANK(Предпосылки!$E33),$E$10,Предпосылки!$E33),1,0)</f>
        <v>0</v>
      </c>
      <c s="124">
        <f>IF(AC$10=IF(ISBLANK(Предпосылки!$E33),$E$10,Предпосылки!$E33),1,0)</f>
        <v>0</v>
      </c>
      <c s="124">
        <f>IF(AD$10=IF(ISBLANK(Предпосылки!$E33),$E$10,Предпосылки!$E33),1,0)</f>
        <v>0</v>
      </c>
      <c s="124">
        <f>IF(AE$10=IF(ISBLANK(Предпосылки!$E33),$E$10,Предпосылки!$E33),1,0)</f>
        <v>0</v>
      </c>
      <c s="124">
        <f>IF(AF$10=IF(ISBLANK(Предпосылки!$E33),$E$10,Предпосылки!$E33),1,0)</f>
        <v>0</v>
      </c>
      <c s="124">
        <f>IF(AG$10=IF(ISBLANK(Предпосылки!$E33),$E$10,Предпосылки!$E33),1,0)</f>
        <v>0</v>
      </c>
      <c s="124">
        <f>IF(AH$10=IF(ISBLANK(Предпосылки!$E33),$E$10,Предпосылки!$E33),1,0)</f>
        <v>0</v>
      </c>
      <c s="124">
        <f>IF(AI$10=IF(ISBLANK(Предпосылки!$E33),$E$10,Предпосылки!$E33),1,0)</f>
        <v>0</v>
      </c>
      <c s="124">
        <f>IF(AJ$10=IF(ISBLANK(Предпосылки!$E33),$E$10,Предпосылки!$E33),1,0)</f>
        <v>0</v>
      </c>
      <c s="124">
        <f>IF(AK$10=IF(ISBLANK(Предпосылки!$E33),$E$10,Предпосылки!$E33),1,0)</f>
        <v>0</v>
      </c>
      <c s="124">
        <f>IF(AL$10=IF(ISBLANK(Предпосылки!$E33),$E$10,Предпосылки!$E33),1,0)</f>
        <v>0</v>
      </c>
      <c s="124">
        <f>IF(AM$10=IF(ISBLANK(Предпосылки!$E33),$E$10,Предпосылки!$E33),1,0)</f>
        <v>0</v>
      </c>
      <c s="124">
        <f>IF(AN$10=IF(ISBLANK(Предпосылки!$E33),$E$10,Предпосылки!$E33),1,0)</f>
        <v>0</v>
      </c>
      <c s="124">
        <f>IF(AO$10=IF(ISBLANK(Предпосылки!$E33),$E$10,Предпосылки!$E33),1,0)</f>
        <v>0</v>
      </c>
      <c s="124">
        <f>IF(AP$10=IF(ISBLANK(Предпосылки!$E33),$E$10,Предпосылки!$E33),1,0)</f>
        <v>0</v>
      </c>
      <c s="124">
        <f>IF(AQ$10=IF(ISBLANK(Предпосылки!$E33),$E$10,Предпосылки!$E33),1,0)</f>
        <v>0</v>
      </c>
      <c s="124">
        <f>IF(AR$10=IF(ISBLANK(Предпосылки!$E33),$E$10,Предпосылки!$E33),1,0)</f>
        <v>0</v>
      </c>
      <c s="124">
        <f>IF(AS$10=IF(ISBLANK(Предпосылки!$E33),$E$10,Предпосылки!$E33),1,0)</f>
        <v>0</v>
      </c>
      <c s="124">
        <f>IF(AT$10=IF(ISBLANK(Предпосылки!$E33),$E$10,Предпосылки!$E33),1,0)</f>
        <v>0</v>
      </c>
      <c s="124">
        <f>IF(AU$10=IF(ISBLANK(Предпосылки!$E33),$E$10,Предпосылки!$E33),1,0)</f>
        <v>0</v>
      </c>
      <c s="124">
        <f>IF(AV$10=IF(ISBLANK(Предпосылки!$E33),$E$10,Предпосылки!$E33),1,0)</f>
        <v>0</v>
      </c>
      <c s="124">
        <f>IF(AW$10=IF(ISBLANK(Предпосылки!$E33),$E$10,Предпосылки!$E33),1,0)</f>
        <v>0</v>
      </c>
      <c s="124">
        <f>IF(AX$10=IF(ISBLANK(Предпосылки!$E33),$E$10,Предпосылки!$E33),1,0)</f>
        <v>0</v>
      </c>
      <c s="124">
        <f>IF(AY$10=IF(ISBLANK(Предпосылки!$E33),$E$10,Предпосылки!$E33),1,0)</f>
        <v>0</v>
      </c>
      <c s="124">
        <f>IF(AZ$10=IF(ISBLANK(Предпосылки!$E33),$E$10,Предпосылки!$E33),1,0)</f>
        <v>0</v>
      </c>
      <c s="124">
        <f>IF(BA$10=IF(ISBLANK(Предпосылки!$E33),$E$10,Предпосылки!$E33),1,0)</f>
        <v>0</v>
      </c>
      <c s="124">
        <f>IF(BB$10=IF(ISBLANK(Предпосылки!$E33),$E$10,Предпосылки!$E33),1,0)</f>
        <v>0</v>
      </c>
      <c s="124">
        <f>IF(BC$10=IF(ISBLANK(Предпосылки!$E33),$E$10,Предпосылки!$E33),1,0)</f>
        <v>0</v>
      </c>
      <c s="124">
        <f>IF(BD$10=IF(ISBLANK(Предпосылки!$E33),$E$10,Предпосылки!$E33),1,0)</f>
        <v>0</v>
      </c>
      <c s="124">
        <f>IF(BE$10=IF(ISBLANK(Предпосылки!$E33),$E$10,Предпосылки!$E33),1,0)</f>
        <v>0</v>
      </c>
      <c s="124">
        <f>IF(BF$10=IF(ISBLANK(Предпосылки!$E33),$E$10,Предпосылки!$E33),1,0)</f>
        <v>0</v>
      </c>
      <c s="124">
        <f>IF(BG$10=IF(ISBLANK(Предпосылки!$E33),$E$10,Предпосылки!$E33),1,0)</f>
        <v>0</v>
      </c>
      <c s="124">
        <f>IF(BH$10=IF(ISBLANK(Предпосылки!$E33),$E$10,Предпосылки!$E33),1,0)</f>
        <v>0</v>
      </c>
      <c s="124">
        <f>IF(BI$10=IF(ISBLANK(Предпосылки!$E33),$E$10,Предпосылки!$E33),1,0)</f>
        <v>0</v>
      </c>
      <c s="124">
        <f>IF(BJ$10=IF(ISBLANK(Предпосылки!$E33),$E$10,Предпосылки!$E33),1,0)</f>
        <v>0</v>
      </c>
      <c s="124">
        <f>IF(BK$10=IF(ISBLANK(Предпосылки!$E33),$E$10,Предпосылки!$E33),1,0)</f>
        <v>0</v>
      </c>
      <c s="124">
        <f>IF(BL$10=IF(ISBLANK(Предпосылки!$E33),$E$10,Предпосылки!$E33),1,0)</f>
        <v>0</v>
      </c>
      <c s="124">
        <f>IF(BM$10=IF(ISBLANK(Предпосылки!$E33),$E$10,Предпосылки!$E33),1,0)</f>
        <v>0</v>
      </c>
    </row>
    <row r="325" spans="2:65" ht="15" customHeight="1">
      <c r="B325" s="12" t="str">
        <f t="shared" si="115"/>
        <v>-</v>
      </c>
      <c s="124" t="s">
        <v>824</v>
      </c>
      <c s="124"/>
      <c s="124">
        <f>IF(E$10=IF(ISBLANK(Предпосылки!$E34),$E$10,Предпосылки!$E34),1,0)</f>
        <v>1</v>
      </c>
      <c s="124">
        <f>IF(F$10=IF(ISBLANK(Предпосылки!$E34),$E$10,Предпосылки!$E34),1,0)</f>
        <v>0</v>
      </c>
      <c s="124">
        <f>IF(G$10=IF(ISBLANK(Предпосылки!$E34),$E$10,Предпосылки!$E34),1,0)</f>
        <v>0</v>
      </c>
      <c s="124">
        <f>IF(H$10=IF(ISBLANK(Предпосылки!$E34),$E$10,Предпосылки!$E34),1,0)</f>
        <v>0</v>
      </c>
      <c s="124">
        <f>IF(I$10=IF(ISBLANK(Предпосылки!$E34),$E$10,Предпосылки!$E34),1,0)</f>
        <v>0</v>
      </c>
      <c s="124">
        <f>IF(J$10=IF(ISBLANK(Предпосылки!$E34),$E$10,Предпосылки!$E34),1,0)</f>
        <v>0</v>
      </c>
      <c s="124">
        <f>IF(K$10=IF(ISBLANK(Предпосылки!$E34),$E$10,Предпосылки!$E34),1,0)</f>
        <v>0</v>
      </c>
      <c s="124">
        <f>IF(L$10=IF(ISBLANK(Предпосылки!$E34),$E$10,Предпосылки!$E34),1,0)</f>
        <v>0</v>
      </c>
      <c s="124">
        <f>IF(M$10=IF(ISBLANK(Предпосылки!$E34),$E$10,Предпосылки!$E34),1,0)</f>
        <v>0</v>
      </c>
      <c s="124">
        <f>IF(N$10=IF(ISBLANK(Предпосылки!$E34),$E$10,Предпосылки!$E34),1,0)</f>
        <v>0</v>
      </c>
      <c s="124">
        <f>IF(O$10=IF(ISBLANK(Предпосылки!$E34),$E$10,Предпосылки!$E34),1,0)</f>
        <v>0</v>
      </c>
      <c s="124">
        <f>IF(P$10=IF(ISBLANK(Предпосылки!$E34),$E$10,Предпосылки!$E34),1,0)</f>
        <v>0</v>
      </c>
      <c s="124">
        <f>IF(Q$10=IF(ISBLANK(Предпосылки!$E34),$E$10,Предпосылки!$E34),1,0)</f>
        <v>0</v>
      </c>
      <c s="124">
        <f>IF(R$10=IF(ISBLANK(Предпосылки!$E34),$E$10,Предпосылки!$E34),1,0)</f>
        <v>0</v>
      </c>
      <c s="124">
        <f>IF(S$10=IF(ISBLANK(Предпосылки!$E34),$E$10,Предпосылки!$E34),1,0)</f>
        <v>0</v>
      </c>
      <c s="124">
        <f>IF(T$10=IF(ISBLANK(Предпосылки!$E34),$E$10,Предпосылки!$E34),1,0)</f>
        <v>0</v>
      </c>
      <c s="124">
        <f>IF(U$10=IF(ISBLANK(Предпосылки!$E34),$E$10,Предпосылки!$E34),1,0)</f>
        <v>0</v>
      </c>
      <c s="124">
        <f>IF(V$10=IF(ISBLANK(Предпосылки!$E34),$E$10,Предпосылки!$E34),1,0)</f>
        <v>0</v>
      </c>
      <c s="124">
        <f>IF(W$10=IF(ISBLANK(Предпосылки!$E34),$E$10,Предпосылки!$E34),1,0)</f>
        <v>0</v>
      </c>
      <c s="124">
        <f>IF(X$10=IF(ISBLANK(Предпосылки!$E34),$E$10,Предпосылки!$E34),1,0)</f>
        <v>0</v>
      </c>
      <c s="124">
        <f>IF(Y$10=IF(ISBLANK(Предпосылки!$E34),$E$10,Предпосылки!$E34),1,0)</f>
        <v>0</v>
      </c>
      <c s="124">
        <f>IF(Z$10=IF(ISBLANK(Предпосылки!$E34),$E$10,Предпосылки!$E34),1,0)</f>
        <v>0</v>
      </c>
      <c s="124">
        <f>IF(AA$10=IF(ISBLANK(Предпосылки!$E34),$E$10,Предпосылки!$E34),1,0)</f>
        <v>0</v>
      </c>
      <c s="124">
        <f>IF(AB$10=IF(ISBLANK(Предпосылки!$E34),$E$10,Предпосылки!$E34),1,0)</f>
        <v>0</v>
      </c>
      <c s="124">
        <f>IF(AC$10=IF(ISBLANK(Предпосылки!$E34),$E$10,Предпосылки!$E34),1,0)</f>
        <v>0</v>
      </c>
      <c s="124">
        <f>IF(AD$10=IF(ISBLANK(Предпосылки!$E34),$E$10,Предпосылки!$E34),1,0)</f>
        <v>0</v>
      </c>
      <c s="124">
        <f>IF(AE$10=IF(ISBLANK(Предпосылки!$E34),$E$10,Предпосылки!$E34),1,0)</f>
        <v>0</v>
      </c>
      <c s="124">
        <f>IF(AF$10=IF(ISBLANK(Предпосылки!$E34),$E$10,Предпосылки!$E34),1,0)</f>
        <v>0</v>
      </c>
      <c s="124">
        <f>IF(AG$10=IF(ISBLANK(Предпосылки!$E34),$E$10,Предпосылки!$E34),1,0)</f>
        <v>0</v>
      </c>
      <c s="124">
        <f>IF(AH$10=IF(ISBLANK(Предпосылки!$E34),$E$10,Предпосылки!$E34),1,0)</f>
        <v>0</v>
      </c>
      <c s="124">
        <f>IF(AI$10=IF(ISBLANK(Предпосылки!$E34),$E$10,Предпосылки!$E34),1,0)</f>
        <v>0</v>
      </c>
      <c s="124">
        <f>IF(AJ$10=IF(ISBLANK(Предпосылки!$E34),$E$10,Предпосылки!$E34),1,0)</f>
        <v>0</v>
      </c>
      <c s="124">
        <f>IF(AK$10=IF(ISBLANK(Предпосылки!$E34),$E$10,Предпосылки!$E34),1,0)</f>
        <v>0</v>
      </c>
      <c s="124">
        <f>IF(AL$10=IF(ISBLANK(Предпосылки!$E34),$E$10,Предпосылки!$E34),1,0)</f>
        <v>0</v>
      </c>
      <c s="124">
        <f>IF(AM$10=IF(ISBLANK(Предпосылки!$E34),$E$10,Предпосылки!$E34),1,0)</f>
        <v>0</v>
      </c>
      <c s="124">
        <f>IF(AN$10=IF(ISBLANK(Предпосылки!$E34),$E$10,Предпосылки!$E34),1,0)</f>
        <v>0</v>
      </c>
      <c s="124">
        <f>IF(AO$10=IF(ISBLANK(Предпосылки!$E34),$E$10,Предпосылки!$E34),1,0)</f>
        <v>0</v>
      </c>
      <c s="124">
        <f>IF(AP$10=IF(ISBLANK(Предпосылки!$E34),$E$10,Предпосылки!$E34),1,0)</f>
        <v>0</v>
      </c>
      <c s="124">
        <f>IF(AQ$10=IF(ISBLANK(Предпосылки!$E34),$E$10,Предпосылки!$E34),1,0)</f>
        <v>0</v>
      </c>
      <c s="124">
        <f>IF(AR$10=IF(ISBLANK(Предпосылки!$E34),$E$10,Предпосылки!$E34),1,0)</f>
        <v>0</v>
      </c>
      <c s="124">
        <f>IF(AS$10=IF(ISBLANK(Предпосылки!$E34),$E$10,Предпосылки!$E34),1,0)</f>
        <v>0</v>
      </c>
      <c s="124">
        <f>IF(AT$10=IF(ISBLANK(Предпосылки!$E34),$E$10,Предпосылки!$E34),1,0)</f>
        <v>0</v>
      </c>
      <c s="124">
        <f>IF(AU$10=IF(ISBLANK(Предпосылки!$E34),$E$10,Предпосылки!$E34),1,0)</f>
        <v>0</v>
      </c>
      <c s="124">
        <f>IF(AV$10=IF(ISBLANK(Предпосылки!$E34),$E$10,Предпосылки!$E34),1,0)</f>
        <v>0</v>
      </c>
      <c s="124">
        <f>IF(AW$10=IF(ISBLANK(Предпосылки!$E34),$E$10,Предпосылки!$E34),1,0)</f>
        <v>0</v>
      </c>
      <c s="124">
        <f>IF(AX$10=IF(ISBLANK(Предпосылки!$E34),$E$10,Предпосылки!$E34),1,0)</f>
        <v>0</v>
      </c>
      <c s="124">
        <f>IF(AY$10=IF(ISBLANK(Предпосылки!$E34),$E$10,Предпосылки!$E34),1,0)</f>
        <v>0</v>
      </c>
      <c s="124">
        <f>IF(AZ$10=IF(ISBLANK(Предпосылки!$E34),$E$10,Предпосылки!$E34),1,0)</f>
        <v>0</v>
      </c>
      <c s="124">
        <f>IF(BA$10=IF(ISBLANK(Предпосылки!$E34),$E$10,Предпосылки!$E34),1,0)</f>
        <v>0</v>
      </c>
      <c s="124">
        <f>IF(BB$10=IF(ISBLANK(Предпосылки!$E34),$E$10,Предпосылки!$E34),1,0)</f>
        <v>0</v>
      </c>
      <c s="124">
        <f>IF(BC$10=IF(ISBLANK(Предпосылки!$E34),$E$10,Предпосылки!$E34),1,0)</f>
        <v>0</v>
      </c>
      <c s="124">
        <f>IF(BD$10=IF(ISBLANK(Предпосылки!$E34),$E$10,Предпосылки!$E34),1,0)</f>
        <v>0</v>
      </c>
      <c s="124">
        <f>IF(BE$10=IF(ISBLANK(Предпосылки!$E34),$E$10,Предпосылки!$E34),1,0)</f>
        <v>0</v>
      </c>
      <c s="124">
        <f>IF(BF$10=IF(ISBLANK(Предпосылки!$E34),$E$10,Предпосылки!$E34),1,0)</f>
        <v>0</v>
      </c>
      <c s="124">
        <f>IF(BG$10=IF(ISBLANK(Предпосылки!$E34),$E$10,Предпосылки!$E34),1,0)</f>
        <v>0</v>
      </c>
      <c s="124">
        <f>IF(BH$10=IF(ISBLANK(Предпосылки!$E34),$E$10,Предпосылки!$E34),1,0)</f>
        <v>0</v>
      </c>
      <c s="124">
        <f>IF(BI$10=IF(ISBLANK(Предпосылки!$E34),$E$10,Предпосылки!$E34),1,0)</f>
        <v>0</v>
      </c>
      <c s="124">
        <f>IF(BJ$10=IF(ISBLANK(Предпосылки!$E34),$E$10,Предпосылки!$E34),1,0)</f>
        <v>0</v>
      </c>
      <c s="124">
        <f>IF(BK$10=IF(ISBLANK(Предпосылки!$E34),$E$10,Предпосылки!$E34),1,0)</f>
        <v>0</v>
      </c>
      <c s="124">
        <f>IF(BL$10=IF(ISBLANK(Предпосылки!$E34),$E$10,Предпосылки!$E34),1,0)</f>
        <v>0</v>
      </c>
      <c s="124">
        <f>IF(BM$10=IF(ISBLANK(Предпосылки!$E34),$E$10,Предпосылки!$E34),1,0)</f>
        <v>0</v>
      </c>
    </row>
    <row r="326" spans="2:65" ht="15" customHeight="1">
      <c r="B326" s="12" t="str">
        <f t="shared" si="115"/>
        <v>-</v>
      </c>
      <c s="124" t="s">
        <v>824</v>
      </c>
      <c s="124"/>
      <c s="124">
        <f>IF(E$10=IF(ISBLANK(Предпосылки!$E35),$E$10,Предпосылки!$E35),1,0)</f>
        <v>1</v>
      </c>
      <c s="124">
        <f>IF(F$10=IF(ISBLANK(Предпосылки!$E35),$E$10,Предпосылки!$E35),1,0)</f>
        <v>0</v>
      </c>
      <c s="124">
        <f>IF(G$10=IF(ISBLANK(Предпосылки!$E35),$E$10,Предпосылки!$E35),1,0)</f>
        <v>0</v>
      </c>
      <c s="124">
        <f>IF(H$10=IF(ISBLANK(Предпосылки!$E35),$E$10,Предпосылки!$E35),1,0)</f>
        <v>0</v>
      </c>
      <c s="124">
        <f>IF(I$10=IF(ISBLANK(Предпосылки!$E35),$E$10,Предпосылки!$E35),1,0)</f>
        <v>0</v>
      </c>
      <c s="124">
        <f>IF(J$10=IF(ISBLANK(Предпосылки!$E35),$E$10,Предпосылки!$E35),1,0)</f>
        <v>0</v>
      </c>
      <c s="124">
        <f>IF(K$10=IF(ISBLANK(Предпосылки!$E35),$E$10,Предпосылки!$E35),1,0)</f>
        <v>0</v>
      </c>
      <c s="124">
        <f>IF(L$10=IF(ISBLANK(Предпосылки!$E35),$E$10,Предпосылки!$E35),1,0)</f>
        <v>0</v>
      </c>
      <c s="124">
        <f>IF(M$10=IF(ISBLANK(Предпосылки!$E35),$E$10,Предпосылки!$E35),1,0)</f>
        <v>0</v>
      </c>
      <c s="124">
        <f>IF(N$10=IF(ISBLANK(Предпосылки!$E35),$E$10,Предпосылки!$E35),1,0)</f>
        <v>0</v>
      </c>
      <c s="124">
        <f>IF(O$10=IF(ISBLANK(Предпосылки!$E35),$E$10,Предпосылки!$E35),1,0)</f>
        <v>0</v>
      </c>
      <c s="124">
        <f>IF(P$10=IF(ISBLANK(Предпосылки!$E35),$E$10,Предпосылки!$E35),1,0)</f>
        <v>0</v>
      </c>
      <c s="124">
        <f>IF(Q$10=IF(ISBLANK(Предпосылки!$E35),$E$10,Предпосылки!$E35),1,0)</f>
        <v>0</v>
      </c>
      <c s="124">
        <f>IF(R$10=IF(ISBLANK(Предпосылки!$E35),$E$10,Предпосылки!$E35),1,0)</f>
        <v>0</v>
      </c>
      <c s="124">
        <f>IF(S$10=IF(ISBLANK(Предпосылки!$E35),$E$10,Предпосылки!$E35),1,0)</f>
        <v>0</v>
      </c>
      <c s="124">
        <f>IF(T$10=IF(ISBLANK(Предпосылки!$E35),$E$10,Предпосылки!$E35),1,0)</f>
        <v>0</v>
      </c>
      <c s="124">
        <f>IF(U$10=IF(ISBLANK(Предпосылки!$E35),$E$10,Предпосылки!$E35),1,0)</f>
        <v>0</v>
      </c>
      <c s="124">
        <f>IF(V$10=IF(ISBLANK(Предпосылки!$E35),$E$10,Предпосылки!$E35),1,0)</f>
        <v>0</v>
      </c>
      <c s="124">
        <f>IF(W$10=IF(ISBLANK(Предпосылки!$E35),$E$10,Предпосылки!$E35),1,0)</f>
        <v>0</v>
      </c>
      <c s="124">
        <f>IF(X$10=IF(ISBLANK(Предпосылки!$E35),$E$10,Предпосылки!$E35),1,0)</f>
        <v>0</v>
      </c>
      <c s="124">
        <f>IF(Y$10=IF(ISBLANK(Предпосылки!$E35),$E$10,Предпосылки!$E35),1,0)</f>
        <v>0</v>
      </c>
      <c s="124">
        <f>IF(Z$10=IF(ISBLANK(Предпосылки!$E35),$E$10,Предпосылки!$E35),1,0)</f>
        <v>0</v>
      </c>
      <c s="124">
        <f>IF(AA$10=IF(ISBLANK(Предпосылки!$E35),$E$10,Предпосылки!$E35),1,0)</f>
        <v>0</v>
      </c>
      <c s="124">
        <f>IF(AB$10=IF(ISBLANK(Предпосылки!$E35),$E$10,Предпосылки!$E35),1,0)</f>
        <v>0</v>
      </c>
      <c s="124">
        <f>IF(AC$10=IF(ISBLANK(Предпосылки!$E35),$E$10,Предпосылки!$E35),1,0)</f>
        <v>0</v>
      </c>
      <c s="124">
        <f>IF(AD$10=IF(ISBLANK(Предпосылки!$E35),$E$10,Предпосылки!$E35),1,0)</f>
        <v>0</v>
      </c>
      <c s="124">
        <f>IF(AE$10=IF(ISBLANK(Предпосылки!$E35),$E$10,Предпосылки!$E35),1,0)</f>
        <v>0</v>
      </c>
      <c s="124">
        <f>IF(AF$10=IF(ISBLANK(Предпосылки!$E35),$E$10,Предпосылки!$E35),1,0)</f>
        <v>0</v>
      </c>
      <c s="124">
        <f>IF(AG$10=IF(ISBLANK(Предпосылки!$E35),$E$10,Предпосылки!$E35),1,0)</f>
        <v>0</v>
      </c>
      <c s="124">
        <f>IF(AH$10=IF(ISBLANK(Предпосылки!$E35),$E$10,Предпосылки!$E35),1,0)</f>
        <v>0</v>
      </c>
      <c s="124">
        <f>IF(AI$10=IF(ISBLANK(Предпосылки!$E35),$E$10,Предпосылки!$E35),1,0)</f>
        <v>0</v>
      </c>
      <c s="124">
        <f>IF(AJ$10=IF(ISBLANK(Предпосылки!$E35),$E$10,Предпосылки!$E35),1,0)</f>
        <v>0</v>
      </c>
      <c s="124">
        <f>IF(AK$10=IF(ISBLANK(Предпосылки!$E35),$E$10,Предпосылки!$E35),1,0)</f>
        <v>0</v>
      </c>
      <c s="124">
        <f>IF(AL$10=IF(ISBLANK(Предпосылки!$E35),$E$10,Предпосылки!$E35),1,0)</f>
        <v>0</v>
      </c>
      <c s="124">
        <f>IF(AM$10=IF(ISBLANK(Предпосылки!$E35),$E$10,Предпосылки!$E35),1,0)</f>
        <v>0</v>
      </c>
      <c s="124">
        <f>IF(AN$10=IF(ISBLANK(Предпосылки!$E35),$E$10,Предпосылки!$E35),1,0)</f>
        <v>0</v>
      </c>
      <c s="124">
        <f>IF(AO$10=IF(ISBLANK(Предпосылки!$E35),$E$10,Предпосылки!$E35),1,0)</f>
        <v>0</v>
      </c>
      <c s="124">
        <f>IF(AP$10=IF(ISBLANK(Предпосылки!$E35),$E$10,Предпосылки!$E35),1,0)</f>
        <v>0</v>
      </c>
      <c s="124">
        <f>IF(AQ$10=IF(ISBLANK(Предпосылки!$E35),$E$10,Предпосылки!$E35),1,0)</f>
        <v>0</v>
      </c>
      <c s="124">
        <f>IF(AR$10=IF(ISBLANK(Предпосылки!$E35),$E$10,Предпосылки!$E35),1,0)</f>
        <v>0</v>
      </c>
      <c s="124">
        <f>IF(AS$10=IF(ISBLANK(Предпосылки!$E35),$E$10,Предпосылки!$E35),1,0)</f>
        <v>0</v>
      </c>
      <c s="124">
        <f>IF(AT$10=IF(ISBLANK(Предпосылки!$E35),$E$10,Предпосылки!$E35),1,0)</f>
        <v>0</v>
      </c>
      <c s="124">
        <f>IF(AU$10=IF(ISBLANK(Предпосылки!$E35),$E$10,Предпосылки!$E35),1,0)</f>
        <v>0</v>
      </c>
      <c s="124">
        <f>IF(AV$10=IF(ISBLANK(Предпосылки!$E35),$E$10,Предпосылки!$E35),1,0)</f>
        <v>0</v>
      </c>
      <c s="124">
        <f>IF(AW$10=IF(ISBLANK(Предпосылки!$E35),$E$10,Предпосылки!$E35),1,0)</f>
        <v>0</v>
      </c>
      <c s="124">
        <f>IF(AX$10=IF(ISBLANK(Предпосылки!$E35),$E$10,Предпосылки!$E35),1,0)</f>
        <v>0</v>
      </c>
      <c s="124">
        <f>IF(AY$10=IF(ISBLANK(Предпосылки!$E35),$E$10,Предпосылки!$E35),1,0)</f>
        <v>0</v>
      </c>
      <c s="124">
        <f>IF(AZ$10=IF(ISBLANK(Предпосылки!$E35),$E$10,Предпосылки!$E35),1,0)</f>
        <v>0</v>
      </c>
      <c s="124">
        <f>IF(BA$10=IF(ISBLANK(Предпосылки!$E35),$E$10,Предпосылки!$E35),1,0)</f>
        <v>0</v>
      </c>
      <c s="124">
        <f>IF(BB$10=IF(ISBLANK(Предпосылки!$E35),$E$10,Предпосылки!$E35),1,0)</f>
        <v>0</v>
      </c>
      <c s="124">
        <f>IF(BC$10=IF(ISBLANK(Предпосылки!$E35),$E$10,Предпосылки!$E35),1,0)</f>
        <v>0</v>
      </c>
      <c s="124">
        <f>IF(BD$10=IF(ISBLANK(Предпосылки!$E35),$E$10,Предпосылки!$E35),1,0)</f>
        <v>0</v>
      </c>
      <c s="124">
        <f>IF(BE$10=IF(ISBLANK(Предпосылки!$E35),$E$10,Предпосылки!$E35),1,0)</f>
        <v>0</v>
      </c>
      <c s="124">
        <f>IF(BF$10=IF(ISBLANK(Предпосылки!$E35),$E$10,Предпосылки!$E35),1,0)</f>
        <v>0</v>
      </c>
      <c s="124">
        <f>IF(BG$10=IF(ISBLANK(Предпосылки!$E35),$E$10,Предпосылки!$E35),1,0)</f>
        <v>0</v>
      </c>
      <c s="124">
        <f>IF(BH$10=IF(ISBLANK(Предпосылки!$E35),$E$10,Предпосылки!$E35),1,0)</f>
        <v>0</v>
      </c>
      <c s="124">
        <f>IF(BI$10=IF(ISBLANK(Предпосылки!$E35),$E$10,Предпосылки!$E35),1,0)</f>
        <v>0</v>
      </c>
      <c s="124">
        <f>IF(BJ$10=IF(ISBLANK(Предпосылки!$E35),$E$10,Предпосылки!$E35),1,0)</f>
        <v>0</v>
      </c>
      <c s="124">
        <f>IF(BK$10=IF(ISBLANK(Предпосылки!$E35),$E$10,Предпосылки!$E35),1,0)</f>
        <v>0</v>
      </c>
      <c s="124">
        <f>IF(BL$10=IF(ISBLANK(Предпосылки!$E35),$E$10,Предпосылки!$E35),1,0)</f>
        <v>0</v>
      </c>
      <c s="124">
        <f>IF(BM$10=IF(ISBLANK(Предпосылки!$E35),$E$10,Предпосылки!$E35),1,0)</f>
        <v>0</v>
      </c>
    </row>
    <row r="327" spans="2:65" ht="15" customHeight="1">
      <c r="B327" s="12" t="str">
        <f t="shared" si="115"/>
        <v>-</v>
      </c>
      <c s="124" t="s">
        <v>824</v>
      </c>
      <c s="124"/>
      <c s="124">
        <f>IF(E$10=IF(ISBLANK(Предпосылки!$E36),$E$10,Предпосылки!$E36),1,0)</f>
        <v>1</v>
      </c>
      <c s="124">
        <f>IF(F$10=IF(ISBLANK(Предпосылки!$E36),$E$10,Предпосылки!$E36),1,0)</f>
        <v>0</v>
      </c>
      <c s="124">
        <f>IF(G$10=IF(ISBLANK(Предпосылки!$E36),$E$10,Предпосылки!$E36),1,0)</f>
        <v>0</v>
      </c>
      <c s="124">
        <f>IF(H$10=IF(ISBLANK(Предпосылки!$E36),$E$10,Предпосылки!$E36),1,0)</f>
        <v>0</v>
      </c>
      <c s="124">
        <f>IF(I$10=IF(ISBLANK(Предпосылки!$E36),$E$10,Предпосылки!$E36),1,0)</f>
        <v>0</v>
      </c>
      <c s="124">
        <f>IF(J$10=IF(ISBLANK(Предпосылки!$E36),$E$10,Предпосылки!$E36),1,0)</f>
        <v>0</v>
      </c>
      <c s="124">
        <f>IF(K$10=IF(ISBLANK(Предпосылки!$E36),$E$10,Предпосылки!$E36),1,0)</f>
        <v>0</v>
      </c>
      <c s="124">
        <f>IF(L$10=IF(ISBLANK(Предпосылки!$E36),$E$10,Предпосылки!$E36),1,0)</f>
        <v>0</v>
      </c>
      <c s="124">
        <f>IF(M$10=IF(ISBLANK(Предпосылки!$E36),$E$10,Предпосылки!$E36),1,0)</f>
        <v>0</v>
      </c>
      <c s="124">
        <f>IF(N$10=IF(ISBLANK(Предпосылки!$E36),$E$10,Предпосылки!$E36),1,0)</f>
        <v>0</v>
      </c>
      <c s="124">
        <f>IF(O$10=IF(ISBLANK(Предпосылки!$E36),$E$10,Предпосылки!$E36),1,0)</f>
        <v>0</v>
      </c>
      <c s="124">
        <f>IF(P$10=IF(ISBLANK(Предпосылки!$E36),$E$10,Предпосылки!$E36),1,0)</f>
        <v>0</v>
      </c>
      <c s="124">
        <f>IF(Q$10=IF(ISBLANK(Предпосылки!$E36),$E$10,Предпосылки!$E36),1,0)</f>
        <v>0</v>
      </c>
      <c s="124">
        <f>IF(R$10=IF(ISBLANK(Предпосылки!$E36),$E$10,Предпосылки!$E36),1,0)</f>
        <v>0</v>
      </c>
      <c s="124">
        <f>IF(S$10=IF(ISBLANK(Предпосылки!$E36),$E$10,Предпосылки!$E36),1,0)</f>
        <v>0</v>
      </c>
      <c s="124">
        <f>IF(T$10=IF(ISBLANK(Предпосылки!$E36),$E$10,Предпосылки!$E36),1,0)</f>
        <v>0</v>
      </c>
      <c s="124">
        <f>IF(U$10=IF(ISBLANK(Предпосылки!$E36),$E$10,Предпосылки!$E36),1,0)</f>
        <v>0</v>
      </c>
      <c s="124">
        <f>IF(V$10=IF(ISBLANK(Предпосылки!$E36),$E$10,Предпосылки!$E36),1,0)</f>
        <v>0</v>
      </c>
      <c s="124">
        <f>IF(W$10=IF(ISBLANK(Предпосылки!$E36),$E$10,Предпосылки!$E36),1,0)</f>
        <v>0</v>
      </c>
      <c s="124">
        <f>IF(X$10=IF(ISBLANK(Предпосылки!$E36),$E$10,Предпосылки!$E36),1,0)</f>
        <v>0</v>
      </c>
      <c s="124">
        <f>IF(Y$10=IF(ISBLANK(Предпосылки!$E36),$E$10,Предпосылки!$E36),1,0)</f>
        <v>0</v>
      </c>
      <c s="124">
        <f>IF(Z$10=IF(ISBLANK(Предпосылки!$E36),$E$10,Предпосылки!$E36),1,0)</f>
        <v>0</v>
      </c>
      <c s="124">
        <f>IF(AA$10=IF(ISBLANK(Предпосылки!$E36),$E$10,Предпосылки!$E36),1,0)</f>
        <v>0</v>
      </c>
      <c s="124">
        <f>IF(AB$10=IF(ISBLANK(Предпосылки!$E36),$E$10,Предпосылки!$E36),1,0)</f>
        <v>0</v>
      </c>
      <c s="124">
        <f>IF(AC$10=IF(ISBLANK(Предпосылки!$E36),$E$10,Предпосылки!$E36),1,0)</f>
        <v>0</v>
      </c>
      <c s="124">
        <f>IF(AD$10=IF(ISBLANK(Предпосылки!$E36),$E$10,Предпосылки!$E36),1,0)</f>
        <v>0</v>
      </c>
      <c s="124">
        <f>IF(AE$10=IF(ISBLANK(Предпосылки!$E36),$E$10,Предпосылки!$E36),1,0)</f>
        <v>0</v>
      </c>
      <c s="124">
        <f>IF(AF$10=IF(ISBLANK(Предпосылки!$E36),$E$10,Предпосылки!$E36),1,0)</f>
        <v>0</v>
      </c>
      <c s="124">
        <f>IF(AG$10=IF(ISBLANK(Предпосылки!$E36),$E$10,Предпосылки!$E36),1,0)</f>
        <v>0</v>
      </c>
      <c s="124">
        <f>IF(AH$10=IF(ISBLANK(Предпосылки!$E36),$E$10,Предпосылки!$E36),1,0)</f>
        <v>0</v>
      </c>
      <c s="124">
        <f>IF(AI$10=IF(ISBLANK(Предпосылки!$E36),$E$10,Предпосылки!$E36),1,0)</f>
        <v>0</v>
      </c>
      <c s="124">
        <f>IF(AJ$10=IF(ISBLANK(Предпосылки!$E36),$E$10,Предпосылки!$E36),1,0)</f>
        <v>0</v>
      </c>
      <c s="124">
        <f>IF(AK$10=IF(ISBLANK(Предпосылки!$E36),$E$10,Предпосылки!$E36),1,0)</f>
        <v>0</v>
      </c>
      <c s="124">
        <f>IF(AL$10=IF(ISBLANK(Предпосылки!$E36),$E$10,Предпосылки!$E36),1,0)</f>
        <v>0</v>
      </c>
      <c s="124">
        <f>IF(AM$10=IF(ISBLANK(Предпосылки!$E36),$E$10,Предпосылки!$E36),1,0)</f>
        <v>0</v>
      </c>
      <c s="124">
        <f>IF(AN$10=IF(ISBLANK(Предпосылки!$E36),$E$10,Предпосылки!$E36),1,0)</f>
        <v>0</v>
      </c>
      <c s="124">
        <f>IF(AO$10=IF(ISBLANK(Предпосылки!$E36),$E$10,Предпосылки!$E36),1,0)</f>
        <v>0</v>
      </c>
      <c s="124">
        <f>IF(AP$10=IF(ISBLANK(Предпосылки!$E36),$E$10,Предпосылки!$E36),1,0)</f>
        <v>0</v>
      </c>
      <c s="124">
        <f>IF(AQ$10=IF(ISBLANK(Предпосылки!$E36),$E$10,Предпосылки!$E36),1,0)</f>
        <v>0</v>
      </c>
      <c s="124">
        <f>IF(AR$10=IF(ISBLANK(Предпосылки!$E36),$E$10,Предпосылки!$E36),1,0)</f>
        <v>0</v>
      </c>
      <c s="124">
        <f>IF(AS$10=IF(ISBLANK(Предпосылки!$E36),$E$10,Предпосылки!$E36),1,0)</f>
        <v>0</v>
      </c>
      <c s="124">
        <f>IF(AT$10=IF(ISBLANK(Предпосылки!$E36),$E$10,Предпосылки!$E36),1,0)</f>
        <v>0</v>
      </c>
      <c s="124">
        <f>IF(AU$10=IF(ISBLANK(Предпосылки!$E36),$E$10,Предпосылки!$E36),1,0)</f>
        <v>0</v>
      </c>
      <c s="124">
        <f>IF(AV$10=IF(ISBLANK(Предпосылки!$E36),$E$10,Предпосылки!$E36),1,0)</f>
        <v>0</v>
      </c>
      <c s="124">
        <f>IF(AW$10=IF(ISBLANK(Предпосылки!$E36),$E$10,Предпосылки!$E36),1,0)</f>
        <v>0</v>
      </c>
      <c s="124">
        <f>IF(AX$10=IF(ISBLANK(Предпосылки!$E36),$E$10,Предпосылки!$E36),1,0)</f>
        <v>0</v>
      </c>
      <c s="124">
        <f>IF(AY$10=IF(ISBLANK(Предпосылки!$E36),$E$10,Предпосылки!$E36),1,0)</f>
        <v>0</v>
      </c>
      <c s="124">
        <f>IF(AZ$10=IF(ISBLANK(Предпосылки!$E36),$E$10,Предпосылки!$E36),1,0)</f>
        <v>0</v>
      </c>
      <c s="124">
        <f>IF(BA$10=IF(ISBLANK(Предпосылки!$E36),$E$10,Предпосылки!$E36),1,0)</f>
        <v>0</v>
      </c>
      <c s="124">
        <f>IF(BB$10=IF(ISBLANK(Предпосылки!$E36),$E$10,Предпосылки!$E36),1,0)</f>
        <v>0</v>
      </c>
      <c s="124">
        <f>IF(BC$10=IF(ISBLANK(Предпосылки!$E36),$E$10,Предпосылки!$E36),1,0)</f>
        <v>0</v>
      </c>
      <c s="124">
        <f>IF(BD$10=IF(ISBLANK(Предпосылки!$E36),$E$10,Предпосылки!$E36),1,0)</f>
        <v>0</v>
      </c>
      <c s="124">
        <f>IF(BE$10=IF(ISBLANK(Предпосылки!$E36),$E$10,Предпосылки!$E36),1,0)</f>
        <v>0</v>
      </c>
      <c s="124">
        <f>IF(BF$10=IF(ISBLANK(Предпосылки!$E36),$E$10,Предпосылки!$E36),1,0)</f>
        <v>0</v>
      </c>
      <c s="124">
        <f>IF(BG$10=IF(ISBLANK(Предпосылки!$E36),$E$10,Предпосылки!$E36),1,0)</f>
        <v>0</v>
      </c>
      <c s="124">
        <f>IF(BH$10=IF(ISBLANK(Предпосылки!$E36),$E$10,Предпосылки!$E36),1,0)</f>
        <v>0</v>
      </c>
      <c s="124">
        <f>IF(BI$10=IF(ISBLANK(Предпосылки!$E36),$E$10,Предпосылки!$E36),1,0)</f>
        <v>0</v>
      </c>
      <c s="124">
        <f>IF(BJ$10=IF(ISBLANK(Предпосылки!$E36),$E$10,Предпосылки!$E36),1,0)</f>
        <v>0</v>
      </c>
      <c s="124">
        <f>IF(BK$10=IF(ISBLANK(Предпосылки!$E36),$E$10,Предпосылки!$E36),1,0)</f>
        <v>0</v>
      </c>
      <c s="124">
        <f>IF(BL$10=IF(ISBLANK(Предпосылки!$E36),$E$10,Предпосылки!$E36),1,0)</f>
        <v>0</v>
      </c>
      <c s="124">
        <f>IF(BM$10=IF(ISBLANK(Предпосылки!$E36),$E$10,Предпосылки!$E36),1,0)</f>
        <v>0</v>
      </c>
    </row>
    <row r="328" spans="2:65" ht="15" customHeight="1">
      <c r="B328" s="12" t="str">
        <f t="shared" si="115"/>
        <v>-</v>
      </c>
      <c s="124" t="s">
        <v>824</v>
      </c>
      <c s="124"/>
      <c s="124">
        <f>IF(E$10=IF(ISBLANK(Предпосылки!$E37),$E$10,Предпосылки!$E37),1,0)</f>
        <v>1</v>
      </c>
      <c s="124">
        <f>IF(F$10=IF(ISBLANK(Предпосылки!$E37),$E$10,Предпосылки!$E37),1,0)</f>
        <v>0</v>
      </c>
      <c s="124">
        <f>IF(G$10=IF(ISBLANK(Предпосылки!$E37),$E$10,Предпосылки!$E37),1,0)</f>
        <v>0</v>
      </c>
      <c s="124">
        <f>IF(H$10=IF(ISBLANK(Предпосылки!$E37),$E$10,Предпосылки!$E37),1,0)</f>
        <v>0</v>
      </c>
      <c s="124">
        <f>IF(I$10=IF(ISBLANK(Предпосылки!$E37),$E$10,Предпосылки!$E37),1,0)</f>
        <v>0</v>
      </c>
      <c s="124">
        <f>IF(J$10=IF(ISBLANK(Предпосылки!$E37),$E$10,Предпосылки!$E37),1,0)</f>
        <v>0</v>
      </c>
      <c s="124">
        <f>IF(K$10=IF(ISBLANK(Предпосылки!$E37),$E$10,Предпосылки!$E37),1,0)</f>
        <v>0</v>
      </c>
      <c s="124">
        <f>IF(L$10=IF(ISBLANK(Предпосылки!$E37),$E$10,Предпосылки!$E37),1,0)</f>
        <v>0</v>
      </c>
      <c s="124">
        <f>IF(M$10=IF(ISBLANK(Предпосылки!$E37),$E$10,Предпосылки!$E37),1,0)</f>
        <v>0</v>
      </c>
      <c s="124">
        <f>IF(N$10=IF(ISBLANK(Предпосылки!$E37),$E$10,Предпосылки!$E37),1,0)</f>
        <v>0</v>
      </c>
      <c s="124">
        <f>IF(O$10=IF(ISBLANK(Предпосылки!$E37),$E$10,Предпосылки!$E37),1,0)</f>
        <v>0</v>
      </c>
      <c s="124">
        <f>IF(P$10=IF(ISBLANK(Предпосылки!$E37),$E$10,Предпосылки!$E37),1,0)</f>
        <v>0</v>
      </c>
      <c s="124">
        <f>IF(Q$10=IF(ISBLANK(Предпосылки!$E37),$E$10,Предпосылки!$E37),1,0)</f>
        <v>0</v>
      </c>
      <c s="124">
        <f>IF(R$10=IF(ISBLANK(Предпосылки!$E37),$E$10,Предпосылки!$E37),1,0)</f>
        <v>0</v>
      </c>
      <c s="124">
        <f>IF(S$10=IF(ISBLANK(Предпосылки!$E37),$E$10,Предпосылки!$E37),1,0)</f>
        <v>0</v>
      </c>
      <c s="124">
        <f>IF(T$10=IF(ISBLANK(Предпосылки!$E37),$E$10,Предпосылки!$E37),1,0)</f>
        <v>0</v>
      </c>
      <c s="124">
        <f>IF(U$10=IF(ISBLANK(Предпосылки!$E37),$E$10,Предпосылки!$E37),1,0)</f>
        <v>0</v>
      </c>
      <c s="124">
        <f>IF(V$10=IF(ISBLANK(Предпосылки!$E37),$E$10,Предпосылки!$E37),1,0)</f>
        <v>0</v>
      </c>
      <c s="124">
        <f>IF(W$10=IF(ISBLANK(Предпосылки!$E37),$E$10,Предпосылки!$E37),1,0)</f>
        <v>0</v>
      </c>
      <c s="124">
        <f>IF(X$10=IF(ISBLANK(Предпосылки!$E37),$E$10,Предпосылки!$E37),1,0)</f>
        <v>0</v>
      </c>
      <c s="124">
        <f>IF(Y$10=IF(ISBLANK(Предпосылки!$E37),$E$10,Предпосылки!$E37),1,0)</f>
        <v>0</v>
      </c>
      <c s="124">
        <f>IF(Z$10=IF(ISBLANK(Предпосылки!$E37),$E$10,Предпосылки!$E37),1,0)</f>
        <v>0</v>
      </c>
      <c s="124">
        <f>IF(AA$10=IF(ISBLANK(Предпосылки!$E37),$E$10,Предпосылки!$E37),1,0)</f>
        <v>0</v>
      </c>
      <c s="124">
        <f>IF(AB$10=IF(ISBLANK(Предпосылки!$E37),$E$10,Предпосылки!$E37),1,0)</f>
        <v>0</v>
      </c>
      <c s="124">
        <f>IF(AC$10=IF(ISBLANK(Предпосылки!$E37),$E$10,Предпосылки!$E37),1,0)</f>
        <v>0</v>
      </c>
      <c s="124">
        <f>IF(AD$10=IF(ISBLANK(Предпосылки!$E37),$E$10,Предпосылки!$E37),1,0)</f>
        <v>0</v>
      </c>
      <c s="124">
        <f>IF(AE$10=IF(ISBLANK(Предпосылки!$E37),$E$10,Предпосылки!$E37),1,0)</f>
        <v>0</v>
      </c>
      <c s="124">
        <f>IF(AF$10=IF(ISBLANK(Предпосылки!$E37),$E$10,Предпосылки!$E37),1,0)</f>
        <v>0</v>
      </c>
      <c s="124">
        <f>IF(AG$10=IF(ISBLANK(Предпосылки!$E37),$E$10,Предпосылки!$E37),1,0)</f>
        <v>0</v>
      </c>
      <c s="124">
        <f>IF(AH$10=IF(ISBLANK(Предпосылки!$E37),$E$10,Предпосылки!$E37),1,0)</f>
        <v>0</v>
      </c>
      <c s="124">
        <f>IF(AI$10=IF(ISBLANK(Предпосылки!$E37),$E$10,Предпосылки!$E37),1,0)</f>
        <v>0</v>
      </c>
      <c s="124">
        <f>IF(AJ$10=IF(ISBLANK(Предпосылки!$E37),$E$10,Предпосылки!$E37),1,0)</f>
        <v>0</v>
      </c>
      <c s="124">
        <f>IF(AK$10=IF(ISBLANK(Предпосылки!$E37),$E$10,Предпосылки!$E37),1,0)</f>
        <v>0</v>
      </c>
      <c s="124">
        <f>IF(AL$10=IF(ISBLANK(Предпосылки!$E37),$E$10,Предпосылки!$E37),1,0)</f>
        <v>0</v>
      </c>
      <c s="124">
        <f>IF(AM$10=IF(ISBLANK(Предпосылки!$E37),$E$10,Предпосылки!$E37),1,0)</f>
        <v>0</v>
      </c>
      <c s="124">
        <f>IF(AN$10=IF(ISBLANK(Предпосылки!$E37),$E$10,Предпосылки!$E37),1,0)</f>
        <v>0</v>
      </c>
      <c s="124">
        <f>IF(AO$10=IF(ISBLANK(Предпосылки!$E37),$E$10,Предпосылки!$E37),1,0)</f>
        <v>0</v>
      </c>
      <c s="124">
        <f>IF(AP$10=IF(ISBLANK(Предпосылки!$E37),$E$10,Предпосылки!$E37),1,0)</f>
        <v>0</v>
      </c>
      <c s="124">
        <f>IF(AQ$10=IF(ISBLANK(Предпосылки!$E37),$E$10,Предпосылки!$E37),1,0)</f>
        <v>0</v>
      </c>
      <c s="124">
        <f>IF(AR$10=IF(ISBLANK(Предпосылки!$E37),$E$10,Предпосылки!$E37),1,0)</f>
        <v>0</v>
      </c>
      <c s="124">
        <f>IF(AS$10=IF(ISBLANK(Предпосылки!$E37),$E$10,Предпосылки!$E37),1,0)</f>
        <v>0</v>
      </c>
      <c s="124">
        <f>IF(AT$10=IF(ISBLANK(Предпосылки!$E37),$E$10,Предпосылки!$E37),1,0)</f>
        <v>0</v>
      </c>
      <c s="124">
        <f>IF(AU$10=IF(ISBLANK(Предпосылки!$E37),$E$10,Предпосылки!$E37),1,0)</f>
        <v>0</v>
      </c>
      <c s="124">
        <f>IF(AV$10=IF(ISBLANK(Предпосылки!$E37),$E$10,Предпосылки!$E37),1,0)</f>
        <v>0</v>
      </c>
      <c s="124">
        <f>IF(AW$10=IF(ISBLANK(Предпосылки!$E37),$E$10,Предпосылки!$E37),1,0)</f>
        <v>0</v>
      </c>
      <c s="124">
        <f>IF(AX$10=IF(ISBLANK(Предпосылки!$E37),$E$10,Предпосылки!$E37),1,0)</f>
        <v>0</v>
      </c>
      <c s="124">
        <f>IF(AY$10=IF(ISBLANK(Предпосылки!$E37),$E$10,Предпосылки!$E37),1,0)</f>
        <v>0</v>
      </c>
      <c s="124">
        <f>IF(AZ$10=IF(ISBLANK(Предпосылки!$E37),$E$10,Предпосылки!$E37),1,0)</f>
        <v>0</v>
      </c>
      <c s="124">
        <f>IF(BA$10=IF(ISBLANK(Предпосылки!$E37),$E$10,Предпосылки!$E37),1,0)</f>
        <v>0</v>
      </c>
      <c s="124">
        <f>IF(BB$10=IF(ISBLANK(Предпосылки!$E37),$E$10,Предпосылки!$E37),1,0)</f>
        <v>0</v>
      </c>
      <c s="124">
        <f>IF(BC$10=IF(ISBLANK(Предпосылки!$E37),$E$10,Предпосылки!$E37),1,0)</f>
        <v>0</v>
      </c>
      <c s="124">
        <f>IF(BD$10=IF(ISBLANK(Предпосылки!$E37),$E$10,Предпосылки!$E37),1,0)</f>
        <v>0</v>
      </c>
      <c s="124">
        <f>IF(BE$10=IF(ISBLANK(Предпосылки!$E37),$E$10,Предпосылки!$E37),1,0)</f>
        <v>0</v>
      </c>
      <c s="124">
        <f>IF(BF$10=IF(ISBLANK(Предпосылки!$E37),$E$10,Предпосылки!$E37),1,0)</f>
        <v>0</v>
      </c>
      <c s="124">
        <f>IF(BG$10=IF(ISBLANK(Предпосылки!$E37),$E$10,Предпосылки!$E37),1,0)</f>
        <v>0</v>
      </c>
      <c s="124">
        <f>IF(BH$10=IF(ISBLANK(Предпосылки!$E37),$E$10,Предпосылки!$E37),1,0)</f>
        <v>0</v>
      </c>
      <c s="124">
        <f>IF(BI$10=IF(ISBLANK(Предпосылки!$E37),$E$10,Предпосылки!$E37),1,0)</f>
        <v>0</v>
      </c>
      <c s="124">
        <f>IF(BJ$10=IF(ISBLANK(Предпосылки!$E37),$E$10,Предпосылки!$E37),1,0)</f>
        <v>0</v>
      </c>
      <c s="124">
        <f>IF(BK$10=IF(ISBLANK(Предпосылки!$E37),$E$10,Предпосылки!$E37),1,0)</f>
        <v>0</v>
      </c>
      <c s="124">
        <f>IF(BL$10=IF(ISBLANK(Предпосылки!$E37),$E$10,Предпосылки!$E37),1,0)</f>
        <v>0</v>
      </c>
      <c s="124">
        <f>IF(BM$10=IF(ISBLANK(Предпосылки!$E37),$E$10,Предпосылки!$E37),1,0)</f>
        <v>0</v>
      </c>
    </row>
    <row r="329" spans="2:65" ht="15" customHeight="1">
      <c r="B329" s="12" t="str">
        <f t="shared" si="115"/>
        <v>-</v>
      </c>
      <c s="124" t="s">
        <v>824</v>
      </c>
      <c s="124"/>
      <c s="124">
        <f>IF(E$10=IF(ISBLANK(Предпосылки!$E38),$E$10,Предпосылки!$E38),1,0)</f>
        <v>1</v>
      </c>
      <c s="124">
        <f>IF(F$10=IF(ISBLANK(Предпосылки!$E38),$E$10,Предпосылки!$E38),1,0)</f>
        <v>0</v>
      </c>
      <c s="124">
        <f>IF(G$10=IF(ISBLANK(Предпосылки!$E38),$E$10,Предпосылки!$E38),1,0)</f>
        <v>0</v>
      </c>
      <c s="124">
        <f>IF(H$10=IF(ISBLANK(Предпосылки!$E38),$E$10,Предпосылки!$E38),1,0)</f>
        <v>0</v>
      </c>
      <c s="124">
        <f>IF(I$10=IF(ISBLANK(Предпосылки!$E38),$E$10,Предпосылки!$E38),1,0)</f>
        <v>0</v>
      </c>
      <c s="124">
        <f>IF(J$10=IF(ISBLANK(Предпосылки!$E38),$E$10,Предпосылки!$E38),1,0)</f>
        <v>0</v>
      </c>
      <c s="124">
        <f>IF(K$10=IF(ISBLANK(Предпосылки!$E38),$E$10,Предпосылки!$E38),1,0)</f>
        <v>0</v>
      </c>
      <c s="124">
        <f>IF(L$10=IF(ISBLANK(Предпосылки!$E38),$E$10,Предпосылки!$E38),1,0)</f>
        <v>0</v>
      </c>
      <c s="124">
        <f>IF(M$10=IF(ISBLANK(Предпосылки!$E38),$E$10,Предпосылки!$E38),1,0)</f>
        <v>0</v>
      </c>
      <c s="124">
        <f>IF(N$10=IF(ISBLANK(Предпосылки!$E38),$E$10,Предпосылки!$E38),1,0)</f>
        <v>0</v>
      </c>
      <c s="124">
        <f>IF(O$10=IF(ISBLANK(Предпосылки!$E38),$E$10,Предпосылки!$E38),1,0)</f>
        <v>0</v>
      </c>
      <c s="124">
        <f>IF(P$10=IF(ISBLANK(Предпосылки!$E38),$E$10,Предпосылки!$E38),1,0)</f>
        <v>0</v>
      </c>
      <c s="124">
        <f>IF(Q$10=IF(ISBLANK(Предпосылки!$E38),$E$10,Предпосылки!$E38),1,0)</f>
        <v>0</v>
      </c>
      <c s="124">
        <f>IF(R$10=IF(ISBLANK(Предпосылки!$E38),$E$10,Предпосылки!$E38),1,0)</f>
        <v>0</v>
      </c>
      <c s="124">
        <f>IF(S$10=IF(ISBLANK(Предпосылки!$E38),$E$10,Предпосылки!$E38),1,0)</f>
        <v>0</v>
      </c>
      <c s="124">
        <f>IF(T$10=IF(ISBLANK(Предпосылки!$E38),$E$10,Предпосылки!$E38),1,0)</f>
        <v>0</v>
      </c>
      <c s="124">
        <f>IF(U$10=IF(ISBLANK(Предпосылки!$E38),$E$10,Предпосылки!$E38),1,0)</f>
        <v>0</v>
      </c>
      <c s="124">
        <f>IF(V$10=IF(ISBLANK(Предпосылки!$E38),$E$10,Предпосылки!$E38),1,0)</f>
        <v>0</v>
      </c>
      <c s="124">
        <f>IF(W$10=IF(ISBLANK(Предпосылки!$E38),$E$10,Предпосылки!$E38),1,0)</f>
        <v>0</v>
      </c>
      <c s="124">
        <f>IF(X$10=IF(ISBLANK(Предпосылки!$E38),$E$10,Предпосылки!$E38),1,0)</f>
        <v>0</v>
      </c>
      <c s="124">
        <f>IF(Y$10=IF(ISBLANK(Предпосылки!$E38),$E$10,Предпосылки!$E38),1,0)</f>
        <v>0</v>
      </c>
      <c s="124">
        <f>IF(Z$10=IF(ISBLANK(Предпосылки!$E38),$E$10,Предпосылки!$E38),1,0)</f>
        <v>0</v>
      </c>
      <c s="124">
        <f>IF(AA$10=IF(ISBLANK(Предпосылки!$E38),$E$10,Предпосылки!$E38),1,0)</f>
        <v>0</v>
      </c>
      <c s="124">
        <f>IF(AB$10=IF(ISBLANK(Предпосылки!$E38),$E$10,Предпосылки!$E38),1,0)</f>
        <v>0</v>
      </c>
      <c s="124">
        <f>IF(AC$10=IF(ISBLANK(Предпосылки!$E38),$E$10,Предпосылки!$E38),1,0)</f>
        <v>0</v>
      </c>
      <c s="124">
        <f>IF(AD$10=IF(ISBLANK(Предпосылки!$E38),$E$10,Предпосылки!$E38),1,0)</f>
        <v>0</v>
      </c>
      <c s="124">
        <f>IF(AE$10=IF(ISBLANK(Предпосылки!$E38),$E$10,Предпосылки!$E38),1,0)</f>
        <v>0</v>
      </c>
      <c s="124">
        <f>IF(AF$10=IF(ISBLANK(Предпосылки!$E38),$E$10,Предпосылки!$E38),1,0)</f>
        <v>0</v>
      </c>
      <c s="124">
        <f>IF(AG$10=IF(ISBLANK(Предпосылки!$E38),$E$10,Предпосылки!$E38),1,0)</f>
        <v>0</v>
      </c>
      <c s="124">
        <f>IF(AH$10=IF(ISBLANK(Предпосылки!$E38),$E$10,Предпосылки!$E38),1,0)</f>
        <v>0</v>
      </c>
      <c s="124">
        <f>IF(AI$10=IF(ISBLANK(Предпосылки!$E38),$E$10,Предпосылки!$E38),1,0)</f>
        <v>0</v>
      </c>
      <c s="124">
        <f>IF(AJ$10=IF(ISBLANK(Предпосылки!$E38),$E$10,Предпосылки!$E38),1,0)</f>
        <v>0</v>
      </c>
      <c s="124">
        <f>IF(AK$10=IF(ISBLANK(Предпосылки!$E38),$E$10,Предпосылки!$E38),1,0)</f>
        <v>0</v>
      </c>
      <c s="124">
        <f>IF(AL$10=IF(ISBLANK(Предпосылки!$E38),$E$10,Предпосылки!$E38),1,0)</f>
        <v>0</v>
      </c>
      <c s="124">
        <f>IF(AM$10=IF(ISBLANK(Предпосылки!$E38),$E$10,Предпосылки!$E38),1,0)</f>
        <v>0</v>
      </c>
      <c s="124">
        <f>IF(AN$10=IF(ISBLANK(Предпосылки!$E38),$E$10,Предпосылки!$E38),1,0)</f>
        <v>0</v>
      </c>
      <c s="124">
        <f>IF(AO$10=IF(ISBLANK(Предпосылки!$E38),$E$10,Предпосылки!$E38),1,0)</f>
        <v>0</v>
      </c>
      <c s="124">
        <f>IF(AP$10=IF(ISBLANK(Предпосылки!$E38),$E$10,Предпосылки!$E38),1,0)</f>
        <v>0</v>
      </c>
      <c s="124">
        <f>IF(AQ$10=IF(ISBLANK(Предпосылки!$E38),$E$10,Предпосылки!$E38),1,0)</f>
        <v>0</v>
      </c>
      <c s="124">
        <f>IF(AR$10=IF(ISBLANK(Предпосылки!$E38),$E$10,Предпосылки!$E38),1,0)</f>
        <v>0</v>
      </c>
      <c s="124">
        <f>IF(AS$10=IF(ISBLANK(Предпосылки!$E38),$E$10,Предпосылки!$E38),1,0)</f>
        <v>0</v>
      </c>
      <c s="124">
        <f>IF(AT$10=IF(ISBLANK(Предпосылки!$E38),$E$10,Предпосылки!$E38),1,0)</f>
        <v>0</v>
      </c>
      <c s="124">
        <f>IF(AU$10=IF(ISBLANK(Предпосылки!$E38),$E$10,Предпосылки!$E38),1,0)</f>
        <v>0</v>
      </c>
      <c s="124">
        <f>IF(AV$10=IF(ISBLANK(Предпосылки!$E38),$E$10,Предпосылки!$E38),1,0)</f>
        <v>0</v>
      </c>
      <c s="124">
        <f>IF(AW$10=IF(ISBLANK(Предпосылки!$E38),$E$10,Предпосылки!$E38),1,0)</f>
        <v>0</v>
      </c>
      <c s="124">
        <f>IF(AX$10=IF(ISBLANK(Предпосылки!$E38),$E$10,Предпосылки!$E38),1,0)</f>
        <v>0</v>
      </c>
      <c s="124">
        <f>IF(AY$10=IF(ISBLANK(Предпосылки!$E38),$E$10,Предпосылки!$E38),1,0)</f>
        <v>0</v>
      </c>
      <c s="124">
        <f>IF(AZ$10=IF(ISBLANK(Предпосылки!$E38),$E$10,Предпосылки!$E38),1,0)</f>
        <v>0</v>
      </c>
      <c s="124">
        <f>IF(BA$10=IF(ISBLANK(Предпосылки!$E38),$E$10,Предпосылки!$E38),1,0)</f>
        <v>0</v>
      </c>
      <c s="124">
        <f>IF(BB$10=IF(ISBLANK(Предпосылки!$E38),$E$10,Предпосылки!$E38),1,0)</f>
        <v>0</v>
      </c>
      <c s="124">
        <f>IF(BC$10=IF(ISBLANK(Предпосылки!$E38),$E$10,Предпосылки!$E38),1,0)</f>
        <v>0</v>
      </c>
      <c s="124">
        <f>IF(BD$10=IF(ISBLANK(Предпосылки!$E38),$E$10,Предпосылки!$E38),1,0)</f>
        <v>0</v>
      </c>
      <c s="124">
        <f>IF(BE$10=IF(ISBLANK(Предпосылки!$E38),$E$10,Предпосылки!$E38),1,0)</f>
        <v>0</v>
      </c>
      <c s="124">
        <f>IF(BF$10=IF(ISBLANK(Предпосылки!$E38),$E$10,Предпосылки!$E38),1,0)</f>
        <v>0</v>
      </c>
      <c s="124">
        <f>IF(BG$10=IF(ISBLANK(Предпосылки!$E38),$E$10,Предпосылки!$E38),1,0)</f>
        <v>0</v>
      </c>
      <c s="124">
        <f>IF(BH$10=IF(ISBLANK(Предпосылки!$E38),$E$10,Предпосылки!$E38),1,0)</f>
        <v>0</v>
      </c>
      <c s="124">
        <f>IF(BI$10=IF(ISBLANK(Предпосылки!$E38),$E$10,Предпосылки!$E38),1,0)</f>
        <v>0</v>
      </c>
      <c s="124">
        <f>IF(BJ$10=IF(ISBLANK(Предпосылки!$E38),$E$10,Предпосылки!$E38),1,0)</f>
        <v>0</v>
      </c>
      <c s="124">
        <f>IF(BK$10=IF(ISBLANK(Предпосылки!$E38),$E$10,Предпосылки!$E38),1,0)</f>
        <v>0</v>
      </c>
      <c s="124">
        <f>IF(BL$10=IF(ISBLANK(Предпосылки!$E38),$E$10,Предпосылки!$E38),1,0)</f>
        <v>0</v>
      </c>
      <c s="124">
        <f>IF(BM$10=IF(ISBLANK(Предпосылки!$E38),$E$10,Предпосылки!$E38),1,0)</f>
        <v>0</v>
      </c>
    </row>
    <row r="330" spans="2:65" ht="15" customHeight="1">
      <c r="B330" s="12" t="str">
        <f t="shared" si="115"/>
        <v>-</v>
      </c>
      <c s="124" t="s">
        <v>824</v>
      </c>
      <c s="124"/>
      <c s="124">
        <f>IF(E$10=IF(ISBLANK(Предпосылки!$E39),$E$10,Предпосылки!$E39),1,0)</f>
        <v>1</v>
      </c>
      <c s="124">
        <f>IF(F$10=IF(ISBLANK(Предпосылки!$E39),$E$10,Предпосылки!$E39),1,0)</f>
        <v>0</v>
      </c>
      <c s="124">
        <f>IF(G$10=IF(ISBLANK(Предпосылки!$E39),$E$10,Предпосылки!$E39),1,0)</f>
        <v>0</v>
      </c>
      <c s="124">
        <f>IF(H$10=IF(ISBLANK(Предпосылки!$E39),$E$10,Предпосылки!$E39),1,0)</f>
        <v>0</v>
      </c>
      <c s="124">
        <f>IF(I$10=IF(ISBLANK(Предпосылки!$E39),$E$10,Предпосылки!$E39),1,0)</f>
        <v>0</v>
      </c>
      <c s="124">
        <f>IF(J$10=IF(ISBLANK(Предпосылки!$E39),$E$10,Предпосылки!$E39),1,0)</f>
        <v>0</v>
      </c>
      <c s="124">
        <f>IF(K$10=IF(ISBLANK(Предпосылки!$E39),$E$10,Предпосылки!$E39),1,0)</f>
        <v>0</v>
      </c>
      <c s="124">
        <f>IF(L$10=IF(ISBLANK(Предпосылки!$E39),$E$10,Предпосылки!$E39),1,0)</f>
        <v>0</v>
      </c>
      <c s="124">
        <f>IF(M$10=IF(ISBLANK(Предпосылки!$E39),$E$10,Предпосылки!$E39),1,0)</f>
        <v>0</v>
      </c>
      <c s="124">
        <f>IF(N$10=IF(ISBLANK(Предпосылки!$E39),$E$10,Предпосылки!$E39),1,0)</f>
        <v>0</v>
      </c>
      <c s="124">
        <f>IF(O$10=IF(ISBLANK(Предпосылки!$E39),$E$10,Предпосылки!$E39),1,0)</f>
        <v>0</v>
      </c>
      <c s="124">
        <f>IF(P$10=IF(ISBLANK(Предпосылки!$E39),$E$10,Предпосылки!$E39),1,0)</f>
        <v>0</v>
      </c>
      <c s="124">
        <f>IF(Q$10=IF(ISBLANK(Предпосылки!$E39),$E$10,Предпосылки!$E39),1,0)</f>
        <v>0</v>
      </c>
      <c s="124">
        <f>IF(R$10=IF(ISBLANK(Предпосылки!$E39),$E$10,Предпосылки!$E39),1,0)</f>
        <v>0</v>
      </c>
      <c s="124">
        <f>IF(S$10=IF(ISBLANK(Предпосылки!$E39),$E$10,Предпосылки!$E39),1,0)</f>
        <v>0</v>
      </c>
      <c s="124">
        <f>IF(T$10=IF(ISBLANK(Предпосылки!$E39),$E$10,Предпосылки!$E39),1,0)</f>
        <v>0</v>
      </c>
      <c s="124">
        <f>IF(U$10=IF(ISBLANK(Предпосылки!$E39),$E$10,Предпосылки!$E39),1,0)</f>
        <v>0</v>
      </c>
      <c s="124">
        <f>IF(V$10=IF(ISBLANK(Предпосылки!$E39),$E$10,Предпосылки!$E39),1,0)</f>
        <v>0</v>
      </c>
      <c s="124">
        <f>IF(W$10=IF(ISBLANK(Предпосылки!$E39),$E$10,Предпосылки!$E39),1,0)</f>
        <v>0</v>
      </c>
      <c s="124">
        <f>IF(X$10=IF(ISBLANK(Предпосылки!$E39),$E$10,Предпосылки!$E39),1,0)</f>
        <v>0</v>
      </c>
      <c s="124">
        <f>IF(Y$10=IF(ISBLANK(Предпосылки!$E39),$E$10,Предпосылки!$E39),1,0)</f>
        <v>0</v>
      </c>
      <c s="124">
        <f>IF(Z$10=IF(ISBLANK(Предпосылки!$E39),$E$10,Предпосылки!$E39),1,0)</f>
        <v>0</v>
      </c>
      <c s="124">
        <f>IF(AA$10=IF(ISBLANK(Предпосылки!$E39),$E$10,Предпосылки!$E39),1,0)</f>
        <v>0</v>
      </c>
      <c s="124">
        <f>IF(AB$10=IF(ISBLANK(Предпосылки!$E39),$E$10,Предпосылки!$E39),1,0)</f>
        <v>0</v>
      </c>
      <c s="124">
        <f>IF(AC$10=IF(ISBLANK(Предпосылки!$E39),$E$10,Предпосылки!$E39),1,0)</f>
        <v>0</v>
      </c>
      <c s="124">
        <f>IF(AD$10=IF(ISBLANK(Предпосылки!$E39),$E$10,Предпосылки!$E39),1,0)</f>
        <v>0</v>
      </c>
      <c s="124">
        <f>IF(AE$10=IF(ISBLANK(Предпосылки!$E39),$E$10,Предпосылки!$E39),1,0)</f>
        <v>0</v>
      </c>
      <c s="124">
        <f>IF(AF$10=IF(ISBLANK(Предпосылки!$E39),$E$10,Предпосылки!$E39),1,0)</f>
        <v>0</v>
      </c>
      <c s="124">
        <f>IF(AG$10=IF(ISBLANK(Предпосылки!$E39),$E$10,Предпосылки!$E39),1,0)</f>
        <v>0</v>
      </c>
      <c s="124">
        <f>IF(AH$10=IF(ISBLANK(Предпосылки!$E39),$E$10,Предпосылки!$E39),1,0)</f>
        <v>0</v>
      </c>
      <c s="124">
        <f>IF(AI$10=IF(ISBLANK(Предпосылки!$E39),$E$10,Предпосылки!$E39),1,0)</f>
        <v>0</v>
      </c>
      <c s="124">
        <f>IF(AJ$10=IF(ISBLANK(Предпосылки!$E39),$E$10,Предпосылки!$E39),1,0)</f>
        <v>0</v>
      </c>
      <c s="124">
        <f>IF(AK$10=IF(ISBLANK(Предпосылки!$E39),$E$10,Предпосылки!$E39),1,0)</f>
        <v>0</v>
      </c>
      <c s="124">
        <f>IF(AL$10=IF(ISBLANK(Предпосылки!$E39),$E$10,Предпосылки!$E39),1,0)</f>
        <v>0</v>
      </c>
      <c s="124">
        <f>IF(AM$10=IF(ISBLANK(Предпосылки!$E39),$E$10,Предпосылки!$E39),1,0)</f>
        <v>0</v>
      </c>
      <c s="124">
        <f>IF(AN$10=IF(ISBLANK(Предпосылки!$E39),$E$10,Предпосылки!$E39),1,0)</f>
        <v>0</v>
      </c>
      <c s="124">
        <f>IF(AO$10=IF(ISBLANK(Предпосылки!$E39),$E$10,Предпосылки!$E39),1,0)</f>
        <v>0</v>
      </c>
      <c s="124">
        <f>IF(AP$10=IF(ISBLANK(Предпосылки!$E39),$E$10,Предпосылки!$E39),1,0)</f>
        <v>0</v>
      </c>
      <c s="124">
        <f>IF(AQ$10=IF(ISBLANK(Предпосылки!$E39),$E$10,Предпосылки!$E39),1,0)</f>
        <v>0</v>
      </c>
      <c s="124">
        <f>IF(AR$10=IF(ISBLANK(Предпосылки!$E39),$E$10,Предпосылки!$E39),1,0)</f>
        <v>0</v>
      </c>
      <c s="124">
        <f>IF(AS$10=IF(ISBLANK(Предпосылки!$E39),$E$10,Предпосылки!$E39),1,0)</f>
        <v>0</v>
      </c>
      <c s="124">
        <f>IF(AT$10=IF(ISBLANK(Предпосылки!$E39),$E$10,Предпосылки!$E39),1,0)</f>
        <v>0</v>
      </c>
      <c s="124">
        <f>IF(AU$10=IF(ISBLANK(Предпосылки!$E39),$E$10,Предпосылки!$E39),1,0)</f>
        <v>0</v>
      </c>
      <c s="124">
        <f>IF(AV$10=IF(ISBLANK(Предпосылки!$E39),$E$10,Предпосылки!$E39),1,0)</f>
        <v>0</v>
      </c>
      <c s="124">
        <f>IF(AW$10=IF(ISBLANK(Предпосылки!$E39),$E$10,Предпосылки!$E39),1,0)</f>
        <v>0</v>
      </c>
      <c s="124">
        <f>IF(AX$10=IF(ISBLANK(Предпосылки!$E39),$E$10,Предпосылки!$E39),1,0)</f>
        <v>0</v>
      </c>
      <c s="124">
        <f>IF(AY$10=IF(ISBLANK(Предпосылки!$E39),$E$10,Предпосылки!$E39),1,0)</f>
        <v>0</v>
      </c>
      <c s="124">
        <f>IF(AZ$10=IF(ISBLANK(Предпосылки!$E39),$E$10,Предпосылки!$E39),1,0)</f>
        <v>0</v>
      </c>
      <c s="124">
        <f>IF(BA$10=IF(ISBLANK(Предпосылки!$E39),$E$10,Предпосылки!$E39),1,0)</f>
        <v>0</v>
      </c>
      <c s="124">
        <f>IF(BB$10=IF(ISBLANK(Предпосылки!$E39),$E$10,Предпосылки!$E39),1,0)</f>
        <v>0</v>
      </c>
      <c s="124">
        <f>IF(BC$10=IF(ISBLANK(Предпосылки!$E39),$E$10,Предпосылки!$E39),1,0)</f>
        <v>0</v>
      </c>
      <c s="124">
        <f>IF(BD$10=IF(ISBLANK(Предпосылки!$E39),$E$10,Предпосылки!$E39),1,0)</f>
        <v>0</v>
      </c>
      <c s="124">
        <f>IF(BE$10=IF(ISBLANK(Предпосылки!$E39),$E$10,Предпосылки!$E39),1,0)</f>
        <v>0</v>
      </c>
      <c s="124">
        <f>IF(BF$10=IF(ISBLANK(Предпосылки!$E39),$E$10,Предпосылки!$E39),1,0)</f>
        <v>0</v>
      </c>
      <c s="124">
        <f>IF(BG$10=IF(ISBLANK(Предпосылки!$E39),$E$10,Предпосылки!$E39),1,0)</f>
        <v>0</v>
      </c>
      <c s="124">
        <f>IF(BH$10=IF(ISBLANK(Предпосылки!$E39),$E$10,Предпосылки!$E39),1,0)</f>
        <v>0</v>
      </c>
      <c s="124">
        <f>IF(BI$10=IF(ISBLANK(Предпосылки!$E39),$E$10,Предпосылки!$E39),1,0)</f>
        <v>0</v>
      </c>
      <c s="124">
        <f>IF(BJ$10=IF(ISBLANK(Предпосылки!$E39),$E$10,Предпосылки!$E39),1,0)</f>
        <v>0</v>
      </c>
      <c s="124">
        <f>IF(BK$10=IF(ISBLANK(Предпосылки!$E39),$E$10,Предпосылки!$E39),1,0)</f>
        <v>0</v>
      </c>
      <c s="124">
        <f>IF(BL$10=IF(ISBLANK(Предпосылки!$E39),$E$10,Предпосылки!$E39),1,0)</f>
        <v>0</v>
      </c>
      <c s="124">
        <f>IF(BM$10=IF(ISBLANK(Предпосылки!$E39),$E$10,Предпосылки!$E39),1,0)</f>
        <v>0</v>
      </c>
    </row>
    <row r="331" spans="2:65" ht="15" customHeight="1">
      <c r="B331" s="12" t="str">
        <f t="shared" si="115"/>
        <v>-</v>
      </c>
      <c s="124" t="s">
        <v>824</v>
      </c>
      <c s="124"/>
      <c s="124">
        <f>IF(E$10=IF(ISBLANK(Предпосылки!$E40),$E$10,Предпосылки!$E40),1,0)</f>
        <v>1</v>
      </c>
      <c s="124">
        <f>IF(F$10=IF(ISBLANK(Предпосылки!$E40),$E$10,Предпосылки!$E40),1,0)</f>
        <v>0</v>
      </c>
      <c s="124">
        <f>IF(G$10=IF(ISBLANK(Предпосылки!$E40),$E$10,Предпосылки!$E40),1,0)</f>
        <v>0</v>
      </c>
      <c s="124">
        <f>IF(H$10=IF(ISBLANK(Предпосылки!$E40),$E$10,Предпосылки!$E40),1,0)</f>
        <v>0</v>
      </c>
      <c s="124">
        <f>IF(I$10=IF(ISBLANK(Предпосылки!$E40),$E$10,Предпосылки!$E40),1,0)</f>
        <v>0</v>
      </c>
      <c s="124">
        <f>IF(J$10=IF(ISBLANK(Предпосылки!$E40),$E$10,Предпосылки!$E40),1,0)</f>
        <v>0</v>
      </c>
      <c s="124">
        <f>IF(K$10=IF(ISBLANK(Предпосылки!$E40),$E$10,Предпосылки!$E40),1,0)</f>
        <v>0</v>
      </c>
      <c s="124">
        <f>IF(L$10=IF(ISBLANK(Предпосылки!$E40),$E$10,Предпосылки!$E40),1,0)</f>
        <v>0</v>
      </c>
      <c s="124">
        <f>IF(M$10=IF(ISBLANK(Предпосылки!$E40),$E$10,Предпосылки!$E40),1,0)</f>
        <v>0</v>
      </c>
      <c s="124">
        <f>IF(N$10=IF(ISBLANK(Предпосылки!$E40),$E$10,Предпосылки!$E40),1,0)</f>
        <v>0</v>
      </c>
      <c s="124">
        <f>IF(O$10=IF(ISBLANK(Предпосылки!$E40),$E$10,Предпосылки!$E40),1,0)</f>
        <v>0</v>
      </c>
      <c s="124">
        <f>IF(P$10=IF(ISBLANK(Предпосылки!$E40),$E$10,Предпосылки!$E40),1,0)</f>
        <v>0</v>
      </c>
      <c s="124">
        <f>IF(Q$10=IF(ISBLANK(Предпосылки!$E40),$E$10,Предпосылки!$E40),1,0)</f>
        <v>0</v>
      </c>
      <c s="124">
        <f>IF(R$10=IF(ISBLANK(Предпосылки!$E40),$E$10,Предпосылки!$E40),1,0)</f>
        <v>0</v>
      </c>
      <c s="124">
        <f>IF(S$10=IF(ISBLANK(Предпосылки!$E40),$E$10,Предпосылки!$E40),1,0)</f>
        <v>0</v>
      </c>
      <c s="124">
        <f>IF(T$10=IF(ISBLANK(Предпосылки!$E40),$E$10,Предпосылки!$E40),1,0)</f>
        <v>0</v>
      </c>
      <c s="124">
        <f>IF(U$10=IF(ISBLANK(Предпосылки!$E40),$E$10,Предпосылки!$E40),1,0)</f>
        <v>0</v>
      </c>
      <c s="124">
        <f>IF(V$10=IF(ISBLANK(Предпосылки!$E40),$E$10,Предпосылки!$E40),1,0)</f>
        <v>0</v>
      </c>
      <c s="124">
        <f>IF(W$10=IF(ISBLANK(Предпосылки!$E40),$E$10,Предпосылки!$E40),1,0)</f>
        <v>0</v>
      </c>
      <c s="124">
        <f>IF(X$10=IF(ISBLANK(Предпосылки!$E40),$E$10,Предпосылки!$E40),1,0)</f>
        <v>0</v>
      </c>
      <c s="124">
        <f>IF(Y$10=IF(ISBLANK(Предпосылки!$E40),$E$10,Предпосылки!$E40),1,0)</f>
        <v>0</v>
      </c>
      <c s="124">
        <f>IF(Z$10=IF(ISBLANK(Предпосылки!$E40),$E$10,Предпосылки!$E40),1,0)</f>
        <v>0</v>
      </c>
      <c s="124">
        <f>IF(AA$10=IF(ISBLANK(Предпосылки!$E40),$E$10,Предпосылки!$E40),1,0)</f>
        <v>0</v>
      </c>
      <c s="124">
        <f>IF(AB$10=IF(ISBLANK(Предпосылки!$E40),$E$10,Предпосылки!$E40),1,0)</f>
        <v>0</v>
      </c>
      <c s="124">
        <f>IF(AC$10=IF(ISBLANK(Предпосылки!$E40),$E$10,Предпосылки!$E40),1,0)</f>
        <v>0</v>
      </c>
      <c s="124">
        <f>IF(AD$10=IF(ISBLANK(Предпосылки!$E40),$E$10,Предпосылки!$E40),1,0)</f>
        <v>0</v>
      </c>
      <c s="124">
        <f>IF(AE$10=IF(ISBLANK(Предпосылки!$E40),$E$10,Предпосылки!$E40),1,0)</f>
        <v>0</v>
      </c>
      <c s="124">
        <f>IF(AF$10=IF(ISBLANK(Предпосылки!$E40),$E$10,Предпосылки!$E40),1,0)</f>
        <v>0</v>
      </c>
      <c s="124">
        <f>IF(AG$10=IF(ISBLANK(Предпосылки!$E40),$E$10,Предпосылки!$E40),1,0)</f>
        <v>0</v>
      </c>
      <c s="124">
        <f>IF(AH$10=IF(ISBLANK(Предпосылки!$E40),$E$10,Предпосылки!$E40),1,0)</f>
        <v>0</v>
      </c>
      <c s="124">
        <f>IF(AI$10=IF(ISBLANK(Предпосылки!$E40),$E$10,Предпосылки!$E40),1,0)</f>
        <v>0</v>
      </c>
      <c s="124">
        <f>IF(AJ$10=IF(ISBLANK(Предпосылки!$E40),$E$10,Предпосылки!$E40),1,0)</f>
        <v>0</v>
      </c>
      <c s="124">
        <f>IF(AK$10=IF(ISBLANK(Предпосылки!$E40),$E$10,Предпосылки!$E40),1,0)</f>
        <v>0</v>
      </c>
      <c s="124">
        <f>IF(AL$10=IF(ISBLANK(Предпосылки!$E40),$E$10,Предпосылки!$E40),1,0)</f>
        <v>0</v>
      </c>
      <c s="124">
        <f>IF(AM$10=IF(ISBLANK(Предпосылки!$E40),$E$10,Предпосылки!$E40),1,0)</f>
        <v>0</v>
      </c>
      <c s="124">
        <f>IF(AN$10=IF(ISBLANK(Предпосылки!$E40),$E$10,Предпосылки!$E40),1,0)</f>
        <v>0</v>
      </c>
      <c s="124">
        <f>IF(AO$10=IF(ISBLANK(Предпосылки!$E40),$E$10,Предпосылки!$E40),1,0)</f>
        <v>0</v>
      </c>
      <c s="124">
        <f>IF(AP$10=IF(ISBLANK(Предпосылки!$E40),$E$10,Предпосылки!$E40),1,0)</f>
        <v>0</v>
      </c>
      <c s="124">
        <f>IF(AQ$10=IF(ISBLANK(Предпосылки!$E40),$E$10,Предпосылки!$E40),1,0)</f>
        <v>0</v>
      </c>
      <c s="124">
        <f>IF(AR$10=IF(ISBLANK(Предпосылки!$E40),$E$10,Предпосылки!$E40),1,0)</f>
        <v>0</v>
      </c>
      <c s="124">
        <f>IF(AS$10=IF(ISBLANK(Предпосылки!$E40),$E$10,Предпосылки!$E40),1,0)</f>
        <v>0</v>
      </c>
      <c s="124">
        <f>IF(AT$10=IF(ISBLANK(Предпосылки!$E40),$E$10,Предпосылки!$E40),1,0)</f>
        <v>0</v>
      </c>
      <c s="124">
        <f>IF(AU$10=IF(ISBLANK(Предпосылки!$E40),$E$10,Предпосылки!$E40),1,0)</f>
        <v>0</v>
      </c>
      <c s="124">
        <f>IF(AV$10=IF(ISBLANK(Предпосылки!$E40),$E$10,Предпосылки!$E40),1,0)</f>
        <v>0</v>
      </c>
      <c s="124">
        <f>IF(AW$10=IF(ISBLANK(Предпосылки!$E40),$E$10,Предпосылки!$E40),1,0)</f>
        <v>0</v>
      </c>
      <c s="124">
        <f>IF(AX$10=IF(ISBLANK(Предпосылки!$E40),$E$10,Предпосылки!$E40),1,0)</f>
        <v>0</v>
      </c>
      <c s="124">
        <f>IF(AY$10=IF(ISBLANK(Предпосылки!$E40),$E$10,Предпосылки!$E40),1,0)</f>
        <v>0</v>
      </c>
      <c s="124">
        <f>IF(AZ$10=IF(ISBLANK(Предпосылки!$E40),$E$10,Предпосылки!$E40),1,0)</f>
        <v>0</v>
      </c>
      <c s="124">
        <f>IF(BA$10=IF(ISBLANK(Предпосылки!$E40),$E$10,Предпосылки!$E40),1,0)</f>
        <v>0</v>
      </c>
      <c s="124">
        <f>IF(BB$10=IF(ISBLANK(Предпосылки!$E40),$E$10,Предпосылки!$E40),1,0)</f>
        <v>0</v>
      </c>
      <c s="124">
        <f>IF(BC$10=IF(ISBLANK(Предпосылки!$E40),$E$10,Предпосылки!$E40),1,0)</f>
        <v>0</v>
      </c>
      <c s="124">
        <f>IF(BD$10=IF(ISBLANK(Предпосылки!$E40),$E$10,Предпосылки!$E40),1,0)</f>
        <v>0</v>
      </c>
      <c s="124">
        <f>IF(BE$10=IF(ISBLANK(Предпосылки!$E40),$E$10,Предпосылки!$E40),1,0)</f>
        <v>0</v>
      </c>
      <c s="124">
        <f>IF(BF$10=IF(ISBLANK(Предпосылки!$E40),$E$10,Предпосылки!$E40),1,0)</f>
        <v>0</v>
      </c>
      <c s="124">
        <f>IF(BG$10=IF(ISBLANK(Предпосылки!$E40),$E$10,Предпосылки!$E40),1,0)</f>
        <v>0</v>
      </c>
      <c s="124">
        <f>IF(BH$10=IF(ISBLANK(Предпосылки!$E40),$E$10,Предпосылки!$E40),1,0)</f>
        <v>0</v>
      </c>
      <c s="124">
        <f>IF(BI$10=IF(ISBLANK(Предпосылки!$E40),$E$10,Предпосылки!$E40),1,0)</f>
        <v>0</v>
      </c>
      <c s="124">
        <f>IF(BJ$10=IF(ISBLANK(Предпосылки!$E40),$E$10,Предпосылки!$E40),1,0)</f>
        <v>0</v>
      </c>
      <c s="124">
        <f>IF(BK$10=IF(ISBLANK(Предпосылки!$E40),$E$10,Предпосылки!$E40),1,0)</f>
        <v>0</v>
      </c>
      <c s="124">
        <f>IF(BL$10=IF(ISBLANK(Предпосылки!$E40),$E$10,Предпосылки!$E40),1,0)</f>
        <v>0</v>
      </c>
      <c s="124">
        <f>IF(BM$10=IF(ISBLANK(Предпосылки!$E40),$E$10,Предпосылки!$E40),1,0)</f>
        <v>0</v>
      </c>
    </row>
    <row r="332" spans="2:65" ht="15" customHeight="1">
      <c r="B332" s="12" t="str">
        <f t="shared" si="115"/>
        <v>-</v>
      </c>
      <c s="124" t="s">
        <v>824</v>
      </c>
      <c s="124"/>
      <c s="124">
        <f>IF(E$10=IF(ISBLANK(Предпосылки!$E41),$E$10,Предпосылки!$E41),1,0)</f>
        <v>1</v>
      </c>
      <c s="124">
        <f>IF(F$10=IF(ISBLANK(Предпосылки!$E41),$E$10,Предпосылки!$E41),1,0)</f>
        <v>0</v>
      </c>
      <c s="124">
        <f>IF(G$10=IF(ISBLANK(Предпосылки!$E41),$E$10,Предпосылки!$E41),1,0)</f>
        <v>0</v>
      </c>
      <c s="124">
        <f>IF(H$10=IF(ISBLANK(Предпосылки!$E41),$E$10,Предпосылки!$E41),1,0)</f>
        <v>0</v>
      </c>
      <c s="124">
        <f>IF(I$10=IF(ISBLANK(Предпосылки!$E41),$E$10,Предпосылки!$E41),1,0)</f>
        <v>0</v>
      </c>
      <c s="124">
        <f>IF(J$10=IF(ISBLANK(Предпосылки!$E41),$E$10,Предпосылки!$E41),1,0)</f>
        <v>0</v>
      </c>
      <c s="124">
        <f>IF(K$10=IF(ISBLANK(Предпосылки!$E41),$E$10,Предпосылки!$E41),1,0)</f>
        <v>0</v>
      </c>
      <c s="124">
        <f>IF(L$10=IF(ISBLANK(Предпосылки!$E41),$E$10,Предпосылки!$E41),1,0)</f>
        <v>0</v>
      </c>
      <c s="124">
        <f>IF(M$10=IF(ISBLANK(Предпосылки!$E41),$E$10,Предпосылки!$E41),1,0)</f>
        <v>0</v>
      </c>
      <c s="124">
        <f>IF(N$10=IF(ISBLANK(Предпосылки!$E41),$E$10,Предпосылки!$E41),1,0)</f>
        <v>0</v>
      </c>
      <c s="124">
        <f>IF(O$10=IF(ISBLANK(Предпосылки!$E41),$E$10,Предпосылки!$E41),1,0)</f>
        <v>0</v>
      </c>
      <c s="124">
        <f>IF(P$10=IF(ISBLANK(Предпосылки!$E41),$E$10,Предпосылки!$E41),1,0)</f>
        <v>0</v>
      </c>
      <c s="124">
        <f>IF(Q$10=IF(ISBLANK(Предпосылки!$E41),$E$10,Предпосылки!$E41),1,0)</f>
        <v>0</v>
      </c>
      <c s="124">
        <f>IF(R$10=IF(ISBLANK(Предпосылки!$E41),$E$10,Предпосылки!$E41),1,0)</f>
        <v>0</v>
      </c>
      <c s="124">
        <f>IF(S$10=IF(ISBLANK(Предпосылки!$E41),$E$10,Предпосылки!$E41),1,0)</f>
        <v>0</v>
      </c>
      <c s="124">
        <f>IF(T$10=IF(ISBLANK(Предпосылки!$E41),$E$10,Предпосылки!$E41),1,0)</f>
        <v>0</v>
      </c>
      <c s="124">
        <f>IF(U$10=IF(ISBLANK(Предпосылки!$E41),$E$10,Предпосылки!$E41),1,0)</f>
        <v>0</v>
      </c>
      <c s="124">
        <f>IF(V$10=IF(ISBLANK(Предпосылки!$E41),$E$10,Предпосылки!$E41),1,0)</f>
        <v>0</v>
      </c>
      <c s="124">
        <f>IF(W$10=IF(ISBLANK(Предпосылки!$E41),$E$10,Предпосылки!$E41),1,0)</f>
        <v>0</v>
      </c>
      <c s="124">
        <f>IF(X$10=IF(ISBLANK(Предпосылки!$E41),$E$10,Предпосылки!$E41),1,0)</f>
        <v>0</v>
      </c>
      <c s="124">
        <f>IF(Y$10=IF(ISBLANK(Предпосылки!$E41),$E$10,Предпосылки!$E41),1,0)</f>
        <v>0</v>
      </c>
      <c s="124">
        <f>IF(Z$10=IF(ISBLANK(Предпосылки!$E41),$E$10,Предпосылки!$E41),1,0)</f>
        <v>0</v>
      </c>
      <c s="124">
        <f>IF(AA$10=IF(ISBLANK(Предпосылки!$E41),$E$10,Предпосылки!$E41),1,0)</f>
        <v>0</v>
      </c>
      <c s="124">
        <f>IF(AB$10=IF(ISBLANK(Предпосылки!$E41),$E$10,Предпосылки!$E41),1,0)</f>
        <v>0</v>
      </c>
      <c s="124">
        <f>IF(AC$10=IF(ISBLANK(Предпосылки!$E41),$E$10,Предпосылки!$E41),1,0)</f>
        <v>0</v>
      </c>
      <c s="124">
        <f>IF(AD$10=IF(ISBLANK(Предпосылки!$E41),$E$10,Предпосылки!$E41),1,0)</f>
        <v>0</v>
      </c>
      <c s="124">
        <f>IF(AE$10=IF(ISBLANK(Предпосылки!$E41),$E$10,Предпосылки!$E41),1,0)</f>
        <v>0</v>
      </c>
      <c s="124">
        <f>IF(AF$10=IF(ISBLANK(Предпосылки!$E41),$E$10,Предпосылки!$E41),1,0)</f>
        <v>0</v>
      </c>
      <c s="124">
        <f>IF(AG$10=IF(ISBLANK(Предпосылки!$E41),$E$10,Предпосылки!$E41),1,0)</f>
        <v>0</v>
      </c>
      <c s="124">
        <f>IF(AH$10=IF(ISBLANK(Предпосылки!$E41),$E$10,Предпосылки!$E41),1,0)</f>
        <v>0</v>
      </c>
      <c s="124">
        <f>IF(AI$10=IF(ISBLANK(Предпосылки!$E41),$E$10,Предпосылки!$E41),1,0)</f>
        <v>0</v>
      </c>
      <c s="124">
        <f>IF(AJ$10=IF(ISBLANK(Предпосылки!$E41),$E$10,Предпосылки!$E41),1,0)</f>
        <v>0</v>
      </c>
      <c s="124">
        <f>IF(AK$10=IF(ISBLANK(Предпосылки!$E41),$E$10,Предпосылки!$E41),1,0)</f>
        <v>0</v>
      </c>
      <c s="124">
        <f>IF(AL$10=IF(ISBLANK(Предпосылки!$E41),$E$10,Предпосылки!$E41),1,0)</f>
        <v>0</v>
      </c>
      <c s="124">
        <f>IF(AM$10=IF(ISBLANK(Предпосылки!$E41),$E$10,Предпосылки!$E41),1,0)</f>
        <v>0</v>
      </c>
      <c s="124">
        <f>IF(AN$10=IF(ISBLANK(Предпосылки!$E41),$E$10,Предпосылки!$E41),1,0)</f>
        <v>0</v>
      </c>
      <c s="124">
        <f>IF(AO$10=IF(ISBLANK(Предпосылки!$E41),$E$10,Предпосылки!$E41),1,0)</f>
        <v>0</v>
      </c>
      <c s="124">
        <f>IF(AP$10=IF(ISBLANK(Предпосылки!$E41),$E$10,Предпосылки!$E41),1,0)</f>
        <v>0</v>
      </c>
      <c s="124">
        <f>IF(AQ$10=IF(ISBLANK(Предпосылки!$E41),$E$10,Предпосылки!$E41),1,0)</f>
        <v>0</v>
      </c>
      <c s="124">
        <f>IF(AR$10=IF(ISBLANK(Предпосылки!$E41),$E$10,Предпосылки!$E41),1,0)</f>
        <v>0</v>
      </c>
      <c s="124">
        <f>IF(AS$10=IF(ISBLANK(Предпосылки!$E41),$E$10,Предпосылки!$E41),1,0)</f>
        <v>0</v>
      </c>
      <c s="124">
        <f>IF(AT$10=IF(ISBLANK(Предпосылки!$E41),$E$10,Предпосылки!$E41),1,0)</f>
        <v>0</v>
      </c>
      <c s="124">
        <f>IF(AU$10=IF(ISBLANK(Предпосылки!$E41),$E$10,Предпосылки!$E41),1,0)</f>
        <v>0</v>
      </c>
      <c s="124">
        <f>IF(AV$10=IF(ISBLANK(Предпосылки!$E41),$E$10,Предпосылки!$E41),1,0)</f>
        <v>0</v>
      </c>
      <c s="124">
        <f>IF(AW$10=IF(ISBLANK(Предпосылки!$E41),$E$10,Предпосылки!$E41),1,0)</f>
        <v>0</v>
      </c>
      <c s="124">
        <f>IF(AX$10=IF(ISBLANK(Предпосылки!$E41),$E$10,Предпосылки!$E41),1,0)</f>
        <v>0</v>
      </c>
      <c s="124">
        <f>IF(AY$10=IF(ISBLANK(Предпосылки!$E41),$E$10,Предпосылки!$E41),1,0)</f>
        <v>0</v>
      </c>
      <c s="124">
        <f>IF(AZ$10=IF(ISBLANK(Предпосылки!$E41),$E$10,Предпосылки!$E41),1,0)</f>
        <v>0</v>
      </c>
      <c s="124">
        <f>IF(BA$10=IF(ISBLANK(Предпосылки!$E41),$E$10,Предпосылки!$E41),1,0)</f>
        <v>0</v>
      </c>
      <c s="124">
        <f>IF(BB$10=IF(ISBLANK(Предпосылки!$E41),$E$10,Предпосылки!$E41),1,0)</f>
        <v>0</v>
      </c>
      <c s="124">
        <f>IF(BC$10=IF(ISBLANK(Предпосылки!$E41),$E$10,Предпосылки!$E41),1,0)</f>
        <v>0</v>
      </c>
      <c s="124">
        <f>IF(BD$10=IF(ISBLANK(Предпосылки!$E41),$E$10,Предпосылки!$E41),1,0)</f>
        <v>0</v>
      </c>
      <c s="124">
        <f>IF(BE$10=IF(ISBLANK(Предпосылки!$E41),$E$10,Предпосылки!$E41),1,0)</f>
        <v>0</v>
      </c>
      <c s="124">
        <f>IF(BF$10=IF(ISBLANK(Предпосылки!$E41),$E$10,Предпосылки!$E41),1,0)</f>
        <v>0</v>
      </c>
      <c s="124">
        <f>IF(BG$10=IF(ISBLANK(Предпосылки!$E41),$E$10,Предпосылки!$E41),1,0)</f>
        <v>0</v>
      </c>
      <c s="124">
        <f>IF(BH$10=IF(ISBLANK(Предпосылки!$E41),$E$10,Предпосылки!$E41),1,0)</f>
        <v>0</v>
      </c>
      <c s="124">
        <f>IF(BI$10=IF(ISBLANK(Предпосылки!$E41),$E$10,Предпосылки!$E41),1,0)</f>
        <v>0</v>
      </c>
      <c s="124">
        <f>IF(BJ$10=IF(ISBLANK(Предпосылки!$E41),$E$10,Предпосылки!$E41),1,0)</f>
        <v>0</v>
      </c>
      <c s="124">
        <f>IF(BK$10=IF(ISBLANK(Предпосылки!$E41),$E$10,Предпосылки!$E41),1,0)</f>
        <v>0</v>
      </c>
      <c s="124">
        <f>IF(BL$10=IF(ISBLANK(Предпосылки!$E41),$E$10,Предпосылки!$E41),1,0)</f>
        <v>0</v>
      </c>
      <c s="124">
        <f>IF(BM$10=IF(ISBLANK(Предпосылки!$E41),$E$10,Предпосылки!$E41),1,0)</f>
        <v>0</v>
      </c>
    </row>
    <row r="333" spans="2:65" ht="15" customHeight="1">
      <c r="B333" s="12" t="str">
        <f t="shared" si="115"/>
        <v>-</v>
      </c>
      <c s="124" t="s">
        <v>824</v>
      </c>
      <c s="124"/>
      <c s="124">
        <f>IF(E$10=IF(ISBLANK(Предпосылки!$E42),$E$10,Предпосылки!$E42),1,0)</f>
        <v>1</v>
      </c>
      <c s="124">
        <f>IF(F$10=IF(ISBLANK(Предпосылки!$E42),$E$10,Предпосылки!$E42),1,0)</f>
        <v>0</v>
      </c>
      <c s="124">
        <f>IF(G$10=IF(ISBLANK(Предпосылки!$E42),$E$10,Предпосылки!$E42),1,0)</f>
        <v>0</v>
      </c>
      <c s="124">
        <f>IF(H$10=IF(ISBLANK(Предпосылки!$E42),$E$10,Предпосылки!$E42),1,0)</f>
        <v>0</v>
      </c>
      <c s="124">
        <f>IF(I$10=IF(ISBLANK(Предпосылки!$E42),$E$10,Предпосылки!$E42),1,0)</f>
        <v>0</v>
      </c>
      <c s="124">
        <f>IF(J$10=IF(ISBLANK(Предпосылки!$E42),$E$10,Предпосылки!$E42),1,0)</f>
        <v>0</v>
      </c>
      <c s="124">
        <f>IF(K$10=IF(ISBLANK(Предпосылки!$E42),$E$10,Предпосылки!$E42),1,0)</f>
        <v>0</v>
      </c>
      <c s="124">
        <f>IF(L$10=IF(ISBLANK(Предпосылки!$E42),$E$10,Предпосылки!$E42),1,0)</f>
        <v>0</v>
      </c>
      <c s="124">
        <f>IF(M$10=IF(ISBLANK(Предпосылки!$E42),$E$10,Предпосылки!$E42),1,0)</f>
        <v>0</v>
      </c>
      <c s="124">
        <f>IF(N$10=IF(ISBLANK(Предпосылки!$E42),$E$10,Предпосылки!$E42),1,0)</f>
        <v>0</v>
      </c>
      <c s="124">
        <f>IF(O$10=IF(ISBLANK(Предпосылки!$E42),$E$10,Предпосылки!$E42),1,0)</f>
        <v>0</v>
      </c>
      <c s="124">
        <f>IF(P$10=IF(ISBLANK(Предпосылки!$E42),$E$10,Предпосылки!$E42),1,0)</f>
        <v>0</v>
      </c>
      <c s="124">
        <f>IF(Q$10=IF(ISBLANK(Предпосылки!$E42),$E$10,Предпосылки!$E42),1,0)</f>
        <v>0</v>
      </c>
      <c s="124">
        <f>IF(R$10=IF(ISBLANK(Предпосылки!$E42),$E$10,Предпосылки!$E42),1,0)</f>
        <v>0</v>
      </c>
      <c s="124">
        <f>IF(S$10=IF(ISBLANK(Предпосылки!$E42),$E$10,Предпосылки!$E42),1,0)</f>
        <v>0</v>
      </c>
      <c s="124">
        <f>IF(T$10=IF(ISBLANK(Предпосылки!$E42),$E$10,Предпосылки!$E42),1,0)</f>
        <v>0</v>
      </c>
      <c s="124">
        <f>IF(U$10=IF(ISBLANK(Предпосылки!$E42),$E$10,Предпосылки!$E42),1,0)</f>
        <v>0</v>
      </c>
      <c s="124">
        <f>IF(V$10=IF(ISBLANK(Предпосылки!$E42),$E$10,Предпосылки!$E42),1,0)</f>
        <v>0</v>
      </c>
      <c s="124">
        <f>IF(W$10=IF(ISBLANK(Предпосылки!$E42),$E$10,Предпосылки!$E42),1,0)</f>
        <v>0</v>
      </c>
      <c s="124">
        <f>IF(X$10=IF(ISBLANK(Предпосылки!$E42),$E$10,Предпосылки!$E42),1,0)</f>
        <v>0</v>
      </c>
      <c s="124">
        <f>IF(Y$10=IF(ISBLANK(Предпосылки!$E42),$E$10,Предпосылки!$E42),1,0)</f>
        <v>0</v>
      </c>
      <c s="124">
        <f>IF(Z$10=IF(ISBLANK(Предпосылки!$E42),$E$10,Предпосылки!$E42),1,0)</f>
        <v>0</v>
      </c>
      <c s="124">
        <f>IF(AA$10=IF(ISBLANK(Предпосылки!$E42),$E$10,Предпосылки!$E42),1,0)</f>
        <v>0</v>
      </c>
      <c s="124">
        <f>IF(AB$10=IF(ISBLANK(Предпосылки!$E42),$E$10,Предпосылки!$E42),1,0)</f>
        <v>0</v>
      </c>
      <c s="124">
        <f>IF(AC$10=IF(ISBLANK(Предпосылки!$E42),$E$10,Предпосылки!$E42),1,0)</f>
        <v>0</v>
      </c>
      <c s="124">
        <f>IF(AD$10=IF(ISBLANK(Предпосылки!$E42),$E$10,Предпосылки!$E42),1,0)</f>
        <v>0</v>
      </c>
      <c s="124">
        <f>IF(AE$10=IF(ISBLANK(Предпосылки!$E42),$E$10,Предпосылки!$E42),1,0)</f>
        <v>0</v>
      </c>
      <c s="124">
        <f>IF(AF$10=IF(ISBLANK(Предпосылки!$E42),$E$10,Предпосылки!$E42),1,0)</f>
        <v>0</v>
      </c>
      <c s="124">
        <f>IF(AG$10=IF(ISBLANK(Предпосылки!$E42),$E$10,Предпосылки!$E42),1,0)</f>
        <v>0</v>
      </c>
      <c s="124">
        <f>IF(AH$10=IF(ISBLANK(Предпосылки!$E42),$E$10,Предпосылки!$E42),1,0)</f>
        <v>0</v>
      </c>
      <c s="124">
        <f>IF(AI$10=IF(ISBLANK(Предпосылки!$E42),$E$10,Предпосылки!$E42),1,0)</f>
        <v>0</v>
      </c>
      <c s="124">
        <f>IF(AJ$10=IF(ISBLANK(Предпосылки!$E42),$E$10,Предпосылки!$E42),1,0)</f>
        <v>0</v>
      </c>
      <c s="124">
        <f>IF(AK$10=IF(ISBLANK(Предпосылки!$E42),$E$10,Предпосылки!$E42),1,0)</f>
        <v>0</v>
      </c>
      <c s="124">
        <f>IF(AL$10=IF(ISBLANK(Предпосылки!$E42),$E$10,Предпосылки!$E42),1,0)</f>
        <v>0</v>
      </c>
      <c s="124">
        <f>IF(AM$10=IF(ISBLANK(Предпосылки!$E42),$E$10,Предпосылки!$E42),1,0)</f>
        <v>0</v>
      </c>
      <c s="124">
        <f>IF(AN$10=IF(ISBLANK(Предпосылки!$E42),$E$10,Предпосылки!$E42),1,0)</f>
        <v>0</v>
      </c>
      <c s="124">
        <f>IF(AO$10=IF(ISBLANK(Предпосылки!$E42),$E$10,Предпосылки!$E42),1,0)</f>
        <v>0</v>
      </c>
      <c s="124">
        <f>IF(AP$10=IF(ISBLANK(Предпосылки!$E42),$E$10,Предпосылки!$E42),1,0)</f>
        <v>0</v>
      </c>
      <c s="124">
        <f>IF(AQ$10=IF(ISBLANK(Предпосылки!$E42),$E$10,Предпосылки!$E42),1,0)</f>
        <v>0</v>
      </c>
      <c s="124">
        <f>IF(AR$10=IF(ISBLANK(Предпосылки!$E42),$E$10,Предпосылки!$E42),1,0)</f>
        <v>0</v>
      </c>
      <c s="124">
        <f>IF(AS$10=IF(ISBLANK(Предпосылки!$E42),$E$10,Предпосылки!$E42),1,0)</f>
        <v>0</v>
      </c>
      <c s="124">
        <f>IF(AT$10=IF(ISBLANK(Предпосылки!$E42),$E$10,Предпосылки!$E42),1,0)</f>
        <v>0</v>
      </c>
      <c s="124">
        <f>IF(AU$10=IF(ISBLANK(Предпосылки!$E42),$E$10,Предпосылки!$E42),1,0)</f>
        <v>0</v>
      </c>
      <c s="124">
        <f>IF(AV$10=IF(ISBLANK(Предпосылки!$E42),$E$10,Предпосылки!$E42),1,0)</f>
        <v>0</v>
      </c>
      <c s="124">
        <f>IF(AW$10=IF(ISBLANK(Предпосылки!$E42),$E$10,Предпосылки!$E42),1,0)</f>
        <v>0</v>
      </c>
      <c s="124">
        <f>IF(AX$10=IF(ISBLANK(Предпосылки!$E42),$E$10,Предпосылки!$E42),1,0)</f>
        <v>0</v>
      </c>
      <c s="124">
        <f>IF(AY$10=IF(ISBLANK(Предпосылки!$E42),$E$10,Предпосылки!$E42),1,0)</f>
        <v>0</v>
      </c>
      <c s="124">
        <f>IF(AZ$10=IF(ISBLANK(Предпосылки!$E42),$E$10,Предпосылки!$E42),1,0)</f>
        <v>0</v>
      </c>
      <c s="124">
        <f>IF(BA$10=IF(ISBLANK(Предпосылки!$E42),$E$10,Предпосылки!$E42),1,0)</f>
        <v>0</v>
      </c>
      <c s="124">
        <f>IF(BB$10=IF(ISBLANK(Предпосылки!$E42),$E$10,Предпосылки!$E42),1,0)</f>
        <v>0</v>
      </c>
      <c s="124">
        <f>IF(BC$10=IF(ISBLANK(Предпосылки!$E42),$E$10,Предпосылки!$E42),1,0)</f>
        <v>0</v>
      </c>
      <c s="124">
        <f>IF(BD$10=IF(ISBLANK(Предпосылки!$E42),$E$10,Предпосылки!$E42),1,0)</f>
        <v>0</v>
      </c>
      <c s="124">
        <f>IF(BE$10=IF(ISBLANK(Предпосылки!$E42),$E$10,Предпосылки!$E42),1,0)</f>
        <v>0</v>
      </c>
      <c s="124">
        <f>IF(BF$10=IF(ISBLANK(Предпосылки!$E42),$E$10,Предпосылки!$E42),1,0)</f>
        <v>0</v>
      </c>
      <c s="124">
        <f>IF(BG$10=IF(ISBLANK(Предпосылки!$E42),$E$10,Предпосылки!$E42),1,0)</f>
        <v>0</v>
      </c>
      <c s="124">
        <f>IF(BH$10=IF(ISBLANK(Предпосылки!$E42),$E$10,Предпосылки!$E42),1,0)</f>
        <v>0</v>
      </c>
      <c s="124">
        <f>IF(BI$10=IF(ISBLANK(Предпосылки!$E42),$E$10,Предпосылки!$E42),1,0)</f>
        <v>0</v>
      </c>
      <c s="124">
        <f>IF(BJ$10=IF(ISBLANK(Предпосылки!$E42),$E$10,Предпосылки!$E42),1,0)</f>
        <v>0</v>
      </c>
      <c s="124">
        <f>IF(BK$10=IF(ISBLANK(Предпосылки!$E42),$E$10,Предпосылки!$E42),1,0)</f>
        <v>0</v>
      </c>
      <c s="124">
        <f>IF(BL$10=IF(ISBLANK(Предпосылки!$E42),$E$10,Предпосылки!$E42),1,0)</f>
        <v>0</v>
      </c>
      <c s="124">
        <f>IF(BM$10=IF(ISBLANK(Предпосылки!$E42),$E$10,Предпосылки!$E42),1,0)</f>
        <v>0</v>
      </c>
    </row>
    <row r="334" spans="2:65" ht="15" customHeight="1">
      <c r="B334" s="12" t="str">
        <f t="shared" si="115"/>
        <v>-</v>
      </c>
      <c s="124" t="s">
        <v>824</v>
      </c>
      <c s="124"/>
      <c s="124">
        <f>IF(E$10=IF(ISBLANK(Предпосылки!$E43),$E$10,Предпосылки!$E43),1,0)</f>
        <v>1</v>
      </c>
      <c s="124">
        <f>IF(F$10=IF(ISBLANK(Предпосылки!$E43),$E$10,Предпосылки!$E43),1,0)</f>
        <v>0</v>
      </c>
      <c s="124">
        <f>IF(G$10=IF(ISBLANK(Предпосылки!$E43),$E$10,Предпосылки!$E43),1,0)</f>
        <v>0</v>
      </c>
      <c s="124">
        <f>IF(H$10=IF(ISBLANK(Предпосылки!$E43),$E$10,Предпосылки!$E43),1,0)</f>
        <v>0</v>
      </c>
      <c s="124">
        <f>IF(I$10=IF(ISBLANK(Предпосылки!$E43),$E$10,Предпосылки!$E43),1,0)</f>
        <v>0</v>
      </c>
      <c s="124">
        <f>IF(J$10=IF(ISBLANK(Предпосылки!$E43),$E$10,Предпосылки!$E43),1,0)</f>
        <v>0</v>
      </c>
      <c s="124">
        <f>IF(K$10=IF(ISBLANK(Предпосылки!$E43),$E$10,Предпосылки!$E43),1,0)</f>
        <v>0</v>
      </c>
      <c s="124">
        <f>IF(L$10=IF(ISBLANK(Предпосылки!$E43),$E$10,Предпосылки!$E43),1,0)</f>
        <v>0</v>
      </c>
      <c s="124">
        <f>IF(M$10=IF(ISBLANK(Предпосылки!$E43),$E$10,Предпосылки!$E43),1,0)</f>
        <v>0</v>
      </c>
      <c s="124">
        <f>IF(N$10=IF(ISBLANK(Предпосылки!$E43),$E$10,Предпосылки!$E43),1,0)</f>
        <v>0</v>
      </c>
      <c s="124">
        <f>IF(O$10=IF(ISBLANK(Предпосылки!$E43),$E$10,Предпосылки!$E43),1,0)</f>
        <v>0</v>
      </c>
      <c s="124">
        <f>IF(P$10=IF(ISBLANK(Предпосылки!$E43),$E$10,Предпосылки!$E43),1,0)</f>
        <v>0</v>
      </c>
      <c s="124">
        <f>IF(Q$10=IF(ISBLANK(Предпосылки!$E43),$E$10,Предпосылки!$E43),1,0)</f>
        <v>0</v>
      </c>
      <c s="124">
        <f>IF(R$10=IF(ISBLANK(Предпосылки!$E43),$E$10,Предпосылки!$E43),1,0)</f>
        <v>0</v>
      </c>
      <c s="124">
        <f>IF(S$10=IF(ISBLANK(Предпосылки!$E43),$E$10,Предпосылки!$E43),1,0)</f>
        <v>0</v>
      </c>
      <c s="124">
        <f>IF(T$10=IF(ISBLANK(Предпосылки!$E43),$E$10,Предпосылки!$E43),1,0)</f>
        <v>0</v>
      </c>
      <c s="124">
        <f>IF(U$10=IF(ISBLANK(Предпосылки!$E43),$E$10,Предпосылки!$E43),1,0)</f>
        <v>0</v>
      </c>
      <c s="124">
        <f>IF(V$10=IF(ISBLANK(Предпосылки!$E43),$E$10,Предпосылки!$E43),1,0)</f>
        <v>0</v>
      </c>
      <c s="124">
        <f>IF(W$10=IF(ISBLANK(Предпосылки!$E43),$E$10,Предпосылки!$E43),1,0)</f>
        <v>0</v>
      </c>
      <c s="124">
        <f>IF(X$10=IF(ISBLANK(Предпосылки!$E43),$E$10,Предпосылки!$E43),1,0)</f>
        <v>0</v>
      </c>
      <c s="124">
        <f>IF(Y$10=IF(ISBLANK(Предпосылки!$E43),$E$10,Предпосылки!$E43),1,0)</f>
        <v>0</v>
      </c>
      <c s="124">
        <f>IF(Z$10=IF(ISBLANK(Предпосылки!$E43),$E$10,Предпосылки!$E43),1,0)</f>
        <v>0</v>
      </c>
      <c s="124">
        <f>IF(AA$10=IF(ISBLANK(Предпосылки!$E43),$E$10,Предпосылки!$E43),1,0)</f>
        <v>0</v>
      </c>
      <c s="124">
        <f>IF(AB$10=IF(ISBLANK(Предпосылки!$E43),$E$10,Предпосылки!$E43),1,0)</f>
        <v>0</v>
      </c>
      <c s="124">
        <f>IF(AC$10=IF(ISBLANK(Предпосылки!$E43),$E$10,Предпосылки!$E43),1,0)</f>
        <v>0</v>
      </c>
      <c s="124">
        <f>IF(AD$10=IF(ISBLANK(Предпосылки!$E43),$E$10,Предпосылки!$E43),1,0)</f>
        <v>0</v>
      </c>
      <c s="124">
        <f>IF(AE$10=IF(ISBLANK(Предпосылки!$E43),$E$10,Предпосылки!$E43),1,0)</f>
        <v>0</v>
      </c>
      <c s="124">
        <f>IF(AF$10=IF(ISBLANK(Предпосылки!$E43),$E$10,Предпосылки!$E43),1,0)</f>
        <v>0</v>
      </c>
      <c s="124">
        <f>IF(AG$10=IF(ISBLANK(Предпосылки!$E43),$E$10,Предпосылки!$E43),1,0)</f>
        <v>0</v>
      </c>
      <c s="124">
        <f>IF(AH$10=IF(ISBLANK(Предпосылки!$E43),$E$10,Предпосылки!$E43),1,0)</f>
        <v>0</v>
      </c>
      <c s="124">
        <f>IF(AI$10=IF(ISBLANK(Предпосылки!$E43),$E$10,Предпосылки!$E43),1,0)</f>
        <v>0</v>
      </c>
      <c s="124">
        <f>IF(AJ$10=IF(ISBLANK(Предпосылки!$E43),$E$10,Предпосылки!$E43),1,0)</f>
        <v>0</v>
      </c>
      <c s="124">
        <f>IF(AK$10=IF(ISBLANK(Предпосылки!$E43),$E$10,Предпосылки!$E43),1,0)</f>
        <v>0</v>
      </c>
      <c s="124">
        <f>IF(AL$10=IF(ISBLANK(Предпосылки!$E43),$E$10,Предпосылки!$E43),1,0)</f>
        <v>0</v>
      </c>
      <c s="124">
        <f>IF(AM$10=IF(ISBLANK(Предпосылки!$E43),$E$10,Предпосылки!$E43),1,0)</f>
        <v>0</v>
      </c>
      <c s="124">
        <f>IF(AN$10=IF(ISBLANK(Предпосылки!$E43),$E$10,Предпосылки!$E43),1,0)</f>
        <v>0</v>
      </c>
      <c s="124">
        <f>IF(AO$10=IF(ISBLANK(Предпосылки!$E43),$E$10,Предпосылки!$E43),1,0)</f>
        <v>0</v>
      </c>
      <c s="124">
        <f>IF(AP$10=IF(ISBLANK(Предпосылки!$E43),$E$10,Предпосылки!$E43),1,0)</f>
        <v>0</v>
      </c>
      <c s="124">
        <f>IF(AQ$10=IF(ISBLANK(Предпосылки!$E43),$E$10,Предпосылки!$E43),1,0)</f>
        <v>0</v>
      </c>
      <c s="124">
        <f>IF(AR$10=IF(ISBLANK(Предпосылки!$E43),$E$10,Предпосылки!$E43),1,0)</f>
        <v>0</v>
      </c>
      <c s="124">
        <f>IF(AS$10=IF(ISBLANK(Предпосылки!$E43),$E$10,Предпосылки!$E43),1,0)</f>
        <v>0</v>
      </c>
      <c s="124">
        <f>IF(AT$10=IF(ISBLANK(Предпосылки!$E43),$E$10,Предпосылки!$E43),1,0)</f>
        <v>0</v>
      </c>
      <c s="124">
        <f>IF(AU$10=IF(ISBLANK(Предпосылки!$E43),$E$10,Предпосылки!$E43),1,0)</f>
        <v>0</v>
      </c>
      <c s="124">
        <f>IF(AV$10=IF(ISBLANK(Предпосылки!$E43),$E$10,Предпосылки!$E43),1,0)</f>
        <v>0</v>
      </c>
      <c s="124">
        <f>IF(AW$10=IF(ISBLANK(Предпосылки!$E43),$E$10,Предпосылки!$E43),1,0)</f>
        <v>0</v>
      </c>
      <c s="124">
        <f>IF(AX$10=IF(ISBLANK(Предпосылки!$E43),$E$10,Предпосылки!$E43),1,0)</f>
        <v>0</v>
      </c>
      <c s="124">
        <f>IF(AY$10=IF(ISBLANK(Предпосылки!$E43),$E$10,Предпосылки!$E43),1,0)</f>
        <v>0</v>
      </c>
      <c s="124">
        <f>IF(AZ$10=IF(ISBLANK(Предпосылки!$E43),$E$10,Предпосылки!$E43),1,0)</f>
        <v>0</v>
      </c>
      <c s="124">
        <f>IF(BA$10=IF(ISBLANK(Предпосылки!$E43),$E$10,Предпосылки!$E43),1,0)</f>
        <v>0</v>
      </c>
      <c s="124">
        <f>IF(BB$10=IF(ISBLANK(Предпосылки!$E43),$E$10,Предпосылки!$E43),1,0)</f>
        <v>0</v>
      </c>
      <c s="124">
        <f>IF(BC$10=IF(ISBLANK(Предпосылки!$E43),$E$10,Предпосылки!$E43),1,0)</f>
        <v>0</v>
      </c>
      <c s="124">
        <f>IF(BD$10=IF(ISBLANK(Предпосылки!$E43),$E$10,Предпосылки!$E43),1,0)</f>
        <v>0</v>
      </c>
      <c s="124">
        <f>IF(BE$10=IF(ISBLANK(Предпосылки!$E43),$E$10,Предпосылки!$E43),1,0)</f>
        <v>0</v>
      </c>
      <c s="124">
        <f>IF(BF$10=IF(ISBLANK(Предпосылки!$E43),$E$10,Предпосылки!$E43),1,0)</f>
        <v>0</v>
      </c>
      <c s="124">
        <f>IF(BG$10=IF(ISBLANK(Предпосылки!$E43),$E$10,Предпосылки!$E43),1,0)</f>
        <v>0</v>
      </c>
      <c s="124">
        <f>IF(BH$10=IF(ISBLANK(Предпосылки!$E43),$E$10,Предпосылки!$E43),1,0)</f>
        <v>0</v>
      </c>
      <c s="124">
        <f>IF(BI$10=IF(ISBLANK(Предпосылки!$E43),$E$10,Предпосылки!$E43),1,0)</f>
        <v>0</v>
      </c>
      <c s="124">
        <f>IF(BJ$10=IF(ISBLANK(Предпосылки!$E43),$E$10,Предпосылки!$E43),1,0)</f>
        <v>0</v>
      </c>
      <c s="124">
        <f>IF(BK$10=IF(ISBLANK(Предпосылки!$E43),$E$10,Предпосылки!$E43),1,0)</f>
        <v>0</v>
      </c>
      <c s="124">
        <f>IF(BL$10=IF(ISBLANK(Предпосылки!$E43),$E$10,Предпосылки!$E43),1,0)</f>
        <v>0</v>
      </c>
      <c s="124">
        <f>IF(BM$10=IF(ISBLANK(Предпосылки!$E43),$E$10,Предпосылки!$E43),1,0)</f>
        <v>0</v>
      </c>
    </row>
    <row r="335" spans="2:65" ht="15" customHeight="1">
      <c r="B335" s="12" t="str">
        <f t="shared" si="115"/>
        <v>-</v>
      </c>
      <c s="124" t="s">
        <v>824</v>
      </c>
      <c s="124"/>
      <c s="124">
        <f>IF(E$10=IF(ISBLANK(Предпосылки!$E44),$E$10,Предпосылки!$E44),1,0)</f>
        <v>1</v>
      </c>
      <c s="124">
        <f>IF(F$10=IF(ISBLANK(Предпосылки!$E44),$E$10,Предпосылки!$E44),1,0)</f>
        <v>0</v>
      </c>
      <c s="124">
        <f>IF(G$10=IF(ISBLANK(Предпосылки!$E44),$E$10,Предпосылки!$E44),1,0)</f>
        <v>0</v>
      </c>
      <c s="124">
        <f>IF(H$10=IF(ISBLANK(Предпосылки!$E44),$E$10,Предпосылки!$E44),1,0)</f>
        <v>0</v>
      </c>
      <c s="124">
        <f>IF(I$10=IF(ISBLANK(Предпосылки!$E44),$E$10,Предпосылки!$E44),1,0)</f>
        <v>0</v>
      </c>
      <c s="124">
        <f>IF(J$10=IF(ISBLANK(Предпосылки!$E44),$E$10,Предпосылки!$E44),1,0)</f>
        <v>0</v>
      </c>
      <c s="124">
        <f>IF(K$10=IF(ISBLANK(Предпосылки!$E44),$E$10,Предпосылки!$E44),1,0)</f>
        <v>0</v>
      </c>
      <c s="124">
        <f>IF(L$10=IF(ISBLANK(Предпосылки!$E44),$E$10,Предпосылки!$E44),1,0)</f>
        <v>0</v>
      </c>
      <c s="124">
        <f>IF(M$10=IF(ISBLANK(Предпосылки!$E44),$E$10,Предпосылки!$E44),1,0)</f>
        <v>0</v>
      </c>
      <c s="124">
        <f>IF(N$10=IF(ISBLANK(Предпосылки!$E44),$E$10,Предпосылки!$E44),1,0)</f>
        <v>0</v>
      </c>
      <c s="124">
        <f>IF(O$10=IF(ISBLANK(Предпосылки!$E44),$E$10,Предпосылки!$E44),1,0)</f>
        <v>0</v>
      </c>
      <c s="124">
        <f>IF(P$10=IF(ISBLANK(Предпосылки!$E44),$E$10,Предпосылки!$E44),1,0)</f>
        <v>0</v>
      </c>
      <c s="124">
        <f>IF(Q$10=IF(ISBLANK(Предпосылки!$E44),$E$10,Предпосылки!$E44),1,0)</f>
        <v>0</v>
      </c>
      <c s="124">
        <f>IF(R$10=IF(ISBLANK(Предпосылки!$E44),$E$10,Предпосылки!$E44),1,0)</f>
        <v>0</v>
      </c>
      <c s="124">
        <f>IF(S$10=IF(ISBLANK(Предпосылки!$E44),$E$10,Предпосылки!$E44),1,0)</f>
        <v>0</v>
      </c>
      <c s="124">
        <f>IF(T$10=IF(ISBLANK(Предпосылки!$E44),$E$10,Предпосылки!$E44),1,0)</f>
        <v>0</v>
      </c>
      <c s="124">
        <f>IF(U$10=IF(ISBLANK(Предпосылки!$E44),$E$10,Предпосылки!$E44),1,0)</f>
        <v>0</v>
      </c>
      <c s="124">
        <f>IF(V$10=IF(ISBLANK(Предпосылки!$E44),$E$10,Предпосылки!$E44),1,0)</f>
        <v>0</v>
      </c>
      <c s="124">
        <f>IF(W$10=IF(ISBLANK(Предпосылки!$E44),$E$10,Предпосылки!$E44),1,0)</f>
        <v>0</v>
      </c>
      <c s="124">
        <f>IF(X$10=IF(ISBLANK(Предпосылки!$E44),$E$10,Предпосылки!$E44),1,0)</f>
        <v>0</v>
      </c>
      <c s="124">
        <f>IF(Y$10=IF(ISBLANK(Предпосылки!$E44),$E$10,Предпосылки!$E44),1,0)</f>
        <v>0</v>
      </c>
      <c s="124">
        <f>IF(Z$10=IF(ISBLANK(Предпосылки!$E44),$E$10,Предпосылки!$E44),1,0)</f>
        <v>0</v>
      </c>
      <c s="124">
        <f>IF(AA$10=IF(ISBLANK(Предпосылки!$E44),$E$10,Предпосылки!$E44),1,0)</f>
        <v>0</v>
      </c>
      <c s="124">
        <f>IF(AB$10=IF(ISBLANK(Предпосылки!$E44),$E$10,Предпосылки!$E44),1,0)</f>
        <v>0</v>
      </c>
      <c s="124">
        <f>IF(AC$10=IF(ISBLANK(Предпосылки!$E44),$E$10,Предпосылки!$E44),1,0)</f>
        <v>0</v>
      </c>
      <c s="124">
        <f>IF(AD$10=IF(ISBLANK(Предпосылки!$E44),$E$10,Предпосылки!$E44),1,0)</f>
        <v>0</v>
      </c>
      <c s="124">
        <f>IF(AE$10=IF(ISBLANK(Предпосылки!$E44),$E$10,Предпосылки!$E44),1,0)</f>
        <v>0</v>
      </c>
      <c s="124">
        <f>IF(AF$10=IF(ISBLANK(Предпосылки!$E44),$E$10,Предпосылки!$E44),1,0)</f>
        <v>0</v>
      </c>
      <c s="124">
        <f>IF(AG$10=IF(ISBLANK(Предпосылки!$E44),$E$10,Предпосылки!$E44),1,0)</f>
        <v>0</v>
      </c>
      <c s="124">
        <f>IF(AH$10=IF(ISBLANK(Предпосылки!$E44),$E$10,Предпосылки!$E44),1,0)</f>
        <v>0</v>
      </c>
      <c s="124">
        <f>IF(AI$10=IF(ISBLANK(Предпосылки!$E44),$E$10,Предпосылки!$E44),1,0)</f>
        <v>0</v>
      </c>
      <c s="124">
        <f>IF(AJ$10=IF(ISBLANK(Предпосылки!$E44),$E$10,Предпосылки!$E44),1,0)</f>
        <v>0</v>
      </c>
      <c s="124">
        <f>IF(AK$10=IF(ISBLANK(Предпосылки!$E44),$E$10,Предпосылки!$E44),1,0)</f>
        <v>0</v>
      </c>
      <c s="124">
        <f>IF(AL$10=IF(ISBLANK(Предпосылки!$E44),$E$10,Предпосылки!$E44),1,0)</f>
        <v>0</v>
      </c>
      <c s="124">
        <f>IF(AM$10=IF(ISBLANK(Предпосылки!$E44),$E$10,Предпосылки!$E44),1,0)</f>
        <v>0</v>
      </c>
      <c s="124">
        <f>IF(AN$10=IF(ISBLANK(Предпосылки!$E44),$E$10,Предпосылки!$E44),1,0)</f>
        <v>0</v>
      </c>
      <c s="124">
        <f>IF(AO$10=IF(ISBLANK(Предпосылки!$E44),$E$10,Предпосылки!$E44),1,0)</f>
        <v>0</v>
      </c>
      <c s="124">
        <f>IF(AP$10=IF(ISBLANK(Предпосылки!$E44),$E$10,Предпосылки!$E44),1,0)</f>
        <v>0</v>
      </c>
      <c s="124">
        <f>IF(AQ$10=IF(ISBLANK(Предпосылки!$E44),$E$10,Предпосылки!$E44),1,0)</f>
        <v>0</v>
      </c>
      <c s="124">
        <f>IF(AR$10=IF(ISBLANK(Предпосылки!$E44),$E$10,Предпосылки!$E44),1,0)</f>
        <v>0</v>
      </c>
      <c s="124">
        <f>IF(AS$10=IF(ISBLANK(Предпосылки!$E44),$E$10,Предпосылки!$E44),1,0)</f>
        <v>0</v>
      </c>
      <c s="124">
        <f>IF(AT$10=IF(ISBLANK(Предпосылки!$E44),$E$10,Предпосылки!$E44),1,0)</f>
        <v>0</v>
      </c>
      <c s="124">
        <f>IF(AU$10=IF(ISBLANK(Предпосылки!$E44),$E$10,Предпосылки!$E44),1,0)</f>
        <v>0</v>
      </c>
      <c s="124">
        <f>IF(AV$10=IF(ISBLANK(Предпосылки!$E44),$E$10,Предпосылки!$E44),1,0)</f>
        <v>0</v>
      </c>
      <c s="124">
        <f>IF(AW$10=IF(ISBLANK(Предпосылки!$E44),$E$10,Предпосылки!$E44),1,0)</f>
        <v>0</v>
      </c>
      <c s="124">
        <f>IF(AX$10=IF(ISBLANK(Предпосылки!$E44),$E$10,Предпосылки!$E44),1,0)</f>
        <v>0</v>
      </c>
      <c s="124">
        <f>IF(AY$10=IF(ISBLANK(Предпосылки!$E44),$E$10,Предпосылки!$E44),1,0)</f>
        <v>0</v>
      </c>
      <c s="124">
        <f>IF(AZ$10=IF(ISBLANK(Предпосылки!$E44),$E$10,Предпосылки!$E44),1,0)</f>
        <v>0</v>
      </c>
      <c s="124">
        <f>IF(BA$10=IF(ISBLANK(Предпосылки!$E44),$E$10,Предпосылки!$E44),1,0)</f>
        <v>0</v>
      </c>
      <c s="124">
        <f>IF(BB$10=IF(ISBLANK(Предпосылки!$E44),$E$10,Предпосылки!$E44),1,0)</f>
        <v>0</v>
      </c>
      <c s="124">
        <f>IF(BC$10=IF(ISBLANK(Предпосылки!$E44),$E$10,Предпосылки!$E44),1,0)</f>
        <v>0</v>
      </c>
      <c s="124">
        <f>IF(BD$10=IF(ISBLANK(Предпосылки!$E44),$E$10,Предпосылки!$E44),1,0)</f>
        <v>0</v>
      </c>
      <c s="124">
        <f>IF(BE$10=IF(ISBLANK(Предпосылки!$E44),$E$10,Предпосылки!$E44),1,0)</f>
        <v>0</v>
      </c>
      <c s="124">
        <f>IF(BF$10=IF(ISBLANK(Предпосылки!$E44),$E$10,Предпосылки!$E44),1,0)</f>
        <v>0</v>
      </c>
      <c s="124">
        <f>IF(BG$10=IF(ISBLANK(Предпосылки!$E44),$E$10,Предпосылки!$E44),1,0)</f>
        <v>0</v>
      </c>
      <c s="124">
        <f>IF(BH$10=IF(ISBLANK(Предпосылки!$E44),$E$10,Предпосылки!$E44),1,0)</f>
        <v>0</v>
      </c>
      <c s="124">
        <f>IF(BI$10=IF(ISBLANK(Предпосылки!$E44),$E$10,Предпосылки!$E44),1,0)</f>
        <v>0</v>
      </c>
      <c s="124">
        <f>IF(BJ$10=IF(ISBLANK(Предпосылки!$E44),$E$10,Предпосылки!$E44),1,0)</f>
        <v>0</v>
      </c>
      <c s="124">
        <f>IF(BK$10=IF(ISBLANK(Предпосылки!$E44),$E$10,Предпосылки!$E44),1,0)</f>
        <v>0</v>
      </c>
      <c s="124">
        <f>IF(BL$10=IF(ISBLANK(Предпосылки!$E44),$E$10,Предпосылки!$E44),1,0)</f>
        <v>0</v>
      </c>
      <c s="124">
        <f>IF(BM$10=IF(ISBLANK(Предпосылки!$E44),$E$10,Предпосылки!$E44),1,0)</f>
        <v>0</v>
      </c>
    </row>
    <row r="336" spans="2:65" ht="15" customHeight="1">
      <c r="B336" s="12" t="str">
        <f t="shared" si="115"/>
        <v>-</v>
      </c>
      <c s="124" t="s">
        <v>824</v>
      </c>
      <c s="124"/>
      <c s="124">
        <f>IF(E$10=IF(ISBLANK(Предпосылки!$E45),$E$10,Предпосылки!$E45),1,0)</f>
        <v>1</v>
      </c>
      <c s="124">
        <f>IF(F$10=IF(ISBLANK(Предпосылки!$E45),$E$10,Предпосылки!$E45),1,0)</f>
        <v>0</v>
      </c>
      <c s="124">
        <f>IF(G$10=IF(ISBLANK(Предпосылки!$E45),$E$10,Предпосылки!$E45),1,0)</f>
        <v>0</v>
      </c>
      <c s="124">
        <f>IF(H$10=IF(ISBLANK(Предпосылки!$E45),$E$10,Предпосылки!$E45),1,0)</f>
        <v>0</v>
      </c>
      <c s="124">
        <f>IF(I$10=IF(ISBLANK(Предпосылки!$E45),$E$10,Предпосылки!$E45),1,0)</f>
        <v>0</v>
      </c>
      <c s="124">
        <f>IF(J$10=IF(ISBLANK(Предпосылки!$E45),$E$10,Предпосылки!$E45),1,0)</f>
        <v>0</v>
      </c>
      <c s="124">
        <f>IF(K$10=IF(ISBLANK(Предпосылки!$E45),$E$10,Предпосылки!$E45),1,0)</f>
        <v>0</v>
      </c>
      <c s="124">
        <f>IF(L$10=IF(ISBLANK(Предпосылки!$E45),$E$10,Предпосылки!$E45),1,0)</f>
        <v>0</v>
      </c>
      <c s="124">
        <f>IF(M$10=IF(ISBLANK(Предпосылки!$E45),$E$10,Предпосылки!$E45),1,0)</f>
        <v>0</v>
      </c>
      <c s="124">
        <f>IF(N$10=IF(ISBLANK(Предпосылки!$E45),$E$10,Предпосылки!$E45),1,0)</f>
        <v>0</v>
      </c>
      <c s="124">
        <f>IF(O$10=IF(ISBLANK(Предпосылки!$E45),$E$10,Предпосылки!$E45),1,0)</f>
        <v>0</v>
      </c>
      <c s="124">
        <f>IF(P$10=IF(ISBLANK(Предпосылки!$E45),$E$10,Предпосылки!$E45),1,0)</f>
        <v>0</v>
      </c>
      <c s="124">
        <f>IF(Q$10=IF(ISBLANK(Предпосылки!$E45),$E$10,Предпосылки!$E45),1,0)</f>
        <v>0</v>
      </c>
      <c s="124">
        <f>IF(R$10=IF(ISBLANK(Предпосылки!$E45),$E$10,Предпосылки!$E45),1,0)</f>
        <v>0</v>
      </c>
      <c s="124">
        <f>IF(S$10=IF(ISBLANK(Предпосылки!$E45),$E$10,Предпосылки!$E45),1,0)</f>
        <v>0</v>
      </c>
      <c s="124">
        <f>IF(T$10=IF(ISBLANK(Предпосылки!$E45),$E$10,Предпосылки!$E45),1,0)</f>
        <v>0</v>
      </c>
      <c s="124">
        <f>IF(U$10=IF(ISBLANK(Предпосылки!$E45),$E$10,Предпосылки!$E45),1,0)</f>
        <v>0</v>
      </c>
      <c s="124">
        <f>IF(V$10=IF(ISBLANK(Предпосылки!$E45),$E$10,Предпосылки!$E45),1,0)</f>
        <v>0</v>
      </c>
      <c s="124">
        <f>IF(W$10=IF(ISBLANK(Предпосылки!$E45),$E$10,Предпосылки!$E45),1,0)</f>
        <v>0</v>
      </c>
      <c s="124">
        <f>IF(X$10=IF(ISBLANK(Предпосылки!$E45),$E$10,Предпосылки!$E45),1,0)</f>
        <v>0</v>
      </c>
      <c s="124">
        <f>IF(Y$10=IF(ISBLANK(Предпосылки!$E45),$E$10,Предпосылки!$E45),1,0)</f>
        <v>0</v>
      </c>
      <c s="124">
        <f>IF(Z$10=IF(ISBLANK(Предпосылки!$E45),$E$10,Предпосылки!$E45),1,0)</f>
        <v>0</v>
      </c>
      <c s="124">
        <f>IF(AA$10=IF(ISBLANK(Предпосылки!$E45),$E$10,Предпосылки!$E45),1,0)</f>
        <v>0</v>
      </c>
      <c s="124">
        <f>IF(AB$10=IF(ISBLANK(Предпосылки!$E45),$E$10,Предпосылки!$E45),1,0)</f>
        <v>0</v>
      </c>
      <c s="124">
        <f>IF(AC$10=IF(ISBLANK(Предпосылки!$E45),$E$10,Предпосылки!$E45),1,0)</f>
        <v>0</v>
      </c>
      <c s="124">
        <f>IF(AD$10=IF(ISBLANK(Предпосылки!$E45),$E$10,Предпосылки!$E45),1,0)</f>
        <v>0</v>
      </c>
      <c s="124">
        <f>IF(AE$10=IF(ISBLANK(Предпосылки!$E45),$E$10,Предпосылки!$E45),1,0)</f>
        <v>0</v>
      </c>
      <c s="124">
        <f>IF(AF$10=IF(ISBLANK(Предпосылки!$E45),$E$10,Предпосылки!$E45),1,0)</f>
        <v>0</v>
      </c>
      <c s="124">
        <f>IF(AG$10=IF(ISBLANK(Предпосылки!$E45),$E$10,Предпосылки!$E45),1,0)</f>
        <v>0</v>
      </c>
      <c s="124">
        <f>IF(AH$10=IF(ISBLANK(Предпосылки!$E45),$E$10,Предпосылки!$E45),1,0)</f>
        <v>0</v>
      </c>
      <c s="124">
        <f>IF(AI$10=IF(ISBLANK(Предпосылки!$E45),$E$10,Предпосылки!$E45),1,0)</f>
        <v>0</v>
      </c>
      <c s="124">
        <f>IF(AJ$10=IF(ISBLANK(Предпосылки!$E45),$E$10,Предпосылки!$E45),1,0)</f>
        <v>0</v>
      </c>
      <c s="124">
        <f>IF(AK$10=IF(ISBLANK(Предпосылки!$E45),$E$10,Предпосылки!$E45),1,0)</f>
        <v>0</v>
      </c>
      <c s="124">
        <f>IF(AL$10=IF(ISBLANK(Предпосылки!$E45),$E$10,Предпосылки!$E45),1,0)</f>
        <v>0</v>
      </c>
      <c s="124">
        <f>IF(AM$10=IF(ISBLANK(Предпосылки!$E45),$E$10,Предпосылки!$E45),1,0)</f>
        <v>0</v>
      </c>
      <c s="124">
        <f>IF(AN$10=IF(ISBLANK(Предпосылки!$E45),$E$10,Предпосылки!$E45),1,0)</f>
        <v>0</v>
      </c>
      <c s="124">
        <f>IF(AO$10=IF(ISBLANK(Предпосылки!$E45),$E$10,Предпосылки!$E45),1,0)</f>
        <v>0</v>
      </c>
      <c s="124">
        <f>IF(AP$10=IF(ISBLANK(Предпосылки!$E45),$E$10,Предпосылки!$E45),1,0)</f>
        <v>0</v>
      </c>
      <c s="124">
        <f>IF(AQ$10=IF(ISBLANK(Предпосылки!$E45),$E$10,Предпосылки!$E45),1,0)</f>
        <v>0</v>
      </c>
      <c s="124">
        <f>IF(AR$10=IF(ISBLANK(Предпосылки!$E45),$E$10,Предпосылки!$E45),1,0)</f>
        <v>0</v>
      </c>
      <c s="124">
        <f>IF(AS$10=IF(ISBLANK(Предпосылки!$E45),$E$10,Предпосылки!$E45),1,0)</f>
        <v>0</v>
      </c>
      <c s="124">
        <f>IF(AT$10=IF(ISBLANK(Предпосылки!$E45),$E$10,Предпосылки!$E45),1,0)</f>
        <v>0</v>
      </c>
      <c s="124">
        <f>IF(AU$10=IF(ISBLANK(Предпосылки!$E45),$E$10,Предпосылки!$E45),1,0)</f>
        <v>0</v>
      </c>
      <c s="124">
        <f>IF(AV$10=IF(ISBLANK(Предпосылки!$E45),$E$10,Предпосылки!$E45),1,0)</f>
        <v>0</v>
      </c>
      <c s="124">
        <f>IF(AW$10=IF(ISBLANK(Предпосылки!$E45),$E$10,Предпосылки!$E45),1,0)</f>
        <v>0</v>
      </c>
      <c s="124">
        <f>IF(AX$10=IF(ISBLANK(Предпосылки!$E45),$E$10,Предпосылки!$E45),1,0)</f>
        <v>0</v>
      </c>
      <c s="124">
        <f>IF(AY$10=IF(ISBLANK(Предпосылки!$E45),$E$10,Предпосылки!$E45),1,0)</f>
        <v>0</v>
      </c>
      <c s="124">
        <f>IF(AZ$10=IF(ISBLANK(Предпосылки!$E45),$E$10,Предпосылки!$E45),1,0)</f>
        <v>0</v>
      </c>
      <c s="124">
        <f>IF(BA$10=IF(ISBLANK(Предпосылки!$E45),$E$10,Предпосылки!$E45),1,0)</f>
        <v>0</v>
      </c>
      <c s="124">
        <f>IF(BB$10=IF(ISBLANK(Предпосылки!$E45),$E$10,Предпосылки!$E45),1,0)</f>
        <v>0</v>
      </c>
      <c s="124">
        <f>IF(BC$10=IF(ISBLANK(Предпосылки!$E45),$E$10,Предпосылки!$E45),1,0)</f>
        <v>0</v>
      </c>
      <c s="124">
        <f>IF(BD$10=IF(ISBLANK(Предпосылки!$E45),$E$10,Предпосылки!$E45),1,0)</f>
        <v>0</v>
      </c>
      <c s="124">
        <f>IF(BE$10=IF(ISBLANK(Предпосылки!$E45),$E$10,Предпосылки!$E45),1,0)</f>
        <v>0</v>
      </c>
      <c s="124">
        <f>IF(BF$10=IF(ISBLANK(Предпосылки!$E45),$E$10,Предпосылки!$E45),1,0)</f>
        <v>0</v>
      </c>
      <c s="124">
        <f>IF(BG$10=IF(ISBLANK(Предпосылки!$E45),$E$10,Предпосылки!$E45),1,0)</f>
        <v>0</v>
      </c>
      <c s="124">
        <f>IF(BH$10=IF(ISBLANK(Предпосылки!$E45),$E$10,Предпосылки!$E45),1,0)</f>
        <v>0</v>
      </c>
      <c s="124">
        <f>IF(BI$10=IF(ISBLANK(Предпосылки!$E45),$E$10,Предпосылки!$E45),1,0)</f>
        <v>0</v>
      </c>
      <c s="124">
        <f>IF(BJ$10=IF(ISBLANK(Предпосылки!$E45),$E$10,Предпосылки!$E45),1,0)</f>
        <v>0</v>
      </c>
      <c s="124">
        <f>IF(BK$10=IF(ISBLANK(Предпосылки!$E45),$E$10,Предпосылки!$E45),1,0)</f>
        <v>0</v>
      </c>
      <c s="124">
        <f>IF(BL$10=IF(ISBLANK(Предпосылки!$E45),$E$10,Предпосылки!$E45),1,0)</f>
        <v>0</v>
      </c>
      <c s="124">
        <f>IF(BM$10=IF(ISBLANK(Предпосылки!$E45),$E$10,Предпосылки!$E45),1,0)</f>
        <v>0</v>
      </c>
    </row>
    <row r="337" spans="2:65" ht="15" customHeight="1">
      <c r="B337" s="12" t="str">
        <f t="shared" si="115"/>
        <v>-</v>
      </c>
      <c s="124" t="s">
        <v>824</v>
      </c>
      <c s="124"/>
      <c s="124">
        <f>IF(E$10=IF(ISBLANK(Предпосылки!$E46),$E$10,Предпосылки!$E46),1,0)</f>
        <v>1</v>
      </c>
      <c s="124">
        <f>IF(F$10=IF(ISBLANK(Предпосылки!$E46),$E$10,Предпосылки!$E46),1,0)</f>
        <v>0</v>
      </c>
      <c s="124">
        <f>IF(G$10=IF(ISBLANK(Предпосылки!$E46),$E$10,Предпосылки!$E46),1,0)</f>
        <v>0</v>
      </c>
      <c s="124">
        <f>IF(H$10=IF(ISBLANK(Предпосылки!$E46),$E$10,Предпосылки!$E46),1,0)</f>
        <v>0</v>
      </c>
      <c s="124">
        <f>IF(I$10=IF(ISBLANK(Предпосылки!$E46),$E$10,Предпосылки!$E46),1,0)</f>
        <v>0</v>
      </c>
      <c s="124">
        <f>IF(J$10=IF(ISBLANK(Предпосылки!$E46),$E$10,Предпосылки!$E46),1,0)</f>
        <v>0</v>
      </c>
      <c s="124">
        <f>IF(K$10=IF(ISBLANK(Предпосылки!$E46),$E$10,Предпосылки!$E46),1,0)</f>
        <v>0</v>
      </c>
      <c s="124">
        <f>IF(L$10=IF(ISBLANK(Предпосылки!$E46),$E$10,Предпосылки!$E46),1,0)</f>
        <v>0</v>
      </c>
      <c s="124">
        <f>IF(M$10=IF(ISBLANK(Предпосылки!$E46),$E$10,Предпосылки!$E46),1,0)</f>
        <v>0</v>
      </c>
      <c s="124">
        <f>IF(N$10=IF(ISBLANK(Предпосылки!$E46),$E$10,Предпосылки!$E46),1,0)</f>
        <v>0</v>
      </c>
      <c s="124">
        <f>IF(O$10=IF(ISBLANK(Предпосылки!$E46),$E$10,Предпосылки!$E46),1,0)</f>
        <v>0</v>
      </c>
      <c s="124">
        <f>IF(P$10=IF(ISBLANK(Предпосылки!$E46),$E$10,Предпосылки!$E46),1,0)</f>
        <v>0</v>
      </c>
      <c s="124">
        <f>IF(Q$10=IF(ISBLANK(Предпосылки!$E46),$E$10,Предпосылки!$E46),1,0)</f>
        <v>0</v>
      </c>
      <c s="124">
        <f>IF(R$10=IF(ISBLANK(Предпосылки!$E46),$E$10,Предпосылки!$E46),1,0)</f>
        <v>0</v>
      </c>
      <c s="124">
        <f>IF(S$10=IF(ISBLANK(Предпосылки!$E46),$E$10,Предпосылки!$E46),1,0)</f>
        <v>0</v>
      </c>
      <c s="124">
        <f>IF(T$10=IF(ISBLANK(Предпосылки!$E46),$E$10,Предпосылки!$E46),1,0)</f>
        <v>0</v>
      </c>
      <c s="124">
        <f>IF(U$10=IF(ISBLANK(Предпосылки!$E46),$E$10,Предпосылки!$E46),1,0)</f>
        <v>0</v>
      </c>
      <c s="124">
        <f>IF(V$10=IF(ISBLANK(Предпосылки!$E46),$E$10,Предпосылки!$E46),1,0)</f>
        <v>0</v>
      </c>
      <c s="124">
        <f>IF(W$10=IF(ISBLANK(Предпосылки!$E46),$E$10,Предпосылки!$E46),1,0)</f>
        <v>0</v>
      </c>
      <c s="124">
        <f>IF(X$10=IF(ISBLANK(Предпосылки!$E46),$E$10,Предпосылки!$E46),1,0)</f>
        <v>0</v>
      </c>
      <c s="124">
        <f>IF(Y$10=IF(ISBLANK(Предпосылки!$E46),$E$10,Предпосылки!$E46),1,0)</f>
        <v>0</v>
      </c>
      <c s="124">
        <f>IF(Z$10=IF(ISBLANK(Предпосылки!$E46),$E$10,Предпосылки!$E46),1,0)</f>
        <v>0</v>
      </c>
      <c s="124">
        <f>IF(AA$10=IF(ISBLANK(Предпосылки!$E46),$E$10,Предпосылки!$E46),1,0)</f>
        <v>0</v>
      </c>
      <c s="124">
        <f>IF(AB$10=IF(ISBLANK(Предпосылки!$E46),$E$10,Предпосылки!$E46),1,0)</f>
        <v>0</v>
      </c>
      <c s="124">
        <f>IF(AC$10=IF(ISBLANK(Предпосылки!$E46),$E$10,Предпосылки!$E46),1,0)</f>
        <v>0</v>
      </c>
      <c s="124">
        <f>IF(AD$10=IF(ISBLANK(Предпосылки!$E46),$E$10,Предпосылки!$E46),1,0)</f>
        <v>0</v>
      </c>
      <c s="124">
        <f>IF(AE$10=IF(ISBLANK(Предпосылки!$E46),$E$10,Предпосылки!$E46),1,0)</f>
        <v>0</v>
      </c>
      <c s="124">
        <f>IF(AF$10=IF(ISBLANK(Предпосылки!$E46),$E$10,Предпосылки!$E46),1,0)</f>
        <v>0</v>
      </c>
      <c s="124">
        <f>IF(AG$10=IF(ISBLANK(Предпосылки!$E46),$E$10,Предпосылки!$E46),1,0)</f>
        <v>0</v>
      </c>
      <c s="124">
        <f>IF(AH$10=IF(ISBLANK(Предпосылки!$E46),$E$10,Предпосылки!$E46),1,0)</f>
        <v>0</v>
      </c>
      <c s="124">
        <f>IF(AI$10=IF(ISBLANK(Предпосылки!$E46),$E$10,Предпосылки!$E46),1,0)</f>
        <v>0</v>
      </c>
      <c s="124">
        <f>IF(AJ$10=IF(ISBLANK(Предпосылки!$E46),$E$10,Предпосылки!$E46),1,0)</f>
        <v>0</v>
      </c>
      <c s="124">
        <f>IF(AK$10=IF(ISBLANK(Предпосылки!$E46),$E$10,Предпосылки!$E46),1,0)</f>
        <v>0</v>
      </c>
      <c s="124">
        <f>IF(AL$10=IF(ISBLANK(Предпосылки!$E46),$E$10,Предпосылки!$E46),1,0)</f>
        <v>0</v>
      </c>
      <c s="124">
        <f>IF(AM$10=IF(ISBLANK(Предпосылки!$E46),$E$10,Предпосылки!$E46),1,0)</f>
        <v>0</v>
      </c>
      <c s="124">
        <f>IF(AN$10=IF(ISBLANK(Предпосылки!$E46),$E$10,Предпосылки!$E46),1,0)</f>
        <v>0</v>
      </c>
      <c s="124">
        <f>IF(AO$10=IF(ISBLANK(Предпосылки!$E46),$E$10,Предпосылки!$E46),1,0)</f>
        <v>0</v>
      </c>
      <c s="124">
        <f>IF(AP$10=IF(ISBLANK(Предпосылки!$E46),$E$10,Предпосылки!$E46),1,0)</f>
        <v>0</v>
      </c>
      <c s="124">
        <f>IF(AQ$10=IF(ISBLANK(Предпосылки!$E46),$E$10,Предпосылки!$E46),1,0)</f>
        <v>0</v>
      </c>
      <c s="124">
        <f>IF(AR$10=IF(ISBLANK(Предпосылки!$E46),$E$10,Предпосылки!$E46),1,0)</f>
        <v>0</v>
      </c>
      <c s="124">
        <f>IF(AS$10=IF(ISBLANK(Предпосылки!$E46),$E$10,Предпосылки!$E46),1,0)</f>
        <v>0</v>
      </c>
      <c s="124">
        <f>IF(AT$10=IF(ISBLANK(Предпосылки!$E46),$E$10,Предпосылки!$E46),1,0)</f>
        <v>0</v>
      </c>
      <c s="124">
        <f>IF(AU$10=IF(ISBLANK(Предпосылки!$E46),$E$10,Предпосылки!$E46),1,0)</f>
        <v>0</v>
      </c>
      <c s="124">
        <f>IF(AV$10=IF(ISBLANK(Предпосылки!$E46),$E$10,Предпосылки!$E46),1,0)</f>
        <v>0</v>
      </c>
      <c s="124">
        <f>IF(AW$10=IF(ISBLANK(Предпосылки!$E46),$E$10,Предпосылки!$E46),1,0)</f>
        <v>0</v>
      </c>
      <c s="124">
        <f>IF(AX$10=IF(ISBLANK(Предпосылки!$E46),$E$10,Предпосылки!$E46),1,0)</f>
        <v>0</v>
      </c>
      <c s="124">
        <f>IF(AY$10=IF(ISBLANK(Предпосылки!$E46),$E$10,Предпосылки!$E46),1,0)</f>
        <v>0</v>
      </c>
      <c s="124">
        <f>IF(AZ$10=IF(ISBLANK(Предпосылки!$E46),$E$10,Предпосылки!$E46),1,0)</f>
        <v>0</v>
      </c>
      <c s="124">
        <f>IF(BA$10=IF(ISBLANK(Предпосылки!$E46),$E$10,Предпосылки!$E46),1,0)</f>
        <v>0</v>
      </c>
      <c s="124">
        <f>IF(BB$10=IF(ISBLANK(Предпосылки!$E46),$E$10,Предпосылки!$E46),1,0)</f>
        <v>0</v>
      </c>
      <c s="124">
        <f>IF(BC$10=IF(ISBLANK(Предпосылки!$E46),$E$10,Предпосылки!$E46),1,0)</f>
        <v>0</v>
      </c>
      <c s="124">
        <f>IF(BD$10=IF(ISBLANK(Предпосылки!$E46),$E$10,Предпосылки!$E46),1,0)</f>
        <v>0</v>
      </c>
      <c s="124">
        <f>IF(BE$10=IF(ISBLANK(Предпосылки!$E46),$E$10,Предпосылки!$E46),1,0)</f>
        <v>0</v>
      </c>
      <c s="124">
        <f>IF(BF$10=IF(ISBLANK(Предпосылки!$E46),$E$10,Предпосылки!$E46),1,0)</f>
        <v>0</v>
      </c>
      <c s="124">
        <f>IF(BG$10=IF(ISBLANK(Предпосылки!$E46),$E$10,Предпосылки!$E46),1,0)</f>
        <v>0</v>
      </c>
      <c s="124">
        <f>IF(BH$10=IF(ISBLANK(Предпосылки!$E46),$E$10,Предпосылки!$E46),1,0)</f>
        <v>0</v>
      </c>
      <c s="124">
        <f>IF(BI$10=IF(ISBLANK(Предпосылки!$E46),$E$10,Предпосылки!$E46),1,0)</f>
        <v>0</v>
      </c>
      <c s="124">
        <f>IF(BJ$10=IF(ISBLANK(Предпосылки!$E46),$E$10,Предпосылки!$E46),1,0)</f>
        <v>0</v>
      </c>
      <c s="124">
        <f>IF(BK$10=IF(ISBLANK(Предпосылки!$E46),$E$10,Предпосылки!$E46),1,0)</f>
        <v>0</v>
      </c>
      <c s="124">
        <f>IF(BL$10=IF(ISBLANK(Предпосылки!$E46),$E$10,Предпосылки!$E46),1,0)</f>
        <v>0</v>
      </c>
      <c s="124">
        <f>IF(BM$10=IF(ISBLANK(Предпосылки!$E46),$E$10,Предпосылки!$E46),1,0)</f>
        <v>0</v>
      </c>
    </row>
    <row r="338" spans="2:65" ht="15" customHeight="1">
      <c r="B338" s="12" t="str">
        <f t="shared" si="115"/>
        <v>-</v>
      </c>
      <c s="124" t="s">
        <v>824</v>
      </c>
      <c s="124"/>
      <c s="124">
        <f>IF(E$10=IF(ISBLANK(Предпосылки!$E47),$E$10,Предпосылки!$E47),1,0)</f>
        <v>1</v>
      </c>
      <c s="124">
        <f>IF(F$10=IF(ISBLANK(Предпосылки!$E47),$E$10,Предпосылки!$E47),1,0)</f>
        <v>0</v>
      </c>
      <c s="124">
        <f>IF(G$10=IF(ISBLANK(Предпосылки!$E47),$E$10,Предпосылки!$E47),1,0)</f>
        <v>0</v>
      </c>
      <c s="124">
        <f>IF(H$10=IF(ISBLANK(Предпосылки!$E47),$E$10,Предпосылки!$E47),1,0)</f>
        <v>0</v>
      </c>
      <c s="124">
        <f>IF(I$10=IF(ISBLANK(Предпосылки!$E47),$E$10,Предпосылки!$E47),1,0)</f>
        <v>0</v>
      </c>
      <c s="124">
        <f>IF(J$10=IF(ISBLANK(Предпосылки!$E47),$E$10,Предпосылки!$E47),1,0)</f>
        <v>0</v>
      </c>
      <c s="124">
        <f>IF(K$10=IF(ISBLANK(Предпосылки!$E47),$E$10,Предпосылки!$E47),1,0)</f>
        <v>0</v>
      </c>
      <c s="124">
        <f>IF(L$10=IF(ISBLANK(Предпосылки!$E47),$E$10,Предпосылки!$E47),1,0)</f>
        <v>0</v>
      </c>
      <c s="124">
        <f>IF(M$10=IF(ISBLANK(Предпосылки!$E47),$E$10,Предпосылки!$E47),1,0)</f>
        <v>0</v>
      </c>
      <c s="124">
        <f>IF(N$10=IF(ISBLANK(Предпосылки!$E47),$E$10,Предпосылки!$E47),1,0)</f>
        <v>0</v>
      </c>
      <c s="124">
        <f>IF(O$10=IF(ISBLANK(Предпосылки!$E47),$E$10,Предпосылки!$E47),1,0)</f>
        <v>0</v>
      </c>
      <c s="124">
        <f>IF(P$10=IF(ISBLANK(Предпосылки!$E47),$E$10,Предпосылки!$E47),1,0)</f>
        <v>0</v>
      </c>
      <c s="124">
        <f>IF(Q$10=IF(ISBLANK(Предпосылки!$E47),$E$10,Предпосылки!$E47),1,0)</f>
        <v>0</v>
      </c>
      <c s="124">
        <f>IF(R$10=IF(ISBLANK(Предпосылки!$E47),$E$10,Предпосылки!$E47),1,0)</f>
        <v>0</v>
      </c>
      <c s="124">
        <f>IF(S$10=IF(ISBLANK(Предпосылки!$E47),$E$10,Предпосылки!$E47),1,0)</f>
        <v>0</v>
      </c>
      <c s="124">
        <f>IF(T$10=IF(ISBLANK(Предпосылки!$E47),$E$10,Предпосылки!$E47),1,0)</f>
        <v>0</v>
      </c>
      <c s="124">
        <f>IF(U$10=IF(ISBLANK(Предпосылки!$E47),$E$10,Предпосылки!$E47),1,0)</f>
        <v>0</v>
      </c>
      <c s="124">
        <f>IF(V$10=IF(ISBLANK(Предпосылки!$E47),$E$10,Предпосылки!$E47),1,0)</f>
        <v>0</v>
      </c>
      <c s="124">
        <f>IF(W$10=IF(ISBLANK(Предпосылки!$E47),$E$10,Предпосылки!$E47),1,0)</f>
        <v>0</v>
      </c>
      <c s="124">
        <f>IF(X$10=IF(ISBLANK(Предпосылки!$E47),$E$10,Предпосылки!$E47),1,0)</f>
        <v>0</v>
      </c>
      <c s="124">
        <f>IF(Y$10=IF(ISBLANK(Предпосылки!$E47),$E$10,Предпосылки!$E47),1,0)</f>
        <v>0</v>
      </c>
      <c s="124">
        <f>IF(Z$10=IF(ISBLANK(Предпосылки!$E47),$E$10,Предпосылки!$E47),1,0)</f>
        <v>0</v>
      </c>
      <c s="124">
        <f>IF(AA$10=IF(ISBLANK(Предпосылки!$E47),$E$10,Предпосылки!$E47),1,0)</f>
        <v>0</v>
      </c>
      <c s="124">
        <f>IF(AB$10=IF(ISBLANK(Предпосылки!$E47),$E$10,Предпосылки!$E47),1,0)</f>
        <v>0</v>
      </c>
      <c s="124">
        <f>IF(AC$10=IF(ISBLANK(Предпосылки!$E47),$E$10,Предпосылки!$E47),1,0)</f>
        <v>0</v>
      </c>
      <c s="124">
        <f>IF(AD$10=IF(ISBLANK(Предпосылки!$E47),$E$10,Предпосылки!$E47),1,0)</f>
        <v>0</v>
      </c>
      <c s="124">
        <f>IF(AE$10=IF(ISBLANK(Предпосылки!$E47),$E$10,Предпосылки!$E47),1,0)</f>
        <v>0</v>
      </c>
      <c s="124">
        <f>IF(AF$10=IF(ISBLANK(Предпосылки!$E47),$E$10,Предпосылки!$E47),1,0)</f>
        <v>0</v>
      </c>
      <c s="124">
        <f>IF(AG$10=IF(ISBLANK(Предпосылки!$E47),$E$10,Предпосылки!$E47),1,0)</f>
        <v>0</v>
      </c>
      <c s="124">
        <f>IF(AH$10=IF(ISBLANK(Предпосылки!$E47),$E$10,Предпосылки!$E47),1,0)</f>
        <v>0</v>
      </c>
      <c s="124">
        <f>IF(AI$10=IF(ISBLANK(Предпосылки!$E47),$E$10,Предпосылки!$E47),1,0)</f>
        <v>0</v>
      </c>
      <c s="124">
        <f>IF(AJ$10=IF(ISBLANK(Предпосылки!$E47),$E$10,Предпосылки!$E47),1,0)</f>
        <v>0</v>
      </c>
      <c s="124">
        <f>IF(AK$10=IF(ISBLANK(Предпосылки!$E47),$E$10,Предпосылки!$E47),1,0)</f>
        <v>0</v>
      </c>
      <c s="124">
        <f>IF(AL$10=IF(ISBLANK(Предпосылки!$E47),$E$10,Предпосылки!$E47),1,0)</f>
        <v>0</v>
      </c>
      <c s="124">
        <f>IF(AM$10=IF(ISBLANK(Предпосылки!$E47),$E$10,Предпосылки!$E47),1,0)</f>
        <v>0</v>
      </c>
      <c s="124">
        <f>IF(AN$10=IF(ISBLANK(Предпосылки!$E47),$E$10,Предпосылки!$E47),1,0)</f>
        <v>0</v>
      </c>
      <c s="124">
        <f>IF(AO$10=IF(ISBLANK(Предпосылки!$E47),$E$10,Предпосылки!$E47),1,0)</f>
        <v>0</v>
      </c>
      <c s="124">
        <f>IF(AP$10=IF(ISBLANK(Предпосылки!$E47),$E$10,Предпосылки!$E47),1,0)</f>
        <v>0</v>
      </c>
      <c s="124">
        <f>IF(AQ$10=IF(ISBLANK(Предпосылки!$E47),$E$10,Предпосылки!$E47),1,0)</f>
        <v>0</v>
      </c>
      <c s="124">
        <f>IF(AR$10=IF(ISBLANK(Предпосылки!$E47),$E$10,Предпосылки!$E47),1,0)</f>
        <v>0</v>
      </c>
      <c s="124">
        <f>IF(AS$10=IF(ISBLANK(Предпосылки!$E47),$E$10,Предпосылки!$E47),1,0)</f>
        <v>0</v>
      </c>
      <c s="124">
        <f>IF(AT$10=IF(ISBLANK(Предпосылки!$E47),$E$10,Предпосылки!$E47),1,0)</f>
        <v>0</v>
      </c>
      <c s="124">
        <f>IF(AU$10=IF(ISBLANK(Предпосылки!$E47),$E$10,Предпосылки!$E47),1,0)</f>
        <v>0</v>
      </c>
      <c s="124">
        <f>IF(AV$10=IF(ISBLANK(Предпосылки!$E47),$E$10,Предпосылки!$E47),1,0)</f>
        <v>0</v>
      </c>
      <c s="124">
        <f>IF(AW$10=IF(ISBLANK(Предпосылки!$E47),$E$10,Предпосылки!$E47),1,0)</f>
        <v>0</v>
      </c>
      <c s="124">
        <f>IF(AX$10=IF(ISBLANK(Предпосылки!$E47),$E$10,Предпосылки!$E47),1,0)</f>
        <v>0</v>
      </c>
      <c s="124">
        <f>IF(AY$10=IF(ISBLANK(Предпосылки!$E47),$E$10,Предпосылки!$E47),1,0)</f>
        <v>0</v>
      </c>
      <c s="124">
        <f>IF(AZ$10=IF(ISBLANK(Предпосылки!$E47),$E$10,Предпосылки!$E47),1,0)</f>
        <v>0</v>
      </c>
      <c s="124">
        <f>IF(BA$10=IF(ISBLANK(Предпосылки!$E47),$E$10,Предпосылки!$E47),1,0)</f>
        <v>0</v>
      </c>
      <c s="124">
        <f>IF(BB$10=IF(ISBLANK(Предпосылки!$E47),$E$10,Предпосылки!$E47),1,0)</f>
        <v>0</v>
      </c>
      <c s="124">
        <f>IF(BC$10=IF(ISBLANK(Предпосылки!$E47),$E$10,Предпосылки!$E47),1,0)</f>
        <v>0</v>
      </c>
      <c s="124">
        <f>IF(BD$10=IF(ISBLANK(Предпосылки!$E47),$E$10,Предпосылки!$E47),1,0)</f>
        <v>0</v>
      </c>
      <c s="124">
        <f>IF(BE$10=IF(ISBLANK(Предпосылки!$E47),$E$10,Предпосылки!$E47),1,0)</f>
        <v>0</v>
      </c>
      <c s="124">
        <f>IF(BF$10=IF(ISBLANK(Предпосылки!$E47),$E$10,Предпосылки!$E47),1,0)</f>
        <v>0</v>
      </c>
      <c s="124">
        <f>IF(BG$10=IF(ISBLANK(Предпосылки!$E47),$E$10,Предпосылки!$E47),1,0)</f>
        <v>0</v>
      </c>
      <c s="124">
        <f>IF(BH$10=IF(ISBLANK(Предпосылки!$E47),$E$10,Предпосылки!$E47),1,0)</f>
        <v>0</v>
      </c>
      <c s="124">
        <f>IF(BI$10=IF(ISBLANK(Предпосылки!$E47),$E$10,Предпосылки!$E47),1,0)</f>
        <v>0</v>
      </c>
      <c s="124">
        <f>IF(BJ$10=IF(ISBLANK(Предпосылки!$E47),$E$10,Предпосылки!$E47),1,0)</f>
        <v>0</v>
      </c>
      <c s="124">
        <f>IF(BK$10=IF(ISBLANK(Предпосылки!$E47),$E$10,Предпосылки!$E47),1,0)</f>
        <v>0</v>
      </c>
      <c s="124">
        <f>IF(BL$10=IF(ISBLANK(Предпосылки!$E47),$E$10,Предпосылки!$E47),1,0)</f>
        <v>0</v>
      </c>
      <c s="124">
        <f>IF(BM$10=IF(ISBLANK(Предпосылки!$E47),$E$10,Предпосылки!$E47),1,0)</f>
        <v>0</v>
      </c>
    </row>
    <row r="339" spans="2:65" ht="15" customHeight="1">
      <c r="B339" s="12" t="str">
        <f t="shared" si="115"/>
        <v>-</v>
      </c>
      <c s="124" t="s">
        <v>824</v>
      </c>
      <c s="124"/>
      <c s="124">
        <f>IF(E$10=IF(ISBLANK(Предпосылки!$E48),$E$10,Предпосылки!$E48),1,0)</f>
        <v>1</v>
      </c>
      <c s="124">
        <f>IF(F$10=IF(ISBLANK(Предпосылки!$E48),$E$10,Предпосылки!$E48),1,0)</f>
        <v>0</v>
      </c>
      <c s="124">
        <f>IF(G$10=IF(ISBLANK(Предпосылки!$E48),$E$10,Предпосылки!$E48),1,0)</f>
        <v>0</v>
      </c>
      <c s="124">
        <f>IF(H$10=IF(ISBLANK(Предпосылки!$E48),$E$10,Предпосылки!$E48),1,0)</f>
        <v>0</v>
      </c>
      <c s="124">
        <f>IF(I$10=IF(ISBLANK(Предпосылки!$E48),$E$10,Предпосылки!$E48),1,0)</f>
        <v>0</v>
      </c>
      <c s="124">
        <f>IF(J$10=IF(ISBLANK(Предпосылки!$E48),$E$10,Предпосылки!$E48),1,0)</f>
        <v>0</v>
      </c>
      <c s="124">
        <f>IF(K$10=IF(ISBLANK(Предпосылки!$E48),$E$10,Предпосылки!$E48),1,0)</f>
        <v>0</v>
      </c>
      <c s="124">
        <f>IF(L$10=IF(ISBLANK(Предпосылки!$E48),$E$10,Предпосылки!$E48),1,0)</f>
        <v>0</v>
      </c>
      <c s="124">
        <f>IF(M$10=IF(ISBLANK(Предпосылки!$E48),$E$10,Предпосылки!$E48),1,0)</f>
        <v>0</v>
      </c>
      <c s="124">
        <f>IF(N$10=IF(ISBLANK(Предпосылки!$E48),$E$10,Предпосылки!$E48),1,0)</f>
        <v>0</v>
      </c>
      <c s="124">
        <f>IF(O$10=IF(ISBLANK(Предпосылки!$E48),$E$10,Предпосылки!$E48),1,0)</f>
        <v>0</v>
      </c>
      <c s="124">
        <f>IF(P$10=IF(ISBLANK(Предпосылки!$E48),$E$10,Предпосылки!$E48),1,0)</f>
        <v>0</v>
      </c>
      <c s="124">
        <f>IF(Q$10=IF(ISBLANK(Предпосылки!$E48),$E$10,Предпосылки!$E48),1,0)</f>
        <v>0</v>
      </c>
      <c s="124">
        <f>IF(R$10=IF(ISBLANK(Предпосылки!$E48),$E$10,Предпосылки!$E48),1,0)</f>
        <v>0</v>
      </c>
      <c s="124">
        <f>IF(S$10=IF(ISBLANK(Предпосылки!$E48),$E$10,Предпосылки!$E48),1,0)</f>
        <v>0</v>
      </c>
      <c s="124">
        <f>IF(T$10=IF(ISBLANK(Предпосылки!$E48),$E$10,Предпосылки!$E48),1,0)</f>
        <v>0</v>
      </c>
      <c s="124">
        <f>IF(U$10=IF(ISBLANK(Предпосылки!$E48),$E$10,Предпосылки!$E48),1,0)</f>
        <v>0</v>
      </c>
      <c s="124">
        <f>IF(V$10=IF(ISBLANK(Предпосылки!$E48),$E$10,Предпосылки!$E48),1,0)</f>
        <v>0</v>
      </c>
      <c s="124">
        <f>IF(W$10=IF(ISBLANK(Предпосылки!$E48),$E$10,Предпосылки!$E48),1,0)</f>
        <v>0</v>
      </c>
      <c s="124">
        <f>IF(X$10=IF(ISBLANK(Предпосылки!$E48),$E$10,Предпосылки!$E48),1,0)</f>
        <v>0</v>
      </c>
      <c s="124">
        <f>IF(Y$10=IF(ISBLANK(Предпосылки!$E48),$E$10,Предпосылки!$E48),1,0)</f>
        <v>0</v>
      </c>
      <c s="124">
        <f>IF(Z$10=IF(ISBLANK(Предпосылки!$E48),$E$10,Предпосылки!$E48),1,0)</f>
        <v>0</v>
      </c>
      <c s="124">
        <f>IF(AA$10=IF(ISBLANK(Предпосылки!$E48),$E$10,Предпосылки!$E48),1,0)</f>
        <v>0</v>
      </c>
      <c s="124">
        <f>IF(AB$10=IF(ISBLANK(Предпосылки!$E48),$E$10,Предпосылки!$E48),1,0)</f>
        <v>0</v>
      </c>
      <c s="124">
        <f>IF(AC$10=IF(ISBLANK(Предпосылки!$E48),$E$10,Предпосылки!$E48),1,0)</f>
        <v>0</v>
      </c>
      <c s="124">
        <f>IF(AD$10=IF(ISBLANK(Предпосылки!$E48),$E$10,Предпосылки!$E48),1,0)</f>
        <v>0</v>
      </c>
      <c s="124">
        <f>IF(AE$10=IF(ISBLANK(Предпосылки!$E48),$E$10,Предпосылки!$E48),1,0)</f>
        <v>0</v>
      </c>
      <c s="124">
        <f>IF(AF$10=IF(ISBLANK(Предпосылки!$E48),$E$10,Предпосылки!$E48),1,0)</f>
        <v>0</v>
      </c>
      <c s="124">
        <f>IF(AG$10=IF(ISBLANK(Предпосылки!$E48),$E$10,Предпосылки!$E48),1,0)</f>
        <v>0</v>
      </c>
      <c s="124">
        <f>IF(AH$10=IF(ISBLANK(Предпосылки!$E48),$E$10,Предпосылки!$E48),1,0)</f>
        <v>0</v>
      </c>
      <c s="124">
        <f>IF(AI$10=IF(ISBLANK(Предпосылки!$E48),$E$10,Предпосылки!$E48),1,0)</f>
        <v>0</v>
      </c>
      <c s="124">
        <f>IF(AJ$10=IF(ISBLANK(Предпосылки!$E48),$E$10,Предпосылки!$E48),1,0)</f>
        <v>0</v>
      </c>
      <c s="124">
        <f>IF(AK$10=IF(ISBLANK(Предпосылки!$E48),$E$10,Предпосылки!$E48),1,0)</f>
        <v>0</v>
      </c>
      <c s="124">
        <f>IF(AL$10=IF(ISBLANK(Предпосылки!$E48),$E$10,Предпосылки!$E48),1,0)</f>
        <v>0</v>
      </c>
      <c s="124">
        <f>IF(AM$10=IF(ISBLANK(Предпосылки!$E48),$E$10,Предпосылки!$E48),1,0)</f>
        <v>0</v>
      </c>
      <c s="124">
        <f>IF(AN$10=IF(ISBLANK(Предпосылки!$E48),$E$10,Предпосылки!$E48),1,0)</f>
        <v>0</v>
      </c>
      <c s="124">
        <f>IF(AO$10=IF(ISBLANK(Предпосылки!$E48),$E$10,Предпосылки!$E48),1,0)</f>
        <v>0</v>
      </c>
      <c s="124">
        <f>IF(AP$10=IF(ISBLANK(Предпосылки!$E48),$E$10,Предпосылки!$E48),1,0)</f>
        <v>0</v>
      </c>
      <c s="124">
        <f>IF(AQ$10=IF(ISBLANK(Предпосылки!$E48),$E$10,Предпосылки!$E48),1,0)</f>
        <v>0</v>
      </c>
      <c s="124">
        <f>IF(AR$10=IF(ISBLANK(Предпосылки!$E48),$E$10,Предпосылки!$E48),1,0)</f>
        <v>0</v>
      </c>
      <c s="124">
        <f>IF(AS$10=IF(ISBLANK(Предпосылки!$E48),$E$10,Предпосылки!$E48),1,0)</f>
        <v>0</v>
      </c>
      <c s="124">
        <f>IF(AT$10=IF(ISBLANK(Предпосылки!$E48),$E$10,Предпосылки!$E48),1,0)</f>
        <v>0</v>
      </c>
      <c s="124">
        <f>IF(AU$10=IF(ISBLANK(Предпосылки!$E48),$E$10,Предпосылки!$E48),1,0)</f>
        <v>0</v>
      </c>
      <c s="124">
        <f>IF(AV$10=IF(ISBLANK(Предпосылки!$E48),$E$10,Предпосылки!$E48),1,0)</f>
        <v>0</v>
      </c>
      <c s="124">
        <f>IF(AW$10=IF(ISBLANK(Предпосылки!$E48),$E$10,Предпосылки!$E48),1,0)</f>
        <v>0</v>
      </c>
      <c s="124">
        <f>IF(AX$10=IF(ISBLANK(Предпосылки!$E48),$E$10,Предпосылки!$E48),1,0)</f>
        <v>0</v>
      </c>
      <c s="124">
        <f>IF(AY$10=IF(ISBLANK(Предпосылки!$E48),$E$10,Предпосылки!$E48),1,0)</f>
        <v>0</v>
      </c>
      <c s="124">
        <f>IF(AZ$10=IF(ISBLANK(Предпосылки!$E48),$E$10,Предпосылки!$E48),1,0)</f>
        <v>0</v>
      </c>
      <c s="124">
        <f>IF(BA$10=IF(ISBLANK(Предпосылки!$E48),$E$10,Предпосылки!$E48),1,0)</f>
        <v>0</v>
      </c>
      <c s="124">
        <f>IF(BB$10=IF(ISBLANK(Предпосылки!$E48),$E$10,Предпосылки!$E48),1,0)</f>
        <v>0</v>
      </c>
      <c s="124">
        <f>IF(BC$10=IF(ISBLANK(Предпосылки!$E48),$E$10,Предпосылки!$E48),1,0)</f>
        <v>0</v>
      </c>
      <c s="124">
        <f>IF(BD$10=IF(ISBLANK(Предпосылки!$E48),$E$10,Предпосылки!$E48),1,0)</f>
        <v>0</v>
      </c>
      <c s="124">
        <f>IF(BE$10=IF(ISBLANK(Предпосылки!$E48),$E$10,Предпосылки!$E48),1,0)</f>
        <v>0</v>
      </c>
      <c s="124">
        <f>IF(BF$10=IF(ISBLANK(Предпосылки!$E48),$E$10,Предпосылки!$E48),1,0)</f>
        <v>0</v>
      </c>
      <c s="124">
        <f>IF(BG$10=IF(ISBLANK(Предпосылки!$E48),$E$10,Предпосылки!$E48),1,0)</f>
        <v>0</v>
      </c>
      <c s="124">
        <f>IF(BH$10=IF(ISBLANK(Предпосылки!$E48),$E$10,Предпосылки!$E48),1,0)</f>
        <v>0</v>
      </c>
      <c s="124">
        <f>IF(BI$10=IF(ISBLANK(Предпосылки!$E48),$E$10,Предпосылки!$E48),1,0)</f>
        <v>0</v>
      </c>
      <c s="124">
        <f>IF(BJ$10=IF(ISBLANK(Предпосылки!$E48),$E$10,Предпосылки!$E48),1,0)</f>
        <v>0</v>
      </c>
      <c s="124">
        <f>IF(BK$10=IF(ISBLANK(Предпосылки!$E48),$E$10,Предпосылки!$E48),1,0)</f>
        <v>0</v>
      </c>
      <c s="124">
        <f>IF(BL$10=IF(ISBLANK(Предпосылки!$E48),$E$10,Предпосылки!$E48),1,0)</f>
        <v>0</v>
      </c>
      <c s="124">
        <f>IF(BM$10=IF(ISBLANK(Предпосылки!$E48),$E$10,Предпосылки!$E48),1,0)</f>
        <v>0</v>
      </c>
    </row>
    <row r="340" spans="2:65" ht="15" customHeight="1">
      <c r="B340" s="12" t="str">
        <f t="shared" si="115"/>
        <v>-</v>
      </c>
      <c s="124" t="s">
        <v>824</v>
      </c>
      <c s="124"/>
      <c s="124">
        <f>IF(E$10=IF(ISBLANK(Предпосылки!$E49),$E$10,Предпосылки!$E49),1,0)</f>
        <v>1</v>
      </c>
      <c s="124">
        <f>IF(F$10=IF(ISBLANK(Предпосылки!$E49),$E$10,Предпосылки!$E49),1,0)</f>
        <v>0</v>
      </c>
      <c s="124">
        <f>IF(G$10=IF(ISBLANK(Предпосылки!$E49),$E$10,Предпосылки!$E49),1,0)</f>
        <v>0</v>
      </c>
      <c s="124">
        <f>IF(H$10=IF(ISBLANK(Предпосылки!$E49),$E$10,Предпосылки!$E49),1,0)</f>
        <v>0</v>
      </c>
      <c s="124">
        <f>IF(I$10=IF(ISBLANK(Предпосылки!$E49),$E$10,Предпосылки!$E49),1,0)</f>
        <v>0</v>
      </c>
      <c s="124">
        <f>IF(J$10=IF(ISBLANK(Предпосылки!$E49),$E$10,Предпосылки!$E49),1,0)</f>
        <v>0</v>
      </c>
      <c s="124">
        <f>IF(K$10=IF(ISBLANK(Предпосылки!$E49),$E$10,Предпосылки!$E49),1,0)</f>
        <v>0</v>
      </c>
      <c s="124">
        <f>IF(L$10=IF(ISBLANK(Предпосылки!$E49),$E$10,Предпосылки!$E49),1,0)</f>
        <v>0</v>
      </c>
      <c s="124">
        <f>IF(M$10=IF(ISBLANK(Предпосылки!$E49),$E$10,Предпосылки!$E49),1,0)</f>
        <v>0</v>
      </c>
      <c s="124">
        <f>IF(N$10=IF(ISBLANK(Предпосылки!$E49),$E$10,Предпосылки!$E49),1,0)</f>
        <v>0</v>
      </c>
      <c s="124">
        <f>IF(O$10=IF(ISBLANK(Предпосылки!$E49),$E$10,Предпосылки!$E49),1,0)</f>
        <v>0</v>
      </c>
      <c s="124">
        <f>IF(P$10=IF(ISBLANK(Предпосылки!$E49),$E$10,Предпосылки!$E49),1,0)</f>
        <v>0</v>
      </c>
      <c s="124">
        <f>IF(Q$10=IF(ISBLANK(Предпосылки!$E49),$E$10,Предпосылки!$E49),1,0)</f>
        <v>0</v>
      </c>
      <c s="124">
        <f>IF(R$10=IF(ISBLANK(Предпосылки!$E49),$E$10,Предпосылки!$E49),1,0)</f>
        <v>0</v>
      </c>
      <c s="124">
        <f>IF(S$10=IF(ISBLANK(Предпосылки!$E49),$E$10,Предпосылки!$E49),1,0)</f>
        <v>0</v>
      </c>
      <c s="124">
        <f>IF(T$10=IF(ISBLANK(Предпосылки!$E49),$E$10,Предпосылки!$E49),1,0)</f>
        <v>0</v>
      </c>
      <c s="124">
        <f>IF(U$10=IF(ISBLANK(Предпосылки!$E49),$E$10,Предпосылки!$E49),1,0)</f>
        <v>0</v>
      </c>
      <c s="124">
        <f>IF(V$10=IF(ISBLANK(Предпосылки!$E49),$E$10,Предпосылки!$E49),1,0)</f>
        <v>0</v>
      </c>
      <c s="124">
        <f>IF(W$10=IF(ISBLANK(Предпосылки!$E49),$E$10,Предпосылки!$E49),1,0)</f>
        <v>0</v>
      </c>
      <c s="124">
        <f>IF(X$10=IF(ISBLANK(Предпосылки!$E49),$E$10,Предпосылки!$E49),1,0)</f>
        <v>0</v>
      </c>
      <c s="124">
        <f>IF(Y$10=IF(ISBLANK(Предпосылки!$E49),$E$10,Предпосылки!$E49),1,0)</f>
        <v>0</v>
      </c>
      <c s="124">
        <f>IF(Z$10=IF(ISBLANK(Предпосылки!$E49),$E$10,Предпосылки!$E49),1,0)</f>
        <v>0</v>
      </c>
      <c s="124">
        <f>IF(AA$10=IF(ISBLANK(Предпосылки!$E49),$E$10,Предпосылки!$E49),1,0)</f>
        <v>0</v>
      </c>
      <c s="124">
        <f>IF(AB$10=IF(ISBLANK(Предпосылки!$E49),$E$10,Предпосылки!$E49),1,0)</f>
        <v>0</v>
      </c>
      <c s="124">
        <f>IF(AC$10=IF(ISBLANK(Предпосылки!$E49),$E$10,Предпосылки!$E49),1,0)</f>
        <v>0</v>
      </c>
      <c s="124">
        <f>IF(AD$10=IF(ISBLANK(Предпосылки!$E49),$E$10,Предпосылки!$E49),1,0)</f>
        <v>0</v>
      </c>
      <c s="124">
        <f>IF(AE$10=IF(ISBLANK(Предпосылки!$E49),$E$10,Предпосылки!$E49),1,0)</f>
        <v>0</v>
      </c>
      <c s="124">
        <f>IF(AF$10=IF(ISBLANK(Предпосылки!$E49),$E$10,Предпосылки!$E49),1,0)</f>
        <v>0</v>
      </c>
      <c s="124">
        <f>IF(AG$10=IF(ISBLANK(Предпосылки!$E49),$E$10,Предпосылки!$E49),1,0)</f>
        <v>0</v>
      </c>
      <c s="124">
        <f>IF(AH$10=IF(ISBLANK(Предпосылки!$E49),$E$10,Предпосылки!$E49),1,0)</f>
        <v>0</v>
      </c>
      <c s="124">
        <f>IF(AI$10=IF(ISBLANK(Предпосылки!$E49),$E$10,Предпосылки!$E49),1,0)</f>
        <v>0</v>
      </c>
      <c s="124">
        <f>IF(AJ$10=IF(ISBLANK(Предпосылки!$E49),$E$10,Предпосылки!$E49),1,0)</f>
        <v>0</v>
      </c>
      <c s="124">
        <f>IF(AK$10=IF(ISBLANK(Предпосылки!$E49),$E$10,Предпосылки!$E49),1,0)</f>
        <v>0</v>
      </c>
      <c s="124">
        <f>IF(AL$10=IF(ISBLANK(Предпосылки!$E49),$E$10,Предпосылки!$E49),1,0)</f>
        <v>0</v>
      </c>
      <c s="124">
        <f>IF(AM$10=IF(ISBLANK(Предпосылки!$E49),$E$10,Предпосылки!$E49),1,0)</f>
        <v>0</v>
      </c>
      <c s="124">
        <f>IF(AN$10=IF(ISBLANK(Предпосылки!$E49),$E$10,Предпосылки!$E49),1,0)</f>
        <v>0</v>
      </c>
      <c s="124">
        <f>IF(AO$10=IF(ISBLANK(Предпосылки!$E49),$E$10,Предпосылки!$E49),1,0)</f>
        <v>0</v>
      </c>
      <c s="124">
        <f>IF(AP$10=IF(ISBLANK(Предпосылки!$E49),$E$10,Предпосылки!$E49),1,0)</f>
        <v>0</v>
      </c>
      <c s="124">
        <f>IF(AQ$10=IF(ISBLANK(Предпосылки!$E49),$E$10,Предпосылки!$E49),1,0)</f>
        <v>0</v>
      </c>
      <c s="124">
        <f>IF(AR$10=IF(ISBLANK(Предпосылки!$E49),$E$10,Предпосылки!$E49),1,0)</f>
        <v>0</v>
      </c>
      <c s="124">
        <f>IF(AS$10=IF(ISBLANK(Предпосылки!$E49),$E$10,Предпосылки!$E49),1,0)</f>
        <v>0</v>
      </c>
      <c s="124">
        <f>IF(AT$10=IF(ISBLANK(Предпосылки!$E49),$E$10,Предпосылки!$E49),1,0)</f>
        <v>0</v>
      </c>
      <c s="124">
        <f>IF(AU$10=IF(ISBLANK(Предпосылки!$E49),$E$10,Предпосылки!$E49),1,0)</f>
        <v>0</v>
      </c>
      <c s="124">
        <f>IF(AV$10=IF(ISBLANK(Предпосылки!$E49),$E$10,Предпосылки!$E49),1,0)</f>
        <v>0</v>
      </c>
      <c s="124">
        <f>IF(AW$10=IF(ISBLANK(Предпосылки!$E49),$E$10,Предпосылки!$E49),1,0)</f>
        <v>0</v>
      </c>
      <c s="124">
        <f>IF(AX$10=IF(ISBLANK(Предпосылки!$E49),$E$10,Предпосылки!$E49),1,0)</f>
        <v>0</v>
      </c>
      <c s="124">
        <f>IF(AY$10=IF(ISBLANK(Предпосылки!$E49),$E$10,Предпосылки!$E49),1,0)</f>
        <v>0</v>
      </c>
      <c s="124">
        <f>IF(AZ$10=IF(ISBLANK(Предпосылки!$E49),$E$10,Предпосылки!$E49),1,0)</f>
        <v>0</v>
      </c>
      <c s="124">
        <f>IF(BA$10=IF(ISBLANK(Предпосылки!$E49),$E$10,Предпосылки!$E49),1,0)</f>
        <v>0</v>
      </c>
      <c s="124">
        <f>IF(BB$10=IF(ISBLANK(Предпосылки!$E49),$E$10,Предпосылки!$E49),1,0)</f>
        <v>0</v>
      </c>
      <c s="124">
        <f>IF(BC$10=IF(ISBLANK(Предпосылки!$E49),$E$10,Предпосылки!$E49),1,0)</f>
        <v>0</v>
      </c>
      <c s="124">
        <f>IF(BD$10=IF(ISBLANK(Предпосылки!$E49),$E$10,Предпосылки!$E49),1,0)</f>
        <v>0</v>
      </c>
      <c s="124">
        <f>IF(BE$10=IF(ISBLANK(Предпосылки!$E49),$E$10,Предпосылки!$E49),1,0)</f>
        <v>0</v>
      </c>
      <c s="124">
        <f>IF(BF$10=IF(ISBLANK(Предпосылки!$E49),$E$10,Предпосылки!$E49),1,0)</f>
        <v>0</v>
      </c>
      <c s="124">
        <f>IF(BG$10=IF(ISBLANK(Предпосылки!$E49),$E$10,Предпосылки!$E49),1,0)</f>
        <v>0</v>
      </c>
      <c s="124">
        <f>IF(BH$10=IF(ISBLANK(Предпосылки!$E49),$E$10,Предпосылки!$E49),1,0)</f>
        <v>0</v>
      </c>
      <c s="124">
        <f>IF(BI$10=IF(ISBLANK(Предпосылки!$E49),$E$10,Предпосылки!$E49),1,0)</f>
        <v>0</v>
      </c>
      <c s="124">
        <f>IF(BJ$10=IF(ISBLANK(Предпосылки!$E49),$E$10,Предпосылки!$E49),1,0)</f>
        <v>0</v>
      </c>
      <c s="124">
        <f>IF(BK$10=IF(ISBLANK(Предпосылки!$E49),$E$10,Предпосылки!$E49),1,0)</f>
        <v>0</v>
      </c>
      <c s="124">
        <f>IF(BL$10=IF(ISBLANK(Предпосылки!$E49),$E$10,Предпосылки!$E49),1,0)</f>
        <v>0</v>
      </c>
      <c s="124">
        <f>IF(BM$10=IF(ISBLANK(Предпосылки!$E49),$E$10,Предпосылки!$E49),1,0)</f>
        <v>0</v>
      </c>
    </row>
    <row r="341" spans="2:65" ht="15" customHeight="1">
      <c r="B341" s="12" t="str">
        <f t="shared" si="115"/>
        <v>-</v>
      </c>
      <c s="124" t="s">
        <v>824</v>
      </c>
      <c s="124"/>
      <c s="124">
        <f>IF(E$10=IF(ISBLANK(Предпосылки!$E50),$E$10,Предпосылки!$E50),1,0)</f>
        <v>1</v>
      </c>
      <c s="124">
        <f>IF(F$10=IF(ISBLANK(Предпосылки!$E50),$E$10,Предпосылки!$E50),1,0)</f>
        <v>0</v>
      </c>
      <c s="124">
        <f>IF(G$10=IF(ISBLANK(Предпосылки!$E50),$E$10,Предпосылки!$E50),1,0)</f>
        <v>0</v>
      </c>
      <c s="124">
        <f>IF(H$10=IF(ISBLANK(Предпосылки!$E50),$E$10,Предпосылки!$E50),1,0)</f>
        <v>0</v>
      </c>
      <c s="124">
        <f>IF(I$10=IF(ISBLANK(Предпосылки!$E50),$E$10,Предпосылки!$E50),1,0)</f>
        <v>0</v>
      </c>
      <c s="124">
        <f>IF(J$10=IF(ISBLANK(Предпосылки!$E50),$E$10,Предпосылки!$E50),1,0)</f>
        <v>0</v>
      </c>
      <c s="124">
        <f>IF(K$10=IF(ISBLANK(Предпосылки!$E50),$E$10,Предпосылки!$E50),1,0)</f>
        <v>0</v>
      </c>
      <c s="124">
        <f>IF(L$10=IF(ISBLANK(Предпосылки!$E50),$E$10,Предпосылки!$E50),1,0)</f>
        <v>0</v>
      </c>
      <c s="124">
        <f>IF(M$10=IF(ISBLANK(Предпосылки!$E50),$E$10,Предпосылки!$E50),1,0)</f>
        <v>0</v>
      </c>
      <c s="124">
        <f>IF(N$10=IF(ISBLANK(Предпосылки!$E50),$E$10,Предпосылки!$E50),1,0)</f>
        <v>0</v>
      </c>
      <c s="124">
        <f>IF(O$10=IF(ISBLANK(Предпосылки!$E50),$E$10,Предпосылки!$E50),1,0)</f>
        <v>0</v>
      </c>
      <c s="124">
        <f>IF(P$10=IF(ISBLANK(Предпосылки!$E50),$E$10,Предпосылки!$E50),1,0)</f>
        <v>0</v>
      </c>
      <c s="124">
        <f>IF(Q$10=IF(ISBLANK(Предпосылки!$E50),$E$10,Предпосылки!$E50),1,0)</f>
        <v>0</v>
      </c>
      <c s="124">
        <f>IF(R$10=IF(ISBLANK(Предпосылки!$E50),$E$10,Предпосылки!$E50),1,0)</f>
        <v>0</v>
      </c>
      <c s="124">
        <f>IF(S$10=IF(ISBLANK(Предпосылки!$E50),$E$10,Предпосылки!$E50),1,0)</f>
        <v>0</v>
      </c>
      <c s="124">
        <f>IF(T$10=IF(ISBLANK(Предпосылки!$E50),$E$10,Предпосылки!$E50),1,0)</f>
        <v>0</v>
      </c>
      <c s="124">
        <f>IF(U$10=IF(ISBLANK(Предпосылки!$E50),$E$10,Предпосылки!$E50),1,0)</f>
        <v>0</v>
      </c>
      <c s="124">
        <f>IF(V$10=IF(ISBLANK(Предпосылки!$E50),$E$10,Предпосылки!$E50),1,0)</f>
        <v>0</v>
      </c>
      <c s="124">
        <f>IF(W$10=IF(ISBLANK(Предпосылки!$E50),$E$10,Предпосылки!$E50),1,0)</f>
        <v>0</v>
      </c>
      <c s="124">
        <f>IF(X$10=IF(ISBLANK(Предпосылки!$E50),$E$10,Предпосылки!$E50),1,0)</f>
        <v>0</v>
      </c>
      <c s="124">
        <f>IF(Y$10=IF(ISBLANK(Предпосылки!$E50),$E$10,Предпосылки!$E50),1,0)</f>
        <v>0</v>
      </c>
      <c s="124">
        <f>IF(Z$10=IF(ISBLANK(Предпосылки!$E50),$E$10,Предпосылки!$E50),1,0)</f>
        <v>0</v>
      </c>
      <c s="124">
        <f>IF(AA$10=IF(ISBLANK(Предпосылки!$E50),$E$10,Предпосылки!$E50),1,0)</f>
        <v>0</v>
      </c>
      <c s="124">
        <f>IF(AB$10=IF(ISBLANK(Предпосылки!$E50),$E$10,Предпосылки!$E50),1,0)</f>
        <v>0</v>
      </c>
      <c s="124">
        <f>IF(AC$10=IF(ISBLANK(Предпосылки!$E50),$E$10,Предпосылки!$E50),1,0)</f>
        <v>0</v>
      </c>
      <c s="124">
        <f>IF(AD$10=IF(ISBLANK(Предпосылки!$E50),$E$10,Предпосылки!$E50),1,0)</f>
        <v>0</v>
      </c>
      <c s="124">
        <f>IF(AE$10=IF(ISBLANK(Предпосылки!$E50),$E$10,Предпосылки!$E50),1,0)</f>
        <v>0</v>
      </c>
      <c s="124">
        <f>IF(AF$10=IF(ISBLANK(Предпосылки!$E50),$E$10,Предпосылки!$E50),1,0)</f>
        <v>0</v>
      </c>
      <c s="124">
        <f>IF(AG$10=IF(ISBLANK(Предпосылки!$E50),$E$10,Предпосылки!$E50),1,0)</f>
        <v>0</v>
      </c>
      <c s="124">
        <f>IF(AH$10=IF(ISBLANK(Предпосылки!$E50),$E$10,Предпосылки!$E50),1,0)</f>
        <v>0</v>
      </c>
      <c s="124">
        <f>IF(AI$10=IF(ISBLANK(Предпосылки!$E50),$E$10,Предпосылки!$E50),1,0)</f>
        <v>0</v>
      </c>
      <c s="124">
        <f>IF(AJ$10=IF(ISBLANK(Предпосылки!$E50),$E$10,Предпосылки!$E50),1,0)</f>
        <v>0</v>
      </c>
      <c s="124">
        <f>IF(AK$10=IF(ISBLANK(Предпосылки!$E50),$E$10,Предпосылки!$E50),1,0)</f>
        <v>0</v>
      </c>
      <c s="124">
        <f>IF(AL$10=IF(ISBLANK(Предпосылки!$E50),$E$10,Предпосылки!$E50),1,0)</f>
        <v>0</v>
      </c>
      <c s="124">
        <f>IF(AM$10=IF(ISBLANK(Предпосылки!$E50),$E$10,Предпосылки!$E50),1,0)</f>
        <v>0</v>
      </c>
      <c s="124">
        <f>IF(AN$10=IF(ISBLANK(Предпосылки!$E50),$E$10,Предпосылки!$E50),1,0)</f>
        <v>0</v>
      </c>
      <c s="124">
        <f>IF(AO$10=IF(ISBLANK(Предпосылки!$E50),$E$10,Предпосылки!$E50),1,0)</f>
        <v>0</v>
      </c>
      <c s="124">
        <f>IF(AP$10=IF(ISBLANK(Предпосылки!$E50),$E$10,Предпосылки!$E50),1,0)</f>
        <v>0</v>
      </c>
      <c s="124">
        <f>IF(AQ$10=IF(ISBLANK(Предпосылки!$E50),$E$10,Предпосылки!$E50),1,0)</f>
        <v>0</v>
      </c>
      <c s="124">
        <f>IF(AR$10=IF(ISBLANK(Предпосылки!$E50),$E$10,Предпосылки!$E50),1,0)</f>
        <v>0</v>
      </c>
      <c s="124">
        <f>IF(AS$10=IF(ISBLANK(Предпосылки!$E50),$E$10,Предпосылки!$E50),1,0)</f>
        <v>0</v>
      </c>
      <c s="124">
        <f>IF(AT$10=IF(ISBLANK(Предпосылки!$E50),$E$10,Предпосылки!$E50),1,0)</f>
        <v>0</v>
      </c>
      <c s="124">
        <f>IF(AU$10=IF(ISBLANK(Предпосылки!$E50),$E$10,Предпосылки!$E50),1,0)</f>
        <v>0</v>
      </c>
      <c s="124">
        <f>IF(AV$10=IF(ISBLANK(Предпосылки!$E50),$E$10,Предпосылки!$E50),1,0)</f>
        <v>0</v>
      </c>
      <c s="124">
        <f>IF(AW$10=IF(ISBLANK(Предпосылки!$E50),$E$10,Предпосылки!$E50),1,0)</f>
        <v>0</v>
      </c>
      <c s="124">
        <f>IF(AX$10=IF(ISBLANK(Предпосылки!$E50),$E$10,Предпосылки!$E50),1,0)</f>
        <v>0</v>
      </c>
      <c s="124">
        <f>IF(AY$10=IF(ISBLANK(Предпосылки!$E50),$E$10,Предпосылки!$E50),1,0)</f>
        <v>0</v>
      </c>
      <c s="124">
        <f>IF(AZ$10=IF(ISBLANK(Предпосылки!$E50),$E$10,Предпосылки!$E50),1,0)</f>
        <v>0</v>
      </c>
      <c s="124">
        <f>IF(BA$10=IF(ISBLANK(Предпосылки!$E50),$E$10,Предпосылки!$E50),1,0)</f>
        <v>0</v>
      </c>
      <c s="124">
        <f>IF(BB$10=IF(ISBLANK(Предпосылки!$E50),$E$10,Предпосылки!$E50),1,0)</f>
        <v>0</v>
      </c>
      <c s="124">
        <f>IF(BC$10=IF(ISBLANK(Предпосылки!$E50),$E$10,Предпосылки!$E50),1,0)</f>
        <v>0</v>
      </c>
      <c s="124">
        <f>IF(BD$10=IF(ISBLANK(Предпосылки!$E50),$E$10,Предпосылки!$E50),1,0)</f>
        <v>0</v>
      </c>
      <c s="124">
        <f>IF(BE$10=IF(ISBLANK(Предпосылки!$E50),$E$10,Предпосылки!$E50),1,0)</f>
        <v>0</v>
      </c>
      <c s="124">
        <f>IF(BF$10=IF(ISBLANK(Предпосылки!$E50),$E$10,Предпосылки!$E50),1,0)</f>
        <v>0</v>
      </c>
      <c s="124">
        <f>IF(BG$10=IF(ISBLANK(Предпосылки!$E50),$E$10,Предпосылки!$E50),1,0)</f>
        <v>0</v>
      </c>
      <c s="124">
        <f>IF(BH$10=IF(ISBLANK(Предпосылки!$E50),$E$10,Предпосылки!$E50),1,0)</f>
        <v>0</v>
      </c>
      <c s="124">
        <f>IF(BI$10=IF(ISBLANK(Предпосылки!$E50),$E$10,Предпосылки!$E50),1,0)</f>
        <v>0</v>
      </c>
      <c s="124">
        <f>IF(BJ$10=IF(ISBLANK(Предпосылки!$E50),$E$10,Предпосылки!$E50),1,0)</f>
        <v>0</v>
      </c>
      <c s="124">
        <f>IF(BK$10=IF(ISBLANK(Предпосылки!$E50),$E$10,Предпосылки!$E50),1,0)</f>
        <v>0</v>
      </c>
      <c s="124">
        <f>IF(BL$10=IF(ISBLANK(Предпосылки!$E50),$E$10,Предпосылки!$E50),1,0)</f>
        <v>0</v>
      </c>
      <c s="124">
        <f>IF(BM$10=IF(ISBLANK(Предпосылки!$E50),$E$10,Предпосылки!$E50),1,0)</f>
        <v>0</v>
      </c>
    </row>
    <row r="342" spans="2:65" ht="15" customHeight="1">
      <c r="B342" s="12" t="str">
        <f t="shared" si="115"/>
        <v>-</v>
      </c>
      <c s="124" t="s">
        <v>824</v>
      </c>
      <c s="124"/>
      <c s="124">
        <f>IF(E$10=IF(ISBLANK(Предпосылки!$E51),$E$10,Предпосылки!$E51),1,0)</f>
        <v>1</v>
      </c>
      <c s="124">
        <f>IF(F$10=IF(ISBLANK(Предпосылки!$E51),$E$10,Предпосылки!$E51),1,0)</f>
        <v>0</v>
      </c>
      <c s="124">
        <f>IF(G$10=IF(ISBLANK(Предпосылки!$E51),$E$10,Предпосылки!$E51),1,0)</f>
        <v>0</v>
      </c>
      <c s="124">
        <f>IF(H$10=IF(ISBLANK(Предпосылки!$E51),$E$10,Предпосылки!$E51),1,0)</f>
        <v>0</v>
      </c>
      <c s="124">
        <f>IF(I$10=IF(ISBLANK(Предпосылки!$E51),$E$10,Предпосылки!$E51),1,0)</f>
        <v>0</v>
      </c>
      <c s="124">
        <f>IF(J$10=IF(ISBLANK(Предпосылки!$E51),$E$10,Предпосылки!$E51),1,0)</f>
        <v>0</v>
      </c>
      <c s="124">
        <f>IF(K$10=IF(ISBLANK(Предпосылки!$E51),$E$10,Предпосылки!$E51),1,0)</f>
        <v>0</v>
      </c>
      <c s="124">
        <f>IF(L$10=IF(ISBLANK(Предпосылки!$E51),$E$10,Предпосылки!$E51),1,0)</f>
        <v>0</v>
      </c>
      <c s="124">
        <f>IF(M$10=IF(ISBLANK(Предпосылки!$E51),$E$10,Предпосылки!$E51),1,0)</f>
        <v>0</v>
      </c>
      <c s="124">
        <f>IF(N$10=IF(ISBLANK(Предпосылки!$E51),$E$10,Предпосылки!$E51),1,0)</f>
        <v>0</v>
      </c>
      <c s="124">
        <f>IF(O$10=IF(ISBLANK(Предпосылки!$E51),$E$10,Предпосылки!$E51),1,0)</f>
        <v>0</v>
      </c>
      <c s="124">
        <f>IF(P$10=IF(ISBLANK(Предпосылки!$E51),$E$10,Предпосылки!$E51),1,0)</f>
        <v>0</v>
      </c>
      <c s="124">
        <f>IF(Q$10=IF(ISBLANK(Предпосылки!$E51),$E$10,Предпосылки!$E51),1,0)</f>
        <v>0</v>
      </c>
      <c s="124">
        <f>IF(R$10=IF(ISBLANK(Предпосылки!$E51),$E$10,Предпосылки!$E51),1,0)</f>
        <v>0</v>
      </c>
      <c s="124">
        <f>IF(S$10=IF(ISBLANK(Предпосылки!$E51),$E$10,Предпосылки!$E51),1,0)</f>
        <v>0</v>
      </c>
      <c s="124">
        <f>IF(T$10=IF(ISBLANK(Предпосылки!$E51),$E$10,Предпосылки!$E51),1,0)</f>
        <v>0</v>
      </c>
      <c s="124">
        <f>IF(U$10=IF(ISBLANK(Предпосылки!$E51),$E$10,Предпосылки!$E51),1,0)</f>
        <v>0</v>
      </c>
      <c s="124">
        <f>IF(V$10=IF(ISBLANK(Предпосылки!$E51),$E$10,Предпосылки!$E51),1,0)</f>
        <v>0</v>
      </c>
      <c s="124">
        <f>IF(W$10=IF(ISBLANK(Предпосылки!$E51),$E$10,Предпосылки!$E51),1,0)</f>
        <v>0</v>
      </c>
      <c s="124">
        <f>IF(X$10=IF(ISBLANK(Предпосылки!$E51),$E$10,Предпосылки!$E51),1,0)</f>
        <v>0</v>
      </c>
      <c s="124">
        <f>IF(Y$10=IF(ISBLANK(Предпосылки!$E51),$E$10,Предпосылки!$E51),1,0)</f>
        <v>0</v>
      </c>
      <c s="124">
        <f>IF(Z$10=IF(ISBLANK(Предпосылки!$E51),$E$10,Предпосылки!$E51),1,0)</f>
        <v>0</v>
      </c>
      <c s="124">
        <f>IF(AA$10=IF(ISBLANK(Предпосылки!$E51),$E$10,Предпосылки!$E51),1,0)</f>
        <v>0</v>
      </c>
      <c s="124">
        <f>IF(AB$10=IF(ISBLANK(Предпосылки!$E51),$E$10,Предпосылки!$E51),1,0)</f>
        <v>0</v>
      </c>
      <c s="124">
        <f>IF(AC$10=IF(ISBLANK(Предпосылки!$E51),$E$10,Предпосылки!$E51),1,0)</f>
        <v>0</v>
      </c>
      <c s="124">
        <f>IF(AD$10=IF(ISBLANK(Предпосылки!$E51),$E$10,Предпосылки!$E51),1,0)</f>
        <v>0</v>
      </c>
      <c s="124">
        <f>IF(AE$10=IF(ISBLANK(Предпосылки!$E51),$E$10,Предпосылки!$E51),1,0)</f>
        <v>0</v>
      </c>
      <c s="124">
        <f>IF(AF$10=IF(ISBLANK(Предпосылки!$E51),$E$10,Предпосылки!$E51),1,0)</f>
        <v>0</v>
      </c>
      <c s="124">
        <f>IF(AG$10=IF(ISBLANK(Предпосылки!$E51),$E$10,Предпосылки!$E51),1,0)</f>
        <v>0</v>
      </c>
      <c s="124">
        <f>IF(AH$10=IF(ISBLANK(Предпосылки!$E51),$E$10,Предпосылки!$E51),1,0)</f>
        <v>0</v>
      </c>
      <c s="124">
        <f>IF(AI$10=IF(ISBLANK(Предпосылки!$E51),$E$10,Предпосылки!$E51),1,0)</f>
        <v>0</v>
      </c>
      <c s="124">
        <f>IF(AJ$10=IF(ISBLANK(Предпосылки!$E51),$E$10,Предпосылки!$E51),1,0)</f>
        <v>0</v>
      </c>
      <c s="124">
        <f>IF(AK$10=IF(ISBLANK(Предпосылки!$E51),$E$10,Предпосылки!$E51),1,0)</f>
        <v>0</v>
      </c>
      <c s="124">
        <f>IF(AL$10=IF(ISBLANK(Предпосылки!$E51),$E$10,Предпосылки!$E51),1,0)</f>
        <v>0</v>
      </c>
      <c s="124">
        <f>IF(AM$10=IF(ISBLANK(Предпосылки!$E51),$E$10,Предпосылки!$E51),1,0)</f>
        <v>0</v>
      </c>
      <c s="124">
        <f>IF(AN$10=IF(ISBLANK(Предпосылки!$E51),$E$10,Предпосылки!$E51),1,0)</f>
        <v>0</v>
      </c>
      <c s="124">
        <f>IF(AO$10=IF(ISBLANK(Предпосылки!$E51),$E$10,Предпосылки!$E51),1,0)</f>
        <v>0</v>
      </c>
      <c s="124">
        <f>IF(AP$10=IF(ISBLANK(Предпосылки!$E51),$E$10,Предпосылки!$E51),1,0)</f>
        <v>0</v>
      </c>
      <c s="124">
        <f>IF(AQ$10=IF(ISBLANK(Предпосылки!$E51),$E$10,Предпосылки!$E51),1,0)</f>
        <v>0</v>
      </c>
      <c s="124">
        <f>IF(AR$10=IF(ISBLANK(Предпосылки!$E51),$E$10,Предпосылки!$E51),1,0)</f>
        <v>0</v>
      </c>
      <c s="124">
        <f>IF(AS$10=IF(ISBLANK(Предпосылки!$E51),$E$10,Предпосылки!$E51),1,0)</f>
        <v>0</v>
      </c>
      <c s="124">
        <f>IF(AT$10=IF(ISBLANK(Предпосылки!$E51),$E$10,Предпосылки!$E51),1,0)</f>
        <v>0</v>
      </c>
      <c s="124">
        <f>IF(AU$10=IF(ISBLANK(Предпосылки!$E51),$E$10,Предпосылки!$E51),1,0)</f>
        <v>0</v>
      </c>
      <c s="124">
        <f>IF(AV$10=IF(ISBLANK(Предпосылки!$E51),$E$10,Предпосылки!$E51),1,0)</f>
        <v>0</v>
      </c>
      <c s="124">
        <f>IF(AW$10=IF(ISBLANK(Предпосылки!$E51),$E$10,Предпосылки!$E51),1,0)</f>
        <v>0</v>
      </c>
      <c s="124">
        <f>IF(AX$10=IF(ISBLANK(Предпосылки!$E51),$E$10,Предпосылки!$E51),1,0)</f>
        <v>0</v>
      </c>
      <c s="124">
        <f>IF(AY$10=IF(ISBLANK(Предпосылки!$E51),$E$10,Предпосылки!$E51),1,0)</f>
        <v>0</v>
      </c>
      <c s="124">
        <f>IF(AZ$10=IF(ISBLANK(Предпосылки!$E51),$E$10,Предпосылки!$E51),1,0)</f>
        <v>0</v>
      </c>
      <c s="124">
        <f>IF(BA$10=IF(ISBLANK(Предпосылки!$E51),$E$10,Предпосылки!$E51),1,0)</f>
        <v>0</v>
      </c>
      <c s="124">
        <f>IF(BB$10=IF(ISBLANK(Предпосылки!$E51),$E$10,Предпосылки!$E51),1,0)</f>
        <v>0</v>
      </c>
      <c s="124">
        <f>IF(BC$10=IF(ISBLANK(Предпосылки!$E51),$E$10,Предпосылки!$E51),1,0)</f>
        <v>0</v>
      </c>
      <c s="124">
        <f>IF(BD$10=IF(ISBLANK(Предпосылки!$E51),$E$10,Предпосылки!$E51),1,0)</f>
        <v>0</v>
      </c>
      <c s="124">
        <f>IF(BE$10=IF(ISBLANK(Предпосылки!$E51),$E$10,Предпосылки!$E51),1,0)</f>
        <v>0</v>
      </c>
      <c s="124">
        <f>IF(BF$10=IF(ISBLANK(Предпосылки!$E51),$E$10,Предпосылки!$E51),1,0)</f>
        <v>0</v>
      </c>
      <c s="124">
        <f>IF(BG$10=IF(ISBLANK(Предпосылки!$E51),$E$10,Предпосылки!$E51),1,0)</f>
        <v>0</v>
      </c>
      <c s="124">
        <f>IF(BH$10=IF(ISBLANK(Предпосылки!$E51),$E$10,Предпосылки!$E51),1,0)</f>
        <v>0</v>
      </c>
      <c s="124">
        <f>IF(BI$10=IF(ISBLANK(Предпосылки!$E51),$E$10,Предпосылки!$E51),1,0)</f>
        <v>0</v>
      </c>
      <c s="124">
        <f>IF(BJ$10=IF(ISBLANK(Предпосылки!$E51),$E$10,Предпосылки!$E51),1,0)</f>
        <v>0</v>
      </c>
      <c s="124">
        <f>IF(BK$10=IF(ISBLANK(Предпосылки!$E51),$E$10,Предпосылки!$E51),1,0)</f>
        <v>0</v>
      </c>
      <c s="124">
        <f>IF(BL$10=IF(ISBLANK(Предпосылки!$E51),$E$10,Предпосылки!$E51),1,0)</f>
        <v>0</v>
      </c>
      <c s="124">
        <f>IF(BM$10=IF(ISBLANK(Предпосылки!$E51),$E$10,Предпосылки!$E51),1,0)</f>
        <v>0</v>
      </c>
    </row>
    <row r="343" spans="2:65" ht="15" customHeight="1">
      <c r="B343" s="12" t="str">
        <f t="shared" si="115"/>
        <v>-</v>
      </c>
      <c s="124" t="s">
        <v>824</v>
      </c>
      <c s="124"/>
      <c s="124">
        <f>IF(E$10=IF(ISBLANK(Предпосылки!$E52),$E$10,Предпосылки!$E52),1,0)</f>
        <v>1</v>
      </c>
      <c s="124">
        <f>IF(F$10=IF(ISBLANK(Предпосылки!$E52),$E$10,Предпосылки!$E52),1,0)</f>
        <v>0</v>
      </c>
      <c s="124">
        <f>IF(G$10=IF(ISBLANK(Предпосылки!$E52),$E$10,Предпосылки!$E52),1,0)</f>
        <v>0</v>
      </c>
      <c s="124">
        <f>IF(H$10=IF(ISBLANK(Предпосылки!$E52),$E$10,Предпосылки!$E52),1,0)</f>
        <v>0</v>
      </c>
      <c s="124">
        <f>IF(I$10=IF(ISBLANK(Предпосылки!$E52),$E$10,Предпосылки!$E52),1,0)</f>
        <v>0</v>
      </c>
      <c s="124">
        <f>IF(J$10=IF(ISBLANK(Предпосылки!$E52),$E$10,Предпосылки!$E52),1,0)</f>
        <v>0</v>
      </c>
      <c s="124">
        <f>IF(K$10=IF(ISBLANK(Предпосылки!$E52),$E$10,Предпосылки!$E52),1,0)</f>
        <v>0</v>
      </c>
      <c s="124">
        <f>IF(L$10=IF(ISBLANK(Предпосылки!$E52),$E$10,Предпосылки!$E52),1,0)</f>
        <v>0</v>
      </c>
      <c s="124">
        <f>IF(M$10=IF(ISBLANK(Предпосылки!$E52),$E$10,Предпосылки!$E52),1,0)</f>
        <v>0</v>
      </c>
      <c s="124">
        <f>IF(N$10=IF(ISBLANK(Предпосылки!$E52),$E$10,Предпосылки!$E52),1,0)</f>
        <v>0</v>
      </c>
      <c s="124">
        <f>IF(O$10=IF(ISBLANK(Предпосылки!$E52),$E$10,Предпосылки!$E52),1,0)</f>
        <v>0</v>
      </c>
      <c s="124">
        <f>IF(P$10=IF(ISBLANK(Предпосылки!$E52),$E$10,Предпосылки!$E52),1,0)</f>
        <v>0</v>
      </c>
      <c s="124">
        <f>IF(Q$10=IF(ISBLANK(Предпосылки!$E52),$E$10,Предпосылки!$E52),1,0)</f>
        <v>0</v>
      </c>
      <c s="124">
        <f>IF(R$10=IF(ISBLANK(Предпосылки!$E52),$E$10,Предпосылки!$E52),1,0)</f>
        <v>0</v>
      </c>
      <c s="124">
        <f>IF(S$10=IF(ISBLANK(Предпосылки!$E52),$E$10,Предпосылки!$E52),1,0)</f>
        <v>0</v>
      </c>
      <c s="124">
        <f>IF(T$10=IF(ISBLANK(Предпосылки!$E52),$E$10,Предпосылки!$E52),1,0)</f>
        <v>0</v>
      </c>
      <c s="124">
        <f>IF(U$10=IF(ISBLANK(Предпосылки!$E52),$E$10,Предпосылки!$E52),1,0)</f>
        <v>0</v>
      </c>
      <c s="124">
        <f>IF(V$10=IF(ISBLANK(Предпосылки!$E52),$E$10,Предпосылки!$E52),1,0)</f>
        <v>0</v>
      </c>
      <c s="124">
        <f>IF(W$10=IF(ISBLANK(Предпосылки!$E52),$E$10,Предпосылки!$E52),1,0)</f>
        <v>0</v>
      </c>
      <c s="124">
        <f>IF(X$10=IF(ISBLANK(Предпосылки!$E52),$E$10,Предпосылки!$E52),1,0)</f>
        <v>0</v>
      </c>
      <c s="124">
        <f>IF(Y$10=IF(ISBLANK(Предпосылки!$E52),$E$10,Предпосылки!$E52),1,0)</f>
        <v>0</v>
      </c>
      <c s="124">
        <f>IF(Z$10=IF(ISBLANK(Предпосылки!$E52),$E$10,Предпосылки!$E52),1,0)</f>
        <v>0</v>
      </c>
      <c s="124">
        <f>IF(AA$10=IF(ISBLANK(Предпосылки!$E52),$E$10,Предпосылки!$E52),1,0)</f>
        <v>0</v>
      </c>
      <c s="124">
        <f>IF(AB$10=IF(ISBLANK(Предпосылки!$E52),$E$10,Предпосылки!$E52),1,0)</f>
        <v>0</v>
      </c>
      <c s="124">
        <f>IF(AC$10=IF(ISBLANK(Предпосылки!$E52),$E$10,Предпосылки!$E52),1,0)</f>
        <v>0</v>
      </c>
      <c s="124">
        <f>IF(AD$10=IF(ISBLANK(Предпосылки!$E52),$E$10,Предпосылки!$E52),1,0)</f>
        <v>0</v>
      </c>
      <c s="124">
        <f>IF(AE$10=IF(ISBLANK(Предпосылки!$E52),$E$10,Предпосылки!$E52),1,0)</f>
        <v>0</v>
      </c>
      <c s="124">
        <f>IF(AF$10=IF(ISBLANK(Предпосылки!$E52),$E$10,Предпосылки!$E52),1,0)</f>
        <v>0</v>
      </c>
      <c s="124">
        <f>IF(AG$10=IF(ISBLANK(Предпосылки!$E52),$E$10,Предпосылки!$E52),1,0)</f>
        <v>0</v>
      </c>
      <c s="124">
        <f>IF(AH$10=IF(ISBLANK(Предпосылки!$E52),$E$10,Предпосылки!$E52),1,0)</f>
        <v>0</v>
      </c>
      <c s="124">
        <f>IF(AI$10=IF(ISBLANK(Предпосылки!$E52),$E$10,Предпосылки!$E52),1,0)</f>
        <v>0</v>
      </c>
      <c s="124">
        <f>IF(AJ$10=IF(ISBLANK(Предпосылки!$E52),$E$10,Предпосылки!$E52),1,0)</f>
        <v>0</v>
      </c>
      <c s="124">
        <f>IF(AK$10=IF(ISBLANK(Предпосылки!$E52),$E$10,Предпосылки!$E52),1,0)</f>
        <v>0</v>
      </c>
      <c s="124">
        <f>IF(AL$10=IF(ISBLANK(Предпосылки!$E52),$E$10,Предпосылки!$E52),1,0)</f>
        <v>0</v>
      </c>
      <c s="124">
        <f>IF(AM$10=IF(ISBLANK(Предпосылки!$E52),$E$10,Предпосылки!$E52),1,0)</f>
        <v>0</v>
      </c>
      <c s="124">
        <f>IF(AN$10=IF(ISBLANK(Предпосылки!$E52),$E$10,Предпосылки!$E52),1,0)</f>
        <v>0</v>
      </c>
      <c s="124">
        <f>IF(AO$10=IF(ISBLANK(Предпосылки!$E52),$E$10,Предпосылки!$E52),1,0)</f>
        <v>0</v>
      </c>
      <c s="124">
        <f>IF(AP$10=IF(ISBLANK(Предпосылки!$E52),$E$10,Предпосылки!$E52),1,0)</f>
        <v>0</v>
      </c>
      <c s="124">
        <f>IF(AQ$10=IF(ISBLANK(Предпосылки!$E52),$E$10,Предпосылки!$E52),1,0)</f>
        <v>0</v>
      </c>
      <c s="124">
        <f>IF(AR$10=IF(ISBLANK(Предпосылки!$E52),$E$10,Предпосылки!$E52),1,0)</f>
        <v>0</v>
      </c>
      <c s="124">
        <f>IF(AS$10=IF(ISBLANK(Предпосылки!$E52),$E$10,Предпосылки!$E52),1,0)</f>
        <v>0</v>
      </c>
      <c s="124">
        <f>IF(AT$10=IF(ISBLANK(Предпосылки!$E52),$E$10,Предпосылки!$E52),1,0)</f>
        <v>0</v>
      </c>
      <c s="124">
        <f>IF(AU$10=IF(ISBLANK(Предпосылки!$E52),$E$10,Предпосылки!$E52),1,0)</f>
        <v>0</v>
      </c>
      <c s="124">
        <f>IF(AV$10=IF(ISBLANK(Предпосылки!$E52),$E$10,Предпосылки!$E52),1,0)</f>
        <v>0</v>
      </c>
      <c s="124">
        <f>IF(AW$10=IF(ISBLANK(Предпосылки!$E52),$E$10,Предпосылки!$E52),1,0)</f>
        <v>0</v>
      </c>
      <c s="124">
        <f>IF(AX$10=IF(ISBLANK(Предпосылки!$E52),$E$10,Предпосылки!$E52),1,0)</f>
        <v>0</v>
      </c>
      <c s="124">
        <f>IF(AY$10=IF(ISBLANK(Предпосылки!$E52),$E$10,Предпосылки!$E52),1,0)</f>
        <v>0</v>
      </c>
      <c s="124">
        <f>IF(AZ$10=IF(ISBLANK(Предпосылки!$E52),$E$10,Предпосылки!$E52),1,0)</f>
        <v>0</v>
      </c>
      <c s="124">
        <f>IF(BA$10=IF(ISBLANK(Предпосылки!$E52),$E$10,Предпосылки!$E52),1,0)</f>
        <v>0</v>
      </c>
      <c s="124">
        <f>IF(BB$10=IF(ISBLANK(Предпосылки!$E52),$E$10,Предпосылки!$E52),1,0)</f>
        <v>0</v>
      </c>
      <c s="124">
        <f>IF(BC$10=IF(ISBLANK(Предпосылки!$E52),$E$10,Предпосылки!$E52),1,0)</f>
        <v>0</v>
      </c>
      <c s="124">
        <f>IF(BD$10=IF(ISBLANK(Предпосылки!$E52),$E$10,Предпосылки!$E52),1,0)</f>
        <v>0</v>
      </c>
      <c s="124">
        <f>IF(BE$10=IF(ISBLANK(Предпосылки!$E52),$E$10,Предпосылки!$E52),1,0)</f>
        <v>0</v>
      </c>
      <c s="124">
        <f>IF(BF$10=IF(ISBLANK(Предпосылки!$E52),$E$10,Предпосылки!$E52),1,0)</f>
        <v>0</v>
      </c>
      <c s="124">
        <f>IF(BG$10=IF(ISBLANK(Предпосылки!$E52),$E$10,Предпосылки!$E52),1,0)</f>
        <v>0</v>
      </c>
      <c s="124">
        <f>IF(BH$10=IF(ISBLANK(Предпосылки!$E52),$E$10,Предпосылки!$E52),1,0)</f>
        <v>0</v>
      </c>
      <c s="124">
        <f>IF(BI$10=IF(ISBLANK(Предпосылки!$E52),$E$10,Предпосылки!$E52),1,0)</f>
        <v>0</v>
      </c>
      <c s="124">
        <f>IF(BJ$10=IF(ISBLANK(Предпосылки!$E52),$E$10,Предпосылки!$E52),1,0)</f>
        <v>0</v>
      </c>
      <c s="124">
        <f>IF(BK$10=IF(ISBLANK(Предпосылки!$E52),$E$10,Предпосылки!$E52),1,0)</f>
        <v>0</v>
      </c>
      <c s="124">
        <f>IF(BL$10=IF(ISBLANK(Предпосылки!$E52),$E$10,Предпосылки!$E52),1,0)</f>
        <v>0</v>
      </c>
      <c s="124">
        <f>IF(BM$10=IF(ISBLANK(Предпосылки!$E52),$E$10,Предпосылки!$E52),1,0)</f>
        <v>0</v>
      </c>
    </row>
    <row r="344" spans="2:65" ht="15" customHeight="1">
      <c r="B344" s="12" t="str">
        <f t="shared" si="115"/>
        <v>-</v>
      </c>
      <c s="124" t="s">
        <v>824</v>
      </c>
      <c s="124"/>
      <c s="124">
        <f>IF(E$10=IF(ISBLANK(Предпосылки!$E53),$E$10,Предпосылки!$E53),1,0)</f>
        <v>1</v>
      </c>
      <c s="124">
        <f>IF(F$10=IF(ISBLANK(Предпосылки!$E53),$E$10,Предпосылки!$E53),1,0)</f>
        <v>0</v>
      </c>
      <c s="124">
        <f>IF(G$10=IF(ISBLANK(Предпосылки!$E53),$E$10,Предпосылки!$E53),1,0)</f>
        <v>0</v>
      </c>
      <c s="124">
        <f>IF(H$10=IF(ISBLANK(Предпосылки!$E53),$E$10,Предпосылки!$E53),1,0)</f>
        <v>0</v>
      </c>
      <c s="124">
        <f>IF(I$10=IF(ISBLANK(Предпосылки!$E53),$E$10,Предпосылки!$E53),1,0)</f>
        <v>0</v>
      </c>
      <c s="124">
        <f>IF(J$10=IF(ISBLANK(Предпосылки!$E53),$E$10,Предпосылки!$E53),1,0)</f>
        <v>0</v>
      </c>
      <c s="124">
        <f>IF(K$10=IF(ISBLANK(Предпосылки!$E53),$E$10,Предпосылки!$E53),1,0)</f>
        <v>0</v>
      </c>
      <c s="124">
        <f>IF(L$10=IF(ISBLANK(Предпосылки!$E53),$E$10,Предпосылки!$E53),1,0)</f>
        <v>0</v>
      </c>
      <c s="124">
        <f>IF(M$10=IF(ISBLANK(Предпосылки!$E53),$E$10,Предпосылки!$E53),1,0)</f>
        <v>0</v>
      </c>
      <c s="124">
        <f>IF(N$10=IF(ISBLANK(Предпосылки!$E53),$E$10,Предпосылки!$E53),1,0)</f>
        <v>0</v>
      </c>
      <c s="124">
        <f>IF(O$10=IF(ISBLANK(Предпосылки!$E53),$E$10,Предпосылки!$E53),1,0)</f>
        <v>0</v>
      </c>
      <c s="124">
        <f>IF(P$10=IF(ISBLANK(Предпосылки!$E53),$E$10,Предпосылки!$E53),1,0)</f>
        <v>0</v>
      </c>
      <c s="124">
        <f>IF(Q$10=IF(ISBLANK(Предпосылки!$E53),$E$10,Предпосылки!$E53),1,0)</f>
        <v>0</v>
      </c>
      <c s="124">
        <f>IF(R$10=IF(ISBLANK(Предпосылки!$E53),$E$10,Предпосылки!$E53),1,0)</f>
        <v>0</v>
      </c>
      <c s="124">
        <f>IF(S$10=IF(ISBLANK(Предпосылки!$E53),$E$10,Предпосылки!$E53),1,0)</f>
        <v>0</v>
      </c>
      <c s="124">
        <f>IF(T$10=IF(ISBLANK(Предпосылки!$E53),$E$10,Предпосылки!$E53),1,0)</f>
        <v>0</v>
      </c>
      <c s="124">
        <f>IF(U$10=IF(ISBLANK(Предпосылки!$E53),$E$10,Предпосылки!$E53),1,0)</f>
        <v>0</v>
      </c>
      <c s="124">
        <f>IF(V$10=IF(ISBLANK(Предпосылки!$E53),$E$10,Предпосылки!$E53),1,0)</f>
        <v>0</v>
      </c>
      <c s="124">
        <f>IF(W$10=IF(ISBLANK(Предпосылки!$E53),$E$10,Предпосылки!$E53),1,0)</f>
        <v>0</v>
      </c>
      <c s="124">
        <f>IF(X$10=IF(ISBLANK(Предпосылки!$E53),$E$10,Предпосылки!$E53),1,0)</f>
        <v>0</v>
      </c>
      <c s="124">
        <f>IF(Y$10=IF(ISBLANK(Предпосылки!$E53),$E$10,Предпосылки!$E53),1,0)</f>
        <v>0</v>
      </c>
      <c s="124">
        <f>IF(Z$10=IF(ISBLANK(Предпосылки!$E53),$E$10,Предпосылки!$E53),1,0)</f>
        <v>0</v>
      </c>
      <c s="124">
        <f>IF(AA$10=IF(ISBLANK(Предпосылки!$E53),$E$10,Предпосылки!$E53),1,0)</f>
        <v>0</v>
      </c>
      <c s="124">
        <f>IF(AB$10=IF(ISBLANK(Предпосылки!$E53),$E$10,Предпосылки!$E53),1,0)</f>
        <v>0</v>
      </c>
      <c s="124">
        <f>IF(AC$10=IF(ISBLANK(Предпосылки!$E53),$E$10,Предпосылки!$E53),1,0)</f>
        <v>0</v>
      </c>
      <c s="124">
        <f>IF(AD$10=IF(ISBLANK(Предпосылки!$E53),$E$10,Предпосылки!$E53),1,0)</f>
        <v>0</v>
      </c>
      <c s="124">
        <f>IF(AE$10=IF(ISBLANK(Предпосылки!$E53),$E$10,Предпосылки!$E53),1,0)</f>
        <v>0</v>
      </c>
      <c s="124">
        <f>IF(AF$10=IF(ISBLANK(Предпосылки!$E53),$E$10,Предпосылки!$E53),1,0)</f>
        <v>0</v>
      </c>
      <c s="124">
        <f>IF(AG$10=IF(ISBLANK(Предпосылки!$E53),$E$10,Предпосылки!$E53),1,0)</f>
        <v>0</v>
      </c>
      <c s="124">
        <f>IF(AH$10=IF(ISBLANK(Предпосылки!$E53),$E$10,Предпосылки!$E53),1,0)</f>
        <v>0</v>
      </c>
      <c s="124">
        <f>IF(AI$10=IF(ISBLANK(Предпосылки!$E53),$E$10,Предпосылки!$E53),1,0)</f>
        <v>0</v>
      </c>
      <c s="124">
        <f>IF(AJ$10=IF(ISBLANK(Предпосылки!$E53),$E$10,Предпосылки!$E53),1,0)</f>
        <v>0</v>
      </c>
      <c s="124">
        <f>IF(AK$10=IF(ISBLANK(Предпосылки!$E53),$E$10,Предпосылки!$E53),1,0)</f>
        <v>0</v>
      </c>
      <c s="124">
        <f>IF(AL$10=IF(ISBLANK(Предпосылки!$E53),$E$10,Предпосылки!$E53),1,0)</f>
        <v>0</v>
      </c>
      <c s="124">
        <f>IF(AM$10=IF(ISBLANK(Предпосылки!$E53),$E$10,Предпосылки!$E53),1,0)</f>
        <v>0</v>
      </c>
      <c s="124">
        <f>IF(AN$10=IF(ISBLANK(Предпосылки!$E53),$E$10,Предпосылки!$E53),1,0)</f>
        <v>0</v>
      </c>
      <c s="124">
        <f>IF(AO$10=IF(ISBLANK(Предпосылки!$E53),$E$10,Предпосылки!$E53),1,0)</f>
        <v>0</v>
      </c>
      <c s="124">
        <f>IF(AP$10=IF(ISBLANK(Предпосылки!$E53),$E$10,Предпосылки!$E53),1,0)</f>
        <v>0</v>
      </c>
      <c s="124">
        <f>IF(AQ$10=IF(ISBLANK(Предпосылки!$E53),$E$10,Предпосылки!$E53),1,0)</f>
        <v>0</v>
      </c>
      <c s="124">
        <f>IF(AR$10=IF(ISBLANK(Предпосылки!$E53),$E$10,Предпосылки!$E53),1,0)</f>
        <v>0</v>
      </c>
      <c s="124">
        <f>IF(AS$10=IF(ISBLANK(Предпосылки!$E53),$E$10,Предпосылки!$E53),1,0)</f>
        <v>0</v>
      </c>
      <c s="124">
        <f>IF(AT$10=IF(ISBLANK(Предпосылки!$E53),$E$10,Предпосылки!$E53),1,0)</f>
        <v>0</v>
      </c>
      <c s="124">
        <f>IF(AU$10=IF(ISBLANK(Предпосылки!$E53),$E$10,Предпосылки!$E53),1,0)</f>
        <v>0</v>
      </c>
      <c s="124">
        <f>IF(AV$10=IF(ISBLANK(Предпосылки!$E53),$E$10,Предпосылки!$E53),1,0)</f>
        <v>0</v>
      </c>
      <c s="124">
        <f>IF(AW$10=IF(ISBLANK(Предпосылки!$E53),$E$10,Предпосылки!$E53),1,0)</f>
        <v>0</v>
      </c>
      <c s="124">
        <f>IF(AX$10=IF(ISBLANK(Предпосылки!$E53),$E$10,Предпосылки!$E53),1,0)</f>
        <v>0</v>
      </c>
      <c s="124">
        <f>IF(AY$10=IF(ISBLANK(Предпосылки!$E53),$E$10,Предпосылки!$E53),1,0)</f>
        <v>0</v>
      </c>
      <c s="124">
        <f>IF(AZ$10=IF(ISBLANK(Предпосылки!$E53),$E$10,Предпосылки!$E53),1,0)</f>
        <v>0</v>
      </c>
      <c s="124">
        <f>IF(BA$10=IF(ISBLANK(Предпосылки!$E53),$E$10,Предпосылки!$E53),1,0)</f>
        <v>0</v>
      </c>
      <c s="124">
        <f>IF(BB$10=IF(ISBLANK(Предпосылки!$E53),$E$10,Предпосылки!$E53),1,0)</f>
        <v>0</v>
      </c>
      <c s="124">
        <f>IF(BC$10=IF(ISBLANK(Предпосылки!$E53),$E$10,Предпосылки!$E53),1,0)</f>
        <v>0</v>
      </c>
      <c s="124">
        <f>IF(BD$10=IF(ISBLANK(Предпосылки!$E53),$E$10,Предпосылки!$E53),1,0)</f>
        <v>0</v>
      </c>
      <c s="124">
        <f>IF(BE$10=IF(ISBLANK(Предпосылки!$E53),$E$10,Предпосылки!$E53),1,0)</f>
        <v>0</v>
      </c>
      <c s="124">
        <f>IF(BF$10=IF(ISBLANK(Предпосылки!$E53),$E$10,Предпосылки!$E53),1,0)</f>
        <v>0</v>
      </c>
      <c s="124">
        <f>IF(BG$10=IF(ISBLANK(Предпосылки!$E53),$E$10,Предпосылки!$E53),1,0)</f>
        <v>0</v>
      </c>
      <c s="124">
        <f>IF(BH$10=IF(ISBLANK(Предпосылки!$E53),$E$10,Предпосылки!$E53),1,0)</f>
        <v>0</v>
      </c>
      <c s="124">
        <f>IF(BI$10=IF(ISBLANK(Предпосылки!$E53),$E$10,Предпосылки!$E53),1,0)</f>
        <v>0</v>
      </c>
      <c s="124">
        <f>IF(BJ$10=IF(ISBLANK(Предпосылки!$E53),$E$10,Предпосылки!$E53),1,0)</f>
        <v>0</v>
      </c>
      <c s="124">
        <f>IF(BK$10=IF(ISBLANK(Предпосылки!$E53),$E$10,Предпосылки!$E53),1,0)</f>
        <v>0</v>
      </c>
      <c s="124">
        <f>IF(BL$10=IF(ISBLANK(Предпосылки!$E53),$E$10,Предпосылки!$E53),1,0)</f>
        <v>0</v>
      </c>
      <c s="124">
        <f>IF(BM$10=IF(ISBLANK(Предпосылки!$E53),$E$10,Предпосылки!$E53),1,0)</f>
        <v>0</v>
      </c>
    </row>
    <row r="345" spans="2:65" ht="15" customHeight="1">
      <c r="B345" s="12" t="str">
        <f t="shared" si="115"/>
        <v>-</v>
      </c>
      <c s="124" t="s">
        <v>824</v>
      </c>
      <c s="124"/>
      <c s="124">
        <f>IF(E$10=IF(ISBLANK(Предпосылки!$E54),$E$10,Предпосылки!$E54),1,0)</f>
        <v>1</v>
      </c>
      <c s="124">
        <f>IF(F$10=IF(ISBLANK(Предпосылки!$E54),$E$10,Предпосылки!$E54),1,0)</f>
        <v>0</v>
      </c>
      <c s="124">
        <f>IF(G$10=IF(ISBLANK(Предпосылки!$E54),$E$10,Предпосылки!$E54),1,0)</f>
        <v>0</v>
      </c>
      <c s="124">
        <f>IF(H$10=IF(ISBLANK(Предпосылки!$E54),$E$10,Предпосылки!$E54),1,0)</f>
        <v>0</v>
      </c>
      <c s="124">
        <f>IF(I$10=IF(ISBLANK(Предпосылки!$E54),$E$10,Предпосылки!$E54),1,0)</f>
        <v>0</v>
      </c>
      <c s="124">
        <f>IF(J$10=IF(ISBLANK(Предпосылки!$E54),$E$10,Предпосылки!$E54),1,0)</f>
        <v>0</v>
      </c>
      <c s="124">
        <f>IF(K$10=IF(ISBLANK(Предпосылки!$E54),$E$10,Предпосылки!$E54),1,0)</f>
        <v>0</v>
      </c>
      <c s="124">
        <f>IF(L$10=IF(ISBLANK(Предпосылки!$E54),$E$10,Предпосылки!$E54),1,0)</f>
        <v>0</v>
      </c>
      <c s="124">
        <f>IF(M$10=IF(ISBLANK(Предпосылки!$E54),$E$10,Предпосылки!$E54),1,0)</f>
        <v>0</v>
      </c>
      <c s="124">
        <f>IF(N$10=IF(ISBLANK(Предпосылки!$E54),$E$10,Предпосылки!$E54),1,0)</f>
        <v>0</v>
      </c>
      <c s="124">
        <f>IF(O$10=IF(ISBLANK(Предпосылки!$E54),$E$10,Предпосылки!$E54),1,0)</f>
        <v>0</v>
      </c>
      <c s="124">
        <f>IF(P$10=IF(ISBLANK(Предпосылки!$E54),$E$10,Предпосылки!$E54),1,0)</f>
        <v>0</v>
      </c>
      <c s="124">
        <f>IF(Q$10=IF(ISBLANK(Предпосылки!$E54),$E$10,Предпосылки!$E54),1,0)</f>
        <v>0</v>
      </c>
      <c s="124">
        <f>IF(R$10=IF(ISBLANK(Предпосылки!$E54),$E$10,Предпосылки!$E54),1,0)</f>
        <v>0</v>
      </c>
      <c s="124">
        <f>IF(S$10=IF(ISBLANK(Предпосылки!$E54),$E$10,Предпосылки!$E54),1,0)</f>
        <v>0</v>
      </c>
      <c s="124">
        <f>IF(T$10=IF(ISBLANK(Предпосылки!$E54),$E$10,Предпосылки!$E54),1,0)</f>
        <v>0</v>
      </c>
      <c s="124">
        <f>IF(U$10=IF(ISBLANK(Предпосылки!$E54),$E$10,Предпосылки!$E54),1,0)</f>
        <v>0</v>
      </c>
      <c s="124">
        <f>IF(V$10=IF(ISBLANK(Предпосылки!$E54),$E$10,Предпосылки!$E54),1,0)</f>
        <v>0</v>
      </c>
      <c s="124">
        <f>IF(W$10=IF(ISBLANK(Предпосылки!$E54),$E$10,Предпосылки!$E54),1,0)</f>
        <v>0</v>
      </c>
      <c s="124">
        <f>IF(X$10=IF(ISBLANK(Предпосылки!$E54),$E$10,Предпосылки!$E54),1,0)</f>
        <v>0</v>
      </c>
      <c s="124">
        <f>IF(Y$10=IF(ISBLANK(Предпосылки!$E54),$E$10,Предпосылки!$E54),1,0)</f>
        <v>0</v>
      </c>
      <c s="124">
        <f>IF(Z$10=IF(ISBLANK(Предпосылки!$E54),$E$10,Предпосылки!$E54),1,0)</f>
        <v>0</v>
      </c>
      <c s="124">
        <f>IF(AA$10=IF(ISBLANK(Предпосылки!$E54),$E$10,Предпосылки!$E54),1,0)</f>
        <v>0</v>
      </c>
      <c s="124">
        <f>IF(AB$10=IF(ISBLANK(Предпосылки!$E54),$E$10,Предпосылки!$E54),1,0)</f>
        <v>0</v>
      </c>
      <c s="124">
        <f>IF(AC$10=IF(ISBLANK(Предпосылки!$E54),$E$10,Предпосылки!$E54),1,0)</f>
        <v>0</v>
      </c>
      <c s="124">
        <f>IF(AD$10=IF(ISBLANK(Предпосылки!$E54),$E$10,Предпосылки!$E54),1,0)</f>
        <v>0</v>
      </c>
      <c s="124">
        <f>IF(AE$10=IF(ISBLANK(Предпосылки!$E54),$E$10,Предпосылки!$E54),1,0)</f>
        <v>0</v>
      </c>
      <c s="124">
        <f>IF(AF$10=IF(ISBLANK(Предпосылки!$E54),$E$10,Предпосылки!$E54),1,0)</f>
        <v>0</v>
      </c>
      <c s="124">
        <f>IF(AG$10=IF(ISBLANK(Предпосылки!$E54),$E$10,Предпосылки!$E54),1,0)</f>
        <v>0</v>
      </c>
      <c s="124">
        <f>IF(AH$10=IF(ISBLANK(Предпосылки!$E54),$E$10,Предпосылки!$E54),1,0)</f>
        <v>0</v>
      </c>
      <c s="124">
        <f>IF(AI$10=IF(ISBLANK(Предпосылки!$E54),$E$10,Предпосылки!$E54),1,0)</f>
        <v>0</v>
      </c>
      <c s="124">
        <f>IF(AJ$10=IF(ISBLANK(Предпосылки!$E54),$E$10,Предпосылки!$E54),1,0)</f>
        <v>0</v>
      </c>
      <c s="124">
        <f>IF(AK$10=IF(ISBLANK(Предпосылки!$E54),$E$10,Предпосылки!$E54),1,0)</f>
        <v>0</v>
      </c>
      <c s="124">
        <f>IF(AL$10=IF(ISBLANK(Предпосылки!$E54),$E$10,Предпосылки!$E54),1,0)</f>
        <v>0</v>
      </c>
      <c s="124">
        <f>IF(AM$10=IF(ISBLANK(Предпосылки!$E54),$E$10,Предпосылки!$E54),1,0)</f>
        <v>0</v>
      </c>
      <c s="124">
        <f>IF(AN$10=IF(ISBLANK(Предпосылки!$E54),$E$10,Предпосылки!$E54),1,0)</f>
        <v>0</v>
      </c>
      <c s="124">
        <f>IF(AO$10=IF(ISBLANK(Предпосылки!$E54),$E$10,Предпосылки!$E54),1,0)</f>
        <v>0</v>
      </c>
      <c s="124">
        <f>IF(AP$10=IF(ISBLANK(Предпосылки!$E54),$E$10,Предпосылки!$E54),1,0)</f>
        <v>0</v>
      </c>
      <c s="124">
        <f>IF(AQ$10=IF(ISBLANK(Предпосылки!$E54),$E$10,Предпосылки!$E54),1,0)</f>
        <v>0</v>
      </c>
      <c s="124">
        <f>IF(AR$10=IF(ISBLANK(Предпосылки!$E54),$E$10,Предпосылки!$E54),1,0)</f>
        <v>0</v>
      </c>
      <c s="124">
        <f>IF(AS$10=IF(ISBLANK(Предпосылки!$E54),$E$10,Предпосылки!$E54),1,0)</f>
        <v>0</v>
      </c>
      <c s="124">
        <f>IF(AT$10=IF(ISBLANK(Предпосылки!$E54),$E$10,Предпосылки!$E54),1,0)</f>
        <v>0</v>
      </c>
      <c s="124">
        <f>IF(AU$10=IF(ISBLANK(Предпосылки!$E54),$E$10,Предпосылки!$E54),1,0)</f>
        <v>0</v>
      </c>
      <c s="124">
        <f>IF(AV$10=IF(ISBLANK(Предпосылки!$E54),$E$10,Предпосылки!$E54),1,0)</f>
        <v>0</v>
      </c>
      <c s="124">
        <f>IF(AW$10=IF(ISBLANK(Предпосылки!$E54),$E$10,Предпосылки!$E54),1,0)</f>
        <v>0</v>
      </c>
      <c s="124">
        <f>IF(AX$10=IF(ISBLANK(Предпосылки!$E54),$E$10,Предпосылки!$E54),1,0)</f>
        <v>0</v>
      </c>
      <c s="124">
        <f>IF(AY$10=IF(ISBLANK(Предпосылки!$E54),$E$10,Предпосылки!$E54),1,0)</f>
        <v>0</v>
      </c>
      <c s="124">
        <f>IF(AZ$10=IF(ISBLANK(Предпосылки!$E54),$E$10,Предпосылки!$E54),1,0)</f>
        <v>0</v>
      </c>
      <c s="124">
        <f>IF(BA$10=IF(ISBLANK(Предпосылки!$E54),$E$10,Предпосылки!$E54),1,0)</f>
        <v>0</v>
      </c>
      <c s="124">
        <f>IF(BB$10=IF(ISBLANK(Предпосылки!$E54),$E$10,Предпосылки!$E54),1,0)</f>
        <v>0</v>
      </c>
      <c s="124">
        <f>IF(BC$10=IF(ISBLANK(Предпосылки!$E54),$E$10,Предпосылки!$E54),1,0)</f>
        <v>0</v>
      </c>
      <c s="124">
        <f>IF(BD$10=IF(ISBLANK(Предпосылки!$E54),$E$10,Предпосылки!$E54),1,0)</f>
        <v>0</v>
      </c>
      <c s="124">
        <f>IF(BE$10=IF(ISBLANK(Предпосылки!$E54),$E$10,Предпосылки!$E54),1,0)</f>
        <v>0</v>
      </c>
      <c s="124">
        <f>IF(BF$10=IF(ISBLANK(Предпосылки!$E54),$E$10,Предпосылки!$E54),1,0)</f>
        <v>0</v>
      </c>
      <c s="124">
        <f>IF(BG$10=IF(ISBLANK(Предпосылки!$E54),$E$10,Предпосылки!$E54),1,0)</f>
        <v>0</v>
      </c>
      <c s="124">
        <f>IF(BH$10=IF(ISBLANK(Предпосылки!$E54),$E$10,Предпосылки!$E54),1,0)</f>
        <v>0</v>
      </c>
      <c s="124">
        <f>IF(BI$10=IF(ISBLANK(Предпосылки!$E54),$E$10,Предпосылки!$E54),1,0)</f>
        <v>0</v>
      </c>
      <c s="124">
        <f>IF(BJ$10=IF(ISBLANK(Предпосылки!$E54),$E$10,Предпосылки!$E54),1,0)</f>
        <v>0</v>
      </c>
      <c s="124">
        <f>IF(BK$10=IF(ISBLANK(Предпосылки!$E54),$E$10,Предпосылки!$E54),1,0)</f>
        <v>0</v>
      </c>
      <c s="124">
        <f>IF(BL$10=IF(ISBLANK(Предпосылки!$E54),$E$10,Предпосылки!$E54),1,0)</f>
        <v>0</v>
      </c>
      <c s="124">
        <f>IF(BM$10=IF(ISBLANK(Предпосылки!$E54),$E$10,Предпосылки!$E54),1,0)</f>
        <v>0</v>
      </c>
    </row>
    <row r="346" spans="2:65" ht="15" customHeight="1">
      <c r="B346" s="12" t="str">
        <f t="shared" si="115"/>
        <v>-</v>
      </c>
      <c s="124" t="s">
        <v>824</v>
      </c>
      <c s="124"/>
      <c s="124">
        <f>IF(E$10=IF(ISBLANK(Предпосылки!$E55),$E$10,Предпосылки!$E55),1,0)</f>
        <v>1</v>
      </c>
      <c s="124">
        <f>IF(F$10=IF(ISBLANK(Предпосылки!$E55),$E$10,Предпосылки!$E55),1,0)</f>
        <v>0</v>
      </c>
      <c s="124">
        <f>IF(G$10=IF(ISBLANK(Предпосылки!$E55),$E$10,Предпосылки!$E55),1,0)</f>
        <v>0</v>
      </c>
      <c s="124">
        <f>IF(H$10=IF(ISBLANK(Предпосылки!$E55),$E$10,Предпосылки!$E55),1,0)</f>
        <v>0</v>
      </c>
      <c s="124">
        <f>IF(I$10=IF(ISBLANK(Предпосылки!$E55),$E$10,Предпосылки!$E55),1,0)</f>
        <v>0</v>
      </c>
      <c s="124">
        <f>IF(J$10=IF(ISBLANK(Предпосылки!$E55),$E$10,Предпосылки!$E55),1,0)</f>
        <v>0</v>
      </c>
      <c s="124">
        <f>IF(K$10=IF(ISBLANK(Предпосылки!$E55),$E$10,Предпосылки!$E55),1,0)</f>
        <v>0</v>
      </c>
      <c s="124">
        <f>IF(L$10=IF(ISBLANK(Предпосылки!$E55),$E$10,Предпосылки!$E55),1,0)</f>
        <v>0</v>
      </c>
      <c s="124">
        <f>IF(M$10=IF(ISBLANK(Предпосылки!$E55),$E$10,Предпосылки!$E55),1,0)</f>
        <v>0</v>
      </c>
      <c s="124">
        <f>IF(N$10=IF(ISBLANK(Предпосылки!$E55),$E$10,Предпосылки!$E55),1,0)</f>
        <v>0</v>
      </c>
      <c s="124">
        <f>IF(O$10=IF(ISBLANK(Предпосылки!$E55),$E$10,Предпосылки!$E55),1,0)</f>
        <v>0</v>
      </c>
      <c s="124">
        <f>IF(P$10=IF(ISBLANK(Предпосылки!$E55),$E$10,Предпосылки!$E55),1,0)</f>
        <v>0</v>
      </c>
      <c s="124">
        <f>IF(Q$10=IF(ISBLANK(Предпосылки!$E55),$E$10,Предпосылки!$E55),1,0)</f>
        <v>0</v>
      </c>
      <c s="124">
        <f>IF(R$10=IF(ISBLANK(Предпосылки!$E55),$E$10,Предпосылки!$E55),1,0)</f>
        <v>0</v>
      </c>
      <c s="124">
        <f>IF(S$10=IF(ISBLANK(Предпосылки!$E55),$E$10,Предпосылки!$E55),1,0)</f>
        <v>0</v>
      </c>
      <c s="124">
        <f>IF(T$10=IF(ISBLANK(Предпосылки!$E55),$E$10,Предпосылки!$E55),1,0)</f>
        <v>0</v>
      </c>
      <c s="124">
        <f>IF(U$10=IF(ISBLANK(Предпосылки!$E55),$E$10,Предпосылки!$E55),1,0)</f>
        <v>0</v>
      </c>
      <c s="124">
        <f>IF(V$10=IF(ISBLANK(Предпосылки!$E55),$E$10,Предпосылки!$E55),1,0)</f>
        <v>0</v>
      </c>
      <c s="124">
        <f>IF(W$10=IF(ISBLANK(Предпосылки!$E55),$E$10,Предпосылки!$E55),1,0)</f>
        <v>0</v>
      </c>
      <c s="124">
        <f>IF(X$10=IF(ISBLANK(Предпосылки!$E55),$E$10,Предпосылки!$E55),1,0)</f>
        <v>0</v>
      </c>
      <c s="124">
        <f>IF(Y$10=IF(ISBLANK(Предпосылки!$E55),$E$10,Предпосылки!$E55),1,0)</f>
        <v>0</v>
      </c>
      <c s="124">
        <f>IF(Z$10=IF(ISBLANK(Предпосылки!$E55),$E$10,Предпосылки!$E55),1,0)</f>
        <v>0</v>
      </c>
      <c s="124">
        <f>IF(AA$10=IF(ISBLANK(Предпосылки!$E55),$E$10,Предпосылки!$E55),1,0)</f>
        <v>0</v>
      </c>
      <c s="124">
        <f>IF(AB$10=IF(ISBLANK(Предпосылки!$E55),$E$10,Предпосылки!$E55),1,0)</f>
        <v>0</v>
      </c>
      <c s="124">
        <f>IF(AC$10=IF(ISBLANK(Предпосылки!$E55),$E$10,Предпосылки!$E55),1,0)</f>
        <v>0</v>
      </c>
      <c s="124">
        <f>IF(AD$10=IF(ISBLANK(Предпосылки!$E55),$E$10,Предпосылки!$E55),1,0)</f>
        <v>0</v>
      </c>
      <c s="124">
        <f>IF(AE$10=IF(ISBLANK(Предпосылки!$E55),$E$10,Предпосылки!$E55),1,0)</f>
        <v>0</v>
      </c>
      <c s="124">
        <f>IF(AF$10=IF(ISBLANK(Предпосылки!$E55),$E$10,Предпосылки!$E55),1,0)</f>
        <v>0</v>
      </c>
      <c s="124">
        <f>IF(AG$10=IF(ISBLANK(Предпосылки!$E55),$E$10,Предпосылки!$E55),1,0)</f>
        <v>0</v>
      </c>
      <c s="124">
        <f>IF(AH$10=IF(ISBLANK(Предпосылки!$E55),$E$10,Предпосылки!$E55),1,0)</f>
        <v>0</v>
      </c>
      <c s="124">
        <f>IF(AI$10=IF(ISBLANK(Предпосылки!$E55),$E$10,Предпосылки!$E55),1,0)</f>
        <v>0</v>
      </c>
      <c s="124">
        <f>IF(AJ$10=IF(ISBLANK(Предпосылки!$E55),$E$10,Предпосылки!$E55),1,0)</f>
        <v>0</v>
      </c>
      <c s="124">
        <f>IF(AK$10=IF(ISBLANK(Предпосылки!$E55),$E$10,Предпосылки!$E55),1,0)</f>
        <v>0</v>
      </c>
      <c s="124">
        <f>IF(AL$10=IF(ISBLANK(Предпосылки!$E55),$E$10,Предпосылки!$E55),1,0)</f>
        <v>0</v>
      </c>
      <c s="124">
        <f>IF(AM$10=IF(ISBLANK(Предпосылки!$E55),$E$10,Предпосылки!$E55),1,0)</f>
        <v>0</v>
      </c>
      <c s="124">
        <f>IF(AN$10=IF(ISBLANK(Предпосылки!$E55),$E$10,Предпосылки!$E55),1,0)</f>
        <v>0</v>
      </c>
      <c s="124">
        <f>IF(AO$10=IF(ISBLANK(Предпосылки!$E55),$E$10,Предпосылки!$E55),1,0)</f>
        <v>0</v>
      </c>
      <c s="124">
        <f>IF(AP$10=IF(ISBLANK(Предпосылки!$E55),$E$10,Предпосылки!$E55),1,0)</f>
        <v>0</v>
      </c>
      <c s="124">
        <f>IF(AQ$10=IF(ISBLANK(Предпосылки!$E55),$E$10,Предпосылки!$E55),1,0)</f>
        <v>0</v>
      </c>
      <c s="124">
        <f>IF(AR$10=IF(ISBLANK(Предпосылки!$E55),$E$10,Предпосылки!$E55),1,0)</f>
        <v>0</v>
      </c>
      <c s="124">
        <f>IF(AS$10=IF(ISBLANK(Предпосылки!$E55),$E$10,Предпосылки!$E55),1,0)</f>
        <v>0</v>
      </c>
      <c s="124">
        <f>IF(AT$10=IF(ISBLANK(Предпосылки!$E55),$E$10,Предпосылки!$E55),1,0)</f>
        <v>0</v>
      </c>
      <c s="124">
        <f>IF(AU$10=IF(ISBLANK(Предпосылки!$E55),$E$10,Предпосылки!$E55),1,0)</f>
        <v>0</v>
      </c>
      <c s="124">
        <f>IF(AV$10=IF(ISBLANK(Предпосылки!$E55),$E$10,Предпосылки!$E55),1,0)</f>
        <v>0</v>
      </c>
      <c s="124">
        <f>IF(AW$10=IF(ISBLANK(Предпосылки!$E55),$E$10,Предпосылки!$E55),1,0)</f>
        <v>0</v>
      </c>
      <c s="124">
        <f>IF(AX$10=IF(ISBLANK(Предпосылки!$E55),$E$10,Предпосылки!$E55),1,0)</f>
        <v>0</v>
      </c>
      <c s="124">
        <f>IF(AY$10=IF(ISBLANK(Предпосылки!$E55),$E$10,Предпосылки!$E55),1,0)</f>
        <v>0</v>
      </c>
      <c s="124">
        <f>IF(AZ$10=IF(ISBLANK(Предпосылки!$E55),$E$10,Предпосылки!$E55),1,0)</f>
        <v>0</v>
      </c>
      <c s="124">
        <f>IF(BA$10=IF(ISBLANK(Предпосылки!$E55),$E$10,Предпосылки!$E55),1,0)</f>
        <v>0</v>
      </c>
      <c s="124">
        <f>IF(BB$10=IF(ISBLANK(Предпосылки!$E55),$E$10,Предпосылки!$E55),1,0)</f>
        <v>0</v>
      </c>
      <c s="124">
        <f>IF(BC$10=IF(ISBLANK(Предпосылки!$E55),$E$10,Предпосылки!$E55),1,0)</f>
        <v>0</v>
      </c>
      <c s="124">
        <f>IF(BD$10=IF(ISBLANK(Предпосылки!$E55),$E$10,Предпосылки!$E55),1,0)</f>
        <v>0</v>
      </c>
      <c s="124">
        <f>IF(BE$10=IF(ISBLANK(Предпосылки!$E55),$E$10,Предпосылки!$E55),1,0)</f>
        <v>0</v>
      </c>
      <c s="124">
        <f>IF(BF$10=IF(ISBLANK(Предпосылки!$E55),$E$10,Предпосылки!$E55),1,0)</f>
        <v>0</v>
      </c>
      <c s="124">
        <f>IF(BG$10=IF(ISBLANK(Предпосылки!$E55),$E$10,Предпосылки!$E55),1,0)</f>
        <v>0</v>
      </c>
      <c s="124">
        <f>IF(BH$10=IF(ISBLANK(Предпосылки!$E55),$E$10,Предпосылки!$E55),1,0)</f>
        <v>0</v>
      </c>
      <c s="124">
        <f>IF(BI$10=IF(ISBLANK(Предпосылки!$E55),$E$10,Предпосылки!$E55),1,0)</f>
        <v>0</v>
      </c>
      <c s="124">
        <f>IF(BJ$10=IF(ISBLANK(Предпосылки!$E55),$E$10,Предпосылки!$E55),1,0)</f>
        <v>0</v>
      </c>
      <c s="124">
        <f>IF(BK$10=IF(ISBLANK(Предпосылки!$E55),$E$10,Предпосылки!$E55),1,0)</f>
        <v>0</v>
      </c>
      <c s="124">
        <f>IF(BL$10=IF(ISBLANK(Предпосылки!$E55),$E$10,Предпосылки!$E55),1,0)</f>
        <v>0</v>
      </c>
      <c s="124">
        <f>IF(BM$10=IF(ISBLANK(Предпосылки!$E55),$E$10,Предпосылки!$E55),1,0)</f>
        <v>0</v>
      </c>
    </row>
    <row r="347" spans="2:65" ht="15" customHeight="1">
      <c r="B347" s="12" t="str">
        <f t="shared" si="115"/>
        <v>-</v>
      </c>
      <c s="124" t="s">
        <v>824</v>
      </c>
      <c s="124"/>
      <c s="124">
        <f>IF(E$10=IF(ISBLANK(Предпосылки!$E56),$E$10,Предпосылки!$E56),1,0)</f>
        <v>1</v>
      </c>
      <c s="124">
        <f>IF(F$10=IF(ISBLANK(Предпосылки!$E56),$E$10,Предпосылки!$E56),1,0)</f>
        <v>0</v>
      </c>
      <c s="124">
        <f>IF(G$10=IF(ISBLANK(Предпосылки!$E56),$E$10,Предпосылки!$E56),1,0)</f>
        <v>0</v>
      </c>
      <c s="124">
        <f>IF(H$10=IF(ISBLANK(Предпосылки!$E56),$E$10,Предпосылки!$E56),1,0)</f>
        <v>0</v>
      </c>
      <c s="124">
        <f>IF(I$10=IF(ISBLANK(Предпосылки!$E56),$E$10,Предпосылки!$E56),1,0)</f>
        <v>0</v>
      </c>
      <c s="124">
        <f>IF(J$10=IF(ISBLANK(Предпосылки!$E56),$E$10,Предпосылки!$E56),1,0)</f>
        <v>0</v>
      </c>
      <c s="124">
        <f>IF(K$10=IF(ISBLANK(Предпосылки!$E56),$E$10,Предпосылки!$E56),1,0)</f>
        <v>0</v>
      </c>
      <c s="124">
        <f>IF(L$10=IF(ISBLANK(Предпосылки!$E56),$E$10,Предпосылки!$E56),1,0)</f>
        <v>0</v>
      </c>
      <c s="124">
        <f>IF(M$10=IF(ISBLANK(Предпосылки!$E56),$E$10,Предпосылки!$E56),1,0)</f>
        <v>0</v>
      </c>
      <c s="124">
        <f>IF(N$10=IF(ISBLANK(Предпосылки!$E56),$E$10,Предпосылки!$E56),1,0)</f>
        <v>0</v>
      </c>
      <c s="124">
        <f>IF(O$10=IF(ISBLANK(Предпосылки!$E56),$E$10,Предпосылки!$E56),1,0)</f>
        <v>0</v>
      </c>
      <c s="124">
        <f>IF(P$10=IF(ISBLANK(Предпосылки!$E56),$E$10,Предпосылки!$E56),1,0)</f>
        <v>0</v>
      </c>
      <c s="124">
        <f>IF(Q$10=IF(ISBLANK(Предпосылки!$E56),$E$10,Предпосылки!$E56),1,0)</f>
        <v>0</v>
      </c>
      <c s="124">
        <f>IF(R$10=IF(ISBLANK(Предпосылки!$E56),$E$10,Предпосылки!$E56),1,0)</f>
        <v>0</v>
      </c>
      <c s="124">
        <f>IF(S$10=IF(ISBLANK(Предпосылки!$E56),$E$10,Предпосылки!$E56),1,0)</f>
        <v>0</v>
      </c>
      <c s="124">
        <f>IF(T$10=IF(ISBLANK(Предпосылки!$E56),$E$10,Предпосылки!$E56),1,0)</f>
        <v>0</v>
      </c>
      <c s="124">
        <f>IF(U$10=IF(ISBLANK(Предпосылки!$E56),$E$10,Предпосылки!$E56),1,0)</f>
        <v>0</v>
      </c>
      <c s="124">
        <f>IF(V$10=IF(ISBLANK(Предпосылки!$E56),$E$10,Предпосылки!$E56),1,0)</f>
        <v>0</v>
      </c>
      <c s="124">
        <f>IF(W$10=IF(ISBLANK(Предпосылки!$E56),$E$10,Предпосылки!$E56),1,0)</f>
        <v>0</v>
      </c>
      <c s="124">
        <f>IF(X$10=IF(ISBLANK(Предпосылки!$E56),$E$10,Предпосылки!$E56),1,0)</f>
        <v>0</v>
      </c>
      <c s="124">
        <f>IF(Y$10=IF(ISBLANK(Предпосылки!$E56),$E$10,Предпосылки!$E56),1,0)</f>
        <v>0</v>
      </c>
      <c s="124">
        <f>IF(Z$10=IF(ISBLANK(Предпосылки!$E56),$E$10,Предпосылки!$E56),1,0)</f>
        <v>0</v>
      </c>
      <c s="124">
        <f>IF(AA$10=IF(ISBLANK(Предпосылки!$E56),$E$10,Предпосылки!$E56),1,0)</f>
        <v>0</v>
      </c>
      <c s="124">
        <f>IF(AB$10=IF(ISBLANK(Предпосылки!$E56),$E$10,Предпосылки!$E56),1,0)</f>
        <v>0</v>
      </c>
      <c s="124">
        <f>IF(AC$10=IF(ISBLANK(Предпосылки!$E56),$E$10,Предпосылки!$E56),1,0)</f>
        <v>0</v>
      </c>
      <c s="124">
        <f>IF(AD$10=IF(ISBLANK(Предпосылки!$E56),$E$10,Предпосылки!$E56),1,0)</f>
        <v>0</v>
      </c>
      <c s="124">
        <f>IF(AE$10=IF(ISBLANK(Предпосылки!$E56),$E$10,Предпосылки!$E56),1,0)</f>
        <v>0</v>
      </c>
      <c s="124">
        <f>IF(AF$10=IF(ISBLANK(Предпосылки!$E56),$E$10,Предпосылки!$E56),1,0)</f>
        <v>0</v>
      </c>
      <c s="124">
        <f>IF(AG$10=IF(ISBLANK(Предпосылки!$E56),$E$10,Предпосылки!$E56),1,0)</f>
        <v>0</v>
      </c>
      <c s="124">
        <f>IF(AH$10=IF(ISBLANK(Предпосылки!$E56),$E$10,Предпосылки!$E56),1,0)</f>
        <v>0</v>
      </c>
      <c s="124">
        <f>IF(AI$10=IF(ISBLANK(Предпосылки!$E56),$E$10,Предпосылки!$E56),1,0)</f>
        <v>0</v>
      </c>
      <c s="124">
        <f>IF(AJ$10=IF(ISBLANK(Предпосылки!$E56),$E$10,Предпосылки!$E56),1,0)</f>
        <v>0</v>
      </c>
      <c s="124">
        <f>IF(AK$10=IF(ISBLANK(Предпосылки!$E56),$E$10,Предпосылки!$E56),1,0)</f>
        <v>0</v>
      </c>
      <c s="124">
        <f>IF(AL$10=IF(ISBLANK(Предпосылки!$E56),$E$10,Предпосылки!$E56),1,0)</f>
        <v>0</v>
      </c>
      <c s="124">
        <f>IF(AM$10=IF(ISBLANK(Предпосылки!$E56),$E$10,Предпосылки!$E56),1,0)</f>
        <v>0</v>
      </c>
      <c s="124">
        <f>IF(AN$10=IF(ISBLANK(Предпосылки!$E56),$E$10,Предпосылки!$E56),1,0)</f>
        <v>0</v>
      </c>
      <c s="124">
        <f>IF(AO$10=IF(ISBLANK(Предпосылки!$E56),$E$10,Предпосылки!$E56),1,0)</f>
        <v>0</v>
      </c>
      <c s="124">
        <f>IF(AP$10=IF(ISBLANK(Предпосылки!$E56),$E$10,Предпосылки!$E56),1,0)</f>
        <v>0</v>
      </c>
      <c s="124">
        <f>IF(AQ$10=IF(ISBLANK(Предпосылки!$E56),$E$10,Предпосылки!$E56),1,0)</f>
        <v>0</v>
      </c>
      <c s="124">
        <f>IF(AR$10=IF(ISBLANK(Предпосылки!$E56),$E$10,Предпосылки!$E56),1,0)</f>
        <v>0</v>
      </c>
      <c s="124">
        <f>IF(AS$10=IF(ISBLANK(Предпосылки!$E56),$E$10,Предпосылки!$E56),1,0)</f>
        <v>0</v>
      </c>
      <c s="124">
        <f>IF(AT$10=IF(ISBLANK(Предпосылки!$E56),$E$10,Предпосылки!$E56),1,0)</f>
        <v>0</v>
      </c>
      <c s="124">
        <f>IF(AU$10=IF(ISBLANK(Предпосылки!$E56),$E$10,Предпосылки!$E56),1,0)</f>
        <v>0</v>
      </c>
      <c s="124">
        <f>IF(AV$10=IF(ISBLANK(Предпосылки!$E56),$E$10,Предпосылки!$E56),1,0)</f>
        <v>0</v>
      </c>
      <c s="124">
        <f>IF(AW$10=IF(ISBLANK(Предпосылки!$E56),$E$10,Предпосылки!$E56),1,0)</f>
        <v>0</v>
      </c>
      <c s="124">
        <f>IF(AX$10=IF(ISBLANK(Предпосылки!$E56),$E$10,Предпосылки!$E56),1,0)</f>
        <v>0</v>
      </c>
      <c s="124">
        <f>IF(AY$10=IF(ISBLANK(Предпосылки!$E56),$E$10,Предпосылки!$E56),1,0)</f>
        <v>0</v>
      </c>
      <c s="124">
        <f>IF(AZ$10=IF(ISBLANK(Предпосылки!$E56),$E$10,Предпосылки!$E56),1,0)</f>
        <v>0</v>
      </c>
      <c s="124">
        <f>IF(BA$10=IF(ISBLANK(Предпосылки!$E56),$E$10,Предпосылки!$E56),1,0)</f>
        <v>0</v>
      </c>
      <c s="124">
        <f>IF(BB$10=IF(ISBLANK(Предпосылки!$E56),$E$10,Предпосылки!$E56),1,0)</f>
        <v>0</v>
      </c>
      <c s="124">
        <f>IF(BC$10=IF(ISBLANK(Предпосылки!$E56),$E$10,Предпосылки!$E56),1,0)</f>
        <v>0</v>
      </c>
      <c s="124">
        <f>IF(BD$10=IF(ISBLANK(Предпосылки!$E56),$E$10,Предпосылки!$E56),1,0)</f>
        <v>0</v>
      </c>
      <c s="124">
        <f>IF(BE$10=IF(ISBLANK(Предпосылки!$E56),$E$10,Предпосылки!$E56),1,0)</f>
        <v>0</v>
      </c>
      <c s="124">
        <f>IF(BF$10=IF(ISBLANK(Предпосылки!$E56),$E$10,Предпосылки!$E56),1,0)</f>
        <v>0</v>
      </c>
      <c s="124">
        <f>IF(BG$10=IF(ISBLANK(Предпосылки!$E56),$E$10,Предпосылки!$E56),1,0)</f>
        <v>0</v>
      </c>
      <c s="124">
        <f>IF(BH$10=IF(ISBLANK(Предпосылки!$E56),$E$10,Предпосылки!$E56),1,0)</f>
        <v>0</v>
      </c>
      <c s="124">
        <f>IF(BI$10=IF(ISBLANK(Предпосылки!$E56),$E$10,Предпосылки!$E56),1,0)</f>
        <v>0</v>
      </c>
      <c s="124">
        <f>IF(BJ$10=IF(ISBLANK(Предпосылки!$E56),$E$10,Предпосылки!$E56),1,0)</f>
        <v>0</v>
      </c>
      <c s="124">
        <f>IF(BK$10=IF(ISBLANK(Предпосылки!$E56),$E$10,Предпосылки!$E56),1,0)</f>
        <v>0</v>
      </c>
      <c s="124">
        <f>IF(BL$10=IF(ISBLANK(Предпосылки!$E56),$E$10,Предпосылки!$E56),1,0)</f>
        <v>0</v>
      </c>
      <c s="124">
        <f>IF(BM$10=IF(ISBLANK(Предпосылки!$E56),$E$10,Предпосылки!$E56),1,0)</f>
        <v>0</v>
      </c>
    </row>
    <row r="348" spans="2:65" ht="15" customHeight="1">
      <c r="B348" s="12" t="str">
        <f t="shared" si="115"/>
        <v>-</v>
      </c>
      <c s="124" t="s">
        <v>824</v>
      </c>
      <c s="124"/>
      <c s="124">
        <f>IF(E$10=IF(ISBLANK(Предпосылки!$E57),$E$10,Предпосылки!$E57),1,0)</f>
        <v>1</v>
      </c>
      <c s="124">
        <f>IF(F$10=IF(ISBLANK(Предпосылки!$E57),$E$10,Предпосылки!$E57),1,0)</f>
        <v>0</v>
      </c>
      <c s="124">
        <f>IF(G$10=IF(ISBLANK(Предпосылки!$E57),$E$10,Предпосылки!$E57),1,0)</f>
        <v>0</v>
      </c>
      <c s="124">
        <f>IF(H$10=IF(ISBLANK(Предпосылки!$E57),$E$10,Предпосылки!$E57),1,0)</f>
        <v>0</v>
      </c>
      <c s="124">
        <f>IF(I$10=IF(ISBLANK(Предпосылки!$E57),$E$10,Предпосылки!$E57),1,0)</f>
        <v>0</v>
      </c>
      <c s="124">
        <f>IF(J$10=IF(ISBLANK(Предпосылки!$E57),$E$10,Предпосылки!$E57),1,0)</f>
        <v>0</v>
      </c>
      <c s="124">
        <f>IF(K$10=IF(ISBLANK(Предпосылки!$E57),$E$10,Предпосылки!$E57),1,0)</f>
        <v>0</v>
      </c>
      <c s="124">
        <f>IF(L$10=IF(ISBLANK(Предпосылки!$E57),$E$10,Предпосылки!$E57),1,0)</f>
        <v>0</v>
      </c>
      <c s="124">
        <f>IF(M$10=IF(ISBLANK(Предпосылки!$E57),$E$10,Предпосылки!$E57),1,0)</f>
        <v>0</v>
      </c>
      <c s="124">
        <f>IF(N$10=IF(ISBLANK(Предпосылки!$E57),$E$10,Предпосылки!$E57),1,0)</f>
        <v>0</v>
      </c>
      <c s="124">
        <f>IF(O$10=IF(ISBLANK(Предпосылки!$E57),$E$10,Предпосылки!$E57),1,0)</f>
        <v>0</v>
      </c>
      <c s="124">
        <f>IF(P$10=IF(ISBLANK(Предпосылки!$E57),$E$10,Предпосылки!$E57),1,0)</f>
        <v>0</v>
      </c>
      <c s="124">
        <f>IF(Q$10=IF(ISBLANK(Предпосылки!$E57),$E$10,Предпосылки!$E57),1,0)</f>
        <v>0</v>
      </c>
      <c s="124">
        <f>IF(R$10=IF(ISBLANK(Предпосылки!$E57),$E$10,Предпосылки!$E57),1,0)</f>
        <v>0</v>
      </c>
      <c s="124">
        <f>IF(S$10=IF(ISBLANK(Предпосылки!$E57),$E$10,Предпосылки!$E57),1,0)</f>
        <v>0</v>
      </c>
      <c s="124">
        <f>IF(T$10=IF(ISBLANK(Предпосылки!$E57),$E$10,Предпосылки!$E57),1,0)</f>
        <v>0</v>
      </c>
      <c s="124">
        <f>IF(U$10=IF(ISBLANK(Предпосылки!$E57),$E$10,Предпосылки!$E57),1,0)</f>
        <v>0</v>
      </c>
      <c s="124">
        <f>IF(V$10=IF(ISBLANK(Предпосылки!$E57),$E$10,Предпосылки!$E57),1,0)</f>
        <v>0</v>
      </c>
      <c s="124">
        <f>IF(W$10=IF(ISBLANK(Предпосылки!$E57),$E$10,Предпосылки!$E57),1,0)</f>
        <v>0</v>
      </c>
      <c s="124">
        <f>IF(X$10=IF(ISBLANK(Предпосылки!$E57),$E$10,Предпосылки!$E57),1,0)</f>
        <v>0</v>
      </c>
      <c s="124">
        <f>IF(Y$10=IF(ISBLANK(Предпосылки!$E57),$E$10,Предпосылки!$E57),1,0)</f>
        <v>0</v>
      </c>
      <c s="124">
        <f>IF(Z$10=IF(ISBLANK(Предпосылки!$E57),$E$10,Предпосылки!$E57),1,0)</f>
        <v>0</v>
      </c>
      <c s="124">
        <f>IF(AA$10=IF(ISBLANK(Предпосылки!$E57),$E$10,Предпосылки!$E57),1,0)</f>
        <v>0</v>
      </c>
      <c s="124">
        <f>IF(AB$10=IF(ISBLANK(Предпосылки!$E57),$E$10,Предпосылки!$E57),1,0)</f>
        <v>0</v>
      </c>
      <c s="124">
        <f>IF(AC$10=IF(ISBLANK(Предпосылки!$E57),$E$10,Предпосылки!$E57),1,0)</f>
        <v>0</v>
      </c>
      <c s="124">
        <f>IF(AD$10=IF(ISBLANK(Предпосылки!$E57),$E$10,Предпосылки!$E57),1,0)</f>
        <v>0</v>
      </c>
      <c s="124">
        <f>IF(AE$10=IF(ISBLANK(Предпосылки!$E57),$E$10,Предпосылки!$E57),1,0)</f>
        <v>0</v>
      </c>
      <c s="124">
        <f>IF(AF$10=IF(ISBLANK(Предпосылки!$E57),$E$10,Предпосылки!$E57),1,0)</f>
        <v>0</v>
      </c>
      <c s="124">
        <f>IF(AG$10=IF(ISBLANK(Предпосылки!$E57),$E$10,Предпосылки!$E57),1,0)</f>
        <v>0</v>
      </c>
      <c s="124">
        <f>IF(AH$10=IF(ISBLANK(Предпосылки!$E57),$E$10,Предпосылки!$E57),1,0)</f>
        <v>0</v>
      </c>
      <c s="124">
        <f>IF(AI$10=IF(ISBLANK(Предпосылки!$E57),$E$10,Предпосылки!$E57),1,0)</f>
        <v>0</v>
      </c>
      <c s="124">
        <f>IF(AJ$10=IF(ISBLANK(Предпосылки!$E57),$E$10,Предпосылки!$E57),1,0)</f>
        <v>0</v>
      </c>
      <c s="124">
        <f>IF(AK$10=IF(ISBLANK(Предпосылки!$E57),$E$10,Предпосылки!$E57),1,0)</f>
        <v>0</v>
      </c>
      <c s="124">
        <f>IF(AL$10=IF(ISBLANK(Предпосылки!$E57),$E$10,Предпосылки!$E57),1,0)</f>
        <v>0</v>
      </c>
      <c s="124">
        <f>IF(AM$10=IF(ISBLANK(Предпосылки!$E57),$E$10,Предпосылки!$E57),1,0)</f>
        <v>0</v>
      </c>
      <c s="124">
        <f>IF(AN$10=IF(ISBLANK(Предпосылки!$E57),$E$10,Предпосылки!$E57),1,0)</f>
        <v>0</v>
      </c>
      <c s="124">
        <f>IF(AO$10=IF(ISBLANK(Предпосылки!$E57),$E$10,Предпосылки!$E57),1,0)</f>
        <v>0</v>
      </c>
      <c s="124">
        <f>IF(AP$10=IF(ISBLANK(Предпосылки!$E57),$E$10,Предпосылки!$E57),1,0)</f>
        <v>0</v>
      </c>
      <c s="124">
        <f>IF(AQ$10=IF(ISBLANK(Предпосылки!$E57),$E$10,Предпосылки!$E57),1,0)</f>
        <v>0</v>
      </c>
      <c s="124">
        <f>IF(AR$10=IF(ISBLANK(Предпосылки!$E57),$E$10,Предпосылки!$E57),1,0)</f>
        <v>0</v>
      </c>
      <c s="124">
        <f>IF(AS$10=IF(ISBLANK(Предпосылки!$E57),$E$10,Предпосылки!$E57),1,0)</f>
        <v>0</v>
      </c>
      <c s="124">
        <f>IF(AT$10=IF(ISBLANK(Предпосылки!$E57),$E$10,Предпосылки!$E57),1,0)</f>
        <v>0</v>
      </c>
      <c s="124">
        <f>IF(AU$10=IF(ISBLANK(Предпосылки!$E57),$E$10,Предпосылки!$E57),1,0)</f>
        <v>0</v>
      </c>
      <c s="124">
        <f>IF(AV$10=IF(ISBLANK(Предпосылки!$E57),$E$10,Предпосылки!$E57),1,0)</f>
        <v>0</v>
      </c>
      <c s="124">
        <f>IF(AW$10=IF(ISBLANK(Предпосылки!$E57),$E$10,Предпосылки!$E57),1,0)</f>
        <v>0</v>
      </c>
      <c s="124">
        <f>IF(AX$10=IF(ISBLANK(Предпосылки!$E57),$E$10,Предпосылки!$E57),1,0)</f>
        <v>0</v>
      </c>
      <c s="124">
        <f>IF(AY$10=IF(ISBLANK(Предпосылки!$E57),$E$10,Предпосылки!$E57),1,0)</f>
        <v>0</v>
      </c>
      <c s="124">
        <f>IF(AZ$10=IF(ISBLANK(Предпосылки!$E57),$E$10,Предпосылки!$E57),1,0)</f>
        <v>0</v>
      </c>
      <c s="124">
        <f>IF(BA$10=IF(ISBLANK(Предпосылки!$E57),$E$10,Предпосылки!$E57),1,0)</f>
        <v>0</v>
      </c>
      <c s="124">
        <f>IF(BB$10=IF(ISBLANK(Предпосылки!$E57),$E$10,Предпосылки!$E57),1,0)</f>
        <v>0</v>
      </c>
      <c s="124">
        <f>IF(BC$10=IF(ISBLANK(Предпосылки!$E57),$E$10,Предпосылки!$E57),1,0)</f>
        <v>0</v>
      </c>
      <c s="124">
        <f>IF(BD$10=IF(ISBLANK(Предпосылки!$E57),$E$10,Предпосылки!$E57),1,0)</f>
        <v>0</v>
      </c>
      <c s="124">
        <f>IF(BE$10=IF(ISBLANK(Предпосылки!$E57),$E$10,Предпосылки!$E57),1,0)</f>
        <v>0</v>
      </c>
      <c s="124">
        <f>IF(BF$10=IF(ISBLANK(Предпосылки!$E57),$E$10,Предпосылки!$E57),1,0)</f>
        <v>0</v>
      </c>
      <c s="124">
        <f>IF(BG$10=IF(ISBLANK(Предпосылки!$E57),$E$10,Предпосылки!$E57),1,0)</f>
        <v>0</v>
      </c>
      <c s="124">
        <f>IF(BH$10=IF(ISBLANK(Предпосылки!$E57),$E$10,Предпосылки!$E57),1,0)</f>
        <v>0</v>
      </c>
      <c s="124">
        <f>IF(BI$10=IF(ISBLANK(Предпосылки!$E57),$E$10,Предпосылки!$E57),1,0)</f>
        <v>0</v>
      </c>
      <c s="124">
        <f>IF(BJ$10=IF(ISBLANK(Предпосылки!$E57),$E$10,Предпосылки!$E57),1,0)</f>
        <v>0</v>
      </c>
      <c s="124">
        <f>IF(BK$10=IF(ISBLANK(Предпосылки!$E57),$E$10,Предпосылки!$E57),1,0)</f>
        <v>0</v>
      </c>
      <c s="124">
        <f>IF(BL$10=IF(ISBLANK(Предпосылки!$E57),$E$10,Предпосылки!$E57),1,0)</f>
        <v>0</v>
      </c>
      <c s="124">
        <f>IF(BM$10=IF(ISBLANK(Предпосылки!$E57),$E$10,Предпосылки!$E57),1,0)</f>
        <v>0</v>
      </c>
    </row>
    <row r="349" spans="2:65" ht="15" customHeight="1">
      <c r="B349" s="12" t="str">
        <f t="shared" si="115"/>
        <v>-</v>
      </c>
      <c s="124" t="s">
        <v>824</v>
      </c>
      <c s="124"/>
      <c s="124">
        <f>IF(E$10=IF(ISBLANK(Предпосылки!$E58),$E$10,Предпосылки!$E58),1,0)</f>
        <v>1</v>
      </c>
      <c s="124">
        <f>IF(F$10=IF(ISBLANK(Предпосылки!$E58),$E$10,Предпосылки!$E58),1,0)</f>
        <v>0</v>
      </c>
      <c s="124">
        <f>IF(G$10=IF(ISBLANK(Предпосылки!$E58),$E$10,Предпосылки!$E58),1,0)</f>
        <v>0</v>
      </c>
      <c s="124">
        <f>IF(H$10=IF(ISBLANK(Предпосылки!$E58),$E$10,Предпосылки!$E58),1,0)</f>
        <v>0</v>
      </c>
      <c s="124">
        <f>IF(I$10=IF(ISBLANK(Предпосылки!$E58),$E$10,Предпосылки!$E58),1,0)</f>
        <v>0</v>
      </c>
      <c s="124">
        <f>IF(J$10=IF(ISBLANK(Предпосылки!$E58),$E$10,Предпосылки!$E58),1,0)</f>
        <v>0</v>
      </c>
      <c s="124">
        <f>IF(K$10=IF(ISBLANK(Предпосылки!$E58),$E$10,Предпосылки!$E58),1,0)</f>
        <v>0</v>
      </c>
      <c s="124">
        <f>IF(L$10=IF(ISBLANK(Предпосылки!$E58),$E$10,Предпосылки!$E58),1,0)</f>
        <v>0</v>
      </c>
      <c s="124">
        <f>IF(M$10=IF(ISBLANK(Предпосылки!$E58),$E$10,Предпосылки!$E58),1,0)</f>
        <v>0</v>
      </c>
      <c s="124">
        <f>IF(N$10=IF(ISBLANK(Предпосылки!$E58),$E$10,Предпосылки!$E58),1,0)</f>
        <v>0</v>
      </c>
      <c s="124">
        <f>IF(O$10=IF(ISBLANK(Предпосылки!$E58),$E$10,Предпосылки!$E58),1,0)</f>
        <v>0</v>
      </c>
      <c s="124">
        <f>IF(P$10=IF(ISBLANK(Предпосылки!$E58),$E$10,Предпосылки!$E58),1,0)</f>
        <v>0</v>
      </c>
      <c s="124">
        <f>IF(Q$10=IF(ISBLANK(Предпосылки!$E58),$E$10,Предпосылки!$E58),1,0)</f>
        <v>0</v>
      </c>
      <c s="124">
        <f>IF(R$10=IF(ISBLANK(Предпосылки!$E58),$E$10,Предпосылки!$E58),1,0)</f>
        <v>0</v>
      </c>
      <c s="124">
        <f>IF(S$10=IF(ISBLANK(Предпосылки!$E58),$E$10,Предпосылки!$E58),1,0)</f>
        <v>0</v>
      </c>
      <c s="124">
        <f>IF(T$10=IF(ISBLANK(Предпосылки!$E58),$E$10,Предпосылки!$E58),1,0)</f>
        <v>0</v>
      </c>
      <c s="124">
        <f>IF(U$10=IF(ISBLANK(Предпосылки!$E58),$E$10,Предпосылки!$E58),1,0)</f>
        <v>0</v>
      </c>
      <c s="124">
        <f>IF(V$10=IF(ISBLANK(Предпосылки!$E58),$E$10,Предпосылки!$E58),1,0)</f>
        <v>0</v>
      </c>
      <c s="124">
        <f>IF(W$10=IF(ISBLANK(Предпосылки!$E58),$E$10,Предпосылки!$E58),1,0)</f>
        <v>0</v>
      </c>
      <c s="124">
        <f>IF(X$10=IF(ISBLANK(Предпосылки!$E58),$E$10,Предпосылки!$E58),1,0)</f>
        <v>0</v>
      </c>
      <c s="124">
        <f>IF(Y$10=IF(ISBLANK(Предпосылки!$E58),$E$10,Предпосылки!$E58),1,0)</f>
        <v>0</v>
      </c>
      <c s="124">
        <f>IF(Z$10=IF(ISBLANK(Предпосылки!$E58),$E$10,Предпосылки!$E58),1,0)</f>
        <v>0</v>
      </c>
      <c s="124">
        <f>IF(AA$10=IF(ISBLANK(Предпосылки!$E58),$E$10,Предпосылки!$E58),1,0)</f>
        <v>0</v>
      </c>
      <c s="124">
        <f>IF(AB$10=IF(ISBLANK(Предпосылки!$E58),$E$10,Предпосылки!$E58),1,0)</f>
        <v>0</v>
      </c>
      <c s="124">
        <f>IF(AC$10=IF(ISBLANK(Предпосылки!$E58),$E$10,Предпосылки!$E58),1,0)</f>
        <v>0</v>
      </c>
      <c s="124">
        <f>IF(AD$10=IF(ISBLANK(Предпосылки!$E58),$E$10,Предпосылки!$E58),1,0)</f>
        <v>0</v>
      </c>
      <c s="124">
        <f>IF(AE$10=IF(ISBLANK(Предпосылки!$E58),$E$10,Предпосылки!$E58),1,0)</f>
        <v>0</v>
      </c>
      <c s="124">
        <f>IF(AF$10=IF(ISBLANK(Предпосылки!$E58),$E$10,Предпосылки!$E58),1,0)</f>
        <v>0</v>
      </c>
      <c s="124">
        <f>IF(AG$10=IF(ISBLANK(Предпосылки!$E58),$E$10,Предпосылки!$E58),1,0)</f>
        <v>0</v>
      </c>
      <c s="124">
        <f>IF(AH$10=IF(ISBLANK(Предпосылки!$E58),$E$10,Предпосылки!$E58),1,0)</f>
        <v>0</v>
      </c>
      <c s="124">
        <f>IF(AI$10=IF(ISBLANK(Предпосылки!$E58),$E$10,Предпосылки!$E58),1,0)</f>
        <v>0</v>
      </c>
      <c s="124">
        <f>IF(AJ$10=IF(ISBLANK(Предпосылки!$E58),$E$10,Предпосылки!$E58),1,0)</f>
        <v>0</v>
      </c>
      <c s="124">
        <f>IF(AK$10=IF(ISBLANK(Предпосылки!$E58),$E$10,Предпосылки!$E58),1,0)</f>
        <v>0</v>
      </c>
      <c s="124">
        <f>IF(AL$10=IF(ISBLANK(Предпосылки!$E58),$E$10,Предпосылки!$E58),1,0)</f>
        <v>0</v>
      </c>
      <c s="124">
        <f>IF(AM$10=IF(ISBLANK(Предпосылки!$E58),$E$10,Предпосылки!$E58),1,0)</f>
        <v>0</v>
      </c>
      <c s="124">
        <f>IF(AN$10=IF(ISBLANK(Предпосылки!$E58),$E$10,Предпосылки!$E58),1,0)</f>
        <v>0</v>
      </c>
      <c s="124">
        <f>IF(AO$10=IF(ISBLANK(Предпосылки!$E58),$E$10,Предпосылки!$E58),1,0)</f>
        <v>0</v>
      </c>
      <c s="124">
        <f>IF(AP$10=IF(ISBLANK(Предпосылки!$E58),$E$10,Предпосылки!$E58),1,0)</f>
        <v>0</v>
      </c>
      <c s="124">
        <f>IF(AQ$10=IF(ISBLANK(Предпосылки!$E58),$E$10,Предпосылки!$E58),1,0)</f>
        <v>0</v>
      </c>
      <c s="124">
        <f>IF(AR$10=IF(ISBLANK(Предпосылки!$E58),$E$10,Предпосылки!$E58),1,0)</f>
        <v>0</v>
      </c>
      <c s="124">
        <f>IF(AS$10=IF(ISBLANK(Предпосылки!$E58),$E$10,Предпосылки!$E58),1,0)</f>
        <v>0</v>
      </c>
      <c s="124">
        <f>IF(AT$10=IF(ISBLANK(Предпосылки!$E58),$E$10,Предпосылки!$E58),1,0)</f>
        <v>0</v>
      </c>
      <c s="124">
        <f>IF(AU$10=IF(ISBLANK(Предпосылки!$E58),$E$10,Предпосылки!$E58),1,0)</f>
        <v>0</v>
      </c>
      <c s="124">
        <f>IF(AV$10=IF(ISBLANK(Предпосылки!$E58),$E$10,Предпосылки!$E58),1,0)</f>
        <v>0</v>
      </c>
      <c s="124">
        <f>IF(AW$10=IF(ISBLANK(Предпосылки!$E58),$E$10,Предпосылки!$E58),1,0)</f>
        <v>0</v>
      </c>
      <c s="124">
        <f>IF(AX$10=IF(ISBLANK(Предпосылки!$E58),$E$10,Предпосылки!$E58),1,0)</f>
        <v>0</v>
      </c>
      <c s="124">
        <f>IF(AY$10=IF(ISBLANK(Предпосылки!$E58),$E$10,Предпосылки!$E58),1,0)</f>
        <v>0</v>
      </c>
      <c s="124">
        <f>IF(AZ$10=IF(ISBLANK(Предпосылки!$E58),$E$10,Предпосылки!$E58),1,0)</f>
        <v>0</v>
      </c>
      <c s="124">
        <f>IF(BA$10=IF(ISBLANK(Предпосылки!$E58),$E$10,Предпосылки!$E58),1,0)</f>
        <v>0</v>
      </c>
      <c s="124">
        <f>IF(BB$10=IF(ISBLANK(Предпосылки!$E58),$E$10,Предпосылки!$E58),1,0)</f>
        <v>0</v>
      </c>
      <c s="124">
        <f>IF(BC$10=IF(ISBLANK(Предпосылки!$E58),$E$10,Предпосылки!$E58),1,0)</f>
        <v>0</v>
      </c>
      <c s="124">
        <f>IF(BD$10=IF(ISBLANK(Предпосылки!$E58),$E$10,Предпосылки!$E58),1,0)</f>
        <v>0</v>
      </c>
      <c s="124">
        <f>IF(BE$10=IF(ISBLANK(Предпосылки!$E58),$E$10,Предпосылки!$E58),1,0)</f>
        <v>0</v>
      </c>
      <c s="124">
        <f>IF(BF$10=IF(ISBLANK(Предпосылки!$E58),$E$10,Предпосылки!$E58),1,0)</f>
        <v>0</v>
      </c>
      <c s="124">
        <f>IF(BG$10=IF(ISBLANK(Предпосылки!$E58),$E$10,Предпосылки!$E58),1,0)</f>
        <v>0</v>
      </c>
      <c s="124">
        <f>IF(BH$10=IF(ISBLANK(Предпосылки!$E58),$E$10,Предпосылки!$E58),1,0)</f>
        <v>0</v>
      </c>
      <c s="124">
        <f>IF(BI$10=IF(ISBLANK(Предпосылки!$E58),$E$10,Предпосылки!$E58),1,0)</f>
        <v>0</v>
      </c>
      <c s="124">
        <f>IF(BJ$10=IF(ISBLANK(Предпосылки!$E58),$E$10,Предпосылки!$E58),1,0)</f>
        <v>0</v>
      </c>
      <c s="124">
        <f>IF(BK$10=IF(ISBLANK(Предпосылки!$E58),$E$10,Предпосылки!$E58),1,0)</f>
        <v>0</v>
      </c>
      <c s="124">
        <f>IF(BL$10=IF(ISBLANK(Предпосылки!$E58),$E$10,Предпосылки!$E58),1,0)</f>
        <v>0</v>
      </c>
      <c s="124">
        <f>IF(BM$10=IF(ISBLANK(Предпосылки!$E58),$E$10,Предпосылки!$E58),1,0)</f>
        <v>0</v>
      </c>
    </row>
    <row r="350" spans="2:65" ht="15" customHeight="1">
      <c r="B350" s="12" t="str">
        <f t="shared" si="115"/>
        <v>-</v>
      </c>
      <c s="124" t="s">
        <v>824</v>
      </c>
      <c s="124"/>
      <c s="124">
        <f>IF(E$10=IF(ISBLANK(Предпосылки!$E59),$E$10,Предпосылки!$E59),1,0)</f>
        <v>1</v>
      </c>
      <c s="124">
        <f>IF(F$10=IF(ISBLANK(Предпосылки!$E59),$E$10,Предпосылки!$E59),1,0)</f>
        <v>0</v>
      </c>
      <c s="124">
        <f>IF(G$10=IF(ISBLANK(Предпосылки!$E59),$E$10,Предпосылки!$E59),1,0)</f>
        <v>0</v>
      </c>
      <c s="124">
        <f>IF(H$10=IF(ISBLANK(Предпосылки!$E59),$E$10,Предпосылки!$E59),1,0)</f>
        <v>0</v>
      </c>
      <c s="124">
        <f>IF(I$10=IF(ISBLANK(Предпосылки!$E59),$E$10,Предпосылки!$E59),1,0)</f>
        <v>0</v>
      </c>
      <c s="124">
        <f>IF(J$10=IF(ISBLANK(Предпосылки!$E59),$E$10,Предпосылки!$E59),1,0)</f>
        <v>0</v>
      </c>
      <c s="124">
        <f>IF(K$10=IF(ISBLANK(Предпосылки!$E59),$E$10,Предпосылки!$E59),1,0)</f>
        <v>0</v>
      </c>
      <c s="124">
        <f>IF(L$10=IF(ISBLANK(Предпосылки!$E59),$E$10,Предпосылки!$E59),1,0)</f>
        <v>0</v>
      </c>
      <c s="124">
        <f>IF(M$10=IF(ISBLANK(Предпосылки!$E59),$E$10,Предпосылки!$E59),1,0)</f>
        <v>0</v>
      </c>
      <c s="124">
        <f>IF(N$10=IF(ISBLANK(Предпосылки!$E59),$E$10,Предпосылки!$E59),1,0)</f>
        <v>0</v>
      </c>
      <c s="124">
        <f>IF(O$10=IF(ISBLANK(Предпосылки!$E59),$E$10,Предпосылки!$E59),1,0)</f>
        <v>0</v>
      </c>
      <c s="124">
        <f>IF(P$10=IF(ISBLANK(Предпосылки!$E59),$E$10,Предпосылки!$E59),1,0)</f>
        <v>0</v>
      </c>
      <c s="124">
        <f>IF(Q$10=IF(ISBLANK(Предпосылки!$E59),$E$10,Предпосылки!$E59),1,0)</f>
        <v>0</v>
      </c>
      <c s="124">
        <f>IF(R$10=IF(ISBLANK(Предпосылки!$E59),$E$10,Предпосылки!$E59),1,0)</f>
        <v>0</v>
      </c>
      <c s="124">
        <f>IF(S$10=IF(ISBLANK(Предпосылки!$E59),$E$10,Предпосылки!$E59),1,0)</f>
        <v>0</v>
      </c>
      <c s="124">
        <f>IF(T$10=IF(ISBLANK(Предпосылки!$E59),$E$10,Предпосылки!$E59),1,0)</f>
        <v>0</v>
      </c>
      <c s="124">
        <f>IF(U$10=IF(ISBLANK(Предпосылки!$E59),$E$10,Предпосылки!$E59),1,0)</f>
        <v>0</v>
      </c>
      <c s="124">
        <f>IF(V$10=IF(ISBLANK(Предпосылки!$E59),$E$10,Предпосылки!$E59),1,0)</f>
        <v>0</v>
      </c>
      <c s="124">
        <f>IF(W$10=IF(ISBLANK(Предпосылки!$E59),$E$10,Предпосылки!$E59),1,0)</f>
        <v>0</v>
      </c>
      <c s="124">
        <f>IF(X$10=IF(ISBLANK(Предпосылки!$E59),$E$10,Предпосылки!$E59),1,0)</f>
        <v>0</v>
      </c>
      <c s="124">
        <f>IF(Y$10=IF(ISBLANK(Предпосылки!$E59),$E$10,Предпосылки!$E59),1,0)</f>
        <v>0</v>
      </c>
      <c s="124">
        <f>IF(Z$10=IF(ISBLANK(Предпосылки!$E59),$E$10,Предпосылки!$E59),1,0)</f>
        <v>0</v>
      </c>
      <c s="124">
        <f>IF(AA$10=IF(ISBLANK(Предпосылки!$E59),$E$10,Предпосылки!$E59),1,0)</f>
        <v>0</v>
      </c>
      <c s="124">
        <f>IF(AB$10=IF(ISBLANK(Предпосылки!$E59),$E$10,Предпосылки!$E59),1,0)</f>
        <v>0</v>
      </c>
      <c s="124">
        <f>IF(AC$10=IF(ISBLANK(Предпосылки!$E59),$E$10,Предпосылки!$E59),1,0)</f>
        <v>0</v>
      </c>
      <c s="124">
        <f>IF(AD$10=IF(ISBLANK(Предпосылки!$E59),$E$10,Предпосылки!$E59),1,0)</f>
        <v>0</v>
      </c>
      <c s="124">
        <f>IF(AE$10=IF(ISBLANK(Предпосылки!$E59),$E$10,Предпосылки!$E59),1,0)</f>
        <v>0</v>
      </c>
      <c s="124">
        <f>IF(AF$10=IF(ISBLANK(Предпосылки!$E59),$E$10,Предпосылки!$E59),1,0)</f>
        <v>0</v>
      </c>
      <c s="124">
        <f>IF(AG$10=IF(ISBLANK(Предпосылки!$E59),$E$10,Предпосылки!$E59),1,0)</f>
        <v>0</v>
      </c>
      <c s="124">
        <f>IF(AH$10=IF(ISBLANK(Предпосылки!$E59),$E$10,Предпосылки!$E59),1,0)</f>
        <v>0</v>
      </c>
      <c s="124">
        <f>IF(AI$10=IF(ISBLANK(Предпосылки!$E59),$E$10,Предпосылки!$E59),1,0)</f>
        <v>0</v>
      </c>
      <c s="124">
        <f>IF(AJ$10=IF(ISBLANK(Предпосылки!$E59),$E$10,Предпосылки!$E59),1,0)</f>
        <v>0</v>
      </c>
      <c s="124">
        <f>IF(AK$10=IF(ISBLANK(Предпосылки!$E59),$E$10,Предпосылки!$E59),1,0)</f>
        <v>0</v>
      </c>
      <c s="124">
        <f>IF(AL$10=IF(ISBLANK(Предпосылки!$E59),$E$10,Предпосылки!$E59),1,0)</f>
        <v>0</v>
      </c>
      <c s="124">
        <f>IF(AM$10=IF(ISBLANK(Предпосылки!$E59),$E$10,Предпосылки!$E59),1,0)</f>
        <v>0</v>
      </c>
      <c s="124">
        <f>IF(AN$10=IF(ISBLANK(Предпосылки!$E59),$E$10,Предпосылки!$E59),1,0)</f>
        <v>0</v>
      </c>
      <c s="124">
        <f>IF(AO$10=IF(ISBLANK(Предпосылки!$E59),$E$10,Предпосылки!$E59),1,0)</f>
        <v>0</v>
      </c>
      <c s="124">
        <f>IF(AP$10=IF(ISBLANK(Предпосылки!$E59),$E$10,Предпосылки!$E59),1,0)</f>
        <v>0</v>
      </c>
      <c s="124">
        <f>IF(AQ$10=IF(ISBLANK(Предпосылки!$E59),$E$10,Предпосылки!$E59),1,0)</f>
        <v>0</v>
      </c>
      <c s="124">
        <f>IF(AR$10=IF(ISBLANK(Предпосылки!$E59),$E$10,Предпосылки!$E59),1,0)</f>
        <v>0</v>
      </c>
      <c s="124">
        <f>IF(AS$10=IF(ISBLANK(Предпосылки!$E59),$E$10,Предпосылки!$E59),1,0)</f>
        <v>0</v>
      </c>
      <c s="124">
        <f>IF(AT$10=IF(ISBLANK(Предпосылки!$E59),$E$10,Предпосылки!$E59),1,0)</f>
        <v>0</v>
      </c>
      <c s="124">
        <f>IF(AU$10=IF(ISBLANK(Предпосылки!$E59),$E$10,Предпосылки!$E59),1,0)</f>
        <v>0</v>
      </c>
      <c s="124">
        <f>IF(AV$10=IF(ISBLANK(Предпосылки!$E59),$E$10,Предпосылки!$E59),1,0)</f>
        <v>0</v>
      </c>
      <c s="124">
        <f>IF(AW$10=IF(ISBLANK(Предпосылки!$E59),$E$10,Предпосылки!$E59),1,0)</f>
        <v>0</v>
      </c>
      <c s="124">
        <f>IF(AX$10=IF(ISBLANK(Предпосылки!$E59),$E$10,Предпосылки!$E59),1,0)</f>
        <v>0</v>
      </c>
      <c s="124">
        <f>IF(AY$10=IF(ISBLANK(Предпосылки!$E59),$E$10,Предпосылки!$E59),1,0)</f>
        <v>0</v>
      </c>
      <c s="124">
        <f>IF(AZ$10=IF(ISBLANK(Предпосылки!$E59),$E$10,Предпосылки!$E59),1,0)</f>
        <v>0</v>
      </c>
      <c s="124">
        <f>IF(BA$10=IF(ISBLANK(Предпосылки!$E59),$E$10,Предпосылки!$E59),1,0)</f>
        <v>0</v>
      </c>
      <c s="124">
        <f>IF(BB$10=IF(ISBLANK(Предпосылки!$E59),$E$10,Предпосылки!$E59),1,0)</f>
        <v>0</v>
      </c>
      <c s="124">
        <f>IF(BC$10=IF(ISBLANK(Предпосылки!$E59),$E$10,Предпосылки!$E59),1,0)</f>
        <v>0</v>
      </c>
      <c s="124">
        <f>IF(BD$10=IF(ISBLANK(Предпосылки!$E59),$E$10,Предпосылки!$E59),1,0)</f>
        <v>0</v>
      </c>
      <c s="124">
        <f>IF(BE$10=IF(ISBLANK(Предпосылки!$E59),$E$10,Предпосылки!$E59),1,0)</f>
        <v>0</v>
      </c>
      <c s="124">
        <f>IF(BF$10=IF(ISBLANK(Предпосылки!$E59),$E$10,Предпосылки!$E59),1,0)</f>
        <v>0</v>
      </c>
      <c s="124">
        <f>IF(BG$10=IF(ISBLANK(Предпосылки!$E59),$E$10,Предпосылки!$E59),1,0)</f>
        <v>0</v>
      </c>
      <c s="124">
        <f>IF(BH$10=IF(ISBLANK(Предпосылки!$E59),$E$10,Предпосылки!$E59),1,0)</f>
        <v>0</v>
      </c>
      <c s="124">
        <f>IF(BI$10=IF(ISBLANK(Предпосылки!$E59),$E$10,Предпосылки!$E59),1,0)</f>
        <v>0</v>
      </c>
      <c s="124">
        <f>IF(BJ$10=IF(ISBLANK(Предпосылки!$E59),$E$10,Предпосылки!$E59),1,0)</f>
        <v>0</v>
      </c>
      <c s="124">
        <f>IF(BK$10=IF(ISBLANK(Предпосылки!$E59),$E$10,Предпосылки!$E59),1,0)</f>
        <v>0</v>
      </c>
      <c s="124">
        <f>IF(BL$10=IF(ISBLANK(Предпосылки!$E59),$E$10,Предпосылки!$E59),1,0)</f>
        <v>0</v>
      </c>
      <c s="124">
        <f>IF(BM$10=IF(ISBLANK(Предпосылки!$E59),$E$10,Предпосылки!$E59),1,0)</f>
        <v>0</v>
      </c>
    </row>
    <row r="351" spans="2:65" ht="15" customHeight="1">
      <c r="B351" s="12" t="str">
        <f t="shared" si="115"/>
        <v>-</v>
      </c>
      <c s="124" t="s">
        <v>824</v>
      </c>
      <c s="124"/>
      <c s="124">
        <f>IF(E$10=IF(ISBLANK(Предпосылки!$E60),$E$10,Предпосылки!$E60),1,0)</f>
        <v>1</v>
      </c>
      <c s="124">
        <f>IF(F$10=IF(ISBLANK(Предпосылки!$E60),$E$10,Предпосылки!$E60),1,0)</f>
        <v>0</v>
      </c>
      <c s="124">
        <f>IF(G$10=IF(ISBLANK(Предпосылки!$E60),$E$10,Предпосылки!$E60),1,0)</f>
        <v>0</v>
      </c>
      <c s="124">
        <f>IF(H$10=IF(ISBLANK(Предпосылки!$E60),$E$10,Предпосылки!$E60),1,0)</f>
        <v>0</v>
      </c>
      <c s="124">
        <f>IF(I$10=IF(ISBLANK(Предпосылки!$E60),$E$10,Предпосылки!$E60),1,0)</f>
        <v>0</v>
      </c>
      <c s="124">
        <f>IF(J$10=IF(ISBLANK(Предпосылки!$E60),$E$10,Предпосылки!$E60),1,0)</f>
        <v>0</v>
      </c>
      <c s="124">
        <f>IF(K$10=IF(ISBLANK(Предпосылки!$E60),$E$10,Предпосылки!$E60),1,0)</f>
        <v>0</v>
      </c>
      <c s="124">
        <f>IF(L$10=IF(ISBLANK(Предпосылки!$E60),$E$10,Предпосылки!$E60),1,0)</f>
        <v>0</v>
      </c>
      <c s="124">
        <f>IF(M$10=IF(ISBLANK(Предпосылки!$E60),$E$10,Предпосылки!$E60),1,0)</f>
        <v>0</v>
      </c>
      <c s="124">
        <f>IF(N$10=IF(ISBLANK(Предпосылки!$E60),$E$10,Предпосылки!$E60),1,0)</f>
        <v>0</v>
      </c>
      <c s="124">
        <f>IF(O$10=IF(ISBLANK(Предпосылки!$E60),$E$10,Предпосылки!$E60),1,0)</f>
        <v>0</v>
      </c>
      <c s="124">
        <f>IF(P$10=IF(ISBLANK(Предпосылки!$E60),$E$10,Предпосылки!$E60),1,0)</f>
        <v>0</v>
      </c>
      <c s="124">
        <f>IF(Q$10=IF(ISBLANK(Предпосылки!$E60),$E$10,Предпосылки!$E60),1,0)</f>
        <v>0</v>
      </c>
      <c s="124">
        <f>IF(R$10=IF(ISBLANK(Предпосылки!$E60),$E$10,Предпосылки!$E60),1,0)</f>
        <v>0</v>
      </c>
      <c s="124">
        <f>IF(S$10=IF(ISBLANK(Предпосылки!$E60),$E$10,Предпосылки!$E60),1,0)</f>
        <v>0</v>
      </c>
      <c s="124">
        <f>IF(T$10=IF(ISBLANK(Предпосылки!$E60),$E$10,Предпосылки!$E60),1,0)</f>
        <v>0</v>
      </c>
      <c s="124">
        <f>IF(U$10=IF(ISBLANK(Предпосылки!$E60),$E$10,Предпосылки!$E60),1,0)</f>
        <v>0</v>
      </c>
      <c s="124">
        <f>IF(V$10=IF(ISBLANK(Предпосылки!$E60),$E$10,Предпосылки!$E60),1,0)</f>
        <v>0</v>
      </c>
      <c s="124">
        <f>IF(W$10=IF(ISBLANK(Предпосылки!$E60),$E$10,Предпосылки!$E60),1,0)</f>
        <v>0</v>
      </c>
      <c s="124">
        <f>IF(X$10=IF(ISBLANK(Предпосылки!$E60),$E$10,Предпосылки!$E60),1,0)</f>
        <v>0</v>
      </c>
      <c s="124">
        <f>IF(Y$10=IF(ISBLANK(Предпосылки!$E60),$E$10,Предпосылки!$E60),1,0)</f>
        <v>0</v>
      </c>
      <c s="124">
        <f>IF(Z$10=IF(ISBLANK(Предпосылки!$E60),$E$10,Предпосылки!$E60),1,0)</f>
        <v>0</v>
      </c>
      <c s="124">
        <f>IF(AA$10=IF(ISBLANK(Предпосылки!$E60),$E$10,Предпосылки!$E60),1,0)</f>
        <v>0</v>
      </c>
      <c s="124">
        <f>IF(AB$10=IF(ISBLANK(Предпосылки!$E60),$E$10,Предпосылки!$E60),1,0)</f>
        <v>0</v>
      </c>
      <c s="124">
        <f>IF(AC$10=IF(ISBLANK(Предпосылки!$E60),$E$10,Предпосылки!$E60),1,0)</f>
        <v>0</v>
      </c>
      <c s="124">
        <f>IF(AD$10=IF(ISBLANK(Предпосылки!$E60),$E$10,Предпосылки!$E60),1,0)</f>
        <v>0</v>
      </c>
      <c s="124">
        <f>IF(AE$10=IF(ISBLANK(Предпосылки!$E60),$E$10,Предпосылки!$E60),1,0)</f>
        <v>0</v>
      </c>
      <c s="124">
        <f>IF(AF$10=IF(ISBLANK(Предпосылки!$E60),$E$10,Предпосылки!$E60),1,0)</f>
        <v>0</v>
      </c>
      <c s="124">
        <f>IF(AG$10=IF(ISBLANK(Предпосылки!$E60),$E$10,Предпосылки!$E60),1,0)</f>
        <v>0</v>
      </c>
      <c s="124">
        <f>IF(AH$10=IF(ISBLANK(Предпосылки!$E60),$E$10,Предпосылки!$E60),1,0)</f>
        <v>0</v>
      </c>
      <c s="124">
        <f>IF(AI$10=IF(ISBLANK(Предпосылки!$E60),$E$10,Предпосылки!$E60),1,0)</f>
        <v>0</v>
      </c>
      <c s="124">
        <f>IF(AJ$10=IF(ISBLANK(Предпосылки!$E60),$E$10,Предпосылки!$E60),1,0)</f>
        <v>0</v>
      </c>
      <c s="124">
        <f>IF(AK$10=IF(ISBLANK(Предпосылки!$E60),$E$10,Предпосылки!$E60),1,0)</f>
        <v>0</v>
      </c>
      <c s="124">
        <f>IF(AL$10=IF(ISBLANK(Предпосылки!$E60),$E$10,Предпосылки!$E60),1,0)</f>
        <v>0</v>
      </c>
      <c s="124">
        <f>IF(AM$10=IF(ISBLANK(Предпосылки!$E60),$E$10,Предпосылки!$E60),1,0)</f>
        <v>0</v>
      </c>
      <c s="124">
        <f>IF(AN$10=IF(ISBLANK(Предпосылки!$E60),$E$10,Предпосылки!$E60),1,0)</f>
        <v>0</v>
      </c>
      <c s="124">
        <f>IF(AO$10=IF(ISBLANK(Предпосылки!$E60),$E$10,Предпосылки!$E60),1,0)</f>
        <v>0</v>
      </c>
      <c s="124">
        <f>IF(AP$10=IF(ISBLANK(Предпосылки!$E60),$E$10,Предпосылки!$E60),1,0)</f>
        <v>0</v>
      </c>
      <c s="124">
        <f>IF(AQ$10=IF(ISBLANK(Предпосылки!$E60),$E$10,Предпосылки!$E60),1,0)</f>
        <v>0</v>
      </c>
      <c s="124">
        <f>IF(AR$10=IF(ISBLANK(Предпосылки!$E60),$E$10,Предпосылки!$E60),1,0)</f>
        <v>0</v>
      </c>
      <c s="124">
        <f>IF(AS$10=IF(ISBLANK(Предпосылки!$E60),$E$10,Предпосылки!$E60),1,0)</f>
        <v>0</v>
      </c>
      <c s="124">
        <f>IF(AT$10=IF(ISBLANK(Предпосылки!$E60),$E$10,Предпосылки!$E60),1,0)</f>
        <v>0</v>
      </c>
      <c s="124">
        <f>IF(AU$10=IF(ISBLANK(Предпосылки!$E60),$E$10,Предпосылки!$E60),1,0)</f>
        <v>0</v>
      </c>
      <c s="124">
        <f>IF(AV$10=IF(ISBLANK(Предпосылки!$E60),$E$10,Предпосылки!$E60),1,0)</f>
        <v>0</v>
      </c>
      <c s="124">
        <f>IF(AW$10=IF(ISBLANK(Предпосылки!$E60),$E$10,Предпосылки!$E60),1,0)</f>
        <v>0</v>
      </c>
      <c s="124">
        <f>IF(AX$10=IF(ISBLANK(Предпосылки!$E60),$E$10,Предпосылки!$E60),1,0)</f>
        <v>0</v>
      </c>
      <c s="124">
        <f>IF(AY$10=IF(ISBLANK(Предпосылки!$E60),$E$10,Предпосылки!$E60),1,0)</f>
        <v>0</v>
      </c>
      <c s="124">
        <f>IF(AZ$10=IF(ISBLANK(Предпосылки!$E60),$E$10,Предпосылки!$E60),1,0)</f>
        <v>0</v>
      </c>
      <c s="124">
        <f>IF(BA$10=IF(ISBLANK(Предпосылки!$E60),$E$10,Предпосылки!$E60),1,0)</f>
        <v>0</v>
      </c>
      <c s="124">
        <f>IF(BB$10=IF(ISBLANK(Предпосылки!$E60),$E$10,Предпосылки!$E60),1,0)</f>
        <v>0</v>
      </c>
      <c s="124">
        <f>IF(BC$10=IF(ISBLANK(Предпосылки!$E60),$E$10,Предпосылки!$E60),1,0)</f>
        <v>0</v>
      </c>
      <c s="124">
        <f>IF(BD$10=IF(ISBLANK(Предпосылки!$E60),$E$10,Предпосылки!$E60),1,0)</f>
        <v>0</v>
      </c>
      <c s="124">
        <f>IF(BE$10=IF(ISBLANK(Предпосылки!$E60),$E$10,Предпосылки!$E60),1,0)</f>
        <v>0</v>
      </c>
      <c s="124">
        <f>IF(BF$10=IF(ISBLANK(Предпосылки!$E60),$E$10,Предпосылки!$E60),1,0)</f>
        <v>0</v>
      </c>
      <c s="124">
        <f>IF(BG$10=IF(ISBLANK(Предпосылки!$E60),$E$10,Предпосылки!$E60),1,0)</f>
        <v>0</v>
      </c>
      <c s="124">
        <f>IF(BH$10=IF(ISBLANK(Предпосылки!$E60),$E$10,Предпосылки!$E60),1,0)</f>
        <v>0</v>
      </c>
      <c s="124">
        <f>IF(BI$10=IF(ISBLANK(Предпосылки!$E60),$E$10,Предпосылки!$E60),1,0)</f>
        <v>0</v>
      </c>
      <c s="124">
        <f>IF(BJ$10=IF(ISBLANK(Предпосылки!$E60),$E$10,Предпосылки!$E60),1,0)</f>
        <v>0</v>
      </c>
      <c s="124">
        <f>IF(BK$10=IF(ISBLANK(Предпосылки!$E60),$E$10,Предпосылки!$E60),1,0)</f>
        <v>0</v>
      </c>
      <c s="124">
        <f>IF(BL$10=IF(ISBLANK(Предпосылки!$E60),$E$10,Предпосылки!$E60),1,0)</f>
        <v>0</v>
      </c>
      <c s="124">
        <f>IF(BM$10=IF(ISBLANK(Предпосылки!$E60),$E$10,Предпосылки!$E60),1,0)</f>
        <v>0</v>
      </c>
    </row>
    <row r="352" spans="2:65" ht="15" customHeight="1">
      <c r="B352" s="12" t="str">
        <f t="shared" si="115"/>
        <v>-</v>
      </c>
      <c s="124" t="s">
        <v>824</v>
      </c>
      <c s="124"/>
      <c s="124">
        <f>IF(E$10=IF(ISBLANK(Предпосылки!$E61),$E$10,Предпосылки!$E61),1,0)</f>
        <v>1</v>
      </c>
      <c s="124">
        <f>IF(F$10=IF(ISBLANK(Предпосылки!$E61),$E$10,Предпосылки!$E61),1,0)</f>
        <v>0</v>
      </c>
      <c s="124">
        <f>IF(G$10=IF(ISBLANK(Предпосылки!$E61),$E$10,Предпосылки!$E61),1,0)</f>
        <v>0</v>
      </c>
      <c s="124">
        <f>IF(H$10=IF(ISBLANK(Предпосылки!$E61),$E$10,Предпосылки!$E61),1,0)</f>
        <v>0</v>
      </c>
      <c s="124">
        <f>IF(I$10=IF(ISBLANK(Предпосылки!$E61),$E$10,Предпосылки!$E61),1,0)</f>
        <v>0</v>
      </c>
      <c s="124">
        <f>IF(J$10=IF(ISBLANK(Предпосылки!$E61),$E$10,Предпосылки!$E61),1,0)</f>
        <v>0</v>
      </c>
      <c s="124">
        <f>IF(K$10=IF(ISBLANK(Предпосылки!$E61),$E$10,Предпосылки!$E61),1,0)</f>
        <v>0</v>
      </c>
      <c s="124">
        <f>IF(L$10=IF(ISBLANK(Предпосылки!$E61),$E$10,Предпосылки!$E61),1,0)</f>
        <v>0</v>
      </c>
      <c s="124">
        <f>IF(M$10=IF(ISBLANK(Предпосылки!$E61),$E$10,Предпосылки!$E61),1,0)</f>
        <v>0</v>
      </c>
      <c s="124">
        <f>IF(N$10=IF(ISBLANK(Предпосылки!$E61),$E$10,Предпосылки!$E61),1,0)</f>
        <v>0</v>
      </c>
      <c s="124">
        <f>IF(O$10=IF(ISBLANK(Предпосылки!$E61),$E$10,Предпосылки!$E61),1,0)</f>
        <v>0</v>
      </c>
      <c s="124">
        <f>IF(P$10=IF(ISBLANK(Предпосылки!$E61),$E$10,Предпосылки!$E61),1,0)</f>
        <v>0</v>
      </c>
      <c s="124">
        <f>IF(Q$10=IF(ISBLANK(Предпосылки!$E61),$E$10,Предпосылки!$E61),1,0)</f>
        <v>0</v>
      </c>
      <c s="124">
        <f>IF(R$10=IF(ISBLANK(Предпосылки!$E61),$E$10,Предпосылки!$E61),1,0)</f>
        <v>0</v>
      </c>
      <c s="124">
        <f>IF(S$10=IF(ISBLANK(Предпосылки!$E61),$E$10,Предпосылки!$E61),1,0)</f>
        <v>0</v>
      </c>
      <c s="124">
        <f>IF(T$10=IF(ISBLANK(Предпосылки!$E61),$E$10,Предпосылки!$E61),1,0)</f>
        <v>0</v>
      </c>
      <c s="124">
        <f>IF(U$10=IF(ISBLANK(Предпосылки!$E61),$E$10,Предпосылки!$E61),1,0)</f>
        <v>0</v>
      </c>
      <c s="124">
        <f>IF(V$10=IF(ISBLANK(Предпосылки!$E61),$E$10,Предпосылки!$E61),1,0)</f>
        <v>0</v>
      </c>
      <c s="124">
        <f>IF(W$10=IF(ISBLANK(Предпосылки!$E61),$E$10,Предпосылки!$E61),1,0)</f>
        <v>0</v>
      </c>
      <c s="124">
        <f>IF(X$10=IF(ISBLANK(Предпосылки!$E61),$E$10,Предпосылки!$E61),1,0)</f>
        <v>0</v>
      </c>
      <c s="124">
        <f>IF(Y$10=IF(ISBLANK(Предпосылки!$E61),$E$10,Предпосылки!$E61),1,0)</f>
        <v>0</v>
      </c>
      <c s="124">
        <f>IF(Z$10=IF(ISBLANK(Предпосылки!$E61),$E$10,Предпосылки!$E61),1,0)</f>
        <v>0</v>
      </c>
      <c s="124">
        <f>IF(AA$10=IF(ISBLANK(Предпосылки!$E61),$E$10,Предпосылки!$E61),1,0)</f>
        <v>0</v>
      </c>
      <c s="124">
        <f>IF(AB$10=IF(ISBLANK(Предпосылки!$E61),$E$10,Предпосылки!$E61),1,0)</f>
        <v>0</v>
      </c>
      <c s="124">
        <f>IF(AC$10=IF(ISBLANK(Предпосылки!$E61),$E$10,Предпосылки!$E61),1,0)</f>
        <v>0</v>
      </c>
      <c s="124">
        <f>IF(AD$10=IF(ISBLANK(Предпосылки!$E61),$E$10,Предпосылки!$E61),1,0)</f>
        <v>0</v>
      </c>
      <c s="124">
        <f>IF(AE$10=IF(ISBLANK(Предпосылки!$E61),$E$10,Предпосылки!$E61),1,0)</f>
        <v>0</v>
      </c>
      <c s="124">
        <f>IF(AF$10=IF(ISBLANK(Предпосылки!$E61),$E$10,Предпосылки!$E61),1,0)</f>
        <v>0</v>
      </c>
      <c s="124">
        <f>IF(AG$10=IF(ISBLANK(Предпосылки!$E61),$E$10,Предпосылки!$E61),1,0)</f>
        <v>0</v>
      </c>
      <c s="124">
        <f>IF(AH$10=IF(ISBLANK(Предпосылки!$E61),$E$10,Предпосылки!$E61),1,0)</f>
        <v>0</v>
      </c>
      <c s="124">
        <f>IF(AI$10=IF(ISBLANK(Предпосылки!$E61),$E$10,Предпосылки!$E61),1,0)</f>
        <v>0</v>
      </c>
      <c s="124">
        <f>IF(AJ$10=IF(ISBLANK(Предпосылки!$E61),$E$10,Предпосылки!$E61),1,0)</f>
        <v>0</v>
      </c>
      <c s="124">
        <f>IF(AK$10=IF(ISBLANK(Предпосылки!$E61),$E$10,Предпосылки!$E61),1,0)</f>
        <v>0</v>
      </c>
      <c s="124">
        <f>IF(AL$10=IF(ISBLANK(Предпосылки!$E61),$E$10,Предпосылки!$E61),1,0)</f>
        <v>0</v>
      </c>
      <c s="124">
        <f>IF(AM$10=IF(ISBLANK(Предпосылки!$E61),$E$10,Предпосылки!$E61),1,0)</f>
        <v>0</v>
      </c>
      <c s="124">
        <f>IF(AN$10=IF(ISBLANK(Предпосылки!$E61),$E$10,Предпосылки!$E61),1,0)</f>
        <v>0</v>
      </c>
      <c s="124">
        <f>IF(AO$10=IF(ISBLANK(Предпосылки!$E61),$E$10,Предпосылки!$E61),1,0)</f>
        <v>0</v>
      </c>
      <c s="124">
        <f>IF(AP$10=IF(ISBLANK(Предпосылки!$E61),$E$10,Предпосылки!$E61),1,0)</f>
        <v>0</v>
      </c>
      <c s="124">
        <f>IF(AQ$10=IF(ISBLANK(Предпосылки!$E61),$E$10,Предпосылки!$E61),1,0)</f>
        <v>0</v>
      </c>
      <c s="124">
        <f>IF(AR$10=IF(ISBLANK(Предпосылки!$E61),$E$10,Предпосылки!$E61),1,0)</f>
        <v>0</v>
      </c>
      <c s="124">
        <f>IF(AS$10=IF(ISBLANK(Предпосылки!$E61),$E$10,Предпосылки!$E61),1,0)</f>
        <v>0</v>
      </c>
      <c s="124">
        <f>IF(AT$10=IF(ISBLANK(Предпосылки!$E61),$E$10,Предпосылки!$E61),1,0)</f>
        <v>0</v>
      </c>
      <c s="124">
        <f>IF(AU$10=IF(ISBLANK(Предпосылки!$E61),$E$10,Предпосылки!$E61),1,0)</f>
        <v>0</v>
      </c>
      <c s="124">
        <f>IF(AV$10=IF(ISBLANK(Предпосылки!$E61),$E$10,Предпосылки!$E61),1,0)</f>
        <v>0</v>
      </c>
      <c s="124">
        <f>IF(AW$10=IF(ISBLANK(Предпосылки!$E61),$E$10,Предпосылки!$E61),1,0)</f>
        <v>0</v>
      </c>
      <c s="124">
        <f>IF(AX$10=IF(ISBLANK(Предпосылки!$E61),$E$10,Предпосылки!$E61),1,0)</f>
        <v>0</v>
      </c>
      <c s="124">
        <f>IF(AY$10=IF(ISBLANK(Предпосылки!$E61),$E$10,Предпосылки!$E61),1,0)</f>
        <v>0</v>
      </c>
      <c s="124">
        <f>IF(AZ$10=IF(ISBLANK(Предпосылки!$E61),$E$10,Предпосылки!$E61),1,0)</f>
        <v>0</v>
      </c>
      <c s="124">
        <f>IF(BA$10=IF(ISBLANK(Предпосылки!$E61),$E$10,Предпосылки!$E61),1,0)</f>
        <v>0</v>
      </c>
      <c s="124">
        <f>IF(BB$10=IF(ISBLANK(Предпосылки!$E61),$E$10,Предпосылки!$E61),1,0)</f>
        <v>0</v>
      </c>
      <c s="124">
        <f>IF(BC$10=IF(ISBLANK(Предпосылки!$E61),$E$10,Предпосылки!$E61),1,0)</f>
        <v>0</v>
      </c>
      <c s="124">
        <f>IF(BD$10=IF(ISBLANK(Предпосылки!$E61),$E$10,Предпосылки!$E61),1,0)</f>
        <v>0</v>
      </c>
      <c s="124">
        <f>IF(BE$10=IF(ISBLANK(Предпосылки!$E61),$E$10,Предпосылки!$E61),1,0)</f>
        <v>0</v>
      </c>
      <c s="124">
        <f>IF(BF$10=IF(ISBLANK(Предпосылки!$E61),$E$10,Предпосылки!$E61),1,0)</f>
        <v>0</v>
      </c>
      <c s="124">
        <f>IF(BG$10=IF(ISBLANK(Предпосылки!$E61),$E$10,Предпосылки!$E61),1,0)</f>
        <v>0</v>
      </c>
      <c s="124">
        <f>IF(BH$10=IF(ISBLANK(Предпосылки!$E61),$E$10,Предпосылки!$E61),1,0)</f>
        <v>0</v>
      </c>
      <c s="124">
        <f>IF(BI$10=IF(ISBLANK(Предпосылки!$E61),$E$10,Предпосылки!$E61),1,0)</f>
        <v>0</v>
      </c>
      <c s="124">
        <f>IF(BJ$10=IF(ISBLANK(Предпосылки!$E61),$E$10,Предпосылки!$E61),1,0)</f>
        <v>0</v>
      </c>
      <c s="124">
        <f>IF(BK$10=IF(ISBLANK(Предпосылки!$E61),$E$10,Предпосылки!$E61),1,0)</f>
        <v>0</v>
      </c>
      <c s="124">
        <f>IF(BL$10=IF(ISBLANK(Предпосылки!$E61),$E$10,Предпосылки!$E61),1,0)</f>
        <v>0</v>
      </c>
      <c s="124">
        <f>IF(BM$10=IF(ISBLANK(Предпосылки!$E61),$E$10,Предпосылки!$E61),1,0)</f>
        <v>0</v>
      </c>
    </row>
    <row r="353" spans="2:65" ht="15" customHeight="1">
      <c r="B353" s="12" t="str">
        <f t="shared" si="115"/>
        <v>-</v>
      </c>
      <c s="124" t="s">
        <v>824</v>
      </c>
      <c s="124"/>
      <c s="124">
        <f>IF(E$10=IF(ISBLANK(Предпосылки!$E62),$E$10,Предпосылки!$E62),1,0)</f>
        <v>1</v>
      </c>
      <c s="124">
        <f>IF(F$10=IF(ISBLANK(Предпосылки!$E62),$E$10,Предпосылки!$E62),1,0)</f>
        <v>0</v>
      </c>
      <c s="124">
        <f>IF(G$10=IF(ISBLANK(Предпосылки!$E62),$E$10,Предпосылки!$E62),1,0)</f>
        <v>0</v>
      </c>
      <c s="124">
        <f>IF(H$10=IF(ISBLANK(Предпосылки!$E62),$E$10,Предпосылки!$E62),1,0)</f>
        <v>0</v>
      </c>
      <c s="124">
        <f>IF(I$10=IF(ISBLANK(Предпосылки!$E62),$E$10,Предпосылки!$E62),1,0)</f>
        <v>0</v>
      </c>
      <c s="124">
        <f>IF(J$10=IF(ISBLANK(Предпосылки!$E62),$E$10,Предпосылки!$E62),1,0)</f>
        <v>0</v>
      </c>
      <c s="124">
        <f>IF(K$10=IF(ISBLANK(Предпосылки!$E62),$E$10,Предпосылки!$E62),1,0)</f>
        <v>0</v>
      </c>
      <c s="124">
        <f>IF(L$10=IF(ISBLANK(Предпосылки!$E62),$E$10,Предпосылки!$E62),1,0)</f>
        <v>0</v>
      </c>
      <c s="124">
        <f>IF(M$10=IF(ISBLANK(Предпосылки!$E62),$E$10,Предпосылки!$E62),1,0)</f>
        <v>0</v>
      </c>
      <c s="124">
        <f>IF(N$10=IF(ISBLANK(Предпосылки!$E62),$E$10,Предпосылки!$E62),1,0)</f>
        <v>0</v>
      </c>
      <c s="124">
        <f>IF(O$10=IF(ISBLANK(Предпосылки!$E62),$E$10,Предпосылки!$E62),1,0)</f>
        <v>0</v>
      </c>
      <c s="124">
        <f>IF(P$10=IF(ISBLANK(Предпосылки!$E62),$E$10,Предпосылки!$E62),1,0)</f>
        <v>0</v>
      </c>
      <c s="124">
        <f>IF(Q$10=IF(ISBLANK(Предпосылки!$E62),$E$10,Предпосылки!$E62),1,0)</f>
        <v>0</v>
      </c>
      <c s="124">
        <f>IF(R$10=IF(ISBLANK(Предпосылки!$E62),$E$10,Предпосылки!$E62),1,0)</f>
        <v>0</v>
      </c>
      <c s="124">
        <f>IF(S$10=IF(ISBLANK(Предпосылки!$E62),$E$10,Предпосылки!$E62),1,0)</f>
        <v>0</v>
      </c>
      <c s="124">
        <f>IF(T$10=IF(ISBLANK(Предпосылки!$E62),$E$10,Предпосылки!$E62),1,0)</f>
        <v>0</v>
      </c>
      <c s="124">
        <f>IF(U$10=IF(ISBLANK(Предпосылки!$E62),$E$10,Предпосылки!$E62),1,0)</f>
        <v>0</v>
      </c>
      <c s="124">
        <f>IF(V$10=IF(ISBLANK(Предпосылки!$E62),$E$10,Предпосылки!$E62),1,0)</f>
        <v>0</v>
      </c>
      <c s="124">
        <f>IF(W$10=IF(ISBLANK(Предпосылки!$E62),$E$10,Предпосылки!$E62),1,0)</f>
        <v>0</v>
      </c>
      <c s="124">
        <f>IF(X$10=IF(ISBLANK(Предпосылки!$E62),$E$10,Предпосылки!$E62),1,0)</f>
        <v>0</v>
      </c>
      <c s="124">
        <f>IF(Y$10=IF(ISBLANK(Предпосылки!$E62),$E$10,Предпосылки!$E62),1,0)</f>
        <v>0</v>
      </c>
      <c s="124">
        <f>IF(Z$10=IF(ISBLANK(Предпосылки!$E62),$E$10,Предпосылки!$E62),1,0)</f>
        <v>0</v>
      </c>
      <c s="124">
        <f>IF(AA$10=IF(ISBLANK(Предпосылки!$E62),$E$10,Предпосылки!$E62),1,0)</f>
        <v>0</v>
      </c>
      <c s="124">
        <f>IF(AB$10=IF(ISBLANK(Предпосылки!$E62),$E$10,Предпосылки!$E62),1,0)</f>
        <v>0</v>
      </c>
      <c s="124">
        <f>IF(AC$10=IF(ISBLANK(Предпосылки!$E62),$E$10,Предпосылки!$E62),1,0)</f>
        <v>0</v>
      </c>
      <c s="124">
        <f>IF(AD$10=IF(ISBLANK(Предпосылки!$E62),$E$10,Предпосылки!$E62),1,0)</f>
        <v>0</v>
      </c>
      <c s="124">
        <f>IF(AE$10=IF(ISBLANK(Предпосылки!$E62),$E$10,Предпосылки!$E62),1,0)</f>
        <v>0</v>
      </c>
      <c s="124">
        <f>IF(AF$10=IF(ISBLANK(Предпосылки!$E62),$E$10,Предпосылки!$E62),1,0)</f>
        <v>0</v>
      </c>
      <c s="124">
        <f>IF(AG$10=IF(ISBLANK(Предпосылки!$E62),$E$10,Предпосылки!$E62),1,0)</f>
        <v>0</v>
      </c>
      <c s="124">
        <f>IF(AH$10=IF(ISBLANK(Предпосылки!$E62),$E$10,Предпосылки!$E62),1,0)</f>
        <v>0</v>
      </c>
      <c s="124">
        <f>IF(AI$10=IF(ISBLANK(Предпосылки!$E62),$E$10,Предпосылки!$E62),1,0)</f>
        <v>0</v>
      </c>
      <c s="124">
        <f>IF(AJ$10=IF(ISBLANK(Предпосылки!$E62),$E$10,Предпосылки!$E62),1,0)</f>
        <v>0</v>
      </c>
      <c s="124">
        <f>IF(AK$10=IF(ISBLANK(Предпосылки!$E62),$E$10,Предпосылки!$E62),1,0)</f>
        <v>0</v>
      </c>
      <c s="124">
        <f>IF(AL$10=IF(ISBLANK(Предпосылки!$E62),$E$10,Предпосылки!$E62),1,0)</f>
        <v>0</v>
      </c>
      <c s="124">
        <f>IF(AM$10=IF(ISBLANK(Предпосылки!$E62),$E$10,Предпосылки!$E62),1,0)</f>
        <v>0</v>
      </c>
      <c s="124">
        <f>IF(AN$10=IF(ISBLANK(Предпосылки!$E62),$E$10,Предпосылки!$E62),1,0)</f>
        <v>0</v>
      </c>
      <c s="124">
        <f>IF(AO$10=IF(ISBLANK(Предпосылки!$E62),$E$10,Предпосылки!$E62),1,0)</f>
        <v>0</v>
      </c>
      <c s="124">
        <f>IF(AP$10=IF(ISBLANK(Предпосылки!$E62),$E$10,Предпосылки!$E62),1,0)</f>
        <v>0</v>
      </c>
      <c s="124">
        <f>IF(AQ$10=IF(ISBLANK(Предпосылки!$E62),$E$10,Предпосылки!$E62),1,0)</f>
        <v>0</v>
      </c>
      <c s="124">
        <f>IF(AR$10=IF(ISBLANK(Предпосылки!$E62),$E$10,Предпосылки!$E62),1,0)</f>
        <v>0</v>
      </c>
      <c s="124">
        <f>IF(AS$10=IF(ISBLANK(Предпосылки!$E62),$E$10,Предпосылки!$E62),1,0)</f>
        <v>0</v>
      </c>
      <c s="124">
        <f>IF(AT$10=IF(ISBLANK(Предпосылки!$E62),$E$10,Предпосылки!$E62),1,0)</f>
        <v>0</v>
      </c>
      <c s="124">
        <f>IF(AU$10=IF(ISBLANK(Предпосылки!$E62),$E$10,Предпосылки!$E62),1,0)</f>
        <v>0</v>
      </c>
      <c s="124">
        <f>IF(AV$10=IF(ISBLANK(Предпосылки!$E62),$E$10,Предпосылки!$E62),1,0)</f>
        <v>0</v>
      </c>
      <c s="124">
        <f>IF(AW$10=IF(ISBLANK(Предпосылки!$E62),$E$10,Предпосылки!$E62),1,0)</f>
        <v>0</v>
      </c>
      <c s="124">
        <f>IF(AX$10=IF(ISBLANK(Предпосылки!$E62),$E$10,Предпосылки!$E62),1,0)</f>
        <v>0</v>
      </c>
      <c s="124">
        <f>IF(AY$10=IF(ISBLANK(Предпосылки!$E62),$E$10,Предпосылки!$E62),1,0)</f>
        <v>0</v>
      </c>
      <c s="124">
        <f>IF(AZ$10=IF(ISBLANK(Предпосылки!$E62),$E$10,Предпосылки!$E62),1,0)</f>
        <v>0</v>
      </c>
      <c s="124">
        <f>IF(BA$10=IF(ISBLANK(Предпосылки!$E62),$E$10,Предпосылки!$E62),1,0)</f>
        <v>0</v>
      </c>
      <c s="124">
        <f>IF(BB$10=IF(ISBLANK(Предпосылки!$E62),$E$10,Предпосылки!$E62),1,0)</f>
        <v>0</v>
      </c>
      <c s="124">
        <f>IF(BC$10=IF(ISBLANK(Предпосылки!$E62),$E$10,Предпосылки!$E62),1,0)</f>
        <v>0</v>
      </c>
      <c s="124">
        <f>IF(BD$10=IF(ISBLANK(Предпосылки!$E62),$E$10,Предпосылки!$E62),1,0)</f>
        <v>0</v>
      </c>
      <c s="124">
        <f>IF(BE$10=IF(ISBLANK(Предпосылки!$E62),$E$10,Предпосылки!$E62),1,0)</f>
        <v>0</v>
      </c>
      <c s="124">
        <f>IF(BF$10=IF(ISBLANK(Предпосылки!$E62),$E$10,Предпосылки!$E62),1,0)</f>
        <v>0</v>
      </c>
      <c s="124">
        <f>IF(BG$10=IF(ISBLANK(Предпосылки!$E62),$E$10,Предпосылки!$E62),1,0)</f>
        <v>0</v>
      </c>
      <c s="124">
        <f>IF(BH$10=IF(ISBLANK(Предпосылки!$E62),$E$10,Предпосылки!$E62),1,0)</f>
        <v>0</v>
      </c>
      <c s="124">
        <f>IF(BI$10=IF(ISBLANK(Предпосылки!$E62),$E$10,Предпосылки!$E62),1,0)</f>
        <v>0</v>
      </c>
      <c s="124">
        <f>IF(BJ$10=IF(ISBLANK(Предпосылки!$E62),$E$10,Предпосылки!$E62),1,0)</f>
        <v>0</v>
      </c>
      <c s="124">
        <f>IF(BK$10=IF(ISBLANK(Предпосылки!$E62),$E$10,Предпосылки!$E62),1,0)</f>
        <v>0</v>
      </c>
      <c s="124">
        <f>IF(BL$10=IF(ISBLANK(Предпосылки!$E62),$E$10,Предпосылки!$E62),1,0)</f>
        <v>0</v>
      </c>
      <c s="124">
        <f>IF(BM$10=IF(ISBLANK(Предпосылки!$E62),$E$10,Предпосылки!$E62),1,0)</f>
        <v>0</v>
      </c>
    </row>
    <row r="354" spans="2:65" ht="15" customHeight="1">
      <c r="B354" s="12" t="str">
        <f t="shared" si="115"/>
        <v>-</v>
      </c>
      <c s="124" t="s">
        <v>824</v>
      </c>
      <c s="124"/>
      <c s="124">
        <f>IF(E$10=IF(ISBLANK(Предпосылки!$E63),$E$10,Предпосылки!$E63),1,0)</f>
        <v>1</v>
      </c>
      <c s="124">
        <f>IF(F$10=IF(ISBLANK(Предпосылки!$E63),$E$10,Предпосылки!$E63),1,0)</f>
        <v>0</v>
      </c>
      <c s="124">
        <f>IF(G$10=IF(ISBLANK(Предпосылки!$E63),$E$10,Предпосылки!$E63),1,0)</f>
        <v>0</v>
      </c>
      <c s="124">
        <f>IF(H$10=IF(ISBLANK(Предпосылки!$E63),$E$10,Предпосылки!$E63),1,0)</f>
        <v>0</v>
      </c>
      <c s="124">
        <f>IF(I$10=IF(ISBLANK(Предпосылки!$E63),$E$10,Предпосылки!$E63),1,0)</f>
        <v>0</v>
      </c>
      <c s="124">
        <f>IF(J$10=IF(ISBLANK(Предпосылки!$E63),$E$10,Предпосылки!$E63),1,0)</f>
        <v>0</v>
      </c>
      <c s="124">
        <f>IF(K$10=IF(ISBLANK(Предпосылки!$E63),$E$10,Предпосылки!$E63),1,0)</f>
        <v>0</v>
      </c>
      <c s="124">
        <f>IF(L$10=IF(ISBLANK(Предпосылки!$E63),$E$10,Предпосылки!$E63),1,0)</f>
        <v>0</v>
      </c>
      <c s="124">
        <f>IF(M$10=IF(ISBLANK(Предпосылки!$E63),$E$10,Предпосылки!$E63),1,0)</f>
        <v>0</v>
      </c>
      <c s="124">
        <f>IF(N$10=IF(ISBLANK(Предпосылки!$E63),$E$10,Предпосылки!$E63),1,0)</f>
        <v>0</v>
      </c>
      <c s="124">
        <f>IF(O$10=IF(ISBLANK(Предпосылки!$E63),$E$10,Предпосылки!$E63),1,0)</f>
        <v>0</v>
      </c>
      <c s="124">
        <f>IF(P$10=IF(ISBLANK(Предпосылки!$E63),$E$10,Предпосылки!$E63),1,0)</f>
        <v>0</v>
      </c>
      <c s="124">
        <f>IF(Q$10=IF(ISBLANK(Предпосылки!$E63),$E$10,Предпосылки!$E63),1,0)</f>
        <v>0</v>
      </c>
      <c s="124">
        <f>IF(R$10=IF(ISBLANK(Предпосылки!$E63),$E$10,Предпосылки!$E63),1,0)</f>
        <v>0</v>
      </c>
      <c s="124">
        <f>IF(S$10=IF(ISBLANK(Предпосылки!$E63),$E$10,Предпосылки!$E63),1,0)</f>
        <v>0</v>
      </c>
      <c s="124">
        <f>IF(T$10=IF(ISBLANK(Предпосылки!$E63),$E$10,Предпосылки!$E63),1,0)</f>
        <v>0</v>
      </c>
      <c s="124">
        <f>IF(U$10=IF(ISBLANK(Предпосылки!$E63),$E$10,Предпосылки!$E63),1,0)</f>
        <v>0</v>
      </c>
      <c s="124">
        <f>IF(V$10=IF(ISBLANK(Предпосылки!$E63),$E$10,Предпосылки!$E63),1,0)</f>
        <v>0</v>
      </c>
      <c s="124">
        <f>IF(W$10=IF(ISBLANK(Предпосылки!$E63),$E$10,Предпосылки!$E63),1,0)</f>
        <v>0</v>
      </c>
      <c s="124">
        <f>IF(X$10=IF(ISBLANK(Предпосылки!$E63),$E$10,Предпосылки!$E63),1,0)</f>
        <v>0</v>
      </c>
      <c s="124">
        <f>IF(Y$10=IF(ISBLANK(Предпосылки!$E63),$E$10,Предпосылки!$E63),1,0)</f>
        <v>0</v>
      </c>
      <c s="124">
        <f>IF(Z$10=IF(ISBLANK(Предпосылки!$E63),$E$10,Предпосылки!$E63),1,0)</f>
        <v>0</v>
      </c>
      <c s="124">
        <f>IF(AA$10=IF(ISBLANK(Предпосылки!$E63),$E$10,Предпосылки!$E63),1,0)</f>
        <v>0</v>
      </c>
      <c s="124">
        <f>IF(AB$10=IF(ISBLANK(Предпосылки!$E63),$E$10,Предпосылки!$E63),1,0)</f>
        <v>0</v>
      </c>
      <c s="124">
        <f>IF(AC$10=IF(ISBLANK(Предпосылки!$E63),$E$10,Предпосылки!$E63),1,0)</f>
        <v>0</v>
      </c>
      <c s="124">
        <f>IF(AD$10=IF(ISBLANK(Предпосылки!$E63),$E$10,Предпосылки!$E63),1,0)</f>
        <v>0</v>
      </c>
      <c s="124">
        <f>IF(AE$10=IF(ISBLANK(Предпосылки!$E63),$E$10,Предпосылки!$E63),1,0)</f>
        <v>0</v>
      </c>
      <c s="124">
        <f>IF(AF$10=IF(ISBLANK(Предпосылки!$E63),$E$10,Предпосылки!$E63),1,0)</f>
        <v>0</v>
      </c>
      <c s="124">
        <f>IF(AG$10=IF(ISBLANK(Предпосылки!$E63),$E$10,Предпосылки!$E63),1,0)</f>
        <v>0</v>
      </c>
      <c s="124">
        <f>IF(AH$10=IF(ISBLANK(Предпосылки!$E63),$E$10,Предпосылки!$E63),1,0)</f>
        <v>0</v>
      </c>
      <c s="124">
        <f>IF(AI$10=IF(ISBLANK(Предпосылки!$E63),$E$10,Предпосылки!$E63),1,0)</f>
        <v>0</v>
      </c>
      <c s="124">
        <f>IF(AJ$10=IF(ISBLANK(Предпосылки!$E63),$E$10,Предпосылки!$E63),1,0)</f>
        <v>0</v>
      </c>
      <c s="124">
        <f>IF(AK$10=IF(ISBLANK(Предпосылки!$E63),$E$10,Предпосылки!$E63),1,0)</f>
        <v>0</v>
      </c>
      <c s="124">
        <f>IF(AL$10=IF(ISBLANK(Предпосылки!$E63),$E$10,Предпосылки!$E63),1,0)</f>
        <v>0</v>
      </c>
      <c s="124">
        <f>IF(AM$10=IF(ISBLANK(Предпосылки!$E63),$E$10,Предпосылки!$E63),1,0)</f>
        <v>0</v>
      </c>
      <c s="124">
        <f>IF(AN$10=IF(ISBLANK(Предпосылки!$E63),$E$10,Предпосылки!$E63),1,0)</f>
        <v>0</v>
      </c>
      <c s="124">
        <f>IF(AO$10=IF(ISBLANK(Предпосылки!$E63),$E$10,Предпосылки!$E63),1,0)</f>
        <v>0</v>
      </c>
      <c s="124">
        <f>IF(AP$10=IF(ISBLANK(Предпосылки!$E63),$E$10,Предпосылки!$E63),1,0)</f>
        <v>0</v>
      </c>
      <c s="124">
        <f>IF(AQ$10=IF(ISBLANK(Предпосылки!$E63),$E$10,Предпосылки!$E63),1,0)</f>
        <v>0</v>
      </c>
      <c s="124">
        <f>IF(AR$10=IF(ISBLANK(Предпосылки!$E63),$E$10,Предпосылки!$E63),1,0)</f>
        <v>0</v>
      </c>
      <c s="124">
        <f>IF(AS$10=IF(ISBLANK(Предпосылки!$E63),$E$10,Предпосылки!$E63),1,0)</f>
        <v>0</v>
      </c>
      <c s="124">
        <f>IF(AT$10=IF(ISBLANK(Предпосылки!$E63),$E$10,Предпосылки!$E63),1,0)</f>
        <v>0</v>
      </c>
      <c s="124">
        <f>IF(AU$10=IF(ISBLANK(Предпосылки!$E63),$E$10,Предпосылки!$E63),1,0)</f>
        <v>0</v>
      </c>
      <c s="124">
        <f>IF(AV$10=IF(ISBLANK(Предпосылки!$E63),$E$10,Предпосылки!$E63),1,0)</f>
        <v>0</v>
      </c>
      <c s="124">
        <f>IF(AW$10=IF(ISBLANK(Предпосылки!$E63),$E$10,Предпосылки!$E63),1,0)</f>
        <v>0</v>
      </c>
      <c s="124">
        <f>IF(AX$10=IF(ISBLANK(Предпосылки!$E63),$E$10,Предпосылки!$E63),1,0)</f>
        <v>0</v>
      </c>
      <c s="124">
        <f>IF(AY$10=IF(ISBLANK(Предпосылки!$E63),$E$10,Предпосылки!$E63),1,0)</f>
        <v>0</v>
      </c>
      <c s="124">
        <f>IF(AZ$10=IF(ISBLANK(Предпосылки!$E63),$E$10,Предпосылки!$E63),1,0)</f>
        <v>0</v>
      </c>
      <c s="124">
        <f>IF(BA$10=IF(ISBLANK(Предпосылки!$E63),$E$10,Предпосылки!$E63),1,0)</f>
        <v>0</v>
      </c>
      <c s="124">
        <f>IF(BB$10=IF(ISBLANK(Предпосылки!$E63),$E$10,Предпосылки!$E63),1,0)</f>
        <v>0</v>
      </c>
      <c s="124">
        <f>IF(BC$10=IF(ISBLANK(Предпосылки!$E63),$E$10,Предпосылки!$E63),1,0)</f>
        <v>0</v>
      </c>
      <c s="124">
        <f>IF(BD$10=IF(ISBLANK(Предпосылки!$E63),$E$10,Предпосылки!$E63),1,0)</f>
        <v>0</v>
      </c>
      <c s="124">
        <f>IF(BE$10=IF(ISBLANK(Предпосылки!$E63),$E$10,Предпосылки!$E63),1,0)</f>
        <v>0</v>
      </c>
      <c s="124">
        <f>IF(BF$10=IF(ISBLANK(Предпосылки!$E63),$E$10,Предпосылки!$E63),1,0)</f>
        <v>0</v>
      </c>
      <c s="124">
        <f>IF(BG$10=IF(ISBLANK(Предпосылки!$E63),$E$10,Предпосылки!$E63),1,0)</f>
        <v>0</v>
      </c>
      <c s="124">
        <f>IF(BH$10=IF(ISBLANK(Предпосылки!$E63),$E$10,Предпосылки!$E63),1,0)</f>
        <v>0</v>
      </c>
      <c s="124">
        <f>IF(BI$10=IF(ISBLANK(Предпосылки!$E63),$E$10,Предпосылки!$E63),1,0)</f>
        <v>0</v>
      </c>
      <c s="124">
        <f>IF(BJ$10=IF(ISBLANK(Предпосылки!$E63),$E$10,Предпосылки!$E63),1,0)</f>
        <v>0</v>
      </c>
      <c s="124">
        <f>IF(BK$10=IF(ISBLANK(Предпосылки!$E63),$E$10,Предпосылки!$E63),1,0)</f>
        <v>0</v>
      </c>
      <c s="124">
        <f>IF(BL$10=IF(ISBLANK(Предпосылки!$E63),$E$10,Предпосылки!$E63),1,0)</f>
        <v>0</v>
      </c>
      <c s="124">
        <f>IF(BM$10=IF(ISBLANK(Предпосылки!$E63),$E$10,Предпосылки!$E63),1,0)</f>
        <v>0</v>
      </c>
    </row>
    <row r="355" spans="2:65" ht="15" customHeight="1">
      <c r="B355" s="12" t="str">
        <f t="shared" si="115"/>
        <v>-</v>
      </c>
      <c s="124" t="s">
        <v>824</v>
      </c>
      <c s="124"/>
      <c s="124">
        <f>IF(E$10=IF(ISBLANK(Предпосылки!$E64),$E$10,Предпосылки!$E64),1,0)</f>
        <v>1</v>
      </c>
      <c s="124">
        <f>IF(F$10=IF(ISBLANK(Предпосылки!$E64),$E$10,Предпосылки!$E64),1,0)</f>
        <v>0</v>
      </c>
      <c s="124">
        <f>IF(G$10=IF(ISBLANK(Предпосылки!$E64),$E$10,Предпосылки!$E64),1,0)</f>
        <v>0</v>
      </c>
      <c s="124">
        <f>IF(H$10=IF(ISBLANK(Предпосылки!$E64),$E$10,Предпосылки!$E64),1,0)</f>
        <v>0</v>
      </c>
      <c s="124">
        <f>IF(I$10=IF(ISBLANK(Предпосылки!$E64),$E$10,Предпосылки!$E64),1,0)</f>
        <v>0</v>
      </c>
      <c s="124">
        <f>IF(J$10=IF(ISBLANK(Предпосылки!$E64),$E$10,Предпосылки!$E64),1,0)</f>
        <v>0</v>
      </c>
      <c s="124">
        <f>IF(K$10=IF(ISBLANK(Предпосылки!$E64),$E$10,Предпосылки!$E64),1,0)</f>
        <v>0</v>
      </c>
      <c s="124">
        <f>IF(L$10=IF(ISBLANK(Предпосылки!$E64),$E$10,Предпосылки!$E64),1,0)</f>
        <v>0</v>
      </c>
      <c s="124">
        <f>IF(M$10=IF(ISBLANK(Предпосылки!$E64),$E$10,Предпосылки!$E64),1,0)</f>
        <v>0</v>
      </c>
      <c s="124">
        <f>IF(N$10=IF(ISBLANK(Предпосылки!$E64),$E$10,Предпосылки!$E64),1,0)</f>
        <v>0</v>
      </c>
      <c s="124">
        <f>IF(O$10=IF(ISBLANK(Предпосылки!$E64),$E$10,Предпосылки!$E64),1,0)</f>
        <v>0</v>
      </c>
      <c s="124">
        <f>IF(P$10=IF(ISBLANK(Предпосылки!$E64),$E$10,Предпосылки!$E64),1,0)</f>
        <v>0</v>
      </c>
      <c s="124">
        <f>IF(Q$10=IF(ISBLANK(Предпосылки!$E64),$E$10,Предпосылки!$E64),1,0)</f>
        <v>0</v>
      </c>
      <c s="124">
        <f>IF(R$10=IF(ISBLANK(Предпосылки!$E64),$E$10,Предпосылки!$E64),1,0)</f>
        <v>0</v>
      </c>
      <c s="124">
        <f>IF(S$10=IF(ISBLANK(Предпосылки!$E64),$E$10,Предпосылки!$E64),1,0)</f>
        <v>0</v>
      </c>
      <c s="124">
        <f>IF(T$10=IF(ISBLANK(Предпосылки!$E64),$E$10,Предпосылки!$E64),1,0)</f>
        <v>0</v>
      </c>
      <c s="124">
        <f>IF(U$10=IF(ISBLANK(Предпосылки!$E64),$E$10,Предпосылки!$E64),1,0)</f>
        <v>0</v>
      </c>
      <c s="124">
        <f>IF(V$10=IF(ISBLANK(Предпосылки!$E64),$E$10,Предпосылки!$E64),1,0)</f>
        <v>0</v>
      </c>
      <c s="124">
        <f>IF(W$10=IF(ISBLANK(Предпосылки!$E64),$E$10,Предпосылки!$E64),1,0)</f>
        <v>0</v>
      </c>
      <c s="124">
        <f>IF(X$10=IF(ISBLANK(Предпосылки!$E64),$E$10,Предпосылки!$E64),1,0)</f>
        <v>0</v>
      </c>
      <c s="124">
        <f>IF(Y$10=IF(ISBLANK(Предпосылки!$E64),$E$10,Предпосылки!$E64),1,0)</f>
        <v>0</v>
      </c>
      <c s="124">
        <f>IF(Z$10=IF(ISBLANK(Предпосылки!$E64),$E$10,Предпосылки!$E64),1,0)</f>
        <v>0</v>
      </c>
      <c s="124">
        <f>IF(AA$10=IF(ISBLANK(Предпосылки!$E64),$E$10,Предпосылки!$E64),1,0)</f>
        <v>0</v>
      </c>
      <c s="124">
        <f>IF(AB$10=IF(ISBLANK(Предпосылки!$E64),$E$10,Предпосылки!$E64),1,0)</f>
        <v>0</v>
      </c>
      <c s="124">
        <f>IF(AC$10=IF(ISBLANK(Предпосылки!$E64),$E$10,Предпосылки!$E64),1,0)</f>
        <v>0</v>
      </c>
      <c s="124">
        <f>IF(AD$10=IF(ISBLANK(Предпосылки!$E64),$E$10,Предпосылки!$E64),1,0)</f>
        <v>0</v>
      </c>
      <c s="124">
        <f>IF(AE$10=IF(ISBLANK(Предпосылки!$E64),$E$10,Предпосылки!$E64),1,0)</f>
        <v>0</v>
      </c>
      <c s="124">
        <f>IF(AF$10=IF(ISBLANK(Предпосылки!$E64),$E$10,Предпосылки!$E64),1,0)</f>
        <v>0</v>
      </c>
      <c s="124">
        <f>IF(AG$10=IF(ISBLANK(Предпосылки!$E64),$E$10,Предпосылки!$E64),1,0)</f>
        <v>0</v>
      </c>
      <c s="124">
        <f>IF(AH$10=IF(ISBLANK(Предпосылки!$E64),$E$10,Предпосылки!$E64),1,0)</f>
        <v>0</v>
      </c>
      <c s="124">
        <f>IF(AI$10=IF(ISBLANK(Предпосылки!$E64),$E$10,Предпосылки!$E64),1,0)</f>
        <v>0</v>
      </c>
      <c s="124">
        <f>IF(AJ$10=IF(ISBLANK(Предпосылки!$E64),$E$10,Предпосылки!$E64),1,0)</f>
        <v>0</v>
      </c>
      <c s="124">
        <f>IF(AK$10=IF(ISBLANK(Предпосылки!$E64),$E$10,Предпосылки!$E64),1,0)</f>
        <v>0</v>
      </c>
      <c s="124">
        <f>IF(AL$10=IF(ISBLANK(Предпосылки!$E64),$E$10,Предпосылки!$E64),1,0)</f>
        <v>0</v>
      </c>
      <c s="124">
        <f>IF(AM$10=IF(ISBLANK(Предпосылки!$E64),$E$10,Предпосылки!$E64),1,0)</f>
        <v>0</v>
      </c>
      <c s="124">
        <f>IF(AN$10=IF(ISBLANK(Предпосылки!$E64),$E$10,Предпосылки!$E64),1,0)</f>
        <v>0</v>
      </c>
      <c s="124">
        <f>IF(AO$10=IF(ISBLANK(Предпосылки!$E64),$E$10,Предпосылки!$E64),1,0)</f>
        <v>0</v>
      </c>
      <c s="124">
        <f>IF(AP$10=IF(ISBLANK(Предпосылки!$E64),$E$10,Предпосылки!$E64),1,0)</f>
        <v>0</v>
      </c>
      <c s="124">
        <f>IF(AQ$10=IF(ISBLANK(Предпосылки!$E64),$E$10,Предпосылки!$E64),1,0)</f>
        <v>0</v>
      </c>
      <c s="124">
        <f>IF(AR$10=IF(ISBLANK(Предпосылки!$E64),$E$10,Предпосылки!$E64),1,0)</f>
        <v>0</v>
      </c>
      <c s="124">
        <f>IF(AS$10=IF(ISBLANK(Предпосылки!$E64),$E$10,Предпосылки!$E64),1,0)</f>
        <v>0</v>
      </c>
      <c s="124">
        <f>IF(AT$10=IF(ISBLANK(Предпосылки!$E64),$E$10,Предпосылки!$E64),1,0)</f>
        <v>0</v>
      </c>
      <c s="124">
        <f>IF(AU$10=IF(ISBLANK(Предпосылки!$E64),$E$10,Предпосылки!$E64),1,0)</f>
        <v>0</v>
      </c>
      <c s="124">
        <f>IF(AV$10=IF(ISBLANK(Предпосылки!$E64),$E$10,Предпосылки!$E64),1,0)</f>
        <v>0</v>
      </c>
      <c s="124">
        <f>IF(AW$10=IF(ISBLANK(Предпосылки!$E64),$E$10,Предпосылки!$E64),1,0)</f>
        <v>0</v>
      </c>
      <c s="124">
        <f>IF(AX$10=IF(ISBLANK(Предпосылки!$E64),$E$10,Предпосылки!$E64),1,0)</f>
        <v>0</v>
      </c>
      <c s="124">
        <f>IF(AY$10=IF(ISBLANK(Предпосылки!$E64),$E$10,Предпосылки!$E64),1,0)</f>
        <v>0</v>
      </c>
      <c s="124">
        <f>IF(AZ$10=IF(ISBLANK(Предпосылки!$E64),$E$10,Предпосылки!$E64),1,0)</f>
        <v>0</v>
      </c>
      <c s="124">
        <f>IF(BA$10=IF(ISBLANK(Предпосылки!$E64),$E$10,Предпосылки!$E64),1,0)</f>
        <v>0</v>
      </c>
      <c s="124">
        <f>IF(BB$10=IF(ISBLANK(Предпосылки!$E64),$E$10,Предпосылки!$E64),1,0)</f>
        <v>0</v>
      </c>
      <c s="124">
        <f>IF(BC$10=IF(ISBLANK(Предпосылки!$E64),$E$10,Предпосылки!$E64),1,0)</f>
        <v>0</v>
      </c>
      <c s="124">
        <f>IF(BD$10=IF(ISBLANK(Предпосылки!$E64),$E$10,Предпосылки!$E64),1,0)</f>
        <v>0</v>
      </c>
      <c s="124">
        <f>IF(BE$10=IF(ISBLANK(Предпосылки!$E64),$E$10,Предпосылки!$E64),1,0)</f>
        <v>0</v>
      </c>
      <c s="124">
        <f>IF(BF$10=IF(ISBLANK(Предпосылки!$E64),$E$10,Предпосылки!$E64),1,0)</f>
        <v>0</v>
      </c>
      <c s="124">
        <f>IF(BG$10=IF(ISBLANK(Предпосылки!$E64),$E$10,Предпосылки!$E64),1,0)</f>
        <v>0</v>
      </c>
      <c s="124">
        <f>IF(BH$10=IF(ISBLANK(Предпосылки!$E64),$E$10,Предпосылки!$E64),1,0)</f>
        <v>0</v>
      </c>
      <c s="124">
        <f>IF(BI$10=IF(ISBLANK(Предпосылки!$E64),$E$10,Предпосылки!$E64),1,0)</f>
        <v>0</v>
      </c>
      <c s="124">
        <f>IF(BJ$10=IF(ISBLANK(Предпосылки!$E64),$E$10,Предпосылки!$E64),1,0)</f>
        <v>0</v>
      </c>
      <c s="124">
        <f>IF(BK$10=IF(ISBLANK(Предпосылки!$E64),$E$10,Предпосылки!$E64),1,0)</f>
        <v>0</v>
      </c>
      <c s="124">
        <f>IF(BL$10=IF(ISBLANK(Предпосылки!$E64),$E$10,Предпосылки!$E64),1,0)</f>
        <v>0</v>
      </c>
      <c s="124">
        <f>IF(BM$10=IF(ISBLANK(Предпосылки!$E64),$E$10,Предпосылки!$E64),1,0)</f>
        <v>0</v>
      </c>
    </row>
    <row r="356" spans="2:65" ht="15" customHeight="1">
      <c r="B356" s="12" t="str">
        <f t="shared" si="115"/>
        <v>-</v>
      </c>
      <c s="124" t="s">
        <v>824</v>
      </c>
      <c s="124"/>
      <c s="124">
        <f>IF(E$10=IF(ISBLANK(Предпосылки!$E65),$E$10,Предпосылки!$E65),1,0)</f>
        <v>1</v>
      </c>
      <c s="124">
        <f>IF(F$10=IF(ISBLANK(Предпосылки!$E65),$E$10,Предпосылки!$E65),1,0)</f>
        <v>0</v>
      </c>
      <c s="124">
        <f>IF(G$10=IF(ISBLANK(Предпосылки!$E65),$E$10,Предпосылки!$E65),1,0)</f>
        <v>0</v>
      </c>
      <c s="124">
        <f>IF(H$10=IF(ISBLANK(Предпосылки!$E65),$E$10,Предпосылки!$E65),1,0)</f>
        <v>0</v>
      </c>
      <c s="124">
        <f>IF(I$10=IF(ISBLANK(Предпосылки!$E65),$E$10,Предпосылки!$E65),1,0)</f>
        <v>0</v>
      </c>
      <c s="124">
        <f>IF(J$10=IF(ISBLANK(Предпосылки!$E65),$E$10,Предпосылки!$E65),1,0)</f>
        <v>0</v>
      </c>
      <c s="124">
        <f>IF(K$10=IF(ISBLANK(Предпосылки!$E65),$E$10,Предпосылки!$E65),1,0)</f>
        <v>0</v>
      </c>
      <c s="124">
        <f>IF(L$10=IF(ISBLANK(Предпосылки!$E65),$E$10,Предпосылки!$E65),1,0)</f>
        <v>0</v>
      </c>
      <c s="124">
        <f>IF(M$10=IF(ISBLANK(Предпосылки!$E65),$E$10,Предпосылки!$E65),1,0)</f>
        <v>0</v>
      </c>
      <c s="124">
        <f>IF(N$10=IF(ISBLANK(Предпосылки!$E65),$E$10,Предпосылки!$E65),1,0)</f>
        <v>0</v>
      </c>
      <c s="124">
        <f>IF(O$10=IF(ISBLANK(Предпосылки!$E65),$E$10,Предпосылки!$E65),1,0)</f>
        <v>0</v>
      </c>
      <c s="124">
        <f>IF(P$10=IF(ISBLANK(Предпосылки!$E65),$E$10,Предпосылки!$E65),1,0)</f>
        <v>0</v>
      </c>
      <c s="124">
        <f>IF(Q$10=IF(ISBLANK(Предпосылки!$E65),$E$10,Предпосылки!$E65),1,0)</f>
        <v>0</v>
      </c>
      <c s="124">
        <f>IF(R$10=IF(ISBLANK(Предпосылки!$E65),$E$10,Предпосылки!$E65),1,0)</f>
        <v>0</v>
      </c>
      <c s="124">
        <f>IF(S$10=IF(ISBLANK(Предпосылки!$E65),$E$10,Предпосылки!$E65),1,0)</f>
        <v>0</v>
      </c>
      <c s="124">
        <f>IF(T$10=IF(ISBLANK(Предпосылки!$E65),$E$10,Предпосылки!$E65),1,0)</f>
        <v>0</v>
      </c>
      <c s="124">
        <f>IF(U$10=IF(ISBLANK(Предпосылки!$E65),$E$10,Предпосылки!$E65),1,0)</f>
        <v>0</v>
      </c>
      <c s="124">
        <f>IF(V$10=IF(ISBLANK(Предпосылки!$E65),$E$10,Предпосылки!$E65),1,0)</f>
        <v>0</v>
      </c>
      <c s="124">
        <f>IF(W$10=IF(ISBLANK(Предпосылки!$E65),$E$10,Предпосылки!$E65),1,0)</f>
        <v>0</v>
      </c>
      <c s="124">
        <f>IF(X$10=IF(ISBLANK(Предпосылки!$E65),$E$10,Предпосылки!$E65),1,0)</f>
        <v>0</v>
      </c>
      <c s="124">
        <f>IF(Y$10=IF(ISBLANK(Предпосылки!$E65),$E$10,Предпосылки!$E65),1,0)</f>
        <v>0</v>
      </c>
      <c s="124">
        <f>IF(Z$10=IF(ISBLANK(Предпосылки!$E65),$E$10,Предпосылки!$E65),1,0)</f>
        <v>0</v>
      </c>
      <c s="124">
        <f>IF(AA$10=IF(ISBLANK(Предпосылки!$E65),$E$10,Предпосылки!$E65),1,0)</f>
        <v>0</v>
      </c>
      <c s="124">
        <f>IF(AB$10=IF(ISBLANK(Предпосылки!$E65),$E$10,Предпосылки!$E65),1,0)</f>
        <v>0</v>
      </c>
      <c s="124">
        <f>IF(AC$10=IF(ISBLANK(Предпосылки!$E65),$E$10,Предпосылки!$E65),1,0)</f>
        <v>0</v>
      </c>
      <c s="124">
        <f>IF(AD$10=IF(ISBLANK(Предпосылки!$E65),$E$10,Предпосылки!$E65),1,0)</f>
        <v>0</v>
      </c>
      <c s="124">
        <f>IF(AE$10=IF(ISBLANK(Предпосылки!$E65),$E$10,Предпосылки!$E65),1,0)</f>
        <v>0</v>
      </c>
      <c s="124">
        <f>IF(AF$10=IF(ISBLANK(Предпосылки!$E65),$E$10,Предпосылки!$E65),1,0)</f>
        <v>0</v>
      </c>
      <c s="124">
        <f>IF(AG$10=IF(ISBLANK(Предпосылки!$E65),$E$10,Предпосылки!$E65),1,0)</f>
        <v>0</v>
      </c>
      <c s="124">
        <f>IF(AH$10=IF(ISBLANK(Предпосылки!$E65),$E$10,Предпосылки!$E65),1,0)</f>
        <v>0</v>
      </c>
      <c s="124">
        <f>IF(AI$10=IF(ISBLANK(Предпосылки!$E65),$E$10,Предпосылки!$E65),1,0)</f>
        <v>0</v>
      </c>
      <c s="124">
        <f>IF(AJ$10=IF(ISBLANK(Предпосылки!$E65),$E$10,Предпосылки!$E65),1,0)</f>
        <v>0</v>
      </c>
      <c s="124">
        <f>IF(AK$10=IF(ISBLANK(Предпосылки!$E65),$E$10,Предпосылки!$E65),1,0)</f>
        <v>0</v>
      </c>
      <c s="124">
        <f>IF(AL$10=IF(ISBLANK(Предпосылки!$E65),$E$10,Предпосылки!$E65),1,0)</f>
        <v>0</v>
      </c>
      <c s="124">
        <f>IF(AM$10=IF(ISBLANK(Предпосылки!$E65),$E$10,Предпосылки!$E65),1,0)</f>
        <v>0</v>
      </c>
      <c s="124">
        <f>IF(AN$10=IF(ISBLANK(Предпосылки!$E65),$E$10,Предпосылки!$E65),1,0)</f>
        <v>0</v>
      </c>
      <c s="124">
        <f>IF(AO$10=IF(ISBLANK(Предпосылки!$E65),$E$10,Предпосылки!$E65),1,0)</f>
        <v>0</v>
      </c>
      <c s="124">
        <f>IF(AP$10=IF(ISBLANK(Предпосылки!$E65),$E$10,Предпосылки!$E65),1,0)</f>
        <v>0</v>
      </c>
      <c s="124">
        <f>IF(AQ$10=IF(ISBLANK(Предпосылки!$E65),$E$10,Предпосылки!$E65),1,0)</f>
        <v>0</v>
      </c>
      <c s="124">
        <f>IF(AR$10=IF(ISBLANK(Предпосылки!$E65),$E$10,Предпосылки!$E65),1,0)</f>
        <v>0</v>
      </c>
      <c s="124">
        <f>IF(AS$10=IF(ISBLANK(Предпосылки!$E65),$E$10,Предпосылки!$E65),1,0)</f>
        <v>0</v>
      </c>
      <c s="124">
        <f>IF(AT$10=IF(ISBLANK(Предпосылки!$E65),$E$10,Предпосылки!$E65),1,0)</f>
        <v>0</v>
      </c>
      <c s="124">
        <f>IF(AU$10=IF(ISBLANK(Предпосылки!$E65),$E$10,Предпосылки!$E65),1,0)</f>
        <v>0</v>
      </c>
      <c s="124">
        <f>IF(AV$10=IF(ISBLANK(Предпосылки!$E65),$E$10,Предпосылки!$E65),1,0)</f>
        <v>0</v>
      </c>
      <c s="124">
        <f>IF(AW$10=IF(ISBLANK(Предпосылки!$E65),$E$10,Предпосылки!$E65),1,0)</f>
        <v>0</v>
      </c>
      <c s="124">
        <f>IF(AX$10=IF(ISBLANK(Предпосылки!$E65),$E$10,Предпосылки!$E65),1,0)</f>
        <v>0</v>
      </c>
      <c s="124">
        <f>IF(AY$10=IF(ISBLANK(Предпосылки!$E65),$E$10,Предпосылки!$E65),1,0)</f>
        <v>0</v>
      </c>
      <c s="124">
        <f>IF(AZ$10=IF(ISBLANK(Предпосылки!$E65),$E$10,Предпосылки!$E65),1,0)</f>
        <v>0</v>
      </c>
      <c s="124">
        <f>IF(BA$10=IF(ISBLANK(Предпосылки!$E65),$E$10,Предпосылки!$E65),1,0)</f>
        <v>0</v>
      </c>
      <c s="124">
        <f>IF(BB$10=IF(ISBLANK(Предпосылки!$E65),$E$10,Предпосылки!$E65),1,0)</f>
        <v>0</v>
      </c>
      <c s="124">
        <f>IF(BC$10=IF(ISBLANK(Предпосылки!$E65),$E$10,Предпосылки!$E65),1,0)</f>
        <v>0</v>
      </c>
      <c s="124">
        <f>IF(BD$10=IF(ISBLANK(Предпосылки!$E65),$E$10,Предпосылки!$E65),1,0)</f>
        <v>0</v>
      </c>
      <c s="124">
        <f>IF(BE$10=IF(ISBLANK(Предпосылки!$E65),$E$10,Предпосылки!$E65),1,0)</f>
        <v>0</v>
      </c>
      <c s="124">
        <f>IF(BF$10=IF(ISBLANK(Предпосылки!$E65),$E$10,Предпосылки!$E65),1,0)</f>
        <v>0</v>
      </c>
      <c s="124">
        <f>IF(BG$10=IF(ISBLANK(Предпосылки!$E65),$E$10,Предпосылки!$E65),1,0)</f>
        <v>0</v>
      </c>
      <c s="124">
        <f>IF(BH$10=IF(ISBLANK(Предпосылки!$E65),$E$10,Предпосылки!$E65),1,0)</f>
        <v>0</v>
      </c>
      <c s="124">
        <f>IF(BI$10=IF(ISBLANK(Предпосылки!$E65),$E$10,Предпосылки!$E65),1,0)</f>
        <v>0</v>
      </c>
      <c s="124">
        <f>IF(BJ$10=IF(ISBLANK(Предпосылки!$E65),$E$10,Предпосылки!$E65),1,0)</f>
        <v>0</v>
      </c>
      <c s="124">
        <f>IF(BK$10=IF(ISBLANK(Предпосылки!$E65),$E$10,Предпосылки!$E65),1,0)</f>
        <v>0</v>
      </c>
      <c s="124">
        <f>IF(BL$10=IF(ISBLANK(Предпосылки!$E65),$E$10,Предпосылки!$E65),1,0)</f>
        <v>0</v>
      </c>
      <c s="124">
        <f>IF(BM$10=IF(ISBLANK(Предпосылки!$E65),$E$10,Предпосылки!$E65),1,0)</f>
        <v>0</v>
      </c>
    </row>
    <row r="357" spans="2:65" ht="15" customHeight="1">
      <c r="B357" s="12" t="str">
        <f t="shared" si="115"/>
        <v>-</v>
      </c>
      <c s="124" t="s">
        <v>824</v>
      </c>
      <c s="124"/>
      <c s="124">
        <f>IF(E$10=IF(ISBLANK(Предпосылки!$E66),$E$10,Предпосылки!$E66),1,0)</f>
        <v>1</v>
      </c>
      <c s="124">
        <f>IF(F$10=IF(ISBLANK(Предпосылки!$E66),$E$10,Предпосылки!$E66),1,0)</f>
        <v>0</v>
      </c>
      <c s="124">
        <f>IF(G$10=IF(ISBLANK(Предпосылки!$E66),$E$10,Предпосылки!$E66),1,0)</f>
        <v>0</v>
      </c>
      <c s="124">
        <f>IF(H$10=IF(ISBLANK(Предпосылки!$E66),$E$10,Предпосылки!$E66),1,0)</f>
        <v>0</v>
      </c>
      <c s="124">
        <f>IF(I$10=IF(ISBLANK(Предпосылки!$E66),$E$10,Предпосылки!$E66),1,0)</f>
        <v>0</v>
      </c>
      <c s="124">
        <f>IF(J$10=IF(ISBLANK(Предпосылки!$E66),$E$10,Предпосылки!$E66),1,0)</f>
        <v>0</v>
      </c>
      <c s="124">
        <f>IF(K$10=IF(ISBLANK(Предпосылки!$E66),$E$10,Предпосылки!$E66),1,0)</f>
        <v>0</v>
      </c>
      <c s="124">
        <f>IF(L$10=IF(ISBLANK(Предпосылки!$E66),$E$10,Предпосылки!$E66),1,0)</f>
        <v>0</v>
      </c>
      <c s="124">
        <f>IF(M$10=IF(ISBLANK(Предпосылки!$E66),$E$10,Предпосылки!$E66),1,0)</f>
        <v>0</v>
      </c>
      <c s="124">
        <f>IF(N$10=IF(ISBLANK(Предпосылки!$E66),$E$10,Предпосылки!$E66),1,0)</f>
        <v>0</v>
      </c>
      <c s="124">
        <f>IF(O$10=IF(ISBLANK(Предпосылки!$E66),$E$10,Предпосылки!$E66),1,0)</f>
        <v>0</v>
      </c>
      <c s="124">
        <f>IF(P$10=IF(ISBLANK(Предпосылки!$E66),$E$10,Предпосылки!$E66),1,0)</f>
        <v>0</v>
      </c>
      <c s="124">
        <f>IF(Q$10=IF(ISBLANK(Предпосылки!$E66),$E$10,Предпосылки!$E66),1,0)</f>
        <v>0</v>
      </c>
      <c s="124">
        <f>IF(R$10=IF(ISBLANK(Предпосылки!$E66),$E$10,Предпосылки!$E66),1,0)</f>
        <v>0</v>
      </c>
      <c s="124">
        <f>IF(S$10=IF(ISBLANK(Предпосылки!$E66),$E$10,Предпосылки!$E66),1,0)</f>
        <v>0</v>
      </c>
      <c s="124">
        <f>IF(T$10=IF(ISBLANK(Предпосылки!$E66),$E$10,Предпосылки!$E66),1,0)</f>
        <v>0</v>
      </c>
      <c s="124">
        <f>IF(U$10=IF(ISBLANK(Предпосылки!$E66),$E$10,Предпосылки!$E66),1,0)</f>
        <v>0</v>
      </c>
      <c s="124">
        <f>IF(V$10=IF(ISBLANK(Предпосылки!$E66),$E$10,Предпосылки!$E66),1,0)</f>
        <v>0</v>
      </c>
      <c s="124">
        <f>IF(W$10=IF(ISBLANK(Предпосылки!$E66),$E$10,Предпосылки!$E66),1,0)</f>
        <v>0</v>
      </c>
      <c s="124">
        <f>IF(X$10=IF(ISBLANK(Предпосылки!$E66),$E$10,Предпосылки!$E66),1,0)</f>
        <v>0</v>
      </c>
      <c s="124">
        <f>IF(Y$10=IF(ISBLANK(Предпосылки!$E66),$E$10,Предпосылки!$E66),1,0)</f>
        <v>0</v>
      </c>
      <c s="124">
        <f>IF(Z$10=IF(ISBLANK(Предпосылки!$E66),$E$10,Предпосылки!$E66),1,0)</f>
        <v>0</v>
      </c>
      <c s="124">
        <f>IF(AA$10=IF(ISBLANK(Предпосылки!$E66),$E$10,Предпосылки!$E66),1,0)</f>
        <v>0</v>
      </c>
      <c s="124">
        <f>IF(AB$10=IF(ISBLANK(Предпосылки!$E66),$E$10,Предпосылки!$E66),1,0)</f>
        <v>0</v>
      </c>
      <c s="124">
        <f>IF(AC$10=IF(ISBLANK(Предпосылки!$E66),$E$10,Предпосылки!$E66),1,0)</f>
        <v>0</v>
      </c>
      <c s="124">
        <f>IF(AD$10=IF(ISBLANK(Предпосылки!$E66),$E$10,Предпосылки!$E66),1,0)</f>
        <v>0</v>
      </c>
      <c s="124">
        <f>IF(AE$10=IF(ISBLANK(Предпосылки!$E66),$E$10,Предпосылки!$E66),1,0)</f>
        <v>0</v>
      </c>
      <c s="124">
        <f>IF(AF$10=IF(ISBLANK(Предпосылки!$E66),$E$10,Предпосылки!$E66),1,0)</f>
        <v>0</v>
      </c>
      <c s="124">
        <f>IF(AG$10=IF(ISBLANK(Предпосылки!$E66),$E$10,Предпосылки!$E66),1,0)</f>
        <v>0</v>
      </c>
      <c s="124">
        <f>IF(AH$10=IF(ISBLANK(Предпосылки!$E66),$E$10,Предпосылки!$E66),1,0)</f>
        <v>0</v>
      </c>
      <c s="124">
        <f>IF(AI$10=IF(ISBLANK(Предпосылки!$E66),$E$10,Предпосылки!$E66),1,0)</f>
        <v>0</v>
      </c>
      <c s="124">
        <f>IF(AJ$10=IF(ISBLANK(Предпосылки!$E66),$E$10,Предпосылки!$E66),1,0)</f>
        <v>0</v>
      </c>
      <c s="124">
        <f>IF(AK$10=IF(ISBLANK(Предпосылки!$E66),$E$10,Предпосылки!$E66),1,0)</f>
        <v>0</v>
      </c>
      <c s="124">
        <f>IF(AL$10=IF(ISBLANK(Предпосылки!$E66),$E$10,Предпосылки!$E66),1,0)</f>
        <v>0</v>
      </c>
      <c s="124">
        <f>IF(AM$10=IF(ISBLANK(Предпосылки!$E66),$E$10,Предпосылки!$E66),1,0)</f>
        <v>0</v>
      </c>
      <c s="124">
        <f>IF(AN$10=IF(ISBLANK(Предпосылки!$E66),$E$10,Предпосылки!$E66),1,0)</f>
        <v>0</v>
      </c>
      <c s="124">
        <f>IF(AO$10=IF(ISBLANK(Предпосылки!$E66),$E$10,Предпосылки!$E66),1,0)</f>
        <v>0</v>
      </c>
      <c s="124">
        <f>IF(AP$10=IF(ISBLANK(Предпосылки!$E66),$E$10,Предпосылки!$E66),1,0)</f>
        <v>0</v>
      </c>
      <c s="124">
        <f>IF(AQ$10=IF(ISBLANK(Предпосылки!$E66),$E$10,Предпосылки!$E66),1,0)</f>
        <v>0</v>
      </c>
      <c s="124">
        <f>IF(AR$10=IF(ISBLANK(Предпосылки!$E66),$E$10,Предпосылки!$E66),1,0)</f>
        <v>0</v>
      </c>
      <c s="124">
        <f>IF(AS$10=IF(ISBLANK(Предпосылки!$E66),$E$10,Предпосылки!$E66),1,0)</f>
        <v>0</v>
      </c>
      <c s="124">
        <f>IF(AT$10=IF(ISBLANK(Предпосылки!$E66),$E$10,Предпосылки!$E66),1,0)</f>
        <v>0</v>
      </c>
      <c s="124">
        <f>IF(AU$10=IF(ISBLANK(Предпосылки!$E66),$E$10,Предпосылки!$E66),1,0)</f>
        <v>0</v>
      </c>
      <c s="124">
        <f>IF(AV$10=IF(ISBLANK(Предпосылки!$E66),$E$10,Предпосылки!$E66),1,0)</f>
        <v>0</v>
      </c>
      <c s="124">
        <f>IF(AW$10=IF(ISBLANK(Предпосылки!$E66),$E$10,Предпосылки!$E66),1,0)</f>
        <v>0</v>
      </c>
      <c s="124">
        <f>IF(AX$10=IF(ISBLANK(Предпосылки!$E66),$E$10,Предпосылки!$E66),1,0)</f>
        <v>0</v>
      </c>
      <c s="124">
        <f>IF(AY$10=IF(ISBLANK(Предпосылки!$E66),$E$10,Предпосылки!$E66),1,0)</f>
        <v>0</v>
      </c>
      <c s="124">
        <f>IF(AZ$10=IF(ISBLANK(Предпосылки!$E66),$E$10,Предпосылки!$E66),1,0)</f>
        <v>0</v>
      </c>
      <c s="124">
        <f>IF(BA$10=IF(ISBLANK(Предпосылки!$E66),$E$10,Предпосылки!$E66),1,0)</f>
        <v>0</v>
      </c>
      <c s="124">
        <f>IF(BB$10=IF(ISBLANK(Предпосылки!$E66),$E$10,Предпосылки!$E66),1,0)</f>
        <v>0</v>
      </c>
      <c s="124">
        <f>IF(BC$10=IF(ISBLANK(Предпосылки!$E66),$E$10,Предпосылки!$E66),1,0)</f>
        <v>0</v>
      </c>
      <c s="124">
        <f>IF(BD$10=IF(ISBLANK(Предпосылки!$E66),$E$10,Предпосылки!$E66),1,0)</f>
        <v>0</v>
      </c>
      <c s="124">
        <f>IF(BE$10=IF(ISBLANK(Предпосылки!$E66),$E$10,Предпосылки!$E66),1,0)</f>
        <v>0</v>
      </c>
      <c s="124">
        <f>IF(BF$10=IF(ISBLANK(Предпосылки!$E66),$E$10,Предпосылки!$E66),1,0)</f>
        <v>0</v>
      </c>
      <c s="124">
        <f>IF(BG$10=IF(ISBLANK(Предпосылки!$E66),$E$10,Предпосылки!$E66),1,0)</f>
        <v>0</v>
      </c>
      <c s="124">
        <f>IF(BH$10=IF(ISBLANK(Предпосылки!$E66),$E$10,Предпосылки!$E66),1,0)</f>
        <v>0</v>
      </c>
      <c s="124">
        <f>IF(BI$10=IF(ISBLANK(Предпосылки!$E66),$E$10,Предпосылки!$E66),1,0)</f>
        <v>0</v>
      </c>
      <c s="124">
        <f>IF(BJ$10=IF(ISBLANK(Предпосылки!$E66),$E$10,Предпосылки!$E66),1,0)</f>
        <v>0</v>
      </c>
      <c s="124">
        <f>IF(BK$10=IF(ISBLANK(Предпосылки!$E66),$E$10,Предпосылки!$E66),1,0)</f>
        <v>0</v>
      </c>
      <c s="124">
        <f>IF(BL$10=IF(ISBLANK(Предпосылки!$E66),$E$10,Предпосылки!$E66),1,0)</f>
        <v>0</v>
      </c>
      <c s="124">
        <f>IF(BM$10=IF(ISBLANK(Предпосылки!$E66),$E$10,Предпосылки!$E66),1,0)</f>
        <v>0</v>
      </c>
    </row>
    <row r="358" spans="2:65" ht="15" customHeight="1">
      <c r="B358" s="12" t="str">
        <f t="shared" si="115"/>
        <v>-</v>
      </c>
      <c s="124" t="s">
        <v>824</v>
      </c>
      <c s="124"/>
      <c s="124">
        <f>IF(E$10=IF(ISBLANK(Предпосылки!$E67),$E$10,Предпосылки!$E67),1,0)</f>
        <v>1</v>
      </c>
      <c s="124">
        <f>IF(F$10=IF(ISBLANK(Предпосылки!$E67),$E$10,Предпосылки!$E67),1,0)</f>
        <v>0</v>
      </c>
      <c s="124">
        <f>IF(G$10=IF(ISBLANK(Предпосылки!$E67),$E$10,Предпосылки!$E67),1,0)</f>
        <v>0</v>
      </c>
      <c s="124">
        <f>IF(H$10=IF(ISBLANK(Предпосылки!$E67),$E$10,Предпосылки!$E67),1,0)</f>
        <v>0</v>
      </c>
      <c s="124">
        <f>IF(I$10=IF(ISBLANK(Предпосылки!$E67),$E$10,Предпосылки!$E67),1,0)</f>
        <v>0</v>
      </c>
      <c s="124">
        <f>IF(J$10=IF(ISBLANK(Предпосылки!$E67),$E$10,Предпосылки!$E67),1,0)</f>
        <v>0</v>
      </c>
      <c s="124">
        <f>IF(K$10=IF(ISBLANK(Предпосылки!$E67),$E$10,Предпосылки!$E67),1,0)</f>
        <v>0</v>
      </c>
      <c s="124">
        <f>IF(L$10=IF(ISBLANK(Предпосылки!$E67),$E$10,Предпосылки!$E67),1,0)</f>
        <v>0</v>
      </c>
      <c s="124">
        <f>IF(M$10=IF(ISBLANK(Предпосылки!$E67),$E$10,Предпосылки!$E67),1,0)</f>
        <v>0</v>
      </c>
      <c s="124">
        <f>IF(N$10=IF(ISBLANK(Предпосылки!$E67),$E$10,Предпосылки!$E67),1,0)</f>
        <v>0</v>
      </c>
      <c s="124">
        <f>IF(O$10=IF(ISBLANK(Предпосылки!$E67),$E$10,Предпосылки!$E67),1,0)</f>
        <v>0</v>
      </c>
      <c s="124">
        <f>IF(P$10=IF(ISBLANK(Предпосылки!$E67),$E$10,Предпосылки!$E67),1,0)</f>
        <v>0</v>
      </c>
      <c s="124">
        <f>IF(Q$10=IF(ISBLANK(Предпосылки!$E67),$E$10,Предпосылки!$E67),1,0)</f>
        <v>0</v>
      </c>
      <c s="124">
        <f>IF(R$10=IF(ISBLANK(Предпосылки!$E67),$E$10,Предпосылки!$E67),1,0)</f>
        <v>0</v>
      </c>
      <c s="124">
        <f>IF(S$10=IF(ISBLANK(Предпосылки!$E67),$E$10,Предпосылки!$E67),1,0)</f>
        <v>0</v>
      </c>
      <c s="124">
        <f>IF(T$10=IF(ISBLANK(Предпосылки!$E67),$E$10,Предпосылки!$E67),1,0)</f>
        <v>0</v>
      </c>
      <c s="124">
        <f>IF(U$10=IF(ISBLANK(Предпосылки!$E67),$E$10,Предпосылки!$E67),1,0)</f>
        <v>0</v>
      </c>
      <c s="124">
        <f>IF(V$10=IF(ISBLANK(Предпосылки!$E67),$E$10,Предпосылки!$E67),1,0)</f>
        <v>0</v>
      </c>
      <c s="124">
        <f>IF(W$10=IF(ISBLANK(Предпосылки!$E67),$E$10,Предпосылки!$E67),1,0)</f>
        <v>0</v>
      </c>
      <c s="124">
        <f>IF(X$10=IF(ISBLANK(Предпосылки!$E67),$E$10,Предпосылки!$E67),1,0)</f>
        <v>0</v>
      </c>
      <c s="124">
        <f>IF(Y$10=IF(ISBLANK(Предпосылки!$E67),$E$10,Предпосылки!$E67),1,0)</f>
        <v>0</v>
      </c>
      <c s="124">
        <f>IF(Z$10=IF(ISBLANK(Предпосылки!$E67),$E$10,Предпосылки!$E67),1,0)</f>
        <v>0</v>
      </c>
      <c s="124">
        <f>IF(AA$10=IF(ISBLANK(Предпосылки!$E67),$E$10,Предпосылки!$E67),1,0)</f>
        <v>0</v>
      </c>
      <c s="124">
        <f>IF(AB$10=IF(ISBLANK(Предпосылки!$E67),$E$10,Предпосылки!$E67),1,0)</f>
        <v>0</v>
      </c>
      <c s="124">
        <f>IF(AC$10=IF(ISBLANK(Предпосылки!$E67),$E$10,Предпосылки!$E67),1,0)</f>
        <v>0</v>
      </c>
      <c s="124">
        <f>IF(AD$10=IF(ISBLANK(Предпосылки!$E67),$E$10,Предпосылки!$E67),1,0)</f>
        <v>0</v>
      </c>
      <c s="124">
        <f>IF(AE$10=IF(ISBLANK(Предпосылки!$E67),$E$10,Предпосылки!$E67),1,0)</f>
        <v>0</v>
      </c>
      <c s="124">
        <f>IF(AF$10=IF(ISBLANK(Предпосылки!$E67),$E$10,Предпосылки!$E67),1,0)</f>
        <v>0</v>
      </c>
      <c s="124">
        <f>IF(AG$10=IF(ISBLANK(Предпосылки!$E67),$E$10,Предпосылки!$E67),1,0)</f>
        <v>0</v>
      </c>
      <c s="124">
        <f>IF(AH$10=IF(ISBLANK(Предпосылки!$E67),$E$10,Предпосылки!$E67),1,0)</f>
        <v>0</v>
      </c>
      <c s="124">
        <f>IF(AI$10=IF(ISBLANK(Предпосылки!$E67),$E$10,Предпосылки!$E67),1,0)</f>
        <v>0</v>
      </c>
      <c s="124">
        <f>IF(AJ$10=IF(ISBLANK(Предпосылки!$E67),$E$10,Предпосылки!$E67),1,0)</f>
        <v>0</v>
      </c>
      <c s="124">
        <f>IF(AK$10=IF(ISBLANK(Предпосылки!$E67),$E$10,Предпосылки!$E67),1,0)</f>
        <v>0</v>
      </c>
      <c s="124">
        <f>IF(AL$10=IF(ISBLANK(Предпосылки!$E67),$E$10,Предпосылки!$E67),1,0)</f>
        <v>0</v>
      </c>
      <c s="124">
        <f>IF(AM$10=IF(ISBLANK(Предпосылки!$E67),$E$10,Предпосылки!$E67),1,0)</f>
        <v>0</v>
      </c>
      <c s="124">
        <f>IF(AN$10=IF(ISBLANK(Предпосылки!$E67),$E$10,Предпосылки!$E67),1,0)</f>
        <v>0</v>
      </c>
      <c s="124">
        <f>IF(AO$10=IF(ISBLANK(Предпосылки!$E67),$E$10,Предпосылки!$E67),1,0)</f>
        <v>0</v>
      </c>
      <c s="124">
        <f>IF(AP$10=IF(ISBLANK(Предпосылки!$E67),$E$10,Предпосылки!$E67),1,0)</f>
        <v>0</v>
      </c>
      <c s="124">
        <f>IF(AQ$10=IF(ISBLANK(Предпосылки!$E67),$E$10,Предпосылки!$E67),1,0)</f>
        <v>0</v>
      </c>
      <c s="124">
        <f>IF(AR$10=IF(ISBLANK(Предпосылки!$E67),$E$10,Предпосылки!$E67),1,0)</f>
        <v>0</v>
      </c>
      <c s="124">
        <f>IF(AS$10=IF(ISBLANK(Предпосылки!$E67),$E$10,Предпосылки!$E67),1,0)</f>
        <v>0</v>
      </c>
      <c s="124">
        <f>IF(AT$10=IF(ISBLANK(Предпосылки!$E67),$E$10,Предпосылки!$E67),1,0)</f>
        <v>0</v>
      </c>
      <c s="124">
        <f>IF(AU$10=IF(ISBLANK(Предпосылки!$E67),$E$10,Предпосылки!$E67),1,0)</f>
        <v>0</v>
      </c>
      <c s="124">
        <f>IF(AV$10=IF(ISBLANK(Предпосылки!$E67),$E$10,Предпосылки!$E67),1,0)</f>
        <v>0</v>
      </c>
      <c s="124">
        <f>IF(AW$10=IF(ISBLANK(Предпосылки!$E67),$E$10,Предпосылки!$E67),1,0)</f>
        <v>0</v>
      </c>
      <c s="124">
        <f>IF(AX$10=IF(ISBLANK(Предпосылки!$E67),$E$10,Предпосылки!$E67),1,0)</f>
        <v>0</v>
      </c>
      <c s="124">
        <f>IF(AY$10=IF(ISBLANK(Предпосылки!$E67),$E$10,Предпосылки!$E67),1,0)</f>
        <v>0</v>
      </c>
      <c s="124">
        <f>IF(AZ$10=IF(ISBLANK(Предпосылки!$E67),$E$10,Предпосылки!$E67),1,0)</f>
        <v>0</v>
      </c>
      <c s="124">
        <f>IF(BA$10=IF(ISBLANK(Предпосылки!$E67),$E$10,Предпосылки!$E67),1,0)</f>
        <v>0</v>
      </c>
      <c s="124">
        <f>IF(BB$10=IF(ISBLANK(Предпосылки!$E67),$E$10,Предпосылки!$E67),1,0)</f>
        <v>0</v>
      </c>
      <c s="124">
        <f>IF(BC$10=IF(ISBLANK(Предпосылки!$E67),$E$10,Предпосылки!$E67),1,0)</f>
        <v>0</v>
      </c>
      <c s="124">
        <f>IF(BD$10=IF(ISBLANK(Предпосылки!$E67),$E$10,Предпосылки!$E67),1,0)</f>
        <v>0</v>
      </c>
      <c s="124">
        <f>IF(BE$10=IF(ISBLANK(Предпосылки!$E67),$E$10,Предпосылки!$E67),1,0)</f>
        <v>0</v>
      </c>
      <c s="124">
        <f>IF(BF$10=IF(ISBLANK(Предпосылки!$E67),$E$10,Предпосылки!$E67),1,0)</f>
        <v>0</v>
      </c>
      <c s="124">
        <f>IF(BG$10=IF(ISBLANK(Предпосылки!$E67),$E$10,Предпосылки!$E67),1,0)</f>
        <v>0</v>
      </c>
      <c s="124">
        <f>IF(BH$10=IF(ISBLANK(Предпосылки!$E67),$E$10,Предпосылки!$E67),1,0)</f>
        <v>0</v>
      </c>
      <c s="124">
        <f>IF(BI$10=IF(ISBLANK(Предпосылки!$E67),$E$10,Предпосылки!$E67),1,0)</f>
        <v>0</v>
      </c>
      <c s="124">
        <f>IF(BJ$10=IF(ISBLANK(Предпосылки!$E67),$E$10,Предпосылки!$E67),1,0)</f>
        <v>0</v>
      </c>
      <c s="124">
        <f>IF(BK$10=IF(ISBLANK(Предпосылки!$E67),$E$10,Предпосылки!$E67),1,0)</f>
        <v>0</v>
      </c>
      <c s="124">
        <f>IF(BL$10=IF(ISBLANK(Предпосылки!$E67),$E$10,Предпосылки!$E67),1,0)</f>
        <v>0</v>
      </c>
      <c s="124">
        <f>IF(BM$10=IF(ISBLANK(Предпосылки!$E67),$E$10,Предпосылки!$E67),1,0)</f>
        <v>0</v>
      </c>
    </row>
    <row r="359" spans="2:65" ht="15" customHeight="1">
      <c r="B359" s="12" t="str">
        <f t="shared" si="115"/>
        <v>-</v>
      </c>
      <c s="124" t="s">
        <v>824</v>
      </c>
      <c s="124"/>
      <c s="124">
        <f>IF(E$10=IF(ISBLANK(Предпосылки!$E68),$E$10,Предпосылки!$E68),1,0)</f>
        <v>1</v>
      </c>
      <c s="124">
        <f>IF(F$10=IF(ISBLANK(Предпосылки!$E68),$E$10,Предпосылки!$E68),1,0)</f>
        <v>0</v>
      </c>
      <c s="124">
        <f>IF(G$10=IF(ISBLANK(Предпосылки!$E68),$E$10,Предпосылки!$E68),1,0)</f>
        <v>0</v>
      </c>
      <c s="124">
        <f>IF(H$10=IF(ISBLANK(Предпосылки!$E68),$E$10,Предпосылки!$E68),1,0)</f>
        <v>0</v>
      </c>
      <c s="124">
        <f>IF(I$10=IF(ISBLANK(Предпосылки!$E68),$E$10,Предпосылки!$E68),1,0)</f>
        <v>0</v>
      </c>
      <c s="124">
        <f>IF(J$10=IF(ISBLANK(Предпосылки!$E68),$E$10,Предпосылки!$E68),1,0)</f>
        <v>0</v>
      </c>
      <c s="124">
        <f>IF(K$10=IF(ISBLANK(Предпосылки!$E68),$E$10,Предпосылки!$E68),1,0)</f>
        <v>0</v>
      </c>
      <c s="124">
        <f>IF(L$10=IF(ISBLANK(Предпосылки!$E68),$E$10,Предпосылки!$E68),1,0)</f>
        <v>0</v>
      </c>
      <c s="124">
        <f>IF(M$10=IF(ISBLANK(Предпосылки!$E68),$E$10,Предпосылки!$E68),1,0)</f>
        <v>0</v>
      </c>
      <c s="124">
        <f>IF(N$10=IF(ISBLANK(Предпосылки!$E68),$E$10,Предпосылки!$E68),1,0)</f>
        <v>0</v>
      </c>
      <c s="124">
        <f>IF(O$10=IF(ISBLANK(Предпосылки!$E68),$E$10,Предпосылки!$E68),1,0)</f>
        <v>0</v>
      </c>
      <c s="124">
        <f>IF(P$10=IF(ISBLANK(Предпосылки!$E68),$E$10,Предпосылки!$E68),1,0)</f>
        <v>0</v>
      </c>
      <c s="124">
        <f>IF(Q$10=IF(ISBLANK(Предпосылки!$E68),$E$10,Предпосылки!$E68),1,0)</f>
        <v>0</v>
      </c>
      <c s="124">
        <f>IF(R$10=IF(ISBLANK(Предпосылки!$E68),$E$10,Предпосылки!$E68),1,0)</f>
        <v>0</v>
      </c>
      <c s="124">
        <f>IF(S$10=IF(ISBLANK(Предпосылки!$E68),$E$10,Предпосылки!$E68),1,0)</f>
        <v>0</v>
      </c>
      <c s="124">
        <f>IF(T$10=IF(ISBLANK(Предпосылки!$E68),$E$10,Предпосылки!$E68),1,0)</f>
        <v>0</v>
      </c>
      <c s="124">
        <f>IF(U$10=IF(ISBLANK(Предпосылки!$E68),$E$10,Предпосылки!$E68),1,0)</f>
        <v>0</v>
      </c>
      <c s="124">
        <f>IF(V$10=IF(ISBLANK(Предпосылки!$E68),$E$10,Предпосылки!$E68),1,0)</f>
        <v>0</v>
      </c>
      <c s="124">
        <f>IF(W$10=IF(ISBLANK(Предпосылки!$E68),$E$10,Предпосылки!$E68),1,0)</f>
        <v>0</v>
      </c>
      <c s="124">
        <f>IF(X$10=IF(ISBLANK(Предпосылки!$E68),$E$10,Предпосылки!$E68),1,0)</f>
        <v>0</v>
      </c>
      <c s="124">
        <f>IF(Y$10=IF(ISBLANK(Предпосылки!$E68),$E$10,Предпосылки!$E68),1,0)</f>
        <v>0</v>
      </c>
      <c s="124">
        <f>IF(Z$10=IF(ISBLANK(Предпосылки!$E68),$E$10,Предпосылки!$E68),1,0)</f>
        <v>0</v>
      </c>
      <c s="124">
        <f>IF(AA$10=IF(ISBLANK(Предпосылки!$E68),$E$10,Предпосылки!$E68),1,0)</f>
        <v>0</v>
      </c>
      <c s="124">
        <f>IF(AB$10=IF(ISBLANK(Предпосылки!$E68),$E$10,Предпосылки!$E68),1,0)</f>
        <v>0</v>
      </c>
      <c s="124">
        <f>IF(AC$10=IF(ISBLANK(Предпосылки!$E68),$E$10,Предпосылки!$E68),1,0)</f>
        <v>0</v>
      </c>
      <c s="124">
        <f>IF(AD$10=IF(ISBLANK(Предпосылки!$E68),$E$10,Предпосылки!$E68),1,0)</f>
        <v>0</v>
      </c>
      <c s="124">
        <f>IF(AE$10=IF(ISBLANK(Предпосылки!$E68),$E$10,Предпосылки!$E68),1,0)</f>
        <v>0</v>
      </c>
      <c s="124">
        <f>IF(AF$10=IF(ISBLANK(Предпосылки!$E68),$E$10,Предпосылки!$E68),1,0)</f>
        <v>0</v>
      </c>
      <c s="124">
        <f>IF(AG$10=IF(ISBLANK(Предпосылки!$E68),$E$10,Предпосылки!$E68),1,0)</f>
        <v>0</v>
      </c>
      <c s="124">
        <f>IF(AH$10=IF(ISBLANK(Предпосылки!$E68),$E$10,Предпосылки!$E68),1,0)</f>
        <v>0</v>
      </c>
      <c s="124">
        <f>IF(AI$10=IF(ISBLANK(Предпосылки!$E68),$E$10,Предпосылки!$E68),1,0)</f>
        <v>0</v>
      </c>
      <c s="124">
        <f>IF(AJ$10=IF(ISBLANK(Предпосылки!$E68),$E$10,Предпосылки!$E68),1,0)</f>
        <v>0</v>
      </c>
      <c s="124">
        <f>IF(AK$10=IF(ISBLANK(Предпосылки!$E68),$E$10,Предпосылки!$E68),1,0)</f>
        <v>0</v>
      </c>
      <c s="124">
        <f>IF(AL$10=IF(ISBLANK(Предпосылки!$E68),$E$10,Предпосылки!$E68),1,0)</f>
        <v>0</v>
      </c>
      <c s="124">
        <f>IF(AM$10=IF(ISBLANK(Предпосылки!$E68),$E$10,Предпосылки!$E68),1,0)</f>
        <v>0</v>
      </c>
      <c s="124">
        <f>IF(AN$10=IF(ISBLANK(Предпосылки!$E68),$E$10,Предпосылки!$E68),1,0)</f>
        <v>0</v>
      </c>
      <c s="124">
        <f>IF(AO$10=IF(ISBLANK(Предпосылки!$E68),$E$10,Предпосылки!$E68),1,0)</f>
        <v>0</v>
      </c>
      <c s="124">
        <f>IF(AP$10=IF(ISBLANK(Предпосылки!$E68),$E$10,Предпосылки!$E68),1,0)</f>
        <v>0</v>
      </c>
      <c s="124">
        <f>IF(AQ$10=IF(ISBLANK(Предпосылки!$E68),$E$10,Предпосылки!$E68),1,0)</f>
        <v>0</v>
      </c>
      <c s="124">
        <f>IF(AR$10=IF(ISBLANK(Предпосылки!$E68),$E$10,Предпосылки!$E68),1,0)</f>
        <v>0</v>
      </c>
      <c s="124">
        <f>IF(AS$10=IF(ISBLANK(Предпосылки!$E68),$E$10,Предпосылки!$E68),1,0)</f>
        <v>0</v>
      </c>
      <c s="124">
        <f>IF(AT$10=IF(ISBLANK(Предпосылки!$E68),$E$10,Предпосылки!$E68),1,0)</f>
        <v>0</v>
      </c>
      <c s="124">
        <f>IF(AU$10=IF(ISBLANK(Предпосылки!$E68),$E$10,Предпосылки!$E68),1,0)</f>
        <v>0</v>
      </c>
      <c s="124">
        <f>IF(AV$10=IF(ISBLANK(Предпосылки!$E68),$E$10,Предпосылки!$E68),1,0)</f>
        <v>0</v>
      </c>
      <c s="124">
        <f>IF(AW$10=IF(ISBLANK(Предпосылки!$E68),$E$10,Предпосылки!$E68),1,0)</f>
        <v>0</v>
      </c>
      <c s="124">
        <f>IF(AX$10=IF(ISBLANK(Предпосылки!$E68),$E$10,Предпосылки!$E68),1,0)</f>
        <v>0</v>
      </c>
      <c s="124">
        <f>IF(AY$10=IF(ISBLANK(Предпосылки!$E68),$E$10,Предпосылки!$E68),1,0)</f>
        <v>0</v>
      </c>
      <c s="124">
        <f>IF(AZ$10=IF(ISBLANK(Предпосылки!$E68),$E$10,Предпосылки!$E68),1,0)</f>
        <v>0</v>
      </c>
      <c s="124">
        <f>IF(BA$10=IF(ISBLANK(Предпосылки!$E68),$E$10,Предпосылки!$E68),1,0)</f>
        <v>0</v>
      </c>
      <c s="124">
        <f>IF(BB$10=IF(ISBLANK(Предпосылки!$E68),$E$10,Предпосылки!$E68),1,0)</f>
        <v>0</v>
      </c>
      <c s="124">
        <f>IF(BC$10=IF(ISBLANK(Предпосылки!$E68),$E$10,Предпосылки!$E68),1,0)</f>
        <v>0</v>
      </c>
      <c s="124">
        <f>IF(BD$10=IF(ISBLANK(Предпосылки!$E68),$E$10,Предпосылки!$E68),1,0)</f>
        <v>0</v>
      </c>
      <c s="124">
        <f>IF(BE$10=IF(ISBLANK(Предпосылки!$E68),$E$10,Предпосылки!$E68),1,0)</f>
        <v>0</v>
      </c>
      <c s="124">
        <f>IF(BF$10=IF(ISBLANK(Предпосылки!$E68),$E$10,Предпосылки!$E68),1,0)</f>
        <v>0</v>
      </c>
      <c s="124">
        <f>IF(BG$10=IF(ISBLANK(Предпосылки!$E68),$E$10,Предпосылки!$E68),1,0)</f>
        <v>0</v>
      </c>
      <c s="124">
        <f>IF(BH$10=IF(ISBLANK(Предпосылки!$E68),$E$10,Предпосылки!$E68),1,0)</f>
        <v>0</v>
      </c>
      <c s="124">
        <f>IF(BI$10=IF(ISBLANK(Предпосылки!$E68),$E$10,Предпосылки!$E68),1,0)</f>
        <v>0</v>
      </c>
      <c s="124">
        <f>IF(BJ$10=IF(ISBLANK(Предпосылки!$E68),$E$10,Предпосылки!$E68),1,0)</f>
        <v>0</v>
      </c>
      <c s="124">
        <f>IF(BK$10=IF(ISBLANK(Предпосылки!$E68),$E$10,Предпосылки!$E68),1,0)</f>
        <v>0</v>
      </c>
      <c s="124">
        <f>IF(BL$10=IF(ISBLANK(Предпосылки!$E68),$E$10,Предпосылки!$E68),1,0)</f>
        <v>0</v>
      </c>
      <c s="124">
        <f>IF(BM$10=IF(ISBLANK(Предпосылки!$E68),$E$10,Предпосылки!$E68),1,0)</f>
        <v>0</v>
      </c>
    </row>
    <row r="360" spans="2:65" ht="15" customHeight="1">
      <c r="B360" s="12" t="str">
        <f t="shared" si="115"/>
        <v>-</v>
      </c>
      <c s="124" t="s">
        <v>824</v>
      </c>
      <c s="124"/>
      <c s="124">
        <f>IF(E$10=IF(ISBLANK(Предпосылки!$E69),$E$10,Предпосылки!$E69),1,0)</f>
        <v>1</v>
      </c>
      <c s="124">
        <f>IF(F$10=IF(ISBLANK(Предпосылки!$E69),$E$10,Предпосылки!$E69),1,0)</f>
        <v>0</v>
      </c>
      <c s="124">
        <f>IF(G$10=IF(ISBLANK(Предпосылки!$E69),$E$10,Предпосылки!$E69),1,0)</f>
        <v>0</v>
      </c>
      <c s="124">
        <f>IF(H$10=IF(ISBLANK(Предпосылки!$E69),$E$10,Предпосылки!$E69),1,0)</f>
        <v>0</v>
      </c>
      <c s="124">
        <f>IF(I$10=IF(ISBLANK(Предпосылки!$E69),$E$10,Предпосылки!$E69),1,0)</f>
        <v>0</v>
      </c>
      <c s="124">
        <f>IF(J$10=IF(ISBLANK(Предпосылки!$E69),$E$10,Предпосылки!$E69),1,0)</f>
        <v>0</v>
      </c>
      <c s="124">
        <f>IF(K$10=IF(ISBLANK(Предпосылки!$E69),$E$10,Предпосылки!$E69),1,0)</f>
        <v>0</v>
      </c>
      <c s="124">
        <f>IF(L$10=IF(ISBLANK(Предпосылки!$E69),$E$10,Предпосылки!$E69),1,0)</f>
        <v>0</v>
      </c>
      <c s="124">
        <f>IF(M$10=IF(ISBLANK(Предпосылки!$E69),$E$10,Предпосылки!$E69),1,0)</f>
        <v>0</v>
      </c>
      <c s="124">
        <f>IF(N$10=IF(ISBLANK(Предпосылки!$E69),$E$10,Предпосылки!$E69),1,0)</f>
        <v>0</v>
      </c>
      <c s="124">
        <f>IF(O$10=IF(ISBLANK(Предпосылки!$E69),$E$10,Предпосылки!$E69),1,0)</f>
        <v>0</v>
      </c>
      <c s="124">
        <f>IF(P$10=IF(ISBLANK(Предпосылки!$E69),$E$10,Предпосылки!$E69),1,0)</f>
        <v>0</v>
      </c>
      <c s="124">
        <f>IF(Q$10=IF(ISBLANK(Предпосылки!$E69),$E$10,Предпосылки!$E69),1,0)</f>
        <v>0</v>
      </c>
      <c s="124">
        <f>IF(R$10=IF(ISBLANK(Предпосылки!$E69),$E$10,Предпосылки!$E69),1,0)</f>
        <v>0</v>
      </c>
      <c s="124">
        <f>IF(S$10=IF(ISBLANK(Предпосылки!$E69),$E$10,Предпосылки!$E69),1,0)</f>
        <v>0</v>
      </c>
      <c s="124">
        <f>IF(T$10=IF(ISBLANK(Предпосылки!$E69),$E$10,Предпосылки!$E69),1,0)</f>
        <v>0</v>
      </c>
      <c s="124">
        <f>IF(U$10=IF(ISBLANK(Предпосылки!$E69),$E$10,Предпосылки!$E69),1,0)</f>
        <v>0</v>
      </c>
      <c s="124">
        <f>IF(V$10=IF(ISBLANK(Предпосылки!$E69),$E$10,Предпосылки!$E69),1,0)</f>
        <v>0</v>
      </c>
      <c s="124">
        <f>IF(W$10=IF(ISBLANK(Предпосылки!$E69),$E$10,Предпосылки!$E69),1,0)</f>
        <v>0</v>
      </c>
      <c s="124">
        <f>IF(X$10=IF(ISBLANK(Предпосылки!$E69),$E$10,Предпосылки!$E69),1,0)</f>
        <v>0</v>
      </c>
      <c s="124">
        <f>IF(Y$10=IF(ISBLANK(Предпосылки!$E69),$E$10,Предпосылки!$E69),1,0)</f>
        <v>0</v>
      </c>
      <c s="124">
        <f>IF(Z$10=IF(ISBLANK(Предпосылки!$E69),$E$10,Предпосылки!$E69),1,0)</f>
        <v>0</v>
      </c>
      <c s="124">
        <f>IF(AA$10=IF(ISBLANK(Предпосылки!$E69),$E$10,Предпосылки!$E69),1,0)</f>
        <v>0</v>
      </c>
      <c s="124">
        <f>IF(AB$10=IF(ISBLANK(Предпосылки!$E69),$E$10,Предпосылки!$E69),1,0)</f>
        <v>0</v>
      </c>
      <c s="124">
        <f>IF(AC$10=IF(ISBLANK(Предпосылки!$E69),$E$10,Предпосылки!$E69),1,0)</f>
        <v>0</v>
      </c>
      <c s="124">
        <f>IF(AD$10=IF(ISBLANK(Предпосылки!$E69),$E$10,Предпосылки!$E69),1,0)</f>
        <v>0</v>
      </c>
      <c s="124">
        <f>IF(AE$10=IF(ISBLANK(Предпосылки!$E69),$E$10,Предпосылки!$E69),1,0)</f>
        <v>0</v>
      </c>
      <c s="124">
        <f>IF(AF$10=IF(ISBLANK(Предпосылки!$E69),$E$10,Предпосылки!$E69),1,0)</f>
        <v>0</v>
      </c>
      <c s="124">
        <f>IF(AG$10=IF(ISBLANK(Предпосылки!$E69),$E$10,Предпосылки!$E69),1,0)</f>
        <v>0</v>
      </c>
      <c s="124">
        <f>IF(AH$10=IF(ISBLANK(Предпосылки!$E69),$E$10,Предпосылки!$E69),1,0)</f>
        <v>0</v>
      </c>
      <c s="124">
        <f>IF(AI$10=IF(ISBLANK(Предпосылки!$E69),$E$10,Предпосылки!$E69),1,0)</f>
        <v>0</v>
      </c>
      <c s="124">
        <f>IF(AJ$10=IF(ISBLANK(Предпосылки!$E69),$E$10,Предпосылки!$E69),1,0)</f>
        <v>0</v>
      </c>
      <c s="124">
        <f>IF(AK$10=IF(ISBLANK(Предпосылки!$E69),$E$10,Предпосылки!$E69),1,0)</f>
        <v>0</v>
      </c>
      <c s="124">
        <f>IF(AL$10=IF(ISBLANK(Предпосылки!$E69),$E$10,Предпосылки!$E69),1,0)</f>
        <v>0</v>
      </c>
      <c s="124">
        <f>IF(AM$10=IF(ISBLANK(Предпосылки!$E69),$E$10,Предпосылки!$E69),1,0)</f>
        <v>0</v>
      </c>
      <c s="124">
        <f>IF(AN$10=IF(ISBLANK(Предпосылки!$E69),$E$10,Предпосылки!$E69),1,0)</f>
        <v>0</v>
      </c>
      <c s="124">
        <f>IF(AO$10=IF(ISBLANK(Предпосылки!$E69),$E$10,Предпосылки!$E69),1,0)</f>
        <v>0</v>
      </c>
      <c s="124">
        <f>IF(AP$10=IF(ISBLANK(Предпосылки!$E69),$E$10,Предпосылки!$E69),1,0)</f>
        <v>0</v>
      </c>
      <c s="124">
        <f>IF(AQ$10=IF(ISBLANK(Предпосылки!$E69),$E$10,Предпосылки!$E69),1,0)</f>
        <v>0</v>
      </c>
      <c s="124">
        <f>IF(AR$10=IF(ISBLANK(Предпосылки!$E69),$E$10,Предпосылки!$E69),1,0)</f>
        <v>0</v>
      </c>
      <c s="124">
        <f>IF(AS$10=IF(ISBLANK(Предпосылки!$E69),$E$10,Предпосылки!$E69),1,0)</f>
        <v>0</v>
      </c>
      <c s="124">
        <f>IF(AT$10=IF(ISBLANK(Предпосылки!$E69),$E$10,Предпосылки!$E69),1,0)</f>
        <v>0</v>
      </c>
      <c s="124">
        <f>IF(AU$10=IF(ISBLANK(Предпосылки!$E69),$E$10,Предпосылки!$E69),1,0)</f>
        <v>0</v>
      </c>
      <c s="124">
        <f>IF(AV$10=IF(ISBLANK(Предпосылки!$E69),$E$10,Предпосылки!$E69),1,0)</f>
        <v>0</v>
      </c>
      <c s="124">
        <f>IF(AW$10=IF(ISBLANK(Предпосылки!$E69),$E$10,Предпосылки!$E69),1,0)</f>
        <v>0</v>
      </c>
      <c s="124">
        <f>IF(AX$10=IF(ISBLANK(Предпосылки!$E69),$E$10,Предпосылки!$E69),1,0)</f>
        <v>0</v>
      </c>
      <c s="124">
        <f>IF(AY$10=IF(ISBLANK(Предпосылки!$E69),$E$10,Предпосылки!$E69),1,0)</f>
        <v>0</v>
      </c>
      <c s="124">
        <f>IF(AZ$10=IF(ISBLANK(Предпосылки!$E69),$E$10,Предпосылки!$E69),1,0)</f>
        <v>0</v>
      </c>
      <c s="124">
        <f>IF(BA$10=IF(ISBLANK(Предпосылки!$E69),$E$10,Предпосылки!$E69),1,0)</f>
        <v>0</v>
      </c>
      <c s="124">
        <f>IF(BB$10=IF(ISBLANK(Предпосылки!$E69),$E$10,Предпосылки!$E69),1,0)</f>
        <v>0</v>
      </c>
      <c s="124">
        <f>IF(BC$10=IF(ISBLANK(Предпосылки!$E69),$E$10,Предпосылки!$E69),1,0)</f>
        <v>0</v>
      </c>
      <c s="124">
        <f>IF(BD$10=IF(ISBLANK(Предпосылки!$E69),$E$10,Предпосылки!$E69),1,0)</f>
        <v>0</v>
      </c>
      <c s="124">
        <f>IF(BE$10=IF(ISBLANK(Предпосылки!$E69),$E$10,Предпосылки!$E69),1,0)</f>
        <v>0</v>
      </c>
      <c s="124">
        <f>IF(BF$10=IF(ISBLANK(Предпосылки!$E69),$E$10,Предпосылки!$E69),1,0)</f>
        <v>0</v>
      </c>
      <c s="124">
        <f>IF(BG$10=IF(ISBLANK(Предпосылки!$E69),$E$10,Предпосылки!$E69),1,0)</f>
        <v>0</v>
      </c>
      <c s="124">
        <f>IF(BH$10=IF(ISBLANK(Предпосылки!$E69),$E$10,Предпосылки!$E69),1,0)</f>
        <v>0</v>
      </c>
      <c s="124">
        <f>IF(BI$10=IF(ISBLANK(Предпосылки!$E69),$E$10,Предпосылки!$E69),1,0)</f>
        <v>0</v>
      </c>
      <c s="124">
        <f>IF(BJ$10=IF(ISBLANK(Предпосылки!$E69),$E$10,Предпосылки!$E69),1,0)</f>
        <v>0</v>
      </c>
      <c s="124">
        <f>IF(BK$10=IF(ISBLANK(Предпосылки!$E69),$E$10,Предпосылки!$E69),1,0)</f>
        <v>0</v>
      </c>
      <c s="124">
        <f>IF(BL$10=IF(ISBLANK(Предпосылки!$E69),$E$10,Предпосылки!$E69),1,0)</f>
        <v>0</v>
      </c>
      <c s="124">
        <f>IF(BM$10=IF(ISBLANK(Предпосылки!$E69),$E$10,Предпосылки!$E69),1,0)</f>
        <v>0</v>
      </c>
    </row>
    <row r="361" ht="15" customHeight="1"/>
    <row r="362" spans="2:71" ht="21">
      <c r="B362" s="23" t="s">
        <v>825</v>
      </c>
      <c r="D36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63" spans="2:65" ht="15" customHeight="1">
      <c r="B363" s="12" t="str">
        <f>B278</f>
        <v>-</v>
      </c>
      <c s="124" t="str">
        <f t="shared" si="116" ref="C363:C403">Единица_измерения</f>
        <v>тыс. руб.</v>
      </c>
      <c s="276">
        <f>SUM(E363:BM363)</f>
        <v>0</v>
      </c>
      <c s="125">
        <f>SUM($D105,$D148)*E321</f>
        <v>0</v>
      </c>
      <c s="125">
        <f t="shared" si="117" ref="F363:AG363">SUM($D105,$D148)*F321</f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8" ref="AH363:BM363">SUM($D105,$D148)*AH321</f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</row>
    <row r="364" spans="2:65" ht="15" customHeight="1">
      <c r="B364" s="12" t="str">
        <f t="shared" si="119" ref="B364:B402">B279</f>
        <v>-</v>
      </c>
      <c s="124" t="str">
        <f t="shared" si="116"/>
        <v>тыс. руб.</v>
      </c>
      <c s="276">
        <f t="shared" si="120" ref="D364:D402">SUM(E364:BM364)</f>
        <v>0</v>
      </c>
      <c s="125">
        <f t="shared" si="121" ref="E364:AG364">SUM($D106,$D149)*E322</f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2" ref="AH364:BM364">SUM($D106,$D149)*AH322</f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</row>
    <row r="365" spans="2:65" ht="15" customHeight="1">
      <c r="B365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23" ref="E365:AG365">SUM($D107,$D150)*E323</f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4" ref="AH365:BM365">SUM($D107,$D150)*AH323</f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</row>
    <row r="366" spans="2:65" ht="15" customHeight="1">
      <c r="B366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25" ref="E366:AG366">SUM($D108,$D151)*E324</f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6" ref="AH366:BM366">SUM($D108,$D151)*AH324</f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</row>
    <row r="367" spans="2:65" ht="15" customHeight="1">
      <c r="B367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27" ref="E367:AG367">SUM($D109,$D152)*E325</f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8" ref="AH367:BM367">SUM($D109,$D152)*AH325</f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</row>
    <row r="368" spans="2:65" ht="15" customHeight="1">
      <c r="B368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29" ref="E368:AG368">SUM($D110,$D153)*E326</f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30" ref="AH368:BM368">SUM($D110,$D153)*AH326</f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</row>
    <row r="369" spans="2:65" ht="15" customHeight="1">
      <c r="B369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31" ref="E369:AG369">SUM($D111,$D154)*E327</f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2" ref="AH369:BM369">SUM($D111,$D154)*AH327</f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</row>
    <row r="370" spans="2:65" ht="15" customHeight="1">
      <c r="B370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33" ref="E370:AG370">SUM($D112,$D155)*E328</f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4" ref="AH370:BM370">SUM($D112,$D155)*AH328</f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</row>
    <row r="371" spans="2:65" ht="15" customHeight="1">
      <c r="B371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35" ref="E371:AG371">SUM($D113,$D156)*E329</f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6" ref="AH371:BM371">SUM($D113,$D156)*AH329</f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</row>
    <row r="372" spans="2:65" ht="15" customHeight="1">
      <c r="B372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37" ref="E372:AG372">SUM($D114,$D157)*E330</f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8" ref="AH372:BM372">SUM($D114,$D157)*AH330</f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</row>
    <row r="373" spans="2:65" ht="15" customHeight="1">
      <c r="B373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39" ref="E373:AG373">SUM($D115,$D158)*E331</f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40" ref="AH373:BM373">SUM($D115,$D158)*AH331</f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</row>
    <row r="374" spans="2:65" ht="15" customHeight="1">
      <c r="B374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41" ref="E374:AG374">SUM($D116,$D159)*E332</f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2" ref="AH374:BM374">SUM($D116,$D159)*AH332</f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</row>
    <row r="375" spans="2:65" ht="15" customHeight="1">
      <c r="B375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43" ref="E375:AG375">SUM($D117,$D160)*E333</f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4" ref="AH375:BM375">SUM($D117,$D160)*AH333</f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</row>
    <row r="376" spans="2:65" ht="15" customHeight="1">
      <c r="B376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45" ref="E376:AG376">SUM($D118,$D161)*E334</f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6" ref="AH376:BM376">SUM($D118,$D161)*AH334</f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</row>
    <row r="377" spans="2:65" ht="15" customHeight="1">
      <c r="B377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47" ref="E377:AG377">SUM($D119,$D162)*E335</f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8" ref="AH377:BM377">SUM($D119,$D162)*AH335</f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</row>
    <row r="378" spans="2:65" ht="15" customHeight="1">
      <c r="B378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49" ref="E378:AG378">SUM($D120,$D163)*E336</f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50" ref="AH378:BM378">SUM($D120,$D163)*AH336</f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</row>
    <row r="379" spans="2:65" ht="15" customHeight="1">
      <c r="B379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51" ref="E379:AG379">SUM($D121,$D164)*E337</f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2" ref="AH379:BM379">SUM($D121,$D164)*AH337</f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</row>
    <row r="380" spans="2:65" ht="15" customHeight="1">
      <c r="B380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53" ref="E380:AG380">SUM($D122,$D165)*E338</f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4" ref="AH380:BM380">SUM($D122,$D165)*AH338</f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</row>
    <row r="381" spans="2:65" ht="15" customHeight="1">
      <c r="B381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55" ref="E381:AG381">SUM($D123,$D166)*E339</f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6" ref="AH381:BM381">SUM($D123,$D166)*AH339</f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</row>
    <row r="382" spans="2:65" ht="15" customHeight="1">
      <c r="B382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57" ref="E382:AG382">SUM($D124,$D167)*E340</f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8" ref="AH382:BM382">SUM($D124,$D167)*AH340</f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</row>
    <row r="383" spans="2:65" ht="15" customHeight="1">
      <c r="B383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59" ref="E383:AG383">SUM($D125,$D168)*E341</f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60" ref="AH383:BM383">SUM($D125,$D168)*AH341</f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</row>
    <row r="384" spans="2:65" ht="15" customHeight="1">
      <c r="B384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61" ref="E384:AG384">SUM($D126,$D169)*E342</f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2" ref="AH384:BM384">SUM($D126,$D169)*AH342</f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</row>
    <row r="385" spans="2:65" ht="15" customHeight="1">
      <c r="B385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63" ref="E385:AG385">SUM($D127,$D170)*E343</f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4" ref="AH385:BM385">SUM($D127,$D170)*AH343</f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</row>
    <row r="386" spans="2:65" ht="15" customHeight="1">
      <c r="B386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65" ref="E386:AG386">SUM($D128,$D171)*E344</f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6" ref="AH386:BM386">SUM($D128,$D171)*AH344</f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</row>
    <row r="387" spans="2:65" ht="15" customHeight="1">
      <c r="B387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67" ref="E387:AG387">SUM($D129,$D172)*E345</f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8" ref="AH387:BM387">SUM($D129,$D172)*AH345</f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</row>
    <row r="388" spans="2:65" ht="15" customHeight="1">
      <c r="B388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69" ref="E388:AG388">SUM($D130,$D173)*E346</f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70" ref="AH388:BM388">SUM($D130,$D173)*AH346</f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</row>
    <row r="389" spans="2:65" ht="15" customHeight="1">
      <c r="B389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71" ref="E389:AG389">SUM($D131,$D174)*E347</f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2" ref="AH389:BM389">SUM($D131,$D174)*AH347</f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</row>
    <row r="390" spans="2:65" ht="15" customHeight="1">
      <c r="B390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73" ref="E390:AG390">SUM($D132,$D175)*E348</f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4" ref="AH390:BM390">SUM($D132,$D175)*AH348</f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</row>
    <row r="391" spans="2:65" ht="15" customHeight="1">
      <c r="B391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75" ref="E391:AG391">SUM($D133,$D176)*E349</f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6" ref="AH391:BM391">SUM($D133,$D176)*AH349</f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</row>
    <row r="392" spans="2:65" ht="15" customHeight="1">
      <c r="B392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77" ref="E392:AG392">SUM($D134,$D177)*E350</f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8" ref="AH392:BM392">SUM($D134,$D177)*AH350</f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</row>
    <row r="393" spans="2:65" ht="15" customHeight="1">
      <c r="B393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79" ref="E393:AG393">SUM($D135,$D178)*E351</f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80" ref="AH393:BM393">SUM($D135,$D178)*AH351</f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</row>
    <row r="394" spans="2:65" ht="15" customHeight="1">
      <c r="B394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81" ref="E394:AG394">SUM($D136,$D179)*E352</f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2" ref="AH394:BM394">SUM($D136,$D179)*AH352</f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</row>
    <row r="395" spans="2:65" ht="15" customHeight="1">
      <c r="B395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83" ref="E395:AG395">SUM($D137,$D180)*E353</f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4" ref="AH395:BM395">SUM($D137,$D180)*AH353</f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</row>
    <row r="396" spans="2:65" ht="15" customHeight="1">
      <c r="B396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85" ref="E396:AG396">SUM($D138,$D181)*E354</f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6" ref="AH396:BM396">SUM($D138,$D181)*AH354</f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</row>
    <row r="397" spans="2:65" ht="15" customHeight="1">
      <c r="B397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87" ref="E397:AG397">SUM($D139,$D182)*E355</f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8" ref="AH397:BM397">SUM($D139,$D182)*AH355</f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</row>
    <row r="398" spans="2:65" ht="15" customHeight="1">
      <c r="B398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89" ref="E398:AG398">SUM($D140,$D183)*E356</f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90" ref="AH398:BM398">SUM($D140,$D183)*AH356</f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</row>
    <row r="399" spans="2:65" ht="15" customHeight="1">
      <c r="B399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91" ref="E399:AG399">SUM($D141,$D184)*E357</f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2" ref="AH399:BM399">SUM($D141,$D184)*AH357</f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</row>
    <row r="400" spans="2:65" ht="15" customHeight="1">
      <c r="B400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93" ref="E400:AG400">SUM($D142,$D185)*E358</f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4" ref="AH400:BM400">SUM($D142,$D185)*AH358</f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</row>
    <row r="401" spans="2:65" ht="15" customHeight="1">
      <c r="B401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95" ref="E401:AG401">SUM($D143,$D186)*E359</f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6" ref="AH401:BM401">SUM($D143,$D186)*AH359</f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</row>
    <row r="402" spans="2:65" ht="15" customHeight="1">
      <c r="B402" s="12" t="str">
        <f t="shared" si="119"/>
        <v>-</v>
      </c>
      <c s="124" t="str">
        <f t="shared" si="116"/>
        <v>тыс. руб.</v>
      </c>
      <c s="276">
        <f t="shared" si="120"/>
        <v>0</v>
      </c>
      <c s="125">
        <f t="shared" si="197" ref="E402:AG402">SUM($D144,$D187)*E360</f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8" ref="AH402:BM402">SUM($D144,$D187)*AH360</f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</row>
    <row r="403" spans="2:65" ht="15" customHeight="1">
      <c r="B403" s="289" t="s">
        <v>454</v>
      </c>
      <c s="290" t="str">
        <f t="shared" si="116"/>
        <v>тыс. руб.</v>
      </c>
      <c s="291">
        <f>SUM(D363:D402)</f>
        <v>0</v>
      </c>
      <c s="276">
        <f>SUM(E363:E402)</f>
        <v>0</v>
      </c>
      <c s="276">
        <f t="shared" si="199" ref="F403:AG403">SUM(F363:F402)</f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200" ref="AH403:BM403">SUM(AH363:AH402)</f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</row>
    <row r="404" ht="15" customHeight="1"/>
    <row r="405" spans="2:71" ht="21">
      <c r="B405" s="23" t="s">
        <v>826</v>
      </c>
      <c r="D40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06" spans="2:65" ht="15" customHeight="1">
      <c r="B406" s="12" t="s">
        <v>827</v>
      </c>
      <c s="124" t="str">
        <f t="shared" si="201" ref="C406:C411">Единица_измерения</f>
        <v>тыс. руб.</v>
      </c>
      <c s="276">
        <v>0</v>
      </c>
      <c s="125">
        <f>IF(E$6=1,D406,D409)</f>
        <v>0</v>
      </c>
      <c s="125">
        <f t="shared" si="202" ref="F406:AG406">IF(F$6=1,E406,E409)</f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3" ref="AH406">IF(AH$6=1,AG406,AG409)</f>
        <v>0</v>
      </c>
      <c s="125">
        <f t="shared" si="204" ref="AI406">IF(AI$6=1,AH406,AH409)</f>
        <v>0</v>
      </c>
      <c s="125">
        <f t="shared" si="205" ref="AJ406">IF(AJ$6=1,AI406,AI409)</f>
        <v>0</v>
      </c>
      <c s="125">
        <f t="shared" si="206" ref="AK406">IF(AK$6=1,AJ406,AJ409)</f>
        <v>0</v>
      </c>
      <c s="125">
        <f t="shared" si="207" ref="AL406">IF(AL$6=1,AK406,AK409)</f>
        <v>0</v>
      </c>
      <c s="125">
        <f t="shared" si="208" ref="AM406">IF(AM$6=1,AL406,AL409)</f>
        <v>0</v>
      </c>
      <c s="125">
        <f t="shared" si="209" ref="AN406">IF(AN$6=1,AM406,AM409)</f>
        <v>0</v>
      </c>
      <c s="125">
        <f t="shared" si="210" ref="AO406">IF(AO$6=1,AN406,AN409)</f>
        <v>0</v>
      </c>
      <c s="125">
        <f t="shared" si="211" ref="AP406">IF(AP$6=1,AO406,AO409)</f>
        <v>0</v>
      </c>
      <c s="125">
        <f t="shared" si="212" ref="AQ406">IF(AQ$6=1,AP406,AP409)</f>
        <v>0</v>
      </c>
      <c s="125">
        <f t="shared" si="213" ref="AR406">IF(AR$6=1,AQ406,AQ409)</f>
        <v>0</v>
      </c>
      <c s="125">
        <f t="shared" si="214" ref="AS406">IF(AS$6=1,AR406,AR409)</f>
        <v>0</v>
      </c>
      <c s="125">
        <f t="shared" si="215" ref="AT406">IF(AT$6=1,AS406,AS409)</f>
        <v>0</v>
      </c>
      <c s="125">
        <f t="shared" si="216" ref="AU406">IF(AU$6=1,AT406,AT409)</f>
        <v>0</v>
      </c>
      <c s="125">
        <f t="shared" si="217" ref="AV406">IF(AV$6=1,AU406,AU409)</f>
        <v>0</v>
      </c>
      <c s="125">
        <f t="shared" si="218" ref="AW406">IF(AW$6=1,AV406,AV409)</f>
        <v>0</v>
      </c>
      <c s="125">
        <f t="shared" si="219" ref="AX406">IF(AX$6=1,AW406,AW409)</f>
        <v>0</v>
      </c>
      <c s="125">
        <f t="shared" si="220" ref="AY406">IF(AY$6=1,AX406,AX409)</f>
        <v>0</v>
      </c>
      <c s="125">
        <f t="shared" si="221" ref="AZ406">IF(AZ$6=1,AY406,AY409)</f>
        <v>0</v>
      </c>
      <c s="125">
        <f t="shared" si="222" ref="BA406">IF(BA$6=1,AZ406,AZ409)</f>
        <v>0</v>
      </c>
      <c s="125">
        <f t="shared" si="223" ref="BB406">IF(BB$6=1,BA406,BA409)</f>
        <v>0</v>
      </c>
      <c s="125">
        <f t="shared" si="224" ref="BC406">IF(BC$6=1,BB406,BB409)</f>
        <v>0</v>
      </c>
      <c s="125">
        <f t="shared" si="225" ref="BD406">IF(BD$6=1,BC406,BC409)</f>
        <v>0</v>
      </c>
      <c s="125">
        <f t="shared" si="226" ref="BE406">IF(BE$6=1,BD406,BD409)</f>
        <v>0</v>
      </c>
      <c s="125">
        <f t="shared" si="227" ref="BF406">IF(BF$6=1,BE406,BE409)</f>
        <v>0</v>
      </c>
      <c s="125">
        <f t="shared" si="228" ref="BG406">IF(BG$6=1,BF406,BF409)</f>
        <v>0</v>
      </c>
      <c s="125">
        <f t="shared" si="229" ref="BH406">IF(BH$6=1,BG406,BG409)</f>
        <v>0</v>
      </c>
      <c s="125">
        <f t="shared" si="230" ref="BI406">IF(BI$6=1,BH406,BH409)</f>
        <v>0</v>
      </c>
      <c s="125">
        <f t="shared" si="231" ref="BJ406">IF(BJ$6=1,BI406,BI409)</f>
        <v>0</v>
      </c>
      <c s="125">
        <f t="shared" si="232" ref="BK406">IF(BK$6=1,BJ406,BJ409)</f>
        <v>0</v>
      </c>
      <c s="125">
        <f t="shared" si="233" ref="BL406">IF(BL$6=1,BK406,BK409)</f>
        <v>0</v>
      </c>
      <c s="125">
        <f t="shared" si="234" ref="BM406">IF(BM$6=1,BL406,BL409)</f>
        <v>0</v>
      </c>
    </row>
    <row r="407" spans="2:65" ht="15" customHeight="1">
      <c r="B407" s="22" t="s">
        <v>828</v>
      </c>
      <c s="124" t="str">
        <f t="shared" si="201"/>
        <v>тыс. руб.</v>
      </c>
      <c s="276">
        <f>SUM(E407:BM407)</f>
        <v>0</v>
      </c>
      <c s="125">
        <f>E318</f>
        <v>0</v>
      </c>
      <c s="125">
        <f t="shared" si="235" ref="F407:AG407">F318</f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6" ref="AH407:BM407">AH318</f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</row>
    <row r="408" spans="2:65" ht="15" customHeight="1">
      <c r="B408" s="22" t="s">
        <v>829</v>
      </c>
      <c s="124" t="str">
        <f t="shared" si="201"/>
        <v>тыс. руб.</v>
      </c>
      <c s="276">
        <f>SUM(E408:BM408)</f>
        <v>0</v>
      </c>
      <c s="125">
        <f>-SUM(IF(E$6=1,$D$145,0),E188)</f>
        <v>0</v>
      </c>
      <c s="125">
        <f t="shared" si="237" ref="F408:AG408">-SUM(IF(F$6=1,$D$145,0),F188)</f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8" ref="AH408:BM408">-SUM(IF(AH$6=1,$D$145,0),AH188)</f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</row>
    <row r="409" spans="2:65" ht="15" customHeight="1">
      <c r="B409" s="289" t="s">
        <v>830</v>
      </c>
      <c s="290" t="str">
        <f t="shared" si="201"/>
        <v>тыс. руб.</v>
      </c>
      <c s="291">
        <f>SUM(D406:D408)</f>
        <v>0</v>
      </c>
      <c s="276">
        <f>SUM(E406:E408)</f>
        <v>0</v>
      </c>
      <c s="276">
        <f t="shared" si="239" ref="F409:AG409">SUM(F406:F408)</f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39"/>
        <v>0</v>
      </c>
      <c s="276">
        <f t="shared" si="240" ref="AH409:BM409">SUM(AH406:AH408)</f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  <c s="276">
        <f t="shared" si="240"/>
        <v>0</v>
      </c>
    </row>
    <row r="410" spans="2:65" ht="15" customHeight="1">
      <c r="B410" s="22" t="s">
        <v>831</v>
      </c>
      <c s="124" t="str">
        <f t="shared" si="201"/>
        <v>тыс. руб.</v>
      </c>
      <c s="125"/>
      <c s="125">
        <f>-MIN(0,E409)</f>
        <v>0</v>
      </c>
      <c s="125">
        <f t="shared" si="241" ref="F410:AG410">-MIN(0,F409)</f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2" ref="AH410:BM410">-MIN(0,AH409)</f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</row>
    <row r="411" spans="2:65" ht="15" customHeight="1">
      <c r="B411" s="22" t="s">
        <v>832</v>
      </c>
      <c s="124" t="str">
        <f t="shared" si="201"/>
        <v>тыс. руб.</v>
      </c>
      <c s="125"/>
      <c s="125">
        <f>MAX(0,E409)</f>
        <v>0</v>
      </c>
      <c s="125">
        <f t="shared" si="243" ref="F411:AG411">MAX(0,F409)</f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4" ref="AH411:BM411">MAX(0,AH409)</f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</row>
    <row r="412" ht="15" customHeight="1"/>
    <row r="413" spans="2:2" ht="21">
      <c r="B413" s="23" t="s">
        <v>833</v>
      </c>
    </row>
    <row r="414" spans="2:65" ht="15" customHeight="1">
      <c r="B414" s="12" t="s">
        <v>827</v>
      </c>
      <c s="124" t="str">
        <f>Единица_измерения</f>
        <v>тыс. руб.</v>
      </c>
      <c s="276">
        <v>0</v>
      </c>
      <c s="125">
        <f>IF(E$6=1,D414,D417)</f>
        <v>0</v>
      </c>
      <c s="125">
        <f t="shared" si="245" ref="F414:AG414">IF(F$6=1,E414,E417)</f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6" ref="AH414">IF(AH$6=1,AG414,AG417)</f>
        <v>0</v>
      </c>
      <c s="125">
        <f t="shared" si="247" ref="AI414">IF(AI$6=1,AH414,AH417)</f>
        <v>0</v>
      </c>
      <c s="125">
        <f t="shared" si="248" ref="AJ414">IF(AJ$6=1,AI414,AI417)</f>
        <v>0</v>
      </c>
      <c s="125">
        <f t="shared" si="249" ref="AK414">IF(AK$6=1,AJ414,AJ417)</f>
        <v>0</v>
      </c>
      <c s="125">
        <f t="shared" si="250" ref="AL414">IF(AL$6=1,AK414,AK417)</f>
        <v>0</v>
      </c>
      <c s="125">
        <f t="shared" si="251" ref="AM414">IF(AM$6=1,AL414,AL417)</f>
        <v>0</v>
      </c>
      <c s="125">
        <f t="shared" si="252" ref="AN414">IF(AN$6=1,AM414,AM417)</f>
        <v>0</v>
      </c>
      <c s="125">
        <f t="shared" si="253" ref="AO414">IF(AO$6=1,AN414,AN417)</f>
        <v>0</v>
      </c>
      <c s="125">
        <f t="shared" si="254" ref="AP414">IF(AP$6=1,AO414,AO417)</f>
        <v>0</v>
      </c>
      <c s="125">
        <f t="shared" si="255" ref="AQ414">IF(AQ$6=1,AP414,AP417)</f>
        <v>0</v>
      </c>
      <c s="125">
        <f t="shared" si="256" ref="AR414">IF(AR$6=1,AQ414,AQ417)</f>
        <v>0</v>
      </c>
      <c s="125">
        <f t="shared" si="257" ref="AS414">IF(AS$6=1,AR414,AR417)</f>
        <v>0</v>
      </c>
      <c s="125">
        <f t="shared" si="258" ref="AT414">IF(AT$6=1,AS414,AS417)</f>
        <v>0</v>
      </c>
      <c s="125">
        <f t="shared" si="259" ref="AU414">IF(AU$6=1,AT414,AT417)</f>
        <v>0</v>
      </c>
      <c s="125">
        <f t="shared" si="260" ref="AV414">IF(AV$6=1,AU414,AU417)</f>
        <v>0</v>
      </c>
      <c s="125">
        <f t="shared" si="261" ref="AW414">IF(AW$6=1,AV414,AV417)</f>
        <v>0</v>
      </c>
      <c s="125">
        <f t="shared" si="262" ref="AX414">IF(AX$6=1,AW414,AW417)</f>
        <v>0</v>
      </c>
      <c s="125">
        <f t="shared" si="263" ref="AY414">IF(AY$6=1,AX414,AX417)</f>
        <v>0</v>
      </c>
      <c s="125">
        <f t="shared" si="264" ref="AZ414">IF(AZ$6=1,AY414,AY417)</f>
        <v>0</v>
      </c>
      <c s="125">
        <f t="shared" si="265" ref="BA414">IF(BA$6=1,AZ414,AZ417)</f>
        <v>0</v>
      </c>
      <c s="125">
        <f t="shared" si="266" ref="BB414">IF(BB$6=1,BA414,BA417)</f>
        <v>0</v>
      </c>
      <c s="125">
        <f t="shared" si="267" ref="BC414">IF(BC$6=1,BB414,BB417)</f>
        <v>0</v>
      </c>
      <c s="125">
        <f t="shared" si="268" ref="BD414">IF(BD$6=1,BC414,BC417)</f>
        <v>0</v>
      </c>
      <c s="125">
        <f t="shared" si="269" ref="BE414">IF(BE$6=1,BD414,BD417)</f>
        <v>0</v>
      </c>
      <c s="125">
        <f t="shared" si="270" ref="BF414">IF(BF$6=1,BE414,BE417)</f>
        <v>0</v>
      </c>
      <c s="125">
        <f t="shared" si="271" ref="BG414">IF(BG$6=1,BF414,BF417)</f>
        <v>0</v>
      </c>
      <c s="125">
        <f t="shared" si="272" ref="BH414">IF(BH$6=1,BG414,BG417)</f>
        <v>0</v>
      </c>
      <c s="125">
        <f t="shared" si="273" ref="BI414">IF(BI$6=1,BH414,BH417)</f>
        <v>0</v>
      </c>
      <c s="125">
        <f t="shared" si="274" ref="BJ414">IF(BJ$6=1,BI414,BI417)</f>
        <v>0</v>
      </c>
      <c s="125">
        <f t="shared" si="275" ref="BK414">IF(BK$6=1,BJ414,BJ417)</f>
        <v>0</v>
      </c>
      <c s="125">
        <f t="shared" si="276" ref="BL414">IF(BL$6=1,BK414,BK417)</f>
        <v>0</v>
      </c>
      <c s="125">
        <f t="shared" si="277" ref="BM414">IF(BM$6=1,BL414,BL417)</f>
        <v>0</v>
      </c>
    </row>
    <row r="415" spans="2:65" ht="15" customHeight="1">
      <c r="B415" s="22" t="s">
        <v>834</v>
      </c>
      <c s="124" t="str">
        <f>Единица_измерения</f>
        <v>тыс. руб.</v>
      </c>
      <c s="276">
        <f>SUM(E415:BM415)</f>
        <v>0</v>
      </c>
      <c s="125">
        <f>E318</f>
        <v>0</v>
      </c>
      <c s="125">
        <f t="shared" si="278" ref="F415:AG415">F318</f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9" ref="AH415:BM415">AH318</f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</row>
    <row r="416" spans="2:65" ht="15" customHeight="1">
      <c r="B416" s="22" t="s">
        <v>835</v>
      </c>
      <c s="124" t="str">
        <f>Единица_измерения</f>
        <v>тыс. руб.</v>
      </c>
      <c s="276">
        <f>SUM(E416:BM416)</f>
        <v>0</v>
      </c>
      <c s="125">
        <f>-E403</f>
        <v>0</v>
      </c>
      <c s="125">
        <f t="shared" si="280" ref="F416:AG416">-F403</f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1" ref="AH416:BM416">-AH403</f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</row>
    <row r="417" spans="2:65" ht="15" customHeight="1">
      <c r="B417" s="22" t="s">
        <v>830</v>
      </c>
      <c s="124" t="str">
        <f>Единица_измерения</f>
        <v>тыс. руб.</v>
      </c>
      <c s="276">
        <f>SUM(D414:D416)</f>
        <v>0</v>
      </c>
      <c s="276">
        <f>SUM(E414:E416)</f>
        <v>0</v>
      </c>
      <c s="276">
        <f t="shared" si="282" ref="F417:BM417">SUM(F414:F416)</f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</row>
    <row r="418" ht="15" customHeight="1"/>
    <row r="419" spans="2:3" ht="15" customHeight="1">
      <c r="B419" s="12" t="s">
        <v>836</v>
      </c>
      <c s="47" t="str">
        <f>IFERROR(IF(MIN(E417:AG417)&lt;0,"Q","R"),"Q")</f>
        <v>R</v>
      </c>
    </row>
    <row r="420" ht="15" customHeight="1"/>
    <row r="421" spans="2:71" ht="21">
      <c r="B421" s="23" t="s">
        <v>837</v>
      </c>
      <c r="D42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22" spans="2:65" ht="15" customHeight="1">
      <c r="B422" s="12" t="str">
        <f>B363</f>
        <v>-</v>
      </c>
      <c s="124" t="s">
        <v>824</v>
      </c>
      <c s="124"/>
      <c s="124">
        <f t="shared" si="283" ref="E422:AG422">D422+E321</f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3"/>
        <v>1</v>
      </c>
      <c s="124">
        <f t="shared" si="284" ref="AH422:AW437">AG422+AH321</f>
        <v>1</v>
      </c>
      <c s="124">
        <f t="shared" si="285" ref="AI422">AH422+AI321</f>
        <v>1</v>
      </c>
      <c s="124">
        <f t="shared" si="286" ref="AJ422">AI422+AJ321</f>
        <v>1</v>
      </c>
      <c s="124">
        <f t="shared" si="287" ref="AK422">AJ422+AK321</f>
        <v>1</v>
      </c>
      <c s="124">
        <f t="shared" si="288" ref="AL422">AK422+AL321</f>
        <v>1</v>
      </c>
      <c s="124">
        <f t="shared" si="289" ref="AM422">AL422+AM321</f>
        <v>1</v>
      </c>
      <c s="124">
        <f t="shared" si="290" ref="AN422">AM422+AN321</f>
        <v>1</v>
      </c>
      <c s="124">
        <f t="shared" si="291" ref="AO422">AN422+AO321</f>
        <v>1</v>
      </c>
      <c s="124">
        <f t="shared" si="292" ref="AP422">AO422+AP321</f>
        <v>1</v>
      </c>
      <c s="124">
        <f t="shared" si="293" ref="AQ422">AP422+AQ321</f>
        <v>1</v>
      </c>
      <c s="124">
        <f t="shared" si="294" ref="AR422">AQ422+AR321</f>
        <v>1</v>
      </c>
      <c s="124">
        <f t="shared" si="295" ref="AS422">AR422+AS321</f>
        <v>1</v>
      </c>
      <c s="124">
        <f t="shared" si="296" ref="AT422">AS422+AT321</f>
        <v>1</v>
      </c>
      <c s="124">
        <f t="shared" si="297" ref="AU422">AT422+AU321</f>
        <v>1</v>
      </c>
      <c s="124">
        <f t="shared" si="298" ref="AV422">AU422+AV321</f>
        <v>1</v>
      </c>
      <c s="124">
        <f t="shared" si="299" ref="AW422">AV422+AW321</f>
        <v>1</v>
      </c>
      <c s="124">
        <f t="shared" si="300" ref="AX422:BM437">AW422+AX321</f>
        <v>1</v>
      </c>
      <c s="124">
        <f t="shared" si="301" ref="AY422">AX422+AY321</f>
        <v>1</v>
      </c>
      <c s="124">
        <f t="shared" si="302" ref="AZ422">AY422+AZ321</f>
        <v>1</v>
      </c>
      <c s="124">
        <f t="shared" si="303" ref="BA422">AZ422+BA321</f>
        <v>1</v>
      </c>
      <c s="124">
        <f t="shared" si="304" ref="BB422">BA422+BB321</f>
        <v>1</v>
      </c>
      <c s="124">
        <f t="shared" si="305" ref="BC422">BB422+BC321</f>
        <v>1</v>
      </c>
      <c s="124">
        <f t="shared" si="306" ref="BD422">BC422+BD321</f>
        <v>1</v>
      </c>
      <c s="124">
        <f t="shared" si="307" ref="BE422">BD422+BE321</f>
        <v>1</v>
      </c>
      <c s="124">
        <f t="shared" si="308" ref="BF422">BE422+BF321</f>
        <v>1</v>
      </c>
      <c s="124">
        <f t="shared" si="309" ref="BG422">BF422+BG321</f>
        <v>1</v>
      </c>
      <c s="124">
        <f t="shared" si="310" ref="BH422">BG422+BH321</f>
        <v>1</v>
      </c>
      <c s="124">
        <f t="shared" si="311" ref="BI422">BH422+BI321</f>
        <v>1</v>
      </c>
      <c s="124">
        <f t="shared" si="312" ref="BJ422">BI422+BJ321</f>
        <v>1</v>
      </c>
      <c s="124">
        <f t="shared" si="313" ref="BK422">BJ422+BK321</f>
        <v>1</v>
      </c>
      <c s="124">
        <f t="shared" si="314" ref="BL422">BK422+BL321</f>
        <v>1</v>
      </c>
      <c s="124">
        <f t="shared" si="315" ref="BM422">BL422+BM321</f>
        <v>1</v>
      </c>
    </row>
    <row r="423" spans="2:65" ht="15" customHeight="1">
      <c r="B423" s="12" t="str">
        <f t="shared" si="316" ref="B423:B461">B364</f>
        <v>-</v>
      </c>
      <c s="124" t="s">
        <v>824</v>
      </c>
      <c s="124"/>
      <c s="124">
        <f t="shared" si="317" ref="E423:AG431">D423+E322</f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24" spans="2:65" ht="15" customHeight="1">
      <c r="B424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25" spans="2:65" ht="15" customHeight="1">
      <c r="B425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26" spans="2:65" ht="15" customHeight="1">
      <c r="B426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27" spans="2:65" ht="15" customHeight="1">
      <c r="B427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28" spans="2:65" ht="15" customHeight="1">
      <c r="B428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29" spans="2:65" ht="15" customHeight="1">
      <c r="B429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0" spans="2:65" ht="15" customHeight="1">
      <c r="B430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1" spans="2:65" ht="15" customHeight="1">
      <c r="B431" s="12" t="str">
        <f t="shared" si="316"/>
        <v>-</v>
      </c>
      <c s="124" t="s">
        <v>824</v>
      </c>
      <c s="124"/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7"/>
        <v>1</v>
      </c>
      <c s="124">
        <f t="shared" si="318" ref="E431:AG440">AA431+AB330</f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2" spans="2:65" ht="15" customHeight="1">
      <c r="B432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3" spans="2:65" ht="15" customHeight="1">
      <c r="B433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4" spans="2:65" ht="15" customHeight="1">
      <c r="B434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5" spans="2:65" ht="15" customHeight="1">
      <c r="B435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6" spans="2:65" ht="15" customHeight="1">
      <c r="B436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7" spans="2:65" ht="15" customHeight="1">
      <c r="B437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284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  <c s="124">
        <f t="shared" si="300"/>
        <v>1</v>
      </c>
    </row>
    <row r="438" spans="2:65" ht="15" customHeight="1">
      <c r="B438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9" ref="AH438:BM445">AG438+AH337</f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39" spans="2:65" ht="15" customHeight="1">
      <c r="B439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40" spans="2:65" ht="15" customHeight="1">
      <c r="B440" s="12" t="str">
        <f t="shared" si="316"/>
        <v>-</v>
      </c>
      <c s="124" t="s">
        <v>824</v>
      </c>
      <c s="124"/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18"/>
        <v>1</v>
      </c>
      <c s="124">
        <f t="shared" si="320" ref="E440:AG449">U440+V339</f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41" spans="2:65" ht="15" customHeight="1">
      <c r="B441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42" spans="2:65" ht="15" customHeight="1">
      <c r="B442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43" spans="2:65" ht="15" customHeight="1">
      <c r="B443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44" spans="2:65" ht="15" customHeight="1">
      <c r="B444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</row>
    <row r="445" spans="2:65" ht="15" customHeight="1">
      <c r="B445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19"/>
        <v>1</v>
      </c>
      <c s="124">
        <f t="shared" si="321" ref="AH445:BM453">BL445+BM344</f>
        <v>1</v>
      </c>
    </row>
    <row r="446" spans="2:65" ht="15" customHeight="1">
      <c r="B446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47" spans="2:65" ht="15" customHeight="1">
      <c r="B447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48" spans="2:65" ht="15" customHeight="1">
      <c r="B448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49" spans="2:65" ht="15" customHeight="1">
      <c r="B449" s="12" t="str">
        <f t="shared" si="316"/>
        <v>-</v>
      </c>
      <c s="124" t="s">
        <v>824</v>
      </c>
      <c s="124"/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0"/>
        <v>1</v>
      </c>
      <c s="124">
        <f t="shared" si="322" ref="E449:AG458">O449+P348</f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50" spans="2:65" ht="15" customHeight="1">
      <c r="B450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51" spans="2:65" ht="15" customHeight="1">
      <c r="B451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52" spans="2:65" ht="15" customHeight="1">
      <c r="B452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</row>
    <row r="453" spans="2:65" ht="15" customHeight="1">
      <c r="B453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1"/>
        <v>1</v>
      </c>
      <c s="124">
        <f t="shared" si="323" ref="AH453:BM461">BK453+BL352</f>
        <v>1</v>
      </c>
      <c s="124">
        <f t="shared" si="323"/>
        <v>1</v>
      </c>
    </row>
    <row r="454" spans="2:65" ht="15" customHeight="1">
      <c r="B454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55" spans="2:65" ht="15" customHeight="1">
      <c r="B455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56" spans="2:65" ht="15" customHeight="1">
      <c r="B456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57" spans="2:65" ht="15" customHeight="1">
      <c r="B457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58" spans="2:65" ht="15" customHeight="1">
      <c r="B458" s="12" t="str">
        <f t="shared" si="316"/>
        <v>-</v>
      </c>
      <c s="124" t="s">
        <v>824</v>
      </c>
      <c s="124"/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2"/>
        <v>1</v>
      </c>
      <c s="124">
        <f t="shared" si="324" ref="E458:AG461">I458+J357</f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59" spans="2:65" ht="15" customHeight="1">
      <c r="B459" s="12" t="str">
        <f t="shared" si="316"/>
        <v>-</v>
      </c>
      <c s="124" t="s">
        <v>824</v>
      </c>
      <c s="124"/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60" spans="2:65" ht="15" customHeight="1">
      <c r="B460" s="12" t="str">
        <f t="shared" si="316"/>
        <v>-</v>
      </c>
      <c s="124" t="s">
        <v>824</v>
      </c>
      <c s="124"/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</row>
    <row r="461" spans="2:65" ht="15" customHeight="1">
      <c r="B461" s="12" t="str">
        <f t="shared" si="316"/>
        <v>-</v>
      </c>
      <c s="124" t="s">
        <v>824</v>
      </c>
      <c s="124"/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4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3"/>
        <v>1</v>
      </c>
      <c s="124">
        <f t="shared" si="325" ref="BK461">BJ461+BK360</f>
        <v>1</v>
      </c>
      <c s="124">
        <f t="shared" si="326" ref="BL461">BK461+BL360</f>
        <v>1</v>
      </c>
      <c s="124">
        <f t="shared" si="327" ref="BM461">BL461+BM360</f>
        <v>1</v>
      </c>
    </row>
    <row r="462" ht="15" customHeight="1"/>
    <row r="463" spans="2:2" ht="21">
      <c r="B463" s="23" t="s">
        <v>838</v>
      </c>
    </row>
    <row r="464" spans="2:2" ht="15" customHeight="1">
      <c r="B464" s="24" t="s">
        <v>839</v>
      </c>
    </row>
    <row r="465" spans="2:65" ht="15" customHeight="1">
      <c r="B465" s="12" t="str">
        <f>B363</f>
        <v>-</v>
      </c>
      <c s="124" t="str">
        <f t="shared" si="328" ref="C465:C505">Единица_измерения</f>
        <v>тыс. руб.</v>
      </c>
      <c s="124"/>
      <c s="125">
        <f t="shared" si="329" ref="E465:AG465">D594</f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30" ref="AH465:AH504">AG594</f>
        <v>0</v>
      </c>
      <c s="125">
        <f t="shared" si="331" ref="AI465:AI504">AH594</f>
        <v>0</v>
      </c>
      <c s="125">
        <f t="shared" si="332" ref="AJ465:AJ504">AI594</f>
        <v>0</v>
      </c>
      <c s="125">
        <f t="shared" si="333" ref="AK465:AK504">AJ594</f>
        <v>0</v>
      </c>
      <c s="125">
        <f t="shared" si="334" ref="AL465:AL504">AK594</f>
        <v>0</v>
      </c>
      <c s="125">
        <f t="shared" si="335" ref="AM465:AM504">AL594</f>
        <v>0</v>
      </c>
      <c s="125">
        <f t="shared" si="336" ref="AN465:AN504">AM594</f>
        <v>0</v>
      </c>
      <c s="125">
        <f t="shared" si="337" ref="AO465:AO504">AN594</f>
        <v>0</v>
      </c>
      <c s="125">
        <f t="shared" si="338" ref="AP465:AP504">AO594</f>
        <v>0</v>
      </c>
      <c s="125">
        <f t="shared" si="339" ref="AQ465:AQ504">AP594</f>
        <v>0</v>
      </c>
      <c s="125">
        <f t="shared" si="340" ref="AR465:AR504">AQ594</f>
        <v>0</v>
      </c>
      <c s="125">
        <f t="shared" si="341" ref="AS465:AS504">AR594</f>
        <v>0</v>
      </c>
      <c s="125">
        <f t="shared" si="342" ref="AT465:AT504">AS594</f>
        <v>0</v>
      </c>
      <c s="125">
        <f t="shared" si="343" ref="AU465:AU504">AT594</f>
        <v>0</v>
      </c>
      <c s="125">
        <f t="shared" si="344" ref="AV465:AV504">AU594</f>
        <v>0</v>
      </c>
      <c s="125">
        <f t="shared" si="345" ref="AW465:AW504">AV594</f>
        <v>0</v>
      </c>
      <c s="125">
        <f t="shared" si="346" ref="AX465:AX504">AW594</f>
        <v>0</v>
      </c>
      <c s="125">
        <f t="shared" si="347" ref="AY465:AY504">AX594</f>
        <v>0</v>
      </c>
      <c s="125">
        <f t="shared" si="348" ref="AZ465:AZ504">AY594</f>
        <v>0</v>
      </c>
      <c s="125">
        <f t="shared" si="349" ref="BA465:BA504">AZ594</f>
        <v>0</v>
      </c>
      <c s="125">
        <f t="shared" si="350" ref="BB465:BB504">BA594</f>
        <v>0</v>
      </c>
      <c s="125">
        <f t="shared" si="351" ref="BC465:BC504">BB594</f>
        <v>0</v>
      </c>
      <c s="125">
        <f t="shared" si="352" ref="BD465:BD504">BC594</f>
        <v>0</v>
      </c>
      <c s="125">
        <f t="shared" si="353" ref="BE465:BE504">BD594</f>
        <v>0</v>
      </c>
      <c s="125">
        <f t="shared" si="354" ref="BF465:BF504">BE594</f>
        <v>0</v>
      </c>
      <c s="125">
        <f t="shared" si="355" ref="BG465:BG504">BF594</f>
        <v>0</v>
      </c>
      <c s="125">
        <f t="shared" si="356" ref="BH465:BH504">BG594</f>
        <v>0</v>
      </c>
      <c s="125">
        <f t="shared" si="357" ref="BI465:BI504">BH594</f>
        <v>0</v>
      </c>
      <c s="125">
        <f t="shared" si="358" ref="BJ465:BJ504">BI594</f>
        <v>0</v>
      </c>
      <c s="125">
        <f t="shared" si="359" ref="BK465:BK504">BJ594</f>
        <v>0</v>
      </c>
      <c s="125">
        <f t="shared" si="360" ref="BL465:BL504">BK594</f>
        <v>0</v>
      </c>
      <c s="125">
        <f t="shared" si="361" ref="BM465:BM504">BL594</f>
        <v>0</v>
      </c>
    </row>
    <row r="466" spans="2:65" ht="15" customHeight="1">
      <c r="B466" s="12" t="str">
        <f t="shared" si="362" ref="B466:B504">B364</f>
        <v>-</v>
      </c>
      <c s="124" t="str">
        <f t="shared" si="328"/>
        <v>тыс. руб.</v>
      </c>
      <c s="124"/>
      <c s="125">
        <f t="shared" si="363" ref="E466:E504">D595</f>
        <v>0</v>
      </c>
      <c s="125">
        <f t="shared" si="364" ref="F466:F504">E595</f>
        <v>0</v>
      </c>
      <c s="125">
        <f t="shared" si="365" ref="G466:G504">F595</f>
        <v>0</v>
      </c>
      <c s="125">
        <f t="shared" si="366" ref="H466:H504">G595</f>
        <v>0</v>
      </c>
      <c s="125">
        <f t="shared" si="367" ref="I466:I504">H595</f>
        <v>0</v>
      </c>
      <c s="125">
        <f t="shared" si="368" ref="J466:J504">I595</f>
        <v>0</v>
      </c>
      <c s="125">
        <f t="shared" si="369" ref="K466:K504">J595</f>
        <v>0</v>
      </c>
      <c s="125">
        <f t="shared" si="370" ref="L466:L504">K595</f>
        <v>0</v>
      </c>
      <c s="125">
        <f t="shared" si="371" ref="M466:M504">L595</f>
        <v>0</v>
      </c>
      <c s="125">
        <f t="shared" si="372" ref="N466:N504">M595</f>
        <v>0</v>
      </c>
      <c s="125">
        <f t="shared" si="373" ref="O466:O504">N595</f>
        <v>0</v>
      </c>
      <c s="125">
        <f t="shared" si="374" ref="P466:P504">O595</f>
        <v>0</v>
      </c>
      <c s="125">
        <f t="shared" si="375" ref="Q466:Q504">P595</f>
        <v>0</v>
      </c>
      <c s="125">
        <f t="shared" si="376" ref="R466:R504">Q595</f>
        <v>0</v>
      </c>
      <c s="125">
        <f t="shared" si="377" ref="S466:S504">R595</f>
        <v>0</v>
      </c>
      <c s="125">
        <f t="shared" si="378" ref="T466:T504">S595</f>
        <v>0</v>
      </c>
      <c s="125">
        <f t="shared" si="379" ref="U466:U504">T595</f>
        <v>0</v>
      </c>
      <c s="125">
        <f t="shared" si="380" ref="V466:V504">U595</f>
        <v>0</v>
      </c>
      <c s="125">
        <f t="shared" si="381" ref="W466:W504">V595</f>
        <v>0</v>
      </c>
      <c s="125">
        <f t="shared" si="382" ref="X466:X504">W595</f>
        <v>0</v>
      </c>
      <c s="125">
        <f t="shared" si="383" ref="Y466:Y504">X595</f>
        <v>0</v>
      </c>
      <c s="125">
        <f t="shared" si="384" ref="Z466:Z504">Y595</f>
        <v>0</v>
      </c>
      <c s="125">
        <f t="shared" si="385" ref="AA466:AA504">Z595</f>
        <v>0</v>
      </c>
      <c s="125">
        <f t="shared" si="386" ref="AB466:AB504">AA595</f>
        <v>0</v>
      </c>
      <c s="125">
        <f t="shared" si="387" ref="AC466:AC504">AB595</f>
        <v>0</v>
      </c>
      <c s="125">
        <f t="shared" si="388" ref="AD466:AD504">AC595</f>
        <v>0</v>
      </c>
      <c s="125">
        <f t="shared" si="389" ref="AE466:AE504">AD595</f>
        <v>0</v>
      </c>
      <c s="125">
        <f t="shared" si="390" ref="AF466:AF504">AE595</f>
        <v>0</v>
      </c>
      <c s="125">
        <f t="shared" si="391" ref="AG466:AG504">AF595</f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67" spans="2:65" ht="15" customHeight="1">
      <c r="B467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68" spans="2:65" ht="15" customHeight="1">
      <c r="B468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69" spans="2:65" ht="15" customHeight="1">
      <c r="B469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0" spans="2:65" ht="15" customHeight="1">
      <c r="B470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1" spans="2:65" ht="15" customHeight="1">
      <c r="B471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2" spans="2:65" ht="15" customHeight="1">
      <c r="B472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3" spans="2:65" ht="15" customHeight="1">
      <c r="B473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4" spans="2:65" ht="15" customHeight="1">
      <c r="B474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5" spans="2:65" ht="15" customHeight="1">
      <c r="B475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6" spans="2:65" ht="15" customHeight="1">
      <c r="B476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7" spans="2:65" ht="15" customHeight="1">
      <c r="B477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8" spans="2:65" ht="15" customHeight="1">
      <c r="B478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79" spans="2:65" ht="15" customHeight="1">
      <c r="B479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0" spans="2:65" ht="15" customHeight="1">
      <c r="B480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1" spans="2:65" ht="15" customHeight="1">
      <c r="B481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2" spans="2:65" ht="15" customHeight="1">
      <c r="B482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3" spans="2:65" ht="15" customHeight="1">
      <c r="B483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4" spans="2:65" ht="15" customHeight="1">
      <c r="B484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5" spans="2:65" ht="15" customHeight="1">
      <c r="B485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6" spans="2:65" ht="15" customHeight="1">
      <c r="B486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7" spans="2:65" ht="15" customHeight="1">
      <c r="B487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8" spans="2:65" ht="15" customHeight="1">
      <c r="B488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89" spans="2:65" ht="15" customHeight="1">
      <c r="B489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0" spans="2:65" ht="15" customHeight="1">
      <c r="B490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1" spans="2:65" ht="15" customHeight="1">
      <c r="B491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2" spans="2:65" ht="15" customHeight="1">
      <c r="B492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3" spans="2:65" ht="15" customHeight="1">
      <c r="B493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4" spans="2:65" ht="15" customHeight="1">
      <c r="B494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5" spans="2:65" ht="15" customHeight="1">
      <c r="B495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6" spans="2:65" ht="15" customHeight="1">
      <c r="B496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7" spans="2:65" ht="15" customHeight="1">
      <c r="B497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8" spans="2:65" ht="15" customHeight="1">
      <c r="B498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499" spans="2:65" ht="15" customHeight="1">
      <c r="B499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500" spans="2:65" ht="15" customHeight="1">
      <c r="B500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501" spans="2:65" ht="15" customHeight="1">
      <c r="B501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502" spans="2:65" ht="15" customHeight="1">
      <c r="B502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503" spans="2:65" ht="15" customHeight="1">
      <c r="B503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504" spans="2:65" ht="15" customHeight="1">
      <c r="B504" s="12" t="str">
        <f t="shared" si="362"/>
        <v>-</v>
      </c>
      <c s="124" t="str">
        <f t="shared" si="328"/>
        <v>тыс. руб.</v>
      </c>
      <c s="124"/>
      <c s="125">
        <f t="shared" si="363"/>
        <v>0</v>
      </c>
      <c s="125">
        <f t="shared" si="364"/>
        <v>0</v>
      </c>
      <c s="125">
        <f t="shared" si="365"/>
        <v>0</v>
      </c>
      <c s="125">
        <f t="shared" si="366"/>
        <v>0</v>
      </c>
      <c s="125">
        <f t="shared" si="367"/>
        <v>0</v>
      </c>
      <c s="125">
        <f t="shared" si="368"/>
        <v>0</v>
      </c>
      <c s="125">
        <f t="shared" si="369"/>
        <v>0</v>
      </c>
      <c s="125">
        <f t="shared" si="370"/>
        <v>0</v>
      </c>
      <c s="125">
        <f t="shared" si="371"/>
        <v>0</v>
      </c>
      <c s="125">
        <f t="shared" si="372"/>
        <v>0</v>
      </c>
      <c s="125">
        <f t="shared" si="373"/>
        <v>0</v>
      </c>
      <c s="125">
        <f t="shared" si="374"/>
        <v>0</v>
      </c>
      <c s="125">
        <f t="shared" si="375"/>
        <v>0</v>
      </c>
      <c s="125">
        <f t="shared" si="376"/>
        <v>0</v>
      </c>
      <c s="125">
        <f t="shared" si="377"/>
        <v>0</v>
      </c>
      <c s="125">
        <f t="shared" si="378"/>
        <v>0</v>
      </c>
      <c s="125">
        <f t="shared" si="379"/>
        <v>0</v>
      </c>
      <c s="125">
        <f t="shared" si="380"/>
        <v>0</v>
      </c>
      <c s="125">
        <f t="shared" si="381"/>
        <v>0</v>
      </c>
      <c s="125">
        <f t="shared" si="382"/>
        <v>0</v>
      </c>
      <c s="125">
        <f t="shared" si="383"/>
        <v>0</v>
      </c>
      <c s="125">
        <f t="shared" si="384"/>
        <v>0</v>
      </c>
      <c s="125">
        <f t="shared" si="385"/>
        <v>0</v>
      </c>
      <c s="125">
        <f t="shared" si="386"/>
        <v>0</v>
      </c>
      <c s="125">
        <f t="shared" si="387"/>
        <v>0</v>
      </c>
      <c s="125">
        <f t="shared" si="388"/>
        <v>0</v>
      </c>
      <c s="125">
        <f t="shared" si="389"/>
        <v>0</v>
      </c>
      <c s="125">
        <f t="shared" si="390"/>
        <v>0</v>
      </c>
      <c s="125">
        <f t="shared" si="391"/>
        <v>0</v>
      </c>
      <c s="125">
        <f t="shared" si="330"/>
        <v>0</v>
      </c>
      <c s="125">
        <f t="shared" si="331"/>
        <v>0</v>
      </c>
      <c s="125">
        <f t="shared" si="332"/>
        <v>0</v>
      </c>
      <c s="125">
        <f t="shared" si="333"/>
        <v>0</v>
      </c>
      <c s="125">
        <f t="shared" si="334"/>
        <v>0</v>
      </c>
      <c s="125">
        <f t="shared" si="335"/>
        <v>0</v>
      </c>
      <c s="125">
        <f t="shared" si="336"/>
        <v>0</v>
      </c>
      <c s="125">
        <f t="shared" si="337"/>
        <v>0</v>
      </c>
      <c s="125">
        <f t="shared" si="338"/>
        <v>0</v>
      </c>
      <c s="125">
        <f t="shared" si="339"/>
        <v>0</v>
      </c>
      <c s="125">
        <f t="shared" si="340"/>
        <v>0</v>
      </c>
      <c s="125">
        <f t="shared" si="341"/>
        <v>0</v>
      </c>
      <c s="125">
        <f t="shared" si="342"/>
        <v>0</v>
      </c>
      <c s="125">
        <f t="shared" si="343"/>
        <v>0</v>
      </c>
      <c s="125">
        <f t="shared" si="344"/>
        <v>0</v>
      </c>
      <c s="125">
        <f t="shared" si="345"/>
        <v>0</v>
      </c>
      <c s="125">
        <f t="shared" si="346"/>
        <v>0</v>
      </c>
      <c s="125">
        <f t="shared" si="347"/>
        <v>0</v>
      </c>
      <c s="125">
        <f t="shared" si="348"/>
        <v>0</v>
      </c>
      <c s="125">
        <f t="shared" si="349"/>
        <v>0</v>
      </c>
      <c s="125">
        <f t="shared" si="350"/>
        <v>0</v>
      </c>
      <c s="125">
        <f t="shared" si="351"/>
        <v>0</v>
      </c>
      <c s="125">
        <f t="shared" si="352"/>
        <v>0</v>
      </c>
      <c s="125">
        <f t="shared" si="353"/>
        <v>0</v>
      </c>
      <c s="125">
        <f t="shared" si="354"/>
        <v>0</v>
      </c>
      <c s="125">
        <f t="shared" si="355"/>
        <v>0</v>
      </c>
      <c s="125">
        <f t="shared" si="356"/>
        <v>0</v>
      </c>
      <c s="125">
        <f t="shared" si="357"/>
        <v>0</v>
      </c>
      <c s="125">
        <f t="shared" si="358"/>
        <v>0</v>
      </c>
      <c s="125">
        <f t="shared" si="359"/>
        <v>0</v>
      </c>
      <c s="125">
        <f t="shared" si="360"/>
        <v>0</v>
      </c>
      <c s="125">
        <f t="shared" si="361"/>
        <v>0</v>
      </c>
    </row>
    <row r="505" spans="2:65" ht="15" customHeight="1">
      <c r="B505" s="289" t="s">
        <v>830</v>
      </c>
      <c s="290" t="str">
        <f t="shared" si="328"/>
        <v>тыс. руб.</v>
      </c>
      <c s="276"/>
      <c s="276">
        <f>SUM(E465:E504)</f>
        <v>0</v>
      </c>
      <c s="276">
        <f t="shared" si="392" ref="F505:AG505">SUM(F465:F504)</f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2"/>
        <v>0</v>
      </c>
      <c s="276">
        <f t="shared" si="393" ref="AH505:BM505">SUM(AH465:AH504)</f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  <c s="276">
        <f t="shared" si="393"/>
        <v>0</v>
      </c>
    </row>
    <row r="506" ht="15" customHeight="1"/>
    <row r="507" spans="2:2" ht="15" customHeight="1">
      <c r="B507" s="24" t="s">
        <v>840</v>
      </c>
    </row>
    <row r="508" spans="2:65" ht="15" customHeight="1">
      <c r="B508" s="12" t="str">
        <f>B465</f>
        <v>-</v>
      </c>
      <c s="124" t="str">
        <f t="shared" si="394" ref="C508:C548">Единица_измерения</f>
        <v>тыс. руб.</v>
      </c>
      <c s="276">
        <f>SUM(E508:BM508)</f>
        <v>0</v>
      </c>
      <c s="125">
        <f t="shared" si="395" ref="E508:AG508">E363</f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6" ref="AH508:BM508">AH363</f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</row>
    <row r="509" spans="2:65" ht="15" customHeight="1">
      <c r="B509" s="12" t="str">
        <f t="shared" si="397" ref="B509:B547">B466</f>
        <v>-</v>
      </c>
      <c s="124" t="str">
        <f t="shared" si="394"/>
        <v>тыс. руб.</v>
      </c>
      <c s="276">
        <f t="shared" si="398" ref="D509:D547">SUM(E509:BM509)</f>
        <v>0</v>
      </c>
      <c s="125">
        <f t="shared" si="399" ref="E509:AG509">E364</f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399"/>
        <v>0</v>
      </c>
      <c s="125">
        <f t="shared" si="400" ref="AH509:BM509">AH364</f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  <c s="125">
        <f t="shared" si="400"/>
        <v>0</v>
      </c>
    </row>
    <row r="510" spans="2:65" ht="15" customHeight="1">
      <c r="B510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01" ref="E510:AG510">E365</f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1"/>
        <v>0</v>
      </c>
      <c s="125">
        <f t="shared" si="402" ref="AH510:BM510">AH365</f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</row>
    <row r="511" spans="2:65" ht="15" customHeight="1">
      <c r="B511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03" ref="E511:AG511">E366</f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4" ref="AH511:BM511">AH366</f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  <c s="125">
        <f t="shared" si="404"/>
        <v>0</v>
      </c>
    </row>
    <row r="512" spans="2:65" ht="15" customHeight="1">
      <c r="B512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05" ref="E512:AG512">E367</f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5"/>
        <v>0</v>
      </c>
      <c s="125">
        <f t="shared" si="406" ref="AH512:BM512">AH367</f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</row>
    <row r="513" spans="2:65" ht="15" customHeight="1">
      <c r="B513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07" ref="E513:AG513">E368</f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8" ref="AH513:BM513">AH368</f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</row>
    <row r="514" spans="2:65" ht="15" customHeight="1">
      <c r="B514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09" ref="E514:AG514">E369</f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10" ref="AH514:BM514">AH369</f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</row>
    <row r="515" spans="2:65" ht="15" customHeight="1">
      <c r="B515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11" ref="E515:AG515">E370</f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2" ref="AH515:BM515">AH370</f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</row>
    <row r="516" spans="2:65" ht="15" customHeight="1">
      <c r="B516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13" ref="E516:AG516">E371</f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4" ref="AH516:BM516">AH371</f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</row>
    <row r="517" spans="2:65" ht="15" customHeight="1">
      <c r="B517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15" ref="E517:AG517">E372</f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6" ref="AH517:BM517">AH372</f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</row>
    <row r="518" spans="2:65" ht="15" customHeight="1">
      <c r="B518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17" ref="E518:AG518">E373</f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8" ref="AH518:BM518">AH373</f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</row>
    <row r="519" spans="2:65" ht="15" customHeight="1">
      <c r="B519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19" ref="E519:AG519">E374</f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20" ref="AH519:BM519">AH374</f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</row>
    <row r="520" spans="2:65" ht="15" customHeight="1">
      <c r="B520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21" ref="E520:AG520">E375</f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2" ref="AH520:BM520">AH375</f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</row>
    <row r="521" spans="2:65" ht="15" customHeight="1">
      <c r="B521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23" ref="E521:AG521">E376</f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4" ref="AH521:BM521">AH376</f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</row>
    <row r="522" spans="2:65" ht="15" customHeight="1">
      <c r="B522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25" ref="E522:AG522">E377</f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6" ref="AH522:BM522">AH377</f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</row>
    <row r="523" spans="2:65" ht="15" customHeight="1">
      <c r="B523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27" ref="E523:AG523">E378</f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8" ref="AH523:BM523">AH378</f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</row>
    <row r="524" spans="2:65" ht="15" customHeight="1">
      <c r="B524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29" ref="E524:AG524">E379</f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30" ref="AH524:BM524">AH379</f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</row>
    <row r="525" spans="2:65" ht="15" customHeight="1">
      <c r="B525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31" ref="E525:AG525">E380</f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2" ref="AH525:BM525">AH380</f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</row>
    <row r="526" spans="2:65" ht="15" customHeight="1">
      <c r="B526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33" ref="E526:AG526">E381</f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4" ref="AH526:BM526">AH381</f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</row>
    <row r="527" spans="2:65" ht="15" customHeight="1">
      <c r="B527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35" ref="E527:AG527">E382</f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6" ref="AH527:BM527">AH382</f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</row>
    <row r="528" spans="2:65" ht="15" customHeight="1">
      <c r="B528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37" ref="E528:AG528">E383</f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8" ref="AH528:BM528">AH383</f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</row>
    <row r="529" spans="2:65" ht="15" customHeight="1">
      <c r="B529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39" ref="E529:AG529">E384</f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40" ref="AH529:BM529">AH384</f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</row>
    <row r="530" spans="2:65" ht="15" customHeight="1">
      <c r="B530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41" ref="E530:AG530">E385</f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2" ref="AH530:BM530">AH385</f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</row>
    <row r="531" spans="2:65" ht="15" customHeight="1">
      <c r="B531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43" ref="E531:AG531">E386</f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4" ref="AH531:BM531">AH386</f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</row>
    <row r="532" spans="2:65" ht="15" customHeight="1">
      <c r="B532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45" ref="E532:AG532">E387</f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6" ref="AH532:BM532">AH387</f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</row>
    <row r="533" spans="2:65" ht="15" customHeight="1">
      <c r="B533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47" ref="E533:AG533">E388</f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8" ref="AH533:BM533">AH388</f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</row>
    <row r="534" spans="2:65" ht="15" customHeight="1">
      <c r="B534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49" ref="E534:AG534">E389</f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50" ref="AH534:BM534">AH389</f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</row>
    <row r="535" spans="2:65" ht="15" customHeight="1">
      <c r="B535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51" ref="E535:AG535">E390</f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2" ref="AH535:BM535">AH390</f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</row>
    <row r="536" spans="2:65" ht="15" customHeight="1">
      <c r="B536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53" ref="E536:AG536">E391</f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4" ref="AH536:BM536">AH391</f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  <c s="125">
        <f t="shared" si="454"/>
        <v>0</v>
      </c>
    </row>
    <row r="537" spans="2:65" ht="15" customHeight="1">
      <c r="B537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55" ref="E537:AG537">E392</f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5"/>
        <v>0</v>
      </c>
      <c s="125">
        <f t="shared" si="456" ref="AH537:BM537">AH392</f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</row>
    <row r="538" spans="2:65" ht="15" customHeight="1">
      <c r="B538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57" ref="E538:AG538">E393</f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8" ref="AH538:BM538">AH393</f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</row>
    <row r="539" spans="2:65" ht="15" customHeight="1">
      <c r="B539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59" ref="E539:AG539">E394</f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59"/>
        <v>0</v>
      </c>
      <c s="125">
        <f t="shared" si="460" ref="AH539:BM539">AH394</f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  <c s="125">
        <f t="shared" si="460"/>
        <v>0</v>
      </c>
    </row>
    <row r="540" spans="2:65" ht="15" customHeight="1">
      <c r="B540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61" ref="E540:AG540">E395</f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2" ref="AH540:BM540">AH395</f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</row>
    <row r="541" spans="2:65" ht="15" customHeight="1">
      <c r="B541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63" ref="E541:AG541">E396</f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4" ref="AH541:BM541">AH396</f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</row>
    <row r="542" spans="2:65" ht="15" customHeight="1">
      <c r="B542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65" ref="E542:AG542">E397</f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6" ref="AH542:BM542">AH397</f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</row>
    <row r="543" spans="2:65" ht="15" customHeight="1">
      <c r="B543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67" ref="E543:AG543">E398</f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8" ref="AH543:BM543">AH398</f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</row>
    <row r="544" spans="2:65" ht="15" customHeight="1">
      <c r="B544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69" ref="E544:AG544">E399</f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70" ref="AH544:BM544">AH399</f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</row>
    <row r="545" spans="2:65" ht="15" customHeight="1">
      <c r="B545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71" ref="E545:AG545">E400</f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2" ref="AH545:BM545">AH400</f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</row>
    <row r="546" spans="2:65" ht="15" customHeight="1">
      <c r="B546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73" ref="E546:AG546">E401</f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4" ref="AH546:BM546">AH401</f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</row>
    <row r="547" spans="2:65" ht="15" customHeight="1">
      <c r="B547" s="12" t="str">
        <f t="shared" si="397"/>
        <v>-</v>
      </c>
      <c s="124" t="str">
        <f t="shared" si="394"/>
        <v>тыс. руб.</v>
      </c>
      <c s="276">
        <f t="shared" si="398"/>
        <v>0</v>
      </c>
      <c s="125">
        <f t="shared" si="475" ref="E547:AG547">E402</f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6" ref="AH547:BM547">AH402</f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</row>
    <row r="548" spans="2:65" ht="15" customHeight="1">
      <c r="B548" s="289" t="s">
        <v>830</v>
      </c>
      <c s="290" t="str">
        <f t="shared" si="394"/>
        <v>тыс. руб.</v>
      </c>
      <c s="291">
        <f>SUM(D508:D547)</f>
        <v>0</v>
      </c>
      <c s="276">
        <f>SUM(E508:E547)</f>
        <v>0</v>
      </c>
      <c s="276">
        <f t="shared" si="477" ref="F548:BM548">SUM(F508:F547)</f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  <c s="276">
        <f t="shared" si="477"/>
        <v>0</v>
      </c>
    </row>
    <row r="549" ht="15" customHeight="1"/>
    <row r="550" spans="2:71" ht="21">
      <c r="B550" s="24" t="s">
        <v>841</v>
      </c>
      <c r="D55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51" spans="2:65" ht="15" customHeight="1">
      <c r="B551" s="12" t="str">
        <f>B465</f>
        <v>-</v>
      </c>
      <c s="124" t="str">
        <f t="shared" si="478" ref="C551:C591">Единица_измерения</f>
        <v>тыс. руб.</v>
      </c>
      <c s="276">
        <f>SUM(E551:BM551)</f>
        <v>0</v>
      </c>
      <c s="125">
        <f>-MIN(E465+E508,$D508*Предпосылки!$F30/Кварталов_в_году)*E422</f>
        <v>0</v>
      </c>
      <c s="125">
        <f>-MIN(F465+F508,$D508*Предпосылки!$F30/Кварталов_в_году)*F422</f>
        <v>0</v>
      </c>
      <c s="125">
        <f>-MIN(G465+G508,$D508*Предпосылки!$F30/Кварталов_в_году)*G422</f>
        <v>0</v>
      </c>
      <c s="125">
        <f>-MIN(H465+H508,$D508*Предпосылки!$F30/Кварталов_в_году)*H422</f>
        <v>0</v>
      </c>
      <c s="125">
        <f>-MIN(I465+I508,$D508*Предпосылки!$F30/Кварталов_в_году)*I422</f>
        <v>0</v>
      </c>
      <c s="125">
        <f>-MIN(J465+J508,$D508*Предпосылки!$F30/Кварталов_в_году)*J422</f>
        <v>0</v>
      </c>
      <c s="125">
        <f>-MIN(K465+K508,$D508*Предпосылки!$F30/Кварталов_в_году)*K422</f>
        <v>0</v>
      </c>
      <c s="125">
        <f>-MIN(L465+L508,$D508*Предпосылки!$F30/Кварталов_в_году)*L422</f>
        <v>0</v>
      </c>
      <c s="125">
        <f>-MIN(M465+M508,$D508*Предпосылки!$F30/Кварталов_в_году)*M422</f>
        <v>0</v>
      </c>
      <c s="125">
        <f>-MIN(N465+N508,$D508*Предпосылки!$F30/Кварталов_в_году)*N422</f>
        <v>0</v>
      </c>
      <c s="125">
        <f>-MIN(O465+O508,$D508*Предпосылки!$F30/Кварталов_в_году)*O422</f>
        <v>0</v>
      </c>
      <c s="125">
        <f>-MIN(P465+P508,$D508*Предпосылки!$F30/Кварталов_в_году)*P422</f>
        <v>0</v>
      </c>
      <c s="125">
        <f>-MIN(Q465+Q508,$D508*Предпосылки!$F30/Кварталов_в_году)*Q422</f>
        <v>0</v>
      </c>
      <c s="125">
        <f>-MIN(R465+R508,$D508*Предпосылки!$F30/Кварталов_в_году)*R422</f>
        <v>0</v>
      </c>
      <c s="125">
        <f>-MIN(S465+S508,$D508*Предпосылки!$F30/Кварталов_в_году)*S422</f>
        <v>0</v>
      </c>
      <c s="125">
        <f>-MIN(T465+T508,$D508*Предпосылки!$F30/Кварталов_в_году)*T422</f>
        <v>0</v>
      </c>
      <c s="125">
        <f>-MIN(U465+U508,$D508*Предпосылки!$F30/Кварталов_в_году)*U422</f>
        <v>0</v>
      </c>
      <c s="125">
        <f>-MIN(V465+V508,$D508*Предпосылки!$F30/Кварталов_в_году)*V422</f>
        <v>0</v>
      </c>
      <c s="125">
        <f>-MIN(W465+W508,$D508*Предпосылки!$F30/Кварталов_в_году)*W422</f>
        <v>0</v>
      </c>
      <c s="125">
        <f>-MIN(X465+X508,$D508*Предпосылки!$F30/Кварталов_в_году)*X422</f>
        <v>0</v>
      </c>
      <c s="125">
        <f>-MIN(Y465+Y508,$D508*Предпосылки!$F30/Кварталов_в_году)*Y422</f>
        <v>0</v>
      </c>
      <c s="125">
        <f>-MIN(Z465+Z508,$D508*Предпосылки!$F30/Кварталов_в_году)*Z422</f>
        <v>0</v>
      </c>
      <c s="125">
        <f>-MIN(AA465+AA508,$D508*Предпосылки!$F30/Кварталов_в_году)*AA422</f>
        <v>0</v>
      </c>
      <c s="125">
        <f>-MIN(AB465+AB508,$D508*Предпосылки!$F30/Кварталов_в_году)*AB422</f>
        <v>0</v>
      </c>
      <c s="125">
        <f>-MIN(AC465+AC508,$D508*Предпосылки!$F30/Кварталов_в_году)*AC422</f>
        <v>0</v>
      </c>
      <c s="125">
        <f>-MIN(AD465+AD508,$D508*Предпосылки!$F30/Кварталов_в_году)*AD422</f>
        <v>0</v>
      </c>
      <c s="125">
        <f>-MIN(AE465+AE508,$D508*Предпосылки!$F30/Кварталов_в_году)*AE422</f>
        <v>0</v>
      </c>
      <c s="125">
        <f>-MIN(AF465+AF508,$D508*Предпосылки!$F30/Кварталов_в_году)*AF422</f>
        <v>0</v>
      </c>
      <c s="125">
        <f>-MIN(AG465+AG508,$D508*Предпосылки!$F30/Кварталов_в_году)*AG422</f>
        <v>0</v>
      </c>
      <c s="125">
        <f>-MIN(AH465+AH508,$D508*Предпосылки!$F30/Кварталов_в_году)*AH422</f>
        <v>0</v>
      </c>
      <c s="125">
        <f>-MIN(AI465+AI508,$D508*Предпосылки!$F30/Кварталов_в_году)*AI422</f>
        <v>0</v>
      </c>
      <c s="125">
        <f>-MIN(AJ465+AJ508,$D508*Предпосылки!$F30/Кварталов_в_году)*AJ422</f>
        <v>0</v>
      </c>
      <c s="125">
        <f>-MIN(AK465+AK508,$D508*Предпосылки!$F30/Кварталов_в_году)*AK422</f>
        <v>0</v>
      </c>
      <c s="125">
        <f>-MIN(AL465+AL508,$D508*Предпосылки!$F30/Кварталов_в_году)*AL422</f>
        <v>0</v>
      </c>
      <c s="125">
        <f>-MIN(AM465+AM508,$D508*Предпосылки!$F30/Кварталов_в_году)*AM422</f>
        <v>0</v>
      </c>
      <c s="125">
        <f>-MIN(AN465+AN508,$D508*Предпосылки!$F30/Кварталов_в_году)*AN422</f>
        <v>0</v>
      </c>
      <c s="125">
        <f>-MIN(AO465+AO508,$D508*Предпосылки!$F30/Кварталов_в_году)*AO422</f>
        <v>0</v>
      </c>
      <c s="125">
        <f>-MIN(AP465+AP508,$D508*Предпосылки!$F30/Кварталов_в_году)*AP422</f>
        <v>0</v>
      </c>
      <c s="125">
        <f>-MIN(AQ465+AQ508,$D508*Предпосылки!$F30/Кварталов_в_году)*AQ422</f>
        <v>0</v>
      </c>
      <c s="125">
        <f>-MIN(AR465+AR508,$D508*Предпосылки!$F30/Кварталов_в_году)*AR422</f>
        <v>0</v>
      </c>
      <c s="125">
        <f>-MIN(AS465+AS508,$D508*Предпосылки!$F30/Кварталов_в_году)*AS422</f>
        <v>0</v>
      </c>
      <c s="125">
        <f>-MIN(AT465+AT508,$D508*Предпосылки!$F30/Кварталов_в_году)*AT422</f>
        <v>0</v>
      </c>
      <c s="125">
        <f>-MIN(AU465+AU508,$D508*Предпосылки!$F30/Кварталов_в_году)*AU422</f>
        <v>0</v>
      </c>
      <c s="125">
        <f>-MIN(AV465+AV508,$D508*Предпосылки!$F30/Кварталов_в_году)*AV422</f>
        <v>0</v>
      </c>
      <c s="125">
        <f>-MIN(AW465+AW508,$D508*Предпосылки!$F30/Кварталов_в_году)*AW422</f>
        <v>0</v>
      </c>
      <c s="125">
        <f>-MIN(AX465+AX508,$D508*Предпосылки!$F30/Кварталов_в_году)*AX422</f>
        <v>0</v>
      </c>
      <c s="125">
        <f>-MIN(AY465+AY508,$D508*Предпосылки!$F30/Кварталов_в_году)*AY422</f>
        <v>0</v>
      </c>
      <c s="125">
        <f>-MIN(AZ465+AZ508,$D508*Предпосылки!$F30/Кварталов_в_году)*AZ422</f>
        <v>0</v>
      </c>
      <c s="125">
        <f>-MIN(BA465+BA508,$D508*Предпосылки!$F30/Кварталов_в_году)*BA422</f>
        <v>0</v>
      </c>
      <c s="125">
        <f>-MIN(BB465+BB508,$D508*Предпосылки!$F30/Кварталов_в_году)*BB422</f>
        <v>0</v>
      </c>
      <c s="125">
        <f>-MIN(BC465+BC508,$D508*Предпосылки!$F30/Кварталов_в_году)*BC422</f>
        <v>0</v>
      </c>
      <c s="125">
        <f>-MIN(BD465+BD508,$D508*Предпосылки!$F30/Кварталов_в_году)*BD422</f>
        <v>0</v>
      </c>
      <c s="125">
        <f>-MIN(BE465+BE508,$D508*Предпосылки!$F30/Кварталов_в_году)*BE422</f>
        <v>0</v>
      </c>
      <c s="125">
        <f>-MIN(BF465+BF508,$D508*Предпосылки!$F30/Кварталов_в_году)*BF422</f>
        <v>0</v>
      </c>
      <c s="125">
        <f>-MIN(BG465+BG508,$D508*Предпосылки!$F30/Кварталов_в_году)*BG422</f>
        <v>0</v>
      </c>
      <c s="125">
        <f>-MIN(BH465+BH508,$D508*Предпосылки!$F30/Кварталов_в_году)*BH422</f>
        <v>0</v>
      </c>
      <c s="125">
        <f>-MIN(BI465+BI508,$D508*Предпосылки!$F30/Кварталов_в_году)*BI422</f>
        <v>0</v>
      </c>
      <c s="125">
        <f>-MIN(BJ465+BJ508,$D508*Предпосылки!$F30/Кварталов_в_году)*BJ422</f>
        <v>0</v>
      </c>
      <c s="125">
        <f>-MIN(BK465+BK508,$D508*Предпосылки!$F30/Кварталов_в_году)*BK422</f>
        <v>0</v>
      </c>
      <c s="125">
        <f>-MIN(BL465+BL508,$D508*Предпосылки!$F30/Кварталов_в_году)*BL422</f>
        <v>0</v>
      </c>
      <c s="125">
        <f>-MIN(BM465+BM508,$D508*Предпосылки!$F30/Кварталов_в_году)*BM422</f>
        <v>0</v>
      </c>
    </row>
    <row r="552" spans="2:65" ht="15" customHeight="1">
      <c r="B552" s="12" t="str">
        <f t="shared" si="479" ref="B552:B590">B466</f>
        <v>-</v>
      </c>
      <c s="124" t="str">
        <f t="shared" si="478"/>
        <v>тыс. руб.</v>
      </c>
      <c s="276">
        <f t="shared" si="480" ref="D552:D590">SUM(E552:BM552)</f>
        <v>0</v>
      </c>
      <c s="125">
        <f>-MIN(E466+E509,$D509*Предпосылки!$F31/Кварталов_в_году)*E423</f>
        <v>0</v>
      </c>
      <c s="125">
        <f>-MIN(F466+F509,$D509*Предпосылки!$F31/Кварталов_в_году)*F423</f>
        <v>0</v>
      </c>
      <c s="125">
        <f>-MIN(G466+G509,$D509*Предпосылки!$F31/Кварталов_в_году)*G423</f>
        <v>0</v>
      </c>
      <c s="125">
        <f>-MIN(H466+H509,$D509*Предпосылки!$F31/Кварталов_в_году)*H423</f>
        <v>0</v>
      </c>
      <c s="125">
        <f>-MIN(I466+I509,$D509*Предпосылки!$F31/Кварталов_в_году)*I423</f>
        <v>0</v>
      </c>
      <c s="125">
        <f>-MIN(J466+J509,$D509*Предпосылки!$F31/Кварталов_в_году)*J423</f>
        <v>0</v>
      </c>
      <c s="125">
        <f>-MIN(K466+K509,$D509*Предпосылки!$F31/Кварталов_в_году)*K423</f>
        <v>0</v>
      </c>
      <c s="125">
        <f>-MIN(L466+L509,$D509*Предпосылки!$F31/Кварталов_в_году)*L423</f>
        <v>0</v>
      </c>
      <c s="125">
        <f>-MIN(M466+M509,$D509*Предпосылки!$F31/Кварталов_в_году)*M423</f>
        <v>0</v>
      </c>
      <c s="125">
        <f>-MIN(N466+N509,$D509*Предпосылки!$F31/Кварталов_в_году)*N423</f>
        <v>0</v>
      </c>
      <c s="125">
        <f>-MIN(O466+O509,$D509*Предпосылки!$F31/Кварталов_в_году)*O423</f>
        <v>0</v>
      </c>
      <c s="125">
        <f>-MIN(P466+P509,$D509*Предпосылки!$F31/Кварталов_в_году)*P423</f>
        <v>0</v>
      </c>
      <c s="125">
        <f>-MIN(Q466+Q509,$D509*Предпосылки!$F31/Кварталов_в_году)*Q423</f>
        <v>0</v>
      </c>
      <c s="125">
        <f>-MIN(R466+R509,$D509*Предпосылки!$F31/Кварталов_в_году)*R423</f>
        <v>0</v>
      </c>
      <c s="125">
        <f>-MIN(S466+S509,$D509*Предпосылки!$F31/Кварталов_в_году)*S423</f>
        <v>0</v>
      </c>
      <c s="125">
        <f>-MIN(T466+T509,$D509*Предпосылки!$F31/Кварталов_в_году)*T423</f>
        <v>0</v>
      </c>
      <c s="125">
        <f>-MIN(U466+U509,$D509*Предпосылки!$F31/Кварталов_в_году)*U423</f>
        <v>0</v>
      </c>
      <c s="125">
        <f>-MIN(V466+V509,$D509*Предпосылки!$F31/Кварталов_в_году)*V423</f>
        <v>0</v>
      </c>
      <c s="125">
        <f>-MIN(W466+W509,$D509*Предпосылки!$F31/Кварталов_в_году)*W423</f>
        <v>0</v>
      </c>
      <c s="125">
        <f>-MIN(X466+X509,$D509*Предпосылки!$F31/Кварталов_в_году)*X423</f>
        <v>0</v>
      </c>
      <c s="125">
        <f>-MIN(Y466+Y509,$D509*Предпосылки!$F31/Кварталов_в_году)*Y423</f>
        <v>0</v>
      </c>
      <c s="125">
        <f>-MIN(Z466+Z509,$D509*Предпосылки!$F31/Кварталов_в_году)*Z423</f>
        <v>0</v>
      </c>
      <c s="125">
        <f>-MIN(AA466+AA509,$D509*Предпосылки!$F31/Кварталов_в_году)*AA423</f>
        <v>0</v>
      </c>
      <c s="125">
        <f>-MIN(AB466+AB509,$D509*Предпосылки!$F31/Кварталов_в_году)*AB423</f>
        <v>0</v>
      </c>
      <c s="125">
        <f>-MIN(AC466+AC509,$D509*Предпосылки!$F31/Кварталов_в_году)*AC423</f>
        <v>0</v>
      </c>
      <c s="125">
        <f>-MIN(AD466+AD509,$D509*Предпосылки!$F31/Кварталов_в_году)*AD423</f>
        <v>0</v>
      </c>
      <c s="125">
        <f>-MIN(AE466+AE509,$D509*Предпосылки!$F31/Кварталов_в_году)*AE423</f>
        <v>0</v>
      </c>
      <c s="125">
        <f>-MIN(AF466+AF509,$D509*Предпосылки!$F31/Кварталов_в_году)*AF423</f>
        <v>0</v>
      </c>
      <c s="125">
        <f>-MIN(AG466+AG509,$D509*Предпосылки!$F31/Кварталов_в_году)*AG423</f>
        <v>0</v>
      </c>
      <c s="125">
        <f>-MIN(AH466+AH509,$D509*Предпосылки!$F31/Кварталов_в_году)*AH423</f>
        <v>0</v>
      </c>
      <c s="125">
        <f>-MIN(AI466+AI509,$D509*Предпосылки!$F31/Кварталов_в_году)*AI423</f>
        <v>0</v>
      </c>
      <c s="125">
        <f>-MIN(AJ466+AJ509,$D509*Предпосылки!$F31/Кварталов_в_году)*AJ423</f>
        <v>0</v>
      </c>
      <c s="125">
        <f>-MIN(AK466+AK509,$D509*Предпосылки!$F31/Кварталов_в_году)*AK423</f>
        <v>0</v>
      </c>
      <c s="125">
        <f>-MIN(AL466+AL509,$D509*Предпосылки!$F31/Кварталов_в_году)*AL423</f>
        <v>0</v>
      </c>
      <c s="125">
        <f>-MIN(AM466+AM509,$D509*Предпосылки!$F31/Кварталов_в_году)*AM423</f>
        <v>0</v>
      </c>
      <c s="125">
        <f>-MIN(AN466+AN509,$D509*Предпосылки!$F31/Кварталов_в_году)*AN423</f>
        <v>0</v>
      </c>
      <c s="125">
        <f>-MIN(AO466+AO509,$D509*Предпосылки!$F31/Кварталов_в_году)*AO423</f>
        <v>0</v>
      </c>
      <c s="125">
        <f>-MIN(AP466+AP509,$D509*Предпосылки!$F31/Кварталов_в_году)*AP423</f>
        <v>0</v>
      </c>
      <c s="125">
        <f>-MIN(AQ466+AQ509,$D509*Предпосылки!$F31/Кварталов_в_году)*AQ423</f>
        <v>0</v>
      </c>
      <c s="125">
        <f>-MIN(AR466+AR509,$D509*Предпосылки!$F31/Кварталов_в_году)*AR423</f>
        <v>0</v>
      </c>
      <c s="125">
        <f>-MIN(AS466+AS509,$D509*Предпосылки!$F31/Кварталов_в_году)*AS423</f>
        <v>0</v>
      </c>
      <c s="125">
        <f>-MIN(AT466+AT509,$D509*Предпосылки!$F31/Кварталов_в_году)*AT423</f>
        <v>0</v>
      </c>
      <c s="125">
        <f>-MIN(AU466+AU509,$D509*Предпосылки!$F31/Кварталов_в_году)*AU423</f>
        <v>0</v>
      </c>
      <c s="125">
        <f>-MIN(AV466+AV509,$D509*Предпосылки!$F31/Кварталов_в_году)*AV423</f>
        <v>0</v>
      </c>
      <c s="125">
        <f>-MIN(AW466+AW509,$D509*Предпосылки!$F31/Кварталов_в_году)*AW423</f>
        <v>0</v>
      </c>
      <c s="125">
        <f>-MIN(AX466+AX509,$D509*Предпосылки!$F31/Кварталов_в_году)*AX423</f>
        <v>0</v>
      </c>
      <c s="125">
        <f>-MIN(AY466+AY509,$D509*Предпосылки!$F31/Кварталов_в_году)*AY423</f>
        <v>0</v>
      </c>
      <c s="125">
        <f>-MIN(AZ466+AZ509,$D509*Предпосылки!$F31/Кварталов_в_году)*AZ423</f>
        <v>0</v>
      </c>
      <c s="125">
        <f>-MIN(BA466+BA509,$D509*Предпосылки!$F31/Кварталов_в_году)*BA423</f>
        <v>0</v>
      </c>
      <c s="125">
        <f>-MIN(BB466+BB509,$D509*Предпосылки!$F31/Кварталов_в_году)*BB423</f>
        <v>0</v>
      </c>
      <c s="125">
        <f>-MIN(BC466+BC509,$D509*Предпосылки!$F31/Кварталов_в_году)*BC423</f>
        <v>0</v>
      </c>
      <c s="125">
        <f>-MIN(BD466+BD509,$D509*Предпосылки!$F31/Кварталов_в_году)*BD423</f>
        <v>0</v>
      </c>
      <c s="125">
        <f>-MIN(BE466+BE509,$D509*Предпосылки!$F31/Кварталов_в_году)*BE423</f>
        <v>0</v>
      </c>
      <c s="125">
        <f>-MIN(BF466+BF509,$D509*Предпосылки!$F31/Кварталов_в_году)*BF423</f>
        <v>0</v>
      </c>
      <c s="125">
        <f>-MIN(BG466+BG509,$D509*Предпосылки!$F31/Кварталов_в_году)*BG423</f>
        <v>0</v>
      </c>
      <c s="125">
        <f>-MIN(BH466+BH509,$D509*Предпосылки!$F31/Кварталов_в_году)*BH423</f>
        <v>0</v>
      </c>
      <c s="125">
        <f>-MIN(BI466+BI509,$D509*Предпосылки!$F31/Кварталов_в_году)*BI423</f>
        <v>0</v>
      </c>
      <c s="125">
        <f>-MIN(BJ466+BJ509,$D509*Предпосылки!$F31/Кварталов_в_году)*BJ423</f>
        <v>0</v>
      </c>
      <c s="125">
        <f>-MIN(BK466+BK509,$D509*Предпосылки!$F31/Кварталов_в_году)*BK423</f>
        <v>0</v>
      </c>
      <c s="125">
        <f>-MIN(BL466+BL509,$D509*Предпосылки!$F31/Кварталов_в_году)*BL423</f>
        <v>0</v>
      </c>
      <c s="125">
        <f>-MIN(BM466+BM509,$D509*Предпосылки!$F31/Кварталов_в_году)*BM423</f>
        <v>0</v>
      </c>
    </row>
    <row r="553" spans="2:65" ht="15" customHeight="1">
      <c r="B553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-MIN(E467+E510,$D510*Предпосылки!$F32/Кварталов_в_году)*E424</f>
        <v>0</v>
      </c>
      <c s="125">
        <f>-MIN(F467+F510,$D510*Предпосылки!$F32/Кварталов_в_году)*F424</f>
        <v>0</v>
      </c>
      <c s="125">
        <f>-MIN(G467+G510,$D510*Предпосылки!$F32/Кварталов_в_году)*G424</f>
        <v>0</v>
      </c>
      <c s="125">
        <f>-MIN(H467+H510,$D510*Предпосылки!$F32/Кварталов_в_году)*H424</f>
        <v>0</v>
      </c>
      <c s="125">
        <f>-MIN(I467+I510,$D510*Предпосылки!$F32/Кварталов_в_году)*I424</f>
        <v>0</v>
      </c>
      <c s="125">
        <f>-MIN(J467+J510,$D510*Предпосылки!$F32/Кварталов_в_году)*J424</f>
        <v>0</v>
      </c>
      <c s="125">
        <f>-MIN(K467+K510,$D510*Предпосылки!$F32/Кварталов_в_году)*K424</f>
        <v>0</v>
      </c>
      <c s="125">
        <f>-MIN(L467+L510,$D510*Предпосылки!$F32/Кварталов_в_году)*L424</f>
        <v>0</v>
      </c>
      <c s="125">
        <f>-MIN(M467+M510,$D510*Предпосылки!$F32/Кварталов_в_году)*M424</f>
        <v>0</v>
      </c>
      <c s="125">
        <f>-MIN(N467+N510,$D510*Предпосылки!$F32/Кварталов_в_году)*N424</f>
        <v>0</v>
      </c>
      <c s="125">
        <f>-MIN(O467+O510,$D510*Предпосылки!$F32/Кварталов_в_году)*O424</f>
        <v>0</v>
      </c>
      <c s="125">
        <f>-MIN(P467+P510,$D510*Предпосылки!$F32/Кварталов_в_году)*P424</f>
        <v>0</v>
      </c>
      <c s="125">
        <f>-MIN(Q467+Q510,$D510*Предпосылки!$F32/Кварталов_в_году)*Q424</f>
        <v>0</v>
      </c>
      <c s="125">
        <f>-MIN(R467+R510,$D510*Предпосылки!$F32/Кварталов_в_году)*R424</f>
        <v>0</v>
      </c>
      <c s="125">
        <f>-MIN(S467+S510,$D510*Предпосылки!$F32/Кварталов_в_году)*S424</f>
        <v>0</v>
      </c>
      <c s="125">
        <f>-MIN(T467+T510,$D510*Предпосылки!$F32/Кварталов_в_году)*T424</f>
        <v>0</v>
      </c>
      <c s="125">
        <f>-MIN(U467+U510,$D510*Предпосылки!$F32/Кварталов_в_году)*U424</f>
        <v>0</v>
      </c>
      <c s="125">
        <f>-MIN(V467+V510,$D510*Предпосылки!$F32/Кварталов_в_году)*V424</f>
        <v>0</v>
      </c>
      <c s="125">
        <f>-MIN(W467+W510,$D510*Предпосылки!$F32/Кварталов_в_году)*W424</f>
        <v>0</v>
      </c>
      <c s="125">
        <f>-MIN(X467+X510,$D510*Предпосылки!$F32/Кварталов_в_году)*X424</f>
        <v>0</v>
      </c>
      <c s="125">
        <f>-MIN(Y467+Y510,$D510*Предпосылки!$F32/Кварталов_в_году)*Y424</f>
        <v>0</v>
      </c>
      <c s="125">
        <f>-MIN(Z467+Z510,$D510*Предпосылки!$F32/Кварталов_в_году)*Z424</f>
        <v>0</v>
      </c>
      <c s="125">
        <f>-MIN(AA467+AA510,$D510*Предпосылки!$F32/Кварталов_в_году)*AA424</f>
        <v>0</v>
      </c>
      <c s="125">
        <f>-MIN(AB467+AB510,$D510*Предпосылки!$F32/Кварталов_в_году)*AB424</f>
        <v>0</v>
      </c>
      <c s="125">
        <f>-MIN(AC467+AC510,$D510*Предпосылки!$F32/Кварталов_в_году)*AC424</f>
        <v>0</v>
      </c>
      <c s="125">
        <f>-MIN(AD467+AD510,$D510*Предпосылки!$F32/Кварталов_в_году)*AD424</f>
        <v>0</v>
      </c>
      <c s="125">
        <f>-MIN(AE467+AE510,$D510*Предпосылки!$F32/Кварталов_в_году)*AE424</f>
        <v>0</v>
      </c>
      <c s="125">
        <f>-MIN(AF467+AF510,$D510*Предпосылки!$F32/Кварталов_в_году)*AF424</f>
        <v>0</v>
      </c>
      <c s="125">
        <f>-MIN(AG467+AG510,$D510*Предпосылки!$F32/Кварталов_в_году)*AG424</f>
        <v>0</v>
      </c>
      <c s="125">
        <f>-MIN(AH467+AH510,$D510*Предпосылки!$F32/Кварталов_в_году)*AH424</f>
        <v>0</v>
      </c>
      <c s="125">
        <f>-MIN(AI467+AI510,$D510*Предпосылки!$F32/Кварталов_в_году)*AI424</f>
        <v>0</v>
      </c>
      <c s="125">
        <f>-MIN(AJ467+AJ510,$D510*Предпосылки!$F32/Кварталов_в_году)*AJ424</f>
        <v>0</v>
      </c>
      <c s="125">
        <f>-MIN(AK467+AK510,$D510*Предпосылки!$F32/Кварталов_в_году)*AK424</f>
        <v>0</v>
      </c>
      <c s="125">
        <f>-MIN(AL467+AL510,$D510*Предпосылки!$F32/Кварталов_в_году)*AL424</f>
        <v>0</v>
      </c>
      <c s="125">
        <f>-MIN(AM467+AM510,$D510*Предпосылки!$F32/Кварталов_в_году)*AM424</f>
        <v>0</v>
      </c>
      <c s="125">
        <f>-MIN(AN467+AN510,$D510*Предпосылки!$F32/Кварталов_в_году)*AN424</f>
        <v>0</v>
      </c>
      <c s="125">
        <f>-MIN(AO467+AO510,$D510*Предпосылки!$F32/Кварталов_в_году)*AO424</f>
        <v>0</v>
      </c>
      <c s="125">
        <f>-MIN(AP467+AP510,$D510*Предпосылки!$F32/Кварталов_в_году)*AP424</f>
        <v>0</v>
      </c>
      <c s="125">
        <f>-MIN(AQ467+AQ510,$D510*Предпосылки!$F32/Кварталов_в_году)*AQ424</f>
        <v>0</v>
      </c>
      <c s="125">
        <f>-MIN(AR467+AR510,$D510*Предпосылки!$F32/Кварталов_в_году)*AR424</f>
        <v>0</v>
      </c>
      <c s="125">
        <f>-MIN(AS467+AS510,$D510*Предпосылки!$F32/Кварталов_в_году)*AS424</f>
        <v>0</v>
      </c>
      <c s="125">
        <f>-MIN(AT467+AT510,$D510*Предпосылки!$F32/Кварталов_в_году)*AT424</f>
        <v>0</v>
      </c>
      <c s="125">
        <f>-MIN(AU467+AU510,$D510*Предпосылки!$F32/Кварталов_в_году)*AU424</f>
        <v>0</v>
      </c>
      <c s="125">
        <f>-MIN(AV467+AV510,$D510*Предпосылки!$F32/Кварталов_в_году)*AV424</f>
        <v>0</v>
      </c>
      <c s="125">
        <f>-MIN(AW467+AW510,$D510*Предпосылки!$F32/Кварталов_в_году)*AW424</f>
        <v>0</v>
      </c>
      <c s="125">
        <f>-MIN(AX467+AX510,$D510*Предпосылки!$F32/Кварталов_в_году)*AX424</f>
        <v>0</v>
      </c>
      <c s="125">
        <f>-MIN(AY467+AY510,$D510*Предпосылки!$F32/Кварталов_в_году)*AY424</f>
        <v>0</v>
      </c>
      <c s="125">
        <f>-MIN(AZ467+AZ510,$D510*Предпосылки!$F32/Кварталов_в_году)*AZ424</f>
        <v>0</v>
      </c>
      <c s="125">
        <f>-MIN(BA467+BA510,$D510*Предпосылки!$F32/Кварталов_в_году)*BA424</f>
        <v>0</v>
      </c>
      <c s="125">
        <f>-MIN(BB467+BB510,$D510*Предпосылки!$F32/Кварталов_в_году)*BB424</f>
        <v>0</v>
      </c>
      <c s="125">
        <f>-MIN(BC467+BC510,$D510*Предпосылки!$F32/Кварталов_в_году)*BC424</f>
        <v>0</v>
      </c>
      <c s="125">
        <f>-MIN(BD467+BD510,$D510*Предпосылки!$F32/Кварталов_в_году)*BD424</f>
        <v>0</v>
      </c>
      <c s="125">
        <f>-MIN(BE467+BE510,$D510*Предпосылки!$F32/Кварталов_в_году)*BE424</f>
        <v>0</v>
      </c>
      <c s="125">
        <f>-MIN(BF467+BF510,$D510*Предпосылки!$F32/Кварталов_в_году)*BF424</f>
        <v>0</v>
      </c>
      <c s="125">
        <f>-MIN(BG467+BG510,$D510*Предпосылки!$F32/Кварталов_в_году)*BG424</f>
        <v>0</v>
      </c>
      <c s="125">
        <f>-MIN(BH467+BH510,$D510*Предпосылки!$F32/Кварталов_в_году)*BH424</f>
        <v>0</v>
      </c>
      <c s="125">
        <f>-MIN(BI467+BI510,$D510*Предпосылки!$F32/Кварталов_в_году)*BI424</f>
        <v>0</v>
      </c>
      <c s="125">
        <f>-MIN(BJ467+BJ510,$D510*Предпосылки!$F32/Кварталов_в_году)*BJ424</f>
        <v>0</v>
      </c>
      <c s="125">
        <f>-MIN(BK467+BK510,$D510*Предпосылки!$F32/Кварталов_в_году)*BK424</f>
        <v>0</v>
      </c>
      <c s="125">
        <f>-MIN(BL467+BL510,$D510*Предпосылки!$F32/Кварталов_в_году)*BL424</f>
        <v>0</v>
      </c>
      <c s="125">
        <f>-MIN(BM467+BM510,$D510*Предпосылки!$F32/Кварталов_в_году)*BM424</f>
        <v>0</v>
      </c>
    </row>
    <row r="554" spans="2:65" ht="15" customHeight="1">
      <c r="B554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-MIN(E468+E511,$D511*Предпосылки!$F33/Кварталов_в_году)*E425</f>
        <v>0</v>
      </c>
      <c s="125">
        <f>-MIN(F468+F511,$D511*Предпосылки!$F33/Кварталов_в_году)*F425</f>
        <v>0</v>
      </c>
      <c s="125">
        <f>-MIN(G468+G511,$D511*Предпосылки!$F33/Кварталов_в_году)*G425</f>
        <v>0</v>
      </c>
      <c s="125">
        <f>-MIN(H468+H511,$D511*Предпосылки!$F33/Кварталов_в_году)*H425</f>
        <v>0</v>
      </c>
      <c s="125">
        <f>-MIN(I468+I511,$D511*Предпосылки!$F33/Кварталов_в_году)*I425</f>
        <v>0</v>
      </c>
      <c s="125">
        <f>-MIN(J468+J511,$D511*Предпосылки!$F33/Кварталов_в_году)*J425</f>
        <v>0</v>
      </c>
      <c s="125">
        <f>-MIN(K468+K511,$D511*Предпосылки!$F33/Кварталов_в_году)*K425</f>
        <v>0</v>
      </c>
      <c s="125">
        <f>-MIN(L468+L511,$D511*Предпосылки!$F33/Кварталов_в_году)*L425</f>
        <v>0</v>
      </c>
      <c s="125">
        <f>-MIN(M468+M511,$D511*Предпосылки!$F33/Кварталов_в_году)*M425</f>
        <v>0</v>
      </c>
      <c s="125">
        <f>-MIN(N468+N511,$D511*Предпосылки!$F33/Кварталов_в_году)*N425</f>
        <v>0</v>
      </c>
      <c s="125">
        <f>-MIN(O468+O511,$D511*Предпосылки!$F33/Кварталов_в_году)*O425</f>
        <v>0</v>
      </c>
      <c s="125">
        <f>-MIN(P468+P511,$D511*Предпосылки!$F33/Кварталов_в_году)*P425</f>
        <v>0</v>
      </c>
      <c s="125">
        <f>-MIN(Q468+Q511,$D511*Предпосылки!$F33/Кварталов_в_году)*Q425</f>
        <v>0</v>
      </c>
      <c s="125">
        <f>-MIN(R468+R511,$D511*Предпосылки!$F33/Кварталов_в_году)*R425</f>
        <v>0</v>
      </c>
      <c s="125">
        <f>-MIN(S468+S511,$D511*Предпосылки!$F33/Кварталов_в_году)*S425</f>
        <v>0</v>
      </c>
      <c s="125">
        <f>-MIN(T468+T511,$D511*Предпосылки!$F33/Кварталов_в_году)*T425</f>
        <v>0</v>
      </c>
      <c s="125">
        <f>-MIN(U468+U511,$D511*Предпосылки!$F33/Кварталов_в_году)*U425</f>
        <v>0</v>
      </c>
      <c s="125">
        <f>-MIN(V468+V511,$D511*Предпосылки!$F33/Кварталов_в_году)*V425</f>
        <v>0</v>
      </c>
      <c s="125">
        <f>-MIN(W468+W511,$D511*Предпосылки!$F33/Кварталов_в_году)*W425</f>
        <v>0</v>
      </c>
      <c s="125">
        <f>-MIN(X468+X511,$D511*Предпосылки!$F33/Кварталов_в_году)*X425</f>
        <v>0</v>
      </c>
      <c s="125">
        <f>-MIN(Y468+Y511,$D511*Предпосылки!$F33/Кварталов_в_году)*Y425</f>
        <v>0</v>
      </c>
      <c s="125">
        <f>-MIN(Z468+Z511,$D511*Предпосылки!$F33/Кварталов_в_году)*Z425</f>
        <v>0</v>
      </c>
      <c s="125">
        <f>-MIN(AA468+AA511,$D511*Предпосылки!$F33/Кварталов_в_году)*AA425</f>
        <v>0</v>
      </c>
      <c s="125">
        <f>-MIN(AB468+AB511,$D511*Предпосылки!$F33/Кварталов_в_году)*AB425</f>
        <v>0</v>
      </c>
      <c s="125">
        <f>-MIN(AC468+AC511,$D511*Предпосылки!$F33/Кварталов_в_году)*AC425</f>
        <v>0</v>
      </c>
      <c s="125">
        <f>-MIN(AD468+AD511,$D511*Предпосылки!$F33/Кварталов_в_году)*AD425</f>
        <v>0</v>
      </c>
      <c s="125">
        <f>-MIN(AE468+AE511,$D511*Предпосылки!$F33/Кварталов_в_году)*AE425</f>
        <v>0</v>
      </c>
      <c s="125">
        <f>-MIN(AF468+AF511,$D511*Предпосылки!$F33/Кварталов_в_году)*AF425</f>
        <v>0</v>
      </c>
      <c s="125">
        <f>-MIN(AG468+AG511,$D511*Предпосылки!$F33/Кварталов_в_году)*AG425</f>
        <v>0</v>
      </c>
      <c s="125">
        <f>-MIN(AH468+AH511,$D511*Предпосылки!$F33/Кварталов_в_году)*AH425</f>
        <v>0</v>
      </c>
      <c s="125">
        <f>-MIN(AI468+AI511,$D511*Предпосылки!$F33/Кварталов_в_году)*AI425</f>
        <v>0</v>
      </c>
      <c s="125">
        <f>-MIN(AJ468+AJ511,$D511*Предпосылки!$F33/Кварталов_в_году)*AJ425</f>
        <v>0</v>
      </c>
      <c s="125">
        <f>-MIN(AK468+AK511,$D511*Предпосылки!$F33/Кварталов_в_году)*AK425</f>
        <v>0</v>
      </c>
      <c s="125">
        <f>-MIN(AL468+AL511,$D511*Предпосылки!$F33/Кварталов_в_году)*AL425</f>
        <v>0</v>
      </c>
      <c s="125">
        <f>-MIN(AM468+AM511,$D511*Предпосылки!$F33/Кварталов_в_году)*AM425</f>
        <v>0</v>
      </c>
      <c s="125">
        <f>-MIN(AN468+AN511,$D511*Предпосылки!$F33/Кварталов_в_году)*AN425</f>
        <v>0</v>
      </c>
      <c s="125">
        <f>-MIN(AO468+AO511,$D511*Предпосылки!$F33/Кварталов_в_году)*AO425</f>
        <v>0</v>
      </c>
      <c s="125">
        <f>-MIN(AP468+AP511,$D511*Предпосылки!$F33/Кварталов_в_году)*AP425</f>
        <v>0</v>
      </c>
      <c s="125">
        <f>-MIN(AQ468+AQ511,$D511*Предпосылки!$F33/Кварталов_в_году)*AQ425</f>
        <v>0</v>
      </c>
      <c s="125">
        <f>-MIN(AR468+AR511,$D511*Предпосылки!$F33/Кварталов_в_году)*AR425</f>
        <v>0</v>
      </c>
      <c s="125">
        <f>-MIN(AS468+AS511,$D511*Предпосылки!$F33/Кварталов_в_году)*AS425</f>
        <v>0</v>
      </c>
      <c s="125">
        <f>-MIN(AT468+AT511,$D511*Предпосылки!$F33/Кварталов_в_году)*AT425</f>
        <v>0</v>
      </c>
      <c s="125">
        <f>-MIN(AU468+AU511,$D511*Предпосылки!$F33/Кварталов_в_году)*AU425</f>
        <v>0</v>
      </c>
      <c s="125">
        <f>-MIN(AV468+AV511,$D511*Предпосылки!$F33/Кварталов_в_году)*AV425</f>
        <v>0</v>
      </c>
      <c s="125">
        <f>-MIN(AW468+AW511,$D511*Предпосылки!$F33/Кварталов_в_году)*AW425</f>
        <v>0</v>
      </c>
      <c s="125">
        <f>-MIN(AX468+AX511,$D511*Предпосылки!$F33/Кварталов_в_году)*AX425</f>
        <v>0</v>
      </c>
      <c s="125">
        <f>-MIN(AY468+AY511,$D511*Предпосылки!$F33/Кварталов_в_году)*AY425</f>
        <v>0</v>
      </c>
      <c s="125">
        <f>-MIN(AZ468+AZ511,$D511*Предпосылки!$F33/Кварталов_в_году)*AZ425</f>
        <v>0</v>
      </c>
      <c s="125">
        <f>-MIN(BA468+BA511,$D511*Предпосылки!$F33/Кварталов_в_году)*BA425</f>
        <v>0</v>
      </c>
      <c s="125">
        <f>-MIN(BB468+BB511,$D511*Предпосылки!$F33/Кварталов_в_году)*BB425</f>
        <v>0</v>
      </c>
      <c s="125">
        <f>-MIN(BC468+BC511,$D511*Предпосылки!$F33/Кварталов_в_году)*BC425</f>
        <v>0</v>
      </c>
      <c s="125">
        <f>-MIN(BD468+BD511,$D511*Предпосылки!$F33/Кварталов_в_году)*BD425</f>
        <v>0</v>
      </c>
      <c s="125">
        <f>-MIN(BE468+BE511,$D511*Предпосылки!$F33/Кварталов_в_году)*BE425</f>
        <v>0</v>
      </c>
      <c s="125">
        <f>-MIN(BF468+BF511,$D511*Предпосылки!$F33/Кварталов_в_году)*BF425</f>
        <v>0</v>
      </c>
      <c s="125">
        <f>-MIN(BG468+BG511,$D511*Предпосылки!$F33/Кварталов_в_году)*BG425</f>
        <v>0</v>
      </c>
      <c s="125">
        <f>-MIN(BH468+BH511,$D511*Предпосылки!$F33/Кварталов_в_году)*BH425</f>
        <v>0</v>
      </c>
      <c s="125">
        <f>-MIN(BI468+BI511,$D511*Предпосылки!$F33/Кварталов_в_году)*BI425</f>
        <v>0</v>
      </c>
      <c s="125">
        <f>-MIN(BJ468+BJ511,$D511*Предпосылки!$F33/Кварталов_в_году)*BJ425</f>
        <v>0</v>
      </c>
      <c s="125">
        <f>-MIN(BK468+BK511,$D511*Предпосылки!$F33/Кварталов_в_году)*BK425</f>
        <v>0</v>
      </c>
      <c s="125">
        <f>-MIN(BL468+BL511,$D511*Предпосылки!$F33/Кварталов_в_году)*BL425</f>
        <v>0</v>
      </c>
      <c s="125">
        <f>-MIN(BM468+BM511,$D511*Предпосылки!$F33/Кварталов_в_году)*BM425</f>
        <v>0</v>
      </c>
    </row>
    <row r="555" spans="2:65" ht="15" customHeight="1">
      <c r="B555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-MIN(E469+E512,$D512*Предпосылки!$F34/Кварталов_в_году)*E426</f>
        <v>0</v>
      </c>
      <c s="125">
        <f>-MIN(F469+F512,$D512*Предпосылки!$F34/Кварталов_в_году)*F426</f>
        <v>0</v>
      </c>
      <c s="125">
        <f>-MIN(G469+G512,$D512*Предпосылки!$F34/Кварталов_в_году)*G426</f>
        <v>0</v>
      </c>
      <c s="125">
        <f>-MIN(H469+H512,$D512*Предпосылки!$F34/Кварталов_в_году)*H426</f>
        <v>0</v>
      </c>
      <c s="125">
        <f>-MIN(I469+I512,$D512*Предпосылки!$F34/Кварталов_в_году)*I426</f>
        <v>0</v>
      </c>
      <c s="125">
        <f>-MIN(J469+J512,$D512*Предпосылки!$F34/Кварталов_в_году)*J426</f>
        <v>0</v>
      </c>
      <c s="125">
        <f>-MIN(K469+K512,$D512*Предпосылки!$F34/Кварталов_в_году)*K426</f>
        <v>0</v>
      </c>
      <c s="125">
        <f>-MIN(L469+L512,$D512*Предпосылки!$F34/Кварталов_в_году)*L426</f>
        <v>0</v>
      </c>
      <c s="125">
        <f>-MIN(M469+M512,$D512*Предпосылки!$F34/Кварталов_в_году)*M426</f>
        <v>0</v>
      </c>
      <c s="125">
        <f>-MIN(N469+N512,$D512*Предпосылки!$F34/Кварталов_в_году)*N426</f>
        <v>0</v>
      </c>
      <c s="125">
        <f>-MIN(O469+O512,$D512*Предпосылки!$F34/Кварталов_в_году)*O426</f>
        <v>0</v>
      </c>
      <c s="125">
        <f>-MIN(P469+P512,$D512*Предпосылки!$F34/Кварталов_в_году)*P426</f>
        <v>0</v>
      </c>
      <c s="125">
        <f>-MIN(Q469+Q512,$D512*Предпосылки!$F34/Кварталов_в_году)*Q426</f>
        <v>0</v>
      </c>
      <c s="125">
        <f>-MIN(R469+R512,$D512*Предпосылки!$F34/Кварталов_в_году)*R426</f>
        <v>0</v>
      </c>
      <c s="125">
        <f>-MIN(S469+S512,$D512*Предпосылки!$F34/Кварталов_в_году)*S426</f>
        <v>0</v>
      </c>
      <c s="125">
        <f>-MIN(T469+T512,$D512*Предпосылки!$F34/Кварталов_в_году)*T426</f>
        <v>0</v>
      </c>
      <c s="125">
        <f>-MIN(U469+U512,$D512*Предпосылки!$F34/Кварталов_в_году)*U426</f>
        <v>0</v>
      </c>
      <c s="125">
        <f>-MIN(V469+V512,$D512*Предпосылки!$F34/Кварталов_в_году)*V426</f>
        <v>0</v>
      </c>
      <c s="125">
        <f>-MIN(W469+W512,$D512*Предпосылки!$F34/Кварталов_в_году)*W426</f>
        <v>0</v>
      </c>
      <c s="125">
        <f>-MIN(X469+X512,$D512*Предпосылки!$F34/Кварталов_в_году)*X426</f>
        <v>0</v>
      </c>
      <c s="125">
        <f>-MIN(Y469+Y512,$D512*Предпосылки!$F34/Кварталов_в_году)*Y426</f>
        <v>0</v>
      </c>
      <c s="125">
        <f>-MIN(Z469+Z512,$D512*Предпосылки!$F34/Кварталов_в_году)*Z426</f>
        <v>0</v>
      </c>
      <c s="125">
        <f>-MIN(AA469+AA512,$D512*Предпосылки!$F34/Кварталов_в_году)*AA426</f>
        <v>0</v>
      </c>
      <c s="125">
        <f>-MIN(AB469+AB512,$D512*Предпосылки!$F34/Кварталов_в_году)*AB426</f>
        <v>0</v>
      </c>
      <c s="125">
        <f>-MIN(AC469+AC512,$D512*Предпосылки!$F34/Кварталов_в_году)*AC426</f>
        <v>0</v>
      </c>
      <c s="125">
        <f>-MIN(AD469+AD512,$D512*Предпосылки!$F34/Кварталов_в_году)*AD426</f>
        <v>0</v>
      </c>
      <c s="125">
        <f>-MIN(AE469+AE512,$D512*Предпосылки!$F34/Кварталов_в_году)*AE426</f>
        <v>0</v>
      </c>
      <c s="125">
        <f>-MIN(AF469+AF512,$D512*Предпосылки!$F34/Кварталов_в_году)*AF426</f>
        <v>0</v>
      </c>
      <c s="125">
        <f>-MIN(AG469+AG512,$D512*Предпосылки!$F34/Кварталов_в_году)*AG426</f>
        <v>0</v>
      </c>
      <c s="125">
        <f>-MIN(AH469+AH512,$D512*Предпосылки!$F34/Кварталов_в_году)*AH426</f>
        <v>0</v>
      </c>
      <c s="125">
        <f>-MIN(AI469+AI512,$D512*Предпосылки!$F34/Кварталов_в_году)*AI426</f>
        <v>0</v>
      </c>
      <c s="125">
        <f>-MIN(AJ469+AJ512,$D512*Предпосылки!$F34/Кварталов_в_году)*AJ426</f>
        <v>0</v>
      </c>
      <c s="125">
        <f>-MIN(AK469+AK512,$D512*Предпосылки!$F34/Кварталов_в_году)*AK426</f>
        <v>0</v>
      </c>
      <c s="125">
        <f>-MIN(AL469+AL512,$D512*Предпосылки!$F34/Кварталов_в_году)*AL426</f>
        <v>0</v>
      </c>
      <c s="125">
        <f>-MIN(AM469+AM512,$D512*Предпосылки!$F34/Кварталов_в_году)*AM426</f>
        <v>0</v>
      </c>
      <c s="125">
        <f>-MIN(AN469+AN512,$D512*Предпосылки!$F34/Кварталов_в_году)*AN426</f>
        <v>0</v>
      </c>
      <c s="125">
        <f>-MIN(AO469+AO512,$D512*Предпосылки!$F34/Кварталов_в_году)*AO426</f>
        <v>0</v>
      </c>
      <c s="125">
        <f>-MIN(AP469+AP512,$D512*Предпосылки!$F34/Кварталов_в_году)*AP426</f>
        <v>0</v>
      </c>
      <c s="125">
        <f>-MIN(AQ469+AQ512,$D512*Предпосылки!$F34/Кварталов_в_году)*AQ426</f>
        <v>0</v>
      </c>
      <c s="125">
        <f>-MIN(AR469+AR512,$D512*Предпосылки!$F34/Кварталов_в_году)*AR426</f>
        <v>0</v>
      </c>
      <c s="125">
        <f>-MIN(AS469+AS512,$D512*Предпосылки!$F34/Кварталов_в_году)*AS426</f>
        <v>0</v>
      </c>
      <c s="125">
        <f>-MIN(AT469+AT512,$D512*Предпосылки!$F34/Кварталов_в_году)*AT426</f>
        <v>0</v>
      </c>
      <c s="125">
        <f>-MIN(AU469+AU512,$D512*Предпосылки!$F34/Кварталов_в_году)*AU426</f>
        <v>0</v>
      </c>
      <c s="125">
        <f>-MIN(AV469+AV512,$D512*Предпосылки!$F34/Кварталов_в_году)*AV426</f>
        <v>0</v>
      </c>
      <c s="125">
        <f>-MIN(AW469+AW512,$D512*Предпосылки!$F34/Кварталов_в_году)*AW426</f>
        <v>0</v>
      </c>
      <c s="125">
        <f>-MIN(AX469+AX512,$D512*Предпосылки!$F34/Кварталов_в_году)*AX426</f>
        <v>0</v>
      </c>
      <c s="125">
        <f>-MIN(AY469+AY512,$D512*Предпосылки!$F34/Кварталов_в_году)*AY426</f>
        <v>0</v>
      </c>
      <c s="125">
        <f>-MIN(AZ469+AZ512,$D512*Предпосылки!$F34/Кварталов_в_году)*AZ426</f>
        <v>0</v>
      </c>
      <c s="125">
        <f>-MIN(BA469+BA512,$D512*Предпосылки!$F34/Кварталов_в_году)*BA426</f>
        <v>0</v>
      </c>
      <c s="125">
        <f>-MIN(BB469+BB512,$D512*Предпосылки!$F34/Кварталов_в_году)*BB426</f>
        <v>0</v>
      </c>
      <c s="125">
        <f>-MIN(BC469+BC512,$D512*Предпосылки!$F34/Кварталов_в_году)*BC426</f>
        <v>0</v>
      </c>
      <c s="125">
        <f>-MIN(BD469+BD512,$D512*Предпосылки!$F34/Кварталов_в_году)*BD426</f>
        <v>0</v>
      </c>
      <c s="125">
        <f>-MIN(BE469+BE512,$D512*Предпосылки!$F34/Кварталов_в_году)*BE426</f>
        <v>0</v>
      </c>
      <c s="125">
        <f>-MIN(BF469+BF512,$D512*Предпосылки!$F34/Кварталов_в_году)*BF426</f>
        <v>0</v>
      </c>
      <c s="125">
        <f>-MIN(BG469+BG512,$D512*Предпосылки!$F34/Кварталов_в_году)*BG426</f>
        <v>0</v>
      </c>
      <c s="125">
        <f>-MIN(BH469+BH512,$D512*Предпосылки!$F34/Кварталов_в_году)*BH426</f>
        <v>0</v>
      </c>
      <c s="125">
        <f>-MIN(BI469+BI512,$D512*Предпосылки!$F34/Кварталов_в_году)*BI426</f>
        <v>0</v>
      </c>
      <c s="125">
        <f>-MIN(BJ469+BJ512,$D512*Предпосылки!$F34/Кварталов_в_году)*BJ426</f>
        <v>0</v>
      </c>
      <c s="125">
        <f>-MIN(BK469+BK512,$D512*Предпосылки!$F34/Кварталов_в_году)*BK426</f>
        <v>0</v>
      </c>
      <c s="125">
        <f>-MIN(BL469+BL512,$D512*Предпосылки!$F34/Кварталов_в_году)*BL426</f>
        <v>0</v>
      </c>
      <c s="125">
        <f>-MIN(BM469+BM512,$D512*Предпосылки!$F34/Кварталов_в_году)*BM426</f>
        <v>0</v>
      </c>
    </row>
    <row r="556" spans="2:65" ht="15" customHeight="1">
      <c r="B556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-MIN(E470+E513,$D513*Предпосылки!$F35/Кварталов_в_году)*E427</f>
        <v>0</v>
      </c>
      <c s="125">
        <f>-MIN(F470+F513,$D513*Предпосылки!$F35/Кварталов_в_году)*F427</f>
        <v>0</v>
      </c>
      <c s="125">
        <f>-MIN(G470+G513,$D513*Предпосылки!$F35/Кварталов_в_году)*G427</f>
        <v>0</v>
      </c>
      <c s="125">
        <f>-MIN(H470+H513,$D513*Предпосылки!$F35/Кварталов_в_году)*H427</f>
        <v>0</v>
      </c>
      <c s="125">
        <f>-MIN(I470+I513,$D513*Предпосылки!$F35/Кварталов_в_году)*I427</f>
        <v>0</v>
      </c>
      <c s="125">
        <f>-MIN(J470+J513,$D513*Предпосылки!$F35/Кварталов_в_году)*J427</f>
        <v>0</v>
      </c>
      <c s="125">
        <f>-MIN(K470+K513,$D513*Предпосылки!$F35/Кварталов_в_году)*K427</f>
        <v>0</v>
      </c>
      <c s="125">
        <f>-MIN(L470+L513,$D513*Предпосылки!$F35/Кварталов_в_году)*L427</f>
        <v>0</v>
      </c>
      <c s="125">
        <f>-MIN(M470+M513,$D513*Предпосылки!$F35/Кварталов_в_году)*M427</f>
        <v>0</v>
      </c>
      <c s="125">
        <f>-MIN(N470+N513,$D513*Предпосылки!$F35/Кварталов_в_году)*N427</f>
        <v>0</v>
      </c>
      <c s="125">
        <f>-MIN(O470+O513,$D513*Предпосылки!$F35/Кварталов_в_году)*O427</f>
        <v>0</v>
      </c>
      <c s="125">
        <f>-MIN(P470+P513,$D513*Предпосылки!$F35/Кварталов_в_году)*P427</f>
        <v>0</v>
      </c>
      <c s="125">
        <f>-MIN(Q470+Q513,$D513*Предпосылки!$F35/Кварталов_в_году)*Q427</f>
        <v>0</v>
      </c>
      <c s="125">
        <f>-MIN(R470+R513,$D513*Предпосылки!$F35/Кварталов_в_году)*R427</f>
        <v>0</v>
      </c>
      <c s="125">
        <f>-MIN(S470+S513,$D513*Предпосылки!$F35/Кварталов_в_году)*S427</f>
        <v>0</v>
      </c>
      <c s="125">
        <f>-MIN(T470+T513,$D513*Предпосылки!$F35/Кварталов_в_году)*T427</f>
        <v>0</v>
      </c>
      <c s="125">
        <f>-MIN(U470+U513,$D513*Предпосылки!$F35/Кварталов_в_году)*U427</f>
        <v>0</v>
      </c>
      <c s="125">
        <f>-MIN(V470+V513,$D513*Предпосылки!$F35/Кварталов_в_году)*V427</f>
        <v>0</v>
      </c>
      <c s="125">
        <f>-MIN(W470+W513,$D513*Предпосылки!$F35/Кварталов_в_году)*W427</f>
        <v>0</v>
      </c>
      <c s="125">
        <f>-MIN(X470+X513,$D513*Предпосылки!$F35/Кварталов_в_году)*X427</f>
        <v>0</v>
      </c>
      <c s="125">
        <f>-MIN(Y470+Y513,$D513*Предпосылки!$F35/Кварталов_в_году)*Y427</f>
        <v>0</v>
      </c>
      <c s="125">
        <f>-MIN(Z470+Z513,$D513*Предпосылки!$F35/Кварталов_в_году)*Z427</f>
        <v>0</v>
      </c>
      <c s="125">
        <f>-MIN(AA470+AA513,$D513*Предпосылки!$F35/Кварталов_в_году)*AA427</f>
        <v>0</v>
      </c>
      <c s="125">
        <f>-MIN(AB470+AB513,$D513*Предпосылки!$F35/Кварталов_в_году)*AB427</f>
        <v>0</v>
      </c>
      <c s="125">
        <f>-MIN(AC470+AC513,$D513*Предпосылки!$F35/Кварталов_в_году)*AC427</f>
        <v>0</v>
      </c>
      <c s="125">
        <f>-MIN(AD470+AD513,$D513*Предпосылки!$F35/Кварталов_в_году)*AD427</f>
        <v>0</v>
      </c>
      <c s="125">
        <f>-MIN(AE470+AE513,$D513*Предпосылки!$F35/Кварталов_в_году)*AE427</f>
        <v>0</v>
      </c>
      <c s="125">
        <f>-MIN(AF470+AF513,$D513*Предпосылки!$F35/Кварталов_в_году)*AF427</f>
        <v>0</v>
      </c>
      <c s="125">
        <f>-MIN(AG470+AG513,$D513*Предпосылки!$F35/Кварталов_в_году)*AG427</f>
        <v>0</v>
      </c>
      <c s="125">
        <f>-MIN(AH470+AH513,$D513*Предпосылки!$F35/Кварталов_в_году)*AH427</f>
        <v>0</v>
      </c>
      <c s="125">
        <f>-MIN(AI470+AI513,$D513*Предпосылки!$F35/Кварталов_в_году)*AI427</f>
        <v>0</v>
      </c>
      <c s="125">
        <f>-MIN(AJ470+AJ513,$D513*Предпосылки!$F35/Кварталов_в_году)*AJ427</f>
        <v>0</v>
      </c>
      <c s="125">
        <f>-MIN(AK470+AK513,$D513*Предпосылки!$F35/Кварталов_в_году)*AK427</f>
        <v>0</v>
      </c>
      <c s="125">
        <f>-MIN(AL470+AL513,$D513*Предпосылки!$F35/Кварталов_в_году)*AL427</f>
        <v>0</v>
      </c>
      <c s="125">
        <f>-MIN(AM470+AM513,$D513*Предпосылки!$F35/Кварталов_в_году)*AM427</f>
        <v>0</v>
      </c>
      <c s="125">
        <f>-MIN(AN470+AN513,$D513*Предпосылки!$F35/Кварталов_в_году)*AN427</f>
        <v>0</v>
      </c>
      <c s="125">
        <f>-MIN(AO470+AO513,$D513*Предпосылки!$F35/Кварталов_в_году)*AO427</f>
        <v>0</v>
      </c>
      <c s="125">
        <f>-MIN(AP470+AP513,$D513*Предпосылки!$F35/Кварталов_в_году)*AP427</f>
        <v>0</v>
      </c>
      <c s="125">
        <f>-MIN(AQ470+AQ513,$D513*Предпосылки!$F35/Кварталов_в_году)*AQ427</f>
        <v>0</v>
      </c>
      <c s="125">
        <f>-MIN(AR470+AR513,$D513*Предпосылки!$F35/Кварталов_в_году)*AR427</f>
        <v>0</v>
      </c>
      <c s="125">
        <f>-MIN(AS470+AS513,$D513*Предпосылки!$F35/Кварталов_в_году)*AS427</f>
        <v>0</v>
      </c>
      <c s="125">
        <f>-MIN(AT470+AT513,$D513*Предпосылки!$F35/Кварталов_в_году)*AT427</f>
        <v>0</v>
      </c>
      <c s="125">
        <f>-MIN(AU470+AU513,$D513*Предпосылки!$F35/Кварталов_в_году)*AU427</f>
        <v>0</v>
      </c>
      <c s="125">
        <f>-MIN(AV470+AV513,$D513*Предпосылки!$F35/Кварталов_в_году)*AV427</f>
        <v>0</v>
      </c>
      <c s="125">
        <f>-MIN(AW470+AW513,$D513*Предпосылки!$F35/Кварталов_в_году)*AW427</f>
        <v>0</v>
      </c>
      <c s="125">
        <f>-MIN(AX470+AX513,$D513*Предпосылки!$F35/Кварталов_в_году)*AX427</f>
        <v>0</v>
      </c>
      <c s="125">
        <f>-MIN(AY470+AY513,$D513*Предпосылки!$F35/Кварталов_в_году)*AY427</f>
        <v>0</v>
      </c>
      <c s="125">
        <f>-MIN(AZ470+AZ513,$D513*Предпосылки!$F35/Кварталов_в_году)*AZ427</f>
        <v>0</v>
      </c>
      <c s="125">
        <f>-MIN(BA470+BA513,$D513*Предпосылки!$F35/Кварталов_в_году)*BA427</f>
        <v>0</v>
      </c>
      <c s="125">
        <f>-MIN(BB470+BB513,$D513*Предпосылки!$F35/Кварталов_в_году)*BB427</f>
        <v>0</v>
      </c>
      <c s="125">
        <f>-MIN(BC470+BC513,$D513*Предпосылки!$F35/Кварталов_в_году)*BC427</f>
        <v>0</v>
      </c>
      <c s="125">
        <f>-MIN(BD470+BD513,$D513*Предпосылки!$F35/Кварталов_в_году)*BD427</f>
        <v>0</v>
      </c>
      <c s="125">
        <f>-MIN(BE470+BE513,$D513*Предпосылки!$F35/Кварталов_в_году)*BE427</f>
        <v>0</v>
      </c>
      <c s="125">
        <f>-MIN(BF470+BF513,$D513*Предпосылки!$F35/Кварталов_в_году)*BF427</f>
        <v>0</v>
      </c>
      <c s="125">
        <f>-MIN(BG470+BG513,$D513*Предпосылки!$F35/Кварталов_в_году)*BG427</f>
        <v>0</v>
      </c>
      <c s="125">
        <f>-MIN(BH470+BH513,$D513*Предпосылки!$F35/Кварталов_в_году)*BH427</f>
        <v>0</v>
      </c>
      <c s="125">
        <f>-MIN(BI470+BI513,$D513*Предпосылки!$F35/Кварталов_в_году)*BI427</f>
        <v>0</v>
      </c>
      <c s="125">
        <f>-MIN(BJ470+BJ513,$D513*Предпосылки!$F35/Кварталов_в_году)*BJ427</f>
        <v>0</v>
      </c>
      <c s="125">
        <f>-MIN(BK470+BK513,$D513*Предпосылки!$F35/Кварталов_в_году)*BK427</f>
        <v>0</v>
      </c>
      <c s="125">
        <f>-MIN(BL470+BL513,$D513*Предпосылки!$F35/Кварталов_в_году)*BL427</f>
        <v>0</v>
      </c>
      <c s="125">
        <f>-MIN(BM470+BM513,$D513*Предпосылки!$F35/Кварталов_в_году)*BM427</f>
        <v>0</v>
      </c>
    </row>
    <row r="557" spans="2:65" ht="15" customHeight="1">
      <c r="B557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-MIN(E471+E514,$D514*Предпосылки!$F36/Кварталов_в_году)*E428</f>
        <v>0</v>
      </c>
      <c s="125">
        <f>-MIN(F471+F514,$D514*Предпосылки!$F36/Кварталов_в_году)*F428</f>
        <v>0</v>
      </c>
      <c s="125">
        <f>-MIN(G471+G514,$D514*Предпосылки!$F36/Кварталов_в_году)*G428</f>
        <v>0</v>
      </c>
      <c s="125">
        <f>-MIN(H471+H514,$D514*Предпосылки!$F36/Кварталов_в_году)*H428</f>
        <v>0</v>
      </c>
      <c s="125">
        <f>-MIN(I471+I514,$D514*Предпосылки!$F36/Кварталов_в_году)*I428</f>
        <v>0</v>
      </c>
      <c s="125">
        <f>-MIN(J471+J514,$D514*Предпосылки!$F36/Кварталов_в_году)*J428</f>
        <v>0</v>
      </c>
      <c s="125">
        <f>-MIN(K471+K514,$D514*Предпосылки!$F36/Кварталов_в_году)*K428</f>
        <v>0</v>
      </c>
      <c s="125">
        <f>-MIN(L471+L514,$D514*Предпосылки!$F36/Кварталов_в_году)*L428</f>
        <v>0</v>
      </c>
      <c s="125">
        <f>-MIN(M471+M514,$D514*Предпосылки!$F36/Кварталов_в_году)*M428</f>
        <v>0</v>
      </c>
      <c s="125">
        <f>-MIN(N471+N514,$D514*Предпосылки!$F36/Кварталов_в_году)*N428</f>
        <v>0</v>
      </c>
      <c s="125">
        <f>-MIN(O471+O514,$D514*Предпосылки!$F36/Кварталов_в_году)*O428</f>
        <v>0</v>
      </c>
      <c s="125">
        <f>-MIN(P471+P514,$D514*Предпосылки!$F36/Кварталов_в_году)*P428</f>
        <v>0</v>
      </c>
      <c s="125">
        <f>-MIN(Q471+Q514,$D514*Предпосылки!$F36/Кварталов_в_году)*Q428</f>
        <v>0</v>
      </c>
      <c s="125">
        <f>-MIN(R471+R514,$D514*Предпосылки!$F36/Кварталов_в_году)*R428</f>
        <v>0</v>
      </c>
      <c s="125">
        <f>-MIN(S471+S514,$D514*Предпосылки!$F36/Кварталов_в_году)*S428</f>
        <v>0</v>
      </c>
      <c s="125">
        <f>-MIN(T471+T514,$D514*Предпосылки!$F36/Кварталов_в_году)*T428</f>
        <v>0</v>
      </c>
      <c s="125">
        <f>-MIN(U471+U514,$D514*Предпосылки!$F36/Кварталов_в_году)*U428</f>
        <v>0</v>
      </c>
      <c s="125">
        <f>-MIN(V471+V514,$D514*Предпосылки!$F36/Кварталов_в_году)*V428</f>
        <v>0</v>
      </c>
      <c s="125">
        <f>-MIN(W471+W514,$D514*Предпосылки!$F36/Кварталов_в_году)*W428</f>
        <v>0</v>
      </c>
      <c s="125">
        <f>-MIN(X471+X514,$D514*Предпосылки!$F36/Кварталов_в_году)*X428</f>
        <v>0</v>
      </c>
      <c s="125">
        <f>-MIN(Y471+Y514,$D514*Предпосылки!$F36/Кварталов_в_году)*Y428</f>
        <v>0</v>
      </c>
      <c s="125">
        <f>-MIN(Z471+Z514,$D514*Предпосылки!$F36/Кварталов_в_году)*Z428</f>
        <v>0</v>
      </c>
      <c s="125">
        <f>-MIN(AA471+AA514,$D514*Предпосылки!$F36/Кварталов_в_году)*AA428</f>
        <v>0</v>
      </c>
      <c s="125">
        <f>-MIN(AB471+AB514,$D514*Предпосылки!$F36/Кварталов_в_году)*AB428</f>
        <v>0</v>
      </c>
      <c s="125">
        <f>-MIN(AC471+AC514,$D514*Предпосылки!$F36/Кварталов_в_году)*AC428</f>
        <v>0</v>
      </c>
      <c s="125">
        <f>-MIN(AD471+AD514,$D514*Предпосылки!$F36/Кварталов_в_году)*AD428</f>
        <v>0</v>
      </c>
      <c s="125">
        <f>-MIN(AE471+AE514,$D514*Предпосылки!$F36/Кварталов_в_году)*AE428</f>
        <v>0</v>
      </c>
      <c s="125">
        <f>-MIN(AF471+AF514,$D514*Предпосылки!$F36/Кварталов_в_году)*AF428</f>
        <v>0</v>
      </c>
      <c s="125">
        <f>-MIN(AG471+AG514,$D514*Предпосылки!$F36/Кварталов_в_году)*AG428</f>
        <v>0</v>
      </c>
      <c s="125">
        <f>-MIN(AH471+AH514,$D514*Предпосылки!$F36/Кварталов_в_году)*AH428</f>
        <v>0</v>
      </c>
      <c s="125">
        <f>-MIN(AI471+AI514,$D514*Предпосылки!$F36/Кварталов_в_году)*AI428</f>
        <v>0</v>
      </c>
      <c s="125">
        <f>-MIN(AJ471+AJ514,$D514*Предпосылки!$F36/Кварталов_в_году)*AJ428</f>
        <v>0</v>
      </c>
      <c s="125">
        <f>-MIN(AK471+AK514,$D514*Предпосылки!$F36/Кварталов_в_году)*AK428</f>
        <v>0</v>
      </c>
      <c s="125">
        <f>-MIN(AL471+AL514,$D514*Предпосылки!$F36/Кварталов_в_году)*AL428</f>
        <v>0</v>
      </c>
      <c s="125">
        <f>-MIN(AM471+AM514,$D514*Предпосылки!$F36/Кварталов_в_году)*AM428</f>
        <v>0</v>
      </c>
      <c s="125">
        <f>-MIN(AN471+AN514,$D514*Предпосылки!$F36/Кварталов_в_году)*AN428</f>
        <v>0</v>
      </c>
      <c s="125">
        <f>-MIN(AO471+AO514,$D514*Предпосылки!$F36/Кварталов_в_году)*AO428</f>
        <v>0</v>
      </c>
      <c s="125">
        <f>-MIN(AP471+AP514,$D514*Предпосылки!$F36/Кварталов_в_году)*AP428</f>
        <v>0</v>
      </c>
      <c s="125">
        <f>-MIN(AQ471+AQ514,$D514*Предпосылки!$F36/Кварталов_в_году)*AQ428</f>
        <v>0</v>
      </c>
      <c s="125">
        <f>-MIN(AR471+AR514,$D514*Предпосылки!$F36/Кварталов_в_году)*AR428</f>
        <v>0</v>
      </c>
      <c s="125">
        <f>-MIN(AS471+AS514,$D514*Предпосылки!$F36/Кварталов_в_году)*AS428</f>
        <v>0</v>
      </c>
      <c s="125">
        <f>-MIN(AT471+AT514,$D514*Предпосылки!$F36/Кварталов_в_году)*AT428</f>
        <v>0</v>
      </c>
      <c s="125">
        <f>-MIN(AU471+AU514,$D514*Предпосылки!$F36/Кварталов_в_году)*AU428</f>
        <v>0</v>
      </c>
      <c s="125">
        <f>-MIN(AV471+AV514,$D514*Предпосылки!$F36/Кварталов_в_году)*AV428</f>
        <v>0</v>
      </c>
      <c s="125">
        <f>-MIN(AW471+AW514,$D514*Предпосылки!$F36/Кварталов_в_году)*AW428</f>
        <v>0</v>
      </c>
      <c s="125">
        <f>-MIN(AX471+AX514,$D514*Предпосылки!$F36/Кварталов_в_году)*AX428</f>
        <v>0</v>
      </c>
      <c s="125">
        <f>-MIN(AY471+AY514,$D514*Предпосылки!$F36/Кварталов_в_году)*AY428</f>
        <v>0</v>
      </c>
      <c s="125">
        <f>-MIN(AZ471+AZ514,$D514*Предпосылки!$F36/Кварталов_в_году)*AZ428</f>
        <v>0</v>
      </c>
      <c s="125">
        <f>-MIN(BA471+BA514,$D514*Предпосылки!$F36/Кварталов_в_году)*BA428</f>
        <v>0</v>
      </c>
      <c s="125">
        <f>-MIN(BB471+BB514,$D514*Предпосылки!$F36/Кварталов_в_году)*BB428</f>
        <v>0</v>
      </c>
      <c s="125">
        <f>-MIN(BC471+BC514,$D514*Предпосылки!$F36/Кварталов_в_году)*BC428</f>
        <v>0</v>
      </c>
      <c s="125">
        <f>-MIN(BD471+BD514,$D514*Предпосылки!$F36/Кварталов_в_году)*BD428</f>
        <v>0</v>
      </c>
      <c s="125">
        <f>-MIN(BE471+BE514,$D514*Предпосылки!$F36/Кварталов_в_году)*BE428</f>
        <v>0</v>
      </c>
      <c s="125">
        <f>-MIN(BF471+BF514,$D514*Предпосылки!$F36/Кварталов_в_году)*BF428</f>
        <v>0</v>
      </c>
      <c s="125">
        <f>-MIN(BG471+BG514,$D514*Предпосылки!$F36/Кварталов_в_году)*BG428</f>
        <v>0</v>
      </c>
      <c s="125">
        <f>-MIN(BH471+BH514,$D514*Предпосылки!$F36/Кварталов_в_году)*BH428</f>
        <v>0</v>
      </c>
      <c s="125">
        <f>-MIN(BI471+BI514,$D514*Предпосылки!$F36/Кварталов_в_году)*BI428</f>
        <v>0</v>
      </c>
      <c s="125">
        <f>-MIN(BJ471+BJ514,$D514*Предпосылки!$F36/Кварталов_в_году)*BJ428</f>
        <v>0</v>
      </c>
      <c s="125">
        <f>-MIN(BK471+BK514,$D514*Предпосылки!$F36/Кварталов_в_году)*BK428</f>
        <v>0</v>
      </c>
      <c s="125">
        <f>-MIN(BL471+BL514,$D514*Предпосылки!$F36/Кварталов_в_году)*BL428</f>
        <v>0</v>
      </c>
      <c s="125">
        <f>-MIN(BM471+BM514,$D514*Предпосылки!$F36/Кварталов_в_году)*BM428</f>
        <v>0</v>
      </c>
    </row>
    <row r="558" spans="2:65" ht="15" customHeight="1">
      <c r="B558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-MIN(E472+E515,$D515*Предпосылки!$F37/Кварталов_в_году)*E429</f>
        <v>0</v>
      </c>
      <c s="125">
        <f>-MIN(F472+F515,$D515*Предпосылки!$F37/Кварталов_в_году)*F429</f>
        <v>0</v>
      </c>
      <c s="125">
        <f>-MIN(G472+G515,$D515*Предпосылки!$F37/Кварталов_в_году)*G429</f>
        <v>0</v>
      </c>
      <c s="125">
        <f>-MIN(H472+H515,$D515*Предпосылки!$F37/Кварталов_в_году)*H429</f>
        <v>0</v>
      </c>
      <c s="125">
        <f>-MIN(I472+I515,$D515*Предпосылки!$F37/Кварталов_в_году)*I429</f>
        <v>0</v>
      </c>
      <c s="125">
        <f>-MIN(J472+J515,$D515*Предпосылки!$F37/Кварталов_в_году)*J429</f>
        <v>0</v>
      </c>
      <c s="125">
        <f>-MIN(K472+K515,$D515*Предпосылки!$F37/Кварталов_в_году)*K429</f>
        <v>0</v>
      </c>
      <c s="125">
        <f>-MIN(L472+L515,$D515*Предпосылки!$F37/Кварталов_в_году)*L429</f>
        <v>0</v>
      </c>
      <c s="125">
        <f>-MIN(M472+M515,$D515*Предпосылки!$F37/Кварталов_в_году)*M429</f>
        <v>0</v>
      </c>
      <c s="125">
        <f>-MIN(N472+N515,$D515*Предпосылки!$F37/Кварталов_в_году)*N429</f>
        <v>0</v>
      </c>
      <c s="125">
        <f>-MIN(O472+O515,$D515*Предпосылки!$F37/Кварталов_в_году)*O429</f>
        <v>0</v>
      </c>
      <c s="125">
        <f>-MIN(P472+P515,$D515*Предпосылки!$F37/Кварталов_в_году)*P429</f>
        <v>0</v>
      </c>
      <c s="125">
        <f>-MIN(Q472+Q515,$D515*Предпосылки!$F37/Кварталов_в_году)*Q429</f>
        <v>0</v>
      </c>
      <c s="125">
        <f>-MIN(R472+R515,$D515*Предпосылки!$F37/Кварталов_в_году)*R429</f>
        <v>0</v>
      </c>
      <c s="125">
        <f>-MIN(S472+S515,$D515*Предпосылки!$F37/Кварталов_в_году)*S429</f>
        <v>0</v>
      </c>
      <c s="125">
        <f>-MIN(T472+T515,$D515*Предпосылки!$F37/Кварталов_в_году)*T429</f>
        <v>0</v>
      </c>
      <c s="125">
        <f>-MIN(U472+U515,$D515*Предпосылки!$F37/Кварталов_в_году)*U429</f>
        <v>0</v>
      </c>
      <c s="125">
        <f>-MIN(V472+V515,$D515*Предпосылки!$F37/Кварталов_в_году)*V429</f>
        <v>0</v>
      </c>
      <c s="125">
        <f>-MIN(W472+W515,$D515*Предпосылки!$F37/Кварталов_в_году)*W429</f>
        <v>0</v>
      </c>
      <c s="125">
        <f>-MIN(X472+X515,$D515*Предпосылки!$F37/Кварталов_в_году)*X429</f>
        <v>0</v>
      </c>
      <c s="125">
        <f>-MIN(Y472+Y515,$D515*Предпосылки!$F37/Кварталов_в_году)*Y429</f>
        <v>0</v>
      </c>
      <c s="125">
        <f>-MIN(Z472+Z515,$D515*Предпосылки!$F37/Кварталов_в_году)*Z429</f>
        <v>0</v>
      </c>
      <c s="125">
        <f>-MIN(AA472+AA515,$D515*Предпосылки!$F37/Кварталов_в_году)*AA429</f>
        <v>0</v>
      </c>
      <c s="125">
        <f>-MIN(AB472+AB515,$D515*Предпосылки!$F37/Кварталов_в_году)*AB429</f>
        <v>0</v>
      </c>
      <c s="125">
        <f>-MIN(AC472+AC515,$D515*Предпосылки!$F37/Кварталов_в_году)*AC429</f>
        <v>0</v>
      </c>
      <c s="125">
        <f>-MIN(AD472+AD515,$D515*Предпосылки!$F37/Кварталов_в_году)*AD429</f>
        <v>0</v>
      </c>
      <c s="125">
        <f>-MIN(AE472+AE515,$D515*Предпосылки!$F37/Кварталов_в_году)*AE429</f>
        <v>0</v>
      </c>
      <c s="125">
        <f>-MIN(AF472+AF515,$D515*Предпосылки!$F37/Кварталов_в_году)*AF429</f>
        <v>0</v>
      </c>
      <c s="125">
        <f>-MIN(AG472+AG515,$D515*Предпосылки!$F37/Кварталов_в_году)*AG429</f>
        <v>0</v>
      </c>
      <c s="125">
        <f>-MIN(AH472+AH515,$D515*Предпосылки!$F37/Кварталов_в_году)*AH429</f>
        <v>0</v>
      </c>
      <c s="125">
        <f>-MIN(AI472+AI515,$D515*Предпосылки!$F37/Кварталов_в_году)*AI429</f>
        <v>0</v>
      </c>
      <c s="125">
        <f>-MIN(AJ472+AJ515,$D515*Предпосылки!$F37/Кварталов_в_году)*AJ429</f>
        <v>0</v>
      </c>
      <c s="125">
        <f>-MIN(AK472+AK515,$D515*Предпосылки!$F37/Кварталов_в_году)*AK429</f>
        <v>0</v>
      </c>
      <c s="125">
        <f>-MIN(AL472+AL515,$D515*Предпосылки!$F37/Кварталов_в_году)*AL429</f>
        <v>0</v>
      </c>
      <c s="125">
        <f>-MIN(AM472+AM515,$D515*Предпосылки!$F37/Кварталов_в_году)*AM429</f>
        <v>0</v>
      </c>
      <c s="125">
        <f>-MIN(AN472+AN515,$D515*Предпосылки!$F37/Кварталов_в_году)*AN429</f>
        <v>0</v>
      </c>
      <c s="125">
        <f>-MIN(AO472+AO515,$D515*Предпосылки!$F37/Кварталов_в_году)*AO429</f>
        <v>0</v>
      </c>
      <c s="125">
        <f>-MIN(AP472+AP515,$D515*Предпосылки!$F37/Кварталов_в_году)*AP429</f>
        <v>0</v>
      </c>
      <c s="125">
        <f>-MIN(AQ472+AQ515,$D515*Предпосылки!$F37/Кварталов_в_году)*AQ429</f>
        <v>0</v>
      </c>
      <c s="125">
        <f>-MIN(AR472+AR515,$D515*Предпосылки!$F37/Кварталов_в_году)*AR429</f>
        <v>0</v>
      </c>
      <c s="125">
        <f>-MIN(AS472+AS515,$D515*Предпосылки!$F37/Кварталов_в_году)*AS429</f>
        <v>0</v>
      </c>
      <c s="125">
        <f>-MIN(AT472+AT515,$D515*Предпосылки!$F37/Кварталов_в_году)*AT429</f>
        <v>0</v>
      </c>
      <c s="125">
        <f>-MIN(AU472+AU515,$D515*Предпосылки!$F37/Кварталов_в_году)*AU429</f>
        <v>0</v>
      </c>
      <c s="125">
        <f>-MIN(AV472+AV515,$D515*Предпосылки!$F37/Кварталов_в_году)*AV429</f>
        <v>0</v>
      </c>
      <c s="125">
        <f>-MIN(AW472+AW515,$D515*Предпосылки!$F37/Кварталов_в_году)*AW429</f>
        <v>0</v>
      </c>
      <c s="125">
        <f>-MIN(AX472+AX515,$D515*Предпосылки!$F37/Кварталов_в_году)*AX429</f>
        <v>0</v>
      </c>
      <c s="125">
        <f>-MIN(AY472+AY515,$D515*Предпосылки!$F37/Кварталов_в_году)*AY429</f>
        <v>0</v>
      </c>
      <c s="125">
        <f>-MIN(AZ472+AZ515,$D515*Предпосылки!$F37/Кварталов_в_году)*AZ429</f>
        <v>0</v>
      </c>
      <c s="125">
        <f>-MIN(BA472+BA515,$D515*Предпосылки!$F37/Кварталов_в_году)*BA429</f>
        <v>0</v>
      </c>
      <c s="125">
        <f>-MIN(BB472+BB515,$D515*Предпосылки!$F37/Кварталов_в_году)*BB429</f>
        <v>0</v>
      </c>
      <c s="125">
        <f>-MIN(BC472+BC515,$D515*Предпосылки!$F37/Кварталов_в_году)*BC429</f>
        <v>0</v>
      </c>
      <c s="125">
        <f>-MIN(BD472+BD515,$D515*Предпосылки!$F37/Кварталов_в_году)*BD429</f>
        <v>0</v>
      </c>
      <c s="125">
        <f>-MIN(BE472+BE515,$D515*Предпосылки!$F37/Кварталов_в_году)*BE429</f>
        <v>0</v>
      </c>
      <c s="125">
        <f>-MIN(BF472+BF515,$D515*Предпосылки!$F37/Кварталов_в_году)*BF429</f>
        <v>0</v>
      </c>
      <c s="125">
        <f>-MIN(BG472+BG515,$D515*Предпосылки!$F37/Кварталов_в_году)*BG429</f>
        <v>0</v>
      </c>
      <c s="125">
        <f>-MIN(BH472+BH515,$D515*Предпосылки!$F37/Кварталов_в_году)*BH429</f>
        <v>0</v>
      </c>
      <c s="125">
        <f>-MIN(BI472+BI515,$D515*Предпосылки!$F37/Кварталов_в_году)*BI429</f>
        <v>0</v>
      </c>
      <c s="125">
        <f>-MIN(BJ472+BJ515,$D515*Предпосылки!$F37/Кварталов_в_году)*BJ429</f>
        <v>0</v>
      </c>
      <c s="125">
        <f>-MIN(BK472+BK515,$D515*Предпосылки!$F37/Кварталов_в_году)*BK429</f>
        <v>0</v>
      </c>
      <c s="125">
        <f>-MIN(BL472+BL515,$D515*Предпосылки!$F37/Кварталов_в_году)*BL429</f>
        <v>0</v>
      </c>
      <c s="125">
        <f>-MIN(BM472+BM515,$D515*Предпосылки!$F37/Кварталов_в_году)*BM429</f>
        <v>0</v>
      </c>
    </row>
    <row r="559" spans="2:65" ht="15" customHeight="1">
      <c r="B559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-MIN(E473+E516,$D516*Предпосылки!$F38/Кварталов_в_году)*E430</f>
        <v>0</v>
      </c>
      <c s="125">
        <f>-MIN(F473+F516,$D516*Предпосылки!$F38/Кварталов_в_году)*F430</f>
        <v>0</v>
      </c>
      <c s="125">
        <f>-MIN(G473+G516,$D516*Предпосылки!$F38/Кварталов_в_году)*G430</f>
        <v>0</v>
      </c>
      <c s="125">
        <f>-MIN(H473+H516,$D516*Предпосылки!$F38/Кварталов_в_году)*H430</f>
        <v>0</v>
      </c>
      <c s="125">
        <f>-MIN(I473+I516,$D516*Предпосылки!$F38/Кварталов_в_году)*I430</f>
        <v>0</v>
      </c>
      <c s="125">
        <f>-MIN(J473+J516,$D516*Предпосылки!$F38/Кварталов_в_году)*J430</f>
        <v>0</v>
      </c>
      <c s="125">
        <f>-MIN(K473+K516,$D516*Предпосылки!$F38/Кварталов_в_году)*K430</f>
        <v>0</v>
      </c>
      <c s="125">
        <f>-MIN(L473+L516,$D516*Предпосылки!$F38/Кварталов_в_году)*L430</f>
        <v>0</v>
      </c>
      <c s="125">
        <f>-MIN(M473+M516,$D516*Предпосылки!$F38/Кварталов_в_году)*M430</f>
        <v>0</v>
      </c>
      <c s="125">
        <f>-MIN(N473+N516,$D516*Предпосылки!$F38/Кварталов_в_году)*N430</f>
        <v>0</v>
      </c>
      <c s="125">
        <f>-MIN(O473+O516,$D516*Предпосылки!$F38/Кварталов_в_году)*O430</f>
        <v>0</v>
      </c>
      <c s="125">
        <f>-MIN(P473+P516,$D516*Предпосылки!$F38/Кварталов_в_году)*P430</f>
        <v>0</v>
      </c>
      <c s="125">
        <f>-MIN(Q473+Q516,$D516*Предпосылки!$F38/Кварталов_в_году)*Q430</f>
        <v>0</v>
      </c>
      <c s="125">
        <f>-MIN(R473+R516,$D516*Предпосылки!$F38/Кварталов_в_году)*R430</f>
        <v>0</v>
      </c>
      <c s="125">
        <f>-MIN(S473+S516,$D516*Предпосылки!$F38/Кварталов_в_году)*S430</f>
        <v>0</v>
      </c>
      <c s="125">
        <f>-MIN(T473+T516,$D516*Предпосылки!$F38/Кварталов_в_году)*T430</f>
        <v>0</v>
      </c>
      <c s="125">
        <f>-MIN(U473+U516,$D516*Предпосылки!$F38/Кварталов_в_году)*U430</f>
        <v>0</v>
      </c>
      <c s="125">
        <f>-MIN(V473+V516,$D516*Предпосылки!$F38/Кварталов_в_году)*V430</f>
        <v>0</v>
      </c>
      <c s="125">
        <f>-MIN(W473+W516,$D516*Предпосылки!$F38/Кварталов_в_году)*W430</f>
        <v>0</v>
      </c>
      <c s="125">
        <f>-MIN(X473+X516,$D516*Предпосылки!$F38/Кварталов_в_году)*X430</f>
        <v>0</v>
      </c>
      <c s="125">
        <f>-MIN(Y473+Y516,$D516*Предпосылки!$F38/Кварталов_в_году)*Y430</f>
        <v>0</v>
      </c>
      <c s="125">
        <f>-MIN(Z473+Z516,$D516*Предпосылки!$F38/Кварталов_в_году)*Z430</f>
        <v>0</v>
      </c>
      <c s="125">
        <f>-MIN(AA473+AA516,$D516*Предпосылки!$F38/Кварталов_в_году)*AA430</f>
        <v>0</v>
      </c>
      <c s="125">
        <f>-MIN(AB473+AB516,$D516*Предпосылки!$F38/Кварталов_в_году)*AB430</f>
        <v>0</v>
      </c>
      <c s="125">
        <f>-MIN(AC473+AC516,$D516*Предпосылки!$F38/Кварталов_в_году)*AC430</f>
        <v>0</v>
      </c>
      <c s="125">
        <f>-MIN(AD473+AD516,$D516*Предпосылки!$F38/Кварталов_в_году)*AD430</f>
        <v>0</v>
      </c>
      <c s="125">
        <f>-MIN(AE473+AE516,$D516*Предпосылки!$F38/Кварталов_в_году)*AE430</f>
        <v>0</v>
      </c>
      <c s="125">
        <f>-MIN(AF473+AF516,$D516*Предпосылки!$F38/Кварталов_в_году)*AF430</f>
        <v>0</v>
      </c>
      <c s="125">
        <f>-MIN(AG473+AG516,$D516*Предпосылки!$F38/Кварталов_в_году)*AG430</f>
        <v>0</v>
      </c>
      <c s="125">
        <f>-MIN(AH473+AH516,$D516*Предпосылки!$F38/Кварталов_в_году)*AH430</f>
        <v>0</v>
      </c>
      <c s="125">
        <f>-MIN(AI473+AI516,$D516*Предпосылки!$F38/Кварталов_в_году)*AI430</f>
        <v>0</v>
      </c>
      <c s="125">
        <f>-MIN(AJ473+AJ516,$D516*Предпосылки!$F38/Кварталов_в_году)*AJ430</f>
        <v>0</v>
      </c>
      <c s="125">
        <f>-MIN(AK473+AK516,$D516*Предпосылки!$F38/Кварталов_в_году)*AK430</f>
        <v>0</v>
      </c>
      <c s="125">
        <f>-MIN(AL473+AL516,$D516*Предпосылки!$F38/Кварталов_в_году)*AL430</f>
        <v>0</v>
      </c>
      <c s="125">
        <f>-MIN(AM473+AM516,$D516*Предпосылки!$F38/Кварталов_в_году)*AM430</f>
        <v>0</v>
      </c>
      <c s="125">
        <f>-MIN(AN473+AN516,$D516*Предпосылки!$F38/Кварталов_в_году)*AN430</f>
        <v>0</v>
      </c>
      <c s="125">
        <f>-MIN(AO473+AO516,$D516*Предпосылки!$F38/Кварталов_в_году)*AO430</f>
        <v>0</v>
      </c>
      <c s="125">
        <f>-MIN(AP473+AP516,$D516*Предпосылки!$F38/Кварталов_в_году)*AP430</f>
        <v>0</v>
      </c>
      <c s="125">
        <f>-MIN(AQ473+AQ516,$D516*Предпосылки!$F38/Кварталов_в_году)*AQ430</f>
        <v>0</v>
      </c>
      <c s="125">
        <f>-MIN(AR473+AR516,$D516*Предпосылки!$F38/Кварталов_в_году)*AR430</f>
        <v>0</v>
      </c>
      <c s="125">
        <f>-MIN(AS473+AS516,$D516*Предпосылки!$F38/Кварталов_в_году)*AS430</f>
        <v>0</v>
      </c>
      <c s="125">
        <f>-MIN(AT473+AT516,$D516*Предпосылки!$F38/Кварталов_в_году)*AT430</f>
        <v>0</v>
      </c>
      <c s="125">
        <f>-MIN(AU473+AU516,$D516*Предпосылки!$F38/Кварталов_в_году)*AU430</f>
        <v>0</v>
      </c>
      <c s="125">
        <f>-MIN(AV473+AV516,$D516*Предпосылки!$F38/Кварталов_в_году)*AV430</f>
        <v>0</v>
      </c>
      <c s="125">
        <f>-MIN(AW473+AW516,$D516*Предпосылки!$F38/Кварталов_в_году)*AW430</f>
        <v>0</v>
      </c>
      <c s="125">
        <f>-MIN(AX473+AX516,$D516*Предпосылки!$F38/Кварталов_в_году)*AX430</f>
        <v>0</v>
      </c>
      <c s="125">
        <f>-MIN(AY473+AY516,$D516*Предпосылки!$F38/Кварталов_в_году)*AY430</f>
        <v>0</v>
      </c>
      <c s="125">
        <f>-MIN(AZ473+AZ516,$D516*Предпосылки!$F38/Кварталов_в_году)*AZ430</f>
        <v>0</v>
      </c>
      <c s="125">
        <f>-MIN(BA473+BA516,$D516*Предпосылки!$F38/Кварталов_в_году)*BA430</f>
        <v>0</v>
      </c>
      <c s="125">
        <f>-MIN(BB473+BB516,$D516*Предпосылки!$F38/Кварталов_в_году)*BB430</f>
        <v>0</v>
      </c>
      <c s="125">
        <f>-MIN(BC473+BC516,$D516*Предпосылки!$F38/Кварталов_в_году)*BC430</f>
        <v>0</v>
      </c>
      <c s="125">
        <f>-MIN(BD473+BD516,$D516*Предпосылки!$F38/Кварталов_в_году)*BD430</f>
        <v>0</v>
      </c>
      <c s="125">
        <f>-MIN(BE473+BE516,$D516*Предпосылки!$F38/Кварталов_в_году)*BE430</f>
        <v>0</v>
      </c>
      <c s="125">
        <f>-MIN(BF473+BF516,$D516*Предпосылки!$F38/Кварталов_в_году)*BF430</f>
        <v>0</v>
      </c>
      <c s="125">
        <f>-MIN(BG473+BG516,$D516*Предпосылки!$F38/Кварталов_в_году)*BG430</f>
        <v>0</v>
      </c>
      <c s="125">
        <f>-MIN(BH473+BH516,$D516*Предпосылки!$F38/Кварталов_в_году)*BH430</f>
        <v>0</v>
      </c>
      <c s="125">
        <f>-MIN(BI473+BI516,$D516*Предпосылки!$F38/Кварталов_в_году)*BI430</f>
        <v>0</v>
      </c>
      <c s="125">
        <f>-MIN(BJ473+BJ516,$D516*Предпосылки!$F38/Кварталов_в_году)*BJ430</f>
        <v>0</v>
      </c>
      <c s="125">
        <f>-MIN(BK473+BK516,$D516*Предпосылки!$F38/Кварталов_в_году)*BK430</f>
        <v>0</v>
      </c>
      <c s="125">
        <f>-MIN(BL473+BL516,$D516*Предпосылки!$F38/Кварталов_в_году)*BL430</f>
        <v>0</v>
      </c>
      <c s="125">
        <f>-MIN(BM473+BM516,$D516*Предпосылки!$F38/Кварталов_в_году)*BM430</f>
        <v>0</v>
      </c>
    </row>
    <row r="560" spans="2:65" ht="15" customHeight="1">
      <c r="B560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-MIN(E474+E517,$D517*Предпосылки!$F39/Кварталов_в_году)*E431</f>
        <v>0</v>
      </c>
      <c s="125">
        <f>-MIN(F474+F517,$D517*Предпосылки!$F39/Кварталов_в_году)*F431</f>
        <v>0</v>
      </c>
      <c s="125">
        <f>-MIN(G474+G517,$D517*Предпосылки!$F39/Кварталов_в_году)*G431</f>
        <v>0</v>
      </c>
      <c s="125">
        <f>-MIN(H474+H517,$D517*Предпосылки!$F39/Кварталов_в_году)*H431</f>
        <v>0</v>
      </c>
      <c s="125">
        <f>-MIN(I474+I517,$D517*Предпосылки!$F39/Кварталов_в_году)*I431</f>
        <v>0</v>
      </c>
      <c s="125">
        <f>-MIN(J474+J517,$D517*Предпосылки!$F39/Кварталов_в_году)*J431</f>
        <v>0</v>
      </c>
      <c s="125">
        <f>-MIN(K474+K517,$D517*Предпосылки!$F39/Кварталов_в_году)*K431</f>
        <v>0</v>
      </c>
      <c s="125">
        <f>-MIN(L474+L517,$D517*Предпосылки!$F39/Кварталов_в_году)*L431</f>
        <v>0</v>
      </c>
      <c s="125">
        <f>-MIN(M474+M517,$D517*Предпосылки!$F39/Кварталов_в_году)*M431</f>
        <v>0</v>
      </c>
      <c s="125">
        <f>-MIN(N474+N517,$D517*Предпосылки!$F39/Кварталов_в_году)*N431</f>
        <v>0</v>
      </c>
      <c s="125">
        <f>-MIN(O474+O517,$D517*Предпосылки!$F39/Кварталов_в_году)*O431</f>
        <v>0</v>
      </c>
      <c s="125">
        <f>-MIN(P474+P517,$D517*Предпосылки!$F39/Кварталов_в_году)*P431</f>
        <v>0</v>
      </c>
      <c s="125">
        <f>-MIN(Q474+Q517,$D517*Предпосылки!$F39/Кварталов_в_году)*Q431</f>
        <v>0</v>
      </c>
      <c s="125">
        <f>-MIN(R474+R517,$D517*Предпосылки!$F39/Кварталов_в_году)*R431</f>
        <v>0</v>
      </c>
      <c s="125">
        <f>-MIN(S474+S517,$D517*Предпосылки!$F39/Кварталов_в_году)*S431</f>
        <v>0</v>
      </c>
      <c s="125">
        <f>-MIN(T474+T517,$D517*Предпосылки!$F39/Кварталов_в_году)*T431</f>
        <v>0</v>
      </c>
      <c s="125">
        <f>-MIN(U474+U517,$D517*Предпосылки!$F39/Кварталов_в_году)*U431</f>
        <v>0</v>
      </c>
      <c s="125">
        <f>-MIN(V474+V517,$D517*Предпосылки!$F39/Кварталов_в_году)*V431</f>
        <v>0</v>
      </c>
      <c s="125">
        <f>-MIN(W474+W517,$D517*Предпосылки!$F39/Кварталов_в_году)*W431</f>
        <v>0</v>
      </c>
      <c s="125">
        <f>-MIN(X474+X517,$D517*Предпосылки!$F39/Кварталов_в_году)*X431</f>
        <v>0</v>
      </c>
      <c s="125">
        <f>-MIN(Y474+Y517,$D517*Предпосылки!$F39/Кварталов_в_году)*Y431</f>
        <v>0</v>
      </c>
      <c s="125">
        <f>-MIN(Z474+Z517,$D517*Предпосылки!$F39/Кварталов_в_году)*Z431</f>
        <v>0</v>
      </c>
      <c s="125">
        <f>-MIN(AA474+AA517,$D517*Предпосылки!$F39/Кварталов_в_году)*AA431</f>
        <v>0</v>
      </c>
      <c s="125">
        <f>-MIN(AB474+AB517,$D517*Предпосылки!$F39/Кварталов_в_году)*AB431</f>
        <v>0</v>
      </c>
      <c s="125">
        <f>-MIN(AC474+AC517,$D517*Предпосылки!$F39/Кварталов_в_году)*AC431</f>
        <v>0</v>
      </c>
      <c s="125">
        <f>-MIN(AD474+AD517,$D517*Предпосылки!$F39/Кварталов_в_году)*AD431</f>
        <v>0</v>
      </c>
      <c s="125">
        <f>-MIN(AE474+AE517,$D517*Предпосылки!$F39/Кварталов_в_году)*AE431</f>
        <v>0</v>
      </c>
      <c s="125">
        <f>-MIN(AF474+AF517,$D517*Предпосылки!$F39/Кварталов_в_году)*AF431</f>
        <v>0</v>
      </c>
      <c s="125">
        <f>-MIN(AG474+AG517,$D517*Предпосылки!$F39/Кварталов_в_году)*AG431</f>
        <v>0</v>
      </c>
      <c s="125">
        <f>-MIN(AH474+AH517,$D517*Предпосылки!$F39/Кварталов_в_году)*AH431</f>
        <v>0</v>
      </c>
      <c s="125">
        <f>-MIN(AI474+AI517,$D517*Предпосылки!$F39/Кварталов_в_году)*AI431</f>
        <v>0</v>
      </c>
      <c s="125">
        <f>-MIN(AJ474+AJ517,$D517*Предпосылки!$F39/Кварталов_в_году)*AJ431</f>
        <v>0</v>
      </c>
      <c s="125">
        <f>-MIN(AK474+AK517,$D517*Предпосылки!$F39/Кварталов_в_году)*AK431</f>
        <v>0</v>
      </c>
      <c s="125">
        <f>-MIN(AL474+AL517,$D517*Предпосылки!$F39/Кварталов_в_году)*AL431</f>
        <v>0</v>
      </c>
      <c s="125">
        <f>-MIN(AM474+AM517,$D517*Предпосылки!$F39/Кварталов_в_году)*AM431</f>
        <v>0</v>
      </c>
      <c s="125">
        <f>-MIN(AN474+AN517,$D517*Предпосылки!$F39/Кварталов_в_году)*AN431</f>
        <v>0</v>
      </c>
      <c s="125">
        <f>-MIN(AO474+AO517,$D517*Предпосылки!$F39/Кварталов_в_году)*AO431</f>
        <v>0</v>
      </c>
      <c s="125">
        <f>-MIN(AP474+AP517,$D517*Предпосылки!$F39/Кварталов_в_году)*AP431</f>
        <v>0</v>
      </c>
      <c s="125">
        <f>-MIN(AQ474+AQ517,$D517*Предпосылки!$F39/Кварталов_в_году)*AQ431</f>
        <v>0</v>
      </c>
      <c s="125">
        <f>-MIN(AR474+AR517,$D517*Предпосылки!$F39/Кварталов_в_году)*AR431</f>
        <v>0</v>
      </c>
      <c s="125">
        <f>-MIN(AS474+AS517,$D517*Предпосылки!$F39/Кварталов_в_году)*AS431</f>
        <v>0</v>
      </c>
      <c s="125">
        <f>-MIN(AT474+AT517,$D517*Предпосылки!$F39/Кварталов_в_году)*AT431</f>
        <v>0</v>
      </c>
      <c s="125">
        <f>-MIN(AU474+AU517,$D517*Предпосылки!$F39/Кварталов_в_году)*AU431</f>
        <v>0</v>
      </c>
      <c s="125">
        <f>-MIN(AV474+AV517,$D517*Предпосылки!$F39/Кварталов_в_году)*AV431</f>
        <v>0</v>
      </c>
      <c s="125">
        <f>-MIN(AW474+AW517,$D517*Предпосылки!$F39/Кварталов_в_году)*AW431</f>
        <v>0</v>
      </c>
      <c s="125">
        <f>-MIN(AX474+AX517,$D517*Предпосылки!$F39/Кварталов_в_году)*AX431</f>
        <v>0</v>
      </c>
      <c s="125">
        <f>-MIN(AY474+AY517,$D517*Предпосылки!$F39/Кварталов_в_году)*AY431</f>
        <v>0</v>
      </c>
      <c s="125">
        <f>-MIN(AZ474+AZ517,$D517*Предпосылки!$F39/Кварталов_в_году)*AZ431</f>
        <v>0</v>
      </c>
      <c s="125">
        <f>-MIN(BA474+BA517,$D517*Предпосылки!$F39/Кварталов_в_году)*BA431</f>
        <v>0</v>
      </c>
      <c s="125">
        <f>-MIN(BB474+BB517,$D517*Предпосылки!$F39/Кварталов_в_году)*BB431</f>
        <v>0</v>
      </c>
      <c s="125">
        <f>-MIN(BC474+BC517,$D517*Предпосылки!$F39/Кварталов_в_году)*BC431</f>
        <v>0</v>
      </c>
      <c s="125">
        <f>-MIN(BD474+BD517,$D517*Предпосылки!$F39/Кварталов_в_году)*BD431</f>
        <v>0</v>
      </c>
      <c s="125">
        <f>-MIN(BE474+BE517,$D517*Предпосылки!$F39/Кварталов_в_году)*BE431</f>
        <v>0</v>
      </c>
      <c s="125">
        <f>-MIN(BF474+BF517,$D517*Предпосылки!$F39/Кварталов_в_году)*BF431</f>
        <v>0</v>
      </c>
      <c s="125">
        <f>-MIN(BG474+BG517,$D517*Предпосылки!$F39/Кварталов_в_году)*BG431</f>
        <v>0</v>
      </c>
      <c s="125">
        <f>-MIN(BH474+BH517,$D517*Предпосылки!$F39/Кварталов_в_году)*BH431</f>
        <v>0</v>
      </c>
      <c s="125">
        <f>-MIN(BI474+BI517,$D517*Предпосылки!$F39/Кварталов_в_году)*BI431</f>
        <v>0</v>
      </c>
      <c s="125">
        <f>-MIN(BJ474+BJ517,$D517*Предпосылки!$F39/Кварталов_в_году)*BJ431</f>
        <v>0</v>
      </c>
      <c s="125">
        <f>-MIN(BK474+BK517,$D517*Предпосылки!$F39/Кварталов_в_году)*BK431</f>
        <v>0</v>
      </c>
      <c s="125">
        <f>-MIN(BL474+BL517,$D517*Предпосылки!$F39/Кварталов_в_году)*BL431</f>
        <v>0</v>
      </c>
      <c s="125">
        <f>-MIN(BM474+BM517,$D517*Предпосылки!$F39/Кварталов_в_году)*BM431</f>
        <v>0</v>
      </c>
    </row>
    <row r="561" spans="2:65" ht="15" customHeight="1">
      <c r="B561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-MIN(E475+E518,$D518*Предпосылки!$F40/Кварталов_в_году)*E432</f>
        <v>0</v>
      </c>
      <c s="125">
        <f>-MIN(F475+F518,$D518*Предпосылки!$F40/Кварталов_в_году)*F432</f>
        <v>0</v>
      </c>
      <c s="125">
        <f>-MIN(G475+G518,$D518*Предпосылки!$F40/Кварталов_в_году)*G432</f>
        <v>0</v>
      </c>
      <c s="125">
        <f>-MIN(H475+H518,$D518*Предпосылки!$F40/Кварталов_в_году)*H432</f>
        <v>0</v>
      </c>
      <c s="125">
        <f>-MIN(I475+I518,$D518*Предпосылки!$F40/Кварталов_в_году)*I432</f>
        <v>0</v>
      </c>
      <c s="125">
        <f>-MIN(J475+J518,$D518*Предпосылки!$F40/Кварталов_в_году)*J432</f>
        <v>0</v>
      </c>
      <c s="125">
        <f>-MIN(K475+K518,$D518*Предпосылки!$F40/Кварталов_в_году)*K432</f>
        <v>0</v>
      </c>
      <c s="125">
        <f>-MIN(L475+L518,$D518*Предпосылки!$F40/Кварталов_в_году)*L432</f>
        <v>0</v>
      </c>
      <c s="125">
        <f>-MIN(M475+M518,$D518*Предпосылки!$F40/Кварталов_в_году)*M432</f>
        <v>0</v>
      </c>
      <c s="125">
        <f>-MIN(N475+N518,$D518*Предпосылки!$F40/Кварталов_в_году)*N432</f>
        <v>0</v>
      </c>
      <c s="125">
        <f>-MIN(O475+O518,$D518*Предпосылки!$F40/Кварталов_в_году)*O432</f>
        <v>0</v>
      </c>
      <c s="125">
        <f>-MIN(P475+P518,$D518*Предпосылки!$F40/Кварталов_в_году)*P432</f>
        <v>0</v>
      </c>
      <c s="125">
        <f>-MIN(Q475+Q518,$D518*Предпосылки!$F40/Кварталов_в_году)*Q432</f>
        <v>0</v>
      </c>
      <c s="125">
        <f>-MIN(R475+R518,$D518*Предпосылки!$F40/Кварталов_в_году)*R432</f>
        <v>0</v>
      </c>
      <c s="125">
        <f>-MIN(S475+S518,$D518*Предпосылки!$F40/Кварталов_в_году)*S432</f>
        <v>0</v>
      </c>
      <c s="125">
        <f>-MIN(T475+T518,$D518*Предпосылки!$F40/Кварталов_в_году)*T432</f>
        <v>0</v>
      </c>
      <c s="125">
        <f>-MIN(U475+U518,$D518*Предпосылки!$F40/Кварталов_в_году)*U432</f>
        <v>0</v>
      </c>
      <c s="125">
        <f>-MIN(V475+V518,$D518*Предпосылки!$F40/Кварталов_в_году)*V432</f>
        <v>0</v>
      </c>
      <c s="125">
        <f>-MIN(W475+W518,$D518*Предпосылки!$F40/Кварталов_в_году)*W432</f>
        <v>0</v>
      </c>
      <c s="125">
        <f>-MIN(X475+X518,$D518*Предпосылки!$F40/Кварталов_в_году)*X432</f>
        <v>0</v>
      </c>
      <c s="125">
        <f>-MIN(Y475+Y518,$D518*Предпосылки!$F40/Кварталов_в_году)*Y432</f>
        <v>0</v>
      </c>
      <c s="125">
        <f>-MIN(Z475+Z518,$D518*Предпосылки!$F40/Кварталов_в_году)*Z432</f>
        <v>0</v>
      </c>
      <c s="125">
        <f>-MIN(AA475+AA518,$D518*Предпосылки!$F40/Кварталов_в_году)*AA432</f>
        <v>0</v>
      </c>
      <c s="125">
        <f>-MIN(AB475+AB518,$D518*Предпосылки!$F40/Кварталов_в_году)*AB432</f>
        <v>0</v>
      </c>
      <c s="125">
        <f>-MIN(AC475+AC518,$D518*Предпосылки!$F40/Кварталов_в_году)*AC432</f>
        <v>0</v>
      </c>
      <c s="125">
        <f>-MIN(AD475+AD518,$D518*Предпосылки!$F40/Кварталов_в_году)*AD432</f>
        <v>0</v>
      </c>
      <c s="125">
        <f>-MIN(AE475+AE518,$D518*Предпосылки!$F40/Кварталов_в_году)*AE432</f>
        <v>0</v>
      </c>
      <c s="125">
        <f>-MIN(AF475+AF518,$D518*Предпосылки!$F40/Кварталов_в_году)*AF432</f>
        <v>0</v>
      </c>
      <c s="125">
        <f>-MIN(AG475+AG518,$D518*Предпосылки!$F40/Кварталов_в_году)*AG432</f>
        <v>0</v>
      </c>
      <c s="125">
        <f>-MIN(AH475+AH518,$D518*Предпосылки!$F40/Кварталов_в_году)*AH432</f>
        <v>0</v>
      </c>
      <c s="125">
        <f>-MIN(AI475+AI518,$D518*Предпосылки!$F40/Кварталов_в_году)*AI432</f>
        <v>0</v>
      </c>
      <c s="125">
        <f>-MIN(AJ475+AJ518,$D518*Предпосылки!$F40/Кварталов_в_году)*AJ432</f>
        <v>0</v>
      </c>
      <c s="125">
        <f>-MIN(AK475+AK518,$D518*Предпосылки!$F40/Кварталов_в_году)*AK432</f>
        <v>0</v>
      </c>
      <c s="125">
        <f>-MIN(AL475+AL518,$D518*Предпосылки!$F40/Кварталов_в_году)*AL432</f>
        <v>0</v>
      </c>
      <c s="125">
        <f>-MIN(AM475+AM518,$D518*Предпосылки!$F40/Кварталов_в_году)*AM432</f>
        <v>0</v>
      </c>
      <c s="125">
        <f>-MIN(AN475+AN518,$D518*Предпосылки!$F40/Кварталов_в_году)*AN432</f>
        <v>0</v>
      </c>
      <c s="125">
        <f>-MIN(AO475+AO518,$D518*Предпосылки!$F40/Кварталов_в_году)*AO432</f>
        <v>0</v>
      </c>
      <c s="125">
        <f>-MIN(AP475+AP518,$D518*Предпосылки!$F40/Кварталов_в_году)*AP432</f>
        <v>0</v>
      </c>
      <c s="125">
        <f>-MIN(AQ475+AQ518,$D518*Предпосылки!$F40/Кварталов_в_году)*AQ432</f>
        <v>0</v>
      </c>
      <c s="125">
        <f>-MIN(AR475+AR518,$D518*Предпосылки!$F40/Кварталов_в_году)*AR432</f>
        <v>0</v>
      </c>
      <c s="125">
        <f>-MIN(AS475+AS518,$D518*Предпосылки!$F40/Кварталов_в_году)*AS432</f>
        <v>0</v>
      </c>
      <c s="125">
        <f>-MIN(AT475+AT518,$D518*Предпосылки!$F40/Кварталов_в_году)*AT432</f>
        <v>0</v>
      </c>
      <c s="125">
        <f>-MIN(AU475+AU518,$D518*Предпосылки!$F40/Кварталов_в_году)*AU432</f>
        <v>0</v>
      </c>
      <c s="125">
        <f>-MIN(AV475+AV518,$D518*Предпосылки!$F40/Кварталов_в_году)*AV432</f>
        <v>0</v>
      </c>
      <c s="125">
        <f>-MIN(AW475+AW518,$D518*Предпосылки!$F40/Кварталов_в_году)*AW432</f>
        <v>0</v>
      </c>
      <c s="125">
        <f>-MIN(AX475+AX518,$D518*Предпосылки!$F40/Кварталов_в_году)*AX432</f>
        <v>0</v>
      </c>
      <c s="125">
        <f>-MIN(AY475+AY518,$D518*Предпосылки!$F40/Кварталов_в_году)*AY432</f>
        <v>0</v>
      </c>
      <c s="125">
        <f>-MIN(AZ475+AZ518,$D518*Предпосылки!$F40/Кварталов_в_году)*AZ432</f>
        <v>0</v>
      </c>
      <c s="125">
        <f>-MIN(BA475+BA518,$D518*Предпосылки!$F40/Кварталов_в_году)*BA432</f>
        <v>0</v>
      </c>
      <c s="125">
        <f>-MIN(BB475+BB518,$D518*Предпосылки!$F40/Кварталов_в_году)*BB432</f>
        <v>0</v>
      </c>
      <c s="125">
        <f>-MIN(BC475+BC518,$D518*Предпосылки!$F40/Кварталов_в_году)*BC432</f>
        <v>0</v>
      </c>
      <c s="125">
        <f>-MIN(BD475+BD518,$D518*Предпосылки!$F40/Кварталов_в_году)*BD432</f>
        <v>0</v>
      </c>
      <c s="125">
        <f>-MIN(BE475+BE518,$D518*Предпосылки!$F40/Кварталов_в_году)*BE432</f>
        <v>0</v>
      </c>
      <c s="125">
        <f>-MIN(BF475+BF518,$D518*Предпосылки!$F40/Кварталов_в_году)*BF432</f>
        <v>0</v>
      </c>
      <c s="125">
        <f>-MIN(BG475+BG518,$D518*Предпосылки!$F40/Кварталов_в_году)*BG432</f>
        <v>0</v>
      </c>
      <c s="125">
        <f>-MIN(BH475+BH518,$D518*Предпосылки!$F40/Кварталов_в_году)*BH432</f>
        <v>0</v>
      </c>
      <c s="125">
        <f>-MIN(BI475+BI518,$D518*Предпосылки!$F40/Кварталов_в_году)*BI432</f>
        <v>0</v>
      </c>
      <c s="125">
        <f>-MIN(BJ475+BJ518,$D518*Предпосылки!$F40/Кварталов_в_году)*BJ432</f>
        <v>0</v>
      </c>
      <c s="125">
        <f>-MIN(BK475+BK518,$D518*Предпосылки!$F40/Кварталов_в_году)*BK432</f>
        <v>0</v>
      </c>
      <c s="125">
        <f>-MIN(BL475+BL518,$D518*Предпосылки!$F40/Кварталов_в_году)*BL432</f>
        <v>0</v>
      </c>
      <c s="125">
        <f>-MIN(BM475+BM518,$D518*Предпосылки!$F40/Кварталов_в_году)*BM432</f>
        <v>0</v>
      </c>
    </row>
    <row r="562" spans="2:65" ht="15" customHeight="1">
      <c r="B562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-MIN(E476+E519,$D519*Предпосылки!$F41/Кварталов_в_году)*E433</f>
        <v>0</v>
      </c>
      <c s="125">
        <f>-MIN(F476+F519,$D519*Предпосылки!$F41/Кварталов_в_году)*F433</f>
        <v>0</v>
      </c>
      <c s="125">
        <f>-MIN(G476+G519,$D519*Предпосылки!$F41/Кварталов_в_году)*G433</f>
        <v>0</v>
      </c>
      <c s="125">
        <f>-MIN(H476+H519,$D519*Предпосылки!$F41/Кварталов_в_году)*H433</f>
        <v>0</v>
      </c>
      <c s="125">
        <f>-MIN(I476+I519,$D519*Предпосылки!$F41/Кварталов_в_году)*I433</f>
        <v>0</v>
      </c>
      <c s="125">
        <f>-MIN(J476+J519,$D519*Предпосылки!$F41/Кварталов_в_году)*J433</f>
        <v>0</v>
      </c>
      <c s="125">
        <f>-MIN(K476+K519,$D519*Предпосылки!$F41/Кварталов_в_году)*K433</f>
        <v>0</v>
      </c>
      <c s="125">
        <f>-MIN(L476+L519,$D519*Предпосылки!$F41/Кварталов_в_году)*L433</f>
        <v>0</v>
      </c>
      <c s="125">
        <f>-MIN(M476+M519,$D519*Предпосылки!$F41/Кварталов_в_году)*M433</f>
        <v>0</v>
      </c>
      <c s="125">
        <f>-MIN(N476+N519,$D519*Предпосылки!$F41/Кварталов_в_году)*N433</f>
        <v>0</v>
      </c>
      <c s="125">
        <f>-MIN(O476+O519,$D519*Предпосылки!$F41/Кварталов_в_году)*O433</f>
        <v>0</v>
      </c>
      <c s="125">
        <f>-MIN(P476+P519,$D519*Предпосылки!$F41/Кварталов_в_году)*P433</f>
        <v>0</v>
      </c>
      <c s="125">
        <f>-MIN(Q476+Q519,$D519*Предпосылки!$F41/Кварталов_в_году)*Q433</f>
        <v>0</v>
      </c>
      <c s="125">
        <f>-MIN(R476+R519,$D519*Предпосылки!$F41/Кварталов_в_году)*R433</f>
        <v>0</v>
      </c>
      <c s="125">
        <f>-MIN(S476+S519,$D519*Предпосылки!$F41/Кварталов_в_году)*S433</f>
        <v>0</v>
      </c>
      <c s="125">
        <f>-MIN(T476+T519,$D519*Предпосылки!$F41/Кварталов_в_году)*T433</f>
        <v>0</v>
      </c>
      <c s="125">
        <f>-MIN(U476+U519,$D519*Предпосылки!$F41/Кварталов_в_году)*U433</f>
        <v>0</v>
      </c>
      <c s="125">
        <f>-MIN(V476+V519,$D519*Предпосылки!$F41/Кварталов_в_году)*V433</f>
        <v>0</v>
      </c>
      <c s="125">
        <f>-MIN(W476+W519,$D519*Предпосылки!$F41/Кварталов_в_году)*W433</f>
        <v>0</v>
      </c>
      <c s="125">
        <f>-MIN(X476+X519,$D519*Предпосылки!$F41/Кварталов_в_году)*X433</f>
        <v>0</v>
      </c>
      <c s="125">
        <f>-MIN(Y476+Y519,$D519*Предпосылки!$F41/Кварталов_в_году)*Y433</f>
        <v>0</v>
      </c>
      <c s="125">
        <f>-MIN(Z476+Z519,$D519*Предпосылки!$F41/Кварталов_в_году)*Z433</f>
        <v>0</v>
      </c>
      <c s="125">
        <f>-MIN(AA476+AA519,$D519*Предпосылки!$F41/Кварталов_в_году)*AA433</f>
        <v>0</v>
      </c>
      <c s="125">
        <f>-MIN(AB476+AB519,$D519*Предпосылки!$F41/Кварталов_в_году)*AB433</f>
        <v>0</v>
      </c>
      <c s="125">
        <f>-MIN(AC476+AC519,$D519*Предпосылки!$F41/Кварталов_в_году)*AC433</f>
        <v>0</v>
      </c>
      <c s="125">
        <f>-MIN(AD476+AD519,$D519*Предпосылки!$F41/Кварталов_в_году)*AD433</f>
        <v>0</v>
      </c>
      <c s="125">
        <f>-MIN(AE476+AE519,$D519*Предпосылки!$F41/Кварталов_в_году)*AE433</f>
        <v>0</v>
      </c>
      <c s="125">
        <f>-MIN(AF476+AF519,$D519*Предпосылки!$F41/Кварталов_в_году)*AF433</f>
        <v>0</v>
      </c>
      <c s="125">
        <f>-MIN(AG476+AG519,$D519*Предпосылки!$F41/Кварталов_в_году)*AG433</f>
        <v>0</v>
      </c>
      <c s="125">
        <f>-MIN(AH476+AH519,$D519*Предпосылки!$F41/Кварталов_в_году)*AH433</f>
        <v>0</v>
      </c>
      <c s="125">
        <f>-MIN(AI476+AI519,$D519*Предпосылки!$F41/Кварталов_в_году)*AI433</f>
        <v>0</v>
      </c>
      <c s="125">
        <f>-MIN(AJ476+AJ519,$D519*Предпосылки!$F41/Кварталов_в_году)*AJ433</f>
        <v>0</v>
      </c>
      <c s="125">
        <f>-MIN(AK476+AK519,$D519*Предпосылки!$F41/Кварталов_в_году)*AK433</f>
        <v>0</v>
      </c>
      <c s="125">
        <f>-MIN(AL476+AL519,$D519*Предпосылки!$F41/Кварталов_в_году)*AL433</f>
        <v>0</v>
      </c>
      <c s="125">
        <f>-MIN(AM476+AM519,$D519*Предпосылки!$F41/Кварталов_в_году)*AM433</f>
        <v>0</v>
      </c>
      <c s="125">
        <f>-MIN(AN476+AN519,$D519*Предпосылки!$F41/Кварталов_в_году)*AN433</f>
        <v>0</v>
      </c>
      <c s="125">
        <f>-MIN(AO476+AO519,$D519*Предпосылки!$F41/Кварталов_в_году)*AO433</f>
        <v>0</v>
      </c>
      <c s="125">
        <f>-MIN(AP476+AP519,$D519*Предпосылки!$F41/Кварталов_в_году)*AP433</f>
        <v>0</v>
      </c>
      <c s="125">
        <f>-MIN(AQ476+AQ519,$D519*Предпосылки!$F41/Кварталов_в_году)*AQ433</f>
        <v>0</v>
      </c>
      <c s="125">
        <f>-MIN(AR476+AR519,$D519*Предпосылки!$F41/Кварталов_в_году)*AR433</f>
        <v>0</v>
      </c>
      <c s="125">
        <f>-MIN(AS476+AS519,$D519*Предпосылки!$F41/Кварталов_в_году)*AS433</f>
        <v>0</v>
      </c>
      <c s="125">
        <f>-MIN(AT476+AT519,$D519*Предпосылки!$F41/Кварталов_в_году)*AT433</f>
        <v>0</v>
      </c>
      <c s="125">
        <f>-MIN(AU476+AU519,$D519*Предпосылки!$F41/Кварталов_в_году)*AU433</f>
        <v>0</v>
      </c>
      <c s="125">
        <f>-MIN(AV476+AV519,$D519*Предпосылки!$F41/Кварталов_в_году)*AV433</f>
        <v>0</v>
      </c>
      <c s="125">
        <f>-MIN(AW476+AW519,$D519*Предпосылки!$F41/Кварталов_в_году)*AW433</f>
        <v>0</v>
      </c>
      <c s="125">
        <f>-MIN(AX476+AX519,$D519*Предпосылки!$F41/Кварталов_в_году)*AX433</f>
        <v>0</v>
      </c>
      <c s="125">
        <f>-MIN(AY476+AY519,$D519*Предпосылки!$F41/Кварталов_в_году)*AY433</f>
        <v>0</v>
      </c>
      <c s="125">
        <f>-MIN(AZ476+AZ519,$D519*Предпосылки!$F41/Кварталов_в_году)*AZ433</f>
        <v>0</v>
      </c>
      <c s="125">
        <f>-MIN(BA476+BA519,$D519*Предпосылки!$F41/Кварталов_в_году)*BA433</f>
        <v>0</v>
      </c>
      <c s="125">
        <f>-MIN(BB476+BB519,$D519*Предпосылки!$F41/Кварталов_в_году)*BB433</f>
        <v>0</v>
      </c>
      <c s="125">
        <f>-MIN(BC476+BC519,$D519*Предпосылки!$F41/Кварталов_в_году)*BC433</f>
        <v>0</v>
      </c>
      <c s="125">
        <f>-MIN(BD476+BD519,$D519*Предпосылки!$F41/Кварталов_в_году)*BD433</f>
        <v>0</v>
      </c>
      <c s="125">
        <f>-MIN(BE476+BE519,$D519*Предпосылки!$F41/Кварталов_в_году)*BE433</f>
        <v>0</v>
      </c>
      <c s="125">
        <f>-MIN(BF476+BF519,$D519*Предпосылки!$F41/Кварталов_в_году)*BF433</f>
        <v>0</v>
      </c>
      <c s="125">
        <f>-MIN(BG476+BG519,$D519*Предпосылки!$F41/Кварталов_в_году)*BG433</f>
        <v>0</v>
      </c>
      <c s="125">
        <f>-MIN(BH476+BH519,$D519*Предпосылки!$F41/Кварталов_в_году)*BH433</f>
        <v>0</v>
      </c>
      <c s="125">
        <f>-MIN(BI476+BI519,$D519*Предпосылки!$F41/Кварталов_в_году)*BI433</f>
        <v>0</v>
      </c>
      <c s="125">
        <f>-MIN(BJ476+BJ519,$D519*Предпосылки!$F41/Кварталов_в_году)*BJ433</f>
        <v>0</v>
      </c>
      <c s="125">
        <f>-MIN(BK476+BK519,$D519*Предпосылки!$F41/Кварталов_в_году)*BK433</f>
        <v>0</v>
      </c>
      <c s="125">
        <f>-MIN(BL476+BL519,$D519*Предпосылки!$F41/Кварталов_в_году)*BL433</f>
        <v>0</v>
      </c>
      <c s="125">
        <f>-MIN(BM476+BM519,$D519*Предпосылки!$F41/Кварталов_в_году)*BM433</f>
        <v>0</v>
      </c>
    </row>
    <row r="563" spans="2:65" ht="15" customHeight="1">
      <c r="B563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-MIN(E477+E520,$D520*Предпосылки!$F42/Кварталов_в_году)*E434</f>
        <v>0</v>
      </c>
      <c s="125">
        <f>-MIN(F477+F520,$D520*Предпосылки!$F42/Кварталов_в_году)*F434</f>
        <v>0</v>
      </c>
      <c s="125">
        <f>-MIN(G477+G520,$D520*Предпосылки!$F42/Кварталов_в_году)*G434</f>
        <v>0</v>
      </c>
      <c s="125">
        <f>-MIN(H477+H520,$D520*Предпосылки!$F42/Кварталов_в_году)*H434</f>
        <v>0</v>
      </c>
      <c s="125">
        <f>-MIN(I477+I520,$D520*Предпосылки!$F42/Кварталов_в_году)*I434</f>
        <v>0</v>
      </c>
      <c s="125">
        <f>-MIN(J477+J520,$D520*Предпосылки!$F42/Кварталов_в_году)*J434</f>
        <v>0</v>
      </c>
      <c s="125">
        <f>-MIN(K477+K520,$D520*Предпосылки!$F42/Кварталов_в_году)*K434</f>
        <v>0</v>
      </c>
      <c s="125">
        <f>-MIN(L477+L520,$D520*Предпосылки!$F42/Кварталов_в_году)*L434</f>
        <v>0</v>
      </c>
      <c s="125">
        <f>-MIN(M477+M520,$D520*Предпосылки!$F42/Кварталов_в_году)*M434</f>
        <v>0</v>
      </c>
      <c s="125">
        <f>-MIN(N477+N520,$D520*Предпосылки!$F42/Кварталов_в_году)*N434</f>
        <v>0</v>
      </c>
      <c s="125">
        <f>-MIN(O477+O520,$D520*Предпосылки!$F42/Кварталов_в_году)*O434</f>
        <v>0</v>
      </c>
      <c s="125">
        <f>-MIN(P477+P520,$D520*Предпосылки!$F42/Кварталов_в_году)*P434</f>
        <v>0</v>
      </c>
      <c s="125">
        <f>-MIN(Q477+Q520,$D520*Предпосылки!$F42/Кварталов_в_году)*Q434</f>
        <v>0</v>
      </c>
      <c s="125">
        <f>-MIN(R477+R520,$D520*Предпосылки!$F42/Кварталов_в_году)*R434</f>
        <v>0</v>
      </c>
      <c s="125">
        <f>-MIN(S477+S520,$D520*Предпосылки!$F42/Кварталов_в_году)*S434</f>
        <v>0</v>
      </c>
      <c s="125">
        <f>-MIN(T477+T520,$D520*Предпосылки!$F42/Кварталов_в_году)*T434</f>
        <v>0</v>
      </c>
      <c s="125">
        <f>-MIN(U477+U520,$D520*Предпосылки!$F42/Кварталов_в_году)*U434</f>
        <v>0</v>
      </c>
      <c s="125">
        <f>-MIN(V477+V520,$D520*Предпосылки!$F42/Кварталов_в_году)*V434</f>
        <v>0</v>
      </c>
      <c s="125">
        <f>-MIN(W477+W520,$D520*Предпосылки!$F42/Кварталов_в_году)*W434</f>
        <v>0</v>
      </c>
      <c s="125">
        <f>-MIN(X477+X520,$D520*Предпосылки!$F42/Кварталов_в_году)*X434</f>
        <v>0</v>
      </c>
      <c s="125">
        <f>-MIN(Y477+Y520,$D520*Предпосылки!$F42/Кварталов_в_году)*Y434</f>
        <v>0</v>
      </c>
      <c s="125">
        <f>-MIN(Z477+Z520,$D520*Предпосылки!$F42/Кварталов_в_году)*Z434</f>
        <v>0</v>
      </c>
      <c s="125">
        <f>-MIN(AA477+AA520,$D520*Предпосылки!$F42/Кварталов_в_году)*AA434</f>
        <v>0</v>
      </c>
      <c s="125">
        <f>-MIN(AB477+AB520,$D520*Предпосылки!$F42/Кварталов_в_году)*AB434</f>
        <v>0</v>
      </c>
      <c s="125">
        <f>-MIN(AC477+AC520,$D520*Предпосылки!$F42/Кварталов_в_году)*AC434</f>
        <v>0</v>
      </c>
      <c s="125">
        <f>-MIN(AD477+AD520,$D520*Предпосылки!$F42/Кварталов_в_году)*AD434</f>
        <v>0</v>
      </c>
      <c s="125">
        <f>-MIN(AE477+AE520,$D520*Предпосылки!$F42/Кварталов_в_году)*AE434</f>
        <v>0</v>
      </c>
      <c s="125">
        <f>-MIN(AF477+AF520,$D520*Предпосылки!$F42/Кварталов_в_году)*AF434</f>
        <v>0</v>
      </c>
      <c s="125">
        <f>-MIN(AG477+AG520,$D520*Предпосылки!$F42/Кварталов_в_году)*AG434</f>
        <v>0</v>
      </c>
      <c s="125">
        <f>-MIN(AH477+AH520,$D520*Предпосылки!$F42/Кварталов_в_году)*AH434</f>
        <v>0</v>
      </c>
      <c s="125">
        <f>-MIN(AI477+AI520,$D520*Предпосылки!$F42/Кварталов_в_году)*AI434</f>
        <v>0</v>
      </c>
      <c s="125">
        <f>-MIN(AJ477+AJ520,$D520*Предпосылки!$F42/Кварталов_в_году)*AJ434</f>
        <v>0</v>
      </c>
      <c s="125">
        <f>-MIN(AK477+AK520,$D520*Предпосылки!$F42/Кварталов_в_году)*AK434</f>
        <v>0</v>
      </c>
      <c s="125">
        <f>-MIN(AL477+AL520,$D520*Предпосылки!$F42/Кварталов_в_году)*AL434</f>
        <v>0</v>
      </c>
      <c s="125">
        <f>-MIN(AM477+AM520,$D520*Предпосылки!$F42/Кварталов_в_году)*AM434</f>
        <v>0</v>
      </c>
      <c s="125">
        <f>-MIN(AN477+AN520,$D520*Предпосылки!$F42/Кварталов_в_году)*AN434</f>
        <v>0</v>
      </c>
      <c s="125">
        <f>-MIN(AO477+AO520,$D520*Предпосылки!$F42/Кварталов_в_году)*AO434</f>
        <v>0</v>
      </c>
      <c s="125">
        <f>-MIN(AP477+AP520,$D520*Предпосылки!$F42/Кварталов_в_году)*AP434</f>
        <v>0</v>
      </c>
      <c s="125">
        <f>-MIN(AQ477+AQ520,$D520*Предпосылки!$F42/Кварталов_в_году)*AQ434</f>
        <v>0</v>
      </c>
      <c s="125">
        <f>-MIN(AR477+AR520,$D520*Предпосылки!$F42/Кварталов_в_году)*AR434</f>
        <v>0</v>
      </c>
      <c s="125">
        <f>-MIN(AS477+AS520,$D520*Предпосылки!$F42/Кварталов_в_году)*AS434</f>
        <v>0</v>
      </c>
      <c s="125">
        <f>-MIN(AT477+AT520,$D520*Предпосылки!$F42/Кварталов_в_году)*AT434</f>
        <v>0</v>
      </c>
      <c s="125">
        <f>-MIN(AU477+AU520,$D520*Предпосылки!$F42/Кварталов_в_году)*AU434</f>
        <v>0</v>
      </c>
      <c s="125">
        <f>-MIN(AV477+AV520,$D520*Предпосылки!$F42/Кварталов_в_году)*AV434</f>
        <v>0</v>
      </c>
      <c s="125">
        <f>-MIN(AW477+AW520,$D520*Предпосылки!$F42/Кварталов_в_году)*AW434</f>
        <v>0</v>
      </c>
      <c s="125">
        <f>-MIN(AX477+AX520,$D520*Предпосылки!$F42/Кварталов_в_году)*AX434</f>
        <v>0</v>
      </c>
      <c s="125">
        <f>-MIN(AY477+AY520,$D520*Предпосылки!$F42/Кварталов_в_году)*AY434</f>
        <v>0</v>
      </c>
      <c s="125">
        <f>-MIN(AZ477+AZ520,$D520*Предпосылки!$F42/Кварталов_в_году)*AZ434</f>
        <v>0</v>
      </c>
      <c s="125">
        <f>-MIN(BA477+BA520,$D520*Предпосылки!$F42/Кварталов_в_году)*BA434</f>
        <v>0</v>
      </c>
      <c s="125">
        <f>-MIN(BB477+BB520,$D520*Предпосылки!$F42/Кварталов_в_году)*BB434</f>
        <v>0</v>
      </c>
      <c s="125">
        <f>-MIN(BC477+BC520,$D520*Предпосылки!$F42/Кварталов_в_году)*BC434</f>
        <v>0</v>
      </c>
      <c s="125">
        <f>-MIN(BD477+BD520,$D520*Предпосылки!$F42/Кварталов_в_году)*BD434</f>
        <v>0</v>
      </c>
      <c s="125">
        <f>-MIN(BE477+BE520,$D520*Предпосылки!$F42/Кварталов_в_году)*BE434</f>
        <v>0</v>
      </c>
      <c s="125">
        <f>-MIN(BF477+BF520,$D520*Предпосылки!$F42/Кварталов_в_году)*BF434</f>
        <v>0</v>
      </c>
      <c s="125">
        <f>-MIN(BG477+BG520,$D520*Предпосылки!$F42/Кварталов_в_году)*BG434</f>
        <v>0</v>
      </c>
      <c s="125">
        <f>-MIN(BH477+BH520,$D520*Предпосылки!$F42/Кварталов_в_году)*BH434</f>
        <v>0</v>
      </c>
      <c s="125">
        <f>-MIN(BI477+BI520,$D520*Предпосылки!$F42/Кварталов_в_году)*BI434</f>
        <v>0</v>
      </c>
      <c s="125">
        <f>-MIN(BJ477+BJ520,$D520*Предпосылки!$F42/Кварталов_в_году)*BJ434</f>
        <v>0</v>
      </c>
      <c s="125">
        <f>-MIN(BK477+BK520,$D520*Предпосылки!$F42/Кварталов_в_году)*BK434</f>
        <v>0</v>
      </c>
      <c s="125">
        <f>-MIN(BL477+BL520,$D520*Предпосылки!$F42/Кварталов_в_году)*BL434</f>
        <v>0</v>
      </c>
      <c s="125">
        <f>-MIN(BM477+BM520,$D520*Предпосылки!$F42/Кварталов_в_году)*BM434</f>
        <v>0</v>
      </c>
    </row>
    <row r="564" spans="2:65" ht="15" customHeight="1">
      <c r="B564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-MIN(E478+E521,$D521*Предпосылки!$F43/Кварталов_в_году)*E435</f>
        <v>0</v>
      </c>
      <c s="125">
        <f>-MIN(F478+F521,$D521*Предпосылки!$F43/Кварталов_в_году)*F435</f>
        <v>0</v>
      </c>
      <c s="125">
        <f>-MIN(G478+G521,$D521*Предпосылки!$F43/Кварталов_в_году)*G435</f>
        <v>0</v>
      </c>
      <c s="125">
        <f>-MIN(H478+H521,$D521*Предпосылки!$F43/Кварталов_в_году)*H435</f>
        <v>0</v>
      </c>
      <c s="125">
        <f>-MIN(I478+I521,$D521*Предпосылки!$F43/Кварталов_в_году)*I435</f>
        <v>0</v>
      </c>
      <c s="125">
        <f>-MIN(J478+J521,$D521*Предпосылки!$F43/Кварталов_в_году)*J435</f>
        <v>0</v>
      </c>
      <c s="125">
        <f>-MIN(K478+K521,$D521*Предпосылки!$F43/Кварталов_в_году)*K435</f>
        <v>0</v>
      </c>
      <c s="125">
        <f>-MIN(L478+L521,$D521*Предпосылки!$F43/Кварталов_в_году)*L435</f>
        <v>0</v>
      </c>
      <c s="125">
        <f>-MIN(M478+M521,$D521*Предпосылки!$F43/Кварталов_в_году)*M435</f>
        <v>0</v>
      </c>
      <c s="125">
        <f>-MIN(N478+N521,$D521*Предпосылки!$F43/Кварталов_в_году)*N435</f>
        <v>0</v>
      </c>
      <c s="125">
        <f>-MIN(O478+O521,$D521*Предпосылки!$F43/Кварталов_в_году)*O435</f>
        <v>0</v>
      </c>
      <c s="125">
        <f>-MIN(P478+P521,$D521*Предпосылки!$F43/Кварталов_в_году)*P435</f>
        <v>0</v>
      </c>
      <c s="125">
        <f>-MIN(Q478+Q521,$D521*Предпосылки!$F43/Кварталов_в_году)*Q435</f>
        <v>0</v>
      </c>
      <c s="125">
        <f>-MIN(R478+R521,$D521*Предпосылки!$F43/Кварталов_в_году)*R435</f>
        <v>0</v>
      </c>
      <c s="125">
        <f>-MIN(S478+S521,$D521*Предпосылки!$F43/Кварталов_в_году)*S435</f>
        <v>0</v>
      </c>
      <c s="125">
        <f>-MIN(T478+T521,$D521*Предпосылки!$F43/Кварталов_в_году)*T435</f>
        <v>0</v>
      </c>
      <c s="125">
        <f>-MIN(U478+U521,$D521*Предпосылки!$F43/Кварталов_в_году)*U435</f>
        <v>0</v>
      </c>
      <c s="125">
        <f>-MIN(V478+V521,$D521*Предпосылки!$F43/Кварталов_в_году)*V435</f>
        <v>0</v>
      </c>
      <c s="125">
        <f>-MIN(W478+W521,$D521*Предпосылки!$F43/Кварталов_в_году)*W435</f>
        <v>0</v>
      </c>
      <c s="125">
        <f>-MIN(X478+X521,$D521*Предпосылки!$F43/Кварталов_в_году)*X435</f>
        <v>0</v>
      </c>
      <c s="125">
        <f>-MIN(Y478+Y521,$D521*Предпосылки!$F43/Кварталов_в_году)*Y435</f>
        <v>0</v>
      </c>
      <c s="125">
        <f>-MIN(Z478+Z521,$D521*Предпосылки!$F43/Кварталов_в_году)*Z435</f>
        <v>0</v>
      </c>
      <c s="125">
        <f>-MIN(AA478+AA521,$D521*Предпосылки!$F43/Кварталов_в_году)*AA435</f>
        <v>0</v>
      </c>
      <c s="125">
        <f>-MIN(AB478+AB521,$D521*Предпосылки!$F43/Кварталов_в_году)*AB435</f>
        <v>0</v>
      </c>
      <c s="125">
        <f>-MIN(AC478+AC521,$D521*Предпосылки!$F43/Кварталов_в_году)*AC435</f>
        <v>0</v>
      </c>
      <c s="125">
        <f>-MIN(AD478+AD521,$D521*Предпосылки!$F43/Кварталов_в_году)*AD435</f>
        <v>0</v>
      </c>
      <c s="125">
        <f>-MIN(AE478+AE521,$D521*Предпосылки!$F43/Кварталов_в_году)*AE435</f>
        <v>0</v>
      </c>
      <c s="125">
        <f>-MIN(AF478+AF521,$D521*Предпосылки!$F43/Кварталов_в_году)*AF435</f>
        <v>0</v>
      </c>
      <c s="125">
        <f>-MIN(AG478+AG521,$D521*Предпосылки!$F43/Кварталов_в_году)*AG435</f>
        <v>0</v>
      </c>
      <c s="125">
        <f>-MIN(AH478+AH521,$D521*Предпосылки!$F43/Кварталов_в_году)*AH435</f>
        <v>0</v>
      </c>
      <c s="125">
        <f>-MIN(AI478+AI521,$D521*Предпосылки!$F43/Кварталов_в_году)*AI435</f>
        <v>0</v>
      </c>
      <c s="125">
        <f>-MIN(AJ478+AJ521,$D521*Предпосылки!$F43/Кварталов_в_году)*AJ435</f>
        <v>0</v>
      </c>
      <c s="125">
        <f>-MIN(AK478+AK521,$D521*Предпосылки!$F43/Кварталов_в_году)*AK435</f>
        <v>0</v>
      </c>
      <c s="125">
        <f>-MIN(AL478+AL521,$D521*Предпосылки!$F43/Кварталов_в_году)*AL435</f>
        <v>0</v>
      </c>
      <c s="125">
        <f>-MIN(AM478+AM521,$D521*Предпосылки!$F43/Кварталов_в_году)*AM435</f>
        <v>0</v>
      </c>
      <c s="125">
        <f>-MIN(AN478+AN521,$D521*Предпосылки!$F43/Кварталов_в_году)*AN435</f>
        <v>0</v>
      </c>
      <c s="125">
        <f>-MIN(AO478+AO521,$D521*Предпосылки!$F43/Кварталов_в_году)*AO435</f>
        <v>0</v>
      </c>
      <c s="125">
        <f>-MIN(AP478+AP521,$D521*Предпосылки!$F43/Кварталов_в_году)*AP435</f>
        <v>0</v>
      </c>
      <c s="125">
        <f>-MIN(AQ478+AQ521,$D521*Предпосылки!$F43/Кварталов_в_году)*AQ435</f>
        <v>0</v>
      </c>
      <c s="125">
        <f>-MIN(AR478+AR521,$D521*Предпосылки!$F43/Кварталов_в_году)*AR435</f>
        <v>0</v>
      </c>
      <c s="125">
        <f>-MIN(AS478+AS521,$D521*Предпосылки!$F43/Кварталов_в_году)*AS435</f>
        <v>0</v>
      </c>
      <c s="125">
        <f>-MIN(AT478+AT521,$D521*Предпосылки!$F43/Кварталов_в_году)*AT435</f>
        <v>0</v>
      </c>
      <c s="125">
        <f>-MIN(AU478+AU521,$D521*Предпосылки!$F43/Кварталов_в_году)*AU435</f>
        <v>0</v>
      </c>
      <c s="125">
        <f>-MIN(AV478+AV521,$D521*Предпосылки!$F43/Кварталов_в_году)*AV435</f>
        <v>0</v>
      </c>
      <c s="125">
        <f>-MIN(AW478+AW521,$D521*Предпосылки!$F43/Кварталов_в_году)*AW435</f>
        <v>0</v>
      </c>
      <c s="125">
        <f>-MIN(AX478+AX521,$D521*Предпосылки!$F43/Кварталов_в_году)*AX435</f>
        <v>0</v>
      </c>
      <c s="125">
        <f>-MIN(AY478+AY521,$D521*Предпосылки!$F43/Кварталов_в_году)*AY435</f>
        <v>0</v>
      </c>
      <c s="125">
        <f>-MIN(AZ478+AZ521,$D521*Предпосылки!$F43/Кварталов_в_году)*AZ435</f>
        <v>0</v>
      </c>
      <c s="125">
        <f>-MIN(BA478+BA521,$D521*Предпосылки!$F43/Кварталов_в_году)*BA435</f>
        <v>0</v>
      </c>
      <c s="125">
        <f>-MIN(BB478+BB521,$D521*Предпосылки!$F43/Кварталов_в_году)*BB435</f>
        <v>0</v>
      </c>
      <c s="125">
        <f>-MIN(BC478+BC521,$D521*Предпосылки!$F43/Кварталов_в_году)*BC435</f>
        <v>0</v>
      </c>
      <c s="125">
        <f>-MIN(BD478+BD521,$D521*Предпосылки!$F43/Кварталов_в_году)*BD435</f>
        <v>0</v>
      </c>
      <c s="125">
        <f>-MIN(BE478+BE521,$D521*Предпосылки!$F43/Кварталов_в_году)*BE435</f>
        <v>0</v>
      </c>
      <c s="125">
        <f>-MIN(BF478+BF521,$D521*Предпосылки!$F43/Кварталов_в_году)*BF435</f>
        <v>0</v>
      </c>
      <c s="125">
        <f>-MIN(BG478+BG521,$D521*Предпосылки!$F43/Кварталов_в_году)*BG435</f>
        <v>0</v>
      </c>
      <c s="125">
        <f>-MIN(BH478+BH521,$D521*Предпосылки!$F43/Кварталов_в_году)*BH435</f>
        <v>0</v>
      </c>
      <c s="125">
        <f>-MIN(BI478+BI521,$D521*Предпосылки!$F43/Кварталов_в_году)*BI435</f>
        <v>0</v>
      </c>
      <c s="125">
        <f>-MIN(BJ478+BJ521,$D521*Предпосылки!$F43/Кварталов_в_году)*BJ435</f>
        <v>0</v>
      </c>
      <c s="125">
        <f>-MIN(BK478+BK521,$D521*Предпосылки!$F43/Кварталов_в_году)*BK435</f>
        <v>0</v>
      </c>
      <c s="125">
        <f>-MIN(BL478+BL521,$D521*Предпосылки!$F43/Кварталов_в_году)*BL435</f>
        <v>0</v>
      </c>
      <c s="125">
        <f>-MIN(BM478+BM521,$D521*Предпосылки!$F43/Кварталов_в_году)*BM435</f>
        <v>0</v>
      </c>
    </row>
    <row r="565" spans="2:65" ht="15" customHeight="1">
      <c r="B565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-MIN(E479+E522,$D522*Предпосылки!$F44/Кварталов_в_году)*E436</f>
        <v>0</v>
      </c>
      <c s="125">
        <f>-MIN(F479+F522,$D522*Предпосылки!$F44/Кварталов_в_году)*F436</f>
        <v>0</v>
      </c>
      <c s="125">
        <f>-MIN(G479+G522,$D522*Предпосылки!$F44/Кварталов_в_году)*G436</f>
        <v>0</v>
      </c>
      <c s="125">
        <f>-MIN(H479+H522,$D522*Предпосылки!$F44/Кварталов_в_году)*H436</f>
        <v>0</v>
      </c>
      <c s="125">
        <f>-MIN(I479+I522,$D522*Предпосылки!$F44/Кварталов_в_году)*I436</f>
        <v>0</v>
      </c>
      <c s="125">
        <f>-MIN(J479+J522,$D522*Предпосылки!$F44/Кварталов_в_году)*J436</f>
        <v>0</v>
      </c>
      <c s="125">
        <f>-MIN(K479+K522,$D522*Предпосылки!$F44/Кварталов_в_году)*K436</f>
        <v>0</v>
      </c>
      <c s="125">
        <f>-MIN(L479+L522,$D522*Предпосылки!$F44/Кварталов_в_году)*L436</f>
        <v>0</v>
      </c>
      <c s="125">
        <f>-MIN(M479+M522,$D522*Предпосылки!$F44/Кварталов_в_году)*M436</f>
        <v>0</v>
      </c>
      <c s="125">
        <f>-MIN(N479+N522,$D522*Предпосылки!$F44/Кварталов_в_году)*N436</f>
        <v>0</v>
      </c>
      <c s="125">
        <f>-MIN(O479+O522,$D522*Предпосылки!$F44/Кварталов_в_году)*O436</f>
        <v>0</v>
      </c>
      <c s="125">
        <f>-MIN(P479+P522,$D522*Предпосылки!$F44/Кварталов_в_году)*P436</f>
        <v>0</v>
      </c>
      <c s="125">
        <f>-MIN(Q479+Q522,$D522*Предпосылки!$F44/Кварталов_в_году)*Q436</f>
        <v>0</v>
      </c>
      <c s="125">
        <f>-MIN(R479+R522,$D522*Предпосылки!$F44/Кварталов_в_году)*R436</f>
        <v>0</v>
      </c>
      <c s="125">
        <f>-MIN(S479+S522,$D522*Предпосылки!$F44/Кварталов_в_году)*S436</f>
        <v>0</v>
      </c>
      <c s="125">
        <f>-MIN(T479+T522,$D522*Предпосылки!$F44/Кварталов_в_году)*T436</f>
        <v>0</v>
      </c>
      <c s="125">
        <f>-MIN(U479+U522,$D522*Предпосылки!$F44/Кварталов_в_году)*U436</f>
        <v>0</v>
      </c>
      <c s="125">
        <f>-MIN(V479+V522,$D522*Предпосылки!$F44/Кварталов_в_году)*V436</f>
        <v>0</v>
      </c>
      <c s="125">
        <f>-MIN(W479+W522,$D522*Предпосылки!$F44/Кварталов_в_году)*W436</f>
        <v>0</v>
      </c>
      <c s="125">
        <f>-MIN(X479+X522,$D522*Предпосылки!$F44/Кварталов_в_году)*X436</f>
        <v>0</v>
      </c>
      <c s="125">
        <f>-MIN(Y479+Y522,$D522*Предпосылки!$F44/Кварталов_в_году)*Y436</f>
        <v>0</v>
      </c>
      <c s="125">
        <f>-MIN(Z479+Z522,$D522*Предпосылки!$F44/Кварталов_в_году)*Z436</f>
        <v>0</v>
      </c>
      <c s="125">
        <f>-MIN(AA479+AA522,$D522*Предпосылки!$F44/Кварталов_в_году)*AA436</f>
        <v>0</v>
      </c>
      <c s="125">
        <f>-MIN(AB479+AB522,$D522*Предпосылки!$F44/Кварталов_в_году)*AB436</f>
        <v>0</v>
      </c>
      <c s="125">
        <f>-MIN(AC479+AC522,$D522*Предпосылки!$F44/Кварталов_в_году)*AC436</f>
        <v>0</v>
      </c>
      <c s="125">
        <f>-MIN(AD479+AD522,$D522*Предпосылки!$F44/Кварталов_в_году)*AD436</f>
        <v>0</v>
      </c>
      <c s="125">
        <f>-MIN(AE479+AE522,$D522*Предпосылки!$F44/Кварталов_в_году)*AE436</f>
        <v>0</v>
      </c>
      <c s="125">
        <f>-MIN(AF479+AF522,$D522*Предпосылки!$F44/Кварталов_в_году)*AF436</f>
        <v>0</v>
      </c>
      <c s="125">
        <f>-MIN(AG479+AG522,$D522*Предпосылки!$F44/Кварталов_в_году)*AG436</f>
        <v>0</v>
      </c>
      <c s="125">
        <f>-MIN(AH479+AH522,$D522*Предпосылки!$F44/Кварталов_в_году)*AH436</f>
        <v>0</v>
      </c>
      <c s="125">
        <f>-MIN(AI479+AI522,$D522*Предпосылки!$F44/Кварталов_в_году)*AI436</f>
        <v>0</v>
      </c>
      <c s="125">
        <f>-MIN(AJ479+AJ522,$D522*Предпосылки!$F44/Кварталов_в_году)*AJ436</f>
        <v>0</v>
      </c>
      <c s="125">
        <f>-MIN(AK479+AK522,$D522*Предпосылки!$F44/Кварталов_в_году)*AK436</f>
        <v>0</v>
      </c>
      <c s="125">
        <f>-MIN(AL479+AL522,$D522*Предпосылки!$F44/Кварталов_в_году)*AL436</f>
        <v>0</v>
      </c>
      <c s="125">
        <f>-MIN(AM479+AM522,$D522*Предпосылки!$F44/Кварталов_в_году)*AM436</f>
        <v>0</v>
      </c>
      <c s="125">
        <f>-MIN(AN479+AN522,$D522*Предпосылки!$F44/Кварталов_в_году)*AN436</f>
        <v>0</v>
      </c>
      <c s="125">
        <f>-MIN(AO479+AO522,$D522*Предпосылки!$F44/Кварталов_в_году)*AO436</f>
        <v>0</v>
      </c>
      <c s="125">
        <f>-MIN(AP479+AP522,$D522*Предпосылки!$F44/Кварталов_в_году)*AP436</f>
        <v>0</v>
      </c>
      <c s="125">
        <f>-MIN(AQ479+AQ522,$D522*Предпосылки!$F44/Кварталов_в_году)*AQ436</f>
        <v>0</v>
      </c>
      <c s="125">
        <f>-MIN(AR479+AR522,$D522*Предпосылки!$F44/Кварталов_в_году)*AR436</f>
        <v>0</v>
      </c>
      <c s="125">
        <f>-MIN(AS479+AS522,$D522*Предпосылки!$F44/Кварталов_в_году)*AS436</f>
        <v>0</v>
      </c>
      <c s="125">
        <f>-MIN(AT479+AT522,$D522*Предпосылки!$F44/Кварталов_в_году)*AT436</f>
        <v>0</v>
      </c>
      <c s="125">
        <f>-MIN(AU479+AU522,$D522*Предпосылки!$F44/Кварталов_в_году)*AU436</f>
        <v>0</v>
      </c>
      <c s="125">
        <f>-MIN(AV479+AV522,$D522*Предпосылки!$F44/Кварталов_в_году)*AV436</f>
        <v>0</v>
      </c>
      <c s="125">
        <f>-MIN(AW479+AW522,$D522*Предпосылки!$F44/Кварталов_в_году)*AW436</f>
        <v>0</v>
      </c>
      <c s="125">
        <f>-MIN(AX479+AX522,$D522*Предпосылки!$F44/Кварталов_в_году)*AX436</f>
        <v>0</v>
      </c>
      <c s="125">
        <f>-MIN(AY479+AY522,$D522*Предпосылки!$F44/Кварталов_в_году)*AY436</f>
        <v>0</v>
      </c>
      <c s="125">
        <f>-MIN(AZ479+AZ522,$D522*Предпосылки!$F44/Кварталов_в_году)*AZ436</f>
        <v>0</v>
      </c>
      <c s="125">
        <f>-MIN(BA479+BA522,$D522*Предпосылки!$F44/Кварталов_в_году)*BA436</f>
        <v>0</v>
      </c>
      <c s="125">
        <f>-MIN(BB479+BB522,$D522*Предпосылки!$F44/Кварталов_в_году)*BB436</f>
        <v>0</v>
      </c>
      <c s="125">
        <f>-MIN(BC479+BC522,$D522*Предпосылки!$F44/Кварталов_в_году)*BC436</f>
        <v>0</v>
      </c>
      <c s="125">
        <f>-MIN(BD479+BD522,$D522*Предпосылки!$F44/Кварталов_в_году)*BD436</f>
        <v>0</v>
      </c>
      <c s="125">
        <f>-MIN(BE479+BE522,$D522*Предпосылки!$F44/Кварталов_в_году)*BE436</f>
        <v>0</v>
      </c>
      <c s="125">
        <f>-MIN(BF479+BF522,$D522*Предпосылки!$F44/Кварталов_в_году)*BF436</f>
        <v>0</v>
      </c>
      <c s="125">
        <f>-MIN(BG479+BG522,$D522*Предпосылки!$F44/Кварталов_в_году)*BG436</f>
        <v>0</v>
      </c>
      <c s="125">
        <f>-MIN(BH479+BH522,$D522*Предпосылки!$F44/Кварталов_в_году)*BH436</f>
        <v>0</v>
      </c>
      <c s="125">
        <f>-MIN(BI479+BI522,$D522*Предпосылки!$F44/Кварталов_в_году)*BI436</f>
        <v>0</v>
      </c>
      <c s="125">
        <f>-MIN(BJ479+BJ522,$D522*Предпосылки!$F44/Кварталов_в_году)*BJ436</f>
        <v>0</v>
      </c>
      <c s="125">
        <f>-MIN(BK479+BK522,$D522*Предпосылки!$F44/Кварталов_в_году)*BK436</f>
        <v>0</v>
      </c>
      <c s="125">
        <f>-MIN(BL479+BL522,$D522*Предпосылки!$F44/Кварталов_в_году)*BL436</f>
        <v>0</v>
      </c>
      <c s="125">
        <f>-MIN(BM479+BM522,$D522*Предпосылки!$F44/Кварталов_в_году)*BM436</f>
        <v>0</v>
      </c>
    </row>
    <row r="566" spans="2:65" ht="15" customHeight="1">
      <c r="B566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-MIN(E480+E523,$D523*Предпосылки!$F45/Кварталов_в_году)*E437</f>
        <v>0</v>
      </c>
      <c s="125">
        <f>-MIN(F480+F523,$D523*Предпосылки!$F45/Кварталов_в_году)*F437</f>
        <v>0</v>
      </c>
      <c s="125">
        <f>-MIN(G480+G523,$D523*Предпосылки!$F45/Кварталов_в_году)*G437</f>
        <v>0</v>
      </c>
      <c s="125">
        <f>-MIN(H480+H523,$D523*Предпосылки!$F45/Кварталов_в_году)*H437</f>
        <v>0</v>
      </c>
      <c s="125">
        <f>-MIN(I480+I523,$D523*Предпосылки!$F45/Кварталов_в_году)*I437</f>
        <v>0</v>
      </c>
      <c s="125">
        <f>-MIN(J480+J523,$D523*Предпосылки!$F45/Кварталов_в_году)*J437</f>
        <v>0</v>
      </c>
      <c s="125">
        <f>-MIN(K480+K523,$D523*Предпосылки!$F45/Кварталов_в_году)*K437</f>
        <v>0</v>
      </c>
      <c s="125">
        <f>-MIN(L480+L523,$D523*Предпосылки!$F45/Кварталов_в_году)*L437</f>
        <v>0</v>
      </c>
      <c s="125">
        <f>-MIN(M480+M523,$D523*Предпосылки!$F45/Кварталов_в_году)*M437</f>
        <v>0</v>
      </c>
      <c s="125">
        <f>-MIN(N480+N523,$D523*Предпосылки!$F45/Кварталов_в_году)*N437</f>
        <v>0</v>
      </c>
      <c s="125">
        <f>-MIN(O480+O523,$D523*Предпосылки!$F45/Кварталов_в_году)*O437</f>
        <v>0</v>
      </c>
      <c s="125">
        <f>-MIN(P480+P523,$D523*Предпосылки!$F45/Кварталов_в_году)*P437</f>
        <v>0</v>
      </c>
      <c s="125">
        <f>-MIN(Q480+Q523,$D523*Предпосылки!$F45/Кварталов_в_году)*Q437</f>
        <v>0</v>
      </c>
      <c s="125">
        <f>-MIN(R480+R523,$D523*Предпосылки!$F45/Кварталов_в_году)*R437</f>
        <v>0</v>
      </c>
      <c s="125">
        <f>-MIN(S480+S523,$D523*Предпосылки!$F45/Кварталов_в_году)*S437</f>
        <v>0</v>
      </c>
      <c s="125">
        <f>-MIN(T480+T523,$D523*Предпосылки!$F45/Кварталов_в_году)*T437</f>
        <v>0</v>
      </c>
      <c s="125">
        <f>-MIN(U480+U523,$D523*Предпосылки!$F45/Кварталов_в_году)*U437</f>
        <v>0</v>
      </c>
      <c s="125">
        <f>-MIN(V480+V523,$D523*Предпосылки!$F45/Кварталов_в_году)*V437</f>
        <v>0</v>
      </c>
      <c s="125">
        <f>-MIN(W480+W523,$D523*Предпосылки!$F45/Кварталов_в_году)*W437</f>
        <v>0</v>
      </c>
      <c s="125">
        <f>-MIN(X480+X523,$D523*Предпосылки!$F45/Кварталов_в_году)*X437</f>
        <v>0</v>
      </c>
      <c s="125">
        <f>-MIN(Y480+Y523,$D523*Предпосылки!$F45/Кварталов_в_году)*Y437</f>
        <v>0</v>
      </c>
      <c s="125">
        <f>-MIN(Z480+Z523,$D523*Предпосылки!$F45/Кварталов_в_году)*Z437</f>
        <v>0</v>
      </c>
      <c s="125">
        <f>-MIN(AA480+AA523,$D523*Предпосылки!$F45/Кварталов_в_году)*AA437</f>
        <v>0</v>
      </c>
      <c s="125">
        <f>-MIN(AB480+AB523,$D523*Предпосылки!$F45/Кварталов_в_году)*AB437</f>
        <v>0</v>
      </c>
      <c s="125">
        <f>-MIN(AC480+AC523,$D523*Предпосылки!$F45/Кварталов_в_году)*AC437</f>
        <v>0</v>
      </c>
      <c s="125">
        <f>-MIN(AD480+AD523,$D523*Предпосылки!$F45/Кварталов_в_году)*AD437</f>
        <v>0</v>
      </c>
      <c s="125">
        <f>-MIN(AE480+AE523,$D523*Предпосылки!$F45/Кварталов_в_году)*AE437</f>
        <v>0</v>
      </c>
      <c s="125">
        <f>-MIN(AF480+AF523,$D523*Предпосылки!$F45/Кварталов_в_году)*AF437</f>
        <v>0</v>
      </c>
      <c s="125">
        <f>-MIN(AG480+AG523,$D523*Предпосылки!$F45/Кварталов_в_году)*AG437</f>
        <v>0</v>
      </c>
      <c s="125">
        <f>-MIN(AH480+AH523,$D523*Предпосылки!$F45/Кварталов_в_году)*AH437</f>
        <v>0</v>
      </c>
      <c s="125">
        <f>-MIN(AI480+AI523,$D523*Предпосылки!$F45/Кварталов_в_году)*AI437</f>
        <v>0</v>
      </c>
      <c s="125">
        <f>-MIN(AJ480+AJ523,$D523*Предпосылки!$F45/Кварталов_в_году)*AJ437</f>
        <v>0</v>
      </c>
      <c s="125">
        <f>-MIN(AK480+AK523,$D523*Предпосылки!$F45/Кварталов_в_году)*AK437</f>
        <v>0</v>
      </c>
      <c s="125">
        <f>-MIN(AL480+AL523,$D523*Предпосылки!$F45/Кварталов_в_году)*AL437</f>
        <v>0</v>
      </c>
      <c s="125">
        <f>-MIN(AM480+AM523,$D523*Предпосылки!$F45/Кварталов_в_году)*AM437</f>
        <v>0</v>
      </c>
      <c s="125">
        <f>-MIN(AN480+AN523,$D523*Предпосылки!$F45/Кварталов_в_году)*AN437</f>
        <v>0</v>
      </c>
      <c s="125">
        <f>-MIN(AO480+AO523,$D523*Предпосылки!$F45/Кварталов_в_году)*AO437</f>
        <v>0</v>
      </c>
      <c s="125">
        <f>-MIN(AP480+AP523,$D523*Предпосылки!$F45/Кварталов_в_году)*AP437</f>
        <v>0</v>
      </c>
      <c s="125">
        <f>-MIN(AQ480+AQ523,$D523*Предпосылки!$F45/Кварталов_в_году)*AQ437</f>
        <v>0</v>
      </c>
      <c s="125">
        <f>-MIN(AR480+AR523,$D523*Предпосылки!$F45/Кварталов_в_году)*AR437</f>
        <v>0</v>
      </c>
      <c s="125">
        <f>-MIN(AS480+AS523,$D523*Предпосылки!$F45/Кварталов_в_году)*AS437</f>
        <v>0</v>
      </c>
      <c s="125">
        <f>-MIN(AT480+AT523,$D523*Предпосылки!$F45/Кварталов_в_году)*AT437</f>
        <v>0</v>
      </c>
      <c s="125">
        <f>-MIN(AU480+AU523,$D523*Предпосылки!$F45/Кварталов_в_году)*AU437</f>
        <v>0</v>
      </c>
      <c s="125">
        <f>-MIN(AV480+AV523,$D523*Предпосылки!$F45/Кварталов_в_году)*AV437</f>
        <v>0</v>
      </c>
      <c s="125">
        <f>-MIN(AW480+AW523,$D523*Предпосылки!$F45/Кварталов_в_году)*AW437</f>
        <v>0</v>
      </c>
      <c s="125">
        <f>-MIN(AX480+AX523,$D523*Предпосылки!$F45/Кварталов_в_году)*AX437</f>
        <v>0</v>
      </c>
      <c s="125">
        <f>-MIN(AY480+AY523,$D523*Предпосылки!$F45/Кварталов_в_году)*AY437</f>
        <v>0</v>
      </c>
      <c s="125">
        <f>-MIN(AZ480+AZ523,$D523*Предпосылки!$F45/Кварталов_в_году)*AZ437</f>
        <v>0</v>
      </c>
      <c s="125">
        <f>-MIN(BA480+BA523,$D523*Предпосылки!$F45/Кварталов_в_году)*BA437</f>
        <v>0</v>
      </c>
      <c s="125">
        <f>-MIN(BB480+BB523,$D523*Предпосылки!$F45/Кварталов_в_году)*BB437</f>
        <v>0</v>
      </c>
      <c s="125">
        <f>-MIN(BC480+BC523,$D523*Предпосылки!$F45/Кварталов_в_году)*BC437</f>
        <v>0</v>
      </c>
      <c s="125">
        <f>-MIN(BD480+BD523,$D523*Предпосылки!$F45/Кварталов_в_году)*BD437</f>
        <v>0</v>
      </c>
      <c s="125">
        <f>-MIN(BE480+BE523,$D523*Предпосылки!$F45/Кварталов_в_году)*BE437</f>
        <v>0</v>
      </c>
      <c s="125">
        <f>-MIN(BF480+BF523,$D523*Предпосылки!$F45/Кварталов_в_году)*BF437</f>
        <v>0</v>
      </c>
      <c s="125">
        <f>-MIN(BG480+BG523,$D523*Предпосылки!$F45/Кварталов_в_году)*BG437</f>
        <v>0</v>
      </c>
      <c s="125">
        <f>-MIN(BH480+BH523,$D523*Предпосылки!$F45/Кварталов_в_году)*BH437</f>
        <v>0</v>
      </c>
      <c s="125">
        <f>-MIN(BI480+BI523,$D523*Предпосылки!$F45/Кварталов_в_году)*BI437</f>
        <v>0</v>
      </c>
      <c s="125">
        <f>-MIN(BJ480+BJ523,$D523*Предпосылки!$F45/Кварталов_в_году)*BJ437</f>
        <v>0</v>
      </c>
      <c s="125">
        <f>-MIN(BK480+BK523,$D523*Предпосылки!$F45/Кварталов_в_году)*BK437</f>
        <v>0</v>
      </c>
      <c s="125">
        <f>-MIN(BL480+BL523,$D523*Предпосылки!$F45/Кварталов_в_году)*BL437</f>
        <v>0</v>
      </c>
      <c s="125">
        <f>-MIN(BM480+BM523,$D523*Предпосылки!$F45/Кварталов_в_году)*BM437</f>
        <v>0</v>
      </c>
    </row>
    <row r="567" spans="2:65" ht="15" customHeight="1">
      <c r="B567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-MIN(E481+E524,$D524*Предпосылки!$F46/Кварталов_в_году)*E438</f>
        <v>0</v>
      </c>
      <c s="125">
        <f>-MIN(F481+F524,$D524*Предпосылки!$F46/Кварталов_в_году)*F438</f>
        <v>0</v>
      </c>
      <c s="125">
        <f>-MIN(G481+G524,$D524*Предпосылки!$F46/Кварталов_в_году)*G438</f>
        <v>0</v>
      </c>
      <c s="125">
        <f>-MIN(H481+H524,$D524*Предпосылки!$F46/Кварталов_в_году)*H438</f>
        <v>0</v>
      </c>
      <c s="125">
        <f>-MIN(I481+I524,$D524*Предпосылки!$F46/Кварталов_в_году)*I438</f>
        <v>0</v>
      </c>
      <c s="125">
        <f>-MIN(J481+J524,$D524*Предпосылки!$F46/Кварталов_в_году)*J438</f>
        <v>0</v>
      </c>
      <c s="125">
        <f>-MIN(K481+K524,$D524*Предпосылки!$F46/Кварталов_в_году)*K438</f>
        <v>0</v>
      </c>
      <c s="125">
        <f>-MIN(L481+L524,$D524*Предпосылки!$F46/Кварталов_в_году)*L438</f>
        <v>0</v>
      </c>
      <c s="125">
        <f>-MIN(M481+M524,$D524*Предпосылки!$F46/Кварталов_в_году)*M438</f>
        <v>0</v>
      </c>
      <c s="125">
        <f>-MIN(N481+N524,$D524*Предпосылки!$F46/Кварталов_в_году)*N438</f>
        <v>0</v>
      </c>
      <c s="125">
        <f>-MIN(O481+O524,$D524*Предпосылки!$F46/Кварталов_в_году)*O438</f>
        <v>0</v>
      </c>
      <c s="125">
        <f>-MIN(P481+P524,$D524*Предпосылки!$F46/Кварталов_в_году)*P438</f>
        <v>0</v>
      </c>
      <c s="125">
        <f>-MIN(Q481+Q524,$D524*Предпосылки!$F46/Кварталов_в_году)*Q438</f>
        <v>0</v>
      </c>
      <c s="125">
        <f>-MIN(R481+R524,$D524*Предпосылки!$F46/Кварталов_в_году)*R438</f>
        <v>0</v>
      </c>
      <c s="125">
        <f>-MIN(S481+S524,$D524*Предпосылки!$F46/Кварталов_в_году)*S438</f>
        <v>0</v>
      </c>
      <c s="125">
        <f>-MIN(T481+T524,$D524*Предпосылки!$F46/Кварталов_в_году)*T438</f>
        <v>0</v>
      </c>
      <c s="125">
        <f>-MIN(U481+U524,$D524*Предпосылки!$F46/Кварталов_в_году)*U438</f>
        <v>0</v>
      </c>
      <c s="125">
        <f>-MIN(V481+V524,$D524*Предпосылки!$F46/Кварталов_в_году)*V438</f>
        <v>0</v>
      </c>
      <c s="125">
        <f>-MIN(W481+W524,$D524*Предпосылки!$F46/Кварталов_в_году)*W438</f>
        <v>0</v>
      </c>
      <c s="125">
        <f>-MIN(X481+X524,$D524*Предпосылки!$F46/Кварталов_в_году)*X438</f>
        <v>0</v>
      </c>
      <c s="125">
        <f>-MIN(Y481+Y524,$D524*Предпосылки!$F46/Кварталов_в_году)*Y438</f>
        <v>0</v>
      </c>
      <c s="125">
        <f>-MIN(Z481+Z524,$D524*Предпосылки!$F46/Кварталов_в_году)*Z438</f>
        <v>0</v>
      </c>
      <c s="125">
        <f>-MIN(AA481+AA524,$D524*Предпосылки!$F46/Кварталов_в_году)*AA438</f>
        <v>0</v>
      </c>
      <c s="125">
        <f>-MIN(AB481+AB524,$D524*Предпосылки!$F46/Кварталов_в_году)*AB438</f>
        <v>0</v>
      </c>
      <c s="125">
        <f>-MIN(AC481+AC524,$D524*Предпосылки!$F46/Кварталов_в_году)*AC438</f>
        <v>0</v>
      </c>
      <c s="125">
        <f>-MIN(AD481+AD524,$D524*Предпосылки!$F46/Кварталов_в_году)*AD438</f>
        <v>0</v>
      </c>
      <c s="125">
        <f>-MIN(AE481+AE524,$D524*Предпосылки!$F46/Кварталов_в_году)*AE438</f>
        <v>0</v>
      </c>
      <c s="125">
        <f>-MIN(AF481+AF524,$D524*Предпосылки!$F46/Кварталов_в_году)*AF438</f>
        <v>0</v>
      </c>
      <c s="125">
        <f>-MIN(AG481+AG524,$D524*Предпосылки!$F46/Кварталов_в_году)*AG438</f>
        <v>0</v>
      </c>
      <c s="125">
        <f>-MIN(AH481+AH524,$D524*Предпосылки!$F46/Кварталов_в_году)*AH438</f>
        <v>0</v>
      </c>
      <c s="125">
        <f>-MIN(AI481+AI524,$D524*Предпосылки!$F46/Кварталов_в_году)*AI438</f>
        <v>0</v>
      </c>
      <c s="125">
        <f>-MIN(AJ481+AJ524,$D524*Предпосылки!$F46/Кварталов_в_году)*AJ438</f>
        <v>0</v>
      </c>
      <c s="125">
        <f>-MIN(AK481+AK524,$D524*Предпосылки!$F46/Кварталов_в_году)*AK438</f>
        <v>0</v>
      </c>
      <c s="125">
        <f>-MIN(AL481+AL524,$D524*Предпосылки!$F46/Кварталов_в_году)*AL438</f>
        <v>0</v>
      </c>
      <c s="125">
        <f>-MIN(AM481+AM524,$D524*Предпосылки!$F46/Кварталов_в_году)*AM438</f>
        <v>0</v>
      </c>
      <c s="125">
        <f>-MIN(AN481+AN524,$D524*Предпосылки!$F46/Кварталов_в_году)*AN438</f>
        <v>0</v>
      </c>
      <c s="125">
        <f>-MIN(AO481+AO524,$D524*Предпосылки!$F46/Кварталов_в_году)*AO438</f>
        <v>0</v>
      </c>
      <c s="125">
        <f>-MIN(AP481+AP524,$D524*Предпосылки!$F46/Кварталов_в_году)*AP438</f>
        <v>0</v>
      </c>
      <c s="125">
        <f>-MIN(AQ481+AQ524,$D524*Предпосылки!$F46/Кварталов_в_году)*AQ438</f>
        <v>0</v>
      </c>
      <c s="125">
        <f>-MIN(AR481+AR524,$D524*Предпосылки!$F46/Кварталов_в_году)*AR438</f>
        <v>0</v>
      </c>
      <c s="125">
        <f>-MIN(AS481+AS524,$D524*Предпосылки!$F46/Кварталов_в_году)*AS438</f>
        <v>0</v>
      </c>
      <c s="125">
        <f>-MIN(AT481+AT524,$D524*Предпосылки!$F46/Кварталов_в_году)*AT438</f>
        <v>0</v>
      </c>
      <c s="125">
        <f>-MIN(AU481+AU524,$D524*Предпосылки!$F46/Кварталов_в_году)*AU438</f>
        <v>0</v>
      </c>
      <c s="125">
        <f>-MIN(AV481+AV524,$D524*Предпосылки!$F46/Кварталов_в_году)*AV438</f>
        <v>0</v>
      </c>
      <c s="125">
        <f>-MIN(AW481+AW524,$D524*Предпосылки!$F46/Кварталов_в_году)*AW438</f>
        <v>0</v>
      </c>
      <c s="125">
        <f>-MIN(AX481+AX524,$D524*Предпосылки!$F46/Кварталов_в_году)*AX438</f>
        <v>0</v>
      </c>
      <c s="125">
        <f>-MIN(AY481+AY524,$D524*Предпосылки!$F46/Кварталов_в_году)*AY438</f>
        <v>0</v>
      </c>
      <c s="125">
        <f>-MIN(AZ481+AZ524,$D524*Предпосылки!$F46/Кварталов_в_году)*AZ438</f>
        <v>0</v>
      </c>
      <c s="125">
        <f>-MIN(BA481+BA524,$D524*Предпосылки!$F46/Кварталов_в_году)*BA438</f>
        <v>0</v>
      </c>
      <c s="125">
        <f>-MIN(BB481+BB524,$D524*Предпосылки!$F46/Кварталов_в_году)*BB438</f>
        <v>0</v>
      </c>
      <c s="125">
        <f>-MIN(BC481+BC524,$D524*Предпосылки!$F46/Кварталов_в_году)*BC438</f>
        <v>0</v>
      </c>
      <c s="125">
        <f>-MIN(BD481+BD524,$D524*Предпосылки!$F46/Кварталов_в_году)*BD438</f>
        <v>0</v>
      </c>
      <c s="125">
        <f>-MIN(BE481+BE524,$D524*Предпосылки!$F46/Кварталов_в_году)*BE438</f>
        <v>0</v>
      </c>
      <c s="125">
        <f>-MIN(BF481+BF524,$D524*Предпосылки!$F46/Кварталов_в_году)*BF438</f>
        <v>0</v>
      </c>
      <c s="125">
        <f>-MIN(BG481+BG524,$D524*Предпосылки!$F46/Кварталов_в_году)*BG438</f>
        <v>0</v>
      </c>
      <c s="125">
        <f>-MIN(BH481+BH524,$D524*Предпосылки!$F46/Кварталов_в_году)*BH438</f>
        <v>0</v>
      </c>
      <c s="125">
        <f>-MIN(BI481+BI524,$D524*Предпосылки!$F46/Кварталов_в_году)*BI438</f>
        <v>0</v>
      </c>
      <c s="125">
        <f>-MIN(BJ481+BJ524,$D524*Предпосылки!$F46/Кварталов_в_году)*BJ438</f>
        <v>0</v>
      </c>
      <c s="125">
        <f>-MIN(BK481+BK524,$D524*Предпосылки!$F46/Кварталов_в_году)*BK438</f>
        <v>0</v>
      </c>
      <c s="125">
        <f>-MIN(BL481+BL524,$D524*Предпосылки!$F46/Кварталов_в_году)*BL438</f>
        <v>0</v>
      </c>
      <c s="125">
        <f>-MIN(BM481+BM524,$D524*Предпосылки!$F46/Кварталов_в_году)*BM438</f>
        <v>0</v>
      </c>
    </row>
    <row r="568" spans="2:65" ht="15" customHeight="1">
      <c r="B568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-MIN(E482+E525,$D525*Предпосылки!$F47/Кварталов_в_году)*E439</f>
        <v>0</v>
      </c>
      <c s="125">
        <f>-MIN(F482+F525,$D525*Предпосылки!$F47/Кварталов_в_году)*F439</f>
        <v>0</v>
      </c>
      <c s="125">
        <f>-MIN(G482+G525,$D525*Предпосылки!$F47/Кварталов_в_году)*G439</f>
        <v>0</v>
      </c>
      <c s="125">
        <f>-MIN(H482+H525,$D525*Предпосылки!$F47/Кварталов_в_году)*H439</f>
        <v>0</v>
      </c>
      <c s="125">
        <f>-MIN(I482+I525,$D525*Предпосылки!$F47/Кварталов_в_году)*I439</f>
        <v>0</v>
      </c>
      <c s="125">
        <f>-MIN(J482+J525,$D525*Предпосылки!$F47/Кварталов_в_году)*J439</f>
        <v>0</v>
      </c>
      <c s="125">
        <f>-MIN(K482+K525,$D525*Предпосылки!$F47/Кварталов_в_году)*K439</f>
        <v>0</v>
      </c>
      <c s="125">
        <f>-MIN(L482+L525,$D525*Предпосылки!$F47/Кварталов_в_году)*L439</f>
        <v>0</v>
      </c>
      <c s="125">
        <f>-MIN(M482+M525,$D525*Предпосылки!$F47/Кварталов_в_году)*M439</f>
        <v>0</v>
      </c>
      <c s="125">
        <f>-MIN(N482+N525,$D525*Предпосылки!$F47/Кварталов_в_году)*N439</f>
        <v>0</v>
      </c>
      <c s="125">
        <f>-MIN(O482+O525,$D525*Предпосылки!$F47/Кварталов_в_году)*O439</f>
        <v>0</v>
      </c>
      <c s="125">
        <f>-MIN(P482+P525,$D525*Предпосылки!$F47/Кварталов_в_году)*P439</f>
        <v>0</v>
      </c>
      <c s="125">
        <f>-MIN(Q482+Q525,$D525*Предпосылки!$F47/Кварталов_в_году)*Q439</f>
        <v>0</v>
      </c>
      <c s="125">
        <f>-MIN(R482+R525,$D525*Предпосылки!$F47/Кварталов_в_году)*R439</f>
        <v>0</v>
      </c>
      <c s="125">
        <f>-MIN(S482+S525,$D525*Предпосылки!$F47/Кварталов_в_году)*S439</f>
        <v>0</v>
      </c>
      <c s="125">
        <f>-MIN(T482+T525,$D525*Предпосылки!$F47/Кварталов_в_году)*T439</f>
        <v>0</v>
      </c>
      <c s="125">
        <f>-MIN(U482+U525,$D525*Предпосылки!$F47/Кварталов_в_году)*U439</f>
        <v>0</v>
      </c>
      <c s="125">
        <f>-MIN(V482+V525,$D525*Предпосылки!$F47/Кварталов_в_году)*V439</f>
        <v>0</v>
      </c>
      <c s="125">
        <f>-MIN(W482+W525,$D525*Предпосылки!$F47/Кварталов_в_году)*W439</f>
        <v>0</v>
      </c>
      <c s="125">
        <f>-MIN(X482+X525,$D525*Предпосылки!$F47/Кварталов_в_году)*X439</f>
        <v>0</v>
      </c>
      <c s="125">
        <f>-MIN(Y482+Y525,$D525*Предпосылки!$F47/Кварталов_в_году)*Y439</f>
        <v>0</v>
      </c>
      <c s="125">
        <f>-MIN(Z482+Z525,$D525*Предпосылки!$F47/Кварталов_в_году)*Z439</f>
        <v>0</v>
      </c>
      <c s="125">
        <f>-MIN(AA482+AA525,$D525*Предпосылки!$F47/Кварталов_в_году)*AA439</f>
        <v>0</v>
      </c>
      <c s="125">
        <f>-MIN(AB482+AB525,$D525*Предпосылки!$F47/Кварталов_в_году)*AB439</f>
        <v>0</v>
      </c>
      <c s="125">
        <f>-MIN(AC482+AC525,$D525*Предпосылки!$F47/Кварталов_в_году)*AC439</f>
        <v>0</v>
      </c>
      <c s="125">
        <f>-MIN(AD482+AD525,$D525*Предпосылки!$F47/Кварталов_в_году)*AD439</f>
        <v>0</v>
      </c>
      <c s="125">
        <f>-MIN(AE482+AE525,$D525*Предпосылки!$F47/Кварталов_в_году)*AE439</f>
        <v>0</v>
      </c>
      <c s="125">
        <f>-MIN(AF482+AF525,$D525*Предпосылки!$F47/Кварталов_в_году)*AF439</f>
        <v>0</v>
      </c>
      <c s="125">
        <f>-MIN(AG482+AG525,$D525*Предпосылки!$F47/Кварталов_в_году)*AG439</f>
        <v>0</v>
      </c>
      <c s="125">
        <f>-MIN(AH482+AH525,$D525*Предпосылки!$F47/Кварталов_в_году)*AH439</f>
        <v>0</v>
      </c>
      <c s="125">
        <f>-MIN(AI482+AI525,$D525*Предпосылки!$F47/Кварталов_в_году)*AI439</f>
        <v>0</v>
      </c>
      <c s="125">
        <f>-MIN(AJ482+AJ525,$D525*Предпосылки!$F47/Кварталов_в_году)*AJ439</f>
        <v>0</v>
      </c>
      <c s="125">
        <f>-MIN(AK482+AK525,$D525*Предпосылки!$F47/Кварталов_в_году)*AK439</f>
        <v>0</v>
      </c>
      <c s="125">
        <f>-MIN(AL482+AL525,$D525*Предпосылки!$F47/Кварталов_в_году)*AL439</f>
        <v>0</v>
      </c>
      <c s="125">
        <f>-MIN(AM482+AM525,$D525*Предпосылки!$F47/Кварталов_в_году)*AM439</f>
        <v>0</v>
      </c>
      <c s="125">
        <f>-MIN(AN482+AN525,$D525*Предпосылки!$F47/Кварталов_в_году)*AN439</f>
        <v>0</v>
      </c>
      <c s="125">
        <f>-MIN(AO482+AO525,$D525*Предпосылки!$F47/Кварталов_в_году)*AO439</f>
        <v>0</v>
      </c>
      <c s="125">
        <f>-MIN(AP482+AP525,$D525*Предпосылки!$F47/Кварталов_в_году)*AP439</f>
        <v>0</v>
      </c>
      <c s="125">
        <f>-MIN(AQ482+AQ525,$D525*Предпосылки!$F47/Кварталов_в_году)*AQ439</f>
        <v>0</v>
      </c>
      <c s="125">
        <f>-MIN(AR482+AR525,$D525*Предпосылки!$F47/Кварталов_в_году)*AR439</f>
        <v>0</v>
      </c>
      <c s="125">
        <f>-MIN(AS482+AS525,$D525*Предпосылки!$F47/Кварталов_в_году)*AS439</f>
        <v>0</v>
      </c>
      <c s="125">
        <f>-MIN(AT482+AT525,$D525*Предпосылки!$F47/Кварталов_в_году)*AT439</f>
        <v>0</v>
      </c>
      <c s="125">
        <f>-MIN(AU482+AU525,$D525*Предпосылки!$F47/Кварталов_в_году)*AU439</f>
        <v>0</v>
      </c>
      <c s="125">
        <f>-MIN(AV482+AV525,$D525*Предпосылки!$F47/Кварталов_в_году)*AV439</f>
        <v>0</v>
      </c>
      <c s="125">
        <f>-MIN(AW482+AW525,$D525*Предпосылки!$F47/Кварталов_в_году)*AW439</f>
        <v>0</v>
      </c>
      <c s="125">
        <f>-MIN(AX482+AX525,$D525*Предпосылки!$F47/Кварталов_в_году)*AX439</f>
        <v>0</v>
      </c>
      <c s="125">
        <f>-MIN(AY482+AY525,$D525*Предпосылки!$F47/Кварталов_в_году)*AY439</f>
        <v>0</v>
      </c>
      <c s="125">
        <f>-MIN(AZ482+AZ525,$D525*Предпосылки!$F47/Кварталов_в_году)*AZ439</f>
        <v>0</v>
      </c>
      <c s="125">
        <f>-MIN(BA482+BA525,$D525*Предпосылки!$F47/Кварталов_в_году)*BA439</f>
        <v>0</v>
      </c>
      <c s="125">
        <f>-MIN(BB482+BB525,$D525*Предпосылки!$F47/Кварталов_в_году)*BB439</f>
        <v>0</v>
      </c>
      <c s="125">
        <f>-MIN(BC482+BC525,$D525*Предпосылки!$F47/Кварталов_в_году)*BC439</f>
        <v>0</v>
      </c>
      <c s="125">
        <f>-MIN(BD482+BD525,$D525*Предпосылки!$F47/Кварталов_в_году)*BD439</f>
        <v>0</v>
      </c>
      <c s="125">
        <f>-MIN(BE482+BE525,$D525*Предпосылки!$F47/Кварталов_в_году)*BE439</f>
        <v>0</v>
      </c>
      <c s="125">
        <f>-MIN(BF482+BF525,$D525*Предпосылки!$F47/Кварталов_в_году)*BF439</f>
        <v>0</v>
      </c>
      <c s="125">
        <f>-MIN(BG482+BG525,$D525*Предпосылки!$F47/Кварталов_в_году)*BG439</f>
        <v>0</v>
      </c>
      <c s="125">
        <f>-MIN(BH482+BH525,$D525*Предпосылки!$F47/Кварталов_в_году)*BH439</f>
        <v>0</v>
      </c>
      <c s="125">
        <f>-MIN(BI482+BI525,$D525*Предпосылки!$F47/Кварталов_в_году)*BI439</f>
        <v>0</v>
      </c>
      <c s="125">
        <f>-MIN(BJ482+BJ525,$D525*Предпосылки!$F47/Кварталов_в_году)*BJ439</f>
        <v>0</v>
      </c>
      <c s="125">
        <f>-MIN(BK482+BK525,$D525*Предпосылки!$F47/Кварталов_в_году)*BK439</f>
        <v>0</v>
      </c>
      <c s="125">
        <f>-MIN(BL482+BL525,$D525*Предпосылки!$F47/Кварталов_в_году)*BL439</f>
        <v>0</v>
      </c>
      <c s="125">
        <f>-MIN(BM482+BM525,$D525*Предпосылки!$F47/Кварталов_в_году)*BM439</f>
        <v>0</v>
      </c>
    </row>
    <row r="569" spans="2:65" ht="15" customHeight="1">
      <c r="B569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-MIN(E483+E526,$D526*Предпосылки!$F48/Кварталов_в_году)*E440</f>
        <v>0</v>
      </c>
      <c s="125">
        <f>-MIN(F483+F526,$D526*Предпосылки!$F48/Кварталов_в_году)*F440</f>
        <v>0</v>
      </c>
      <c s="125">
        <f>-MIN(G483+G526,$D526*Предпосылки!$F48/Кварталов_в_году)*G440</f>
        <v>0</v>
      </c>
      <c s="125">
        <f>-MIN(H483+H526,$D526*Предпосылки!$F48/Кварталов_в_году)*H440</f>
        <v>0</v>
      </c>
      <c s="125">
        <f>-MIN(I483+I526,$D526*Предпосылки!$F48/Кварталов_в_году)*I440</f>
        <v>0</v>
      </c>
      <c s="125">
        <f>-MIN(J483+J526,$D526*Предпосылки!$F48/Кварталов_в_году)*J440</f>
        <v>0</v>
      </c>
      <c s="125">
        <f>-MIN(K483+K526,$D526*Предпосылки!$F48/Кварталов_в_году)*K440</f>
        <v>0</v>
      </c>
      <c s="125">
        <f>-MIN(L483+L526,$D526*Предпосылки!$F48/Кварталов_в_году)*L440</f>
        <v>0</v>
      </c>
      <c s="125">
        <f>-MIN(M483+M526,$D526*Предпосылки!$F48/Кварталов_в_году)*M440</f>
        <v>0</v>
      </c>
      <c s="125">
        <f>-MIN(N483+N526,$D526*Предпосылки!$F48/Кварталов_в_году)*N440</f>
        <v>0</v>
      </c>
      <c s="125">
        <f>-MIN(O483+O526,$D526*Предпосылки!$F48/Кварталов_в_году)*O440</f>
        <v>0</v>
      </c>
      <c s="125">
        <f>-MIN(P483+P526,$D526*Предпосылки!$F48/Кварталов_в_году)*P440</f>
        <v>0</v>
      </c>
      <c s="125">
        <f>-MIN(Q483+Q526,$D526*Предпосылки!$F48/Кварталов_в_году)*Q440</f>
        <v>0</v>
      </c>
      <c s="125">
        <f>-MIN(R483+R526,$D526*Предпосылки!$F48/Кварталов_в_году)*R440</f>
        <v>0</v>
      </c>
      <c s="125">
        <f>-MIN(S483+S526,$D526*Предпосылки!$F48/Кварталов_в_году)*S440</f>
        <v>0</v>
      </c>
      <c s="125">
        <f>-MIN(T483+T526,$D526*Предпосылки!$F48/Кварталов_в_году)*T440</f>
        <v>0</v>
      </c>
      <c s="125">
        <f>-MIN(U483+U526,$D526*Предпосылки!$F48/Кварталов_в_году)*U440</f>
        <v>0</v>
      </c>
      <c s="125">
        <f>-MIN(V483+V526,$D526*Предпосылки!$F48/Кварталов_в_году)*V440</f>
        <v>0</v>
      </c>
      <c s="125">
        <f>-MIN(W483+W526,$D526*Предпосылки!$F48/Кварталов_в_году)*W440</f>
        <v>0</v>
      </c>
      <c s="125">
        <f>-MIN(X483+X526,$D526*Предпосылки!$F48/Кварталов_в_году)*X440</f>
        <v>0</v>
      </c>
      <c s="125">
        <f>-MIN(Y483+Y526,$D526*Предпосылки!$F48/Кварталов_в_году)*Y440</f>
        <v>0</v>
      </c>
      <c s="125">
        <f>-MIN(Z483+Z526,$D526*Предпосылки!$F48/Кварталов_в_году)*Z440</f>
        <v>0</v>
      </c>
      <c s="125">
        <f>-MIN(AA483+AA526,$D526*Предпосылки!$F48/Кварталов_в_году)*AA440</f>
        <v>0</v>
      </c>
      <c s="125">
        <f>-MIN(AB483+AB526,$D526*Предпосылки!$F48/Кварталов_в_году)*AB440</f>
        <v>0</v>
      </c>
      <c s="125">
        <f>-MIN(AC483+AC526,$D526*Предпосылки!$F48/Кварталов_в_году)*AC440</f>
        <v>0</v>
      </c>
      <c s="125">
        <f>-MIN(AD483+AD526,$D526*Предпосылки!$F48/Кварталов_в_году)*AD440</f>
        <v>0</v>
      </c>
      <c s="125">
        <f>-MIN(AE483+AE526,$D526*Предпосылки!$F48/Кварталов_в_году)*AE440</f>
        <v>0</v>
      </c>
      <c s="125">
        <f>-MIN(AF483+AF526,$D526*Предпосылки!$F48/Кварталов_в_году)*AF440</f>
        <v>0</v>
      </c>
      <c s="125">
        <f>-MIN(AG483+AG526,$D526*Предпосылки!$F48/Кварталов_в_году)*AG440</f>
        <v>0</v>
      </c>
      <c s="125">
        <f>-MIN(AH483+AH526,$D526*Предпосылки!$F48/Кварталов_в_году)*AH440</f>
        <v>0</v>
      </c>
      <c s="125">
        <f>-MIN(AI483+AI526,$D526*Предпосылки!$F48/Кварталов_в_году)*AI440</f>
        <v>0</v>
      </c>
      <c s="125">
        <f>-MIN(AJ483+AJ526,$D526*Предпосылки!$F48/Кварталов_в_году)*AJ440</f>
        <v>0</v>
      </c>
      <c s="125">
        <f>-MIN(AK483+AK526,$D526*Предпосылки!$F48/Кварталов_в_году)*AK440</f>
        <v>0</v>
      </c>
      <c s="125">
        <f>-MIN(AL483+AL526,$D526*Предпосылки!$F48/Кварталов_в_году)*AL440</f>
        <v>0</v>
      </c>
      <c s="125">
        <f>-MIN(AM483+AM526,$D526*Предпосылки!$F48/Кварталов_в_году)*AM440</f>
        <v>0</v>
      </c>
      <c s="125">
        <f>-MIN(AN483+AN526,$D526*Предпосылки!$F48/Кварталов_в_году)*AN440</f>
        <v>0</v>
      </c>
      <c s="125">
        <f>-MIN(AO483+AO526,$D526*Предпосылки!$F48/Кварталов_в_году)*AO440</f>
        <v>0</v>
      </c>
      <c s="125">
        <f>-MIN(AP483+AP526,$D526*Предпосылки!$F48/Кварталов_в_году)*AP440</f>
        <v>0</v>
      </c>
      <c s="125">
        <f>-MIN(AQ483+AQ526,$D526*Предпосылки!$F48/Кварталов_в_году)*AQ440</f>
        <v>0</v>
      </c>
      <c s="125">
        <f>-MIN(AR483+AR526,$D526*Предпосылки!$F48/Кварталов_в_году)*AR440</f>
        <v>0</v>
      </c>
      <c s="125">
        <f>-MIN(AS483+AS526,$D526*Предпосылки!$F48/Кварталов_в_году)*AS440</f>
        <v>0</v>
      </c>
      <c s="125">
        <f>-MIN(AT483+AT526,$D526*Предпосылки!$F48/Кварталов_в_году)*AT440</f>
        <v>0</v>
      </c>
      <c s="125">
        <f>-MIN(AU483+AU526,$D526*Предпосылки!$F48/Кварталов_в_году)*AU440</f>
        <v>0</v>
      </c>
      <c s="125">
        <f>-MIN(AV483+AV526,$D526*Предпосылки!$F48/Кварталов_в_году)*AV440</f>
        <v>0</v>
      </c>
      <c s="125">
        <f>-MIN(AW483+AW526,$D526*Предпосылки!$F48/Кварталов_в_году)*AW440</f>
        <v>0</v>
      </c>
      <c s="125">
        <f>-MIN(AX483+AX526,$D526*Предпосылки!$F48/Кварталов_в_году)*AX440</f>
        <v>0</v>
      </c>
      <c s="125">
        <f>-MIN(AY483+AY526,$D526*Предпосылки!$F48/Кварталов_в_году)*AY440</f>
        <v>0</v>
      </c>
      <c s="125">
        <f>-MIN(AZ483+AZ526,$D526*Предпосылки!$F48/Кварталов_в_году)*AZ440</f>
        <v>0</v>
      </c>
      <c s="125">
        <f>-MIN(BA483+BA526,$D526*Предпосылки!$F48/Кварталов_в_году)*BA440</f>
        <v>0</v>
      </c>
      <c s="125">
        <f>-MIN(BB483+BB526,$D526*Предпосылки!$F48/Кварталов_в_году)*BB440</f>
        <v>0</v>
      </c>
      <c s="125">
        <f>-MIN(BC483+BC526,$D526*Предпосылки!$F48/Кварталов_в_году)*BC440</f>
        <v>0</v>
      </c>
      <c s="125">
        <f>-MIN(BD483+BD526,$D526*Предпосылки!$F48/Кварталов_в_году)*BD440</f>
        <v>0</v>
      </c>
      <c s="125">
        <f>-MIN(BE483+BE526,$D526*Предпосылки!$F48/Кварталов_в_году)*BE440</f>
        <v>0</v>
      </c>
      <c s="125">
        <f>-MIN(BF483+BF526,$D526*Предпосылки!$F48/Кварталов_в_году)*BF440</f>
        <v>0</v>
      </c>
      <c s="125">
        <f>-MIN(BG483+BG526,$D526*Предпосылки!$F48/Кварталов_в_году)*BG440</f>
        <v>0</v>
      </c>
      <c s="125">
        <f>-MIN(BH483+BH526,$D526*Предпосылки!$F48/Кварталов_в_году)*BH440</f>
        <v>0</v>
      </c>
      <c s="125">
        <f>-MIN(BI483+BI526,$D526*Предпосылки!$F48/Кварталов_в_году)*BI440</f>
        <v>0</v>
      </c>
      <c s="125">
        <f>-MIN(BJ483+BJ526,$D526*Предпосылки!$F48/Кварталов_в_году)*BJ440</f>
        <v>0</v>
      </c>
      <c s="125">
        <f>-MIN(BK483+BK526,$D526*Предпосылки!$F48/Кварталов_в_году)*BK440</f>
        <v>0</v>
      </c>
      <c s="125">
        <f>-MIN(BL483+BL526,$D526*Предпосылки!$F48/Кварталов_в_году)*BL440</f>
        <v>0</v>
      </c>
      <c s="125">
        <f>-MIN(BM483+BM526,$D526*Предпосылки!$F48/Кварталов_в_году)*BM440</f>
        <v>0</v>
      </c>
    </row>
    <row r="570" spans="2:65" ht="15" customHeight="1">
      <c r="B570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-MIN(E484+E527,$D527*Предпосылки!$F49/Кварталов_в_году)*E441</f>
        <v>0</v>
      </c>
      <c s="125">
        <f>-MIN(F484+F527,$D527*Предпосылки!$F49/Кварталов_в_году)*F441</f>
        <v>0</v>
      </c>
      <c s="125">
        <f>-MIN(G484+G527,$D527*Предпосылки!$F49/Кварталов_в_году)*G441</f>
        <v>0</v>
      </c>
      <c s="125">
        <f>-MIN(H484+H527,$D527*Предпосылки!$F49/Кварталов_в_году)*H441</f>
        <v>0</v>
      </c>
      <c s="125">
        <f>-MIN(I484+I527,$D527*Предпосылки!$F49/Кварталов_в_году)*I441</f>
        <v>0</v>
      </c>
      <c s="125">
        <f>-MIN(J484+J527,$D527*Предпосылки!$F49/Кварталов_в_году)*J441</f>
        <v>0</v>
      </c>
      <c s="125">
        <f>-MIN(K484+K527,$D527*Предпосылки!$F49/Кварталов_в_году)*K441</f>
        <v>0</v>
      </c>
      <c s="125">
        <f>-MIN(L484+L527,$D527*Предпосылки!$F49/Кварталов_в_году)*L441</f>
        <v>0</v>
      </c>
      <c s="125">
        <f>-MIN(M484+M527,$D527*Предпосылки!$F49/Кварталов_в_году)*M441</f>
        <v>0</v>
      </c>
      <c s="125">
        <f>-MIN(N484+N527,$D527*Предпосылки!$F49/Кварталов_в_году)*N441</f>
        <v>0</v>
      </c>
      <c s="125">
        <f>-MIN(O484+O527,$D527*Предпосылки!$F49/Кварталов_в_году)*O441</f>
        <v>0</v>
      </c>
      <c s="125">
        <f>-MIN(P484+P527,$D527*Предпосылки!$F49/Кварталов_в_году)*P441</f>
        <v>0</v>
      </c>
      <c s="125">
        <f>-MIN(Q484+Q527,$D527*Предпосылки!$F49/Кварталов_в_году)*Q441</f>
        <v>0</v>
      </c>
      <c s="125">
        <f>-MIN(R484+R527,$D527*Предпосылки!$F49/Кварталов_в_году)*R441</f>
        <v>0</v>
      </c>
      <c s="125">
        <f>-MIN(S484+S527,$D527*Предпосылки!$F49/Кварталов_в_году)*S441</f>
        <v>0</v>
      </c>
      <c s="125">
        <f>-MIN(T484+T527,$D527*Предпосылки!$F49/Кварталов_в_году)*T441</f>
        <v>0</v>
      </c>
      <c s="125">
        <f>-MIN(U484+U527,$D527*Предпосылки!$F49/Кварталов_в_году)*U441</f>
        <v>0</v>
      </c>
      <c s="125">
        <f>-MIN(V484+V527,$D527*Предпосылки!$F49/Кварталов_в_году)*V441</f>
        <v>0</v>
      </c>
      <c s="125">
        <f>-MIN(W484+W527,$D527*Предпосылки!$F49/Кварталов_в_году)*W441</f>
        <v>0</v>
      </c>
      <c s="125">
        <f>-MIN(X484+X527,$D527*Предпосылки!$F49/Кварталов_в_году)*X441</f>
        <v>0</v>
      </c>
      <c s="125">
        <f>-MIN(Y484+Y527,$D527*Предпосылки!$F49/Кварталов_в_году)*Y441</f>
        <v>0</v>
      </c>
      <c s="125">
        <f>-MIN(Z484+Z527,$D527*Предпосылки!$F49/Кварталов_в_году)*Z441</f>
        <v>0</v>
      </c>
      <c s="125">
        <f>-MIN(AA484+AA527,$D527*Предпосылки!$F49/Кварталов_в_году)*AA441</f>
        <v>0</v>
      </c>
      <c s="125">
        <f>-MIN(AB484+AB527,$D527*Предпосылки!$F49/Кварталов_в_году)*AB441</f>
        <v>0</v>
      </c>
      <c s="125">
        <f>-MIN(AC484+AC527,$D527*Предпосылки!$F49/Кварталов_в_году)*AC441</f>
        <v>0</v>
      </c>
      <c s="125">
        <f>-MIN(AD484+AD527,$D527*Предпосылки!$F49/Кварталов_в_году)*AD441</f>
        <v>0</v>
      </c>
      <c s="125">
        <f>-MIN(AE484+AE527,$D527*Предпосылки!$F49/Кварталов_в_году)*AE441</f>
        <v>0</v>
      </c>
      <c s="125">
        <f>-MIN(AF484+AF527,$D527*Предпосылки!$F49/Кварталов_в_году)*AF441</f>
        <v>0</v>
      </c>
      <c s="125">
        <f>-MIN(AG484+AG527,$D527*Предпосылки!$F49/Кварталов_в_году)*AG441</f>
        <v>0</v>
      </c>
      <c s="125">
        <f>-MIN(AH484+AH527,$D527*Предпосылки!$F49/Кварталов_в_году)*AH441</f>
        <v>0</v>
      </c>
      <c s="125">
        <f>-MIN(AI484+AI527,$D527*Предпосылки!$F49/Кварталов_в_году)*AI441</f>
        <v>0</v>
      </c>
      <c s="125">
        <f>-MIN(AJ484+AJ527,$D527*Предпосылки!$F49/Кварталов_в_году)*AJ441</f>
        <v>0</v>
      </c>
      <c s="125">
        <f>-MIN(AK484+AK527,$D527*Предпосылки!$F49/Кварталов_в_году)*AK441</f>
        <v>0</v>
      </c>
      <c s="125">
        <f>-MIN(AL484+AL527,$D527*Предпосылки!$F49/Кварталов_в_году)*AL441</f>
        <v>0</v>
      </c>
      <c s="125">
        <f>-MIN(AM484+AM527,$D527*Предпосылки!$F49/Кварталов_в_году)*AM441</f>
        <v>0</v>
      </c>
      <c s="125">
        <f>-MIN(AN484+AN527,$D527*Предпосылки!$F49/Кварталов_в_году)*AN441</f>
        <v>0</v>
      </c>
      <c s="125">
        <f>-MIN(AO484+AO527,$D527*Предпосылки!$F49/Кварталов_в_году)*AO441</f>
        <v>0</v>
      </c>
      <c s="125">
        <f>-MIN(AP484+AP527,$D527*Предпосылки!$F49/Кварталов_в_году)*AP441</f>
        <v>0</v>
      </c>
      <c s="125">
        <f>-MIN(AQ484+AQ527,$D527*Предпосылки!$F49/Кварталов_в_году)*AQ441</f>
        <v>0</v>
      </c>
      <c s="125">
        <f>-MIN(AR484+AR527,$D527*Предпосылки!$F49/Кварталов_в_году)*AR441</f>
        <v>0</v>
      </c>
      <c s="125">
        <f>-MIN(AS484+AS527,$D527*Предпосылки!$F49/Кварталов_в_году)*AS441</f>
        <v>0</v>
      </c>
      <c s="125">
        <f>-MIN(AT484+AT527,$D527*Предпосылки!$F49/Кварталов_в_году)*AT441</f>
        <v>0</v>
      </c>
      <c s="125">
        <f>-MIN(AU484+AU527,$D527*Предпосылки!$F49/Кварталов_в_году)*AU441</f>
        <v>0</v>
      </c>
      <c s="125">
        <f>-MIN(AV484+AV527,$D527*Предпосылки!$F49/Кварталов_в_году)*AV441</f>
        <v>0</v>
      </c>
      <c s="125">
        <f>-MIN(AW484+AW527,$D527*Предпосылки!$F49/Кварталов_в_году)*AW441</f>
        <v>0</v>
      </c>
      <c s="125">
        <f>-MIN(AX484+AX527,$D527*Предпосылки!$F49/Кварталов_в_году)*AX441</f>
        <v>0</v>
      </c>
      <c s="125">
        <f>-MIN(AY484+AY527,$D527*Предпосылки!$F49/Кварталов_в_году)*AY441</f>
        <v>0</v>
      </c>
      <c s="125">
        <f>-MIN(AZ484+AZ527,$D527*Предпосылки!$F49/Кварталов_в_году)*AZ441</f>
        <v>0</v>
      </c>
      <c s="125">
        <f>-MIN(BA484+BA527,$D527*Предпосылки!$F49/Кварталов_в_году)*BA441</f>
        <v>0</v>
      </c>
      <c s="125">
        <f>-MIN(BB484+BB527,$D527*Предпосылки!$F49/Кварталов_в_году)*BB441</f>
        <v>0</v>
      </c>
      <c s="125">
        <f>-MIN(BC484+BC527,$D527*Предпосылки!$F49/Кварталов_в_году)*BC441</f>
        <v>0</v>
      </c>
      <c s="125">
        <f>-MIN(BD484+BD527,$D527*Предпосылки!$F49/Кварталов_в_году)*BD441</f>
        <v>0</v>
      </c>
      <c s="125">
        <f>-MIN(BE484+BE527,$D527*Предпосылки!$F49/Кварталов_в_году)*BE441</f>
        <v>0</v>
      </c>
      <c s="125">
        <f>-MIN(BF484+BF527,$D527*Предпосылки!$F49/Кварталов_в_году)*BF441</f>
        <v>0</v>
      </c>
      <c s="125">
        <f>-MIN(BG484+BG527,$D527*Предпосылки!$F49/Кварталов_в_году)*BG441</f>
        <v>0</v>
      </c>
      <c s="125">
        <f>-MIN(BH484+BH527,$D527*Предпосылки!$F49/Кварталов_в_году)*BH441</f>
        <v>0</v>
      </c>
      <c s="125">
        <f>-MIN(BI484+BI527,$D527*Предпосылки!$F49/Кварталов_в_году)*BI441</f>
        <v>0</v>
      </c>
      <c s="125">
        <f>-MIN(BJ484+BJ527,$D527*Предпосылки!$F49/Кварталов_в_году)*BJ441</f>
        <v>0</v>
      </c>
      <c s="125">
        <f>-MIN(BK484+BK527,$D527*Предпосылки!$F49/Кварталов_в_году)*BK441</f>
        <v>0</v>
      </c>
      <c s="125">
        <f>-MIN(BL484+BL527,$D527*Предпосылки!$F49/Кварталов_в_году)*BL441</f>
        <v>0</v>
      </c>
      <c s="125">
        <f>-MIN(BM484+BM527,$D527*Предпосылки!$F49/Кварталов_в_году)*BM441</f>
        <v>0</v>
      </c>
    </row>
    <row r="571" spans="2:65" ht="15" customHeight="1">
      <c r="B571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-MIN(E485+E528,$D528*Предпосылки!$F50/Кварталов_в_году)*E442</f>
        <v>0</v>
      </c>
      <c s="125">
        <f>-MIN(F485+F528,$D528*Предпосылки!$F50/Кварталов_в_году)*F442</f>
        <v>0</v>
      </c>
      <c s="125">
        <f>-MIN(G485+G528,$D528*Предпосылки!$F50/Кварталов_в_году)*G442</f>
        <v>0</v>
      </c>
      <c s="125">
        <f>-MIN(H485+H528,$D528*Предпосылки!$F50/Кварталов_в_году)*H442</f>
        <v>0</v>
      </c>
      <c s="125">
        <f>-MIN(I485+I528,$D528*Предпосылки!$F50/Кварталов_в_году)*I442</f>
        <v>0</v>
      </c>
      <c s="125">
        <f>-MIN(J485+J528,$D528*Предпосылки!$F50/Кварталов_в_году)*J442</f>
        <v>0</v>
      </c>
      <c s="125">
        <f>-MIN(K485+K528,$D528*Предпосылки!$F50/Кварталов_в_году)*K442</f>
        <v>0</v>
      </c>
      <c s="125">
        <f>-MIN(L485+L528,$D528*Предпосылки!$F50/Кварталов_в_году)*L442</f>
        <v>0</v>
      </c>
      <c s="125">
        <f>-MIN(M485+M528,$D528*Предпосылки!$F50/Кварталов_в_году)*M442</f>
        <v>0</v>
      </c>
      <c s="125">
        <f>-MIN(N485+N528,$D528*Предпосылки!$F50/Кварталов_в_году)*N442</f>
        <v>0</v>
      </c>
      <c s="125">
        <f>-MIN(O485+O528,$D528*Предпосылки!$F50/Кварталов_в_году)*O442</f>
        <v>0</v>
      </c>
      <c s="125">
        <f>-MIN(P485+P528,$D528*Предпосылки!$F50/Кварталов_в_году)*P442</f>
        <v>0</v>
      </c>
      <c s="125">
        <f>-MIN(Q485+Q528,$D528*Предпосылки!$F50/Кварталов_в_году)*Q442</f>
        <v>0</v>
      </c>
      <c s="125">
        <f>-MIN(R485+R528,$D528*Предпосылки!$F50/Кварталов_в_году)*R442</f>
        <v>0</v>
      </c>
      <c s="125">
        <f>-MIN(S485+S528,$D528*Предпосылки!$F50/Кварталов_в_году)*S442</f>
        <v>0</v>
      </c>
      <c s="125">
        <f>-MIN(T485+T528,$D528*Предпосылки!$F50/Кварталов_в_году)*T442</f>
        <v>0</v>
      </c>
      <c s="125">
        <f>-MIN(U485+U528,$D528*Предпосылки!$F50/Кварталов_в_году)*U442</f>
        <v>0</v>
      </c>
      <c s="125">
        <f>-MIN(V485+V528,$D528*Предпосылки!$F50/Кварталов_в_году)*V442</f>
        <v>0</v>
      </c>
      <c s="125">
        <f>-MIN(W485+W528,$D528*Предпосылки!$F50/Кварталов_в_году)*W442</f>
        <v>0</v>
      </c>
      <c s="125">
        <f>-MIN(X485+X528,$D528*Предпосылки!$F50/Кварталов_в_году)*X442</f>
        <v>0</v>
      </c>
      <c s="125">
        <f>-MIN(Y485+Y528,$D528*Предпосылки!$F50/Кварталов_в_году)*Y442</f>
        <v>0</v>
      </c>
      <c s="125">
        <f>-MIN(Z485+Z528,$D528*Предпосылки!$F50/Кварталов_в_году)*Z442</f>
        <v>0</v>
      </c>
      <c s="125">
        <f>-MIN(AA485+AA528,$D528*Предпосылки!$F50/Кварталов_в_году)*AA442</f>
        <v>0</v>
      </c>
      <c s="125">
        <f>-MIN(AB485+AB528,$D528*Предпосылки!$F50/Кварталов_в_году)*AB442</f>
        <v>0</v>
      </c>
      <c s="125">
        <f>-MIN(AC485+AC528,$D528*Предпосылки!$F50/Кварталов_в_году)*AC442</f>
        <v>0</v>
      </c>
      <c s="125">
        <f>-MIN(AD485+AD528,$D528*Предпосылки!$F50/Кварталов_в_году)*AD442</f>
        <v>0</v>
      </c>
      <c s="125">
        <f>-MIN(AE485+AE528,$D528*Предпосылки!$F50/Кварталов_в_году)*AE442</f>
        <v>0</v>
      </c>
      <c s="125">
        <f>-MIN(AF485+AF528,$D528*Предпосылки!$F50/Кварталов_в_году)*AF442</f>
        <v>0</v>
      </c>
      <c s="125">
        <f>-MIN(AG485+AG528,$D528*Предпосылки!$F50/Кварталов_в_году)*AG442</f>
        <v>0</v>
      </c>
      <c s="125">
        <f>-MIN(AH485+AH528,$D528*Предпосылки!$F50/Кварталов_в_году)*AH442</f>
        <v>0</v>
      </c>
      <c s="125">
        <f>-MIN(AI485+AI528,$D528*Предпосылки!$F50/Кварталов_в_году)*AI442</f>
        <v>0</v>
      </c>
      <c s="125">
        <f>-MIN(AJ485+AJ528,$D528*Предпосылки!$F50/Кварталов_в_году)*AJ442</f>
        <v>0</v>
      </c>
      <c s="125">
        <f>-MIN(AK485+AK528,$D528*Предпосылки!$F50/Кварталов_в_году)*AK442</f>
        <v>0</v>
      </c>
      <c s="125">
        <f>-MIN(AL485+AL528,$D528*Предпосылки!$F50/Кварталов_в_году)*AL442</f>
        <v>0</v>
      </c>
      <c s="125">
        <f>-MIN(AM485+AM528,$D528*Предпосылки!$F50/Кварталов_в_году)*AM442</f>
        <v>0</v>
      </c>
      <c s="125">
        <f>-MIN(AN485+AN528,$D528*Предпосылки!$F50/Кварталов_в_году)*AN442</f>
        <v>0</v>
      </c>
      <c s="125">
        <f>-MIN(AO485+AO528,$D528*Предпосылки!$F50/Кварталов_в_году)*AO442</f>
        <v>0</v>
      </c>
      <c s="125">
        <f>-MIN(AP485+AP528,$D528*Предпосылки!$F50/Кварталов_в_году)*AP442</f>
        <v>0</v>
      </c>
      <c s="125">
        <f>-MIN(AQ485+AQ528,$D528*Предпосылки!$F50/Кварталов_в_году)*AQ442</f>
        <v>0</v>
      </c>
      <c s="125">
        <f>-MIN(AR485+AR528,$D528*Предпосылки!$F50/Кварталов_в_году)*AR442</f>
        <v>0</v>
      </c>
      <c s="125">
        <f>-MIN(AS485+AS528,$D528*Предпосылки!$F50/Кварталов_в_году)*AS442</f>
        <v>0</v>
      </c>
      <c s="125">
        <f>-MIN(AT485+AT528,$D528*Предпосылки!$F50/Кварталов_в_году)*AT442</f>
        <v>0</v>
      </c>
      <c s="125">
        <f>-MIN(AU485+AU528,$D528*Предпосылки!$F50/Кварталов_в_году)*AU442</f>
        <v>0</v>
      </c>
      <c s="125">
        <f>-MIN(AV485+AV528,$D528*Предпосылки!$F50/Кварталов_в_году)*AV442</f>
        <v>0</v>
      </c>
      <c s="125">
        <f>-MIN(AW485+AW528,$D528*Предпосылки!$F50/Кварталов_в_году)*AW442</f>
        <v>0</v>
      </c>
      <c s="125">
        <f>-MIN(AX485+AX528,$D528*Предпосылки!$F50/Кварталов_в_году)*AX442</f>
        <v>0</v>
      </c>
      <c s="125">
        <f>-MIN(AY485+AY528,$D528*Предпосылки!$F50/Кварталов_в_году)*AY442</f>
        <v>0</v>
      </c>
      <c s="125">
        <f>-MIN(AZ485+AZ528,$D528*Предпосылки!$F50/Кварталов_в_году)*AZ442</f>
        <v>0</v>
      </c>
      <c s="125">
        <f>-MIN(BA485+BA528,$D528*Предпосылки!$F50/Кварталов_в_году)*BA442</f>
        <v>0</v>
      </c>
      <c s="125">
        <f>-MIN(BB485+BB528,$D528*Предпосылки!$F50/Кварталов_в_году)*BB442</f>
        <v>0</v>
      </c>
      <c s="125">
        <f>-MIN(BC485+BC528,$D528*Предпосылки!$F50/Кварталов_в_году)*BC442</f>
        <v>0</v>
      </c>
      <c s="125">
        <f>-MIN(BD485+BD528,$D528*Предпосылки!$F50/Кварталов_в_году)*BD442</f>
        <v>0</v>
      </c>
      <c s="125">
        <f>-MIN(BE485+BE528,$D528*Предпосылки!$F50/Кварталов_в_году)*BE442</f>
        <v>0</v>
      </c>
      <c s="125">
        <f>-MIN(BF485+BF528,$D528*Предпосылки!$F50/Кварталов_в_году)*BF442</f>
        <v>0</v>
      </c>
      <c s="125">
        <f>-MIN(BG485+BG528,$D528*Предпосылки!$F50/Кварталов_в_году)*BG442</f>
        <v>0</v>
      </c>
      <c s="125">
        <f>-MIN(BH485+BH528,$D528*Предпосылки!$F50/Кварталов_в_году)*BH442</f>
        <v>0</v>
      </c>
      <c s="125">
        <f>-MIN(BI485+BI528,$D528*Предпосылки!$F50/Кварталов_в_году)*BI442</f>
        <v>0</v>
      </c>
      <c s="125">
        <f>-MIN(BJ485+BJ528,$D528*Предпосылки!$F50/Кварталов_в_году)*BJ442</f>
        <v>0</v>
      </c>
      <c s="125">
        <f>-MIN(BK485+BK528,$D528*Предпосылки!$F50/Кварталов_в_году)*BK442</f>
        <v>0</v>
      </c>
      <c s="125">
        <f>-MIN(BL485+BL528,$D528*Предпосылки!$F50/Кварталов_в_году)*BL442</f>
        <v>0</v>
      </c>
      <c s="125">
        <f>-MIN(BM485+BM528,$D528*Предпосылки!$F50/Кварталов_в_году)*BM442</f>
        <v>0</v>
      </c>
    </row>
    <row r="572" spans="2:65" ht="15" customHeight="1">
      <c r="B572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-MIN(E486+E529,$D529*Предпосылки!$F51/Кварталов_в_году)*E443</f>
        <v>0</v>
      </c>
      <c s="125">
        <f>-MIN(F486+F529,$D529*Предпосылки!$F51/Кварталов_в_году)*F443</f>
        <v>0</v>
      </c>
      <c s="125">
        <f>-MIN(G486+G529,$D529*Предпосылки!$F51/Кварталов_в_году)*G443</f>
        <v>0</v>
      </c>
      <c s="125">
        <f>-MIN(H486+H529,$D529*Предпосылки!$F51/Кварталов_в_году)*H443</f>
        <v>0</v>
      </c>
      <c s="125">
        <f>-MIN(I486+I529,$D529*Предпосылки!$F51/Кварталов_в_году)*I443</f>
        <v>0</v>
      </c>
      <c s="125">
        <f>-MIN(J486+J529,$D529*Предпосылки!$F51/Кварталов_в_году)*J443</f>
        <v>0</v>
      </c>
      <c s="125">
        <f>-MIN(K486+K529,$D529*Предпосылки!$F51/Кварталов_в_году)*K443</f>
        <v>0</v>
      </c>
      <c s="125">
        <f>-MIN(L486+L529,$D529*Предпосылки!$F51/Кварталов_в_году)*L443</f>
        <v>0</v>
      </c>
      <c s="125">
        <f>-MIN(M486+M529,$D529*Предпосылки!$F51/Кварталов_в_году)*M443</f>
        <v>0</v>
      </c>
      <c s="125">
        <f>-MIN(N486+N529,$D529*Предпосылки!$F51/Кварталов_в_году)*N443</f>
        <v>0</v>
      </c>
      <c s="125">
        <f>-MIN(O486+O529,$D529*Предпосылки!$F51/Кварталов_в_году)*O443</f>
        <v>0</v>
      </c>
      <c s="125">
        <f>-MIN(P486+P529,$D529*Предпосылки!$F51/Кварталов_в_году)*P443</f>
        <v>0</v>
      </c>
      <c s="125">
        <f>-MIN(Q486+Q529,$D529*Предпосылки!$F51/Кварталов_в_году)*Q443</f>
        <v>0</v>
      </c>
      <c s="125">
        <f>-MIN(R486+R529,$D529*Предпосылки!$F51/Кварталов_в_году)*R443</f>
        <v>0</v>
      </c>
      <c s="125">
        <f>-MIN(S486+S529,$D529*Предпосылки!$F51/Кварталов_в_году)*S443</f>
        <v>0</v>
      </c>
      <c s="125">
        <f>-MIN(T486+T529,$D529*Предпосылки!$F51/Кварталов_в_году)*T443</f>
        <v>0</v>
      </c>
      <c s="125">
        <f>-MIN(U486+U529,$D529*Предпосылки!$F51/Кварталов_в_году)*U443</f>
        <v>0</v>
      </c>
      <c s="125">
        <f>-MIN(V486+V529,$D529*Предпосылки!$F51/Кварталов_в_году)*V443</f>
        <v>0</v>
      </c>
      <c s="125">
        <f>-MIN(W486+W529,$D529*Предпосылки!$F51/Кварталов_в_году)*W443</f>
        <v>0</v>
      </c>
      <c s="125">
        <f>-MIN(X486+X529,$D529*Предпосылки!$F51/Кварталов_в_году)*X443</f>
        <v>0</v>
      </c>
      <c s="125">
        <f>-MIN(Y486+Y529,$D529*Предпосылки!$F51/Кварталов_в_году)*Y443</f>
        <v>0</v>
      </c>
      <c s="125">
        <f>-MIN(Z486+Z529,$D529*Предпосылки!$F51/Кварталов_в_году)*Z443</f>
        <v>0</v>
      </c>
      <c s="125">
        <f>-MIN(AA486+AA529,$D529*Предпосылки!$F51/Кварталов_в_году)*AA443</f>
        <v>0</v>
      </c>
      <c s="125">
        <f>-MIN(AB486+AB529,$D529*Предпосылки!$F51/Кварталов_в_году)*AB443</f>
        <v>0</v>
      </c>
      <c s="125">
        <f>-MIN(AC486+AC529,$D529*Предпосылки!$F51/Кварталов_в_году)*AC443</f>
        <v>0</v>
      </c>
      <c s="125">
        <f>-MIN(AD486+AD529,$D529*Предпосылки!$F51/Кварталов_в_году)*AD443</f>
        <v>0</v>
      </c>
      <c s="125">
        <f>-MIN(AE486+AE529,$D529*Предпосылки!$F51/Кварталов_в_году)*AE443</f>
        <v>0</v>
      </c>
      <c s="125">
        <f>-MIN(AF486+AF529,$D529*Предпосылки!$F51/Кварталов_в_году)*AF443</f>
        <v>0</v>
      </c>
      <c s="125">
        <f>-MIN(AG486+AG529,$D529*Предпосылки!$F51/Кварталов_в_году)*AG443</f>
        <v>0</v>
      </c>
      <c s="125">
        <f>-MIN(AH486+AH529,$D529*Предпосылки!$F51/Кварталов_в_году)*AH443</f>
        <v>0</v>
      </c>
      <c s="125">
        <f>-MIN(AI486+AI529,$D529*Предпосылки!$F51/Кварталов_в_году)*AI443</f>
        <v>0</v>
      </c>
      <c s="125">
        <f>-MIN(AJ486+AJ529,$D529*Предпосылки!$F51/Кварталов_в_году)*AJ443</f>
        <v>0</v>
      </c>
      <c s="125">
        <f>-MIN(AK486+AK529,$D529*Предпосылки!$F51/Кварталов_в_году)*AK443</f>
        <v>0</v>
      </c>
      <c s="125">
        <f>-MIN(AL486+AL529,$D529*Предпосылки!$F51/Кварталов_в_году)*AL443</f>
        <v>0</v>
      </c>
      <c s="125">
        <f>-MIN(AM486+AM529,$D529*Предпосылки!$F51/Кварталов_в_году)*AM443</f>
        <v>0</v>
      </c>
      <c s="125">
        <f>-MIN(AN486+AN529,$D529*Предпосылки!$F51/Кварталов_в_году)*AN443</f>
        <v>0</v>
      </c>
      <c s="125">
        <f>-MIN(AO486+AO529,$D529*Предпосылки!$F51/Кварталов_в_году)*AO443</f>
        <v>0</v>
      </c>
      <c s="125">
        <f>-MIN(AP486+AP529,$D529*Предпосылки!$F51/Кварталов_в_году)*AP443</f>
        <v>0</v>
      </c>
      <c s="125">
        <f>-MIN(AQ486+AQ529,$D529*Предпосылки!$F51/Кварталов_в_году)*AQ443</f>
        <v>0</v>
      </c>
      <c s="125">
        <f>-MIN(AR486+AR529,$D529*Предпосылки!$F51/Кварталов_в_году)*AR443</f>
        <v>0</v>
      </c>
      <c s="125">
        <f>-MIN(AS486+AS529,$D529*Предпосылки!$F51/Кварталов_в_году)*AS443</f>
        <v>0</v>
      </c>
      <c s="125">
        <f>-MIN(AT486+AT529,$D529*Предпосылки!$F51/Кварталов_в_году)*AT443</f>
        <v>0</v>
      </c>
      <c s="125">
        <f>-MIN(AU486+AU529,$D529*Предпосылки!$F51/Кварталов_в_году)*AU443</f>
        <v>0</v>
      </c>
      <c s="125">
        <f>-MIN(AV486+AV529,$D529*Предпосылки!$F51/Кварталов_в_году)*AV443</f>
        <v>0</v>
      </c>
      <c s="125">
        <f>-MIN(AW486+AW529,$D529*Предпосылки!$F51/Кварталов_в_году)*AW443</f>
        <v>0</v>
      </c>
      <c s="125">
        <f>-MIN(AX486+AX529,$D529*Предпосылки!$F51/Кварталов_в_году)*AX443</f>
        <v>0</v>
      </c>
      <c s="125">
        <f>-MIN(AY486+AY529,$D529*Предпосылки!$F51/Кварталов_в_году)*AY443</f>
        <v>0</v>
      </c>
      <c s="125">
        <f>-MIN(AZ486+AZ529,$D529*Предпосылки!$F51/Кварталов_в_году)*AZ443</f>
        <v>0</v>
      </c>
      <c s="125">
        <f>-MIN(BA486+BA529,$D529*Предпосылки!$F51/Кварталов_в_году)*BA443</f>
        <v>0</v>
      </c>
      <c s="125">
        <f>-MIN(BB486+BB529,$D529*Предпосылки!$F51/Кварталов_в_году)*BB443</f>
        <v>0</v>
      </c>
      <c s="125">
        <f>-MIN(BC486+BC529,$D529*Предпосылки!$F51/Кварталов_в_году)*BC443</f>
        <v>0</v>
      </c>
      <c s="125">
        <f>-MIN(BD486+BD529,$D529*Предпосылки!$F51/Кварталов_в_году)*BD443</f>
        <v>0</v>
      </c>
      <c s="125">
        <f>-MIN(BE486+BE529,$D529*Предпосылки!$F51/Кварталов_в_году)*BE443</f>
        <v>0</v>
      </c>
      <c s="125">
        <f>-MIN(BF486+BF529,$D529*Предпосылки!$F51/Кварталов_в_году)*BF443</f>
        <v>0</v>
      </c>
      <c s="125">
        <f>-MIN(BG486+BG529,$D529*Предпосылки!$F51/Кварталов_в_году)*BG443</f>
        <v>0</v>
      </c>
      <c s="125">
        <f>-MIN(BH486+BH529,$D529*Предпосылки!$F51/Кварталов_в_году)*BH443</f>
        <v>0</v>
      </c>
      <c s="125">
        <f>-MIN(BI486+BI529,$D529*Предпосылки!$F51/Кварталов_в_году)*BI443</f>
        <v>0</v>
      </c>
      <c s="125">
        <f>-MIN(BJ486+BJ529,$D529*Предпосылки!$F51/Кварталов_в_году)*BJ443</f>
        <v>0</v>
      </c>
      <c s="125">
        <f>-MIN(BK486+BK529,$D529*Предпосылки!$F51/Кварталов_в_году)*BK443</f>
        <v>0</v>
      </c>
      <c s="125">
        <f>-MIN(BL486+BL529,$D529*Предпосылки!$F51/Кварталов_в_году)*BL443</f>
        <v>0</v>
      </c>
      <c s="125">
        <f>-MIN(BM486+BM529,$D529*Предпосылки!$F51/Кварталов_в_году)*BM443</f>
        <v>0</v>
      </c>
    </row>
    <row r="573" spans="2:65" ht="15" customHeight="1">
      <c r="B573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-MIN(E487+E530,$D530*Предпосылки!$F52/Кварталов_в_году)*E444</f>
        <v>0</v>
      </c>
      <c s="125">
        <f>-MIN(F487+F530,$D530*Предпосылки!$F52/Кварталов_в_году)*F444</f>
        <v>0</v>
      </c>
      <c s="125">
        <f>-MIN(G487+G530,$D530*Предпосылки!$F52/Кварталов_в_году)*G444</f>
        <v>0</v>
      </c>
      <c s="125">
        <f>-MIN(H487+H530,$D530*Предпосылки!$F52/Кварталов_в_году)*H444</f>
        <v>0</v>
      </c>
      <c s="125">
        <f>-MIN(I487+I530,$D530*Предпосылки!$F52/Кварталов_в_году)*I444</f>
        <v>0</v>
      </c>
      <c s="125">
        <f>-MIN(J487+J530,$D530*Предпосылки!$F52/Кварталов_в_году)*J444</f>
        <v>0</v>
      </c>
      <c s="125">
        <f>-MIN(K487+K530,$D530*Предпосылки!$F52/Кварталов_в_году)*K444</f>
        <v>0</v>
      </c>
      <c s="125">
        <f>-MIN(L487+L530,$D530*Предпосылки!$F52/Кварталов_в_году)*L444</f>
        <v>0</v>
      </c>
      <c s="125">
        <f>-MIN(M487+M530,$D530*Предпосылки!$F52/Кварталов_в_году)*M444</f>
        <v>0</v>
      </c>
      <c s="125">
        <f>-MIN(N487+N530,$D530*Предпосылки!$F52/Кварталов_в_году)*N444</f>
        <v>0</v>
      </c>
      <c s="125">
        <f>-MIN(O487+O530,$D530*Предпосылки!$F52/Кварталов_в_году)*O444</f>
        <v>0</v>
      </c>
      <c s="125">
        <f>-MIN(P487+P530,$D530*Предпосылки!$F52/Кварталов_в_году)*P444</f>
        <v>0</v>
      </c>
      <c s="125">
        <f>-MIN(Q487+Q530,$D530*Предпосылки!$F52/Кварталов_в_году)*Q444</f>
        <v>0</v>
      </c>
      <c s="125">
        <f>-MIN(R487+R530,$D530*Предпосылки!$F52/Кварталов_в_году)*R444</f>
        <v>0</v>
      </c>
      <c s="125">
        <f>-MIN(S487+S530,$D530*Предпосылки!$F52/Кварталов_в_году)*S444</f>
        <v>0</v>
      </c>
      <c s="125">
        <f>-MIN(T487+T530,$D530*Предпосылки!$F52/Кварталов_в_году)*T444</f>
        <v>0</v>
      </c>
      <c s="125">
        <f>-MIN(U487+U530,$D530*Предпосылки!$F52/Кварталов_в_году)*U444</f>
        <v>0</v>
      </c>
      <c s="125">
        <f>-MIN(V487+V530,$D530*Предпосылки!$F52/Кварталов_в_году)*V444</f>
        <v>0</v>
      </c>
      <c s="125">
        <f>-MIN(W487+W530,$D530*Предпосылки!$F52/Кварталов_в_году)*W444</f>
        <v>0</v>
      </c>
      <c s="125">
        <f>-MIN(X487+X530,$D530*Предпосылки!$F52/Кварталов_в_году)*X444</f>
        <v>0</v>
      </c>
      <c s="125">
        <f>-MIN(Y487+Y530,$D530*Предпосылки!$F52/Кварталов_в_году)*Y444</f>
        <v>0</v>
      </c>
      <c s="125">
        <f>-MIN(Z487+Z530,$D530*Предпосылки!$F52/Кварталов_в_году)*Z444</f>
        <v>0</v>
      </c>
      <c s="125">
        <f>-MIN(AA487+AA530,$D530*Предпосылки!$F52/Кварталов_в_году)*AA444</f>
        <v>0</v>
      </c>
      <c s="125">
        <f>-MIN(AB487+AB530,$D530*Предпосылки!$F52/Кварталов_в_году)*AB444</f>
        <v>0</v>
      </c>
      <c s="125">
        <f>-MIN(AC487+AC530,$D530*Предпосылки!$F52/Кварталов_в_году)*AC444</f>
        <v>0</v>
      </c>
      <c s="125">
        <f>-MIN(AD487+AD530,$D530*Предпосылки!$F52/Кварталов_в_году)*AD444</f>
        <v>0</v>
      </c>
      <c s="125">
        <f>-MIN(AE487+AE530,$D530*Предпосылки!$F52/Кварталов_в_году)*AE444</f>
        <v>0</v>
      </c>
      <c s="125">
        <f>-MIN(AF487+AF530,$D530*Предпосылки!$F52/Кварталов_в_году)*AF444</f>
        <v>0</v>
      </c>
      <c s="125">
        <f>-MIN(AG487+AG530,$D530*Предпосылки!$F52/Кварталов_в_году)*AG444</f>
        <v>0</v>
      </c>
      <c s="125">
        <f>-MIN(AH487+AH530,$D530*Предпосылки!$F52/Кварталов_в_году)*AH444</f>
        <v>0</v>
      </c>
      <c s="125">
        <f>-MIN(AI487+AI530,$D530*Предпосылки!$F52/Кварталов_в_году)*AI444</f>
        <v>0</v>
      </c>
      <c s="125">
        <f>-MIN(AJ487+AJ530,$D530*Предпосылки!$F52/Кварталов_в_году)*AJ444</f>
        <v>0</v>
      </c>
      <c s="125">
        <f>-MIN(AK487+AK530,$D530*Предпосылки!$F52/Кварталов_в_году)*AK444</f>
        <v>0</v>
      </c>
      <c s="125">
        <f>-MIN(AL487+AL530,$D530*Предпосылки!$F52/Кварталов_в_году)*AL444</f>
        <v>0</v>
      </c>
      <c s="125">
        <f>-MIN(AM487+AM530,$D530*Предпосылки!$F52/Кварталов_в_году)*AM444</f>
        <v>0</v>
      </c>
      <c s="125">
        <f>-MIN(AN487+AN530,$D530*Предпосылки!$F52/Кварталов_в_году)*AN444</f>
        <v>0</v>
      </c>
      <c s="125">
        <f>-MIN(AO487+AO530,$D530*Предпосылки!$F52/Кварталов_в_году)*AO444</f>
        <v>0</v>
      </c>
      <c s="125">
        <f>-MIN(AP487+AP530,$D530*Предпосылки!$F52/Кварталов_в_году)*AP444</f>
        <v>0</v>
      </c>
      <c s="125">
        <f>-MIN(AQ487+AQ530,$D530*Предпосылки!$F52/Кварталов_в_году)*AQ444</f>
        <v>0</v>
      </c>
      <c s="125">
        <f>-MIN(AR487+AR530,$D530*Предпосылки!$F52/Кварталов_в_году)*AR444</f>
        <v>0</v>
      </c>
      <c s="125">
        <f>-MIN(AS487+AS530,$D530*Предпосылки!$F52/Кварталов_в_году)*AS444</f>
        <v>0</v>
      </c>
      <c s="125">
        <f>-MIN(AT487+AT530,$D530*Предпосылки!$F52/Кварталов_в_году)*AT444</f>
        <v>0</v>
      </c>
      <c s="125">
        <f>-MIN(AU487+AU530,$D530*Предпосылки!$F52/Кварталов_в_году)*AU444</f>
        <v>0</v>
      </c>
      <c s="125">
        <f>-MIN(AV487+AV530,$D530*Предпосылки!$F52/Кварталов_в_году)*AV444</f>
        <v>0</v>
      </c>
      <c s="125">
        <f>-MIN(AW487+AW530,$D530*Предпосылки!$F52/Кварталов_в_году)*AW444</f>
        <v>0</v>
      </c>
      <c s="125">
        <f>-MIN(AX487+AX530,$D530*Предпосылки!$F52/Кварталов_в_году)*AX444</f>
        <v>0</v>
      </c>
      <c s="125">
        <f>-MIN(AY487+AY530,$D530*Предпосылки!$F52/Кварталов_в_году)*AY444</f>
        <v>0</v>
      </c>
      <c s="125">
        <f>-MIN(AZ487+AZ530,$D530*Предпосылки!$F52/Кварталов_в_году)*AZ444</f>
        <v>0</v>
      </c>
      <c s="125">
        <f>-MIN(BA487+BA530,$D530*Предпосылки!$F52/Кварталов_в_году)*BA444</f>
        <v>0</v>
      </c>
      <c s="125">
        <f>-MIN(BB487+BB530,$D530*Предпосылки!$F52/Кварталов_в_году)*BB444</f>
        <v>0</v>
      </c>
      <c s="125">
        <f>-MIN(BC487+BC530,$D530*Предпосылки!$F52/Кварталов_в_году)*BC444</f>
        <v>0</v>
      </c>
      <c s="125">
        <f>-MIN(BD487+BD530,$D530*Предпосылки!$F52/Кварталов_в_году)*BD444</f>
        <v>0</v>
      </c>
      <c s="125">
        <f>-MIN(BE487+BE530,$D530*Предпосылки!$F52/Кварталов_в_году)*BE444</f>
        <v>0</v>
      </c>
      <c s="125">
        <f>-MIN(BF487+BF530,$D530*Предпосылки!$F52/Кварталов_в_году)*BF444</f>
        <v>0</v>
      </c>
      <c s="125">
        <f>-MIN(BG487+BG530,$D530*Предпосылки!$F52/Кварталов_в_году)*BG444</f>
        <v>0</v>
      </c>
      <c s="125">
        <f>-MIN(BH487+BH530,$D530*Предпосылки!$F52/Кварталов_в_году)*BH444</f>
        <v>0</v>
      </c>
      <c s="125">
        <f>-MIN(BI487+BI530,$D530*Предпосылки!$F52/Кварталов_в_году)*BI444</f>
        <v>0</v>
      </c>
      <c s="125">
        <f>-MIN(BJ487+BJ530,$D530*Предпосылки!$F52/Кварталов_в_году)*BJ444</f>
        <v>0</v>
      </c>
      <c s="125">
        <f>-MIN(BK487+BK530,$D530*Предпосылки!$F52/Кварталов_в_году)*BK444</f>
        <v>0</v>
      </c>
      <c s="125">
        <f>-MIN(BL487+BL530,$D530*Предпосылки!$F52/Кварталов_в_году)*BL444</f>
        <v>0</v>
      </c>
      <c s="125">
        <f>-MIN(BM487+BM530,$D530*Предпосылки!$F52/Кварталов_в_году)*BM444</f>
        <v>0</v>
      </c>
    </row>
    <row r="574" spans="2:65" ht="15" customHeight="1">
      <c r="B574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-MIN(E488+E531,$D531*Предпосылки!$F53/Кварталов_в_году)*E445</f>
        <v>0</v>
      </c>
      <c s="125">
        <f>-MIN(F488+F531,$D531*Предпосылки!$F53/Кварталов_в_году)*F445</f>
        <v>0</v>
      </c>
      <c s="125">
        <f>-MIN(G488+G531,$D531*Предпосылки!$F53/Кварталов_в_году)*G445</f>
        <v>0</v>
      </c>
      <c s="125">
        <f>-MIN(H488+H531,$D531*Предпосылки!$F53/Кварталов_в_году)*H445</f>
        <v>0</v>
      </c>
      <c s="125">
        <f>-MIN(I488+I531,$D531*Предпосылки!$F53/Кварталов_в_году)*I445</f>
        <v>0</v>
      </c>
      <c s="125">
        <f>-MIN(J488+J531,$D531*Предпосылки!$F53/Кварталов_в_году)*J445</f>
        <v>0</v>
      </c>
      <c s="125">
        <f>-MIN(K488+K531,$D531*Предпосылки!$F53/Кварталов_в_году)*K445</f>
        <v>0</v>
      </c>
      <c s="125">
        <f>-MIN(L488+L531,$D531*Предпосылки!$F53/Кварталов_в_году)*L445</f>
        <v>0</v>
      </c>
      <c s="125">
        <f>-MIN(M488+M531,$D531*Предпосылки!$F53/Кварталов_в_году)*M445</f>
        <v>0</v>
      </c>
      <c s="125">
        <f>-MIN(N488+N531,$D531*Предпосылки!$F53/Кварталов_в_году)*N445</f>
        <v>0</v>
      </c>
      <c s="125">
        <f>-MIN(O488+O531,$D531*Предпосылки!$F53/Кварталов_в_году)*O445</f>
        <v>0</v>
      </c>
      <c s="125">
        <f>-MIN(P488+P531,$D531*Предпосылки!$F53/Кварталов_в_году)*P445</f>
        <v>0</v>
      </c>
      <c s="125">
        <f>-MIN(Q488+Q531,$D531*Предпосылки!$F53/Кварталов_в_году)*Q445</f>
        <v>0</v>
      </c>
      <c s="125">
        <f>-MIN(R488+R531,$D531*Предпосылки!$F53/Кварталов_в_году)*R445</f>
        <v>0</v>
      </c>
      <c s="125">
        <f>-MIN(S488+S531,$D531*Предпосылки!$F53/Кварталов_в_году)*S445</f>
        <v>0</v>
      </c>
      <c s="125">
        <f>-MIN(T488+T531,$D531*Предпосылки!$F53/Кварталов_в_году)*T445</f>
        <v>0</v>
      </c>
      <c s="125">
        <f>-MIN(U488+U531,$D531*Предпосылки!$F53/Кварталов_в_году)*U445</f>
        <v>0</v>
      </c>
      <c s="125">
        <f>-MIN(V488+V531,$D531*Предпосылки!$F53/Кварталов_в_году)*V445</f>
        <v>0</v>
      </c>
      <c s="125">
        <f>-MIN(W488+W531,$D531*Предпосылки!$F53/Кварталов_в_году)*W445</f>
        <v>0</v>
      </c>
      <c s="125">
        <f>-MIN(X488+X531,$D531*Предпосылки!$F53/Кварталов_в_году)*X445</f>
        <v>0</v>
      </c>
      <c s="125">
        <f>-MIN(Y488+Y531,$D531*Предпосылки!$F53/Кварталов_в_году)*Y445</f>
        <v>0</v>
      </c>
      <c s="125">
        <f>-MIN(Z488+Z531,$D531*Предпосылки!$F53/Кварталов_в_году)*Z445</f>
        <v>0</v>
      </c>
      <c s="125">
        <f>-MIN(AA488+AA531,$D531*Предпосылки!$F53/Кварталов_в_году)*AA445</f>
        <v>0</v>
      </c>
      <c s="125">
        <f>-MIN(AB488+AB531,$D531*Предпосылки!$F53/Кварталов_в_году)*AB445</f>
        <v>0</v>
      </c>
      <c s="125">
        <f>-MIN(AC488+AC531,$D531*Предпосылки!$F53/Кварталов_в_году)*AC445</f>
        <v>0</v>
      </c>
      <c s="125">
        <f>-MIN(AD488+AD531,$D531*Предпосылки!$F53/Кварталов_в_году)*AD445</f>
        <v>0</v>
      </c>
      <c s="125">
        <f>-MIN(AE488+AE531,$D531*Предпосылки!$F53/Кварталов_в_году)*AE445</f>
        <v>0</v>
      </c>
      <c s="125">
        <f>-MIN(AF488+AF531,$D531*Предпосылки!$F53/Кварталов_в_году)*AF445</f>
        <v>0</v>
      </c>
      <c s="125">
        <f>-MIN(AG488+AG531,$D531*Предпосылки!$F53/Кварталов_в_году)*AG445</f>
        <v>0</v>
      </c>
      <c s="125">
        <f>-MIN(AH488+AH531,$D531*Предпосылки!$F53/Кварталов_в_году)*AH445</f>
        <v>0</v>
      </c>
      <c s="125">
        <f>-MIN(AI488+AI531,$D531*Предпосылки!$F53/Кварталов_в_году)*AI445</f>
        <v>0</v>
      </c>
      <c s="125">
        <f>-MIN(AJ488+AJ531,$D531*Предпосылки!$F53/Кварталов_в_году)*AJ445</f>
        <v>0</v>
      </c>
      <c s="125">
        <f>-MIN(AK488+AK531,$D531*Предпосылки!$F53/Кварталов_в_году)*AK445</f>
        <v>0</v>
      </c>
      <c s="125">
        <f>-MIN(AL488+AL531,$D531*Предпосылки!$F53/Кварталов_в_году)*AL445</f>
        <v>0</v>
      </c>
      <c s="125">
        <f>-MIN(AM488+AM531,$D531*Предпосылки!$F53/Кварталов_в_году)*AM445</f>
        <v>0</v>
      </c>
      <c s="125">
        <f>-MIN(AN488+AN531,$D531*Предпосылки!$F53/Кварталов_в_году)*AN445</f>
        <v>0</v>
      </c>
      <c s="125">
        <f>-MIN(AO488+AO531,$D531*Предпосылки!$F53/Кварталов_в_году)*AO445</f>
        <v>0</v>
      </c>
      <c s="125">
        <f>-MIN(AP488+AP531,$D531*Предпосылки!$F53/Кварталов_в_году)*AP445</f>
        <v>0</v>
      </c>
      <c s="125">
        <f>-MIN(AQ488+AQ531,$D531*Предпосылки!$F53/Кварталов_в_году)*AQ445</f>
        <v>0</v>
      </c>
      <c s="125">
        <f>-MIN(AR488+AR531,$D531*Предпосылки!$F53/Кварталов_в_году)*AR445</f>
        <v>0</v>
      </c>
      <c s="125">
        <f>-MIN(AS488+AS531,$D531*Предпосылки!$F53/Кварталов_в_году)*AS445</f>
        <v>0</v>
      </c>
      <c s="125">
        <f>-MIN(AT488+AT531,$D531*Предпосылки!$F53/Кварталов_в_году)*AT445</f>
        <v>0</v>
      </c>
      <c s="125">
        <f>-MIN(AU488+AU531,$D531*Предпосылки!$F53/Кварталов_в_году)*AU445</f>
        <v>0</v>
      </c>
      <c s="125">
        <f>-MIN(AV488+AV531,$D531*Предпосылки!$F53/Кварталов_в_году)*AV445</f>
        <v>0</v>
      </c>
      <c s="125">
        <f>-MIN(AW488+AW531,$D531*Предпосылки!$F53/Кварталов_в_году)*AW445</f>
        <v>0</v>
      </c>
      <c s="125">
        <f>-MIN(AX488+AX531,$D531*Предпосылки!$F53/Кварталов_в_году)*AX445</f>
        <v>0</v>
      </c>
      <c s="125">
        <f>-MIN(AY488+AY531,$D531*Предпосылки!$F53/Кварталов_в_году)*AY445</f>
        <v>0</v>
      </c>
      <c s="125">
        <f>-MIN(AZ488+AZ531,$D531*Предпосылки!$F53/Кварталов_в_году)*AZ445</f>
        <v>0</v>
      </c>
      <c s="125">
        <f>-MIN(BA488+BA531,$D531*Предпосылки!$F53/Кварталов_в_году)*BA445</f>
        <v>0</v>
      </c>
      <c s="125">
        <f>-MIN(BB488+BB531,$D531*Предпосылки!$F53/Кварталов_в_году)*BB445</f>
        <v>0</v>
      </c>
      <c s="125">
        <f>-MIN(BC488+BC531,$D531*Предпосылки!$F53/Кварталов_в_году)*BC445</f>
        <v>0</v>
      </c>
      <c s="125">
        <f>-MIN(BD488+BD531,$D531*Предпосылки!$F53/Кварталов_в_году)*BD445</f>
        <v>0</v>
      </c>
      <c s="125">
        <f>-MIN(BE488+BE531,$D531*Предпосылки!$F53/Кварталов_в_году)*BE445</f>
        <v>0</v>
      </c>
      <c s="125">
        <f>-MIN(BF488+BF531,$D531*Предпосылки!$F53/Кварталов_в_году)*BF445</f>
        <v>0</v>
      </c>
      <c s="125">
        <f>-MIN(BG488+BG531,$D531*Предпосылки!$F53/Кварталов_в_году)*BG445</f>
        <v>0</v>
      </c>
      <c s="125">
        <f>-MIN(BH488+BH531,$D531*Предпосылки!$F53/Кварталов_в_году)*BH445</f>
        <v>0</v>
      </c>
      <c s="125">
        <f>-MIN(BI488+BI531,$D531*Предпосылки!$F53/Кварталов_в_году)*BI445</f>
        <v>0</v>
      </c>
      <c s="125">
        <f>-MIN(BJ488+BJ531,$D531*Предпосылки!$F53/Кварталов_в_году)*BJ445</f>
        <v>0</v>
      </c>
      <c s="125">
        <f>-MIN(BK488+BK531,$D531*Предпосылки!$F53/Кварталов_в_году)*BK445</f>
        <v>0</v>
      </c>
      <c s="125">
        <f>-MIN(BL488+BL531,$D531*Предпосылки!$F53/Кварталов_в_году)*BL445</f>
        <v>0</v>
      </c>
      <c s="125">
        <f>-MIN(BM488+BM531,$D531*Предпосылки!$F53/Кварталов_в_году)*BM445</f>
        <v>0</v>
      </c>
    </row>
    <row r="575" spans="2:65" ht="15" customHeight="1">
      <c r="B575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-MIN(E489+E532,$D532*Предпосылки!$F54/Кварталов_в_году)*E446</f>
        <v>0</v>
      </c>
      <c s="125">
        <f>-MIN(F489+F532,$D532*Предпосылки!$F54/Кварталов_в_году)*F446</f>
        <v>0</v>
      </c>
      <c s="125">
        <f>-MIN(G489+G532,$D532*Предпосылки!$F54/Кварталов_в_году)*G446</f>
        <v>0</v>
      </c>
      <c s="125">
        <f>-MIN(H489+H532,$D532*Предпосылки!$F54/Кварталов_в_году)*H446</f>
        <v>0</v>
      </c>
      <c s="125">
        <f>-MIN(I489+I532,$D532*Предпосылки!$F54/Кварталов_в_году)*I446</f>
        <v>0</v>
      </c>
      <c s="125">
        <f>-MIN(J489+J532,$D532*Предпосылки!$F54/Кварталов_в_году)*J446</f>
        <v>0</v>
      </c>
      <c s="125">
        <f>-MIN(K489+K532,$D532*Предпосылки!$F54/Кварталов_в_году)*K446</f>
        <v>0</v>
      </c>
      <c s="125">
        <f>-MIN(L489+L532,$D532*Предпосылки!$F54/Кварталов_в_году)*L446</f>
        <v>0</v>
      </c>
      <c s="125">
        <f>-MIN(M489+M532,$D532*Предпосылки!$F54/Кварталов_в_году)*M446</f>
        <v>0</v>
      </c>
      <c s="125">
        <f>-MIN(N489+N532,$D532*Предпосылки!$F54/Кварталов_в_году)*N446</f>
        <v>0</v>
      </c>
      <c s="125">
        <f>-MIN(O489+O532,$D532*Предпосылки!$F54/Кварталов_в_году)*O446</f>
        <v>0</v>
      </c>
      <c s="125">
        <f>-MIN(P489+P532,$D532*Предпосылки!$F54/Кварталов_в_году)*P446</f>
        <v>0</v>
      </c>
      <c s="125">
        <f>-MIN(Q489+Q532,$D532*Предпосылки!$F54/Кварталов_в_году)*Q446</f>
        <v>0</v>
      </c>
      <c s="125">
        <f>-MIN(R489+R532,$D532*Предпосылки!$F54/Кварталов_в_году)*R446</f>
        <v>0</v>
      </c>
      <c s="125">
        <f>-MIN(S489+S532,$D532*Предпосылки!$F54/Кварталов_в_году)*S446</f>
        <v>0</v>
      </c>
      <c s="125">
        <f>-MIN(T489+T532,$D532*Предпосылки!$F54/Кварталов_в_году)*T446</f>
        <v>0</v>
      </c>
      <c s="125">
        <f>-MIN(U489+U532,$D532*Предпосылки!$F54/Кварталов_в_году)*U446</f>
        <v>0</v>
      </c>
      <c s="125">
        <f>-MIN(V489+V532,$D532*Предпосылки!$F54/Кварталов_в_году)*V446</f>
        <v>0</v>
      </c>
      <c s="125">
        <f>-MIN(W489+W532,$D532*Предпосылки!$F54/Кварталов_в_году)*W446</f>
        <v>0</v>
      </c>
      <c s="125">
        <f>-MIN(X489+X532,$D532*Предпосылки!$F54/Кварталов_в_году)*X446</f>
        <v>0</v>
      </c>
      <c s="125">
        <f>-MIN(Y489+Y532,$D532*Предпосылки!$F54/Кварталов_в_году)*Y446</f>
        <v>0</v>
      </c>
      <c s="125">
        <f>-MIN(Z489+Z532,$D532*Предпосылки!$F54/Кварталов_в_году)*Z446</f>
        <v>0</v>
      </c>
      <c s="125">
        <f>-MIN(AA489+AA532,$D532*Предпосылки!$F54/Кварталов_в_году)*AA446</f>
        <v>0</v>
      </c>
      <c s="125">
        <f>-MIN(AB489+AB532,$D532*Предпосылки!$F54/Кварталов_в_году)*AB446</f>
        <v>0</v>
      </c>
      <c s="125">
        <f>-MIN(AC489+AC532,$D532*Предпосылки!$F54/Кварталов_в_году)*AC446</f>
        <v>0</v>
      </c>
      <c s="125">
        <f>-MIN(AD489+AD532,$D532*Предпосылки!$F54/Кварталов_в_году)*AD446</f>
        <v>0</v>
      </c>
      <c s="125">
        <f>-MIN(AE489+AE532,$D532*Предпосылки!$F54/Кварталов_в_году)*AE446</f>
        <v>0</v>
      </c>
      <c s="125">
        <f>-MIN(AF489+AF532,$D532*Предпосылки!$F54/Кварталов_в_году)*AF446</f>
        <v>0</v>
      </c>
      <c s="125">
        <f>-MIN(AG489+AG532,$D532*Предпосылки!$F54/Кварталов_в_году)*AG446</f>
        <v>0</v>
      </c>
      <c s="125">
        <f>-MIN(AH489+AH532,$D532*Предпосылки!$F54/Кварталов_в_году)*AH446</f>
        <v>0</v>
      </c>
      <c s="125">
        <f>-MIN(AI489+AI532,$D532*Предпосылки!$F54/Кварталов_в_году)*AI446</f>
        <v>0</v>
      </c>
      <c s="125">
        <f>-MIN(AJ489+AJ532,$D532*Предпосылки!$F54/Кварталов_в_году)*AJ446</f>
        <v>0</v>
      </c>
      <c s="125">
        <f>-MIN(AK489+AK532,$D532*Предпосылки!$F54/Кварталов_в_году)*AK446</f>
        <v>0</v>
      </c>
      <c s="125">
        <f>-MIN(AL489+AL532,$D532*Предпосылки!$F54/Кварталов_в_году)*AL446</f>
        <v>0</v>
      </c>
      <c s="125">
        <f>-MIN(AM489+AM532,$D532*Предпосылки!$F54/Кварталов_в_году)*AM446</f>
        <v>0</v>
      </c>
      <c s="125">
        <f>-MIN(AN489+AN532,$D532*Предпосылки!$F54/Кварталов_в_году)*AN446</f>
        <v>0</v>
      </c>
      <c s="125">
        <f>-MIN(AO489+AO532,$D532*Предпосылки!$F54/Кварталов_в_году)*AO446</f>
        <v>0</v>
      </c>
      <c s="125">
        <f>-MIN(AP489+AP532,$D532*Предпосылки!$F54/Кварталов_в_году)*AP446</f>
        <v>0</v>
      </c>
      <c s="125">
        <f>-MIN(AQ489+AQ532,$D532*Предпосылки!$F54/Кварталов_в_году)*AQ446</f>
        <v>0</v>
      </c>
      <c s="125">
        <f>-MIN(AR489+AR532,$D532*Предпосылки!$F54/Кварталов_в_году)*AR446</f>
        <v>0</v>
      </c>
      <c s="125">
        <f>-MIN(AS489+AS532,$D532*Предпосылки!$F54/Кварталов_в_году)*AS446</f>
        <v>0</v>
      </c>
      <c s="125">
        <f>-MIN(AT489+AT532,$D532*Предпосылки!$F54/Кварталов_в_году)*AT446</f>
        <v>0</v>
      </c>
      <c s="125">
        <f>-MIN(AU489+AU532,$D532*Предпосылки!$F54/Кварталов_в_году)*AU446</f>
        <v>0</v>
      </c>
      <c s="125">
        <f>-MIN(AV489+AV532,$D532*Предпосылки!$F54/Кварталов_в_году)*AV446</f>
        <v>0</v>
      </c>
      <c s="125">
        <f>-MIN(AW489+AW532,$D532*Предпосылки!$F54/Кварталов_в_году)*AW446</f>
        <v>0</v>
      </c>
      <c s="125">
        <f>-MIN(AX489+AX532,$D532*Предпосылки!$F54/Кварталов_в_году)*AX446</f>
        <v>0</v>
      </c>
      <c s="125">
        <f>-MIN(AY489+AY532,$D532*Предпосылки!$F54/Кварталов_в_году)*AY446</f>
        <v>0</v>
      </c>
      <c s="125">
        <f>-MIN(AZ489+AZ532,$D532*Предпосылки!$F54/Кварталов_в_году)*AZ446</f>
        <v>0</v>
      </c>
      <c s="125">
        <f>-MIN(BA489+BA532,$D532*Предпосылки!$F54/Кварталов_в_году)*BA446</f>
        <v>0</v>
      </c>
      <c s="125">
        <f>-MIN(BB489+BB532,$D532*Предпосылки!$F54/Кварталов_в_году)*BB446</f>
        <v>0</v>
      </c>
      <c s="125">
        <f>-MIN(BC489+BC532,$D532*Предпосылки!$F54/Кварталов_в_году)*BC446</f>
        <v>0</v>
      </c>
      <c s="125">
        <f>-MIN(BD489+BD532,$D532*Предпосылки!$F54/Кварталов_в_году)*BD446</f>
        <v>0</v>
      </c>
      <c s="125">
        <f>-MIN(BE489+BE532,$D532*Предпосылки!$F54/Кварталов_в_году)*BE446</f>
        <v>0</v>
      </c>
      <c s="125">
        <f>-MIN(BF489+BF532,$D532*Предпосылки!$F54/Кварталов_в_году)*BF446</f>
        <v>0</v>
      </c>
      <c s="125">
        <f>-MIN(BG489+BG532,$D532*Предпосылки!$F54/Кварталов_в_году)*BG446</f>
        <v>0</v>
      </c>
      <c s="125">
        <f>-MIN(BH489+BH532,$D532*Предпосылки!$F54/Кварталов_в_году)*BH446</f>
        <v>0</v>
      </c>
      <c s="125">
        <f>-MIN(BI489+BI532,$D532*Предпосылки!$F54/Кварталов_в_году)*BI446</f>
        <v>0</v>
      </c>
      <c s="125">
        <f>-MIN(BJ489+BJ532,$D532*Предпосылки!$F54/Кварталов_в_году)*BJ446</f>
        <v>0</v>
      </c>
      <c s="125">
        <f>-MIN(BK489+BK532,$D532*Предпосылки!$F54/Кварталов_в_году)*BK446</f>
        <v>0</v>
      </c>
      <c s="125">
        <f>-MIN(BL489+BL532,$D532*Предпосылки!$F54/Кварталов_в_году)*BL446</f>
        <v>0</v>
      </c>
      <c s="125">
        <f>-MIN(BM489+BM532,$D532*Предпосылки!$F54/Кварталов_в_году)*BM446</f>
        <v>0</v>
      </c>
    </row>
    <row r="576" spans="2:65" ht="15" customHeight="1">
      <c r="B576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-MIN(E490+E533,$D533*Предпосылки!$F55/Кварталов_в_году)*E447</f>
        <v>0</v>
      </c>
      <c s="125">
        <f>-MIN(F490+F533,$D533*Предпосылки!$F55/Кварталов_в_году)*F447</f>
        <v>0</v>
      </c>
      <c s="125">
        <f>-MIN(G490+G533,$D533*Предпосылки!$F55/Кварталов_в_году)*G447</f>
        <v>0</v>
      </c>
      <c s="125">
        <f>-MIN(H490+H533,$D533*Предпосылки!$F55/Кварталов_в_году)*H447</f>
        <v>0</v>
      </c>
      <c s="125">
        <f>-MIN(I490+I533,$D533*Предпосылки!$F55/Кварталов_в_году)*I447</f>
        <v>0</v>
      </c>
      <c s="125">
        <f>-MIN(J490+J533,$D533*Предпосылки!$F55/Кварталов_в_году)*J447</f>
        <v>0</v>
      </c>
      <c s="125">
        <f>-MIN(K490+K533,$D533*Предпосылки!$F55/Кварталов_в_году)*K447</f>
        <v>0</v>
      </c>
      <c s="125">
        <f>-MIN(L490+L533,$D533*Предпосылки!$F55/Кварталов_в_году)*L447</f>
        <v>0</v>
      </c>
      <c s="125">
        <f>-MIN(M490+M533,$D533*Предпосылки!$F55/Кварталов_в_году)*M447</f>
        <v>0</v>
      </c>
      <c s="125">
        <f>-MIN(N490+N533,$D533*Предпосылки!$F55/Кварталов_в_году)*N447</f>
        <v>0</v>
      </c>
      <c s="125">
        <f>-MIN(O490+O533,$D533*Предпосылки!$F55/Кварталов_в_году)*O447</f>
        <v>0</v>
      </c>
      <c s="125">
        <f>-MIN(P490+P533,$D533*Предпосылки!$F55/Кварталов_в_году)*P447</f>
        <v>0</v>
      </c>
      <c s="125">
        <f>-MIN(Q490+Q533,$D533*Предпосылки!$F55/Кварталов_в_году)*Q447</f>
        <v>0</v>
      </c>
      <c s="125">
        <f>-MIN(R490+R533,$D533*Предпосылки!$F55/Кварталов_в_году)*R447</f>
        <v>0</v>
      </c>
      <c s="125">
        <f>-MIN(S490+S533,$D533*Предпосылки!$F55/Кварталов_в_году)*S447</f>
        <v>0</v>
      </c>
      <c s="125">
        <f>-MIN(T490+T533,$D533*Предпосылки!$F55/Кварталов_в_году)*T447</f>
        <v>0</v>
      </c>
      <c s="125">
        <f>-MIN(U490+U533,$D533*Предпосылки!$F55/Кварталов_в_году)*U447</f>
        <v>0</v>
      </c>
      <c s="125">
        <f>-MIN(V490+V533,$D533*Предпосылки!$F55/Кварталов_в_году)*V447</f>
        <v>0</v>
      </c>
      <c s="125">
        <f>-MIN(W490+W533,$D533*Предпосылки!$F55/Кварталов_в_году)*W447</f>
        <v>0</v>
      </c>
      <c s="125">
        <f>-MIN(X490+X533,$D533*Предпосылки!$F55/Кварталов_в_году)*X447</f>
        <v>0</v>
      </c>
      <c s="125">
        <f>-MIN(Y490+Y533,$D533*Предпосылки!$F55/Кварталов_в_году)*Y447</f>
        <v>0</v>
      </c>
      <c s="125">
        <f>-MIN(Z490+Z533,$D533*Предпосылки!$F55/Кварталов_в_году)*Z447</f>
        <v>0</v>
      </c>
      <c s="125">
        <f>-MIN(AA490+AA533,$D533*Предпосылки!$F55/Кварталов_в_году)*AA447</f>
        <v>0</v>
      </c>
      <c s="125">
        <f>-MIN(AB490+AB533,$D533*Предпосылки!$F55/Кварталов_в_году)*AB447</f>
        <v>0</v>
      </c>
      <c s="125">
        <f>-MIN(AC490+AC533,$D533*Предпосылки!$F55/Кварталов_в_году)*AC447</f>
        <v>0</v>
      </c>
      <c s="125">
        <f>-MIN(AD490+AD533,$D533*Предпосылки!$F55/Кварталов_в_году)*AD447</f>
        <v>0</v>
      </c>
      <c s="125">
        <f>-MIN(AE490+AE533,$D533*Предпосылки!$F55/Кварталов_в_году)*AE447</f>
        <v>0</v>
      </c>
      <c s="125">
        <f>-MIN(AF490+AF533,$D533*Предпосылки!$F55/Кварталов_в_году)*AF447</f>
        <v>0</v>
      </c>
      <c s="125">
        <f>-MIN(AG490+AG533,$D533*Предпосылки!$F55/Кварталов_в_году)*AG447</f>
        <v>0</v>
      </c>
      <c s="125">
        <f>-MIN(AH490+AH533,$D533*Предпосылки!$F55/Кварталов_в_году)*AH447</f>
        <v>0</v>
      </c>
      <c s="125">
        <f>-MIN(AI490+AI533,$D533*Предпосылки!$F55/Кварталов_в_году)*AI447</f>
        <v>0</v>
      </c>
      <c s="125">
        <f>-MIN(AJ490+AJ533,$D533*Предпосылки!$F55/Кварталов_в_году)*AJ447</f>
        <v>0</v>
      </c>
      <c s="125">
        <f>-MIN(AK490+AK533,$D533*Предпосылки!$F55/Кварталов_в_году)*AK447</f>
        <v>0</v>
      </c>
      <c s="125">
        <f>-MIN(AL490+AL533,$D533*Предпосылки!$F55/Кварталов_в_году)*AL447</f>
        <v>0</v>
      </c>
      <c s="125">
        <f>-MIN(AM490+AM533,$D533*Предпосылки!$F55/Кварталов_в_году)*AM447</f>
        <v>0</v>
      </c>
      <c s="125">
        <f>-MIN(AN490+AN533,$D533*Предпосылки!$F55/Кварталов_в_году)*AN447</f>
        <v>0</v>
      </c>
      <c s="125">
        <f>-MIN(AO490+AO533,$D533*Предпосылки!$F55/Кварталов_в_году)*AO447</f>
        <v>0</v>
      </c>
      <c s="125">
        <f>-MIN(AP490+AP533,$D533*Предпосылки!$F55/Кварталов_в_году)*AP447</f>
        <v>0</v>
      </c>
      <c s="125">
        <f>-MIN(AQ490+AQ533,$D533*Предпосылки!$F55/Кварталов_в_году)*AQ447</f>
        <v>0</v>
      </c>
      <c s="125">
        <f>-MIN(AR490+AR533,$D533*Предпосылки!$F55/Кварталов_в_году)*AR447</f>
        <v>0</v>
      </c>
      <c s="125">
        <f>-MIN(AS490+AS533,$D533*Предпосылки!$F55/Кварталов_в_году)*AS447</f>
        <v>0</v>
      </c>
      <c s="125">
        <f>-MIN(AT490+AT533,$D533*Предпосылки!$F55/Кварталов_в_году)*AT447</f>
        <v>0</v>
      </c>
      <c s="125">
        <f>-MIN(AU490+AU533,$D533*Предпосылки!$F55/Кварталов_в_году)*AU447</f>
        <v>0</v>
      </c>
      <c s="125">
        <f>-MIN(AV490+AV533,$D533*Предпосылки!$F55/Кварталов_в_году)*AV447</f>
        <v>0</v>
      </c>
      <c s="125">
        <f>-MIN(AW490+AW533,$D533*Предпосылки!$F55/Кварталов_в_году)*AW447</f>
        <v>0</v>
      </c>
      <c s="125">
        <f>-MIN(AX490+AX533,$D533*Предпосылки!$F55/Кварталов_в_году)*AX447</f>
        <v>0</v>
      </c>
      <c s="125">
        <f>-MIN(AY490+AY533,$D533*Предпосылки!$F55/Кварталов_в_году)*AY447</f>
        <v>0</v>
      </c>
      <c s="125">
        <f>-MIN(AZ490+AZ533,$D533*Предпосылки!$F55/Кварталов_в_году)*AZ447</f>
        <v>0</v>
      </c>
      <c s="125">
        <f>-MIN(BA490+BA533,$D533*Предпосылки!$F55/Кварталов_в_году)*BA447</f>
        <v>0</v>
      </c>
      <c s="125">
        <f>-MIN(BB490+BB533,$D533*Предпосылки!$F55/Кварталов_в_году)*BB447</f>
        <v>0</v>
      </c>
      <c s="125">
        <f>-MIN(BC490+BC533,$D533*Предпосылки!$F55/Кварталов_в_году)*BC447</f>
        <v>0</v>
      </c>
      <c s="125">
        <f>-MIN(BD490+BD533,$D533*Предпосылки!$F55/Кварталов_в_году)*BD447</f>
        <v>0</v>
      </c>
      <c s="125">
        <f>-MIN(BE490+BE533,$D533*Предпосылки!$F55/Кварталов_в_году)*BE447</f>
        <v>0</v>
      </c>
      <c s="125">
        <f>-MIN(BF490+BF533,$D533*Предпосылки!$F55/Кварталов_в_году)*BF447</f>
        <v>0</v>
      </c>
      <c s="125">
        <f>-MIN(BG490+BG533,$D533*Предпосылки!$F55/Кварталов_в_году)*BG447</f>
        <v>0</v>
      </c>
      <c s="125">
        <f>-MIN(BH490+BH533,$D533*Предпосылки!$F55/Кварталов_в_году)*BH447</f>
        <v>0</v>
      </c>
      <c s="125">
        <f>-MIN(BI490+BI533,$D533*Предпосылки!$F55/Кварталов_в_году)*BI447</f>
        <v>0</v>
      </c>
      <c s="125">
        <f>-MIN(BJ490+BJ533,$D533*Предпосылки!$F55/Кварталов_в_году)*BJ447</f>
        <v>0</v>
      </c>
      <c s="125">
        <f>-MIN(BK490+BK533,$D533*Предпосылки!$F55/Кварталов_в_году)*BK447</f>
        <v>0</v>
      </c>
      <c s="125">
        <f>-MIN(BL490+BL533,$D533*Предпосылки!$F55/Кварталов_в_году)*BL447</f>
        <v>0</v>
      </c>
      <c s="125">
        <f>-MIN(BM490+BM533,$D533*Предпосылки!$F55/Кварталов_в_году)*BM447</f>
        <v>0</v>
      </c>
    </row>
    <row r="577" spans="2:65" ht="15" customHeight="1">
      <c r="B577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-MIN(E491+E534,$D534*Предпосылки!$F56/Кварталов_в_году)*E448</f>
        <v>0</v>
      </c>
      <c s="125">
        <f>-MIN(F491+F534,$D534*Предпосылки!$F56/Кварталов_в_году)*F448</f>
        <v>0</v>
      </c>
      <c s="125">
        <f>-MIN(G491+G534,$D534*Предпосылки!$F56/Кварталов_в_году)*G448</f>
        <v>0</v>
      </c>
      <c s="125">
        <f>-MIN(H491+H534,$D534*Предпосылки!$F56/Кварталов_в_году)*H448</f>
        <v>0</v>
      </c>
      <c s="125">
        <f>-MIN(I491+I534,$D534*Предпосылки!$F56/Кварталов_в_году)*I448</f>
        <v>0</v>
      </c>
      <c s="125">
        <f>-MIN(J491+J534,$D534*Предпосылки!$F56/Кварталов_в_году)*J448</f>
        <v>0</v>
      </c>
      <c s="125">
        <f>-MIN(K491+K534,$D534*Предпосылки!$F56/Кварталов_в_году)*K448</f>
        <v>0</v>
      </c>
      <c s="125">
        <f>-MIN(L491+L534,$D534*Предпосылки!$F56/Кварталов_в_году)*L448</f>
        <v>0</v>
      </c>
      <c s="125">
        <f>-MIN(M491+M534,$D534*Предпосылки!$F56/Кварталов_в_году)*M448</f>
        <v>0</v>
      </c>
      <c s="125">
        <f>-MIN(N491+N534,$D534*Предпосылки!$F56/Кварталов_в_году)*N448</f>
        <v>0</v>
      </c>
      <c s="125">
        <f>-MIN(O491+O534,$D534*Предпосылки!$F56/Кварталов_в_году)*O448</f>
        <v>0</v>
      </c>
      <c s="125">
        <f>-MIN(P491+P534,$D534*Предпосылки!$F56/Кварталов_в_году)*P448</f>
        <v>0</v>
      </c>
      <c s="125">
        <f>-MIN(Q491+Q534,$D534*Предпосылки!$F56/Кварталов_в_году)*Q448</f>
        <v>0</v>
      </c>
      <c s="125">
        <f>-MIN(R491+R534,$D534*Предпосылки!$F56/Кварталов_в_году)*R448</f>
        <v>0</v>
      </c>
      <c s="125">
        <f>-MIN(S491+S534,$D534*Предпосылки!$F56/Кварталов_в_году)*S448</f>
        <v>0</v>
      </c>
      <c s="125">
        <f>-MIN(T491+T534,$D534*Предпосылки!$F56/Кварталов_в_году)*T448</f>
        <v>0</v>
      </c>
      <c s="125">
        <f>-MIN(U491+U534,$D534*Предпосылки!$F56/Кварталов_в_году)*U448</f>
        <v>0</v>
      </c>
      <c s="125">
        <f>-MIN(V491+V534,$D534*Предпосылки!$F56/Кварталов_в_году)*V448</f>
        <v>0</v>
      </c>
      <c s="125">
        <f>-MIN(W491+W534,$D534*Предпосылки!$F56/Кварталов_в_году)*W448</f>
        <v>0</v>
      </c>
      <c s="125">
        <f>-MIN(X491+X534,$D534*Предпосылки!$F56/Кварталов_в_году)*X448</f>
        <v>0</v>
      </c>
      <c s="125">
        <f>-MIN(Y491+Y534,$D534*Предпосылки!$F56/Кварталов_в_году)*Y448</f>
        <v>0</v>
      </c>
      <c s="125">
        <f>-MIN(Z491+Z534,$D534*Предпосылки!$F56/Кварталов_в_году)*Z448</f>
        <v>0</v>
      </c>
      <c s="125">
        <f>-MIN(AA491+AA534,$D534*Предпосылки!$F56/Кварталов_в_году)*AA448</f>
        <v>0</v>
      </c>
      <c s="125">
        <f>-MIN(AB491+AB534,$D534*Предпосылки!$F56/Кварталов_в_году)*AB448</f>
        <v>0</v>
      </c>
      <c s="125">
        <f>-MIN(AC491+AC534,$D534*Предпосылки!$F56/Кварталов_в_году)*AC448</f>
        <v>0</v>
      </c>
      <c s="125">
        <f>-MIN(AD491+AD534,$D534*Предпосылки!$F56/Кварталов_в_году)*AD448</f>
        <v>0</v>
      </c>
      <c s="125">
        <f>-MIN(AE491+AE534,$D534*Предпосылки!$F56/Кварталов_в_году)*AE448</f>
        <v>0</v>
      </c>
      <c s="125">
        <f>-MIN(AF491+AF534,$D534*Предпосылки!$F56/Кварталов_в_году)*AF448</f>
        <v>0</v>
      </c>
      <c s="125">
        <f>-MIN(AG491+AG534,$D534*Предпосылки!$F56/Кварталов_в_году)*AG448</f>
        <v>0</v>
      </c>
      <c s="125">
        <f>-MIN(AH491+AH534,$D534*Предпосылки!$F56/Кварталов_в_году)*AH448</f>
        <v>0</v>
      </c>
      <c s="125">
        <f>-MIN(AI491+AI534,$D534*Предпосылки!$F56/Кварталов_в_году)*AI448</f>
        <v>0</v>
      </c>
      <c s="125">
        <f>-MIN(AJ491+AJ534,$D534*Предпосылки!$F56/Кварталов_в_году)*AJ448</f>
        <v>0</v>
      </c>
      <c s="125">
        <f>-MIN(AK491+AK534,$D534*Предпосылки!$F56/Кварталов_в_году)*AK448</f>
        <v>0</v>
      </c>
      <c s="125">
        <f>-MIN(AL491+AL534,$D534*Предпосылки!$F56/Кварталов_в_году)*AL448</f>
        <v>0</v>
      </c>
      <c s="125">
        <f>-MIN(AM491+AM534,$D534*Предпосылки!$F56/Кварталов_в_году)*AM448</f>
        <v>0</v>
      </c>
      <c s="125">
        <f>-MIN(AN491+AN534,$D534*Предпосылки!$F56/Кварталов_в_году)*AN448</f>
        <v>0</v>
      </c>
      <c s="125">
        <f>-MIN(AO491+AO534,$D534*Предпосылки!$F56/Кварталов_в_году)*AO448</f>
        <v>0</v>
      </c>
      <c s="125">
        <f>-MIN(AP491+AP534,$D534*Предпосылки!$F56/Кварталов_в_году)*AP448</f>
        <v>0</v>
      </c>
      <c s="125">
        <f>-MIN(AQ491+AQ534,$D534*Предпосылки!$F56/Кварталов_в_году)*AQ448</f>
        <v>0</v>
      </c>
      <c s="125">
        <f>-MIN(AR491+AR534,$D534*Предпосылки!$F56/Кварталов_в_году)*AR448</f>
        <v>0</v>
      </c>
      <c s="125">
        <f>-MIN(AS491+AS534,$D534*Предпосылки!$F56/Кварталов_в_году)*AS448</f>
        <v>0</v>
      </c>
      <c s="125">
        <f>-MIN(AT491+AT534,$D534*Предпосылки!$F56/Кварталов_в_году)*AT448</f>
        <v>0</v>
      </c>
      <c s="125">
        <f>-MIN(AU491+AU534,$D534*Предпосылки!$F56/Кварталов_в_году)*AU448</f>
        <v>0</v>
      </c>
      <c s="125">
        <f>-MIN(AV491+AV534,$D534*Предпосылки!$F56/Кварталов_в_году)*AV448</f>
        <v>0</v>
      </c>
      <c s="125">
        <f>-MIN(AW491+AW534,$D534*Предпосылки!$F56/Кварталов_в_году)*AW448</f>
        <v>0</v>
      </c>
      <c s="125">
        <f>-MIN(AX491+AX534,$D534*Предпосылки!$F56/Кварталов_в_году)*AX448</f>
        <v>0</v>
      </c>
      <c s="125">
        <f>-MIN(AY491+AY534,$D534*Предпосылки!$F56/Кварталов_в_году)*AY448</f>
        <v>0</v>
      </c>
      <c s="125">
        <f>-MIN(AZ491+AZ534,$D534*Предпосылки!$F56/Кварталов_в_году)*AZ448</f>
        <v>0</v>
      </c>
      <c s="125">
        <f>-MIN(BA491+BA534,$D534*Предпосылки!$F56/Кварталов_в_году)*BA448</f>
        <v>0</v>
      </c>
      <c s="125">
        <f>-MIN(BB491+BB534,$D534*Предпосылки!$F56/Кварталов_в_году)*BB448</f>
        <v>0</v>
      </c>
      <c s="125">
        <f>-MIN(BC491+BC534,$D534*Предпосылки!$F56/Кварталов_в_году)*BC448</f>
        <v>0</v>
      </c>
      <c s="125">
        <f>-MIN(BD491+BD534,$D534*Предпосылки!$F56/Кварталов_в_году)*BD448</f>
        <v>0</v>
      </c>
      <c s="125">
        <f>-MIN(BE491+BE534,$D534*Предпосылки!$F56/Кварталов_в_году)*BE448</f>
        <v>0</v>
      </c>
      <c s="125">
        <f>-MIN(BF491+BF534,$D534*Предпосылки!$F56/Кварталов_в_году)*BF448</f>
        <v>0</v>
      </c>
      <c s="125">
        <f>-MIN(BG491+BG534,$D534*Предпосылки!$F56/Кварталов_в_году)*BG448</f>
        <v>0</v>
      </c>
      <c s="125">
        <f>-MIN(BH491+BH534,$D534*Предпосылки!$F56/Кварталов_в_году)*BH448</f>
        <v>0</v>
      </c>
      <c s="125">
        <f>-MIN(BI491+BI534,$D534*Предпосылки!$F56/Кварталов_в_году)*BI448</f>
        <v>0</v>
      </c>
      <c s="125">
        <f>-MIN(BJ491+BJ534,$D534*Предпосылки!$F56/Кварталов_в_году)*BJ448</f>
        <v>0</v>
      </c>
      <c s="125">
        <f>-MIN(BK491+BK534,$D534*Предпосылки!$F56/Кварталов_в_году)*BK448</f>
        <v>0</v>
      </c>
      <c s="125">
        <f>-MIN(BL491+BL534,$D534*Предпосылки!$F56/Кварталов_в_году)*BL448</f>
        <v>0</v>
      </c>
      <c s="125">
        <f>-MIN(BM491+BM534,$D534*Предпосылки!$F56/Кварталов_в_году)*BM448</f>
        <v>0</v>
      </c>
    </row>
    <row r="578" spans="2:65" ht="15" customHeight="1">
      <c r="B578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-MIN(E492+E535,$D535*Предпосылки!$F57/Кварталов_в_году)*E449</f>
        <v>0</v>
      </c>
      <c s="125">
        <f>-MIN(F492+F535,$D535*Предпосылки!$F57/Кварталов_в_году)*F449</f>
        <v>0</v>
      </c>
      <c s="125">
        <f>-MIN(G492+G535,$D535*Предпосылки!$F57/Кварталов_в_году)*G449</f>
        <v>0</v>
      </c>
      <c s="125">
        <f>-MIN(H492+H535,$D535*Предпосылки!$F57/Кварталов_в_году)*H449</f>
        <v>0</v>
      </c>
      <c s="125">
        <f>-MIN(I492+I535,$D535*Предпосылки!$F57/Кварталов_в_году)*I449</f>
        <v>0</v>
      </c>
      <c s="125">
        <f>-MIN(J492+J535,$D535*Предпосылки!$F57/Кварталов_в_году)*J449</f>
        <v>0</v>
      </c>
      <c s="125">
        <f>-MIN(K492+K535,$D535*Предпосылки!$F57/Кварталов_в_году)*K449</f>
        <v>0</v>
      </c>
      <c s="125">
        <f>-MIN(L492+L535,$D535*Предпосылки!$F57/Кварталов_в_году)*L449</f>
        <v>0</v>
      </c>
      <c s="125">
        <f>-MIN(M492+M535,$D535*Предпосылки!$F57/Кварталов_в_году)*M449</f>
        <v>0</v>
      </c>
      <c s="125">
        <f>-MIN(N492+N535,$D535*Предпосылки!$F57/Кварталов_в_году)*N449</f>
        <v>0</v>
      </c>
      <c s="125">
        <f>-MIN(O492+O535,$D535*Предпосылки!$F57/Кварталов_в_году)*O449</f>
        <v>0</v>
      </c>
      <c s="125">
        <f>-MIN(P492+P535,$D535*Предпосылки!$F57/Кварталов_в_году)*P449</f>
        <v>0</v>
      </c>
      <c s="125">
        <f>-MIN(Q492+Q535,$D535*Предпосылки!$F57/Кварталов_в_году)*Q449</f>
        <v>0</v>
      </c>
      <c s="125">
        <f>-MIN(R492+R535,$D535*Предпосылки!$F57/Кварталов_в_году)*R449</f>
        <v>0</v>
      </c>
      <c s="125">
        <f>-MIN(S492+S535,$D535*Предпосылки!$F57/Кварталов_в_году)*S449</f>
        <v>0</v>
      </c>
      <c s="125">
        <f>-MIN(T492+T535,$D535*Предпосылки!$F57/Кварталов_в_году)*T449</f>
        <v>0</v>
      </c>
      <c s="125">
        <f>-MIN(U492+U535,$D535*Предпосылки!$F57/Кварталов_в_году)*U449</f>
        <v>0</v>
      </c>
      <c s="125">
        <f>-MIN(V492+V535,$D535*Предпосылки!$F57/Кварталов_в_году)*V449</f>
        <v>0</v>
      </c>
      <c s="125">
        <f>-MIN(W492+W535,$D535*Предпосылки!$F57/Кварталов_в_году)*W449</f>
        <v>0</v>
      </c>
      <c s="125">
        <f>-MIN(X492+X535,$D535*Предпосылки!$F57/Кварталов_в_году)*X449</f>
        <v>0</v>
      </c>
      <c s="125">
        <f>-MIN(Y492+Y535,$D535*Предпосылки!$F57/Кварталов_в_году)*Y449</f>
        <v>0</v>
      </c>
      <c s="125">
        <f>-MIN(Z492+Z535,$D535*Предпосылки!$F57/Кварталов_в_году)*Z449</f>
        <v>0</v>
      </c>
      <c s="125">
        <f>-MIN(AA492+AA535,$D535*Предпосылки!$F57/Кварталов_в_году)*AA449</f>
        <v>0</v>
      </c>
      <c s="125">
        <f>-MIN(AB492+AB535,$D535*Предпосылки!$F57/Кварталов_в_году)*AB449</f>
        <v>0</v>
      </c>
      <c s="125">
        <f>-MIN(AC492+AC535,$D535*Предпосылки!$F57/Кварталов_в_году)*AC449</f>
        <v>0</v>
      </c>
      <c s="125">
        <f>-MIN(AD492+AD535,$D535*Предпосылки!$F57/Кварталов_в_году)*AD449</f>
        <v>0</v>
      </c>
      <c s="125">
        <f>-MIN(AE492+AE535,$D535*Предпосылки!$F57/Кварталов_в_году)*AE449</f>
        <v>0</v>
      </c>
      <c s="125">
        <f>-MIN(AF492+AF535,$D535*Предпосылки!$F57/Кварталов_в_году)*AF449</f>
        <v>0</v>
      </c>
      <c s="125">
        <f>-MIN(AG492+AG535,$D535*Предпосылки!$F57/Кварталов_в_году)*AG449</f>
        <v>0</v>
      </c>
      <c s="125">
        <f>-MIN(AH492+AH535,$D535*Предпосылки!$F57/Кварталов_в_году)*AH449</f>
        <v>0</v>
      </c>
      <c s="125">
        <f>-MIN(AI492+AI535,$D535*Предпосылки!$F57/Кварталов_в_году)*AI449</f>
        <v>0</v>
      </c>
      <c s="125">
        <f>-MIN(AJ492+AJ535,$D535*Предпосылки!$F57/Кварталов_в_году)*AJ449</f>
        <v>0</v>
      </c>
      <c s="125">
        <f>-MIN(AK492+AK535,$D535*Предпосылки!$F57/Кварталов_в_году)*AK449</f>
        <v>0</v>
      </c>
      <c s="125">
        <f>-MIN(AL492+AL535,$D535*Предпосылки!$F57/Кварталов_в_году)*AL449</f>
        <v>0</v>
      </c>
      <c s="125">
        <f>-MIN(AM492+AM535,$D535*Предпосылки!$F57/Кварталов_в_году)*AM449</f>
        <v>0</v>
      </c>
      <c s="125">
        <f>-MIN(AN492+AN535,$D535*Предпосылки!$F57/Кварталов_в_году)*AN449</f>
        <v>0</v>
      </c>
      <c s="125">
        <f>-MIN(AO492+AO535,$D535*Предпосылки!$F57/Кварталов_в_году)*AO449</f>
        <v>0</v>
      </c>
      <c s="125">
        <f>-MIN(AP492+AP535,$D535*Предпосылки!$F57/Кварталов_в_году)*AP449</f>
        <v>0</v>
      </c>
      <c s="125">
        <f>-MIN(AQ492+AQ535,$D535*Предпосылки!$F57/Кварталов_в_году)*AQ449</f>
        <v>0</v>
      </c>
      <c s="125">
        <f>-MIN(AR492+AR535,$D535*Предпосылки!$F57/Кварталов_в_году)*AR449</f>
        <v>0</v>
      </c>
      <c s="125">
        <f>-MIN(AS492+AS535,$D535*Предпосылки!$F57/Кварталов_в_году)*AS449</f>
        <v>0</v>
      </c>
      <c s="125">
        <f>-MIN(AT492+AT535,$D535*Предпосылки!$F57/Кварталов_в_году)*AT449</f>
        <v>0</v>
      </c>
      <c s="125">
        <f>-MIN(AU492+AU535,$D535*Предпосылки!$F57/Кварталов_в_году)*AU449</f>
        <v>0</v>
      </c>
      <c s="125">
        <f>-MIN(AV492+AV535,$D535*Предпосылки!$F57/Кварталов_в_году)*AV449</f>
        <v>0</v>
      </c>
      <c s="125">
        <f>-MIN(AW492+AW535,$D535*Предпосылки!$F57/Кварталов_в_году)*AW449</f>
        <v>0</v>
      </c>
      <c s="125">
        <f>-MIN(AX492+AX535,$D535*Предпосылки!$F57/Кварталов_в_году)*AX449</f>
        <v>0</v>
      </c>
      <c s="125">
        <f>-MIN(AY492+AY535,$D535*Предпосылки!$F57/Кварталов_в_году)*AY449</f>
        <v>0</v>
      </c>
      <c s="125">
        <f>-MIN(AZ492+AZ535,$D535*Предпосылки!$F57/Кварталов_в_году)*AZ449</f>
        <v>0</v>
      </c>
      <c s="125">
        <f>-MIN(BA492+BA535,$D535*Предпосылки!$F57/Кварталов_в_году)*BA449</f>
        <v>0</v>
      </c>
      <c s="125">
        <f>-MIN(BB492+BB535,$D535*Предпосылки!$F57/Кварталов_в_году)*BB449</f>
        <v>0</v>
      </c>
      <c s="125">
        <f>-MIN(BC492+BC535,$D535*Предпосылки!$F57/Кварталов_в_году)*BC449</f>
        <v>0</v>
      </c>
      <c s="125">
        <f>-MIN(BD492+BD535,$D535*Предпосылки!$F57/Кварталов_в_году)*BD449</f>
        <v>0</v>
      </c>
      <c s="125">
        <f>-MIN(BE492+BE535,$D535*Предпосылки!$F57/Кварталов_в_году)*BE449</f>
        <v>0</v>
      </c>
      <c s="125">
        <f>-MIN(BF492+BF535,$D535*Предпосылки!$F57/Кварталов_в_году)*BF449</f>
        <v>0</v>
      </c>
      <c s="125">
        <f>-MIN(BG492+BG535,$D535*Предпосылки!$F57/Кварталов_в_году)*BG449</f>
        <v>0</v>
      </c>
      <c s="125">
        <f>-MIN(BH492+BH535,$D535*Предпосылки!$F57/Кварталов_в_году)*BH449</f>
        <v>0</v>
      </c>
      <c s="125">
        <f>-MIN(BI492+BI535,$D535*Предпосылки!$F57/Кварталов_в_году)*BI449</f>
        <v>0</v>
      </c>
      <c s="125">
        <f>-MIN(BJ492+BJ535,$D535*Предпосылки!$F57/Кварталов_в_году)*BJ449</f>
        <v>0</v>
      </c>
      <c s="125">
        <f>-MIN(BK492+BK535,$D535*Предпосылки!$F57/Кварталов_в_году)*BK449</f>
        <v>0</v>
      </c>
      <c s="125">
        <f>-MIN(BL492+BL535,$D535*Предпосылки!$F57/Кварталов_в_году)*BL449</f>
        <v>0</v>
      </c>
      <c s="125">
        <f>-MIN(BM492+BM535,$D535*Предпосылки!$F57/Кварталов_в_году)*BM449</f>
        <v>0</v>
      </c>
    </row>
    <row r="579" spans="2:65" ht="15" customHeight="1">
      <c r="B579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-MIN(E493+E536,$D536*Предпосылки!$F58/Кварталов_в_году)*E450</f>
        <v>0</v>
      </c>
      <c s="125">
        <f>-MIN(F493+F536,$D536*Предпосылки!$F58/Кварталов_в_году)*F450</f>
        <v>0</v>
      </c>
      <c s="125">
        <f>-MIN(G493+G536,$D536*Предпосылки!$F58/Кварталов_в_году)*G450</f>
        <v>0</v>
      </c>
      <c s="125">
        <f>-MIN(H493+H536,$D536*Предпосылки!$F58/Кварталов_в_году)*H450</f>
        <v>0</v>
      </c>
      <c s="125">
        <f>-MIN(I493+I536,$D536*Предпосылки!$F58/Кварталов_в_году)*I450</f>
        <v>0</v>
      </c>
      <c s="125">
        <f>-MIN(J493+J536,$D536*Предпосылки!$F58/Кварталов_в_году)*J450</f>
        <v>0</v>
      </c>
      <c s="125">
        <f>-MIN(K493+K536,$D536*Предпосылки!$F58/Кварталов_в_году)*K450</f>
        <v>0</v>
      </c>
      <c s="125">
        <f>-MIN(L493+L536,$D536*Предпосылки!$F58/Кварталов_в_году)*L450</f>
        <v>0</v>
      </c>
      <c s="125">
        <f>-MIN(M493+M536,$D536*Предпосылки!$F58/Кварталов_в_году)*M450</f>
        <v>0</v>
      </c>
      <c s="125">
        <f>-MIN(N493+N536,$D536*Предпосылки!$F58/Кварталов_в_году)*N450</f>
        <v>0</v>
      </c>
      <c s="125">
        <f>-MIN(O493+O536,$D536*Предпосылки!$F58/Кварталов_в_году)*O450</f>
        <v>0</v>
      </c>
      <c s="125">
        <f>-MIN(P493+P536,$D536*Предпосылки!$F58/Кварталов_в_году)*P450</f>
        <v>0</v>
      </c>
      <c s="125">
        <f>-MIN(Q493+Q536,$D536*Предпосылки!$F58/Кварталов_в_году)*Q450</f>
        <v>0</v>
      </c>
      <c s="125">
        <f>-MIN(R493+R536,$D536*Предпосылки!$F58/Кварталов_в_году)*R450</f>
        <v>0</v>
      </c>
      <c s="125">
        <f>-MIN(S493+S536,$D536*Предпосылки!$F58/Кварталов_в_году)*S450</f>
        <v>0</v>
      </c>
      <c s="125">
        <f>-MIN(T493+T536,$D536*Предпосылки!$F58/Кварталов_в_году)*T450</f>
        <v>0</v>
      </c>
      <c s="125">
        <f>-MIN(U493+U536,$D536*Предпосылки!$F58/Кварталов_в_году)*U450</f>
        <v>0</v>
      </c>
      <c s="125">
        <f>-MIN(V493+V536,$D536*Предпосылки!$F58/Кварталов_в_году)*V450</f>
        <v>0</v>
      </c>
      <c s="125">
        <f>-MIN(W493+W536,$D536*Предпосылки!$F58/Кварталов_в_году)*W450</f>
        <v>0</v>
      </c>
      <c s="125">
        <f>-MIN(X493+X536,$D536*Предпосылки!$F58/Кварталов_в_году)*X450</f>
        <v>0</v>
      </c>
      <c s="125">
        <f>-MIN(Y493+Y536,$D536*Предпосылки!$F58/Кварталов_в_году)*Y450</f>
        <v>0</v>
      </c>
      <c s="125">
        <f>-MIN(Z493+Z536,$D536*Предпосылки!$F58/Кварталов_в_году)*Z450</f>
        <v>0</v>
      </c>
      <c s="125">
        <f>-MIN(AA493+AA536,$D536*Предпосылки!$F58/Кварталов_в_году)*AA450</f>
        <v>0</v>
      </c>
      <c s="125">
        <f>-MIN(AB493+AB536,$D536*Предпосылки!$F58/Кварталов_в_году)*AB450</f>
        <v>0</v>
      </c>
      <c s="125">
        <f>-MIN(AC493+AC536,$D536*Предпосылки!$F58/Кварталов_в_году)*AC450</f>
        <v>0</v>
      </c>
      <c s="125">
        <f>-MIN(AD493+AD536,$D536*Предпосылки!$F58/Кварталов_в_году)*AD450</f>
        <v>0</v>
      </c>
      <c s="125">
        <f>-MIN(AE493+AE536,$D536*Предпосылки!$F58/Кварталов_в_году)*AE450</f>
        <v>0</v>
      </c>
      <c s="125">
        <f>-MIN(AF493+AF536,$D536*Предпосылки!$F58/Кварталов_в_году)*AF450</f>
        <v>0</v>
      </c>
      <c s="125">
        <f>-MIN(AG493+AG536,$D536*Предпосылки!$F58/Кварталов_в_году)*AG450</f>
        <v>0</v>
      </c>
      <c s="125">
        <f>-MIN(AH493+AH536,$D536*Предпосылки!$F58/Кварталов_в_году)*AH450</f>
        <v>0</v>
      </c>
      <c s="125">
        <f>-MIN(AI493+AI536,$D536*Предпосылки!$F58/Кварталов_в_году)*AI450</f>
        <v>0</v>
      </c>
      <c s="125">
        <f>-MIN(AJ493+AJ536,$D536*Предпосылки!$F58/Кварталов_в_году)*AJ450</f>
        <v>0</v>
      </c>
      <c s="125">
        <f>-MIN(AK493+AK536,$D536*Предпосылки!$F58/Кварталов_в_году)*AK450</f>
        <v>0</v>
      </c>
      <c s="125">
        <f>-MIN(AL493+AL536,$D536*Предпосылки!$F58/Кварталов_в_году)*AL450</f>
        <v>0</v>
      </c>
      <c s="125">
        <f>-MIN(AM493+AM536,$D536*Предпосылки!$F58/Кварталов_в_году)*AM450</f>
        <v>0</v>
      </c>
      <c s="125">
        <f>-MIN(AN493+AN536,$D536*Предпосылки!$F58/Кварталов_в_году)*AN450</f>
        <v>0</v>
      </c>
      <c s="125">
        <f>-MIN(AO493+AO536,$D536*Предпосылки!$F58/Кварталов_в_году)*AO450</f>
        <v>0</v>
      </c>
      <c s="125">
        <f>-MIN(AP493+AP536,$D536*Предпосылки!$F58/Кварталов_в_году)*AP450</f>
        <v>0</v>
      </c>
      <c s="125">
        <f>-MIN(AQ493+AQ536,$D536*Предпосылки!$F58/Кварталов_в_году)*AQ450</f>
        <v>0</v>
      </c>
      <c s="125">
        <f>-MIN(AR493+AR536,$D536*Предпосылки!$F58/Кварталов_в_году)*AR450</f>
        <v>0</v>
      </c>
      <c s="125">
        <f>-MIN(AS493+AS536,$D536*Предпосылки!$F58/Кварталов_в_году)*AS450</f>
        <v>0</v>
      </c>
      <c s="125">
        <f>-MIN(AT493+AT536,$D536*Предпосылки!$F58/Кварталов_в_году)*AT450</f>
        <v>0</v>
      </c>
      <c s="125">
        <f>-MIN(AU493+AU536,$D536*Предпосылки!$F58/Кварталов_в_году)*AU450</f>
        <v>0</v>
      </c>
      <c s="125">
        <f>-MIN(AV493+AV536,$D536*Предпосылки!$F58/Кварталов_в_году)*AV450</f>
        <v>0</v>
      </c>
      <c s="125">
        <f>-MIN(AW493+AW536,$D536*Предпосылки!$F58/Кварталов_в_году)*AW450</f>
        <v>0</v>
      </c>
      <c s="125">
        <f>-MIN(AX493+AX536,$D536*Предпосылки!$F58/Кварталов_в_году)*AX450</f>
        <v>0</v>
      </c>
      <c s="125">
        <f>-MIN(AY493+AY536,$D536*Предпосылки!$F58/Кварталов_в_году)*AY450</f>
        <v>0</v>
      </c>
      <c s="125">
        <f>-MIN(AZ493+AZ536,$D536*Предпосылки!$F58/Кварталов_в_году)*AZ450</f>
        <v>0</v>
      </c>
      <c s="125">
        <f>-MIN(BA493+BA536,$D536*Предпосылки!$F58/Кварталов_в_году)*BA450</f>
        <v>0</v>
      </c>
      <c s="125">
        <f>-MIN(BB493+BB536,$D536*Предпосылки!$F58/Кварталов_в_году)*BB450</f>
        <v>0</v>
      </c>
      <c s="125">
        <f>-MIN(BC493+BC536,$D536*Предпосылки!$F58/Кварталов_в_году)*BC450</f>
        <v>0</v>
      </c>
      <c s="125">
        <f>-MIN(BD493+BD536,$D536*Предпосылки!$F58/Кварталов_в_году)*BD450</f>
        <v>0</v>
      </c>
      <c s="125">
        <f>-MIN(BE493+BE536,$D536*Предпосылки!$F58/Кварталов_в_году)*BE450</f>
        <v>0</v>
      </c>
      <c s="125">
        <f>-MIN(BF493+BF536,$D536*Предпосылки!$F58/Кварталов_в_году)*BF450</f>
        <v>0</v>
      </c>
      <c s="125">
        <f>-MIN(BG493+BG536,$D536*Предпосылки!$F58/Кварталов_в_году)*BG450</f>
        <v>0</v>
      </c>
      <c s="125">
        <f>-MIN(BH493+BH536,$D536*Предпосылки!$F58/Кварталов_в_году)*BH450</f>
        <v>0</v>
      </c>
      <c s="125">
        <f>-MIN(BI493+BI536,$D536*Предпосылки!$F58/Кварталов_в_году)*BI450</f>
        <v>0</v>
      </c>
      <c s="125">
        <f>-MIN(BJ493+BJ536,$D536*Предпосылки!$F58/Кварталов_в_году)*BJ450</f>
        <v>0</v>
      </c>
      <c s="125">
        <f>-MIN(BK493+BK536,$D536*Предпосылки!$F58/Кварталов_в_году)*BK450</f>
        <v>0</v>
      </c>
      <c s="125">
        <f>-MIN(BL493+BL536,$D536*Предпосылки!$F58/Кварталов_в_году)*BL450</f>
        <v>0</v>
      </c>
      <c s="125">
        <f>-MIN(BM493+BM536,$D536*Предпосылки!$F58/Кварталов_в_году)*BM450</f>
        <v>0</v>
      </c>
    </row>
    <row r="580" spans="2:65" ht="15" customHeight="1">
      <c r="B580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-MIN(E494+E537,$D537*Предпосылки!$F59/Кварталов_в_году)*E451</f>
        <v>0</v>
      </c>
      <c s="125">
        <f>-MIN(F494+F537,$D537*Предпосылки!$F59/Кварталов_в_году)*F451</f>
        <v>0</v>
      </c>
      <c s="125">
        <f>-MIN(G494+G537,$D537*Предпосылки!$F59/Кварталов_в_году)*G451</f>
        <v>0</v>
      </c>
      <c s="125">
        <f>-MIN(H494+H537,$D537*Предпосылки!$F59/Кварталов_в_году)*H451</f>
        <v>0</v>
      </c>
      <c s="125">
        <f>-MIN(I494+I537,$D537*Предпосылки!$F59/Кварталов_в_году)*I451</f>
        <v>0</v>
      </c>
      <c s="125">
        <f>-MIN(J494+J537,$D537*Предпосылки!$F59/Кварталов_в_году)*J451</f>
        <v>0</v>
      </c>
      <c s="125">
        <f>-MIN(K494+K537,$D537*Предпосылки!$F59/Кварталов_в_году)*K451</f>
        <v>0</v>
      </c>
      <c s="125">
        <f>-MIN(L494+L537,$D537*Предпосылки!$F59/Кварталов_в_году)*L451</f>
        <v>0</v>
      </c>
      <c s="125">
        <f>-MIN(M494+M537,$D537*Предпосылки!$F59/Кварталов_в_году)*M451</f>
        <v>0</v>
      </c>
      <c s="125">
        <f>-MIN(N494+N537,$D537*Предпосылки!$F59/Кварталов_в_году)*N451</f>
        <v>0</v>
      </c>
      <c s="125">
        <f>-MIN(O494+O537,$D537*Предпосылки!$F59/Кварталов_в_году)*O451</f>
        <v>0</v>
      </c>
      <c s="125">
        <f>-MIN(P494+P537,$D537*Предпосылки!$F59/Кварталов_в_году)*P451</f>
        <v>0</v>
      </c>
      <c s="125">
        <f>-MIN(Q494+Q537,$D537*Предпосылки!$F59/Кварталов_в_году)*Q451</f>
        <v>0</v>
      </c>
      <c s="125">
        <f>-MIN(R494+R537,$D537*Предпосылки!$F59/Кварталов_в_году)*R451</f>
        <v>0</v>
      </c>
      <c s="125">
        <f>-MIN(S494+S537,$D537*Предпосылки!$F59/Кварталов_в_году)*S451</f>
        <v>0</v>
      </c>
      <c s="125">
        <f>-MIN(T494+T537,$D537*Предпосылки!$F59/Кварталов_в_году)*T451</f>
        <v>0</v>
      </c>
      <c s="125">
        <f>-MIN(U494+U537,$D537*Предпосылки!$F59/Кварталов_в_году)*U451</f>
        <v>0</v>
      </c>
      <c s="125">
        <f>-MIN(V494+V537,$D537*Предпосылки!$F59/Кварталов_в_году)*V451</f>
        <v>0</v>
      </c>
      <c s="125">
        <f>-MIN(W494+W537,$D537*Предпосылки!$F59/Кварталов_в_году)*W451</f>
        <v>0</v>
      </c>
      <c s="125">
        <f>-MIN(X494+X537,$D537*Предпосылки!$F59/Кварталов_в_году)*X451</f>
        <v>0</v>
      </c>
      <c s="125">
        <f>-MIN(Y494+Y537,$D537*Предпосылки!$F59/Кварталов_в_году)*Y451</f>
        <v>0</v>
      </c>
      <c s="125">
        <f>-MIN(Z494+Z537,$D537*Предпосылки!$F59/Кварталов_в_году)*Z451</f>
        <v>0</v>
      </c>
      <c s="125">
        <f>-MIN(AA494+AA537,$D537*Предпосылки!$F59/Кварталов_в_году)*AA451</f>
        <v>0</v>
      </c>
      <c s="125">
        <f>-MIN(AB494+AB537,$D537*Предпосылки!$F59/Кварталов_в_году)*AB451</f>
        <v>0</v>
      </c>
      <c s="125">
        <f>-MIN(AC494+AC537,$D537*Предпосылки!$F59/Кварталов_в_году)*AC451</f>
        <v>0</v>
      </c>
      <c s="125">
        <f>-MIN(AD494+AD537,$D537*Предпосылки!$F59/Кварталов_в_году)*AD451</f>
        <v>0</v>
      </c>
      <c s="125">
        <f>-MIN(AE494+AE537,$D537*Предпосылки!$F59/Кварталов_в_году)*AE451</f>
        <v>0</v>
      </c>
      <c s="125">
        <f>-MIN(AF494+AF537,$D537*Предпосылки!$F59/Кварталов_в_году)*AF451</f>
        <v>0</v>
      </c>
      <c s="125">
        <f>-MIN(AG494+AG537,$D537*Предпосылки!$F59/Кварталов_в_году)*AG451</f>
        <v>0</v>
      </c>
      <c s="125">
        <f>-MIN(AH494+AH537,$D537*Предпосылки!$F59/Кварталов_в_году)*AH451</f>
        <v>0</v>
      </c>
      <c s="125">
        <f>-MIN(AI494+AI537,$D537*Предпосылки!$F59/Кварталов_в_году)*AI451</f>
        <v>0</v>
      </c>
      <c s="125">
        <f>-MIN(AJ494+AJ537,$D537*Предпосылки!$F59/Кварталов_в_году)*AJ451</f>
        <v>0</v>
      </c>
      <c s="125">
        <f>-MIN(AK494+AK537,$D537*Предпосылки!$F59/Кварталов_в_году)*AK451</f>
        <v>0</v>
      </c>
      <c s="125">
        <f>-MIN(AL494+AL537,$D537*Предпосылки!$F59/Кварталов_в_году)*AL451</f>
        <v>0</v>
      </c>
      <c s="125">
        <f>-MIN(AM494+AM537,$D537*Предпосылки!$F59/Кварталов_в_году)*AM451</f>
        <v>0</v>
      </c>
      <c s="125">
        <f>-MIN(AN494+AN537,$D537*Предпосылки!$F59/Кварталов_в_году)*AN451</f>
        <v>0</v>
      </c>
      <c s="125">
        <f>-MIN(AO494+AO537,$D537*Предпосылки!$F59/Кварталов_в_году)*AO451</f>
        <v>0</v>
      </c>
      <c s="125">
        <f>-MIN(AP494+AP537,$D537*Предпосылки!$F59/Кварталов_в_году)*AP451</f>
        <v>0</v>
      </c>
      <c s="125">
        <f>-MIN(AQ494+AQ537,$D537*Предпосылки!$F59/Кварталов_в_году)*AQ451</f>
        <v>0</v>
      </c>
      <c s="125">
        <f>-MIN(AR494+AR537,$D537*Предпосылки!$F59/Кварталов_в_году)*AR451</f>
        <v>0</v>
      </c>
      <c s="125">
        <f>-MIN(AS494+AS537,$D537*Предпосылки!$F59/Кварталов_в_году)*AS451</f>
        <v>0</v>
      </c>
      <c s="125">
        <f>-MIN(AT494+AT537,$D537*Предпосылки!$F59/Кварталов_в_году)*AT451</f>
        <v>0</v>
      </c>
      <c s="125">
        <f>-MIN(AU494+AU537,$D537*Предпосылки!$F59/Кварталов_в_году)*AU451</f>
        <v>0</v>
      </c>
      <c s="125">
        <f>-MIN(AV494+AV537,$D537*Предпосылки!$F59/Кварталов_в_году)*AV451</f>
        <v>0</v>
      </c>
      <c s="125">
        <f>-MIN(AW494+AW537,$D537*Предпосылки!$F59/Кварталов_в_году)*AW451</f>
        <v>0</v>
      </c>
      <c s="125">
        <f>-MIN(AX494+AX537,$D537*Предпосылки!$F59/Кварталов_в_году)*AX451</f>
        <v>0</v>
      </c>
      <c s="125">
        <f>-MIN(AY494+AY537,$D537*Предпосылки!$F59/Кварталов_в_году)*AY451</f>
        <v>0</v>
      </c>
      <c s="125">
        <f>-MIN(AZ494+AZ537,$D537*Предпосылки!$F59/Кварталов_в_году)*AZ451</f>
        <v>0</v>
      </c>
      <c s="125">
        <f>-MIN(BA494+BA537,$D537*Предпосылки!$F59/Кварталов_в_году)*BA451</f>
        <v>0</v>
      </c>
      <c s="125">
        <f>-MIN(BB494+BB537,$D537*Предпосылки!$F59/Кварталов_в_году)*BB451</f>
        <v>0</v>
      </c>
      <c s="125">
        <f>-MIN(BC494+BC537,$D537*Предпосылки!$F59/Кварталов_в_году)*BC451</f>
        <v>0</v>
      </c>
      <c s="125">
        <f>-MIN(BD494+BD537,$D537*Предпосылки!$F59/Кварталов_в_году)*BD451</f>
        <v>0</v>
      </c>
      <c s="125">
        <f>-MIN(BE494+BE537,$D537*Предпосылки!$F59/Кварталов_в_году)*BE451</f>
        <v>0</v>
      </c>
      <c s="125">
        <f>-MIN(BF494+BF537,$D537*Предпосылки!$F59/Кварталов_в_году)*BF451</f>
        <v>0</v>
      </c>
      <c s="125">
        <f>-MIN(BG494+BG537,$D537*Предпосылки!$F59/Кварталов_в_году)*BG451</f>
        <v>0</v>
      </c>
      <c s="125">
        <f>-MIN(BH494+BH537,$D537*Предпосылки!$F59/Кварталов_в_году)*BH451</f>
        <v>0</v>
      </c>
      <c s="125">
        <f>-MIN(BI494+BI537,$D537*Предпосылки!$F59/Кварталов_в_году)*BI451</f>
        <v>0</v>
      </c>
      <c s="125">
        <f>-MIN(BJ494+BJ537,$D537*Предпосылки!$F59/Кварталов_в_году)*BJ451</f>
        <v>0</v>
      </c>
      <c s="125">
        <f>-MIN(BK494+BK537,$D537*Предпосылки!$F59/Кварталов_в_году)*BK451</f>
        <v>0</v>
      </c>
      <c s="125">
        <f>-MIN(BL494+BL537,$D537*Предпосылки!$F59/Кварталов_в_году)*BL451</f>
        <v>0</v>
      </c>
      <c s="125">
        <f>-MIN(BM494+BM537,$D537*Предпосылки!$F59/Кварталов_в_году)*BM451</f>
        <v>0</v>
      </c>
    </row>
    <row r="581" spans="2:65" ht="15" customHeight="1">
      <c r="B581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-MIN(E495+E538,$D538*Предпосылки!$F60/Кварталов_в_году)*E452</f>
        <v>0</v>
      </c>
      <c s="125">
        <f>-MIN(F495+F538,$D538*Предпосылки!$F60/Кварталов_в_году)*F452</f>
        <v>0</v>
      </c>
      <c s="125">
        <f>-MIN(G495+G538,$D538*Предпосылки!$F60/Кварталов_в_году)*G452</f>
        <v>0</v>
      </c>
      <c s="125">
        <f>-MIN(H495+H538,$D538*Предпосылки!$F60/Кварталов_в_году)*H452</f>
        <v>0</v>
      </c>
      <c s="125">
        <f>-MIN(I495+I538,$D538*Предпосылки!$F60/Кварталов_в_году)*I452</f>
        <v>0</v>
      </c>
      <c s="125">
        <f>-MIN(J495+J538,$D538*Предпосылки!$F60/Кварталов_в_году)*J452</f>
        <v>0</v>
      </c>
      <c s="125">
        <f>-MIN(K495+K538,$D538*Предпосылки!$F60/Кварталов_в_году)*K452</f>
        <v>0</v>
      </c>
      <c s="125">
        <f>-MIN(L495+L538,$D538*Предпосылки!$F60/Кварталов_в_году)*L452</f>
        <v>0</v>
      </c>
      <c s="125">
        <f>-MIN(M495+M538,$D538*Предпосылки!$F60/Кварталов_в_году)*M452</f>
        <v>0</v>
      </c>
      <c s="125">
        <f>-MIN(N495+N538,$D538*Предпосылки!$F60/Кварталов_в_году)*N452</f>
        <v>0</v>
      </c>
      <c s="125">
        <f>-MIN(O495+O538,$D538*Предпосылки!$F60/Кварталов_в_году)*O452</f>
        <v>0</v>
      </c>
      <c s="125">
        <f>-MIN(P495+P538,$D538*Предпосылки!$F60/Кварталов_в_году)*P452</f>
        <v>0</v>
      </c>
      <c s="125">
        <f>-MIN(Q495+Q538,$D538*Предпосылки!$F60/Кварталов_в_году)*Q452</f>
        <v>0</v>
      </c>
      <c s="125">
        <f>-MIN(R495+R538,$D538*Предпосылки!$F60/Кварталов_в_году)*R452</f>
        <v>0</v>
      </c>
      <c s="125">
        <f>-MIN(S495+S538,$D538*Предпосылки!$F60/Кварталов_в_году)*S452</f>
        <v>0</v>
      </c>
      <c s="125">
        <f>-MIN(T495+T538,$D538*Предпосылки!$F60/Кварталов_в_году)*T452</f>
        <v>0</v>
      </c>
      <c s="125">
        <f>-MIN(U495+U538,$D538*Предпосылки!$F60/Кварталов_в_году)*U452</f>
        <v>0</v>
      </c>
      <c s="125">
        <f>-MIN(V495+V538,$D538*Предпосылки!$F60/Кварталов_в_году)*V452</f>
        <v>0</v>
      </c>
      <c s="125">
        <f>-MIN(W495+W538,$D538*Предпосылки!$F60/Кварталов_в_году)*W452</f>
        <v>0</v>
      </c>
      <c s="125">
        <f>-MIN(X495+X538,$D538*Предпосылки!$F60/Кварталов_в_году)*X452</f>
        <v>0</v>
      </c>
      <c s="125">
        <f>-MIN(Y495+Y538,$D538*Предпосылки!$F60/Кварталов_в_году)*Y452</f>
        <v>0</v>
      </c>
      <c s="125">
        <f>-MIN(Z495+Z538,$D538*Предпосылки!$F60/Кварталов_в_году)*Z452</f>
        <v>0</v>
      </c>
      <c s="125">
        <f>-MIN(AA495+AA538,$D538*Предпосылки!$F60/Кварталов_в_году)*AA452</f>
        <v>0</v>
      </c>
      <c s="125">
        <f>-MIN(AB495+AB538,$D538*Предпосылки!$F60/Кварталов_в_году)*AB452</f>
        <v>0</v>
      </c>
      <c s="125">
        <f>-MIN(AC495+AC538,$D538*Предпосылки!$F60/Кварталов_в_году)*AC452</f>
        <v>0</v>
      </c>
      <c s="125">
        <f>-MIN(AD495+AD538,$D538*Предпосылки!$F60/Кварталов_в_году)*AD452</f>
        <v>0</v>
      </c>
      <c s="125">
        <f>-MIN(AE495+AE538,$D538*Предпосылки!$F60/Кварталов_в_году)*AE452</f>
        <v>0</v>
      </c>
      <c s="125">
        <f>-MIN(AF495+AF538,$D538*Предпосылки!$F60/Кварталов_в_году)*AF452</f>
        <v>0</v>
      </c>
      <c s="125">
        <f>-MIN(AG495+AG538,$D538*Предпосылки!$F60/Кварталов_в_году)*AG452</f>
        <v>0</v>
      </c>
      <c s="125">
        <f>-MIN(AH495+AH538,$D538*Предпосылки!$F60/Кварталов_в_году)*AH452</f>
        <v>0</v>
      </c>
      <c s="125">
        <f>-MIN(AI495+AI538,$D538*Предпосылки!$F60/Кварталов_в_году)*AI452</f>
        <v>0</v>
      </c>
      <c s="125">
        <f>-MIN(AJ495+AJ538,$D538*Предпосылки!$F60/Кварталов_в_году)*AJ452</f>
        <v>0</v>
      </c>
      <c s="125">
        <f>-MIN(AK495+AK538,$D538*Предпосылки!$F60/Кварталов_в_году)*AK452</f>
        <v>0</v>
      </c>
      <c s="125">
        <f>-MIN(AL495+AL538,$D538*Предпосылки!$F60/Кварталов_в_году)*AL452</f>
        <v>0</v>
      </c>
      <c s="125">
        <f>-MIN(AM495+AM538,$D538*Предпосылки!$F60/Кварталов_в_году)*AM452</f>
        <v>0</v>
      </c>
      <c s="125">
        <f>-MIN(AN495+AN538,$D538*Предпосылки!$F60/Кварталов_в_году)*AN452</f>
        <v>0</v>
      </c>
      <c s="125">
        <f>-MIN(AO495+AO538,$D538*Предпосылки!$F60/Кварталов_в_году)*AO452</f>
        <v>0</v>
      </c>
      <c s="125">
        <f>-MIN(AP495+AP538,$D538*Предпосылки!$F60/Кварталов_в_году)*AP452</f>
        <v>0</v>
      </c>
      <c s="125">
        <f>-MIN(AQ495+AQ538,$D538*Предпосылки!$F60/Кварталов_в_году)*AQ452</f>
        <v>0</v>
      </c>
      <c s="125">
        <f>-MIN(AR495+AR538,$D538*Предпосылки!$F60/Кварталов_в_году)*AR452</f>
        <v>0</v>
      </c>
      <c s="125">
        <f>-MIN(AS495+AS538,$D538*Предпосылки!$F60/Кварталов_в_году)*AS452</f>
        <v>0</v>
      </c>
      <c s="125">
        <f>-MIN(AT495+AT538,$D538*Предпосылки!$F60/Кварталов_в_году)*AT452</f>
        <v>0</v>
      </c>
      <c s="125">
        <f>-MIN(AU495+AU538,$D538*Предпосылки!$F60/Кварталов_в_году)*AU452</f>
        <v>0</v>
      </c>
      <c s="125">
        <f>-MIN(AV495+AV538,$D538*Предпосылки!$F60/Кварталов_в_году)*AV452</f>
        <v>0</v>
      </c>
      <c s="125">
        <f>-MIN(AW495+AW538,$D538*Предпосылки!$F60/Кварталов_в_году)*AW452</f>
        <v>0</v>
      </c>
      <c s="125">
        <f>-MIN(AX495+AX538,$D538*Предпосылки!$F60/Кварталов_в_году)*AX452</f>
        <v>0</v>
      </c>
      <c s="125">
        <f>-MIN(AY495+AY538,$D538*Предпосылки!$F60/Кварталов_в_году)*AY452</f>
        <v>0</v>
      </c>
      <c s="125">
        <f>-MIN(AZ495+AZ538,$D538*Предпосылки!$F60/Кварталов_в_году)*AZ452</f>
        <v>0</v>
      </c>
      <c s="125">
        <f>-MIN(BA495+BA538,$D538*Предпосылки!$F60/Кварталов_в_году)*BA452</f>
        <v>0</v>
      </c>
      <c s="125">
        <f>-MIN(BB495+BB538,$D538*Предпосылки!$F60/Кварталов_в_году)*BB452</f>
        <v>0</v>
      </c>
      <c s="125">
        <f>-MIN(BC495+BC538,$D538*Предпосылки!$F60/Кварталов_в_году)*BC452</f>
        <v>0</v>
      </c>
      <c s="125">
        <f>-MIN(BD495+BD538,$D538*Предпосылки!$F60/Кварталов_в_году)*BD452</f>
        <v>0</v>
      </c>
      <c s="125">
        <f>-MIN(BE495+BE538,$D538*Предпосылки!$F60/Кварталов_в_году)*BE452</f>
        <v>0</v>
      </c>
      <c s="125">
        <f>-MIN(BF495+BF538,$D538*Предпосылки!$F60/Кварталов_в_году)*BF452</f>
        <v>0</v>
      </c>
      <c s="125">
        <f>-MIN(BG495+BG538,$D538*Предпосылки!$F60/Кварталов_в_году)*BG452</f>
        <v>0</v>
      </c>
      <c s="125">
        <f>-MIN(BH495+BH538,$D538*Предпосылки!$F60/Кварталов_в_году)*BH452</f>
        <v>0</v>
      </c>
      <c s="125">
        <f>-MIN(BI495+BI538,$D538*Предпосылки!$F60/Кварталов_в_году)*BI452</f>
        <v>0</v>
      </c>
      <c s="125">
        <f>-MIN(BJ495+BJ538,$D538*Предпосылки!$F60/Кварталов_в_году)*BJ452</f>
        <v>0</v>
      </c>
      <c s="125">
        <f>-MIN(BK495+BK538,$D538*Предпосылки!$F60/Кварталов_в_году)*BK452</f>
        <v>0</v>
      </c>
      <c s="125">
        <f>-MIN(BL495+BL538,$D538*Предпосылки!$F60/Кварталов_в_году)*BL452</f>
        <v>0</v>
      </c>
      <c s="125">
        <f>-MIN(BM495+BM538,$D538*Предпосылки!$F60/Кварталов_в_году)*BM452</f>
        <v>0</v>
      </c>
    </row>
    <row r="582" spans="2:65" ht="15" customHeight="1">
      <c r="B582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-MIN(E496+E539,$D539*Предпосылки!$F61/Кварталов_в_году)*E453</f>
        <v>0</v>
      </c>
      <c s="125">
        <f>-MIN(F496+F539,$D539*Предпосылки!$F61/Кварталов_в_году)*F453</f>
        <v>0</v>
      </c>
      <c s="125">
        <f>-MIN(G496+G539,$D539*Предпосылки!$F61/Кварталов_в_году)*G453</f>
        <v>0</v>
      </c>
      <c s="125">
        <f>-MIN(H496+H539,$D539*Предпосылки!$F61/Кварталов_в_году)*H453</f>
        <v>0</v>
      </c>
      <c s="125">
        <f>-MIN(I496+I539,$D539*Предпосылки!$F61/Кварталов_в_году)*I453</f>
        <v>0</v>
      </c>
      <c s="125">
        <f>-MIN(J496+J539,$D539*Предпосылки!$F61/Кварталов_в_году)*J453</f>
        <v>0</v>
      </c>
      <c s="125">
        <f>-MIN(K496+K539,$D539*Предпосылки!$F61/Кварталов_в_году)*K453</f>
        <v>0</v>
      </c>
      <c s="125">
        <f>-MIN(L496+L539,$D539*Предпосылки!$F61/Кварталов_в_году)*L453</f>
        <v>0</v>
      </c>
      <c s="125">
        <f>-MIN(M496+M539,$D539*Предпосылки!$F61/Кварталов_в_году)*M453</f>
        <v>0</v>
      </c>
      <c s="125">
        <f>-MIN(N496+N539,$D539*Предпосылки!$F61/Кварталов_в_году)*N453</f>
        <v>0</v>
      </c>
      <c s="125">
        <f>-MIN(O496+O539,$D539*Предпосылки!$F61/Кварталов_в_году)*O453</f>
        <v>0</v>
      </c>
      <c s="125">
        <f>-MIN(P496+P539,$D539*Предпосылки!$F61/Кварталов_в_году)*P453</f>
        <v>0</v>
      </c>
      <c s="125">
        <f>-MIN(Q496+Q539,$D539*Предпосылки!$F61/Кварталов_в_году)*Q453</f>
        <v>0</v>
      </c>
      <c s="125">
        <f>-MIN(R496+R539,$D539*Предпосылки!$F61/Кварталов_в_году)*R453</f>
        <v>0</v>
      </c>
      <c s="125">
        <f>-MIN(S496+S539,$D539*Предпосылки!$F61/Кварталов_в_году)*S453</f>
        <v>0</v>
      </c>
      <c s="125">
        <f>-MIN(T496+T539,$D539*Предпосылки!$F61/Кварталов_в_году)*T453</f>
        <v>0</v>
      </c>
      <c s="125">
        <f>-MIN(U496+U539,$D539*Предпосылки!$F61/Кварталов_в_году)*U453</f>
        <v>0</v>
      </c>
      <c s="125">
        <f>-MIN(V496+V539,$D539*Предпосылки!$F61/Кварталов_в_году)*V453</f>
        <v>0</v>
      </c>
      <c s="125">
        <f>-MIN(W496+W539,$D539*Предпосылки!$F61/Кварталов_в_году)*W453</f>
        <v>0</v>
      </c>
      <c s="125">
        <f>-MIN(X496+X539,$D539*Предпосылки!$F61/Кварталов_в_году)*X453</f>
        <v>0</v>
      </c>
      <c s="125">
        <f>-MIN(Y496+Y539,$D539*Предпосылки!$F61/Кварталов_в_году)*Y453</f>
        <v>0</v>
      </c>
      <c s="125">
        <f>-MIN(Z496+Z539,$D539*Предпосылки!$F61/Кварталов_в_году)*Z453</f>
        <v>0</v>
      </c>
      <c s="125">
        <f>-MIN(AA496+AA539,$D539*Предпосылки!$F61/Кварталов_в_году)*AA453</f>
        <v>0</v>
      </c>
      <c s="125">
        <f>-MIN(AB496+AB539,$D539*Предпосылки!$F61/Кварталов_в_году)*AB453</f>
        <v>0</v>
      </c>
      <c s="125">
        <f>-MIN(AC496+AC539,$D539*Предпосылки!$F61/Кварталов_в_году)*AC453</f>
        <v>0</v>
      </c>
      <c s="125">
        <f>-MIN(AD496+AD539,$D539*Предпосылки!$F61/Кварталов_в_году)*AD453</f>
        <v>0</v>
      </c>
      <c s="125">
        <f>-MIN(AE496+AE539,$D539*Предпосылки!$F61/Кварталов_в_году)*AE453</f>
        <v>0</v>
      </c>
      <c s="125">
        <f>-MIN(AF496+AF539,$D539*Предпосылки!$F61/Кварталов_в_году)*AF453</f>
        <v>0</v>
      </c>
      <c s="125">
        <f>-MIN(AG496+AG539,$D539*Предпосылки!$F61/Кварталов_в_году)*AG453</f>
        <v>0</v>
      </c>
      <c s="125">
        <f>-MIN(AH496+AH539,$D539*Предпосылки!$F61/Кварталов_в_году)*AH453</f>
        <v>0</v>
      </c>
      <c s="125">
        <f>-MIN(AI496+AI539,$D539*Предпосылки!$F61/Кварталов_в_году)*AI453</f>
        <v>0</v>
      </c>
      <c s="125">
        <f>-MIN(AJ496+AJ539,$D539*Предпосылки!$F61/Кварталов_в_году)*AJ453</f>
        <v>0</v>
      </c>
      <c s="125">
        <f>-MIN(AK496+AK539,$D539*Предпосылки!$F61/Кварталов_в_году)*AK453</f>
        <v>0</v>
      </c>
      <c s="125">
        <f>-MIN(AL496+AL539,$D539*Предпосылки!$F61/Кварталов_в_году)*AL453</f>
        <v>0</v>
      </c>
      <c s="125">
        <f>-MIN(AM496+AM539,$D539*Предпосылки!$F61/Кварталов_в_году)*AM453</f>
        <v>0</v>
      </c>
      <c s="125">
        <f>-MIN(AN496+AN539,$D539*Предпосылки!$F61/Кварталов_в_году)*AN453</f>
        <v>0</v>
      </c>
      <c s="125">
        <f>-MIN(AO496+AO539,$D539*Предпосылки!$F61/Кварталов_в_году)*AO453</f>
        <v>0</v>
      </c>
      <c s="125">
        <f>-MIN(AP496+AP539,$D539*Предпосылки!$F61/Кварталов_в_году)*AP453</f>
        <v>0</v>
      </c>
      <c s="125">
        <f>-MIN(AQ496+AQ539,$D539*Предпосылки!$F61/Кварталов_в_году)*AQ453</f>
        <v>0</v>
      </c>
      <c s="125">
        <f>-MIN(AR496+AR539,$D539*Предпосылки!$F61/Кварталов_в_году)*AR453</f>
        <v>0</v>
      </c>
      <c s="125">
        <f>-MIN(AS496+AS539,$D539*Предпосылки!$F61/Кварталов_в_году)*AS453</f>
        <v>0</v>
      </c>
      <c s="125">
        <f>-MIN(AT496+AT539,$D539*Предпосылки!$F61/Кварталов_в_году)*AT453</f>
        <v>0</v>
      </c>
      <c s="125">
        <f>-MIN(AU496+AU539,$D539*Предпосылки!$F61/Кварталов_в_году)*AU453</f>
        <v>0</v>
      </c>
      <c s="125">
        <f>-MIN(AV496+AV539,$D539*Предпосылки!$F61/Кварталов_в_году)*AV453</f>
        <v>0</v>
      </c>
      <c s="125">
        <f>-MIN(AW496+AW539,$D539*Предпосылки!$F61/Кварталов_в_году)*AW453</f>
        <v>0</v>
      </c>
      <c s="125">
        <f>-MIN(AX496+AX539,$D539*Предпосылки!$F61/Кварталов_в_году)*AX453</f>
        <v>0</v>
      </c>
      <c s="125">
        <f>-MIN(AY496+AY539,$D539*Предпосылки!$F61/Кварталов_в_году)*AY453</f>
        <v>0</v>
      </c>
      <c s="125">
        <f>-MIN(AZ496+AZ539,$D539*Предпосылки!$F61/Кварталов_в_году)*AZ453</f>
        <v>0</v>
      </c>
      <c s="125">
        <f>-MIN(BA496+BA539,$D539*Предпосылки!$F61/Кварталов_в_году)*BA453</f>
        <v>0</v>
      </c>
      <c s="125">
        <f>-MIN(BB496+BB539,$D539*Предпосылки!$F61/Кварталов_в_году)*BB453</f>
        <v>0</v>
      </c>
      <c s="125">
        <f>-MIN(BC496+BC539,$D539*Предпосылки!$F61/Кварталов_в_году)*BC453</f>
        <v>0</v>
      </c>
      <c s="125">
        <f>-MIN(BD496+BD539,$D539*Предпосылки!$F61/Кварталов_в_году)*BD453</f>
        <v>0</v>
      </c>
      <c s="125">
        <f>-MIN(BE496+BE539,$D539*Предпосылки!$F61/Кварталов_в_году)*BE453</f>
        <v>0</v>
      </c>
      <c s="125">
        <f>-MIN(BF496+BF539,$D539*Предпосылки!$F61/Кварталов_в_году)*BF453</f>
        <v>0</v>
      </c>
      <c s="125">
        <f>-MIN(BG496+BG539,$D539*Предпосылки!$F61/Кварталов_в_году)*BG453</f>
        <v>0</v>
      </c>
      <c s="125">
        <f>-MIN(BH496+BH539,$D539*Предпосылки!$F61/Кварталов_в_году)*BH453</f>
        <v>0</v>
      </c>
      <c s="125">
        <f>-MIN(BI496+BI539,$D539*Предпосылки!$F61/Кварталов_в_году)*BI453</f>
        <v>0</v>
      </c>
      <c s="125">
        <f>-MIN(BJ496+BJ539,$D539*Предпосылки!$F61/Кварталов_в_году)*BJ453</f>
        <v>0</v>
      </c>
      <c s="125">
        <f>-MIN(BK496+BK539,$D539*Предпосылки!$F61/Кварталов_в_году)*BK453</f>
        <v>0</v>
      </c>
      <c s="125">
        <f>-MIN(BL496+BL539,$D539*Предпосылки!$F61/Кварталов_в_году)*BL453</f>
        <v>0</v>
      </c>
      <c s="125">
        <f>-MIN(BM496+BM539,$D539*Предпосылки!$F61/Кварталов_в_году)*BM453</f>
        <v>0</v>
      </c>
    </row>
    <row r="583" spans="2:65" ht="15" customHeight="1">
      <c r="B583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-MIN(E497+E540,$D540*Предпосылки!$F62/Кварталов_в_году)*E454</f>
        <v>0</v>
      </c>
      <c s="125">
        <f>-MIN(F497+F540,$D540*Предпосылки!$F62/Кварталов_в_году)*F454</f>
        <v>0</v>
      </c>
      <c s="125">
        <f>-MIN(G497+G540,$D540*Предпосылки!$F62/Кварталов_в_году)*G454</f>
        <v>0</v>
      </c>
      <c s="125">
        <f>-MIN(H497+H540,$D540*Предпосылки!$F62/Кварталов_в_году)*H454</f>
        <v>0</v>
      </c>
      <c s="125">
        <f>-MIN(I497+I540,$D540*Предпосылки!$F62/Кварталов_в_году)*I454</f>
        <v>0</v>
      </c>
      <c s="125">
        <f>-MIN(J497+J540,$D540*Предпосылки!$F62/Кварталов_в_году)*J454</f>
        <v>0</v>
      </c>
      <c s="125">
        <f>-MIN(K497+K540,$D540*Предпосылки!$F62/Кварталов_в_году)*K454</f>
        <v>0</v>
      </c>
      <c s="125">
        <f>-MIN(L497+L540,$D540*Предпосылки!$F62/Кварталов_в_году)*L454</f>
        <v>0</v>
      </c>
      <c s="125">
        <f>-MIN(M497+M540,$D540*Предпосылки!$F62/Кварталов_в_году)*M454</f>
        <v>0</v>
      </c>
      <c s="125">
        <f>-MIN(N497+N540,$D540*Предпосылки!$F62/Кварталов_в_году)*N454</f>
        <v>0</v>
      </c>
      <c s="125">
        <f>-MIN(O497+O540,$D540*Предпосылки!$F62/Кварталов_в_году)*O454</f>
        <v>0</v>
      </c>
      <c s="125">
        <f>-MIN(P497+P540,$D540*Предпосылки!$F62/Кварталов_в_году)*P454</f>
        <v>0</v>
      </c>
      <c s="125">
        <f>-MIN(Q497+Q540,$D540*Предпосылки!$F62/Кварталов_в_году)*Q454</f>
        <v>0</v>
      </c>
      <c s="125">
        <f>-MIN(R497+R540,$D540*Предпосылки!$F62/Кварталов_в_году)*R454</f>
        <v>0</v>
      </c>
      <c s="125">
        <f>-MIN(S497+S540,$D540*Предпосылки!$F62/Кварталов_в_году)*S454</f>
        <v>0</v>
      </c>
      <c s="125">
        <f>-MIN(T497+T540,$D540*Предпосылки!$F62/Кварталов_в_году)*T454</f>
        <v>0</v>
      </c>
      <c s="125">
        <f>-MIN(U497+U540,$D540*Предпосылки!$F62/Кварталов_в_году)*U454</f>
        <v>0</v>
      </c>
      <c s="125">
        <f>-MIN(V497+V540,$D540*Предпосылки!$F62/Кварталов_в_году)*V454</f>
        <v>0</v>
      </c>
      <c s="125">
        <f>-MIN(W497+W540,$D540*Предпосылки!$F62/Кварталов_в_году)*W454</f>
        <v>0</v>
      </c>
      <c s="125">
        <f>-MIN(X497+X540,$D540*Предпосылки!$F62/Кварталов_в_году)*X454</f>
        <v>0</v>
      </c>
      <c s="125">
        <f>-MIN(Y497+Y540,$D540*Предпосылки!$F62/Кварталов_в_году)*Y454</f>
        <v>0</v>
      </c>
      <c s="125">
        <f>-MIN(Z497+Z540,$D540*Предпосылки!$F62/Кварталов_в_году)*Z454</f>
        <v>0</v>
      </c>
      <c s="125">
        <f>-MIN(AA497+AA540,$D540*Предпосылки!$F62/Кварталов_в_году)*AA454</f>
        <v>0</v>
      </c>
      <c s="125">
        <f>-MIN(AB497+AB540,$D540*Предпосылки!$F62/Кварталов_в_году)*AB454</f>
        <v>0</v>
      </c>
      <c s="125">
        <f>-MIN(AC497+AC540,$D540*Предпосылки!$F62/Кварталов_в_году)*AC454</f>
        <v>0</v>
      </c>
      <c s="125">
        <f>-MIN(AD497+AD540,$D540*Предпосылки!$F62/Кварталов_в_году)*AD454</f>
        <v>0</v>
      </c>
      <c s="125">
        <f>-MIN(AE497+AE540,$D540*Предпосылки!$F62/Кварталов_в_году)*AE454</f>
        <v>0</v>
      </c>
      <c s="125">
        <f>-MIN(AF497+AF540,$D540*Предпосылки!$F62/Кварталов_в_году)*AF454</f>
        <v>0</v>
      </c>
      <c s="125">
        <f>-MIN(AG497+AG540,$D540*Предпосылки!$F62/Кварталов_в_году)*AG454</f>
        <v>0</v>
      </c>
      <c s="125">
        <f>-MIN(AH497+AH540,$D540*Предпосылки!$F62/Кварталов_в_году)*AH454</f>
        <v>0</v>
      </c>
      <c s="125">
        <f>-MIN(AI497+AI540,$D540*Предпосылки!$F62/Кварталов_в_году)*AI454</f>
        <v>0</v>
      </c>
      <c s="125">
        <f>-MIN(AJ497+AJ540,$D540*Предпосылки!$F62/Кварталов_в_году)*AJ454</f>
        <v>0</v>
      </c>
      <c s="125">
        <f>-MIN(AK497+AK540,$D540*Предпосылки!$F62/Кварталов_в_году)*AK454</f>
        <v>0</v>
      </c>
      <c s="125">
        <f>-MIN(AL497+AL540,$D540*Предпосылки!$F62/Кварталов_в_году)*AL454</f>
        <v>0</v>
      </c>
      <c s="125">
        <f>-MIN(AM497+AM540,$D540*Предпосылки!$F62/Кварталов_в_году)*AM454</f>
        <v>0</v>
      </c>
      <c s="125">
        <f>-MIN(AN497+AN540,$D540*Предпосылки!$F62/Кварталов_в_году)*AN454</f>
        <v>0</v>
      </c>
      <c s="125">
        <f>-MIN(AO497+AO540,$D540*Предпосылки!$F62/Кварталов_в_году)*AO454</f>
        <v>0</v>
      </c>
      <c s="125">
        <f>-MIN(AP497+AP540,$D540*Предпосылки!$F62/Кварталов_в_году)*AP454</f>
        <v>0</v>
      </c>
      <c s="125">
        <f>-MIN(AQ497+AQ540,$D540*Предпосылки!$F62/Кварталов_в_году)*AQ454</f>
        <v>0</v>
      </c>
      <c s="125">
        <f>-MIN(AR497+AR540,$D540*Предпосылки!$F62/Кварталов_в_году)*AR454</f>
        <v>0</v>
      </c>
      <c s="125">
        <f>-MIN(AS497+AS540,$D540*Предпосылки!$F62/Кварталов_в_году)*AS454</f>
        <v>0</v>
      </c>
      <c s="125">
        <f>-MIN(AT497+AT540,$D540*Предпосылки!$F62/Кварталов_в_году)*AT454</f>
        <v>0</v>
      </c>
      <c s="125">
        <f>-MIN(AU497+AU540,$D540*Предпосылки!$F62/Кварталов_в_году)*AU454</f>
        <v>0</v>
      </c>
      <c s="125">
        <f>-MIN(AV497+AV540,$D540*Предпосылки!$F62/Кварталов_в_году)*AV454</f>
        <v>0</v>
      </c>
      <c s="125">
        <f>-MIN(AW497+AW540,$D540*Предпосылки!$F62/Кварталов_в_году)*AW454</f>
        <v>0</v>
      </c>
      <c s="125">
        <f>-MIN(AX497+AX540,$D540*Предпосылки!$F62/Кварталов_в_году)*AX454</f>
        <v>0</v>
      </c>
      <c s="125">
        <f>-MIN(AY497+AY540,$D540*Предпосылки!$F62/Кварталов_в_году)*AY454</f>
        <v>0</v>
      </c>
      <c s="125">
        <f>-MIN(AZ497+AZ540,$D540*Предпосылки!$F62/Кварталов_в_году)*AZ454</f>
        <v>0</v>
      </c>
      <c s="125">
        <f>-MIN(BA497+BA540,$D540*Предпосылки!$F62/Кварталов_в_году)*BA454</f>
        <v>0</v>
      </c>
      <c s="125">
        <f>-MIN(BB497+BB540,$D540*Предпосылки!$F62/Кварталов_в_году)*BB454</f>
        <v>0</v>
      </c>
      <c s="125">
        <f>-MIN(BC497+BC540,$D540*Предпосылки!$F62/Кварталов_в_году)*BC454</f>
        <v>0</v>
      </c>
      <c s="125">
        <f>-MIN(BD497+BD540,$D540*Предпосылки!$F62/Кварталов_в_году)*BD454</f>
        <v>0</v>
      </c>
      <c s="125">
        <f>-MIN(BE497+BE540,$D540*Предпосылки!$F62/Кварталов_в_году)*BE454</f>
        <v>0</v>
      </c>
      <c s="125">
        <f>-MIN(BF497+BF540,$D540*Предпосылки!$F62/Кварталов_в_году)*BF454</f>
        <v>0</v>
      </c>
      <c s="125">
        <f>-MIN(BG497+BG540,$D540*Предпосылки!$F62/Кварталов_в_году)*BG454</f>
        <v>0</v>
      </c>
      <c s="125">
        <f>-MIN(BH497+BH540,$D540*Предпосылки!$F62/Кварталов_в_году)*BH454</f>
        <v>0</v>
      </c>
      <c s="125">
        <f>-MIN(BI497+BI540,$D540*Предпосылки!$F62/Кварталов_в_году)*BI454</f>
        <v>0</v>
      </c>
      <c s="125">
        <f>-MIN(BJ497+BJ540,$D540*Предпосылки!$F62/Кварталов_в_году)*BJ454</f>
        <v>0</v>
      </c>
      <c s="125">
        <f>-MIN(BK497+BK540,$D540*Предпосылки!$F62/Кварталов_в_году)*BK454</f>
        <v>0</v>
      </c>
      <c s="125">
        <f>-MIN(BL497+BL540,$D540*Предпосылки!$F62/Кварталов_в_году)*BL454</f>
        <v>0</v>
      </c>
      <c s="125">
        <f>-MIN(BM497+BM540,$D540*Предпосылки!$F62/Кварталов_в_году)*BM454</f>
        <v>0</v>
      </c>
    </row>
    <row r="584" spans="2:65" ht="15" customHeight="1">
      <c r="B584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-MIN(E498+E541,$D541*Предпосылки!$F63/Кварталов_в_году)*E455</f>
        <v>0</v>
      </c>
      <c s="125">
        <f>-MIN(F498+F541,$D541*Предпосылки!$F63/Кварталов_в_году)*F455</f>
        <v>0</v>
      </c>
      <c s="125">
        <f>-MIN(G498+G541,$D541*Предпосылки!$F63/Кварталов_в_году)*G455</f>
        <v>0</v>
      </c>
      <c s="125">
        <f>-MIN(H498+H541,$D541*Предпосылки!$F63/Кварталов_в_году)*H455</f>
        <v>0</v>
      </c>
      <c s="125">
        <f>-MIN(I498+I541,$D541*Предпосылки!$F63/Кварталов_в_году)*I455</f>
        <v>0</v>
      </c>
      <c s="125">
        <f>-MIN(J498+J541,$D541*Предпосылки!$F63/Кварталов_в_году)*J455</f>
        <v>0</v>
      </c>
      <c s="125">
        <f>-MIN(K498+K541,$D541*Предпосылки!$F63/Кварталов_в_году)*K455</f>
        <v>0</v>
      </c>
      <c s="125">
        <f>-MIN(L498+L541,$D541*Предпосылки!$F63/Кварталов_в_году)*L455</f>
        <v>0</v>
      </c>
      <c s="125">
        <f>-MIN(M498+M541,$D541*Предпосылки!$F63/Кварталов_в_году)*M455</f>
        <v>0</v>
      </c>
      <c s="125">
        <f>-MIN(N498+N541,$D541*Предпосылки!$F63/Кварталов_в_году)*N455</f>
        <v>0</v>
      </c>
      <c s="125">
        <f>-MIN(O498+O541,$D541*Предпосылки!$F63/Кварталов_в_году)*O455</f>
        <v>0</v>
      </c>
      <c s="125">
        <f>-MIN(P498+P541,$D541*Предпосылки!$F63/Кварталов_в_году)*P455</f>
        <v>0</v>
      </c>
      <c s="125">
        <f>-MIN(Q498+Q541,$D541*Предпосылки!$F63/Кварталов_в_году)*Q455</f>
        <v>0</v>
      </c>
      <c s="125">
        <f>-MIN(R498+R541,$D541*Предпосылки!$F63/Кварталов_в_году)*R455</f>
        <v>0</v>
      </c>
      <c s="125">
        <f>-MIN(S498+S541,$D541*Предпосылки!$F63/Кварталов_в_году)*S455</f>
        <v>0</v>
      </c>
      <c s="125">
        <f>-MIN(T498+T541,$D541*Предпосылки!$F63/Кварталов_в_году)*T455</f>
        <v>0</v>
      </c>
      <c s="125">
        <f>-MIN(U498+U541,$D541*Предпосылки!$F63/Кварталов_в_году)*U455</f>
        <v>0</v>
      </c>
      <c s="125">
        <f>-MIN(V498+V541,$D541*Предпосылки!$F63/Кварталов_в_году)*V455</f>
        <v>0</v>
      </c>
      <c s="125">
        <f>-MIN(W498+W541,$D541*Предпосылки!$F63/Кварталов_в_году)*W455</f>
        <v>0</v>
      </c>
      <c s="125">
        <f>-MIN(X498+X541,$D541*Предпосылки!$F63/Кварталов_в_году)*X455</f>
        <v>0</v>
      </c>
      <c s="125">
        <f>-MIN(Y498+Y541,$D541*Предпосылки!$F63/Кварталов_в_году)*Y455</f>
        <v>0</v>
      </c>
      <c s="125">
        <f>-MIN(Z498+Z541,$D541*Предпосылки!$F63/Кварталов_в_году)*Z455</f>
        <v>0</v>
      </c>
      <c s="125">
        <f>-MIN(AA498+AA541,$D541*Предпосылки!$F63/Кварталов_в_году)*AA455</f>
        <v>0</v>
      </c>
      <c s="125">
        <f>-MIN(AB498+AB541,$D541*Предпосылки!$F63/Кварталов_в_году)*AB455</f>
        <v>0</v>
      </c>
      <c s="125">
        <f>-MIN(AC498+AC541,$D541*Предпосылки!$F63/Кварталов_в_году)*AC455</f>
        <v>0</v>
      </c>
      <c s="125">
        <f>-MIN(AD498+AD541,$D541*Предпосылки!$F63/Кварталов_в_году)*AD455</f>
        <v>0</v>
      </c>
      <c s="125">
        <f>-MIN(AE498+AE541,$D541*Предпосылки!$F63/Кварталов_в_году)*AE455</f>
        <v>0</v>
      </c>
      <c s="125">
        <f>-MIN(AF498+AF541,$D541*Предпосылки!$F63/Кварталов_в_году)*AF455</f>
        <v>0</v>
      </c>
      <c s="125">
        <f>-MIN(AG498+AG541,$D541*Предпосылки!$F63/Кварталов_в_году)*AG455</f>
        <v>0</v>
      </c>
      <c s="125">
        <f>-MIN(AH498+AH541,$D541*Предпосылки!$F63/Кварталов_в_году)*AH455</f>
        <v>0</v>
      </c>
      <c s="125">
        <f>-MIN(AI498+AI541,$D541*Предпосылки!$F63/Кварталов_в_году)*AI455</f>
        <v>0</v>
      </c>
      <c s="125">
        <f>-MIN(AJ498+AJ541,$D541*Предпосылки!$F63/Кварталов_в_году)*AJ455</f>
        <v>0</v>
      </c>
      <c s="125">
        <f>-MIN(AK498+AK541,$D541*Предпосылки!$F63/Кварталов_в_году)*AK455</f>
        <v>0</v>
      </c>
      <c s="125">
        <f>-MIN(AL498+AL541,$D541*Предпосылки!$F63/Кварталов_в_году)*AL455</f>
        <v>0</v>
      </c>
      <c s="125">
        <f>-MIN(AM498+AM541,$D541*Предпосылки!$F63/Кварталов_в_году)*AM455</f>
        <v>0</v>
      </c>
      <c s="125">
        <f>-MIN(AN498+AN541,$D541*Предпосылки!$F63/Кварталов_в_году)*AN455</f>
        <v>0</v>
      </c>
      <c s="125">
        <f>-MIN(AO498+AO541,$D541*Предпосылки!$F63/Кварталов_в_году)*AO455</f>
        <v>0</v>
      </c>
      <c s="125">
        <f>-MIN(AP498+AP541,$D541*Предпосылки!$F63/Кварталов_в_году)*AP455</f>
        <v>0</v>
      </c>
      <c s="125">
        <f>-MIN(AQ498+AQ541,$D541*Предпосылки!$F63/Кварталов_в_году)*AQ455</f>
        <v>0</v>
      </c>
      <c s="125">
        <f>-MIN(AR498+AR541,$D541*Предпосылки!$F63/Кварталов_в_году)*AR455</f>
        <v>0</v>
      </c>
      <c s="125">
        <f>-MIN(AS498+AS541,$D541*Предпосылки!$F63/Кварталов_в_году)*AS455</f>
        <v>0</v>
      </c>
      <c s="125">
        <f>-MIN(AT498+AT541,$D541*Предпосылки!$F63/Кварталов_в_году)*AT455</f>
        <v>0</v>
      </c>
      <c s="125">
        <f>-MIN(AU498+AU541,$D541*Предпосылки!$F63/Кварталов_в_году)*AU455</f>
        <v>0</v>
      </c>
      <c s="125">
        <f>-MIN(AV498+AV541,$D541*Предпосылки!$F63/Кварталов_в_году)*AV455</f>
        <v>0</v>
      </c>
      <c s="125">
        <f>-MIN(AW498+AW541,$D541*Предпосылки!$F63/Кварталов_в_году)*AW455</f>
        <v>0</v>
      </c>
      <c s="125">
        <f>-MIN(AX498+AX541,$D541*Предпосылки!$F63/Кварталов_в_году)*AX455</f>
        <v>0</v>
      </c>
      <c s="125">
        <f>-MIN(AY498+AY541,$D541*Предпосылки!$F63/Кварталов_в_году)*AY455</f>
        <v>0</v>
      </c>
      <c s="125">
        <f>-MIN(AZ498+AZ541,$D541*Предпосылки!$F63/Кварталов_в_году)*AZ455</f>
        <v>0</v>
      </c>
      <c s="125">
        <f>-MIN(BA498+BA541,$D541*Предпосылки!$F63/Кварталов_в_году)*BA455</f>
        <v>0</v>
      </c>
      <c s="125">
        <f>-MIN(BB498+BB541,$D541*Предпосылки!$F63/Кварталов_в_году)*BB455</f>
        <v>0</v>
      </c>
      <c s="125">
        <f>-MIN(BC498+BC541,$D541*Предпосылки!$F63/Кварталов_в_году)*BC455</f>
        <v>0</v>
      </c>
      <c s="125">
        <f>-MIN(BD498+BD541,$D541*Предпосылки!$F63/Кварталов_в_году)*BD455</f>
        <v>0</v>
      </c>
      <c s="125">
        <f>-MIN(BE498+BE541,$D541*Предпосылки!$F63/Кварталов_в_году)*BE455</f>
        <v>0</v>
      </c>
      <c s="125">
        <f>-MIN(BF498+BF541,$D541*Предпосылки!$F63/Кварталов_в_году)*BF455</f>
        <v>0</v>
      </c>
      <c s="125">
        <f>-MIN(BG498+BG541,$D541*Предпосылки!$F63/Кварталов_в_году)*BG455</f>
        <v>0</v>
      </c>
      <c s="125">
        <f>-MIN(BH498+BH541,$D541*Предпосылки!$F63/Кварталов_в_году)*BH455</f>
        <v>0</v>
      </c>
      <c s="125">
        <f>-MIN(BI498+BI541,$D541*Предпосылки!$F63/Кварталов_в_году)*BI455</f>
        <v>0</v>
      </c>
      <c s="125">
        <f>-MIN(BJ498+BJ541,$D541*Предпосылки!$F63/Кварталов_в_году)*BJ455</f>
        <v>0</v>
      </c>
      <c s="125">
        <f>-MIN(BK498+BK541,$D541*Предпосылки!$F63/Кварталов_в_году)*BK455</f>
        <v>0</v>
      </c>
      <c s="125">
        <f>-MIN(BL498+BL541,$D541*Предпосылки!$F63/Кварталов_в_году)*BL455</f>
        <v>0</v>
      </c>
      <c s="125">
        <f>-MIN(BM498+BM541,$D541*Предпосылки!$F63/Кварталов_в_году)*BM455</f>
        <v>0</v>
      </c>
    </row>
    <row r="585" spans="2:65" ht="15" customHeight="1">
      <c r="B585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-MIN(E499+E542,$D542*Предпосылки!$F64/Кварталов_в_году)*E456</f>
        <v>0</v>
      </c>
      <c s="125">
        <f>-MIN(F499+F542,$D542*Предпосылки!$F64/Кварталов_в_году)*F456</f>
        <v>0</v>
      </c>
      <c s="125">
        <f>-MIN(G499+G542,$D542*Предпосылки!$F64/Кварталов_в_году)*G456</f>
        <v>0</v>
      </c>
      <c s="125">
        <f>-MIN(H499+H542,$D542*Предпосылки!$F64/Кварталов_в_году)*H456</f>
        <v>0</v>
      </c>
      <c s="125">
        <f>-MIN(I499+I542,$D542*Предпосылки!$F64/Кварталов_в_году)*I456</f>
        <v>0</v>
      </c>
      <c s="125">
        <f>-MIN(J499+J542,$D542*Предпосылки!$F64/Кварталов_в_году)*J456</f>
        <v>0</v>
      </c>
      <c s="125">
        <f>-MIN(K499+K542,$D542*Предпосылки!$F64/Кварталов_в_году)*K456</f>
        <v>0</v>
      </c>
      <c s="125">
        <f>-MIN(L499+L542,$D542*Предпосылки!$F64/Кварталов_в_году)*L456</f>
        <v>0</v>
      </c>
      <c s="125">
        <f>-MIN(M499+M542,$D542*Предпосылки!$F64/Кварталов_в_году)*M456</f>
        <v>0</v>
      </c>
      <c s="125">
        <f>-MIN(N499+N542,$D542*Предпосылки!$F64/Кварталов_в_году)*N456</f>
        <v>0</v>
      </c>
      <c s="125">
        <f>-MIN(O499+O542,$D542*Предпосылки!$F64/Кварталов_в_году)*O456</f>
        <v>0</v>
      </c>
      <c s="125">
        <f>-MIN(P499+P542,$D542*Предпосылки!$F64/Кварталов_в_году)*P456</f>
        <v>0</v>
      </c>
      <c s="125">
        <f>-MIN(Q499+Q542,$D542*Предпосылки!$F64/Кварталов_в_году)*Q456</f>
        <v>0</v>
      </c>
      <c s="125">
        <f>-MIN(R499+R542,$D542*Предпосылки!$F64/Кварталов_в_году)*R456</f>
        <v>0</v>
      </c>
      <c s="125">
        <f>-MIN(S499+S542,$D542*Предпосылки!$F64/Кварталов_в_году)*S456</f>
        <v>0</v>
      </c>
      <c s="125">
        <f>-MIN(T499+T542,$D542*Предпосылки!$F64/Кварталов_в_году)*T456</f>
        <v>0</v>
      </c>
      <c s="125">
        <f>-MIN(U499+U542,$D542*Предпосылки!$F64/Кварталов_в_году)*U456</f>
        <v>0</v>
      </c>
      <c s="125">
        <f>-MIN(V499+V542,$D542*Предпосылки!$F64/Кварталов_в_году)*V456</f>
        <v>0</v>
      </c>
      <c s="125">
        <f>-MIN(W499+W542,$D542*Предпосылки!$F64/Кварталов_в_году)*W456</f>
        <v>0</v>
      </c>
      <c s="125">
        <f>-MIN(X499+X542,$D542*Предпосылки!$F64/Кварталов_в_году)*X456</f>
        <v>0</v>
      </c>
      <c s="125">
        <f>-MIN(Y499+Y542,$D542*Предпосылки!$F64/Кварталов_в_году)*Y456</f>
        <v>0</v>
      </c>
      <c s="125">
        <f>-MIN(Z499+Z542,$D542*Предпосылки!$F64/Кварталов_в_году)*Z456</f>
        <v>0</v>
      </c>
      <c s="125">
        <f>-MIN(AA499+AA542,$D542*Предпосылки!$F64/Кварталов_в_году)*AA456</f>
        <v>0</v>
      </c>
      <c s="125">
        <f>-MIN(AB499+AB542,$D542*Предпосылки!$F64/Кварталов_в_году)*AB456</f>
        <v>0</v>
      </c>
      <c s="125">
        <f>-MIN(AC499+AC542,$D542*Предпосылки!$F64/Кварталов_в_году)*AC456</f>
        <v>0</v>
      </c>
      <c s="125">
        <f>-MIN(AD499+AD542,$D542*Предпосылки!$F64/Кварталов_в_году)*AD456</f>
        <v>0</v>
      </c>
      <c s="125">
        <f>-MIN(AE499+AE542,$D542*Предпосылки!$F64/Кварталов_в_году)*AE456</f>
        <v>0</v>
      </c>
      <c s="125">
        <f>-MIN(AF499+AF542,$D542*Предпосылки!$F64/Кварталов_в_году)*AF456</f>
        <v>0</v>
      </c>
      <c s="125">
        <f>-MIN(AG499+AG542,$D542*Предпосылки!$F64/Кварталов_в_году)*AG456</f>
        <v>0</v>
      </c>
      <c s="125">
        <f>-MIN(AH499+AH542,$D542*Предпосылки!$F64/Кварталов_в_году)*AH456</f>
        <v>0</v>
      </c>
      <c s="125">
        <f>-MIN(AI499+AI542,$D542*Предпосылки!$F64/Кварталов_в_году)*AI456</f>
        <v>0</v>
      </c>
      <c s="125">
        <f>-MIN(AJ499+AJ542,$D542*Предпосылки!$F64/Кварталов_в_году)*AJ456</f>
        <v>0</v>
      </c>
      <c s="125">
        <f>-MIN(AK499+AK542,$D542*Предпосылки!$F64/Кварталов_в_году)*AK456</f>
        <v>0</v>
      </c>
      <c s="125">
        <f>-MIN(AL499+AL542,$D542*Предпосылки!$F64/Кварталов_в_году)*AL456</f>
        <v>0</v>
      </c>
      <c s="125">
        <f>-MIN(AM499+AM542,$D542*Предпосылки!$F64/Кварталов_в_году)*AM456</f>
        <v>0</v>
      </c>
      <c s="125">
        <f>-MIN(AN499+AN542,$D542*Предпосылки!$F64/Кварталов_в_году)*AN456</f>
        <v>0</v>
      </c>
      <c s="125">
        <f>-MIN(AO499+AO542,$D542*Предпосылки!$F64/Кварталов_в_году)*AO456</f>
        <v>0</v>
      </c>
      <c s="125">
        <f>-MIN(AP499+AP542,$D542*Предпосылки!$F64/Кварталов_в_году)*AP456</f>
        <v>0</v>
      </c>
      <c s="125">
        <f>-MIN(AQ499+AQ542,$D542*Предпосылки!$F64/Кварталов_в_году)*AQ456</f>
        <v>0</v>
      </c>
      <c s="125">
        <f>-MIN(AR499+AR542,$D542*Предпосылки!$F64/Кварталов_в_году)*AR456</f>
        <v>0</v>
      </c>
      <c s="125">
        <f>-MIN(AS499+AS542,$D542*Предпосылки!$F64/Кварталов_в_году)*AS456</f>
        <v>0</v>
      </c>
      <c s="125">
        <f>-MIN(AT499+AT542,$D542*Предпосылки!$F64/Кварталов_в_году)*AT456</f>
        <v>0</v>
      </c>
      <c s="125">
        <f>-MIN(AU499+AU542,$D542*Предпосылки!$F64/Кварталов_в_году)*AU456</f>
        <v>0</v>
      </c>
      <c s="125">
        <f>-MIN(AV499+AV542,$D542*Предпосылки!$F64/Кварталов_в_году)*AV456</f>
        <v>0</v>
      </c>
      <c s="125">
        <f>-MIN(AW499+AW542,$D542*Предпосылки!$F64/Кварталов_в_году)*AW456</f>
        <v>0</v>
      </c>
      <c s="125">
        <f>-MIN(AX499+AX542,$D542*Предпосылки!$F64/Кварталов_в_году)*AX456</f>
        <v>0</v>
      </c>
      <c s="125">
        <f>-MIN(AY499+AY542,$D542*Предпосылки!$F64/Кварталов_в_году)*AY456</f>
        <v>0</v>
      </c>
      <c s="125">
        <f>-MIN(AZ499+AZ542,$D542*Предпосылки!$F64/Кварталов_в_году)*AZ456</f>
        <v>0</v>
      </c>
      <c s="125">
        <f>-MIN(BA499+BA542,$D542*Предпосылки!$F64/Кварталов_в_году)*BA456</f>
        <v>0</v>
      </c>
      <c s="125">
        <f>-MIN(BB499+BB542,$D542*Предпосылки!$F64/Кварталов_в_году)*BB456</f>
        <v>0</v>
      </c>
      <c s="125">
        <f>-MIN(BC499+BC542,$D542*Предпосылки!$F64/Кварталов_в_году)*BC456</f>
        <v>0</v>
      </c>
      <c s="125">
        <f>-MIN(BD499+BD542,$D542*Предпосылки!$F64/Кварталов_в_году)*BD456</f>
        <v>0</v>
      </c>
      <c s="125">
        <f>-MIN(BE499+BE542,$D542*Предпосылки!$F64/Кварталов_в_году)*BE456</f>
        <v>0</v>
      </c>
      <c s="125">
        <f>-MIN(BF499+BF542,$D542*Предпосылки!$F64/Кварталов_в_году)*BF456</f>
        <v>0</v>
      </c>
      <c s="125">
        <f>-MIN(BG499+BG542,$D542*Предпосылки!$F64/Кварталов_в_году)*BG456</f>
        <v>0</v>
      </c>
      <c s="125">
        <f>-MIN(BH499+BH542,$D542*Предпосылки!$F64/Кварталов_в_году)*BH456</f>
        <v>0</v>
      </c>
      <c s="125">
        <f>-MIN(BI499+BI542,$D542*Предпосылки!$F64/Кварталов_в_году)*BI456</f>
        <v>0</v>
      </c>
      <c s="125">
        <f>-MIN(BJ499+BJ542,$D542*Предпосылки!$F64/Кварталов_в_году)*BJ456</f>
        <v>0</v>
      </c>
      <c s="125">
        <f>-MIN(BK499+BK542,$D542*Предпосылки!$F64/Кварталов_в_году)*BK456</f>
        <v>0</v>
      </c>
      <c s="125">
        <f>-MIN(BL499+BL542,$D542*Предпосылки!$F64/Кварталов_в_году)*BL456</f>
        <v>0</v>
      </c>
      <c s="125">
        <f>-MIN(BM499+BM542,$D542*Предпосылки!$F64/Кварталов_в_году)*BM456</f>
        <v>0</v>
      </c>
    </row>
    <row r="586" spans="2:65" ht="15" customHeight="1">
      <c r="B586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-MIN(E500+E543,$D543*Предпосылки!$F65/Кварталов_в_году)*E457</f>
        <v>0</v>
      </c>
      <c s="125">
        <f>-MIN(F500+F543,$D543*Предпосылки!$F65/Кварталов_в_году)*F457</f>
        <v>0</v>
      </c>
      <c s="125">
        <f>-MIN(G500+G543,$D543*Предпосылки!$F65/Кварталов_в_году)*G457</f>
        <v>0</v>
      </c>
      <c s="125">
        <f>-MIN(H500+H543,$D543*Предпосылки!$F65/Кварталов_в_году)*H457</f>
        <v>0</v>
      </c>
      <c s="125">
        <f>-MIN(I500+I543,$D543*Предпосылки!$F65/Кварталов_в_году)*I457</f>
        <v>0</v>
      </c>
      <c s="125">
        <f>-MIN(J500+J543,$D543*Предпосылки!$F65/Кварталов_в_году)*J457</f>
        <v>0</v>
      </c>
      <c s="125">
        <f>-MIN(K500+K543,$D543*Предпосылки!$F65/Кварталов_в_году)*K457</f>
        <v>0</v>
      </c>
      <c s="125">
        <f>-MIN(L500+L543,$D543*Предпосылки!$F65/Кварталов_в_году)*L457</f>
        <v>0</v>
      </c>
      <c s="125">
        <f>-MIN(M500+M543,$D543*Предпосылки!$F65/Кварталов_в_году)*M457</f>
        <v>0</v>
      </c>
      <c s="125">
        <f>-MIN(N500+N543,$D543*Предпосылки!$F65/Кварталов_в_году)*N457</f>
        <v>0</v>
      </c>
      <c s="125">
        <f>-MIN(O500+O543,$D543*Предпосылки!$F65/Кварталов_в_году)*O457</f>
        <v>0</v>
      </c>
      <c s="125">
        <f>-MIN(P500+P543,$D543*Предпосылки!$F65/Кварталов_в_году)*P457</f>
        <v>0</v>
      </c>
      <c s="125">
        <f>-MIN(Q500+Q543,$D543*Предпосылки!$F65/Кварталов_в_году)*Q457</f>
        <v>0</v>
      </c>
      <c s="125">
        <f>-MIN(R500+R543,$D543*Предпосылки!$F65/Кварталов_в_году)*R457</f>
        <v>0</v>
      </c>
      <c s="125">
        <f>-MIN(S500+S543,$D543*Предпосылки!$F65/Кварталов_в_году)*S457</f>
        <v>0</v>
      </c>
      <c s="125">
        <f>-MIN(T500+T543,$D543*Предпосылки!$F65/Кварталов_в_году)*T457</f>
        <v>0</v>
      </c>
      <c s="125">
        <f>-MIN(U500+U543,$D543*Предпосылки!$F65/Кварталов_в_году)*U457</f>
        <v>0</v>
      </c>
      <c s="125">
        <f>-MIN(V500+V543,$D543*Предпосылки!$F65/Кварталов_в_году)*V457</f>
        <v>0</v>
      </c>
      <c s="125">
        <f>-MIN(W500+W543,$D543*Предпосылки!$F65/Кварталов_в_году)*W457</f>
        <v>0</v>
      </c>
      <c s="125">
        <f>-MIN(X500+X543,$D543*Предпосылки!$F65/Кварталов_в_году)*X457</f>
        <v>0</v>
      </c>
      <c s="125">
        <f>-MIN(Y500+Y543,$D543*Предпосылки!$F65/Кварталов_в_году)*Y457</f>
        <v>0</v>
      </c>
      <c s="125">
        <f>-MIN(Z500+Z543,$D543*Предпосылки!$F65/Кварталов_в_году)*Z457</f>
        <v>0</v>
      </c>
      <c s="125">
        <f>-MIN(AA500+AA543,$D543*Предпосылки!$F65/Кварталов_в_году)*AA457</f>
        <v>0</v>
      </c>
      <c s="125">
        <f>-MIN(AB500+AB543,$D543*Предпосылки!$F65/Кварталов_в_году)*AB457</f>
        <v>0</v>
      </c>
      <c s="125">
        <f>-MIN(AC500+AC543,$D543*Предпосылки!$F65/Кварталов_в_году)*AC457</f>
        <v>0</v>
      </c>
      <c s="125">
        <f>-MIN(AD500+AD543,$D543*Предпосылки!$F65/Кварталов_в_году)*AD457</f>
        <v>0</v>
      </c>
      <c s="125">
        <f>-MIN(AE500+AE543,$D543*Предпосылки!$F65/Кварталов_в_году)*AE457</f>
        <v>0</v>
      </c>
      <c s="125">
        <f>-MIN(AF500+AF543,$D543*Предпосылки!$F65/Кварталов_в_году)*AF457</f>
        <v>0</v>
      </c>
      <c s="125">
        <f>-MIN(AG500+AG543,$D543*Предпосылки!$F65/Кварталов_в_году)*AG457</f>
        <v>0</v>
      </c>
      <c s="125">
        <f>-MIN(AH500+AH543,$D543*Предпосылки!$F65/Кварталов_в_году)*AH457</f>
        <v>0</v>
      </c>
      <c s="125">
        <f>-MIN(AI500+AI543,$D543*Предпосылки!$F65/Кварталов_в_году)*AI457</f>
        <v>0</v>
      </c>
      <c s="125">
        <f>-MIN(AJ500+AJ543,$D543*Предпосылки!$F65/Кварталов_в_году)*AJ457</f>
        <v>0</v>
      </c>
      <c s="125">
        <f>-MIN(AK500+AK543,$D543*Предпосылки!$F65/Кварталов_в_году)*AK457</f>
        <v>0</v>
      </c>
      <c s="125">
        <f>-MIN(AL500+AL543,$D543*Предпосылки!$F65/Кварталов_в_году)*AL457</f>
        <v>0</v>
      </c>
      <c s="125">
        <f>-MIN(AM500+AM543,$D543*Предпосылки!$F65/Кварталов_в_году)*AM457</f>
        <v>0</v>
      </c>
      <c s="125">
        <f>-MIN(AN500+AN543,$D543*Предпосылки!$F65/Кварталов_в_году)*AN457</f>
        <v>0</v>
      </c>
      <c s="125">
        <f>-MIN(AO500+AO543,$D543*Предпосылки!$F65/Кварталов_в_году)*AO457</f>
        <v>0</v>
      </c>
      <c s="125">
        <f>-MIN(AP500+AP543,$D543*Предпосылки!$F65/Кварталов_в_году)*AP457</f>
        <v>0</v>
      </c>
      <c s="125">
        <f>-MIN(AQ500+AQ543,$D543*Предпосылки!$F65/Кварталов_в_году)*AQ457</f>
        <v>0</v>
      </c>
      <c s="125">
        <f>-MIN(AR500+AR543,$D543*Предпосылки!$F65/Кварталов_в_году)*AR457</f>
        <v>0</v>
      </c>
      <c s="125">
        <f>-MIN(AS500+AS543,$D543*Предпосылки!$F65/Кварталов_в_году)*AS457</f>
        <v>0</v>
      </c>
      <c s="125">
        <f>-MIN(AT500+AT543,$D543*Предпосылки!$F65/Кварталов_в_году)*AT457</f>
        <v>0</v>
      </c>
      <c s="125">
        <f>-MIN(AU500+AU543,$D543*Предпосылки!$F65/Кварталов_в_году)*AU457</f>
        <v>0</v>
      </c>
      <c s="125">
        <f>-MIN(AV500+AV543,$D543*Предпосылки!$F65/Кварталов_в_году)*AV457</f>
        <v>0</v>
      </c>
      <c s="125">
        <f>-MIN(AW500+AW543,$D543*Предпосылки!$F65/Кварталов_в_году)*AW457</f>
        <v>0</v>
      </c>
      <c s="125">
        <f>-MIN(AX500+AX543,$D543*Предпосылки!$F65/Кварталов_в_году)*AX457</f>
        <v>0</v>
      </c>
      <c s="125">
        <f>-MIN(AY500+AY543,$D543*Предпосылки!$F65/Кварталов_в_году)*AY457</f>
        <v>0</v>
      </c>
      <c s="125">
        <f>-MIN(AZ500+AZ543,$D543*Предпосылки!$F65/Кварталов_в_году)*AZ457</f>
        <v>0</v>
      </c>
      <c s="125">
        <f>-MIN(BA500+BA543,$D543*Предпосылки!$F65/Кварталов_в_году)*BA457</f>
        <v>0</v>
      </c>
      <c s="125">
        <f>-MIN(BB500+BB543,$D543*Предпосылки!$F65/Кварталов_в_году)*BB457</f>
        <v>0</v>
      </c>
      <c s="125">
        <f>-MIN(BC500+BC543,$D543*Предпосылки!$F65/Кварталов_в_году)*BC457</f>
        <v>0</v>
      </c>
      <c s="125">
        <f>-MIN(BD500+BD543,$D543*Предпосылки!$F65/Кварталов_в_году)*BD457</f>
        <v>0</v>
      </c>
      <c s="125">
        <f>-MIN(BE500+BE543,$D543*Предпосылки!$F65/Кварталов_в_году)*BE457</f>
        <v>0</v>
      </c>
      <c s="125">
        <f>-MIN(BF500+BF543,$D543*Предпосылки!$F65/Кварталов_в_году)*BF457</f>
        <v>0</v>
      </c>
      <c s="125">
        <f>-MIN(BG500+BG543,$D543*Предпосылки!$F65/Кварталов_в_году)*BG457</f>
        <v>0</v>
      </c>
      <c s="125">
        <f>-MIN(BH500+BH543,$D543*Предпосылки!$F65/Кварталов_в_году)*BH457</f>
        <v>0</v>
      </c>
      <c s="125">
        <f>-MIN(BI500+BI543,$D543*Предпосылки!$F65/Кварталов_в_году)*BI457</f>
        <v>0</v>
      </c>
      <c s="125">
        <f>-MIN(BJ500+BJ543,$D543*Предпосылки!$F65/Кварталов_в_году)*BJ457</f>
        <v>0</v>
      </c>
      <c s="125">
        <f>-MIN(BK500+BK543,$D543*Предпосылки!$F65/Кварталов_в_году)*BK457</f>
        <v>0</v>
      </c>
      <c s="125">
        <f>-MIN(BL500+BL543,$D543*Предпосылки!$F65/Кварталов_в_году)*BL457</f>
        <v>0</v>
      </c>
      <c s="125">
        <f>-MIN(BM500+BM543,$D543*Предпосылки!$F65/Кварталов_в_году)*BM457</f>
        <v>0</v>
      </c>
    </row>
    <row r="587" spans="2:65" ht="15" customHeight="1">
      <c r="B587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-MIN(E501+E544,$D544*Предпосылки!$F66/Кварталов_в_году)*E458</f>
        <v>0</v>
      </c>
      <c s="125">
        <f>-MIN(F501+F544,$D544*Предпосылки!$F66/Кварталов_в_году)*F458</f>
        <v>0</v>
      </c>
      <c s="125">
        <f>-MIN(G501+G544,$D544*Предпосылки!$F66/Кварталов_в_году)*G458</f>
        <v>0</v>
      </c>
      <c s="125">
        <f>-MIN(H501+H544,$D544*Предпосылки!$F66/Кварталов_в_году)*H458</f>
        <v>0</v>
      </c>
      <c s="125">
        <f>-MIN(I501+I544,$D544*Предпосылки!$F66/Кварталов_в_году)*I458</f>
        <v>0</v>
      </c>
      <c s="125">
        <f>-MIN(J501+J544,$D544*Предпосылки!$F66/Кварталов_в_году)*J458</f>
        <v>0</v>
      </c>
      <c s="125">
        <f>-MIN(K501+K544,$D544*Предпосылки!$F66/Кварталов_в_году)*K458</f>
        <v>0</v>
      </c>
      <c s="125">
        <f>-MIN(L501+L544,$D544*Предпосылки!$F66/Кварталов_в_году)*L458</f>
        <v>0</v>
      </c>
      <c s="125">
        <f>-MIN(M501+M544,$D544*Предпосылки!$F66/Кварталов_в_году)*M458</f>
        <v>0</v>
      </c>
      <c s="125">
        <f>-MIN(N501+N544,$D544*Предпосылки!$F66/Кварталов_в_году)*N458</f>
        <v>0</v>
      </c>
      <c s="125">
        <f>-MIN(O501+O544,$D544*Предпосылки!$F66/Кварталов_в_году)*O458</f>
        <v>0</v>
      </c>
      <c s="125">
        <f>-MIN(P501+P544,$D544*Предпосылки!$F66/Кварталов_в_году)*P458</f>
        <v>0</v>
      </c>
      <c s="125">
        <f>-MIN(Q501+Q544,$D544*Предпосылки!$F66/Кварталов_в_году)*Q458</f>
        <v>0</v>
      </c>
      <c s="125">
        <f>-MIN(R501+R544,$D544*Предпосылки!$F66/Кварталов_в_году)*R458</f>
        <v>0</v>
      </c>
      <c s="125">
        <f>-MIN(S501+S544,$D544*Предпосылки!$F66/Кварталов_в_году)*S458</f>
        <v>0</v>
      </c>
      <c s="125">
        <f>-MIN(T501+T544,$D544*Предпосылки!$F66/Кварталов_в_году)*T458</f>
        <v>0</v>
      </c>
      <c s="125">
        <f>-MIN(U501+U544,$D544*Предпосылки!$F66/Кварталов_в_году)*U458</f>
        <v>0</v>
      </c>
      <c s="125">
        <f>-MIN(V501+V544,$D544*Предпосылки!$F66/Кварталов_в_году)*V458</f>
        <v>0</v>
      </c>
      <c s="125">
        <f>-MIN(W501+W544,$D544*Предпосылки!$F66/Кварталов_в_году)*W458</f>
        <v>0</v>
      </c>
      <c s="125">
        <f>-MIN(X501+X544,$D544*Предпосылки!$F66/Кварталов_в_году)*X458</f>
        <v>0</v>
      </c>
      <c s="125">
        <f>-MIN(Y501+Y544,$D544*Предпосылки!$F66/Кварталов_в_году)*Y458</f>
        <v>0</v>
      </c>
      <c s="125">
        <f>-MIN(Z501+Z544,$D544*Предпосылки!$F66/Кварталов_в_году)*Z458</f>
        <v>0</v>
      </c>
      <c s="125">
        <f>-MIN(AA501+AA544,$D544*Предпосылки!$F66/Кварталов_в_году)*AA458</f>
        <v>0</v>
      </c>
      <c s="125">
        <f>-MIN(AB501+AB544,$D544*Предпосылки!$F66/Кварталов_в_году)*AB458</f>
        <v>0</v>
      </c>
      <c s="125">
        <f>-MIN(AC501+AC544,$D544*Предпосылки!$F66/Кварталов_в_году)*AC458</f>
        <v>0</v>
      </c>
      <c s="125">
        <f>-MIN(AD501+AD544,$D544*Предпосылки!$F66/Кварталов_в_году)*AD458</f>
        <v>0</v>
      </c>
      <c s="125">
        <f>-MIN(AE501+AE544,$D544*Предпосылки!$F66/Кварталов_в_году)*AE458</f>
        <v>0</v>
      </c>
      <c s="125">
        <f>-MIN(AF501+AF544,$D544*Предпосылки!$F66/Кварталов_в_году)*AF458</f>
        <v>0</v>
      </c>
      <c s="125">
        <f>-MIN(AG501+AG544,$D544*Предпосылки!$F66/Кварталов_в_году)*AG458</f>
        <v>0</v>
      </c>
      <c s="125">
        <f>-MIN(AH501+AH544,$D544*Предпосылки!$F66/Кварталов_в_году)*AH458</f>
        <v>0</v>
      </c>
      <c s="125">
        <f>-MIN(AI501+AI544,$D544*Предпосылки!$F66/Кварталов_в_году)*AI458</f>
        <v>0</v>
      </c>
      <c s="125">
        <f>-MIN(AJ501+AJ544,$D544*Предпосылки!$F66/Кварталов_в_году)*AJ458</f>
        <v>0</v>
      </c>
      <c s="125">
        <f>-MIN(AK501+AK544,$D544*Предпосылки!$F66/Кварталов_в_году)*AK458</f>
        <v>0</v>
      </c>
      <c s="125">
        <f>-MIN(AL501+AL544,$D544*Предпосылки!$F66/Кварталов_в_году)*AL458</f>
        <v>0</v>
      </c>
      <c s="125">
        <f>-MIN(AM501+AM544,$D544*Предпосылки!$F66/Кварталов_в_году)*AM458</f>
        <v>0</v>
      </c>
      <c s="125">
        <f>-MIN(AN501+AN544,$D544*Предпосылки!$F66/Кварталов_в_году)*AN458</f>
        <v>0</v>
      </c>
      <c s="125">
        <f>-MIN(AO501+AO544,$D544*Предпосылки!$F66/Кварталов_в_году)*AO458</f>
        <v>0</v>
      </c>
      <c s="125">
        <f>-MIN(AP501+AP544,$D544*Предпосылки!$F66/Кварталов_в_году)*AP458</f>
        <v>0</v>
      </c>
      <c s="125">
        <f>-MIN(AQ501+AQ544,$D544*Предпосылки!$F66/Кварталов_в_году)*AQ458</f>
        <v>0</v>
      </c>
      <c s="125">
        <f>-MIN(AR501+AR544,$D544*Предпосылки!$F66/Кварталов_в_году)*AR458</f>
        <v>0</v>
      </c>
      <c s="125">
        <f>-MIN(AS501+AS544,$D544*Предпосылки!$F66/Кварталов_в_году)*AS458</f>
        <v>0</v>
      </c>
      <c s="125">
        <f>-MIN(AT501+AT544,$D544*Предпосылки!$F66/Кварталов_в_году)*AT458</f>
        <v>0</v>
      </c>
      <c s="125">
        <f>-MIN(AU501+AU544,$D544*Предпосылки!$F66/Кварталов_в_году)*AU458</f>
        <v>0</v>
      </c>
      <c s="125">
        <f>-MIN(AV501+AV544,$D544*Предпосылки!$F66/Кварталов_в_году)*AV458</f>
        <v>0</v>
      </c>
      <c s="125">
        <f>-MIN(AW501+AW544,$D544*Предпосылки!$F66/Кварталов_в_году)*AW458</f>
        <v>0</v>
      </c>
      <c s="125">
        <f>-MIN(AX501+AX544,$D544*Предпосылки!$F66/Кварталов_в_году)*AX458</f>
        <v>0</v>
      </c>
      <c s="125">
        <f>-MIN(AY501+AY544,$D544*Предпосылки!$F66/Кварталов_в_году)*AY458</f>
        <v>0</v>
      </c>
      <c s="125">
        <f>-MIN(AZ501+AZ544,$D544*Предпосылки!$F66/Кварталов_в_году)*AZ458</f>
        <v>0</v>
      </c>
      <c s="125">
        <f>-MIN(BA501+BA544,$D544*Предпосылки!$F66/Кварталов_в_году)*BA458</f>
        <v>0</v>
      </c>
      <c s="125">
        <f>-MIN(BB501+BB544,$D544*Предпосылки!$F66/Кварталов_в_году)*BB458</f>
        <v>0</v>
      </c>
      <c s="125">
        <f>-MIN(BC501+BC544,$D544*Предпосылки!$F66/Кварталов_в_году)*BC458</f>
        <v>0</v>
      </c>
      <c s="125">
        <f>-MIN(BD501+BD544,$D544*Предпосылки!$F66/Кварталов_в_году)*BD458</f>
        <v>0</v>
      </c>
      <c s="125">
        <f>-MIN(BE501+BE544,$D544*Предпосылки!$F66/Кварталов_в_году)*BE458</f>
        <v>0</v>
      </c>
      <c s="125">
        <f>-MIN(BF501+BF544,$D544*Предпосылки!$F66/Кварталов_в_году)*BF458</f>
        <v>0</v>
      </c>
      <c s="125">
        <f>-MIN(BG501+BG544,$D544*Предпосылки!$F66/Кварталов_в_году)*BG458</f>
        <v>0</v>
      </c>
      <c s="125">
        <f>-MIN(BH501+BH544,$D544*Предпосылки!$F66/Кварталов_в_году)*BH458</f>
        <v>0</v>
      </c>
      <c s="125">
        <f>-MIN(BI501+BI544,$D544*Предпосылки!$F66/Кварталов_в_году)*BI458</f>
        <v>0</v>
      </c>
      <c s="125">
        <f>-MIN(BJ501+BJ544,$D544*Предпосылки!$F66/Кварталов_в_году)*BJ458</f>
        <v>0</v>
      </c>
      <c s="125">
        <f>-MIN(BK501+BK544,$D544*Предпосылки!$F66/Кварталов_в_году)*BK458</f>
        <v>0</v>
      </c>
      <c s="125">
        <f>-MIN(BL501+BL544,$D544*Предпосылки!$F66/Кварталов_в_году)*BL458</f>
        <v>0</v>
      </c>
      <c s="125">
        <f>-MIN(BM501+BM544,$D544*Предпосылки!$F66/Кварталов_в_году)*BM458</f>
        <v>0</v>
      </c>
    </row>
    <row r="588" spans="2:65" ht="15" customHeight="1">
      <c r="B588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-MIN(E502+E545,$D545*Предпосылки!$F67/Кварталов_в_году)*E459</f>
        <v>0</v>
      </c>
      <c s="125">
        <f>-MIN(F502+F545,$D545*Предпосылки!$F67/Кварталов_в_году)*F459</f>
        <v>0</v>
      </c>
      <c s="125">
        <f>-MIN(G502+G545,$D545*Предпосылки!$F67/Кварталов_в_году)*G459</f>
        <v>0</v>
      </c>
      <c s="125">
        <f>-MIN(H502+H545,$D545*Предпосылки!$F67/Кварталов_в_году)*H459</f>
        <v>0</v>
      </c>
      <c s="125">
        <f>-MIN(I502+I545,$D545*Предпосылки!$F67/Кварталов_в_году)*I459</f>
        <v>0</v>
      </c>
      <c s="125">
        <f>-MIN(J502+J545,$D545*Предпосылки!$F67/Кварталов_в_году)*J459</f>
        <v>0</v>
      </c>
      <c s="125">
        <f>-MIN(K502+K545,$D545*Предпосылки!$F67/Кварталов_в_году)*K459</f>
        <v>0</v>
      </c>
      <c s="125">
        <f>-MIN(L502+L545,$D545*Предпосылки!$F67/Кварталов_в_году)*L459</f>
        <v>0</v>
      </c>
      <c s="125">
        <f>-MIN(M502+M545,$D545*Предпосылки!$F67/Кварталов_в_году)*M459</f>
        <v>0</v>
      </c>
      <c s="125">
        <f>-MIN(N502+N545,$D545*Предпосылки!$F67/Кварталов_в_году)*N459</f>
        <v>0</v>
      </c>
      <c s="125">
        <f>-MIN(O502+O545,$D545*Предпосылки!$F67/Кварталов_в_году)*O459</f>
        <v>0</v>
      </c>
      <c s="125">
        <f>-MIN(P502+P545,$D545*Предпосылки!$F67/Кварталов_в_году)*P459</f>
        <v>0</v>
      </c>
      <c s="125">
        <f>-MIN(Q502+Q545,$D545*Предпосылки!$F67/Кварталов_в_году)*Q459</f>
        <v>0</v>
      </c>
      <c s="125">
        <f>-MIN(R502+R545,$D545*Предпосылки!$F67/Кварталов_в_году)*R459</f>
        <v>0</v>
      </c>
      <c s="125">
        <f>-MIN(S502+S545,$D545*Предпосылки!$F67/Кварталов_в_году)*S459</f>
        <v>0</v>
      </c>
      <c s="125">
        <f>-MIN(T502+T545,$D545*Предпосылки!$F67/Кварталов_в_году)*T459</f>
        <v>0</v>
      </c>
      <c s="125">
        <f>-MIN(U502+U545,$D545*Предпосылки!$F67/Кварталов_в_году)*U459</f>
        <v>0</v>
      </c>
      <c s="125">
        <f>-MIN(V502+V545,$D545*Предпосылки!$F67/Кварталов_в_году)*V459</f>
        <v>0</v>
      </c>
      <c s="125">
        <f>-MIN(W502+W545,$D545*Предпосылки!$F67/Кварталов_в_году)*W459</f>
        <v>0</v>
      </c>
      <c s="125">
        <f>-MIN(X502+X545,$D545*Предпосылки!$F67/Кварталов_в_году)*X459</f>
        <v>0</v>
      </c>
      <c s="125">
        <f>-MIN(Y502+Y545,$D545*Предпосылки!$F67/Кварталов_в_году)*Y459</f>
        <v>0</v>
      </c>
      <c s="125">
        <f>-MIN(Z502+Z545,$D545*Предпосылки!$F67/Кварталов_в_году)*Z459</f>
        <v>0</v>
      </c>
      <c s="125">
        <f>-MIN(AA502+AA545,$D545*Предпосылки!$F67/Кварталов_в_году)*AA459</f>
        <v>0</v>
      </c>
      <c s="125">
        <f>-MIN(AB502+AB545,$D545*Предпосылки!$F67/Кварталов_в_году)*AB459</f>
        <v>0</v>
      </c>
      <c s="125">
        <f>-MIN(AC502+AC545,$D545*Предпосылки!$F67/Кварталов_в_году)*AC459</f>
        <v>0</v>
      </c>
      <c s="125">
        <f>-MIN(AD502+AD545,$D545*Предпосылки!$F67/Кварталов_в_году)*AD459</f>
        <v>0</v>
      </c>
      <c s="125">
        <f>-MIN(AE502+AE545,$D545*Предпосылки!$F67/Кварталов_в_году)*AE459</f>
        <v>0</v>
      </c>
      <c s="125">
        <f>-MIN(AF502+AF545,$D545*Предпосылки!$F67/Кварталов_в_году)*AF459</f>
        <v>0</v>
      </c>
      <c s="125">
        <f>-MIN(AG502+AG545,$D545*Предпосылки!$F67/Кварталов_в_году)*AG459</f>
        <v>0</v>
      </c>
      <c s="125">
        <f>-MIN(AH502+AH545,$D545*Предпосылки!$F67/Кварталов_в_году)*AH459</f>
        <v>0</v>
      </c>
      <c s="125">
        <f>-MIN(AI502+AI545,$D545*Предпосылки!$F67/Кварталов_в_году)*AI459</f>
        <v>0</v>
      </c>
      <c s="125">
        <f>-MIN(AJ502+AJ545,$D545*Предпосылки!$F67/Кварталов_в_году)*AJ459</f>
        <v>0</v>
      </c>
      <c s="125">
        <f>-MIN(AK502+AK545,$D545*Предпосылки!$F67/Кварталов_в_году)*AK459</f>
        <v>0</v>
      </c>
      <c s="125">
        <f>-MIN(AL502+AL545,$D545*Предпосылки!$F67/Кварталов_в_году)*AL459</f>
        <v>0</v>
      </c>
      <c s="125">
        <f>-MIN(AM502+AM545,$D545*Предпосылки!$F67/Кварталов_в_году)*AM459</f>
        <v>0</v>
      </c>
      <c s="125">
        <f>-MIN(AN502+AN545,$D545*Предпосылки!$F67/Кварталов_в_году)*AN459</f>
        <v>0</v>
      </c>
      <c s="125">
        <f>-MIN(AO502+AO545,$D545*Предпосылки!$F67/Кварталов_в_году)*AO459</f>
        <v>0</v>
      </c>
      <c s="125">
        <f>-MIN(AP502+AP545,$D545*Предпосылки!$F67/Кварталов_в_году)*AP459</f>
        <v>0</v>
      </c>
      <c s="125">
        <f>-MIN(AQ502+AQ545,$D545*Предпосылки!$F67/Кварталов_в_году)*AQ459</f>
        <v>0</v>
      </c>
      <c s="125">
        <f>-MIN(AR502+AR545,$D545*Предпосылки!$F67/Кварталов_в_году)*AR459</f>
        <v>0</v>
      </c>
      <c s="125">
        <f>-MIN(AS502+AS545,$D545*Предпосылки!$F67/Кварталов_в_году)*AS459</f>
        <v>0</v>
      </c>
      <c s="125">
        <f>-MIN(AT502+AT545,$D545*Предпосылки!$F67/Кварталов_в_году)*AT459</f>
        <v>0</v>
      </c>
      <c s="125">
        <f>-MIN(AU502+AU545,$D545*Предпосылки!$F67/Кварталов_в_году)*AU459</f>
        <v>0</v>
      </c>
      <c s="125">
        <f>-MIN(AV502+AV545,$D545*Предпосылки!$F67/Кварталов_в_году)*AV459</f>
        <v>0</v>
      </c>
      <c s="125">
        <f>-MIN(AW502+AW545,$D545*Предпосылки!$F67/Кварталов_в_году)*AW459</f>
        <v>0</v>
      </c>
      <c s="125">
        <f>-MIN(AX502+AX545,$D545*Предпосылки!$F67/Кварталов_в_году)*AX459</f>
        <v>0</v>
      </c>
      <c s="125">
        <f>-MIN(AY502+AY545,$D545*Предпосылки!$F67/Кварталов_в_году)*AY459</f>
        <v>0</v>
      </c>
      <c s="125">
        <f>-MIN(AZ502+AZ545,$D545*Предпосылки!$F67/Кварталов_в_году)*AZ459</f>
        <v>0</v>
      </c>
      <c s="125">
        <f>-MIN(BA502+BA545,$D545*Предпосылки!$F67/Кварталов_в_году)*BA459</f>
        <v>0</v>
      </c>
      <c s="125">
        <f>-MIN(BB502+BB545,$D545*Предпосылки!$F67/Кварталов_в_году)*BB459</f>
        <v>0</v>
      </c>
      <c s="125">
        <f>-MIN(BC502+BC545,$D545*Предпосылки!$F67/Кварталов_в_году)*BC459</f>
        <v>0</v>
      </c>
      <c s="125">
        <f>-MIN(BD502+BD545,$D545*Предпосылки!$F67/Кварталов_в_году)*BD459</f>
        <v>0</v>
      </c>
      <c s="125">
        <f>-MIN(BE502+BE545,$D545*Предпосылки!$F67/Кварталов_в_году)*BE459</f>
        <v>0</v>
      </c>
      <c s="125">
        <f>-MIN(BF502+BF545,$D545*Предпосылки!$F67/Кварталов_в_году)*BF459</f>
        <v>0</v>
      </c>
      <c s="125">
        <f>-MIN(BG502+BG545,$D545*Предпосылки!$F67/Кварталов_в_году)*BG459</f>
        <v>0</v>
      </c>
      <c s="125">
        <f>-MIN(BH502+BH545,$D545*Предпосылки!$F67/Кварталов_в_году)*BH459</f>
        <v>0</v>
      </c>
      <c s="125">
        <f>-MIN(BI502+BI545,$D545*Предпосылки!$F67/Кварталов_в_году)*BI459</f>
        <v>0</v>
      </c>
      <c s="125">
        <f>-MIN(BJ502+BJ545,$D545*Предпосылки!$F67/Кварталов_в_году)*BJ459</f>
        <v>0</v>
      </c>
      <c s="125">
        <f>-MIN(BK502+BK545,$D545*Предпосылки!$F67/Кварталов_в_году)*BK459</f>
        <v>0</v>
      </c>
      <c s="125">
        <f>-MIN(BL502+BL545,$D545*Предпосылки!$F67/Кварталов_в_году)*BL459</f>
        <v>0</v>
      </c>
      <c s="125">
        <f>-MIN(BM502+BM545,$D545*Предпосылки!$F67/Кварталов_в_году)*BM459</f>
        <v>0</v>
      </c>
    </row>
    <row r="589" spans="2:65" ht="15" customHeight="1">
      <c r="B589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-MIN(E503+E546,$D546*Предпосылки!$F68/Кварталов_в_году)*E460</f>
        <v>0</v>
      </c>
      <c s="125">
        <f>-MIN(F503+F546,$D546*Предпосылки!$F68/Кварталов_в_году)*F460</f>
        <v>0</v>
      </c>
      <c s="125">
        <f>-MIN(G503+G546,$D546*Предпосылки!$F68/Кварталов_в_году)*G460</f>
        <v>0</v>
      </c>
      <c s="125">
        <f>-MIN(H503+H546,$D546*Предпосылки!$F68/Кварталов_в_году)*H460</f>
        <v>0</v>
      </c>
      <c s="125">
        <f>-MIN(I503+I546,$D546*Предпосылки!$F68/Кварталов_в_году)*I460</f>
        <v>0</v>
      </c>
      <c s="125">
        <f>-MIN(J503+J546,$D546*Предпосылки!$F68/Кварталов_в_году)*J460</f>
        <v>0</v>
      </c>
      <c s="125">
        <f>-MIN(K503+K546,$D546*Предпосылки!$F68/Кварталов_в_году)*K460</f>
        <v>0</v>
      </c>
      <c s="125">
        <f>-MIN(L503+L546,$D546*Предпосылки!$F68/Кварталов_в_году)*L460</f>
        <v>0</v>
      </c>
      <c s="125">
        <f>-MIN(M503+M546,$D546*Предпосылки!$F68/Кварталов_в_году)*M460</f>
        <v>0</v>
      </c>
      <c s="125">
        <f>-MIN(N503+N546,$D546*Предпосылки!$F68/Кварталов_в_году)*N460</f>
        <v>0</v>
      </c>
      <c s="125">
        <f>-MIN(O503+O546,$D546*Предпосылки!$F68/Кварталов_в_году)*O460</f>
        <v>0</v>
      </c>
      <c s="125">
        <f>-MIN(P503+P546,$D546*Предпосылки!$F68/Кварталов_в_году)*P460</f>
        <v>0</v>
      </c>
      <c s="125">
        <f>-MIN(Q503+Q546,$D546*Предпосылки!$F68/Кварталов_в_году)*Q460</f>
        <v>0</v>
      </c>
      <c s="125">
        <f>-MIN(R503+R546,$D546*Предпосылки!$F68/Кварталов_в_году)*R460</f>
        <v>0</v>
      </c>
      <c s="125">
        <f>-MIN(S503+S546,$D546*Предпосылки!$F68/Кварталов_в_году)*S460</f>
        <v>0</v>
      </c>
      <c s="125">
        <f>-MIN(T503+T546,$D546*Предпосылки!$F68/Кварталов_в_году)*T460</f>
        <v>0</v>
      </c>
      <c s="125">
        <f>-MIN(U503+U546,$D546*Предпосылки!$F68/Кварталов_в_году)*U460</f>
        <v>0</v>
      </c>
      <c s="125">
        <f>-MIN(V503+V546,$D546*Предпосылки!$F68/Кварталов_в_году)*V460</f>
        <v>0</v>
      </c>
      <c s="125">
        <f>-MIN(W503+W546,$D546*Предпосылки!$F68/Кварталов_в_году)*W460</f>
        <v>0</v>
      </c>
      <c s="125">
        <f>-MIN(X503+X546,$D546*Предпосылки!$F68/Кварталов_в_году)*X460</f>
        <v>0</v>
      </c>
      <c s="125">
        <f>-MIN(Y503+Y546,$D546*Предпосылки!$F68/Кварталов_в_году)*Y460</f>
        <v>0</v>
      </c>
      <c s="125">
        <f>-MIN(Z503+Z546,$D546*Предпосылки!$F68/Кварталов_в_году)*Z460</f>
        <v>0</v>
      </c>
      <c s="125">
        <f>-MIN(AA503+AA546,$D546*Предпосылки!$F68/Кварталов_в_году)*AA460</f>
        <v>0</v>
      </c>
      <c s="125">
        <f>-MIN(AB503+AB546,$D546*Предпосылки!$F68/Кварталов_в_году)*AB460</f>
        <v>0</v>
      </c>
      <c s="125">
        <f>-MIN(AC503+AC546,$D546*Предпосылки!$F68/Кварталов_в_году)*AC460</f>
        <v>0</v>
      </c>
      <c s="125">
        <f>-MIN(AD503+AD546,$D546*Предпосылки!$F68/Кварталов_в_году)*AD460</f>
        <v>0</v>
      </c>
      <c s="125">
        <f>-MIN(AE503+AE546,$D546*Предпосылки!$F68/Кварталов_в_году)*AE460</f>
        <v>0</v>
      </c>
      <c s="125">
        <f>-MIN(AF503+AF546,$D546*Предпосылки!$F68/Кварталов_в_году)*AF460</f>
        <v>0</v>
      </c>
      <c s="125">
        <f>-MIN(AG503+AG546,$D546*Предпосылки!$F68/Кварталов_в_году)*AG460</f>
        <v>0</v>
      </c>
      <c s="125">
        <f>-MIN(AH503+AH546,$D546*Предпосылки!$F68/Кварталов_в_году)*AH460</f>
        <v>0</v>
      </c>
      <c s="125">
        <f>-MIN(AI503+AI546,$D546*Предпосылки!$F68/Кварталов_в_году)*AI460</f>
        <v>0</v>
      </c>
      <c s="125">
        <f>-MIN(AJ503+AJ546,$D546*Предпосылки!$F68/Кварталов_в_году)*AJ460</f>
        <v>0</v>
      </c>
      <c s="125">
        <f>-MIN(AK503+AK546,$D546*Предпосылки!$F68/Кварталов_в_году)*AK460</f>
        <v>0</v>
      </c>
      <c s="125">
        <f>-MIN(AL503+AL546,$D546*Предпосылки!$F68/Кварталов_в_году)*AL460</f>
        <v>0</v>
      </c>
      <c s="125">
        <f>-MIN(AM503+AM546,$D546*Предпосылки!$F68/Кварталов_в_году)*AM460</f>
        <v>0</v>
      </c>
      <c s="125">
        <f>-MIN(AN503+AN546,$D546*Предпосылки!$F68/Кварталов_в_году)*AN460</f>
        <v>0</v>
      </c>
      <c s="125">
        <f>-MIN(AO503+AO546,$D546*Предпосылки!$F68/Кварталов_в_году)*AO460</f>
        <v>0</v>
      </c>
      <c s="125">
        <f>-MIN(AP503+AP546,$D546*Предпосылки!$F68/Кварталов_в_году)*AP460</f>
        <v>0</v>
      </c>
      <c s="125">
        <f>-MIN(AQ503+AQ546,$D546*Предпосылки!$F68/Кварталов_в_году)*AQ460</f>
        <v>0</v>
      </c>
      <c s="125">
        <f>-MIN(AR503+AR546,$D546*Предпосылки!$F68/Кварталов_в_году)*AR460</f>
        <v>0</v>
      </c>
      <c s="125">
        <f>-MIN(AS503+AS546,$D546*Предпосылки!$F68/Кварталов_в_году)*AS460</f>
        <v>0</v>
      </c>
      <c s="125">
        <f>-MIN(AT503+AT546,$D546*Предпосылки!$F68/Кварталов_в_году)*AT460</f>
        <v>0</v>
      </c>
      <c s="125">
        <f>-MIN(AU503+AU546,$D546*Предпосылки!$F68/Кварталов_в_году)*AU460</f>
        <v>0</v>
      </c>
      <c s="125">
        <f>-MIN(AV503+AV546,$D546*Предпосылки!$F68/Кварталов_в_году)*AV460</f>
        <v>0</v>
      </c>
      <c s="125">
        <f>-MIN(AW503+AW546,$D546*Предпосылки!$F68/Кварталов_в_году)*AW460</f>
        <v>0</v>
      </c>
      <c s="125">
        <f>-MIN(AX503+AX546,$D546*Предпосылки!$F68/Кварталов_в_году)*AX460</f>
        <v>0</v>
      </c>
      <c s="125">
        <f>-MIN(AY503+AY546,$D546*Предпосылки!$F68/Кварталов_в_году)*AY460</f>
        <v>0</v>
      </c>
      <c s="125">
        <f>-MIN(AZ503+AZ546,$D546*Предпосылки!$F68/Кварталов_в_году)*AZ460</f>
        <v>0</v>
      </c>
      <c s="125">
        <f>-MIN(BA503+BA546,$D546*Предпосылки!$F68/Кварталов_в_году)*BA460</f>
        <v>0</v>
      </c>
      <c s="125">
        <f>-MIN(BB503+BB546,$D546*Предпосылки!$F68/Кварталов_в_году)*BB460</f>
        <v>0</v>
      </c>
      <c s="125">
        <f>-MIN(BC503+BC546,$D546*Предпосылки!$F68/Кварталов_в_году)*BC460</f>
        <v>0</v>
      </c>
      <c s="125">
        <f>-MIN(BD503+BD546,$D546*Предпосылки!$F68/Кварталов_в_году)*BD460</f>
        <v>0</v>
      </c>
      <c s="125">
        <f>-MIN(BE503+BE546,$D546*Предпосылки!$F68/Кварталов_в_году)*BE460</f>
        <v>0</v>
      </c>
      <c s="125">
        <f>-MIN(BF503+BF546,$D546*Предпосылки!$F68/Кварталов_в_году)*BF460</f>
        <v>0</v>
      </c>
      <c s="125">
        <f>-MIN(BG503+BG546,$D546*Предпосылки!$F68/Кварталов_в_году)*BG460</f>
        <v>0</v>
      </c>
      <c s="125">
        <f>-MIN(BH503+BH546,$D546*Предпосылки!$F68/Кварталов_в_году)*BH460</f>
        <v>0</v>
      </c>
      <c s="125">
        <f>-MIN(BI503+BI546,$D546*Предпосылки!$F68/Кварталов_в_году)*BI460</f>
        <v>0</v>
      </c>
      <c s="125">
        <f>-MIN(BJ503+BJ546,$D546*Предпосылки!$F68/Кварталов_в_году)*BJ460</f>
        <v>0</v>
      </c>
      <c s="125">
        <f>-MIN(BK503+BK546,$D546*Предпосылки!$F68/Кварталов_в_году)*BK460</f>
        <v>0</v>
      </c>
      <c s="125">
        <f>-MIN(BL503+BL546,$D546*Предпосылки!$F68/Кварталов_в_году)*BL460</f>
        <v>0</v>
      </c>
      <c s="125">
        <f>-MIN(BM503+BM546,$D546*Предпосылки!$F68/Кварталов_в_году)*BM460</f>
        <v>0</v>
      </c>
    </row>
    <row r="590" spans="2:65" ht="15" customHeight="1">
      <c r="B590" s="12" t="str">
        <f t="shared" si="479"/>
        <v>-</v>
      </c>
      <c s="124" t="str">
        <f t="shared" si="478"/>
        <v>тыс. руб.</v>
      </c>
      <c s="276">
        <f t="shared" si="480"/>
        <v>0</v>
      </c>
      <c s="125">
        <f>-MIN(E504+E547,$D547*Предпосылки!$F69/Кварталов_в_году)*E461</f>
        <v>0</v>
      </c>
      <c s="125">
        <f>-MIN(F504+F547,$D547*Предпосылки!$F69/Кварталов_в_году)*F461</f>
        <v>0</v>
      </c>
      <c s="125">
        <f>-MIN(G504+G547,$D547*Предпосылки!$F69/Кварталов_в_году)*G461</f>
        <v>0</v>
      </c>
      <c s="125">
        <f>-MIN(H504+H547,$D547*Предпосылки!$F69/Кварталов_в_году)*H461</f>
        <v>0</v>
      </c>
      <c s="125">
        <f>-MIN(I504+I547,$D547*Предпосылки!$F69/Кварталов_в_году)*I461</f>
        <v>0</v>
      </c>
      <c s="125">
        <f>-MIN(J504+J547,$D547*Предпосылки!$F69/Кварталов_в_году)*J461</f>
        <v>0</v>
      </c>
      <c s="125">
        <f>-MIN(K504+K547,$D547*Предпосылки!$F69/Кварталов_в_году)*K461</f>
        <v>0</v>
      </c>
      <c s="125">
        <f>-MIN(L504+L547,$D547*Предпосылки!$F69/Кварталов_в_году)*L461</f>
        <v>0</v>
      </c>
      <c s="125">
        <f>-MIN(M504+M547,$D547*Предпосылки!$F69/Кварталов_в_году)*M461</f>
        <v>0</v>
      </c>
      <c s="125">
        <f>-MIN(N504+N547,$D547*Предпосылки!$F69/Кварталов_в_году)*N461</f>
        <v>0</v>
      </c>
      <c s="125">
        <f>-MIN(O504+O547,$D547*Предпосылки!$F69/Кварталов_в_году)*O461</f>
        <v>0</v>
      </c>
      <c s="125">
        <f>-MIN(P504+P547,$D547*Предпосылки!$F69/Кварталов_в_году)*P461</f>
        <v>0</v>
      </c>
      <c s="125">
        <f>-MIN(Q504+Q547,$D547*Предпосылки!$F69/Кварталов_в_году)*Q461</f>
        <v>0</v>
      </c>
      <c s="125">
        <f>-MIN(R504+R547,$D547*Предпосылки!$F69/Кварталов_в_году)*R461</f>
        <v>0</v>
      </c>
      <c s="125">
        <f>-MIN(S504+S547,$D547*Предпосылки!$F69/Кварталов_в_году)*S461</f>
        <v>0</v>
      </c>
      <c s="125">
        <f>-MIN(T504+T547,$D547*Предпосылки!$F69/Кварталов_в_году)*T461</f>
        <v>0</v>
      </c>
      <c s="125">
        <f>-MIN(U504+U547,$D547*Предпосылки!$F69/Кварталов_в_году)*U461</f>
        <v>0</v>
      </c>
      <c s="125">
        <f>-MIN(V504+V547,$D547*Предпосылки!$F69/Кварталов_в_году)*V461</f>
        <v>0</v>
      </c>
      <c s="125">
        <f>-MIN(W504+W547,$D547*Предпосылки!$F69/Кварталов_в_году)*W461</f>
        <v>0</v>
      </c>
      <c s="125">
        <f>-MIN(X504+X547,$D547*Предпосылки!$F69/Кварталов_в_году)*X461</f>
        <v>0</v>
      </c>
      <c s="125">
        <f>-MIN(Y504+Y547,$D547*Предпосылки!$F69/Кварталов_в_году)*Y461</f>
        <v>0</v>
      </c>
      <c s="125">
        <f>-MIN(Z504+Z547,$D547*Предпосылки!$F69/Кварталов_в_году)*Z461</f>
        <v>0</v>
      </c>
      <c s="125">
        <f>-MIN(AA504+AA547,$D547*Предпосылки!$F69/Кварталов_в_году)*AA461</f>
        <v>0</v>
      </c>
      <c s="125">
        <f>-MIN(AB504+AB547,$D547*Предпосылки!$F69/Кварталов_в_году)*AB461</f>
        <v>0</v>
      </c>
      <c s="125">
        <f>-MIN(AC504+AC547,$D547*Предпосылки!$F69/Кварталов_в_году)*AC461</f>
        <v>0</v>
      </c>
      <c s="125">
        <f>-MIN(AD504+AD547,$D547*Предпосылки!$F69/Кварталов_в_году)*AD461</f>
        <v>0</v>
      </c>
      <c s="125">
        <f>-MIN(AE504+AE547,$D547*Предпосылки!$F69/Кварталов_в_году)*AE461</f>
        <v>0</v>
      </c>
      <c s="125">
        <f>-MIN(AF504+AF547,$D547*Предпосылки!$F69/Кварталов_в_году)*AF461</f>
        <v>0</v>
      </c>
      <c s="125">
        <f>-MIN(AG504+AG547,$D547*Предпосылки!$F69/Кварталов_в_году)*AG461</f>
        <v>0</v>
      </c>
      <c s="125">
        <f>-MIN(AH504+AH547,$D547*Предпосылки!$F69/Кварталов_в_году)*AH461</f>
        <v>0</v>
      </c>
      <c s="125">
        <f>-MIN(AI504+AI547,$D547*Предпосылки!$F69/Кварталов_в_году)*AI461</f>
        <v>0</v>
      </c>
      <c s="125">
        <f>-MIN(AJ504+AJ547,$D547*Предпосылки!$F69/Кварталов_в_году)*AJ461</f>
        <v>0</v>
      </c>
      <c s="125">
        <f>-MIN(AK504+AK547,$D547*Предпосылки!$F69/Кварталов_в_году)*AK461</f>
        <v>0</v>
      </c>
      <c s="125">
        <f>-MIN(AL504+AL547,$D547*Предпосылки!$F69/Кварталов_в_году)*AL461</f>
        <v>0</v>
      </c>
      <c s="125">
        <f>-MIN(AM504+AM547,$D547*Предпосылки!$F69/Кварталов_в_году)*AM461</f>
        <v>0</v>
      </c>
      <c s="125">
        <f>-MIN(AN504+AN547,$D547*Предпосылки!$F69/Кварталов_в_году)*AN461</f>
        <v>0</v>
      </c>
      <c s="125">
        <f>-MIN(AO504+AO547,$D547*Предпосылки!$F69/Кварталов_в_году)*AO461</f>
        <v>0</v>
      </c>
      <c s="125">
        <f>-MIN(AP504+AP547,$D547*Предпосылки!$F69/Кварталов_в_году)*AP461</f>
        <v>0</v>
      </c>
      <c s="125">
        <f>-MIN(AQ504+AQ547,$D547*Предпосылки!$F69/Кварталов_в_году)*AQ461</f>
        <v>0</v>
      </c>
      <c s="125">
        <f>-MIN(AR504+AR547,$D547*Предпосылки!$F69/Кварталов_в_году)*AR461</f>
        <v>0</v>
      </c>
      <c s="125">
        <f>-MIN(AS504+AS547,$D547*Предпосылки!$F69/Кварталов_в_году)*AS461</f>
        <v>0</v>
      </c>
      <c s="125">
        <f>-MIN(AT504+AT547,$D547*Предпосылки!$F69/Кварталов_в_году)*AT461</f>
        <v>0</v>
      </c>
      <c s="125">
        <f>-MIN(AU504+AU547,$D547*Предпосылки!$F69/Кварталов_в_году)*AU461</f>
        <v>0</v>
      </c>
      <c s="125">
        <f>-MIN(AV504+AV547,$D547*Предпосылки!$F69/Кварталов_в_году)*AV461</f>
        <v>0</v>
      </c>
      <c s="125">
        <f>-MIN(AW504+AW547,$D547*Предпосылки!$F69/Кварталов_в_году)*AW461</f>
        <v>0</v>
      </c>
      <c s="125">
        <f>-MIN(AX504+AX547,$D547*Предпосылки!$F69/Кварталов_в_году)*AX461</f>
        <v>0</v>
      </c>
      <c s="125">
        <f>-MIN(AY504+AY547,$D547*Предпосылки!$F69/Кварталов_в_году)*AY461</f>
        <v>0</v>
      </c>
      <c s="125">
        <f>-MIN(AZ504+AZ547,$D547*Предпосылки!$F69/Кварталов_в_году)*AZ461</f>
        <v>0</v>
      </c>
      <c s="125">
        <f>-MIN(BA504+BA547,$D547*Предпосылки!$F69/Кварталов_в_году)*BA461</f>
        <v>0</v>
      </c>
      <c s="125">
        <f>-MIN(BB504+BB547,$D547*Предпосылки!$F69/Кварталов_в_году)*BB461</f>
        <v>0</v>
      </c>
      <c s="125">
        <f>-MIN(BC504+BC547,$D547*Предпосылки!$F69/Кварталов_в_году)*BC461</f>
        <v>0</v>
      </c>
      <c s="125">
        <f>-MIN(BD504+BD547,$D547*Предпосылки!$F69/Кварталов_в_году)*BD461</f>
        <v>0</v>
      </c>
      <c s="125">
        <f>-MIN(BE504+BE547,$D547*Предпосылки!$F69/Кварталов_в_году)*BE461</f>
        <v>0</v>
      </c>
      <c s="125">
        <f>-MIN(BF504+BF547,$D547*Предпосылки!$F69/Кварталов_в_году)*BF461</f>
        <v>0</v>
      </c>
      <c s="125">
        <f>-MIN(BG504+BG547,$D547*Предпосылки!$F69/Кварталов_в_году)*BG461</f>
        <v>0</v>
      </c>
      <c s="125">
        <f>-MIN(BH504+BH547,$D547*Предпосылки!$F69/Кварталов_в_году)*BH461</f>
        <v>0</v>
      </c>
      <c s="125">
        <f>-MIN(BI504+BI547,$D547*Предпосылки!$F69/Кварталов_в_году)*BI461</f>
        <v>0</v>
      </c>
      <c s="125">
        <f>-MIN(BJ504+BJ547,$D547*Предпосылки!$F69/Кварталов_в_году)*BJ461</f>
        <v>0</v>
      </c>
      <c s="125">
        <f>-MIN(BK504+BK547,$D547*Предпосылки!$F69/Кварталов_в_году)*BK461</f>
        <v>0</v>
      </c>
      <c s="125">
        <f>-MIN(BL504+BL547,$D547*Предпосылки!$F69/Кварталов_в_году)*BL461</f>
        <v>0</v>
      </c>
      <c s="125">
        <f>-MIN(BM504+BM547,$D547*Предпосылки!$F69/Кварталов_в_году)*BM461</f>
        <v>0</v>
      </c>
    </row>
    <row r="591" spans="2:65" ht="15" customHeight="1">
      <c r="B591" s="289" t="s">
        <v>830</v>
      </c>
      <c s="290" t="str">
        <f t="shared" si="478"/>
        <v>тыс. руб.</v>
      </c>
      <c s="291">
        <f t="shared" si="481" ref="D591:AG591">SUM(D551:D590)</f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1"/>
        <v>0</v>
      </c>
      <c s="276">
        <f t="shared" si="482" ref="AH591:BM591">SUM(AH551:AH590)</f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  <c s="276">
        <f t="shared" si="482"/>
        <v>0</v>
      </c>
    </row>
    <row r="592" ht="15" customHeight="1"/>
    <row r="593" spans="2:71" ht="21">
      <c r="B593" s="24" t="s">
        <v>842</v>
      </c>
      <c r="D59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94" spans="2:65" ht="15" customHeight="1">
      <c r="B594" s="12" t="str">
        <f>B551</f>
        <v>-</v>
      </c>
      <c s="124" t="str">
        <f t="shared" si="483" ref="C594:C634">Единица_измерения</f>
        <v>тыс. руб.</v>
      </c>
      <c s="124"/>
      <c s="125">
        <f t="shared" si="484" ref="E594:AG594">SUM(E465,E508,E551)</f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5" ref="AH594:BM594">SUM(AH465,AH508,AH551)</f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</row>
    <row r="595" spans="2:65" ht="15" customHeight="1">
      <c r="B595" s="12" t="str">
        <f t="shared" si="486" ref="B595:B633">B552</f>
        <v>-</v>
      </c>
      <c s="124" t="str">
        <f t="shared" si="483"/>
        <v>тыс. руб.</v>
      </c>
      <c s="124"/>
      <c s="125">
        <f t="shared" si="487" ref="E595:AG595">SUM(E466,E509,E552)</f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8" ref="AH595:BM595">SUM(AH466,AH509,AH552)</f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</row>
    <row r="596" spans="2:65" ht="15" customHeight="1">
      <c r="B596" s="12" t="str">
        <f t="shared" si="486"/>
        <v>-</v>
      </c>
      <c s="124" t="str">
        <f t="shared" si="483"/>
        <v>тыс. руб.</v>
      </c>
      <c s="124"/>
      <c s="125">
        <f t="shared" si="489" ref="E596:AG596">SUM(E467,E510,E553)</f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90" ref="AH596:BM596">SUM(AH467,AH510,AH553)</f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</row>
    <row r="597" spans="2:65" ht="15" customHeight="1">
      <c r="B597" s="12" t="str">
        <f t="shared" si="486"/>
        <v>-</v>
      </c>
      <c s="124" t="str">
        <f t="shared" si="483"/>
        <v>тыс. руб.</v>
      </c>
      <c s="124"/>
      <c s="125">
        <f t="shared" si="491" ref="E597:AG597">SUM(E468,E511,E554)</f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2" ref="AH597:BM597">SUM(AH468,AH511,AH554)</f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</row>
    <row r="598" spans="2:65" ht="15" customHeight="1">
      <c r="B598" s="12" t="str">
        <f t="shared" si="486"/>
        <v>-</v>
      </c>
      <c s="124" t="str">
        <f t="shared" si="483"/>
        <v>тыс. руб.</v>
      </c>
      <c s="124"/>
      <c s="125">
        <f t="shared" si="493" ref="E598:AG598">SUM(E469,E512,E555)</f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4" ref="AH598:BM598">SUM(AH469,AH512,AH555)</f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</row>
    <row r="599" spans="2:65" ht="15" customHeight="1">
      <c r="B599" s="12" t="str">
        <f t="shared" si="486"/>
        <v>-</v>
      </c>
      <c s="124" t="str">
        <f t="shared" si="483"/>
        <v>тыс. руб.</v>
      </c>
      <c s="124"/>
      <c s="125">
        <f t="shared" si="495" ref="E599:AG599">SUM(E470,E513,E556)</f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6" ref="AH599:BM599">SUM(AH470,AH513,AH556)</f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</row>
    <row r="600" spans="2:65" ht="15" customHeight="1">
      <c r="B600" s="12" t="str">
        <f t="shared" si="486"/>
        <v>-</v>
      </c>
      <c s="124" t="str">
        <f t="shared" si="483"/>
        <v>тыс. руб.</v>
      </c>
      <c s="124"/>
      <c s="125">
        <f t="shared" si="497" ref="E600:AG600">SUM(E471,E514,E557)</f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8" ref="AH600:BM600">SUM(AH471,AH514,AH557)</f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</row>
    <row r="601" spans="2:65" ht="15" customHeight="1">
      <c r="B601" s="12" t="str">
        <f t="shared" si="486"/>
        <v>-</v>
      </c>
      <c s="124" t="str">
        <f t="shared" si="483"/>
        <v>тыс. руб.</v>
      </c>
      <c s="124"/>
      <c s="125">
        <f t="shared" si="499" ref="E601:AG601">SUM(E472,E515,E558)</f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500" ref="AH601:BM601">SUM(AH472,AH515,AH558)</f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</row>
    <row r="602" spans="2:65" ht="15" customHeight="1">
      <c r="B602" s="12" t="str">
        <f t="shared" si="486"/>
        <v>-</v>
      </c>
      <c s="124" t="str">
        <f t="shared" si="483"/>
        <v>тыс. руб.</v>
      </c>
      <c s="124"/>
      <c s="125">
        <f t="shared" si="501" ref="E602:AG602">SUM(E473,E516,E559)</f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2" ref="AH602:BM602">SUM(AH473,AH516,AH559)</f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</row>
    <row r="603" spans="2:65" ht="15" customHeight="1">
      <c r="B603" s="12" t="str">
        <f t="shared" si="486"/>
        <v>-</v>
      </c>
      <c s="124" t="str">
        <f t="shared" si="483"/>
        <v>тыс. руб.</v>
      </c>
      <c s="124"/>
      <c s="125">
        <f t="shared" si="503" ref="E603:AG603">SUM(E474,E517,E560)</f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4" ref="AH603:BM603">SUM(AH474,AH517,AH560)</f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</row>
    <row r="604" spans="2:65" ht="15" customHeight="1">
      <c r="B604" s="12" t="str">
        <f t="shared" si="486"/>
        <v>-</v>
      </c>
      <c s="124" t="str">
        <f t="shared" si="483"/>
        <v>тыс. руб.</v>
      </c>
      <c s="124"/>
      <c s="125">
        <f t="shared" si="505" ref="E604:AG604">SUM(E475,E518,E561)</f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6" ref="AH604:BM604">SUM(AH475,AH518,AH561)</f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</row>
    <row r="605" spans="2:65" ht="15" customHeight="1">
      <c r="B605" s="12" t="str">
        <f t="shared" si="486"/>
        <v>-</v>
      </c>
      <c s="124" t="str">
        <f t="shared" si="483"/>
        <v>тыс. руб.</v>
      </c>
      <c s="124"/>
      <c s="125">
        <f t="shared" si="507" ref="E605:AG605">SUM(E476,E519,E562)</f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8" ref="AH605:BM605">SUM(AH476,AH519,AH562)</f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</row>
    <row r="606" spans="2:65" ht="15" customHeight="1">
      <c r="B606" s="12" t="str">
        <f t="shared" si="486"/>
        <v>-</v>
      </c>
      <c s="124" t="str">
        <f t="shared" si="483"/>
        <v>тыс. руб.</v>
      </c>
      <c s="124"/>
      <c s="125">
        <f t="shared" si="509" ref="E606:AG606">SUM(E477,E520,E563)</f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09"/>
        <v>0</v>
      </c>
      <c s="125">
        <f t="shared" si="510" ref="AH606:BM606">SUM(AH477,AH520,AH563)</f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  <c s="125">
        <f t="shared" si="510"/>
        <v>0</v>
      </c>
    </row>
    <row r="607" spans="2:65" ht="15" customHeight="1">
      <c r="B607" s="12" t="str">
        <f t="shared" si="486"/>
        <v>-</v>
      </c>
      <c s="124" t="str">
        <f t="shared" si="483"/>
        <v>тыс. руб.</v>
      </c>
      <c s="124"/>
      <c s="125">
        <f t="shared" si="511" ref="E607:AG607">SUM(E478,E521,E564)</f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2" ref="AH607:BM607">SUM(AH478,AH521,AH564)</f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</row>
    <row r="608" spans="2:65" ht="15" customHeight="1">
      <c r="B608" s="12" t="str">
        <f t="shared" si="486"/>
        <v>-</v>
      </c>
      <c s="124" t="str">
        <f t="shared" si="483"/>
        <v>тыс. руб.</v>
      </c>
      <c s="124"/>
      <c s="125">
        <f t="shared" si="513" ref="E608:AG608">SUM(E479,E522,E565)</f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3"/>
        <v>0</v>
      </c>
      <c s="125">
        <f t="shared" si="514" ref="AH608:BM608">SUM(AH479,AH522,AH565)</f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  <c s="125">
        <f t="shared" si="514"/>
        <v>0</v>
      </c>
    </row>
    <row r="609" spans="2:65" ht="15" customHeight="1">
      <c r="B609" s="12" t="str">
        <f t="shared" si="486"/>
        <v>-</v>
      </c>
      <c s="124" t="str">
        <f t="shared" si="483"/>
        <v>тыс. руб.</v>
      </c>
      <c s="124"/>
      <c s="125">
        <f t="shared" si="515" ref="E609:AG609">SUM(E480,E523,E566)</f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5"/>
        <v>0</v>
      </c>
      <c s="125">
        <f t="shared" si="516" ref="AH609:BM609">SUM(AH480,AH523,AH566)</f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  <c s="125">
        <f t="shared" si="516"/>
        <v>0</v>
      </c>
    </row>
    <row r="610" spans="2:65" ht="15" customHeight="1">
      <c r="B610" s="12" t="str">
        <f t="shared" si="486"/>
        <v>-</v>
      </c>
      <c s="124" t="str">
        <f t="shared" si="483"/>
        <v>тыс. руб.</v>
      </c>
      <c s="124"/>
      <c s="125">
        <f t="shared" si="517" ref="E610:AG610">SUM(E481,E524,E567)</f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7"/>
        <v>0</v>
      </c>
      <c s="125">
        <f t="shared" si="518" ref="AH610:BM610">SUM(AH481,AH524,AH567)</f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  <c s="125">
        <f t="shared" si="518"/>
        <v>0</v>
      </c>
    </row>
    <row r="611" spans="2:65" ht="15" customHeight="1">
      <c r="B611" s="12" t="str">
        <f t="shared" si="486"/>
        <v>-</v>
      </c>
      <c s="124" t="str">
        <f t="shared" si="483"/>
        <v>тыс. руб.</v>
      </c>
      <c s="124"/>
      <c s="125">
        <f t="shared" si="519" ref="E611:AG611">SUM(E482,E525,E568)</f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19"/>
        <v>0</v>
      </c>
      <c s="125">
        <f t="shared" si="520" ref="AH611:BM611">SUM(AH482,AH525,AH568)</f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  <c s="125">
        <f t="shared" si="520"/>
        <v>0</v>
      </c>
    </row>
    <row r="612" spans="2:65" ht="15" customHeight="1">
      <c r="B612" s="12" t="str">
        <f t="shared" si="486"/>
        <v>-</v>
      </c>
      <c s="124" t="str">
        <f t="shared" si="483"/>
        <v>тыс. руб.</v>
      </c>
      <c s="124"/>
      <c s="125">
        <f t="shared" si="521" ref="E612:AG612">SUM(E483,E526,E569)</f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1"/>
        <v>0</v>
      </c>
      <c s="125">
        <f t="shared" si="522" ref="AH612:BM612">SUM(AH483,AH526,AH569)</f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  <c s="125">
        <f t="shared" si="522"/>
        <v>0</v>
      </c>
    </row>
    <row r="613" spans="2:65" ht="15" customHeight="1">
      <c r="B613" s="12" t="str">
        <f t="shared" si="486"/>
        <v>-</v>
      </c>
      <c s="124" t="str">
        <f t="shared" si="483"/>
        <v>тыс. руб.</v>
      </c>
      <c s="124"/>
      <c s="125">
        <f t="shared" si="523" ref="E613:AG613">SUM(E484,E527,E570)</f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3"/>
        <v>0</v>
      </c>
      <c s="125">
        <f t="shared" si="524" ref="AH613:BM613">SUM(AH484,AH527,AH570)</f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  <c s="125">
        <f t="shared" si="524"/>
        <v>0</v>
      </c>
    </row>
    <row r="614" spans="2:65" ht="15" customHeight="1">
      <c r="B614" s="12" t="str">
        <f t="shared" si="486"/>
        <v>-</v>
      </c>
      <c s="124" t="str">
        <f t="shared" si="483"/>
        <v>тыс. руб.</v>
      </c>
      <c s="124"/>
      <c s="125">
        <f t="shared" si="525" ref="E614:AG614">SUM(E485,E528,E571)</f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5"/>
        <v>0</v>
      </c>
      <c s="125">
        <f t="shared" si="526" ref="AH614:BM614">SUM(AH485,AH528,AH571)</f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  <c s="125">
        <f t="shared" si="526"/>
        <v>0</v>
      </c>
    </row>
    <row r="615" spans="2:65" ht="15" customHeight="1">
      <c r="B615" s="12" t="str">
        <f t="shared" si="486"/>
        <v>-</v>
      </c>
      <c s="124" t="str">
        <f t="shared" si="483"/>
        <v>тыс. руб.</v>
      </c>
      <c s="124"/>
      <c s="125">
        <f t="shared" si="527" ref="E615:AG615">SUM(E486,E529,E572)</f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7"/>
        <v>0</v>
      </c>
      <c s="125">
        <f t="shared" si="528" ref="AH615:BM615">SUM(AH486,AH529,AH572)</f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  <c s="125">
        <f t="shared" si="528"/>
        <v>0</v>
      </c>
    </row>
    <row r="616" spans="2:65" ht="15" customHeight="1">
      <c r="B616" s="12" t="str">
        <f t="shared" si="486"/>
        <v>-</v>
      </c>
      <c s="124" t="str">
        <f t="shared" si="483"/>
        <v>тыс. руб.</v>
      </c>
      <c s="124"/>
      <c s="125">
        <f t="shared" si="529" ref="E616:AG616">SUM(E487,E530,E573)</f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29"/>
        <v>0</v>
      </c>
      <c s="125">
        <f t="shared" si="530" ref="AH616:BM616">SUM(AH487,AH530,AH573)</f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  <c s="125">
        <f t="shared" si="530"/>
        <v>0</v>
      </c>
    </row>
    <row r="617" spans="2:65" ht="15" customHeight="1">
      <c r="B617" s="12" t="str">
        <f t="shared" si="486"/>
        <v>-</v>
      </c>
      <c s="124" t="str">
        <f t="shared" si="483"/>
        <v>тыс. руб.</v>
      </c>
      <c s="124"/>
      <c s="125">
        <f t="shared" si="531" ref="E617:AG617">SUM(E488,E531,E574)</f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1"/>
        <v>0</v>
      </c>
      <c s="125">
        <f t="shared" si="532" ref="AH617:BM617">SUM(AH488,AH531,AH574)</f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  <c s="125">
        <f t="shared" si="532"/>
        <v>0</v>
      </c>
    </row>
    <row r="618" spans="2:65" ht="15" customHeight="1">
      <c r="B618" s="12" t="str">
        <f t="shared" si="486"/>
        <v>-</v>
      </c>
      <c s="124" t="str">
        <f t="shared" si="483"/>
        <v>тыс. руб.</v>
      </c>
      <c s="124"/>
      <c s="125">
        <f t="shared" si="533" ref="E618:AG618">SUM(E489,E532,E575)</f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3"/>
        <v>0</v>
      </c>
      <c s="125">
        <f t="shared" si="534" ref="AH618:BM618">SUM(AH489,AH532,AH575)</f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  <c s="125">
        <f t="shared" si="534"/>
        <v>0</v>
      </c>
    </row>
    <row r="619" spans="2:65" ht="15" customHeight="1">
      <c r="B619" s="12" t="str">
        <f t="shared" si="486"/>
        <v>-</v>
      </c>
      <c s="124" t="str">
        <f t="shared" si="483"/>
        <v>тыс. руб.</v>
      </c>
      <c s="124"/>
      <c s="125">
        <f t="shared" si="535" ref="E619:AG619">SUM(E490,E533,E576)</f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5"/>
        <v>0</v>
      </c>
      <c s="125">
        <f t="shared" si="536" ref="AH619:BM619">SUM(AH490,AH533,AH576)</f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  <c s="125">
        <f t="shared" si="536"/>
        <v>0</v>
      </c>
    </row>
    <row r="620" spans="2:65" ht="15" customHeight="1">
      <c r="B620" s="12" t="str">
        <f t="shared" si="486"/>
        <v>-</v>
      </c>
      <c s="124" t="str">
        <f t="shared" si="483"/>
        <v>тыс. руб.</v>
      </c>
      <c s="124"/>
      <c s="125">
        <f t="shared" si="537" ref="E620:AG620">SUM(E491,E534,E577)</f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7"/>
        <v>0</v>
      </c>
      <c s="125">
        <f t="shared" si="538" ref="AH620:BM620">SUM(AH491,AH534,AH577)</f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  <c s="125">
        <f t="shared" si="538"/>
        <v>0</v>
      </c>
    </row>
    <row r="621" spans="2:65" ht="15" customHeight="1">
      <c r="B621" s="12" t="str">
        <f t="shared" si="486"/>
        <v>-</v>
      </c>
      <c s="124" t="str">
        <f t="shared" si="483"/>
        <v>тыс. руб.</v>
      </c>
      <c s="124"/>
      <c s="125">
        <f t="shared" si="539" ref="E621:AG621">SUM(E492,E535,E578)</f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39"/>
        <v>0</v>
      </c>
      <c s="125">
        <f t="shared" si="540" ref="AH621:BM621">SUM(AH492,AH535,AH578)</f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  <c s="125">
        <f t="shared" si="540"/>
        <v>0</v>
      </c>
    </row>
    <row r="622" spans="2:65" ht="15" customHeight="1">
      <c r="B622" s="12" t="str">
        <f t="shared" si="486"/>
        <v>-</v>
      </c>
      <c s="124" t="str">
        <f t="shared" si="483"/>
        <v>тыс. руб.</v>
      </c>
      <c s="124"/>
      <c s="125">
        <f t="shared" si="541" ref="E622:AG622">SUM(E493,E536,E579)</f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1"/>
        <v>0</v>
      </c>
      <c s="125">
        <f t="shared" si="542" ref="AH622:BM622">SUM(AH493,AH536,AH579)</f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  <c s="125">
        <f t="shared" si="542"/>
        <v>0</v>
      </c>
    </row>
    <row r="623" spans="2:65" ht="15" customHeight="1">
      <c r="B623" s="12" t="str">
        <f t="shared" si="486"/>
        <v>-</v>
      </c>
      <c s="124" t="str">
        <f t="shared" si="483"/>
        <v>тыс. руб.</v>
      </c>
      <c s="124"/>
      <c s="125">
        <f t="shared" si="543" ref="E623:AG623">SUM(E494,E537,E580)</f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3"/>
        <v>0</v>
      </c>
      <c s="125">
        <f t="shared" si="544" ref="AH623:BM623">SUM(AH494,AH537,AH580)</f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  <c s="125">
        <f t="shared" si="544"/>
        <v>0</v>
      </c>
    </row>
    <row r="624" spans="2:65" ht="15" customHeight="1">
      <c r="B624" s="12" t="str">
        <f t="shared" si="486"/>
        <v>-</v>
      </c>
      <c s="124" t="str">
        <f t="shared" si="483"/>
        <v>тыс. руб.</v>
      </c>
      <c s="124"/>
      <c s="125">
        <f t="shared" si="545" ref="E624:AG624">SUM(E495,E538,E581)</f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5"/>
        <v>0</v>
      </c>
      <c s="125">
        <f t="shared" si="546" ref="AH624:BM624">SUM(AH495,AH538,AH581)</f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  <c s="125">
        <f t="shared" si="546"/>
        <v>0</v>
      </c>
    </row>
    <row r="625" spans="2:65" ht="15" customHeight="1">
      <c r="B625" s="12" t="str">
        <f t="shared" si="486"/>
        <v>-</v>
      </c>
      <c s="124" t="str">
        <f t="shared" si="483"/>
        <v>тыс. руб.</v>
      </c>
      <c s="124"/>
      <c s="125">
        <f t="shared" si="547" ref="E625:AG625">SUM(E496,E539,E582)</f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7"/>
        <v>0</v>
      </c>
      <c s="125">
        <f t="shared" si="548" ref="AH625:BM625">SUM(AH496,AH539,AH582)</f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  <c s="125">
        <f t="shared" si="548"/>
        <v>0</v>
      </c>
    </row>
    <row r="626" spans="2:65" ht="15" customHeight="1">
      <c r="B626" s="12" t="str">
        <f t="shared" si="486"/>
        <v>-</v>
      </c>
      <c s="124" t="str">
        <f t="shared" si="483"/>
        <v>тыс. руб.</v>
      </c>
      <c s="124"/>
      <c s="125">
        <f t="shared" si="549" ref="E626:AG626">SUM(E497,E540,E583)</f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49"/>
        <v>0</v>
      </c>
      <c s="125">
        <f t="shared" si="550" ref="AH626:BM626">SUM(AH497,AH540,AH583)</f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  <c s="125">
        <f t="shared" si="550"/>
        <v>0</v>
      </c>
    </row>
    <row r="627" spans="2:65" ht="15" customHeight="1">
      <c r="B627" s="12" t="str">
        <f t="shared" si="486"/>
        <v>-</v>
      </c>
      <c s="124" t="str">
        <f t="shared" si="483"/>
        <v>тыс. руб.</v>
      </c>
      <c s="124"/>
      <c s="125">
        <f t="shared" si="551" ref="E627:AG627">SUM(E498,E541,E584)</f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1"/>
        <v>0</v>
      </c>
      <c s="125">
        <f t="shared" si="552" ref="AH627:BM627">SUM(AH498,AH541,AH584)</f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  <c s="125">
        <f t="shared" si="552"/>
        <v>0</v>
      </c>
    </row>
    <row r="628" spans="2:65" ht="15" customHeight="1">
      <c r="B628" s="12" t="str">
        <f t="shared" si="486"/>
        <v>-</v>
      </c>
      <c s="124" t="str">
        <f t="shared" si="483"/>
        <v>тыс. руб.</v>
      </c>
      <c s="124"/>
      <c s="125">
        <f t="shared" si="553" ref="E628:AG628">SUM(E499,E542,E585)</f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3"/>
        <v>0</v>
      </c>
      <c s="125">
        <f t="shared" si="554" ref="AH628:BM628">SUM(AH499,AH542,AH585)</f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  <c s="125">
        <f t="shared" si="554"/>
        <v>0</v>
      </c>
    </row>
    <row r="629" spans="2:65" ht="15" customHeight="1">
      <c r="B629" s="12" t="str">
        <f t="shared" si="486"/>
        <v>-</v>
      </c>
      <c s="124" t="str">
        <f t="shared" si="483"/>
        <v>тыс. руб.</v>
      </c>
      <c s="124"/>
      <c s="125">
        <f t="shared" si="555" ref="E629:AG629">SUM(E500,E543,E586)</f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6" ref="AH629:BM629">SUM(AH500,AH543,AH586)</f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  <c s="125">
        <f t="shared" si="556"/>
        <v>0</v>
      </c>
    </row>
    <row r="630" spans="2:65" ht="15" customHeight="1">
      <c r="B630" s="12" t="str">
        <f t="shared" si="486"/>
        <v>-</v>
      </c>
      <c s="124" t="str">
        <f t="shared" si="483"/>
        <v>тыс. руб.</v>
      </c>
      <c s="124"/>
      <c s="125">
        <f t="shared" si="557" ref="E630:AG630">SUM(E501,E544,E587)</f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7"/>
        <v>0</v>
      </c>
      <c s="125">
        <f t="shared" si="558" ref="AH630:BM630">SUM(AH501,AH544,AH587)</f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  <c s="125">
        <f t="shared" si="558"/>
        <v>0</v>
      </c>
    </row>
    <row r="631" spans="2:65" ht="15" customHeight="1">
      <c r="B631" s="12" t="str">
        <f t="shared" si="486"/>
        <v>-</v>
      </c>
      <c s="124" t="str">
        <f t="shared" si="483"/>
        <v>тыс. руб.</v>
      </c>
      <c s="124"/>
      <c s="125">
        <f t="shared" si="559" ref="E631:AG631">SUM(E502,E545,E588)</f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59"/>
        <v>0</v>
      </c>
      <c s="125">
        <f t="shared" si="560" ref="AH631:BM631">SUM(AH502,AH545,AH588)</f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  <c s="125">
        <f t="shared" si="560"/>
        <v>0</v>
      </c>
    </row>
    <row r="632" spans="2:65" ht="15" customHeight="1">
      <c r="B632" s="12" t="str">
        <f t="shared" si="486"/>
        <v>-</v>
      </c>
      <c s="124" t="str">
        <f t="shared" si="483"/>
        <v>тыс. руб.</v>
      </c>
      <c s="124"/>
      <c s="125">
        <f t="shared" si="561" ref="E632:AG632">SUM(E503,E546,E589)</f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1"/>
        <v>0</v>
      </c>
      <c s="125">
        <f t="shared" si="562" ref="AH632:BM632">SUM(AH503,AH546,AH589)</f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</row>
    <row r="633" spans="2:65" ht="15" customHeight="1">
      <c r="B633" s="12" t="str">
        <f t="shared" si="486"/>
        <v>-</v>
      </c>
      <c s="124" t="str">
        <f t="shared" si="483"/>
        <v>тыс. руб.</v>
      </c>
      <c s="124"/>
      <c s="125">
        <f t="shared" si="563" ref="E633:AG633">SUM(E504,E547,E590)</f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3"/>
        <v>0</v>
      </c>
      <c s="125">
        <f t="shared" si="564" ref="AH633:BM633">SUM(AH504,AH547,AH590)</f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  <c s="125">
        <f t="shared" si="564"/>
        <v>0</v>
      </c>
    </row>
    <row r="634" spans="2:65" ht="15" customHeight="1">
      <c r="B634" s="289" t="s">
        <v>830</v>
      </c>
      <c s="290" t="str">
        <f t="shared" si="483"/>
        <v>тыс. руб.</v>
      </c>
      <c s="276"/>
      <c s="276">
        <f>SUM(E594:E633)</f>
        <v>0</v>
      </c>
      <c s="276">
        <f t="shared" si="565" ref="F634:AG634">SUM(F594:F633)</f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5"/>
        <v>0</v>
      </c>
      <c s="276">
        <f t="shared" si="566" ref="AH634:BM634">SUM(AH594:AH633)</f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  <c s="276">
        <f t="shared" si="566"/>
        <v>0</v>
      </c>
    </row>
    <row r="635" ht="15" customHeight="1"/>
  </sheetData>
  <sheetProtection algorithmName="SHA-512" hashValue="0qpAli38g14eBWDVqIqtm57PhSDYk8uqIb2AQtO67arRXvdGlpV8j5o95deZiHktG6036WtZgTo3ls5+y7/SJg==" saltValue="Bh3GmNjn1CihRRBm4QrYbw==" spinCount="100000" sheet="1" objects="1" scenarios="1"/>
  <mergeCells count="5">
    <mergeCell ref="E2:H2"/>
    <mergeCell ref="E4:G4"/>
    <mergeCell ref="D6:D9"/>
    <mergeCell ref="C6:C9"/>
    <mergeCell ref="B6:B9"/>
  </mergeCells>
  <conditionalFormatting sqref="C419">
    <cfRule type="cellIs" priority="29" dxfId="24" operator="equal">
      <formula>"Q"</formula>
    </cfRule>
    <cfRule type="cellIs" priority="30" dxfId="23" operator="equal">
      <formula>"R"</formula>
    </cfRule>
  </conditionalFormatting>
  <conditionalFormatting sqref="E4">
    <cfRule type="expression" priority="23" dxfId="24">
      <formula>$H$4="Q"</formula>
    </cfRule>
    <cfRule type="expression" priority="24" dxfId="23">
      <formula>$H$4="R"</formula>
    </cfRule>
  </conditionalFormatting>
  <conditionalFormatting sqref="E321:BM360">
    <cfRule type="cellIs" priority="4" dxfId="23" operator="equal">
      <formula>1</formula>
    </cfRule>
  </conditionalFormatting>
  <conditionalFormatting sqref="E422:BM461">
    <cfRule type="cellIs" priority="1" dxfId="23" operator="equal">
      <formula>1</formula>
    </cfRule>
  </conditionalFormatting>
  <conditionalFormatting sqref="F322:BM360">
    <cfRule type="cellIs" priority="3" dxfId="23" operator="equal">
      <formula>1</formula>
    </cfRule>
  </conditionalFormatting>
  <conditionalFormatting sqref="H4">
    <cfRule type="cellIs" priority="21" dxfId="24" operator="equal">
      <formula>"Q"</formula>
    </cfRule>
    <cfRule type="cellIs" priority="2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0"/>
    <pageSetUpPr fitToPage="1"/>
  </sheetPr>
  <dimension ref="B2:BS179"/>
  <sheetViews>
    <sheetView showGridLines="0" workbookViewId="0" topLeftCell="A1">
      <pane xSplit="4" ySplit="8" topLeftCell="E9" activePane="bottomRight" state="frozen"/>
      <selection pane="topLeft" activeCell="A1" sqref="A1"/>
      <selection pane="bottomLeft" activeCell="A1" sqref="A1"/>
      <selection pane="topRight" activeCell="A1" sqref="A1"/>
      <selection pane="bottomRight" activeCell="J3" sqref="J3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65" width="17.2857142857143" customWidth="1"/>
    <col min="66" max="66" width="2.71428571428571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13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BM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0"/>
        <v>30</v>
      </c>
      <c s="255">
        <f t="shared" si="0"/>
        <v>31</v>
      </c>
      <c s="255">
        <f t="shared" si="0"/>
        <v>32</v>
      </c>
      <c s="255">
        <f t="shared" si="0"/>
        <v>33</v>
      </c>
      <c s="255">
        <f t="shared" si="0"/>
        <v>34</v>
      </c>
      <c s="255">
        <f t="shared" si="0"/>
        <v>35</v>
      </c>
      <c s="255">
        <f t="shared" si="0"/>
        <v>36</v>
      </c>
      <c s="255">
        <f t="shared" si="0"/>
        <v>37</v>
      </c>
      <c s="255">
        <f t="shared" si="0"/>
        <v>38</v>
      </c>
      <c s="255">
        <f t="shared" si="0"/>
        <v>39</v>
      </c>
      <c s="255">
        <f t="shared" si="0"/>
        <v>40</v>
      </c>
      <c s="255">
        <f t="shared" si="0"/>
        <v>41</v>
      </c>
      <c s="255">
        <f t="shared" si="0"/>
        <v>42</v>
      </c>
      <c s="255">
        <f t="shared" si="0"/>
        <v>43</v>
      </c>
      <c s="255">
        <f t="shared" si="0"/>
        <v>44</v>
      </c>
      <c s="255">
        <f t="shared" si="0"/>
        <v>45</v>
      </c>
      <c s="255">
        <f t="shared" si="0"/>
        <v>46</v>
      </c>
      <c s="255">
        <f t="shared" si="0"/>
        <v>47</v>
      </c>
      <c s="255">
        <f t="shared" si="0"/>
        <v>48</v>
      </c>
      <c s="255">
        <f t="shared" si="0"/>
        <v>49</v>
      </c>
      <c s="255">
        <f t="shared" si="0"/>
        <v>50</v>
      </c>
      <c s="255">
        <f t="shared" si="0"/>
        <v>51</v>
      </c>
      <c s="255">
        <f t="shared" si="0"/>
        <v>52</v>
      </c>
      <c s="255">
        <f t="shared" si="0"/>
        <v>53</v>
      </c>
      <c s="255">
        <f t="shared" si="0"/>
        <v>54</v>
      </c>
      <c s="255">
        <f t="shared" si="0"/>
        <v>55</v>
      </c>
      <c s="255">
        <f t="shared" si="0"/>
        <v>56</v>
      </c>
      <c s="255">
        <f t="shared" si="0"/>
        <v>57</v>
      </c>
      <c s="255">
        <f t="shared" si="0"/>
        <v>58</v>
      </c>
      <c s="255">
        <f t="shared" si="0"/>
        <v>59</v>
      </c>
      <c s="255">
        <f t="shared" si="0"/>
        <v>60</v>
      </c>
      <c s="255">
        <f t="shared" si="0"/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65" ht="15" customHeight="1">
      <c r="B10" s="12" t="s">
        <v>843</v>
      </c>
      <c s="124"/>
      <c s="125"/>
      <c s="124">
        <f>YEAR(E8)</f>
        <v>2025</v>
      </c>
      <c s="124">
        <f t="shared" si="1" ref="F10:AG10">YEAR(F8)</f>
        <v>2025</v>
      </c>
      <c s="124">
        <f t="shared" si="1"/>
        <v>2025</v>
      </c>
      <c s="124">
        <f t="shared" si="1"/>
        <v>2025</v>
      </c>
      <c s="124">
        <f t="shared" si="1"/>
        <v>2026</v>
      </c>
      <c s="124">
        <f t="shared" si="1"/>
        <v>2026</v>
      </c>
      <c s="124">
        <f t="shared" si="1"/>
        <v>2026</v>
      </c>
      <c s="124">
        <f t="shared" si="1"/>
        <v>2026</v>
      </c>
      <c s="124">
        <f t="shared" si="1"/>
        <v>2027</v>
      </c>
      <c s="124">
        <f t="shared" si="1"/>
        <v>2027</v>
      </c>
      <c s="124">
        <f t="shared" si="1"/>
        <v>2027</v>
      </c>
      <c s="124">
        <f t="shared" si="1"/>
        <v>2027</v>
      </c>
      <c s="124">
        <f t="shared" si="1"/>
        <v>2028</v>
      </c>
      <c s="124">
        <f t="shared" si="1"/>
        <v>2028</v>
      </c>
      <c s="124">
        <f t="shared" si="1"/>
        <v>2028</v>
      </c>
      <c s="124">
        <f t="shared" si="1"/>
        <v>2028</v>
      </c>
      <c s="124">
        <f t="shared" si="1"/>
        <v>2029</v>
      </c>
      <c s="124">
        <f t="shared" si="1"/>
        <v>2029</v>
      </c>
      <c s="124">
        <f t="shared" si="1"/>
        <v>2029</v>
      </c>
      <c s="124">
        <f t="shared" si="1"/>
        <v>2029</v>
      </c>
      <c s="124">
        <f t="shared" si="1"/>
        <v>2030</v>
      </c>
      <c s="124">
        <f t="shared" si="1"/>
        <v>2030</v>
      </c>
      <c s="124">
        <f t="shared" si="1"/>
        <v>2030</v>
      </c>
      <c s="124">
        <f t="shared" si="1"/>
        <v>2030</v>
      </c>
      <c s="124">
        <f t="shared" si="1"/>
        <v>2031</v>
      </c>
      <c s="124">
        <f t="shared" si="1"/>
        <v>2031</v>
      </c>
      <c s="124">
        <f t="shared" si="1"/>
        <v>2031</v>
      </c>
      <c s="124">
        <f t="shared" si="1"/>
        <v>2031</v>
      </c>
      <c s="124">
        <f t="shared" si="1"/>
        <v>2032</v>
      </c>
      <c s="124">
        <f t="shared" si="2" ref="AH10:BM10">YEAR(AH8)</f>
        <v>2032</v>
      </c>
      <c s="124">
        <f t="shared" si="2"/>
        <v>2032</v>
      </c>
      <c s="124">
        <f t="shared" si="2"/>
        <v>2032</v>
      </c>
      <c s="124">
        <f t="shared" si="2"/>
        <v>2033</v>
      </c>
      <c s="124">
        <f t="shared" si="2"/>
        <v>2033</v>
      </c>
      <c s="124">
        <f t="shared" si="2"/>
        <v>2033</v>
      </c>
      <c s="124">
        <f t="shared" si="2"/>
        <v>2033</v>
      </c>
      <c s="124">
        <f t="shared" si="2"/>
        <v>2034</v>
      </c>
      <c s="124">
        <f t="shared" si="2"/>
        <v>2034</v>
      </c>
      <c s="124">
        <f t="shared" si="2"/>
        <v>2034</v>
      </c>
      <c s="124">
        <f t="shared" si="2"/>
        <v>2034</v>
      </c>
      <c s="124">
        <f t="shared" si="2"/>
        <v>2035</v>
      </c>
      <c s="124">
        <f t="shared" si="2"/>
        <v>2035</v>
      </c>
      <c s="124">
        <f t="shared" si="2"/>
        <v>2035</v>
      </c>
      <c s="124">
        <f t="shared" si="2"/>
        <v>2035</v>
      </c>
      <c s="124">
        <f t="shared" si="2"/>
        <v>2036</v>
      </c>
      <c s="124">
        <f t="shared" si="2"/>
        <v>2036</v>
      </c>
      <c s="124">
        <f t="shared" si="2"/>
        <v>2036</v>
      </c>
      <c s="124">
        <f t="shared" si="2"/>
        <v>2036</v>
      </c>
      <c s="124">
        <f t="shared" si="2"/>
        <v>2037</v>
      </c>
      <c s="124">
        <f t="shared" si="2"/>
        <v>2037</v>
      </c>
      <c s="124">
        <f t="shared" si="2"/>
        <v>2037</v>
      </c>
      <c s="124">
        <f t="shared" si="2"/>
        <v>2037</v>
      </c>
      <c s="124">
        <f t="shared" si="2"/>
        <v>2038</v>
      </c>
      <c s="124">
        <f t="shared" si="2"/>
        <v>2038</v>
      </c>
      <c s="124">
        <f t="shared" si="2"/>
        <v>2038</v>
      </c>
      <c s="124">
        <f t="shared" si="2"/>
        <v>2038</v>
      </c>
      <c s="124">
        <f t="shared" si="2"/>
        <v>2039</v>
      </c>
      <c s="124">
        <f t="shared" si="2"/>
        <v>2039</v>
      </c>
      <c s="124">
        <f t="shared" si="2"/>
        <v>2039</v>
      </c>
      <c s="124">
        <f t="shared" si="2"/>
        <v>2039</v>
      </c>
      <c s="124">
        <f t="shared" si="2"/>
        <v>2040</v>
      </c>
    </row>
    <row r="11" spans="2:65" ht="15" customHeight="1">
      <c r="B11" s="12" t="s">
        <v>816</v>
      </c>
      <c s="124" t="s">
        <v>817</v>
      </c>
      <c s="124"/>
      <c s="126">
        <f>LOOKUP(YEAR(E$8),Предпосылки!$C$480:$R$480,Ставки_НДС_основная)</f>
        <v>0.20000000000000001</v>
      </c>
      <c s="126">
        <f>LOOKUP(YEAR(F$8),Предпосылки!$C$480:$R$480,Ставки_НДС_основная)</f>
        <v>0.20000000000000001</v>
      </c>
      <c s="126">
        <f>LOOKUP(YEAR(G$8),Предпосылки!$C$480:$R$480,Ставки_НДС_основная)</f>
        <v>0.20000000000000001</v>
      </c>
      <c s="126">
        <f>LOOKUP(YEAR(H$8),Предпосылки!$C$480:$R$480,Ставки_НДС_основная)</f>
        <v>0.20000000000000001</v>
      </c>
      <c s="126">
        <f>LOOKUP(YEAR(I$8),Предпосылки!$C$480:$R$480,Ставки_НДС_основная)</f>
        <v>0.20000000000000001</v>
      </c>
      <c s="126">
        <f>LOOKUP(YEAR(J$8),Предпосылки!$C$480:$R$480,Ставки_НДС_основная)</f>
        <v>0.20000000000000001</v>
      </c>
      <c s="126">
        <f>LOOKUP(YEAR(K$8),Предпосылки!$C$480:$R$480,Ставки_НДС_основная)</f>
        <v>0.20000000000000001</v>
      </c>
      <c s="126">
        <f>LOOKUP(YEAR(L$8),Предпосылки!$C$480:$R$480,Ставки_НДС_основная)</f>
        <v>0.20000000000000001</v>
      </c>
      <c s="126">
        <f>LOOKUP(YEAR(M$8),Предпосылки!$C$480:$R$480,Ставки_НДС_основная)</f>
        <v>0.20000000000000001</v>
      </c>
      <c s="126">
        <f>LOOKUP(YEAR(N$8),Предпосылки!$C$480:$R$480,Ставки_НДС_основная)</f>
        <v>0.20000000000000001</v>
      </c>
      <c s="126">
        <f>LOOKUP(YEAR(O$8),Предпосылки!$C$480:$R$480,Ставки_НДС_основная)</f>
        <v>0.20000000000000001</v>
      </c>
      <c s="126">
        <f>LOOKUP(YEAR(P$8),Предпосылки!$C$480:$R$480,Ставки_НДС_основная)</f>
        <v>0.20000000000000001</v>
      </c>
      <c s="126">
        <f>LOOKUP(YEAR(Q$8),Предпосылки!$C$480:$R$480,Ставки_НДС_основная)</f>
        <v>0.20000000000000001</v>
      </c>
      <c s="126">
        <f>LOOKUP(YEAR(R$8),Предпосылки!$C$480:$R$480,Ставки_НДС_основная)</f>
        <v>0.20000000000000001</v>
      </c>
      <c s="126">
        <f>LOOKUP(YEAR(S$8),Предпосылки!$C$480:$R$480,Ставки_НДС_основная)</f>
        <v>0.20000000000000001</v>
      </c>
      <c s="126">
        <f>LOOKUP(YEAR(T$8),Предпосылки!$C$480:$R$480,Ставки_НДС_основная)</f>
        <v>0.20000000000000001</v>
      </c>
      <c s="126">
        <f>LOOKUP(YEAR(U$8),Предпосылки!$C$480:$R$480,Ставки_НДС_основная)</f>
        <v>0.20000000000000001</v>
      </c>
      <c s="126">
        <f>LOOKUP(YEAR(V$8),Предпосылки!$C$480:$R$480,Ставки_НДС_основная)</f>
        <v>0.20000000000000001</v>
      </c>
      <c s="126">
        <f>LOOKUP(YEAR(W$8),Предпосылки!$C$480:$R$480,Ставки_НДС_основная)</f>
        <v>0.20000000000000001</v>
      </c>
      <c s="126">
        <f>LOOKUP(YEAR(X$8),Предпосылки!$C$480:$R$480,Ставки_НДС_основная)</f>
        <v>0.20000000000000001</v>
      </c>
      <c s="126">
        <f>LOOKUP(YEAR(Y$8),Предпосылки!$C$480:$R$480,Ставки_НДС_основная)</f>
        <v>0.20000000000000001</v>
      </c>
      <c s="126">
        <f>LOOKUP(YEAR(Z$8),Предпосылки!$C$480:$R$480,Ставки_НДС_основная)</f>
        <v>0.20000000000000001</v>
      </c>
      <c s="126">
        <f>LOOKUP(YEAR(AA$8),Предпосылки!$C$480:$R$480,Ставки_НДС_основная)</f>
        <v>0.20000000000000001</v>
      </c>
      <c s="126">
        <f>LOOKUP(YEAR(AB$8),Предпосылки!$C$480:$R$480,Ставки_НДС_основная)</f>
        <v>0.20000000000000001</v>
      </c>
      <c s="126">
        <f>LOOKUP(YEAR(AC$8),Предпосылки!$C$480:$R$480,Ставки_НДС_основная)</f>
        <v>0.20000000000000001</v>
      </c>
      <c s="126">
        <f>LOOKUP(YEAR(AD$8),Предпосылки!$C$480:$R$480,Ставки_НДС_основная)</f>
        <v>0.20000000000000001</v>
      </c>
      <c s="126">
        <f>LOOKUP(YEAR(AE$8),Предпосылки!$C$480:$R$480,Ставки_НДС_основная)</f>
        <v>0.20000000000000001</v>
      </c>
      <c s="126">
        <f>LOOKUP(YEAR(AF$8),Предпосылки!$C$480:$R$480,Ставки_НДС_основная)</f>
        <v>0.20000000000000001</v>
      </c>
      <c s="126">
        <f>LOOKUP(YEAR(AG$8),Предпосылки!$C$480:$R$480,Ставки_НДС_основная)</f>
        <v>0.20000000000000001</v>
      </c>
      <c s="126">
        <f>LOOKUP(YEAR(AH$8),Предпосылки!$C$480:$R$480,Ставки_НДС_основная)</f>
        <v>0.20000000000000001</v>
      </c>
      <c s="126">
        <f>LOOKUP(YEAR(AI$8),Предпосылки!$C$480:$R$480,Ставки_НДС_основная)</f>
        <v>0.20000000000000001</v>
      </c>
      <c s="126">
        <f>LOOKUP(YEAR(AJ$8),Предпосылки!$C$480:$R$480,Ставки_НДС_основная)</f>
        <v>0.20000000000000001</v>
      </c>
      <c s="126">
        <f>LOOKUP(YEAR(AK$8),Предпосылки!$C$480:$R$480,Ставки_НДС_основная)</f>
        <v>0.20000000000000001</v>
      </c>
      <c s="126">
        <f>LOOKUP(YEAR(AL$8),Предпосылки!$C$480:$R$480,Ставки_НДС_основная)</f>
        <v>0.20000000000000001</v>
      </c>
      <c s="126">
        <f>LOOKUP(YEAR(AM$8),Предпосылки!$C$480:$R$480,Ставки_НДС_основная)</f>
        <v>0.20000000000000001</v>
      </c>
      <c s="126">
        <f>LOOKUP(YEAR(AN$8),Предпосылки!$C$480:$R$480,Ставки_НДС_основная)</f>
        <v>0.20000000000000001</v>
      </c>
      <c s="126">
        <f>LOOKUP(YEAR(AO$8),Предпосылки!$C$480:$R$480,Ставки_НДС_основная)</f>
        <v>0.20000000000000001</v>
      </c>
      <c s="126">
        <f>LOOKUP(YEAR(AP$8),Предпосылки!$C$480:$R$480,Ставки_НДС_основная)</f>
        <v>0.20000000000000001</v>
      </c>
      <c s="126">
        <f>LOOKUP(YEAR(AQ$8),Предпосылки!$C$480:$R$480,Ставки_НДС_основная)</f>
        <v>0.20000000000000001</v>
      </c>
      <c s="126">
        <f>LOOKUP(YEAR(AR$8),Предпосылки!$C$480:$R$480,Ставки_НДС_основная)</f>
        <v>0.20000000000000001</v>
      </c>
      <c s="126">
        <f>LOOKUP(YEAR(AS$8),Предпосылки!$C$480:$R$480,Ставки_НДС_основная)</f>
        <v>0.20000000000000001</v>
      </c>
      <c s="126">
        <f>LOOKUP(YEAR(AT$8),Предпосылки!$C$480:$R$480,Ставки_НДС_основная)</f>
        <v>0.20000000000000001</v>
      </c>
      <c s="126">
        <f>LOOKUP(YEAR(AU$8),Предпосылки!$C$480:$R$480,Ставки_НДС_основная)</f>
        <v>0.20000000000000001</v>
      </c>
      <c s="126">
        <f>LOOKUP(YEAR(AV$8),Предпосылки!$C$480:$R$480,Ставки_НДС_основная)</f>
        <v>0.20000000000000001</v>
      </c>
      <c s="126">
        <f>LOOKUP(YEAR(AW$8),Предпосылки!$C$480:$R$480,Ставки_НДС_основная)</f>
        <v>0.20000000000000001</v>
      </c>
      <c s="126">
        <f>LOOKUP(YEAR(AX$8),Предпосылки!$C$480:$R$480,Ставки_НДС_основная)</f>
        <v>0.20000000000000001</v>
      </c>
      <c s="126">
        <f>LOOKUP(YEAR(AY$8),Предпосылки!$C$480:$R$480,Ставки_НДС_основная)</f>
        <v>0.20000000000000001</v>
      </c>
      <c s="126">
        <f>LOOKUP(YEAR(AZ$8),Предпосылки!$C$480:$R$480,Ставки_НДС_основная)</f>
        <v>0.20000000000000001</v>
      </c>
      <c s="126">
        <f>LOOKUP(YEAR(BA$8),Предпосылки!$C$480:$R$480,Ставки_НДС_основная)</f>
        <v>0.20000000000000001</v>
      </c>
      <c s="126">
        <f>LOOKUP(YEAR(BB$8),Предпосылки!$C$480:$R$480,Ставки_НДС_основная)</f>
        <v>0.20000000000000001</v>
      </c>
      <c s="126">
        <f>LOOKUP(YEAR(BC$8),Предпосылки!$C$480:$R$480,Ставки_НДС_основная)</f>
        <v>0.20000000000000001</v>
      </c>
      <c s="126">
        <f>LOOKUP(YEAR(BD$8),Предпосылки!$C$480:$R$480,Ставки_НДС_основная)</f>
        <v>0.20000000000000001</v>
      </c>
      <c s="126">
        <f>LOOKUP(YEAR(BE$8),Предпосылки!$C$480:$R$480,Ставки_НДС_основная)</f>
        <v>0.20000000000000001</v>
      </c>
      <c s="126">
        <f>LOOKUP(YEAR(BF$8),Предпосылки!$C$480:$R$480,Ставки_НДС_основная)</f>
        <v>0.20000000000000001</v>
      </c>
      <c s="126">
        <f>LOOKUP(YEAR(BG$8),Предпосылки!$C$480:$R$480,Ставки_НДС_основная)</f>
        <v>0.20000000000000001</v>
      </c>
      <c s="126">
        <f>LOOKUP(YEAR(BH$8),Предпосылки!$C$480:$R$480,Ставки_НДС_основная)</f>
        <v>0.20000000000000001</v>
      </c>
      <c s="126">
        <f>LOOKUP(YEAR(BI$8),Предпосылки!$C$480:$R$480,Ставки_НДС_основная)</f>
        <v>0.20000000000000001</v>
      </c>
      <c s="126">
        <f>LOOKUP(YEAR(BJ$8),Предпосылки!$C$480:$R$480,Ставки_НДС_основная)</f>
        <v>0.20000000000000001</v>
      </c>
      <c s="126">
        <f>LOOKUP(YEAR(BK$8),Предпосылки!$C$480:$R$480,Ставки_НДС_основная)</f>
        <v>0.20000000000000001</v>
      </c>
      <c s="126">
        <f>LOOKUP(YEAR(BL$8),Предпосылки!$C$480:$R$480,Ставки_НДС_основная)</f>
        <v>0.20000000000000001</v>
      </c>
      <c s="126">
        <f>LOOKUP(YEAR(BM$8),Предпосылки!$C$480:$R$480,Ставки_НДС_основная)</f>
        <v>0.20000000000000001</v>
      </c>
    </row>
    <row r="12" spans="2:65" ht="15" customHeight="1">
      <c r="B12" s="12" t="s">
        <v>844</v>
      </c>
      <c s="124" t="s">
        <v>817</v>
      </c>
      <c s="124"/>
      <c s="126">
        <f>LOOKUP(YEAR(E$8),Предпосылки!$C$480:$R$480,Ставки_НДС_льготная)</f>
        <v>0.10000000000000001</v>
      </c>
      <c s="126">
        <f>LOOKUP(YEAR(F$8),Предпосылки!$C$480:$R$480,Ставки_НДС_льготная)</f>
        <v>0.10000000000000001</v>
      </c>
      <c s="126">
        <f>LOOKUP(YEAR(G$8),Предпосылки!$C$480:$R$480,Ставки_НДС_льготная)</f>
        <v>0.10000000000000001</v>
      </c>
      <c s="126">
        <f>LOOKUP(YEAR(H$8),Предпосылки!$C$480:$R$480,Ставки_НДС_льготная)</f>
        <v>0.10000000000000001</v>
      </c>
      <c s="126">
        <f>LOOKUP(YEAR(I$8),Предпосылки!$C$480:$R$480,Ставки_НДС_льготная)</f>
        <v>0.10000000000000001</v>
      </c>
      <c s="126">
        <f>LOOKUP(YEAR(J$8),Предпосылки!$C$480:$R$480,Ставки_НДС_льготная)</f>
        <v>0.10000000000000001</v>
      </c>
      <c s="126">
        <f>LOOKUP(YEAR(K$8),Предпосылки!$C$480:$R$480,Ставки_НДС_льготная)</f>
        <v>0.10000000000000001</v>
      </c>
      <c s="126">
        <f>LOOKUP(YEAR(L$8),Предпосылки!$C$480:$R$480,Ставки_НДС_льготная)</f>
        <v>0.10000000000000001</v>
      </c>
      <c s="126">
        <f>LOOKUP(YEAR(M$8),Предпосылки!$C$480:$R$480,Ставки_НДС_льготная)</f>
        <v>0.10000000000000001</v>
      </c>
      <c s="126">
        <f>LOOKUP(YEAR(N$8),Предпосылки!$C$480:$R$480,Ставки_НДС_льготная)</f>
        <v>0.10000000000000001</v>
      </c>
      <c s="126">
        <f>LOOKUP(YEAR(O$8),Предпосылки!$C$480:$R$480,Ставки_НДС_льготная)</f>
        <v>0.10000000000000001</v>
      </c>
      <c s="126">
        <f>LOOKUP(YEAR(P$8),Предпосылки!$C$480:$R$480,Ставки_НДС_льготная)</f>
        <v>0.10000000000000001</v>
      </c>
      <c s="126">
        <f>LOOKUP(YEAR(Q$8),Предпосылки!$C$480:$R$480,Ставки_НДС_льготная)</f>
        <v>0.10000000000000001</v>
      </c>
      <c s="126">
        <f>LOOKUP(YEAR(R$8),Предпосылки!$C$480:$R$480,Ставки_НДС_льготная)</f>
        <v>0.10000000000000001</v>
      </c>
      <c s="126">
        <f>LOOKUP(YEAR(S$8),Предпосылки!$C$480:$R$480,Ставки_НДС_льготная)</f>
        <v>0.10000000000000001</v>
      </c>
      <c s="126">
        <f>LOOKUP(YEAR(T$8),Предпосылки!$C$480:$R$480,Ставки_НДС_льготная)</f>
        <v>0.10000000000000001</v>
      </c>
      <c s="126">
        <f>LOOKUP(YEAR(U$8),Предпосылки!$C$480:$R$480,Ставки_НДС_льготная)</f>
        <v>0.10000000000000001</v>
      </c>
      <c s="126">
        <f>LOOKUP(YEAR(V$8),Предпосылки!$C$480:$R$480,Ставки_НДС_льготная)</f>
        <v>0.10000000000000001</v>
      </c>
      <c s="126">
        <f>LOOKUP(YEAR(W$8),Предпосылки!$C$480:$R$480,Ставки_НДС_льготная)</f>
        <v>0.10000000000000001</v>
      </c>
      <c s="126">
        <f>LOOKUP(YEAR(X$8),Предпосылки!$C$480:$R$480,Ставки_НДС_льготная)</f>
        <v>0.10000000000000001</v>
      </c>
      <c s="126">
        <f>LOOKUP(YEAR(Y$8),Предпосылки!$C$480:$R$480,Ставки_НДС_льготная)</f>
        <v>0.10000000000000001</v>
      </c>
      <c s="126">
        <f>LOOKUP(YEAR(Z$8),Предпосылки!$C$480:$R$480,Ставки_НДС_льготная)</f>
        <v>0.10000000000000001</v>
      </c>
      <c s="126">
        <f>LOOKUP(YEAR(AA$8),Предпосылки!$C$480:$R$480,Ставки_НДС_льготная)</f>
        <v>0.10000000000000001</v>
      </c>
      <c s="126">
        <f>LOOKUP(YEAR(AB$8),Предпосылки!$C$480:$R$480,Ставки_НДС_льготная)</f>
        <v>0.10000000000000001</v>
      </c>
      <c s="126">
        <f>LOOKUP(YEAR(AC$8),Предпосылки!$C$480:$R$480,Ставки_НДС_льготная)</f>
        <v>0.10000000000000001</v>
      </c>
      <c s="126">
        <f>LOOKUP(YEAR(AD$8),Предпосылки!$C$480:$R$480,Ставки_НДС_льготная)</f>
        <v>0.10000000000000001</v>
      </c>
      <c s="126">
        <f>LOOKUP(YEAR(AE$8),Предпосылки!$C$480:$R$480,Ставки_НДС_льготная)</f>
        <v>0.10000000000000001</v>
      </c>
      <c s="126">
        <f>LOOKUP(YEAR(AF$8),Предпосылки!$C$480:$R$480,Ставки_НДС_льготная)</f>
        <v>0.10000000000000001</v>
      </c>
      <c s="126">
        <f>LOOKUP(YEAR(AG$8),Предпосылки!$C$480:$R$480,Ставки_НДС_льготная)</f>
        <v>0.10000000000000001</v>
      </c>
      <c s="126">
        <f>LOOKUP(YEAR(AH$8),Предпосылки!$C$480:$R$480,Ставки_НДС_льготная)</f>
        <v>0.10000000000000001</v>
      </c>
      <c s="126">
        <f>LOOKUP(YEAR(AI$8),Предпосылки!$C$480:$R$480,Ставки_НДС_льготная)</f>
        <v>0.10000000000000001</v>
      </c>
      <c s="126">
        <f>LOOKUP(YEAR(AJ$8),Предпосылки!$C$480:$R$480,Ставки_НДС_льготная)</f>
        <v>0.10000000000000001</v>
      </c>
      <c s="126">
        <f>LOOKUP(YEAR(AK$8),Предпосылки!$C$480:$R$480,Ставки_НДС_льготная)</f>
        <v>0.10000000000000001</v>
      </c>
      <c s="126">
        <f>LOOKUP(YEAR(AL$8),Предпосылки!$C$480:$R$480,Ставки_НДС_льготная)</f>
        <v>0.10000000000000001</v>
      </c>
      <c s="126">
        <f>LOOKUP(YEAR(AM$8),Предпосылки!$C$480:$R$480,Ставки_НДС_льготная)</f>
        <v>0.10000000000000001</v>
      </c>
      <c s="126">
        <f>LOOKUP(YEAR(AN$8),Предпосылки!$C$480:$R$480,Ставки_НДС_льготная)</f>
        <v>0.10000000000000001</v>
      </c>
      <c s="126">
        <f>LOOKUP(YEAR(AO$8),Предпосылки!$C$480:$R$480,Ставки_НДС_льготная)</f>
        <v>0.10000000000000001</v>
      </c>
      <c s="126">
        <f>LOOKUP(YEAR(AP$8),Предпосылки!$C$480:$R$480,Ставки_НДС_льготная)</f>
        <v>0.10000000000000001</v>
      </c>
      <c s="126">
        <f>LOOKUP(YEAR(AQ$8),Предпосылки!$C$480:$R$480,Ставки_НДС_льготная)</f>
        <v>0.10000000000000001</v>
      </c>
      <c s="126">
        <f>LOOKUP(YEAR(AR$8),Предпосылки!$C$480:$R$480,Ставки_НДС_льготная)</f>
        <v>0.10000000000000001</v>
      </c>
      <c s="126">
        <f>LOOKUP(YEAR(AS$8),Предпосылки!$C$480:$R$480,Ставки_НДС_льготная)</f>
        <v>0.10000000000000001</v>
      </c>
      <c s="126">
        <f>LOOKUP(YEAR(AT$8),Предпосылки!$C$480:$R$480,Ставки_НДС_льготная)</f>
        <v>0.10000000000000001</v>
      </c>
      <c s="126">
        <f>LOOKUP(YEAR(AU$8),Предпосылки!$C$480:$R$480,Ставки_НДС_льготная)</f>
        <v>0.10000000000000001</v>
      </c>
      <c s="126">
        <f>LOOKUP(YEAR(AV$8),Предпосылки!$C$480:$R$480,Ставки_НДС_льготная)</f>
        <v>0.10000000000000001</v>
      </c>
      <c s="126">
        <f>LOOKUP(YEAR(AW$8),Предпосылки!$C$480:$R$480,Ставки_НДС_льготная)</f>
        <v>0.10000000000000001</v>
      </c>
      <c s="126">
        <f>LOOKUP(YEAR(AX$8),Предпосылки!$C$480:$R$480,Ставки_НДС_льготная)</f>
        <v>0.10000000000000001</v>
      </c>
      <c s="126">
        <f>LOOKUP(YEAR(AY$8),Предпосылки!$C$480:$R$480,Ставки_НДС_льготная)</f>
        <v>0.10000000000000001</v>
      </c>
      <c s="126">
        <f>LOOKUP(YEAR(AZ$8),Предпосылки!$C$480:$R$480,Ставки_НДС_льготная)</f>
        <v>0.10000000000000001</v>
      </c>
      <c s="126">
        <f>LOOKUP(YEAR(BA$8),Предпосылки!$C$480:$R$480,Ставки_НДС_льготная)</f>
        <v>0.10000000000000001</v>
      </c>
      <c s="126">
        <f>LOOKUP(YEAR(BB$8),Предпосылки!$C$480:$R$480,Ставки_НДС_льготная)</f>
        <v>0.10000000000000001</v>
      </c>
      <c s="126">
        <f>LOOKUP(YEAR(BC$8),Предпосылки!$C$480:$R$480,Ставки_НДС_льготная)</f>
        <v>0.10000000000000001</v>
      </c>
      <c s="126">
        <f>LOOKUP(YEAR(BD$8),Предпосылки!$C$480:$R$480,Ставки_НДС_льготная)</f>
        <v>0.10000000000000001</v>
      </c>
      <c s="126">
        <f>LOOKUP(YEAR(BE$8),Предпосылки!$C$480:$R$480,Ставки_НДС_льготная)</f>
        <v>0.10000000000000001</v>
      </c>
      <c s="126">
        <f>LOOKUP(YEAR(BF$8),Предпосылки!$C$480:$R$480,Ставки_НДС_льготная)</f>
        <v>0.10000000000000001</v>
      </c>
      <c s="126">
        <f>LOOKUP(YEAR(BG$8),Предпосылки!$C$480:$R$480,Ставки_НДС_льготная)</f>
        <v>0.10000000000000001</v>
      </c>
      <c s="126">
        <f>LOOKUP(YEAR(BH$8),Предпосылки!$C$480:$R$480,Ставки_НДС_льготная)</f>
        <v>0.10000000000000001</v>
      </c>
      <c s="126">
        <f>LOOKUP(YEAR(BI$8),Предпосылки!$C$480:$R$480,Ставки_НДС_льготная)</f>
        <v>0.10000000000000001</v>
      </c>
      <c s="126">
        <f>LOOKUP(YEAR(BJ$8),Предпосылки!$C$480:$R$480,Ставки_НДС_льготная)</f>
        <v>0.10000000000000001</v>
      </c>
      <c s="126">
        <f>LOOKUP(YEAR(BK$8),Предпосылки!$C$480:$R$480,Ставки_НДС_льготная)</f>
        <v>0.10000000000000001</v>
      </c>
      <c s="126">
        <f>LOOKUP(YEAR(BL$8),Предпосылки!$C$480:$R$480,Ставки_НДС_льготная)</f>
        <v>0.10000000000000001</v>
      </c>
      <c s="126">
        <f>LOOKUP(YEAR(BM$8),Предпосылки!$C$480:$R$480,Ставки_НДС_льготная)</f>
        <v>0.10000000000000001</v>
      </c>
    </row>
    <row r="13" ht="15" customHeight="1"/>
    <row r="14" spans="2:65" ht="15" customHeight="1">
      <c r="B14" s="12" t="str">
        <f>Предпосылки!B476</f>
        <v>Курс USD/RUB</v>
      </c>
      <c s="124">
        <v>2</v>
      </c>
      <c s="125"/>
      <c s="125">
        <f>IF(ISBLANK(LOOKUP(YEAR(E$8),Предпосылки!$C$475:$R$475,Предпосылки!$C476:$R476)),1,LOOKUP(YEAR(E$8),Предпосылки!$C$475:$R$475,Предпосылки!$C476:$R476))*(1+Чувствительность!$D$28)</f>
        <v>90</v>
      </c>
      <c s="125">
        <f>IF(ISBLANK(LOOKUP(YEAR(F$8),Предпосылки!$C$475:$R$475,Предпосылки!$C476:$R476)),1,LOOKUP(YEAR(F$8),Предпосылки!$C$475:$R$475,Предпосылки!$C476:$R476))*(1+Чувствительность!$D$28)</f>
        <v>90</v>
      </c>
      <c s="125">
        <f>IF(ISBLANK(LOOKUP(YEAR(G$8),Предпосылки!$C$475:$R$475,Предпосылки!$C476:$R476)),1,LOOKUP(YEAR(G$8),Предпосылки!$C$475:$R$475,Предпосылки!$C476:$R476))*(1+Чувствительность!$D$28)</f>
        <v>90</v>
      </c>
      <c s="125">
        <f>IF(ISBLANK(LOOKUP(YEAR(H$8),Предпосылки!$C$475:$R$475,Предпосылки!$C476:$R476)),1,LOOKUP(YEAR(H$8),Предпосылки!$C$475:$R$475,Предпосылки!$C476:$R476))*(1+Чувствительность!$D$28)</f>
        <v>90</v>
      </c>
      <c s="125">
        <f>IF(ISBLANK(LOOKUP(YEAR(I$8),Предпосылки!$C$475:$R$475,Предпосылки!$C476:$R476)),1,LOOKUP(YEAR(I$8),Предпосылки!$C$475:$R$475,Предпосылки!$C476:$R476))*(1+Чувствительность!$D$28)</f>
        <v>90</v>
      </c>
      <c s="125">
        <f>IF(ISBLANK(LOOKUP(YEAR(J$8),Предпосылки!$C$475:$R$475,Предпосылки!$C476:$R476)),1,LOOKUP(YEAR(J$8),Предпосылки!$C$475:$R$475,Предпосылки!$C476:$R476))*(1+Чувствительность!$D$28)</f>
        <v>90</v>
      </c>
      <c s="125">
        <f>IF(ISBLANK(LOOKUP(YEAR(K$8),Предпосылки!$C$475:$R$475,Предпосылки!$C476:$R476)),1,LOOKUP(YEAR(K$8),Предпосылки!$C$475:$R$475,Предпосылки!$C476:$R476))*(1+Чувствительность!$D$28)</f>
        <v>90</v>
      </c>
      <c s="125">
        <f>IF(ISBLANK(LOOKUP(YEAR(L$8),Предпосылки!$C$475:$R$475,Предпосылки!$C476:$R476)),1,LOOKUP(YEAR(L$8),Предпосылки!$C$475:$R$475,Предпосылки!$C476:$R476))*(1+Чувствительность!$D$28)</f>
        <v>90</v>
      </c>
      <c s="125">
        <f>IF(ISBLANK(LOOKUP(YEAR(M$8),Предпосылки!$C$475:$R$475,Предпосылки!$C476:$R476)),1,LOOKUP(YEAR(M$8),Предпосылки!$C$475:$R$475,Предпосылки!$C476:$R476))*(1+Чувствительность!$D$28)</f>
        <v>90</v>
      </c>
      <c s="125">
        <f>IF(ISBLANK(LOOKUP(YEAR(N$8),Предпосылки!$C$475:$R$475,Предпосылки!$C476:$R476)),1,LOOKUP(YEAR(N$8),Предпосылки!$C$475:$R$475,Предпосылки!$C476:$R476))*(1+Чувствительность!$D$28)</f>
        <v>90</v>
      </c>
      <c s="125">
        <f>IF(ISBLANK(LOOKUP(YEAR(O$8),Предпосылки!$C$475:$R$475,Предпосылки!$C476:$R476)),1,LOOKUP(YEAR(O$8),Предпосылки!$C$475:$R$475,Предпосылки!$C476:$R476))*(1+Чувствительность!$D$28)</f>
        <v>90</v>
      </c>
      <c s="125">
        <f>IF(ISBLANK(LOOKUP(YEAR(P$8),Предпосылки!$C$475:$R$475,Предпосылки!$C476:$R476)),1,LOOKUP(YEAR(P$8),Предпосылки!$C$475:$R$475,Предпосылки!$C476:$R476))*(1+Чувствительность!$D$28)</f>
        <v>90</v>
      </c>
      <c s="125">
        <f>IF(ISBLANK(LOOKUP(YEAR(Q$8),Предпосылки!$C$475:$R$475,Предпосылки!$C476:$R476)),1,LOOKUP(YEAR(Q$8),Предпосылки!$C$475:$R$475,Предпосылки!$C476:$R476))*(1+Чувствительность!$D$28)</f>
        <v>90</v>
      </c>
      <c s="125">
        <f>IF(ISBLANK(LOOKUP(YEAR(R$8),Предпосылки!$C$475:$R$475,Предпосылки!$C476:$R476)),1,LOOKUP(YEAR(R$8),Предпосылки!$C$475:$R$475,Предпосылки!$C476:$R476))*(1+Чувствительность!$D$28)</f>
        <v>90</v>
      </c>
      <c s="125">
        <f>IF(ISBLANK(LOOKUP(YEAR(S$8),Предпосылки!$C$475:$R$475,Предпосылки!$C476:$R476)),1,LOOKUP(YEAR(S$8),Предпосылки!$C$475:$R$475,Предпосылки!$C476:$R476))*(1+Чувствительность!$D$28)</f>
        <v>90</v>
      </c>
      <c s="125">
        <f>IF(ISBLANK(LOOKUP(YEAR(T$8),Предпосылки!$C$475:$R$475,Предпосылки!$C476:$R476)),1,LOOKUP(YEAR(T$8),Предпосылки!$C$475:$R$475,Предпосылки!$C476:$R476))*(1+Чувствительность!$D$28)</f>
        <v>90</v>
      </c>
      <c s="125">
        <f>IF(ISBLANK(LOOKUP(YEAR(U$8),Предпосылки!$C$475:$R$475,Предпосылки!$C476:$R476)),1,LOOKUP(YEAR(U$8),Предпосылки!$C$475:$R$475,Предпосылки!$C476:$R476))*(1+Чувствительность!$D$28)</f>
        <v>90</v>
      </c>
      <c s="125">
        <f>IF(ISBLANK(LOOKUP(YEAR(V$8),Предпосылки!$C$475:$R$475,Предпосылки!$C476:$R476)),1,LOOKUP(YEAR(V$8),Предпосылки!$C$475:$R$475,Предпосылки!$C476:$R476))*(1+Чувствительность!$D$28)</f>
        <v>90</v>
      </c>
      <c s="125">
        <f>IF(ISBLANK(LOOKUP(YEAR(W$8),Предпосылки!$C$475:$R$475,Предпосылки!$C476:$R476)),1,LOOKUP(YEAR(W$8),Предпосылки!$C$475:$R$475,Предпосылки!$C476:$R476))*(1+Чувствительность!$D$28)</f>
        <v>90</v>
      </c>
      <c s="125">
        <f>IF(ISBLANK(LOOKUP(YEAR(X$8),Предпосылки!$C$475:$R$475,Предпосылки!$C476:$R476)),1,LOOKUP(YEAR(X$8),Предпосылки!$C$475:$R$475,Предпосылки!$C476:$R476))*(1+Чувствительность!$D$28)</f>
        <v>90</v>
      </c>
      <c s="125">
        <f>IF(ISBLANK(LOOKUP(YEAR(Y$8),Предпосылки!$C$475:$R$475,Предпосылки!$C476:$R476)),1,LOOKUP(YEAR(Y$8),Предпосылки!$C$475:$R$475,Предпосылки!$C476:$R476))*(1+Чувствительность!$D$28)</f>
        <v>90</v>
      </c>
      <c s="125">
        <f>IF(ISBLANK(LOOKUP(YEAR(Z$8),Предпосылки!$C$475:$R$475,Предпосылки!$C476:$R476)),1,LOOKUP(YEAR(Z$8),Предпосылки!$C$475:$R$475,Предпосылки!$C476:$R476))*(1+Чувствительность!$D$28)</f>
        <v>90</v>
      </c>
      <c s="125">
        <f>IF(ISBLANK(LOOKUP(YEAR(AA$8),Предпосылки!$C$475:$R$475,Предпосылки!$C476:$R476)),1,LOOKUP(YEAR(AA$8),Предпосылки!$C$475:$R$475,Предпосылки!$C476:$R476))*(1+Чувствительность!$D$28)</f>
        <v>90</v>
      </c>
      <c s="125">
        <f>IF(ISBLANK(LOOKUP(YEAR(AB$8),Предпосылки!$C$475:$R$475,Предпосылки!$C476:$R476)),1,LOOKUP(YEAR(AB$8),Предпосылки!$C$475:$R$475,Предпосылки!$C476:$R476))*(1+Чувствительность!$D$28)</f>
        <v>90</v>
      </c>
      <c s="125">
        <f>IF(ISBLANK(LOOKUP(YEAR(AC$8),Предпосылки!$C$475:$R$475,Предпосылки!$C476:$R476)),1,LOOKUP(YEAR(AC$8),Предпосылки!$C$475:$R$475,Предпосылки!$C476:$R476))*(1+Чувствительность!$D$28)</f>
        <v>90</v>
      </c>
      <c s="125">
        <f>IF(ISBLANK(LOOKUP(YEAR(AD$8),Предпосылки!$C$475:$R$475,Предпосылки!$C476:$R476)),1,LOOKUP(YEAR(AD$8),Предпосылки!$C$475:$R$475,Предпосылки!$C476:$R476))*(1+Чувствительность!$D$28)</f>
        <v>90</v>
      </c>
      <c s="125">
        <f>IF(ISBLANK(LOOKUP(YEAR(AE$8),Предпосылки!$C$475:$R$475,Предпосылки!$C476:$R476)),1,LOOKUP(YEAR(AE$8),Предпосылки!$C$475:$R$475,Предпосылки!$C476:$R476))*(1+Чувствительность!$D$28)</f>
        <v>90</v>
      </c>
      <c s="125">
        <f>IF(ISBLANK(LOOKUP(YEAR(AF$8),Предпосылки!$C$475:$R$475,Предпосылки!$C476:$R476)),1,LOOKUP(YEAR(AF$8),Предпосылки!$C$475:$R$475,Предпосылки!$C476:$R476))*(1+Чувствительность!$D$28)</f>
        <v>90</v>
      </c>
      <c s="125">
        <f>IF(ISBLANK(LOOKUP(YEAR(AG$8),Предпосылки!$C$475:$R$475,Предпосылки!$C476:$R476)),1,LOOKUP(YEAR(AG$8),Предпосылки!$C$475:$R$475,Предпосылки!$C476:$R476))*(1+Чувствительность!$D$28)</f>
        <v>90</v>
      </c>
      <c s="125">
        <f>IF(ISBLANK(LOOKUP(YEAR(AH$8),Предпосылки!$C$475:$R$475,Предпосылки!$C476:$R476)),1,LOOKUP(YEAR(AH$8),Предпосылки!$C$475:$R$475,Предпосылки!$C476:$R476))*(1+Чувствительность!$D$28)</f>
        <v>90</v>
      </c>
      <c s="125">
        <f>IF(ISBLANK(LOOKUP(YEAR(AI$8),Предпосылки!$C$475:$R$475,Предпосылки!$C476:$R476)),1,LOOKUP(YEAR(AI$8),Предпосылки!$C$475:$R$475,Предпосылки!$C476:$R476))*(1+Чувствительность!$D$28)</f>
        <v>90</v>
      </c>
      <c s="125">
        <f>IF(ISBLANK(LOOKUP(YEAR(AJ$8),Предпосылки!$C$475:$R$475,Предпосылки!$C476:$R476)),1,LOOKUP(YEAR(AJ$8),Предпосылки!$C$475:$R$475,Предпосылки!$C476:$R476))*(1+Чувствительность!$D$28)</f>
        <v>90</v>
      </c>
      <c s="125">
        <f>IF(ISBLANK(LOOKUP(YEAR(AK$8),Предпосылки!$C$475:$R$475,Предпосылки!$C476:$R476)),1,LOOKUP(YEAR(AK$8),Предпосылки!$C$475:$R$475,Предпосылки!$C476:$R476))*(1+Чувствительность!$D$28)</f>
        <v>90</v>
      </c>
      <c s="125">
        <f>IF(ISBLANK(LOOKUP(YEAR(AL$8),Предпосылки!$C$475:$R$475,Предпосылки!$C476:$R476)),1,LOOKUP(YEAR(AL$8),Предпосылки!$C$475:$R$475,Предпосылки!$C476:$R476))*(1+Чувствительность!$D$28)</f>
        <v>90</v>
      </c>
      <c s="125">
        <f>IF(ISBLANK(LOOKUP(YEAR(AM$8),Предпосылки!$C$475:$R$475,Предпосылки!$C476:$R476)),1,LOOKUP(YEAR(AM$8),Предпосылки!$C$475:$R$475,Предпосылки!$C476:$R476))*(1+Чувствительность!$D$28)</f>
        <v>90</v>
      </c>
      <c s="125">
        <f>IF(ISBLANK(LOOKUP(YEAR(AN$8),Предпосылки!$C$475:$R$475,Предпосылки!$C476:$R476)),1,LOOKUP(YEAR(AN$8),Предпосылки!$C$475:$R$475,Предпосылки!$C476:$R476))*(1+Чувствительность!$D$28)</f>
        <v>90</v>
      </c>
      <c s="125">
        <f>IF(ISBLANK(LOOKUP(YEAR(AO$8),Предпосылки!$C$475:$R$475,Предпосылки!$C476:$R476)),1,LOOKUP(YEAR(AO$8),Предпосылки!$C$475:$R$475,Предпосылки!$C476:$R476))*(1+Чувствительность!$D$28)</f>
        <v>90</v>
      </c>
      <c s="125">
        <f>IF(ISBLANK(LOOKUP(YEAR(AP$8),Предпосылки!$C$475:$R$475,Предпосылки!$C476:$R476)),1,LOOKUP(YEAR(AP$8),Предпосылки!$C$475:$R$475,Предпосылки!$C476:$R476))*(1+Чувствительность!$D$28)</f>
        <v>90</v>
      </c>
      <c s="125">
        <f>IF(ISBLANK(LOOKUP(YEAR(AQ$8),Предпосылки!$C$475:$R$475,Предпосылки!$C476:$R476)),1,LOOKUP(YEAR(AQ$8),Предпосылки!$C$475:$R$475,Предпосылки!$C476:$R476))*(1+Чувствительность!$D$28)</f>
        <v>90</v>
      </c>
      <c s="125">
        <f>IF(ISBLANK(LOOKUP(YEAR(AR$8),Предпосылки!$C$475:$R$475,Предпосылки!$C476:$R476)),1,LOOKUP(YEAR(AR$8),Предпосылки!$C$475:$R$475,Предпосылки!$C476:$R476))*(1+Чувствительность!$D$28)</f>
        <v>90</v>
      </c>
      <c s="125">
        <f>IF(ISBLANK(LOOKUP(YEAR(AS$8),Предпосылки!$C$475:$R$475,Предпосылки!$C476:$R476)),1,LOOKUP(YEAR(AS$8),Предпосылки!$C$475:$R$475,Предпосылки!$C476:$R476))*(1+Чувствительность!$D$28)</f>
        <v>90</v>
      </c>
      <c s="125">
        <f>IF(ISBLANK(LOOKUP(YEAR(AT$8),Предпосылки!$C$475:$R$475,Предпосылки!$C476:$R476)),1,LOOKUP(YEAR(AT$8),Предпосылки!$C$475:$R$475,Предпосылки!$C476:$R476))*(1+Чувствительность!$D$28)</f>
        <v>90</v>
      </c>
      <c s="125">
        <f>IF(ISBLANK(LOOKUP(YEAR(AU$8),Предпосылки!$C$475:$R$475,Предпосылки!$C476:$R476)),1,LOOKUP(YEAR(AU$8),Предпосылки!$C$475:$R$475,Предпосылки!$C476:$R476))*(1+Чувствительность!$D$28)</f>
        <v>90</v>
      </c>
      <c s="125">
        <f>IF(ISBLANK(LOOKUP(YEAR(AV$8),Предпосылки!$C$475:$R$475,Предпосылки!$C476:$R476)),1,LOOKUP(YEAR(AV$8),Предпосылки!$C$475:$R$475,Предпосылки!$C476:$R476))*(1+Чувствительность!$D$28)</f>
        <v>90</v>
      </c>
      <c s="125">
        <f>IF(ISBLANK(LOOKUP(YEAR(AW$8),Предпосылки!$C$475:$R$475,Предпосылки!$C476:$R476)),1,LOOKUP(YEAR(AW$8),Предпосылки!$C$475:$R$475,Предпосылки!$C476:$R476))*(1+Чувствительность!$D$28)</f>
        <v>90</v>
      </c>
      <c s="125">
        <f>IF(ISBLANK(LOOKUP(YEAR(AX$8),Предпосылки!$C$475:$R$475,Предпосылки!$C476:$R476)),1,LOOKUP(YEAR(AX$8),Предпосылки!$C$475:$R$475,Предпосылки!$C476:$R476))*(1+Чувствительность!$D$28)</f>
        <v>90</v>
      </c>
      <c s="125">
        <f>IF(ISBLANK(LOOKUP(YEAR(AY$8),Предпосылки!$C$475:$R$475,Предпосылки!$C476:$R476)),1,LOOKUP(YEAR(AY$8),Предпосылки!$C$475:$R$475,Предпосылки!$C476:$R476))*(1+Чувствительность!$D$28)</f>
        <v>90</v>
      </c>
      <c s="125">
        <f>IF(ISBLANK(LOOKUP(YEAR(AZ$8),Предпосылки!$C$475:$R$475,Предпосылки!$C476:$R476)),1,LOOKUP(YEAR(AZ$8),Предпосылки!$C$475:$R$475,Предпосылки!$C476:$R476))*(1+Чувствительность!$D$28)</f>
        <v>90</v>
      </c>
      <c s="125">
        <f>IF(ISBLANK(LOOKUP(YEAR(BA$8),Предпосылки!$C$475:$R$475,Предпосылки!$C476:$R476)),1,LOOKUP(YEAR(BA$8),Предпосылки!$C$475:$R$475,Предпосылки!$C476:$R476))*(1+Чувствительность!$D$28)</f>
        <v>90</v>
      </c>
      <c s="125">
        <f>IF(ISBLANK(LOOKUP(YEAR(BB$8),Предпосылки!$C$475:$R$475,Предпосылки!$C476:$R476)),1,LOOKUP(YEAR(BB$8),Предпосылки!$C$475:$R$475,Предпосылки!$C476:$R476))*(1+Чувствительность!$D$28)</f>
        <v>90</v>
      </c>
      <c s="125">
        <f>IF(ISBLANK(LOOKUP(YEAR(BC$8),Предпосылки!$C$475:$R$475,Предпосылки!$C476:$R476)),1,LOOKUP(YEAR(BC$8),Предпосылки!$C$475:$R$475,Предпосылки!$C476:$R476))*(1+Чувствительность!$D$28)</f>
        <v>90</v>
      </c>
      <c s="125">
        <f>IF(ISBLANK(LOOKUP(YEAR(BD$8),Предпосылки!$C$475:$R$475,Предпосылки!$C476:$R476)),1,LOOKUP(YEAR(BD$8),Предпосылки!$C$475:$R$475,Предпосылки!$C476:$R476))*(1+Чувствительность!$D$28)</f>
        <v>90</v>
      </c>
      <c s="125">
        <f>IF(ISBLANK(LOOKUP(YEAR(BE$8),Предпосылки!$C$475:$R$475,Предпосылки!$C476:$R476)),1,LOOKUP(YEAR(BE$8),Предпосылки!$C$475:$R$475,Предпосылки!$C476:$R476))*(1+Чувствительность!$D$28)</f>
        <v>90</v>
      </c>
      <c s="125">
        <f>IF(ISBLANK(LOOKUP(YEAR(BF$8),Предпосылки!$C$475:$R$475,Предпосылки!$C476:$R476)),1,LOOKUP(YEAR(BF$8),Предпосылки!$C$475:$R$475,Предпосылки!$C476:$R476))*(1+Чувствительность!$D$28)</f>
        <v>90</v>
      </c>
      <c s="125">
        <f>IF(ISBLANK(LOOKUP(YEAR(BG$8),Предпосылки!$C$475:$R$475,Предпосылки!$C476:$R476)),1,LOOKUP(YEAR(BG$8),Предпосылки!$C$475:$R$475,Предпосылки!$C476:$R476))*(1+Чувствительность!$D$28)</f>
        <v>90</v>
      </c>
      <c s="125">
        <f>IF(ISBLANK(LOOKUP(YEAR(BH$8),Предпосылки!$C$475:$R$475,Предпосылки!$C476:$R476)),1,LOOKUP(YEAR(BH$8),Предпосылки!$C$475:$R$475,Предпосылки!$C476:$R476))*(1+Чувствительность!$D$28)</f>
        <v>90</v>
      </c>
      <c s="125">
        <f>IF(ISBLANK(LOOKUP(YEAR(BI$8),Предпосылки!$C$475:$R$475,Предпосылки!$C476:$R476)),1,LOOKUP(YEAR(BI$8),Предпосылки!$C$475:$R$475,Предпосылки!$C476:$R476))*(1+Чувствительность!$D$28)</f>
        <v>90</v>
      </c>
      <c s="125">
        <f>IF(ISBLANK(LOOKUP(YEAR(BJ$8),Предпосылки!$C$475:$R$475,Предпосылки!$C476:$R476)),1,LOOKUP(YEAR(BJ$8),Предпосылки!$C$475:$R$475,Предпосылки!$C476:$R476))*(1+Чувствительность!$D$28)</f>
        <v>90</v>
      </c>
      <c s="125">
        <f>IF(ISBLANK(LOOKUP(YEAR(BK$8),Предпосылки!$C$475:$R$475,Предпосылки!$C476:$R476)),1,LOOKUP(YEAR(BK$8),Предпосылки!$C$475:$R$475,Предпосылки!$C476:$R476))*(1+Чувствительность!$D$28)</f>
        <v>90</v>
      </c>
      <c s="125">
        <f>IF(ISBLANK(LOOKUP(YEAR(BL$8),Предпосылки!$C$475:$R$475,Предпосылки!$C476:$R476)),1,LOOKUP(YEAR(BL$8),Предпосылки!$C$475:$R$475,Предпосылки!$C476:$R476))*(1+Чувствительность!$D$28)</f>
        <v>90</v>
      </c>
      <c s="125">
        <f>IF(ISBLANK(LOOKUP(YEAR(BM$8),Предпосылки!$C$475:$R$475,Предпосылки!$C476:$R476)),1,LOOKUP(YEAR(BM$8),Предпосылки!$C$475:$R$475,Предпосылки!$C476:$R476))*(1+Чувствительность!$D$28)</f>
        <v>90</v>
      </c>
    </row>
    <row r="15" spans="2:65" ht="15" customHeight="1">
      <c r="B15" s="22" t="str">
        <f>Предпосылки!B477</f>
        <v>Курс CNY/RUB</v>
      </c>
      <c s="124">
        <v>3</v>
      </c>
      <c s="125"/>
      <c s="125">
        <f>IF(ISBLANK(LOOKUP(YEAR(E$8),Предпосылки!$C$475:$R$475,Предпосылки!$C477:$R477)),1,LOOKUP(YEAR(E$8),Предпосылки!$C$475:$R$475,Предпосылки!$C477:$R477))*(1+Чувствительность!$D$28)</f>
        <v>12.5</v>
      </c>
      <c s="125">
        <f>IF(ISBLANK(LOOKUP(YEAR(F$8),Предпосылки!$C$475:$R$475,Предпосылки!$C477:$R477)),1,LOOKUP(YEAR(F$8),Предпосылки!$C$475:$R$475,Предпосылки!$C477:$R477))*(1+Чувствительность!$D$28)</f>
        <v>12.5</v>
      </c>
      <c s="125">
        <f>IF(ISBLANK(LOOKUP(YEAR(G$8),Предпосылки!$C$475:$R$475,Предпосылки!$C477:$R477)),1,LOOKUP(YEAR(G$8),Предпосылки!$C$475:$R$475,Предпосылки!$C477:$R477))*(1+Чувствительность!$D$28)</f>
        <v>12.5</v>
      </c>
      <c s="125">
        <f>IF(ISBLANK(LOOKUP(YEAR(H$8),Предпосылки!$C$475:$R$475,Предпосылки!$C477:$R477)),1,LOOKUP(YEAR(H$8),Предпосылки!$C$475:$R$475,Предпосылки!$C477:$R477))*(1+Чувствительность!$D$28)</f>
        <v>12.5</v>
      </c>
      <c s="125">
        <f>IF(ISBLANK(LOOKUP(YEAR(I$8),Предпосылки!$C$475:$R$475,Предпосылки!$C477:$R477)),1,LOOKUP(YEAR(I$8),Предпосылки!$C$475:$R$475,Предпосылки!$C477:$R477))*(1+Чувствительность!$D$28)</f>
        <v>12.5</v>
      </c>
      <c s="125">
        <f>IF(ISBLANK(LOOKUP(YEAR(J$8),Предпосылки!$C$475:$R$475,Предпосылки!$C477:$R477)),1,LOOKUP(YEAR(J$8),Предпосылки!$C$475:$R$475,Предпосылки!$C477:$R477))*(1+Чувствительность!$D$28)</f>
        <v>12.5</v>
      </c>
      <c s="125">
        <f>IF(ISBLANK(LOOKUP(YEAR(K$8),Предпосылки!$C$475:$R$475,Предпосылки!$C477:$R477)),1,LOOKUP(YEAR(K$8),Предпосылки!$C$475:$R$475,Предпосылки!$C477:$R477))*(1+Чувствительность!$D$28)</f>
        <v>12.5</v>
      </c>
      <c s="125">
        <f>IF(ISBLANK(LOOKUP(YEAR(L$8),Предпосылки!$C$475:$R$475,Предпосылки!$C477:$R477)),1,LOOKUP(YEAR(L$8),Предпосылки!$C$475:$R$475,Предпосылки!$C477:$R477))*(1+Чувствительность!$D$28)</f>
        <v>12.5</v>
      </c>
      <c s="125">
        <f>IF(ISBLANK(LOOKUP(YEAR(M$8),Предпосылки!$C$475:$R$475,Предпосылки!$C477:$R477)),1,LOOKUP(YEAR(M$8),Предпосылки!$C$475:$R$475,Предпосылки!$C477:$R477))*(1+Чувствительность!$D$28)</f>
        <v>12.5</v>
      </c>
      <c s="125">
        <f>IF(ISBLANK(LOOKUP(YEAR(N$8),Предпосылки!$C$475:$R$475,Предпосылки!$C477:$R477)),1,LOOKUP(YEAR(N$8),Предпосылки!$C$475:$R$475,Предпосылки!$C477:$R477))*(1+Чувствительность!$D$28)</f>
        <v>12.5</v>
      </c>
      <c s="125">
        <f>IF(ISBLANK(LOOKUP(YEAR(O$8),Предпосылки!$C$475:$R$475,Предпосылки!$C477:$R477)),1,LOOKUP(YEAR(O$8),Предпосылки!$C$475:$R$475,Предпосылки!$C477:$R477))*(1+Чувствительность!$D$28)</f>
        <v>12.5</v>
      </c>
      <c s="125">
        <f>IF(ISBLANK(LOOKUP(YEAR(P$8),Предпосылки!$C$475:$R$475,Предпосылки!$C477:$R477)),1,LOOKUP(YEAR(P$8),Предпосылки!$C$475:$R$475,Предпосылки!$C477:$R477))*(1+Чувствительность!$D$28)</f>
        <v>12.5</v>
      </c>
      <c s="125">
        <f>IF(ISBLANK(LOOKUP(YEAR(Q$8),Предпосылки!$C$475:$R$475,Предпосылки!$C477:$R477)),1,LOOKUP(YEAR(Q$8),Предпосылки!$C$475:$R$475,Предпосылки!$C477:$R477))*(1+Чувствительность!$D$28)</f>
        <v>12.5</v>
      </c>
      <c s="125">
        <f>IF(ISBLANK(LOOKUP(YEAR(R$8),Предпосылки!$C$475:$R$475,Предпосылки!$C477:$R477)),1,LOOKUP(YEAR(R$8),Предпосылки!$C$475:$R$475,Предпосылки!$C477:$R477))*(1+Чувствительность!$D$28)</f>
        <v>12.5</v>
      </c>
      <c s="125">
        <f>IF(ISBLANK(LOOKUP(YEAR(S$8),Предпосылки!$C$475:$R$475,Предпосылки!$C477:$R477)),1,LOOKUP(YEAR(S$8),Предпосылки!$C$475:$R$475,Предпосылки!$C477:$R477))*(1+Чувствительность!$D$28)</f>
        <v>12.5</v>
      </c>
      <c s="125">
        <f>IF(ISBLANK(LOOKUP(YEAR(T$8),Предпосылки!$C$475:$R$475,Предпосылки!$C477:$R477)),1,LOOKUP(YEAR(T$8),Предпосылки!$C$475:$R$475,Предпосылки!$C477:$R477))*(1+Чувствительность!$D$28)</f>
        <v>12.5</v>
      </c>
      <c s="125">
        <f>IF(ISBLANK(LOOKUP(YEAR(U$8),Предпосылки!$C$475:$R$475,Предпосылки!$C477:$R477)),1,LOOKUP(YEAR(U$8),Предпосылки!$C$475:$R$475,Предпосылки!$C477:$R477))*(1+Чувствительность!$D$28)</f>
        <v>12.5</v>
      </c>
      <c s="125">
        <f>IF(ISBLANK(LOOKUP(YEAR(V$8),Предпосылки!$C$475:$R$475,Предпосылки!$C477:$R477)),1,LOOKUP(YEAR(V$8),Предпосылки!$C$475:$R$475,Предпосылки!$C477:$R477))*(1+Чувствительность!$D$28)</f>
        <v>12.5</v>
      </c>
      <c s="125">
        <f>IF(ISBLANK(LOOKUP(YEAR(W$8),Предпосылки!$C$475:$R$475,Предпосылки!$C477:$R477)),1,LOOKUP(YEAR(W$8),Предпосылки!$C$475:$R$475,Предпосылки!$C477:$R477))*(1+Чувствительность!$D$28)</f>
        <v>12.5</v>
      </c>
      <c s="125">
        <f>IF(ISBLANK(LOOKUP(YEAR(X$8),Предпосылки!$C$475:$R$475,Предпосылки!$C477:$R477)),1,LOOKUP(YEAR(X$8),Предпосылки!$C$475:$R$475,Предпосылки!$C477:$R477))*(1+Чувствительность!$D$28)</f>
        <v>12.5</v>
      </c>
      <c s="125">
        <f>IF(ISBLANK(LOOKUP(YEAR(Y$8),Предпосылки!$C$475:$R$475,Предпосылки!$C477:$R477)),1,LOOKUP(YEAR(Y$8),Предпосылки!$C$475:$R$475,Предпосылки!$C477:$R477))*(1+Чувствительность!$D$28)</f>
        <v>12.5</v>
      </c>
      <c s="125">
        <f>IF(ISBLANK(LOOKUP(YEAR(Z$8),Предпосылки!$C$475:$R$475,Предпосылки!$C477:$R477)),1,LOOKUP(YEAR(Z$8),Предпосылки!$C$475:$R$475,Предпосылки!$C477:$R477))*(1+Чувствительность!$D$28)</f>
        <v>12.5</v>
      </c>
      <c s="125">
        <f>IF(ISBLANK(LOOKUP(YEAR(AA$8),Предпосылки!$C$475:$R$475,Предпосылки!$C477:$R477)),1,LOOKUP(YEAR(AA$8),Предпосылки!$C$475:$R$475,Предпосылки!$C477:$R477))*(1+Чувствительность!$D$28)</f>
        <v>12.5</v>
      </c>
      <c s="125">
        <f>IF(ISBLANK(LOOKUP(YEAR(AB$8),Предпосылки!$C$475:$R$475,Предпосылки!$C477:$R477)),1,LOOKUP(YEAR(AB$8),Предпосылки!$C$475:$R$475,Предпосылки!$C477:$R477))*(1+Чувствительность!$D$28)</f>
        <v>12.5</v>
      </c>
      <c s="125">
        <f>IF(ISBLANK(LOOKUP(YEAR(AC$8),Предпосылки!$C$475:$R$475,Предпосылки!$C477:$R477)),1,LOOKUP(YEAR(AC$8),Предпосылки!$C$475:$R$475,Предпосылки!$C477:$R477))*(1+Чувствительность!$D$28)</f>
        <v>12.5</v>
      </c>
      <c s="125">
        <f>IF(ISBLANK(LOOKUP(YEAR(AD$8),Предпосылки!$C$475:$R$475,Предпосылки!$C477:$R477)),1,LOOKUP(YEAR(AD$8),Предпосылки!$C$475:$R$475,Предпосылки!$C477:$R477))*(1+Чувствительность!$D$28)</f>
        <v>12.5</v>
      </c>
      <c s="125">
        <f>IF(ISBLANK(LOOKUP(YEAR(AE$8),Предпосылки!$C$475:$R$475,Предпосылки!$C477:$R477)),1,LOOKUP(YEAR(AE$8),Предпосылки!$C$475:$R$475,Предпосылки!$C477:$R477))*(1+Чувствительность!$D$28)</f>
        <v>12.5</v>
      </c>
      <c s="125">
        <f>IF(ISBLANK(LOOKUP(YEAR(AF$8),Предпосылки!$C$475:$R$475,Предпосылки!$C477:$R477)),1,LOOKUP(YEAR(AF$8),Предпосылки!$C$475:$R$475,Предпосылки!$C477:$R477))*(1+Чувствительность!$D$28)</f>
        <v>12.5</v>
      </c>
      <c s="125">
        <f>IF(ISBLANK(LOOKUP(YEAR(AG$8),Предпосылки!$C$475:$R$475,Предпосылки!$C477:$R477)),1,LOOKUP(YEAR(AG$8),Предпосылки!$C$475:$R$475,Предпосылки!$C477:$R477))*(1+Чувствительность!$D$28)</f>
        <v>12.5</v>
      </c>
      <c s="125">
        <f>IF(ISBLANK(LOOKUP(YEAR(AH$8),Предпосылки!$C$475:$R$475,Предпосылки!$C477:$R477)),1,LOOKUP(YEAR(AH$8),Предпосылки!$C$475:$R$475,Предпосылки!$C477:$R477))*(1+Чувствительность!$D$28)</f>
        <v>12.5</v>
      </c>
      <c s="125">
        <f>IF(ISBLANK(LOOKUP(YEAR(AI$8),Предпосылки!$C$475:$R$475,Предпосылки!$C477:$R477)),1,LOOKUP(YEAR(AI$8),Предпосылки!$C$475:$R$475,Предпосылки!$C477:$R477))*(1+Чувствительность!$D$28)</f>
        <v>12.5</v>
      </c>
      <c s="125">
        <f>IF(ISBLANK(LOOKUP(YEAR(AJ$8),Предпосылки!$C$475:$R$475,Предпосылки!$C477:$R477)),1,LOOKUP(YEAR(AJ$8),Предпосылки!$C$475:$R$475,Предпосылки!$C477:$R477))*(1+Чувствительность!$D$28)</f>
        <v>12.5</v>
      </c>
      <c s="125">
        <f>IF(ISBLANK(LOOKUP(YEAR(AK$8),Предпосылки!$C$475:$R$475,Предпосылки!$C477:$R477)),1,LOOKUP(YEAR(AK$8),Предпосылки!$C$475:$R$475,Предпосылки!$C477:$R477))*(1+Чувствительность!$D$28)</f>
        <v>12.5</v>
      </c>
      <c s="125">
        <f>IF(ISBLANK(LOOKUP(YEAR(AL$8),Предпосылки!$C$475:$R$475,Предпосылки!$C477:$R477)),1,LOOKUP(YEAR(AL$8),Предпосылки!$C$475:$R$475,Предпосылки!$C477:$R477))*(1+Чувствительность!$D$28)</f>
        <v>12.5</v>
      </c>
      <c s="125">
        <f>IF(ISBLANK(LOOKUP(YEAR(AM$8),Предпосылки!$C$475:$R$475,Предпосылки!$C477:$R477)),1,LOOKUP(YEAR(AM$8),Предпосылки!$C$475:$R$475,Предпосылки!$C477:$R477))*(1+Чувствительность!$D$28)</f>
        <v>12.5</v>
      </c>
      <c s="125">
        <f>IF(ISBLANK(LOOKUP(YEAR(AN$8),Предпосылки!$C$475:$R$475,Предпосылки!$C477:$R477)),1,LOOKUP(YEAR(AN$8),Предпосылки!$C$475:$R$475,Предпосылки!$C477:$R477))*(1+Чувствительность!$D$28)</f>
        <v>12.5</v>
      </c>
      <c s="125">
        <f>IF(ISBLANK(LOOKUP(YEAR(AO$8),Предпосылки!$C$475:$R$475,Предпосылки!$C477:$R477)),1,LOOKUP(YEAR(AO$8),Предпосылки!$C$475:$R$475,Предпосылки!$C477:$R477))*(1+Чувствительность!$D$28)</f>
        <v>12.5</v>
      </c>
      <c s="125">
        <f>IF(ISBLANK(LOOKUP(YEAR(AP$8),Предпосылки!$C$475:$R$475,Предпосылки!$C477:$R477)),1,LOOKUP(YEAR(AP$8),Предпосылки!$C$475:$R$475,Предпосылки!$C477:$R477))*(1+Чувствительность!$D$28)</f>
        <v>12.5</v>
      </c>
      <c s="125">
        <f>IF(ISBLANK(LOOKUP(YEAR(AQ$8),Предпосылки!$C$475:$R$475,Предпосылки!$C477:$R477)),1,LOOKUP(YEAR(AQ$8),Предпосылки!$C$475:$R$475,Предпосылки!$C477:$R477))*(1+Чувствительность!$D$28)</f>
        <v>12.5</v>
      </c>
      <c s="125">
        <f>IF(ISBLANK(LOOKUP(YEAR(AR$8),Предпосылки!$C$475:$R$475,Предпосылки!$C477:$R477)),1,LOOKUP(YEAR(AR$8),Предпосылки!$C$475:$R$475,Предпосылки!$C477:$R477))*(1+Чувствительность!$D$28)</f>
        <v>12.5</v>
      </c>
      <c s="125">
        <f>IF(ISBLANK(LOOKUP(YEAR(AS$8),Предпосылки!$C$475:$R$475,Предпосылки!$C477:$R477)),1,LOOKUP(YEAR(AS$8),Предпосылки!$C$475:$R$475,Предпосылки!$C477:$R477))*(1+Чувствительность!$D$28)</f>
        <v>12.5</v>
      </c>
      <c s="125">
        <f>IF(ISBLANK(LOOKUP(YEAR(AT$8),Предпосылки!$C$475:$R$475,Предпосылки!$C477:$R477)),1,LOOKUP(YEAR(AT$8),Предпосылки!$C$475:$R$475,Предпосылки!$C477:$R477))*(1+Чувствительность!$D$28)</f>
        <v>12.5</v>
      </c>
      <c s="125">
        <f>IF(ISBLANK(LOOKUP(YEAR(AU$8),Предпосылки!$C$475:$R$475,Предпосылки!$C477:$R477)),1,LOOKUP(YEAR(AU$8),Предпосылки!$C$475:$R$475,Предпосылки!$C477:$R477))*(1+Чувствительность!$D$28)</f>
        <v>12.5</v>
      </c>
      <c s="125">
        <f>IF(ISBLANK(LOOKUP(YEAR(AV$8),Предпосылки!$C$475:$R$475,Предпосылки!$C477:$R477)),1,LOOKUP(YEAR(AV$8),Предпосылки!$C$475:$R$475,Предпосылки!$C477:$R477))*(1+Чувствительность!$D$28)</f>
        <v>12.5</v>
      </c>
      <c s="125">
        <f>IF(ISBLANK(LOOKUP(YEAR(AW$8),Предпосылки!$C$475:$R$475,Предпосылки!$C477:$R477)),1,LOOKUP(YEAR(AW$8),Предпосылки!$C$475:$R$475,Предпосылки!$C477:$R477))*(1+Чувствительность!$D$28)</f>
        <v>12.5</v>
      </c>
      <c s="125">
        <f>IF(ISBLANK(LOOKUP(YEAR(AX$8),Предпосылки!$C$475:$R$475,Предпосылки!$C477:$R477)),1,LOOKUP(YEAR(AX$8),Предпосылки!$C$475:$R$475,Предпосылки!$C477:$R477))*(1+Чувствительность!$D$28)</f>
        <v>12.5</v>
      </c>
      <c s="125">
        <f>IF(ISBLANK(LOOKUP(YEAR(AY$8),Предпосылки!$C$475:$R$475,Предпосылки!$C477:$R477)),1,LOOKUP(YEAR(AY$8),Предпосылки!$C$475:$R$475,Предпосылки!$C477:$R477))*(1+Чувствительность!$D$28)</f>
        <v>12.5</v>
      </c>
      <c s="125">
        <f>IF(ISBLANK(LOOKUP(YEAR(AZ$8),Предпосылки!$C$475:$R$475,Предпосылки!$C477:$R477)),1,LOOKUP(YEAR(AZ$8),Предпосылки!$C$475:$R$475,Предпосылки!$C477:$R477))*(1+Чувствительность!$D$28)</f>
        <v>12.5</v>
      </c>
      <c s="125">
        <f>IF(ISBLANK(LOOKUP(YEAR(BA$8),Предпосылки!$C$475:$R$475,Предпосылки!$C477:$R477)),1,LOOKUP(YEAR(BA$8),Предпосылки!$C$475:$R$475,Предпосылки!$C477:$R477))*(1+Чувствительность!$D$28)</f>
        <v>12.5</v>
      </c>
      <c s="125">
        <f>IF(ISBLANK(LOOKUP(YEAR(BB$8),Предпосылки!$C$475:$R$475,Предпосылки!$C477:$R477)),1,LOOKUP(YEAR(BB$8),Предпосылки!$C$475:$R$475,Предпосылки!$C477:$R477))*(1+Чувствительность!$D$28)</f>
        <v>12.5</v>
      </c>
      <c s="125">
        <f>IF(ISBLANK(LOOKUP(YEAR(BC$8),Предпосылки!$C$475:$R$475,Предпосылки!$C477:$R477)),1,LOOKUP(YEAR(BC$8),Предпосылки!$C$475:$R$475,Предпосылки!$C477:$R477))*(1+Чувствительность!$D$28)</f>
        <v>12.5</v>
      </c>
      <c s="125">
        <f>IF(ISBLANK(LOOKUP(YEAR(BD$8),Предпосылки!$C$475:$R$475,Предпосылки!$C477:$R477)),1,LOOKUP(YEAR(BD$8),Предпосылки!$C$475:$R$475,Предпосылки!$C477:$R477))*(1+Чувствительность!$D$28)</f>
        <v>12.5</v>
      </c>
      <c s="125">
        <f>IF(ISBLANK(LOOKUP(YEAR(BE$8),Предпосылки!$C$475:$R$475,Предпосылки!$C477:$R477)),1,LOOKUP(YEAR(BE$8),Предпосылки!$C$475:$R$475,Предпосылки!$C477:$R477))*(1+Чувствительность!$D$28)</f>
        <v>12.5</v>
      </c>
      <c s="125">
        <f>IF(ISBLANK(LOOKUP(YEAR(BF$8),Предпосылки!$C$475:$R$475,Предпосылки!$C477:$R477)),1,LOOKUP(YEAR(BF$8),Предпосылки!$C$475:$R$475,Предпосылки!$C477:$R477))*(1+Чувствительность!$D$28)</f>
        <v>12.5</v>
      </c>
      <c s="125">
        <f>IF(ISBLANK(LOOKUP(YEAR(BG$8),Предпосылки!$C$475:$R$475,Предпосылки!$C477:$R477)),1,LOOKUP(YEAR(BG$8),Предпосылки!$C$475:$R$475,Предпосылки!$C477:$R477))*(1+Чувствительность!$D$28)</f>
        <v>12.5</v>
      </c>
      <c s="125">
        <f>IF(ISBLANK(LOOKUP(YEAR(BH$8),Предпосылки!$C$475:$R$475,Предпосылки!$C477:$R477)),1,LOOKUP(YEAR(BH$8),Предпосылки!$C$475:$R$475,Предпосылки!$C477:$R477))*(1+Чувствительность!$D$28)</f>
        <v>12.5</v>
      </c>
      <c s="125">
        <f>IF(ISBLANK(LOOKUP(YEAR(BI$8),Предпосылки!$C$475:$R$475,Предпосылки!$C477:$R477)),1,LOOKUP(YEAR(BI$8),Предпосылки!$C$475:$R$475,Предпосылки!$C477:$R477))*(1+Чувствительность!$D$28)</f>
        <v>12.5</v>
      </c>
      <c s="125">
        <f>IF(ISBLANK(LOOKUP(YEAR(BJ$8),Предпосылки!$C$475:$R$475,Предпосылки!$C477:$R477)),1,LOOKUP(YEAR(BJ$8),Предпосылки!$C$475:$R$475,Предпосылки!$C477:$R477))*(1+Чувствительность!$D$28)</f>
        <v>12.5</v>
      </c>
      <c s="125">
        <f>IF(ISBLANK(LOOKUP(YEAR(BK$8),Предпосылки!$C$475:$R$475,Предпосылки!$C477:$R477)),1,LOOKUP(YEAR(BK$8),Предпосылки!$C$475:$R$475,Предпосылки!$C477:$R477))*(1+Чувствительность!$D$28)</f>
        <v>12.5</v>
      </c>
      <c s="125">
        <f>IF(ISBLANK(LOOKUP(YEAR(BL$8),Предпосылки!$C$475:$R$475,Предпосылки!$C477:$R477)),1,LOOKUP(YEAR(BL$8),Предпосылки!$C$475:$R$475,Предпосылки!$C477:$R477))*(1+Чувствительность!$D$28)</f>
        <v>12.5</v>
      </c>
      <c s="125">
        <f>IF(ISBLANK(LOOKUP(YEAR(BM$8),Предпосылки!$C$475:$R$475,Предпосылки!$C477:$R477)),1,LOOKUP(YEAR(BM$8),Предпосылки!$C$475:$R$475,Предпосылки!$C477:$R477))*(1+Чувствительность!$D$28)</f>
        <v>12.5</v>
      </c>
    </row>
    <row r="16" spans="2:65" ht="15" customHeight="1">
      <c r="B16" s="22" t="str">
        <f>Предпосылки!B478</f>
        <v>Курс EUR/RUB</v>
      </c>
      <c s="124">
        <v>4</v>
      </c>
      <c s="125"/>
      <c s="125">
        <f>IF(ISBLANK(LOOKUP(YEAR(E$8),Предпосылки!$C$475:$R$475,Предпосылки!$C478:$R478)),1,LOOKUP(YEAR(E$8),Предпосылки!$C$475:$R$475,Предпосылки!$C478:$R478))*(1+Чувствительность!$D$28)</f>
        <v>97</v>
      </c>
      <c s="125">
        <f>IF(ISBLANK(LOOKUP(YEAR(F$8),Предпосылки!$C$475:$R$475,Предпосылки!$C478:$R478)),1,LOOKUP(YEAR(F$8),Предпосылки!$C$475:$R$475,Предпосылки!$C478:$R478))*(1+Чувствительность!$D$28)</f>
        <v>97</v>
      </c>
      <c s="125">
        <f>IF(ISBLANK(LOOKUP(YEAR(G$8),Предпосылки!$C$475:$R$475,Предпосылки!$C478:$R478)),1,LOOKUP(YEAR(G$8),Предпосылки!$C$475:$R$475,Предпосылки!$C478:$R478))*(1+Чувствительность!$D$28)</f>
        <v>97</v>
      </c>
      <c s="125">
        <f>IF(ISBLANK(LOOKUP(YEAR(H$8),Предпосылки!$C$475:$R$475,Предпосылки!$C478:$R478)),1,LOOKUP(YEAR(H$8),Предпосылки!$C$475:$R$475,Предпосылки!$C478:$R478))*(1+Чувствительность!$D$28)</f>
        <v>97</v>
      </c>
      <c s="125">
        <f>IF(ISBLANK(LOOKUP(YEAR(I$8),Предпосылки!$C$475:$R$475,Предпосылки!$C478:$R478)),1,LOOKUP(YEAR(I$8),Предпосылки!$C$475:$R$475,Предпосылки!$C478:$R478))*(1+Чувствительность!$D$28)</f>
        <v>97</v>
      </c>
      <c s="125">
        <f>IF(ISBLANK(LOOKUP(YEAR(J$8),Предпосылки!$C$475:$R$475,Предпосылки!$C478:$R478)),1,LOOKUP(YEAR(J$8),Предпосылки!$C$475:$R$475,Предпосылки!$C478:$R478))*(1+Чувствительность!$D$28)</f>
        <v>97</v>
      </c>
      <c s="125">
        <f>IF(ISBLANK(LOOKUP(YEAR(K$8),Предпосылки!$C$475:$R$475,Предпосылки!$C478:$R478)),1,LOOKUP(YEAR(K$8),Предпосылки!$C$475:$R$475,Предпосылки!$C478:$R478))*(1+Чувствительность!$D$28)</f>
        <v>97</v>
      </c>
      <c s="125">
        <f>IF(ISBLANK(LOOKUP(YEAR(L$8),Предпосылки!$C$475:$R$475,Предпосылки!$C478:$R478)),1,LOOKUP(YEAR(L$8),Предпосылки!$C$475:$R$475,Предпосылки!$C478:$R478))*(1+Чувствительность!$D$28)</f>
        <v>97</v>
      </c>
      <c s="125">
        <f>IF(ISBLANK(LOOKUP(YEAR(M$8),Предпосылки!$C$475:$R$475,Предпосылки!$C478:$R478)),1,LOOKUP(YEAR(M$8),Предпосылки!$C$475:$R$475,Предпосылки!$C478:$R478))*(1+Чувствительность!$D$28)</f>
        <v>97</v>
      </c>
      <c s="125">
        <f>IF(ISBLANK(LOOKUP(YEAR(N$8),Предпосылки!$C$475:$R$475,Предпосылки!$C478:$R478)),1,LOOKUP(YEAR(N$8),Предпосылки!$C$475:$R$475,Предпосылки!$C478:$R478))*(1+Чувствительность!$D$28)</f>
        <v>97</v>
      </c>
      <c s="125">
        <f>IF(ISBLANK(LOOKUP(YEAR(O$8),Предпосылки!$C$475:$R$475,Предпосылки!$C478:$R478)),1,LOOKUP(YEAR(O$8),Предпосылки!$C$475:$R$475,Предпосылки!$C478:$R478))*(1+Чувствительность!$D$28)</f>
        <v>97</v>
      </c>
      <c s="125">
        <f>IF(ISBLANK(LOOKUP(YEAR(P$8),Предпосылки!$C$475:$R$475,Предпосылки!$C478:$R478)),1,LOOKUP(YEAR(P$8),Предпосылки!$C$475:$R$475,Предпосылки!$C478:$R478))*(1+Чувствительность!$D$28)</f>
        <v>97</v>
      </c>
      <c s="125">
        <f>IF(ISBLANK(LOOKUP(YEAR(Q$8),Предпосылки!$C$475:$R$475,Предпосылки!$C478:$R478)),1,LOOKUP(YEAR(Q$8),Предпосылки!$C$475:$R$475,Предпосылки!$C478:$R478))*(1+Чувствительность!$D$28)</f>
        <v>97</v>
      </c>
      <c s="125">
        <f>IF(ISBLANK(LOOKUP(YEAR(R$8),Предпосылки!$C$475:$R$475,Предпосылки!$C478:$R478)),1,LOOKUP(YEAR(R$8),Предпосылки!$C$475:$R$475,Предпосылки!$C478:$R478))*(1+Чувствительность!$D$28)</f>
        <v>97</v>
      </c>
      <c s="125">
        <f>IF(ISBLANK(LOOKUP(YEAR(S$8),Предпосылки!$C$475:$R$475,Предпосылки!$C478:$R478)),1,LOOKUP(YEAR(S$8),Предпосылки!$C$475:$R$475,Предпосылки!$C478:$R478))*(1+Чувствительность!$D$28)</f>
        <v>97</v>
      </c>
      <c s="125">
        <f>IF(ISBLANK(LOOKUP(YEAR(T$8),Предпосылки!$C$475:$R$475,Предпосылки!$C478:$R478)),1,LOOKUP(YEAR(T$8),Предпосылки!$C$475:$R$475,Предпосылки!$C478:$R478))*(1+Чувствительность!$D$28)</f>
        <v>97</v>
      </c>
      <c s="125">
        <f>IF(ISBLANK(LOOKUP(YEAR(U$8),Предпосылки!$C$475:$R$475,Предпосылки!$C478:$R478)),1,LOOKUP(YEAR(U$8),Предпосылки!$C$475:$R$475,Предпосылки!$C478:$R478))*(1+Чувствительность!$D$28)</f>
        <v>97</v>
      </c>
      <c s="125">
        <f>IF(ISBLANK(LOOKUP(YEAR(V$8),Предпосылки!$C$475:$R$475,Предпосылки!$C478:$R478)),1,LOOKUP(YEAR(V$8),Предпосылки!$C$475:$R$475,Предпосылки!$C478:$R478))*(1+Чувствительность!$D$28)</f>
        <v>97</v>
      </c>
      <c s="125">
        <f>IF(ISBLANK(LOOKUP(YEAR(W$8),Предпосылки!$C$475:$R$475,Предпосылки!$C478:$R478)),1,LOOKUP(YEAR(W$8),Предпосылки!$C$475:$R$475,Предпосылки!$C478:$R478))*(1+Чувствительность!$D$28)</f>
        <v>97</v>
      </c>
      <c s="125">
        <f>IF(ISBLANK(LOOKUP(YEAR(X$8),Предпосылки!$C$475:$R$475,Предпосылки!$C478:$R478)),1,LOOKUP(YEAR(X$8),Предпосылки!$C$475:$R$475,Предпосылки!$C478:$R478))*(1+Чувствительность!$D$28)</f>
        <v>97</v>
      </c>
      <c s="125">
        <f>IF(ISBLANK(LOOKUP(YEAR(Y$8),Предпосылки!$C$475:$R$475,Предпосылки!$C478:$R478)),1,LOOKUP(YEAR(Y$8),Предпосылки!$C$475:$R$475,Предпосылки!$C478:$R478))*(1+Чувствительность!$D$28)</f>
        <v>97</v>
      </c>
      <c s="125">
        <f>IF(ISBLANK(LOOKUP(YEAR(Z$8),Предпосылки!$C$475:$R$475,Предпосылки!$C478:$R478)),1,LOOKUP(YEAR(Z$8),Предпосылки!$C$475:$R$475,Предпосылки!$C478:$R478))*(1+Чувствительность!$D$28)</f>
        <v>97</v>
      </c>
      <c s="125">
        <f>IF(ISBLANK(LOOKUP(YEAR(AA$8),Предпосылки!$C$475:$R$475,Предпосылки!$C478:$R478)),1,LOOKUP(YEAR(AA$8),Предпосылки!$C$475:$R$475,Предпосылки!$C478:$R478))*(1+Чувствительность!$D$28)</f>
        <v>97</v>
      </c>
      <c s="125">
        <f>IF(ISBLANK(LOOKUP(YEAR(AB$8),Предпосылки!$C$475:$R$475,Предпосылки!$C478:$R478)),1,LOOKUP(YEAR(AB$8),Предпосылки!$C$475:$R$475,Предпосылки!$C478:$R478))*(1+Чувствительность!$D$28)</f>
        <v>97</v>
      </c>
      <c s="125">
        <f>IF(ISBLANK(LOOKUP(YEAR(AC$8),Предпосылки!$C$475:$R$475,Предпосылки!$C478:$R478)),1,LOOKUP(YEAR(AC$8),Предпосылки!$C$475:$R$475,Предпосылки!$C478:$R478))*(1+Чувствительность!$D$28)</f>
        <v>97</v>
      </c>
      <c s="125">
        <f>IF(ISBLANK(LOOKUP(YEAR(AD$8),Предпосылки!$C$475:$R$475,Предпосылки!$C478:$R478)),1,LOOKUP(YEAR(AD$8),Предпосылки!$C$475:$R$475,Предпосылки!$C478:$R478))*(1+Чувствительность!$D$28)</f>
        <v>97</v>
      </c>
      <c s="125">
        <f>IF(ISBLANK(LOOKUP(YEAR(AE$8),Предпосылки!$C$475:$R$475,Предпосылки!$C478:$R478)),1,LOOKUP(YEAR(AE$8),Предпосылки!$C$475:$R$475,Предпосылки!$C478:$R478))*(1+Чувствительность!$D$28)</f>
        <v>97</v>
      </c>
      <c s="125">
        <f>IF(ISBLANK(LOOKUP(YEAR(AF$8),Предпосылки!$C$475:$R$475,Предпосылки!$C478:$R478)),1,LOOKUP(YEAR(AF$8),Предпосылки!$C$475:$R$475,Предпосылки!$C478:$R478))*(1+Чувствительность!$D$28)</f>
        <v>97</v>
      </c>
      <c s="125">
        <f>IF(ISBLANK(LOOKUP(YEAR(AG$8),Предпосылки!$C$475:$R$475,Предпосылки!$C478:$R478)),1,LOOKUP(YEAR(AG$8),Предпосылки!$C$475:$R$475,Предпосылки!$C478:$R478))*(1+Чувствительность!$D$28)</f>
        <v>97</v>
      </c>
      <c s="125">
        <f>IF(ISBLANK(LOOKUP(YEAR(AH$8),Предпосылки!$C$475:$R$475,Предпосылки!$C478:$R478)),1,LOOKUP(YEAR(AH$8),Предпосылки!$C$475:$R$475,Предпосылки!$C478:$R478))*(1+Чувствительность!$D$28)</f>
        <v>97</v>
      </c>
      <c s="125">
        <f>IF(ISBLANK(LOOKUP(YEAR(AI$8),Предпосылки!$C$475:$R$475,Предпосылки!$C478:$R478)),1,LOOKUP(YEAR(AI$8),Предпосылки!$C$475:$R$475,Предпосылки!$C478:$R478))*(1+Чувствительность!$D$28)</f>
        <v>97</v>
      </c>
      <c s="125">
        <f>IF(ISBLANK(LOOKUP(YEAR(AJ$8),Предпосылки!$C$475:$R$475,Предпосылки!$C478:$R478)),1,LOOKUP(YEAR(AJ$8),Предпосылки!$C$475:$R$475,Предпосылки!$C478:$R478))*(1+Чувствительность!$D$28)</f>
        <v>97</v>
      </c>
      <c s="125">
        <f>IF(ISBLANK(LOOKUP(YEAR(AK$8),Предпосылки!$C$475:$R$475,Предпосылки!$C478:$R478)),1,LOOKUP(YEAR(AK$8),Предпосылки!$C$475:$R$475,Предпосылки!$C478:$R478))*(1+Чувствительность!$D$28)</f>
        <v>97</v>
      </c>
      <c s="125">
        <f>IF(ISBLANK(LOOKUP(YEAR(AL$8),Предпосылки!$C$475:$R$475,Предпосылки!$C478:$R478)),1,LOOKUP(YEAR(AL$8),Предпосылки!$C$475:$R$475,Предпосылки!$C478:$R478))*(1+Чувствительность!$D$28)</f>
        <v>97</v>
      </c>
      <c s="125">
        <f>IF(ISBLANK(LOOKUP(YEAR(AM$8),Предпосылки!$C$475:$R$475,Предпосылки!$C478:$R478)),1,LOOKUP(YEAR(AM$8),Предпосылки!$C$475:$R$475,Предпосылки!$C478:$R478))*(1+Чувствительность!$D$28)</f>
        <v>97</v>
      </c>
      <c s="125">
        <f>IF(ISBLANK(LOOKUP(YEAR(AN$8),Предпосылки!$C$475:$R$475,Предпосылки!$C478:$R478)),1,LOOKUP(YEAR(AN$8),Предпосылки!$C$475:$R$475,Предпосылки!$C478:$R478))*(1+Чувствительность!$D$28)</f>
        <v>97</v>
      </c>
      <c s="125">
        <f>IF(ISBLANK(LOOKUP(YEAR(AO$8),Предпосылки!$C$475:$R$475,Предпосылки!$C478:$R478)),1,LOOKUP(YEAR(AO$8),Предпосылки!$C$475:$R$475,Предпосылки!$C478:$R478))*(1+Чувствительность!$D$28)</f>
        <v>97</v>
      </c>
      <c s="125">
        <f>IF(ISBLANK(LOOKUP(YEAR(AP$8),Предпосылки!$C$475:$R$475,Предпосылки!$C478:$R478)),1,LOOKUP(YEAR(AP$8),Предпосылки!$C$475:$R$475,Предпосылки!$C478:$R478))*(1+Чувствительность!$D$28)</f>
        <v>97</v>
      </c>
      <c s="125">
        <f>IF(ISBLANK(LOOKUP(YEAR(AQ$8),Предпосылки!$C$475:$R$475,Предпосылки!$C478:$R478)),1,LOOKUP(YEAR(AQ$8),Предпосылки!$C$475:$R$475,Предпосылки!$C478:$R478))*(1+Чувствительность!$D$28)</f>
        <v>97</v>
      </c>
      <c s="125">
        <f>IF(ISBLANK(LOOKUP(YEAR(AR$8),Предпосылки!$C$475:$R$475,Предпосылки!$C478:$R478)),1,LOOKUP(YEAR(AR$8),Предпосылки!$C$475:$R$475,Предпосылки!$C478:$R478))*(1+Чувствительность!$D$28)</f>
        <v>97</v>
      </c>
      <c s="125">
        <f>IF(ISBLANK(LOOKUP(YEAR(AS$8),Предпосылки!$C$475:$R$475,Предпосылки!$C478:$R478)),1,LOOKUP(YEAR(AS$8),Предпосылки!$C$475:$R$475,Предпосылки!$C478:$R478))*(1+Чувствительность!$D$28)</f>
        <v>97</v>
      </c>
      <c s="125">
        <f>IF(ISBLANK(LOOKUP(YEAR(AT$8),Предпосылки!$C$475:$R$475,Предпосылки!$C478:$R478)),1,LOOKUP(YEAR(AT$8),Предпосылки!$C$475:$R$475,Предпосылки!$C478:$R478))*(1+Чувствительность!$D$28)</f>
        <v>97</v>
      </c>
      <c s="125">
        <f>IF(ISBLANK(LOOKUP(YEAR(AU$8),Предпосылки!$C$475:$R$475,Предпосылки!$C478:$R478)),1,LOOKUP(YEAR(AU$8),Предпосылки!$C$475:$R$475,Предпосылки!$C478:$R478))*(1+Чувствительность!$D$28)</f>
        <v>97</v>
      </c>
      <c s="125">
        <f>IF(ISBLANK(LOOKUP(YEAR(AV$8),Предпосылки!$C$475:$R$475,Предпосылки!$C478:$R478)),1,LOOKUP(YEAR(AV$8),Предпосылки!$C$475:$R$475,Предпосылки!$C478:$R478))*(1+Чувствительность!$D$28)</f>
        <v>97</v>
      </c>
      <c s="125">
        <f>IF(ISBLANK(LOOKUP(YEAR(AW$8),Предпосылки!$C$475:$R$475,Предпосылки!$C478:$R478)),1,LOOKUP(YEAR(AW$8),Предпосылки!$C$475:$R$475,Предпосылки!$C478:$R478))*(1+Чувствительность!$D$28)</f>
        <v>97</v>
      </c>
      <c s="125">
        <f>IF(ISBLANK(LOOKUP(YEAR(AX$8),Предпосылки!$C$475:$R$475,Предпосылки!$C478:$R478)),1,LOOKUP(YEAR(AX$8),Предпосылки!$C$475:$R$475,Предпосылки!$C478:$R478))*(1+Чувствительность!$D$28)</f>
        <v>97</v>
      </c>
      <c s="125">
        <f>IF(ISBLANK(LOOKUP(YEAR(AY$8),Предпосылки!$C$475:$R$475,Предпосылки!$C478:$R478)),1,LOOKUP(YEAR(AY$8),Предпосылки!$C$475:$R$475,Предпосылки!$C478:$R478))*(1+Чувствительность!$D$28)</f>
        <v>97</v>
      </c>
      <c s="125">
        <f>IF(ISBLANK(LOOKUP(YEAR(AZ$8),Предпосылки!$C$475:$R$475,Предпосылки!$C478:$R478)),1,LOOKUP(YEAR(AZ$8),Предпосылки!$C$475:$R$475,Предпосылки!$C478:$R478))*(1+Чувствительность!$D$28)</f>
        <v>97</v>
      </c>
      <c s="125">
        <f>IF(ISBLANK(LOOKUP(YEAR(BA$8),Предпосылки!$C$475:$R$475,Предпосылки!$C478:$R478)),1,LOOKUP(YEAR(BA$8),Предпосылки!$C$475:$R$475,Предпосылки!$C478:$R478))*(1+Чувствительность!$D$28)</f>
        <v>97</v>
      </c>
      <c s="125">
        <f>IF(ISBLANK(LOOKUP(YEAR(BB$8),Предпосылки!$C$475:$R$475,Предпосылки!$C478:$R478)),1,LOOKUP(YEAR(BB$8),Предпосылки!$C$475:$R$475,Предпосылки!$C478:$R478))*(1+Чувствительность!$D$28)</f>
        <v>97</v>
      </c>
      <c s="125">
        <f>IF(ISBLANK(LOOKUP(YEAR(BC$8),Предпосылки!$C$475:$R$475,Предпосылки!$C478:$R478)),1,LOOKUP(YEAR(BC$8),Предпосылки!$C$475:$R$475,Предпосылки!$C478:$R478))*(1+Чувствительность!$D$28)</f>
        <v>97</v>
      </c>
      <c s="125">
        <f>IF(ISBLANK(LOOKUP(YEAR(BD$8),Предпосылки!$C$475:$R$475,Предпосылки!$C478:$R478)),1,LOOKUP(YEAR(BD$8),Предпосылки!$C$475:$R$475,Предпосылки!$C478:$R478))*(1+Чувствительность!$D$28)</f>
        <v>97</v>
      </c>
      <c s="125">
        <f>IF(ISBLANK(LOOKUP(YEAR(BE$8),Предпосылки!$C$475:$R$475,Предпосылки!$C478:$R478)),1,LOOKUP(YEAR(BE$8),Предпосылки!$C$475:$R$475,Предпосылки!$C478:$R478))*(1+Чувствительность!$D$28)</f>
        <v>97</v>
      </c>
      <c s="125">
        <f>IF(ISBLANK(LOOKUP(YEAR(BF$8),Предпосылки!$C$475:$R$475,Предпосылки!$C478:$R478)),1,LOOKUP(YEAR(BF$8),Предпосылки!$C$475:$R$475,Предпосылки!$C478:$R478))*(1+Чувствительность!$D$28)</f>
        <v>97</v>
      </c>
      <c s="125">
        <f>IF(ISBLANK(LOOKUP(YEAR(BG$8),Предпосылки!$C$475:$R$475,Предпосылки!$C478:$R478)),1,LOOKUP(YEAR(BG$8),Предпосылки!$C$475:$R$475,Предпосылки!$C478:$R478))*(1+Чувствительность!$D$28)</f>
        <v>97</v>
      </c>
      <c s="125">
        <f>IF(ISBLANK(LOOKUP(YEAR(BH$8),Предпосылки!$C$475:$R$475,Предпосылки!$C478:$R478)),1,LOOKUP(YEAR(BH$8),Предпосылки!$C$475:$R$475,Предпосылки!$C478:$R478))*(1+Чувствительность!$D$28)</f>
        <v>97</v>
      </c>
      <c s="125">
        <f>IF(ISBLANK(LOOKUP(YEAR(BI$8),Предпосылки!$C$475:$R$475,Предпосылки!$C478:$R478)),1,LOOKUP(YEAR(BI$8),Предпосылки!$C$475:$R$475,Предпосылки!$C478:$R478))*(1+Чувствительность!$D$28)</f>
        <v>97</v>
      </c>
      <c s="125">
        <f>IF(ISBLANK(LOOKUP(YEAR(BJ$8),Предпосылки!$C$475:$R$475,Предпосылки!$C478:$R478)),1,LOOKUP(YEAR(BJ$8),Предпосылки!$C$475:$R$475,Предпосылки!$C478:$R478))*(1+Чувствительность!$D$28)</f>
        <v>97</v>
      </c>
      <c s="125">
        <f>IF(ISBLANK(LOOKUP(YEAR(BK$8),Предпосылки!$C$475:$R$475,Предпосылки!$C478:$R478)),1,LOOKUP(YEAR(BK$8),Предпосылки!$C$475:$R$475,Предпосылки!$C478:$R478))*(1+Чувствительность!$D$28)</f>
        <v>97</v>
      </c>
      <c s="125">
        <f>IF(ISBLANK(LOOKUP(YEAR(BL$8),Предпосылки!$C$475:$R$475,Предпосылки!$C478:$R478)),1,LOOKUP(YEAR(BL$8),Предпосылки!$C$475:$R$475,Предпосылки!$C478:$R478))*(1+Чувствительность!$D$28)</f>
        <v>97</v>
      </c>
      <c s="125">
        <f>IF(ISBLANK(LOOKUP(YEAR(BM$8),Предпосылки!$C$475:$R$475,Предпосылки!$C478:$R478)),1,LOOKUP(YEAR(BM$8),Предпосылки!$C$475:$R$475,Предпосылки!$C478:$R478))*(1+Чувствительность!$D$28)</f>
        <v>97</v>
      </c>
    </row>
    <row r="17" spans="2:71" ht="21">
      <c r="B17" s="23" t="s">
        <v>845</v>
      </c>
      <c r="D1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8" spans="2:65" ht="15" customHeight="1">
      <c r="B18" s="12" t="str">
        <f>Предпосылки!B150</f>
        <v>Продукт 1</v>
      </c>
      <c s="124" t="str">
        <f>IF(ISBLANK(Предпосылки!C122),"-",Предпосылки!C122)</f>
        <v>-</v>
      </c>
      <c s="276">
        <f t="shared" si="3" ref="D18:D37">SUM(E18:BM18)</f>
        <v>0</v>
      </c>
      <c s="125">
        <f>Предпосылки!D175*(1+Чувствительность!$D$16)</f>
        <v>0</v>
      </c>
      <c s="125">
        <f>Предпосылки!E175*(1+Чувствительность!$D$16)</f>
        <v>0</v>
      </c>
      <c s="125">
        <f>Предпосылки!F175*(1+Чувствительность!$D$16)</f>
        <v>0</v>
      </c>
      <c s="125">
        <f>Предпосылки!G175*(1+Чувствительность!$D$16)</f>
        <v>0</v>
      </c>
      <c s="125">
        <f>Предпосылки!H175*(1+Чувствительность!$D$16)</f>
        <v>0</v>
      </c>
      <c s="125">
        <f>Предпосылки!I175*(1+Чувствительность!$D$16)</f>
        <v>0</v>
      </c>
      <c s="125">
        <f>Предпосылки!J175*(1+Чувствительность!$D$16)</f>
        <v>0</v>
      </c>
      <c s="125">
        <f>Предпосылки!K175*(1+Чувствительность!$D$16)</f>
        <v>0</v>
      </c>
      <c s="125">
        <f>Предпосылки!L175*(1+Чувствительность!$D$16)</f>
        <v>0</v>
      </c>
      <c s="125">
        <f>Предпосылки!M175*(1+Чувствительность!$D$16)</f>
        <v>0</v>
      </c>
      <c s="125">
        <f>Предпосылки!N175*(1+Чувствительность!$D$16)</f>
        <v>0</v>
      </c>
      <c s="125">
        <f>Предпосылки!O175*(1+Чувствительность!$D$16)</f>
        <v>0</v>
      </c>
      <c s="125">
        <f>Предпосылки!P175*(1+Чувствительность!$D$16)</f>
        <v>0</v>
      </c>
      <c s="125">
        <f>Предпосылки!Q175*(1+Чувствительность!$D$16)</f>
        <v>0</v>
      </c>
      <c s="125">
        <f>Предпосылки!R175*(1+Чувствительность!$D$16)</f>
        <v>0</v>
      </c>
      <c s="125">
        <f>Предпосылки!S175*(1+Чувствительность!$D$16)</f>
        <v>0</v>
      </c>
      <c s="125">
        <f>Предпосылки!T175*(1+Чувствительность!$D$16)</f>
        <v>0</v>
      </c>
      <c s="125">
        <f>Предпосылки!U175*(1+Чувствительность!$D$16)</f>
        <v>0</v>
      </c>
      <c s="125">
        <f>Предпосылки!V175*(1+Чувствительность!$D$16)</f>
        <v>0</v>
      </c>
      <c s="125">
        <f>Предпосылки!W175*(1+Чувствительность!$D$16)</f>
        <v>0</v>
      </c>
      <c s="125">
        <f>Предпосылки!X175*(1+Чувствительность!$D$16)</f>
        <v>0</v>
      </c>
      <c s="125">
        <f>Предпосылки!Y175*(1+Чувствительность!$D$16)</f>
        <v>0</v>
      </c>
      <c s="125">
        <f>Предпосылки!Z175*(1+Чувствительность!$D$16)</f>
        <v>0</v>
      </c>
      <c s="125">
        <f>Предпосылки!AA175*(1+Чувствительность!$D$16)</f>
        <v>0</v>
      </c>
      <c s="125">
        <f>Предпосылки!AB175*(1+Чувствительность!$D$16)</f>
        <v>0</v>
      </c>
      <c s="125">
        <f>Предпосылки!AC175*(1+Чувствительность!$D$16)</f>
        <v>0</v>
      </c>
      <c s="125">
        <f>Предпосылки!AD175*(1+Чувствительность!$D$16)</f>
        <v>0</v>
      </c>
      <c s="125">
        <f>Предпосылки!AE175*(1+Чувствительность!$D$16)</f>
        <v>0</v>
      </c>
      <c s="125">
        <f>Предпосылки!AF175*(1+Чувствительность!$D$16)</f>
        <v>0</v>
      </c>
      <c s="125">
        <f>Предпосылки!AG175*(1+Чувствительность!$D$16)</f>
        <v>0</v>
      </c>
      <c s="125">
        <f>Предпосылки!AH175*(1+Чувствительность!$D$16)</f>
        <v>0</v>
      </c>
      <c s="125">
        <f>Предпосылки!AI175*(1+Чувствительность!$D$16)</f>
        <v>0</v>
      </c>
      <c s="125">
        <f>Предпосылки!AJ175*(1+Чувствительность!$D$16)</f>
        <v>0</v>
      </c>
      <c s="125">
        <f>Предпосылки!AK175*(1+Чувствительность!$D$16)</f>
        <v>0</v>
      </c>
      <c s="125">
        <f>Предпосылки!AL175*(1+Чувствительность!$D$16)</f>
        <v>0</v>
      </c>
      <c s="125">
        <f>Предпосылки!AM175*(1+Чувствительность!$D$16)</f>
        <v>0</v>
      </c>
      <c s="125">
        <f>Предпосылки!AN175*(1+Чувствительность!$D$16)</f>
        <v>0</v>
      </c>
      <c s="125">
        <f>Предпосылки!AO175*(1+Чувствительность!$D$16)</f>
        <v>0</v>
      </c>
      <c s="125">
        <f>Предпосылки!AP175*(1+Чувствительность!$D$16)</f>
        <v>0</v>
      </c>
      <c s="125">
        <f>Предпосылки!AQ175*(1+Чувствительность!$D$16)</f>
        <v>0</v>
      </c>
      <c s="125">
        <f>Предпосылки!AR175*(1+Чувствительность!$D$16)</f>
        <v>0</v>
      </c>
      <c s="125">
        <f>Предпосылки!AS175*(1+Чувствительность!$D$16)</f>
        <v>0</v>
      </c>
      <c s="125">
        <f>Предпосылки!AT175*(1+Чувствительность!$D$16)</f>
        <v>0</v>
      </c>
      <c s="125">
        <f>Предпосылки!AU175*(1+Чувствительность!$D$16)</f>
        <v>0</v>
      </c>
      <c s="125">
        <f>Предпосылки!AV175*(1+Чувствительность!$D$16)</f>
        <v>0</v>
      </c>
      <c s="125">
        <f>Предпосылки!AW175*(1+Чувствительность!$D$16)</f>
        <v>0</v>
      </c>
      <c s="125">
        <f>Предпосылки!AX175*(1+Чувствительность!$D$16)</f>
        <v>0</v>
      </c>
      <c s="125">
        <f>Предпосылки!AY175*(1+Чувствительность!$D$16)</f>
        <v>0</v>
      </c>
      <c s="125">
        <f>Предпосылки!AZ175*(1+Чувствительность!$D$16)</f>
        <v>0</v>
      </c>
      <c s="125">
        <f>Предпосылки!BA175*(1+Чувствительность!$D$16)</f>
        <v>0</v>
      </c>
      <c s="125">
        <f>Предпосылки!BB175*(1+Чувствительность!$D$16)</f>
        <v>0</v>
      </c>
      <c s="125">
        <f>Предпосылки!BC175*(1+Чувствительность!$D$16)</f>
        <v>0</v>
      </c>
      <c s="125">
        <f>Предпосылки!BD175*(1+Чувствительность!$D$16)</f>
        <v>0</v>
      </c>
      <c s="125">
        <f>Предпосылки!BE175*(1+Чувствительность!$D$16)</f>
        <v>0</v>
      </c>
      <c s="125">
        <f>Предпосылки!BF175*(1+Чувствительность!$D$16)</f>
        <v>0</v>
      </c>
      <c s="125">
        <f>Предпосылки!BG175*(1+Чувствительность!$D$16)</f>
        <v>0</v>
      </c>
      <c s="125">
        <f>Предпосылки!BH175*(1+Чувствительность!$D$16)</f>
        <v>0</v>
      </c>
      <c s="125">
        <f>Предпосылки!BI175*(1+Чувствительность!$D$16)</f>
        <v>0</v>
      </c>
      <c s="125">
        <f>Предпосылки!BJ175*(1+Чувствительность!$D$16)</f>
        <v>0</v>
      </c>
      <c s="125">
        <f>Предпосылки!BK175*(1+Чувствительность!$D$16)</f>
        <v>0</v>
      </c>
      <c s="125">
        <f>Предпосылки!BL175*(1+Чувствительность!$D$16)</f>
        <v>0</v>
      </c>
    </row>
    <row r="19" spans="2:65" ht="15" customHeight="1">
      <c r="B19" s="12" t="str">
        <f>Предпосылки!B151</f>
        <v>Продукт 2</v>
      </c>
      <c s="124" t="str">
        <f>IF(ISBLANK(Предпосылки!C123),"-",Предпосылки!C123)</f>
        <v>-</v>
      </c>
      <c s="276">
        <f t="shared" si="3"/>
        <v>0</v>
      </c>
      <c s="125">
        <f>Предпосылки!D176*(1+Чувствительность!$D$16)</f>
        <v>0</v>
      </c>
      <c s="125">
        <f>Предпосылки!E176*(1+Чувствительность!$D$16)</f>
        <v>0</v>
      </c>
      <c s="125">
        <f>Предпосылки!F176*(1+Чувствительность!$D$16)</f>
        <v>0</v>
      </c>
      <c s="125">
        <f>Предпосылки!G176*(1+Чувствительность!$D$16)</f>
        <v>0</v>
      </c>
      <c s="125">
        <f>Предпосылки!H176*(1+Чувствительность!$D$16)</f>
        <v>0</v>
      </c>
      <c s="125">
        <f>Предпосылки!I176*(1+Чувствительность!$D$16)</f>
        <v>0</v>
      </c>
      <c s="125">
        <f>Предпосылки!J176*(1+Чувствительность!$D$16)</f>
        <v>0</v>
      </c>
      <c s="125">
        <f>Предпосылки!K176*(1+Чувствительность!$D$16)</f>
        <v>0</v>
      </c>
      <c s="125">
        <f>Предпосылки!L176*(1+Чувствительность!$D$16)</f>
        <v>0</v>
      </c>
      <c s="125">
        <f>Предпосылки!M176*(1+Чувствительность!$D$16)</f>
        <v>0</v>
      </c>
      <c s="125">
        <f>Предпосылки!N176*(1+Чувствительность!$D$16)</f>
        <v>0</v>
      </c>
      <c s="125">
        <f>Предпосылки!O176*(1+Чувствительность!$D$16)</f>
        <v>0</v>
      </c>
      <c s="125">
        <f>Предпосылки!P176*(1+Чувствительность!$D$16)</f>
        <v>0</v>
      </c>
      <c s="125">
        <f>Предпосылки!Q176*(1+Чувствительность!$D$16)</f>
        <v>0</v>
      </c>
      <c s="125">
        <f>Предпосылки!R176*(1+Чувствительность!$D$16)</f>
        <v>0</v>
      </c>
      <c s="125">
        <f>Предпосылки!S176*(1+Чувствительность!$D$16)</f>
        <v>0</v>
      </c>
      <c s="125">
        <f>Предпосылки!T176*(1+Чувствительность!$D$16)</f>
        <v>0</v>
      </c>
      <c s="125">
        <f>Предпосылки!U176*(1+Чувствительность!$D$16)</f>
        <v>0</v>
      </c>
      <c s="125">
        <f>Предпосылки!V176*(1+Чувствительность!$D$16)</f>
        <v>0</v>
      </c>
      <c s="125">
        <f>Предпосылки!W176*(1+Чувствительность!$D$16)</f>
        <v>0</v>
      </c>
      <c s="125">
        <f>Предпосылки!X176*(1+Чувствительность!$D$16)</f>
        <v>0</v>
      </c>
      <c s="125">
        <f>Предпосылки!Y176*(1+Чувствительность!$D$16)</f>
        <v>0</v>
      </c>
      <c s="125">
        <f>Предпосылки!Z176*(1+Чувствительность!$D$16)</f>
        <v>0</v>
      </c>
      <c s="125">
        <f>Предпосылки!AA176*(1+Чувствительность!$D$16)</f>
        <v>0</v>
      </c>
      <c s="125">
        <f>Предпосылки!AB176*(1+Чувствительность!$D$16)</f>
        <v>0</v>
      </c>
      <c s="125">
        <f>Предпосылки!AC176*(1+Чувствительность!$D$16)</f>
        <v>0</v>
      </c>
      <c s="125">
        <f>Предпосылки!AD176*(1+Чувствительность!$D$16)</f>
        <v>0</v>
      </c>
      <c s="125">
        <f>Предпосылки!AE176*(1+Чувствительность!$D$16)</f>
        <v>0</v>
      </c>
      <c s="125">
        <f>Предпосылки!AF176*(1+Чувствительность!$D$16)</f>
        <v>0</v>
      </c>
      <c s="125">
        <f>Предпосылки!AG176*(1+Чувствительность!$D$16)</f>
        <v>0</v>
      </c>
      <c s="125">
        <f>Предпосылки!AH176*(1+Чувствительность!$D$16)</f>
        <v>0</v>
      </c>
      <c s="125">
        <f>Предпосылки!AI176*(1+Чувствительность!$D$16)</f>
        <v>0</v>
      </c>
      <c s="125">
        <f>Предпосылки!AJ176*(1+Чувствительность!$D$16)</f>
        <v>0</v>
      </c>
      <c s="125">
        <f>Предпосылки!AK176*(1+Чувствительность!$D$16)</f>
        <v>0</v>
      </c>
      <c s="125">
        <f>Предпосылки!AL176*(1+Чувствительность!$D$16)</f>
        <v>0</v>
      </c>
      <c s="125">
        <f>Предпосылки!AM176*(1+Чувствительность!$D$16)</f>
        <v>0</v>
      </c>
      <c s="125">
        <f>Предпосылки!AN176*(1+Чувствительность!$D$16)</f>
        <v>0</v>
      </c>
      <c s="125">
        <f>Предпосылки!AO176*(1+Чувствительность!$D$16)</f>
        <v>0</v>
      </c>
      <c s="125">
        <f>Предпосылки!AP176*(1+Чувствительность!$D$16)</f>
        <v>0</v>
      </c>
      <c s="125">
        <f>Предпосылки!AQ176*(1+Чувствительность!$D$16)</f>
        <v>0</v>
      </c>
      <c s="125">
        <f>Предпосылки!AR176*(1+Чувствительность!$D$16)</f>
        <v>0</v>
      </c>
      <c s="125">
        <f>Предпосылки!AS176*(1+Чувствительность!$D$16)</f>
        <v>0</v>
      </c>
      <c s="125">
        <f>Предпосылки!AT176*(1+Чувствительность!$D$16)</f>
        <v>0</v>
      </c>
      <c s="125">
        <f>Предпосылки!AU176*(1+Чувствительность!$D$16)</f>
        <v>0</v>
      </c>
      <c s="125">
        <f>Предпосылки!AV176*(1+Чувствительность!$D$16)</f>
        <v>0</v>
      </c>
      <c s="125">
        <f>Предпосылки!AW176*(1+Чувствительность!$D$16)</f>
        <v>0</v>
      </c>
      <c s="125">
        <f>Предпосылки!AX176*(1+Чувствительность!$D$16)</f>
        <v>0</v>
      </c>
      <c s="125">
        <f>Предпосылки!AY176*(1+Чувствительность!$D$16)</f>
        <v>0</v>
      </c>
      <c s="125">
        <f>Предпосылки!AZ176*(1+Чувствительность!$D$16)</f>
        <v>0</v>
      </c>
      <c s="125">
        <f>Предпосылки!BA176*(1+Чувствительность!$D$16)</f>
        <v>0</v>
      </c>
      <c s="125">
        <f>Предпосылки!BB176*(1+Чувствительность!$D$16)</f>
        <v>0</v>
      </c>
      <c s="125">
        <f>Предпосылки!BC176*(1+Чувствительность!$D$16)</f>
        <v>0</v>
      </c>
      <c s="125">
        <f>Предпосылки!BD176*(1+Чувствительность!$D$16)</f>
        <v>0</v>
      </c>
      <c s="125">
        <f>Предпосылки!BE176*(1+Чувствительность!$D$16)</f>
        <v>0</v>
      </c>
      <c s="125">
        <f>Предпосылки!BF176*(1+Чувствительность!$D$16)</f>
        <v>0</v>
      </c>
      <c s="125">
        <f>Предпосылки!BG176*(1+Чувствительность!$D$16)</f>
        <v>0</v>
      </c>
      <c s="125">
        <f>Предпосылки!BH176*(1+Чувствительность!$D$16)</f>
        <v>0</v>
      </c>
      <c s="125">
        <f>Предпосылки!BI176*(1+Чувствительность!$D$16)</f>
        <v>0</v>
      </c>
      <c s="125">
        <f>Предпосылки!BJ176*(1+Чувствительность!$D$16)</f>
        <v>0</v>
      </c>
      <c s="125">
        <f>Предпосылки!BK176*(1+Чувствительность!$D$16)</f>
        <v>0</v>
      </c>
      <c s="125">
        <f>Предпосылки!BL176*(1+Чувствительность!$D$16)</f>
        <v>0</v>
      </c>
    </row>
    <row r="20" spans="2:65" ht="15" customHeight="1">
      <c r="B20" s="12" t="str">
        <f>Предпосылки!B152</f>
        <v>Продукт 3</v>
      </c>
      <c s="124" t="str">
        <f>IF(ISBLANK(Предпосылки!C124),"-",Предпосылки!C124)</f>
        <v>-</v>
      </c>
      <c s="276">
        <f t="shared" si="3"/>
        <v>0</v>
      </c>
      <c s="125">
        <f>Предпосылки!D177*(1+Чувствительность!$D$16)</f>
        <v>0</v>
      </c>
      <c s="125">
        <f>Предпосылки!E177*(1+Чувствительность!$D$16)</f>
        <v>0</v>
      </c>
      <c s="125">
        <f>Предпосылки!F177*(1+Чувствительность!$D$16)</f>
        <v>0</v>
      </c>
      <c s="125">
        <f>Предпосылки!G177*(1+Чувствительность!$D$16)</f>
        <v>0</v>
      </c>
      <c s="125">
        <f>Предпосылки!H177*(1+Чувствительность!$D$16)</f>
        <v>0</v>
      </c>
      <c s="125">
        <f>Предпосылки!I177*(1+Чувствительность!$D$16)</f>
        <v>0</v>
      </c>
      <c s="125">
        <f>Предпосылки!J177*(1+Чувствительность!$D$16)</f>
        <v>0</v>
      </c>
      <c s="125">
        <f>Предпосылки!K177*(1+Чувствительность!$D$16)</f>
        <v>0</v>
      </c>
      <c s="125">
        <f>Предпосылки!L177*(1+Чувствительность!$D$16)</f>
        <v>0</v>
      </c>
      <c s="125">
        <f>Предпосылки!M177*(1+Чувствительность!$D$16)</f>
        <v>0</v>
      </c>
      <c s="125">
        <f>Предпосылки!N177*(1+Чувствительность!$D$16)</f>
        <v>0</v>
      </c>
      <c s="125">
        <f>Предпосылки!O177*(1+Чувствительность!$D$16)</f>
        <v>0</v>
      </c>
      <c s="125">
        <f>Предпосылки!P177*(1+Чувствительность!$D$16)</f>
        <v>0</v>
      </c>
      <c s="125">
        <f>Предпосылки!Q177*(1+Чувствительность!$D$16)</f>
        <v>0</v>
      </c>
      <c s="125">
        <f>Предпосылки!R177*(1+Чувствительность!$D$16)</f>
        <v>0</v>
      </c>
      <c s="125">
        <f>Предпосылки!S177*(1+Чувствительность!$D$16)</f>
        <v>0</v>
      </c>
      <c s="125">
        <f>Предпосылки!T177*(1+Чувствительность!$D$16)</f>
        <v>0</v>
      </c>
      <c s="125">
        <f>Предпосылки!U177*(1+Чувствительность!$D$16)</f>
        <v>0</v>
      </c>
      <c s="125">
        <f>Предпосылки!V177*(1+Чувствительность!$D$16)</f>
        <v>0</v>
      </c>
      <c s="125">
        <f>Предпосылки!W177*(1+Чувствительность!$D$16)</f>
        <v>0</v>
      </c>
      <c s="125">
        <f>Предпосылки!X177*(1+Чувствительность!$D$16)</f>
        <v>0</v>
      </c>
      <c s="125">
        <f>Предпосылки!Y177*(1+Чувствительность!$D$16)</f>
        <v>0</v>
      </c>
      <c s="125">
        <f>Предпосылки!Z177*(1+Чувствительность!$D$16)</f>
        <v>0</v>
      </c>
      <c s="125">
        <f>Предпосылки!AA177*(1+Чувствительность!$D$16)</f>
        <v>0</v>
      </c>
      <c s="125">
        <f>Предпосылки!AB177*(1+Чувствительность!$D$16)</f>
        <v>0</v>
      </c>
      <c s="125">
        <f>Предпосылки!AC177*(1+Чувствительность!$D$16)</f>
        <v>0</v>
      </c>
      <c s="125">
        <f>Предпосылки!AD177*(1+Чувствительность!$D$16)</f>
        <v>0</v>
      </c>
      <c s="125">
        <f>Предпосылки!AE177*(1+Чувствительность!$D$16)</f>
        <v>0</v>
      </c>
      <c s="125">
        <f>Предпосылки!AF177*(1+Чувствительность!$D$16)</f>
        <v>0</v>
      </c>
      <c s="125">
        <f>Предпосылки!AG177*(1+Чувствительность!$D$16)</f>
        <v>0</v>
      </c>
      <c s="125">
        <f>Предпосылки!AH177*(1+Чувствительность!$D$16)</f>
        <v>0</v>
      </c>
      <c s="125">
        <f>Предпосылки!AI177*(1+Чувствительность!$D$16)</f>
        <v>0</v>
      </c>
      <c s="125">
        <f>Предпосылки!AJ177*(1+Чувствительность!$D$16)</f>
        <v>0</v>
      </c>
      <c s="125">
        <f>Предпосылки!AK177*(1+Чувствительность!$D$16)</f>
        <v>0</v>
      </c>
      <c s="125">
        <f>Предпосылки!AL177*(1+Чувствительность!$D$16)</f>
        <v>0</v>
      </c>
      <c s="125">
        <f>Предпосылки!AM177*(1+Чувствительность!$D$16)</f>
        <v>0</v>
      </c>
      <c s="125">
        <f>Предпосылки!AN177*(1+Чувствительность!$D$16)</f>
        <v>0</v>
      </c>
      <c s="125">
        <f>Предпосылки!AO177*(1+Чувствительность!$D$16)</f>
        <v>0</v>
      </c>
      <c s="125">
        <f>Предпосылки!AP177*(1+Чувствительность!$D$16)</f>
        <v>0</v>
      </c>
      <c s="125">
        <f>Предпосылки!AQ177*(1+Чувствительность!$D$16)</f>
        <v>0</v>
      </c>
      <c s="125">
        <f>Предпосылки!AR177*(1+Чувствительность!$D$16)</f>
        <v>0</v>
      </c>
      <c s="125">
        <f>Предпосылки!AS177*(1+Чувствительность!$D$16)</f>
        <v>0</v>
      </c>
      <c s="125">
        <f>Предпосылки!AT177*(1+Чувствительность!$D$16)</f>
        <v>0</v>
      </c>
      <c s="125">
        <f>Предпосылки!AU177*(1+Чувствительность!$D$16)</f>
        <v>0</v>
      </c>
      <c s="125">
        <f>Предпосылки!AV177*(1+Чувствительность!$D$16)</f>
        <v>0</v>
      </c>
      <c s="125">
        <f>Предпосылки!AW177*(1+Чувствительность!$D$16)</f>
        <v>0</v>
      </c>
      <c s="125">
        <f>Предпосылки!AX177*(1+Чувствительность!$D$16)</f>
        <v>0</v>
      </c>
      <c s="125">
        <f>Предпосылки!AY177*(1+Чувствительность!$D$16)</f>
        <v>0</v>
      </c>
      <c s="125">
        <f>Предпосылки!AZ177*(1+Чувствительность!$D$16)</f>
        <v>0</v>
      </c>
      <c s="125">
        <f>Предпосылки!BA177*(1+Чувствительность!$D$16)</f>
        <v>0</v>
      </c>
      <c s="125">
        <f>Предпосылки!BB177*(1+Чувствительность!$D$16)</f>
        <v>0</v>
      </c>
      <c s="125">
        <f>Предпосылки!BC177*(1+Чувствительность!$D$16)</f>
        <v>0</v>
      </c>
      <c s="125">
        <f>Предпосылки!BD177*(1+Чувствительность!$D$16)</f>
        <v>0</v>
      </c>
      <c s="125">
        <f>Предпосылки!BE177*(1+Чувствительность!$D$16)</f>
        <v>0</v>
      </c>
      <c s="125">
        <f>Предпосылки!BF177*(1+Чувствительность!$D$16)</f>
        <v>0</v>
      </c>
      <c s="125">
        <f>Предпосылки!BG177*(1+Чувствительность!$D$16)</f>
        <v>0</v>
      </c>
      <c s="125">
        <f>Предпосылки!BH177*(1+Чувствительность!$D$16)</f>
        <v>0</v>
      </c>
      <c s="125">
        <f>Предпосылки!BI177*(1+Чувствительность!$D$16)</f>
        <v>0</v>
      </c>
      <c s="125">
        <f>Предпосылки!BJ177*(1+Чувствительность!$D$16)</f>
        <v>0</v>
      </c>
      <c s="125">
        <f>Предпосылки!BK177*(1+Чувствительность!$D$16)</f>
        <v>0</v>
      </c>
      <c s="125">
        <f>Предпосылки!BL177*(1+Чувствительность!$D$16)</f>
        <v>0</v>
      </c>
    </row>
    <row r="21" spans="2:65" ht="15" customHeight="1">
      <c r="B21" s="12" t="str">
        <f>Предпосылки!B153</f>
        <v>Продукт 4</v>
      </c>
      <c s="124" t="str">
        <f>IF(ISBLANK(Предпосылки!C125),"-",Предпосылки!C125)</f>
        <v>-</v>
      </c>
      <c s="276">
        <f t="shared" si="3"/>
        <v>0</v>
      </c>
      <c s="125">
        <f>Предпосылки!D178*(1+Чувствительность!$D$16)</f>
        <v>0</v>
      </c>
      <c s="125">
        <f>Предпосылки!E178*(1+Чувствительность!$D$16)</f>
        <v>0</v>
      </c>
      <c s="125">
        <f>Предпосылки!F178*(1+Чувствительность!$D$16)</f>
        <v>0</v>
      </c>
      <c s="125">
        <f>Предпосылки!G178*(1+Чувствительность!$D$16)</f>
        <v>0</v>
      </c>
      <c s="125">
        <f>Предпосылки!H178*(1+Чувствительность!$D$16)</f>
        <v>0</v>
      </c>
      <c s="125">
        <f>Предпосылки!I178*(1+Чувствительность!$D$16)</f>
        <v>0</v>
      </c>
      <c s="125">
        <f>Предпосылки!J178*(1+Чувствительность!$D$16)</f>
        <v>0</v>
      </c>
      <c s="125">
        <f>Предпосылки!K178*(1+Чувствительность!$D$16)</f>
        <v>0</v>
      </c>
      <c s="125">
        <f>Предпосылки!L178*(1+Чувствительность!$D$16)</f>
        <v>0</v>
      </c>
      <c s="125">
        <f>Предпосылки!M178*(1+Чувствительность!$D$16)</f>
        <v>0</v>
      </c>
      <c s="125">
        <f>Предпосылки!N178*(1+Чувствительность!$D$16)</f>
        <v>0</v>
      </c>
      <c s="125">
        <f>Предпосылки!O178*(1+Чувствительность!$D$16)</f>
        <v>0</v>
      </c>
      <c s="125">
        <f>Предпосылки!P178*(1+Чувствительность!$D$16)</f>
        <v>0</v>
      </c>
      <c s="125">
        <f>Предпосылки!Q178*(1+Чувствительность!$D$16)</f>
        <v>0</v>
      </c>
      <c s="125">
        <f>Предпосылки!R178*(1+Чувствительность!$D$16)</f>
        <v>0</v>
      </c>
      <c s="125">
        <f>Предпосылки!S178*(1+Чувствительность!$D$16)</f>
        <v>0</v>
      </c>
      <c s="125">
        <f>Предпосылки!T178*(1+Чувствительность!$D$16)</f>
        <v>0</v>
      </c>
      <c s="125">
        <f>Предпосылки!U178*(1+Чувствительность!$D$16)</f>
        <v>0</v>
      </c>
      <c s="125">
        <f>Предпосылки!V178*(1+Чувствительность!$D$16)</f>
        <v>0</v>
      </c>
      <c s="125">
        <f>Предпосылки!W178*(1+Чувствительность!$D$16)</f>
        <v>0</v>
      </c>
      <c s="125">
        <f>Предпосылки!X178*(1+Чувствительность!$D$16)</f>
        <v>0</v>
      </c>
      <c s="125">
        <f>Предпосылки!Y178*(1+Чувствительность!$D$16)</f>
        <v>0</v>
      </c>
      <c s="125">
        <f>Предпосылки!Z178*(1+Чувствительность!$D$16)</f>
        <v>0</v>
      </c>
      <c s="125">
        <f>Предпосылки!AA178*(1+Чувствительность!$D$16)</f>
        <v>0</v>
      </c>
      <c s="125">
        <f>Предпосылки!AB178*(1+Чувствительность!$D$16)</f>
        <v>0</v>
      </c>
      <c s="125">
        <f>Предпосылки!AC178*(1+Чувствительность!$D$16)</f>
        <v>0</v>
      </c>
      <c s="125">
        <f>Предпосылки!AD178*(1+Чувствительность!$D$16)</f>
        <v>0</v>
      </c>
      <c s="125">
        <f>Предпосылки!AE178*(1+Чувствительность!$D$16)</f>
        <v>0</v>
      </c>
      <c s="125">
        <f>Предпосылки!AF178*(1+Чувствительность!$D$16)</f>
        <v>0</v>
      </c>
      <c s="125">
        <f>Предпосылки!AG178*(1+Чувствительность!$D$16)</f>
        <v>0</v>
      </c>
      <c s="125">
        <f>Предпосылки!AH178*(1+Чувствительность!$D$16)</f>
        <v>0</v>
      </c>
      <c s="125">
        <f>Предпосылки!AI178*(1+Чувствительность!$D$16)</f>
        <v>0</v>
      </c>
      <c s="125">
        <f>Предпосылки!AJ178*(1+Чувствительность!$D$16)</f>
        <v>0</v>
      </c>
      <c s="125">
        <f>Предпосылки!AK178*(1+Чувствительность!$D$16)</f>
        <v>0</v>
      </c>
      <c s="125">
        <f>Предпосылки!AL178*(1+Чувствительность!$D$16)</f>
        <v>0</v>
      </c>
      <c s="125">
        <f>Предпосылки!AM178*(1+Чувствительность!$D$16)</f>
        <v>0</v>
      </c>
      <c s="125">
        <f>Предпосылки!AN178*(1+Чувствительность!$D$16)</f>
        <v>0</v>
      </c>
      <c s="125">
        <f>Предпосылки!AO178*(1+Чувствительность!$D$16)</f>
        <v>0</v>
      </c>
      <c s="125">
        <f>Предпосылки!AP178*(1+Чувствительность!$D$16)</f>
        <v>0</v>
      </c>
      <c s="125">
        <f>Предпосылки!AQ178*(1+Чувствительность!$D$16)</f>
        <v>0</v>
      </c>
      <c s="125">
        <f>Предпосылки!AR178*(1+Чувствительность!$D$16)</f>
        <v>0</v>
      </c>
      <c s="125">
        <f>Предпосылки!AS178*(1+Чувствительность!$D$16)</f>
        <v>0</v>
      </c>
      <c s="125">
        <f>Предпосылки!AT178*(1+Чувствительность!$D$16)</f>
        <v>0</v>
      </c>
      <c s="125">
        <f>Предпосылки!AU178*(1+Чувствительность!$D$16)</f>
        <v>0</v>
      </c>
      <c s="125">
        <f>Предпосылки!AV178*(1+Чувствительность!$D$16)</f>
        <v>0</v>
      </c>
      <c s="125">
        <f>Предпосылки!AW178*(1+Чувствительность!$D$16)</f>
        <v>0</v>
      </c>
      <c s="125">
        <f>Предпосылки!AX178*(1+Чувствительность!$D$16)</f>
        <v>0</v>
      </c>
      <c s="125">
        <f>Предпосылки!AY178*(1+Чувствительность!$D$16)</f>
        <v>0</v>
      </c>
      <c s="125">
        <f>Предпосылки!AZ178*(1+Чувствительность!$D$16)</f>
        <v>0</v>
      </c>
      <c s="125">
        <f>Предпосылки!BA178*(1+Чувствительность!$D$16)</f>
        <v>0</v>
      </c>
      <c s="125">
        <f>Предпосылки!BB178*(1+Чувствительность!$D$16)</f>
        <v>0</v>
      </c>
      <c s="125">
        <f>Предпосылки!BC178*(1+Чувствительность!$D$16)</f>
        <v>0</v>
      </c>
      <c s="125">
        <f>Предпосылки!BD178*(1+Чувствительность!$D$16)</f>
        <v>0</v>
      </c>
      <c s="125">
        <f>Предпосылки!BE178*(1+Чувствительность!$D$16)</f>
        <v>0</v>
      </c>
      <c s="125">
        <f>Предпосылки!BF178*(1+Чувствительность!$D$16)</f>
        <v>0</v>
      </c>
      <c s="125">
        <f>Предпосылки!BG178*(1+Чувствительность!$D$16)</f>
        <v>0</v>
      </c>
      <c s="125">
        <f>Предпосылки!BH178*(1+Чувствительность!$D$16)</f>
        <v>0</v>
      </c>
      <c s="125">
        <f>Предпосылки!BI178*(1+Чувствительность!$D$16)</f>
        <v>0</v>
      </c>
      <c s="125">
        <f>Предпосылки!BJ178*(1+Чувствительность!$D$16)</f>
        <v>0</v>
      </c>
      <c s="125">
        <f>Предпосылки!BK178*(1+Чувствительность!$D$16)</f>
        <v>0</v>
      </c>
      <c s="125">
        <f>Предпосылки!BL178*(1+Чувствительность!$D$16)</f>
        <v>0</v>
      </c>
    </row>
    <row r="22" spans="2:65" ht="15" customHeight="1">
      <c r="B22" s="12" t="str">
        <f>Предпосылки!B154</f>
        <v>Продукт 5</v>
      </c>
      <c s="124" t="str">
        <f>IF(ISBLANK(Предпосылки!C126),"-",Предпосылки!C126)</f>
        <v>-</v>
      </c>
      <c s="276">
        <f t="shared" si="3"/>
        <v>0</v>
      </c>
      <c s="125">
        <f>Предпосылки!D179*(1+Чувствительность!$D$16)</f>
        <v>0</v>
      </c>
      <c s="125">
        <f>Предпосылки!E179*(1+Чувствительность!$D$16)</f>
        <v>0</v>
      </c>
      <c s="125">
        <f>Предпосылки!F179*(1+Чувствительность!$D$16)</f>
        <v>0</v>
      </c>
      <c s="125">
        <f>Предпосылки!G179*(1+Чувствительность!$D$16)</f>
        <v>0</v>
      </c>
      <c s="125">
        <f>Предпосылки!H179*(1+Чувствительность!$D$16)</f>
        <v>0</v>
      </c>
      <c s="125">
        <f>Предпосылки!I179*(1+Чувствительность!$D$16)</f>
        <v>0</v>
      </c>
      <c s="125">
        <f>Предпосылки!J179*(1+Чувствительность!$D$16)</f>
        <v>0</v>
      </c>
      <c s="125">
        <f>Предпосылки!K179*(1+Чувствительность!$D$16)</f>
        <v>0</v>
      </c>
      <c s="125">
        <f>Предпосылки!L179*(1+Чувствительность!$D$16)</f>
        <v>0</v>
      </c>
      <c s="125">
        <f>Предпосылки!M179*(1+Чувствительность!$D$16)</f>
        <v>0</v>
      </c>
      <c s="125">
        <f>Предпосылки!N179*(1+Чувствительность!$D$16)</f>
        <v>0</v>
      </c>
      <c s="125">
        <f>Предпосылки!O179*(1+Чувствительность!$D$16)</f>
        <v>0</v>
      </c>
      <c s="125">
        <f>Предпосылки!P179*(1+Чувствительность!$D$16)</f>
        <v>0</v>
      </c>
      <c s="125">
        <f>Предпосылки!Q179*(1+Чувствительность!$D$16)</f>
        <v>0</v>
      </c>
      <c s="125">
        <f>Предпосылки!R179*(1+Чувствительность!$D$16)</f>
        <v>0</v>
      </c>
      <c s="125">
        <f>Предпосылки!S179*(1+Чувствительность!$D$16)</f>
        <v>0</v>
      </c>
      <c s="125">
        <f>Предпосылки!T179*(1+Чувствительность!$D$16)</f>
        <v>0</v>
      </c>
      <c s="125">
        <f>Предпосылки!U179*(1+Чувствительность!$D$16)</f>
        <v>0</v>
      </c>
      <c s="125">
        <f>Предпосылки!V179*(1+Чувствительность!$D$16)</f>
        <v>0</v>
      </c>
      <c s="125">
        <f>Предпосылки!W179*(1+Чувствительность!$D$16)</f>
        <v>0</v>
      </c>
      <c s="125">
        <f>Предпосылки!X179*(1+Чувствительность!$D$16)</f>
        <v>0</v>
      </c>
      <c s="125">
        <f>Предпосылки!Y179*(1+Чувствительность!$D$16)</f>
        <v>0</v>
      </c>
      <c s="125">
        <f>Предпосылки!Z179*(1+Чувствительность!$D$16)</f>
        <v>0</v>
      </c>
      <c s="125">
        <f>Предпосылки!AA179*(1+Чувствительность!$D$16)</f>
        <v>0</v>
      </c>
      <c s="125">
        <f>Предпосылки!AB179*(1+Чувствительность!$D$16)</f>
        <v>0</v>
      </c>
      <c s="125">
        <f>Предпосылки!AC179*(1+Чувствительность!$D$16)</f>
        <v>0</v>
      </c>
      <c s="125">
        <f>Предпосылки!AD179*(1+Чувствительность!$D$16)</f>
        <v>0</v>
      </c>
      <c s="125">
        <f>Предпосылки!AE179*(1+Чувствительность!$D$16)</f>
        <v>0</v>
      </c>
      <c s="125">
        <f>Предпосылки!AF179*(1+Чувствительность!$D$16)</f>
        <v>0</v>
      </c>
      <c s="125">
        <f>Предпосылки!AG179*(1+Чувствительность!$D$16)</f>
        <v>0</v>
      </c>
      <c s="125">
        <f>Предпосылки!AH179*(1+Чувствительность!$D$16)</f>
        <v>0</v>
      </c>
      <c s="125">
        <f>Предпосылки!AI179*(1+Чувствительность!$D$16)</f>
        <v>0</v>
      </c>
      <c s="125">
        <f>Предпосылки!AJ179*(1+Чувствительность!$D$16)</f>
        <v>0</v>
      </c>
      <c s="125">
        <f>Предпосылки!AK179*(1+Чувствительность!$D$16)</f>
        <v>0</v>
      </c>
      <c s="125">
        <f>Предпосылки!AL179*(1+Чувствительность!$D$16)</f>
        <v>0</v>
      </c>
      <c s="125">
        <f>Предпосылки!AM179*(1+Чувствительность!$D$16)</f>
        <v>0</v>
      </c>
      <c s="125">
        <f>Предпосылки!AN179*(1+Чувствительность!$D$16)</f>
        <v>0</v>
      </c>
      <c s="125">
        <f>Предпосылки!AO179*(1+Чувствительность!$D$16)</f>
        <v>0</v>
      </c>
      <c s="125">
        <f>Предпосылки!AP179*(1+Чувствительность!$D$16)</f>
        <v>0</v>
      </c>
      <c s="125">
        <f>Предпосылки!AQ179*(1+Чувствительность!$D$16)</f>
        <v>0</v>
      </c>
      <c s="125">
        <f>Предпосылки!AR179*(1+Чувствительность!$D$16)</f>
        <v>0</v>
      </c>
      <c s="125">
        <f>Предпосылки!AS179*(1+Чувствительность!$D$16)</f>
        <v>0</v>
      </c>
      <c s="125">
        <f>Предпосылки!AT179*(1+Чувствительность!$D$16)</f>
        <v>0</v>
      </c>
      <c s="125">
        <f>Предпосылки!AU179*(1+Чувствительность!$D$16)</f>
        <v>0</v>
      </c>
      <c s="125">
        <f>Предпосылки!AV179*(1+Чувствительность!$D$16)</f>
        <v>0</v>
      </c>
      <c s="125">
        <f>Предпосылки!AW179*(1+Чувствительность!$D$16)</f>
        <v>0</v>
      </c>
      <c s="125">
        <f>Предпосылки!AX179*(1+Чувствительность!$D$16)</f>
        <v>0</v>
      </c>
      <c s="125">
        <f>Предпосылки!AY179*(1+Чувствительность!$D$16)</f>
        <v>0</v>
      </c>
      <c s="125">
        <f>Предпосылки!AZ179*(1+Чувствительность!$D$16)</f>
        <v>0</v>
      </c>
      <c s="125">
        <f>Предпосылки!BA179*(1+Чувствительность!$D$16)</f>
        <v>0</v>
      </c>
      <c s="125">
        <f>Предпосылки!BB179*(1+Чувствительность!$D$16)</f>
        <v>0</v>
      </c>
      <c s="125">
        <f>Предпосылки!BC179*(1+Чувствительность!$D$16)</f>
        <v>0</v>
      </c>
      <c s="125">
        <f>Предпосылки!BD179*(1+Чувствительность!$D$16)</f>
        <v>0</v>
      </c>
      <c s="125">
        <f>Предпосылки!BE179*(1+Чувствительность!$D$16)</f>
        <v>0</v>
      </c>
      <c s="125">
        <f>Предпосылки!BF179*(1+Чувствительность!$D$16)</f>
        <v>0</v>
      </c>
      <c s="125">
        <f>Предпосылки!BG179*(1+Чувствительность!$D$16)</f>
        <v>0</v>
      </c>
      <c s="125">
        <f>Предпосылки!BH179*(1+Чувствительность!$D$16)</f>
        <v>0</v>
      </c>
      <c s="125">
        <f>Предпосылки!BI179*(1+Чувствительность!$D$16)</f>
        <v>0</v>
      </c>
      <c s="125">
        <f>Предпосылки!BJ179*(1+Чувствительность!$D$16)</f>
        <v>0</v>
      </c>
      <c s="125">
        <f>Предпосылки!BK179*(1+Чувствительность!$D$16)</f>
        <v>0</v>
      </c>
      <c s="125">
        <f>Предпосылки!BL179*(1+Чувствительность!$D$16)</f>
        <v>0</v>
      </c>
    </row>
    <row r="23" spans="2:65" ht="15" customHeight="1">
      <c r="B23" s="12" t="str">
        <f>Предпосылки!B155</f>
        <v>Продукт 6</v>
      </c>
      <c s="124" t="str">
        <f>IF(ISBLANK(Предпосылки!C127),"-",Предпосылки!C127)</f>
        <v>-</v>
      </c>
      <c s="276">
        <f t="shared" si="3"/>
        <v>0</v>
      </c>
      <c s="125">
        <f>Предпосылки!D180*(1+Чувствительность!$D$16)</f>
        <v>0</v>
      </c>
      <c s="125">
        <f>Предпосылки!E180*(1+Чувствительность!$D$16)</f>
        <v>0</v>
      </c>
      <c s="125">
        <f>Предпосылки!F180*(1+Чувствительность!$D$16)</f>
        <v>0</v>
      </c>
      <c s="125">
        <f>Предпосылки!G180*(1+Чувствительность!$D$16)</f>
        <v>0</v>
      </c>
      <c s="125">
        <f>Предпосылки!H180*(1+Чувствительность!$D$16)</f>
        <v>0</v>
      </c>
      <c s="125">
        <f>Предпосылки!I180*(1+Чувствительность!$D$16)</f>
        <v>0</v>
      </c>
      <c s="125">
        <f>Предпосылки!J180*(1+Чувствительность!$D$16)</f>
        <v>0</v>
      </c>
      <c s="125">
        <f>Предпосылки!K180*(1+Чувствительность!$D$16)</f>
        <v>0</v>
      </c>
      <c s="125">
        <f>Предпосылки!L180*(1+Чувствительность!$D$16)</f>
        <v>0</v>
      </c>
      <c s="125">
        <f>Предпосылки!M180*(1+Чувствительность!$D$16)</f>
        <v>0</v>
      </c>
      <c s="125">
        <f>Предпосылки!N180*(1+Чувствительность!$D$16)</f>
        <v>0</v>
      </c>
      <c s="125">
        <f>Предпосылки!O180*(1+Чувствительность!$D$16)</f>
        <v>0</v>
      </c>
      <c s="125">
        <f>Предпосылки!P180*(1+Чувствительность!$D$16)</f>
        <v>0</v>
      </c>
      <c s="125">
        <f>Предпосылки!Q180*(1+Чувствительность!$D$16)</f>
        <v>0</v>
      </c>
      <c s="125">
        <f>Предпосылки!R180*(1+Чувствительность!$D$16)</f>
        <v>0</v>
      </c>
      <c s="125">
        <f>Предпосылки!S180*(1+Чувствительность!$D$16)</f>
        <v>0</v>
      </c>
      <c s="125">
        <f>Предпосылки!T180*(1+Чувствительность!$D$16)</f>
        <v>0</v>
      </c>
      <c s="125">
        <f>Предпосылки!U180*(1+Чувствительность!$D$16)</f>
        <v>0</v>
      </c>
      <c s="125">
        <f>Предпосылки!V180*(1+Чувствительность!$D$16)</f>
        <v>0</v>
      </c>
      <c s="125">
        <f>Предпосылки!W180*(1+Чувствительность!$D$16)</f>
        <v>0</v>
      </c>
      <c s="125">
        <f>Предпосылки!X180*(1+Чувствительность!$D$16)</f>
        <v>0</v>
      </c>
      <c s="125">
        <f>Предпосылки!Y180*(1+Чувствительность!$D$16)</f>
        <v>0</v>
      </c>
      <c s="125">
        <f>Предпосылки!Z180*(1+Чувствительность!$D$16)</f>
        <v>0</v>
      </c>
      <c s="125">
        <f>Предпосылки!AA180*(1+Чувствительность!$D$16)</f>
        <v>0</v>
      </c>
      <c s="125">
        <f>Предпосылки!AB180*(1+Чувствительность!$D$16)</f>
        <v>0</v>
      </c>
      <c s="125">
        <f>Предпосылки!AC180*(1+Чувствительность!$D$16)</f>
        <v>0</v>
      </c>
      <c s="125">
        <f>Предпосылки!AD180*(1+Чувствительность!$D$16)</f>
        <v>0</v>
      </c>
      <c s="125">
        <f>Предпосылки!AE180*(1+Чувствительность!$D$16)</f>
        <v>0</v>
      </c>
      <c s="125">
        <f>Предпосылки!AF180*(1+Чувствительность!$D$16)</f>
        <v>0</v>
      </c>
      <c s="125">
        <f>Предпосылки!AG180*(1+Чувствительность!$D$16)</f>
        <v>0</v>
      </c>
      <c s="125">
        <f>Предпосылки!AH180*(1+Чувствительность!$D$16)</f>
        <v>0</v>
      </c>
      <c s="125">
        <f>Предпосылки!AI180*(1+Чувствительность!$D$16)</f>
        <v>0</v>
      </c>
      <c s="125">
        <f>Предпосылки!AJ180*(1+Чувствительность!$D$16)</f>
        <v>0</v>
      </c>
      <c s="125">
        <f>Предпосылки!AK180*(1+Чувствительность!$D$16)</f>
        <v>0</v>
      </c>
      <c s="125">
        <f>Предпосылки!AL180*(1+Чувствительность!$D$16)</f>
        <v>0</v>
      </c>
      <c s="125">
        <f>Предпосылки!AM180*(1+Чувствительность!$D$16)</f>
        <v>0</v>
      </c>
      <c s="125">
        <f>Предпосылки!AN180*(1+Чувствительность!$D$16)</f>
        <v>0</v>
      </c>
      <c s="125">
        <f>Предпосылки!AO180*(1+Чувствительность!$D$16)</f>
        <v>0</v>
      </c>
      <c s="125">
        <f>Предпосылки!AP180*(1+Чувствительность!$D$16)</f>
        <v>0</v>
      </c>
      <c s="125">
        <f>Предпосылки!AQ180*(1+Чувствительность!$D$16)</f>
        <v>0</v>
      </c>
      <c s="125">
        <f>Предпосылки!AR180*(1+Чувствительность!$D$16)</f>
        <v>0</v>
      </c>
      <c s="125">
        <f>Предпосылки!AS180*(1+Чувствительность!$D$16)</f>
        <v>0</v>
      </c>
      <c s="125">
        <f>Предпосылки!AT180*(1+Чувствительность!$D$16)</f>
        <v>0</v>
      </c>
      <c s="125">
        <f>Предпосылки!AU180*(1+Чувствительность!$D$16)</f>
        <v>0</v>
      </c>
      <c s="125">
        <f>Предпосылки!AV180*(1+Чувствительность!$D$16)</f>
        <v>0</v>
      </c>
      <c s="125">
        <f>Предпосылки!AW180*(1+Чувствительность!$D$16)</f>
        <v>0</v>
      </c>
      <c s="125">
        <f>Предпосылки!AX180*(1+Чувствительность!$D$16)</f>
        <v>0</v>
      </c>
      <c s="125">
        <f>Предпосылки!AY180*(1+Чувствительность!$D$16)</f>
        <v>0</v>
      </c>
      <c s="125">
        <f>Предпосылки!AZ180*(1+Чувствительность!$D$16)</f>
        <v>0</v>
      </c>
      <c s="125">
        <f>Предпосылки!BA180*(1+Чувствительность!$D$16)</f>
        <v>0</v>
      </c>
      <c s="125">
        <f>Предпосылки!BB180*(1+Чувствительность!$D$16)</f>
        <v>0</v>
      </c>
      <c s="125">
        <f>Предпосылки!BC180*(1+Чувствительность!$D$16)</f>
        <v>0</v>
      </c>
      <c s="125">
        <f>Предпосылки!BD180*(1+Чувствительность!$D$16)</f>
        <v>0</v>
      </c>
      <c s="125">
        <f>Предпосылки!BE180*(1+Чувствительность!$D$16)</f>
        <v>0</v>
      </c>
      <c s="125">
        <f>Предпосылки!BF180*(1+Чувствительность!$D$16)</f>
        <v>0</v>
      </c>
      <c s="125">
        <f>Предпосылки!BG180*(1+Чувствительность!$D$16)</f>
        <v>0</v>
      </c>
      <c s="125">
        <f>Предпосылки!BH180*(1+Чувствительность!$D$16)</f>
        <v>0</v>
      </c>
      <c s="125">
        <f>Предпосылки!BI180*(1+Чувствительность!$D$16)</f>
        <v>0</v>
      </c>
      <c s="125">
        <f>Предпосылки!BJ180*(1+Чувствительность!$D$16)</f>
        <v>0</v>
      </c>
      <c s="125">
        <f>Предпосылки!BK180*(1+Чувствительность!$D$16)</f>
        <v>0</v>
      </c>
      <c s="125">
        <f>Предпосылки!BL180*(1+Чувствительность!$D$16)</f>
        <v>0</v>
      </c>
    </row>
    <row r="24" spans="2:65" ht="15" customHeight="1">
      <c r="B24" s="12" t="str">
        <f>Предпосылки!B156</f>
        <v>Продукт 7</v>
      </c>
      <c s="124" t="str">
        <f>IF(ISBLANK(Предпосылки!C128),"-",Предпосылки!C128)</f>
        <v>-</v>
      </c>
      <c s="276">
        <f t="shared" si="3"/>
        <v>0</v>
      </c>
      <c s="125">
        <f>Предпосылки!D181*(1+Чувствительность!$D$16)</f>
        <v>0</v>
      </c>
      <c s="125">
        <f>Предпосылки!E181*(1+Чувствительность!$D$16)</f>
        <v>0</v>
      </c>
      <c s="125">
        <f>Предпосылки!F181*(1+Чувствительность!$D$16)</f>
        <v>0</v>
      </c>
      <c s="125">
        <f>Предпосылки!G181*(1+Чувствительность!$D$16)</f>
        <v>0</v>
      </c>
      <c s="125">
        <f>Предпосылки!H181*(1+Чувствительность!$D$16)</f>
        <v>0</v>
      </c>
      <c s="125">
        <f>Предпосылки!I181*(1+Чувствительность!$D$16)</f>
        <v>0</v>
      </c>
      <c s="125">
        <f>Предпосылки!J181*(1+Чувствительность!$D$16)</f>
        <v>0</v>
      </c>
      <c s="125">
        <f>Предпосылки!K181*(1+Чувствительность!$D$16)</f>
        <v>0</v>
      </c>
      <c s="125">
        <f>Предпосылки!L181*(1+Чувствительность!$D$16)</f>
        <v>0</v>
      </c>
      <c s="125">
        <f>Предпосылки!M181*(1+Чувствительность!$D$16)</f>
        <v>0</v>
      </c>
      <c s="125">
        <f>Предпосылки!N181*(1+Чувствительность!$D$16)</f>
        <v>0</v>
      </c>
      <c s="125">
        <f>Предпосылки!O181*(1+Чувствительность!$D$16)</f>
        <v>0</v>
      </c>
      <c s="125">
        <f>Предпосылки!P181*(1+Чувствительность!$D$16)</f>
        <v>0</v>
      </c>
      <c s="125">
        <f>Предпосылки!Q181*(1+Чувствительность!$D$16)</f>
        <v>0</v>
      </c>
      <c s="125">
        <f>Предпосылки!R181*(1+Чувствительность!$D$16)</f>
        <v>0</v>
      </c>
      <c s="125">
        <f>Предпосылки!S181*(1+Чувствительность!$D$16)</f>
        <v>0</v>
      </c>
      <c s="125">
        <f>Предпосылки!T181*(1+Чувствительность!$D$16)</f>
        <v>0</v>
      </c>
      <c s="125">
        <f>Предпосылки!U181*(1+Чувствительность!$D$16)</f>
        <v>0</v>
      </c>
      <c s="125">
        <f>Предпосылки!V181*(1+Чувствительность!$D$16)</f>
        <v>0</v>
      </c>
      <c s="125">
        <f>Предпосылки!W181*(1+Чувствительность!$D$16)</f>
        <v>0</v>
      </c>
      <c s="125">
        <f>Предпосылки!X181*(1+Чувствительность!$D$16)</f>
        <v>0</v>
      </c>
      <c s="125">
        <f>Предпосылки!Y181*(1+Чувствительность!$D$16)</f>
        <v>0</v>
      </c>
      <c s="125">
        <f>Предпосылки!Z181*(1+Чувствительность!$D$16)</f>
        <v>0</v>
      </c>
      <c s="125">
        <f>Предпосылки!AA181*(1+Чувствительность!$D$16)</f>
        <v>0</v>
      </c>
      <c s="125">
        <f>Предпосылки!AB181*(1+Чувствительность!$D$16)</f>
        <v>0</v>
      </c>
      <c s="125">
        <f>Предпосылки!AC181*(1+Чувствительность!$D$16)</f>
        <v>0</v>
      </c>
      <c s="125">
        <f>Предпосылки!AD181*(1+Чувствительность!$D$16)</f>
        <v>0</v>
      </c>
      <c s="125">
        <f>Предпосылки!AE181*(1+Чувствительность!$D$16)</f>
        <v>0</v>
      </c>
      <c s="125">
        <f>Предпосылки!AF181*(1+Чувствительность!$D$16)</f>
        <v>0</v>
      </c>
      <c s="125">
        <f>Предпосылки!AG181*(1+Чувствительность!$D$16)</f>
        <v>0</v>
      </c>
      <c s="125">
        <f>Предпосылки!AH181*(1+Чувствительность!$D$16)</f>
        <v>0</v>
      </c>
      <c s="125">
        <f>Предпосылки!AI181*(1+Чувствительность!$D$16)</f>
        <v>0</v>
      </c>
      <c s="125">
        <f>Предпосылки!AJ181*(1+Чувствительность!$D$16)</f>
        <v>0</v>
      </c>
      <c s="125">
        <f>Предпосылки!AK181*(1+Чувствительность!$D$16)</f>
        <v>0</v>
      </c>
      <c s="125">
        <f>Предпосылки!AL181*(1+Чувствительность!$D$16)</f>
        <v>0</v>
      </c>
      <c s="125">
        <f>Предпосылки!AM181*(1+Чувствительность!$D$16)</f>
        <v>0</v>
      </c>
      <c s="125">
        <f>Предпосылки!AN181*(1+Чувствительность!$D$16)</f>
        <v>0</v>
      </c>
      <c s="125">
        <f>Предпосылки!AO181*(1+Чувствительность!$D$16)</f>
        <v>0</v>
      </c>
      <c s="125">
        <f>Предпосылки!AP181*(1+Чувствительность!$D$16)</f>
        <v>0</v>
      </c>
      <c s="125">
        <f>Предпосылки!AQ181*(1+Чувствительность!$D$16)</f>
        <v>0</v>
      </c>
      <c s="125">
        <f>Предпосылки!AR181*(1+Чувствительность!$D$16)</f>
        <v>0</v>
      </c>
      <c s="125">
        <f>Предпосылки!AS181*(1+Чувствительность!$D$16)</f>
        <v>0</v>
      </c>
      <c s="125">
        <f>Предпосылки!AT181*(1+Чувствительность!$D$16)</f>
        <v>0</v>
      </c>
      <c s="125">
        <f>Предпосылки!AU181*(1+Чувствительность!$D$16)</f>
        <v>0</v>
      </c>
      <c s="125">
        <f>Предпосылки!AV181*(1+Чувствительность!$D$16)</f>
        <v>0</v>
      </c>
      <c s="125">
        <f>Предпосылки!AW181*(1+Чувствительность!$D$16)</f>
        <v>0</v>
      </c>
      <c s="125">
        <f>Предпосылки!AX181*(1+Чувствительность!$D$16)</f>
        <v>0</v>
      </c>
      <c s="125">
        <f>Предпосылки!AY181*(1+Чувствительность!$D$16)</f>
        <v>0</v>
      </c>
      <c s="125">
        <f>Предпосылки!AZ181*(1+Чувствительность!$D$16)</f>
        <v>0</v>
      </c>
      <c s="125">
        <f>Предпосылки!BA181*(1+Чувствительность!$D$16)</f>
        <v>0</v>
      </c>
      <c s="125">
        <f>Предпосылки!BB181*(1+Чувствительность!$D$16)</f>
        <v>0</v>
      </c>
      <c s="125">
        <f>Предпосылки!BC181*(1+Чувствительность!$D$16)</f>
        <v>0</v>
      </c>
      <c s="125">
        <f>Предпосылки!BD181*(1+Чувствительность!$D$16)</f>
        <v>0</v>
      </c>
      <c s="125">
        <f>Предпосылки!BE181*(1+Чувствительность!$D$16)</f>
        <v>0</v>
      </c>
      <c s="125">
        <f>Предпосылки!BF181*(1+Чувствительность!$D$16)</f>
        <v>0</v>
      </c>
      <c s="125">
        <f>Предпосылки!BG181*(1+Чувствительность!$D$16)</f>
        <v>0</v>
      </c>
      <c s="125">
        <f>Предпосылки!BH181*(1+Чувствительность!$D$16)</f>
        <v>0</v>
      </c>
      <c s="125">
        <f>Предпосылки!BI181*(1+Чувствительность!$D$16)</f>
        <v>0</v>
      </c>
      <c s="125">
        <f>Предпосылки!BJ181*(1+Чувствительность!$D$16)</f>
        <v>0</v>
      </c>
      <c s="125">
        <f>Предпосылки!BK181*(1+Чувствительность!$D$16)</f>
        <v>0</v>
      </c>
      <c s="125">
        <f>Предпосылки!BL181*(1+Чувствительность!$D$16)</f>
        <v>0</v>
      </c>
    </row>
    <row r="25" spans="2:65" ht="15" customHeight="1">
      <c r="B25" s="12" t="str">
        <f>Предпосылки!B157</f>
        <v>Продукт 8</v>
      </c>
      <c s="124" t="str">
        <f>IF(ISBLANK(Предпосылки!C129),"-",Предпосылки!C129)</f>
        <v>-</v>
      </c>
      <c s="276">
        <f t="shared" si="3"/>
        <v>0</v>
      </c>
      <c s="125">
        <f>Предпосылки!D182*(1+Чувствительность!$D$16)</f>
        <v>0</v>
      </c>
      <c s="125">
        <f>Предпосылки!E182*(1+Чувствительность!$D$16)</f>
        <v>0</v>
      </c>
      <c s="125">
        <f>Предпосылки!F182*(1+Чувствительность!$D$16)</f>
        <v>0</v>
      </c>
      <c s="125">
        <f>Предпосылки!G182*(1+Чувствительность!$D$16)</f>
        <v>0</v>
      </c>
      <c s="125">
        <f>Предпосылки!H182*(1+Чувствительность!$D$16)</f>
        <v>0</v>
      </c>
      <c s="125">
        <f>Предпосылки!I182*(1+Чувствительность!$D$16)</f>
        <v>0</v>
      </c>
      <c s="125">
        <f>Предпосылки!J182*(1+Чувствительность!$D$16)</f>
        <v>0</v>
      </c>
      <c s="125">
        <f>Предпосылки!K182*(1+Чувствительность!$D$16)</f>
        <v>0</v>
      </c>
      <c s="125">
        <f>Предпосылки!L182*(1+Чувствительность!$D$16)</f>
        <v>0</v>
      </c>
      <c s="125">
        <f>Предпосылки!M182*(1+Чувствительность!$D$16)</f>
        <v>0</v>
      </c>
      <c s="125">
        <f>Предпосылки!N182*(1+Чувствительность!$D$16)</f>
        <v>0</v>
      </c>
      <c s="125">
        <f>Предпосылки!O182*(1+Чувствительность!$D$16)</f>
        <v>0</v>
      </c>
      <c s="125">
        <f>Предпосылки!P182*(1+Чувствительность!$D$16)</f>
        <v>0</v>
      </c>
      <c s="125">
        <f>Предпосылки!Q182*(1+Чувствительность!$D$16)</f>
        <v>0</v>
      </c>
      <c s="125">
        <f>Предпосылки!R182*(1+Чувствительность!$D$16)</f>
        <v>0</v>
      </c>
      <c s="125">
        <f>Предпосылки!S182*(1+Чувствительность!$D$16)</f>
        <v>0</v>
      </c>
      <c s="125">
        <f>Предпосылки!T182*(1+Чувствительность!$D$16)</f>
        <v>0</v>
      </c>
      <c s="125">
        <f>Предпосылки!U182*(1+Чувствительность!$D$16)</f>
        <v>0</v>
      </c>
      <c s="125">
        <f>Предпосылки!V182*(1+Чувствительность!$D$16)</f>
        <v>0</v>
      </c>
      <c s="125">
        <f>Предпосылки!W182*(1+Чувствительность!$D$16)</f>
        <v>0</v>
      </c>
      <c s="125">
        <f>Предпосылки!X182*(1+Чувствительность!$D$16)</f>
        <v>0</v>
      </c>
      <c s="125">
        <f>Предпосылки!Y182*(1+Чувствительность!$D$16)</f>
        <v>0</v>
      </c>
      <c s="125">
        <f>Предпосылки!Z182*(1+Чувствительность!$D$16)</f>
        <v>0</v>
      </c>
      <c s="125">
        <f>Предпосылки!AA182*(1+Чувствительность!$D$16)</f>
        <v>0</v>
      </c>
      <c s="125">
        <f>Предпосылки!AB182*(1+Чувствительность!$D$16)</f>
        <v>0</v>
      </c>
      <c s="125">
        <f>Предпосылки!AC182*(1+Чувствительность!$D$16)</f>
        <v>0</v>
      </c>
      <c s="125">
        <f>Предпосылки!AD182*(1+Чувствительность!$D$16)</f>
        <v>0</v>
      </c>
      <c s="125">
        <f>Предпосылки!AE182*(1+Чувствительность!$D$16)</f>
        <v>0</v>
      </c>
      <c s="125">
        <f>Предпосылки!AF182*(1+Чувствительность!$D$16)</f>
        <v>0</v>
      </c>
      <c s="125">
        <f>Предпосылки!AG182*(1+Чувствительность!$D$16)</f>
        <v>0</v>
      </c>
      <c s="125">
        <f>Предпосылки!AH182*(1+Чувствительность!$D$16)</f>
        <v>0</v>
      </c>
      <c s="125">
        <f>Предпосылки!AI182*(1+Чувствительность!$D$16)</f>
        <v>0</v>
      </c>
      <c s="125">
        <f>Предпосылки!AJ182*(1+Чувствительность!$D$16)</f>
        <v>0</v>
      </c>
      <c s="125">
        <f>Предпосылки!AK182*(1+Чувствительность!$D$16)</f>
        <v>0</v>
      </c>
      <c s="125">
        <f>Предпосылки!AL182*(1+Чувствительность!$D$16)</f>
        <v>0</v>
      </c>
      <c s="125">
        <f>Предпосылки!AM182*(1+Чувствительность!$D$16)</f>
        <v>0</v>
      </c>
      <c s="125">
        <f>Предпосылки!AN182*(1+Чувствительность!$D$16)</f>
        <v>0</v>
      </c>
      <c s="125">
        <f>Предпосылки!AO182*(1+Чувствительность!$D$16)</f>
        <v>0</v>
      </c>
      <c s="125">
        <f>Предпосылки!AP182*(1+Чувствительность!$D$16)</f>
        <v>0</v>
      </c>
      <c s="125">
        <f>Предпосылки!AQ182*(1+Чувствительность!$D$16)</f>
        <v>0</v>
      </c>
      <c s="125">
        <f>Предпосылки!AR182*(1+Чувствительность!$D$16)</f>
        <v>0</v>
      </c>
      <c s="125">
        <f>Предпосылки!AS182*(1+Чувствительность!$D$16)</f>
        <v>0</v>
      </c>
      <c s="125">
        <f>Предпосылки!AT182*(1+Чувствительность!$D$16)</f>
        <v>0</v>
      </c>
      <c s="125">
        <f>Предпосылки!AU182*(1+Чувствительность!$D$16)</f>
        <v>0</v>
      </c>
      <c s="125">
        <f>Предпосылки!AV182*(1+Чувствительность!$D$16)</f>
        <v>0</v>
      </c>
      <c s="125">
        <f>Предпосылки!AW182*(1+Чувствительность!$D$16)</f>
        <v>0</v>
      </c>
      <c s="125">
        <f>Предпосылки!AX182*(1+Чувствительность!$D$16)</f>
        <v>0</v>
      </c>
      <c s="125">
        <f>Предпосылки!AY182*(1+Чувствительность!$D$16)</f>
        <v>0</v>
      </c>
      <c s="125">
        <f>Предпосылки!AZ182*(1+Чувствительность!$D$16)</f>
        <v>0</v>
      </c>
      <c s="125">
        <f>Предпосылки!BA182*(1+Чувствительность!$D$16)</f>
        <v>0</v>
      </c>
      <c s="125">
        <f>Предпосылки!BB182*(1+Чувствительность!$D$16)</f>
        <v>0</v>
      </c>
      <c s="125">
        <f>Предпосылки!BC182*(1+Чувствительность!$D$16)</f>
        <v>0</v>
      </c>
      <c s="125">
        <f>Предпосылки!BD182*(1+Чувствительность!$D$16)</f>
        <v>0</v>
      </c>
      <c s="125">
        <f>Предпосылки!BE182*(1+Чувствительность!$D$16)</f>
        <v>0</v>
      </c>
      <c s="125">
        <f>Предпосылки!BF182*(1+Чувствительность!$D$16)</f>
        <v>0</v>
      </c>
      <c s="125">
        <f>Предпосылки!BG182*(1+Чувствительность!$D$16)</f>
        <v>0</v>
      </c>
      <c s="125">
        <f>Предпосылки!BH182*(1+Чувствительность!$D$16)</f>
        <v>0</v>
      </c>
      <c s="125">
        <f>Предпосылки!BI182*(1+Чувствительность!$D$16)</f>
        <v>0</v>
      </c>
      <c s="125">
        <f>Предпосылки!BJ182*(1+Чувствительность!$D$16)</f>
        <v>0</v>
      </c>
      <c s="125">
        <f>Предпосылки!BK182*(1+Чувствительность!$D$16)</f>
        <v>0</v>
      </c>
      <c s="125">
        <f>Предпосылки!BL182*(1+Чувствительность!$D$16)</f>
        <v>0</v>
      </c>
    </row>
    <row r="26" spans="2:65" ht="15" customHeight="1">
      <c r="B26" s="12" t="str">
        <f>Предпосылки!B158</f>
        <v>Продукт 9</v>
      </c>
      <c s="124" t="str">
        <f>IF(ISBLANK(Предпосылки!C130),"-",Предпосылки!C130)</f>
        <v>-</v>
      </c>
      <c s="276">
        <f t="shared" si="3"/>
        <v>0</v>
      </c>
      <c s="125">
        <f>Предпосылки!D183*(1+Чувствительность!$D$16)</f>
        <v>0</v>
      </c>
      <c s="125">
        <f>Предпосылки!E183*(1+Чувствительность!$D$16)</f>
        <v>0</v>
      </c>
      <c s="125">
        <f>Предпосылки!F183*(1+Чувствительность!$D$16)</f>
        <v>0</v>
      </c>
      <c s="125">
        <f>Предпосылки!G183*(1+Чувствительность!$D$16)</f>
        <v>0</v>
      </c>
      <c s="125">
        <f>Предпосылки!H183*(1+Чувствительность!$D$16)</f>
        <v>0</v>
      </c>
      <c s="125">
        <f>Предпосылки!I183*(1+Чувствительность!$D$16)</f>
        <v>0</v>
      </c>
      <c s="125">
        <f>Предпосылки!J183*(1+Чувствительность!$D$16)</f>
        <v>0</v>
      </c>
      <c s="125">
        <f>Предпосылки!K183*(1+Чувствительность!$D$16)</f>
        <v>0</v>
      </c>
      <c s="125">
        <f>Предпосылки!L183*(1+Чувствительность!$D$16)</f>
        <v>0</v>
      </c>
      <c s="125">
        <f>Предпосылки!M183*(1+Чувствительность!$D$16)</f>
        <v>0</v>
      </c>
      <c s="125">
        <f>Предпосылки!N183*(1+Чувствительность!$D$16)</f>
        <v>0</v>
      </c>
      <c s="125">
        <f>Предпосылки!O183*(1+Чувствительность!$D$16)</f>
        <v>0</v>
      </c>
      <c s="125">
        <f>Предпосылки!P183*(1+Чувствительность!$D$16)</f>
        <v>0</v>
      </c>
      <c s="125">
        <f>Предпосылки!Q183*(1+Чувствительность!$D$16)</f>
        <v>0</v>
      </c>
      <c s="125">
        <f>Предпосылки!R183*(1+Чувствительность!$D$16)</f>
        <v>0</v>
      </c>
      <c s="125">
        <f>Предпосылки!S183*(1+Чувствительность!$D$16)</f>
        <v>0</v>
      </c>
      <c s="125">
        <f>Предпосылки!T183*(1+Чувствительность!$D$16)</f>
        <v>0</v>
      </c>
      <c s="125">
        <f>Предпосылки!U183*(1+Чувствительность!$D$16)</f>
        <v>0</v>
      </c>
      <c s="125">
        <f>Предпосылки!V183*(1+Чувствительность!$D$16)</f>
        <v>0</v>
      </c>
      <c s="125">
        <f>Предпосылки!W183*(1+Чувствительность!$D$16)</f>
        <v>0</v>
      </c>
      <c s="125">
        <f>Предпосылки!X183*(1+Чувствительность!$D$16)</f>
        <v>0</v>
      </c>
      <c s="125">
        <f>Предпосылки!Y183*(1+Чувствительность!$D$16)</f>
        <v>0</v>
      </c>
      <c s="125">
        <f>Предпосылки!Z183*(1+Чувствительность!$D$16)</f>
        <v>0</v>
      </c>
      <c s="125">
        <f>Предпосылки!AA183*(1+Чувствительность!$D$16)</f>
        <v>0</v>
      </c>
      <c s="125">
        <f>Предпосылки!AB183*(1+Чувствительность!$D$16)</f>
        <v>0</v>
      </c>
      <c s="125">
        <f>Предпосылки!AC183*(1+Чувствительность!$D$16)</f>
        <v>0</v>
      </c>
      <c s="125">
        <f>Предпосылки!AD183*(1+Чувствительность!$D$16)</f>
        <v>0</v>
      </c>
      <c s="125">
        <f>Предпосылки!AE183*(1+Чувствительность!$D$16)</f>
        <v>0</v>
      </c>
      <c s="125">
        <f>Предпосылки!AF183*(1+Чувствительность!$D$16)</f>
        <v>0</v>
      </c>
      <c s="125">
        <f>Предпосылки!AG183*(1+Чувствительность!$D$16)</f>
        <v>0</v>
      </c>
      <c s="125">
        <f>Предпосылки!AH183*(1+Чувствительность!$D$16)</f>
        <v>0</v>
      </c>
      <c s="125">
        <f>Предпосылки!AI183*(1+Чувствительность!$D$16)</f>
        <v>0</v>
      </c>
      <c s="125">
        <f>Предпосылки!AJ183*(1+Чувствительность!$D$16)</f>
        <v>0</v>
      </c>
      <c s="125">
        <f>Предпосылки!AK183*(1+Чувствительность!$D$16)</f>
        <v>0</v>
      </c>
      <c s="125">
        <f>Предпосылки!AL183*(1+Чувствительность!$D$16)</f>
        <v>0</v>
      </c>
      <c s="125">
        <f>Предпосылки!AM183*(1+Чувствительность!$D$16)</f>
        <v>0</v>
      </c>
      <c s="125">
        <f>Предпосылки!AN183*(1+Чувствительность!$D$16)</f>
        <v>0</v>
      </c>
      <c s="125">
        <f>Предпосылки!AO183*(1+Чувствительность!$D$16)</f>
        <v>0</v>
      </c>
      <c s="125">
        <f>Предпосылки!AP183*(1+Чувствительность!$D$16)</f>
        <v>0</v>
      </c>
      <c s="125">
        <f>Предпосылки!AQ183*(1+Чувствительность!$D$16)</f>
        <v>0</v>
      </c>
      <c s="125">
        <f>Предпосылки!AR183*(1+Чувствительность!$D$16)</f>
        <v>0</v>
      </c>
      <c s="125">
        <f>Предпосылки!AS183*(1+Чувствительность!$D$16)</f>
        <v>0</v>
      </c>
      <c s="125">
        <f>Предпосылки!AT183*(1+Чувствительность!$D$16)</f>
        <v>0</v>
      </c>
      <c s="125">
        <f>Предпосылки!AU183*(1+Чувствительность!$D$16)</f>
        <v>0</v>
      </c>
      <c s="125">
        <f>Предпосылки!AV183*(1+Чувствительность!$D$16)</f>
        <v>0</v>
      </c>
      <c s="125">
        <f>Предпосылки!AW183*(1+Чувствительность!$D$16)</f>
        <v>0</v>
      </c>
      <c s="125">
        <f>Предпосылки!AX183*(1+Чувствительность!$D$16)</f>
        <v>0</v>
      </c>
      <c s="125">
        <f>Предпосылки!AY183*(1+Чувствительность!$D$16)</f>
        <v>0</v>
      </c>
      <c s="125">
        <f>Предпосылки!AZ183*(1+Чувствительность!$D$16)</f>
        <v>0</v>
      </c>
      <c s="125">
        <f>Предпосылки!BA183*(1+Чувствительность!$D$16)</f>
        <v>0</v>
      </c>
      <c s="125">
        <f>Предпосылки!BB183*(1+Чувствительность!$D$16)</f>
        <v>0</v>
      </c>
      <c s="125">
        <f>Предпосылки!BC183*(1+Чувствительность!$D$16)</f>
        <v>0</v>
      </c>
      <c s="125">
        <f>Предпосылки!BD183*(1+Чувствительность!$D$16)</f>
        <v>0</v>
      </c>
      <c s="125">
        <f>Предпосылки!BE183*(1+Чувствительность!$D$16)</f>
        <v>0</v>
      </c>
      <c s="125">
        <f>Предпосылки!BF183*(1+Чувствительность!$D$16)</f>
        <v>0</v>
      </c>
      <c s="125">
        <f>Предпосылки!BG183*(1+Чувствительность!$D$16)</f>
        <v>0</v>
      </c>
      <c s="125">
        <f>Предпосылки!BH183*(1+Чувствительность!$D$16)</f>
        <v>0</v>
      </c>
      <c s="125">
        <f>Предпосылки!BI183*(1+Чувствительность!$D$16)</f>
        <v>0</v>
      </c>
      <c s="125">
        <f>Предпосылки!BJ183*(1+Чувствительность!$D$16)</f>
        <v>0</v>
      </c>
      <c s="125">
        <f>Предпосылки!BK183*(1+Чувствительность!$D$16)</f>
        <v>0</v>
      </c>
      <c s="125">
        <f>Предпосылки!BL183*(1+Чувствительность!$D$16)</f>
        <v>0</v>
      </c>
    </row>
    <row r="27" spans="2:65" ht="15" customHeight="1">
      <c r="B27" s="12" t="str">
        <f>Предпосылки!B159</f>
        <v>Продукт 10</v>
      </c>
      <c s="124" t="str">
        <f>IF(ISBLANK(Предпосылки!C131),"-",Предпосылки!C131)</f>
        <v>-</v>
      </c>
      <c s="276">
        <f t="shared" si="3"/>
        <v>0</v>
      </c>
      <c s="125">
        <f>Предпосылки!D184*(1+Чувствительность!$D$16)</f>
        <v>0</v>
      </c>
      <c s="125">
        <f>Предпосылки!E184*(1+Чувствительность!$D$16)</f>
        <v>0</v>
      </c>
      <c s="125">
        <f>Предпосылки!F184*(1+Чувствительность!$D$16)</f>
        <v>0</v>
      </c>
      <c s="125">
        <f>Предпосылки!G184*(1+Чувствительность!$D$16)</f>
        <v>0</v>
      </c>
      <c s="125">
        <f>Предпосылки!H184*(1+Чувствительность!$D$16)</f>
        <v>0</v>
      </c>
      <c s="125">
        <f>Предпосылки!I184*(1+Чувствительность!$D$16)</f>
        <v>0</v>
      </c>
      <c s="125">
        <f>Предпосылки!J184*(1+Чувствительность!$D$16)</f>
        <v>0</v>
      </c>
      <c s="125">
        <f>Предпосылки!K184*(1+Чувствительность!$D$16)</f>
        <v>0</v>
      </c>
      <c s="125">
        <f>Предпосылки!L184*(1+Чувствительность!$D$16)</f>
        <v>0</v>
      </c>
      <c s="125">
        <f>Предпосылки!M184*(1+Чувствительность!$D$16)</f>
        <v>0</v>
      </c>
      <c s="125">
        <f>Предпосылки!N184*(1+Чувствительность!$D$16)</f>
        <v>0</v>
      </c>
      <c s="125">
        <f>Предпосылки!O184*(1+Чувствительность!$D$16)</f>
        <v>0</v>
      </c>
      <c s="125">
        <f>Предпосылки!P184*(1+Чувствительность!$D$16)</f>
        <v>0</v>
      </c>
      <c s="125">
        <f>Предпосылки!Q184*(1+Чувствительность!$D$16)</f>
        <v>0</v>
      </c>
      <c s="125">
        <f>Предпосылки!R184*(1+Чувствительность!$D$16)</f>
        <v>0</v>
      </c>
      <c s="125">
        <f>Предпосылки!S184*(1+Чувствительность!$D$16)</f>
        <v>0</v>
      </c>
      <c s="125">
        <f>Предпосылки!T184*(1+Чувствительность!$D$16)</f>
        <v>0</v>
      </c>
      <c s="125">
        <f>Предпосылки!U184*(1+Чувствительность!$D$16)</f>
        <v>0</v>
      </c>
      <c s="125">
        <f>Предпосылки!V184*(1+Чувствительность!$D$16)</f>
        <v>0</v>
      </c>
      <c s="125">
        <f>Предпосылки!W184*(1+Чувствительность!$D$16)</f>
        <v>0</v>
      </c>
      <c s="125">
        <f>Предпосылки!X184*(1+Чувствительность!$D$16)</f>
        <v>0</v>
      </c>
      <c s="125">
        <f>Предпосылки!Y184*(1+Чувствительность!$D$16)</f>
        <v>0</v>
      </c>
      <c s="125">
        <f>Предпосылки!Z184*(1+Чувствительность!$D$16)</f>
        <v>0</v>
      </c>
      <c s="125">
        <f>Предпосылки!AA184*(1+Чувствительность!$D$16)</f>
        <v>0</v>
      </c>
      <c s="125">
        <f>Предпосылки!AB184*(1+Чувствительность!$D$16)</f>
        <v>0</v>
      </c>
      <c s="125">
        <f>Предпосылки!AC184*(1+Чувствительность!$D$16)</f>
        <v>0</v>
      </c>
      <c s="125">
        <f>Предпосылки!AD184*(1+Чувствительность!$D$16)</f>
        <v>0</v>
      </c>
      <c s="125">
        <f>Предпосылки!AE184*(1+Чувствительность!$D$16)</f>
        <v>0</v>
      </c>
      <c s="125">
        <f>Предпосылки!AF184*(1+Чувствительность!$D$16)</f>
        <v>0</v>
      </c>
      <c s="125">
        <f>Предпосылки!AG184*(1+Чувствительность!$D$16)</f>
        <v>0</v>
      </c>
      <c s="125">
        <f>Предпосылки!AH184*(1+Чувствительность!$D$16)</f>
        <v>0</v>
      </c>
      <c s="125">
        <f>Предпосылки!AI184*(1+Чувствительность!$D$16)</f>
        <v>0</v>
      </c>
      <c s="125">
        <f>Предпосылки!AJ184*(1+Чувствительность!$D$16)</f>
        <v>0</v>
      </c>
      <c s="125">
        <f>Предпосылки!AK184*(1+Чувствительность!$D$16)</f>
        <v>0</v>
      </c>
      <c s="125">
        <f>Предпосылки!AL184*(1+Чувствительность!$D$16)</f>
        <v>0</v>
      </c>
      <c s="125">
        <f>Предпосылки!AM184*(1+Чувствительность!$D$16)</f>
        <v>0</v>
      </c>
      <c s="125">
        <f>Предпосылки!AN184*(1+Чувствительность!$D$16)</f>
        <v>0</v>
      </c>
      <c s="125">
        <f>Предпосылки!AO184*(1+Чувствительность!$D$16)</f>
        <v>0</v>
      </c>
      <c s="125">
        <f>Предпосылки!AP184*(1+Чувствительность!$D$16)</f>
        <v>0</v>
      </c>
      <c s="125">
        <f>Предпосылки!AQ184*(1+Чувствительность!$D$16)</f>
        <v>0</v>
      </c>
      <c s="125">
        <f>Предпосылки!AR184*(1+Чувствительность!$D$16)</f>
        <v>0</v>
      </c>
      <c s="125">
        <f>Предпосылки!AS184*(1+Чувствительность!$D$16)</f>
        <v>0</v>
      </c>
      <c s="125">
        <f>Предпосылки!AT184*(1+Чувствительность!$D$16)</f>
        <v>0</v>
      </c>
      <c s="125">
        <f>Предпосылки!AU184*(1+Чувствительность!$D$16)</f>
        <v>0</v>
      </c>
      <c s="125">
        <f>Предпосылки!AV184*(1+Чувствительность!$D$16)</f>
        <v>0</v>
      </c>
      <c s="125">
        <f>Предпосылки!AW184*(1+Чувствительность!$D$16)</f>
        <v>0</v>
      </c>
      <c s="125">
        <f>Предпосылки!AX184*(1+Чувствительность!$D$16)</f>
        <v>0</v>
      </c>
      <c s="125">
        <f>Предпосылки!AY184*(1+Чувствительность!$D$16)</f>
        <v>0</v>
      </c>
      <c s="125">
        <f>Предпосылки!AZ184*(1+Чувствительность!$D$16)</f>
        <v>0</v>
      </c>
      <c s="125">
        <f>Предпосылки!BA184*(1+Чувствительность!$D$16)</f>
        <v>0</v>
      </c>
      <c s="125">
        <f>Предпосылки!BB184*(1+Чувствительность!$D$16)</f>
        <v>0</v>
      </c>
      <c s="125">
        <f>Предпосылки!BC184*(1+Чувствительность!$D$16)</f>
        <v>0</v>
      </c>
      <c s="125">
        <f>Предпосылки!BD184*(1+Чувствительность!$D$16)</f>
        <v>0</v>
      </c>
      <c s="125">
        <f>Предпосылки!BE184*(1+Чувствительность!$D$16)</f>
        <v>0</v>
      </c>
      <c s="125">
        <f>Предпосылки!BF184*(1+Чувствительность!$D$16)</f>
        <v>0</v>
      </c>
      <c s="125">
        <f>Предпосылки!BG184*(1+Чувствительность!$D$16)</f>
        <v>0</v>
      </c>
      <c s="125">
        <f>Предпосылки!BH184*(1+Чувствительность!$D$16)</f>
        <v>0</v>
      </c>
      <c s="125">
        <f>Предпосылки!BI184*(1+Чувствительность!$D$16)</f>
        <v>0</v>
      </c>
      <c s="125">
        <f>Предпосылки!BJ184*(1+Чувствительность!$D$16)</f>
        <v>0</v>
      </c>
      <c s="125">
        <f>Предпосылки!BK184*(1+Чувствительность!$D$16)</f>
        <v>0</v>
      </c>
      <c s="125">
        <f>Предпосылки!BL184*(1+Чувствительность!$D$16)</f>
        <v>0</v>
      </c>
    </row>
    <row r="28" spans="2:65" ht="15" customHeight="1">
      <c r="B28" s="12" t="str">
        <f>Предпосылки!B160</f>
        <v>Продукт 11</v>
      </c>
      <c s="124" t="str">
        <f>IF(ISBLANK(Предпосылки!C132),"-",Предпосылки!C132)</f>
        <v>-</v>
      </c>
      <c s="276">
        <f t="shared" si="3"/>
        <v>0</v>
      </c>
      <c s="125">
        <f>Предпосылки!D185*(1+Чувствительность!$D$16)</f>
        <v>0</v>
      </c>
      <c s="125">
        <f>Предпосылки!E185*(1+Чувствительность!$D$16)</f>
        <v>0</v>
      </c>
      <c s="125">
        <f>Предпосылки!F185*(1+Чувствительность!$D$16)</f>
        <v>0</v>
      </c>
      <c s="125">
        <f>Предпосылки!G185*(1+Чувствительность!$D$16)</f>
        <v>0</v>
      </c>
      <c s="125">
        <f>Предпосылки!H185*(1+Чувствительность!$D$16)</f>
        <v>0</v>
      </c>
      <c s="125">
        <f>Предпосылки!I185*(1+Чувствительность!$D$16)</f>
        <v>0</v>
      </c>
      <c s="125">
        <f>Предпосылки!J185*(1+Чувствительность!$D$16)</f>
        <v>0</v>
      </c>
      <c s="125">
        <f>Предпосылки!K185*(1+Чувствительность!$D$16)</f>
        <v>0</v>
      </c>
      <c s="125">
        <f>Предпосылки!L185*(1+Чувствительность!$D$16)</f>
        <v>0</v>
      </c>
      <c s="125">
        <f>Предпосылки!M185*(1+Чувствительность!$D$16)</f>
        <v>0</v>
      </c>
      <c s="125">
        <f>Предпосылки!N185*(1+Чувствительность!$D$16)</f>
        <v>0</v>
      </c>
      <c s="125">
        <f>Предпосылки!O185*(1+Чувствительность!$D$16)</f>
        <v>0</v>
      </c>
      <c s="125">
        <f>Предпосылки!P185*(1+Чувствительность!$D$16)</f>
        <v>0</v>
      </c>
      <c s="125">
        <f>Предпосылки!Q185*(1+Чувствительность!$D$16)</f>
        <v>0</v>
      </c>
      <c s="125">
        <f>Предпосылки!R185*(1+Чувствительность!$D$16)</f>
        <v>0</v>
      </c>
      <c s="125">
        <f>Предпосылки!S185*(1+Чувствительность!$D$16)</f>
        <v>0</v>
      </c>
      <c s="125">
        <f>Предпосылки!T185*(1+Чувствительность!$D$16)</f>
        <v>0</v>
      </c>
      <c s="125">
        <f>Предпосылки!U185*(1+Чувствительность!$D$16)</f>
        <v>0</v>
      </c>
      <c s="125">
        <f>Предпосылки!V185*(1+Чувствительность!$D$16)</f>
        <v>0</v>
      </c>
      <c s="125">
        <f>Предпосылки!W185*(1+Чувствительность!$D$16)</f>
        <v>0</v>
      </c>
      <c s="125">
        <f>Предпосылки!X185*(1+Чувствительность!$D$16)</f>
        <v>0</v>
      </c>
      <c s="125">
        <f>Предпосылки!Y185*(1+Чувствительность!$D$16)</f>
        <v>0</v>
      </c>
      <c s="125">
        <f>Предпосылки!Z185*(1+Чувствительность!$D$16)</f>
        <v>0</v>
      </c>
      <c s="125">
        <f>Предпосылки!AA185*(1+Чувствительность!$D$16)</f>
        <v>0</v>
      </c>
      <c s="125">
        <f>Предпосылки!AB185*(1+Чувствительность!$D$16)</f>
        <v>0</v>
      </c>
      <c s="125">
        <f>Предпосылки!AC185*(1+Чувствительность!$D$16)</f>
        <v>0</v>
      </c>
      <c s="125">
        <f>Предпосылки!AD185*(1+Чувствительность!$D$16)</f>
        <v>0</v>
      </c>
      <c s="125">
        <f>Предпосылки!AE185*(1+Чувствительность!$D$16)</f>
        <v>0</v>
      </c>
      <c s="125">
        <f>Предпосылки!AF185*(1+Чувствительность!$D$16)</f>
        <v>0</v>
      </c>
      <c s="125">
        <f>Предпосылки!AG185*(1+Чувствительность!$D$16)</f>
        <v>0</v>
      </c>
      <c s="125">
        <f>Предпосылки!AH185*(1+Чувствительность!$D$16)</f>
        <v>0</v>
      </c>
      <c s="125">
        <f>Предпосылки!AI185*(1+Чувствительность!$D$16)</f>
        <v>0</v>
      </c>
      <c s="125">
        <f>Предпосылки!AJ185*(1+Чувствительность!$D$16)</f>
        <v>0</v>
      </c>
      <c s="125">
        <f>Предпосылки!AK185*(1+Чувствительность!$D$16)</f>
        <v>0</v>
      </c>
      <c s="125">
        <f>Предпосылки!AL185*(1+Чувствительность!$D$16)</f>
        <v>0</v>
      </c>
      <c s="125">
        <f>Предпосылки!AM185*(1+Чувствительность!$D$16)</f>
        <v>0</v>
      </c>
      <c s="125">
        <f>Предпосылки!AN185*(1+Чувствительность!$D$16)</f>
        <v>0</v>
      </c>
      <c s="125">
        <f>Предпосылки!AO185*(1+Чувствительность!$D$16)</f>
        <v>0</v>
      </c>
      <c s="125">
        <f>Предпосылки!AP185*(1+Чувствительность!$D$16)</f>
        <v>0</v>
      </c>
      <c s="125">
        <f>Предпосылки!AQ185*(1+Чувствительность!$D$16)</f>
        <v>0</v>
      </c>
      <c s="125">
        <f>Предпосылки!AR185*(1+Чувствительность!$D$16)</f>
        <v>0</v>
      </c>
      <c s="125">
        <f>Предпосылки!AS185*(1+Чувствительность!$D$16)</f>
        <v>0</v>
      </c>
      <c s="125">
        <f>Предпосылки!AT185*(1+Чувствительность!$D$16)</f>
        <v>0</v>
      </c>
      <c s="125">
        <f>Предпосылки!AU185*(1+Чувствительность!$D$16)</f>
        <v>0</v>
      </c>
      <c s="125">
        <f>Предпосылки!AV185*(1+Чувствительность!$D$16)</f>
        <v>0</v>
      </c>
      <c s="125">
        <f>Предпосылки!AW185*(1+Чувствительность!$D$16)</f>
        <v>0</v>
      </c>
      <c s="125">
        <f>Предпосылки!AX185*(1+Чувствительность!$D$16)</f>
        <v>0</v>
      </c>
      <c s="125">
        <f>Предпосылки!AY185*(1+Чувствительность!$D$16)</f>
        <v>0</v>
      </c>
      <c s="125">
        <f>Предпосылки!AZ185*(1+Чувствительность!$D$16)</f>
        <v>0</v>
      </c>
      <c s="125">
        <f>Предпосылки!BA185*(1+Чувствительность!$D$16)</f>
        <v>0</v>
      </c>
      <c s="125">
        <f>Предпосылки!BB185*(1+Чувствительность!$D$16)</f>
        <v>0</v>
      </c>
      <c s="125">
        <f>Предпосылки!BC185*(1+Чувствительность!$D$16)</f>
        <v>0</v>
      </c>
      <c s="125">
        <f>Предпосылки!BD185*(1+Чувствительность!$D$16)</f>
        <v>0</v>
      </c>
      <c s="125">
        <f>Предпосылки!BE185*(1+Чувствительность!$D$16)</f>
        <v>0</v>
      </c>
      <c s="125">
        <f>Предпосылки!BF185*(1+Чувствительность!$D$16)</f>
        <v>0</v>
      </c>
      <c s="125">
        <f>Предпосылки!BG185*(1+Чувствительность!$D$16)</f>
        <v>0</v>
      </c>
      <c s="125">
        <f>Предпосылки!BH185*(1+Чувствительность!$D$16)</f>
        <v>0</v>
      </c>
      <c s="125">
        <f>Предпосылки!BI185*(1+Чувствительность!$D$16)</f>
        <v>0</v>
      </c>
      <c s="125">
        <f>Предпосылки!BJ185*(1+Чувствительность!$D$16)</f>
        <v>0</v>
      </c>
      <c s="125">
        <f>Предпосылки!BK185*(1+Чувствительность!$D$16)</f>
        <v>0</v>
      </c>
      <c s="125">
        <f>Предпосылки!BL185*(1+Чувствительность!$D$16)</f>
        <v>0</v>
      </c>
    </row>
    <row r="29" spans="2:65" ht="15" customHeight="1">
      <c r="B29" s="12" t="str">
        <f>Предпосылки!B161</f>
        <v>Продукт 12</v>
      </c>
      <c s="124" t="str">
        <f>IF(ISBLANK(Предпосылки!C133),"-",Предпосылки!C133)</f>
        <v>-</v>
      </c>
      <c s="276">
        <f t="shared" si="3"/>
        <v>0</v>
      </c>
      <c s="125">
        <f>Предпосылки!D186*(1+Чувствительность!$D$16)</f>
        <v>0</v>
      </c>
      <c s="125">
        <f>Предпосылки!E186*(1+Чувствительность!$D$16)</f>
        <v>0</v>
      </c>
      <c s="125">
        <f>Предпосылки!F186*(1+Чувствительность!$D$16)</f>
        <v>0</v>
      </c>
      <c s="125">
        <f>Предпосылки!G186*(1+Чувствительность!$D$16)</f>
        <v>0</v>
      </c>
      <c s="125">
        <f>Предпосылки!H186*(1+Чувствительность!$D$16)</f>
        <v>0</v>
      </c>
      <c s="125">
        <f>Предпосылки!I186*(1+Чувствительность!$D$16)</f>
        <v>0</v>
      </c>
      <c s="125">
        <f>Предпосылки!J186*(1+Чувствительность!$D$16)</f>
        <v>0</v>
      </c>
      <c s="125">
        <f>Предпосылки!K186*(1+Чувствительность!$D$16)</f>
        <v>0</v>
      </c>
      <c s="125">
        <f>Предпосылки!L186*(1+Чувствительность!$D$16)</f>
        <v>0</v>
      </c>
      <c s="125">
        <f>Предпосылки!M186*(1+Чувствительность!$D$16)</f>
        <v>0</v>
      </c>
      <c s="125">
        <f>Предпосылки!N186*(1+Чувствительность!$D$16)</f>
        <v>0</v>
      </c>
      <c s="125">
        <f>Предпосылки!O186*(1+Чувствительность!$D$16)</f>
        <v>0</v>
      </c>
      <c s="125">
        <f>Предпосылки!P186*(1+Чувствительность!$D$16)</f>
        <v>0</v>
      </c>
      <c s="125">
        <f>Предпосылки!Q186*(1+Чувствительность!$D$16)</f>
        <v>0</v>
      </c>
      <c s="125">
        <f>Предпосылки!R186*(1+Чувствительность!$D$16)</f>
        <v>0</v>
      </c>
      <c s="125">
        <f>Предпосылки!S186*(1+Чувствительность!$D$16)</f>
        <v>0</v>
      </c>
      <c s="125">
        <f>Предпосылки!T186*(1+Чувствительность!$D$16)</f>
        <v>0</v>
      </c>
      <c s="125">
        <f>Предпосылки!U186*(1+Чувствительность!$D$16)</f>
        <v>0</v>
      </c>
      <c s="125">
        <f>Предпосылки!V186*(1+Чувствительность!$D$16)</f>
        <v>0</v>
      </c>
      <c s="125">
        <f>Предпосылки!W186*(1+Чувствительность!$D$16)</f>
        <v>0</v>
      </c>
      <c s="125">
        <f>Предпосылки!X186*(1+Чувствительность!$D$16)</f>
        <v>0</v>
      </c>
      <c s="125">
        <f>Предпосылки!Y186*(1+Чувствительность!$D$16)</f>
        <v>0</v>
      </c>
      <c s="125">
        <f>Предпосылки!Z186*(1+Чувствительность!$D$16)</f>
        <v>0</v>
      </c>
      <c s="125">
        <f>Предпосылки!AA186*(1+Чувствительность!$D$16)</f>
        <v>0</v>
      </c>
      <c s="125">
        <f>Предпосылки!AB186*(1+Чувствительность!$D$16)</f>
        <v>0</v>
      </c>
      <c s="125">
        <f>Предпосылки!AC186*(1+Чувствительность!$D$16)</f>
        <v>0</v>
      </c>
      <c s="125">
        <f>Предпосылки!AD186*(1+Чувствительность!$D$16)</f>
        <v>0</v>
      </c>
      <c s="125">
        <f>Предпосылки!AE186*(1+Чувствительность!$D$16)</f>
        <v>0</v>
      </c>
      <c s="125">
        <f>Предпосылки!AF186*(1+Чувствительность!$D$16)</f>
        <v>0</v>
      </c>
      <c s="125">
        <f>Предпосылки!AG186*(1+Чувствительность!$D$16)</f>
        <v>0</v>
      </c>
      <c s="125">
        <f>Предпосылки!AH186*(1+Чувствительность!$D$16)</f>
        <v>0</v>
      </c>
      <c s="125">
        <f>Предпосылки!AI186*(1+Чувствительность!$D$16)</f>
        <v>0</v>
      </c>
      <c s="125">
        <f>Предпосылки!AJ186*(1+Чувствительность!$D$16)</f>
        <v>0</v>
      </c>
      <c s="125">
        <f>Предпосылки!AK186*(1+Чувствительность!$D$16)</f>
        <v>0</v>
      </c>
      <c s="125">
        <f>Предпосылки!AL186*(1+Чувствительность!$D$16)</f>
        <v>0</v>
      </c>
      <c s="125">
        <f>Предпосылки!AM186*(1+Чувствительность!$D$16)</f>
        <v>0</v>
      </c>
      <c s="125">
        <f>Предпосылки!AN186*(1+Чувствительность!$D$16)</f>
        <v>0</v>
      </c>
      <c s="125">
        <f>Предпосылки!AO186*(1+Чувствительность!$D$16)</f>
        <v>0</v>
      </c>
      <c s="125">
        <f>Предпосылки!AP186*(1+Чувствительность!$D$16)</f>
        <v>0</v>
      </c>
      <c s="125">
        <f>Предпосылки!AQ186*(1+Чувствительность!$D$16)</f>
        <v>0</v>
      </c>
      <c s="125">
        <f>Предпосылки!AR186*(1+Чувствительность!$D$16)</f>
        <v>0</v>
      </c>
      <c s="125">
        <f>Предпосылки!AS186*(1+Чувствительность!$D$16)</f>
        <v>0</v>
      </c>
      <c s="125">
        <f>Предпосылки!AT186*(1+Чувствительность!$D$16)</f>
        <v>0</v>
      </c>
      <c s="125">
        <f>Предпосылки!AU186*(1+Чувствительность!$D$16)</f>
        <v>0</v>
      </c>
      <c s="125">
        <f>Предпосылки!AV186*(1+Чувствительность!$D$16)</f>
        <v>0</v>
      </c>
      <c s="125">
        <f>Предпосылки!AW186*(1+Чувствительность!$D$16)</f>
        <v>0</v>
      </c>
      <c s="125">
        <f>Предпосылки!AX186*(1+Чувствительность!$D$16)</f>
        <v>0</v>
      </c>
      <c s="125">
        <f>Предпосылки!AY186*(1+Чувствительность!$D$16)</f>
        <v>0</v>
      </c>
      <c s="125">
        <f>Предпосылки!AZ186*(1+Чувствительность!$D$16)</f>
        <v>0</v>
      </c>
      <c s="125">
        <f>Предпосылки!BA186*(1+Чувствительность!$D$16)</f>
        <v>0</v>
      </c>
      <c s="125">
        <f>Предпосылки!BB186*(1+Чувствительность!$D$16)</f>
        <v>0</v>
      </c>
      <c s="125">
        <f>Предпосылки!BC186*(1+Чувствительность!$D$16)</f>
        <v>0</v>
      </c>
      <c s="125">
        <f>Предпосылки!BD186*(1+Чувствительность!$D$16)</f>
        <v>0</v>
      </c>
      <c s="125">
        <f>Предпосылки!BE186*(1+Чувствительность!$D$16)</f>
        <v>0</v>
      </c>
      <c s="125">
        <f>Предпосылки!BF186*(1+Чувствительность!$D$16)</f>
        <v>0</v>
      </c>
      <c s="125">
        <f>Предпосылки!BG186*(1+Чувствительность!$D$16)</f>
        <v>0</v>
      </c>
      <c s="125">
        <f>Предпосылки!BH186*(1+Чувствительность!$D$16)</f>
        <v>0</v>
      </c>
      <c s="125">
        <f>Предпосылки!BI186*(1+Чувствительность!$D$16)</f>
        <v>0</v>
      </c>
      <c s="125">
        <f>Предпосылки!BJ186*(1+Чувствительность!$D$16)</f>
        <v>0</v>
      </c>
      <c s="125">
        <f>Предпосылки!BK186*(1+Чувствительность!$D$16)</f>
        <v>0</v>
      </c>
      <c s="125">
        <f>Предпосылки!BL186*(1+Чувствительность!$D$16)</f>
        <v>0</v>
      </c>
    </row>
    <row r="30" spans="2:65" ht="15" customHeight="1">
      <c r="B30" s="12" t="str">
        <f>Предпосылки!B162</f>
        <v>Продукт 13</v>
      </c>
      <c s="124" t="str">
        <f>IF(ISBLANK(Предпосылки!C134),"-",Предпосылки!C134)</f>
        <v>-</v>
      </c>
      <c s="276">
        <f t="shared" si="3"/>
        <v>0</v>
      </c>
      <c s="125">
        <f>Предпосылки!D187*(1+Чувствительность!$D$16)</f>
        <v>0</v>
      </c>
      <c s="125">
        <f>Предпосылки!E187*(1+Чувствительность!$D$16)</f>
        <v>0</v>
      </c>
      <c s="125">
        <f>Предпосылки!F187*(1+Чувствительность!$D$16)</f>
        <v>0</v>
      </c>
      <c s="125">
        <f>Предпосылки!G187*(1+Чувствительность!$D$16)</f>
        <v>0</v>
      </c>
      <c s="125">
        <f>Предпосылки!H187*(1+Чувствительность!$D$16)</f>
        <v>0</v>
      </c>
      <c s="125">
        <f>Предпосылки!I187*(1+Чувствительность!$D$16)</f>
        <v>0</v>
      </c>
      <c s="125">
        <f>Предпосылки!J187*(1+Чувствительность!$D$16)</f>
        <v>0</v>
      </c>
      <c s="125">
        <f>Предпосылки!K187*(1+Чувствительность!$D$16)</f>
        <v>0</v>
      </c>
      <c s="125">
        <f>Предпосылки!L187*(1+Чувствительность!$D$16)</f>
        <v>0</v>
      </c>
      <c s="125">
        <f>Предпосылки!M187*(1+Чувствительность!$D$16)</f>
        <v>0</v>
      </c>
      <c s="125">
        <f>Предпосылки!N187*(1+Чувствительность!$D$16)</f>
        <v>0</v>
      </c>
      <c s="125">
        <f>Предпосылки!O187*(1+Чувствительность!$D$16)</f>
        <v>0</v>
      </c>
      <c s="125">
        <f>Предпосылки!P187*(1+Чувствительность!$D$16)</f>
        <v>0</v>
      </c>
      <c s="125">
        <f>Предпосылки!Q187*(1+Чувствительность!$D$16)</f>
        <v>0</v>
      </c>
      <c s="125">
        <f>Предпосылки!R187*(1+Чувствительность!$D$16)</f>
        <v>0</v>
      </c>
      <c s="125">
        <f>Предпосылки!S187*(1+Чувствительность!$D$16)</f>
        <v>0</v>
      </c>
      <c s="125">
        <f>Предпосылки!T187*(1+Чувствительность!$D$16)</f>
        <v>0</v>
      </c>
      <c s="125">
        <f>Предпосылки!U187*(1+Чувствительность!$D$16)</f>
        <v>0</v>
      </c>
      <c s="125">
        <f>Предпосылки!V187*(1+Чувствительность!$D$16)</f>
        <v>0</v>
      </c>
      <c s="125">
        <f>Предпосылки!W187*(1+Чувствительность!$D$16)</f>
        <v>0</v>
      </c>
      <c s="125">
        <f>Предпосылки!X187*(1+Чувствительность!$D$16)</f>
        <v>0</v>
      </c>
      <c s="125">
        <f>Предпосылки!Y187*(1+Чувствительность!$D$16)</f>
        <v>0</v>
      </c>
      <c s="125">
        <f>Предпосылки!Z187*(1+Чувствительность!$D$16)</f>
        <v>0</v>
      </c>
      <c s="125">
        <f>Предпосылки!AA187*(1+Чувствительность!$D$16)</f>
        <v>0</v>
      </c>
      <c s="125">
        <f>Предпосылки!AB187*(1+Чувствительность!$D$16)</f>
        <v>0</v>
      </c>
      <c s="125">
        <f>Предпосылки!AC187*(1+Чувствительность!$D$16)</f>
        <v>0</v>
      </c>
      <c s="125">
        <f>Предпосылки!AD187*(1+Чувствительность!$D$16)</f>
        <v>0</v>
      </c>
      <c s="125">
        <f>Предпосылки!AE187*(1+Чувствительность!$D$16)</f>
        <v>0</v>
      </c>
      <c s="125">
        <f>Предпосылки!AF187*(1+Чувствительность!$D$16)</f>
        <v>0</v>
      </c>
      <c s="125">
        <f>Предпосылки!AG187*(1+Чувствительность!$D$16)</f>
        <v>0</v>
      </c>
      <c s="125">
        <f>Предпосылки!AH187*(1+Чувствительность!$D$16)</f>
        <v>0</v>
      </c>
      <c s="125">
        <f>Предпосылки!AI187*(1+Чувствительность!$D$16)</f>
        <v>0</v>
      </c>
      <c s="125">
        <f>Предпосылки!AJ187*(1+Чувствительность!$D$16)</f>
        <v>0</v>
      </c>
      <c s="125">
        <f>Предпосылки!AK187*(1+Чувствительность!$D$16)</f>
        <v>0</v>
      </c>
      <c s="125">
        <f>Предпосылки!AL187*(1+Чувствительность!$D$16)</f>
        <v>0</v>
      </c>
      <c s="125">
        <f>Предпосылки!AM187*(1+Чувствительность!$D$16)</f>
        <v>0</v>
      </c>
      <c s="125">
        <f>Предпосылки!AN187*(1+Чувствительность!$D$16)</f>
        <v>0</v>
      </c>
      <c s="125">
        <f>Предпосылки!AO187*(1+Чувствительность!$D$16)</f>
        <v>0</v>
      </c>
      <c s="125">
        <f>Предпосылки!AP187*(1+Чувствительность!$D$16)</f>
        <v>0</v>
      </c>
      <c s="125">
        <f>Предпосылки!AQ187*(1+Чувствительность!$D$16)</f>
        <v>0</v>
      </c>
      <c s="125">
        <f>Предпосылки!AR187*(1+Чувствительность!$D$16)</f>
        <v>0</v>
      </c>
      <c s="125">
        <f>Предпосылки!AS187*(1+Чувствительность!$D$16)</f>
        <v>0</v>
      </c>
      <c s="125">
        <f>Предпосылки!AT187*(1+Чувствительность!$D$16)</f>
        <v>0</v>
      </c>
      <c s="125">
        <f>Предпосылки!AU187*(1+Чувствительность!$D$16)</f>
        <v>0</v>
      </c>
      <c s="125">
        <f>Предпосылки!AV187*(1+Чувствительность!$D$16)</f>
        <v>0</v>
      </c>
      <c s="125">
        <f>Предпосылки!AW187*(1+Чувствительность!$D$16)</f>
        <v>0</v>
      </c>
      <c s="125">
        <f>Предпосылки!AX187*(1+Чувствительность!$D$16)</f>
        <v>0</v>
      </c>
      <c s="125">
        <f>Предпосылки!AY187*(1+Чувствительность!$D$16)</f>
        <v>0</v>
      </c>
      <c s="125">
        <f>Предпосылки!AZ187*(1+Чувствительность!$D$16)</f>
        <v>0</v>
      </c>
      <c s="125">
        <f>Предпосылки!BA187*(1+Чувствительность!$D$16)</f>
        <v>0</v>
      </c>
      <c s="125">
        <f>Предпосылки!BB187*(1+Чувствительность!$D$16)</f>
        <v>0</v>
      </c>
      <c s="125">
        <f>Предпосылки!BC187*(1+Чувствительность!$D$16)</f>
        <v>0</v>
      </c>
      <c s="125">
        <f>Предпосылки!BD187*(1+Чувствительность!$D$16)</f>
        <v>0</v>
      </c>
      <c s="125">
        <f>Предпосылки!BE187*(1+Чувствительность!$D$16)</f>
        <v>0</v>
      </c>
      <c s="125">
        <f>Предпосылки!BF187*(1+Чувствительность!$D$16)</f>
        <v>0</v>
      </c>
      <c s="125">
        <f>Предпосылки!BG187*(1+Чувствительность!$D$16)</f>
        <v>0</v>
      </c>
      <c s="125">
        <f>Предпосылки!BH187*(1+Чувствительность!$D$16)</f>
        <v>0</v>
      </c>
      <c s="125">
        <f>Предпосылки!BI187*(1+Чувствительность!$D$16)</f>
        <v>0</v>
      </c>
      <c s="125">
        <f>Предпосылки!BJ187*(1+Чувствительность!$D$16)</f>
        <v>0</v>
      </c>
      <c s="125">
        <f>Предпосылки!BK187*(1+Чувствительность!$D$16)</f>
        <v>0</v>
      </c>
      <c s="125">
        <f>Предпосылки!BL187*(1+Чувствительность!$D$16)</f>
        <v>0</v>
      </c>
    </row>
    <row r="31" spans="2:65" ht="15" customHeight="1">
      <c r="B31" s="12" t="str">
        <f>Предпосылки!B163</f>
        <v>Продукт 14</v>
      </c>
      <c s="124" t="str">
        <f>IF(ISBLANK(Предпосылки!C135),"-",Предпосылки!C135)</f>
        <v>-</v>
      </c>
      <c s="276">
        <f t="shared" si="3"/>
        <v>0</v>
      </c>
      <c s="125">
        <f>Предпосылки!D188*(1+Чувствительность!$D$16)</f>
        <v>0</v>
      </c>
      <c s="125">
        <f>Предпосылки!E188*(1+Чувствительность!$D$16)</f>
        <v>0</v>
      </c>
      <c s="125">
        <f>Предпосылки!F188*(1+Чувствительность!$D$16)</f>
        <v>0</v>
      </c>
      <c s="125">
        <f>Предпосылки!G188*(1+Чувствительность!$D$16)</f>
        <v>0</v>
      </c>
      <c s="125">
        <f>Предпосылки!H188*(1+Чувствительность!$D$16)</f>
        <v>0</v>
      </c>
      <c s="125">
        <f>Предпосылки!I188*(1+Чувствительность!$D$16)</f>
        <v>0</v>
      </c>
      <c s="125">
        <f>Предпосылки!J188*(1+Чувствительность!$D$16)</f>
        <v>0</v>
      </c>
      <c s="125">
        <f>Предпосылки!K188*(1+Чувствительность!$D$16)</f>
        <v>0</v>
      </c>
      <c s="125">
        <f>Предпосылки!L188*(1+Чувствительность!$D$16)</f>
        <v>0</v>
      </c>
      <c s="125">
        <f>Предпосылки!M188*(1+Чувствительность!$D$16)</f>
        <v>0</v>
      </c>
      <c s="125">
        <f>Предпосылки!N188*(1+Чувствительность!$D$16)</f>
        <v>0</v>
      </c>
      <c s="125">
        <f>Предпосылки!O188*(1+Чувствительность!$D$16)</f>
        <v>0</v>
      </c>
      <c s="125">
        <f>Предпосылки!P188*(1+Чувствительность!$D$16)</f>
        <v>0</v>
      </c>
      <c s="125">
        <f>Предпосылки!Q188*(1+Чувствительность!$D$16)</f>
        <v>0</v>
      </c>
      <c s="125">
        <f>Предпосылки!R188*(1+Чувствительность!$D$16)</f>
        <v>0</v>
      </c>
      <c s="125">
        <f>Предпосылки!S188*(1+Чувствительность!$D$16)</f>
        <v>0</v>
      </c>
      <c s="125">
        <f>Предпосылки!T188*(1+Чувствительность!$D$16)</f>
        <v>0</v>
      </c>
      <c s="125">
        <f>Предпосылки!U188*(1+Чувствительность!$D$16)</f>
        <v>0</v>
      </c>
      <c s="125">
        <f>Предпосылки!V188*(1+Чувствительность!$D$16)</f>
        <v>0</v>
      </c>
      <c s="125">
        <f>Предпосылки!W188*(1+Чувствительность!$D$16)</f>
        <v>0</v>
      </c>
      <c s="125">
        <f>Предпосылки!X188*(1+Чувствительность!$D$16)</f>
        <v>0</v>
      </c>
      <c s="125">
        <f>Предпосылки!Y188*(1+Чувствительность!$D$16)</f>
        <v>0</v>
      </c>
      <c s="125">
        <f>Предпосылки!Z188*(1+Чувствительность!$D$16)</f>
        <v>0</v>
      </c>
      <c s="125">
        <f>Предпосылки!AA188*(1+Чувствительность!$D$16)</f>
        <v>0</v>
      </c>
      <c s="125">
        <f>Предпосылки!AB188*(1+Чувствительность!$D$16)</f>
        <v>0</v>
      </c>
      <c s="125">
        <f>Предпосылки!AC188*(1+Чувствительность!$D$16)</f>
        <v>0</v>
      </c>
      <c s="125">
        <f>Предпосылки!AD188*(1+Чувствительность!$D$16)</f>
        <v>0</v>
      </c>
      <c s="125">
        <f>Предпосылки!AE188*(1+Чувствительность!$D$16)</f>
        <v>0</v>
      </c>
      <c s="125">
        <f>Предпосылки!AF188*(1+Чувствительность!$D$16)</f>
        <v>0</v>
      </c>
      <c s="125">
        <f>Предпосылки!AG188*(1+Чувствительность!$D$16)</f>
        <v>0</v>
      </c>
      <c s="125">
        <f>Предпосылки!AH188*(1+Чувствительность!$D$16)</f>
        <v>0</v>
      </c>
      <c s="125">
        <f>Предпосылки!AI188*(1+Чувствительность!$D$16)</f>
        <v>0</v>
      </c>
      <c s="125">
        <f>Предпосылки!AJ188*(1+Чувствительность!$D$16)</f>
        <v>0</v>
      </c>
      <c s="125">
        <f>Предпосылки!AK188*(1+Чувствительность!$D$16)</f>
        <v>0</v>
      </c>
      <c s="125">
        <f>Предпосылки!AL188*(1+Чувствительность!$D$16)</f>
        <v>0</v>
      </c>
      <c s="125">
        <f>Предпосылки!AM188*(1+Чувствительность!$D$16)</f>
        <v>0</v>
      </c>
      <c s="125">
        <f>Предпосылки!AN188*(1+Чувствительность!$D$16)</f>
        <v>0</v>
      </c>
      <c s="125">
        <f>Предпосылки!AO188*(1+Чувствительность!$D$16)</f>
        <v>0</v>
      </c>
      <c s="125">
        <f>Предпосылки!AP188*(1+Чувствительность!$D$16)</f>
        <v>0</v>
      </c>
      <c s="125">
        <f>Предпосылки!AQ188*(1+Чувствительность!$D$16)</f>
        <v>0</v>
      </c>
      <c s="125">
        <f>Предпосылки!AR188*(1+Чувствительность!$D$16)</f>
        <v>0</v>
      </c>
      <c s="125">
        <f>Предпосылки!AS188*(1+Чувствительность!$D$16)</f>
        <v>0</v>
      </c>
      <c s="125">
        <f>Предпосылки!AT188*(1+Чувствительность!$D$16)</f>
        <v>0</v>
      </c>
      <c s="125">
        <f>Предпосылки!AU188*(1+Чувствительность!$D$16)</f>
        <v>0</v>
      </c>
      <c s="125">
        <f>Предпосылки!AV188*(1+Чувствительность!$D$16)</f>
        <v>0</v>
      </c>
      <c s="125">
        <f>Предпосылки!AW188*(1+Чувствительность!$D$16)</f>
        <v>0</v>
      </c>
      <c s="125">
        <f>Предпосылки!AX188*(1+Чувствительность!$D$16)</f>
        <v>0</v>
      </c>
      <c s="125">
        <f>Предпосылки!AY188*(1+Чувствительность!$D$16)</f>
        <v>0</v>
      </c>
      <c s="125">
        <f>Предпосылки!AZ188*(1+Чувствительность!$D$16)</f>
        <v>0</v>
      </c>
      <c s="125">
        <f>Предпосылки!BA188*(1+Чувствительность!$D$16)</f>
        <v>0</v>
      </c>
      <c s="125">
        <f>Предпосылки!BB188*(1+Чувствительность!$D$16)</f>
        <v>0</v>
      </c>
      <c s="125">
        <f>Предпосылки!BC188*(1+Чувствительность!$D$16)</f>
        <v>0</v>
      </c>
      <c s="125">
        <f>Предпосылки!BD188*(1+Чувствительность!$D$16)</f>
        <v>0</v>
      </c>
      <c s="125">
        <f>Предпосылки!BE188*(1+Чувствительность!$D$16)</f>
        <v>0</v>
      </c>
      <c s="125">
        <f>Предпосылки!BF188*(1+Чувствительность!$D$16)</f>
        <v>0</v>
      </c>
      <c s="125">
        <f>Предпосылки!BG188*(1+Чувствительность!$D$16)</f>
        <v>0</v>
      </c>
      <c s="125">
        <f>Предпосылки!BH188*(1+Чувствительность!$D$16)</f>
        <v>0</v>
      </c>
      <c s="125">
        <f>Предпосылки!BI188*(1+Чувствительность!$D$16)</f>
        <v>0</v>
      </c>
      <c s="125">
        <f>Предпосылки!BJ188*(1+Чувствительность!$D$16)</f>
        <v>0</v>
      </c>
      <c s="125">
        <f>Предпосылки!BK188*(1+Чувствительность!$D$16)</f>
        <v>0</v>
      </c>
      <c s="125">
        <f>Предпосылки!BL188*(1+Чувствительность!$D$16)</f>
        <v>0</v>
      </c>
    </row>
    <row r="32" spans="2:65" ht="15" customHeight="1">
      <c r="B32" s="12" t="str">
        <f>Предпосылки!B164</f>
        <v>Продукт 15</v>
      </c>
      <c s="124" t="str">
        <f>IF(ISBLANK(Предпосылки!C136),"-",Предпосылки!C136)</f>
        <v>-</v>
      </c>
      <c s="276">
        <f t="shared" si="3"/>
        <v>0</v>
      </c>
      <c s="125">
        <f>Предпосылки!D189*(1+Чувствительность!$D$16)</f>
        <v>0</v>
      </c>
      <c s="125">
        <f>Предпосылки!E189*(1+Чувствительность!$D$16)</f>
        <v>0</v>
      </c>
      <c s="125">
        <f>Предпосылки!F189*(1+Чувствительность!$D$16)</f>
        <v>0</v>
      </c>
      <c s="125">
        <f>Предпосылки!G189*(1+Чувствительность!$D$16)</f>
        <v>0</v>
      </c>
      <c s="125">
        <f>Предпосылки!H189*(1+Чувствительность!$D$16)</f>
        <v>0</v>
      </c>
      <c s="125">
        <f>Предпосылки!I189*(1+Чувствительность!$D$16)</f>
        <v>0</v>
      </c>
      <c s="125">
        <f>Предпосылки!J189*(1+Чувствительность!$D$16)</f>
        <v>0</v>
      </c>
      <c s="125">
        <f>Предпосылки!K189*(1+Чувствительность!$D$16)</f>
        <v>0</v>
      </c>
      <c s="125">
        <f>Предпосылки!L189*(1+Чувствительность!$D$16)</f>
        <v>0</v>
      </c>
      <c s="125">
        <f>Предпосылки!M189*(1+Чувствительность!$D$16)</f>
        <v>0</v>
      </c>
      <c s="125">
        <f>Предпосылки!N189*(1+Чувствительность!$D$16)</f>
        <v>0</v>
      </c>
      <c s="125">
        <f>Предпосылки!O189*(1+Чувствительность!$D$16)</f>
        <v>0</v>
      </c>
      <c s="125">
        <f>Предпосылки!P189*(1+Чувствительность!$D$16)</f>
        <v>0</v>
      </c>
      <c s="125">
        <f>Предпосылки!Q189*(1+Чувствительность!$D$16)</f>
        <v>0</v>
      </c>
      <c s="125">
        <f>Предпосылки!R189*(1+Чувствительность!$D$16)</f>
        <v>0</v>
      </c>
      <c s="125">
        <f>Предпосылки!S189*(1+Чувствительность!$D$16)</f>
        <v>0</v>
      </c>
      <c s="125">
        <f>Предпосылки!T189*(1+Чувствительность!$D$16)</f>
        <v>0</v>
      </c>
      <c s="125">
        <f>Предпосылки!U189*(1+Чувствительность!$D$16)</f>
        <v>0</v>
      </c>
      <c s="125">
        <f>Предпосылки!V189*(1+Чувствительность!$D$16)</f>
        <v>0</v>
      </c>
      <c s="125">
        <f>Предпосылки!W189*(1+Чувствительность!$D$16)</f>
        <v>0</v>
      </c>
      <c s="125">
        <f>Предпосылки!X189*(1+Чувствительность!$D$16)</f>
        <v>0</v>
      </c>
      <c s="125">
        <f>Предпосылки!Y189*(1+Чувствительность!$D$16)</f>
        <v>0</v>
      </c>
      <c s="125">
        <f>Предпосылки!Z189*(1+Чувствительность!$D$16)</f>
        <v>0</v>
      </c>
      <c s="125">
        <f>Предпосылки!AA189*(1+Чувствительность!$D$16)</f>
        <v>0</v>
      </c>
      <c s="125">
        <f>Предпосылки!AB189*(1+Чувствительность!$D$16)</f>
        <v>0</v>
      </c>
      <c s="125">
        <f>Предпосылки!AC189*(1+Чувствительность!$D$16)</f>
        <v>0</v>
      </c>
      <c s="125">
        <f>Предпосылки!AD189*(1+Чувствительность!$D$16)</f>
        <v>0</v>
      </c>
      <c s="125">
        <f>Предпосылки!AE189*(1+Чувствительность!$D$16)</f>
        <v>0</v>
      </c>
      <c s="125">
        <f>Предпосылки!AF189*(1+Чувствительность!$D$16)</f>
        <v>0</v>
      </c>
      <c s="125">
        <f>Предпосылки!AG189*(1+Чувствительность!$D$16)</f>
        <v>0</v>
      </c>
      <c s="125">
        <f>Предпосылки!AH189*(1+Чувствительность!$D$16)</f>
        <v>0</v>
      </c>
      <c s="125">
        <f>Предпосылки!AI189*(1+Чувствительность!$D$16)</f>
        <v>0</v>
      </c>
      <c s="125">
        <f>Предпосылки!AJ189*(1+Чувствительность!$D$16)</f>
        <v>0</v>
      </c>
      <c s="125">
        <f>Предпосылки!AK189*(1+Чувствительность!$D$16)</f>
        <v>0</v>
      </c>
      <c s="125">
        <f>Предпосылки!AL189*(1+Чувствительность!$D$16)</f>
        <v>0</v>
      </c>
      <c s="125">
        <f>Предпосылки!AM189*(1+Чувствительность!$D$16)</f>
        <v>0</v>
      </c>
      <c s="125">
        <f>Предпосылки!AN189*(1+Чувствительность!$D$16)</f>
        <v>0</v>
      </c>
      <c s="125">
        <f>Предпосылки!AO189*(1+Чувствительность!$D$16)</f>
        <v>0</v>
      </c>
      <c s="125">
        <f>Предпосылки!AP189*(1+Чувствительность!$D$16)</f>
        <v>0</v>
      </c>
      <c s="125">
        <f>Предпосылки!AQ189*(1+Чувствительность!$D$16)</f>
        <v>0</v>
      </c>
      <c s="125">
        <f>Предпосылки!AR189*(1+Чувствительность!$D$16)</f>
        <v>0</v>
      </c>
      <c s="125">
        <f>Предпосылки!AS189*(1+Чувствительность!$D$16)</f>
        <v>0</v>
      </c>
      <c s="125">
        <f>Предпосылки!AT189*(1+Чувствительность!$D$16)</f>
        <v>0</v>
      </c>
      <c s="125">
        <f>Предпосылки!AU189*(1+Чувствительность!$D$16)</f>
        <v>0</v>
      </c>
      <c s="125">
        <f>Предпосылки!AV189*(1+Чувствительность!$D$16)</f>
        <v>0</v>
      </c>
      <c s="125">
        <f>Предпосылки!AW189*(1+Чувствительность!$D$16)</f>
        <v>0</v>
      </c>
      <c s="125">
        <f>Предпосылки!AX189*(1+Чувствительность!$D$16)</f>
        <v>0</v>
      </c>
      <c s="125">
        <f>Предпосылки!AY189*(1+Чувствительность!$D$16)</f>
        <v>0</v>
      </c>
      <c s="125">
        <f>Предпосылки!AZ189*(1+Чувствительность!$D$16)</f>
        <v>0</v>
      </c>
      <c s="125">
        <f>Предпосылки!BA189*(1+Чувствительность!$D$16)</f>
        <v>0</v>
      </c>
      <c s="125">
        <f>Предпосылки!BB189*(1+Чувствительность!$D$16)</f>
        <v>0</v>
      </c>
      <c s="125">
        <f>Предпосылки!BC189*(1+Чувствительность!$D$16)</f>
        <v>0</v>
      </c>
      <c s="125">
        <f>Предпосылки!BD189*(1+Чувствительность!$D$16)</f>
        <v>0</v>
      </c>
      <c s="125">
        <f>Предпосылки!BE189*(1+Чувствительность!$D$16)</f>
        <v>0</v>
      </c>
      <c s="125">
        <f>Предпосылки!BF189*(1+Чувствительность!$D$16)</f>
        <v>0</v>
      </c>
      <c s="125">
        <f>Предпосылки!BG189*(1+Чувствительность!$D$16)</f>
        <v>0</v>
      </c>
      <c s="125">
        <f>Предпосылки!BH189*(1+Чувствительность!$D$16)</f>
        <v>0</v>
      </c>
      <c s="125">
        <f>Предпосылки!BI189*(1+Чувствительность!$D$16)</f>
        <v>0</v>
      </c>
      <c s="125">
        <f>Предпосылки!BJ189*(1+Чувствительность!$D$16)</f>
        <v>0</v>
      </c>
      <c s="125">
        <f>Предпосылки!BK189*(1+Чувствительность!$D$16)</f>
        <v>0</v>
      </c>
      <c s="125">
        <f>Предпосылки!BL189*(1+Чувствительность!$D$16)</f>
        <v>0</v>
      </c>
    </row>
    <row r="33" spans="2:65" ht="15" customHeight="1">
      <c r="B33" s="12" t="str">
        <f>Предпосылки!B165</f>
        <v>Продукт 16</v>
      </c>
      <c s="124" t="str">
        <f>IF(ISBLANK(Предпосылки!C137),"-",Предпосылки!C137)</f>
        <v>-</v>
      </c>
      <c s="276">
        <f t="shared" si="3"/>
        <v>0</v>
      </c>
      <c s="125">
        <f>Предпосылки!D190*(1+Чувствительность!$D$16)</f>
        <v>0</v>
      </c>
      <c s="125">
        <f>Предпосылки!E190*(1+Чувствительность!$D$16)</f>
        <v>0</v>
      </c>
      <c s="125">
        <f>Предпосылки!F190*(1+Чувствительность!$D$16)</f>
        <v>0</v>
      </c>
      <c s="125">
        <f>Предпосылки!G190*(1+Чувствительность!$D$16)</f>
        <v>0</v>
      </c>
      <c s="125">
        <f>Предпосылки!H190*(1+Чувствительность!$D$16)</f>
        <v>0</v>
      </c>
      <c s="125">
        <f>Предпосылки!I190*(1+Чувствительность!$D$16)</f>
        <v>0</v>
      </c>
      <c s="125">
        <f>Предпосылки!J190*(1+Чувствительность!$D$16)</f>
        <v>0</v>
      </c>
      <c s="125">
        <f>Предпосылки!K190*(1+Чувствительность!$D$16)</f>
        <v>0</v>
      </c>
      <c s="125">
        <f>Предпосылки!L190*(1+Чувствительность!$D$16)</f>
        <v>0</v>
      </c>
      <c s="125">
        <f>Предпосылки!M190*(1+Чувствительность!$D$16)</f>
        <v>0</v>
      </c>
      <c s="125">
        <f>Предпосылки!N190*(1+Чувствительность!$D$16)</f>
        <v>0</v>
      </c>
      <c s="125">
        <f>Предпосылки!O190*(1+Чувствительность!$D$16)</f>
        <v>0</v>
      </c>
      <c s="125">
        <f>Предпосылки!P190*(1+Чувствительность!$D$16)</f>
        <v>0</v>
      </c>
      <c s="125">
        <f>Предпосылки!Q190*(1+Чувствительность!$D$16)</f>
        <v>0</v>
      </c>
      <c s="125">
        <f>Предпосылки!R190*(1+Чувствительность!$D$16)</f>
        <v>0</v>
      </c>
      <c s="125">
        <f>Предпосылки!S190*(1+Чувствительность!$D$16)</f>
        <v>0</v>
      </c>
      <c s="125">
        <f>Предпосылки!T190*(1+Чувствительность!$D$16)</f>
        <v>0</v>
      </c>
      <c s="125">
        <f>Предпосылки!U190*(1+Чувствительность!$D$16)</f>
        <v>0</v>
      </c>
      <c s="125">
        <f>Предпосылки!V190*(1+Чувствительность!$D$16)</f>
        <v>0</v>
      </c>
      <c s="125">
        <f>Предпосылки!W190*(1+Чувствительность!$D$16)</f>
        <v>0</v>
      </c>
      <c s="125">
        <f>Предпосылки!X190*(1+Чувствительность!$D$16)</f>
        <v>0</v>
      </c>
      <c s="125">
        <f>Предпосылки!Y190*(1+Чувствительность!$D$16)</f>
        <v>0</v>
      </c>
      <c s="125">
        <f>Предпосылки!Z190*(1+Чувствительность!$D$16)</f>
        <v>0</v>
      </c>
      <c s="125">
        <f>Предпосылки!AA190*(1+Чувствительность!$D$16)</f>
        <v>0</v>
      </c>
      <c s="125">
        <f>Предпосылки!AB190*(1+Чувствительность!$D$16)</f>
        <v>0</v>
      </c>
      <c s="125">
        <f>Предпосылки!AC190*(1+Чувствительность!$D$16)</f>
        <v>0</v>
      </c>
      <c s="125">
        <f>Предпосылки!AD190*(1+Чувствительность!$D$16)</f>
        <v>0</v>
      </c>
      <c s="125">
        <f>Предпосылки!AE190*(1+Чувствительность!$D$16)</f>
        <v>0</v>
      </c>
      <c s="125">
        <f>Предпосылки!AF190*(1+Чувствительность!$D$16)</f>
        <v>0</v>
      </c>
      <c s="125">
        <f>Предпосылки!AG190*(1+Чувствительность!$D$16)</f>
        <v>0</v>
      </c>
      <c s="125">
        <f>Предпосылки!AH190*(1+Чувствительность!$D$16)</f>
        <v>0</v>
      </c>
      <c s="125">
        <f>Предпосылки!AI190*(1+Чувствительность!$D$16)</f>
        <v>0</v>
      </c>
      <c s="125">
        <f>Предпосылки!AJ190*(1+Чувствительность!$D$16)</f>
        <v>0</v>
      </c>
      <c s="125">
        <f>Предпосылки!AK190*(1+Чувствительность!$D$16)</f>
        <v>0</v>
      </c>
      <c s="125">
        <f>Предпосылки!AL190*(1+Чувствительность!$D$16)</f>
        <v>0</v>
      </c>
      <c s="125">
        <f>Предпосылки!AM190*(1+Чувствительность!$D$16)</f>
        <v>0</v>
      </c>
      <c s="125">
        <f>Предпосылки!AN190*(1+Чувствительность!$D$16)</f>
        <v>0</v>
      </c>
      <c s="125">
        <f>Предпосылки!AO190*(1+Чувствительность!$D$16)</f>
        <v>0</v>
      </c>
      <c s="125">
        <f>Предпосылки!AP190*(1+Чувствительность!$D$16)</f>
        <v>0</v>
      </c>
      <c s="125">
        <f>Предпосылки!AQ190*(1+Чувствительность!$D$16)</f>
        <v>0</v>
      </c>
      <c s="125">
        <f>Предпосылки!AR190*(1+Чувствительность!$D$16)</f>
        <v>0</v>
      </c>
      <c s="125">
        <f>Предпосылки!AS190*(1+Чувствительность!$D$16)</f>
        <v>0</v>
      </c>
      <c s="125">
        <f>Предпосылки!AT190*(1+Чувствительность!$D$16)</f>
        <v>0</v>
      </c>
      <c s="125">
        <f>Предпосылки!AU190*(1+Чувствительность!$D$16)</f>
        <v>0</v>
      </c>
      <c s="125">
        <f>Предпосылки!AV190*(1+Чувствительность!$D$16)</f>
        <v>0</v>
      </c>
      <c s="125">
        <f>Предпосылки!AW190*(1+Чувствительность!$D$16)</f>
        <v>0</v>
      </c>
      <c s="125">
        <f>Предпосылки!AX190*(1+Чувствительность!$D$16)</f>
        <v>0</v>
      </c>
      <c s="125">
        <f>Предпосылки!AY190*(1+Чувствительность!$D$16)</f>
        <v>0</v>
      </c>
      <c s="125">
        <f>Предпосылки!AZ190*(1+Чувствительность!$D$16)</f>
        <v>0</v>
      </c>
      <c s="125">
        <f>Предпосылки!BA190*(1+Чувствительность!$D$16)</f>
        <v>0</v>
      </c>
      <c s="125">
        <f>Предпосылки!BB190*(1+Чувствительность!$D$16)</f>
        <v>0</v>
      </c>
      <c s="125">
        <f>Предпосылки!BC190*(1+Чувствительность!$D$16)</f>
        <v>0</v>
      </c>
      <c s="125">
        <f>Предпосылки!BD190*(1+Чувствительность!$D$16)</f>
        <v>0</v>
      </c>
      <c s="125">
        <f>Предпосылки!BE190*(1+Чувствительность!$D$16)</f>
        <v>0</v>
      </c>
      <c s="125">
        <f>Предпосылки!BF190*(1+Чувствительность!$D$16)</f>
        <v>0</v>
      </c>
      <c s="125">
        <f>Предпосылки!BG190*(1+Чувствительность!$D$16)</f>
        <v>0</v>
      </c>
      <c s="125">
        <f>Предпосылки!BH190*(1+Чувствительность!$D$16)</f>
        <v>0</v>
      </c>
      <c s="125">
        <f>Предпосылки!BI190*(1+Чувствительность!$D$16)</f>
        <v>0</v>
      </c>
      <c s="125">
        <f>Предпосылки!BJ190*(1+Чувствительность!$D$16)</f>
        <v>0</v>
      </c>
      <c s="125">
        <f>Предпосылки!BK190*(1+Чувствительность!$D$16)</f>
        <v>0</v>
      </c>
      <c s="125">
        <f>Предпосылки!BL190*(1+Чувствительность!$D$16)</f>
        <v>0</v>
      </c>
    </row>
    <row r="34" spans="2:65" ht="15" customHeight="1">
      <c r="B34" s="12" t="str">
        <f>Предпосылки!B166</f>
        <v>Продукт 17</v>
      </c>
      <c s="124" t="str">
        <f>IF(ISBLANK(Предпосылки!C138),"-",Предпосылки!C138)</f>
        <v>-</v>
      </c>
      <c s="276">
        <f t="shared" si="3"/>
        <v>0</v>
      </c>
      <c s="125">
        <f>Предпосылки!D191*(1+Чувствительность!$D$16)</f>
        <v>0</v>
      </c>
      <c s="125">
        <f>Предпосылки!E191*(1+Чувствительность!$D$16)</f>
        <v>0</v>
      </c>
      <c s="125">
        <f>Предпосылки!F191*(1+Чувствительность!$D$16)</f>
        <v>0</v>
      </c>
      <c s="125">
        <f>Предпосылки!G191*(1+Чувствительность!$D$16)</f>
        <v>0</v>
      </c>
      <c s="125">
        <f>Предпосылки!H191*(1+Чувствительность!$D$16)</f>
        <v>0</v>
      </c>
      <c s="125">
        <f>Предпосылки!I191*(1+Чувствительность!$D$16)</f>
        <v>0</v>
      </c>
      <c s="125">
        <f>Предпосылки!J191*(1+Чувствительность!$D$16)</f>
        <v>0</v>
      </c>
      <c s="125">
        <f>Предпосылки!K191*(1+Чувствительность!$D$16)</f>
        <v>0</v>
      </c>
      <c s="125">
        <f>Предпосылки!L191*(1+Чувствительность!$D$16)</f>
        <v>0</v>
      </c>
      <c s="125">
        <f>Предпосылки!M191*(1+Чувствительность!$D$16)</f>
        <v>0</v>
      </c>
      <c s="125">
        <f>Предпосылки!N191*(1+Чувствительность!$D$16)</f>
        <v>0</v>
      </c>
      <c s="125">
        <f>Предпосылки!O191*(1+Чувствительность!$D$16)</f>
        <v>0</v>
      </c>
      <c s="125">
        <f>Предпосылки!P191*(1+Чувствительность!$D$16)</f>
        <v>0</v>
      </c>
      <c s="125">
        <f>Предпосылки!Q191*(1+Чувствительность!$D$16)</f>
        <v>0</v>
      </c>
      <c s="125">
        <f>Предпосылки!R191*(1+Чувствительность!$D$16)</f>
        <v>0</v>
      </c>
      <c s="125">
        <f>Предпосылки!S191*(1+Чувствительность!$D$16)</f>
        <v>0</v>
      </c>
      <c s="125">
        <f>Предпосылки!T191*(1+Чувствительность!$D$16)</f>
        <v>0</v>
      </c>
      <c s="125">
        <f>Предпосылки!U191*(1+Чувствительность!$D$16)</f>
        <v>0</v>
      </c>
      <c s="125">
        <f>Предпосылки!V191*(1+Чувствительность!$D$16)</f>
        <v>0</v>
      </c>
      <c s="125">
        <f>Предпосылки!W191*(1+Чувствительность!$D$16)</f>
        <v>0</v>
      </c>
      <c s="125">
        <f>Предпосылки!X191*(1+Чувствительность!$D$16)</f>
        <v>0</v>
      </c>
      <c s="125">
        <f>Предпосылки!Y191*(1+Чувствительность!$D$16)</f>
        <v>0</v>
      </c>
      <c s="125">
        <f>Предпосылки!Z191*(1+Чувствительность!$D$16)</f>
        <v>0</v>
      </c>
      <c s="125">
        <f>Предпосылки!AA191*(1+Чувствительность!$D$16)</f>
        <v>0</v>
      </c>
      <c s="125">
        <f>Предпосылки!AB191*(1+Чувствительность!$D$16)</f>
        <v>0</v>
      </c>
      <c s="125">
        <f>Предпосылки!AC191*(1+Чувствительность!$D$16)</f>
        <v>0</v>
      </c>
      <c s="125">
        <f>Предпосылки!AD191*(1+Чувствительность!$D$16)</f>
        <v>0</v>
      </c>
      <c s="125">
        <f>Предпосылки!AE191*(1+Чувствительность!$D$16)</f>
        <v>0</v>
      </c>
      <c s="125">
        <f>Предпосылки!AF191*(1+Чувствительность!$D$16)</f>
        <v>0</v>
      </c>
      <c s="125">
        <f>Предпосылки!AG191*(1+Чувствительность!$D$16)</f>
        <v>0</v>
      </c>
      <c s="125">
        <f>Предпосылки!AH191*(1+Чувствительность!$D$16)</f>
        <v>0</v>
      </c>
      <c s="125">
        <f>Предпосылки!AI191*(1+Чувствительность!$D$16)</f>
        <v>0</v>
      </c>
      <c s="125">
        <f>Предпосылки!AJ191*(1+Чувствительность!$D$16)</f>
        <v>0</v>
      </c>
      <c s="125">
        <f>Предпосылки!AK191*(1+Чувствительность!$D$16)</f>
        <v>0</v>
      </c>
      <c s="125">
        <f>Предпосылки!AL191*(1+Чувствительность!$D$16)</f>
        <v>0</v>
      </c>
      <c s="125">
        <f>Предпосылки!AM191*(1+Чувствительность!$D$16)</f>
        <v>0</v>
      </c>
      <c s="125">
        <f>Предпосылки!AN191*(1+Чувствительность!$D$16)</f>
        <v>0</v>
      </c>
      <c s="125">
        <f>Предпосылки!AO191*(1+Чувствительность!$D$16)</f>
        <v>0</v>
      </c>
      <c s="125">
        <f>Предпосылки!AP191*(1+Чувствительность!$D$16)</f>
        <v>0</v>
      </c>
      <c s="125">
        <f>Предпосылки!AQ191*(1+Чувствительность!$D$16)</f>
        <v>0</v>
      </c>
      <c s="125">
        <f>Предпосылки!AR191*(1+Чувствительность!$D$16)</f>
        <v>0</v>
      </c>
      <c s="125">
        <f>Предпосылки!AS191*(1+Чувствительность!$D$16)</f>
        <v>0</v>
      </c>
      <c s="125">
        <f>Предпосылки!AT191*(1+Чувствительность!$D$16)</f>
        <v>0</v>
      </c>
      <c s="125">
        <f>Предпосылки!AU191*(1+Чувствительность!$D$16)</f>
        <v>0</v>
      </c>
      <c s="125">
        <f>Предпосылки!AV191*(1+Чувствительность!$D$16)</f>
        <v>0</v>
      </c>
      <c s="125">
        <f>Предпосылки!AW191*(1+Чувствительность!$D$16)</f>
        <v>0</v>
      </c>
      <c s="125">
        <f>Предпосылки!AX191*(1+Чувствительность!$D$16)</f>
        <v>0</v>
      </c>
      <c s="125">
        <f>Предпосылки!AY191*(1+Чувствительность!$D$16)</f>
        <v>0</v>
      </c>
      <c s="125">
        <f>Предпосылки!AZ191*(1+Чувствительность!$D$16)</f>
        <v>0</v>
      </c>
      <c s="125">
        <f>Предпосылки!BA191*(1+Чувствительность!$D$16)</f>
        <v>0</v>
      </c>
      <c s="125">
        <f>Предпосылки!BB191*(1+Чувствительность!$D$16)</f>
        <v>0</v>
      </c>
      <c s="125">
        <f>Предпосылки!BC191*(1+Чувствительность!$D$16)</f>
        <v>0</v>
      </c>
      <c s="125">
        <f>Предпосылки!BD191*(1+Чувствительность!$D$16)</f>
        <v>0</v>
      </c>
      <c s="125">
        <f>Предпосылки!BE191*(1+Чувствительность!$D$16)</f>
        <v>0</v>
      </c>
      <c s="125">
        <f>Предпосылки!BF191*(1+Чувствительность!$D$16)</f>
        <v>0</v>
      </c>
      <c s="125">
        <f>Предпосылки!BG191*(1+Чувствительность!$D$16)</f>
        <v>0</v>
      </c>
      <c s="125">
        <f>Предпосылки!BH191*(1+Чувствительность!$D$16)</f>
        <v>0</v>
      </c>
      <c s="125">
        <f>Предпосылки!BI191*(1+Чувствительность!$D$16)</f>
        <v>0</v>
      </c>
      <c s="125">
        <f>Предпосылки!BJ191*(1+Чувствительность!$D$16)</f>
        <v>0</v>
      </c>
      <c s="125">
        <f>Предпосылки!BK191*(1+Чувствительность!$D$16)</f>
        <v>0</v>
      </c>
      <c s="125">
        <f>Предпосылки!BL191*(1+Чувствительность!$D$16)</f>
        <v>0</v>
      </c>
    </row>
    <row r="35" spans="2:65" ht="15" customHeight="1">
      <c r="B35" s="12" t="str">
        <f>Предпосылки!B167</f>
        <v>Продукт 18</v>
      </c>
      <c s="124" t="str">
        <f>IF(ISBLANK(Предпосылки!C139),"-",Предпосылки!C139)</f>
        <v>-</v>
      </c>
      <c s="276">
        <f t="shared" si="3"/>
        <v>0</v>
      </c>
      <c s="125">
        <f>Предпосылки!D192*(1+Чувствительность!$D$16)</f>
        <v>0</v>
      </c>
      <c s="125">
        <f>Предпосылки!E192*(1+Чувствительность!$D$16)</f>
        <v>0</v>
      </c>
      <c s="125">
        <f>Предпосылки!F192*(1+Чувствительность!$D$16)</f>
        <v>0</v>
      </c>
      <c s="125">
        <f>Предпосылки!G192*(1+Чувствительность!$D$16)</f>
        <v>0</v>
      </c>
      <c s="125">
        <f>Предпосылки!H192*(1+Чувствительность!$D$16)</f>
        <v>0</v>
      </c>
      <c s="125">
        <f>Предпосылки!I192*(1+Чувствительность!$D$16)</f>
        <v>0</v>
      </c>
      <c s="125">
        <f>Предпосылки!J192*(1+Чувствительность!$D$16)</f>
        <v>0</v>
      </c>
      <c s="125">
        <f>Предпосылки!K192*(1+Чувствительность!$D$16)</f>
        <v>0</v>
      </c>
      <c s="125">
        <f>Предпосылки!L192*(1+Чувствительность!$D$16)</f>
        <v>0</v>
      </c>
      <c s="125">
        <f>Предпосылки!M192*(1+Чувствительность!$D$16)</f>
        <v>0</v>
      </c>
      <c s="125">
        <f>Предпосылки!N192*(1+Чувствительность!$D$16)</f>
        <v>0</v>
      </c>
      <c s="125">
        <f>Предпосылки!O192*(1+Чувствительность!$D$16)</f>
        <v>0</v>
      </c>
      <c s="125">
        <f>Предпосылки!P192*(1+Чувствительность!$D$16)</f>
        <v>0</v>
      </c>
      <c s="125">
        <f>Предпосылки!Q192*(1+Чувствительность!$D$16)</f>
        <v>0</v>
      </c>
      <c s="125">
        <f>Предпосылки!R192*(1+Чувствительность!$D$16)</f>
        <v>0</v>
      </c>
      <c s="125">
        <f>Предпосылки!S192*(1+Чувствительность!$D$16)</f>
        <v>0</v>
      </c>
      <c s="125">
        <f>Предпосылки!T192*(1+Чувствительность!$D$16)</f>
        <v>0</v>
      </c>
      <c s="125">
        <f>Предпосылки!U192*(1+Чувствительность!$D$16)</f>
        <v>0</v>
      </c>
      <c s="125">
        <f>Предпосылки!V192*(1+Чувствительность!$D$16)</f>
        <v>0</v>
      </c>
      <c s="125">
        <f>Предпосылки!W192*(1+Чувствительность!$D$16)</f>
        <v>0</v>
      </c>
      <c s="125">
        <f>Предпосылки!X192*(1+Чувствительность!$D$16)</f>
        <v>0</v>
      </c>
      <c s="125">
        <f>Предпосылки!Y192*(1+Чувствительность!$D$16)</f>
        <v>0</v>
      </c>
      <c s="125">
        <f>Предпосылки!Z192*(1+Чувствительность!$D$16)</f>
        <v>0</v>
      </c>
      <c s="125">
        <f>Предпосылки!AA192*(1+Чувствительность!$D$16)</f>
        <v>0</v>
      </c>
      <c s="125">
        <f>Предпосылки!AB192*(1+Чувствительность!$D$16)</f>
        <v>0</v>
      </c>
      <c s="125">
        <f>Предпосылки!AC192*(1+Чувствительность!$D$16)</f>
        <v>0</v>
      </c>
      <c s="125">
        <f>Предпосылки!AD192*(1+Чувствительность!$D$16)</f>
        <v>0</v>
      </c>
      <c s="125">
        <f>Предпосылки!AE192*(1+Чувствительность!$D$16)</f>
        <v>0</v>
      </c>
      <c s="125">
        <f>Предпосылки!AF192*(1+Чувствительность!$D$16)</f>
        <v>0</v>
      </c>
      <c s="125">
        <f>Предпосылки!AG192*(1+Чувствительность!$D$16)</f>
        <v>0</v>
      </c>
      <c s="125">
        <f>Предпосылки!AH192*(1+Чувствительность!$D$16)</f>
        <v>0</v>
      </c>
      <c s="125">
        <f>Предпосылки!AI192*(1+Чувствительность!$D$16)</f>
        <v>0</v>
      </c>
      <c s="125">
        <f>Предпосылки!AJ192*(1+Чувствительность!$D$16)</f>
        <v>0</v>
      </c>
      <c s="125">
        <f>Предпосылки!AK192*(1+Чувствительность!$D$16)</f>
        <v>0</v>
      </c>
      <c s="125">
        <f>Предпосылки!AL192*(1+Чувствительность!$D$16)</f>
        <v>0</v>
      </c>
      <c s="125">
        <f>Предпосылки!AM192*(1+Чувствительность!$D$16)</f>
        <v>0</v>
      </c>
      <c s="125">
        <f>Предпосылки!AN192*(1+Чувствительность!$D$16)</f>
        <v>0</v>
      </c>
      <c s="125">
        <f>Предпосылки!AO192*(1+Чувствительность!$D$16)</f>
        <v>0</v>
      </c>
      <c s="125">
        <f>Предпосылки!AP192*(1+Чувствительность!$D$16)</f>
        <v>0</v>
      </c>
      <c s="125">
        <f>Предпосылки!AQ192*(1+Чувствительность!$D$16)</f>
        <v>0</v>
      </c>
      <c s="125">
        <f>Предпосылки!AR192*(1+Чувствительность!$D$16)</f>
        <v>0</v>
      </c>
      <c s="125">
        <f>Предпосылки!AS192*(1+Чувствительность!$D$16)</f>
        <v>0</v>
      </c>
      <c s="125">
        <f>Предпосылки!AT192*(1+Чувствительность!$D$16)</f>
        <v>0</v>
      </c>
      <c s="125">
        <f>Предпосылки!AU192*(1+Чувствительность!$D$16)</f>
        <v>0</v>
      </c>
      <c s="125">
        <f>Предпосылки!AV192*(1+Чувствительность!$D$16)</f>
        <v>0</v>
      </c>
      <c s="125">
        <f>Предпосылки!AW192*(1+Чувствительность!$D$16)</f>
        <v>0</v>
      </c>
      <c s="125">
        <f>Предпосылки!AX192*(1+Чувствительность!$D$16)</f>
        <v>0</v>
      </c>
      <c s="125">
        <f>Предпосылки!AY192*(1+Чувствительность!$D$16)</f>
        <v>0</v>
      </c>
      <c s="125">
        <f>Предпосылки!AZ192*(1+Чувствительность!$D$16)</f>
        <v>0</v>
      </c>
      <c s="125">
        <f>Предпосылки!BA192*(1+Чувствительность!$D$16)</f>
        <v>0</v>
      </c>
      <c s="125">
        <f>Предпосылки!BB192*(1+Чувствительность!$D$16)</f>
        <v>0</v>
      </c>
      <c s="125">
        <f>Предпосылки!BC192*(1+Чувствительность!$D$16)</f>
        <v>0</v>
      </c>
      <c s="125">
        <f>Предпосылки!BD192*(1+Чувствительность!$D$16)</f>
        <v>0</v>
      </c>
      <c s="125">
        <f>Предпосылки!BE192*(1+Чувствительность!$D$16)</f>
        <v>0</v>
      </c>
      <c s="125">
        <f>Предпосылки!BF192*(1+Чувствительность!$D$16)</f>
        <v>0</v>
      </c>
      <c s="125">
        <f>Предпосылки!BG192*(1+Чувствительность!$D$16)</f>
        <v>0</v>
      </c>
      <c s="125">
        <f>Предпосылки!BH192*(1+Чувствительность!$D$16)</f>
        <v>0</v>
      </c>
      <c s="125">
        <f>Предпосылки!BI192*(1+Чувствительность!$D$16)</f>
        <v>0</v>
      </c>
      <c s="125">
        <f>Предпосылки!BJ192*(1+Чувствительность!$D$16)</f>
        <v>0</v>
      </c>
      <c s="125">
        <f>Предпосылки!BK192*(1+Чувствительность!$D$16)</f>
        <v>0</v>
      </c>
      <c s="125">
        <f>Предпосылки!BL192*(1+Чувствительность!$D$16)</f>
        <v>0</v>
      </c>
    </row>
    <row r="36" spans="2:65" ht="15" customHeight="1">
      <c r="B36" s="12" t="str">
        <f>Предпосылки!B168</f>
        <v>Продукт 19</v>
      </c>
      <c s="124" t="str">
        <f>IF(ISBLANK(Предпосылки!C140),"-",Предпосылки!C140)</f>
        <v>-</v>
      </c>
      <c s="276">
        <f t="shared" si="3"/>
        <v>0</v>
      </c>
      <c s="125">
        <f>Предпосылки!D193*(1+Чувствительность!$D$16)</f>
        <v>0</v>
      </c>
      <c s="125">
        <f>Предпосылки!E193*(1+Чувствительность!$D$16)</f>
        <v>0</v>
      </c>
      <c s="125">
        <f>Предпосылки!F193*(1+Чувствительность!$D$16)</f>
        <v>0</v>
      </c>
      <c s="125">
        <f>Предпосылки!G193*(1+Чувствительность!$D$16)</f>
        <v>0</v>
      </c>
      <c s="125">
        <f>Предпосылки!H193*(1+Чувствительность!$D$16)</f>
        <v>0</v>
      </c>
      <c s="125">
        <f>Предпосылки!I193*(1+Чувствительность!$D$16)</f>
        <v>0</v>
      </c>
      <c s="125">
        <f>Предпосылки!J193*(1+Чувствительность!$D$16)</f>
        <v>0</v>
      </c>
      <c s="125">
        <f>Предпосылки!K193*(1+Чувствительность!$D$16)</f>
        <v>0</v>
      </c>
      <c s="125">
        <f>Предпосылки!L193*(1+Чувствительность!$D$16)</f>
        <v>0</v>
      </c>
      <c s="125">
        <f>Предпосылки!M193*(1+Чувствительность!$D$16)</f>
        <v>0</v>
      </c>
      <c s="125">
        <f>Предпосылки!N193*(1+Чувствительность!$D$16)</f>
        <v>0</v>
      </c>
      <c s="125">
        <f>Предпосылки!O193*(1+Чувствительность!$D$16)</f>
        <v>0</v>
      </c>
      <c s="125">
        <f>Предпосылки!P193*(1+Чувствительность!$D$16)</f>
        <v>0</v>
      </c>
      <c s="125">
        <f>Предпосылки!Q193*(1+Чувствительность!$D$16)</f>
        <v>0</v>
      </c>
      <c s="125">
        <f>Предпосылки!R193*(1+Чувствительность!$D$16)</f>
        <v>0</v>
      </c>
      <c s="125">
        <f>Предпосылки!S193*(1+Чувствительность!$D$16)</f>
        <v>0</v>
      </c>
      <c s="125">
        <f>Предпосылки!T193*(1+Чувствительность!$D$16)</f>
        <v>0</v>
      </c>
      <c s="125">
        <f>Предпосылки!U193*(1+Чувствительность!$D$16)</f>
        <v>0</v>
      </c>
      <c s="125">
        <f>Предпосылки!V193*(1+Чувствительность!$D$16)</f>
        <v>0</v>
      </c>
      <c s="125">
        <f>Предпосылки!W193*(1+Чувствительность!$D$16)</f>
        <v>0</v>
      </c>
      <c s="125">
        <f>Предпосылки!X193*(1+Чувствительность!$D$16)</f>
        <v>0</v>
      </c>
      <c s="125">
        <f>Предпосылки!Y193*(1+Чувствительность!$D$16)</f>
        <v>0</v>
      </c>
      <c s="125">
        <f>Предпосылки!Z193*(1+Чувствительность!$D$16)</f>
        <v>0</v>
      </c>
      <c s="125">
        <f>Предпосылки!AA193*(1+Чувствительность!$D$16)</f>
        <v>0</v>
      </c>
      <c s="125">
        <f>Предпосылки!AB193*(1+Чувствительность!$D$16)</f>
        <v>0</v>
      </c>
      <c s="125">
        <f>Предпосылки!AC193*(1+Чувствительность!$D$16)</f>
        <v>0</v>
      </c>
      <c s="125">
        <f>Предпосылки!AD193*(1+Чувствительность!$D$16)</f>
        <v>0</v>
      </c>
      <c s="125">
        <f>Предпосылки!AE193*(1+Чувствительность!$D$16)</f>
        <v>0</v>
      </c>
      <c s="125">
        <f>Предпосылки!AF193*(1+Чувствительность!$D$16)</f>
        <v>0</v>
      </c>
      <c s="125">
        <f>Предпосылки!AG193*(1+Чувствительность!$D$16)</f>
        <v>0</v>
      </c>
      <c s="125">
        <f>Предпосылки!AH193*(1+Чувствительность!$D$16)</f>
        <v>0</v>
      </c>
      <c s="125">
        <f>Предпосылки!AI193*(1+Чувствительность!$D$16)</f>
        <v>0</v>
      </c>
      <c s="125">
        <f>Предпосылки!AJ193*(1+Чувствительность!$D$16)</f>
        <v>0</v>
      </c>
      <c s="125">
        <f>Предпосылки!AK193*(1+Чувствительность!$D$16)</f>
        <v>0</v>
      </c>
      <c s="125">
        <f>Предпосылки!AL193*(1+Чувствительность!$D$16)</f>
        <v>0</v>
      </c>
      <c s="125">
        <f>Предпосылки!AM193*(1+Чувствительность!$D$16)</f>
        <v>0</v>
      </c>
      <c s="125">
        <f>Предпосылки!AN193*(1+Чувствительность!$D$16)</f>
        <v>0</v>
      </c>
      <c s="125">
        <f>Предпосылки!AO193*(1+Чувствительность!$D$16)</f>
        <v>0</v>
      </c>
      <c s="125">
        <f>Предпосылки!AP193*(1+Чувствительность!$D$16)</f>
        <v>0</v>
      </c>
      <c s="125">
        <f>Предпосылки!AQ193*(1+Чувствительность!$D$16)</f>
        <v>0</v>
      </c>
      <c s="125">
        <f>Предпосылки!AR193*(1+Чувствительность!$D$16)</f>
        <v>0</v>
      </c>
      <c s="125">
        <f>Предпосылки!AS193*(1+Чувствительность!$D$16)</f>
        <v>0</v>
      </c>
      <c s="125">
        <f>Предпосылки!AT193*(1+Чувствительность!$D$16)</f>
        <v>0</v>
      </c>
      <c s="125">
        <f>Предпосылки!AU193*(1+Чувствительность!$D$16)</f>
        <v>0</v>
      </c>
      <c s="125">
        <f>Предпосылки!AV193*(1+Чувствительность!$D$16)</f>
        <v>0</v>
      </c>
      <c s="125">
        <f>Предпосылки!AW193*(1+Чувствительность!$D$16)</f>
        <v>0</v>
      </c>
      <c s="125">
        <f>Предпосылки!AX193*(1+Чувствительность!$D$16)</f>
        <v>0</v>
      </c>
      <c s="125">
        <f>Предпосылки!AY193*(1+Чувствительность!$D$16)</f>
        <v>0</v>
      </c>
      <c s="125">
        <f>Предпосылки!AZ193*(1+Чувствительность!$D$16)</f>
        <v>0</v>
      </c>
      <c s="125">
        <f>Предпосылки!BA193*(1+Чувствительность!$D$16)</f>
        <v>0</v>
      </c>
      <c s="125">
        <f>Предпосылки!BB193*(1+Чувствительность!$D$16)</f>
        <v>0</v>
      </c>
      <c s="125">
        <f>Предпосылки!BC193*(1+Чувствительность!$D$16)</f>
        <v>0</v>
      </c>
      <c s="125">
        <f>Предпосылки!BD193*(1+Чувствительность!$D$16)</f>
        <v>0</v>
      </c>
      <c s="125">
        <f>Предпосылки!BE193*(1+Чувствительность!$D$16)</f>
        <v>0</v>
      </c>
      <c s="125">
        <f>Предпосылки!BF193*(1+Чувствительность!$D$16)</f>
        <v>0</v>
      </c>
      <c s="125">
        <f>Предпосылки!BG193*(1+Чувствительность!$D$16)</f>
        <v>0</v>
      </c>
      <c s="125">
        <f>Предпосылки!BH193*(1+Чувствительность!$D$16)</f>
        <v>0</v>
      </c>
      <c s="125">
        <f>Предпосылки!BI193*(1+Чувствительность!$D$16)</f>
        <v>0</v>
      </c>
      <c s="125">
        <f>Предпосылки!BJ193*(1+Чувствительность!$D$16)</f>
        <v>0</v>
      </c>
      <c s="125">
        <f>Предпосылки!BK193*(1+Чувствительность!$D$16)</f>
        <v>0</v>
      </c>
      <c s="125">
        <f>Предпосылки!BL193*(1+Чувствительность!$D$16)</f>
        <v>0</v>
      </c>
    </row>
    <row r="37" spans="2:65" ht="15" customHeight="1">
      <c r="B37" s="12" t="str">
        <f>Предпосылки!B169</f>
        <v>Продукт 20</v>
      </c>
      <c s="124" t="str">
        <f>IF(ISBLANK(Предпосылки!C141),"-",Предпосылки!C141)</f>
        <v>-</v>
      </c>
      <c s="276">
        <f t="shared" si="3"/>
        <v>0</v>
      </c>
      <c s="125">
        <f>Предпосылки!D194*(1+Чувствительность!$D$16)</f>
        <v>0</v>
      </c>
      <c s="125">
        <f>Предпосылки!E194*(1+Чувствительность!$D$16)</f>
        <v>0</v>
      </c>
      <c s="125">
        <f>Предпосылки!F194*(1+Чувствительность!$D$16)</f>
        <v>0</v>
      </c>
      <c s="125">
        <f>Предпосылки!G194*(1+Чувствительность!$D$16)</f>
        <v>0</v>
      </c>
      <c s="125">
        <f>Предпосылки!H194*(1+Чувствительность!$D$16)</f>
        <v>0</v>
      </c>
      <c s="125">
        <f>Предпосылки!I194*(1+Чувствительность!$D$16)</f>
        <v>0</v>
      </c>
      <c s="125">
        <f>Предпосылки!J194*(1+Чувствительность!$D$16)</f>
        <v>0</v>
      </c>
      <c s="125">
        <f>Предпосылки!K194*(1+Чувствительность!$D$16)</f>
        <v>0</v>
      </c>
      <c s="125">
        <f>Предпосылки!L194*(1+Чувствительность!$D$16)</f>
        <v>0</v>
      </c>
      <c s="125">
        <f>Предпосылки!M194*(1+Чувствительность!$D$16)</f>
        <v>0</v>
      </c>
      <c s="125">
        <f>Предпосылки!N194*(1+Чувствительность!$D$16)</f>
        <v>0</v>
      </c>
      <c s="125">
        <f>Предпосылки!O194*(1+Чувствительность!$D$16)</f>
        <v>0</v>
      </c>
      <c s="125">
        <f>Предпосылки!P194*(1+Чувствительность!$D$16)</f>
        <v>0</v>
      </c>
      <c s="125">
        <f>Предпосылки!Q194*(1+Чувствительность!$D$16)</f>
        <v>0</v>
      </c>
      <c s="125">
        <f>Предпосылки!R194*(1+Чувствительность!$D$16)</f>
        <v>0</v>
      </c>
      <c s="125">
        <f>Предпосылки!S194*(1+Чувствительность!$D$16)</f>
        <v>0</v>
      </c>
      <c s="125">
        <f>Предпосылки!T194*(1+Чувствительность!$D$16)</f>
        <v>0</v>
      </c>
      <c s="125">
        <f>Предпосылки!U194*(1+Чувствительность!$D$16)</f>
        <v>0</v>
      </c>
      <c s="125">
        <f>Предпосылки!V194*(1+Чувствительность!$D$16)</f>
        <v>0</v>
      </c>
      <c s="125">
        <f>Предпосылки!W194*(1+Чувствительность!$D$16)</f>
        <v>0</v>
      </c>
      <c s="125">
        <f>Предпосылки!X194*(1+Чувствительность!$D$16)</f>
        <v>0</v>
      </c>
      <c s="125">
        <f>Предпосылки!Y194*(1+Чувствительность!$D$16)</f>
        <v>0</v>
      </c>
      <c s="125">
        <f>Предпосылки!Z194*(1+Чувствительность!$D$16)</f>
        <v>0</v>
      </c>
      <c s="125">
        <f>Предпосылки!AA194*(1+Чувствительность!$D$16)</f>
        <v>0</v>
      </c>
      <c s="125">
        <f>Предпосылки!AB194*(1+Чувствительность!$D$16)</f>
        <v>0</v>
      </c>
      <c s="125">
        <f>Предпосылки!AC194*(1+Чувствительность!$D$16)</f>
        <v>0</v>
      </c>
      <c s="125">
        <f>Предпосылки!AD194*(1+Чувствительность!$D$16)</f>
        <v>0</v>
      </c>
      <c s="125">
        <f>Предпосылки!AE194*(1+Чувствительность!$D$16)</f>
        <v>0</v>
      </c>
      <c s="125">
        <f>Предпосылки!AF194*(1+Чувствительность!$D$16)</f>
        <v>0</v>
      </c>
      <c s="125">
        <f>Предпосылки!AG194*(1+Чувствительность!$D$16)</f>
        <v>0</v>
      </c>
      <c s="125">
        <f>Предпосылки!AH194*(1+Чувствительность!$D$16)</f>
        <v>0</v>
      </c>
      <c s="125">
        <f>Предпосылки!AI194*(1+Чувствительность!$D$16)</f>
        <v>0</v>
      </c>
      <c s="125">
        <f>Предпосылки!AJ194*(1+Чувствительность!$D$16)</f>
        <v>0</v>
      </c>
      <c s="125">
        <f>Предпосылки!AK194*(1+Чувствительность!$D$16)</f>
        <v>0</v>
      </c>
      <c s="125">
        <f>Предпосылки!AL194*(1+Чувствительность!$D$16)</f>
        <v>0</v>
      </c>
      <c s="125">
        <f>Предпосылки!AM194*(1+Чувствительность!$D$16)</f>
        <v>0</v>
      </c>
      <c s="125">
        <f>Предпосылки!AN194*(1+Чувствительность!$D$16)</f>
        <v>0</v>
      </c>
      <c s="125">
        <f>Предпосылки!AO194*(1+Чувствительность!$D$16)</f>
        <v>0</v>
      </c>
      <c s="125">
        <f>Предпосылки!AP194*(1+Чувствительность!$D$16)</f>
        <v>0</v>
      </c>
      <c s="125">
        <f>Предпосылки!AQ194*(1+Чувствительность!$D$16)</f>
        <v>0</v>
      </c>
      <c s="125">
        <f>Предпосылки!AR194*(1+Чувствительность!$D$16)</f>
        <v>0</v>
      </c>
      <c s="125">
        <f>Предпосылки!AS194*(1+Чувствительность!$D$16)</f>
        <v>0</v>
      </c>
      <c s="125">
        <f>Предпосылки!AT194*(1+Чувствительность!$D$16)</f>
        <v>0</v>
      </c>
      <c s="125">
        <f>Предпосылки!AU194*(1+Чувствительность!$D$16)</f>
        <v>0</v>
      </c>
      <c s="125">
        <f>Предпосылки!AV194*(1+Чувствительность!$D$16)</f>
        <v>0</v>
      </c>
      <c s="125">
        <f>Предпосылки!AW194*(1+Чувствительность!$D$16)</f>
        <v>0</v>
      </c>
      <c s="125">
        <f>Предпосылки!AX194*(1+Чувствительность!$D$16)</f>
        <v>0</v>
      </c>
      <c s="125">
        <f>Предпосылки!AY194*(1+Чувствительность!$D$16)</f>
        <v>0</v>
      </c>
      <c s="125">
        <f>Предпосылки!AZ194*(1+Чувствительность!$D$16)</f>
        <v>0</v>
      </c>
      <c s="125">
        <f>Предпосылки!BA194*(1+Чувствительность!$D$16)</f>
        <v>0</v>
      </c>
      <c s="125">
        <f>Предпосылки!BB194*(1+Чувствительность!$D$16)</f>
        <v>0</v>
      </c>
      <c s="125">
        <f>Предпосылки!BC194*(1+Чувствительность!$D$16)</f>
        <v>0</v>
      </c>
      <c s="125">
        <f>Предпосылки!BD194*(1+Чувствительность!$D$16)</f>
        <v>0</v>
      </c>
      <c s="125">
        <f>Предпосылки!BE194*(1+Чувствительность!$D$16)</f>
        <v>0</v>
      </c>
      <c s="125">
        <f>Предпосылки!BF194*(1+Чувствительность!$D$16)</f>
        <v>0</v>
      </c>
      <c s="125">
        <f>Предпосылки!BG194*(1+Чувствительность!$D$16)</f>
        <v>0</v>
      </c>
      <c s="125">
        <f>Предпосылки!BH194*(1+Чувствительность!$D$16)</f>
        <v>0</v>
      </c>
      <c s="125">
        <f>Предпосылки!BI194*(1+Чувствительность!$D$16)</f>
        <v>0</v>
      </c>
      <c s="125">
        <f>Предпосылки!BJ194*(1+Чувствительность!$D$16)</f>
        <v>0</v>
      </c>
      <c s="125">
        <f>Предпосылки!BK194*(1+Чувствительность!$D$16)</f>
        <v>0</v>
      </c>
      <c s="125">
        <f>Предпосылки!BL194*(1+Чувствительность!$D$16)</f>
        <v>0</v>
      </c>
    </row>
    <row r="38" ht="15" customHeight="1"/>
    <row r="39" spans="2:71" ht="21">
      <c r="B39" s="23" t="s">
        <v>846</v>
      </c>
      <c r="D3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0" spans="2:65" ht="15" customHeight="1">
      <c r="B40" s="12" t="s">
        <v>847</v>
      </c>
      <c s="124" t="s">
        <v>817</v>
      </c>
      <c s="124"/>
      <c s="126">
        <f>POWER(1+LOOKUP(YEAR(E$8),Предпосылки!$C$468:$R$468,Предпосылки!$C$469:$R$469),(E$8+1-E$7)/IF(MOD(YEAR(E$8),4),365,366))</f>
        <v>1.0156492190185731</v>
      </c>
      <c s="126">
        <f>POWER(1+LOOKUP(YEAR(F$8),Предпосылки!$C$468:$R$468,Предпосылки!$C$469:$R$469),(F$8+1-F$7)/IF(MOD(YEAR(F$8),4),365,366))</f>
        <v>1.0158244678502373</v>
      </c>
      <c s="126">
        <f>POWER(1+LOOKUP(YEAR(G$8),Предпосылки!$C$468:$R$468,Предпосылки!$C$469:$R$469),(G$8+1-G$7)/IF(MOD(YEAR(G$8),4),365,366))</f>
        <v>1.0159997469208388</v>
      </c>
      <c s="126">
        <f>POWER(1+LOOKUP(YEAR(H$8),Предпосылки!$C$468:$R$468,Предпосылки!$C$469:$R$469),(H$8+1-H$7)/IF(MOD(YEAR(H$8),4),365,366))</f>
        <v>1.0159997469208388</v>
      </c>
      <c s="126">
        <f>POWER(1+LOOKUP(YEAR(I$8),Предпосылки!$C$468:$R$468,Предпосылки!$C$469:$R$469),(I$8+1-I$7)/IF(MOD(YEAR(I$8),4),365,366))</f>
        <v>1.0109125912605132</v>
      </c>
      <c s="126">
        <f>POWER(1+LOOKUP(YEAR(J$8),Предпосылки!$C$468:$R$468,Предпосылки!$C$469:$R$469),(J$8+1-J$7)/IF(MOD(YEAR(J$8),4),365,366))</f>
        <v>1.0110345088135473</v>
      </c>
      <c s="126">
        <f>POWER(1+LOOKUP(YEAR(K$8),Предпосылки!$C$468:$R$468,Предпосылки!$C$469:$R$469),(K$8+1-K$7)/IF(MOD(YEAR(K$8),4),365,366))</f>
        <v>1.0111564410700187</v>
      </c>
      <c s="126">
        <f>POWER(1+LOOKUP(YEAR(L$8),Предпосылки!$C$468:$R$468,Предпосылки!$C$469:$R$469),(L$8+1-L$7)/IF(MOD(YEAR(L$8),4),365,366))</f>
        <v>1.0111564410700187</v>
      </c>
      <c s="126">
        <f>POWER(1+LOOKUP(YEAR(M$8),Предпосылки!$C$468:$R$468,Предпосылки!$C$469:$R$469),(M$8+1-M$7)/IF(MOD(YEAR(M$8),4),365,366))</f>
        <v>1.0097177746622019</v>
      </c>
      <c s="126">
        <f>POWER(1+LOOKUP(YEAR(N$8),Предпосылки!$C$468:$R$468,Предпосылки!$C$469:$R$469),(N$8+1-N$7)/IF(MOD(YEAR(N$8),4),365,366))</f>
        <v>1.009826278714177</v>
      </c>
      <c s="126">
        <f>POWER(1+LOOKUP(YEAR(O$8),Предпосылки!$C$468:$R$468,Предпосылки!$C$469:$R$469),(O$8+1-O$7)/IF(MOD(YEAR(O$8),4),365,366))</f>
        <v>1.0099347944259736</v>
      </c>
      <c s="126">
        <f>POWER(1+LOOKUP(YEAR(P$8),Предпосылки!$C$468:$R$468,Предпосылки!$C$469:$R$469),(P$8+1-P$7)/IF(MOD(YEAR(P$8),4),365,366))</f>
        <v>1.0099347944259736</v>
      </c>
      <c s="126">
        <f>POWER(1+LOOKUP(YEAR(Q$8),Предпосылки!$C$468:$R$468,Предпосылки!$C$469:$R$469),(Q$8+1-Q$7)/IF(MOD(YEAR(Q$8),4),365,366))</f>
        <v>1.0097992998416958</v>
      </c>
      <c s="126">
        <f>POWER(1+LOOKUP(YEAR(R$8),Предпосылки!$C$468:$R$468,Предпосылки!$C$469:$R$469),(R$8+1-R$7)/IF(MOD(YEAR(R$8),4),365,366))</f>
        <v>1.0097992998416958</v>
      </c>
      <c s="126">
        <f>POWER(1+LOOKUP(YEAR(S$8),Предпосылки!$C$468:$R$468,Предпосылки!$C$469:$R$469),(S$8+1-S$7)/IF(MOD(YEAR(S$8),4),365,366))</f>
        <v>1.0099075161553681</v>
      </c>
      <c s="126">
        <f>POWER(1+LOOKUP(YEAR(T$8),Предпосылки!$C$468:$R$468,Предпосылки!$C$469:$R$469),(T$8+1-T$7)/IF(MOD(YEAR(T$8),4),365,366))</f>
        <v>1.0099075161553681</v>
      </c>
      <c s="126">
        <f>POWER(1+LOOKUP(YEAR(U$8),Предпосылки!$C$468:$R$468,Предпосылки!$C$469:$R$469),(U$8+1-U$7)/IF(MOD(YEAR(U$8),4),365,366))</f>
        <v>1.0097177746622019</v>
      </c>
      <c s="126">
        <f>POWER(1+LOOKUP(YEAR(V$8),Предпосылки!$C$468:$R$468,Предпосылки!$C$469:$R$469),(V$8+1-V$7)/IF(MOD(YEAR(V$8),4),365,366))</f>
        <v>1.009826278714177</v>
      </c>
      <c s="126">
        <f>POWER(1+LOOKUP(YEAR(W$8),Предпосылки!$C$468:$R$468,Предпосылки!$C$469:$R$469),(W$8+1-W$7)/IF(MOD(YEAR(W$8),4),365,366))</f>
        <v>1.0099347944259736</v>
      </c>
      <c s="126">
        <f>POWER(1+LOOKUP(YEAR(X$8),Предпосылки!$C$468:$R$468,Предпосылки!$C$469:$R$469),(X$8+1-X$7)/IF(MOD(YEAR(X$8),4),365,366))</f>
        <v>1.0099347944259736</v>
      </c>
      <c s="126">
        <f>POWER(1+LOOKUP(YEAR(Y$8),Предпосылки!$C$468:$R$468,Предпосылки!$C$469:$R$469),(Y$8+1-Y$7)/IF(MOD(YEAR(Y$8),4),365,366))</f>
        <v>1.0097177746622019</v>
      </c>
      <c s="126">
        <f>POWER(1+LOOKUP(YEAR(Z$8),Предпосылки!$C$468:$R$468,Предпосылки!$C$469:$R$469),(Z$8+1-Z$7)/IF(MOD(YEAR(Z$8),4),365,366))</f>
        <v>1.009826278714177</v>
      </c>
      <c s="126">
        <f>POWER(1+LOOKUP(YEAR(AA$8),Предпосылки!$C$468:$R$468,Предпосылки!$C$469:$R$469),(AA$8+1-AA$7)/IF(MOD(YEAR(AA$8),4),365,366))</f>
        <v>1.0099347944259736</v>
      </c>
      <c s="126">
        <f>POWER(1+LOOKUP(YEAR(AB$8),Предпосылки!$C$468:$R$468,Предпосылки!$C$469:$R$469),(AB$8+1-AB$7)/IF(MOD(YEAR(AB$8),4),365,366))</f>
        <v>1.0099347944259736</v>
      </c>
      <c s="126">
        <f>POWER(1+LOOKUP(YEAR(AC$8),Предпосылки!$C$468:$R$468,Предпосылки!$C$469:$R$469),(AC$8+1-AC$7)/IF(MOD(YEAR(AC$8),4),365,366))</f>
        <v>1.0097177746622019</v>
      </c>
      <c s="126">
        <f>POWER(1+LOOKUP(YEAR(AD$8),Предпосылки!$C$468:$R$468,Предпосылки!$C$469:$R$469),(AD$8+1-AD$7)/IF(MOD(YEAR(AD$8),4),365,366))</f>
        <v>1.009826278714177</v>
      </c>
      <c s="126">
        <f>POWER(1+LOOKUP(YEAR(AE$8),Предпосылки!$C$468:$R$468,Предпосылки!$C$469:$R$469),(AE$8+1-AE$7)/IF(MOD(YEAR(AE$8),4),365,366))</f>
        <v>1.0099347944259736</v>
      </c>
      <c s="126">
        <f>POWER(1+LOOKUP(YEAR(AF$8),Предпосылки!$C$468:$R$468,Предпосылки!$C$469:$R$469),(AF$8+1-AF$7)/IF(MOD(YEAR(AF$8),4),365,366))</f>
        <v>1.0099347944259736</v>
      </c>
      <c s="126">
        <f>POWER(1+LOOKUP(YEAR(AG$8),Предпосылки!$C$468:$R$468,Предпосылки!$C$469:$R$469),(AG$8+1-AG$7)/IF(MOD(YEAR(AG$8),4),365,366))</f>
        <v>1.0097992998416958</v>
      </c>
      <c s="126">
        <f>POWER(1+LOOKUP(YEAR(AH$8),Предпосылки!$C$468:$R$468,Предпосылки!$C$469:$R$469),(AH$8+1-AH$7)/IF(MOD(YEAR(AH$8),4),365,366))</f>
        <v>1.0097992998416958</v>
      </c>
      <c s="126">
        <f>POWER(1+LOOKUP(YEAR(AI$8),Предпосылки!$C$468:$R$468,Предпосылки!$C$469:$R$469),(AI$8+1-AI$7)/IF(MOD(YEAR(AI$8),4),365,366))</f>
        <v>1.0099075161553681</v>
      </c>
      <c s="126">
        <f>POWER(1+LOOKUP(YEAR(AJ$8),Предпосылки!$C$468:$R$468,Предпосылки!$C$469:$R$469),(AJ$8+1-AJ$7)/IF(MOD(YEAR(AJ$8),4),365,366))</f>
        <v>1.0099075161553681</v>
      </c>
      <c s="126">
        <f>POWER(1+LOOKUP(YEAR(AK$8),Предпосылки!$C$468:$R$468,Предпосылки!$C$469:$R$469),(AK$8+1-AK$7)/IF(MOD(YEAR(AK$8),4),365,366))</f>
        <v>1.0097177746622019</v>
      </c>
      <c s="126">
        <f>POWER(1+LOOKUP(YEAR(AL$8),Предпосылки!$C$468:$R$468,Предпосылки!$C$469:$R$469),(AL$8+1-AL$7)/IF(MOD(YEAR(AL$8),4),365,366))</f>
        <v>1.009826278714177</v>
      </c>
      <c s="126">
        <f>POWER(1+LOOKUP(YEAR(AM$8),Предпосылки!$C$468:$R$468,Предпосылки!$C$469:$R$469),(AM$8+1-AM$7)/IF(MOD(YEAR(AM$8),4),365,366))</f>
        <v>1.0099347944259736</v>
      </c>
      <c s="126">
        <f>POWER(1+LOOKUP(YEAR(AN$8),Предпосылки!$C$468:$R$468,Предпосылки!$C$469:$R$469),(AN$8+1-AN$7)/IF(MOD(YEAR(AN$8),4),365,366))</f>
        <v>1.0099347944259736</v>
      </c>
      <c s="126">
        <f>POWER(1+LOOKUP(YEAR(AO$8),Предпосылки!$C$468:$R$468,Предпосылки!$C$469:$R$469),(AO$8+1-AO$7)/IF(MOD(YEAR(AO$8),4),365,366))</f>
        <v>1.0097177746622019</v>
      </c>
      <c s="126">
        <f>POWER(1+LOOKUP(YEAR(AP$8),Предпосылки!$C$468:$R$468,Предпосылки!$C$469:$R$469),(AP$8+1-AP$7)/IF(MOD(YEAR(AP$8),4),365,366))</f>
        <v>1.009826278714177</v>
      </c>
      <c s="126">
        <f>POWER(1+LOOKUP(YEAR(AQ$8),Предпосылки!$C$468:$R$468,Предпосылки!$C$469:$R$469),(AQ$8+1-AQ$7)/IF(MOD(YEAR(AQ$8),4),365,366))</f>
        <v>1.0099347944259736</v>
      </c>
      <c s="126">
        <f>POWER(1+LOOKUP(YEAR(AR$8),Предпосылки!$C$468:$R$468,Предпосылки!$C$469:$R$469),(AR$8+1-AR$7)/IF(MOD(YEAR(AR$8),4),365,366))</f>
        <v>1.0099347944259736</v>
      </c>
      <c s="126">
        <f>POWER(1+LOOKUP(YEAR(AS$8),Предпосылки!$C$468:$R$468,Предпосылки!$C$469:$R$469),(AS$8+1-AS$7)/IF(MOD(YEAR(AS$8),4),365,366))</f>
        <v>1.0097177746622019</v>
      </c>
      <c s="126">
        <f>POWER(1+LOOKUP(YEAR(AT$8),Предпосылки!$C$468:$R$468,Предпосылки!$C$469:$R$469),(AT$8+1-AT$7)/IF(MOD(YEAR(AT$8),4),365,366))</f>
        <v>1.009826278714177</v>
      </c>
      <c s="126">
        <f>POWER(1+LOOKUP(YEAR(AU$8),Предпосылки!$C$468:$R$468,Предпосылки!$C$469:$R$469),(AU$8+1-AU$7)/IF(MOD(YEAR(AU$8),4),365,366))</f>
        <v>1.0099347944259736</v>
      </c>
      <c s="126">
        <f>POWER(1+LOOKUP(YEAR(AV$8),Предпосылки!$C$468:$R$468,Предпосылки!$C$469:$R$469),(AV$8+1-AV$7)/IF(MOD(YEAR(AV$8),4),365,366))</f>
        <v>1.0099347944259736</v>
      </c>
      <c s="126">
        <f>POWER(1+LOOKUP(YEAR(AW$8),Предпосылки!$C$468:$R$468,Предпосылки!$C$469:$R$469),(AW$8+1-AW$7)/IF(MOD(YEAR(AW$8),4),365,366))</f>
        <v>1.0097992998416958</v>
      </c>
      <c s="126">
        <f>POWER(1+LOOKUP(YEAR(AX$8),Предпосылки!$C$468:$R$468,Предпосылки!$C$469:$R$469),(AX$8+1-AX$7)/IF(MOD(YEAR(AX$8),4),365,366))</f>
        <v>1.0097992998416958</v>
      </c>
      <c s="126">
        <f>POWER(1+LOOKUP(YEAR(AY$8),Предпосылки!$C$468:$R$468,Предпосылки!$C$469:$R$469),(AY$8+1-AY$7)/IF(MOD(YEAR(AY$8),4),365,366))</f>
        <v>1.0099075161553681</v>
      </c>
      <c s="126">
        <f>POWER(1+LOOKUP(YEAR(AZ$8),Предпосылки!$C$468:$R$468,Предпосылки!$C$469:$R$469),(AZ$8+1-AZ$7)/IF(MOD(YEAR(AZ$8),4),365,366))</f>
        <v>1.0099075161553681</v>
      </c>
      <c s="126">
        <f>POWER(1+LOOKUP(YEAR(BA$8),Предпосылки!$C$468:$R$468,Предпосылки!$C$469:$R$469),(BA$8+1-BA$7)/IF(MOD(YEAR(BA$8),4),365,366))</f>
        <v>1.0097177746622019</v>
      </c>
      <c s="126">
        <f>POWER(1+LOOKUP(YEAR(BB$8),Предпосылки!$C$468:$R$468,Предпосылки!$C$469:$R$469),(BB$8+1-BB$7)/IF(MOD(YEAR(BB$8),4),365,366))</f>
        <v>1.009826278714177</v>
      </c>
      <c s="126">
        <f>POWER(1+LOOKUP(YEAR(BC$8),Предпосылки!$C$468:$R$468,Предпосылки!$C$469:$R$469),(BC$8+1-BC$7)/IF(MOD(YEAR(BC$8),4),365,366))</f>
        <v>1.0099347944259736</v>
      </c>
      <c s="126">
        <f>POWER(1+LOOKUP(YEAR(BD$8),Предпосылки!$C$468:$R$468,Предпосылки!$C$469:$R$469),(BD$8+1-BD$7)/IF(MOD(YEAR(BD$8),4),365,366))</f>
        <v>1.0099347944259736</v>
      </c>
      <c s="126">
        <f>POWER(1+LOOKUP(YEAR(BE$8),Предпосылки!$C$468:$R$468,Предпосылки!$C$469:$R$469),(BE$8+1-BE$7)/IF(MOD(YEAR(BE$8),4),365,366))</f>
        <v>1.0097177746622019</v>
      </c>
      <c s="126">
        <f>POWER(1+LOOKUP(YEAR(BF$8),Предпосылки!$C$468:$R$468,Предпосылки!$C$469:$R$469),(BF$8+1-BF$7)/IF(MOD(YEAR(BF$8),4),365,366))</f>
        <v>1.009826278714177</v>
      </c>
      <c s="126">
        <f>POWER(1+LOOKUP(YEAR(BG$8),Предпосылки!$C$468:$R$468,Предпосылки!$C$469:$R$469),(BG$8+1-BG$7)/IF(MOD(YEAR(BG$8),4),365,366))</f>
        <v>1.0099347944259736</v>
      </c>
      <c s="126">
        <f>POWER(1+LOOKUP(YEAR(BH$8),Предпосылки!$C$468:$R$468,Предпосылки!$C$469:$R$469),(BH$8+1-BH$7)/IF(MOD(YEAR(BH$8),4),365,366))</f>
        <v>1.0099347944259736</v>
      </c>
      <c s="126">
        <f>POWER(1+LOOKUP(YEAR(BI$8),Предпосылки!$C$468:$R$468,Предпосылки!$C$469:$R$469),(BI$8+1-BI$7)/IF(MOD(YEAR(BI$8),4),365,366))</f>
        <v>1.0097177746622019</v>
      </c>
      <c s="126">
        <f>POWER(1+LOOKUP(YEAR(BJ$8),Предпосылки!$C$468:$R$468,Предпосылки!$C$469:$R$469),(BJ$8+1-BJ$7)/IF(MOD(YEAR(BJ$8),4),365,366))</f>
        <v>1.009826278714177</v>
      </c>
      <c s="126">
        <f>POWER(1+LOOKUP(YEAR(BK$8),Предпосылки!$C$468:$R$468,Предпосылки!$C$469:$R$469),(BK$8+1-BK$7)/IF(MOD(YEAR(BK$8),4),365,366))</f>
        <v>1.0099347944259736</v>
      </c>
      <c s="126">
        <f>POWER(1+LOOKUP(YEAR(BL$8),Предпосылки!$C$468:$R$468,Предпосылки!$C$469:$R$469),(BL$8+1-BL$7)/IF(MOD(YEAR(BL$8),4),365,366))</f>
        <v>1.0099347944259736</v>
      </c>
      <c s="126">
        <f>POWER(1+LOOKUP(YEAR(BM$8),Предпосылки!$C$468:$R$468,Предпосылки!$C$469:$R$469),(BM$8+1-BM$7)/IF(MOD(YEAR(BM$8),4),365,366))</f>
        <v>1.0097992998416958</v>
      </c>
    </row>
    <row r="41" spans="2:65" ht="15" customHeight="1">
      <c r="B41" s="289" t="s">
        <v>848</v>
      </c>
      <c s="290" t="s">
        <v>817</v>
      </c>
      <c s="282">
        <v>1</v>
      </c>
      <c s="282">
        <f>D41*E40</f>
        <v>1.0156492190185731</v>
      </c>
      <c s="282">
        <f t="shared" si="4" ref="F41:AG41">E41*F40</f>
        <v>1.0317213274320511</v>
      </c>
      <c s="282">
        <f t="shared" si="4"/>
        <v>1.0482286075637959</v>
      </c>
      <c s="282">
        <f t="shared" si="4"/>
        <v>1.0649999999999999</v>
      </c>
      <c s="282">
        <f t="shared" si="4"/>
        <v>1.0766219096924465</v>
      </c>
      <c s="282">
        <f t="shared" si="4"/>
        <v>1.0885019036438059</v>
      </c>
      <c s="282">
        <f t="shared" si="4"/>
        <v>1.1006457109864112</v>
      </c>
      <c s="282">
        <f t="shared" si="4"/>
        <v>1.1129249999999999</v>
      </c>
      <c s="282">
        <f t="shared" si="4"/>
        <v>1.1237401543659311</v>
      </c>
      <c s="282">
        <f t="shared" si="4"/>
        <v>1.134782338325043</v>
      </c>
      <c s="282">
        <f t="shared" si="4"/>
        <v>1.146056167574528</v>
      </c>
      <c s="282">
        <f t="shared" si="4"/>
        <v>1.1574420000000001</v>
      </c>
      <c s="282">
        <f t="shared" si="4"/>
        <v>1.1687841212073722</v>
      </c>
      <c s="282">
        <f t="shared" si="4"/>
        <v>1.1802373872612961</v>
      </c>
      <c s="282">
        <f t="shared" si="4"/>
        <v>1.1919306082427568</v>
      </c>
      <c s="282">
        <f t="shared" si="4"/>
        <v>1.2037396799999995</v>
      </c>
      <c s="282">
        <f t="shared" si="4"/>
        <v>1.2154373509621905</v>
      </c>
      <c s="282">
        <f t="shared" si="4"/>
        <v>1.227380577132366</v>
      </c>
      <c s="282">
        <f t="shared" si="4"/>
        <v>1.2395743508486088</v>
      </c>
      <c s="282">
        <f t="shared" si="4"/>
        <v>1.2518892671999993</v>
      </c>
      <c s="282">
        <f t="shared" si="4"/>
        <v>1.2640548450006779</v>
      </c>
      <c s="282">
        <f t="shared" si="4"/>
        <v>1.2764758002176604</v>
      </c>
      <c s="282">
        <f t="shared" si="4"/>
        <v>1.289157324882553</v>
      </c>
      <c s="282">
        <f t="shared" si="4"/>
        <v>1.3019648378879991</v>
      </c>
      <c s="282">
        <f t="shared" si="4"/>
        <v>1.314617038800705</v>
      </c>
      <c s="282">
        <f t="shared" si="4"/>
        <v>1.3275348322263667</v>
      </c>
      <c s="282">
        <f t="shared" si="4"/>
        <v>1.340723617877855</v>
      </c>
      <c s="282">
        <f t="shared" si="4"/>
        <v>1.354043431403519</v>
      </c>
      <c s="282">
        <f t="shared" si="4"/>
        <v>1.3673121089865208</v>
      </c>
      <c s="282">
        <f t="shared" si="5" ref="AH41">AG41*AH40</f>
        <v>1.3807108103196613</v>
      </c>
      <c s="282">
        <f t="shared" si="6" ref="AI41">AH41*AI40</f>
        <v>1.3943902249787947</v>
      </c>
      <c s="282">
        <f t="shared" si="7" ref="AJ41">AI41*AJ40</f>
        <v>1.4082051686596595</v>
      </c>
      <c s="282">
        <f t="shared" si="8" ref="AK41">AJ41*AK40</f>
        <v>1.4218897891668421</v>
      </c>
      <c s="282">
        <f t="shared" si="9" ref="AL41">AK41*AL40</f>
        <v>1.4358616745360377</v>
      </c>
      <c s="282">
        <f t="shared" si="10" ref="AM41">AL41*AM40</f>
        <v>1.4501266650966875</v>
      </c>
      <c s="282">
        <f t="shared" si="11" ref="AN41">AM41*AN40</f>
        <v>1.4645333754060457</v>
      </c>
      <c s="282">
        <f t="shared" si="12" ref="AO41">AN41*AO40</f>
        <v>1.4787653807335155</v>
      </c>
      <c s="282">
        <f t="shared" si="13" ref="AP41">AO41*AP40</f>
        <v>1.493296141517479</v>
      </c>
      <c s="282">
        <f t="shared" si="14" ref="AQ41">AP41*AQ40</f>
        <v>1.5081317317005547</v>
      </c>
      <c s="282">
        <f t="shared" si="15" ref="AR41">AQ41*AR40</f>
        <v>1.5231147104222873</v>
      </c>
      <c s="282">
        <f t="shared" si="16" ref="AS41">AR41*AS40</f>
        <v>1.5379159959628561</v>
      </c>
      <c s="282">
        <f t="shared" si="17" ref="AT41">AS41*AT40</f>
        <v>1.5530279871781782</v>
      </c>
      <c s="282">
        <f t="shared" si="18" ref="AU41">AT41*AU40</f>
        <v>1.568457000968577</v>
      </c>
      <c s="282">
        <f t="shared" si="19" ref="AV41">AU41*AV40</f>
        <v>1.5840392988391787</v>
      </c>
      <c s="282">
        <f t="shared" si="20" ref="AW41">AV41*AW40</f>
        <v>1.5995617748895334</v>
      </c>
      <c s="282">
        <f t="shared" si="21" ref="AX41">AW41*AX40</f>
        <v>1.615236360336991</v>
      </c>
      <c s="282">
        <f t="shared" si="22" ref="AY41">AX41*AY40</f>
        <v>1.6312393406717678</v>
      </c>
      <c s="282">
        <f t="shared" si="23" ref="AZ41">AY41*AZ40</f>
        <v>1.6474008707927454</v>
      </c>
      <c s="282">
        <f t="shared" si="24" ref="BA41">AZ41*BA40</f>
        <v>1.6634099412334244</v>
      </c>
      <c s="282">
        <f t="shared" si="25" ref="BB41">BA41*BB40</f>
        <v>1.6797550709319169</v>
      </c>
      <c s="282">
        <f t="shared" si="26" ref="BC41">BB41*BC40</f>
        <v>1.6964430922476121</v>
      </c>
      <c s="282">
        <f t="shared" si="27" ref="BD41">BC41*BD40</f>
        <v>1.7132969056244551</v>
      </c>
      <c s="282">
        <f t="shared" si="28" ref="BE41">BD41*BE40</f>
        <v>1.7299463388827614</v>
      </c>
      <c s="282">
        <f t="shared" si="29" ref="BF41">BE41*BF40</f>
        <v>1.7469452737691935</v>
      </c>
      <c s="282">
        <f t="shared" si="30" ref="BG41">BF41*BG40</f>
        <v>1.7643008159375166</v>
      </c>
      <c s="282">
        <f t="shared" si="31" ref="BH41">BG41*BH40</f>
        <v>1.7818287818494334</v>
      </c>
      <c s="282">
        <f t="shared" si="32" ref="BI41">BH41*BI40</f>
        <v>1.799144192438072</v>
      </c>
      <c s="282">
        <f t="shared" si="33" ref="BJ41">BI41*BJ40</f>
        <v>1.8168230847199613</v>
      </c>
      <c s="282">
        <f t="shared" si="34" ref="BK41">BJ41*BK40</f>
        <v>1.8348728485750172</v>
      </c>
      <c s="282">
        <f t="shared" si="35" ref="BL41">BK41*BL40</f>
        <v>1.8531019331234104</v>
      </c>
      <c s="282">
        <f t="shared" si="36" ref="BM41">BL41*BM40</f>
        <v>1.8712610346033129</v>
      </c>
    </row>
    <row r="42" ht="15" customHeight="1"/>
    <row r="43" spans="2:71" ht="21">
      <c r="B43" s="23" t="s">
        <v>849</v>
      </c>
      <c r="D4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" spans="2:65" ht="15" customHeight="1">
      <c r="B44" s="12" t="str">
        <f>B18</f>
        <v>Продукт 1</v>
      </c>
      <c s="124" t="str">
        <f t="shared" si="37" ref="C44:C63">Единица_измерения</f>
        <v>тыс. руб.</v>
      </c>
      <c s="125"/>
      <c s="125">
        <f>Предпосылки!D150*E$41*(1+Чувствительность!$D$12)*IFERROR(LOOKUP(Предпосылки!$J122,$C$14:$C$16,E$14:E$16),1)</f>
        <v>0</v>
      </c>
      <c s="125">
        <f>Предпосылки!E150*F$41*(1+Чувствительность!$D$12)*IFERROR(LOOKUP(Предпосылки!$J122,$C$14:$C$16,F$14:F$16),1)</f>
        <v>0</v>
      </c>
      <c s="125">
        <f>Предпосылки!F150*G$41*(1+Чувствительность!$D$12)*IFERROR(LOOKUP(Предпосылки!$J122,$C$14:$C$16,G$14:G$16),1)</f>
        <v>0</v>
      </c>
      <c s="125">
        <f>Предпосылки!G150*H$41*(1+Чувствительность!$D$12)*IFERROR(LOOKUP(Предпосылки!$J122,$C$14:$C$16,H$14:H$16),1)</f>
        <v>0</v>
      </c>
      <c s="125">
        <f>Предпосылки!H150*I$41*(1+Чувствительность!$D$12)*IFERROR(LOOKUP(Предпосылки!$J122,$C$14:$C$16,I$14:I$16),1)</f>
        <v>0</v>
      </c>
      <c s="125">
        <f>Предпосылки!I150*J$41*(1+Чувствительность!$D$12)*IFERROR(LOOKUP(Предпосылки!$J122,$C$14:$C$16,J$14:J$16),1)</f>
        <v>0</v>
      </c>
      <c s="125">
        <f>Предпосылки!J150*K$41*(1+Чувствительность!$D$12)*IFERROR(LOOKUP(Предпосылки!$J122,$C$14:$C$16,K$14:K$16),1)</f>
        <v>0</v>
      </c>
      <c s="125">
        <f>Предпосылки!K150*L$41*(1+Чувствительность!$D$12)*IFERROR(LOOKUP(Предпосылки!$J122,$C$14:$C$16,L$14:L$16),1)</f>
        <v>0</v>
      </c>
      <c s="125">
        <f>Предпосылки!L150*M$41*(1+Чувствительность!$D$12)*IFERROR(LOOKUP(Предпосылки!$J122,$C$14:$C$16,M$14:M$16),1)</f>
        <v>0</v>
      </c>
      <c s="125">
        <f>Предпосылки!M150*N$41*(1+Чувствительность!$D$12)*IFERROR(LOOKUP(Предпосылки!$J122,$C$14:$C$16,N$14:N$16),1)</f>
        <v>0</v>
      </c>
      <c s="125">
        <f>Предпосылки!N150*O$41*(1+Чувствительность!$D$12)*IFERROR(LOOKUP(Предпосылки!$J122,$C$14:$C$16,O$14:O$16),1)</f>
        <v>0</v>
      </c>
      <c s="125">
        <f>Предпосылки!O150*P$41*(1+Чувствительность!$D$12)*IFERROR(LOOKUP(Предпосылки!$J122,$C$14:$C$16,P$14:P$16),1)</f>
        <v>0</v>
      </c>
      <c s="125">
        <f>Предпосылки!P150*Q$41*(1+Чувствительность!$D$12)*IFERROR(LOOKUP(Предпосылки!$J122,$C$14:$C$16,Q$14:Q$16),1)</f>
        <v>0</v>
      </c>
      <c s="125">
        <f>Предпосылки!Q150*R$41*(1+Чувствительность!$D$12)*IFERROR(LOOKUP(Предпосылки!$J122,$C$14:$C$16,R$14:R$16),1)</f>
        <v>0</v>
      </c>
      <c s="125">
        <f>Предпосылки!R150*S$41*(1+Чувствительность!$D$12)*IFERROR(LOOKUP(Предпосылки!$J122,$C$14:$C$16,S$14:S$16),1)</f>
        <v>0</v>
      </c>
      <c s="125">
        <f>Предпосылки!S150*T$41*(1+Чувствительность!$D$12)*IFERROR(LOOKUP(Предпосылки!$J122,$C$14:$C$16,T$14:T$16),1)</f>
        <v>0</v>
      </c>
      <c s="125">
        <f>Предпосылки!T150*U$41*(1+Чувствительность!$D$12)*IFERROR(LOOKUP(Предпосылки!$J122,$C$14:$C$16,U$14:U$16),1)</f>
        <v>0</v>
      </c>
      <c s="125">
        <f>Предпосылки!U150*V$41*(1+Чувствительность!$D$12)*IFERROR(LOOKUP(Предпосылки!$J122,$C$14:$C$16,V$14:V$16),1)</f>
        <v>0</v>
      </c>
      <c s="125">
        <f>Предпосылки!V150*W$41*(1+Чувствительность!$D$12)*IFERROR(LOOKUP(Предпосылки!$J122,$C$14:$C$16,W$14:W$16),1)</f>
        <v>0</v>
      </c>
      <c s="125">
        <f>Предпосылки!W150*X$41*(1+Чувствительность!$D$12)*IFERROR(LOOKUP(Предпосылки!$J122,$C$14:$C$16,X$14:X$16),1)</f>
        <v>0</v>
      </c>
      <c s="125">
        <f>Предпосылки!X150*Y$41*(1+Чувствительность!$D$12)*IFERROR(LOOKUP(Предпосылки!$J122,$C$14:$C$16,Y$14:Y$16),1)</f>
        <v>0</v>
      </c>
      <c s="125">
        <f>Предпосылки!Y150*Z$41*(1+Чувствительность!$D$12)*IFERROR(LOOKUP(Предпосылки!$J122,$C$14:$C$16,Z$14:Z$16),1)</f>
        <v>0</v>
      </c>
      <c s="125">
        <f>Предпосылки!Z150*AA$41*(1+Чувствительность!$D$12)*IFERROR(LOOKUP(Предпосылки!$J122,$C$14:$C$16,AA$14:AA$16),1)</f>
        <v>0</v>
      </c>
      <c s="125">
        <f>Предпосылки!AA150*AB$41*(1+Чувствительность!$D$12)*IFERROR(LOOKUP(Предпосылки!$J122,$C$14:$C$16,AB$14:AB$16),1)</f>
        <v>0</v>
      </c>
      <c s="125">
        <f>Предпосылки!AB150*AC$41*(1+Чувствительность!$D$12)*IFERROR(LOOKUP(Предпосылки!$J122,$C$14:$C$16,AC$14:AC$16),1)</f>
        <v>0</v>
      </c>
      <c s="125">
        <f>Предпосылки!AC150*AD$41*(1+Чувствительность!$D$12)*IFERROR(LOOKUP(Предпосылки!$J122,$C$14:$C$16,AD$14:AD$16),1)</f>
        <v>0</v>
      </c>
      <c s="125">
        <f>Предпосылки!AD150*AE$41*(1+Чувствительность!$D$12)*IFERROR(LOOKUP(Предпосылки!$J122,$C$14:$C$16,AE$14:AE$16),1)</f>
        <v>0</v>
      </c>
      <c s="125">
        <f>Предпосылки!AE150*AF$41*(1+Чувствительность!$D$12)*IFERROR(LOOKUP(Предпосылки!$J122,$C$14:$C$16,AF$14:AF$16),1)</f>
        <v>0</v>
      </c>
      <c s="125">
        <f>Предпосылки!AF150*AG$41*(1+Чувствительность!$D$12)*IFERROR(LOOKUP(Предпосылки!$J122,$C$14:$C$16,AG$14:AG$16),1)</f>
        <v>0</v>
      </c>
      <c s="125">
        <f>Предпосылки!AG150*AH$41*(1+Чувствительность!$D$12)*IFERROR(LOOKUP(Предпосылки!$J122,$C$14:$C$16,AH$14:AH$16),1)</f>
        <v>0</v>
      </c>
      <c s="125">
        <f>Предпосылки!AH150*AI$41*(1+Чувствительность!$D$12)*IFERROR(LOOKUP(Предпосылки!$J122,$C$14:$C$16,AI$14:AI$16),1)</f>
        <v>0</v>
      </c>
      <c s="125">
        <f>Предпосылки!AI150*AJ$41*(1+Чувствительность!$D$12)*IFERROR(LOOKUP(Предпосылки!$J122,$C$14:$C$16,AJ$14:AJ$16),1)</f>
        <v>0</v>
      </c>
      <c s="125">
        <f>Предпосылки!AJ150*AK$41*(1+Чувствительность!$D$12)*IFERROR(LOOKUP(Предпосылки!$J122,$C$14:$C$16,AK$14:AK$16),1)</f>
        <v>0</v>
      </c>
      <c s="125">
        <f>Предпосылки!AK150*AL$41*(1+Чувствительность!$D$12)*IFERROR(LOOKUP(Предпосылки!$J122,$C$14:$C$16,AL$14:AL$16),1)</f>
        <v>0</v>
      </c>
      <c s="125">
        <f>Предпосылки!AL150*AM$41*(1+Чувствительность!$D$12)*IFERROR(LOOKUP(Предпосылки!$J122,$C$14:$C$16,AM$14:AM$16),1)</f>
        <v>0</v>
      </c>
      <c s="125">
        <f>Предпосылки!AM150*AN$41*(1+Чувствительность!$D$12)*IFERROR(LOOKUP(Предпосылки!$J122,$C$14:$C$16,AN$14:AN$16),1)</f>
        <v>0</v>
      </c>
      <c s="125">
        <f>Предпосылки!AN150*AO$41*(1+Чувствительность!$D$12)*IFERROR(LOOKUP(Предпосылки!$J122,$C$14:$C$16,AO$14:AO$16),1)</f>
        <v>0</v>
      </c>
      <c s="125">
        <f>Предпосылки!AO150*AP$41*(1+Чувствительность!$D$12)*IFERROR(LOOKUP(Предпосылки!$J122,$C$14:$C$16,AP$14:AP$16),1)</f>
        <v>0</v>
      </c>
      <c s="125">
        <f>Предпосылки!AP150*AQ$41*(1+Чувствительность!$D$12)*IFERROR(LOOKUP(Предпосылки!$J122,$C$14:$C$16,AQ$14:AQ$16),1)</f>
        <v>0</v>
      </c>
      <c s="125">
        <f>Предпосылки!AQ150*AR$41*(1+Чувствительность!$D$12)*IFERROR(LOOKUP(Предпосылки!$J122,$C$14:$C$16,AR$14:AR$16),1)</f>
        <v>0</v>
      </c>
      <c s="125">
        <f>Предпосылки!AR150*AS$41*(1+Чувствительность!$D$12)*IFERROR(LOOKUP(Предпосылки!$J122,$C$14:$C$16,AS$14:AS$16),1)</f>
        <v>0</v>
      </c>
      <c s="125">
        <f>Предпосылки!AS150*AT$41*(1+Чувствительность!$D$12)*IFERROR(LOOKUP(Предпосылки!$J122,$C$14:$C$16,AT$14:AT$16),1)</f>
        <v>0</v>
      </c>
      <c s="125">
        <f>Предпосылки!AT150*AU$41*(1+Чувствительность!$D$12)*IFERROR(LOOKUP(Предпосылки!$J122,$C$14:$C$16,AU$14:AU$16),1)</f>
        <v>0</v>
      </c>
      <c s="125">
        <f>Предпосылки!AU150*AV$41*(1+Чувствительность!$D$12)*IFERROR(LOOKUP(Предпосылки!$J122,$C$14:$C$16,AV$14:AV$16),1)</f>
        <v>0</v>
      </c>
      <c s="125">
        <f>Предпосылки!AV150*AW$41*(1+Чувствительность!$D$12)*IFERROR(LOOKUP(Предпосылки!$J122,$C$14:$C$16,AW$14:AW$16),1)</f>
        <v>0</v>
      </c>
      <c s="125">
        <f>Предпосылки!AW150*AX$41*(1+Чувствительность!$D$12)*IFERROR(LOOKUP(Предпосылки!$J122,$C$14:$C$16,AX$14:AX$16),1)</f>
        <v>0</v>
      </c>
      <c s="125">
        <f>Предпосылки!AX150*AY$41*(1+Чувствительность!$D$12)*IFERROR(LOOKUP(Предпосылки!$J122,$C$14:$C$16,AY$14:AY$16),1)</f>
        <v>0</v>
      </c>
      <c s="125">
        <f>Предпосылки!AY150*AZ$41*(1+Чувствительность!$D$12)*IFERROR(LOOKUP(Предпосылки!$J122,$C$14:$C$16,AZ$14:AZ$16),1)</f>
        <v>0</v>
      </c>
      <c s="125">
        <f>Предпосылки!AZ150*BA$41*(1+Чувствительность!$D$12)*IFERROR(LOOKUP(Предпосылки!$J122,$C$14:$C$16,BA$14:BA$16),1)</f>
        <v>0</v>
      </c>
      <c s="125">
        <f>Предпосылки!BA150*BB$41*(1+Чувствительность!$D$12)*IFERROR(LOOKUP(Предпосылки!$J122,$C$14:$C$16,BB$14:BB$16),1)</f>
        <v>0</v>
      </c>
      <c s="125">
        <f>Предпосылки!BB150*BC$41*(1+Чувствительность!$D$12)*IFERROR(LOOKUP(Предпосылки!$J122,$C$14:$C$16,BC$14:BC$16),1)</f>
        <v>0</v>
      </c>
      <c s="125">
        <f>Предпосылки!BC150*BD$41*(1+Чувствительность!$D$12)*IFERROR(LOOKUP(Предпосылки!$J122,$C$14:$C$16,BD$14:BD$16),1)</f>
        <v>0</v>
      </c>
      <c s="125">
        <f>Предпосылки!BD150*BE$41*(1+Чувствительность!$D$12)*IFERROR(LOOKUP(Предпосылки!$J122,$C$14:$C$16,BE$14:BE$16),1)</f>
        <v>0</v>
      </c>
      <c s="125">
        <f>Предпосылки!BE150*BF$41*(1+Чувствительность!$D$12)*IFERROR(LOOKUP(Предпосылки!$J122,$C$14:$C$16,BF$14:BF$16),1)</f>
        <v>0</v>
      </c>
      <c s="125">
        <f>Предпосылки!BF150*BG$41*(1+Чувствительность!$D$12)*IFERROR(LOOKUP(Предпосылки!$J122,$C$14:$C$16,BG$14:BG$16),1)</f>
        <v>0</v>
      </c>
      <c s="125">
        <f>Предпосылки!BG150*BH$41*(1+Чувствительность!$D$12)*IFERROR(LOOKUP(Предпосылки!$J122,$C$14:$C$16,BH$14:BH$16),1)</f>
        <v>0</v>
      </c>
      <c s="125">
        <f>Предпосылки!BH150*BI$41*(1+Чувствительность!$D$12)*IFERROR(LOOKUP(Предпосылки!$J122,$C$14:$C$16,BI$14:BI$16),1)</f>
        <v>0</v>
      </c>
      <c s="125">
        <f>Предпосылки!BI150*BJ$41*(1+Чувствительность!$D$12)*IFERROR(LOOKUP(Предпосылки!$J122,$C$14:$C$16,BJ$14:BJ$16),1)</f>
        <v>0</v>
      </c>
      <c s="125">
        <f>Предпосылки!BJ150*BK$41*(1+Чувствительность!$D$12)*IFERROR(LOOKUP(Предпосылки!$J122,$C$14:$C$16,BK$14:BK$16),1)</f>
        <v>0</v>
      </c>
      <c s="125">
        <f>Предпосылки!BK150*BL$41*(1+Чувствительность!$D$12)*IFERROR(LOOKUP(Предпосылки!$J122,$C$14:$C$16,BL$14:BL$16),1)</f>
        <v>0</v>
      </c>
      <c s="125">
        <f>Предпосылки!BL150*BM$41*(1+Чувствительность!$D$12)*IFERROR(LOOKUP(Предпосылки!$J122,$C$14:$C$16,BM$14:BM$16),1)</f>
        <v>0</v>
      </c>
    </row>
    <row r="45" spans="2:65" ht="15" customHeight="1">
      <c r="B45" s="12" t="str">
        <f t="shared" si="38" ref="B45:B63">B19</f>
        <v>Продукт 2</v>
      </c>
      <c s="124" t="str">
        <f t="shared" si="37"/>
        <v>тыс. руб.</v>
      </c>
      <c s="125"/>
      <c s="125">
        <f>Предпосылки!D151*E$41*(1+Чувствительность!$D$12)*IFERROR(LOOKUP(Предпосылки!$J123,$C$14:$C$16,E$14:E$16),1)</f>
        <v>0</v>
      </c>
      <c s="125">
        <f>Предпосылки!E151*F$41*(1+Чувствительность!$D$12)*IFERROR(LOOKUP(Предпосылки!$J123,$C$14:$C$16,F$14:F$16),1)</f>
        <v>0</v>
      </c>
      <c s="125">
        <f>Предпосылки!F151*G$41*(1+Чувствительность!$D$12)*IFERROR(LOOKUP(Предпосылки!$J123,$C$14:$C$16,G$14:G$16),1)</f>
        <v>0</v>
      </c>
      <c s="125">
        <f>Предпосылки!G151*H$41*(1+Чувствительность!$D$12)*IFERROR(LOOKUP(Предпосылки!$J123,$C$14:$C$16,H$14:H$16),1)</f>
        <v>0</v>
      </c>
      <c s="125">
        <f>Предпосылки!H151*I$41*(1+Чувствительность!$D$12)*IFERROR(LOOKUP(Предпосылки!$J123,$C$14:$C$16,I$14:I$16),1)</f>
        <v>0</v>
      </c>
      <c s="125">
        <f>Предпосылки!I151*J$41*(1+Чувствительность!$D$12)*IFERROR(LOOKUP(Предпосылки!$J123,$C$14:$C$16,J$14:J$16),1)</f>
        <v>0</v>
      </c>
      <c s="125">
        <f>Предпосылки!J151*K$41*(1+Чувствительность!$D$12)*IFERROR(LOOKUP(Предпосылки!$J123,$C$14:$C$16,K$14:K$16),1)</f>
        <v>0</v>
      </c>
      <c s="125">
        <f>Предпосылки!K151*L$41*(1+Чувствительность!$D$12)*IFERROR(LOOKUP(Предпосылки!$J123,$C$14:$C$16,L$14:L$16),1)</f>
        <v>0</v>
      </c>
      <c s="125">
        <f>Предпосылки!L151*M$41*(1+Чувствительность!$D$12)*IFERROR(LOOKUP(Предпосылки!$J123,$C$14:$C$16,M$14:M$16),1)</f>
        <v>0</v>
      </c>
      <c s="125">
        <f>Предпосылки!M151*N$41*(1+Чувствительность!$D$12)*IFERROR(LOOKUP(Предпосылки!$J123,$C$14:$C$16,N$14:N$16),1)</f>
        <v>0</v>
      </c>
      <c s="125">
        <f>Предпосылки!N151*O$41*(1+Чувствительность!$D$12)*IFERROR(LOOKUP(Предпосылки!$J123,$C$14:$C$16,O$14:O$16),1)</f>
        <v>0</v>
      </c>
      <c s="125">
        <f>Предпосылки!O151*P$41*(1+Чувствительность!$D$12)*IFERROR(LOOKUP(Предпосылки!$J123,$C$14:$C$16,P$14:P$16),1)</f>
        <v>0</v>
      </c>
      <c s="125">
        <f>Предпосылки!P151*Q$41*(1+Чувствительность!$D$12)*IFERROR(LOOKUP(Предпосылки!$J123,$C$14:$C$16,Q$14:Q$16),1)</f>
        <v>0</v>
      </c>
      <c s="125">
        <f>Предпосылки!Q151*R$41*(1+Чувствительность!$D$12)*IFERROR(LOOKUP(Предпосылки!$J123,$C$14:$C$16,R$14:R$16),1)</f>
        <v>0</v>
      </c>
      <c s="125">
        <f>Предпосылки!R151*S$41*(1+Чувствительность!$D$12)*IFERROR(LOOKUP(Предпосылки!$J123,$C$14:$C$16,S$14:S$16),1)</f>
        <v>0</v>
      </c>
      <c s="125">
        <f>Предпосылки!S151*T$41*(1+Чувствительность!$D$12)*IFERROR(LOOKUP(Предпосылки!$J123,$C$14:$C$16,T$14:T$16),1)</f>
        <v>0</v>
      </c>
      <c s="125">
        <f>Предпосылки!T151*U$41*(1+Чувствительность!$D$12)*IFERROR(LOOKUP(Предпосылки!$J123,$C$14:$C$16,U$14:U$16),1)</f>
        <v>0</v>
      </c>
      <c s="125">
        <f>Предпосылки!U151*V$41*(1+Чувствительность!$D$12)*IFERROR(LOOKUP(Предпосылки!$J123,$C$14:$C$16,V$14:V$16),1)</f>
        <v>0</v>
      </c>
      <c s="125">
        <f>Предпосылки!V151*W$41*(1+Чувствительность!$D$12)*IFERROR(LOOKUP(Предпосылки!$J123,$C$14:$C$16,W$14:W$16),1)</f>
        <v>0</v>
      </c>
      <c s="125">
        <f>Предпосылки!W151*X$41*(1+Чувствительность!$D$12)*IFERROR(LOOKUP(Предпосылки!$J123,$C$14:$C$16,X$14:X$16),1)</f>
        <v>0</v>
      </c>
      <c s="125">
        <f>Предпосылки!X151*Y$41*(1+Чувствительность!$D$12)*IFERROR(LOOKUP(Предпосылки!$J123,$C$14:$C$16,Y$14:Y$16),1)</f>
        <v>0</v>
      </c>
      <c s="125">
        <f>Предпосылки!Y151*Z$41*(1+Чувствительность!$D$12)*IFERROR(LOOKUP(Предпосылки!$J123,$C$14:$C$16,Z$14:Z$16),1)</f>
        <v>0</v>
      </c>
      <c s="125">
        <f>Предпосылки!Z151*AA$41*(1+Чувствительность!$D$12)*IFERROR(LOOKUP(Предпосылки!$J123,$C$14:$C$16,AA$14:AA$16),1)</f>
        <v>0</v>
      </c>
      <c s="125">
        <f>Предпосылки!AA151*AB$41*(1+Чувствительность!$D$12)*IFERROR(LOOKUP(Предпосылки!$J123,$C$14:$C$16,AB$14:AB$16),1)</f>
        <v>0</v>
      </c>
      <c s="125">
        <f>Предпосылки!AB151*AC$41*(1+Чувствительность!$D$12)*IFERROR(LOOKUP(Предпосылки!$J123,$C$14:$C$16,AC$14:AC$16),1)</f>
        <v>0</v>
      </c>
      <c s="125">
        <f>Предпосылки!AC151*AD$41*(1+Чувствительность!$D$12)*IFERROR(LOOKUP(Предпосылки!$J123,$C$14:$C$16,AD$14:AD$16),1)</f>
        <v>0</v>
      </c>
      <c s="125">
        <f>Предпосылки!AD151*AE$41*(1+Чувствительность!$D$12)*IFERROR(LOOKUP(Предпосылки!$J123,$C$14:$C$16,AE$14:AE$16),1)</f>
        <v>0</v>
      </c>
      <c s="125">
        <f>Предпосылки!AE151*AF$41*(1+Чувствительность!$D$12)*IFERROR(LOOKUP(Предпосылки!$J123,$C$14:$C$16,AF$14:AF$16),1)</f>
        <v>0</v>
      </c>
      <c s="125">
        <f>Предпосылки!AF151*AG$41*(1+Чувствительность!$D$12)*IFERROR(LOOKUP(Предпосылки!$J123,$C$14:$C$16,AG$14:AG$16),1)</f>
        <v>0</v>
      </c>
      <c s="125">
        <f>Предпосылки!AG151*AH$41*(1+Чувствительность!$D$12)*IFERROR(LOOKUP(Предпосылки!$J123,$C$14:$C$16,AH$14:AH$16),1)</f>
        <v>0</v>
      </c>
      <c s="125">
        <f>Предпосылки!AH151*AI$41*(1+Чувствительность!$D$12)*IFERROR(LOOKUP(Предпосылки!$J123,$C$14:$C$16,AI$14:AI$16),1)</f>
        <v>0</v>
      </c>
      <c s="125">
        <f>Предпосылки!AI151*AJ$41*(1+Чувствительность!$D$12)*IFERROR(LOOKUP(Предпосылки!$J123,$C$14:$C$16,AJ$14:AJ$16),1)</f>
        <v>0</v>
      </c>
      <c s="125">
        <f>Предпосылки!AJ151*AK$41*(1+Чувствительность!$D$12)*IFERROR(LOOKUP(Предпосылки!$J123,$C$14:$C$16,AK$14:AK$16),1)</f>
        <v>0</v>
      </c>
      <c s="125">
        <f>Предпосылки!AK151*AL$41*(1+Чувствительность!$D$12)*IFERROR(LOOKUP(Предпосылки!$J123,$C$14:$C$16,AL$14:AL$16),1)</f>
        <v>0</v>
      </c>
      <c s="125">
        <f>Предпосылки!AL151*AM$41*(1+Чувствительность!$D$12)*IFERROR(LOOKUP(Предпосылки!$J123,$C$14:$C$16,AM$14:AM$16),1)</f>
        <v>0</v>
      </c>
      <c s="125">
        <f>Предпосылки!AM151*AN$41*(1+Чувствительность!$D$12)*IFERROR(LOOKUP(Предпосылки!$J123,$C$14:$C$16,AN$14:AN$16),1)</f>
        <v>0</v>
      </c>
      <c s="125">
        <f>Предпосылки!AN151*AO$41*(1+Чувствительность!$D$12)*IFERROR(LOOKUP(Предпосылки!$J123,$C$14:$C$16,AO$14:AO$16),1)</f>
        <v>0</v>
      </c>
      <c s="125">
        <f>Предпосылки!AO151*AP$41*(1+Чувствительность!$D$12)*IFERROR(LOOKUP(Предпосылки!$J123,$C$14:$C$16,AP$14:AP$16),1)</f>
        <v>0</v>
      </c>
      <c s="125">
        <f>Предпосылки!AP151*AQ$41*(1+Чувствительность!$D$12)*IFERROR(LOOKUP(Предпосылки!$J123,$C$14:$C$16,AQ$14:AQ$16),1)</f>
        <v>0</v>
      </c>
      <c s="125">
        <f>Предпосылки!AQ151*AR$41*(1+Чувствительность!$D$12)*IFERROR(LOOKUP(Предпосылки!$J123,$C$14:$C$16,AR$14:AR$16),1)</f>
        <v>0</v>
      </c>
      <c s="125">
        <f>Предпосылки!AR151*AS$41*(1+Чувствительность!$D$12)*IFERROR(LOOKUP(Предпосылки!$J123,$C$14:$C$16,AS$14:AS$16),1)</f>
        <v>0</v>
      </c>
      <c s="125">
        <f>Предпосылки!AS151*AT$41*(1+Чувствительность!$D$12)*IFERROR(LOOKUP(Предпосылки!$J123,$C$14:$C$16,AT$14:AT$16),1)</f>
        <v>0</v>
      </c>
      <c s="125">
        <f>Предпосылки!AT151*AU$41*(1+Чувствительность!$D$12)*IFERROR(LOOKUP(Предпосылки!$J123,$C$14:$C$16,AU$14:AU$16),1)</f>
        <v>0</v>
      </c>
      <c s="125">
        <f>Предпосылки!AU151*AV$41*(1+Чувствительность!$D$12)*IFERROR(LOOKUP(Предпосылки!$J123,$C$14:$C$16,AV$14:AV$16),1)</f>
        <v>0</v>
      </c>
      <c s="125">
        <f>Предпосылки!AV151*AW$41*(1+Чувствительность!$D$12)*IFERROR(LOOKUP(Предпосылки!$J123,$C$14:$C$16,AW$14:AW$16),1)</f>
        <v>0</v>
      </c>
      <c s="125">
        <f>Предпосылки!AW151*AX$41*(1+Чувствительность!$D$12)*IFERROR(LOOKUP(Предпосылки!$J123,$C$14:$C$16,AX$14:AX$16),1)</f>
        <v>0</v>
      </c>
      <c s="125">
        <f>Предпосылки!AX151*AY$41*(1+Чувствительность!$D$12)*IFERROR(LOOKUP(Предпосылки!$J123,$C$14:$C$16,AY$14:AY$16),1)</f>
        <v>0</v>
      </c>
      <c s="125">
        <f>Предпосылки!AY151*AZ$41*(1+Чувствительность!$D$12)*IFERROR(LOOKUP(Предпосылки!$J123,$C$14:$C$16,AZ$14:AZ$16),1)</f>
        <v>0</v>
      </c>
      <c s="125">
        <f>Предпосылки!AZ151*BA$41*(1+Чувствительность!$D$12)*IFERROR(LOOKUP(Предпосылки!$J123,$C$14:$C$16,BA$14:BA$16),1)</f>
        <v>0</v>
      </c>
      <c s="125">
        <f>Предпосылки!BA151*BB$41*(1+Чувствительность!$D$12)*IFERROR(LOOKUP(Предпосылки!$J123,$C$14:$C$16,BB$14:BB$16),1)</f>
        <v>0</v>
      </c>
      <c s="125">
        <f>Предпосылки!BB151*BC$41*(1+Чувствительность!$D$12)*IFERROR(LOOKUP(Предпосылки!$J123,$C$14:$C$16,BC$14:BC$16),1)</f>
        <v>0</v>
      </c>
      <c s="125">
        <f>Предпосылки!BC151*BD$41*(1+Чувствительность!$D$12)*IFERROR(LOOKUP(Предпосылки!$J123,$C$14:$C$16,BD$14:BD$16),1)</f>
        <v>0</v>
      </c>
      <c s="125">
        <f>Предпосылки!BD151*BE$41*(1+Чувствительность!$D$12)*IFERROR(LOOKUP(Предпосылки!$J123,$C$14:$C$16,BE$14:BE$16),1)</f>
        <v>0</v>
      </c>
      <c s="125">
        <f>Предпосылки!BE151*BF$41*(1+Чувствительность!$D$12)*IFERROR(LOOKUP(Предпосылки!$J123,$C$14:$C$16,BF$14:BF$16),1)</f>
        <v>0</v>
      </c>
      <c s="125">
        <f>Предпосылки!BF151*BG$41*(1+Чувствительность!$D$12)*IFERROR(LOOKUP(Предпосылки!$J123,$C$14:$C$16,BG$14:BG$16),1)</f>
        <v>0</v>
      </c>
      <c s="125">
        <f>Предпосылки!BG151*BH$41*(1+Чувствительность!$D$12)*IFERROR(LOOKUP(Предпосылки!$J123,$C$14:$C$16,BH$14:BH$16),1)</f>
        <v>0</v>
      </c>
      <c s="125">
        <f>Предпосылки!BH151*BI$41*(1+Чувствительность!$D$12)*IFERROR(LOOKUP(Предпосылки!$J123,$C$14:$C$16,BI$14:BI$16),1)</f>
        <v>0</v>
      </c>
      <c s="125">
        <f>Предпосылки!BI151*BJ$41*(1+Чувствительность!$D$12)*IFERROR(LOOKUP(Предпосылки!$J123,$C$14:$C$16,BJ$14:BJ$16),1)</f>
        <v>0</v>
      </c>
      <c s="125">
        <f>Предпосылки!BJ151*BK$41*(1+Чувствительность!$D$12)*IFERROR(LOOKUP(Предпосылки!$J123,$C$14:$C$16,BK$14:BK$16),1)</f>
        <v>0</v>
      </c>
      <c s="125">
        <f>Предпосылки!BK151*BL$41*(1+Чувствительность!$D$12)*IFERROR(LOOKUP(Предпосылки!$J123,$C$14:$C$16,BL$14:BL$16),1)</f>
        <v>0</v>
      </c>
      <c s="125">
        <f>Предпосылки!BL151*BM$41*(1+Чувствительность!$D$12)*IFERROR(LOOKUP(Предпосылки!$J123,$C$14:$C$16,BM$14:BM$16),1)</f>
        <v>0</v>
      </c>
    </row>
    <row r="46" spans="2:65" ht="15" customHeight="1">
      <c r="B46" s="12" t="str">
        <f t="shared" si="38"/>
        <v>Продукт 3</v>
      </c>
      <c s="124" t="str">
        <f t="shared" si="37"/>
        <v>тыс. руб.</v>
      </c>
      <c s="125"/>
      <c s="125">
        <f>Предпосылки!D152*E$41*(1+Чувствительность!$D$12)*IFERROR(LOOKUP(Предпосылки!$J124,$C$14:$C$16,E$14:E$16),1)</f>
        <v>0</v>
      </c>
      <c s="125">
        <f>Предпосылки!E152*F$41*(1+Чувствительность!$D$12)*IFERROR(LOOKUP(Предпосылки!$J124,$C$14:$C$16,F$14:F$16),1)</f>
        <v>0</v>
      </c>
      <c s="125">
        <f>Предпосылки!F152*G$41*(1+Чувствительность!$D$12)*IFERROR(LOOKUP(Предпосылки!$J124,$C$14:$C$16,G$14:G$16),1)</f>
        <v>0</v>
      </c>
      <c s="125">
        <f>Предпосылки!G152*H$41*(1+Чувствительность!$D$12)*IFERROR(LOOKUP(Предпосылки!$J124,$C$14:$C$16,H$14:H$16),1)</f>
        <v>0</v>
      </c>
      <c s="125">
        <f>Предпосылки!H152*I$41*(1+Чувствительность!$D$12)*IFERROR(LOOKUP(Предпосылки!$J124,$C$14:$C$16,I$14:I$16),1)</f>
        <v>0</v>
      </c>
      <c s="125">
        <f>Предпосылки!I152*J$41*(1+Чувствительность!$D$12)*IFERROR(LOOKUP(Предпосылки!$J124,$C$14:$C$16,J$14:J$16),1)</f>
        <v>0</v>
      </c>
      <c s="125">
        <f>Предпосылки!J152*K$41*(1+Чувствительность!$D$12)*IFERROR(LOOKUP(Предпосылки!$J124,$C$14:$C$16,K$14:K$16),1)</f>
        <v>0</v>
      </c>
      <c s="125">
        <f>Предпосылки!K152*L$41*(1+Чувствительность!$D$12)*IFERROR(LOOKUP(Предпосылки!$J124,$C$14:$C$16,L$14:L$16),1)</f>
        <v>0</v>
      </c>
      <c s="125">
        <f>Предпосылки!L152*M$41*(1+Чувствительность!$D$12)*IFERROR(LOOKUP(Предпосылки!$J124,$C$14:$C$16,M$14:M$16),1)</f>
        <v>0</v>
      </c>
      <c s="125">
        <f>Предпосылки!M152*N$41*(1+Чувствительность!$D$12)*IFERROR(LOOKUP(Предпосылки!$J124,$C$14:$C$16,N$14:N$16),1)</f>
        <v>0</v>
      </c>
      <c s="125">
        <f>Предпосылки!N152*O$41*(1+Чувствительность!$D$12)*IFERROR(LOOKUP(Предпосылки!$J124,$C$14:$C$16,O$14:O$16),1)</f>
        <v>0</v>
      </c>
      <c s="125">
        <f>Предпосылки!O152*P$41*(1+Чувствительность!$D$12)*IFERROR(LOOKUP(Предпосылки!$J124,$C$14:$C$16,P$14:P$16),1)</f>
        <v>0</v>
      </c>
      <c s="125">
        <f>Предпосылки!P152*Q$41*(1+Чувствительность!$D$12)*IFERROR(LOOKUP(Предпосылки!$J124,$C$14:$C$16,Q$14:Q$16),1)</f>
        <v>0</v>
      </c>
      <c s="125">
        <f>Предпосылки!Q152*R$41*(1+Чувствительность!$D$12)*IFERROR(LOOKUP(Предпосылки!$J124,$C$14:$C$16,R$14:R$16),1)</f>
        <v>0</v>
      </c>
      <c s="125">
        <f>Предпосылки!R152*S$41*(1+Чувствительность!$D$12)*IFERROR(LOOKUP(Предпосылки!$J124,$C$14:$C$16,S$14:S$16),1)</f>
        <v>0</v>
      </c>
      <c s="125">
        <f>Предпосылки!S152*T$41*(1+Чувствительность!$D$12)*IFERROR(LOOKUP(Предпосылки!$J124,$C$14:$C$16,T$14:T$16),1)</f>
        <v>0</v>
      </c>
      <c s="125">
        <f>Предпосылки!T152*U$41*(1+Чувствительность!$D$12)*IFERROR(LOOKUP(Предпосылки!$J124,$C$14:$C$16,U$14:U$16),1)</f>
        <v>0</v>
      </c>
      <c s="125">
        <f>Предпосылки!U152*V$41*(1+Чувствительность!$D$12)*IFERROR(LOOKUP(Предпосылки!$J124,$C$14:$C$16,V$14:V$16),1)</f>
        <v>0</v>
      </c>
      <c s="125">
        <f>Предпосылки!V152*W$41*(1+Чувствительность!$D$12)*IFERROR(LOOKUP(Предпосылки!$J124,$C$14:$C$16,W$14:W$16),1)</f>
        <v>0</v>
      </c>
      <c s="125">
        <f>Предпосылки!W152*X$41*(1+Чувствительность!$D$12)*IFERROR(LOOKUP(Предпосылки!$J124,$C$14:$C$16,X$14:X$16),1)</f>
        <v>0</v>
      </c>
      <c s="125">
        <f>Предпосылки!X152*Y$41*(1+Чувствительность!$D$12)*IFERROR(LOOKUP(Предпосылки!$J124,$C$14:$C$16,Y$14:Y$16),1)</f>
        <v>0</v>
      </c>
      <c s="125">
        <f>Предпосылки!Y152*Z$41*(1+Чувствительность!$D$12)*IFERROR(LOOKUP(Предпосылки!$J124,$C$14:$C$16,Z$14:Z$16),1)</f>
        <v>0</v>
      </c>
      <c s="125">
        <f>Предпосылки!Z152*AA$41*(1+Чувствительность!$D$12)*IFERROR(LOOKUP(Предпосылки!$J124,$C$14:$C$16,AA$14:AA$16),1)</f>
        <v>0</v>
      </c>
      <c s="125">
        <f>Предпосылки!AA152*AB$41*(1+Чувствительность!$D$12)*IFERROR(LOOKUP(Предпосылки!$J124,$C$14:$C$16,AB$14:AB$16),1)</f>
        <v>0</v>
      </c>
      <c s="125">
        <f>Предпосылки!AB152*AC$41*(1+Чувствительность!$D$12)*IFERROR(LOOKUP(Предпосылки!$J124,$C$14:$C$16,AC$14:AC$16),1)</f>
        <v>0</v>
      </c>
      <c s="125">
        <f>Предпосылки!AC152*AD$41*(1+Чувствительность!$D$12)*IFERROR(LOOKUP(Предпосылки!$J124,$C$14:$C$16,AD$14:AD$16),1)</f>
        <v>0</v>
      </c>
      <c s="125">
        <f>Предпосылки!AD152*AE$41*(1+Чувствительность!$D$12)*IFERROR(LOOKUP(Предпосылки!$J124,$C$14:$C$16,AE$14:AE$16),1)</f>
        <v>0</v>
      </c>
      <c s="125">
        <f>Предпосылки!AE152*AF$41*(1+Чувствительность!$D$12)*IFERROR(LOOKUP(Предпосылки!$J124,$C$14:$C$16,AF$14:AF$16),1)</f>
        <v>0</v>
      </c>
      <c s="125">
        <f>Предпосылки!AF152*AG$41*(1+Чувствительность!$D$12)*IFERROR(LOOKUP(Предпосылки!$J124,$C$14:$C$16,AG$14:AG$16),1)</f>
        <v>0</v>
      </c>
      <c s="125">
        <f>Предпосылки!AG152*AH$41*(1+Чувствительность!$D$12)*IFERROR(LOOKUP(Предпосылки!$J124,$C$14:$C$16,AH$14:AH$16),1)</f>
        <v>0</v>
      </c>
      <c s="125">
        <f>Предпосылки!AH152*AI$41*(1+Чувствительность!$D$12)*IFERROR(LOOKUP(Предпосылки!$J124,$C$14:$C$16,AI$14:AI$16),1)</f>
        <v>0</v>
      </c>
      <c s="125">
        <f>Предпосылки!AI152*AJ$41*(1+Чувствительность!$D$12)*IFERROR(LOOKUP(Предпосылки!$J124,$C$14:$C$16,AJ$14:AJ$16),1)</f>
        <v>0</v>
      </c>
      <c s="125">
        <f>Предпосылки!AJ152*AK$41*(1+Чувствительность!$D$12)*IFERROR(LOOKUP(Предпосылки!$J124,$C$14:$C$16,AK$14:AK$16),1)</f>
        <v>0</v>
      </c>
      <c s="125">
        <f>Предпосылки!AK152*AL$41*(1+Чувствительность!$D$12)*IFERROR(LOOKUP(Предпосылки!$J124,$C$14:$C$16,AL$14:AL$16),1)</f>
        <v>0</v>
      </c>
      <c s="125">
        <f>Предпосылки!AL152*AM$41*(1+Чувствительность!$D$12)*IFERROR(LOOKUP(Предпосылки!$J124,$C$14:$C$16,AM$14:AM$16),1)</f>
        <v>0</v>
      </c>
      <c s="125">
        <f>Предпосылки!AM152*AN$41*(1+Чувствительность!$D$12)*IFERROR(LOOKUP(Предпосылки!$J124,$C$14:$C$16,AN$14:AN$16),1)</f>
        <v>0</v>
      </c>
      <c s="125">
        <f>Предпосылки!AN152*AO$41*(1+Чувствительность!$D$12)*IFERROR(LOOKUP(Предпосылки!$J124,$C$14:$C$16,AO$14:AO$16),1)</f>
        <v>0</v>
      </c>
      <c s="125">
        <f>Предпосылки!AO152*AP$41*(1+Чувствительность!$D$12)*IFERROR(LOOKUP(Предпосылки!$J124,$C$14:$C$16,AP$14:AP$16),1)</f>
        <v>0</v>
      </c>
      <c s="125">
        <f>Предпосылки!AP152*AQ$41*(1+Чувствительность!$D$12)*IFERROR(LOOKUP(Предпосылки!$J124,$C$14:$C$16,AQ$14:AQ$16),1)</f>
        <v>0</v>
      </c>
      <c s="125">
        <f>Предпосылки!AQ152*AR$41*(1+Чувствительность!$D$12)*IFERROR(LOOKUP(Предпосылки!$J124,$C$14:$C$16,AR$14:AR$16),1)</f>
        <v>0</v>
      </c>
      <c s="125">
        <f>Предпосылки!AR152*AS$41*(1+Чувствительность!$D$12)*IFERROR(LOOKUP(Предпосылки!$J124,$C$14:$C$16,AS$14:AS$16),1)</f>
        <v>0</v>
      </c>
      <c s="125">
        <f>Предпосылки!AS152*AT$41*(1+Чувствительность!$D$12)*IFERROR(LOOKUP(Предпосылки!$J124,$C$14:$C$16,AT$14:AT$16),1)</f>
        <v>0</v>
      </c>
      <c s="125">
        <f>Предпосылки!AT152*AU$41*(1+Чувствительность!$D$12)*IFERROR(LOOKUP(Предпосылки!$J124,$C$14:$C$16,AU$14:AU$16),1)</f>
        <v>0</v>
      </c>
      <c s="125">
        <f>Предпосылки!AU152*AV$41*(1+Чувствительность!$D$12)*IFERROR(LOOKUP(Предпосылки!$J124,$C$14:$C$16,AV$14:AV$16),1)</f>
        <v>0</v>
      </c>
      <c s="125">
        <f>Предпосылки!AV152*AW$41*(1+Чувствительность!$D$12)*IFERROR(LOOKUP(Предпосылки!$J124,$C$14:$C$16,AW$14:AW$16),1)</f>
        <v>0</v>
      </c>
      <c s="125">
        <f>Предпосылки!AW152*AX$41*(1+Чувствительность!$D$12)*IFERROR(LOOKUP(Предпосылки!$J124,$C$14:$C$16,AX$14:AX$16),1)</f>
        <v>0</v>
      </c>
      <c s="125">
        <f>Предпосылки!AX152*AY$41*(1+Чувствительность!$D$12)*IFERROR(LOOKUP(Предпосылки!$J124,$C$14:$C$16,AY$14:AY$16),1)</f>
        <v>0</v>
      </c>
      <c s="125">
        <f>Предпосылки!AY152*AZ$41*(1+Чувствительность!$D$12)*IFERROR(LOOKUP(Предпосылки!$J124,$C$14:$C$16,AZ$14:AZ$16),1)</f>
        <v>0</v>
      </c>
      <c s="125">
        <f>Предпосылки!AZ152*BA$41*(1+Чувствительность!$D$12)*IFERROR(LOOKUP(Предпосылки!$J124,$C$14:$C$16,BA$14:BA$16),1)</f>
        <v>0</v>
      </c>
      <c s="125">
        <f>Предпосылки!BA152*BB$41*(1+Чувствительность!$D$12)*IFERROR(LOOKUP(Предпосылки!$J124,$C$14:$C$16,BB$14:BB$16),1)</f>
        <v>0</v>
      </c>
      <c s="125">
        <f>Предпосылки!BB152*BC$41*(1+Чувствительность!$D$12)*IFERROR(LOOKUP(Предпосылки!$J124,$C$14:$C$16,BC$14:BC$16),1)</f>
        <v>0</v>
      </c>
      <c s="125">
        <f>Предпосылки!BC152*BD$41*(1+Чувствительность!$D$12)*IFERROR(LOOKUP(Предпосылки!$J124,$C$14:$C$16,BD$14:BD$16),1)</f>
        <v>0</v>
      </c>
      <c s="125">
        <f>Предпосылки!BD152*BE$41*(1+Чувствительность!$D$12)*IFERROR(LOOKUP(Предпосылки!$J124,$C$14:$C$16,BE$14:BE$16),1)</f>
        <v>0</v>
      </c>
      <c s="125">
        <f>Предпосылки!BE152*BF$41*(1+Чувствительность!$D$12)*IFERROR(LOOKUP(Предпосылки!$J124,$C$14:$C$16,BF$14:BF$16),1)</f>
        <v>0</v>
      </c>
      <c s="125">
        <f>Предпосылки!BF152*BG$41*(1+Чувствительность!$D$12)*IFERROR(LOOKUP(Предпосылки!$J124,$C$14:$C$16,BG$14:BG$16),1)</f>
        <v>0</v>
      </c>
      <c s="125">
        <f>Предпосылки!BG152*BH$41*(1+Чувствительность!$D$12)*IFERROR(LOOKUP(Предпосылки!$J124,$C$14:$C$16,BH$14:BH$16),1)</f>
        <v>0</v>
      </c>
      <c s="125">
        <f>Предпосылки!BH152*BI$41*(1+Чувствительность!$D$12)*IFERROR(LOOKUP(Предпосылки!$J124,$C$14:$C$16,BI$14:BI$16),1)</f>
        <v>0</v>
      </c>
      <c s="125">
        <f>Предпосылки!BI152*BJ$41*(1+Чувствительность!$D$12)*IFERROR(LOOKUP(Предпосылки!$J124,$C$14:$C$16,BJ$14:BJ$16),1)</f>
        <v>0</v>
      </c>
      <c s="125">
        <f>Предпосылки!BJ152*BK$41*(1+Чувствительность!$D$12)*IFERROR(LOOKUP(Предпосылки!$J124,$C$14:$C$16,BK$14:BK$16),1)</f>
        <v>0</v>
      </c>
      <c s="125">
        <f>Предпосылки!BK152*BL$41*(1+Чувствительность!$D$12)*IFERROR(LOOKUP(Предпосылки!$J124,$C$14:$C$16,BL$14:BL$16),1)</f>
        <v>0</v>
      </c>
      <c s="125">
        <f>Предпосылки!BL152*BM$41*(1+Чувствительность!$D$12)*IFERROR(LOOKUP(Предпосылки!$J124,$C$14:$C$16,BM$14:BM$16),1)</f>
        <v>0</v>
      </c>
    </row>
    <row r="47" spans="2:65" ht="15" customHeight="1">
      <c r="B47" s="12" t="str">
        <f t="shared" si="38"/>
        <v>Продукт 4</v>
      </c>
      <c s="124" t="str">
        <f t="shared" si="37"/>
        <v>тыс. руб.</v>
      </c>
      <c s="125"/>
      <c s="125">
        <f>Предпосылки!D153*E$41*(1+Чувствительность!$D$12)*IFERROR(LOOKUP(Предпосылки!$J125,$C$14:$C$16,E$14:E$16),1)</f>
        <v>0</v>
      </c>
      <c s="125">
        <f>Предпосылки!E153*F$41*(1+Чувствительность!$D$12)*IFERROR(LOOKUP(Предпосылки!$J125,$C$14:$C$16,F$14:F$16),1)</f>
        <v>0</v>
      </c>
      <c s="125">
        <f>Предпосылки!F153*G$41*(1+Чувствительность!$D$12)*IFERROR(LOOKUP(Предпосылки!$J125,$C$14:$C$16,G$14:G$16),1)</f>
        <v>0</v>
      </c>
      <c s="125">
        <f>Предпосылки!G153*H$41*(1+Чувствительность!$D$12)*IFERROR(LOOKUP(Предпосылки!$J125,$C$14:$C$16,H$14:H$16),1)</f>
        <v>0</v>
      </c>
      <c s="125">
        <f>Предпосылки!H153*I$41*(1+Чувствительность!$D$12)*IFERROR(LOOKUP(Предпосылки!$J125,$C$14:$C$16,I$14:I$16),1)</f>
        <v>0</v>
      </c>
      <c s="125">
        <f>Предпосылки!I153*J$41*(1+Чувствительность!$D$12)*IFERROR(LOOKUP(Предпосылки!$J125,$C$14:$C$16,J$14:J$16),1)</f>
        <v>0</v>
      </c>
      <c s="125">
        <f>Предпосылки!J153*K$41*(1+Чувствительность!$D$12)*IFERROR(LOOKUP(Предпосылки!$J125,$C$14:$C$16,K$14:K$16),1)</f>
        <v>0</v>
      </c>
      <c s="125">
        <f>Предпосылки!K153*L$41*(1+Чувствительность!$D$12)*IFERROR(LOOKUP(Предпосылки!$J125,$C$14:$C$16,L$14:L$16),1)</f>
        <v>0</v>
      </c>
      <c s="125">
        <f>Предпосылки!L153*M$41*(1+Чувствительность!$D$12)*IFERROR(LOOKUP(Предпосылки!$J125,$C$14:$C$16,M$14:M$16),1)</f>
        <v>0</v>
      </c>
      <c s="125">
        <f>Предпосылки!M153*N$41*(1+Чувствительность!$D$12)*IFERROR(LOOKUP(Предпосылки!$J125,$C$14:$C$16,N$14:N$16),1)</f>
        <v>0</v>
      </c>
      <c s="125">
        <f>Предпосылки!N153*O$41*(1+Чувствительность!$D$12)*IFERROR(LOOKUP(Предпосылки!$J125,$C$14:$C$16,O$14:O$16),1)</f>
        <v>0</v>
      </c>
      <c s="125">
        <f>Предпосылки!O153*P$41*(1+Чувствительность!$D$12)*IFERROR(LOOKUP(Предпосылки!$J125,$C$14:$C$16,P$14:P$16),1)</f>
        <v>0</v>
      </c>
      <c s="125">
        <f>Предпосылки!P153*Q$41*(1+Чувствительность!$D$12)*IFERROR(LOOKUP(Предпосылки!$J125,$C$14:$C$16,Q$14:Q$16),1)</f>
        <v>0</v>
      </c>
      <c s="125">
        <f>Предпосылки!Q153*R$41*(1+Чувствительность!$D$12)*IFERROR(LOOKUP(Предпосылки!$J125,$C$14:$C$16,R$14:R$16),1)</f>
        <v>0</v>
      </c>
      <c s="125">
        <f>Предпосылки!R153*S$41*(1+Чувствительность!$D$12)*IFERROR(LOOKUP(Предпосылки!$J125,$C$14:$C$16,S$14:S$16),1)</f>
        <v>0</v>
      </c>
      <c s="125">
        <f>Предпосылки!S153*T$41*(1+Чувствительность!$D$12)*IFERROR(LOOKUP(Предпосылки!$J125,$C$14:$C$16,T$14:T$16),1)</f>
        <v>0</v>
      </c>
      <c s="125">
        <f>Предпосылки!T153*U$41*(1+Чувствительность!$D$12)*IFERROR(LOOKUP(Предпосылки!$J125,$C$14:$C$16,U$14:U$16),1)</f>
        <v>0</v>
      </c>
      <c s="125">
        <f>Предпосылки!U153*V$41*(1+Чувствительность!$D$12)*IFERROR(LOOKUP(Предпосылки!$J125,$C$14:$C$16,V$14:V$16),1)</f>
        <v>0</v>
      </c>
      <c s="125">
        <f>Предпосылки!V153*W$41*(1+Чувствительность!$D$12)*IFERROR(LOOKUP(Предпосылки!$J125,$C$14:$C$16,W$14:W$16),1)</f>
        <v>0</v>
      </c>
      <c s="125">
        <f>Предпосылки!W153*X$41*(1+Чувствительность!$D$12)*IFERROR(LOOKUP(Предпосылки!$J125,$C$14:$C$16,X$14:X$16),1)</f>
        <v>0</v>
      </c>
      <c s="125">
        <f>Предпосылки!X153*Y$41*(1+Чувствительность!$D$12)*IFERROR(LOOKUP(Предпосылки!$J125,$C$14:$C$16,Y$14:Y$16),1)</f>
        <v>0</v>
      </c>
      <c s="125">
        <f>Предпосылки!Y153*Z$41*(1+Чувствительность!$D$12)*IFERROR(LOOKUP(Предпосылки!$J125,$C$14:$C$16,Z$14:Z$16),1)</f>
        <v>0</v>
      </c>
      <c s="125">
        <f>Предпосылки!Z153*AA$41*(1+Чувствительность!$D$12)*IFERROR(LOOKUP(Предпосылки!$J125,$C$14:$C$16,AA$14:AA$16),1)</f>
        <v>0</v>
      </c>
      <c s="125">
        <f>Предпосылки!AA153*AB$41*(1+Чувствительность!$D$12)*IFERROR(LOOKUP(Предпосылки!$J125,$C$14:$C$16,AB$14:AB$16),1)</f>
        <v>0</v>
      </c>
      <c s="125">
        <f>Предпосылки!AB153*AC$41*(1+Чувствительность!$D$12)*IFERROR(LOOKUP(Предпосылки!$J125,$C$14:$C$16,AC$14:AC$16),1)</f>
        <v>0</v>
      </c>
      <c s="125">
        <f>Предпосылки!AC153*AD$41*(1+Чувствительность!$D$12)*IFERROR(LOOKUP(Предпосылки!$J125,$C$14:$C$16,AD$14:AD$16),1)</f>
        <v>0</v>
      </c>
      <c s="125">
        <f>Предпосылки!AD153*AE$41*(1+Чувствительность!$D$12)*IFERROR(LOOKUP(Предпосылки!$J125,$C$14:$C$16,AE$14:AE$16),1)</f>
        <v>0</v>
      </c>
      <c s="125">
        <f>Предпосылки!AE153*AF$41*(1+Чувствительность!$D$12)*IFERROR(LOOKUP(Предпосылки!$J125,$C$14:$C$16,AF$14:AF$16),1)</f>
        <v>0</v>
      </c>
      <c s="125">
        <f>Предпосылки!AF153*AG$41*(1+Чувствительность!$D$12)*IFERROR(LOOKUP(Предпосылки!$J125,$C$14:$C$16,AG$14:AG$16),1)</f>
        <v>0</v>
      </c>
      <c s="125">
        <f>Предпосылки!AG153*AH$41*(1+Чувствительность!$D$12)*IFERROR(LOOKUP(Предпосылки!$J125,$C$14:$C$16,AH$14:AH$16),1)</f>
        <v>0</v>
      </c>
      <c s="125">
        <f>Предпосылки!AH153*AI$41*(1+Чувствительность!$D$12)*IFERROR(LOOKUP(Предпосылки!$J125,$C$14:$C$16,AI$14:AI$16),1)</f>
        <v>0</v>
      </c>
      <c s="125">
        <f>Предпосылки!AI153*AJ$41*(1+Чувствительность!$D$12)*IFERROR(LOOKUP(Предпосылки!$J125,$C$14:$C$16,AJ$14:AJ$16),1)</f>
        <v>0</v>
      </c>
      <c s="125">
        <f>Предпосылки!AJ153*AK$41*(1+Чувствительность!$D$12)*IFERROR(LOOKUP(Предпосылки!$J125,$C$14:$C$16,AK$14:AK$16),1)</f>
        <v>0</v>
      </c>
      <c s="125">
        <f>Предпосылки!AK153*AL$41*(1+Чувствительность!$D$12)*IFERROR(LOOKUP(Предпосылки!$J125,$C$14:$C$16,AL$14:AL$16),1)</f>
        <v>0</v>
      </c>
      <c s="125">
        <f>Предпосылки!AL153*AM$41*(1+Чувствительность!$D$12)*IFERROR(LOOKUP(Предпосылки!$J125,$C$14:$C$16,AM$14:AM$16),1)</f>
        <v>0</v>
      </c>
      <c s="125">
        <f>Предпосылки!AM153*AN$41*(1+Чувствительность!$D$12)*IFERROR(LOOKUP(Предпосылки!$J125,$C$14:$C$16,AN$14:AN$16),1)</f>
        <v>0</v>
      </c>
      <c s="125">
        <f>Предпосылки!AN153*AO$41*(1+Чувствительность!$D$12)*IFERROR(LOOKUP(Предпосылки!$J125,$C$14:$C$16,AO$14:AO$16),1)</f>
        <v>0</v>
      </c>
      <c s="125">
        <f>Предпосылки!AO153*AP$41*(1+Чувствительность!$D$12)*IFERROR(LOOKUP(Предпосылки!$J125,$C$14:$C$16,AP$14:AP$16),1)</f>
        <v>0</v>
      </c>
      <c s="125">
        <f>Предпосылки!AP153*AQ$41*(1+Чувствительность!$D$12)*IFERROR(LOOKUP(Предпосылки!$J125,$C$14:$C$16,AQ$14:AQ$16),1)</f>
        <v>0</v>
      </c>
      <c s="125">
        <f>Предпосылки!AQ153*AR$41*(1+Чувствительность!$D$12)*IFERROR(LOOKUP(Предпосылки!$J125,$C$14:$C$16,AR$14:AR$16),1)</f>
        <v>0</v>
      </c>
      <c s="125">
        <f>Предпосылки!AR153*AS$41*(1+Чувствительность!$D$12)*IFERROR(LOOKUP(Предпосылки!$J125,$C$14:$C$16,AS$14:AS$16),1)</f>
        <v>0</v>
      </c>
      <c s="125">
        <f>Предпосылки!AS153*AT$41*(1+Чувствительность!$D$12)*IFERROR(LOOKUP(Предпосылки!$J125,$C$14:$C$16,AT$14:AT$16),1)</f>
        <v>0</v>
      </c>
      <c s="125">
        <f>Предпосылки!AT153*AU$41*(1+Чувствительность!$D$12)*IFERROR(LOOKUP(Предпосылки!$J125,$C$14:$C$16,AU$14:AU$16),1)</f>
        <v>0</v>
      </c>
      <c s="125">
        <f>Предпосылки!AU153*AV$41*(1+Чувствительность!$D$12)*IFERROR(LOOKUP(Предпосылки!$J125,$C$14:$C$16,AV$14:AV$16),1)</f>
        <v>0</v>
      </c>
      <c s="125">
        <f>Предпосылки!AV153*AW$41*(1+Чувствительность!$D$12)*IFERROR(LOOKUP(Предпосылки!$J125,$C$14:$C$16,AW$14:AW$16),1)</f>
        <v>0</v>
      </c>
      <c s="125">
        <f>Предпосылки!AW153*AX$41*(1+Чувствительность!$D$12)*IFERROR(LOOKUP(Предпосылки!$J125,$C$14:$C$16,AX$14:AX$16),1)</f>
        <v>0</v>
      </c>
      <c s="125">
        <f>Предпосылки!AX153*AY$41*(1+Чувствительность!$D$12)*IFERROR(LOOKUP(Предпосылки!$J125,$C$14:$C$16,AY$14:AY$16),1)</f>
        <v>0</v>
      </c>
      <c s="125">
        <f>Предпосылки!AY153*AZ$41*(1+Чувствительность!$D$12)*IFERROR(LOOKUP(Предпосылки!$J125,$C$14:$C$16,AZ$14:AZ$16),1)</f>
        <v>0</v>
      </c>
      <c s="125">
        <f>Предпосылки!AZ153*BA$41*(1+Чувствительность!$D$12)*IFERROR(LOOKUP(Предпосылки!$J125,$C$14:$C$16,BA$14:BA$16),1)</f>
        <v>0</v>
      </c>
      <c s="125">
        <f>Предпосылки!BA153*BB$41*(1+Чувствительность!$D$12)*IFERROR(LOOKUP(Предпосылки!$J125,$C$14:$C$16,BB$14:BB$16),1)</f>
        <v>0</v>
      </c>
      <c s="125">
        <f>Предпосылки!BB153*BC$41*(1+Чувствительность!$D$12)*IFERROR(LOOKUP(Предпосылки!$J125,$C$14:$C$16,BC$14:BC$16),1)</f>
        <v>0</v>
      </c>
      <c s="125">
        <f>Предпосылки!BC153*BD$41*(1+Чувствительность!$D$12)*IFERROR(LOOKUP(Предпосылки!$J125,$C$14:$C$16,BD$14:BD$16),1)</f>
        <v>0</v>
      </c>
      <c s="125">
        <f>Предпосылки!BD153*BE$41*(1+Чувствительность!$D$12)*IFERROR(LOOKUP(Предпосылки!$J125,$C$14:$C$16,BE$14:BE$16),1)</f>
        <v>0</v>
      </c>
      <c s="125">
        <f>Предпосылки!BE153*BF$41*(1+Чувствительность!$D$12)*IFERROR(LOOKUP(Предпосылки!$J125,$C$14:$C$16,BF$14:BF$16),1)</f>
        <v>0</v>
      </c>
      <c s="125">
        <f>Предпосылки!BF153*BG$41*(1+Чувствительность!$D$12)*IFERROR(LOOKUP(Предпосылки!$J125,$C$14:$C$16,BG$14:BG$16),1)</f>
        <v>0</v>
      </c>
      <c s="125">
        <f>Предпосылки!BG153*BH$41*(1+Чувствительность!$D$12)*IFERROR(LOOKUP(Предпосылки!$J125,$C$14:$C$16,BH$14:BH$16),1)</f>
        <v>0</v>
      </c>
      <c s="125">
        <f>Предпосылки!BH153*BI$41*(1+Чувствительность!$D$12)*IFERROR(LOOKUP(Предпосылки!$J125,$C$14:$C$16,BI$14:BI$16),1)</f>
        <v>0</v>
      </c>
      <c s="125">
        <f>Предпосылки!BI153*BJ$41*(1+Чувствительность!$D$12)*IFERROR(LOOKUP(Предпосылки!$J125,$C$14:$C$16,BJ$14:BJ$16),1)</f>
        <v>0</v>
      </c>
      <c s="125">
        <f>Предпосылки!BJ153*BK$41*(1+Чувствительность!$D$12)*IFERROR(LOOKUP(Предпосылки!$J125,$C$14:$C$16,BK$14:BK$16),1)</f>
        <v>0</v>
      </c>
      <c s="125">
        <f>Предпосылки!BK153*BL$41*(1+Чувствительность!$D$12)*IFERROR(LOOKUP(Предпосылки!$J125,$C$14:$C$16,BL$14:BL$16),1)</f>
        <v>0</v>
      </c>
      <c s="125">
        <f>Предпосылки!BL153*BM$41*(1+Чувствительность!$D$12)*IFERROR(LOOKUP(Предпосылки!$J125,$C$14:$C$16,BM$14:BM$16),1)</f>
        <v>0</v>
      </c>
    </row>
    <row r="48" spans="2:65" ht="15" customHeight="1">
      <c r="B48" s="12" t="str">
        <f t="shared" si="38"/>
        <v>Продукт 5</v>
      </c>
      <c s="124" t="str">
        <f t="shared" si="37"/>
        <v>тыс. руб.</v>
      </c>
      <c s="125"/>
      <c s="125">
        <f>Предпосылки!D154*E$41*(1+Чувствительность!$D$12)*IFERROR(LOOKUP(Предпосылки!$J126,$C$14:$C$16,E$14:E$16),1)</f>
        <v>0</v>
      </c>
      <c s="125">
        <f>Предпосылки!E154*F$41*(1+Чувствительность!$D$12)*IFERROR(LOOKUP(Предпосылки!$J126,$C$14:$C$16,F$14:F$16),1)</f>
        <v>0</v>
      </c>
      <c s="125">
        <f>Предпосылки!F154*G$41*(1+Чувствительность!$D$12)*IFERROR(LOOKUP(Предпосылки!$J126,$C$14:$C$16,G$14:G$16),1)</f>
        <v>0</v>
      </c>
      <c s="125">
        <f>Предпосылки!G154*H$41*(1+Чувствительность!$D$12)*IFERROR(LOOKUP(Предпосылки!$J126,$C$14:$C$16,H$14:H$16),1)</f>
        <v>0</v>
      </c>
      <c s="125">
        <f>Предпосылки!H154*I$41*(1+Чувствительность!$D$12)*IFERROR(LOOKUP(Предпосылки!$J126,$C$14:$C$16,I$14:I$16),1)</f>
        <v>0</v>
      </c>
      <c s="125">
        <f>Предпосылки!I154*J$41*(1+Чувствительность!$D$12)*IFERROR(LOOKUP(Предпосылки!$J126,$C$14:$C$16,J$14:J$16),1)</f>
        <v>0</v>
      </c>
      <c s="125">
        <f>Предпосылки!J154*K$41*(1+Чувствительность!$D$12)*IFERROR(LOOKUP(Предпосылки!$J126,$C$14:$C$16,K$14:K$16),1)</f>
        <v>0</v>
      </c>
      <c s="125">
        <f>Предпосылки!K154*L$41*(1+Чувствительность!$D$12)*IFERROR(LOOKUP(Предпосылки!$J126,$C$14:$C$16,L$14:L$16),1)</f>
        <v>0</v>
      </c>
      <c s="125">
        <f>Предпосылки!L154*M$41*(1+Чувствительность!$D$12)*IFERROR(LOOKUP(Предпосылки!$J126,$C$14:$C$16,M$14:M$16),1)</f>
        <v>0</v>
      </c>
      <c s="125">
        <f>Предпосылки!M154*N$41*(1+Чувствительность!$D$12)*IFERROR(LOOKUP(Предпосылки!$J126,$C$14:$C$16,N$14:N$16),1)</f>
        <v>0</v>
      </c>
      <c s="125">
        <f>Предпосылки!N154*O$41*(1+Чувствительность!$D$12)*IFERROR(LOOKUP(Предпосылки!$J126,$C$14:$C$16,O$14:O$16),1)</f>
        <v>0</v>
      </c>
      <c s="125">
        <f>Предпосылки!O154*P$41*(1+Чувствительность!$D$12)*IFERROR(LOOKUP(Предпосылки!$J126,$C$14:$C$16,P$14:P$16),1)</f>
        <v>0</v>
      </c>
      <c s="125">
        <f>Предпосылки!P154*Q$41*(1+Чувствительность!$D$12)*IFERROR(LOOKUP(Предпосылки!$J126,$C$14:$C$16,Q$14:Q$16),1)</f>
        <v>0</v>
      </c>
      <c s="125">
        <f>Предпосылки!Q154*R$41*(1+Чувствительность!$D$12)*IFERROR(LOOKUP(Предпосылки!$J126,$C$14:$C$16,R$14:R$16),1)</f>
        <v>0</v>
      </c>
      <c s="125">
        <f>Предпосылки!R154*S$41*(1+Чувствительность!$D$12)*IFERROR(LOOKUP(Предпосылки!$J126,$C$14:$C$16,S$14:S$16),1)</f>
        <v>0</v>
      </c>
      <c s="125">
        <f>Предпосылки!S154*T$41*(1+Чувствительность!$D$12)*IFERROR(LOOKUP(Предпосылки!$J126,$C$14:$C$16,T$14:T$16),1)</f>
        <v>0</v>
      </c>
      <c s="125">
        <f>Предпосылки!T154*U$41*(1+Чувствительность!$D$12)*IFERROR(LOOKUP(Предпосылки!$J126,$C$14:$C$16,U$14:U$16),1)</f>
        <v>0</v>
      </c>
      <c s="125">
        <f>Предпосылки!U154*V$41*(1+Чувствительность!$D$12)*IFERROR(LOOKUP(Предпосылки!$J126,$C$14:$C$16,V$14:V$16),1)</f>
        <v>0</v>
      </c>
      <c s="125">
        <f>Предпосылки!V154*W$41*(1+Чувствительность!$D$12)*IFERROR(LOOKUP(Предпосылки!$J126,$C$14:$C$16,W$14:W$16),1)</f>
        <v>0</v>
      </c>
      <c s="125">
        <f>Предпосылки!W154*X$41*(1+Чувствительность!$D$12)*IFERROR(LOOKUP(Предпосылки!$J126,$C$14:$C$16,X$14:X$16),1)</f>
        <v>0</v>
      </c>
      <c s="125">
        <f>Предпосылки!X154*Y$41*(1+Чувствительность!$D$12)*IFERROR(LOOKUP(Предпосылки!$J126,$C$14:$C$16,Y$14:Y$16),1)</f>
        <v>0</v>
      </c>
      <c s="125">
        <f>Предпосылки!Y154*Z$41*(1+Чувствительность!$D$12)*IFERROR(LOOKUP(Предпосылки!$J126,$C$14:$C$16,Z$14:Z$16),1)</f>
        <v>0</v>
      </c>
      <c s="125">
        <f>Предпосылки!Z154*AA$41*(1+Чувствительность!$D$12)*IFERROR(LOOKUP(Предпосылки!$J126,$C$14:$C$16,AA$14:AA$16),1)</f>
        <v>0</v>
      </c>
      <c s="125">
        <f>Предпосылки!AA154*AB$41*(1+Чувствительность!$D$12)*IFERROR(LOOKUP(Предпосылки!$J126,$C$14:$C$16,AB$14:AB$16),1)</f>
        <v>0</v>
      </c>
      <c s="125">
        <f>Предпосылки!AB154*AC$41*(1+Чувствительность!$D$12)*IFERROR(LOOKUP(Предпосылки!$J126,$C$14:$C$16,AC$14:AC$16),1)</f>
        <v>0</v>
      </c>
      <c s="125">
        <f>Предпосылки!AC154*AD$41*(1+Чувствительность!$D$12)*IFERROR(LOOKUP(Предпосылки!$J126,$C$14:$C$16,AD$14:AD$16),1)</f>
        <v>0</v>
      </c>
      <c s="125">
        <f>Предпосылки!AD154*AE$41*(1+Чувствительность!$D$12)*IFERROR(LOOKUP(Предпосылки!$J126,$C$14:$C$16,AE$14:AE$16),1)</f>
        <v>0</v>
      </c>
      <c s="125">
        <f>Предпосылки!AE154*AF$41*(1+Чувствительность!$D$12)*IFERROR(LOOKUP(Предпосылки!$J126,$C$14:$C$16,AF$14:AF$16),1)</f>
        <v>0</v>
      </c>
      <c s="125">
        <f>Предпосылки!AF154*AG$41*(1+Чувствительность!$D$12)*IFERROR(LOOKUP(Предпосылки!$J126,$C$14:$C$16,AG$14:AG$16),1)</f>
        <v>0</v>
      </c>
      <c s="125">
        <f>Предпосылки!AG154*AH$41*(1+Чувствительность!$D$12)*IFERROR(LOOKUP(Предпосылки!$J126,$C$14:$C$16,AH$14:AH$16),1)</f>
        <v>0</v>
      </c>
      <c s="125">
        <f>Предпосылки!AH154*AI$41*(1+Чувствительность!$D$12)*IFERROR(LOOKUP(Предпосылки!$J126,$C$14:$C$16,AI$14:AI$16),1)</f>
        <v>0</v>
      </c>
      <c s="125">
        <f>Предпосылки!AI154*AJ$41*(1+Чувствительность!$D$12)*IFERROR(LOOKUP(Предпосылки!$J126,$C$14:$C$16,AJ$14:AJ$16),1)</f>
        <v>0</v>
      </c>
      <c s="125">
        <f>Предпосылки!AJ154*AK$41*(1+Чувствительность!$D$12)*IFERROR(LOOKUP(Предпосылки!$J126,$C$14:$C$16,AK$14:AK$16),1)</f>
        <v>0</v>
      </c>
      <c s="125">
        <f>Предпосылки!AK154*AL$41*(1+Чувствительность!$D$12)*IFERROR(LOOKUP(Предпосылки!$J126,$C$14:$C$16,AL$14:AL$16),1)</f>
        <v>0</v>
      </c>
      <c s="125">
        <f>Предпосылки!AL154*AM$41*(1+Чувствительность!$D$12)*IFERROR(LOOKUP(Предпосылки!$J126,$C$14:$C$16,AM$14:AM$16),1)</f>
        <v>0</v>
      </c>
      <c s="125">
        <f>Предпосылки!AM154*AN$41*(1+Чувствительность!$D$12)*IFERROR(LOOKUP(Предпосылки!$J126,$C$14:$C$16,AN$14:AN$16),1)</f>
        <v>0</v>
      </c>
      <c s="125">
        <f>Предпосылки!AN154*AO$41*(1+Чувствительность!$D$12)*IFERROR(LOOKUP(Предпосылки!$J126,$C$14:$C$16,AO$14:AO$16),1)</f>
        <v>0</v>
      </c>
      <c s="125">
        <f>Предпосылки!AO154*AP$41*(1+Чувствительность!$D$12)*IFERROR(LOOKUP(Предпосылки!$J126,$C$14:$C$16,AP$14:AP$16),1)</f>
        <v>0</v>
      </c>
      <c s="125">
        <f>Предпосылки!AP154*AQ$41*(1+Чувствительность!$D$12)*IFERROR(LOOKUP(Предпосылки!$J126,$C$14:$C$16,AQ$14:AQ$16),1)</f>
        <v>0</v>
      </c>
      <c s="125">
        <f>Предпосылки!AQ154*AR$41*(1+Чувствительность!$D$12)*IFERROR(LOOKUP(Предпосылки!$J126,$C$14:$C$16,AR$14:AR$16),1)</f>
        <v>0</v>
      </c>
      <c s="125">
        <f>Предпосылки!AR154*AS$41*(1+Чувствительность!$D$12)*IFERROR(LOOKUP(Предпосылки!$J126,$C$14:$C$16,AS$14:AS$16),1)</f>
        <v>0</v>
      </c>
      <c s="125">
        <f>Предпосылки!AS154*AT$41*(1+Чувствительность!$D$12)*IFERROR(LOOKUP(Предпосылки!$J126,$C$14:$C$16,AT$14:AT$16),1)</f>
        <v>0</v>
      </c>
      <c s="125">
        <f>Предпосылки!AT154*AU$41*(1+Чувствительность!$D$12)*IFERROR(LOOKUP(Предпосылки!$J126,$C$14:$C$16,AU$14:AU$16),1)</f>
        <v>0</v>
      </c>
      <c s="125">
        <f>Предпосылки!AU154*AV$41*(1+Чувствительность!$D$12)*IFERROR(LOOKUP(Предпосылки!$J126,$C$14:$C$16,AV$14:AV$16),1)</f>
        <v>0</v>
      </c>
      <c s="125">
        <f>Предпосылки!AV154*AW$41*(1+Чувствительность!$D$12)*IFERROR(LOOKUP(Предпосылки!$J126,$C$14:$C$16,AW$14:AW$16),1)</f>
        <v>0</v>
      </c>
      <c s="125">
        <f>Предпосылки!AW154*AX$41*(1+Чувствительность!$D$12)*IFERROR(LOOKUP(Предпосылки!$J126,$C$14:$C$16,AX$14:AX$16),1)</f>
        <v>0</v>
      </c>
      <c s="125">
        <f>Предпосылки!AX154*AY$41*(1+Чувствительность!$D$12)*IFERROR(LOOKUP(Предпосылки!$J126,$C$14:$C$16,AY$14:AY$16),1)</f>
        <v>0</v>
      </c>
      <c s="125">
        <f>Предпосылки!AY154*AZ$41*(1+Чувствительность!$D$12)*IFERROR(LOOKUP(Предпосылки!$J126,$C$14:$C$16,AZ$14:AZ$16),1)</f>
        <v>0</v>
      </c>
      <c s="125">
        <f>Предпосылки!AZ154*BA$41*(1+Чувствительность!$D$12)*IFERROR(LOOKUP(Предпосылки!$J126,$C$14:$C$16,BA$14:BA$16),1)</f>
        <v>0</v>
      </c>
      <c s="125">
        <f>Предпосылки!BA154*BB$41*(1+Чувствительность!$D$12)*IFERROR(LOOKUP(Предпосылки!$J126,$C$14:$C$16,BB$14:BB$16),1)</f>
        <v>0</v>
      </c>
      <c s="125">
        <f>Предпосылки!BB154*BC$41*(1+Чувствительность!$D$12)*IFERROR(LOOKUP(Предпосылки!$J126,$C$14:$C$16,BC$14:BC$16),1)</f>
        <v>0</v>
      </c>
      <c s="125">
        <f>Предпосылки!BC154*BD$41*(1+Чувствительность!$D$12)*IFERROR(LOOKUP(Предпосылки!$J126,$C$14:$C$16,BD$14:BD$16),1)</f>
        <v>0</v>
      </c>
      <c s="125">
        <f>Предпосылки!BD154*BE$41*(1+Чувствительность!$D$12)*IFERROR(LOOKUP(Предпосылки!$J126,$C$14:$C$16,BE$14:BE$16),1)</f>
        <v>0</v>
      </c>
      <c s="125">
        <f>Предпосылки!BE154*BF$41*(1+Чувствительность!$D$12)*IFERROR(LOOKUP(Предпосылки!$J126,$C$14:$C$16,BF$14:BF$16),1)</f>
        <v>0</v>
      </c>
      <c s="125">
        <f>Предпосылки!BF154*BG$41*(1+Чувствительность!$D$12)*IFERROR(LOOKUP(Предпосылки!$J126,$C$14:$C$16,BG$14:BG$16),1)</f>
        <v>0</v>
      </c>
      <c s="125">
        <f>Предпосылки!BG154*BH$41*(1+Чувствительность!$D$12)*IFERROR(LOOKUP(Предпосылки!$J126,$C$14:$C$16,BH$14:BH$16),1)</f>
        <v>0</v>
      </c>
      <c s="125">
        <f>Предпосылки!BH154*BI$41*(1+Чувствительность!$D$12)*IFERROR(LOOKUP(Предпосылки!$J126,$C$14:$C$16,BI$14:BI$16),1)</f>
        <v>0</v>
      </c>
      <c s="125">
        <f>Предпосылки!BI154*BJ$41*(1+Чувствительность!$D$12)*IFERROR(LOOKUP(Предпосылки!$J126,$C$14:$C$16,BJ$14:BJ$16),1)</f>
        <v>0</v>
      </c>
      <c s="125">
        <f>Предпосылки!BJ154*BK$41*(1+Чувствительность!$D$12)*IFERROR(LOOKUP(Предпосылки!$J126,$C$14:$C$16,BK$14:BK$16),1)</f>
        <v>0</v>
      </c>
      <c s="125">
        <f>Предпосылки!BK154*BL$41*(1+Чувствительность!$D$12)*IFERROR(LOOKUP(Предпосылки!$J126,$C$14:$C$16,BL$14:BL$16),1)</f>
        <v>0</v>
      </c>
      <c s="125">
        <f>Предпосылки!BL154*BM$41*(1+Чувствительность!$D$12)*IFERROR(LOOKUP(Предпосылки!$J126,$C$14:$C$16,BM$14:BM$16),1)</f>
        <v>0</v>
      </c>
    </row>
    <row r="49" spans="2:65" ht="15" customHeight="1">
      <c r="B49" s="12" t="str">
        <f t="shared" si="38"/>
        <v>Продукт 6</v>
      </c>
      <c s="124" t="str">
        <f t="shared" si="37"/>
        <v>тыс. руб.</v>
      </c>
      <c s="125"/>
      <c s="125">
        <f>Предпосылки!D155*E$41*(1+Чувствительность!$D$12)*IFERROR(LOOKUP(Предпосылки!$J127,$C$14:$C$16,E$14:E$16),1)</f>
        <v>0</v>
      </c>
      <c s="125">
        <f>Предпосылки!E155*F$41*(1+Чувствительность!$D$12)*IFERROR(LOOKUP(Предпосылки!$J127,$C$14:$C$16,F$14:F$16),1)</f>
        <v>0</v>
      </c>
      <c s="125">
        <f>Предпосылки!F155*G$41*(1+Чувствительность!$D$12)*IFERROR(LOOKUP(Предпосылки!$J127,$C$14:$C$16,G$14:G$16),1)</f>
        <v>0</v>
      </c>
      <c s="125">
        <f>Предпосылки!G155*H$41*(1+Чувствительность!$D$12)*IFERROR(LOOKUP(Предпосылки!$J127,$C$14:$C$16,H$14:H$16),1)</f>
        <v>0</v>
      </c>
      <c s="125">
        <f>Предпосылки!H155*I$41*(1+Чувствительность!$D$12)*IFERROR(LOOKUP(Предпосылки!$J127,$C$14:$C$16,I$14:I$16),1)</f>
        <v>0</v>
      </c>
      <c s="125">
        <f>Предпосылки!I155*J$41*(1+Чувствительность!$D$12)*IFERROR(LOOKUP(Предпосылки!$J127,$C$14:$C$16,J$14:J$16),1)</f>
        <v>0</v>
      </c>
      <c s="125">
        <f>Предпосылки!J155*K$41*(1+Чувствительность!$D$12)*IFERROR(LOOKUP(Предпосылки!$J127,$C$14:$C$16,K$14:K$16),1)</f>
        <v>0</v>
      </c>
      <c s="125">
        <f>Предпосылки!K155*L$41*(1+Чувствительность!$D$12)*IFERROR(LOOKUP(Предпосылки!$J127,$C$14:$C$16,L$14:L$16),1)</f>
        <v>0</v>
      </c>
      <c s="125">
        <f>Предпосылки!L155*M$41*(1+Чувствительность!$D$12)*IFERROR(LOOKUP(Предпосылки!$J127,$C$14:$C$16,M$14:M$16),1)</f>
        <v>0</v>
      </c>
      <c s="125">
        <f>Предпосылки!M155*N$41*(1+Чувствительность!$D$12)*IFERROR(LOOKUP(Предпосылки!$J127,$C$14:$C$16,N$14:N$16),1)</f>
        <v>0</v>
      </c>
      <c s="125">
        <f>Предпосылки!N155*O$41*(1+Чувствительность!$D$12)*IFERROR(LOOKUP(Предпосылки!$J127,$C$14:$C$16,O$14:O$16),1)</f>
        <v>0</v>
      </c>
      <c s="125">
        <f>Предпосылки!O155*P$41*(1+Чувствительность!$D$12)*IFERROR(LOOKUP(Предпосылки!$J127,$C$14:$C$16,P$14:P$16),1)</f>
        <v>0</v>
      </c>
      <c s="125">
        <f>Предпосылки!P155*Q$41*(1+Чувствительность!$D$12)*IFERROR(LOOKUP(Предпосылки!$J127,$C$14:$C$16,Q$14:Q$16),1)</f>
        <v>0</v>
      </c>
      <c s="125">
        <f>Предпосылки!Q155*R$41*(1+Чувствительность!$D$12)*IFERROR(LOOKUP(Предпосылки!$J127,$C$14:$C$16,R$14:R$16),1)</f>
        <v>0</v>
      </c>
      <c s="125">
        <f>Предпосылки!R155*S$41*(1+Чувствительность!$D$12)*IFERROR(LOOKUP(Предпосылки!$J127,$C$14:$C$16,S$14:S$16),1)</f>
        <v>0</v>
      </c>
      <c s="125">
        <f>Предпосылки!S155*T$41*(1+Чувствительность!$D$12)*IFERROR(LOOKUP(Предпосылки!$J127,$C$14:$C$16,T$14:T$16),1)</f>
        <v>0</v>
      </c>
      <c s="125">
        <f>Предпосылки!T155*U$41*(1+Чувствительность!$D$12)*IFERROR(LOOKUP(Предпосылки!$J127,$C$14:$C$16,U$14:U$16),1)</f>
        <v>0</v>
      </c>
      <c s="125">
        <f>Предпосылки!U155*V$41*(1+Чувствительность!$D$12)*IFERROR(LOOKUP(Предпосылки!$J127,$C$14:$C$16,V$14:V$16),1)</f>
        <v>0</v>
      </c>
      <c s="125">
        <f>Предпосылки!V155*W$41*(1+Чувствительность!$D$12)*IFERROR(LOOKUP(Предпосылки!$J127,$C$14:$C$16,W$14:W$16),1)</f>
        <v>0</v>
      </c>
      <c s="125">
        <f>Предпосылки!W155*X$41*(1+Чувствительность!$D$12)*IFERROR(LOOKUP(Предпосылки!$J127,$C$14:$C$16,X$14:X$16),1)</f>
        <v>0</v>
      </c>
      <c s="125">
        <f>Предпосылки!X155*Y$41*(1+Чувствительность!$D$12)*IFERROR(LOOKUP(Предпосылки!$J127,$C$14:$C$16,Y$14:Y$16),1)</f>
        <v>0</v>
      </c>
      <c s="125">
        <f>Предпосылки!Y155*Z$41*(1+Чувствительность!$D$12)*IFERROR(LOOKUP(Предпосылки!$J127,$C$14:$C$16,Z$14:Z$16),1)</f>
        <v>0</v>
      </c>
      <c s="125">
        <f>Предпосылки!Z155*AA$41*(1+Чувствительность!$D$12)*IFERROR(LOOKUP(Предпосылки!$J127,$C$14:$C$16,AA$14:AA$16),1)</f>
        <v>0</v>
      </c>
      <c s="125">
        <f>Предпосылки!AA155*AB$41*(1+Чувствительность!$D$12)*IFERROR(LOOKUP(Предпосылки!$J127,$C$14:$C$16,AB$14:AB$16),1)</f>
        <v>0</v>
      </c>
      <c s="125">
        <f>Предпосылки!AB155*AC$41*(1+Чувствительность!$D$12)*IFERROR(LOOKUP(Предпосылки!$J127,$C$14:$C$16,AC$14:AC$16),1)</f>
        <v>0</v>
      </c>
      <c s="125">
        <f>Предпосылки!AC155*AD$41*(1+Чувствительность!$D$12)*IFERROR(LOOKUP(Предпосылки!$J127,$C$14:$C$16,AD$14:AD$16),1)</f>
        <v>0</v>
      </c>
      <c s="125">
        <f>Предпосылки!AD155*AE$41*(1+Чувствительность!$D$12)*IFERROR(LOOKUP(Предпосылки!$J127,$C$14:$C$16,AE$14:AE$16),1)</f>
        <v>0</v>
      </c>
      <c s="125">
        <f>Предпосылки!AE155*AF$41*(1+Чувствительность!$D$12)*IFERROR(LOOKUP(Предпосылки!$J127,$C$14:$C$16,AF$14:AF$16),1)</f>
        <v>0</v>
      </c>
      <c s="125">
        <f>Предпосылки!AF155*AG$41*(1+Чувствительность!$D$12)*IFERROR(LOOKUP(Предпосылки!$J127,$C$14:$C$16,AG$14:AG$16),1)</f>
        <v>0</v>
      </c>
      <c s="125">
        <f>Предпосылки!AG155*AH$41*(1+Чувствительность!$D$12)*IFERROR(LOOKUP(Предпосылки!$J127,$C$14:$C$16,AH$14:AH$16),1)</f>
        <v>0</v>
      </c>
      <c s="125">
        <f>Предпосылки!AH155*AI$41*(1+Чувствительность!$D$12)*IFERROR(LOOKUP(Предпосылки!$J127,$C$14:$C$16,AI$14:AI$16),1)</f>
        <v>0</v>
      </c>
      <c s="125">
        <f>Предпосылки!AI155*AJ$41*(1+Чувствительность!$D$12)*IFERROR(LOOKUP(Предпосылки!$J127,$C$14:$C$16,AJ$14:AJ$16),1)</f>
        <v>0</v>
      </c>
      <c s="125">
        <f>Предпосылки!AJ155*AK$41*(1+Чувствительность!$D$12)*IFERROR(LOOKUP(Предпосылки!$J127,$C$14:$C$16,AK$14:AK$16),1)</f>
        <v>0</v>
      </c>
      <c s="125">
        <f>Предпосылки!AK155*AL$41*(1+Чувствительность!$D$12)*IFERROR(LOOKUP(Предпосылки!$J127,$C$14:$C$16,AL$14:AL$16),1)</f>
        <v>0</v>
      </c>
      <c s="125">
        <f>Предпосылки!AL155*AM$41*(1+Чувствительность!$D$12)*IFERROR(LOOKUP(Предпосылки!$J127,$C$14:$C$16,AM$14:AM$16),1)</f>
        <v>0</v>
      </c>
      <c s="125">
        <f>Предпосылки!AM155*AN$41*(1+Чувствительность!$D$12)*IFERROR(LOOKUP(Предпосылки!$J127,$C$14:$C$16,AN$14:AN$16),1)</f>
        <v>0</v>
      </c>
      <c s="125">
        <f>Предпосылки!AN155*AO$41*(1+Чувствительность!$D$12)*IFERROR(LOOKUP(Предпосылки!$J127,$C$14:$C$16,AO$14:AO$16),1)</f>
        <v>0</v>
      </c>
      <c s="125">
        <f>Предпосылки!AO155*AP$41*(1+Чувствительность!$D$12)*IFERROR(LOOKUP(Предпосылки!$J127,$C$14:$C$16,AP$14:AP$16),1)</f>
        <v>0</v>
      </c>
      <c s="125">
        <f>Предпосылки!AP155*AQ$41*(1+Чувствительность!$D$12)*IFERROR(LOOKUP(Предпосылки!$J127,$C$14:$C$16,AQ$14:AQ$16),1)</f>
        <v>0</v>
      </c>
      <c s="125">
        <f>Предпосылки!AQ155*AR$41*(1+Чувствительность!$D$12)*IFERROR(LOOKUP(Предпосылки!$J127,$C$14:$C$16,AR$14:AR$16),1)</f>
        <v>0</v>
      </c>
      <c s="125">
        <f>Предпосылки!AR155*AS$41*(1+Чувствительность!$D$12)*IFERROR(LOOKUP(Предпосылки!$J127,$C$14:$C$16,AS$14:AS$16),1)</f>
        <v>0</v>
      </c>
      <c s="125">
        <f>Предпосылки!AS155*AT$41*(1+Чувствительность!$D$12)*IFERROR(LOOKUP(Предпосылки!$J127,$C$14:$C$16,AT$14:AT$16),1)</f>
        <v>0</v>
      </c>
      <c s="125">
        <f>Предпосылки!AT155*AU$41*(1+Чувствительность!$D$12)*IFERROR(LOOKUP(Предпосылки!$J127,$C$14:$C$16,AU$14:AU$16),1)</f>
        <v>0</v>
      </c>
      <c s="125">
        <f>Предпосылки!AU155*AV$41*(1+Чувствительность!$D$12)*IFERROR(LOOKUP(Предпосылки!$J127,$C$14:$C$16,AV$14:AV$16),1)</f>
        <v>0</v>
      </c>
      <c s="125">
        <f>Предпосылки!AV155*AW$41*(1+Чувствительность!$D$12)*IFERROR(LOOKUP(Предпосылки!$J127,$C$14:$C$16,AW$14:AW$16),1)</f>
        <v>0</v>
      </c>
      <c s="125">
        <f>Предпосылки!AW155*AX$41*(1+Чувствительность!$D$12)*IFERROR(LOOKUP(Предпосылки!$J127,$C$14:$C$16,AX$14:AX$16),1)</f>
        <v>0</v>
      </c>
      <c s="125">
        <f>Предпосылки!AX155*AY$41*(1+Чувствительность!$D$12)*IFERROR(LOOKUP(Предпосылки!$J127,$C$14:$C$16,AY$14:AY$16),1)</f>
        <v>0</v>
      </c>
      <c s="125">
        <f>Предпосылки!AY155*AZ$41*(1+Чувствительность!$D$12)*IFERROR(LOOKUP(Предпосылки!$J127,$C$14:$C$16,AZ$14:AZ$16),1)</f>
        <v>0</v>
      </c>
      <c s="125">
        <f>Предпосылки!AZ155*BA$41*(1+Чувствительность!$D$12)*IFERROR(LOOKUP(Предпосылки!$J127,$C$14:$C$16,BA$14:BA$16),1)</f>
        <v>0</v>
      </c>
      <c s="125">
        <f>Предпосылки!BA155*BB$41*(1+Чувствительность!$D$12)*IFERROR(LOOKUP(Предпосылки!$J127,$C$14:$C$16,BB$14:BB$16),1)</f>
        <v>0</v>
      </c>
      <c s="125">
        <f>Предпосылки!BB155*BC$41*(1+Чувствительность!$D$12)*IFERROR(LOOKUP(Предпосылки!$J127,$C$14:$C$16,BC$14:BC$16),1)</f>
        <v>0</v>
      </c>
      <c s="125">
        <f>Предпосылки!BC155*BD$41*(1+Чувствительность!$D$12)*IFERROR(LOOKUP(Предпосылки!$J127,$C$14:$C$16,BD$14:BD$16),1)</f>
        <v>0</v>
      </c>
      <c s="125">
        <f>Предпосылки!BD155*BE$41*(1+Чувствительность!$D$12)*IFERROR(LOOKUP(Предпосылки!$J127,$C$14:$C$16,BE$14:BE$16),1)</f>
        <v>0</v>
      </c>
      <c s="125">
        <f>Предпосылки!BE155*BF$41*(1+Чувствительность!$D$12)*IFERROR(LOOKUP(Предпосылки!$J127,$C$14:$C$16,BF$14:BF$16),1)</f>
        <v>0</v>
      </c>
      <c s="125">
        <f>Предпосылки!BF155*BG$41*(1+Чувствительность!$D$12)*IFERROR(LOOKUP(Предпосылки!$J127,$C$14:$C$16,BG$14:BG$16),1)</f>
        <v>0</v>
      </c>
      <c s="125">
        <f>Предпосылки!BG155*BH$41*(1+Чувствительность!$D$12)*IFERROR(LOOKUP(Предпосылки!$J127,$C$14:$C$16,BH$14:BH$16),1)</f>
        <v>0</v>
      </c>
      <c s="125">
        <f>Предпосылки!BH155*BI$41*(1+Чувствительность!$D$12)*IFERROR(LOOKUP(Предпосылки!$J127,$C$14:$C$16,BI$14:BI$16),1)</f>
        <v>0</v>
      </c>
      <c s="125">
        <f>Предпосылки!BI155*BJ$41*(1+Чувствительность!$D$12)*IFERROR(LOOKUP(Предпосылки!$J127,$C$14:$C$16,BJ$14:BJ$16),1)</f>
        <v>0</v>
      </c>
      <c s="125">
        <f>Предпосылки!BJ155*BK$41*(1+Чувствительность!$D$12)*IFERROR(LOOKUP(Предпосылки!$J127,$C$14:$C$16,BK$14:BK$16),1)</f>
        <v>0</v>
      </c>
      <c s="125">
        <f>Предпосылки!BK155*BL$41*(1+Чувствительность!$D$12)*IFERROR(LOOKUP(Предпосылки!$J127,$C$14:$C$16,BL$14:BL$16),1)</f>
        <v>0</v>
      </c>
      <c s="125">
        <f>Предпосылки!BL155*BM$41*(1+Чувствительность!$D$12)*IFERROR(LOOKUP(Предпосылки!$J127,$C$14:$C$16,BM$14:BM$16),1)</f>
        <v>0</v>
      </c>
    </row>
    <row r="50" spans="2:65" ht="15" customHeight="1">
      <c r="B50" s="12" t="str">
        <f t="shared" si="38"/>
        <v>Продукт 7</v>
      </c>
      <c s="124" t="str">
        <f t="shared" si="37"/>
        <v>тыс. руб.</v>
      </c>
      <c s="125"/>
      <c s="125">
        <f>Предпосылки!D156*E$41*(1+Чувствительность!$D$12)*IFERROR(LOOKUP(Предпосылки!$J128,$C$14:$C$16,E$14:E$16),1)</f>
        <v>0</v>
      </c>
      <c s="125">
        <f>Предпосылки!E156*F$41*(1+Чувствительность!$D$12)*IFERROR(LOOKUP(Предпосылки!$J128,$C$14:$C$16,F$14:F$16),1)</f>
        <v>0</v>
      </c>
      <c s="125">
        <f>Предпосылки!F156*G$41*(1+Чувствительность!$D$12)*IFERROR(LOOKUP(Предпосылки!$J128,$C$14:$C$16,G$14:G$16),1)</f>
        <v>0</v>
      </c>
      <c s="125">
        <f>Предпосылки!G156*H$41*(1+Чувствительность!$D$12)*IFERROR(LOOKUP(Предпосылки!$J128,$C$14:$C$16,H$14:H$16),1)</f>
        <v>0</v>
      </c>
      <c s="125">
        <f>Предпосылки!H156*I$41*(1+Чувствительность!$D$12)*IFERROR(LOOKUP(Предпосылки!$J128,$C$14:$C$16,I$14:I$16),1)</f>
        <v>0</v>
      </c>
      <c s="125">
        <f>Предпосылки!I156*J$41*(1+Чувствительность!$D$12)*IFERROR(LOOKUP(Предпосылки!$J128,$C$14:$C$16,J$14:J$16),1)</f>
        <v>0</v>
      </c>
      <c s="125">
        <f>Предпосылки!J156*K$41*(1+Чувствительность!$D$12)*IFERROR(LOOKUP(Предпосылки!$J128,$C$14:$C$16,K$14:K$16),1)</f>
        <v>0</v>
      </c>
      <c s="125">
        <f>Предпосылки!K156*L$41*(1+Чувствительность!$D$12)*IFERROR(LOOKUP(Предпосылки!$J128,$C$14:$C$16,L$14:L$16),1)</f>
        <v>0</v>
      </c>
      <c s="125">
        <f>Предпосылки!L156*M$41*(1+Чувствительность!$D$12)*IFERROR(LOOKUP(Предпосылки!$J128,$C$14:$C$16,M$14:M$16),1)</f>
        <v>0</v>
      </c>
      <c s="125">
        <f>Предпосылки!M156*N$41*(1+Чувствительность!$D$12)*IFERROR(LOOKUP(Предпосылки!$J128,$C$14:$C$16,N$14:N$16),1)</f>
        <v>0</v>
      </c>
      <c s="125">
        <f>Предпосылки!N156*O$41*(1+Чувствительность!$D$12)*IFERROR(LOOKUP(Предпосылки!$J128,$C$14:$C$16,O$14:O$16),1)</f>
        <v>0</v>
      </c>
      <c s="125">
        <f>Предпосылки!O156*P$41*(1+Чувствительность!$D$12)*IFERROR(LOOKUP(Предпосылки!$J128,$C$14:$C$16,P$14:P$16),1)</f>
        <v>0</v>
      </c>
      <c s="125">
        <f>Предпосылки!P156*Q$41*(1+Чувствительность!$D$12)*IFERROR(LOOKUP(Предпосылки!$J128,$C$14:$C$16,Q$14:Q$16),1)</f>
        <v>0</v>
      </c>
      <c s="125">
        <f>Предпосылки!Q156*R$41*(1+Чувствительность!$D$12)*IFERROR(LOOKUP(Предпосылки!$J128,$C$14:$C$16,R$14:R$16),1)</f>
        <v>0</v>
      </c>
      <c s="125">
        <f>Предпосылки!R156*S$41*(1+Чувствительность!$D$12)*IFERROR(LOOKUP(Предпосылки!$J128,$C$14:$C$16,S$14:S$16),1)</f>
        <v>0</v>
      </c>
      <c s="125">
        <f>Предпосылки!S156*T$41*(1+Чувствительность!$D$12)*IFERROR(LOOKUP(Предпосылки!$J128,$C$14:$C$16,T$14:T$16),1)</f>
        <v>0</v>
      </c>
      <c s="125">
        <f>Предпосылки!T156*U$41*(1+Чувствительность!$D$12)*IFERROR(LOOKUP(Предпосылки!$J128,$C$14:$C$16,U$14:U$16),1)</f>
        <v>0</v>
      </c>
      <c s="125">
        <f>Предпосылки!U156*V$41*(1+Чувствительность!$D$12)*IFERROR(LOOKUP(Предпосылки!$J128,$C$14:$C$16,V$14:V$16),1)</f>
        <v>0</v>
      </c>
      <c s="125">
        <f>Предпосылки!V156*W$41*(1+Чувствительность!$D$12)*IFERROR(LOOKUP(Предпосылки!$J128,$C$14:$C$16,W$14:W$16),1)</f>
        <v>0</v>
      </c>
      <c s="125">
        <f>Предпосылки!W156*X$41*(1+Чувствительность!$D$12)*IFERROR(LOOKUP(Предпосылки!$J128,$C$14:$C$16,X$14:X$16),1)</f>
        <v>0</v>
      </c>
      <c s="125">
        <f>Предпосылки!X156*Y$41*(1+Чувствительность!$D$12)*IFERROR(LOOKUP(Предпосылки!$J128,$C$14:$C$16,Y$14:Y$16),1)</f>
        <v>0</v>
      </c>
      <c s="125">
        <f>Предпосылки!Y156*Z$41*(1+Чувствительность!$D$12)*IFERROR(LOOKUP(Предпосылки!$J128,$C$14:$C$16,Z$14:Z$16),1)</f>
        <v>0</v>
      </c>
      <c s="125">
        <f>Предпосылки!Z156*AA$41*(1+Чувствительность!$D$12)*IFERROR(LOOKUP(Предпосылки!$J128,$C$14:$C$16,AA$14:AA$16),1)</f>
        <v>0</v>
      </c>
      <c s="125">
        <f>Предпосылки!AA156*AB$41*(1+Чувствительность!$D$12)*IFERROR(LOOKUP(Предпосылки!$J128,$C$14:$C$16,AB$14:AB$16),1)</f>
        <v>0</v>
      </c>
      <c s="125">
        <f>Предпосылки!AB156*AC$41*(1+Чувствительность!$D$12)*IFERROR(LOOKUP(Предпосылки!$J128,$C$14:$C$16,AC$14:AC$16),1)</f>
        <v>0</v>
      </c>
      <c s="125">
        <f>Предпосылки!AC156*AD$41*(1+Чувствительность!$D$12)*IFERROR(LOOKUP(Предпосылки!$J128,$C$14:$C$16,AD$14:AD$16),1)</f>
        <v>0</v>
      </c>
      <c s="125">
        <f>Предпосылки!AD156*AE$41*(1+Чувствительность!$D$12)*IFERROR(LOOKUP(Предпосылки!$J128,$C$14:$C$16,AE$14:AE$16),1)</f>
        <v>0</v>
      </c>
      <c s="125">
        <f>Предпосылки!AE156*AF$41*(1+Чувствительность!$D$12)*IFERROR(LOOKUP(Предпосылки!$J128,$C$14:$C$16,AF$14:AF$16),1)</f>
        <v>0</v>
      </c>
      <c s="125">
        <f>Предпосылки!AF156*AG$41*(1+Чувствительность!$D$12)*IFERROR(LOOKUP(Предпосылки!$J128,$C$14:$C$16,AG$14:AG$16),1)</f>
        <v>0</v>
      </c>
      <c s="125">
        <f>Предпосылки!AG156*AH$41*(1+Чувствительность!$D$12)*IFERROR(LOOKUP(Предпосылки!$J128,$C$14:$C$16,AH$14:AH$16),1)</f>
        <v>0</v>
      </c>
      <c s="125">
        <f>Предпосылки!AH156*AI$41*(1+Чувствительность!$D$12)*IFERROR(LOOKUP(Предпосылки!$J128,$C$14:$C$16,AI$14:AI$16),1)</f>
        <v>0</v>
      </c>
      <c s="125">
        <f>Предпосылки!AI156*AJ$41*(1+Чувствительность!$D$12)*IFERROR(LOOKUP(Предпосылки!$J128,$C$14:$C$16,AJ$14:AJ$16),1)</f>
        <v>0</v>
      </c>
      <c s="125">
        <f>Предпосылки!AJ156*AK$41*(1+Чувствительность!$D$12)*IFERROR(LOOKUP(Предпосылки!$J128,$C$14:$C$16,AK$14:AK$16),1)</f>
        <v>0</v>
      </c>
      <c s="125">
        <f>Предпосылки!AK156*AL$41*(1+Чувствительность!$D$12)*IFERROR(LOOKUP(Предпосылки!$J128,$C$14:$C$16,AL$14:AL$16),1)</f>
        <v>0</v>
      </c>
      <c s="125">
        <f>Предпосылки!AL156*AM$41*(1+Чувствительность!$D$12)*IFERROR(LOOKUP(Предпосылки!$J128,$C$14:$C$16,AM$14:AM$16),1)</f>
        <v>0</v>
      </c>
      <c s="125">
        <f>Предпосылки!AM156*AN$41*(1+Чувствительность!$D$12)*IFERROR(LOOKUP(Предпосылки!$J128,$C$14:$C$16,AN$14:AN$16),1)</f>
        <v>0</v>
      </c>
      <c s="125">
        <f>Предпосылки!AN156*AO$41*(1+Чувствительность!$D$12)*IFERROR(LOOKUP(Предпосылки!$J128,$C$14:$C$16,AO$14:AO$16),1)</f>
        <v>0</v>
      </c>
      <c s="125">
        <f>Предпосылки!AO156*AP$41*(1+Чувствительность!$D$12)*IFERROR(LOOKUP(Предпосылки!$J128,$C$14:$C$16,AP$14:AP$16),1)</f>
        <v>0</v>
      </c>
      <c s="125">
        <f>Предпосылки!AP156*AQ$41*(1+Чувствительность!$D$12)*IFERROR(LOOKUP(Предпосылки!$J128,$C$14:$C$16,AQ$14:AQ$16),1)</f>
        <v>0</v>
      </c>
      <c s="125">
        <f>Предпосылки!AQ156*AR$41*(1+Чувствительность!$D$12)*IFERROR(LOOKUP(Предпосылки!$J128,$C$14:$C$16,AR$14:AR$16),1)</f>
        <v>0</v>
      </c>
      <c s="125">
        <f>Предпосылки!AR156*AS$41*(1+Чувствительность!$D$12)*IFERROR(LOOKUP(Предпосылки!$J128,$C$14:$C$16,AS$14:AS$16),1)</f>
        <v>0</v>
      </c>
      <c s="125">
        <f>Предпосылки!AS156*AT$41*(1+Чувствительность!$D$12)*IFERROR(LOOKUP(Предпосылки!$J128,$C$14:$C$16,AT$14:AT$16),1)</f>
        <v>0</v>
      </c>
      <c s="125">
        <f>Предпосылки!AT156*AU$41*(1+Чувствительность!$D$12)*IFERROR(LOOKUP(Предпосылки!$J128,$C$14:$C$16,AU$14:AU$16),1)</f>
        <v>0</v>
      </c>
      <c s="125">
        <f>Предпосылки!AU156*AV$41*(1+Чувствительность!$D$12)*IFERROR(LOOKUP(Предпосылки!$J128,$C$14:$C$16,AV$14:AV$16),1)</f>
        <v>0</v>
      </c>
      <c s="125">
        <f>Предпосылки!AV156*AW$41*(1+Чувствительность!$D$12)*IFERROR(LOOKUP(Предпосылки!$J128,$C$14:$C$16,AW$14:AW$16),1)</f>
        <v>0</v>
      </c>
      <c s="125">
        <f>Предпосылки!AW156*AX$41*(1+Чувствительность!$D$12)*IFERROR(LOOKUP(Предпосылки!$J128,$C$14:$C$16,AX$14:AX$16),1)</f>
        <v>0</v>
      </c>
      <c s="125">
        <f>Предпосылки!AX156*AY$41*(1+Чувствительность!$D$12)*IFERROR(LOOKUP(Предпосылки!$J128,$C$14:$C$16,AY$14:AY$16),1)</f>
        <v>0</v>
      </c>
      <c s="125">
        <f>Предпосылки!AY156*AZ$41*(1+Чувствительность!$D$12)*IFERROR(LOOKUP(Предпосылки!$J128,$C$14:$C$16,AZ$14:AZ$16),1)</f>
        <v>0</v>
      </c>
      <c s="125">
        <f>Предпосылки!AZ156*BA$41*(1+Чувствительность!$D$12)*IFERROR(LOOKUP(Предпосылки!$J128,$C$14:$C$16,BA$14:BA$16),1)</f>
        <v>0</v>
      </c>
      <c s="125">
        <f>Предпосылки!BA156*BB$41*(1+Чувствительность!$D$12)*IFERROR(LOOKUP(Предпосылки!$J128,$C$14:$C$16,BB$14:BB$16),1)</f>
        <v>0</v>
      </c>
      <c s="125">
        <f>Предпосылки!BB156*BC$41*(1+Чувствительность!$D$12)*IFERROR(LOOKUP(Предпосылки!$J128,$C$14:$C$16,BC$14:BC$16),1)</f>
        <v>0</v>
      </c>
      <c s="125">
        <f>Предпосылки!BC156*BD$41*(1+Чувствительность!$D$12)*IFERROR(LOOKUP(Предпосылки!$J128,$C$14:$C$16,BD$14:BD$16),1)</f>
        <v>0</v>
      </c>
      <c s="125">
        <f>Предпосылки!BD156*BE$41*(1+Чувствительность!$D$12)*IFERROR(LOOKUP(Предпосылки!$J128,$C$14:$C$16,BE$14:BE$16),1)</f>
        <v>0</v>
      </c>
      <c s="125">
        <f>Предпосылки!BE156*BF$41*(1+Чувствительность!$D$12)*IFERROR(LOOKUP(Предпосылки!$J128,$C$14:$C$16,BF$14:BF$16),1)</f>
        <v>0</v>
      </c>
      <c s="125">
        <f>Предпосылки!BF156*BG$41*(1+Чувствительность!$D$12)*IFERROR(LOOKUP(Предпосылки!$J128,$C$14:$C$16,BG$14:BG$16),1)</f>
        <v>0</v>
      </c>
      <c s="125">
        <f>Предпосылки!BG156*BH$41*(1+Чувствительность!$D$12)*IFERROR(LOOKUP(Предпосылки!$J128,$C$14:$C$16,BH$14:BH$16),1)</f>
        <v>0</v>
      </c>
      <c s="125">
        <f>Предпосылки!BH156*BI$41*(1+Чувствительность!$D$12)*IFERROR(LOOKUP(Предпосылки!$J128,$C$14:$C$16,BI$14:BI$16),1)</f>
        <v>0</v>
      </c>
      <c s="125">
        <f>Предпосылки!BI156*BJ$41*(1+Чувствительность!$D$12)*IFERROR(LOOKUP(Предпосылки!$J128,$C$14:$C$16,BJ$14:BJ$16),1)</f>
        <v>0</v>
      </c>
      <c s="125">
        <f>Предпосылки!BJ156*BK$41*(1+Чувствительность!$D$12)*IFERROR(LOOKUP(Предпосылки!$J128,$C$14:$C$16,BK$14:BK$16),1)</f>
        <v>0</v>
      </c>
      <c s="125">
        <f>Предпосылки!BK156*BL$41*(1+Чувствительность!$D$12)*IFERROR(LOOKUP(Предпосылки!$J128,$C$14:$C$16,BL$14:BL$16),1)</f>
        <v>0</v>
      </c>
      <c s="125">
        <f>Предпосылки!BL156*BM$41*(1+Чувствительность!$D$12)*IFERROR(LOOKUP(Предпосылки!$J128,$C$14:$C$16,BM$14:BM$16),1)</f>
        <v>0</v>
      </c>
    </row>
    <row r="51" spans="2:65" ht="15" customHeight="1">
      <c r="B51" s="12" t="str">
        <f t="shared" si="38"/>
        <v>Продукт 8</v>
      </c>
      <c s="124" t="str">
        <f t="shared" si="37"/>
        <v>тыс. руб.</v>
      </c>
      <c s="125"/>
      <c s="125">
        <f>Предпосылки!D157*E$41*(1+Чувствительность!$D$12)*IFERROR(LOOKUP(Предпосылки!$J129,$C$14:$C$16,E$14:E$16),1)</f>
        <v>0</v>
      </c>
      <c s="125">
        <f>Предпосылки!E157*F$41*(1+Чувствительность!$D$12)*IFERROR(LOOKUP(Предпосылки!$J129,$C$14:$C$16,F$14:F$16),1)</f>
        <v>0</v>
      </c>
      <c s="125">
        <f>Предпосылки!F157*G$41*(1+Чувствительность!$D$12)*IFERROR(LOOKUP(Предпосылки!$J129,$C$14:$C$16,G$14:G$16),1)</f>
        <v>0</v>
      </c>
      <c s="125">
        <f>Предпосылки!G157*H$41*(1+Чувствительность!$D$12)*IFERROR(LOOKUP(Предпосылки!$J129,$C$14:$C$16,H$14:H$16),1)</f>
        <v>0</v>
      </c>
      <c s="125">
        <f>Предпосылки!H157*I$41*(1+Чувствительность!$D$12)*IFERROR(LOOKUP(Предпосылки!$J129,$C$14:$C$16,I$14:I$16),1)</f>
        <v>0</v>
      </c>
      <c s="125">
        <f>Предпосылки!I157*J$41*(1+Чувствительность!$D$12)*IFERROR(LOOKUP(Предпосылки!$J129,$C$14:$C$16,J$14:J$16),1)</f>
        <v>0</v>
      </c>
      <c s="125">
        <f>Предпосылки!J157*K$41*(1+Чувствительность!$D$12)*IFERROR(LOOKUP(Предпосылки!$J129,$C$14:$C$16,K$14:K$16),1)</f>
        <v>0</v>
      </c>
      <c s="125">
        <f>Предпосылки!K157*L$41*(1+Чувствительность!$D$12)*IFERROR(LOOKUP(Предпосылки!$J129,$C$14:$C$16,L$14:L$16),1)</f>
        <v>0</v>
      </c>
      <c s="125">
        <f>Предпосылки!L157*M$41*(1+Чувствительность!$D$12)*IFERROR(LOOKUP(Предпосылки!$J129,$C$14:$C$16,M$14:M$16),1)</f>
        <v>0</v>
      </c>
      <c s="125">
        <f>Предпосылки!M157*N$41*(1+Чувствительность!$D$12)*IFERROR(LOOKUP(Предпосылки!$J129,$C$14:$C$16,N$14:N$16),1)</f>
        <v>0</v>
      </c>
      <c s="125">
        <f>Предпосылки!N157*O$41*(1+Чувствительность!$D$12)*IFERROR(LOOKUP(Предпосылки!$J129,$C$14:$C$16,O$14:O$16),1)</f>
        <v>0</v>
      </c>
      <c s="125">
        <f>Предпосылки!O157*P$41*(1+Чувствительность!$D$12)*IFERROR(LOOKUP(Предпосылки!$J129,$C$14:$C$16,P$14:P$16),1)</f>
        <v>0</v>
      </c>
      <c s="125">
        <f>Предпосылки!P157*Q$41*(1+Чувствительность!$D$12)*IFERROR(LOOKUP(Предпосылки!$J129,$C$14:$C$16,Q$14:Q$16),1)</f>
        <v>0</v>
      </c>
      <c s="125">
        <f>Предпосылки!Q157*R$41*(1+Чувствительность!$D$12)*IFERROR(LOOKUP(Предпосылки!$J129,$C$14:$C$16,R$14:R$16),1)</f>
        <v>0</v>
      </c>
      <c s="125">
        <f>Предпосылки!R157*S$41*(1+Чувствительность!$D$12)*IFERROR(LOOKUP(Предпосылки!$J129,$C$14:$C$16,S$14:S$16),1)</f>
        <v>0</v>
      </c>
      <c s="125">
        <f>Предпосылки!S157*T$41*(1+Чувствительность!$D$12)*IFERROR(LOOKUP(Предпосылки!$J129,$C$14:$C$16,T$14:T$16),1)</f>
        <v>0</v>
      </c>
      <c s="125">
        <f>Предпосылки!T157*U$41*(1+Чувствительность!$D$12)*IFERROR(LOOKUP(Предпосылки!$J129,$C$14:$C$16,U$14:U$16),1)</f>
        <v>0</v>
      </c>
      <c s="125">
        <f>Предпосылки!U157*V$41*(1+Чувствительность!$D$12)*IFERROR(LOOKUP(Предпосылки!$J129,$C$14:$C$16,V$14:V$16),1)</f>
        <v>0</v>
      </c>
      <c s="125">
        <f>Предпосылки!V157*W$41*(1+Чувствительность!$D$12)*IFERROR(LOOKUP(Предпосылки!$J129,$C$14:$C$16,W$14:W$16),1)</f>
        <v>0</v>
      </c>
      <c s="125">
        <f>Предпосылки!W157*X$41*(1+Чувствительность!$D$12)*IFERROR(LOOKUP(Предпосылки!$J129,$C$14:$C$16,X$14:X$16),1)</f>
        <v>0</v>
      </c>
      <c s="125">
        <f>Предпосылки!X157*Y$41*(1+Чувствительность!$D$12)*IFERROR(LOOKUP(Предпосылки!$J129,$C$14:$C$16,Y$14:Y$16),1)</f>
        <v>0</v>
      </c>
      <c s="125">
        <f>Предпосылки!Y157*Z$41*(1+Чувствительность!$D$12)*IFERROR(LOOKUP(Предпосылки!$J129,$C$14:$C$16,Z$14:Z$16),1)</f>
        <v>0</v>
      </c>
      <c s="125">
        <f>Предпосылки!Z157*AA$41*(1+Чувствительность!$D$12)*IFERROR(LOOKUP(Предпосылки!$J129,$C$14:$C$16,AA$14:AA$16),1)</f>
        <v>0</v>
      </c>
      <c s="125">
        <f>Предпосылки!AA157*AB$41*(1+Чувствительность!$D$12)*IFERROR(LOOKUP(Предпосылки!$J129,$C$14:$C$16,AB$14:AB$16),1)</f>
        <v>0</v>
      </c>
      <c s="125">
        <f>Предпосылки!AB157*AC$41*(1+Чувствительность!$D$12)*IFERROR(LOOKUP(Предпосылки!$J129,$C$14:$C$16,AC$14:AC$16),1)</f>
        <v>0</v>
      </c>
      <c s="125">
        <f>Предпосылки!AC157*AD$41*(1+Чувствительность!$D$12)*IFERROR(LOOKUP(Предпосылки!$J129,$C$14:$C$16,AD$14:AD$16),1)</f>
        <v>0</v>
      </c>
      <c s="125">
        <f>Предпосылки!AD157*AE$41*(1+Чувствительность!$D$12)*IFERROR(LOOKUP(Предпосылки!$J129,$C$14:$C$16,AE$14:AE$16),1)</f>
        <v>0</v>
      </c>
      <c s="125">
        <f>Предпосылки!AE157*AF$41*(1+Чувствительность!$D$12)*IFERROR(LOOKUP(Предпосылки!$J129,$C$14:$C$16,AF$14:AF$16),1)</f>
        <v>0</v>
      </c>
      <c s="125">
        <f>Предпосылки!AF157*AG$41*(1+Чувствительность!$D$12)*IFERROR(LOOKUP(Предпосылки!$J129,$C$14:$C$16,AG$14:AG$16),1)</f>
        <v>0</v>
      </c>
      <c s="125">
        <f>Предпосылки!AG157*AH$41*(1+Чувствительность!$D$12)*IFERROR(LOOKUP(Предпосылки!$J129,$C$14:$C$16,AH$14:AH$16),1)</f>
        <v>0</v>
      </c>
      <c s="125">
        <f>Предпосылки!AH157*AI$41*(1+Чувствительность!$D$12)*IFERROR(LOOKUP(Предпосылки!$J129,$C$14:$C$16,AI$14:AI$16),1)</f>
        <v>0</v>
      </c>
      <c s="125">
        <f>Предпосылки!AI157*AJ$41*(1+Чувствительность!$D$12)*IFERROR(LOOKUP(Предпосылки!$J129,$C$14:$C$16,AJ$14:AJ$16),1)</f>
        <v>0</v>
      </c>
      <c s="125">
        <f>Предпосылки!AJ157*AK$41*(1+Чувствительность!$D$12)*IFERROR(LOOKUP(Предпосылки!$J129,$C$14:$C$16,AK$14:AK$16),1)</f>
        <v>0</v>
      </c>
      <c s="125">
        <f>Предпосылки!AK157*AL$41*(1+Чувствительность!$D$12)*IFERROR(LOOKUP(Предпосылки!$J129,$C$14:$C$16,AL$14:AL$16),1)</f>
        <v>0</v>
      </c>
      <c s="125">
        <f>Предпосылки!AL157*AM$41*(1+Чувствительность!$D$12)*IFERROR(LOOKUP(Предпосылки!$J129,$C$14:$C$16,AM$14:AM$16),1)</f>
        <v>0</v>
      </c>
      <c s="125">
        <f>Предпосылки!AM157*AN$41*(1+Чувствительность!$D$12)*IFERROR(LOOKUP(Предпосылки!$J129,$C$14:$C$16,AN$14:AN$16),1)</f>
        <v>0</v>
      </c>
      <c s="125">
        <f>Предпосылки!AN157*AO$41*(1+Чувствительность!$D$12)*IFERROR(LOOKUP(Предпосылки!$J129,$C$14:$C$16,AO$14:AO$16),1)</f>
        <v>0</v>
      </c>
      <c s="125">
        <f>Предпосылки!AO157*AP$41*(1+Чувствительность!$D$12)*IFERROR(LOOKUP(Предпосылки!$J129,$C$14:$C$16,AP$14:AP$16),1)</f>
        <v>0</v>
      </c>
      <c s="125">
        <f>Предпосылки!AP157*AQ$41*(1+Чувствительность!$D$12)*IFERROR(LOOKUP(Предпосылки!$J129,$C$14:$C$16,AQ$14:AQ$16),1)</f>
        <v>0</v>
      </c>
      <c s="125">
        <f>Предпосылки!AQ157*AR$41*(1+Чувствительность!$D$12)*IFERROR(LOOKUP(Предпосылки!$J129,$C$14:$C$16,AR$14:AR$16),1)</f>
        <v>0</v>
      </c>
      <c s="125">
        <f>Предпосылки!AR157*AS$41*(1+Чувствительность!$D$12)*IFERROR(LOOKUP(Предпосылки!$J129,$C$14:$C$16,AS$14:AS$16),1)</f>
        <v>0</v>
      </c>
      <c s="125">
        <f>Предпосылки!AS157*AT$41*(1+Чувствительность!$D$12)*IFERROR(LOOKUP(Предпосылки!$J129,$C$14:$C$16,AT$14:AT$16),1)</f>
        <v>0</v>
      </c>
      <c s="125">
        <f>Предпосылки!AT157*AU$41*(1+Чувствительность!$D$12)*IFERROR(LOOKUP(Предпосылки!$J129,$C$14:$C$16,AU$14:AU$16),1)</f>
        <v>0</v>
      </c>
      <c s="125">
        <f>Предпосылки!AU157*AV$41*(1+Чувствительность!$D$12)*IFERROR(LOOKUP(Предпосылки!$J129,$C$14:$C$16,AV$14:AV$16),1)</f>
        <v>0</v>
      </c>
      <c s="125">
        <f>Предпосылки!AV157*AW$41*(1+Чувствительность!$D$12)*IFERROR(LOOKUP(Предпосылки!$J129,$C$14:$C$16,AW$14:AW$16),1)</f>
        <v>0</v>
      </c>
      <c s="125">
        <f>Предпосылки!AW157*AX$41*(1+Чувствительность!$D$12)*IFERROR(LOOKUP(Предпосылки!$J129,$C$14:$C$16,AX$14:AX$16),1)</f>
        <v>0</v>
      </c>
      <c s="125">
        <f>Предпосылки!AX157*AY$41*(1+Чувствительность!$D$12)*IFERROR(LOOKUP(Предпосылки!$J129,$C$14:$C$16,AY$14:AY$16),1)</f>
        <v>0</v>
      </c>
      <c s="125">
        <f>Предпосылки!AY157*AZ$41*(1+Чувствительность!$D$12)*IFERROR(LOOKUP(Предпосылки!$J129,$C$14:$C$16,AZ$14:AZ$16),1)</f>
        <v>0</v>
      </c>
      <c s="125">
        <f>Предпосылки!AZ157*BA$41*(1+Чувствительность!$D$12)*IFERROR(LOOKUP(Предпосылки!$J129,$C$14:$C$16,BA$14:BA$16),1)</f>
        <v>0</v>
      </c>
      <c s="125">
        <f>Предпосылки!BA157*BB$41*(1+Чувствительность!$D$12)*IFERROR(LOOKUP(Предпосылки!$J129,$C$14:$C$16,BB$14:BB$16),1)</f>
        <v>0</v>
      </c>
      <c s="125">
        <f>Предпосылки!BB157*BC$41*(1+Чувствительность!$D$12)*IFERROR(LOOKUP(Предпосылки!$J129,$C$14:$C$16,BC$14:BC$16),1)</f>
        <v>0</v>
      </c>
      <c s="125">
        <f>Предпосылки!BC157*BD$41*(1+Чувствительность!$D$12)*IFERROR(LOOKUP(Предпосылки!$J129,$C$14:$C$16,BD$14:BD$16),1)</f>
        <v>0</v>
      </c>
      <c s="125">
        <f>Предпосылки!BD157*BE$41*(1+Чувствительность!$D$12)*IFERROR(LOOKUP(Предпосылки!$J129,$C$14:$C$16,BE$14:BE$16),1)</f>
        <v>0</v>
      </c>
      <c s="125">
        <f>Предпосылки!BE157*BF$41*(1+Чувствительность!$D$12)*IFERROR(LOOKUP(Предпосылки!$J129,$C$14:$C$16,BF$14:BF$16),1)</f>
        <v>0</v>
      </c>
      <c s="125">
        <f>Предпосылки!BF157*BG$41*(1+Чувствительность!$D$12)*IFERROR(LOOKUP(Предпосылки!$J129,$C$14:$C$16,BG$14:BG$16),1)</f>
        <v>0</v>
      </c>
      <c s="125">
        <f>Предпосылки!BG157*BH$41*(1+Чувствительность!$D$12)*IFERROR(LOOKUP(Предпосылки!$J129,$C$14:$C$16,BH$14:BH$16),1)</f>
        <v>0</v>
      </c>
      <c s="125">
        <f>Предпосылки!BH157*BI$41*(1+Чувствительность!$D$12)*IFERROR(LOOKUP(Предпосылки!$J129,$C$14:$C$16,BI$14:BI$16),1)</f>
        <v>0</v>
      </c>
      <c s="125">
        <f>Предпосылки!BI157*BJ$41*(1+Чувствительность!$D$12)*IFERROR(LOOKUP(Предпосылки!$J129,$C$14:$C$16,BJ$14:BJ$16),1)</f>
        <v>0</v>
      </c>
      <c s="125">
        <f>Предпосылки!BJ157*BK$41*(1+Чувствительность!$D$12)*IFERROR(LOOKUP(Предпосылки!$J129,$C$14:$C$16,BK$14:BK$16),1)</f>
        <v>0</v>
      </c>
      <c s="125">
        <f>Предпосылки!BK157*BL$41*(1+Чувствительность!$D$12)*IFERROR(LOOKUP(Предпосылки!$J129,$C$14:$C$16,BL$14:BL$16),1)</f>
        <v>0</v>
      </c>
      <c s="125">
        <f>Предпосылки!BL157*BM$41*(1+Чувствительность!$D$12)*IFERROR(LOOKUP(Предпосылки!$J129,$C$14:$C$16,BM$14:BM$16),1)</f>
        <v>0</v>
      </c>
    </row>
    <row r="52" spans="2:65" ht="15" customHeight="1">
      <c r="B52" s="12" t="str">
        <f t="shared" si="38"/>
        <v>Продукт 9</v>
      </c>
      <c s="124" t="str">
        <f t="shared" si="37"/>
        <v>тыс. руб.</v>
      </c>
      <c s="125"/>
      <c s="125">
        <f>Предпосылки!D158*E$41*(1+Чувствительность!$D$12)*IFERROR(LOOKUP(Предпосылки!$J130,$C$14:$C$16,E$14:E$16),1)</f>
        <v>0</v>
      </c>
      <c s="125">
        <f>Предпосылки!E158*F$41*(1+Чувствительность!$D$12)*IFERROR(LOOKUP(Предпосылки!$J130,$C$14:$C$16,F$14:F$16),1)</f>
        <v>0</v>
      </c>
      <c s="125">
        <f>Предпосылки!F158*G$41*(1+Чувствительность!$D$12)*IFERROR(LOOKUP(Предпосылки!$J130,$C$14:$C$16,G$14:G$16),1)</f>
        <v>0</v>
      </c>
      <c s="125">
        <f>Предпосылки!G158*H$41*(1+Чувствительность!$D$12)*IFERROR(LOOKUP(Предпосылки!$J130,$C$14:$C$16,H$14:H$16),1)</f>
        <v>0</v>
      </c>
      <c s="125">
        <f>Предпосылки!H158*I$41*(1+Чувствительность!$D$12)*IFERROR(LOOKUP(Предпосылки!$J130,$C$14:$C$16,I$14:I$16),1)</f>
        <v>0</v>
      </c>
      <c s="125">
        <f>Предпосылки!I158*J$41*(1+Чувствительность!$D$12)*IFERROR(LOOKUP(Предпосылки!$J130,$C$14:$C$16,J$14:J$16),1)</f>
        <v>0</v>
      </c>
      <c s="125">
        <f>Предпосылки!J158*K$41*(1+Чувствительность!$D$12)*IFERROR(LOOKUP(Предпосылки!$J130,$C$14:$C$16,K$14:K$16),1)</f>
        <v>0</v>
      </c>
      <c s="125">
        <f>Предпосылки!K158*L$41*(1+Чувствительность!$D$12)*IFERROR(LOOKUP(Предпосылки!$J130,$C$14:$C$16,L$14:L$16),1)</f>
        <v>0</v>
      </c>
      <c s="125">
        <f>Предпосылки!L158*M$41*(1+Чувствительность!$D$12)*IFERROR(LOOKUP(Предпосылки!$J130,$C$14:$C$16,M$14:M$16),1)</f>
        <v>0</v>
      </c>
      <c s="125">
        <f>Предпосылки!M158*N$41*(1+Чувствительность!$D$12)*IFERROR(LOOKUP(Предпосылки!$J130,$C$14:$C$16,N$14:N$16),1)</f>
        <v>0</v>
      </c>
      <c s="125">
        <f>Предпосылки!N158*O$41*(1+Чувствительность!$D$12)*IFERROR(LOOKUP(Предпосылки!$J130,$C$14:$C$16,O$14:O$16),1)</f>
        <v>0</v>
      </c>
      <c s="125">
        <f>Предпосылки!O158*P$41*(1+Чувствительность!$D$12)*IFERROR(LOOKUP(Предпосылки!$J130,$C$14:$C$16,P$14:P$16),1)</f>
        <v>0</v>
      </c>
      <c s="125">
        <f>Предпосылки!P158*Q$41*(1+Чувствительность!$D$12)*IFERROR(LOOKUP(Предпосылки!$J130,$C$14:$C$16,Q$14:Q$16),1)</f>
        <v>0</v>
      </c>
      <c s="125">
        <f>Предпосылки!Q158*R$41*(1+Чувствительность!$D$12)*IFERROR(LOOKUP(Предпосылки!$J130,$C$14:$C$16,R$14:R$16),1)</f>
        <v>0</v>
      </c>
      <c s="125">
        <f>Предпосылки!R158*S$41*(1+Чувствительность!$D$12)*IFERROR(LOOKUP(Предпосылки!$J130,$C$14:$C$16,S$14:S$16),1)</f>
        <v>0</v>
      </c>
      <c s="125">
        <f>Предпосылки!S158*T$41*(1+Чувствительность!$D$12)*IFERROR(LOOKUP(Предпосылки!$J130,$C$14:$C$16,T$14:T$16),1)</f>
        <v>0</v>
      </c>
      <c s="125">
        <f>Предпосылки!T158*U$41*(1+Чувствительность!$D$12)*IFERROR(LOOKUP(Предпосылки!$J130,$C$14:$C$16,U$14:U$16),1)</f>
        <v>0</v>
      </c>
      <c s="125">
        <f>Предпосылки!U158*V$41*(1+Чувствительность!$D$12)*IFERROR(LOOKUP(Предпосылки!$J130,$C$14:$C$16,V$14:V$16),1)</f>
        <v>0</v>
      </c>
      <c s="125">
        <f>Предпосылки!V158*W$41*(1+Чувствительность!$D$12)*IFERROR(LOOKUP(Предпосылки!$J130,$C$14:$C$16,W$14:W$16),1)</f>
        <v>0</v>
      </c>
      <c s="125">
        <f>Предпосылки!W158*X$41*(1+Чувствительность!$D$12)*IFERROR(LOOKUP(Предпосылки!$J130,$C$14:$C$16,X$14:X$16),1)</f>
        <v>0</v>
      </c>
      <c s="125">
        <f>Предпосылки!X158*Y$41*(1+Чувствительность!$D$12)*IFERROR(LOOKUP(Предпосылки!$J130,$C$14:$C$16,Y$14:Y$16),1)</f>
        <v>0</v>
      </c>
      <c s="125">
        <f>Предпосылки!Y158*Z$41*(1+Чувствительность!$D$12)*IFERROR(LOOKUP(Предпосылки!$J130,$C$14:$C$16,Z$14:Z$16),1)</f>
        <v>0</v>
      </c>
      <c s="125">
        <f>Предпосылки!Z158*AA$41*(1+Чувствительность!$D$12)*IFERROR(LOOKUP(Предпосылки!$J130,$C$14:$C$16,AA$14:AA$16),1)</f>
        <v>0</v>
      </c>
      <c s="125">
        <f>Предпосылки!AA158*AB$41*(1+Чувствительность!$D$12)*IFERROR(LOOKUP(Предпосылки!$J130,$C$14:$C$16,AB$14:AB$16),1)</f>
        <v>0</v>
      </c>
      <c s="125">
        <f>Предпосылки!AB158*AC$41*(1+Чувствительность!$D$12)*IFERROR(LOOKUP(Предпосылки!$J130,$C$14:$C$16,AC$14:AC$16),1)</f>
        <v>0</v>
      </c>
      <c s="125">
        <f>Предпосылки!AC158*AD$41*(1+Чувствительность!$D$12)*IFERROR(LOOKUP(Предпосылки!$J130,$C$14:$C$16,AD$14:AD$16),1)</f>
        <v>0</v>
      </c>
      <c s="125">
        <f>Предпосылки!AD158*AE$41*(1+Чувствительность!$D$12)*IFERROR(LOOKUP(Предпосылки!$J130,$C$14:$C$16,AE$14:AE$16),1)</f>
        <v>0</v>
      </c>
      <c s="125">
        <f>Предпосылки!AE158*AF$41*(1+Чувствительность!$D$12)*IFERROR(LOOKUP(Предпосылки!$J130,$C$14:$C$16,AF$14:AF$16),1)</f>
        <v>0</v>
      </c>
      <c s="125">
        <f>Предпосылки!AF158*AG$41*(1+Чувствительность!$D$12)*IFERROR(LOOKUP(Предпосылки!$J130,$C$14:$C$16,AG$14:AG$16),1)</f>
        <v>0</v>
      </c>
      <c s="125">
        <f>Предпосылки!AG158*AH$41*(1+Чувствительность!$D$12)*IFERROR(LOOKUP(Предпосылки!$J130,$C$14:$C$16,AH$14:AH$16),1)</f>
        <v>0</v>
      </c>
      <c s="125">
        <f>Предпосылки!AH158*AI$41*(1+Чувствительность!$D$12)*IFERROR(LOOKUP(Предпосылки!$J130,$C$14:$C$16,AI$14:AI$16),1)</f>
        <v>0</v>
      </c>
      <c s="125">
        <f>Предпосылки!AI158*AJ$41*(1+Чувствительность!$D$12)*IFERROR(LOOKUP(Предпосылки!$J130,$C$14:$C$16,AJ$14:AJ$16),1)</f>
        <v>0</v>
      </c>
      <c s="125">
        <f>Предпосылки!AJ158*AK$41*(1+Чувствительность!$D$12)*IFERROR(LOOKUP(Предпосылки!$J130,$C$14:$C$16,AK$14:AK$16),1)</f>
        <v>0</v>
      </c>
      <c s="125">
        <f>Предпосылки!AK158*AL$41*(1+Чувствительность!$D$12)*IFERROR(LOOKUP(Предпосылки!$J130,$C$14:$C$16,AL$14:AL$16),1)</f>
        <v>0</v>
      </c>
      <c s="125">
        <f>Предпосылки!AL158*AM$41*(1+Чувствительность!$D$12)*IFERROR(LOOKUP(Предпосылки!$J130,$C$14:$C$16,AM$14:AM$16),1)</f>
        <v>0</v>
      </c>
      <c s="125">
        <f>Предпосылки!AM158*AN$41*(1+Чувствительность!$D$12)*IFERROR(LOOKUP(Предпосылки!$J130,$C$14:$C$16,AN$14:AN$16),1)</f>
        <v>0</v>
      </c>
      <c s="125">
        <f>Предпосылки!AN158*AO$41*(1+Чувствительность!$D$12)*IFERROR(LOOKUP(Предпосылки!$J130,$C$14:$C$16,AO$14:AO$16),1)</f>
        <v>0</v>
      </c>
      <c s="125">
        <f>Предпосылки!AO158*AP$41*(1+Чувствительность!$D$12)*IFERROR(LOOKUP(Предпосылки!$J130,$C$14:$C$16,AP$14:AP$16),1)</f>
        <v>0</v>
      </c>
      <c s="125">
        <f>Предпосылки!AP158*AQ$41*(1+Чувствительность!$D$12)*IFERROR(LOOKUP(Предпосылки!$J130,$C$14:$C$16,AQ$14:AQ$16),1)</f>
        <v>0</v>
      </c>
      <c s="125">
        <f>Предпосылки!AQ158*AR$41*(1+Чувствительность!$D$12)*IFERROR(LOOKUP(Предпосылки!$J130,$C$14:$C$16,AR$14:AR$16),1)</f>
        <v>0</v>
      </c>
      <c s="125">
        <f>Предпосылки!AR158*AS$41*(1+Чувствительность!$D$12)*IFERROR(LOOKUP(Предпосылки!$J130,$C$14:$C$16,AS$14:AS$16),1)</f>
        <v>0</v>
      </c>
      <c s="125">
        <f>Предпосылки!AS158*AT$41*(1+Чувствительность!$D$12)*IFERROR(LOOKUP(Предпосылки!$J130,$C$14:$C$16,AT$14:AT$16),1)</f>
        <v>0</v>
      </c>
      <c s="125">
        <f>Предпосылки!AT158*AU$41*(1+Чувствительность!$D$12)*IFERROR(LOOKUP(Предпосылки!$J130,$C$14:$C$16,AU$14:AU$16),1)</f>
        <v>0</v>
      </c>
      <c s="125">
        <f>Предпосылки!AU158*AV$41*(1+Чувствительность!$D$12)*IFERROR(LOOKUP(Предпосылки!$J130,$C$14:$C$16,AV$14:AV$16),1)</f>
        <v>0</v>
      </c>
      <c s="125">
        <f>Предпосылки!AV158*AW$41*(1+Чувствительность!$D$12)*IFERROR(LOOKUP(Предпосылки!$J130,$C$14:$C$16,AW$14:AW$16),1)</f>
        <v>0</v>
      </c>
      <c s="125">
        <f>Предпосылки!AW158*AX$41*(1+Чувствительность!$D$12)*IFERROR(LOOKUP(Предпосылки!$J130,$C$14:$C$16,AX$14:AX$16),1)</f>
        <v>0</v>
      </c>
      <c s="125">
        <f>Предпосылки!AX158*AY$41*(1+Чувствительность!$D$12)*IFERROR(LOOKUP(Предпосылки!$J130,$C$14:$C$16,AY$14:AY$16),1)</f>
        <v>0</v>
      </c>
      <c s="125">
        <f>Предпосылки!AY158*AZ$41*(1+Чувствительность!$D$12)*IFERROR(LOOKUP(Предпосылки!$J130,$C$14:$C$16,AZ$14:AZ$16),1)</f>
        <v>0</v>
      </c>
      <c s="125">
        <f>Предпосылки!AZ158*BA$41*(1+Чувствительность!$D$12)*IFERROR(LOOKUP(Предпосылки!$J130,$C$14:$C$16,BA$14:BA$16),1)</f>
        <v>0</v>
      </c>
      <c s="125">
        <f>Предпосылки!BA158*BB$41*(1+Чувствительность!$D$12)*IFERROR(LOOKUP(Предпосылки!$J130,$C$14:$C$16,BB$14:BB$16),1)</f>
        <v>0</v>
      </c>
      <c s="125">
        <f>Предпосылки!BB158*BC$41*(1+Чувствительность!$D$12)*IFERROR(LOOKUP(Предпосылки!$J130,$C$14:$C$16,BC$14:BC$16),1)</f>
        <v>0</v>
      </c>
      <c s="125">
        <f>Предпосылки!BC158*BD$41*(1+Чувствительность!$D$12)*IFERROR(LOOKUP(Предпосылки!$J130,$C$14:$C$16,BD$14:BD$16),1)</f>
        <v>0</v>
      </c>
      <c s="125">
        <f>Предпосылки!BD158*BE$41*(1+Чувствительность!$D$12)*IFERROR(LOOKUP(Предпосылки!$J130,$C$14:$C$16,BE$14:BE$16),1)</f>
        <v>0</v>
      </c>
      <c s="125">
        <f>Предпосылки!BE158*BF$41*(1+Чувствительность!$D$12)*IFERROR(LOOKUP(Предпосылки!$J130,$C$14:$C$16,BF$14:BF$16),1)</f>
        <v>0</v>
      </c>
      <c s="125">
        <f>Предпосылки!BF158*BG$41*(1+Чувствительность!$D$12)*IFERROR(LOOKUP(Предпосылки!$J130,$C$14:$C$16,BG$14:BG$16),1)</f>
        <v>0</v>
      </c>
      <c s="125">
        <f>Предпосылки!BG158*BH$41*(1+Чувствительность!$D$12)*IFERROR(LOOKUP(Предпосылки!$J130,$C$14:$C$16,BH$14:BH$16),1)</f>
        <v>0</v>
      </c>
      <c s="125">
        <f>Предпосылки!BH158*BI$41*(1+Чувствительность!$D$12)*IFERROR(LOOKUP(Предпосылки!$J130,$C$14:$C$16,BI$14:BI$16),1)</f>
        <v>0</v>
      </c>
      <c s="125">
        <f>Предпосылки!BI158*BJ$41*(1+Чувствительность!$D$12)*IFERROR(LOOKUP(Предпосылки!$J130,$C$14:$C$16,BJ$14:BJ$16),1)</f>
        <v>0</v>
      </c>
      <c s="125">
        <f>Предпосылки!BJ158*BK$41*(1+Чувствительность!$D$12)*IFERROR(LOOKUP(Предпосылки!$J130,$C$14:$C$16,BK$14:BK$16),1)</f>
        <v>0</v>
      </c>
      <c s="125">
        <f>Предпосылки!BK158*BL$41*(1+Чувствительность!$D$12)*IFERROR(LOOKUP(Предпосылки!$J130,$C$14:$C$16,BL$14:BL$16),1)</f>
        <v>0</v>
      </c>
      <c s="125">
        <f>Предпосылки!BL158*BM$41*(1+Чувствительность!$D$12)*IFERROR(LOOKUP(Предпосылки!$J130,$C$14:$C$16,BM$14:BM$16),1)</f>
        <v>0</v>
      </c>
    </row>
    <row r="53" spans="2:65" ht="15" customHeight="1">
      <c r="B53" s="12" t="str">
        <f t="shared" si="38"/>
        <v>Продукт 10</v>
      </c>
      <c s="124" t="str">
        <f t="shared" si="37"/>
        <v>тыс. руб.</v>
      </c>
      <c s="125"/>
      <c s="125">
        <f>Предпосылки!D159*E$41*(1+Чувствительность!$D$12)*IFERROR(LOOKUP(Предпосылки!$J131,$C$14:$C$16,E$14:E$16),1)</f>
        <v>0</v>
      </c>
      <c s="125">
        <f>Предпосылки!E159*F$41*(1+Чувствительность!$D$12)*IFERROR(LOOKUP(Предпосылки!$J131,$C$14:$C$16,F$14:F$16),1)</f>
        <v>0</v>
      </c>
      <c s="125">
        <f>Предпосылки!F159*G$41*(1+Чувствительность!$D$12)*IFERROR(LOOKUP(Предпосылки!$J131,$C$14:$C$16,G$14:G$16),1)</f>
        <v>0</v>
      </c>
      <c s="125">
        <f>Предпосылки!G159*H$41*(1+Чувствительность!$D$12)*IFERROR(LOOKUP(Предпосылки!$J131,$C$14:$C$16,H$14:H$16),1)</f>
        <v>0</v>
      </c>
      <c s="125">
        <f>Предпосылки!H159*I$41*(1+Чувствительность!$D$12)*IFERROR(LOOKUP(Предпосылки!$J131,$C$14:$C$16,I$14:I$16),1)</f>
        <v>0</v>
      </c>
      <c s="125">
        <f>Предпосылки!I159*J$41*(1+Чувствительность!$D$12)*IFERROR(LOOKUP(Предпосылки!$J131,$C$14:$C$16,J$14:J$16),1)</f>
        <v>0</v>
      </c>
      <c s="125">
        <f>Предпосылки!J159*K$41*(1+Чувствительность!$D$12)*IFERROR(LOOKUP(Предпосылки!$J131,$C$14:$C$16,K$14:K$16),1)</f>
        <v>0</v>
      </c>
      <c s="125">
        <f>Предпосылки!K159*L$41*(1+Чувствительность!$D$12)*IFERROR(LOOKUP(Предпосылки!$J131,$C$14:$C$16,L$14:L$16),1)</f>
        <v>0</v>
      </c>
      <c s="125">
        <f>Предпосылки!L159*M$41*(1+Чувствительность!$D$12)*IFERROR(LOOKUP(Предпосылки!$J131,$C$14:$C$16,M$14:M$16),1)</f>
        <v>0</v>
      </c>
      <c s="125">
        <f>Предпосылки!M159*N$41*(1+Чувствительность!$D$12)*IFERROR(LOOKUP(Предпосылки!$J131,$C$14:$C$16,N$14:N$16),1)</f>
        <v>0</v>
      </c>
      <c s="125">
        <f>Предпосылки!N159*O$41*(1+Чувствительность!$D$12)*IFERROR(LOOKUP(Предпосылки!$J131,$C$14:$C$16,O$14:O$16),1)</f>
        <v>0</v>
      </c>
      <c s="125">
        <f>Предпосылки!O159*P$41*(1+Чувствительность!$D$12)*IFERROR(LOOKUP(Предпосылки!$J131,$C$14:$C$16,P$14:P$16),1)</f>
        <v>0</v>
      </c>
      <c s="125">
        <f>Предпосылки!P159*Q$41*(1+Чувствительность!$D$12)*IFERROR(LOOKUP(Предпосылки!$J131,$C$14:$C$16,Q$14:Q$16),1)</f>
        <v>0</v>
      </c>
      <c s="125">
        <f>Предпосылки!Q159*R$41*(1+Чувствительность!$D$12)*IFERROR(LOOKUP(Предпосылки!$J131,$C$14:$C$16,R$14:R$16),1)</f>
        <v>0</v>
      </c>
      <c s="125">
        <f>Предпосылки!R159*S$41*(1+Чувствительность!$D$12)*IFERROR(LOOKUP(Предпосылки!$J131,$C$14:$C$16,S$14:S$16),1)</f>
        <v>0</v>
      </c>
      <c s="125">
        <f>Предпосылки!S159*T$41*(1+Чувствительность!$D$12)*IFERROR(LOOKUP(Предпосылки!$J131,$C$14:$C$16,T$14:T$16),1)</f>
        <v>0</v>
      </c>
      <c s="125">
        <f>Предпосылки!T159*U$41*(1+Чувствительность!$D$12)*IFERROR(LOOKUP(Предпосылки!$J131,$C$14:$C$16,U$14:U$16),1)</f>
        <v>0</v>
      </c>
      <c s="125">
        <f>Предпосылки!U159*V$41*(1+Чувствительность!$D$12)*IFERROR(LOOKUP(Предпосылки!$J131,$C$14:$C$16,V$14:V$16),1)</f>
        <v>0</v>
      </c>
      <c s="125">
        <f>Предпосылки!V159*W$41*(1+Чувствительность!$D$12)*IFERROR(LOOKUP(Предпосылки!$J131,$C$14:$C$16,W$14:W$16),1)</f>
        <v>0</v>
      </c>
      <c s="125">
        <f>Предпосылки!W159*X$41*(1+Чувствительность!$D$12)*IFERROR(LOOKUP(Предпосылки!$J131,$C$14:$C$16,X$14:X$16),1)</f>
        <v>0</v>
      </c>
      <c s="125">
        <f>Предпосылки!X159*Y$41*(1+Чувствительность!$D$12)*IFERROR(LOOKUP(Предпосылки!$J131,$C$14:$C$16,Y$14:Y$16),1)</f>
        <v>0</v>
      </c>
      <c s="125">
        <f>Предпосылки!Y159*Z$41*(1+Чувствительность!$D$12)*IFERROR(LOOKUP(Предпосылки!$J131,$C$14:$C$16,Z$14:Z$16),1)</f>
        <v>0</v>
      </c>
      <c s="125">
        <f>Предпосылки!Z159*AA$41*(1+Чувствительность!$D$12)*IFERROR(LOOKUP(Предпосылки!$J131,$C$14:$C$16,AA$14:AA$16),1)</f>
        <v>0</v>
      </c>
      <c s="125">
        <f>Предпосылки!AA159*AB$41*(1+Чувствительность!$D$12)*IFERROR(LOOKUP(Предпосылки!$J131,$C$14:$C$16,AB$14:AB$16),1)</f>
        <v>0</v>
      </c>
      <c s="125">
        <f>Предпосылки!AB159*AC$41*(1+Чувствительность!$D$12)*IFERROR(LOOKUP(Предпосылки!$J131,$C$14:$C$16,AC$14:AC$16),1)</f>
        <v>0</v>
      </c>
      <c s="125">
        <f>Предпосылки!AC159*AD$41*(1+Чувствительность!$D$12)*IFERROR(LOOKUP(Предпосылки!$J131,$C$14:$C$16,AD$14:AD$16),1)</f>
        <v>0</v>
      </c>
      <c s="125">
        <f>Предпосылки!AD159*AE$41*(1+Чувствительность!$D$12)*IFERROR(LOOKUP(Предпосылки!$J131,$C$14:$C$16,AE$14:AE$16),1)</f>
        <v>0</v>
      </c>
      <c s="125">
        <f>Предпосылки!AE159*AF$41*(1+Чувствительность!$D$12)*IFERROR(LOOKUP(Предпосылки!$J131,$C$14:$C$16,AF$14:AF$16),1)</f>
        <v>0</v>
      </c>
      <c s="125">
        <f>Предпосылки!AF159*AG$41*(1+Чувствительность!$D$12)*IFERROR(LOOKUP(Предпосылки!$J131,$C$14:$C$16,AG$14:AG$16),1)</f>
        <v>0</v>
      </c>
      <c s="125">
        <f>Предпосылки!AG159*AH$41*(1+Чувствительность!$D$12)*IFERROR(LOOKUP(Предпосылки!$J131,$C$14:$C$16,AH$14:AH$16),1)</f>
        <v>0</v>
      </c>
      <c s="125">
        <f>Предпосылки!AH159*AI$41*(1+Чувствительность!$D$12)*IFERROR(LOOKUP(Предпосылки!$J131,$C$14:$C$16,AI$14:AI$16),1)</f>
        <v>0</v>
      </c>
      <c s="125">
        <f>Предпосылки!AI159*AJ$41*(1+Чувствительность!$D$12)*IFERROR(LOOKUP(Предпосылки!$J131,$C$14:$C$16,AJ$14:AJ$16),1)</f>
        <v>0</v>
      </c>
      <c s="125">
        <f>Предпосылки!AJ159*AK$41*(1+Чувствительность!$D$12)*IFERROR(LOOKUP(Предпосылки!$J131,$C$14:$C$16,AK$14:AK$16),1)</f>
        <v>0</v>
      </c>
      <c s="125">
        <f>Предпосылки!AK159*AL$41*(1+Чувствительность!$D$12)*IFERROR(LOOKUP(Предпосылки!$J131,$C$14:$C$16,AL$14:AL$16),1)</f>
        <v>0</v>
      </c>
      <c s="125">
        <f>Предпосылки!AL159*AM$41*(1+Чувствительность!$D$12)*IFERROR(LOOKUP(Предпосылки!$J131,$C$14:$C$16,AM$14:AM$16),1)</f>
        <v>0</v>
      </c>
      <c s="125">
        <f>Предпосылки!AM159*AN$41*(1+Чувствительность!$D$12)*IFERROR(LOOKUP(Предпосылки!$J131,$C$14:$C$16,AN$14:AN$16),1)</f>
        <v>0</v>
      </c>
      <c s="125">
        <f>Предпосылки!AN159*AO$41*(1+Чувствительность!$D$12)*IFERROR(LOOKUP(Предпосылки!$J131,$C$14:$C$16,AO$14:AO$16),1)</f>
        <v>0</v>
      </c>
      <c s="125">
        <f>Предпосылки!AO159*AP$41*(1+Чувствительность!$D$12)*IFERROR(LOOKUP(Предпосылки!$J131,$C$14:$C$16,AP$14:AP$16),1)</f>
        <v>0</v>
      </c>
      <c s="125">
        <f>Предпосылки!AP159*AQ$41*(1+Чувствительность!$D$12)*IFERROR(LOOKUP(Предпосылки!$J131,$C$14:$C$16,AQ$14:AQ$16),1)</f>
        <v>0</v>
      </c>
      <c s="125">
        <f>Предпосылки!AQ159*AR$41*(1+Чувствительность!$D$12)*IFERROR(LOOKUP(Предпосылки!$J131,$C$14:$C$16,AR$14:AR$16),1)</f>
        <v>0</v>
      </c>
      <c s="125">
        <f>Предпосылки!AR159*AS$41*(1+Чувствительность!$D$12)*IFERROR(LOOKUP(Предпосылки!$J131,$C$14:$C$16,AS$14:AS$16),1)</f>
        <v>0</v>
      </c>
      <c s="125">
        <f>Предпосылки!AS159*AT$41*(1+Чувствительность!$D$12)*IFERROR(LOOKUP(Предпосылки!$J131,$C$14:$C$16,AT$14:AT$16),1)</f>
        <v>0</v>
      </c>
      <c s="125">
        <f>Предпосылки!AT159*AU$41*(1+Чувствительность!$D$12)*IFERROR(LOOKUP(Предпосылки!$J131,$C$14:$C$16,AU$14:AU$16),1)</f>
        <v>0</v>
      </c>
      <c s="125">
        <f>Предпосылки!AU159*AV$41*(1+Чувствительность!$D$12)*IFERROR(LOOKUP(Предпосылки!$J131,$C$14:$C$16,AV$14:AV$16),1)</f>
        <v>0</v>
      </c>
      <c s="125">
        <f>Предпосылки!AV159*AW$41*(1+Чувствительность!$D$12)*IFERROR(LOOKUP(Предпосылки!$J131,$C$14:$C$16,AW$14:AW$16),1)</f>
        <v>0</v>
      </c>
      <c s="125">
        <f>Предпосылки!AW159*AX$41*(1+Чувствительность!$D$12)*IFERROR(LOOKUP(Предпосылки!$J131,$C$14:$C$16,AX$14:AX$16),1)</f>
        <v>0</v>
      </c>
      <c s="125">
        <f>Предпосылки!AX159*AY$41*(1+Чувствительность!$D$12)*IFERROR(LOOKUP(Предпосылки!$J131,$C$14:$C$16,AY$14:AY$16),1)</f>
        <v>0</v>
      </c>
      <c s="125">
        <f>Предпосылки!AY159*AZ$41*(1+Чувствительность!$D$12)*IFERROR(LOOKUP(Предпосылки!$J131,$C$14:$C$16,AZ$14:AZ$16),1)</f>
        <v>0</v>
      </c>
      <c s="125">
        <f>Предпосылки!AZ159*BA$41*(1+Чувствительность!$D$12)*IFERROR(LOOKUP(Предпосылки!$J131,$C$14:$C$16,BA$14:BA$16),1)</f>
        <v>0</v>
      </c>
      <c s="125">
        <f>Предпосылки!BA159*BB$41*(1+Чувствительность!$D$12)*IFERROR(LOOKUP(Предпосылки!$J131,$C$14:$C$16,BB$14:BB$16),1)</f>
        <v>0</v>
      </c>
      <c s="125">
        <f>Предпосылки!BB159*BC$41*(1+Чувствительность!$D$12)*IFERROR(LOOKUP(Предпосылки!$J131,$C$14:$C$16,BC$14:BC$16),1)</f>
        <v>0</v>
      </c>
      <c s="125">
        <f>Предпосылки!BC159*BD$41*(1+Чувствительность!$D$12)*IFERROR(LOOKUP(Предпосылки!$J131,$C$14:$C$16,BD$14:BD$16),1)</f>
        <v>0</v>
      </c>
      <c s="125">
        <f>Предпосылки!BD159*BE$41*(1+Чувствительность!$D$12)*IFERROR(LOOKUP(Предпосылки!$J131,$C$14:$C$16,BE$14:BE$16),1)</f>
        <v>0</v>
      </c>
      <c s="125">
        <f>Предпосылки!BE159*BF$41*(1+Чувствительность!$D$12)*IFERROR(LOOKUP(Предпосылки!$J131,$C$14:$C$16,BF$14:BF$16),1)</f>
        <v>0</v>
      </c>
      <c s="125">
        <f>Предпосылки!BF159*BG$41*(1+Чувствительность!$D$12)*IFERROR(LOOKUP(Предпосылки!$J131,$C$14:$C$16,BG$14:BG$16),1)</f>
        <v>0</v>
      </c>
      <c s="125">
        <f>Предпосылки!BG159*BH$41*(1+Чувствительность!$D$12)*IFERROR(LOOKUP(Предпосылки!$J131,$C$14:$C$16,BH$14:BH$16),1)</f>
        <v>0</v>
      </c>
      <c s="125">
        <f>Предпосылки!BH159*BI$41*(1+Чувствительность!$D$12)*IFERROR(LOOKUP(Предпосылки!$J131,$C$14:$C$16,BI$14:BI$16),1)</f>
        <v>0</v>
      </c>
      <c s="125">
        <f>Предпосылки!BI159*BJ$41*(1+Чувствительность!$D$12)*IFERROR(LOOKUP(Предпосылки!$J131,$C$14:$C$16,BJ$14:BJ$16),1)</f>
        <v>0</v>
      </c>
      <c s="125">
        <f>Предпосылки!BJ159*BK$41*(1+Чувствительность!$D$12)*IFERROR(LOOKUP(Предпосылки!$J131,$C$14:$C$16,BK$14:BK$16),1)</f>
        <v>0</v>
      </c>
      <c s="125">
        <f>Предпосылки!BK159*BL$41*(1+Чувствительность!$D$12)*IFERROR(LOOKUP(Предпосылки!$J131,$C$14:$C$16,BL$14:BL$16),1)</f>
        <v>0</v>
      </c>
      <c s="125">
        <f>Предпосылки!BL159*BM$41*(1+Чувствительность!$D$12)*IFERROR(LOOKUP(Предпосылки!$J131,$C$14:$C$16,BM$14:BM$16),1)</f>
        <v>0</v>
      </c>
    </row>
    <row r="54" spans="2:65" ht="15" customHeight="1">
      <c r="B54" s="12" t="str">
        <f t="shared" si="38"/>
        <v>Продукт 11</v>
      </c>
      <c s="124" t="str">
        <f t="shared" si="37"/>
        <v>тыс. руб.</v>
      </c>
      <c s="125"/>
      <c s="125">
        <f>Предпосылки!D160*E$41*(1+Чувствительность!$D$12)*IFERROR(LOOKUP(Предпосылки!$J132,$C$14:$C$16,E$14:E$16),1)</f>
        <v>0</v>
      </c>
      <c s="125">
        <f>Предпосылки!E160*F$41*(1+Чувствительность!$D$12)*IFERROR(LOOKUP(Предпосылки!$J132,$C$14:$C$16,F$14:F$16),1)</f>
        <v>0</v>
      </c>
      <c s="125">
        <f>Предпосылки!F160*G$41*(1+Чувствительность!$D$12)*IFERROR(LOOKUP(Предпосылки!$J132,$C$14:$C$16,G$14:G$16),1)</f>
        <v>0</v>
      </c>
      <c s="125">
        <f>Предпосылки!G160*H$41*(1+Чувствительность!$D$12)*IFERROR(LOOKUP(Предпосылки!$J132,$C$14:$C$16,H$14:H$16),1)</f>
        <v>0</v>
      </c>
      <c s="125">
        <f>Предпосылки!H160*I$41*(1+Чувствительность!$D$12)*IFERROR(LOOKUP(Предпосылки!$J132,$C$14:$C$16,I$14:I$16),1)</f>
        <v>0</v>
      </c>
      <c s="125">
        <f>Предпосылки!I160*J$41*(1+Чувствительность!$D$12)*IFERROR(LOOKUP(Предпосылки!$J132,$C$14:$C$16,J$14:J$16),1)</f>
        <v>0</v>
      </c>
      <c s="125">
        <f>Предпосылки!J160*K$41*(1+Чувствительность!$D$12)*IFERROR(LOOKUP(Предпосылки!$J132,$C$14:$C$16,K$14:K$16),1)</f>
        <v>0</v>
      </c>
      <c s="125">
        <f>Предпосылки!K160*L$41*(1+Чувствительность!$D$12)*IFERROR(LOOKUP(Предпосылки!$J132,$C$14:$C$16,L$14:L$16),1)</f>
        <v>0</v>
      </c>
      <c s="125">
        <f>Предпосылки!L160*M$41*(1+Чувствительность!$D$12)*IFERROR(LOOKUP(Предпосылки!$J132,$C$14:$C$16,M$14:M$16),1)</f>
        <v>0</v>
      </c>
      <c s="125">
        <f>Предпосылки!M160*N$41*(1+Чувствительность!$D$12)*IFERROR(LOOKUP(Предпосылки!$J132,$C$14:$C$16,N$14:N$16),1)</f>
        <v>0</v>
      </c>
      <c s="125">
        <f>Предпосылки!N160*O$41*(1+Чувствительность!$D$12)*IFERROR(LOOKUP(Предпосылки!$J132,$C$14:$C$16,O$14:O$16),1)</f>
        <v>0</v>
      </c>
      <c s="125">
        <f>Предпосылки!O160*P$41*(1+Чувствительность!$D$12)*IFERROR(LOOKUP(Предпосылки!$J132,$C$14:$C$16,P$14:P$16),1)</f>
        <v>0</v>
      </c>
      <c s="125">
        <f>Предпосылки!P160*Q$41*(1+Чувствительность!$D$12)*IFERROR(LOOKUP(Предпосылки!$J132,$C$14:$C$16,Q$14:Q$16),1)</f>
        <v>0</v>
      </c>
      <c s="125">
        <f>Предпосылки!Q160*R$41*(1+Чувствительность!$D$12)*IFERROR(LOOKUP(Предпосылки!$J132,$C$14:$C$16,R$14:R$16),1)</f>
        <v>0</v>
      </c>
      <c s="125">
        <f>Предпосылки!R160*S$41*(1+Чувствительность!$D$12)*IFERROR(LOOKUP(Предпосылки!$J132,$C$14:$C$16,S$14:S$16),1)</f>
        <v>0</v>
      </c>
      <c s="125">
        <f>Предпосылки!S160*T$41*(1+Чувствительность!$D$12)*IFERROR(LOOKUP(Предпосылки!$J132,$C$14:$C$16,T$14:T$16),1)</f>
        <v>0</v>
      </c>
      <c s="125">
        <f>Предпосылки!T160*U$41*(1+Чувствительность!$D$12)*IFERROR(LOOKUP(Предпосылки!$J132,$C$14:$C$16,U$14:U$16),1)</f>
        <v>0</v>
      </c>
      <c s="125">
        <f>Предпосылки!U160*V$41*(1+Чувствительность!$D$12)*IFERROR(LOOKUP(Предпосылки!$J132,$C$14:$C$16,V$14:V$16),1)</f>
        <v>0</v>
      </c>
      <c s="125">
        <f>Предпосылки!V160*W$41*(1+Чувствительность!$D$12)*IFERROR(LOOKUP(Предпосылки!$J132,$C$14:$C$16,W$14:W$16),1)</f>
        <v>0</v>
      </c>
      <c s="125">
        <f>Предпосылки!W160*X$41*(1+Чувствительность!$D$12)*IFERROR(LOOKUP(Предпосылки!$J132,$C$14:$C$16,X$14:X$16),1)</f>
        <v>0</v>
      </c>
      <c s="125">
        <f>Предпосылки!X160*Y$41*(1+Чувствительность!$D$12)*IFERROR(LOOKUP(Предпосылки!$J132,$C$14:$C$16,Y$14:Y$16),1)</f>
        <v>0</v>
      </c>
      <c s="125">
        <f>Предпосылки!Y160*Z$41*(1+Чувствительность!$D$12)*IFERROR(LOOKUP(Предпосылки!$J132,$C$14:$C$16,Z$14:Z$16),1)</f>
        <v>0</v>
      </c>
      <c s="125">
        <f>Предпосылки!Z160*AA$41*(1+Чувствительность!$D$12)*IFERROR(LOOKUP(Предпосылки!$J132,$C$14:$C$16,AA$14:AA$16),1)</f>
        <v>0</v>
      </c>
      <c s="125">
        <f>Предпосылки!AA160*AB$41*(1+Чувствительность!$D$12)*IFERROR(LOOKUP(Предпосылки!$J132,$C$14:$C$16,AB$14:AB$16),1)</f>
        <v>0</v>
      </c>
      <c s="125">
        <f>Предпосылки!AB160*AC$41*(1+Чувствительность!$D$12)*IFERROR(LOOKUP(Предпосылки!$J132,$C$14:$C$16,AC$14:AC$16),1)</f>
        <v>0</v>
      </c>
      <c s="125">
        <f>Предпосылки!AC160*AD$41*(1+Чувствительность!$D$12)*IFERROR(LOOKUP(Предпосылки!$J132,$C$14:$C$16,AD$14:AD$16),1)</f>
        <v>0</v>
      </c>
      <c s="125">
        <f>Предпосылки!AD160*AE$41*(1+Чувствительность!$D$12)*IFERROR(LOOKUP(Предпосылки!$J132,$C$14:$C$16,AE$14:AE$16),1)</f>
        <v>0</v>
      </c>
      <c s="125">
        <f>Предпосылки!AE160*AF$41*(1+Чувствительность!$D$12)*IFERROR(LOOKUP(Предпосылки!$J132,$C$14:$C$16,AF$14:AF$16),1)</f>
        <v>0</v>
      </c>
      <c s="125">
        <f>Предпосылки!AF160*AG$41*(1+Чувствительность!$D$12)*IFERROR(LOOKUP(Предпосылки!$J132,$C$14:$C$16,AG$14:AG$16),1)</f>
        <v>0</v>
      </c>
      <c s="125">
        <f>Предпосылки!AG160*AH$41*(1+Чувствительность!$D$12)*IFERROR(LOOKUP(Предпосылки!$J132,$C$14:$C$16,AH$14:AH$16),1)</f>
        <v>0</v>
      </c>
      <c s="125">
        <f>Предпосылки!AH160*AI$41*(1+Чувствительность!$D$12)*IFERROR(LOOKUP(Предпосылки!$J132,$C$14:$C$16,AI$14:AI$16),1)</f>
        <v>0</v>
      </c>
      <c s="125">
        <f>Предпосылки!AI160*AJ$41*(1+Чувствительность!$D$12)*IFERROR(LOOKUP(Предпосылки!$J132,$C$14:$C$16,AJ$14:AJ$16),1)</f>
        <v>0</v>
      </c>
      <c s="125">
        <f>Предпосылки!AJ160*AK$41*(1+Чувствительность!$D$12)*IFERROR(LOOKUP(Предпосылки!$J132,$C$14:$C$16,AK$14:AK$16),1)</f>
        <v>0</v>
      </c>
      <c s="125">
        <f>Предпосылки!AK160*AL$41*(1+Чувствительность!$D$12)*IFERROR(LOOKUP(Предпосылки!$J132,$C$14:$C$16,AL$14:AL$16),1)</f>
        <v>0</v>
      </c>
      <c s="125">
        <f>Предпосылки!AL160*AM$41*(1+Чувствительность!$D$12)*IFERROR(LOOKUP(Предпосылки!$J132,$C$14:$C$16,AM$14:AM$16),1)</f>
        <v>0</v>
      </c>
      <c s="125">
        <f>Предпосылки!AM160*AN$41*(1+Чувствительность!$D$12)*IFERROR(LOOKUP(Предпосылки!$J132,$C$14:$C$16,AN$14:AN$16),1)</f>
        <v>0</v>
      </c>
      <c s="125">
        <f>Предпосылки!AN160*AO$41*(1+Чувствительность!$D$12)*IFERROR(LOOKUP(Предпосылки!$J132,$C$14:$C$16,AO$14:AO$16),1)</f>
        <v>0</v>
      </c>
      <c s="125">
        <f>Предпосылки!AO160*AP$41*(1+Чувствительность!$D$12)*IFERROR(LOOKUP(Предпосылки!$J132,$C$14:$C$16,AP$14:AP$16),1)</f>
        <v>0</v>
      </c>
      <c s="125">
        <f>Предпосылки!AP160*AQ$41*(1+Чувствительность!$D$12)*IFERROR(LOOKUP(Предпосылки!$J132,$C$14:$C$16,AQ$14:AQ$16),1)</f>
        <v>0</v>
      </c>
      <c s="125">
        <f>Предпосылки!AQ160*AR$41*(1+Чувствительность!$D$12)*IFERROR(LOOKUP(Предпосылки!$J132,$C$14:$C$16,AR$14:AR$16),1)</f>
        <v>0</v>
      </c>
      <c s="125">
        <f>Предпосылки!AR160*AS$41*(1+Чувствительность!$D$12)*IFERROR(LOOKUP(Предпосылки!$J132,$C$14:$C$16,AS$14:AS$16),1)</f>
        <v>0</v>
      </c>
      <c s="125">
        <f>Предпосылки!AS160*AT$41*(1+Чувствительность!$D$12)*IFERROR(LOOKUP(Предпосылки!$J132,$C$14:$C$16,AT$14:AT$16),1)</f>
        <v>0</v>
      </c>
      <c s="125">
        <f>Предпосылки!AT160*AU$41*(1+Чувствительность!$D$12)*IFERROR(LOOKUP(Предпосылки!$J132,$C$14:$C$16,AU$14:AU$16),1)</f>
        <v>0</v>
      </c>
      <c s="125">
        <f>Предпосылки!AU160*AV$41*(1+Чувствительность!$D$12)*IFERROR(LOOKUP(Предпосылки!$J132,$C$14:$C$16,AV$14:AV$16),1)</f>
        <v>0</v>
      </c>
      <c s="125">
        <f>Предпосылки!AV160*AW$41*(1+Чувствительность!$D$12)*IFERROR(LOOKUP(Предпосылки!$J132,$C$14:$C$16,AW$14:AW$16),1)</f>
        <v>0</v>
      </c>
      <c s="125">
        <f>Предпосылки!AW160*AX$41*(1+Чувствительность!$D$12)*IFERROR(LOOKUP(Предпосылки!$J132,$C$14:$C$16,AX$14:AX$16),1)</f>
        <v>0</v>
      </c>
      <c s="125">
        <f>Предпосылки!AX160*AY$41*(1+Чувствительность!$D$12)*IFERROR(LOOKUP(Предпосылки!$J132,$C$14:$C$16,AY$14:AY$16),1)</f>
        <v>0</v>
      </c>
      <c s="125">
        <f>Предпосылки!AY160*AZ$41*(1+Чувствительность!$D$12)*IFERROR(LOOKUP(Предпосылки!$J132,$C$14:$C$16,AZ$14:AZ$16),1)</f>
        <v>0</v>
      </c>
      <c s="125">
        <f>Предпосылки!AZ160*BA$41*(1+Чувствительность!$D$12)*IFERROR(LOOKUP(Предпосылки!$J132,$C$14:$C$16,BA$14:BA$16),1)</f>
        <v>0</v>
      </c>
      <c s="125">
        <f>Предпосылки!BA160*BB$41*(1+Чувствительность!$D$12)*IFERROR(LOOKUP(Предпосылки!$J132,$C$14:$C$16,BB$14:BB$16),1)</f>
        <v>0</v>
      </c>
      <c s="125">
        <f>Предпосылки!BB160*BC$41*(1+Чувствительность!$D$12)*IFERROR(LOOKUP(Предпосылки!$J132,$C$14:$C$16,BC$14:BC$16),1)</f>
        <v>0</v>
      </c>
      <c s="125">
        <f>Предпосылки!BC160*BD$41*(1+Чувствительность!$D$12)*IFERROR(LOOKUP(Предпосылки!$J132,$C$14:$C$16,BD$14:BD$16),1)</f>
        <v>0</v>
      </c>
      <c s="125">
        <f>Предпосылки!BD160*BE$41*(1+Чувствительность!$D$12)*IFERROR(LOOKUP(Предпосылки!$J132,$C$14:$C$16,BE$14:BE$16),1)</f>
        <v>0</v>
      </c>
      <c s="125">
        <f>Предпосылки!BE160*BF$41*(1+Чувствительность!$D$12)*IFERROR(LOOKUP(Предпосылки!$J132,$C$14:$C$16,BF$14:BF$16),1)</f>
        <v>0</v>
      </c>
      <c s="125">
        <f>Предпосылки!BF160*BG$41*(1+Чувствительность!$D$12)*IFERROR(LOOKUP(Предпосылки!$J132,$C$14:$C$16,BG$14:BG$16),1)</f>
        <v>0</v>
      </c>
      <c s="125">
        <f>Предпосылки!BG160*BH$41*(1+Чувствительность!$D$12)*IFERROR(LOOKUP(Предпосылки!$J132,$C$14:$C$16,BH$14:BH$16),1)</f>
        <v>0</v>
      </c>
      <c s="125">
        <f>Предпосылки!BH160*BI$41*(1+Чувствительность!$D$12)*IFERROR(LOOKUP(Предпосылки!$J132,$C$14:$C$16,BI$14:BI$16),1)</f>
        <v>0</v>
      </c>
      <c s="125">
        <f>Предпосылки!BI160*BJ$41*(1+Чувствительность!$D$12)*IFERROR(LOOKUP(Предпосылки!$J132,$C$14:$C$16,BJ$14:BJ$16),1)</f>
        <v>0</v>
      </c>
      <c s="125">
        <f>Предпосылки!BJ160*BK$41*(1+Чувствительность!$D$12)*IFERROR(LOOKUP(Предпосылки!$J132,$C$14:$C$16,BK$14:BK$16),1)</f>
        <v>0</v>
      </c>
      <c s="125">
        <f>Предпосылки!BK160*BL$41*(1+Чувствительность!$D$12)*IFERROR(LOOKUP(Предпосылки!$J132,$C$14:$C$16,BL$14:BL$16),1)</f>
        <v>0</v>
      </c>
      <c s="125">
        <f>Предпосылки!BL160*BM$41*(1+Чувствительность!$D$12)*IFERROR(LOOKUP(Предпосылки!$J132,$C$14:$C$16,BM$14:BM$16),1)</f>
        <v>0</v>
      </c>
    </row>
    <row r="55" spans="2:65" ht="15" customHeight="1">
      <c r="B55" s="12" t="str">
        <f t="shared" si="38"/>
        <v>Продукт 12</v>
      </c>
      <c s="124" t="str">
        <f t="shared" si="37"/>
        <v>тыс. руб.</v>
      </c>
      <c s="125"/>
      <c s="125">
        <f>Предпосылки!D161*E$41*(1+Чувствительность!$D$12)*IFERROR(LOOKUP(Предпосылки!$J133,$C$14:$C$16,E$14:E$16),1)</f>
        <v>0</v>
      </c>
      <c s="125">
        <f>Предпосылки!E161*F$41*(1+Чувствительность!$D$12)*IFERROR(LOOKUP(Предпосылки!$J133,$C$14:$C$16,F$14:F$16),1)</f>
        <v>0</v>
      </c>
      <c s="125">
        <f>Предпосылки!F161*G$41*(1+Чувствительность!$D$12)*IFERROR(LOOKUP(Предпосылки!$J133,$C$14:$C$16,G$14:G$16),1)</f>
        <v>0</v>
      </c>
      <c s="125">
        <f>Предпосылки!G161*H$41*(1+Чувствительность!$D$12)*IFERROR(LOOKUP(Предпосылки!$J133,$C$14:$C$16,H$14:H$16),1)</f>
        <v>0</v>
      </c>
      <c s="125">
        <f>Предпосылки!H161*I$41*(1+Чувствительность!$D$12)*IFERROR(LOOKUP(Предпосылки!$J133,$C$14:$C$16,I$14:I$16),1)</f>
        <v>0</v>
      </c>
      <c s="125">
        <f>Предпосылки!I161*J$41*(1+Чувствительность!$D$12)*IFERROR(LOOKUP(Предпосылки!$J133,$C$14:$C$16,J$14:J$16),1)</f>
        <v>0</v>
      </c>
      <c s="125">
        <f>Предпосылки!J161*K$41*(1+Чувствительность!$D$12)*IFERROR(LOOKUP(Предпосылки!$J133,$C$14:$C$16,K$14:K$16),1)</f>
        <v>0</v>
      </c>
      <c s="125">
        <f>Предпосылки!K161*L$41*(1+Чувствительность!$D$12)*IFERROR(LOOKUP(Предпосылки!$J133,$C$14:$C$16,L$14:L$16),1)</f>
        <v>0</v>
      </c>
      <c s="125">
        <f>Предпосылки!L161*M$41*(1+Чувствительность!$D$12)*IFERROR(LOOKUP(Предпосылки!$J133,$C$14:$C$16,M$14:M$16),1)</f>
        <v>0</v>
      </c>
      <c s="125">
        <f>Предпосылки!M161*N$41*(1+Чувствительность!$D$12)*IFERROR(LOOKUP(Предпосылки!$J133,$C$14:$C$16,N$14:N$16),1)</f>
        <v>0</v>
      </c>
      <c s="125">
        <f>Предпосылки!N161*O$41*(1+Чувствительность!$D$12)*IFERROR(LOOKUP(Предпосылки!$J133,$C$14:$C$16,O$14:O$16),1)</f>
        <v>0</v>
      </c>
      <c s="125">
        <f>Предпосылки!O161*P$41*(1+Чувствительность!$D$12)*IFERROR(LOOKUP(Предпосылки!$J133,$C$14:$C$16,P$14:P$16),1)</f>
        <v>0</v>
      </c>
      <c s="125">
        <f>Предпосылки!P161*Q$41*(1+Чувствительность!$D$12)*IFERROR(LOOKUP(Предпосылки!$J133,$C$14:$C$16,Q$14:Q$16),1)</f>
        <v>0</v>
      </c>
      <c s="125">
        <f>Предпосылки!Q161*R$41*(1+Чувствительность!$D$12)*IFERROR(LOOKUP(Предпосылки!$J133,$C$14:$C$16,R$14:R$16),1)</f>
        <v>0</v>
      </c>
      <c s="125">
        <f>Предпосылки!R161*S$41*(1+Чувствительность!$D$12)*IFERROR(LOOKUP(Предпосылки!$J133,$C$14:$C$16,S$14:S$16),1)</f>
        <v>0</v>
      </c>
      <c s="125">
        <f>Предпосылки!S161*T$41*(1+Чувствительность!$D$12)*IFERROR(LOOKUP(Предпосылки!$J133,$C$14:$C$16,T$14:T$16),1)</f>
        <v>0</v>
      </c>
      <c s="125">
        <f>Предпосылки!T161*U$41*(1+Чувствительность!$D$12)*IFERROR(LOOKUP(Предпосылки!$J133,$C$14:$C$16,U$14:U$16),1)</f>
        <v>0</v>
      </c>
      <c s="125">
        <f>Предпосылки!U161*V$41*(1+Чувствительность!$D$12)*IFERROR(LOOKUP(Предпосылки!$J133,$C$14:$C$16,V$14:V$16),1)</f>
        <v>0</v>
      </c>
      <c s="125">
        <f>Предпосылки!V161*W$41*(1+Чувствительность!$D$12)*IFERROR(LOOKUP(Предпосылки!$J133,$C$14:$C$16,W$14:W$16),1)</f>
        <v>0</v>
      </c>
      <c s="125">
        <f>Предпосылки!W161*X$41*(1+Чувствительность!$D$12)*IFERROR(LOOKUP(Предпосылки!$J133,$C$14:$C$16,X$14:X$16),1)</f>
        <v>0</v>
      </c>
      <c s="125">
        <f>Предпосылки!X161*Y$41*(1+Чувствительность!$D$12)*IFERROR(LOOKUP(Предпосылки!$J133,$C$14:$C$16,Y$14:Y$16),1)</f>
        <v>0</v>
      </c>
      <c s="125">
        <f>Предпосылки!Y161*Z$41*(1+Чувствительность!$D$12)*IFERROR(LOOKUP(Предпосылки!$J133,$C$14:$C$16,Z$14:Z$16),1)</f>
        <v>0</v>
      </c>
      <c s="125">
        <f>Предпосылки!Z161*AA$41*(1+Чувствительность!$D$12)*IFERROR(LOOKUP(Предпосылки!$J133,$C$14:$C$16,AA$14:AA$16),1)</f>
        <v>0</v>
      </c>
      <c s="125">
        <f>Предпосылки!AA161*AB$41*(1+Чувствительность!$D$12)*IFERROR(LOOKUP(Предпосылки!$J133,$C$14:$C$16,AB$14:AB$16),1)</f>
        <v>0</v>
      </c>
      <c s="125">
        <f>Предпосылки!AB161*AC$41*(1+Чувствительность!$D$12)*IFERROR(LOOKUP(Предпосылки!$J133,$C$14:$C$16,AC$14:AC$16),1)</f>
        <v>0</v>
      </c>
      <c s="125">
        <f>Предпосылки!AC161*AD$41*(1+Чувствительность!$D$12)*IFERROR(LOOKUP(Предпосылки!$J133,$C$14:$C$16,AD$14:AD$16),1)</f>
        <v>0</v>
      </c>
      <c s="125">
        <f>Предпосылки!AD161*AE$41*(1+Чувствительность!$D$12)*IFERROR(LOOKUP(Предпосылки!$J133,$C$14:$C$16,AE$14:AE$16),1)</f>
        <v>0</v>
      </c>
      <c s="125">
        <f>Предпосылки!AE161*AF$41*(1+Чувствительность!$D$12)*IFERROR(LOOKUP(Предпосылки!$J133,$C$14:$C$16,AF$14:AF$16),1)</f>
        <v>0</v>
      </c>
      <c s="125">
        <f>Предпосылки!AF161*AG$41*(1+Чувствительность!$D$12)*IFERROR(LOOKUP(Предпосылки!$J133,$C$14:$C$16,AG$14:AG$16),1)</f>
        <v>0</v>
      </c>
      <c s="125">
        <f>Предпосылки!AG161*AH$41*(1+Чувствительность!$D$12)*IFERROR(LOOKUP(Предпосылки!$J133,$C$14:$C$16,AH$14:AH$16),1)</f>
        <v>0</v>
      </c>
      <c s="125">
        <f>Предпосылки!AH161*AI$41*(1+Чувствительность!$D$12)*IFERROR(LOOKUP(Предпосылки!$J133,$C$14:$C$16,AI$14:AI$16),1)</f>
        <v>0</v>
      </c>
      <c s="125">
        <f>Предпосылки!AI161*AJ$41*(1+Чувствительность!$D$12)*IFERROR(LOOKUP(Предпосылки!$J133,$C$14:$C$16,AJ$14:AJ$16),1)</f>
        <v>0</v>
      </c>
      <c s="125">
        <f>Предпосылки!AJ161*AK$41*(1+Чувствительность!$D$12)*IFERROR(LOOKUP(Предпосылки!$J133,$C$14:$C$16,AK$14:AK$16),1)</f>
        <v>0</v>
      </c>
      <c s="125">
        <f>Предпосылки!AK161*AL$41*(1+Чувствительность!$D$12)*IFERROR(LOOKUP(Предпосылки!$J133,$C$14:$C$16,AL$14:AL$16),1)</f>
        <v>0</v>
      </c>
      <c s="125">
        <f>Предпосылки!AL161*AM$41*(1+Чувствительность!$D$12)*IFERROR(LOOKUP(Предпосылки!$J133,$C$14:$C$16,AM$14:AM$16),1)</f>
        <v>0</v>
      </c>
      <c s="125">
        <f>Предпосылки!AM161*AN$41*(1+Чувствительность!$D$12)*IFERROR(LOOKUP(Предпосылки!$J133,$C$14:$C$16,AN$14:AN$16),1)</f>
        <v>0</v>
      </c>
      <c s="125">
        <f>Предпосылки!AN161*AO$41*(1+Чувствительность!$D$12)*IFERROR(LOOKUP(Предпосылки!$J133,$C$14:$C$16,AO$14:AO$16),1)</f>
        <v>0</v>
      </c>
      <c s="125">
        <f>Предпосылки!AO161*AP$41*(1+Чувствительность!$D$12)*IFERROR(LOOKUP(Предпосылки!$J133,$C$14:$C$16,AP$14:AP$16),1)</f>
        <v>0</v>
      </c>
      <c s="125">
        <f>Предпосылки!AP161*AQ$41*(1+Чувствительность!$D$12)*IFERROR(LOOKUP(Предпосылки!$J133,$C$14:$C$16,AQ$14:AQ$16),1)</f>
        <v>0</v>
      </c>
      <c s="125">
        <f>Предпосылки!AQ161*AR$41*(1+Чувствительность!$D$12)*IFERROR(LOOKUP(Предпосылки!$J133,$C$14:$C$16,AR$14:AR$16),1)</f>
        <v>0</v>
      </c>
      <c s="125">
        <f>Предпосылки!AR161*AS$41*(1+Чувствительность!$D$12)*IFERROR(LOOKUP(Предпосылки!$J133,$C$14:$C$16,AS$14:AS$16),1)</f>
        <v>0</v>
      </c>
      <c s="125">
        <f>Предпосылки!AS161*AT$41*(1+Чувствительность!$D$12)*IFERROR(LOOKUP(Предпосылки!$J133,$C$14:$C$16,AT$14:AT$16),1)</f>
        <v>0</v>
      </c>
      <c s="125">
        <f>Предпосылки!AT161*AU$41*(1+Чувствительность!$D$12)*IFERROR(LOOKUP(Предпосылки!$J133,$C$14:$C$16,AU$14:AU$16),1)</f>
        <v>0</v>
      </c>
      <c s="125">
        <f>Предпосылки!AU161*AV$41*(1+Чувствительность!$D$12)*IFERROR(LOOKUP(Предпосылки!$J133,$C$14:$C$16,AV$14:AV$16),1)</f>
        <v>0</v>
      </c>
      <c s="125">
        <f>Предпосылки!AV161*AW$41*(1+Чувствительность!$D$12)*IFERROR(LOOKUP(Предпосылки!$J133,$C$14:$C$16,AW$14:AW$16),1)</f>
        <v>0</v>
      </c>
      <c s="125">
        <f>Предпосылки!AW161*AX$41*(1+Чувствительность!$D$12)*IFERROR(LOOKUP(Предпосылки!$J133,$C$14:$C$16,AX$14:AX$16),1)</f>
        <v>0</v>
      </c>
      <c s="125">
        <f>Предпосылки!AX161*AY$41*(1+Чувствительность!$D$12)*IFERROR(LOOKUP(Предпосылки!$J133,$C$14:$C$16,AY$14:AY$16),1)</f>
        <v>0</v>
      </c>
      <c s="125">
        <f>Предпосылки!AY161*AZ$41*(1+Чувствительность!$D$12)*IFERROR(LOOKUP(Предпосылки!$J133,$C$14:$C$16,AZ$14:AZ$16),1)</f>
        <v>0</v>
      </c>
      <c s="125">
        <f>Предпосылки!AZ161*BA$41*(1+Чувствительность!$D$12)*IFERROR(LOOKUP(Предпосылки!$J133,$C$14:$C$16,BA$14:BA$16),1)</f>
        <v>0</v>
      </c>
      <c s="125">
        <f>Предпосылки!BA161*BB$41*(1+Чувствительность!$D$12)*IFERROR(LOOKUP(Предпосылки!$J133,$C$14:$C$16,BB$14:BB$16),1)</f>
        <v>0</v>
      </c>
      <c s="125">
        <f>Предпосылки!BB161*BC$41*(1+Чувствительность!$D$12)*IFERROR(LOOKUP(Предпосылки!$J133,$C$14:$C$16,BC$14:BC$16),1)</f>
        <v>0</v>
      </c>
      <c s="125">
        <f>Предпосылки!BC161*BD$41*(1+Чувствительность!$D$12)*IFERROR(LOOKUP(Предпосылки!$J133,$C$14:$C$16,BD$14:BD$16),1)</f>
        <v>0</v>
      </c>
      <c s="125">
        <f>Предпосылки!BD161*BE$41*(1+Чувствительность!$D$12)*IFERROR(LOOKUP(Предпосылки!$J133,$C$14:$C$16,BE$14:BE$16),1)</f>
        <v>0</v>
      </c>
      <c s="125">
        <f>Предпосылки!BE161*BF$41*(1+Чувствительность!$D$12)*IFERROR(LOOKUP(Предпосылки!$J133,$C$14:$C$16,BF$14:BF$16),1)</f>
        <v>0</v>
      </c>
      <c s="125">
        <f>Предпосылки!BF161*BG$41*(1+Чувствительность!$D$12)*IFERROR(LOOKUP(Предпосылки!$J133,$C$14:$C$16,BG$14:BG$16),1)</f>
        <v>0</v>
      </c>
      <c s="125">
        <f>Предпосылки!BG161*BH$41*(1+Чувствительность!$D$12)*IFERROR(LOOKUP(Предпосылки!$J133,$C$14:$C$16,BH$14:BH$16),1)</f>
        <v>0</v>
      </c>
      <c s="125">
        <f>Предпосылки!BH161*BI$41*(1+Чувствительность!$D$12)*IFERROR(LOOKUP(Предпосылки!$J133,$C$14:$C$16,BI$14:BI$16),1)</f>
        <v>0</v>
      </c>
      <c s="125">
        <f>Предпосылки!BI161*BJ$41*(1+Чувствительность!$D$12)*IFERROR(LOOKUP(Предпосылки!$J133,$C$14:$C$16,BJ$14:BJ$16),1)</f>
        <v>0</v>
      </c>
      <c s="125">
        <f>Предпосылки!BJ161*BK$41*(1+Чувствительность!$D$12)*IFERROR(LOOKUP(Предпосылки!$J133,$C$14:$C$16,BK$14:BK$16),1)</f>
        <v>0</v>
      </c>
      <c s="125">
        <f>Предпосылки!BK161*BL$41*(1+Чувствительность!$D$12)*IFERROR(LOOKUP(Предпосылки!$J133,$C$14:$C$16,BL$14:BL$16),1)</f>
        <v>0</v>
      </c>
      <c s="125">
        <f>Предпосылки!BL161*BM$41*(1+Чувствительность!$D$12)*IFERROR(LOOKUP(Предпосылки!$J133,$C$14:$C$16,BM$14:BM$16),1)</f>
        <v>0</v>
      </c>
    </row>
    <row r="56" spans="2:65" ht="15" customHeight="1">
      <c r="B56" s="12" t="str">
        <f t="shared" si="38"/>
        <v>Продукт 13</v>
      </c>
      <c s="124" t="str">
        <f t="shared" si="37"/>
        <v>тыс. руб.</v>
      </c>
      <c s="125"/>
      <c s="125">
        <f>Предпосылки!D162*E$41*(1+Чувствительность!$D$12)*IFERROR(LOOKUP(Предпосылки!$J134,$C$14:$C$16,E$14:E$16),1)</f>
        <v>0</v>
      </c>
      <c s="125">
        <f>Предпосылки!E162*F$41*(1+Чувствительность!$D$12)*IFERROR(LOOKUP(Предпосылки!$J134,$C$14:$C$16,F$14:F$16),1)</f>
        <v>0</v>
      </c>
      <c s="125">
        <f>Предпосылки!F162*G$41*(1+Чувствительность!$D$12)*IFERROR(LOOKUP(Предпосылки!$J134,$C$14:$C$16,G$14:G$16),1)</f>
        <v>0</v>
      </c>
      <c s="125">
        <f>Предпосылки!G162*H$41*(1+Чувствительность!$D$12)*IFERROR(LOOKUP(Предпосылки!$J134,$C$14:$C$16,H$14:H$16),1)</f>
        <v>0</v>
      </c>
      <c s="125">
        <f>Предпосылки!H162*I$41*(1+Чувствительность!$D$12)*IFERROR(LOOKUP(Предпосылки!$J134,$C$14:$C$16,I$14:I$16),1)</f>
        <v>0</v>
      </c>
      <c s="125">
        <f>Предпосылки!I162*J$41*(1+Чувствительность!$D$12)*IFERROR(LOOKUP(Предпосылки!$J134,$C$14:$C$16,J$14:J$16),1)</f>
        <v>0</v>
      </c>
      <c s="125">
        <f>Предпосылки!J162*K$41*(1+Чувствительность!$D$12)*IFERROR(LOOKUP(Предпосылки!$J134,$C$14:$C$16,K$14:K$16),1)</f>
        <v>0</v>
      </c>
      <c s="125">
        <f>Предпосылки!K162*L$41*(1+Чувствительность!$D$12)*IFERROR(LOOKUP(Предпосылки!$J134,$C$14:$C$16,L$14:L$16),1)</f>
        <v>0</v>
      </c>
      <c s="125">
        <f>Предпосылки!L162*M$41*(1+Чувствительность!$D$12)*IFERROR(LOOKUP(Предпосылки!$J134,$C$14:$C$16,M$14:M$16),1)</f>
        <v>0</v>
      </c>
      <c s="125">
        <f>Предпосылки!M162*N$41*(1+Чувствительность!$D$12)*IFERROR(LOOKUP(Предпосылки!$J134,$C$14:$C$16,N$14:N$16),1)</f>
        <v>0</v>
      </c>
      <c s="125">
        <f>Предпосылки!N162*O$41*(1+Чувствительность!$D$12)*IFERROR(LOOKUP(Предпосылки!$J134,$C$14:$C$16,O$14:O$16),1)</f>
        <v>0</v>
      </c>
      <c s="125">
        <f>Предпосылки!O162*P$41*(1+Чувствительность!$D$12)*IFERROR(LOOKUP(Предпосылки!$J134,$C$14:$C$16,P$14:P$16),1)</f>
        <v>0</v>
      </c>
      <c s="125">
        <f>Предпосылки!P162*Q$41*(1+Чувствительность!$D$12)*IFERROR(LOOKUP(Предпосылки!$J134,$C$14:$C$16,Q$14:Q$16),1)</f>
        <v>0</v>
      </c>
      <c s="125">
        <f>Предпосылки!Q162*R$41*(1+Чувствительность!$D$12)*IFERROR(LOOKUP(Предпосылки!$J134,$C$14:$C$16,R$14:R$16),1)</f>
        <v>0</v>
      </c>
      <c s="125">
        <f>Предпосылки!R162*S$41*(1+Чувствительность!$D$12)*IFERROR(LOOKUP(Предпосылки!$J134,$C$14:$C$16,S$14:S$16),1)</f>
        <v>0</v>
      </c>
      <c s="125">
        <f>Предпосылки!S162*T$41*(1+Чувствительность!$D$12)*IFERROR(LOOKUP(Предпосылки!$J134,$C$14:$C$16,T$14:T$16),1)</f>
        <v>0</v>
      </c>
      <c s="125">
        <f>Предпосылки!T162*U$41*(1+Чувствительность!$D$12)*IFERROR(LOOKUP(Предпосылки!$J134,$C$14:$C$16,U$14:U$16),1)</f>
        <v>0</v>
      </c>
      <c s="125">
        <f>Предпосылки!U162*V$41*(1+Чувствительность!$D$12)*IFERROR(LOOKUP(Предпосылки!$J134,$C$14:$C$16,V$14:V$16),1)</f>
        <v>0</v>
      </c>
      <c s="125">
        <f>Предпосылки!V162*W$41*(1+Чувствительность!$D$12)*IFERROR(LOOKUP(Предпосылки!$J134,$C$14:$C$16,W$14:W$16),1)</f>
        <v>0</v>
      </c>
      <c s="125">
        <f>Предпосылки!W162*X$41*(1+Чувствительность!$D$12)*IFERROR(LOOKUP(Предпосылки!$J134,$C$14:$C$16,X$14:X$16),1)</f>
        <v>0</v>
      </c>
      <c s="125">
        <f>Предпосылки!X162*Y$41*(1+Чувствительность!$D$12)*IFERROR(LOOKUP(Предпосылки!$J134,$C$14:$C$16,Y$14:Y$16),1)</f>
        <v>0</v>
      </c>
      <c s="125">
        <f>Предпосылки!Y162*Z$41*(1+Чувствительность!$D$12)*IFERROR(LOOKUP(Предпосылки!$J134,$C$14:$C$16,Z$14:Z$16),1)</f>
        <v>0</v>
      </c>
      <c s="125">
        <f>Предпосылки!Z162*AA$41*(1+Чувствительность!$D$12)*IFERROR(LOOKUP(Предпосылки!$J134,$C$14:$C$16,AA$14:AA$16),1)</f>
        <v>0</v>
      </c>
      <c s="125">
        <f>Предпосылки!AA162*AB$41*(1+Чувствительность!$D$12)*IFERROR(LOOKUP(Предпосылки!$J134,$C$14:$C$16,AB$14:AB$16),1)</f>
        <v>0</v>
      </c>
      <c s="125">
        <f>Предпосылки!AB162*AC$41*(1+Чувствительность!$D$12)*IFERROR(LOOKUP(Предпосылки!$J134,$C$14:$C$16,AC$14:AC$16),1)</f>
        <v>0</v>
      </c>
      <c s="125">
        <f>Предпосылки!AC162*AD$41*(1+Чувствительность!$D$12)*IFERROR(LOOKUP(Предпосылки!$J134,$C$14:$C$16,AD$14:AD$16),1)</f>
        <v>0</v>
      </c>
      <c s="125">
        <f>Предпосылки!AD162*AE$41*(1+Чувствительность!$D$12)*IFERROR(LOOKUP(Предпосылки!$J134,$C$14:$C$16,AE$14:AE$16),1)</f>
        <v>0</v>
      </c>
      <c s="125">
        <f>Предпосылки!AE162*AF$41*(1+Чувствительность!$D$12)*IFERROR(LOOKUP(Предпосылки!$J134,$C$14:$C$16,AF$14:AF$16),1)</f>
        <v>0</v>
      </c>
      <c s="125">
        <f>Предпосылки!AF162*AG$41*(1+Чувствительность!$D$12)*IFERROR(LOOKUP(Предпосылки!$J134,$C$14:$C$16,AG$14:AG$16),1)</f>
        <v>0</v>
      </c>
      <c s="125">
        <f>Предпосылки!AG162*AH$41*(1+Чувствительность!$D$12)*IFERROR(LOOKUP(Предпосылки!$J134,$C$14:$C$16,AH$14:AH$16),1)</f>
        <v>0</v>
      </c>
      <c s="125">
        <f>Предпосылки!AH162*AI$41*(1+Чувствительность!$D$12)*IFERROR(LOOKUP(Предпосылки!$J134,$C$14:$C$16,AI$14:AI$16),1)</f>
        <v>0</v>
      </c>
      <c s="125">
        <f>Предпосылки!AI162*AJ$41*(1+Чувствительность!$D$12)*IFERROR(LOOKUP(Предпосылки!$J134,$C$14:$C$16,AJ$14:AJ$16),1)</f>
        <v>0</v>
      </c>
      <c s="125">
        <f>Предпосылки!AJ162*AK$41*(1+Чувствительность!$D$12)*IFERROR(LOOKUP(Предпосылки!$J134,$C$14:$C$16,AK$14:AK$16),1)</f>
        <v>0</v>
      </c>
      <c s="125">
        <f>Предпосылки!AK162*AL$41*(1+Чувствительность!$D$12)*IFERROR(LOOKUP(Предпосылки!$J134,$C$14:$C$16,AL$14:AL$16),1)</f>
        <v>0</v>
      </c>
      <c s="125">
        <f>Предпосылки!AL162*AM$41*(1+Чувствительность!$D$12)*IFERROR(LOOKUP(Предпосылки!$J134,$C$14:$C$16,AM$14:AM$16),1)</f>
        <v>0</v>
      </c>
      <c s="125">
        <f>Предпосылки!AM162*AN$41*(1+Чувствительность!$D$12)*IFERROR(LOOKUP(Предпосылки!$J134,$C$14:$C$16,AN$14:AN$16),1)</f>
        <v>0</v>
      </c>
      <c s="125">
        <f>Предпосылки!AN162*AO$41*(1+Чувствительность!$D$12)*IFERROR(LOOKUP(Предпосылки!$J134,$C$14:$C$16,AO$14:AO$16),1)</f>
        <v>0</v>
      </c>
      <c s="125">
        <f>Предпосылки!AO162*AP$41*(1+Чувствительность!$D$12)*IFERROR(LOOKUP(Предпосылки!$J134,$C$14:$C$16,AP$14:AP$16),1)</f>
        <v>0</v>
      </c>
      <c s="125">
        <f>Предпосылки!AP162*AQ$41*(1+Чувствительность!$D$12)*IFERROR(LOOKUP(Предпосылки!$J134,$C$14:$C$16,AQ$14:AQ$16),1)</f>
        <v>0</v>
      </c>
      <c s="125">
        <f>Предпосылки!AQ162*AR$41*(1+Чувствительность!$D$12)*IFERROR(LOOKUP(Предпосылки!$J134,$C$14:$C$16,AR$14:AR$16),1)</f>
        <v>0</v>
      </c>
      <c s="125">
        <f>Предпосылки!AR162*AS$41*(1+Чувствительность!$D$12)*IFERROR(LOOKUP(Предпосылки!$J134,$C$14:$C$16,AS$14:AS$16),1)</f>
        <v>0</v>
      </c>
      <c s="125">
        <f>Предпосылки!AS162*AT$41*(1+Чувствительность!$D$12)*IFERROR(LOOKUP(Предпосылки!$J134,$C$14:$C$16,AT$14:AT$16),1)</f>
        <v>0</v>
      </c>
      <c s="125">
        <f>Предпосылки!AT162*AU$41*(1+Чувствительность!$D$12)*IFERROR(LOOKUP(Предпосылки!$J134,$C$14:$C$16,AU$14:AU$16),1)</f>
        <v>0</v>
      </c>
      <c s="125">
        <f>Предпосылки!AU162*AV$41*(1+Чувствительность!$D$12)*IFERROR(LOOKUP(Предпосылки!$J134,$C$14:$C$16,AV$14:AV$16),1)</f>
        <v>0</v>
      </c>
      <c s="125">
        <f>Предпосылки!AV162*AW$41*(1+Чувствительность!$D$12)*IFERROR(LOOKUP(Предпосылки!$J134,$C$14:$C$16,AW$14:AW$16),1)</f>
        <v>0</v>
      </c>
      <c s="125">
        <f>Предпосылки!AW162*AX$41*(1+Чувствительность!$D$12)*IFERROR(LOOKUP(Предпосылки!$J134,$C$14:$C$16,AX$14:AX$16),1)</f>
        <v>0</v>
      </c>
      <c s="125">
        <f>Предпосылки!AX162*AY$41*(1+Чувствительность!$D$12)*IFERROR(LOOKUP(Предпосылки!$J134,$C$14:$C$16,AY$14:AY$16),1)</f>
        <v>0</v>
      </c>
      <c s="125">
        <f>Предпосылки!AY162*AZ$41*(1+Чувствительность!$D$12)*IFERROR(LOOKUP(Предпосылки!$J134,$C$14:$C$16,AZ$14:AZ$16),1)</f>
        <v>0</v>
      </c>
      <c s="125">
        <f>Предпосылки!AZ162*BA$41*(1+Чувствительность!$D$12)*IFERROR(LOOKUP(Предпосылки!$J134,$C$14:$C$16,BA$14:BA$16),1)</f>
        <v>0</v>
      </c>
      <c s="125">
        <f>Предпосылки!BA162*BB$41*(1+Чувствительность!$D$12)*IFERROR(LOOKUP(Предпосылки!$J134,$C$14:$C$16,BB$14:BB$16),1)</f>
        <v>0</v>
      </c>
      <c s="125">
        <f>Предпосылки!BB162*BC$41*(1+Чувствительность!$D$12)*IFERROR(LOOKUP(Предпосылки!$J134,$C$14:$C$16,BC$14:BC$16),1)</f>
        <v>0</v>
      </c>
      <c s="125">
        <f>Предпосылки!BC162*BD$41*(1+Чувствительность!$D$12)*IFERROR(LOOKUP(Предпосылки!$J134,$C$14:$C$16,BD$14:BD$16),1)</f>
        <v>0</v>
      </c>
      <c s="125">
        <f>Предпосылки!BD162*BE$41*(1+Чувствительность!$D$12)*IFERROR(LOOKUP(Предпосылки!$J134,$C$14:$C$16,BE$14:BE$16),1)</f>
        <v>0</v>
      </c>
      <c s="125">
        <f>Предпосылки!BE162*BF$41*(1+Чувствительность!$D$12)*IFERROR(LOOKUP(Предпосылки!$J134,$C$14:$C$16,BF$14:BF$16),1)</f>
        <v>0</v>
      </c>
      <c s="125">
        <f>Предпосылки!BF162*BG$41*(1+Чувствительность!$D$12)*IFERROR(LOOKUP(Предпосылки!$J134,$C$14:$C$16,BG$14:BG$16),1)</f>
        <v>0</v>
      </c>
      <c s="125">
        <f>Предпосылки!BG162*BH$41*(1+Чувствительность!$D$12)*IFERROR(LOOKUP(Предпосылки!$J134,$C$14:$C$16,BH$14:BH$16),1)</f>
        <v>0</v>
      </c>
      <c s="125">
        <f>Предпосылки!BH162*BI$41*(1+Чувствительность!$D$12)*IFERROR(LOOKUP(Предпосылки!$J134,$C$14:$C$16,BI$14:BI$16),1)</f>
        <v>0</v>
      </c>
      <c s="125">
        <f>Предпосылки!BI162*BJ$41*(1+Чувствительность!$D$12)*IFERROR(LOOKUP(Предпосылки!$J134,$C$14:$C$16,BJ$14:BJ$16),1)</f>
        <v>0</v>
      </c>
      <c s="125">
        <f>Предпосылки!BJ162*BK$41*(1+Чувствительность!$D$12)*IFERROR(LOOKUP(Предпосылки!$J134,$C$14:$C$16,BK$14:BK$16),1)</f>
        <v>0</v>
      </c>
      <c s="125">
        <f>Предпосылки!BK162*BL$41*(1+Чувствительность!$D$12)*IFERROR(LOOKUP(Предпосылки!$J134,$C$14:$C$16,BL$14:BL$16),1)</f>
        <v>0</v>
      </c>
      <c s="125">
        <f>Предпосылки!BL162*BM$41*(1+Чувствительность!$D$12)*IFERROR(LOOKUP(Предпосылки!$J134,$C$14:$C$16,BM$14:BM$16),1)</f>
        <v>0</v>
      </c>
    </row>
    <row r="57" spans="2:65" ht="15" customHeight="1">
      <c r="B57" s="12" t="str">
        <f t="shared" si="38"/>
        <v>Продукт 14</v>
      </c>
      <c s="124" t="str">
        <f t="shared" si="37"/>
        <v>тыс. руб.</v>
      </c>
      <c s="125"/>
      <c s="125">
        <f>Предпосылки!D163*E$41*(1+Чувствительность!$D$12)*IFERROR(LOOKUP(Предпосылки!$J135,$C$14:$C$16,E$14:E$16),1)</f>
        <v>0</v>
      </c>
      <c s="125">
        <f>Предпосылки!E163*F$41*(1+Чувствительность!$D$12)*IFERROR(LOOKUP(Предпосылки!$J135,$C$14:$C$16,F$14:F$16),1)</f>
        <v>0</v>
      </c>
      <c s="125">
        <f>Предпосылки!F163*G$41*(1+Чувствительность!$D$12)*IFERROR(LOOKUP(Предпосылки!$J135,$C$14:$C$16,G$14:G$16),1)</f>
        <v>0</v>
      </c>
      <c s="125">
        <f>Предпосылки!G163*H$41*(1+Чувствительность!$D$12)*IFERROR(LOOKUP(Предпосылки!$J135,$C$14:$C$16,H$14:H$16),1)</f>
        <v>0</v>
      </c>
      <c s="125">
        <f>Предпосылки!H163*I$41*(1+Чувствительность!$D$12)*IFERROR(LOOKUP(Предпосылки!$J135,$C$14:$C$16,I$14:I$16),1)</f>
        <v>0</v>
      </c>
      <c s="125">
        <f>Предпосылки!I163*J$41*(1+Чувствительность!$D$12)*IFERROR(LOOKUP(Предпосылки!$J135,$C$14:$C$16,J$14:J$16),1)</f>
        <v>0</v>
      </c>
      <c s="125">
        <f>Предпосылки!J163*K$41*(1+Чувствительность!$D$12)*IFERROR(LOOKUP(Предпосылки!$J135,$C$14:$C$16,K$14:K$16),1)</f>
        <v>0</v>
      </c>
      <c s="125">
        <f>Предпосылки!K163*L$41*(1+Чувствительность!$D$12)*IFERROR(LOOKUP(Предпосылки!$J135,$C$14:$C$16,L$14:L$16),1)</f>
        <v>0</v>
      </c>
      <c s="125">
        <f>Предпосылки!L163*M$41*(1+Чувствительность!$D$12)*IFERROR(LOOKUP(Предпосылки!$J135,$C$14:$C$16,M$14:M$16),1)</f>
        <v>0</v>
      </c>
      <c s="125">
        <f>Предпосылки!M163*N$41*(1+Чувствительность!$D$12)*IFERROR(LOOKUP(Предпосылки!$J135,$C$14:$C$16,N$14:N$16),1)</f>
        <v>0</v>
      </c>
      <c s="125">
        <f>Предпосылки!N163*O$41*(1+Чувствительность!$D$12)*IFERROR(LOOKUP(Предпосылки!$J135,$C$14:$C$16,O$14:O$16),1)</f>
        <v>0</v>
      </c>
      <c s="125">
        <f>Предпосылки!O163*P$41*(1+Чувствительность!$D$12)*IFERROR(LOOKUP(Предпосылки!$J135,$C$14:$C$16,P$14:P$16),1)</f>
        <v>0</v>
      </c>
      <c s="125">
        <f>Предпосылки!P163*Q$41*(1+Чувствительность!$D$12)*IFERROR(LOOKUP(Предпосылки!$J135,$C$14:$C$16,Q$14:Q$16),1)</f>
        <v>0</v>
      </c>
      <c s="125">
        <f>Предпосылки!Q163*R$41*(1+Чувствительность!$D$12)*IFERROR(LOOKUP(Предпосылки!$J135,$C$14:$C$16,R$14:R$16),1)</f>
        <v>0</v>
      </c>
      <c s="125">
        <f>Предпосылки!R163*S$41*(1+Чувствительность!$D$12)*IFERROR(LOOKUP(Предпосылки!$J135,$C$14:$C$16,S$14:S$16),1)</f>
        <v>0</v>
      </c>
      <c s="125">
        <f>Предпосылки!S163*T$41*(1+Чувствительность!$D$12)*IFERROR(LOOKUP(Предпосылки!$J135,$C$14:$C$16,T$14:T$16),1)</f>
        <v>0</v>
      </c>
      <c s="125">
        <f>Предпосылки!T163*U$41*(1+Чувствительность!$D$12)*IFERROR(LOOKUP(Предпосылки!$J135,$C$14:$C$16,U$14:U$16),1)</f>
        <v>0</v>
      </c>
      <c s="125">
        <f>Предпосылки!U163*V$41*(1+Чувствительность!$D$12)*IFERROR(LOOKUP(Предпосылки!$J135,$C$14:$C$16,V$14:V$16),1)</f>
        <v>0</v>
      </c>
      <c s="125">
        <f>Предпосылки!V163*W$41*(1+Чувствительность!$D$12)*IFERROR(LOOKUP(Предпосылки!$J135,$C$14:$C$16,W$14:W$16),1)</f>
        <v>0</v>
      </c>
      <c s="125">
        <f>Предпосылки!W163*X$41*(1+Чувствительность!$D$12)*IFERROR(LOOKUP(Предпосылки!$J135,$C$14:$C$16,X$14:X$16),1)</f>
        <v>0</v>
      </c>
      <c s="125">
        <f>Предпосылки!X163*Y$41*(1+Чувствительность!$D$12)*IFERROR(LOOKUP(Предпосылки!$J135,$C$14:$C$16,Y$14:Y$16),1)</f>
        <v>0</v>
      </c>
      <c s="125">
        <f>Предпосылки!Y163*Z$41*(1+Чувствительность!$D$12)*IFERROR(LOOKUP(Предпосылки!$J135,$C$14:$C$16,Z$14:Z$16),1)</f>
        <v>0</v>
      </c>
      <c s="125">
        <f>Предпосылки!Z163*AA$41*(1+Чувствительность!$D$12)*IFERROR(LOOKUP(Предпосылки!$J135,$C$14:$C$16,AA$14:AA$16),1)</f>
        <v>0</v>
      </c>
      <c s="125">
        <f>Предпосылки!AA163*AB$41*(1+Чувствительность!$D$12)*IFERROR(LOOKUP(Предпосылки!$J135,$C$14:$C$16,AB$14:AB$16),1)</f>
        <v>0</v>
      </c>
      <c s="125">
        <f>Предпосылки!AB163*AC$41*(1+Чувствительность!$D$12)*IFERROR(LOOKUP(Предпосылки!$J135,$C$14:$C$16,AC$14:AC$16),1)</f>
        <v>0</v>
      </c>
      <c s="125">
        <f>Предпосылки!AC163*AD$41*(1+Чувствительность!$D$12)*IFERROR(LOOKUP(Предпосылки!$J135,$C$14:$C$16,AD$14:AD$16),1)</f>
        <v>0</v>
      </c>
      <c s="125">
        <f>Предпосылки!AD163*AE$41*(1+Чувствительность!$D$12)*IFERROR(LOOKUP(Предпосылки!$J135,$C$14:$C$16,AE$14:AE$16),1)</f>
        <v>0</v>
      </c>
      <c s="125">
        <f>Предпосылки!AE163*AF$41*(1+Чувствительность!$D$12)*IFERROR(LOOKUP(Предпосылки!$J135,$C$14:$C$16,AF$14:AF$16),1)</f>
        <v>0</v>
      </c>
      <c s="125">
        <f>Предпосылки!AF163*AG$41*(1+Чувствительность!$D$12)*IFERROR(LOOKUP(Предпосылки!$J135,$C$14:$C$16,AG$14:AG$16),1)</f>
        <v>0</v>
      </c>
      <c s="125">
        <f>Предпосылки!AG163*AH$41*(1+Чувствительность!$D$12)*IFERROR(LOOKUP(Предпосылки!$J135,$C$14:$C$16,AH$14:AH$16),1)</f>
        <v>0</v>
      </c>
      <c s="125">
        <f>Предпосылки!AH163*AI$41*(1+Чувствительность!$D$12)*IFERROR(LOOKUP(Предпосылки!$J135,$C$14:$C$16,AI$14:AI$16),1)</f>
        <v>0</v>
      </c>
      <c s="125">
        <f>Предпосылки!AI163*AJ$41*(1+Чувствительность!$D$12)*IFERROR(LOOKUP(Предпосылки!$J135,$C$14:$C$16,AJ$14:AJ$16),1)</f>
        <v>0</v>
      </c>
      <c s="125">
        <f>Предпосылки!AJ163*AK$41*(1+Чувствительность!$D$12)*IFERROR(LOOKUP(Предпосылки!$J135,$C$14:$C$16,AK$14:AK$16),1)</f>
        <v>0</v>
      </c>
      <c s="125">
        <f>Предпосылки!AK163*AL$41*(1+Чувствительность!$D$12)*IFERROR(LOOKUP(Предпосылки!$J135,$C$14:$C$16,AL$14:AL$16),1)</f>
        <v>0</v>
      </c>
      <c s="125">
        <f>Предпосылки!AL163*AM$41*(1+Чувствительность!$D$12)*IFERROR(LOOKUP(Предпосылки!$J135,$C$14:$C$16,AM$14:AM$16),1)</f>
        <v>0</v>
      </c>
      <c s="125">
        <f>Предпосылки!AM163*AN$41*(1+Чувствительность!$D$12)*IFERROR(LOOKUP(Предпосылки!$J135,$C$14:$C$16,AN$14:AN$16),1)</f>
        <v>0</v>
      </c>
      <c s="125">
        <f>Предпосылки!AN163*AO$41*(1+Чувствительность!$D$12)*IFERROR(LOOKUP(Предпосылки!$J135,$C$14:$C$16,AO$14:AO$16),1)</f>
        <v>0</v>
      </c>
      <c s="125">
        <f>Предпосылки!AO163*AP$41*(1+Чувствительность!$D$12)*IFERROR(LOOKUP(Предпосылки!$J135,$C$14:$C$16,AP$14:AP$16),1)</f>
        <v>0</v>
      </c>
      <c s="125">
        <f>Предпосылки!AP163*AQ$41*(1+Чувствительность!$D$12)*IFERROR(LOOKUP(Предпосылки!$J135,$C$14:$C$16,AQ$14:AQ$16),1)</f>
        <v>0</v>
      </c>
      <c s="125">
        <f>Предпосылки!AQ163*AR$41*(1+Чувствительность!$D$12)*IFERROR(LOOKUP(Предпосылки!$J135,$C$14:$C$16,AR$14:AR$16),1)</f>
        <v>0</v>
      </c>
      <c s="125">
        <f>Предпосылки!AR163*AS$41*(1+Чувствительность!$D$12)*IFERROR(LOOKUP(Предпосылки!$J135,$C$14:$C$16,AS$14:AS$16),1)</f>
        <v>0</v>
      </c>
      <c s="125">
        <f>Предпосылки!AS163*AT$41*(1+Чувствительность!$D$12)*IFERROR(LOOKUP(Предпосылки!$J135,$C$14:$C$16,AT$14:AT$16),1)</f>
        <v>0</v>
      </c>
      <c s="125">
        <f>Предпосылки!AT163*AU$41*(1+Чувствительность!$D$12)*IFERROR(LOOKUP(Предпосылки!$J135,$C$14:$C$16,AU$14:AU$16),1)</f>
        <v>0</v>
      </c>
      <c s="125">
        <f>Предпосылки!AU163*AV$41*(1+Чувствительность!$D$12)*IFERROR(LOOKUP(Предпосылки!$J135,$C$14:$C$16,AV$14:AV$16),1)</f>
        <v>0</v>
      </c>
      <c s="125">
        <f>Предпосылки!AV163*AW$41*(1+Чувствительность!$D$12)*IFERROR(LOOKUP(Предпосылки!$J135,$C$14:$C$16,AW$14:AW$16),1)</f>
        <v>0</v>
      </c>
      <c s="125">
        <f>Предпосылки!AW163*AX$41*(1+Чувствительность!$D$12)*IFERROR(LOOKUP(Предпосылки!$J135,$C$14:$C$16,AX$14:AX$16),1)</f>
        <v>0</v>
      </c>
      <c s="125">
        <f>Предпосылки!AX163*AY$41*(1+Чувствительность!$D$12)*IFERROR(LOOKUP(Предпосылки!$J135,$C$14:$C$16,AY$14:AY$16),1)</f>
        <v>0</v>
      </c>
      <c s="125">
        <f>Предпосылки!AY163*AZ$41*(1+Чувствительность!$D$12)*IFERROR(LOOKUP(Предпосылки!$J135,$C$14:$C$16,AZ$14:AZ$16),1)</f>
        <v>0</v>
      </c>
      <c s="125">
        <f>Предпосылки!AZ163*BA$41*(1+Чувствительность!$D$12)*IFERROR(LOOKUP(Предпосылки!$J135,$C$14:$C$16,BA$14:BA$16),1)</f>
        <v>0</v>
      </c>
      <c s="125">
        <f>Предпосылки!BA163*BB$41*(1+Чувствительность!$D$12)*IFERROR(LOOKUP(Предпосылки!$J135,$C$14:$C$16,BB$14:BB$16),1)</f>
        <v>0</v>
      </c>
      <c s="125">
        <f>Предпосылки!BB163*BC$41*(1+Чувствительность!$D$12)*IFERROR(LOOKUP(Предпосылки!$J135,$C$14:$C$16,BC$14:BC$16),1)</f>
        <v>0</v>
      </c>
      <c s="125">
        <f>Предпосылки!BC163*BD$41*(1+Чувствительность!$D$12)*IFERROR(LOOKUP(Предпосылки!$J135,$C$14:$C$16,BD$14:BD$16),1)</f>
        <v>0</v>
      </c>
      <c s="125">
        <f>Предпосылки!BD163*BE$41*(1+Чувствительность!$D$12)*IFERROR(LOOKUP(Предпосылки!$J135,$C$14:$C$16,BE$14:BE$16),1)</f>
        <v>0</v>
      </c>
      <c s="125">
        <f>Предпосылки!BE163*BF$41*(1+Чувствительность!$D$12)*IFERROR(LOOKUP(Предпосылки!$J135,$C$14:$C$16,BF$14:BF$16),1)</f>
        <v>0</v>
      </c>
      <c s="125">
        <f>Предпосылки!BF163*BG$41*(1+Чувствительность!$D$12)*IFERROR(LOOKUP(Предпосылки!$J135,$C$14:$C$16,BG$14:BG$16),1)</f>
        <v>0</v>
      </c>
      <c s="125">
        <f>Предпосылки!BG163*BH$41*(1+Чувствительность!$D$12)*IFERROR(LOOKUP(Предпосылки!$J135,$C$14:$C$16,BH$14:BH$16),1)</f>
        <v>0</v>
      </c>
      <c s="125">
        <f>Предпосылки!BH163*BI$41*(1+Чувствительность!$D$12)*IFERROR(LOOKUP(Предпосылки!$J135,$C$14:$C$16,BI$14:BI$16),1)</f>
        <v>0</v>
      </c>
      <c s="125">
        <f>Предпосылки!BI163*BJ$41*(1+Чувствительность!$D$12)*IFERROR(LOOKUP(Предпосылки!$J135,$C$14:$C$16,BJ$14:BJ$16),1)</f>
        <v>0</v>
      </c>
      <c s="125">
        <f>Предпосылки!BJ163*BK$41*(1+Чувствительность!$D$12)*IFERROR(LOOKUP(Предпосылки!$J135,$C$14:$C$16,BK$14:BK$16),1)</f>
        <v>0</v>
      </c>
      <c s="125">
        <f>Предпосылки!BK163*BL$41*(1+Чувствительность!$D$12)*IFERROR(LOOKUP(Предпосылки!$J135,$C$14:$C$16,BL$14:BL$16),1)</f>
        <v>0</v>
      </c>
      <c s="125">
        <f>Предпосылки!BL163*BM$41*(1+Чувствительность!$D$12)*IFERROR(LOOKUP(Предпосылки!$J135,$C$14:$C$16,BM$14:BM$16),1)</f>
        <v>0</v>
      </c>
    </row>
    <row r="58" spans="2:65" ht="15" customHeight="1">
      <c r="B58" s="12" t="str">
        <f t="shared" si="38"/>
        <v>Продукт 15</v>
      </c>
      <c s="124" t="str">
        <f t="shared" si="37"/>
        <v>тыс. руб.</v>
      </c>
      <c s="125"/>
      <c s="125">
        <f>Предпосылки!D164*E$41*(1+Чувствительность!$D$12)*IFERROR(LOOKUP(Предпосылки!$J136,$C$14:$C$16,E$14:E$16),1)</f>
        <v>0</v>
      </c>
      <c s="125">
        <f>Предпосылки!E164*F$41*(1+Чувствительность!$D$12)*IFERROR(LOOKUP(Предпосылки!$J136,$C$14:$C$16,F$14:F$16),1)</f>
        <v>0</v>
      </c>
      <c s="125">
        <f>Предпосылки!F164*G$41*(1+Чувствительность!$D$12)*IFERROR(LOOKUP(Предпосылки!$J136,$C$14:$C$16,G$14:G$16),1)</f>
        <v>0</v>
      </c>
      <c s="125">
        <f>Предпосылки!G164*H$41*(1+Чувствительность!$D$12)*IFERROR(LOOKUP(Предпосылки!$J136,$C$14:$C$16,H$14:H$16),1)</f>
        <v>0</v>
      </c>
      <c s="125">
        <f>Предпосылки!H164*I$41*(1+Чувствительность!$D$12)*IFERROR(LOOKUP(Предпосылки!$J136,$C$14:$C$16,I$14:I$16),1)</f>
        <v>0</v>
      </c>
      <c s="125">
        <f>Предпосылки!I164*J$41*(1+Чувствительность!$D$12)*IFERROR(LOOKUP(Предпосылки!$J136,$C$14:$C$16,J$14:J$16),1)</f>
        <v>0</v>
      </c>
      <c s="125">
        <f>Предпосылки!J164*K$41*(1+Чувствительность!$D$12)*IFERROR(LOOKUP(Предпосылки!$J136,$C$14:$C$16,K$14:K$16),1)</f>
        <v>0</v>
      </c>
      <c s="125">
        <f>Предпосылки!K164*L$41*(1+Чувствительность!$D$12)*IFERROR(LOOKUP(Предпосылки!$J136,$C$14:$C$16,L$14:L$16),1)</f>
        <v>0</v>
      </c>
      <c s="125">
        <f>Предпосылки!L164*M$41*(1+Чувствительность!$D$12)*IFERROR(LOOKUP(Предпосылки!$J136,$C$14:$C$16,M$14:M$16),1)</f>
        <v>0</v>
      </c>
      <c s="125">
        <f>Предпосылки!M164*N$41*(1+Чувствительность!$D$12)*IFERROR(LOOKUP(Предпосылки!$J136,$C$14:$C$16,N$14:N$16),1)</f>
        <v>0</v>
      </c>
      <c s="125">
        <f>Предпосылки!N164*O$41*(1+Чувствительность!$D$12)*IFERROR(LOOKUP(Предпосылки!$J136,$C$14:$C$16,O$14:O$16),1)</f>
        <v>0</v>
      </c>
      <c s="125">
        <f>Предпосылки!O164*P$41*(1+Чувствительность!$D$12)*IFERROR(LOOKUP(Предпосылки!$J136,$C$14:$C$16,P$14:P$16),1)</f>
        <v>0</v>
      </c>
      <c s="125">
        <f>Предпосылки!P164*Q$41*(1+Чувствительность!$D$12)*IFERROR(LOOKUP(Предпосылки!$J136,$C$14:$C$16,Q$14:Q$16),1)</f>
        <v>0</v>
      </c>
      <c s="125">
        <f>Предпосылки!Q164*R$41*(1+Чувствительность!$D$12)*IFERROR(LOOKUP(Предпосылки!$J136,$C$14:$C$16,R$14:R$16),1)</f>
        <v>0</v>
      </c>
      <c s="125">
        <f>Предпосылки!R164*S$41*(1+Чувствительность!$D$12)*IFERROR(LOOKUP(Предпосылки!$J136,$C$14:$C$16,S$14:S$16),1)</f>
        <v>0</v>
      </c>
      <c s="125">
        <f>Предпосылки!S164*T$41*(1+Чувствительность!$D$12)*IFERROR(LOOKUP(Предпосылки!$J136,$C$14:$C$16,T$14:T$16),1)</f>
        <v>0</v>
      </c>
      <c s="125">
        <f>Предпосылки!T164*U$41*(1+Чувствительность!$D$12)*IFERROR(LOOKUP(Предпосылки!$J136,$C$14:$C$16,U$14:U$16),1)</f>
        <v>0</v>
      </c>
      <c s="125">
        <f>Предпосылки!U164*V$41*(1+Чувствительность!$D$12)*IFERROR(LOOKUP(Предпосылки!$J136,$C$14:$C$16,V$14:V$16),1)</f>
        <v>0</v>
      </c>
      <c s="125">
        <f>Предпосылки!V164*W$41*(1+Чувствительность!$D$12)*IFERROR(LOOKUP(Предпосылки!$J136,$C$14:$C$16,W$14:W$16),1)</f>
        <v>0</v>
      </c>
      <c s="125">
        <f>Предпосылки!W164*X$41*(1+Чувствительность!$D$12)*IFERROR(LOOKUP(Предпосылки!$J136,$C$14:$C$16,X$14:X$16),1)</f>
        <v>0</v>
      </c>
      <c s="125">
        <f>Предпосылки!X164*Y$41*(1+Чувствительность!$D$12)*IFERROR(LOOKUP(Предпосылки!$J136,$C$14:$C$16,Y$14:Y$16),1)</f>
        <v>0</v>
      </c>
      <c s="125">
        <f>Предпосылки!Y164*Z$41*(1+Чувствительность!$D$12)*IFERROR(LOOKUP(Предпосылки!$J136,$C$14:$C$16,Z$14:Z$16),1)</f>
        <v>0</v>
      </c>
      <c s="125">
        <f>Предпосылки!Z164*AA$41*(1+Чувствительность!$D$12)*IFERROR(LOOKUP(Предпосылки!$J136,$C$14:$C$16,AA$14:AA$16),1)</f>
        <v>0</v>
      </c>
      <c s="125">
        <f>Предпосылки!AA164*AB$41*(1+Чувствительность!$D$12)*IFERROR(LOOKUP(Предпосылки!$J136,$C$14:$C$16,AB$14:AB$16),1)</f>
        <v>0</v>
      </c>
      <c s="125">
        <f>Предпосылки!AB164*AC$41*(1+Чувствительность!$D$12)*IFERROR(LOOKUP(Предпосылки!$J136,$C$14:$C$16,AC$14:AC$16),1)</f>
        <v>0</v>
      </c>
      <c s="125">
        <f>Предпосылки!AC164*AD$41*(1+Чувствительность!$D$12)*IFERROR(LOOKUP(Предпосылки!$J136,$C$14:$C$16,AD$14:AD$16),1)</f>
        <v>0</v>
      </c>
      <c s="125">
        <f>Предпосылки!AD164*AE$41*(1+Чувствительность!$D$12)*IFERROR(LOOKUP(Предпосылки!$J136,$C$14:$C$16,AE$14:AE$16),1)</f>
        <v>0</v>
      </c>
      <c s="125">
        <f>Предпосылки!AE164*AF$41*(1+Чувствительность!$D$12)*IFERROR(LOOKUP(Предпосылки!$J136,$C$14:$C$16,AF$14:AF$16),1)</f>
        <v>0</v>
      </c>
      <c s="125">
        <f>Предпосылки!AF164*AG$41*(1+Чувствительность!$D$12)*IFERROR(LOOKUP(Предпосылки!$J136,$C$14:$C$16,AG$14:AG$16),1)</f>
        <v>0</v>
      </c>
      <c s="125">
        <f>Предпосылки!AG164*AH$41*(1+Чувствительность!$D$12)*IFERROR(LOOKUP(Предпосылки!$J136,$C$14:$C$16,AH$14:AH$16),1)</f>
        <v>0</v>
      </c>
      <c s="125">
        <f>Предпосылки!AH164*AI$41*(1+Чувствительность!$D$12)*IFERROR(LOOKUP(Предпосылки!$J136,$C$14:$C$16,AI$14:AI$16),1)</f>
        <v>0</v>
      </c>
      <c s="125">
        <f>Предпосылки!AI164*AJ$41*(1+Чувствительность!$D$12)*IFERROR(LOOKUP(Предпосылки!$J136,$C$14:$C$16,AJ$14:AJ$16),1)</f>
        <v>0</v>
      </c>
      <c s="125">
        <f>Предпосылки!AJ164*AK$41*(1+Чувствительность!$D$12)*IFERROR(LOOKUP(Предпосылки!$J136,$C$14:$C$16,AK$14:AK$16),1)</f>
        <v>0</v>
      </c>
      <c s="125">
        <f>Предпосылки!AK164*AL$41*(1+Чувствительность!$D$12)*IFERROR(LOOKUP(Предпосылки!$J136,$C$14:$C$16,AL$14:AL$16),1)</f>
        <v>0</v>
      </c>
      <c s="125">
        <f>Предпосылки!AL164*AM$41*(1+Чувствительность!$D$12)*IFERROR(LOOKUP(Предпосылки!$J136,$C$14:$C$16,AM$14:AM$16),1)</f>
        <v>0</v>
      </c>
      <c s="125">
        <f>Предпосылки!AM164*AN$41*(1+Чувствительность!$D$12)*IFERROR(LOOKUP(Предпосылки!$J136,$C$14:$C$16,AN$14:AN$16),1)</f>
        <v>0</v>
      </c>
      <c s="125">
        <f>Предпосылки!AN164*AO$41*(1+Чувствительность!$D$12)*IFERROR(LOOKUP(Предпосылки!$J136,$C$14:$C$16,AO$14:AO$16),1)</f>
        <v>0</v>
      </c>
      <c s="125">
        <f>Предпосылки!AO164*AP$41*(1+Чувствительность!$D$12)*IFERROR(LOOKUP(Предпосылки!$J136,$C$14:$C$16,AP$14:AP$16),1)</f>
        <v>0</v>
      </c>
      <c s="125">
        <f>Предпосылки!AP164*AQ$41*(1+Чувствительность!$D$12)*IFERROR(LOOKUP(Предпосылки!$J136,$C$14:$C$16,AQ$14:AQ$16),1)</f>
        <v>0</v>
      </c>
      <c s="125">
        <f>Предпосылки!AQ164*AR$41*(1+Чувствительность!$D$12)*IFERROR(LOOKUP(Предпосылки!$J136,$C$14:$C$16,AR$14:AR$16),1)</f>
        <v>0</v>
      </c>
      <c s="125">
        <f>Предпосылки!AR164*AS$41*(1+Чувствительность!$D$12)*IFERROR(LOOKUP(Предпосылки!$J136,$C$14:$C$16,AS$14:AS$16),1)</f>
        <v>0</v>
      </c>
      <c s="125">
        <f>Предпосылки!AS164*AT$41*(1+Чувствительность!$D$12)*IFERROR(LOOKUP(Предпосылки!$J136,$C$14:$C$16,AT$14:AT$16),1)</f>
        <v>0</v>
      </c>
      <c s="125">
        <f>Предпосылки!AT164*AU$41*(1+Чувствительность!$D$12)*IFERROR(LOOKUP(Предпосылки!$J136,$C$14:$C$16,AU$14:AU$16),1)</f>
        <v>0</v>
      </c>
      <c s="125">
        <f>Предпосылки!AU164*AV$41*(1+Чувствительность!$D$12)*IFERROR(LOOKUP(Предпосылки!$J136,$C$14:$C$16,AV$14:AV$16),1)</f>
        <v>0</v>
      </c>
      <c s="125">
        <f>Предпосылки!AV164*AW$41*(1+Чувствительность!$D$12)*IFERROR(LOOKUP(Предпосылки!$J136,$C$14:$C$16,AW$14:AW$16),1)</f>
        <v>0</v>
      </c>
      <c s="125">
        <f>Предпосылки!AW164*AX$41*(1+Чувствительность!$D$12)*IFERROR(LOOKUP(Предпосылки!$J136,$C$14:$C$16,AX$14:AX$16),1)</f>
        <v>0</v>
      </c>
      <c s="125">
        <f>Предпосылки!AX164*AY$41*(1+Чувствительность!$D$12)*IFERROR(LOOKUP(Предпосылки!$J136,$C$14:$C$16,AY$14:AY$16),1)</f>
        <v>0</v>
      </c>
      <c s="125">
        <f>Предпосылки!AY164*AZ$41*(1+Чувствительность!$D$12)*IFERROR(LOOKUP(Предпосылки!$J136,$C$14:$C$16,AZ$14:AZ$16),1)</f>
        <v>0</v>
      </c>
      <c s="125">
        <f>Предпосылки!AZ164*BA$41*(1+Чувствительность!$D$12)*IFERROR(LOOKUP(Предпосылки!$J136,$C$14:$C$16,BA$14:BA$16),1)</f>
        <v>0</v>
      </c>
      <c s="125">
        <f>Предпосылки!BA164*BB$41*(1+Чувствительность!$D$12)*IFERROR(LOOKUP(Предпосылки!$J136,$C$14:$C$16,BB$14:BB$16),1)</f>
        <v>0</v>
      </c>
      <c s="125">
        <f>Предпосылки!BB164*BC$41*(1+Чувствительность!$D$12)*IFERROR(LOOKUP(Предпосылки!$J136,$C$14:$C$16,BC$14:BC$16),1)</f>
        <v>0</v>
      </c>
      <c s="125">
        <f>Предпосылки!BC164*BD$41*(1+Чувствительность!$D$12)*IFERROR(LOOKUP(Предпосылки!$J136,$C$14:$C$16,BD$14:BD$16),1)</f>
        <v>0</v>
      </c>
      <c s="125">
        <f>Предпосылки!BD164*BE$41*(1+Чувствительность!$D$12)*IFERROR(LOOKUP(Предпосылки!$J136,$C$14:$C$16,BE$14:BE$16),1)</f>
        <v>0</v>
      </c>
      <c s="125">
        <f>Предпосылки!BE164*BF$41*(1+Чувствительность!$D$12)*IFERROR(LOOKUP(Предпосылки!$J136,$C$14:$C$16,BF$14:BF$16),1)</f>
        <v>0</v>
      </c>
      <c s="125">
        <f>Предпосылки!BF164*BG$41*(1+Чувствительность!$D$12)*IFERROR(LOOKUP(Предпосылки!$J136,$C$14:$C$16,BG$14:BG$16),1)</f>
        <v>0</v>
      </c>
      <c s="125">
        <f>Предпосылки!BG164*BH$41*(1+Чувствительность!$D$12)*IFERROR(LOOKUP(Предпосылки!$J136,$C$14:$C$16,BH$14:BH$16),1)</f>
        <v>0</v>
      </c>
      <c s="125">
        <f>Предпосылки!BH164*BI$41*(1+Чувствительность!$D$12)*IFERROR(LOOKUP(Предпосылки!$J136,$C$14:$C$16,BI$14:BI$16),1)</f>
        <v>0</v>
      </c>
      <c s="125">
        <f>Предпосылки!BI164*BJ$41*(1+Чувствительность!$D$12)*IFERROR(LOOKUP(Предпосылки!$J136,$C$14:$C$16,BJ$14:BJ$16),1)</f>
        <v>0</v>
      </c>
      <c s="125">
        <f>Предпосылки!BJ164*BK$41*(1+Чувствительность!$D$12)*IFERROR(LOOKUP(Предпосылки!$J136,$C$14:$C$16,BK$14:BK$16),1)</f>
        <v>0</v>
      </c>
      <c s="125">
        <f>Предпосылки!BK164*BL$41*(1+Чувствительность!$D$12)*IFERROR(LOOKUP(Предпосылки!$J136,$C$14:$C$16,BL$14:BL$16),1)</f>
        <v>0</v>
      </c>
      <c s="125">
        <f>Предпосылки!BL164*BM$41*(1+Чувствительность!$D$12)*IFERROR(LOOKUP(Предпосылки!$J136,$C$14:$C$16,BM$14:BM$16),1)</f>
        <v>0</v>
      </c>
    </row>
    <row r="59" spans="2:65" ht="15" customHeight="1">
      <c r="B59" s="12" t="str">
        <f t="shared" si="38"/>
        <v>Продукт 16</v>
      </c>
      <c s="124" t="str">
        <f t="shared" si="37"/>
        <v>тыс. руб.</v>
      </c>
      <c s="125"/>
      <c s="125">
        <f>Предпосылки!D165*E$41*(1+Чувствительность!$D$12)*IFERROR(LOOKUP(Предпосылки!$J137,$C$14:$C$16,E$14:E$16),1)</f>
        <v>0</v>
      </c>
      <c s="125">
        <f>Предпосылки!E165*F$41*(1+Чувствительность!$D$12)*IFERROR(LOOKUP(Предпосылки!$J137,$C$14:$C$16,F$14:F$16),1)</f>
        <v>0</v>
      </c>
      <c s="125">
        <f>Предпосылки!F165*G$41*(1+Чувствительность!$D$12)*IFERROR(LOOKUP(Предпосылки!$J137,$C$14:$C$16,G$14:G$16),1)</f>
        <v>0</v>
      </c>
      <c s="125">
        <f>Предпосылки!G165*H$41*(1+Чувствительность!$D$12)*IFERROR(LOOKUP(Предпосылки!$J137,$C$14:$C$16,H$14:H$16),1)</f>
        <v>0</v>
      </c>
      <c s="125">
        <f>Предпосылки!H165*I$41*(1+Чувствительность!$D$12)*IFERROR(LOOKUP(Предпосылки!$J137,$C$14:$C$16,I$14:I$16),1)</f>
        <v>0</v>
      </c>
      <c s="125">
        <f>Предпосылки!I165*J$41*(1+Чувствительность!$D$12)*IFERROR(LOOKUP(Предпосылки!$J137,$C$14:$C$16,J$14:J$16),1)</f>
        <v>0</v>
      </c>
      <c s="125">
        <f>Предпосылки!J165*K$41*(1+Чувствительность!$D$12)*IFERROR(LOOKUP(Предпосылки!$J137,$C$14:$C$16,K$14:K$16),1)</f>
        <v>0</v>
      </c>
      <c s="125">
        <f>Предпосылки!K165*L$41*(1+Чувствительность!$D$12)*IFERROR(LOOKUP(Предпосылки!$J137,$C$14:$C$16,L$14:L$16),1)</f>
        <v>0</v>
      </c>
      <c s="125">
        <f>Предпосылки!L165*M$41*(1+Чувствительность!$D$12)*IFERROR(LOOKUP(Предпосылки!$J137,$C$14:$C$16,M$14:M$16),1)</f>
        <v>0</v>
      </c>
      <c s="125">
        <f>Предпосылки!M165*N$41*(1+Чувствительность!$D$12)*IFERROR(LOOKUP(Предпосылки!$J137,$C$14:$C$16,N$14:N$16),1)</f>
        <v>0</v>
      </c>
      <c s="125">
        <f>Предпосылки!N165*O$41*(1+Чувствительность!$D$12)*IFERROR(LOOKUP(Предпосылки!$J137,$C$14:$C$16,O$14:O$16),1)</f>
        <v>0</v>
      </c>
      <c s="125">
        <f>Предпосылки!O165*P$41*(1+Чувствительность!$D$12)*IFERROR(LOOKUP(Предпосылки!$J137,$C$14:$C$16,P$14:P$16),1)</f>
        <v>0</v>
      </c>
      <c s="125">
        <f>Предпосылки!P165*Q$41*(1+Чувствительность!$D$12)*IFERROR(LOOKUP(Предпосылки!$J137,$C$14:$C$16,Q$14:Q$16),1)</f>
        <v>0</v>
      </c>
      <c s="125">
        <f>Предпосылки!Q165*R$41*(1+Чувствительность!$D$12)*IFERROR(LOOKUP(Предпосылки!$J137,$C$14:$C$16,R$14:R$16),1)</f>
        <v>0</v>
      </c>
      <c s="125">
        <f>Предпосылки!R165*S$41*(1+Чувствительность!$D$12)*IFERROR(LOOKUP(Предпосылки!$J137,$C$14:$C$16,S$14:S$16),1)</f>
        <v>0</v>
      </c>
      <c s="125">
        <f>Предпосылки!S165*T$41*(1+Чувствительность!$D$12)*IFERROR(LOOKUP(Предпосылки!$J137,$C$14:$C$16,T$14:T$16),1)</f>
        <v>0</v>
      </c>
      <c s="125">
        <f>Предпосылки!T165*U$41*(1+Чувствительность!$D$12)*IFERROR(LOOKUP(Предпосылки!$J137,$C$14:$C$16,U$14:U$16),1)</f>
        <v>0</v>
      </c>
      <c s="125">
        <f>Предпосылки!U165*V$41*(1+Чувствительность!$D$12)*IFERROR(LOOKUP(Предпосылки!$J137,$C$14:$C$16,V$14:V$16),1)</f>
        <v>0</v>
      </c>
      <c s="125">
        <f>Предпосылки!V165*W$41*(1+Чувствительность!$D$12)*IFERROR(LOOKUP(Предпосылки!$J137,$C$14:$C$16,W$14:W$16),1)</f>
        <v>0</v>
      </c>
      <c s="125">
        <f>Предпосылки!W165*X$41*(1+Чувствительность!$D$12)*IFERROR(LOOKUP(Предпосылки!$J137,$C$14:$C$16,X$14:X$16),1)</f>
        <v>0</v>
      </c>
      <c s="125">
        <f>Предпосылки!X165*Y$41*(1+Чувствительность!$D$12)*IFERROR(LOOKUP(Предпосылки!$J137,$C$14:$C$16,Y$14:Y$16),1)</f>
        <v>0</v>
      </c>
      <c s="125">
        <f>Предпосылки!Y165*Z$41*(1+Чувствительность!$D$12)*IFERROR(LOOKUP(Предпосылки!$J137,$C$14:$C$16,Z$14:Z$16),1)</f>
        <v>0</v>
      </c>
      <c s="125">
        <f>Предпосылки!Z165*AA$41*(1+Чувствительность!$D$12)*IFERROR(LOOKUP(Предпосылки!$J137,$C$14:$C$16,AA$14:AA$16),1)</f>
        <v>0</v>
      </c>
      <c s="125">
        <f>Предпосылки!AA165*AB$41*(1+Чувствительность!$D$12)*IFERROR(LOOKUP(Предпосылки!$J137,$C$14:$C$16,AB$14:AB$16),1)</f>
        <v>0</v>
      </c>
      <c s="125">
        <f>Предпосылки!AB165*AC$41*(1+Чувствительность!$D$12)*IFERROR(LOOKUP(Предпосылки!$J137,$C$14:$C$16,AC$14:AC$16),1)</f>
        <v>0</v>
      </c>
      <c s="125">
        <f>Предпосылки!AC165*AD$41*(1+Чувствительность!$D$12)*IFERROR(LOOKUP(Предпосылки!$J137,$C$14:$C$16,AD$14:AD$16),1)</f>
        <v>0</v>
      </c>
      <c s="125">
        <f>Предпосылки!AD165*AE$41*(1+Чувствительность!$D$12)*IFERROR(LOOKUP(Предпосылки!$J137,$C$14:$C$16,AE$14:AE$16),1)</f>
        <v>0</v>
      </c>
      <c s="125">
        <f>Предпосылки!AE165*AF$41*(1+Чувствительность!$D$12)*IFERROR(LOOKUP(Предпосылки!$J137,$C$14:$C$16,AF$14:AF$16),1)</f>
        <v>0</v>
      </c>
      <c s="125">
        <f>Предпосылки!AF165*AG$41*(1+Чувствительность!$D$12)*IFERROR(LOOKUP(Предпосылки!$J137,$C$14:$C$16,AG$14:AG$16),1)</f>
        <v>0</v>
      </c>
      <c s="125">
        <f>Предпосылки!AG165*AH$41*(1+Чувствительность!$D$12)*IFERROR(LOOKUP(Предпосылки!$J137,$C$14:$C$16,AH$14:AH$16),1)</f>
        <v>0</v>
      </c>
      <c s="125">
        <f>Предпосылки!AH165*AI$41*(1+Чувствительность!$D$12)*IFERROR(LOOKUP(Предпосылки!$J137,$C$14:$C$16,AI$14:AI$16),1)</f>
        <v>0</v>
      </c>
      <c s="125">
        <f>Предпосылки!AI165*AJ$41*(1+Чувствительность!$D$12)*IFERROR(LOOKUP(Предпосылки!$J137,$C$14:$C$16,AJ$14:AJ$16),1)</f>
        <v>0</v>
      </c>
      <c s="125">
        <f>Предпосылки!AJ165*AK$41*(1+Чувствительность!$D$12)*IFERROR(LOOKUP(Предпосылки!$J137,$C$14:$C$16,AK$14:AK$16),1)</f>
        <v>0</v>
      </c>
      <c s="125">
        <f>Предпосылки!AK165*AL$41*(1+Чувствительность!$D$12)*IFERROR(LOOKUP(Предпосылки!$J137,$C$14:$C$16,AL$14:AL$16),1)</f>
        <v>0</v>
      </c>
      <c s="125">
        <f>Предпосылки!AL165*AM$41*(1+Чувствительность!$D$12)*IFERROR(LOOKUP(Предпосылки!$J137,$C$14:$C$16,AM$14:AM$16),1)</f>
        <v>0</v>
      </c>
      <c s="125">
        <f>Предпосылки!AM165*AN$41*(1+Чувствительность!$D$12)*IFERROR(LOOKUP(Предпосылки!$J137,$C$14:$C$16,AN$14:AN$16),1)</f>
        <v>0</v>
      </c>
      <c s="125">
        <f>Предпосылки!AN165*AO$41*(1+Чувствительность!$D$12)*IFERROR(LOOKUP(Предпосылки!$J137,$C$14:$C$16,AO$14:AO$16),1)</f>
        <v>0</v>
      </c>
      <c s="125">
        <f>Предпосылки!AO165*AP$41*(1+Чувствительность!$D$12)*IFERROR(LOOKUP(Предпосылки!$J137,$C$14:$C$16,AP$14:AP$16),1)</f>
        <v>0</v>
      </c>
      <c s="125">
        <f>Предпосылки!AP165*AQ$41*(1+Чувствительность!$D$12)*IFERROR(LOOKUP(Предпосылки!$J137,$C$14:$C$16,AQ$14:AQ$16),1)</f>
        <v>0</v>
      </c>
      <c s="125">
        <f>Предпосылки!AQ165*AR$41*(1+Чувствительность!$D$12)*IFERROR(LOOKUP(Предпосылки!$J137,$C$14:$C$16,AR$14:AR$16),1)</f>
        <v>0</v>
      </c>
      <c s="125">
        <f>Предпосылки!AR165*AS$41*(1+Чувствительность!$D$12)*IFERROR(LOOKUP(Предпосылки!$J137,$C$14:$C$16,AS$14:AS$16),1)</f>
        <v>0</v>
      </c>
      <c s="125">
        <f>Предпосылки!AS165*AT$41*(1+Чувствительность!$D$12)*IFERROR(LOOKUP(Предпосылки!$J137,$C$14:$C$16,AT$14:AT$16),1)</f>
        <v>0</v>
      </c>
      <c s="125">
        <f>Предпосылки!AT165*AU$41*(1+Чувствительность!$D$12)*IFERROR(LOOKUP(Предпосылки!$J137,$C$14:$C$16,AU$14:AU$16),1)</f>
        <v>0</v>
      </c>
      <c s="125">
        <f>Предпосылки!AU165*AV$41*(1+Чувствительность!$D$12)*IFERROR(LOOKUP(Предпосылки!$J137,$C$14:$C$16,AV$14:AV$16),1)</f>
        <v>0</v>
      </c>
      <c s="125">
        <f>Предпосылки!AV165*AW$41*(1+Чувствительность!$D$12)*IFERROR(LOOKUP(Предпосылки!$J137,$C$14:$C$16,AW$14:AW$16),1)</f>
        <v>0</v>
      </c>
      <c s="125">
        <f>Предпосылки!AW165*AX$41*(1+Чувствительность!$D$12)*IFERROR(LOOKUP(Предпосылки!$J137,$C$14:$C$16,AX$14:AX$16),1)</f>
        <v>0</v>
      </c>
      <c s="125">
        <f>Предпосылки!AX165*AY$41*(1+Чувствительность!$D$12)*IFERROR(LOOKUP(Предпосылки!$J137,$C$14:$C$16,AY$14:AY$16),1)</f>
        <v>0</v>
      </c>
      <c s="125">
        <f>Предпосылки!AY165*AZ$41*(1+Чувствительность!$D$12)*IFERROR(LOOKUP(Предпосылки!$J137,$C$14:$C$16,AZ$14:AZ$16),1)</f>
        <v>0</v>
      </c>
      <c s="125">
        <f>Предпосылки!AZ165*BA$41*(1+Чувствительность!$D$12)*IFERROR(LOOKUP(Предпосылки!$J137,$C$14:$C$16,BA$14:BA$16),1)</f>
        <v>0</v>
      </c>
      <c s="125">
        <f>Предпосылки!BA165*BB$41*(1+Чувствительность!$D$12)*IFERROR(LOOKUP(Предпосылки!$J137,$C$14:$C$16,BB$14:BB$16),1)</f>
        <v>0</v>
      </c>
      <c s="125">
        <f>Предпосылки!BB165*BC$41*(1+Чувствительность!$D$12)*IFERROR(LOOKUP(Предпосылки!$J137,$C$14:$C$16,BC$14:BC$16),1)</f>
        <v>0</v>
      </c>
      <c s="125">
        <f>Предпосылки!BC165*BD$41*(1+Чувствительность!$D$12)*IFERROR(LOOKUP(Предпосылки!$J137,$C$14:$C$16,BD$14:BD$16),1)</f>
        <v>0</v>
      </c>
      <c s="125">
        <f>Предпосылки!BD165*BE$41*(1+Чувствительность!$D$12)*IFERROR(LOOKUP(Предпосылки!$J137,$C$14:$C$16,BE$14:BE$16),1)</f>
        <v>0</v>
      </c>
      <c s="125">
        <f>Предпосылки!BE165*BF$41*(1+Чувствительность!$D$12)*IFERROR(LOOKUP(Предпосылки!$J137,$C$14:$C$16,BF$14:BF$16),1)</f>
        <v>0</v>
      </c>
      <c s="125">
        <f>Предпосылки!BF165*BG$41*(1+Чувствительность!$D$12)*IFERROR(LOOKUP(Предпосылки!$J137,$C$14:$C$16,BG$14:BG$16),1)</f>
        <v>0</v>
      </c>
      <c s="125">
        <f>Предпосылки!BG165*BH$41*(1+Чувствительность!$D$12)*IFERROR(LOOKUP(Предпосылки!$J137,$C$14:$C$16,BH$14:BH$16),1)</f>
        <v>0</v>
      </c>
      <c s="125">
        <f>Предпосылки!BH165*BI$41*(1+Чувствительность!$D$12)*IFERROR(LOOKUP(Предпосылки!$J137,$C$14:$C$16,BI$14:BI$16),1)</f>
        <v>0</v>
      </c>
      <c s="125">
        <f>Предпосылки!BI165*BJ$41*(1+Чувствительность!$D$12)*IFERROR(LOOKUP(Предпосылки!$J137,$C$14:$C$16,BJ$14:BJ$16),1)</f>
        <v>0</v>
      </c>
      <c s="125">
        <f>Предпосылки!BJ165*BK$41*(1+Чувствительность!$D$12)*IFERROR(LOOKUP(Предпосылки!$J137,$C$14:$C$16,BK$14:BK$16),1)</f>
        <v>0</v>
      </c>
      <c s="125">
        <f>Предпосылки!BK165*BL$41*(1+Чувствительность!$D$12)*IFERROR(LOOKUP(Предпосылки!$J137,$C$14:$C$16,BL$14:BL$16),1)</f>
        <v>0</v>
      </c>
      <c s="125">
        <f>Предпосылки!BL165*BM$41*(1+Чувствительность!$D$12)*IFERROR(LOOKUP(Предпосылки!$J137,$C$14:$C$16,BM$14:BM$16),1)</f>
        <v>0</v>
      </c>
    </row>
    <row r="60" spans="2:65" ht="15" customHeight="1">
      <c r="B60" s="12" t="str">
        <f t="shared" si="38"/>
        <v>Продукт 17</v>
      </c>
      <c s="124" t="str">
        <f t="shared" si="37"/>
        <v>тыс. руб.</v>
      </c>
      <c s="125"/>
      <c s="125">
        <f>Предпосылки!D166*E$41*(1+Чувствительность!$D$12)*IFERROR(LOOKUP(Предпосылки!$J138,$C$14:$C$16,E$14:E$16),1)</f>
        <v>0</v>
      </c>
      <c s="125">
        <f>Предпосылки!E166*F$41*(1+Чувствительность!$D$12)*IFERROR(LOOKUP(Предпосылки!$J138,$C$14:$C$16,F$14:F$16),1)</f>
        <v>0</v>
      </c>
      <c s="125">
        <f>Предпосылки!F166*G$41*(1+Чувствительность!$D$12)*IFERROR(LOOKUP(Предпосылки!$J138,$C$14:$C$16,G$14:G$16),1)</f>
        <v>0</v>
      </c>
      <c s="125">
        <f>Предпосылки!G166*H$41*(1+Чувствительность!$D$12)*IFERROR(LOOKUP(Предпосылки!$J138,$C$14:$C$16,H$14:H$16),1)</f>
        <v>0</v>
      </c>
      <c s="125">
        <f>Предпосылки!H166*I$41*(1+Чувствительность!$D$12)*IFERROR(LOOKUP(Предпосылки!$J138,$C$14:$C$16,I$14:I$16),1)</f>
        <v>0</v>
      </c>
      <c s="125">
        <f>Предпосылки!I166*J$41*(1+Чувствительность!$D$12)*IFERROR(LOOKUP(Предпосылки!$J138,$C$14:$C$16,J$14:J$16),1)</f>
        <v>0</v>
      </c>
      <c s="125">
        <f>Предпосылки!J166*K$41*(1+Чувствительность!$D$12)*IFERROR(LOOKUP(Предпосылки!$J138,$C$14:$C$16,K$14:K$16),1)</f>
        <v>0</v>
      </c>
      <c s="125">
        <f>Предпосылки!K166*L$41*(1+Чувствительность!$D$12)*IFERROR(LOOKUP(Предпосылки!$J138,$C$14:$C$16,L$14:L$16),1)</f>
        <v>0</v>
      </c>
      <c s="125">
        <f>Предпосылки!L166*M$41*(1+Чувствительность!$D$12)*IFERROR(LOOKUP(Предпосылки!$J138,$C$14:$C$16,M$14:M$16),1)</f>
        <v>0</v>
      </c>
      <c s="125">
        <f>Предпосылки!M166*N$41*(1+Чувствительность!$D$12)*IFERROR(LOOKUP(Предпосылки!$J138,$C$14:$C$16,N$14:N$16),1)</f>
        <v>0</v>
      </c>
      <c s="125">
        <f>Предпосылки!N166*O$41*(1+Чувствительность!$D$12)*IFERROR(LOOKUP(Предпосылки!$J138,$C$14:$C$16,O$14:O$16),1)</f>
        <v>0</v>
      </c>
      <c s="125">
        <f>Предпосылки!O166*P$41*(1+Чувствительность!$D$12)*IFERROR(LOOKUP(Предпосылки!$J138,$C$14:$C$16,P$14:P$16),1)</f>
        <v>0</v>
      </c>
      <c s="125">
        <f>Предпосылки!P166*Q$41*(1+Чувствительность!$D$12)*IFERROR(LOOKUP(Предпосылки!$J138,$C$14:$C$16,Q$14:Q$16),1)</f>
        <v>0</v>
      </c>
      <c s="125">
        <f>Предпосылки!Q166*R$41*(1+Чувствительность!$D$12)*IFERROR(LOOKUP(Предпосылки!$J138,$C$14:$C$16,R$14:R$16),1)</f>
        <v>0</v>
      </c>
      <c s="125">
        <f>Предпосылки!R166*S$41*(1+Чувствительность!$D$12)*IFERROR(LOOKUP(Предпосылки!$J138,$C$14:$C$16,S$14:S$16),1)</f>
        <v>0</v>
      </c>
      <c s="125">
        <f>Предпосылки!S166*T$41*(1+Чувствительность!$D$12)*IFERROR(LOOKUP(Предпосылки!$J138,$C$14:$C$16,T$14:T$16),1)</f>
        <v>0</v>
      </c>
      <c s="125">
        <f>Предпосылки!T166*U$41*(1+Чувствительность!$D$12)*IFERROR(LOOKUP(Предпосылки!$J138,$C$14:$C$16,U$14:U$16),1)</f>
        <v>0</v>
      </c>
      <c s="125">
        <f>Предпосылки!U166*V$41*(1+Чувствительность!$D$12)*IFERROR(LOOKUP(Предпосылки!$J138,$C$14:$C$16,V$14:V$16),1)</f>
        <v>0</v>
      </c>
      <c s="125">
        <f>Предпосылки!V166*W$41*(1+Чувствительность!$D$12)*IFERROR(LOOKUP(Предпосылки!$J138,$C$14:$C$16,W$14:W$16),1)</f>
        <v>0</v>
      </c>
      <c s="125">
        <f>Предпосылки!W166*X$41*(1+Чувствительность!$D$12)*IFERROR(LOOKUP(Предпосылки!$J138,$C$14:$C$16,X$14:X$16),1)</f>
        <v>0</v>
      </c>
      <c s="125">
        <f>Предпосылки!X166*Y$41*(1+Чувствительность!$D$12)*IFERROR(LOOKUP(Предпосылки!$J138,$C$14:$C$16,Y$14:Y$16),1)</f>
        <v>0</v>
      </c>
      <c s="125">
        <f>Предпосылки!Y166*Z$41*(1+Чувствительность!$D$12)*IFERROR(LOOKUP(Предпосылки!$J138,$C$14:$C$16,Z$14:Z$16),1)</f>
        <v>0</v>
      </c>
      <c s="125">
        <f>Предпосылки!Z166*AA$41*(1+Чувствительность!$D$12)*IFERROR(LOOKUP(Предпосылки!$J138,$C$14:$C$16,AA$14:AA$16),1)</f>
        <v>0</v>
      </c>
      <c s="125">
        <f>Предпосылки!AA166*AB$41*(1+Чувствительность!$D$12)*IFERROR(LOOKUP(Предпосылки!$J138,$C$14:$C$16,AB$14:AB$16),1)</f>
        <v>0</v>
      </c>
      <c s="125">
        <f>Предпосылки!AB166*AC$41*(1+Чувствительность!$D$12)*IFERROR(LOOKUP(Предпосылки!$J138,$C$14:$C$16,AC$14:AC$16),1)</f>
        <v>0</v>
      </c>
      <c s="125">
        <f>Предпосылки!AC166*AD$41*(1+Чувствительность!$D$12)*IFERROR(LOOKUP(Предпосылки!$J138,$C$14:$C$16,AD$14:AD$16),1)</f>
        <v>0</v>
      </c>
      <c s="125">
        <f>Предпосылки!AD166*AE$41*(1+Чувствительность!$D$12)*IFERROR(LOOKUP(Предпосылки!$J138,$C$14:$C$16,AE$14:AE$16),1)</f>
        <v>0</v>
      </c>
      <c s="125">
        <f>Предпосылки!AE166*AF$41*(1+Чувствительность!$D$12)*IFERROR(LOOKUP(Предпосылки!$J138,$C$14:$C$16,AF$14:AF$16),1)</f>
        <v>0</v>
      </c>
      <c s="125">
        <f>Предпосылки!AF166*AG$41*(1+Чувствительность!$D$12)*IFERROR(LOOKUP(Предпосылки!$J138,$C$14:$C$16,AG$14:AG$16),1)</f>
        <v>0</v>
      </c>
      <c s="125">
        <f>Предпосылки!AG166*AH$41*(1+Чувствительность!$D$12)*IFERROR(LOOKUP(Предпосылки!$J138,$C$14:$C$16,AH$14:AH$16),1)</f>
        <v>0</v>
      </c>
      <c s="125">
        <f>Предпосылки!AH166*AI$41*(1+Чувствительность!$D$12)*IFERROR(LOOKUP(Предпосылки!$J138,$C$14:$C$16,AI$14:AI$16),1)</f>
        <v>0</v>
      </c>
      <c s="125">
        <f>Предпосылки!AI166*AJ$41*(1+Чувствительность!$D$12)*IFERROR(LOOKUP(Предпосылки!$J138,$C$14:$C$16,AJ$14:AJ$16),1)</f>
        <v>0</v>
      </c>
      <c s="125">
        <f>Предпосылки!AJ166*AK$41*(1+Чувствительность!$D$12)*IFERROR(LOOKUP(Предпосылки!$J138,$C$14:$C$16,AK$14:AK$16),1)</f>
        <v>0</v>
      </c>
      <c s="125">
        <f>Предпосылки!AK166*AL$41*(1+Чувствительность!$D$12)*IFERROR(LOOKUP(Предпосылки!$J138,$C$14:$C$16,AL$14:AL$16),1)</f>
        <v>0</v>
      </c>
      <c s="125">
        <f>Предпосылки!AL166*AM$41*(1+Чувствительность!$D$12)*IFERROR(LOOKUP(Предпосылки!$J138,$C$14:$C$16,AM$14:AM$16),1)</f>
        <v>0</v>
      </c>
      <c s="125">
        <f>Предпосылки!AM166*AN$41*(1+Чувствительность!$D$12)*IFERROR(LOOKUP(Предпосылки!$J138,$C$14:$C$16,AN$14:AN$16),1)</f>
        <v>0</v>
      </c>
      <c s="125">
        <f>Предпосылки!AN166*AO$41*(1+Чувствительность!$D$12)*IFERROR(LOOKUP(Предпосылки!$J138,$C$14:$C$16,AO$14:AO$16),1)</f>
        <v>0</v>
      </c>
      <c s="125">
        <f>Предпосылки!AO166*AP$41*(1+Чувствительность!$D$12)*IFERROR(LOOKUP(Предпосылки!$J138,$C$14:$C$16,AP$14:AP$16),1)</f>
        <v>0</v>
      </c>
      <c s="125">
        <f>Предпосылки!AP166*AQ$41*(1+Чувствительность!$D$12)*IFERROR(LOOKUP(Предпосылки!$J138,$C$14:$C$16,AQ$14:AQ$16),1)</f>
        <v>0</v>
      </c>
      <c s="125">
        <f>Предпосылки!AQ166*AR$41*(1+Чувствительность!$D$12)*IFERROR(LOOKUP(Предпосылки!$J138,$C$14:$C$16,AR$14:AR$16),1)</f>
        <v>0</v>
      </c>
      <c s="125">
        <f>Предпосылки!AR166*AS$41*(1+Чувствительность!$D$12)*IFERROR(LOOKUP(Предпосылки!$J138,$C$14:$C$16,AS$14:AS$16),1)</f>
        <v>0</v>
      </c>
      <c s="125">
        <f>Предпосылки!AS166*AT$41*(1+Чувствительность!$D$12)*IFERROR(LOOKUP(Предпосылки!$J138,$C$14:$C$16,AT$14:AT$16),1)</f>
        <v>0</v>
      </c>
      <c s="125">
        <f>Предпосылки!AT166*AU$41*(1+Чувствительность!$D$12)*IFERROR(LOOKUP(Предпосылки!$J138,$C$14:$C$16,AU$14:AU$16),1)</f>
        <v>0</v>
      </c>
      <c s="125">
        <f>Предпосылки!AU166*AV$41*(1+Чувствительность!$D$12)*IFERROR(LOOKUP(Предпосылки!$J138,$C$14:$C$16,AV$14:AV$16),1)</f>
        <v>0</v>
      </c>
      <c s="125">
        <f>Предпосылки!AV166*AW$41*(1+Чувствительность!$D$12)*IFERROR(LOOKUP(Предпосылки!$J138,$C$14:$C$16,AW$14:AW$16),1)</f>
        <v>0</v>
      </c>
      <c s="125">
        <f>Предпосылки!AW166*AX$41*(1+Чувствительность!$D$12)*IFERROR(LOOKUP(Предпосылки!$J138,$C$14:$C$16,AX$14:AX$16),1)</f>
        <v>0</v>
      </c>
      <c s="125">
        <f>Предпосылки!AX166*AY$41*(1+Чувствительность!$D$12)*IFERROR(LOOKUP(Предпосылки!$J138,$C$14:$C$16,AY$14:AY$16),1)</f>
        <v>0</v>
      </c>
      <c s="125">
        <f>Предпосылки!AY166*AZ$41*(1+Чувствительность!$D$12)*IFERROR(LOOKUP(Предпосылки!$J138,$C$14:$C$16,AZ$14:AZ$16),1)</f>
        <v>0</v>
      </c>
      <c s="125">
        <f>Предпосылки!AZ166*BA$41*(1+Чувствительность!$D$12)*IFERROR(LOOKUP(Предпосылки!$J138,$C$14:$C$16,BA$14:BA$16),1)</f>
        <v>0</v>
      </c>
      <c s="125">
        <f>Предпосылки!BA166*BB$41*(1+Чувствительность!$D$12)*IFERROR(LOOKUP(Предпосылки!$J138,$C$14:$C$16,BB$14:BB$16),1)</f>
        <v>0</v>
      </c>
      <c s="125">
        <f>Предпосылки!BB166*BC$41*(1+Чувствительность!$D$12)*IFERROR(LOOKUP(Предпосылки!$J138,$C$14:$C$16,BC$14:BC$16),1)</f>
        <v>0</v>
      </c>
      <c s="125">
        <f>Предпосылки!BC166*BD$41*(1+Чувствительность!$D$12)*IFERROR(LOOKUP(Предпосылки!$J138,$C$14:$C$16,BD$14:BD$16),1)</f>
        <v>0</v>
      </c>
      <c s="125">
        <f>Предпосылки!BD166*BE$41*(1+Чувствительность!$D$12)*IFERROR(LOOKUP(Предпосылки!$J138,$C$14:$C$16,BE$14:BE$16),1)</f>
        <v>0</v>
      </c>
      <c s="125">
        <f>Предпосылки!BE166*BF$41*(1+Чувствительность!$D$12)*IFERROR(LOOKUP(Предпосылки!$J138,$C$14:$C$16,BF$14:BF$16),1)</f>
        <v>0</v>
      </c>
      <c s="125">
        <f>Предпосылки!BF166*BG$41*(1+Чувствительность!$D$12)*IFERROR(LOOKUP(Предпосылки!$J138,$C$14:$C$16,BG$14:BG$16),1)</f>
        <v>0</v>
      </c>
      <c s="125">
        <f>Предпосылки!BG166*BH$41*(1+Чувствительность!$D$12)*IFERROR(LOOKUP(Предпосылки!$J138,$C$14:$C$16,BH$14:BH$16),1)</f>
        <v>0</v>
      </c>
      <c s="125">
        <f>Предпосылки!BH166*BI$41*(1+Чувствительность!$D$12)*IFERROR(LOOKUP(Предпосылки!$J138,$C$14:$C$16,BI$14:BI$16),1)</f>
        <v>0</v>
      </c>
      <c s="125">
        <f>Предпосылки!BI166*BJ$41*(1+Чувствительность!$D$12)*IFERROR(LOOKUP(Предпосылки!$J138,$C$14:$C$16,BJ$14:BJ$16),1)</f>
        <v>0</v>
      </c>
      <c s="125">
        <f>Предпосылки!BJ166*BK$41*(1+Чувствительность!$D$12)*IFERROR(LOOKUP(Предпосылки!$J138,$C$14:$C$16,BK$14:BK$16),1)</f>
        <v>0</v>
      </c>
      <c s="125">
        <f>Предпосылки!BK166*BL$41*(1+Чувствительность!$D$12)*IFERROR(LOOKUP(Предпосылки!$J138,$C$14:$C$16,BL$14:BL$16),1)</f>
        <v>0</v>
      </c>
      <c s="125">
        <f>Предпосылки!BL166*BM$41*(1+Чувствительность!$D$12)*IFERROR(LOOKUP(Предпосылки!$J138,$C$14:$C$16,BM$14:BM$16),1)</f>
        <v>0</v>
      </c>
    </row>
    <row r="61" spans="2:65" ht="15" customHeight="1">
      <c r="B61" s="12" t="str">
        <f t="shared" si="38"/>
        <v>Продукт 18</v>
      </c>
      <c s="124" t="str">
        <f t="shared" si="37"/>
        <v>тыс. руб.</v>
      </c>
      <c s="125"/>
      <c s="125">
        <f>Предпосылки!D167*E$41*(1+Чувствительность!$D$12)*IFERROR(LOOKUP(Предпосылки!$J139,$C$14:$C$16,E$14:E$16),1)</f>
        <v>0</v>
      </c>
      <c s="125">
        <f>Предпосылки!E167*F$41*(1+Чувствительность!$D$12)*IFERROR(LOOKUP(Предпосылки!$J139,$C$14:$C$16,F$14:F$16),1)</f>
        <v>0</v>
      </c>
      <c s="125">
        <f>Предпосылки!F167*G$41*(1+Чувствительность!$D$12)*IFERROR(LOOKUP(Предпосылки!$J139,$C$14:$C$16,G$14:G$16),1)</f>
        <v>0</v>
      </c>
      <c s="125">
        <f>Предпосылки!G167*H$41*(1+Чувствительность!$D$12)*IFERROR(LOOKUP(Предпосылки!$J139,$C$14:$C$16,H$14:H$16),1)</f>
        <v>0</v>
      </c>
      <c s="125">
        <f>Предпосылки!H167*I$41*(1+Чувствительность!$D$12)*IFERROR(LOOKUP(Предпосылки!$J139,$C$14:$C$16,I$14:I$16),1)</f>
        <v>0</v>
      </c>
      <c s="125">
        <f>Предпосылки!I167*J$41*(1+Чувствительность!$D$12)*IFERROR(LOOKUP(Предпосылки!$J139,$C$14:$C$16,J$14:J$16),1)</f>
        <v>0</v>
      </c>
      <c s="125">
        <f>Предпосылки!J167*K$41*(1+Чувствительность!$D$12)*IFERROR(LOOKUP(Предпосылки!$J139,$C$14:$C$16,K$14:K$16),1)</f>
        <v>0</v>
      </c>
      <c s="125">
        <f>Предпосылки!K167*L$41*(1+Чувствительность!$D$12)*IFERROR(LOOKUP(Предпосылки!$J139,$C$14:$C$16,L$14:L$16),1)</f>
        <v>0</v>
      </c>
      <c s="125">
        <f>Предпосылки!L167*M$41*(1+Чувствительность!$D$12)*IFERROR(LOOKUP(Предпосылки!$J139,$C$14:$C$16,M$14:M$16),1)</f>
        <v>0</v>
      </c>
      <c s="125">
        <f>Предпосылки!M167*N$41*(1+Чувствительность!$D$12)*IFERROR(LOOKUP(Предпосылки!$J139,$C$14:$C$16,N$14:N$16),1)</f>
        <v>0</v>
      </c>
      <c s="125">
        <f>Предпосылки!N167*O$41*(1+Чувствительность!$D$12)*IFERROR(LOOKUP(Предпосылки!$J139,$C$14:$C$16,O$14:O$16),1)</f>
        <v>0</v>
      </c>
      <c s="125">
        <f>Предпосылки!O167*P$41*(1+Чувствительность!$D$12)*IFERROR(LOOKUP(Предпосылки!$J139,$C$14:$C$16,P$14:P$16),1)</f>
        <v>0</v>
      </c>
      <c s="125">
        <f>Предпосылки!P167*Q$41*(1+Чувствительность!$D$12)*IFERROR(LOOKUP(Предпосылки!$J139,$C$14:$C$16,Q$14:Q$16),1)</f>
        <v>0</v>
      </c>
      <c s="125">
        <f>Предпосылки!Q167*R$41*(1+Чувствительность!$D$12)*IFERROR(LOOKUP(Предпосылки!$J139,$C$14:$C$16,R$14:R$16),1)</f>
        <v>0</v>
      </c>
      <c s="125">
        <f>Предпосылки!R167*S$41*(1+Чувствительность!$D$12)*IFERROR(LOOKUP(Предпосылки!$J139,$C$14:$C$16,S$14:S$16),1)</f>
        <v>0</v>
      </c>
      <c s="125">
        <f>Предпосылки!S167*T$41*(1+Чувствительность!$D$12)*IFERROR(LOOKUP(Предпосылки!$J139,$C$14:$C$16,T$14:T$16),1)</f>
        <v>0</v>
      </c>
      <c s="125">
        <f>Предпосылки!T167*U$41*(1+Чувствительность!$D$12)*IFERROR(LOOKUP(Предпосылки!$J139,$C$14:$C$16,U$14:U$16),1)</f>
        <v>0</v>
      </c>
      <c s="125">
        <f>Предпосылки!U167*V$41*(1+Чувствительность!$D$12)*IFERROR(LOOKUP(Предпосылки!$J139,$C$14:$C$16,V$14:V$16),1)</f>
        <v>0</v>
      </c>
      <c s="125">
        <f>Предпосылки!V167*W$41*(1+Чувствительность!$D$12)*IFERROR(LOOKUP(Предпосылки!$J139,$C$14:$C$16,W$14:W$16),1)</f>
        <v>0</v>
      </c>
      <c s="125">
        <f>Предпосылки!W167*X$41*(1+Чувствительность!$D$12)*IFERROR(LOOKUP(Предпосылки!$J139,$C$14:$C$16,X$14:X$16),1)</f>
        <v>0</v>
      </c>
      <c s="125">
        <f>Предпосылки!X167*Y$41*(1+Чувствительность!$D$12)*IFERROR(LOOKUP(Предпосылки!$J139,$C$14:$C$16,Y$14:Y$16),1)</f>
        <v>0</v>
      </c>
      <c s="125">
        <f>Предпосылки!Y167*Z$41*(1+Чувствительность!$D$12)*IFERROR(LOOKUP(Предпосылки!$J139,$C$14:$C$16,Z$14:Z$16),1)</f>
        <v>0</v>
      </c>
      <c s="125">
        <f>Предпосылки!Z167*AA$41*(1+Чувствительность!$D$12)*IFERROR(LOOKUP(Предпосылки!$J139,$C$14:$C$16,AA$14:AA$16),1)</f>
        <v>0</v>
      </c>
      <c s="125">
        <f>Предпосылки!AA167*AB$41*(1+Чувствительность!$D$12)*IFERROR(LOOKUP(Предпосылки!$J139,$C$14:$C$16,AB$14:AB$16),1)</f>
        <v>0</v>
      </c>
      <c s="125">
        <f>Предпосылки!AB167*AC$41*(1+Чувствительность!$D$12)*IFERROR(LOOKUP(Предпосылки!$J139,$C$14:$C$16,AC$14:AC$16),1)</f>
        <v>0</v>
      </c>
      <c s="125">
        <f>Предпосылки!AC167*AD$41*(1+Чувствительность!$D$12)*IFERROR(LOOKUP(Предпосылки!$J139,$C$14:$C$16,AD$14:AD$16),1)</f>
        <v>0</v>
      </c>
      <c s="125">
        <f>Предпосылки!AD167*AE$41*(1+Чувствительность!$D$12)*IFERROR(LOOKUP(Предпосылки!$J139,$C$14:$C$16,AE$14:AE$16),1)</f>
        <v>0</v>
      </c>
      <c s="125">
        <f>Предпосылки!AE167*AF$41*(1+Чувствительность!$D$12)*IFERROR(LOOKUP(Предпосылки!$J139,$C$14:$C$16,AF$14:AF$16),1)</f>
        <v>0</v>
      </c>
      <c s="125">
        <f>Предпосылки!AF167*AG$41*(1+Чувствительность!$D$12)*IFERROR(LOOKUP(Предпосылки!$J139,$C$14:$C$16,AG$14:AG$16),1)</f>
        <v>0</v>
      </c>
      <c s="125">
        <f>Предпосылки!AG167*AH$41*(1+Чувствительность!$D$12)*IFERROR(LOOKUP(Предпосылки!$J139,$C$14:$C$16,AH$14:AH$16),1)</f>
        <v>0</v>
      </c>
      <c s="125">
        <f>Предпосылки!AH167*AI$41*(1+Чувствительность!$D$12)*IFERROR(LOOKUP(Предпосылки!$J139,$C$14:$C$16,AI$14:AI$16),1)</f>
        <v>0</v>
      </c>
      <c s="125">
        <f>Предпосылки!AI167*AJ$41*(1+Чувствительность!$D$12)*IFERROR(LOOKUP(Предпосылки!$J139,$C$14:$C$16,AJ$14:AJ$16),1)</f>
        <v>0</v>
      </c>
      <c s="125">
        <f>Предпосылки!AJ167*AK$41*(1+Чувствительность!$D$12)*IFERROR(LOOKUP(Предпосылки!$J139,$C$14:$C$16,AK$14:AK$16),1)</f>
        <v>0</v>
      </c>
      <c s="125">
        <f>Предпосылки!AK167*AL$41*(1+Чувствительность!$D$12)*IFERROR(LOOKUP(Предпосылки!$J139,$C$14:$C$16,AL$14:AL$16),1)</f>
        <v>0</v>
      </c>
      <c s="125">
        <f>Предпосылки!AL167*AM$41*(1+Чувствительность!$D$12)*IFERROR(LOOKUP(Предпосылки!$J139,$C$14:$C$16,AM$14:AM$16),1)</f>
        <v>0</v>
      </c>
      <c s="125">
        <f>Предпосылки!AM167*AN$41*(1+Чувствительность!$D$12)*IFERROR(LOOKUP(Предпосылки!$J139,$C$14:$C$16,AN$14:AN$16),1)</f>
        <v>0</v>
      </c>
      <c s="125">
        <f>Предпосылки!AN167*AO$41*(1+Чувствительность!$D$12)*IFERROR(LOOKUP(Предпосылки!$J139,$C$14:$C$16,AO$14:AO$16),1)</f>
        <v>0</v>
      </c>
      <c s="125">
        <f>Предпосылки!AO167*AP$41*(1+Чувствительность!$D$12)*IFERROR(LOOKUP(Предпосылки!$J139,$C$14:$C$16,AP$14:AP$16),1)</f>
        <v>0</v>
      </c>
      <c s="125">
        <f>Предпосылки!AP167*AQ$41*(1+Чувствительность!$D$12)*IFERROR(LOOKUP(Предпосылки!$J139,$C$14:$C$16,AQ$14:AQ$16),1)</f>
        <v>0</v>
      </c>
      <c s="125">
        <f>Предпосылки!AQ167*AR$41*(1+Чувствительность!$D$12)*IFERROR(LOOKUP(Предпосылки!$J139,$C$14:$C$16,AR$14:AR$16),1)</f>
        <v>0</v>
      </c>
      <c s="125">
        <f>Предпосылки!AR167*AS$41*(1+Чувствительность!$D$12)*IFERROR(LOOKUP(Предпосылки!$J139,$C$14:$C$16,AS$14:AS$16),1)</f>
        <v>0</v>
      </c>
      <c s="125">
        <f>Предпосылки!AS167*AT$41*(1+Чувствительность!$D$12)*IFERROR(LOOKUP(Предпосылки!$J139,$C$14:$C$16,AT$14:AT$16),1)</f>
        <v>0</v>
      </c>
      <c s="125">
        <f>Предпосылки!AT167*AU$41*(1+Чувствительность!$D$12)*IFERROR(LOOKUP(Предпосылки!$J139,$C$14:$C$16,AU$14:AU$16),1)</f>
        <v>0</v>
      </c>
      <c s="125">
        <f>Предпосылки!AU167*AV$41*(1+Чувствительность!$D$12)*IFERROR(LOOKUP(Предпосылки!$J139,$C$14:$C$16,AV$14:AV$16),1)</f>
        <v>0</v>
      </c>
      <c s="125">
        <f>Предпосылки!AV167*AW$41*(1+Чувствительность!$D$12)*IFERROR(LOOKUP(Предпосылки!$J139,$C$14:$C$16,AW$14:AW$16),1)</f>
        <v>0</v>
      </c>
      <c s="125">
        <f>Предпосылки!AW167*AX$41*(1+Чувствительность!$D$12)*IFERROR(LOOKUP(Предпосылки!$J139,$C$14:$C$16,AX$14:AX$16),1)</f>
        <v>0</v>
      </c>
      <c s="125">
        <f>Предпосылки!AX167*AY$41*(1+Чувствительность!$D$12)*IFERROR(LOOKUP(Предпосылки!$J139,$C$14:$C$16,AY$14:AY$16),1)</f>
        <v>0</v>
      </c>
      <c s="125">
        <f>Предпосылки!AY167*AZ$41*(1+Чувствительность!$D$12)*IFERROR(LOOKUP(Предпосылки!$J139,$C$14:$C$16,AZ$14:AZ$16),1)</f>
        <v>0</v>
      </c>
      <c s="125">
        <f>Предпосылки!AZ167*BA$41*(1+Чувствительность!$D$12)*IFERROR(LOOKUP(Предпосылки!$J139,$C$14:$C$16,BA$14:BA$16),1)</f>
        <v>0</v>
      </c>
      <c s="125">
        <f>Предпосылки!BA167*BB$41*(1+Чувствительность!$D$12)*IFERROR(LOOKUP(Предпосылки!$J139,$C$14:$C$16,BB$14:BB$16),1)</f>
        <v>0</v>
      </c>
      <c s="125">
        <f>Предпосылки!BB167*BC$41*(1+Чувствительность!$D$12)*IFERROR(LOOKUP(Предпосылки!$J139,$C$14:$C$16,BC$14:BC$16),1)</f>
        <v>0</v>
      </c>
      <c s="125">
        <f>Предпосылки!BC167*BD$41*(1+Чувствительность!$D$12)*IFERROR(LOOKUP(Предпосылки!$J139,$C$14:$C$16,BD$14:BD$16),1)</f>
        <v>0</v>
      </c>
      <c s="125">
        <f>Предпосылки!BD167*BE$41*(1+Чувствительность!$D$12)*IFERROR(LOOKUP(Предпосылки!$J139,$C$14:$C$16,BE$14:BE$16),1)</f>
        <v>0</v>
      </c>
      <c s="125">
        <f>Предпосылки!BE167*BF$41*(1+Чувствительность!$D$12)*IFERROR(LOOKUP(Предпосылки!$J139,$C$14:$C$16,BF$14:BF$16),1)</f>
        <v>0</v>
      </c>
      <c s="125">
        <f>Предпосылки!BF167*BG$41*(1+Чувствительность!$D$12)*IFERROR(LOOKUP(Предпосылки!$J139,$C$14:$C$16,BG$14:BG$16),1)</f>
        <v>0</v>
      </c>
      <c s="125">
        <f>Предпосылки!BG167*BH$41*(1+Чувствительность!$D$12)*IFERROR(LOOKUP(Предпосылки!$J139,$C$14:$C$16,BH$14:BH$16),1)</f>
        <v>0</v>
      </c>
      <c s="125">
        <f>Предпосылки!BH167*BI$41*(1+Чувствительность!$D$12)*IFERROR(LOOKUP(Предпосылки!$J139,$C$14:$C$16,BI$14:BI$16),1)</f>
        <v>0</v>
      </c>
      <c s="125">
        <f>Предпосылки!BI167*BJ$41*(1+Чувствительность!$D$12)*IFERROR(LOOKUP(Предпосылки!$J139,$C$14:$C$16,BJ$14:BJ$16),1)</f>
        <v>0</v>
      </c>
      <c s="125">
        <f>Предпосылки!BJ167*BK$41*(1+Чувствительность!$D$12)*IFERROR(LOOKUP(Предпосылки!$J139,$C$14:$C$16,BK$14:BK$16),1)</f>
        <v>0</v>
      </c>
      <c s="125">
        <f>Предпосылки!BK167*BL$41*(1+Чувствительность!$D$12)*IFERROR(LOOKUP(Предпосылки!$J139,$C$14:$C$16,BL$14:BL$16),1)</f>
        <v>0</v>
      </c>
      <c s="125">
        <f>Предпосылки!BL167*BM$41*(1+Чувствительность!$D$12)*IFERROR(LOOKUP(Предпосылки!$J139,$C$14:$C$16,BM$14:BM$16),1)</f>
        <v>0</v>
      </c>
    </row>
    <row r="62" spans="2:65" ht="15" customHeight="1">
      <c r="B62" s="12" t="str">
        <f t="shared" si="38"/>
        <v>Продукт 19</v>
      </c>
      <c s="124" t="str">
        <f t="shared" si="37"/>
        <v>тыс. руб.</v>
      </c>
      <c s="125"/>
      <c s="125">
        <f>Предпосылки!D168*E$41*(1+Чувствительность!$D$12)*IFERROR(LOOKUP(Предпосылки!$J140,$C$14:$C$16,E$14:E$16),1)</f>
        <v>0</v>
      </c>
      <c s="125">
        <f>Предпосылки!E168*F$41*(1+Чувствительность!$D$12)*IFERROR(LOOKUP(Предпосылки!$J140,$C$14:$C$16,F$14:F$16),1)</f>
        <v>0</v>
      </c>
      <c s="125">
        <f>Предпосылки!F168*G$41*(1+Чувствительность!$D$12)*IFERROR(LOOKUP(Предпосылки!$J140,$C$14:$C$16,G$14:G$16),1)</f>
        <v>0</v>
      </c>
      <c s="125">
        <f>Предпосылки!G168*H$41*(1+Чувствительность!$D$12)*IFERROR(LOOKUP(Предпосылки!$J140,$C$14:$C$16,H$14:H$16),1)</f>
        <v>0</v>
      </c>
      <c s="125">
        <f>Предпосылки!H168*I$41*(1+Чувствительность!$D$12)*IFERROR(LOOKUP(Предпосылки!$J140,$C$14:$C$16,I$14:I$16),1)</f>
        <v>0</v>
      </c>
      <c s="125">
        <f>Предпосылки!I168*J$41*(1+Чувствительность!$D$12)*IFERROR(LOOKUP(Предпосылки!$J140,$C$14:$C$16,J$14:J$16),1)</f>
        <v>0</v>
      </c>
      <c s="125">
        <f>Предпосылки!J168*K$41*(1+Чувствительность!$D$12)*IFERROR(LOOKUP(Предпосылки!$J140,$C$14:$C$16,K$14:K$16),1)</f>
        <v>0</v>
      </c>
      <c s="125">
        <f>Предпосылки!K168*L$41*(1+Чувствительность!$D$12)*IFERROR(LOOKUP(Предпосылки!$J140,$C$14:$C$16,L$14:L$16),1)</f>
        <v>0</v>
      </c>
      <c s="125">
        <f>Предпосылки!L168*M$41*(1+Чувствительность!$D$12)*IFERROR(LOOKUP(Предпосылки!$J140,$C$14:$C$16,M$14:M$16),1)</f>
        <v>0</v>
      </c>
      <c s="125">
        <f>Предпосылки!M168*N$41*(1+Чувствительность!$D$12)*IFERROR(LOOKUP(Предпосылки!$J140,$C$14:$C$16,N$14:N$16),1)</f>
        <v>0</v>
      </c>
      <c s="125">
        <f>Предпосылки!N168*O$41*(1+Чувствительность!$D$12)*IFERROR(LOOKUP(Предпосылки!$J140,$C$14:$C$16,O$14:O$16),1)</f>
        <v>0</v>
      </c>
      <c s="125">
        <f>Предпосылки!O168*P$41*(1+Чувствительность!$D$12)*IFERROR(LOOKUP(Предпосылки!$J140,$C$14:$C$16,P$14:P$16),1)</f>
        <v>0</v>
      </c>
      <c s="125">
        <f>Предпосылки!P168*Q$41*(1+Чувствительность!$D$12)*IFERROR(LOOKUP(Предпосылки!$J140,$C$14:$C$16,Q$14:Q$16),1)</f>
        <v>0</v>
      </c>
      <c s="125">
        <f>Предпосылки!Q168*R$41*(1+Чувствительность!$D$12)*IFERROR(LOOKUP(Предпосылки!$J140,$C$14:$C$16,R$14:R$16),1)</f>
        <v>0</v>
      </c>
      <c s="125">
        <f>Предпосылки!R168*S$41*(1+Чувствительность!$D$12)*IFERROR(LOOKUP(Предпосылки!$J140,$C$14:$C$16,S$14:S$16),1)</f>
        <v>0</v>
      </c>
      <c s="125">
        <f>Предпосылки!S168*T$41*(1+Чувствительность!$D$12)*IFERROR(LOOKUP(Предпосылки!$J140,$C$14:$C$16,T$14:T$16),1)</f>
        <v>0</v>
      </c>
      <c s="125">
        <f>Предпосылки!T168*U$41*(1+Чувствительность!$D$12)*IFERROR(LOOKUP(Предпосылки!$J140,$C$14:$C$16,U$14:U$16),1)</f>
        <v>0</v>
      </c>
      <c s="125">
        <f>Предпосылки!U168*V$41*(1+Чувствительность!$D$12)*IFERROR(LOOKUP(Предпосылки!$J140,$C$14:$C$16,V$14:V$16),1)</f>
        <v>0</v>
      </c>
      <c s="125">
        <f>Предпосылки!V168*W$41*(1+Чувствительность!$D$12)*IFERROR(LOOKUP(Предпосылки!$J140,$C$14:$C$16,W$14:W$16),1)</f>
        <v>0</v>
      </c>
      <c s="125">
        <f>Предпосылки!W168*X$41*(1+Чувствительность!$D$12)*IFERROR(LOOKUP(Предпосылки!$J140,$C$14:$C$16,X$14:X$16),1)</f>
        <v>0</v>
      </c>
      <c s="125">
        <f>Предпосылки!X168*Y$41*(1+Чувствительность!$D$12)*IFERROR(LOOKUP(Предпосылки!$J140,$C$14:$C$16,Y$14:Y$16),1)</f>
        <v>0</v>
      </c>
      <c s="125">
        <f>Предпосылки!Y168*Z$41*(1+Чувствительность!$D$12)*IFERROR(LOOKUP(Предпосылки!$J140,$C$14:$C$16,Z$14:Z$16),1)</f>
        <v>0</v>
      </c>
      <c s="125">
        <f>Предпосылки!Z168*AA$41*(1+Чувствительность!$D$12)*IFERROR(LOOKUP(Предпосылки!$J140,$C$14:$C$16,AA$14:AA$16),1)</f>
        <v>0</v>
      </c>
      <c s="125">
        <f>Предпосылки!AA168*AB$41*(1+Чувствительность!$D$12)*IFERROR(LOOKUP(Предпосылки!$J140,$C$14:$C$16,AB$14:AB$16),1)</f>
        <v>0</v>
      </c>
      <c s="125">
        <f>Предпосылки!AB168*AC$41*(1+Чувствительность!$D$12)*IFERROR(LOOKUP(Предпосылки!$J140,$C$14:$C$16,AC$14:AC$16),1)</f>
        <v>0</v>
      </c>
      <c s="125">
        <f>Предпосылки!AC168*AD$41*(1+Чувствительность!$D$12)*IFERROR(LOOKUP(Предпосылки!$J140,$C$14:$C$16,AD$14:AD$16),1)</f>
        <v>0</v>
      </c>
      <c s="125">
        <f>Предпосылки!AD168*AE$41*(1+Чувствительность!$D$12)*IFERROR(LOOKUP(Предпосылки!$J140,$C$14:$C$16,AE$14:AE$16),1)</f>
        <v>0</v>
      </c>
      <c s="125">
        <f>Предпосылки!AE168*AF$41*(1+Чувствительность!$D$12)*IFERROR(LOOKUP(Предпосылки!$J140,$C$14:$C$16,AF$14:AF$16),1)</f>
        <v>0</v>
      </c>
      <c s="125">
        <f>Предпосылки!AF168*AG$41*(1+Чувствительность!$D$12)*IFERROR(LOOKUP(Предпосылки!$J140,$C$14:$C$16,AG$14:AG$16),1)</f>
        <v>0</v>
      </c>
      <c s="125">
        <f>Предпосылки!AG168*AH$41*(1+Чувствительность!$D$12)*IFERROR(LOOKUP(Предпосылки!$J140,$C$14:$C$16,AH$14:AH$16),1)</f>
        <v>0</v>
      </c>
      <c s="125">
        <f>Предпосылки!AH168*AI$41*(1+Чувствительность!$D$12)*IFERROR(LOOKUP(Предпосылки!$J140,$C$14:$C$16,AI$14:AI$16),1)</f>
        <v>0</v>
      </c>
      <c s="125">
        <f>Предпосылки!AI168*AJ$41*(1+Чувствительность!$D$12)*IFERROR(LOOKUP(Предпосылки!$J140,$C$14:$C$16,AJ$14:AJ$16),1)</f>
        <v>0</v>
      </c>
      <c s="125">
        <f>Предпосылки!AJ168*AK$41*(1+Чувствительность!$D$12)*IFERROR(LOOKUP(Предпосылки!$J140,$C$14:$C$16,AK$14:AK$16),1)</f>
        <v>0</v>
      </c>
      <c s="125">
        <f>Предпосылки!AK168*AL$41*(1+Чувствительность!$D$12)*IFERROR(LOOKUP(Предпосылки!$J140,$C$14:$C$16,AL$14:AL$16),1)</f>
        <v>0</v>
      </c>
      <c s="125">
        <f>Предпосылки!AL168*AM$41*(1+Чувствительность!$D$12)*IFERROR(LOOKUP(Предпосылки!$J140,$C$14:$C$16,AM$14:AM$16),1)</f>
        <v>0</v>
      </c>
      <c s="125">
        <f>Предпосылки!AM168*AN$41*(1+Чувствительность!$D$12)*IFERROR(LOOKUP(Предпосылки!$J140,$C$14:$C$16,AN$14:AN$16),1)</f>
        <v>0</v>
      </c>
      <c s="125">
        <f>Предпосылки!AN168*AO$41*(1+Чувствительность!$D$12)*IFERROR(LOOKUP(Предпосылки!$J140,$C$14:$C$16,AO$14:AO$16),1)</f>
        <v>0</v>
      </c>
      <c s="125">
        <f>Предпосылки!AO168*AP$41*(1+Чувствительность!$D$12)*IFERROR(LOOKUP(Предпосылки!$J140,$C$14:$C$16,AP$14:AP$16),1)</f>
        <v>0</v>
      </c>
      <c s="125">
        <f>Предпосылки!AP168*AQ$41*(1+Чувствительность!$D$12)*IFERROR(LOOKUP(Предпосылки!$J140,$C$14:$C$16,AQ$14:AQ$16),1)</f>
        <v>0</v>
      </c>
      <c s="125">
        <f>Предпосылки!AQ168*AR$41*(1+Чувствительность!$D$12)*IFERROR(LOOKUP(Предпосылки!$J140,$C$14:$C$16,AR$14:AR$16),1)</f>
        <v>0</v>
      </c>
      <c s="125">
        <f>Предпосылки!AR168*AS$41*(1+Чувствительность!$D$12)*IFERROR(LOOKUP(Предпосылки!$J140,$C$14:$C$16,AS$14:AS$16),1)</f>
        <v>0</v>
      </c>
      <c s="125">
        <f>Предпосылки!AS168*AT$41*(1+Чувствительность!$D$12)*IFERROR(LOOKUP(Предпосылки!$J140,$C$14:$C$16,AT$14:AT$16),1)</f>
        <v>0</v>
      </c>
      <c s="125">
        <f>Предпосылки!AT168*AU$41*(1+Чувствительность!$D$12)*IFERROR(LOOKUP(Предпосылки!$J140,$C$14:$C$16,AU$14:AU$16),1)</f>
        <v>0</v>
      </c>
      <c s="125">
        <f>Предпосылки!AU168*AV$41*(1+Чувствительность!$D$12)*IFERROR(LOOKUP(Предпосылки!$J140,$C$14:$C$16,AV$14:AV$16),1)</f>
        <v>0</v>
      </c>
      <c s="125">
        <f>Предпосылки!AV168*AW$41*(1+Чувствительность!$D$12)*IFERROR(LOOKUP(Предпосылки!$J140,$C$14:$C$16,AW$14:AW$16),1)</f>
        <v>0</v>
      </c>
      <c s="125">
        <f>Предпосылки!AW168*AX$41*(1+Чувствительность!$D$12)*IFERROR(LOOKUP(Предпосылки!$J140,$C$14:$C$16,AX$14:AX$16),1)</f>
        <v>0</v>
      </c>
      <c s="125">
        <f>Предпосылки!AX168*AY$41*(1+Чувствительность!$D$12)*IFERROR(LOOKUP(Предпосылки!$J140,$C$14:$C$16,AY$14:AY$16),1)</f>
        <v>0</v>
      </c>
      <c s="125">
        <f>Предпосылки!AY168*AZ$41*(1+Чувствительность!$D$12)*IFERROR(LOOKUP(Предпосылки!$J140,$C$14:$C$16,AZ$14:AZ$16),1)</f>
        <v>0</v>
      </c>
      <c s="125">
        <f>Предпосылки!AZ168*BA$41*(1+Чувствительность!$D$12)*IFERROR(LOOKUP(Предпосылки!$J140,$C$14:$C$16,BA$14:BA$16),1)</f>
        <v>0</v>
      </c>
      <c s="125">
        <f>Предпосылки!BA168*BB$41*(1+Чувствительность!$D$12)*IFERROR(LOOKUP(Предпосылки!$J140,$C$14:$C$16,BB$14:BB$16),1)</f>
        <v>0</v>
      </c>
      <c s="125">
        <f>Предпосылки!BB168*BC$41*(1+Чувствительность!$D$12)*IFERROR(LOOKUP(Предпосылки!$J140,$C$14:$C$16,BC$14:BC$16),1)</f>
        <v>0</v>
      </c>
      <c s="125">
        <f>Предпосылки!BC168*BD$41*(1+Чувствительность!$D$12)*IFERROR(LOOKUP(Предпосылки!$J140,$C$14:$C$16,BD$14:BD$16),1)</f>
        <v>0</v>
      </c>
      <c s="125">
        <f>Предпосылки!BD168*BE$41*(1+Чувствительность!$D$12)*IFERROR(LOOKUP(Предпосылки!$J140,$C$14:$C$16,BE$14:BE$16),1)</f>
        <v>0</v>
      </c>
      <c s="125">
        <f>Предпосылки!BE168*BF$41*(1+Чувствительность!$D$12)*IFERROR(LOOKUP(Предпосылки!$J140,$C$14:$C$16,BF$14:BF$16),1)</f>
        <v>0</v>
      </c>
      <c s="125">
        <f>Предпосылки!BF168*BG$41*(1+Чувствительность!$D$12)*IFERROR(LOOKUP(Предпосылки!$J140,$C$14:$C$16,BG$14:BG$16),1)</f>
        <v>0</v>
      </c>
      <c s="125">
        <f>Предпосылки!BG168*BH$41*(1+Чувствительность!$D$12)*IFERROR(LOOKUP(Предпосылки!$J140,$C$14:$C$16,BH$14:BH$16),1)</f>
        <v>0</v>
      </c>
      <c s="125">
        <f>Предпосылки!BH168*BI$41*(1+Чувствительность!$D$12)*IFERROR(LOOKUP(Предпосылки!$J140,$C$14:$C$16,BI$14:BI$16),1)</f>
        <v>0</v>
      </c>
      <c s="125">
        <f>Предпосылки!BI168*BJ$41*(1+Чувствительность!$D$12)*IFERROR(LOOKUP(Предпосылки!$J140,$C$14:$C$16,BJ$14:BJ$16),1)</f>
        <v>0</v>
      </c>
      <c s="125">
        <f>Предпосылки!BJ168*BK$41*(1+Чувствительность!$D$12)*IFERROR(LOOKUP(Предпосылки!$J140,$C$14:$C$16,BK$14:BK$16),1)</f>
        <v>0</v>
      </c>
      <c s="125">
        <f>Предпосылки!BK168*BL$41*(1+Чувствительность!$D$12)*IFERROR(LOOKUP(Предпосылки!$J140,$C$14:$C$16,BL$14:BL$16),1)</f>
        <v>0</v>
      </c>
      <c s="125">
        <f>Предпосылки!BL168*BM$41*(1+Чувствительность!$D$12)*IFERROR(LOOKUP(Предпосылки!$J140,$C$14:$C$16,BM$14:BM$16),1)</f>
        <v>0</v>
      </c>
    </row>
    <row r="63" spans="2:65" ht="15" customHeight="1">
      <c r="B63" s="12" t="str">
        <f t="shared" si="38"/>
        <v>Продукт 20</v>
      </c>
      <c s="124" t="str">
        <f t="shared" si="37"/>
        <v>тыс. руб.</v>
      </c>
      <c s="125"/>
      <c s="125">
        <f>Предпосылки!D169*E$41*(1+Чувствительность!$D$12)*IFERROR(LOOKUP(Предпосылки!$J141,$C$14:$C$16,E$14:E$16),1)</f>
        <v>0</v>
      </c>
      <c s="125">
        <f>Предпосылки!E169*F$41*(1+Чувствительность!$D$12)*IFERROR(LOOKUP(Предпосылки!$J141,$C$14:$C$16,F$14:F$16),1)</f>
        <v>0</v>
      </c>
      <c s="125">
        <f>Предпосылки!F169*G$41*(1+Чувствительность!$D$12)*IFERROR(LOOKUP(Предпосылки!$J141,$C$14:$C$16,G$14:G$16),1)</f>
        <v>0</v>
      </c>
      <c s="125">
        <f>Предпосылки!G169*H$41*(1+Чувствительность!$D$12)*IFERROR(LOOKUP(Предпосылки!$J141,$C$14:$C$16,H$14:H$16),1)</f>
        <v>0</v>
      </c>
      <c s="125">
        <f>Предпосылки!H169*I$41*(1+Чувствительность!$D$12)*IFERROR(LOOKUP(Предпосылки!$J141,$C$14:$C$16,I$14:I$16),1)</f>
        <v>0</v>
      </c>
      <c s="125">
        <f>Предпосылки!I169*J$41*(1+Чувствительность!$D$12)*IFERROR(LOOKUP(Предпосылки!$J141,$C$14:$C$16,J$14:J$16),1)</f>
        <v>0</v>
      </c>
      <c s="125">
        <f>Предпосылки!J169*K$41*(1+Чувствительность!$D$12)*IFERROR(LOOKUP(Предпосылки!$J141,$C$14:$C$16,K$14:K$16),1)</f>
        <v>0</v>
      </c>
      <c s="125">
        <f>Предпосылки!K169*L$41*(1+Чувствительность!$D$12)*IFERROR(LOOKUP(Предпосылки!$J141,$C$14:$C$16,L$14:L$16),1)</f>
        <v>0</v>
      </c>
      <c s="125">
        <f>Предпосылки!L169*M$41*(1+Чувствительность!$D$12)*IFERROR(LOOKUP(Предпосылки!$J141,$C$14:$C$16,M$14:M$16),1)</f>
        <v>0</v>
      </c>
      <c s="125">
        <f>Предпосылки!M169*N$41*(1+Чувствительность!$D$12)*IFERROR(LOOKUP(Предпосылки!$J141,$C$14:$C$16,N$14:N$16),1)</f>
        <v>0</v>
      </c>
      <c s="125">
        <f>Предпосылки!N169*O$41*(1+Чувствительность!$D$12)*IFERROR(LOOKUP(Предпосылки!$J141,$C$14:$C$16,O$14:O$16),1)</f>
        <v>0</v>
      </c>
      <c s="125">
        <f>Предпосылки!O169*P$41*(1+Чувствительность!$D$12)*IFERROR(LOOKUP(Предпосылки!$J141,$C$14:$C$16,P$14:P$16),1)</f>
        <v>0</v>
      </c>
      <c s="125">
        <f>Предпосылки!P169*Q$41*(1+Чувствительность!$D$12)*IFERROR(LOOKUP(Предпосылки!$J141,$C$14:$C$16,Q$14:Q$16),1)</f>
        <v>0</v>
      </c>
      <c s="125">
        <f>Предпосылки!Q169*R$41*(1+Чувствительность!$D$12)*IFERROR(LOOKUP(Предпосылки!$J141,$C$14:$C$16,R$14:R$16),1)</f>
        <v>0</v>
      </c>
      <c s="125">
        <f>Предпосылки!R169*S$41*(1+Чувствительность!$D$12)*IFERROR(LOOKUP(Предпосылки!$J141,$C$14:$C$16,S$14:S$16),1)</f>
        <v>0</v>
      </c>
      <c s="125">
        <f>Предпосылки!S169*T$41*(1+Чувствительность!$D$12)*IFERROR(LOOKUP(Предпосылки!$J141,$C$14:$C$16,T$14:T$16),1)</f>
        <v>0</v>
      </c>
      <c s="125">
        <f>Предпосылки!T169*U$41*(1+Чувствительность!$D$12)*IFERROR(LOOKUP(Предпосылки!$J141,$C$14:$C$16,U$14:U$16),1)</f>
        <v>0</v>
      </c>
      <c s="125">
        <f>Предпосылки!U169*V$41*(1+Чувствительность!$D$12)*IFERROR(LOOKUP(Предпосылки!$J141,$C$14:$C$16,V$14:V$16),1)</f>
        <v>0</v>
      </c>
      <c s="125">
        <f>Предпосылки!V169*W$41*(1+Чувствительность!$D$12)*IFERROR(LOOKUP(Предпосылки!$J141,$C$14:$C$16,W$14:W$16),1)</f>
        <v>0</v>
      </c>
      <c s="125">
        <f>Предпосылки!W169*X$41*(1+Чувствительность!$D$12)*IFERROR(LOOKUP(Предпосылки!$J141,$C$14:$C$16,X$14:X$16),1)</f>
        <v>0</v>
      </c>
      <c s="125">
        <f>Предпосылки!X169*Y$41*(1+Чувствительность!$D$12)*IFERROR(LOOKUP(Предпосылки!$J141,$C$14:$C$16,Y$14:Y$16),1)</f>
        <v>0</v>
      </c>
      <c s="125">
        <f>Предпосылки!Y169*Z$41*(1+Чувствительность!$D$12)*IFERROR(LOOKUP(Предпосылки!$J141,$C$14:$C$16,Z$14:Z$16),1)</f>
        <v>0</v>
      </c>
      <c s="125">
        <f>Предпосылки!Z169*AA$41*(1+Чувствительность!$D$12)*IFERROR(LOOKUP(Предпосылки!$J141,$C$14:$C$16,AA$14:AA$16),1)</f>
        <v>0</v>
      </c>
      <c s="125">
        <f>Предпосылки!AA169*AB$41*(1+Чувствительность!$D$12)*IFERROR(LOOKUP(Предпосылки!$J141,$C$14:$C$16,AB$14:AB$16),1)</f>
        <v>0</v>
      </c>
      <c s="125">
        <f>Предпосылки!AB169*AC$41*(1+Чувствительность!$D$12)*IFERROR(LOOKUP(Предпосылки!$J141,$C$14:$C$16,AC$14:AC$16),1)</f>
        <v>0</v>
      </c>
      <c s="125">
        <f>Предпосылки!AC169*AD$41*(1+Чувствительность!$D$12)*IFERROR(LOOKUP(Предпосылки!$J141,$C$14:$C$16,AD$14:AD$16),1)</f>
        <v>0</v>
      </c>
      <c s="125">
        <f>Предпосылки!AD169*AE$41*(1+Чувствительность!$D$12)*IFERROR(LOOKUP(Предпосылки!$J141,$C$14:$C$16,AE$14:AE$16),1)</f>
        <v>0</v>
      </c>
      <c s="125">
        <f>Предпосылки!AE169*AF$41*(1+Чувствительность!$D$12)*IFERROR(LOOKUP(Предпосылки!$J141,$C$14:$C$16,AF$14:AF$16),1)</f>
        <v>0</v>
      </c>
      <c s="125">
        <f>Предпосылки!AF169*AG$41*(1+Чувствительность!$D$12)*IFERROR(LOOKUP(Предпосылки!$J141,$C$14:$C$16,AG$14:AG$16),1)</f>
        <v>0</v>
      </c>
      <c s="125">
        <f>Предпосылки!AG169*AH$41*(1+Чувствительность!$D$12)*IFERROR(LOOKUP(Предпосылки!$J141,$C$14:$C$16,AH$14:AH$16),1)</f>
        <v>0</v>
      </c>
      <c s="125">
        <f>Предпосылки!AH169*AI$41*(1+Чувствительность!$D$12)*IFERROR(LOOKUP(Предпосылки!$J141,$C$14:$C$16,AI$14:AI$16),1)</f>
        <v>0</v>
      </c>
      <c s="125">
        <f>Предпосылки!AI169*AJ$41*(1+Чувствительность!$D$12)*IFERROR(LOOKUP(Предпосылки!$J141,$C$14:$C$16,AJ$14:AJ$16),1)</f>
        <v>0</v>
      </c>
      <c s="125">
        <f>Предпосылки!AJ169*AK$41*(1+Чувствительность!$D$12)*IFERROR(LOOKUP(Предпосылки!$J141,$C$14:$C$16,AK$14:AK$16),1)</f>
        <v>0</v>
      </c>
      <c s="125">
        <f>Предпосылки!AK169*AL$41*(1+Чувствительность!$D$12)*IFERROR(LOOKUP(Предпосылки!$J141,$C$14:$C$16,AL$14:AL$16),1)</f>
        <v>0</v>
      </c>
      <c s="125">
        <f>Предпосылки!AL169*AM$41*(1+Чувствительность!$D$12)*IFERROR(LOOKUP(Предпосылки!$J141,$C$14:$C$16,AM$14:AM$16),1)</f>
        <v>0</v>
      </c>
      <c s="125">
        <f>Предпосылки!AM169*AN$41*(1+Чувствительность!$D$12)*IFERROR(LOOKUP(Предпосылки!$J141,$C$14:$C$16,AN$14:AN$16),1)</f>
        <v>0</v>
      </c>
      <c s="125">
        <f>Предпосылки!AN169*AO$41*(1+Чувствительность!$D$12)*IFERROR(LOOKUP(Предпосылки!$J141,$C$14:$C$16,AO$14:AO$16),1)</f>
        <v>0</v>
      </c>
      <c s="125">
        <f>Предпосылки!AO169*AP$41*(1+Чувствительность!$D$12)*IFERROR(LOOKUP(Предпосылки!$J141,$C$14:$C$16,AP$14:AP$16),1)</f>
        <v>0</v>
      </c>
      <c s="125">
        <f>Предпосылки!AP169*AQ$41*(1+Чувствительность!$D$12)*IFERROR(LOOKUP(Предпосылки!$J141,$C$14:$C$16,AQ$14:AQ$16),1)</f>
        <v>0</v>
      </c>
      <c s="125">
        <f>Предпосылки!AQ169*AR$41*(1+Чувствительность!$D$12)*IFERROR(LOOKUP(Предпосылки!$J141,$C$14:$C$16,AR$14:AR$16),1)</f>
        <v>0</v>
      </c>
      <c s="125">
        <f>Предпосылки!AR169*AS$41*(1+Чувствительность!$D$12)*IFERROR(LOOKUP(Предпосылки!$J141,$C$14:$C$16,AS$14:AS$16),1)</f>
        <v>0</v>
      </c>
      <c s="125">
        <f>Предпосылки!AS169*AT$41*(1+Чувствительность!$D$12)*IFERROR(LOOKUP(Предпосылки!$J141,$C$14:$C$16,AT$14:AT$16),1)</f>
        <v>0</v>
      </c>
      <c s="125">
        <f>Предпосылки!AT169*AU$41*(1+Чувствительность!$D$12)*IFERROR(LOOKUP(Предпосылки!$J141,$C$14:$C$16,AU$14:AU$16),1)</f>
        <v>0</v>
      </c>
      <c s="125">
        <f>Предпосылки!AU169*AV$41*(1+Чувствительность!$D$12)*IFERROR(LOOKUP(Предпосылки!$J141,$C$14:$C$16,AV$14:AV$16),1)</f>
        <v>0</v>
      </c>
      <c s="125">
        <f>Предпосылки!AV169*AW$41*(1+Чувствительность!$D$12)*IFERROR(LOOKUP(Предпосылки!$J141,$C$14:$C$16,AW$14:AW$16),1)</f>
        <v>0</v>
      </c>
      <c s="125">
        <f>Предпосылки!AW169*AX$41*(1+Чувствительность!$D$12)*IFERROR(LOOKUP(Предпосылки!$J141,$C$14:$C$16,AX$14:AX$16),1)</f>
        <v>0</v>
      </c>
      <c s="125">
        <f>Предпосылки!AX169*AY$41*(1+Чувствительность!$D$12)*IFERROR(LOOKUP(Предпосылки!$J141,$C$14:$C$16,AY$14:AY$16),1)</f>
        <v>0</v>
      </c>
      <c s="125">
        <f>Предпосылки!AY169*AZ$41*(1+Чувствительность!$D$12)*IFERROR(LOOKUP(Предпосылки!$J141,$C$14:$C$16,AZ$14:AZ$16),1)</f>
        <v>0</v>
      </c>
      <c s="125">
        <f>Предпосылки!AZ169*BA$41*(1+Чувствительность!$D$12)*IFERROR(LOOKUP(Предпосылки!$J141,$C$14:$C$16,BA$14:BA$16),1)</f>
        <v>0</v>
      </c>
      <c s="125">
        <f>Предпосылки!BA169*BB$41*(1+Чувствительность!$D$12)*IFERROR(LOOKUP(Предпосылки!$J141,$C$14:$C$16,BB$14:BB$16),1)</f>
        <v>0</v>
      </c>
      <c s="125">
        <f>Предпосылки!BB169*BC$41*(1+Чувствительность!$D$12)*IFERROR(LOOKUP(Предпосылки!$J141,$C$14:$C$16,BC$14:BC$16),1)</f>
        <v>0</v>
      </c>
      <c s="125">
        <f>Предпосылки!BC169*BD$41*(1+Чувствительность!$D$12)*IFERROR(LOOKUP(Предпосылки!$J141,$C$14:$C$16,BD$14:BD$16),1)</f>
        <v>0</v>
      </c>
      <c s="125">
        <f>Предпосылки!BD169*BE$41*(1+Чувствительность!$D$12)*IFERROR(LOOKUP(Предпосылки!$J141,$C$14:$C$16,BE$14:BE$16),1)</f>
        <v>0</v>
      </c>
      <c s="125">
        <f>Предпосылки!BE169*BF$41*(1+Чувствительность!$D$12)*IFERROR(LOOKUP(Предпосылки!$J141,$C$14:$C$16,BF$14:BF$16),1)</f>
        <v>0</v>
      </c>
      <c s="125">
        <f>Предпосылки!BF169*BG$41*(1+Чувствительность!$D$12)*IFERROR(LOOKUP(Предпосылки!$J141,$C$14:$C$16,BG$14:BG$16),1)</f>
        <v>0</v>
      </c>
      <c s="125">
        <f>Предпосылки!BG169*BH$41*(1+Чувствительность!$D$12)*IFERROR(LOOKUP(Предпосылки!$J141,$C$14:$C$16,BH$14:BH$16),1)</f>
        <v>0</v>
      </c>
      <c s="125">
        <f>Предпосылки!BH169*BI$41*(1+Чувствительность!$D$12)*IFERROR(LOOKUP(Предпосылки!$J141,$C$14:$C$16,BI$14:BI$16),1)</f>
        <v>0</v>
      </c>
      <c s="125">
        <f>Предпосылки!BI169*BJ$41*(1+Чувствительность!$D$12)*IFERROR(LOOKUP(Предпосылки!$J141,$C$14:$C$16,BJ$14:BJ$16),1)</f>
        <v>0</v>
      </c>
      <c s="125">
        <f>Предпосылки!BJ169*BK$41*(1+Чувствительность!$D$12)*IFERROR(LOOKUP(Предпосылки!$J141,$C$14:$C$16,BK$14:BK$16),1)</f>
        <v>0</v>
      </c>
      <c s="125">
        <f>Предпосылки!BK169*BL$41*(1+Чувствительность!$D$12)*IFERROR(LOOKUP(Предпосылки!$J141,$C$14:$C$16,BL$14:BL$16),1)</f>
        <v>0</v>
      </c>
      <c s="125">
        <f>Предпосылки!BL169*BM$41*(1+Чувствительность!$D$12)*IFERROR(LOOKUP(Предпосылки!$J141,$C$14:$C$16,BM$14:BM$16),1)</f>
        <v>0</v>
      </c>
    </row>
    <row r="64" ht="15" customHeight="1"/>
    <row r="65" spans="2:71" ht="21">
      <c r="B65" s="23" t="s">
        <v>850</v>
      </c>
      <c r="D6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6" spans="2:65" ht="15" customHeight="1">
      <c r="B66" s="12" t="str">
        <f>B44</f>
        <v>Продукт 1</v>
      </c>
      <c s="124" t="str">
        <f t="shared" si="39" ref="C66:C85">Единица_измерения</f>
        <v>тыс. руб.</v>
      </c>
      <c s="276">
        <f>SUM(E66:BM66)</f>
        <v>0</v>
      </c>
      <c s="125">
        <f t="shared" si="40" ref="E66:AG66">E18*E44</f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0"/>
        <v>0</v>
      </c>
      <c s="125">
        <f t="shared" si="41" ref="AH66:BM66">AH18*AH44</f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  <c s="125">
        <f t="shared" si="41"/>
        <v>0</v>
      </c>
    </row>
    <row r="67" spans="2:65" ht="15" customHeight="1">
      <c r="B67" s="12" t="str">
        <f t="shared" si="42" ref="B67:B85">B45</f>
        <v>Продукт 2</v>
      </c>
      <c s="124" t="str">
        <f t="shared" si="39"/>
        <v>тыс. руб.</v>
      </c>
      <c s="276">
        <f t="shared" si="43" ref="D67:D85">SUM(E67:BM67)</f>
        <v>0</v>
      </c>
      <c s="125">
        <f t="shared" si="44" ref="E67:AG67">E19*E45</f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4"/>
        <v>0</v>
      </c>
      <c s="125">
        <f t="shared" si="45" ref="AH67:BM67">AH19*AH45</f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  <c s="125">
        <f t="shared" si="45"/>
        <v>0</v>
      </c>
    </row>
    <row r="68" spans="2:65" ht="15" customHeight="1">
      <c r="B68" s="12" t="str">
        <f t="shared" si="42"/>
        <v>Продукт 3</v>
      </c>
      <c s="124" t="str">
        <f t="shared" si="39"/>
        <v>тыс. руб.</v>
      </c>
      <c s="276">
        <f t="shared" si="43"/>
        <v>0</v>
      </c>
      <c s="125">
        <f t="shared" si="46" ref="E68:AG68">E20*E46</f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7" ref="AH68:BM68">AH20*AH46</f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  <c s="125">
        <f t="shared" si="47"/>
        <v>0</v>
      </c>
    </row>
    <row r="69" spans="2:65" ht="15" customHeight="1">
      <c r="B69" s="12" t="str">
        <f t="shared" si="42"/>
        <v>Продукт 4</v>
      </c>
      <c s="124" t="str">
        <f t="shared" si="39"/>
        <v>тыс. руб.</v>
      </c>
      <c s="276">
        <f t="shared" si="43"/>
        <v>0</v>
      </c>
      <c s="125">
        <f t="shared" si="48" ref="E69:AG69">E21*E47</f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8"/>
        <v>0</v>
      </c>
      <c s="125">
        <f t="shared" si="49" ref="AH69:BM69">AH21*AH47</f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  <c s="125">
        <f t="shared" si="49"/>
        <v>0</v>
      </c>
    </row>
    <row r="70" spans="2:65" ht="15" customHeight="1">
      <c r="B70" s="12" t="str">
        <f t="shared" si="42"/>
        <v>Продукт 5</v>
      </c>
      <c s="124" t="str">
        <f t="shared" si="39"/>
        <v>тыс. руб.</v>
      </c>
      <c s="276">
        <f t="shared" si="43"/>
        <v>0</v>
      </c>
      <c s="125">
        <f t="shared" si="50" ref="E70:AG70">E22*E48</f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0"/>
        <v>0</v>
      </c>
      <c s="125">
        <f t="shared" si="51" ref="AH70:BM70">AH22*AH48</f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  <c s="125">
        <f t="shared" si="51"/>
        <v>0</v>
      </c>
    </row>
    <row r="71" spans="2:65" ht="15" customHeight="1">
      <c r="B71" s="12" t="str">
        <f t="shared" si="42"/>
        <v>Продукт 6</v>
      </c>
      <c s="124" t="str">
        <f t="shared" si="39"/>
        <v>тыс. руб.</v>
      </c>
      <c s="276">
        <f t="shared" si="43"/>
        <v>0</v>
      </c>
      <c s="125">
        <f t="shared" si="52" ref="E71:AG71">E23*E49</f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2"/>
        <v>0</v>
      </c>
      <c s="125">
        <f t="shared" si="53" ref="AH71:BM71">AH23*AH49</f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  <c s="125">
        <f t="shared" si="53"/>
        <v>0</v>
      </c>
    </row>
    <row r="72" spans="2:65" ht="15" customHeight="1">
      <c r="B72" s="12" t="str">
        <f t="shared" si="42"/>
        <v>Продукт 7</v>
      </c>
      <c s="124" t="str">
        <f t="shared" si="39"/>
        <v>тыс. руб.</v>
      </c>
      <c s="276">
        <f t="shared" si="43"/>
        <v>0</v>
      </c>
      <c s="125">
        <f t="shared" si="54" ref="E72:AG72">E24*E50</f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4"/>
        <v>0</v>
      </c>
      <c s="125">
        <f t="shared" si="55" ref="AH72:BM72">AH24*AH50</f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  <c s="125">
        <f t="shared" si="55"/>
        <v>0</v>
      </c>
    </row>
    <row r="73" spans="2:65" ht="15" customHeight="1">
      <c r="B73" s="12" t="str">
        <f t="shared" si="42"/>
        <v>Продукт 8</v>
      </c>
      <c s="124" t="str">
        <f t="shared" si="39"/>
        <v>тыс. руб.</v>
      </c>
      <c s="276">
        <f t="shared" si="43"/>
        <v>0</v>
      </c>
      <c s="125">
        <f t="shared" si="56" ref="E73:AG73">E25*E51</f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6"/>
        <v>0</v>
      </c>
      <c s="125">
        <f t="shared" si="57" ref="AH73:BM73">AH25*AH51</f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  <c s="125">
        <f t="shared" si="57"/>
        <v>0</v>
      </c>
    </row>
    <row r="74" spans="2:65" ht="15" customHeight="1">
      <c r="B74" s="12" t="str">
        <f t="shared" si="42"/>
        <v>Продукт 9</v>
      </c>
      <c s="124" t="str">
        <f t="shared" si="39"/>
        <v>тыс. руб.</v>
      </c>
      <c s="276">
        <f t="shared" si="43"/>
        <v>0</v>
      </c>
      <c s="125">
        <f t="shared" si="58" ref="E74:AG74">E26*E52</f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8"/>
        <v>0</v>
      </c>
      <c s="125">
        <f t="shared" si="59" ref="AH74:BM74">AH26*AH52</f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  <c s="125">
        <f t="shared" si="59"/>
        <v>0</v>
      </c>
    </row>
    <row r="75" spans="2:65" ht="15" customHeight="1">
      <c r="B75" s="12" t="str">
        <f t="shared" si="42"/>
        <v>Продукт 10</v>
      </c>
      <c s="124" t="str">
        <f t="shared" si="39"/>
        <v>тыс. руб.</v>
      </c>
      <c s="276">
        <f t="shared" si="43"/>
        <v>0</v>
      </c>
      <c s="125">
        <f t="shared" si="60" ref="E75:AG75">E27*E53</f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0"/>
        <v>0</v>
      </c>
      <c s="125">
        <f t="shared" si="61" ref="AH75:BM75">AH27*AH53</f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  <c s="125">
        <f t="shared" si="61"/>
        <v>0</v>
      </c>
    </row>
    <row r="76" spans="2:65" ht="15" customHeight="1">
      <c r="B76" s="12" t="str">
        <f t="shared" si="42"/>
        <v>Продукт 11</v>
      </c>
      <c s="124" t="str">
        <f t="shared" si="39"/>
        <v>тыс. руб.</v>
      </c>
      <c s="276">
        <f t="shared" si="43"/>
        <v>0</v>
      </c>
      <c s="125">
        <f t="shared" si="62" ref="E76:AG76">E28*E54</f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2"/>
        <v>0</v>
      </c>
      <c s="125">
        <f t="shared" si="63" ref="AH76:BM76">AH28*AH54</f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  <c s="125">
        <f t="shared" si="63"/>
        <v>0</v>
      </c>
    </row>
    <row r="77" spans="2:65" ht="15" customHeight="1">
      <c r="B77" s="12" t="str">
        <f t="shared" si="42"/>
        <v>Продукт 12</v>
      </c>
      <c s="124" t="str">
        <f t="shared" si="39"/>
        <v>тыс. руб.</v>
      </c>
      <c s="276">
        <f t="shared" si="43"/>
        <v>0</v>
      </c>
      <c s="125">
        <f t="shared" si="64" ref="E77:AG77">E29*E55</f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4"/>
        <v>0</v>
      </c>
      <c s="125">
        <f t="shared" si="65" ref="AH77:BM77">AH29*AH55</f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</row>
    <row r="78" spans="2:65" ht="15" customHeight="1">
      <c r="B78" s="12" t="str">
        <f t="shared" si="42"/>
        <v>Продукт 13</v>
      </c>
      <c s="124" t="str">
        <f t="shared" si="39"/>
        <v>тыс. руб.</v>
      </c>
      <c s="276">
        <f t="shared" si="43"/>
        <v>0</v>
      </c>
      <c s="125">
        <f t="shared" si="66" ref="E78:AG78">E30*E56</f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7" ref="AH78:BM78">AH30*AH56</f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  <c s="125">
        <f t="shared" si="67"/>
        <v>0</v>
      </c>
    </row>
    <row r="79" spans="2:65" ht="15" customHeight="1">
      <c r="B79" s="12" t="str">
        <f t="shared" si="42"/>
        <v>Продукт 14</v>
      </c>
      <c s="124" t="str">
        <f t="shared" si="39"/>
        <v>тыс. руб.</v>
      </c>
      <c s="276">
        <f t="shared" si="43"/>
        <v>0</v>
      </c>
      <c s="125">
        <f t="shared" si="68" ref="E79:AG79">E31*E57</f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8"/>
        <v>0</v>
      </c>
      <c s="125">
        <f t="shared" si="69" ref="AH79:BM79">AH31*AH57</f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</row>
    <row r="80" spans="2:65" ht="15" customHeight="1">
      <c r="B80" s="12" t="str">
        <f t="shared" si="42"/>
        <v>Продукт 15</v>
      </c>
      <c s="124" t="str">
        <f t="shared" si="39"/>
        <v>тыс. руб.</v>
      </c>
      <c s="276">
        <f t="shared" si="43"/>
        <v>0</v>
      </c>
      <c s="125">
        <f t="shared" si="70" ref="E80:AG80">E32*E58</f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1" ref="AH80:BM80">AH32*AH58</f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</row>
    <row r="81" spans="2:65" ht="15" customHeight="1">
      <c r="B81" s="12" t="str">
        <f t="shared" si="42"/>
        <v>Продукт 16</v>
      </c>
      <c s="124" t="str">
        <f t="shared" si="39"/>
        <v>тыс. руб.</v>
      </c>
      <c s="276">
        <f t="shared" si="43"/>
        <v>0</v>
      </c>
      <c s="125">
        <f t="shared" si="72" ref="E81:AG81">E33*E59</f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3" ref="AH81:BM81">AH33*AH59</f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</row>
    <row r="82" spans="2:65" ht="15" customHeight="1">
      <c r="B82" s="12" t="str">
        <f t="shared" si="42"/>
        <v>Продукт 17</v>
      </c>
      <c s="124" t="str">
        <f t="shared" si="39"/>
        <v>тыс. руб.</v>
      </c>
      <c s="276">
        <f t="shared" si="43"/>
        <v>0</v>
      </c>
      <c s="125">
        <f t="shared" si="74" ref="E82:AG82">E34*E60</f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5" ref="AH82:BM82">AH34*AH60</f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</row>
    <row r="83" spans="2:65" ht="15" customHeight="1">
      <c r="B83" s="12" t="str">
        <f t="shared" si="42"/>
        <v>Продукт 18</v>
      </c>
      <c s="124" t="str">
        <f t="shared" si="39"/>
        <v>тыс. руб.</v>
      </c>
      <c s="276">
        <f t="shared" si="43"/>
        <v>0</v>
      </c>
      <c s="125">
        <f t="shared" si="76" ref="E83:AG83">E35*E61</f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7" ref="AH83:BM83">AH35*AH61</f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</row>
    <row r="84" spans="2:65" ht="15" customHeight="1">
      <c r="B84" s="12" t="str">
        <f t="shared" si="42"/>
        <v>Продукт 19</v>
      </c>
      <c s="124" t="str">
        <f t="shared" si="39"/>
        <v>тыс. руб.</v>
      </c>
      <c s="276">
        <f t="shared" si="43"/>
        <v>0</v>
      </c>
      <c s="125">
        <f t="shared" si="78" ref="E84:AG84">E36*E62</f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9" ref="AH84:BM84">AH36*AH62</f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</row>
    <row r="85" spans="2:65" ht="15" customHeight="1">
      <c r="B85" s="12" t="str">
        <f t="shared" si="42"/>
        <v>Продукт 20</v>
      </c>
      <c s="124" t="str">
        <f t="shared" si="39"/>
        <v>тыс. руб.</v>
      </c>
      <c s="276">
        <f t="shared" si="43"/>
        <v>0</v>
      </c>
      <c s="125">
        <f t="shared" si="80" ref="E85:AG85">E37*E63</f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1" ref="AH85:BM85">AH37*AH63</f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</row>
    <row r="86" spans="2:65" ht="15" customHeight="1">
      <c r="B86" s="289" t="s">
        <v>454</v>
      </c>
      <c s="290" t="str">
        <f>Единица_измерения</f>
        <v>тыс. руб.</v>
      </c>
      <c s="291">
        <f>SUM(D66:D85)</f>
        <v>0</v>
      </c>
      <c s="276">
        <f>SUM(E66:E85)</f>
        <v>0</v>
      </c>
      <c s="276">
        <f t="shared" si="82" ref="F86:AG86">SUM(F66:F85)</f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3" ref="AH86:BM86">SUM(AH66:AH85)</f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</row>
    <row r="87" ht="15" customHeight="1"/>
    <row r="88" spans="2:71" ht="21">
      <c r="B88" s="23" t="s">
        <v>851</v>
      </c>
      <c r="D8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9" spans="2:65" ht="15" customHeight="1">
      <c r="B89" s="12" t="str">
        <f>B66</f>
        <v>Продукт 1</v>
      </c>
      <c s="124" t="str">
        <f t="shared" si="84" ref="C89:C108">Единица_измерения</f>
        <v>тыс. руб.</v>
      </c>
      <c s="276">
        <f>SUM(E89:BM89)</f>
        <v>0</v>
      </c>
      <c s="125">
        <f>E66/(1+IFERROR(INDEX(E$11:E$12,Предпосылки!$K122,),0))*IFERROR(INDEX(E$11:E$12,Предпосылки!$K122,),0)</f>
        <v>0</v>
      </c>
      <c s="125">
        <f>F66/(1+IFERROR(INDEX(F$11:F$12,Предпосылки!$K122,),0))*IFERROR(INDEX(F$11:F$12,Предпосылки!$K122,),0)</f>
        <v>0</v>
      </c>
      <c s="125">
        <f>G66/(1+IFERROR(INDEX(G$11:G$12,Предпосылки!$K122,),0))*IFERROR(INDEX(G$11:G$12,Предпосылки!$K122,),0)</f>
        <v>0</v>
      </c>
      <c s="125">
        <f>H66/(1+IFERROR(INDEX(H$11:H$12,Предпосылки!$K122,),0))*IFERROR(INDEX(H$11:H$12,Предпосылки!$K122,),0)</f>
        <v>0</v>
      </c>
      <c s="125">
        <f>I66/(1+IFERROR(INDEX(I$11:I$12,Предпосылки!$K122,),0))*IFERROR(INDEX(I$11:I$12,Предпосылки!$K122,),0)</f>
        <v>0</v>
      </c>
      <c s="125">
        <f>J66/(1+IFERROR(INDEX(J$11:J$12,Предпосылки!$K122,),0))*IFERROR(INDEX(J$11:J$12,Предпосылки!$K122,),0)</f>
        <v>0</v>
      </c>
      <c s="125">
        <f>K66/(1+IFERROR(INDEX(K$11:K$12,Предпосылки!$K122,),0))*IFERROR(INDEX(K$11:K$12,Предпосылки!$K122,),0)</f>
        <v>0</v>
      </c>
      <c s="125">
        <f>L66/(1+IFERROR(INDEX(L$11:L$12,Предпосылки!$K122,),0))*IFERROR(INDEX(L$11:L$12,Предпосылки!$K122,),0)</f>
        <v>0</v>
      </c>
      <c s="125">
        <f>M66/(1+IFERROR(INDEX(M$11:M$12,Предпосылки!$K122,),0))*IFERROR(INDEX(M$11:M$12,Предпосылки!$K122,),0)</f>
        <v>0</v>
      </c>
      <c s="125">
        <f>N66/(1+IFERROR(INDEX(N$11:N$12,Предпосылки!$K122,),0))*IFERROR(INDEX(N$11:N$12,Предпосылки!$K122,),0)</f>
        <v>0</v>
      </c>
      <c s="125">
        <f>O66/(1+IFERROR(INDEX(O$11:O$12,Предпосылки!$K122,),0))*IFERROR(INDEX(O$11:O$12,Предпосылки!$K122,),0)</f>
        <v>0</v>
      </c>
      <c s="125">
        <f>P66/(1+IFERROR(INDEX(P$11:P$12,Предпосылки!$K122,),0))*IFERROR(INDEX(P$11:P$12,Предпосылки!$K122,),0)</f>
        <v>0</v>
      </c>
      <c s="125">
        <f>Q66/(1+IFERROR(INDEX(Q$11:Q$12,Предпосылки!$K122,),0))*IFERROR(INDEX(Q$11:Q$12,Предпосылки!$K122,),0)</f>
        <v>0</v>
      </c>
      <c s="125">
        <f>R66/(1+IFERROR(INDEX(R$11:R$12,Предпосылки!$K122,),0))*IFERROR(INDEX(R$11:R$12,Предпосылки!$K122,),0)</f>
        <v>0</v>
      </c>
      <c s="125">
        <f>S66/(1+IFERROR(INDEX(S$11:S$12,Предпосылки!$K122,),0))*IFERROR(INDEX(S$11:S$12,Предпосылки!$K122,),0)</f>
        <v>0</v>
      </c>
      <c s="125">
        <f>T66/(1+IFERROR(INDEX(T$11:T$12,Предпосылки!$K122,),0))*IFERROR(INDEX(T$11:T$12,Предпосылки!$K122,),0)</f>
        <v>0</v>
      </c>
      <c s="125">
        <f>U66/(1+IFERROR(INDEX(U$11:U$12,Предпосылки!$K122,),0))*IFERROR(INDEX(U$11:U$12,Предпосылки!$K122,),0)</f>
        <v>0</v>
      </c>
      <c s="125">
        <f>V66/(1+IFERROR(INDEX(V$11:V$12,Предпосылки!$K122,),0))*IFERROR(INDEX(V$11:V$12,Предпосылки!$K122,),0)</f>
        <v>0</v>
      </c>
      <c s="125">
        <f>W66/(1+IFERROR(INDEX(W$11:W$12,Предпосылки!$K122,),0))*IFERROR(INDEX(W$11:W$12,Предпосылки!$K122,),0)</f>
        <v>0</v>
      </c>
      <c s="125">
        <f>X66/(1+IFERROR(INDEX(X$11:X$12,Предпосылки!$K122,),0))*IFERROR(INDEX(X$11:X$12,Предпосылки!$K122,),0)</f>
        <v>0</v>
      </c>
      <c s="125">
        <f>Y66/(1+IFERROR(INDEX(Y$11:Y$12,Предпосылки!$K122,),0))*IFERROR(INDEX(Y$11:Y$12,Предпосылки!$K122,),0)</f>
        <v>0</v>
      </c>
      <c s="125">
        <f>Z66/(1+IFERROR(INDEX(Z$11:Z$12,Предпосылки!$K122,),0))*IFERROR(INDEX(Z$11:Z$12,Предпосылки!$K122,),0)</f>
        <v>0</v>
      </c>
      <c s="125">
        <f>AA66/(1+IFERROR(INDEX(AA$11:AA$12,Предпосылки!$K122,),0))*IFERROR(INDEX(AA$11:AA$12,Предпосылки!$K122,),0)</f>
        <v>0</v>
      </c>
      <c s="125">
        <f>AB66/(1+IFERROR(INDEX(AB$11:AB$12,Предпосылки!$K122,),0))*IFERROR(INDEX(AB$11:AB$12,Предпосылки!$K122,),0)</f>
        <v>0</v>
      </c>
      <c s="125">
        <f>AC66/(1+IFERROR(INDEX(AC$11:AC$12,Предпосылки!$K122,),0))*IFERROR(INDEX(AC$11:AC$12,Предпосылки!$K122,),0)</f>
        <v>0</v>
      </c>
      <c s="125">
        <f>AD66/(1+IFERROR(INDEX(AD$11:AD$12,Предпосылки!$K122,),0))*IFERROR(INDEX(AD$11:AD$12,Предпосылки!$K122,),0)</f>
        <v>0</v>
      </c>
      <c s="125">
        <f>AE66/(1+IFERROR(INDEX(AE$11:AE$12,Предпосылки!$K122,),0))*IFERROR(INDEX(AE$11:AE$12,Предпосылки!$K122,),0)</f>
        <v>0</v>
      </c>
      <c s="125">
        <f>AF66/(1+IFERROR(INDEX(AF$11:AF$12,Предпосылки!$K122,),0))*IFERROR(INDEX(AF$11:AF$12,Предпосылки!$K122,),0)</f>
        <v>0</v>
      </c>
      <c s="125">
        <f>AG66/(1+IFERROR(INDEX(AG$11:AG$12,Предпосылки!$K122,),0))*IFERROR(INDEX(AG$11:AG$12,Предпосылки!$K122,),0)</f>
        <v>0</v>
      </c>
      <c s="125">
        <f>AH66/(1+IFERROR(INDEX(AH$11:AH$12,Предпосылки!$K122,),0))*IFERROR(INDEX(AH$11:AH$12,Предпосылки!$K122,),0)</f>
        <v>0</v>
      </c>
      <c s="125">
        <f>AI66/(1+IFERROR(INDEX(AI$11:AI$12,Предпосылки!$K122,),0))*IFERROR(INDEX(AI$11:AI$12,Предпосылки!$K122,),0)</f>
        <v>0</v>
      </c>
      <c s="125">
        <f>AJ66/(1+IFERROR(INDEX(AJ$11:AJ$12,Предпосылки!$K122,),0))*IFERROR(INDEX(AJ$11:AJ$12,Предпосылки!$K122,),0)</f>
        <v>0</v>
      </c>
      <c s="125">
        <f>AK66/(1+IFERROR(INDEX(AK$11:AK$12,Предпосылки!$K122,),0))*IFERROR(INDEX(AK$11:AK$12,Предпосылки!$K122,),0)</f>
        <v>0</v>
      </c>
      <c s="125">
        <f>AL66/(1+IFERROR(INDEX(AL$11:AL$12,Предпосылки!$K122,),0))*IFERROR(INDEX(AL$11:AL$12,Предпосылки!$K122,),0)</f>
        <v>0</v>
      </c>
      <c s="125">
        <f>AM66/(1+IFERROR(INDEX(AM$11:AM$12,Предпосылки!$K122,),0))*IFERROR(INDEX(AM$11:AM$12,Предпосылки!$K122,),0)</f>
        <v>0</v>
      </c>
      <c s="125">
        <f>AN66/(1+IFERROR(INDEX(AN$11:AN$12,Предпосылки!$K122,),0))*IFERROR(INDEX(AN$11:AN$12,Предпосылки!$K122,),0)</f>
        <v>0</v>
      </c>
      <c s="125">
        <f>AO66/(1+IFERROR(INDEX(AO$11:AO$12,Предпосылки!$K122,),0))*IFERROR(INDEX(AO$11:AO$12,Предпосылки!$K122,),0)</f>
        <v>0</v>
      </c>
      <c s="125">
        <f>AP66/(1+IFERROR(INDEX(AP$11:AP$12,Предпосылки!$K122,),0))*IFERROR(INDEX(AP$11:AP$12,Предпосылки!$K122,),0)</f>
        <v>0</v>
      </c>
      <c s="125">
        <f>AQ66/(1+IFERROR(INDEX(AQ$11:AQ$12,Предпосылки!$K122,),0))*IFERROR(INDEX(AQ$11:AQ$12,Предпосылки!$K122,),0)</f>
        <v>0</v>
      </c>
      <c s="125">
        <f>AR66/(1+IFERROR(INDEX(AR$11:AR$12,Предпосылки!$K122,),0))*IFERROR(INDEX(AR$11:AR$12,Предпосылки!$K122,),0)</f>
        <v>0</v>
      </c>
      <c s="125">
        <f>AS66/(1+IFERROR(INDEX(AS$11:AS$12,Предпосылки!$K122,),0))*IFERROR(INDEX(AS$11:AS$12,Предпосылки!$K122,),0)</f>
        <v>0</v>
      </c>
      <c s="125">
        <f>AT66/(1+IFERROR(INDEX(AT$11:AT$12,Предпосылки!$K122,),0))*IFERROR(INDEX(AT$11:AT$12,Предпосылки!$K122,),0)</f>
        <v>0</v>
      </c>
      <c s="125">
        <f>AU66/(1+IFERROR(INDEX(AU$11:AU$12,Предпосылки!$K122,),0))*IFERROR(INDEX(AU$11:AU$12,Предпосылки!$K122,),0)</f>
        <v>0</v>
      </c>
      <c s="125">
        <f>AV66/(1+IFERROR(INDEX(AV$11:AV$12,Предпосылки!$K122,),0))*IFERROR(INDEX(AV$11:AV$12,Предпосылки!$K122,),0)</f>
        <v>0</v>
      </c>
      <c s="125">
        <f>AW66/(1+IFERROR(INDEX(AW$11:AW$12,Предпосылки!$K122,),0))*IFERROR(INDEX(AW$11:AW$12,Предпосылки!$K122,),0)</f>
        <v>0</v>
      </c>
      <c s="125">
        <f>AX66/(1+IFERROR(INDEX(AX$11:AX$12,Предпосылки!$K122,),0))*IFERROR(INDEX(AX$11:AX$12,Предпосылки!$K122,),0)</f>
        <v>0</v>
      </c>
      <c s="125">
        <f>AY66/(1+IFERROR(INDEX(AY$11:AY$12,Предпосылки!$K122,),0))*IFERROR(INDEX(AY$11:AY$12,Предпосылки!$K122,),0)</f>
        <v>0</v>
      </c>
      <c s="125">
        <f>AZ66/(1+IFERROR(INDEX(AZ$11:AZ$12,Предпосылки!$K122,),0))*IFERROR(INDEX(AZ$11:AZ$12,Предпосылки!$K122,),0)</f>
        <v>0</v>
      </c>
      <c s="125">
        <f>BA66/(1+IFERROR(INDEX(BA$11:BA$12,Предпосылки!$K122,),0))*IFERROR(INDEX(BA$11:BA$12,Предпосылки!$K122,),0)</f>
        <v>0</v>
      </c>
      <c s="125">
        <f>BB66/(1+IFERROR(INDEX(BB$11:BB$12,Предпосылки!$K122,),0))*IFERROR(INDEX(BB$11:BB$12,Предпосылки!$K122,),0)</f>
        <v>0</v>
      </c>
      <c s="125">
        <f>BC66/(1+IFERROR(INDEX(BC$11:BC$12,Предпосылки!$K122,),0))*IFERROR(INDEX(BC$11:BC$12,Предпосылки!$K122,),0)</f>
        <v>0</v>
      </c>
      <c s="125">
        <f>BD66/(1+IFERROR(INDEX(BD$11:BD$12,Предпосылки!$K122,),0))*IFERROR(INDEX(BD$11:BD$12,Предпосылки!$K122,),0)</f>
        <v>0</v>
      </c>
      <c s="125">
        <f>BE66/(1+IFERROR(INDEX(BE$11:BE$12,Предпосылки!$K122,),0))*IFERROR(INDEX(BE$11:BE$12,Предпосылки!$K122,),0)</f>
        <v>0</v>
      </c>
      <c s="125">
        <f>BF66/(1+IFERROR(INDEX(BF$11:BF$12,Предпосылки!$K122,),0))*IFERROR(INDEX(BF$11:BF$12,Предпосылки!$K122,),0)</f>
        <v>0</v>
      </c>
      <c s="125">
        <f>BG66/(1+IFERROR(INDEX(BG$11:BG$12,Предпосылки!$K122,),0))*IFERROR(INDEX(BG$11:BG$12,Предпосылки!$K122,),0)</f>
        <v>0</v>
      </c>
      <c s="125">
        <f>BH66/(1+IFERROR(INDEX(BH$11:BH$12,Предпосылки!$K122,),0))*IFERROR(INDEX(BH$11:BH$12,Предпосылки!$K122,),0)</f>
        <v>0</v>
      </c>
      <c s="125">
        <f>BI66/(1+IFERROR(INDEX(BI$11:BI$12,Предпосылки!$K122,),0))*IFERROR(INDEX(BI$11:BI$12,Предпосылки!$K122,),0)</f>
        <v>0</v>
      </c>
      <c s="125">
        <f>BJ66/(1+IFERROR(INDEX(BJ$11:BJ$12,Предпосылки!$K122,),0))*IFERROR(INDEX(BJ$11:BJ$12,Предпосылки!$K122,),0)</f>
        <v>0</v>
      </c>
      <c s="125">
        <f>BK66/(1+IFERROR(INDEX(BK$11:BK$12,Предпосылки!$K122,),0))*IFERROR(INDEX(BK$11:BK$12,Предпосылки!$K122,),0)</f>
        <v>0</v>
      </c>
      <c s="125">
        <f>BL66/(1+IFERROR(INDEX(BL$11:BL$12,Предпосылки!$K122,),0))*IFERROR(INDEX(BL$11:BL$12,Предпосылки!$K122,),0)</f>
        <v>0</v>
      </c>
      <c s="125">
        <f>BM66/(1+IFERROR(INDEX(BM$11:BM$12,Предпосылки!$K122,),0))*IFERROR(INDEX(BM$11:BM$12,Предпосылки!$K122,),0)</f>
        <v>0</v>
      </c>
    </row>
    <row r="90" spans="2:65" ht="15" customHeight="1">
      <c r="B90" s="12" t="str">
        <f t="shared" si="85" ref="B90:B108">B67</f>
        <v>Продукт 2</v>
      </c>
      <c s="124" t="str">
        <f t="shared" si="84"/>
        <v>тыс. руб.</v>
      </c>
      <c s="276">
        <f t="shared" si="86" ref="D90:D108">SUM(E90:BM90)</f>
        <v>0</v>
      </c>
      <c s="125">
        <f>E67/(1+IFERROR(INDEX(E$11:E$12,Предпосылки!$K123,),0))*IFERROR(INDEX(E$11:E$12,Предпосылки!$K123,),0)</f>
        <v>0</v>
      </c>
      <c s="125">
        <f>F67/(1+IFERROR(INDEX(F$11:F$12,Предпосылки!$K123,),0))*IFERROR(INDEX(F$11:F$12,Предпосылки!$K123,),0)</f>
        <v>0</v>
      </c>
      <c s="125">
        <f>G67/(1+IFERROR(INDEX(G$11:G$12,Предпосылки!$K123,),0))*IFERROR(INDEX(G$11:G$12,Предпосылки!$K123,),0)</f>
        <v>0</v>
      </c>
      <c s="125">
        <f>H67/(1+IFERROR(INDEX(H$11:H$12,Предпосылки!$K123,),0))*IFERROR(INDEX(H$11:H$12,Предпосылки!$K123,),0)</f>
        <v>0</v>
      </c>
      <c s="125">
        <f>I67/(1+IFERROR(INDEX(I$11:I$12,Предпосылки!$K123,),0))*IFERROR(INDEX(I$11:I$12,Предпосылки!$K123,),0)</f>
        <v>0</v>
      </c>
      <c s="125">
        <f>J67/(1+IFERROR(INDEX(J$11:J$12,Предпосылки!$K123,),0))*IFERROR(INDEX(J$11:J$12,Предпосылки!$K123,),0)</f>
        <v>0</v>
      </c>
      <c s="125">
        <f>K67/(1+IFERROR(INDEX(K$11:K$12,Предпосылки!$K123,),0))*IFERROR(INDEX(K$11:K$12,Предпосылки!$K123,),0)</f>
        <v>0</v>
      </c>
      <c s="125">
        <f>L67/(1+IFERROR(INDEX(L$11:L$12,Предпосылки!$K123,),0))*IFERROR(INDEX(L$11:L$12,Предпосылки!$K123,),0)</f>
        <v>0</v>
      </c>
      <c s="125">
        <f>M67/(1+IFERROR(INDEX(M$11:M$12,Предпосылки!$K123,),0))*IFERROR(INDEX(M$11:M$12,Предпосылки!$K123,),0)</f>
        <v>0</v>
      </c>
      <c s="125">
        <f>N67/(1+IFERROR(INDEX(N$11:N$12,Предпосылки!$K123,),0))*IFERROR(INDEX(N$11:N$12,Предпосылки!$K123,),0)</f>
        <v>0</v>
      </c>
      <c s="125">
        <f>O67/(1+IFERROR(INDEX(O$11:O$12,Предпосылки!$K123,),0))*IFERROR(INDEX(O$11:O$12,Предпосылки!$K123,),0)</f>
        <v>0</v>
      </c>
      <c s="125">
        <f>P67/(1+IFERROR(INDEX(P$11:P$12,Предпосылки!$K123,),0))*IFERROR(INDEX(P$11:P$12,Предпосылки!$K123,),0)</f>
        <v>0</v>
      </c>
      <c s="125">
        <f>Q67/(1+IFERROR(INDEX(Q$11:Q$12,Предпосылки!$K123,),0))*IFERROR(INDEX(Q$11:Q$12,Предпосылки!$K123,),0)</f>
        <v>0</v>
      </c>
      <c s="125">
        <f>R67/(1+IFERROR(INDEX(R$11:R$12,Предпосылки!$K123,),0))*IFERROR(INDEX(R$11:R$12,Предпосылки!$K123,),0)</f>
        <v>0</v>
      </c>
      <c s="125">
        <f>S67/(1+IFERROR(INDEX(S$11:S$12,Предпосылки!$K123,),0))*IFERROR(INDEX(S$11:S$12,Предпосылки!$K123,),0)</f>
        <v>0</v>
      </c>
      <c s="125">
        <f>T67/(1+IFERROR(INDEX(T$11:T$12,Предпосылки!$K123,),0))*IFERROR(INDEX(T$11:T$12,Предпосылки!$K123,),0)</f>
        <v>0</v>
      </c>
      <c s="125">
        <f>U67/(1+IFERROR(INDEX(U$11:U$12,Предпосылки!$K123,),0))*IFERROR(INDEX(U$11:U$12,Предпосылки!$K123,),0)</f>
        <v>0</v>
      </c>
      <c s="125">
        <f>V67/(1+IFERROR(INDEX(V$11:V$12,Предпосылки!$K123,),0))*IFERROR(INDEX(V$11:V$12,Предпосылки!$K123,),0)</f>
        <v>0</v>
      </c>
      <c s="125">
        <f>W67/(1+IFERROR(INDEX(W$11:W$12,Предпосылки!$K123,),0))*IFERROR(INDEX(W$11:W$12,Предпосылки!$K123,),0)</f>
        <v>0</v>
      </c>
      <c s="125">
        <f>X67/(1+IFERROR(INDEX(X$11:X$12,Предпосылки!$K123,),0))*IFERROR(INDEX(X$11:X$12,Предпосылки!$K123,),0)</f>
        <v>0</v>
      </c>
      <c s="125">
        <f>Y67/(1+IFERROR(INDEX(Y$11:Y$12,Предпосылки!$K123,),0))*IFERROR(INDEX(Y$11:Y$12,Предпосылки!$K123,),0)</f>
        <v>0</v>
      </c>
      <c s="125">
        <f>Z67/(1+IFERROR(INDEX(Z$11:Z$12,Предпосылки!$K123,),0))*IFERROR(INDEX(Z$11:Z$12,Предпосылки!$K123,),0)</f>
        <v>0</v>
      </c>
      <c s="125">
        <f>AA67/(1+IFERROR(INDEX(AA$11:AA$12,Предпосылки!$K123,),0))*IFERROR(INDEX(AA$11:AA$12,Предпосылки!$K123,),0)</f>
        <v>0</v>
      </c>
      <c s="125">
        <f>AB67/(1+IFERROR(INDEX(AB$11:AB$12,Предпосылки!$K123,),0))*IFERROR(INDEX(AB$11:AB$12,Предпосылки!$K123,),0)</f>
        <v>0</v>
      </c>
      <c s="125">
        <f>AC67/(1+IFERROR(INDEX(AC$11:AC$12,Предпосылки!$K123,),0))*IFERROR(INDEX(AC$11:AC$12,Предпосылки!$K123,),0)</f>
        <v>0</v>
      </c>
      <c s="125">
        <f>AD67/(1+IFERROR(INDEX(AD$11:AD$12,Предпосылки!$K123,),0))*IFERROR(INDEX(AD$11:AD$12,Предпосылки!$K123,),0)</f>
        <v>0</v>
      </c>
      <c s="125">
        <f>AE67/(1+IFERROR(INDEX(AE$11:AE$12,Предпосылки!$K123,),0))*IFERROR(INDEX(AE$11:AE$12,Предпосылки!$K123,),0)</f>
        <v>0</v>
      </c>
      <c s="125">
        <f>AF67/(1+IFERROR(INDEX(AF$11:AF$12,Предпосылки!$K123,),0))*IFERROR(INDEX(AF$11:AF$12,Предпосылки!$K123,),0)</f>
        <v>0</v>
      </c>
      <c s="125">
        <f>AG67/(1+IFERROR(INDEX(AG$11:AG$12,Предпосылки!$K123,),0))*IFERROR(INDEX(AG$11:AG$12,Предпосылки!$K123,),0)</f>
        <v>0</v>
      </c>
      <c s="125">
        <f>AH67/(1+IFERROR(INDEX(AH$11:AH$12,Предпосылки!$K123,),0))*IFERROR(INDEX(AH$11:AH$12,Предпосылки!$K123,),0)</f>
        <v>0</v>
      </c>
      <c s="125">
        <f>AI67/(1+IFERROR(INDEX(AI$11:AI$12,Предпосылки!$K123,),0))*IFERROR(INDEX(AI$11:AI$12,Предпосылки!$K123,),0)</f>
        <v>0</v>
      </c>
      <c s="125">
        <f>AJ67/(1+IFERROR(INDEX(AJ$11:AJ$12,Предпосылки!$K123,),0))*IFERROR(INDEX(AJ$11:AJ$12,Предпосылки!$K123,),0)</f>
        <v>0</v>
      </c>
      <c s="125">
        <f>AK67/(1+IFERROR(INDEX(AK$11:AK$12,Предпосылки!$K123,),0))*IFERROR(INDEX(AK$11:AK$12,Предпосылки!$K123,),0)</f>
        <v>0</v>
      </c>
      <c s="125">
        <f>AL67/(1+IFERROR(INDEX(AL$11:AL$12,Предпосылки!$K123,),0))*IFERROR(INDEX(AL$11:AL$12,Предпосылки!$K123,),0)</f>
        <v>0</v>
      </c>
      <c s="125">
        <f>AM67/(1+IFERROR(INDEX(AM$11:AM$12,Предпосылки!$K123,),0))*IFERROR(INDEX(AM$11:AM$12,Предпосылки!$K123,),0)</f>
        <v>0</v>
      </c>
      <c s="125">
        <f>AN67/(1+IFERROR(INDEX(AN$11:AN$12,Предпосылки!$K123,),0))*IFERROR(INDEX(AN$11:AN$12,Предпосылки!$K123,),0)</f>
        <v>0</v>
      </c>
      <c s="125">
        <f>AO67/(1+IFERROR(INDEX(AO$11:AO$12,Предпосылки!$K123,),0))*IFERROR(INDEX(AO$11:AO$12,Предпосылки!$K123,),0)</f>
        <v>0</v>
      </c>
      <c s="125">
        <f>AP67/(1+IFERROR(INDEX(AP$11:AP$12,Предпосылки!$K123,),0))*IFERROR(INDEX(AP$11:AP$12,Предпосылки!$K123,),0)</f>
        <v>0</v>
      </c>
      <c s="125">
        <f>AQ67/(1+IFERROR(INDEX(AQ$11:AQ$12,Предпосылки!$K123,),0))*IFERROR(INDEX(AQ$11:AQ$12,Предпосылки!$K123,),0)</f>
        <v>0</v>
      </c>
      <c s="125">
        <f>AR67/(1+IFERROR(INDEX(AR$11:AR$12,Предпосылки!$K123,),0))*IFERROR(INDEX(AR$11:AR$12,Предпосылки!$K123,),0)</f>
        <v>0</v>
      </c>
      <c s="125">
        <f>AS67/(1+IFERROR(INDEX(AS$11:AS$12,Предпосылки!$K123,),0))*IFERROR(INDEX(AS$11:AS$12,Предпосылки!$K123,),0)</f>
        <v>0</v>
      </c>
      <c s="125">
        <f>AT67/(1+IFERROR(INDEX(AT$11:AT$12,Предпосылки!$K123,),0))*IFERROR(INDEX(AT$11:AT$12,Предпосылки!$K123,),0)</f>
        <v>0</v>
      </c>
      <c s="125">
        <f>AU67/(1+IFERROR(INDEX(AU$11:AU$12,Предпосылки!$K123,),0))*IFERROR(INDEX(AU$11:AU$12,Предпосылки!$K123,),0)</f>
        <v>0</v>
      </c>
      <c s="125">
        <f>AV67/(1+IFERROR(INDEX(AV$11:AV$12,Предпосылки!$K123,),0))*IFERROR(INDEX(AV$11:AV$12,Предпосылки!$K123,),0)</f>
        <v>0</v>
      </c>
      <c s="125">
        <f>AW67/(1+IFERROR(INDEX(AW$11:AW$12,Предпосылки!$K123,),0))*IFERROR(INDEX(AW$11:AW$12,Предпосылки!$K123,),0)</f>
        <v>0</v>
      </c>
      <c s="125">
        <f>AX67/(1+IFERROR(INDEX(AX$11:AX$12,Предпосылки!$K123,),0))*IFERROR(INDEX(AX$11:AX$12,Предпосылки!$K123,),0)</f>
        <v>0</v>
      </c>
      <c s="125">
        <f>AY67/(1+IFERROR(INDEX(AY$11:AY$12,Предпосылки!$K123,),0))*IFERROR(INDEX(AY$11:AY$12,Предпосылки!$K123,),0)</f>
        <v>0</v>
      </c>
      <c s="125">
        <f>AZ67/(1+IFERROR(INDEX(AZ$11:AZ$12,Предпосылки!$K123,),0))*IFERROR(INDEX(AZ$11:AZ$12,Предпосылки!$K123,),0)</f>
        <v>0</v>
      </c>
      <c s="125">
        <f>BA67/(1+IFERROR(INDEX(BA$11:BA$12,Предпосылки!$K123,),0))*IFERROR(INDEX(BA$11:BA$12,Предпосылки!$K123,),0)</f>
        <v>0</v>
      </c>
      <c s="125">
        <f>BB67/(1+IFERROR(INDEX(BB$11:BB$12,Предпосылки!$K123,),0))*IFERROR(INDEX(BB$11:BB$12,Предпосылки!$K123,),0)</f>
        <v>0</v>
      </c>
      <c s="125">
        <f>BC67/(1+IFERROR(INDEX(BC$11:BC$12,Предпосылки!$K123,),0))*IFERROR(INDEX(BC$11:BC$12,Предпосылки!$K123,),0)</f>
        <v>0</v>
      </c>
      <c s="125">
        <f>BD67/(1+IFERROR(INDEX(BD$11:BD$12,Предпосылки!$K123,),0))*IFERROR(INDEX(BD$11:BD$12,Предпосылки!$K123,),0)</f>
        <v>0</v>
      </c>
      <c s="125">
        <f>BE67/(1+IFERROR(INDEX(BE$11:BE$12,Предпосылки!$K123,),0))*IFERROR(INDEX(BE$11:BE$12,Предпосылки!$K123,),0)</f>
        <v>0</v>
      </c>
      <c s="125">
        <f>BF67/(1+IFERROR(INDEX(BF$11:BF$12,Предпосылки!$K123,),0))*IFERROR(INDEX(BF$11:BF$12,Предпосылки!$K123,),0)</f>
        <v>0</v>
      </c>
      <c s="125">
        <f>BG67/(1+IFERROR(INDEX(BG$11:BG$12,Предпосылки!$K123,),0))*IFERROR(INDEX(BG$11:BG$12,Предпосылки!$K123,),0)</f>
        <v>0</v>
      </c>
      <c s="125">
        <f>BH67/(1+IFERROR(INDEX(BH$11:BH$12,Предпосылки!$K123,),0))*IFERROR(INDEX(BH$11:BH$12,Предпосылки!$K123,),0)</f>
        <v>0</v>
      </c>
      <c s="125">
        <f>BI67/(1+IFERROR(INDEX(BI$11:BI$12,Предпосылки!$K123,),0))*IFERROR(INDEX(BI$11:BI$12,Предпосылки!$K123,),0)</f>
        <v>0</v>
      </c>
      <c s="125">
        <f>BJ67/(1+IFERROR(INDEX(BJ$11:BJ$12,Предпосылки!$K123,),0))*IFERROR(INDEX(BJ$11:BJ$12,Предпосылки!$K123,),0)</f>
        <v>0</v>
      </c>
      <c s="125">
        <f>BK67/(1+IFERROR(INDEX(BK$11:BK$12,Предпосылки!$K123,),0))*IFERROR(INDEX(BK$11:BK$12,Предпосылки!$K123,),0)</f>
        <v>0</v>
      </c>
      <c s="125">
        <f>BL67/(1+IFERROR(INDEX(BL$11:BL$12,Предпосылки!$K123,),0))*IFERROR(INDEX(BL$11:BL$12,Предпосылки!$K123,),0)</f>
        <v>0</v>
      </c>
      <c s="125">
        <f>BM67/(1+IFERROR(INDEX(BM$11:BM$12,Предпосылки!$K123,),0))*IFERROR(INDEX(BM$11:BM$12,Предпосылки!$K123,),0)</f>
        <v>0</v>
      </c>
    </row>
    <row r="91" spans="2:65" ht="15" customHeight="1">
      <c r="B91" s="12" t="str">
        <f t="shared" si="85"/>
        <v>Продукт 3</v>
      </c>
      <c s="124" t="str">
        <f t="shared" si="84"/>
        <v>тыс. руб.</v>
      </c>
      <c s="276">
        <f t="shared" si="86"/>
        <v>0</v>
      </c>
      <c s="125">
        <f>E68/(1+IFERROR(INDEX(E$11:E$12,Предпосылки!$K124,),0))*IFERROR(INDEX(E$11:E$12,Предпосылки!$K124,),0)</f>
        <v>0</v>
      </c>
      <c s="125">
        <f>F68/(1+IFERROR(INDEX(F$11:F$12,Предпосылки!$K124,),0))*IFERROR(INDEX(F$11:F$12,Предпосылки!$K124,),0)</f>
        <v>0</v>
      </c>
      <c s="125">
        <f>G68/(1+IFERROR(INDEX(G$11:G$12,Предпосылки!$K124,),0))*IFERROR(INDEX(G$11:G$12,Предпосылки!$K124,),0)</f>
        <v>0</v>
      </c>
      <c s="125">
        <f>H68/(1+IFERROR(INDEX(H$11:H$12,Предпосылки!$K124,),0))*IFERROR(INDEX(H$11:H$12,Предпосылки!$K124,),0)</f>
        <v>0</v>
      </c>
      <c s="125">
        <f>I68/(1+IFERROR(INDEX(I$11:I$12,Предпосылки!$K124,),0))*IFERROR(INDEX(I$11:I$12,Предпосылки!$K124,),0)</f>
        <v>0</v>
      </c>
      <c s="125">
        <f>J68/(1+IFERROR(INDEX(J$11:J$12,Предпосылки!$K124,),0))*IFERROR(INDEX(J$11:J$12,Предпосылки!$K124,),0)</f>
        <v>0</v>
      </c>
      <c s="125">
        <f>K68/(1+IFERROR(INDEX(K$11:K$12,Предпосылки!$K124,),0))*IFERROR(INDEX(K$11:K$12,Предпосылки!$K124,),0)</f>
        <v>0</v>
      </c>
      <c s="125">
        <f>L68/(1+IFERROR(INDEX(L$11:L$12,Предпосылки!$K124,),0))*IFERROR(INDEX(L$11:L$12,Предпосылки!$K124,),0)</f>
        <v>0</v>
      </c>
      <c s="125">
        <f>M68/(1+IFERROR(INDEX(M$11:M$12,Предпосылки!$K124,),0))*IFERROR(INDEX(M$11:M$12,Предпосылки!$K124,),0)</f>
        <v>0</v>
      </c>
      <c s="125">
        <f>N68/(1+IFERROR(INDEX(N$11:N$12,Предпосылки!$K124,),0))*IFERROR(INDEX(N$11:N$12,Предпосылки!$K124,),0)</f>
        <v>0</v>
      </c>
      <c s="125">
        <f>O68/(1+IFERROR(INDEX(O$11:O$12,Предпосылки!$K124,),0))*IFERROR(INDEX(O$11:O$12,Предпосылки!$K124,),0)</f>
        <v>0</v>
      </c>
      <c s="125">
        <f>P68/(1+IFERROR(INDEX(P$11:P$12,Предпосылки!$K124,),0))*IFERROR(INDEX(P$11:P$12,Предпосылки!$K124,),0)</f>
        <v>0</v>
      </c>
      <c s="125">
        <f>Q68/(1+IFERROR(INDEX(Q$11:Q$12,Предпосылки!$K124,),0))*IFERROR(INDEX(Q$11:Q$12,Предпосылки!$K124,),0)</f>
        <v>0</v>
      </c>
      <c s="125">
        <f>R68/(1+IFERROR(INDEX(R$11:R$12,Предпосылки!$K124,),0))*IFERROR(INDEX(R$11:R$12,Предпосылки!$K124,),0)</f>
        <v>0</v>
      </c>
      <c s="125">
        <f>S68/(1+IFERROR(INDEX(S$11:S$12,Предпосылки!$K124,),0))*IFERROR(INDEX(S$11:S$12,Предпосылки!$K124,),0)</f>
        <v>0</v>
      </c>
      <c s="125">
        <f>T68/(1+IFERROR(INDEX(T$11:T$12,Предпосылки!$K124,),0))*IFERROR(INDEX(T$11:T$12,Предпосылки!$K124,),0)</f>
        <v>0</v>
      </c>
      <c s="125">
        <f>U68/(1+IFERROR(INDEX(U$11:U$12,Предпосылки!$K124,),0))*IFERROR(INDEX(U$11:U$12,Предпосылки!$K124,),0)</f>
        <v>0</v>
      </c>
      <c s="125">
        <f>V68/(1+IFERROR(INDEX(V$11:V$12,Предпосылки!$K124,),0))*IFERROR(INDEX(V$11:V$12,Предпосылки!$K124,),0)</f>
        <v>0</v>
      </c>
      <c s="125">
        <f>W68/(1+IFERROR(INDEX(W$11:W$12,Предпосылки!$K124,),0))*IFERROR(INDEX(W$11:W$12,Предпосылки!$K124,),0)</f>
        <v>0</v>
      </c>
      <c s="125">
        <f>X68/(1+IFERROR(INDEX(X$11:X$12,Предпосылки!$K124,),0))*IFERROR(INDEX(X$11:X$12,Предпосылки!$K124,),0)</f>
        <v>0</v>
      </c>
      <c s="125">
        <f>Y68/(1+IFERROR(INDEX(Y$11:Y$12,Предпосылки!$K124,),0))*IFERROR(INDEX(Y$11:Y$12,Предпосылки!$K124,),0)</f>
        <v>0</v>
      </c>
      <c s="125">
        <f>Z68/(1+IFERROR(INDEX(Z$11:Z$12,Предпосылки!$K124,),0))*IFERROR(INDEX(Z$11:Z$12,Предпосылки!$K124,),0)</f>
        <v>0</v>
      </c>
      <c s="125">
        <f>AA68/(1+IFERROR(INDEX(AA$11:AA$12,Предпосылки!$K124,),0))*IFERROR(INDEX(AA$11:AA$12,Предпосылки!$K124,),0)</f>
        <v>0</v>
      </c>
      <c s="125">
        <f>AB68/(1+IFERROR(INDEX(AB$11:AB$12,Предпосылки!$K124,),0))*IFERROR(INDEX(AB$11:AB$12,Предпосылки!$K124,),0)</f>
        <v>0</v>
      </c>
      <c s="125">
        <f>AC68/(1+IFERROR(INDEX(AC$11:AC$12,Предпосылки!$K124,),0))*IFERROR(INDEX(AC$11:AC$12,Предпосылки!$K124,),0)</f>
        <v>0</v>
      </c>
      <c s="125">
        <f>AD68/(1+IFERROR(INDEX(AD$11:AD$12,Предпосылки!$K124,),0))*IFERROR(INDEX(AD$11:AD$12,Предпосылки!$K124,),0)</f>
        <v>0</v>
      </c>
      <c s="125">
        <f>AE68/(1+IFERROR(INDEX(AE$11:AE$12,Предпосылки!$K124,),0))*IFERROR(INDEX(AE$11:AE$12,Предпосылки!$K124,),0)</f>
        <v>0</v>
      </c>
      <c s="125">
        <f>AF68/(1+IFERROR(INDEX(AF$11:AF$12,Предпосылки!$K124,),0))*IFERROR(INDEX(AF$11:AF$12,Предпосылки!$K124,),0)</f>
        <v>0</v>
      </c>
      <c s="125">
        <f>AG68/(1+IFERROR(INDEX(AG$11:AG$12,Предпосылки!$K124,),0))*IFERROR(INDEX(AG$11:AG$12,Предпосылки!$K124,),0)</f>
        <v>0</v>
      </c>
      <c s="125">
        <f>AH68/(1+IFERROR(INDEX(AH$11:AH$12,Предпосылки!$K124,),0))*IFERROR(INDEX(AH$11:AH$12,Предпосылки!$K124,),0)</f>
        <v>0</v>
      </c>
      <c s="125">
        <f>AI68/(1+IFERROR(INDEX(AI$11:AI$12,Предпосылки!$K124,),0))*IFERROR(INDEX(AI$11:AI$12,Предпосылки!$K124,),0)</f>
        <v>0</v>
      </c>
      <c s="125">
        <f>AJ68/(1+IFERROR(INDEX(AJ$11:AJ$12,Предпосылки!$K124,),0))*IFERROR(INDEX(AJ$11:AJ$12,Предпосылки!$K124,),0)</f>
        <v>0</v>
      </c>
      <c s="125">
        <f>AK68/(1+IFERROR(INDEX(AK$11:AK$12,Предпосылки!$K124,),0))*IFERROR(INDEX(AK$11:AK$12,Предпосылки!$K124,),0)</f>
        <v>0</v>
      </c>
      <c s="125">
        <f>AL68/(1+IFERROR(INDEX(AL$11:AL$12,Предпосылки!$K124,),0))*IFERROR(INDEX(AL$11:AL$12,Предпосылки!$K124,),0)</f>
        <v>0</v>
      </c>
      <c s="125">
        <f>AM68/(1+IFERROR(INDEX(AM$11:AM$12,Предпосылки!$K124,),0))*IFERROR(INDEX(AM$11:AM$12,Предпосылки!$K124,),0)</f>
        <v>0</v>
      </c>
      <c s="125">
        <f>AN68/(1+IFERROR(INDEX(AN$11:AN$12,Предпосылки!$K124,),0))*IFERROR(INDEX(AN$11:AN$12,Предпосылки!$K124,),0)</f>
        <v>0</v>
      </c>
      <c s="125">
        <f>AO68/(1+IFERROR(INDEX(AO$11:AO$12,Предпосылки!$K124,),0))*IFERROR(INDEX(AO$11:AO$12,Предпосылки!$K124,),0)</f>
        <v>0</v>
      </c>
      <c s="125">
        <f>AP68/(1+IFERROR(INDEX(AP$11:AP$12,Предпосылки!$K124,),0))*IFERROR(INDEX(AP$11:AP$12,Предпосылки!$K124,),0)</f>
        <v>0</v>
      </c>
      <c s="125">
        <f>AQ68/(1+IFERROR(INDEX(AQ$11:AQ$12,Предпосылки!$K124,),0))*IFERROR(INDEX(AQ$11:AQ$12,Предпосылки!$K124,),0)</f>
        <v>0</v>
      </c>
      <c s="125">
        <f>AR68/(1+IFERROR(INDEX(AR$11:AR$12,Предпосылки!$K124,),0))*IFERROR(INDEX(AR$11:AR$12,Предпосылки!$K124,),0)</f>
        <v>0</v>
      </c>
      <c s="125">
        <f>AS68/(1+IFERROR(INDEX(AS$11:AS$12,Предпосылки!$K124,),0))*IFERROR(INDEX(AS$11:AS$12,Предпосылки!$K124,),0)</f>
        <v>0</v>
      </c>
      <c s="125">
        <f>AT68/(1+IFERROR(INDEX(AT$11:AT$12,Предпосылки!$K124,),0))*IFERROR(INDEX(AT$11:AT$12,Предпосылки!$K124,),0)</f>
        <v>0</v>
      </c>
      <c s="125">
        <f>AU68/(1+IFERROR(INDEX(AU$11:AU$12,Предпосылки!$K124,),0))*IFERROR(INDEX(AU$11:AU$12,Предпосылки!$K124,),0)</f>
        <v>0</v>
      </c>
      <c s="125">
        <f>AV68/(1+IFERROR(INDEX(AV$11:AV$12,Предпосылки!$K124,),0))*IFERROR(INDEX(AV$11:AV$12,Предпосылки!$K124,),0)</f>
        <v>0</v>
      </c>
      <c s="125">
        <f>AW68/(1+IFERROR(INDEX(AW$11:AW$12,Предпосылки!$K124,),0))*IFERROR(INDEX(AW$11:AW$12,Предпосылки!$K124,),0)</f>
        <v>0</v>
      </c>
      <c s="125">
        <f>AX68/(1+IFERROR(INDEX(AX$11:AX$12,Предпосылки!$K124,),0))*IFERROR(INDEX(AX$11:AX$12,Предпосылки!$K124,),0)</f>
        <v>0</v>
      </c>
      <c s="125">
        <f>AY68/(1+IFERROR(INDEX(AY$11:AY$12,Предпосылки!$K124,),0))*IFERROR(INDEX(AY$11:AY$12,Предпосылки!$K124,),0)</f>
        <v>0</v>
      </c>
      <c s="125">
        <f>AZ68/(1+IFERROR(INDEX(AZ$11:AZ$12,Предпосылки!$K124,),0))*IFERROR(INDEX(AZ$11:AZ$12,Предпосылки!$K124,),0)</f>
        <v>0</v>
      </c>
      <c s="125">
        <f>BA68/(1+IFERROR(INDEX(BA$11:BA$12,Предпосылки!$K124,),0))*IFERROR(INDEX(BA$11:BA$12,Предпосылки!$K124,),0)</f>
        <v>0</v>
      </c>
      <c s="125">
        <f>BB68/(1+IFERROR(INDEX(BB$11:BB$12,Предпосылки!$K124,),0))*IFERROR(INDEX(BB$11:BB$12,Предпосылки!$K124,),0)</f>
        <v>0</v>
      </c>
      <c s="125">
        <f>BC68/(1+IFERROR(INDEX(BC$11:BC$12,Предпосылки!$K124,),0))*IFERROR(INDEX(BC$11:BC$12,Предпосылки!$K124,),0)</f>
        <v>0</v>
      </c>
      <c s="125">
        <f>BD68/(1+IFERROR(INDEX(BD$11:BD$12,Предпосылки!$K124,),0))*IFERROR(INDEX(BD$11:BD$12,Предпосылки!$K124,),0)</f>
        <v>0</v>
      </c>
      <c s="125">
        <f>BE68/(1+IFERROR(INDEX(BE$11:BE$12,Предпосылки!$K124,),0))*IFERROR(INDEX(BE$11:BE$12,Предпосылки!$K124,),0)</f>
        <v>0</v>
      </c>
      <c s="125">
        <f>BF68/(1+IFERROR(INDEX(BF$11:BF$12,Предпосылки!$K124,),0))*IFERROR(INDEX(BF$11:BF$12,Предпосылки!$K124,),0)</f>
        <v>0</v>
      </c>
      <c s="125">
        <f>BG68/(1+IFERROR(INDEX(BG$11:BG$12,Предпосылки!$K124,),0))*IFERROR(INDEX(BG$11:BG$12,Предпосылки!$K124,),0)</f>
        <v>0</v>
      </c>
      <c s="125">
        <f>BH68/(1+IFERROR(INDEX(BH$11:BH$12,Предпосылки!$K124,),0))*IFERROR(INDEX(BH$11:BH$12,Предпосылки!$K124,),0)</f>
        <v>0</v>
      </c>
      <c s="125">
        <f>BI68/(1+IFERROR(INDEX(BI$11:BI$12,Предпосылки!$K124,),0))*IFERROR(INDEX(BI$11:BI$12,Предпосылки!$K124,),0)</f>
        <v>0</v>
      </c>
      <c s="125">
        <f>BJ68/(1+IFERROR(INDEX(BJ$11:BJ$12,Предпосылки!$K124,),0))*IFERROR(INDEX(BJ$11:BJ$12,Предпосылки!$K124,),0)</f>
        <v>0</v>
      </c>
      <c s="125">
        <f>BK68/(1+IFERROR(INDEX(BK$11:BK$12,Предпосылки!$K124,),0))*IFERROR(INDEX(BK$11:BK$12,Предпосылки!$K124,),0)</f>
        <v>0</v>
      </c>
      <c s="125">
        <f>BL68/(1+IFERROR(INDEX(BL$11:BL$12,Предпосылки!$K124,),0))*IFERROR(INDEX(BL$11:BL$12,Предпосылки!$K124,),0)</f>
        <v>0</v>
      </c>
      <c s="125">
        <f>BM68/(1+IFERROR(INDEX(BM$11:BM$12,Предпосылки!$K124,),0))*IFERROR(INDEX(BM$11:BM$12,Предпосылки!$K124,),0)</f>
        <v>0</v>
      </c>
    </row>
    <row r="92" spans="2:65" ht="15" customHeight="1">
      <c r="B92" s="12" t="str">
        <f t="shared" si="85"/>
        <v>Продукт 4</v>
      </c>
      <c s="124" t="str">
        <f t="shared" si="84"/>
        <v>тыс. руб.</v>
      </c>
      <c s="276">
        <f t="shared" si="86"/>
        <v>0</v>
      </c>
      <c s="125">
        <f>E69/(1+IFERROR(INDEX(E$11:E$12,Предпосылки!$K125,),0))*IFERROR(INDEX(E$11:E$12,Предпосылки!$K125,),0)</f>
        <v>0</v>
      </c>
      <c s="125">
        <f>F69/(1+IFERROR(INDEX(F$11:F$12,Предпосылки!$K125,),0))*IFERROR(INDEX(F$11:F$12,Предпосылки!$K125,),0)</f>
        <v>0</v>
      </c>
      <c s="125">
        <f>G69/(1+IFERROR(INDEX(G$11:G$12,Предпосылки!$K125,),0))*IFERROR(INDEX(G$11:G$12,Предпосылки!$K125,),0)</f>
        <v>0</v>
      </c>
      <c s="125">
        <f>H69/(1+IFERROR(INDEX(H$11:H$12,Предпосылки!$K125,),0))*IFERROR(INDEX(H$11:H$12,Предпосылки!$K125,),0)</f>
        <v>0</v>
      </c>
      <c s="125">
        <f>I69/(1+IFERROR(INDEX(I$11:I$12,Предпосылки!$K125,),0))*IFERROR(INDEX(I$11:I$12,Предпосылки!$K125,),0)</f>
        <v>0</v>
      </c>
      <c s="125">
        <f>J69/(1+IFERROR(INDEX(J$11:J$12,Предпосылки!$K125,),0))*IFERROR(INDEX(J$11:J$12,Предпосылки!$K125,),0)</f>
        <v>0</v>
      </c>
      <c s="125">
        <f>K69/(1+IFERROR(INDEX(K$11:K$12,Предпосылки!$K125,),0))*IFERROR(INDEX(K$11:K$12,Предпосылки!$K125,),0)</f>
        <v>0</v>
      </c>
      <c s="125">
        <f>L69/(1+IFERROR(INDEX(L$11:L$12,Предпосылки!$K125,),0))*IFERROR(INDEX(L$11:L$12,Предпосылки!$K125,),0)</f>
        <v>0</v>
      </c>
      <c s="125">
        <f>M69/(1+IFERROR(INDEX(M$11:M$12,Предпосылки!$K125,),0))*IFERROR(INDEX(M$11:M$12,Предпосылки!$K125,),0)</f>
        <v>0</v>
      </c>
      <c s="125">
        <f>N69/(1+IFERROR(INDEX(N$11:N$12,Предпосылки!$K125,),0))*IFERROR(INDEX(N$11:N$12,Предпосылки!$K125,),0)</f>
        <v>0</v>
      </c>
      <c s="125">
        <f>O69/(1+IFERROR(INDEX(O$11:O$12,Предпосылки!$K125,),0))*IFERROR(INDEX(O$11:O$12,Предпосылки!$K125,),0)</f>
        <v>0</v>
      </c>
      <c s="125">
        <f>P69/(1+IFERROR(INDEX(P$11:P$12,Предпосылки!$K125,),0))*IFERROR(INDEX(P$11:P$12,Предпосылки!$K125,),0)</f>
        <v>0</v>
      </c>
      <c s="125">
        <f>Q69/(1+IFERROR(INDEX(Q$11:Q$12,Предпосылки!$K125,),0))*IFERROR(INDEX(Q$11:Q$12,Предпосылки!$K125,),0)</f>
        <v>0</v>
      </c>
      <c s="125">
        <f>R69/(1+IFERROR(INDEX(R$11:R$12,Предпосылки!$K125,),0))*IFERROR(INDEX(R$11:R$12,Предпосылки!$K125,),0)</f>
        <v>0</v>
      </c>
      <c s="125">
        <f>S69/(1+IFERROR(INDEX(S$11:S$12,Предпосылки!$K125,),0))*IFERROR(INDEX(S$11:S$12,Предпосылки!$K125,),0)</f>
        <v>0</v>
      </c>
      <c s="125">
        <f>T69/(1+IFERROR(INDEX(T$11:T$12,Предпосылки!$K125,),0))*IFERROR(INDEX(T$11:T$12,Предпосылки!$K125,),0)</f>
        <v>0</v>
      </c>
      <c s="125">
        <f>U69/(1+IFERROR(INDEX(U$11:U$12,Предпосылки!$K125,),0))*IFERROR(INDEX(U$11:U$12,Предпосылки!$K125,),0)</f>
        <v>0</v>
      </c>
      <c s="125">
        <f>V69/(1+IFERROR(INDEX(V$11:V$12,Предпосылки!$K125,),0))*IFERROR(INDEX(V$11:V$12,Предпосылки!$K125,),0)</f>
        <v>0</v>
      </c>
      <c s="125">
        <f>W69/(1+IFERROR(INDEX(W$11:W$12,Предпосылки!$K125,),0))*IFERROR(INDEX(W$11:W$12,Предпосылки!$K125,),0)</f>
        <v>0</v>
      </c>
      <c s="125">
        <f>X69/(1+IFERROR(INDEX(X$11:X$12,Предпосылки!$K125,),0))*IFERROR(INDEX(X$11:X$12,Предпосылки!$K125,),0)</f>
        <v>0</v>
      </c>
      <c s="125">
        <f>Y69/(1+IFERROR(INDEX(Y$11:Y$12,Предпосылки!$K125,),0))*IFERROR(INDEX(Y$11:Y$12,Предпосылки!$K125,),0)</f>
        <v>0</v>
      </c>
      <c s="125">
        <f>Z69/(1+IFERROR(INDEX(Z$11:Z$12,Предпосылки!$K125,),0))*IFERROR(INDEX(Z$11:Z$12,Предпосылки!$K125,),0)</f>
        <v>0</v>
      </c>
      <c s="125">
        <f>AA69/(1+IFERROR(INDEX(AA$11:AA$12,Предпосылки!$K125,),0))*IFERROR(INDEX(AA$11:AA$12,Предпосылки!$K125,),0)</f>
        <v>0</v>
      </c>
      <c s="125">
        <f>AB69/(1+IFERROR(INDEX(AB$11:AB$12,Предпосылки!$K125,),0))*IFERROR(INDEX(AB$11:AB$12,Предпосылки!$K125,),0)</f>
        <v>0</v>
      </c>
      <c s="125">
        <f>AC69/(1+IFERROR(INDEX(AC$11:AC$12,Предпосылки!$K125,),0))*IFERROR(INDEX(AC$11:AC$12,Предпосылки!$K125,),0)</f>
        <v>0</v>
      </c>
      <c s="125">
        <f>AD69/(1+IFERROR(INDEX(AD$11:AD$12,Предпосылки!$K125,),0))*IFERROR(INDEX(AD$11:AD$12,Предпосылки!$K125,),0)</f>
        <v>0</v>
      </c>
      <c s="125">
        <f>AE69/(1+IFERROR(INDEX(AE$11:AE$12,Предпосылки!$K125,),0))*IFERROR(INDEX(AE$11:AE$12,Предпосылки!$K125,),0)</f>
        <v>0</v>
      </c>
      <c s="125">
        <f>AF69/(1+IFERROR(INDEX(AF$11:AF$12,Предпосылки!$K125,),0))*IFERROR(INDEX(AF$11:AF$12,Предпосылки!$K125,),0)</f>
        <v>0</v>
      </c>
      <c s="125">
        <f>AG69/(1+IFERROR(INDEX(AG$11:AG$12,Предпосылки!$K125,),0))*IFERROR(INDEX(AG$11:AG$12,Предпосылки!$K125,),0)</f>
        <v>0</v>
      </c>
      <c s="125">
        <f>AH69/(1+IFERROR(INDEX(AH$11:AH$12,Предпосылки!$K125,),0))*IFERROR(INDEX(AH$11:AH$12,Предпосылки!$K125,),0)</f>
        <v>0</v>
      </c>
      <c s="125">
        <f>AI69/(1+IFERROR(INDEX(AI$11:AI$12,Предпосылки!$K125,),0))*IFERROR(INDEX(AI$11:AI$12,Предпосылки!$K125,),0)</f>
        <v>0</v>
      </c>
      <c s="125">
        <f>AJ69/(1+IFERROR(INDEX(AJ$11:AJ$12,Предпосылки!$K125,),0))*IFERROR(INDEX(AJ$11:AJ$12,Предпосылки!$K125,),0)</f>
        <v>0</v>
      </c>
      <c s="125">
        <f>AK69/(1+IFERROR(INDEX(AK$11:AK$12,Предпосылки!$K125,),0))*IFERROR(INDEX(AK$11:AK$12,Предпосылки!$K125,),0)</f>
        <v>0</v>
      </c>
      <c s="125">
        <f>AL69/(1+IFERROR(INDEX(AL$11:AL$12,Предпосылки!$K125,),0))*IFERROR(INDEX(AL$11:AL$12,Предпосылки!$K125,),0)</f>
        <v>0</v>
      </c>
      <c s="125">
        <f>AM69/(1+IFERROR(INDEX(AM$11:AM$12,Предпосылки!$K125,),0))*IFERROR(INDEX(AM$11:AM$12,Предпосылки!$K125,),0)</f>
        <v>0</v>
      </c>
      <c s="125">
        <f>AN69/(1+IFERROR(INDEX(AN$11:AN$12,Предпосылки!$K125,),0))*IFERROR(INDEX(AN$11:AN$12,Предпосылки!$K125,),0)</f>
        <v>0</v>
      </c>
      <c s="125">
        <f>AO69/(1+IFERROR(INDEX(AO$11:AO$12,Предпосылки!$K125,),0))*IFERROR(INDEX(AO$11:AO$12,Предпосылки!$K125,),0)</f>
        <v>0</v>
      </c>
      <c s="125">
        <f>AP69/(1+IFERROR(INDEX(AP$11:AP$12,Предпосылки!$K125,),0))*IFERROR(INDEX(AP$11:AP$12,Предпосылки!$K125,),0)</f>
        <v>0</v>
      </c>
      <c s="125">
        <f>AQ69/(1+IFERROR(INDEX(AQ$11:AQ$12,Предпосылки!$K125,),0))*IFERROR(INDEX(AQ$11:AQ$12,Предпосылки!$K125,),0)</f>
        <v>0</v>
      </c>
      <c s="125">
        <f>AR69/(1+IFERROR(INDEX(AR$11:AR$12,Предпосылки!$K125,),0))*IFERROR(INDEX(AR$11:AR$12,Предпосылки!$K125,),0)</f>
        <v>0</v>
      </c>
      <c s="125">
        <f>AS69/(1+IFERROR(INDEX(AS$11:AS$12,Предпосылки!$K125,),0))*IFERROR(INDEX(AS$11:AS$12,Предпосылки!$K125,),0)</f>
        <v>0</v>
      </c>
      <c s="125">
        <f>AT69/(1+IFERROR(INDEX(AT$11:AT$12,Предпосылки!$K125,),0))*IFERROR(INDEX(AT$11:AT$12,Предпосылки!$K125,),0)</f>
        <v>0</v>
      </c>
      <c s="125">
        <f>AU69/(1+IFERROR(INDEX(AU$11:AU$12,Предпосылки!$K125,),0))*IFERROR(INDEX(AU$11:AU$12,Предпосылки!$K125,),0)</f>
        <v>0</v>
      </c>
      <c s="125">
        <f>AV69/(1+IFERROR(INDEX(AV$11:AV$12,Предпосылки!$K125,),0))*IFERROR(INDEX(AV$11:AV$12,Предпосылки!$K125,),0)</f>
        <v>0</v>
      </c>
      <c s="125">
        <f>AW69/(1+IFERROR(INDEX(AW$11:AW$12,Предпосылки!$K125,),0))*IFERROR(INDEX(AW$11:AW$12,Предпосылки!$K125,),0)</f>
        <v>0</v>
      </c>
      <c s="125">
        <f>AX69/(1+IFERROR(INDEX(AX$11:AX$12,Предпосылки!$K125,),0))*IFERROR(INDEX(AX$11:AX$12,Предпосылки!$K125,),0)</f>
        <v>0</v>
      </c>
      <c s="125">
        <f>AY69/(1+IFERROR(INDEX(AY$11:AY$12,Предпосылки!$K125,),0))*IFERROR(INDEX(AY$11:AY$12,Предпосылки!$K125,),0)</f>
        <v>0</v>
      </c>
      <c s="125">
        <f>AZ69/(1+IFERROR(INDEX(AZ$11:AZ$12,Предпосылки!$K125,),0))*IFERROR(INDEX(AZ$11:AZ$12,Предпосылки!$K125,),0)</f>
        <v>0</v>
      </c>
      <c s="125">
        <f>BA69/(1+IFERROR(INDEX(BA$11:BA$12,Предпосылки!$K125,),0))*IFERROR(INDEX(BA$11:BA$12,Предпосылки!$K125,),0)</f>
        <v>0</v>
      </c>
      <c s="125">
        <f>BB69/(1+IFERROR(INDEX(BB$11:BB$12,Предпосылки!$K125,),0))*IFERROR(INDEX(BB$11:BB$12,Предпосылки!$K125,),0)</f>
        <v>0</v>
      </c>
      <c s="125">
        <f>BC69/(1+IFERROR(INDEX(BC$11:BC$12,Предпосылки!$K125,),0))*IFERROR(INDEX(BC$11:BC$12,Предпосылки!$K125,),0)</f>
        <v>0</v>
      </c>
      <c s="125">
        <f>BD69/(1+IFERROR(INDEX(BD$11:BD$12,Предпосылки!$K125,),0))*IFERROR(INDEX(BD$11:BD$12,Предпосылки!$K125,),0)</f>
        <v>0</v>
      </c>
      <c s="125">
        <f>BE69/(1+IFERROR(INDEX(BE$11:BE$12,Предпосылки!$K125,),0))*IFERROR(INDEX(BE$11:BE$12,Предпосылки!$K125,),0)</f>
        <v>0</v>
      </c>
      <c s="125">
        <f>BF69/(1+IFERROR(INDEX(BF$11:BF$12,Предпосылки!$K125,),0))*IFERROR(INDEX(BF$11:BF$12,Предпосылки!$K125,),0)</f>
        <v>0</v>
      </c>
      <c s="125">
        <f>BG69/(1+IFERROR(INDEX(BG$11:BG$12,Предпосылки!$K125,),0))*IFERROR(INDEX(BG$11:BG$12,Предпосылки!$K125,),0)</f>
        <v>0</v>
      </c>
      <c s="125">
        <f>BH69/(1+IFERROR(INDEX(BH$11:BH$12,Предпосылки!$K125,),0))*IFERROR(INDEX(BH$11:BH$12,Предпосылки!$K125,),0)</f>
        <v>0</v>
      </c>
      <c s="125">
        <f>BI69/(1+IFERROR(INDEX(BI$11:BI$12,Предпосылки!$K125,),0))*IFERROR(INDEX(BI$11:BI$12,Предпосылки!$K125,),0)</f>
        <v>0</v>
      </c>
      <c s="125">
        <f>BJ69/(1+IFERROR(INDEX(BJ$11:BJ$12,Предпосылки!$K125,),0))*IFERROR(INDEX(BJ$11:BJ$12,Предпосылки!$K125,),0)</f>
        <v>0</v>
      </c>
      <c s="125">
        <f>BK69/(1+IFERROR(INDEX(BK$11:BK$12,Предпосылки!$K125,),0))*IFERROR(INDEX(BK$11:BK$12,Предпосылки!$K125,),0)</f>
        <v>0</v>
      </c>
      <c s="125">
        <f>BL69/(1+IFERROR(INDEX(BL$11:BL$12,Предпосылки!$K125,),0))*IFERROR(INDEX(BL$11:BL$12,Предпосылки!$K125,),0)</f>
        <v>0</v>
      </c>
      <c s="125">
        <f>BM69/(1+IFERROR(INDEX(BM$11:BM$12,Предпосылки!$K125,),0))*IFERROR(INDEX(BM$11:BM$12,Предпосылки!$K125,),0)</f>
        <v>0</v>
      </c>
    </row>
    <row r="93" spans="2:65" ht="15" customHeight="1">
      <c r="B93" s="12" t="str">
        <f t="shared" si="85"/>
        <v>Продукт 5</v>
      </c>
      <c s="124" t="str">
        <f t="shared" si="84"/>
        <v>тыс. руб.</v>
      </c>
      <c s="276">
        <f t="shared" si="86"/>
        <v>0</v>
      </c>
      <c s="125">
        <f>E70/(1+IFERROR(INDEX(E$11:E$12,Предпосылки!$K126,),0))*IFERROR(INDEX(E$11:E$12,Предпосылки!$K126,),0)</f>
        <v>0</v>
      </c>
      <c s="125">
        <f>F70/(1+IFERROR(INDEX(F$11:F$12,Предпосылки!$K126,),0))*IFERROR(INDEX(F$11:F$12,Предпосылки!$K126,),0)</f>
        <v>0</v>
      </c>
      <c s="125">
        <f>G70/(1+IFERROR(INDEX(G$11:G$12,Предпосылки!$K126,),0))*IFERROR(INDEX(G$11:G$12,Предпосылки!$K126,),0)</f>
        <v>0</v>
      </c>
      <c s="125">
        <f>H70/(1+IFERROR(INDEX(H$11:H$12,Предпосылки!$K126,),0))*IFERROR(INDEX(H$11:H$12,Предпосылки!$K126,),0)</f>
        <v>0</v>
      </c>
      <c s="125">
        <f>I70/(1+IFERROR(INDEX(I$11:I$12,Предпосылки!$K126,),0))*IFERROR(INDEX(I$11:I$12,Предпосылки!$K126,),0)</f>
        <v>0</v>
      </c>
      <c s="125">
        <f>J70/(1+IFERROR(INDEX(J$11:J$12,Предпосылки!$K126,),0))*IFERROR(INDEX(J$11:J$12,Предпосылки!$K126,),0)</f>
        <v>0</v>
      </c>
      <c s="125">
        <f>K70/(1+IFERROR(INDEX(K$11:K$12,Предпосылки!$K126,),0))*IFERROR(INDEX(K$11:K$12,Предпосылки!$K126,),0)</f>
        <v>0</v>
      </c>
      <c s="125">
        <f>L70/(1+IFERROR(INDEX(L$11:L$12,Предпосылки!$K126,),0))*IFERROR(INDEX(L$11:L$12,Предпосылки!$K126,),0)</f>
        <v>0</v>
      </c>
      <c s="125">
        <f>M70/(1+IFERROR(INDEX(M$11:M$12,Предпосылки!$K126,),0))*IFERROR(INDEX(M$11:M$12,Предпосылки!$K126,),0)</f>
        <v>0</v>
      </c>
      <c s="125">
        <f>N70/(1+IFERROR(INDEX(N$11:N$12,Предпосылки!$K126,),0))*IFERROR(INDEX(N$11:N$12,Предпосылки!$K126,),0)</f>
        <v>0</v>
      </c>
      <c s="125">
        <f>O70/(1+IFERROR(INDEX(O$11:O$12,Предпосылки!$K126,),0))*IFERROR(INDEX(O$11:O$12,Предпосылки!$K126,),0)</f>
        <v>0</v>
      </c>
      <c s="125">
        <f>P70/(1+IFERROR(INDEX(P$11:P$12,Предпосылки!$K126,),0))*IFERROR(INDEX(P$11:P$12,Предпосылки!$K126,),0)</f>
        <v>0</v>
      </c>
      <c s="125">
        <f>Q70/(1+IFERROR(INDEX(Q$11:Q$12,Предпосылки!$K126,),0))*IFERROR(INDEX(Q$11:Q$12,Предпосылки!$K126,),0)</f>
        <v>0</v>
      </c>
      <c s="125">
        <f>R70/(1+IFERROR(INDEX(R$11:R$12,Предпосылки!$K126,),0))*IFERROR(INDEX(R$11:R$12,Предпосылки!$K126,),0)</f>
        <v>0</v>
      </c>
      <c s="125">
        <f>S70/(1+IFERROR(INDEX(S$11:S$12,Предпосылки!$K126,),0))*IFERROR(INDEX(S$11:S$12,Предпосылки!$K126,),0)</f>
        <v>0</v>
      </c>
      <c s="125">
        <f>T70/(1+IFERROR(INDEX(T$11:T$12,Предпосылки!$K126,),0))*IFERROR(INDEX(T$11:T$12,Предпосылки!$K126,),0)</f>
        <v>0</v>
      </c>
      <c s="125">
        <f>U70/(1+IFERROR(INDEX(U$11:U$12,Предпосылки!$K126,),0))*IFERROR(INDEX(U$11:U$12,Предпосылки!$K126,),0)</f>
        <v>0</v>
      </c>
      <c s="125">
        <f>V70/(1+IFERROR(INDEX(V$11:V$12,Предпосылки!$K126,),0))*IFERROR(INDEX(V$11:V$12,Предпосылки!$K126,),0)</f>
        <v>0</v>
      </c>
      <c s="125">
        <f>W70/(1+IFERROR(INDEX(W$11:W$12,Предпосылки!$K126,),0))*IFERROR(INDEX(W$11:W$12,Предпосылки!$K126,),0)</f>
        <v>0</v>
      </c>
      <c s="125">
        <f>X70/(1+IFERROR(INDEX(X$11:X$12,Предпосылки!$K126,),0))*IFERROR(INDEX(X$11:X$12,Предпосылки!$K126,),0)</f>
        <v>0</v>
      </c>
      <c s="125">
        <f>Y70/(1+IFERROR(INDEX(Y$11:Y$12,Предпосылки!$K126,),0))*IFERROR(INDEX(Y$11:Y$12,Предпосылки!$K126,),0)</f>
        <v>0</v>
      </c>
      <c s="125">
        <f>Z70/(1+IFERROR(INDEX(Z$11:Z$12,Предпосылки!$K126,),0))*IFERROR(INDEX(Z$11:Z$12,Предпосылки!$K126,),0)</f>
        <v>0</v>
      </c>
      <c s="125">
        <f>AA70/(1+IFERROR(INDEX(AA$11:AA$12,Предпосылки!$K126,),0))*IFERROR(INDEX(AA$11:AA$12,Предпосылки!$K126,),0)</f>
        <v>0</v>
      </c>
      <c s="125">
        <f>AB70/(1+IFERROR(INDEX(AB$11:AB$12,Предпосылки!$K126,),0))*IFERROR(INDEX(AB$11:AB$12,Предпосылки!$K126,),0)</f>
        <v>0</v>
      </c>
      <c s="125">
        <f>AC70/(1+IFERROR(INDEX(AC$11:AC$12,Предпосылки!$K126,),0))*IFERROR(INDEX(AC$11:AC$12,Предпосылки!$K126,),0)</f>
        <v>0</v>
      </c>
      <c s="125">
        <f>AD70/(1+IFERROR(INDEX(AD$11:AD$12,Предпосылки!$K126,),0))*IFERROR(INDEX(AD$11:AD$12,Предпосылки!$K126,),0)</f>
        <v>0</v>
      </c>
      <c s="125">
        <f>AE70/(1+IFERROR(INDEX(AE$11:AE$12,Предпосылки!$K126,),0))*IFERROR(INDEX(AE$11:AE$12,Предпосылки!$K126,),0)</f>
        <v>0</v>
      </c>
      <c s="125">
        <f>AF70/(1+IFERROR(INDEX(AF$11:AF$12,Предпосылки!$K126,),0))*IFERROR(INDEX(AF$11:AF$12,Предпосылки!$K126,),0)</f>
        <v>0</v>
      </c>
      <c s="125">
        <f>AG70/(1+IFERROR(INDEX(AG$11:AG$12,Предпосылки!$K126,),0))*IFERROR(INDEX(AG$11:AG$12,Предпосылки!$K126,),0)</f>
        <v>0</v>
      </c>
      <c s="125">
        <f>AH70/(1+IFERROR(INDEX(AH$11:AH$12,Предпосылки!$K126,),0))*IFERROR(INDEX(AH$11:AH$12,Предпосылки!$K126,),0)</f>
        <v>0</v>
      </c>
      <c s="125">
        <f>AI70/(1+IFERROR(INDEX(AI$11:AI$12,Предпосылки!$K126,),0))*IFERROR(INDEX(AI$11:AI$12,Предпосылки!$K126,),0)</f>
        <v>0</v>
      </c>
      <c s="125">
        <f>AJ70/(1+IFERROR(INDEX(AJ$11:AJ$12,Предпосылки!$K126,),0))*IFERROR(INDEX(AJ$11:AJ$12,Предпосылки!$K126,),0)</f>
        <v>0</v>
      </c>
      <c s="125">
        <f>AK70/(1+IFERROR(INDEX(AK$11:AK$12,Предпосылки!$K126,),0))*IFERROR(INDEX(AK$11:AK$12,Предпосылки!$K126,),0)</f>
        <v>0</v>
      </c>
      <c s="125">
        <f>AL70/(1+IFERROR(INDEX(AL$11:AL$12,Предпосылки!$K126,),0))*IFERROR(INDEX(AL$11:AL$12,Предпосылки!$K126,),0)</f>
        <v>0</v>
      </c>
      <c s="125">
        <f>AM70/(1+IFERROR(INDEX(AM$11:AM$12,Предпосылки!$K126,),0))*IFERROR(INDEX(AM$11:AM$12,Предпосылки!$K126,),0)</f>
        <v>0</v>
      </c>
      <c s="125">
        <f>AN70/(1+IFERROR(INDEX(AN$11:AN$12,Предпосылки!$K126,),0))*IFERROR(INDEX(AN$11:AN$12,Предпосылки!$K126,),0)</f>
        <v>0</v>
      </c>
      <c s="125">
        <f>AO70/(1+IFERROR(INDEX(AO$11:AO$12,Предпосылки!$K126,),0))*IFERROR(INDEX(AO$11:AO$12,Предпосылки!$K126,),0)</f>
        <v>0</v>
      </c>
      <c s="125">
        <f>AP70/(1+IFERROR(INDEX(AP$11:AP$12,Предпосылки!$K126,),0))*IFERROR(INDEX(AP$11:AP$12,Предпосылки!$K126,),0)</f>
        <v>0</v>
      </c>
      <c s="125">
        <f>AQ70/(1+IFERROR(INDEX(AQ$11:AQ$12,Предпосылки!$K126,),0))*IFERROR(INDEX(AQ$11:AQ$12,Предпосылки!$K126,),0)</f>
        <v>0</v>
      </c>
      <c s="125">
        <f>AR70/(1+IFERROR(INDEX(AR$11:AR$12,Предпосылки!$K126,),0))*IFERROR(INDEX(AR$11:AR$12,Предпосылки!$K126,),0)</f>
        <v>0</v>
      </c>
      <c s="125">
        <f>AS70/(1+IFERROR(INDEX(AS$11:AS$12,Предпосылки!$K126,),0))*IFERROR(INDEX(AS$11:AS$12,Предпосылки!$K126,),0)</f>
        <v>0</v>
      </c>
      <c s="125">
        <f>AT70/(1+IFERROR(INDEX(AT$11:AT$12,Предпосылки!$K126,),0))*IFERROR(INDEX(AT$11:AT$12,Предпосылки!$K126,),0)</f>
        <v>0</v>
      </c>
      <c s="125">
        <f>AU70/(1+IFERROR(INDEX(AU$11:AU$12,Предпосылки!$K126,),0))*IFERROR(INDEX(AU$11:AU$12,Предпосылки!$K126,),0)</f>
        <v>0</v>
      </c>
      <c s="125">
        <f>AV70/(1+IFERROR(INDEX(AV$11:AV$12,Предпосылки!$K126,),0))*IFERROR(INDEX(AV$11:AV$12,Предпосылки!$K126,),0)</f>
        <v>0</v>
      </c>
      <c s="125">
        <f>AW70/(1+IFERROR(INDEX(AW$11:AW$12,Предпосылки!$K126,),0))*IFERROR(INDEX(AW$11:AW$12,Предпосылки!$K126,),0)</f>
        <v>0</v>
      </c>
      <c s="125">
        <f>AX70/(1+IFERROR(INDEX(AX$11:AX$12,Предпосылки!$K126,),0))*IFERROR(INDEX(AX$11:AX$12,Предпосылки!$K126,),0)</f>
        <v>0</v>
      </c>
      <c s="125">
        <f>AY70/(1+IFERROR(INDEX(AY$11:AY$12,Предпосылки!$K126,),0))*IFERROR(INDEX(AY$11:AY$12,Предпосылки!$K126,),0)</f>
        <v>0</v>
      </c>
      <c s="125">
        <f>AZ70/(1+IFERROR(INDEX(AZ$11:AZ$12,Предпосылки!$K126,),0))*IFERROR(INDEX(AZ$11:AZ$12,Предпосылки!$K126,),0)</f>
        <v>0</v>
      </c>
      <c s="125">
        <f>BA70/(1+IFERROR(INDEX(BA$11:BA$12,Предпосылки!$K126,),0))*IFERROR(INDEX(BA$11:BA$12,Предпосылки!$K126,),0)</f>
        <v>0</v>
      </c>
      <c s="125">
        <f>BB70/(1+IFERROR(INDEX(BB$11:BB$12,Предпосылки!$K126,),0))*IFERROR(INDEX(BB$11:BB$12,Предпосылки!$K126,),0)</f>
        <v>0</v>
      </c>
      <c s="125">
        <f>BC70/(1+IFERROR(INDEX(BC$11:BC$12,Предпосылки!$K126,),0))*IFERROR(INDEX(BC$11:BC$12,Предпосылки!$K126,),0)</f>
        <v>0</v>
      </c>
      <c s="125">
        <f>BD70/(1+IFERROR(INDEX(BD$11:BD$12,Предпосылки!$K126,),0))*IFERROR(INDEX(BD$11:BD$12,Предпосылки!$K126,),0)</f>
        <v>0</v>
      </c>
      <c s="125">
        <f>BE70/(1+IFERROR(INDEX(BE$11:BE$12,Предпосылки!$K126,),0))*IFERROR(INDEX(BE$11:BE$12,Предпосылки!$K126,),0)</f>
        <v>0</v>
      </c>
      <c s="125">
        <f>BF70/(1+IFERROR(INDEX(BF$11:BF$12,Предпосылки!$K126,),0))*IFERROR(INDEX(BF$11:BF$12,Предпосылки!$K126,),0)</f>
        <v>0</v>
      </c>
      <c s="125">
        <f>BG70/(1+IFERROR(INDEX(BG$11:BG$12,Предпосылки!$K126,),0))*IFERROR(INDEX(BG$11:BG$12,Предпосылки!$K126,),0)</f>
        <v>0</v>
      </c>
      <c s="125">
        <f>BH70/(1+IFERROR(INDEX(BH$11:BH$12,Предпосылки!$K126,),0))*IFERROR(INDEX(BH$11:BH$12,Предпосылки!$K126,),0)</f>
        <v>0</v>
      </c>
      <c s="125">
        <f>BI70/(1+IFERROR(INDEX(BI$11:BI$12,Предпосылки!$K126,),0))*IFERROR(INDEX(BI$11:BI$12,Предпосылки!$K126,),0)</f>
        <v>0</v>
      </c>
      <c s="125">
        <f>BJ70/(1+IFERROR(INDEX(BJ$11:BJ$12,Предпосылки!$K126,),0))*IFERROR(INDEX(BJ$11:BJ$12,Предпосылки!$K126,),0)</f>
        <v>0</v>
      </c>
      <c s="125">
        <f>BK70/(1+IFERROR(INDEX(BK$11:BK$12,Предпосылки!$K126,),0))*IFERROR(INDEX(BK$11:BK$12,Предпосылки!$K126,),0)</f>
        <v>0</v>
      </c>
      <c s="125">
        <f>BL70/(1+IFERROR(INDEX(BL$11:BL$12,Предпосылки!$K126,),0))*IFERROR(INDEX(BL$11:BL$12,Предпосылки!$K126,),0)</f>
        <v>0</v>
      </c>
      <c s="125">
        <f>BM70/(1+IFERROR(INDEX(BM$11:BM$12,Предпосылки!$K126,),0))*IFERROR(INDEX(BM$11:BM$12,Предпосылки!$K126,),0)</f>
        <v>0</v>
      </c>
    </row>
    <row r="94" spans="2:65" ht="15" customHeight="1">
      <c r="B94" s="12" t="str">
        <f t="shared" si="85"/>
        <v>Продукт 6</v>
      </c>
      <c s="124" t="str">
        <f t="shared" si="84"/>
        <v>тыс. руб.</v>
      </c>
      <c s="276">
        <f t="shared" si="86"/>
        <v>0</v>
      </c>
      <c s="125">
        <f>E71/(1+IFERROR(INDEX(E$11:E$12,Предпосылки!$K127,),0))*IFERROR(INDEX(E$11:E$12,Предпосылки!$K127,),0)</f>
        <v>0</v>
      </c>
      <c s="125">
        <f>F71/(1+IFERROR(INDEX(F$11:F$12,Предпосылки!$K127,),0))*IFERROR(INDEX(F$11:F$12,Предпосылки!$K127,),0)</f>
        <v>0</v>
      </c>
      <c s="125">
        <f>G71/(1+IFERROR(INDEX(G$11:G$12,Предпосылки!$K127,),0))*IFERROR(INDEX(G$11:G$12,Предпосылки!$K127,),0)</f>
        <v>0</v>
      </c>
      <c s="125">
        <f>H71/(1+IFERROR(INDEX(H$11:H$12,Предпосылки!$K127,),0))*IFERROR(INDEX(H$11:H$12,Предпосылки!$K127,),0)</f>
        <v>0</v>
      </c>
      <c s="125">
        <f>I71/(1+IFERROR(INDEX(I$11:I$12,Предпосылки!$K127,),0))*IFERROR(INDEX(I$11:I$12,Предпосылки!$K127,),0)</f>
        <v>0</v>
      </c>
      <c s="125">
        <f>J71/(1+IFERROR(INDEX(J$11:J$12,Предпосылки!$K127,),0))*IFERROR(INDEX(J$11:J$12,Предпосылки!$K127,),0)</f>
        <v>0</v>
      </c>
      <c s="125">
        <f>K71/(1+IFERROR(INDEX(K$11:K$12,Предпосылки!$K127,),0))*IFERROR(INDEX(K$11:K$12,Предпосылки!$K127,),0)</f>
        <v>0</v>
      </c>
      <c s="125">
        <f>L71/(1+IFERROR(INDEX(L$11:L$12,Предпосылки!$K127,),0))*IFERROR(INDEX(L$11:L$12,Предпосылки!$K127,),0)</f>
        <v>0</v>
      </c>
      <c s="125">
        <f>M71/(1+IFERROR(INDEX(M$11:M$12,Предпосылки!$K127,),0))*IFERROR(INDEX(M$11:M$12,Предпосылки!$K127,),0)</f>
        <v>0</v>
      </c>
      <c s="125">
        <f>N71/(1+IFERROR(INDEX(N$11:N$12,Предпосылки!$K127,),0))*IFERROR(INDEX(N$11:N$12,Предпосылки!$K127,),0)</f>
        <v>0</v>
      </c>
      <c s="125">
        <f>O71/(1+IFERROR(INDEX(O$11:O$12,Предпосылки!$K127,),0))*IFERROR(INDEX(O$11:O$12,Предпосылки!$K127,),0)</f>
        <v>0</v>
      </c>
      <c s="125">
        <f>P71/(1+IFERROR(INDEX(P$11:P$12,Предпосылки!$K127,),0))*IFERROR(INDEX(P$11:P$12,Предпосылки!$K127,),0)</f>
        <v>0</v>
      </c>
      <c s="125">
        <f>Q71/(1+IFERROR(INDEX(Q$11:Q$12,Предпосылки!$K127,),0))*IFERROR(INDEX(Q$11:Q$12,Предпосылки!$K127,),0)</f>
        <v>0</v>
      </c>
      <c s="125">
        <f>R71/(1+IFERROR(INDEX(R$11:R$12,Предпосылки!$K127,),0))*IFERROR(INDEX(R$11:R$12,Предпосылки!$K127,),0)</f>
        <v>0</v>
      </c>
      <c s="125">
        <f>S71/(1+IFERROR(INDEX(S$11:S$12,Предпосылки!$K127,),0))*IFERROR(INDEX(S$11:S$12,Предпосылки!$K127,),0)</f>
        <v>0</v>
      </c>
      <c s="125">
        <f>T71/(1+IFERROR(INDEX(T$11:T$12,Предпосылки!$K127,),0))*IFERROR(INDEX(T$11:T$12,Предпосылки!$K127,),0)</f>
        <v>0</v>
      </c>
      <c s="125">
        <f>U71/(1+IFERROR(INDEX(U$11:U$12,Предпосылки!$K127,),0))*IFERROR(INDEX(U$11:U$12,Предпосылки!$K127,),0)</f>
        <v>0</v>
      </c>
      <c s="125">
        <f>V71/(1+IFERROR(INDEX(V$11:V$12,Предпосылки!$K127,),0))*IFERROR(INDEX(V$11:V$12,Предпосылки!$K127,),0)</f>
        <v>0</v>
      </c>
      <c s="125">
        <f>W71/(1+IFERROR(INDEX(W$11:W$12,Предпосылки!$K127,),0))*IFERROR(INDEX(W$11:W$12,Предпосылки!$K127,),0)</f>
        <v>0</v>
      </c>
      <c s="125">
        <f>X71/(1+IFERROR(INDEX(X$11:X$12,Предпосылки!$K127,),0))*IFERROR(INDEX(X$11:X$12,Предпосылки!$K127,),0)</f>
        <v>0</v>
      </c>
      <c s="125">
        <f>Y71/(1+IFERROR(INDEX(Y$11:Y$12,Предпосылки!$K127,),0))*IFERROR(INDEX(Y$11:Y$12,Предпосылки!$K127,),0)</f>
        <v>0</v>
      </c>
      <c s="125">
        <f>Z71/(1+IFERROR(INDEX(Z$11:Z$12,Предпосылки!$K127,),0))*IFERROR(INDEX(Z$11:Z$12,Предпосылки!$K127,),0)</f>
        <v>0</v>
      </c>
      <c s="125">
        <f>AA71/(1+IFERROR(INDEX(AA$11:AA$12,Предпосылки!$K127,),0))*IFERROR(INDEX(AA$11:AA$12,Предпосылки!$K127,),0)</f>
        <v>0</v>
      </c>
      <c s="125">
        <f>AB71/(1+IFERROR(INDEX(AB$11:AB$12,Предпосылки!$K127,),0))*IFERROR(INDEX(AB$11:AB$12,Предпосылки!$K127,),0)</f>
        <v>0</v>
      </c>
      <c s="125">
        <f>AC71/(1+IFERROR(INDEX(AC$11:AC$12,Предпосылки!$K127,),0))*IFERROR(INDEX(AC$11:AC$12,Предпосылки!$K127,),0)</f>
        <v>0</v>
      </c>
      <c s="125">
        <f>AD71/(1+IFERROR(INDEX(AD$11:AD$12,Предпосылки!$K127,),0))*IFERROR(INDEX(AD$11:AD$12,Предпосылки!$K127,),0)</f>
        <v>0</v>
      </c>
      <c s="125">
        <f>AE71/(1+IFERROR(INDEX(AE$11:AE$12,Предпосылки!$K127,),0))*IFERROR(INDEX(AE$11:AE$12,Предпосылки!$K127,),0)</f>
        <v>0</v>
      </c>
      <c s="125">
        <f>AF71/(1+IFERROR(INDEX(AF$11:AF$12,Предпосылки!$K127,),0))*IFERROR(INDEX(AF$11:AF$12,Предпосылки!$K127,),0)</f>
        <v>0</v>
      </c>
      <c s="125">
        <f>AG71/(1+IFERROR(INDEX(AG$11:AG$12,Предпосылки!$K127,),0))*IFERROR(INDEX(AG$11:AG$12,Предпосылки!$K127,),0)</f>
        <v>0</v>
      </c>
      <c s="125">
        <f>AH71/(1+IFERROR(INDEX(AH$11:AH$12,Предпосылки!$K127,),0))*IFERROR(INDEX(AH$11:AH$12,Предпосылки!$K127,),0)</f>
        <v>0</v>
      </c>
      <c s="125">
        <f>AI71/(1+IFERROR(INDEX(AI$11:AI$12,Предпосылки!$K127,),0))*IFERROR(INDEX(AI$11:AI$12,Предпосылки!$K127,),0)</f>
        <v>0</v>
      </c>
      <c s="125">
        <f>AJ71/(1+IFERROR(INDEX(AJ$11:AJ$12,Предпосылки!$K127,),0))*IFERROR(INDEX(AJ$11:AJ$12,Предпосылки!$K127,),0)</f>
        <v>0</v>
      </c>
      <c s="125">
        <f>AK71/(1+IFERROR(INDEX(AK$11:AK$12,Предпосылки!$K127,),0))*IFERROR(INDEX(AK$11:AK$12,Предпосылки!$K127,),0)</f>
        <v>0</v>
      </c>
      <c s="125">
        <f>AL71/(1+IFERROR(INDEX(AL$11:AL$12,Предпосылки!$K127,),0))*IFERROR(INDEX(AL$11:AL$12,Предпосылки!$K127,),0)</f>
        <v>0</v>
      </c>
      <c s="125">
        <f>AM71/(1+IFERROR(INDEX(AM$11:AM$12,Предпосылки!$K127,),0))*IFERROR(INDEX(AM$11:AM$12,Предпосылки!$K127,),0)</f>
        <v>0</v>
      </c>
      <c s="125">
        <f>AN71/(1+IFERROR(INDEX(AN$11:AN$12,Предпосылки!$K127,),0))*IFERROR(INDEX(AN$11:AN$12,Предпосылки!$K127,),0)</f>
        <v>0</v>
      </c>
      <c s="125">
        <f>AO71/(1+IFERROR(INDEX(AO$11:AO$12,Предпосылки!$K127,),0))*IFERROR(INDEX(AO$11:AO$12,Предпосылки!$K127,),0)</f>
        <v>0</v>
      </c>
      <c s="125">
        <f>AP71/(1+IFERROR(INDEX(AP$11:AP$12,Предпосылки!$K127,),0))*IFERROR(INDEX(AP$11:AP$12,Предпосылки!$K127,),0)</f>
        <v>0</v>
      </c>
      <c s="125">
        <f>AQ71/(1+IFERROR(INDEX(AQ$11:AQ$12,Предпосылки!$K127,),0))*IFERROR(INDEX(AQ$11:AQ$12,Предпосылки!$K127,),0)</f>
        <v>0</v>
      </c>
      <c s="125">
        <f>AR71/(1+IFERROR(INDEX(AR$11:AR$12,Предпосылки!$K127,),0))*IFERROR(INDEX(AR$11:AR$12,Предпосылки!$K127,),0)</f>
        <v>0</v>
      </c>
      <c s="125">
        <f>AS71/(1+IFERROR(INDEX(AS$11:AS$12,Предпосылки!$K127,),0))*IFERROR(INDEX(AS$11:AS$12,Предпосылки!$K127,),0)</f>
        <v>0</v>
      </c>
      <c s="125">
        <f>AT71/(1+IFERROR(INDEX(AT$11:AT$12,Предпосылки!$K127,),0))*IFERROR(INDEX(AT$11:AT$12,Предпосылки!$K127,),0)</f>
        <v>0</v>
      </c>
      <c s="125">
        <f>AU71/(1+IFERROR(INDEX(AU$11:AU$12,Предпосылки!$K127,),0))*IFERROR(INDEX(AU$11:AU$12,Предпосылки!$K127,),0)</f>
        <v>0</v>
      </c>
      <c s="125">
        <f>AV71/(1+IFERROR(INDEX(AV$11:AV$12,Предпосылки!$K127,),0))*IFERROR(INDEX(AV$11:AV$12,Предпосылки!$K127,),0)</f>
        <v>0</v>
      </c>
      <c s="125">
        <f>AW71/(1+IFERROR(INDEX(AW$11:AW$12,Предпосылки!$K127,),0))*IFERROR(INDEX(AW$11:AW$12,Предпосылки!$K127,),0)</f>
        <v>0</v>
      </c>
      <c s="125">
        <f>AX71/(1+IFERROR(INDEX(AX$11:AX$12,Предпосылки!$K127,),0))*IFERROR(INDEX(AX$11:AX$12,Предпосылки!$K127,),0)</f>
        <v>0</v>
      </c>
      <c s="125">
        <f>AY71/(1+IFERROR(INDEX(AY$11:AY$12,Предпосылки!$K127,),0))*IFERROR(INDEX(AY$11:AY$12,Предпосылки!$K127,),0)</f>
        <v>0</v>
      </c>
      <c s="125">
        <f>AZ71/(1+IFERROR(INDEX(AZ$11:AZ$12,Предпосылки!$K127,),0))*IFERROR(INDEX(AZ$11:AZ$12,Предпосылки!$K127,),0)</f>
        <v>0</v>
      </c>
      <c s="125">
        <f>BA71/(1+IFERROR(INDEX(BA$11:BA$12,Предпосылки!$K127,),0))*IFERROR(INDEX(BA$11:BA$12,Предпосылки!$K127,),0)</f>
        <v>0</v>
      </c>
      <c s="125">
        <f>BB71/(1+IFERROR(INDEX(BB$11:BB$12,Предпосылки!$K127,),0))*IFERROR(INDEX(BB$11:BB$12,Предпосылки!$K127,),0)</f>
        <v>0</v>
      </c>
      <c s="125">
        <f>BC71/(1+IFERROR(INDEX(BC$11:BC$12,Предпосылки!$K127,),0))*IFERROR(INDEX(BC$11:BC$12,Предпосылки!$K127,),0)</f>
        <v>0</v>
      </c>
      <c s="125">
        <f>BD71/(1+IFERROR(INDEX(BD$11:BD$12,Предпосылки!$K127,),0))*IFERROR(INDEX(BD$11:BD$12,Предпосылки!$K127,),0)</f>
        <v>0</v>
      </c>
      <c s="125">
        <f>BE71/(1+IFERROR(INDEX(BE$11:BE$12,Предпосылки!$K127,),0))*IFERROR(INDEX(BE$11:BE$12,Предпосылки!$K127,),0)</f>
        <v>0</v>
      </c>
      <c s="125">
        <f>BF71/(1+IFERROR(INDEX(BF$11:BF$12,Предпосылки!$K127,),0))*IFERROR(INDEX(BF$11:BF$12,Предпосылки!$K127,),0)</f>
        <v>0</v>
      </c>
      <c s="125">
        <f>BG71/(1+IFERROR(INDEX(BG$11:BG$12,Предпосылки!$K127,),0))*IFERROR(INDEX(BG$11:BG$12,Предпосылки!$K127,),0)</f>
        <v>0</v>
      </c>
      <c s="125">
        <f>BH71/(1+IFERROR(INDEX(BH$11:BH$12,Предпосылки!$K127,),0))*IFERROR(INDEX(BH$11:BH$12,Предпосылки!$K127,),0)</f>
        <v>0</v>
      </c>
      <c s="125">
        <f>BI71/(1+IFERROR(INDEX(BI$11:BI$12,Предпосылки!$K127,),0))*IFERROR(INDEX(BI$11:BI$12,Предпосылки!$K127,),0)</f>
        <v>0</v>
      </c>
      <c s="125">
        <f>BJ71/(1+IFERROR(INDEX(BJ$11:BJ$12,Предпосылки!$K127,),0))*IFERROR(INDEX(BJ$11:BJ$12,Предпосылки!$K127,),0)</f>
        <v>0</v>
      </c>
      <c s="125">
        <f>BK71/(1+IFERROR(INDEX(BK$11:BK$12,Предпосылки!$K127,),0))*IFERROR(INDEX(BK$11:BK$12,Предпосылки!$K127,),0)</f>
        <v>0</v>
      </c>
      <c s="125">
        <f>BL71/(1+IFERROR(INDEX(BL$11:BL$12,Предпосылки!$K127,),0))*IFERROR(INDEX(BL$11:BL$12,Предпосылки!$K127,),0)</f>
        <v>0</v>
      </c>
      <c s="125">
        <f>BM71/(1+IFERROR(INDEX(BM$11:BM$12,Предпосылки!$K127,),0))*IFERROR(INDEX(BM$11:BM$12,Предпосылки!$K127,),0)</f>
        <v>0</v>
      </c>
    </row>
    <row r="95" spans="2:65" ht="15" customHeight="1">
      <c r="B95" s="12" t="str">
        <f t="shared" si="85"/>
        <v>Продукт 7</v>
      </c>
      <c s="124" t="str">
        <f t="shared" si="84"/>
        <v>тыс. руб.</v>
      </c>
      <c s="276">
        <f t="shared" si="86"/>
        <v>0</v>
      </c>
      <c s="125">
        <f>E72/(1+IFERROR(INDEX(E$11:E$12,Предпосылки!$K128,),0))*IFERROR(INDEX(E$11:E$12,Предпосылки!$K128,),0)</f>
        <v>0</v>
      </c>
      <c s="125">
        <f>F72/(1+IFERROR(INDEX(F$11:F$12,Предпосылки!$K128,),0))*IFERROR(INDEX(F$11:F$12,Предпосылки!$K128,),0)</f>
        <v>0</v>
      </c>
      <c s="125">
        <f>G72/(1+IFERROR(INDEX(G$11:G$12,Предпосылки!$K128,),0))*IFERROR(INDEX(G$11:G$12,Предпосылки!$K128,),0)</f>
        <v>0</v>
      </c>
      <c s="125">
        <f>H72/(1+IFERROR(INDEX(H$11:H$12,Предпосылки!$K128,),0))*IFERROR(INDEX(H$11:H$12,Предпосылки!$K128,),0)</f>
        <v>0</v>
      </c>
      <c s="125">
        <f>I72/(1+IFERROR(INDEX(I$11:I$12,Предпосылки!$K128,),0))*IFERROR(INDEX(I$11:I$12,Предпосылки!$K128,),0)</f>
        <v>0</v>
      </c>
      <c s="125">
        <f>J72/(1+IFERROR(INDEX(J$11:J$12,Предпосылки!$K128,),0))*IFERROR(INDEX(J$11:J$12,Предпосылки!$K128,),0)</f>
        <v>0</v>
      </c>
      <c s="125">
        <f>K72/(1+IFERROR(INDEX(K$11:K$12,Предпосылки!$K128,),0))*IFERROR(INDEX(K$11:K$12,Предпосылки!$K128,),0)</f>
        <v>0</v>
      </c>
      <c s="125">
        <f>L72/(1+IFERROR(INDEX(L$11:L$12,Предпосылки!$K128,),0))*IFERROR(INDEX(L$11:L$12,Предпосылки!$K128,),0)</f>
        <v>0</v>
      </c>
      <c s="125">
        <f>M72/(1+IFERROR(INDEX(M$11:M$12,Предпосылки!$K128,),0))*IFERROR(INDEX(M$11:M$12,Предпосылки!$K128,),0)</f>
        <v>0</v>
      </c>
      <c s="125">
        <f>N72/(1+IFERROR(INDEX(N$11:N$12,Предпосылки!$K128,),0))*IFERROR(INDEX(N$11:N$12,Предпосылки!$K128,),0)</f>
        <v>0</v>
      </c>
      <c s="125">
        <f>O72/(1+IFERROR(INDEX(O$11:O$12,Предпосылки!$K128,),0))*IFERROR(INDEX(O$11:O$12,Предпосылки!$K128,),0)</f>
        <v>0</v>
      </c>
      <c s="125">
        <f>P72/(1+IFERROR(INDEX(P$11:P$12,Предпосылки!$K128,),0))*IFERROR(INDEX(P$11:P$12,Предпосылки!$K128,),0)</f>
        <v>0</v>
      </c>
      <c s="125">
        <f>Q72/(1+IFERROR(INDEX(Q$11:Q$12,Предпосылки!$K128,),0))*IFERROR(INDEX(Q$11:Q$12,Предпосылки!$K128,),0)</f>
        <v>0</v>
      </c>
      <c s="125">
        <f>R72/(1+IFERROR(INDEX(R$11:R$12,Предпосылки!$K128,),0))*IFERROR(INDEX(R$11:R$12,Предпосылки!$K128,),0)</f>
        <v>0</v>
      </c>
      <c s="125">
        <f>S72/(1+IFERROR(INDEX(S$11:S$12,Предпосылки!$K128,),0))*IFERROR(INDEX(S$11:S$12,Предпосылки!$K128,),0)</f>
        <v>0</v>
      </c>
      <c s="125">
        <f>T72/(1+IFERROR(INDEX(T$11:T$12,Предпосылки!$K128,),0))*IFERROR(INDEX(T$11:T$12,Предпосылки!$K128,),0)</f>
        <v>0</v>
      </c>
      <c s="125">
        <f>U72/(1+IFERROR(INDEX(U$11:U$12,Предпосылки!$K128,),0))*IFERROR(INDEX(U$11:U$12,Предпосылки!$K128,),0)</f>
        <v>0</v>
      </c>
      <c s="125">
        <f>V72/(1+IFERROR(INDEX(V$11:V$12,Предпосылки!$K128,),0))*IFERROR(INDEX(V$11:V$12,Предпосылки!$K128,),0)</f>
        <v>0</v>
      </c>
      <c s="125">
        <f>W72/(1+IFERROR(INDEX(W$11:W$12,Предпосылки!$K128,),0))*IFERROR(INDEX(W$11:W$12,Предпосылки!$K128,),0)</f>
        <v>0</v>
      </c>
      <c s="125">
        <f>X72/(1+IFERROR(INDEX(X$11:X$12,Предпосылки!$K128,),0))*IFERROR(INDEX(X$11:X$12,Предпосылки!$K128,),0)</f>
        <v>0</v>
      </c>
      <c s="125">
        <f>Y72/(1+IFERROR(INDEX(Y$11:Y$12,Предпосылки!$K128,),0))*IFERROR(INDEX(Y$11:Y$12,Предпосылки!$K128,),0)</f>
        <v>0</v>
      </c>
      <c s="125">
        <f>Z72/(1+IFERROR(INDEX(Z$11:Z$12,Предпосылки!$K128,),0))*IFERROR(INDEX(Z$11:Z$12,Предпосылки!$K128,),0)</f>
        <v>0</v>
      </c>
      <c s="125">
        <f>AA72/(1+IFERROR(INDEX(AA$11:AA$12,Предпосылки!$K128,),0))*IFERROR(INDEX(AA$11:AA$12,Предпосылки!$K128,),0)</f>
        <v>0</v>
      </c>
      <c s="125">
        <f>AB72/(1+IFERROR(INDEX(AB$11:AB$12,Предпосылки!$K128,),0))*IFERROR(INDEX(AB$11:AB$12,Предпосылки!$K128,),0)</f>
        <v>0</v>
      </c>
      <c s="125">
        <f>AC72/(1+IFERROR(INDEX(AC$11:AC$12,Предпосылки!$K128,),0))*IFERROR(INDEX(AC$11:AC$12,Предпосылки!$K128,),0)</f>
        <v>0</v>
      </c>
      <c s="125">
        <f>AD72/(1+IFERROR(INDEX(AD$11:AD$12,Предпосылки!$K128,),0))*IFERROR(INDEX(AD$11:AD$12,Предпосылки!$K128,),0)</f>
        <v>0</v>
      </c>
      <c s="125">
        <f>AE72/(1+IFERROR(INDEX(AE$11:AE$12,Предпосылки!$K128,),0))*IFERROR(INDEX(AE$11:AE$12,Предпосылки!$K128,),0)</f>
        <v>0</v>
      </c>
      <c s="125">
        <f>AF72/(1+IFERROR(INDEX(AF$11:AF$12,Предпосылки!$K128,),0))*IFERROR(INDEX(AF$11:AF$12,Предпосылки!$K128,),0)</f>
        <v>0</v>
      </c>
      <c s="125">
        <f>AG72/(1+IFERROR(INDEX(AG$11:AG$12,Предпосылки!$K128,),0))*IFERROR(INDEX(AG$11:AG$12,Предпосылки!$K128,),0)</f>
        <v>0</v>
      </c>
      <c s="125">
        <f>AH72/(1+IFERROR(INDEX(AH$11:AH$12,Предпосылки!$K128,),0))*IFERROR(INDEX(AH$11:AH$12,Предпосылки!$K128,),0)</f>
        <v>0</v>
      </c>
      <c s="125">
        <f>AI72/(1+IFERROR(INDEX(AI$11:AI$12,Предпосылки!$K128,),0))*IFERROR(INDEX(AI$11:AI$12,Предпосылки!$K128,),0)</f>
        <v>0</v>
      </c>
      <c s="125">
        <f>AJ72/(1+IFERROR(INDEX(AJ$11:AJ$12,Предпосылки!$K128,),0))*IFERROR(INDEX(AJ$11:AJ$12,Предпосылки!$K128,),0)</f>
        <v>0</v>
      </c>
      <c s="125">
        <f>AK72/(1+IFERROR(INDEX(AK$11:AK$12,Предпосылки!$K128,),0))*IFERROR(INDEX(AK$11:AK$12,Предпосылки!$K128,),0)</f>
        <v>0</v>
      </c>
      <c s="125">
        <f>AL72/(1+IFERROR(INDEX(AL$11:AL$12,Предпосылки!$K128,),0))*IFERROR(INDEX(AL$11:AL$12,Предпосылки!$K128,),0)</f>
        <v>0</v>
      </c>
      <c s="125">
        <f>AM72/(1+IFERROR(INDEX(AM$11:AM$12,Предпосылки!$K128,),0))*IFERROR(INDEX(AM$11:AM$12,Предпосылки!$K128,),0)</f>
        <v>0</v>
      </c>
      <c s="125">
        <f>AN72/(1+IFERROR(INDEX(AN$11:AN$12,Предпосылки!$K128,),0))*IFERROR(INDEX(AN$11:AN$12,Предпосылки!$K128,),0)</f>
        <v>0</v>
      </c>
      <c s="125">
        <f>AO72/(1+IFERROR(INDEX(AO$11:AO$12,Предпосылки!$K128,),0))*IFERROR(INDEX(AO$11:AO$12,Предпосылки!$K128,),0)</f>
        <v>0</v>
      </c>
      <c s="125">
        <f>AP72/(1+IFERROR(INDEX(AP$11:AP$12,Предпосылки!$K128,),0))*IFERROR(INDEX(AP$11:AP$12,Предпосылки!$K128,),0)</f>
        <v>0</v>
      </c>
      <c s="125">
        <f>AQ72/(1+IFERROR(INDEX(AQ$11:AQ$12,Предпосылки!$K128,),0))*IFERROR(INDEX(AQ$11:AQ$12,Предпосылки!$K128,),0)</f>
        <v>0</v>
      </c>
      <c s="125">
        <f>AR72/(1+IFERROR(INDEX(AR$11:AR$12,Предпосылки!$K128,),0))*IFERROR(INDEX(AR$11:AR$12,Предпосылки!$K128,),0)</f>
        <v>0</v>
      </c>
      <c s="125">
        <f>AS72/(1+IFERROR(INDEX(AS$11:AS$12,Предпосылки!$K128,),0))*IFERROR(INDEX(AS$11:AS$12,Предпосылки!$K128,),0)</f>
        <v>0</v>
      </c>
      <c s="125">
        <f>AT72/(1+IFERROR(INDEX(AT$11:AT$12,Предпосылки!$K128,),0))*IFERROR(INDEX(AT$11:AT$12,Предпосылки!$K128,),0)</f>
        <v>0</v>
      </c>
      <c s="125">
        <f>AU72/(1+IFERROR(INDEX(AU$11:AU$12,Предпосылки!$K128,),0))*IFERROR(INDEX(AU$11:AU$12,Предпосылки!$K128,),0)</f>
        <v>0</v>
      </c>
      <c s="125">
        <f>AV72/(1+IFERROR(INDEX(AV$11:AV$12,Предпосылки!$K128,),0))*IFERROR(INDEX(AV$11:AV$12,Предпосылки!$K128,),0)</f>
        <v>0</v>
      </c>
      <c s="125">
        <f>AW72/(1+IFERROR(INDEX(AW$11:AW$12,Предпосылки!$K128,),0))*IFERROR(INDEX(AW$11:AW$12,Предпосылки!$K128,),0)</f>
        <v>0</v>
      </c>
      <c s="125">
        <f>AX72/(1+IFERROR(INDEX(AX$11:AX$12,Предпосылки!$K128,),0))*IFERROR(INDEX(AX$11:AX$12,Предпосылки!$K128,),0)</f>
        <v>0</v>
      </c>
      <c s="125">
        <f>AY72/(1+IFERROR(INDEX(AY$11:AY$12,Предпосылки!$K128,),0))*IFERROR(INDEX(AY$11:AY$12,Предпосылки!$K128,),0)</f>
        <v>0</v>
      </c>
      <c s="125">
        <f>AZ72/(1+IFERROR(INDEX(AZ$11:AZ$12,Предпосылки!$K128,),0))*IFERROR(INDEX(AZ$11:AZ$12,Предпосылки!$K128,),0)</f>
        <v>0</v>
      </c>
      <c s="125">
        <f>BA72/(1+IFERROR(INDEX(BA$11:BA$12,Предпосылки!$K128,),0))*IFERROR(INDEX(BA$11:BA$12,Предпосылки!$K128,),0)</f>
        <v>0</v>
      </c>
      <c s="125">
        <f>BB72/(1+IFERROR(INDEX(BB$11:BB$12,Предпосылки!$K128,),0))*IFERROR(INDEX(BB$11:BB$12,Предпосылки!$K128,),0)</f>
        <v>0</v>
      </c>
      <c s="125">
        <f>BC72/(1+IFERROR(INDEX(BC$11:BC$12,Предпосылки!$K128,),0))*IFERROR(INDEX(BC$11:BC$12,Предпосылки!$K128,),0)</f>
        <v>0</v>
      </c>
      <c s="125">
        <f>BD72/(1+IFERROR(INDEX(BD$11:BD$12,Предпосылки!$K128,),0))*IFERROR(INDEX(BD$11:BD$12,Предпосылки!$K128,),0)</f>
        <v>0</v>
      </c>
      <c s="125">
        <f>BE72/(1+IFERROR(INDEX(BE$11:BE$12,Предпосылки!$K128,),0))*IFERROR(INDEX(BE$11:BE$12,Предпосылки!$K128,),0)</f>
        <v>0</v>
      </c>
      <c s="125">
        <f>BF72/(1+IFERROR(INDEX(BF$11:BF$12,Предпосылки!$K128,),0))*IFERROR(INDEX(BF$11:BF$12,Предпосылки!$K128,),0)</f>
        <v>0</v>
      </c>
      <c s="125">
        <f>BG72/(1+IFERROR(INDEX(BG$11:BG$12,Предпосылки!$K128,),0))*IFERROR(INDEX(BG$11:BG$12,Предпосылки!$K128,),0)</f>
        <v>0</v>
      </c>
      <c s="125">
        <f>BH72/(1+IFERROR(INDEX(BH$11:BH$12,Предпосылки!$K128,),0))*IFERROR(INDEX(BH$11:BH$12,Предпосылки!$K128,),0)</f>
        <v>0</v>
      </c>
      <c s="125">
        <f>BI72/(1+IFERROR(INDEX(BI$11:BI$12,Предпосылки!$K128,),0))*IFERROR(INDEX(BI$11:BI$12,Предпосылки!$K128,),0)</f>
        <v>0</v>
      </c>
      <c s="125">
        <f>BJ72/(1+IFERROR(INDEX(BJ$11:BJ$12,Предпосылки!$K128,),0))*IFERROR(INDEX(BJ$11:BJ$12,Предпосылки!$K128,),0)</f>
        <v>0</v>
      </c>
      <c s="125">
        <f>BK72/(1+IFERROR(INDEX(BK$11:BK$12,Предпосылки!$K128,),0))*IFERROR(INDEX(BK$11:BK$12,Предпосылки!$K128,),0)</f>
        <v>0</v>
      </c>
      <c s="125">
        <f>BL72/(1+IFERROR(INDEX(BL$11:BL$12,Предпосылки!$K128,),0))*IFERROR(INDEX(BL$11:BL$12,Предпосылки!$K128,),0)</f>
        <v>0</v>
      </c>
      <c s="125">
        <f>BM72/(1+IFERROR(INDEX(BM$11:BM$12,Предпосылки!$K128,),0))*IFERROR(INDEX(BM$11:BM$12,Предпосылки!$K128,),0)</f>
        <v>0</v>
      </c>
    </row>
    <row r="96" spans="2:65" ht="15" customHeight="1">
      <c r="B96" s="12" t="str">
        <f t="shared" si="85"/>
        <v>Продукт 8</v>
      </c>
      <c s="124" t="str">
        <f t="shared" si="84"/>
        <v>тыс. руб.</v>
      </c>
      <c s="276">
        <f t="shared" si="86"/>
        <v>0</v>
      </c>
      <c s="125">
        <f>E73/(1+IFERROR(INDEX(E$11:E$12,Предпосылки!$K129,),0))*IFERROR(INDEX(E$11:E$12,Предпосылки!$K129,),0)</f>
        <v>0</v>
      </c>
      <c s="125">
        <f>F73/(1+IFERROR(INDEX(F$11:F$12,Предпосылки!$K129,),0))*IFERROR(INDEX(F$11:F$12,Предпосылки!$K129,),0)</f>
        <v>0</v>
      </c>
      <c s="125">
        <f>G73/(1+IFERROR(INDEX(G$11:G$12,Предпосылки!$K129,),0))*IFERROR(INDEX(G$11:G$12,Предпосылки!$K129,),0)</f>
        <v>0</v>
      </c>
      <c s="125">
        <f>H73/(1+IFERROR(INDEX(H$11:H$12,Предпосылки!$K129,),0))*IFERROR(INDEX(H$11:H$12,Предпосылки!$K129,),0)</f>
        <v>0</v>
      </c>
      <c s="125">
        <f>I73/(1+IFERROR(INDEX(I$11:I$12,Предпосылки!$K129,),0))*IFERROR(INDEX(I$11:I$12,Предпосылки!$K129,),0)</f>
        <v>0</v>
      </c>
      <c s="125">
        <f>J73/(1+IFERROR(INDEX(J$11:J$12,Предпосылки!$K129,),0))*IFERROR(INDEX(J$11:J$12,Предпосылки!$K129,),0)</f>
        <v>0</v>
      </c>
      <c s="125">
        <f>K73/(1+IFERROR(INDEX(K$11:K$12,Предпосылки!$K129,),0))*IFERROR(INDEX(K$11:K$12,Предпосылки!$K129,),0)</f>
        <v>0</v>
      </c>
      <c s="125">
        <f>L73/(1+IFERROR(INDEX(L$11:L$12,Предпосылки!$K129,),0))*IFERROR(INDEX(L$11:L$12,Предпосылки!$K129,),0)</f>
        <v>0</v>
      </c>
      <c s="125">
        <f>M73/(1+IFERROR(INDEX(M$11:M$12,Предпосылки!$K129,),0))*IFERROR(INDEX(M$11:M$12,Предпосылки!$K129,),0)</f>
        <v>0</v>
      </c>
      <c s="125">
        <f>N73/(1+IFERROR(INDEX(N$11:N$12,Предпосылки!$K129,),0))*IFERROR(INDEX(N$11:N$12,Предпосылки!$K129,),0)</f>
        <v>0</v>
      </c>
      <c s="125">
        <f>O73/(1+IFERROR(INDEX(O$11:O$12,Предпосылки!$K129,),0))*IFERROR(INDEX(O$11:O$12,Предпосылки!$K129,),0)</f>
        <v>0</v>
      </c>
      <c s="125">
        <f>P73/(1+IFERROR(INDEX(P$11:P$12,Предпосылки!$K129,),0))*IFERROR(INDEX(P$11:P$12,Предпосылки!$K129,),0)</f>
        <v>0</v>
      </c>
      <c s="125">
        <f>Q73/(1+IFERROR(INDEX(Q$11:Q$12,Предпосылки!$K129,),0))*IFERROR(INDEX(Q$11:Q$12,Предпосылки!$K129,),0)</f>
        <v>0</v>
      </c>
      <c s="125">
        <f>R73/(1+IFERROR(INDEX(R$11:R$12,Предпосылки!$K129,),0))*IFERROR(INDEX(R$11:R$12,Предпосылки!$K129,),0)</f>
        <v>0</v>
      </c>
      <c s="125">
        <f>S73/(1+IFERROR(INDEX(S$11:S$12,Предпосылки!$K129,),0))*IFERROR(INDEX(S$11:S$12,Предпосылки!$K129,),0)</f>
        <v>0</v>
      </c>
      <c s="125">
        <f>T73/(1+IFERROR(INDEX(T$11:T$12,Предпосылки!$K129,),0))*IFERROR(INDEX(T$11:T$12,Предпосылки!$K129,),0)</f>
        <v>0</v>
      </c>
      <c s="125">
        <f>U73/(1+IFERROR(INDEX(U$11:U$12,Предпосылки!$K129,),0))*IFERROR(INDEX(U$11:U$12,Предпосылки!$K129,),0)</f>
        <v>0</v>
      </c>
      <c s="125">
        <f>V73/(1+IFERROR(INDEX(V$11:V$12,Предпосылки!$K129,),0))*IFERROR(INDEX(V$11:V$12,Предпосылки!$K129,),0)</f>
        <v>0</v>
      </c>
      <c s="125">
        <f>W73/(1+IFERROR(INDEX(W$11:W$12,Предпосылки!$K129,),0))*IFERROR(INDEX(W$11:W$12,Предпосылки!$K129,),0)</f>
        <v>0</v>
      </c>
      <c s="125">
        <f>X73/(1+IFERROR(INDEX(X$11:X$12,Предпосылки!$K129,),0))*IFERROR(INDEX(X$11:X$12,Предпосылки!$K129,),0)</f>
        <v>0</v>
      </c>
      <c s="125">
        <f>Y73/(1+IFERROR(INDEX(Y$11:Y$12,Предпосылки!$K129,),0))*IFERROR(INDEX(Y$11:Y$12,Предпосылки!$K129,),0)</f>
        <v>0</v>
      </c>
      <c s="125">
        <f>Z73/(1+IFERROR(INDEX(Z$11:Z$12,Предпосылки!$K129,),0))*IFERROR(INDEX(Z$11:Z$12,Предпосылки!$K129,),0)</f>
        <v>0</v>
      </c>
      <c s="125">
        <f>AA73/(1+IFERROR(INDEX(AA$11:AA$12,Предпосылки!$K129,),0))*IFERROR(INDEX(AA$11:AA$12,Предпосылки!$K129,),0)</f>
        <v>0</v>
      </c>
      <c s="125">
        <f>AB73/(1+IFERROR(INDEX(AB$11:AB$12,Предпосылки!$K129,),0))*IFERROR(INDEX(AB$11:AB$12,Предпосылки!$K129,),0)</f>
        <v>0</v>
      </c>
      <c s="125">
        <f>AC73/(1+IFERROR(INDEX(AC$11:AC$12,Предпосылки!$K129,),0))*IFERROR(INDEX(AC$11:AC$12,Предпосылки!$K129,),0)</f>
        <v>0</v>
      </c>
      <c s="125">
        <f>AD73/(1+IFERROR(INDEX(AD$11:AD$12,Предпосылки!$K129,),0))*IFERROR(INDEX(AD$11:AD$12,Предпосылки!$K129,),0)</f>
        <v>0</v>
      </c>
      <c s="125">
        <f>AE73/(1+IFERROR(INDEX(AE$11:AE$12,Предпосылки!$K129,),0))*IFERROR(INDEX(AE$11:AE$12,Предпосылки!$K129,),0)</f>
        <v>0</v>
      </c>
      <c s="125">
        <f>AF73/(1+IFERROR(INDEX(AF$11:AF$12,Предпосылки!$K129,),0))*IFERROR(INDEX(AF$11:AF$12,Предпосылки!$K129,),0)</f>
        <v>0</v>
      </c>
      <c s="125">
        <f>AG73/(1+IFERROR(INDEX(AG$11:AG$12,Предпосылки!$K129,),0))*IFERROR(INDEX(AG$11:AG$12,Предпосылки!$K129,),0)</f>
        <v>0</v>
      </c>
      <c s="125">
        <f>AH73/(1+IFERROR(INDEX(AH$11:AH$12,Предпосылки!$K129,),0))*IFERROR(INDEX(AH$11:AH$12,Предпосылки!$K129,),0)</f>
        <v>0</v>
      </c>
      <c s="125">
        <f>AI73/(1+IFERROR(INDEX(AI$11:AI$12,Предпосылки!$K129,),0))*IFERROR(INDEX(AI$11:AI$12,Предпосылки!$K129,),0)</f>
        <v>0</v>
      </c>
      <c s="125">
        <f>AJ73/(1+IFERROR(INDEX(AJ$11:AJ$12,Предпосылки!$K129,),0))*IFERROR(INDEX(AJ$11:AJ$12,Предпосылки!$K129,),0)</f>
        <v>0</v>
      </c>
      <c s="125">
        <f>AK73/(1+IFERROR(INDEX(AK$11:AK$12,Предпосылки!$K129,),0))*IFERROR(INDEX(AK$11:AK$12,Предпосылки!$K129,),0)</f>
        <v>0</v>
      </c>
      <c s="125">
        <f>AL73/(1+IFERROR(INDEX(AL$11:AL$12,Предпосылки!$K129,),0))*IFERROR(INDEX(AL$11:AL$12,Предпосылки!$K129,),0)</f>
        <v>0</v>
      </c>
      <c s="125">
        <f>AM73/(1+IFERROR(INDEX(AM$11:AM$12,Предпосылки!$K129,),0))*IFERROR(INDEX(AM$11:AM$12,Предпосылки!$K129,),0)</f>
        <v>0</v>
      </c>
      <c s="125">
        <f>AN73/(1+IFERROR(INDEX(AN$11:AN$12,Предпосылки!$K129,),0))*IFERROR(INDEX(AN$11:AN$12,Предпосылки!$K129,),0)</f>
        <v>0</v>
      </c>
      <c s="125">
        <f>AO73/(1+IFERROR(INDEX(AO$11:AO$12,Предпосылки!$K129,),0))*IFERROR(INDEX(AO$11:AO$12,Предпосылки!$K129,),0)</f>
        <v>0</v>
      </c>
      <c s="125">
        <f>AP73/(1+IFERROR(INDEX(AP$11:AP$12,Предпосылки!$K129,),0))*IFERROR(INDEX(AP$11:AP$12,Предпосылки!$K129,),0)</f>
        <v>0</v>
      </c>
      <c s="125">
        <f>AQ73/(1+IFERROR(INDEX(AQ$11:AQ$12,Предпосылки!$K129,),0))*IFERROR(INDEX(AQ$11:AQ$12,Предпосылки!$K129,),0)</f>
        <v>0</v>
      </c>
      <c s="125">
        <f>AR73/(1+IFERROR(INDEX(AR$11:AR$12,Предпосылки!$K129,),0))*IFERROR(INDEX(AR$11:AR$12,Предпосылки!$K129,),0)</f>
        <v>0</v>
      </c>
      <c s="125">
        <f>AS73/(1+IFERROR(INDEX(AS$11:AS$12,Предпосылки!$K129,),0))*IFERROR(INDEX(AS$11:AS$12,Предпосылки!$K129,),0)</f>
        <v>0</v>
      </c>
      <c s="125">
        <f>AT73/(1+IFERROR(INDEX(AT$11:AT$12,Предпосылки!$K129,),0))*IFERROR(INDEX(AT$11:AT$12,Предпосылки!$K129,),0)</f>
        <v>0</v>
      </c>
      <c s="125">
        <f>AU73/(1+IFERROR(INDEX(AU$11:AU$12,Предпосылки!$K129,),0))*IFERROR(INDEX(AU$11:AU$12,Предпосылки!$K129,),0)</f>
        <v>0</v>
      </c>
      <c s="125">
        <f>AV73/(1+IFERROR(INDEX(AV$11:AV$12,Предпосылки!$K129,),0))*IFERROR(INDEX(AV$11:AV$12,Предпосылки!$K129,),0)</f>
        <v>0</v>
      </c>
      <c s="125">
        <f>AW73/(1+IFERROR(INDEX(AW$11:AW$12,Предпосылки!$K129,),0))*IFERROR(INDEX(AW$11:AW$12,Предпосылки!$K129,),0)</f>
        <v>0</v>
      </c>
      <c s="125">
        <f>AX73/(1+IFERROR(INDEX(AX$11:AX$12,Предпосылки!$K129,),0))*IFERROR(INDEX(AX$11:AX$12,Предпосылки!$K129,),0)</f>
        <v>0</v>
      </c>
      <c s="125">
        <f>AY73/(1+IFERROR(INDEX(AY$11:AY$12,Предпосылки!$K129,),0))*IFERROR(INDEX(AY$11:AY$12,Предпосылки!$K129,),0)</f>
        <v>0</v>
      </c>
      <c s="125">
        <f>AZ73/(1+IFERROR(INDEX(AZ$11:AZ$12,Предпосылки!$K129,),0))*IFERROR(INDEX(AZ$11:AZ$12,Предпосылки!$K129,),0)</f>
        <v>0</v>
      </c>
      <c s="125">
        <f>BA73/(1+IFERROR(INDEX(BA$11:BA$12,Предпосылки!$K129,),0))*IFERROR(INDEX(BA$11:BA$12,Предпосылки!$K129,),0)</f>
        <v>0</v>
      </c>
      <c s="125">
        <f>BB73/(1+IFERROR(INDEX(BB$11:BB$12,Предпосылки!$K129,),0))*IFERROR(INDEX(BB$11:BB$12,Предпосылки!$K129,),0)</f>
        <v>0</v>
      </c>
      <c s="125">
        <f>BC73/(1+IFERROR(INDEX(BC$11:BC$12,Предпосылки!$K129,),0))*IFERROR(INDEX(BC$11:BC$12,Предпосылки!$K129,),0)</f>
        <v>0</v>
      </c>
      <c s="125">
        <f>BD73/(1+IFERROR(INDEX(BD$11:BD$12,Предпосылки!$K129,),0))*IFERROR(INDEX(BD$11:BD$12,Предпосылки!$K129,),0)</f>
        <v>0</v>
      </c>
      <c s="125">
        <f>BE73/(1+IFERROR(INDEX(BE$11:BE$12,Предпосылки!$K129,),0))*IFERROR(INDEX(BE$11:BE$12,Предпосылки!$K129,),0)</f>
        <v>0</v>
      </c>
      <c s="125">
        <f>BF73/(1+IFERROR(INDEX(BF$11:BF$12,Предпосылки!$K129,),0))*IFERROR(INDEX(BF$11:BF$12,Предпосылки!$K129,),0)</f>
        <v>0</v>
      </c>
      <c s="125">
        <f>BG73/(1+IFERROR(INDEX(BG$11:BG$12,Предпосылки!$K129,),0))*IFERROR(INDEX(BG$11:BG$12,Предпосылки!$K129,),0)</f>
        <v>0</v>
      </c>
      <c s="125">
        <f>BH73/(1+IFERROR(INDEX(BH$11:BH$12,Предпосылки!$K129,),0))*IFERROR(INDEX(BH$11:BH$12,Предпосылки!$K129,),0)</f>
        <v>0</v>
      </c>
      <c s="125">
        <f>BI73/(1+IFERROR(INDEX(BI$11:BI$12,Предпосылки!$K129,),0))*IFERROR(INDEX(BI$11:BI$12,Предпосылки!$K129,),0)</f>
        <v>0</v>
      </c>
      <c s="125">
        <f>BJ73/(1+IFERROR(INDEX(BJ$11:BJ$12,Предпосылки!$K129,),0))*IFERROR(INDEX(BJ$11:BJ$12,Предпосылки!$K129,),0)</f>
        <v>0</v>
      </c>
      <c s="125">
        <f>BK73/(1+IFERROR(INDEX(BK$11:BK$12,Предпосылки!$K129,),0))*IFERROR(INDEX(BK$11:BK$12,Предпосылки!$K129,),0)</f>
        <v>0</v>
      </c>
      <c s="125">
        <f>BL73/(1+IFERROR(INDEX(BL$11:BL$12,Предпосылки!$K129,),0))*IFERROR(INDEX(BL$11:BL$12,Предпосылки!$K129,),0)</f>
        <v>0</v>
      </c>
      <c s="125">
        <f>BM73/(1+IFERROR(INDEX(BM$11:BM$12,Предпосылки!$K129,),0))*IFERROR(INDEX(BM$11:BM$12,Предпосылки!$K129,),0)</f>
        <v>0</v>
      </c>
    </row>
    <row r="97" spans="2:65" ht="15" customHeight="1">
      <c r="B97" s="12" t="str">
        <f t="shared" si="85"/>
        <v>Продукт 9</v>
      </c>
      <c s="124" t="str">
        <f t="shared" si="84"/>
        <v>тыс. руб.</v>
      </c>
      <c s="276">
        <f t="shared" si="86"/>
        <v>0</v>
      </c>
      <c s="125">
        <f>E74/(1+IFERROR(INDEX(E$11:E$12,Предпосылки!$K130,),0))*IFERROR(INDEX(E$11:E$12,Предпосылки!$K130,),0)</f>
        <v>0</v>
      </c>
      <c s="125">
        <f>F74/(1+IFERROR(INDEX(F$11:F$12,Предпосылки!$K130,),0))*IFERROR(INDEX(F$11:F$12,Предпосылки!$K130,),0)</f>
        <v>0</v>
      </c>
      <c s="125">
        <f>G74/(1+IFERROR(INDEX(G$11:G$12,Предпосылки!$K130,),0))*IFERROR(INDEX(G$11:G$12,Предпосылки!$K130,),0)</f>
        <v>0</v>
      </c>
      <c s="125">
        <f>H74/(1+IFERROR(INDEX(H$11:H$12,Предпосылки!$K130,),0))*IFERROR(INDEX(H$11:H$12,Предпосылки!$K130,),0)</f>
        <v>0</v>
      </c>
      <c s="125">
        <f>I74/(1+IFERROR(INDEX(I$11:I$12,Предпосылки!$K130,),0))*IFERROR(INDEX(I$11:I$12,Предпосылки!$K130,),0)</f>
        <v>0</v>
      </c>
      <c s="125">
        <f>J74/(1+IFERROR(INDEX(J$11:J$12,Предпосылки!$K130,),0))*IFERROR(INDEX(J$11:J$12,Предпосылки!$K130,),0)</f>
        <v>0</v>
      </c>
      <c s="125">
        <f>K74/(1+IFERROR(INDEX(K$11:K$12,Предпосылки!$K130,),0))*IFERROR(INDEX(K$11:K$12,Предпосылки!$K130,),0)</f>
        <v>0</v>
      </c>
      <c s="125">
        <f>L74/(1+IFERROR(INDEX(L$11:L$12,Предпосылки!$K130,),0))*IFERROR(INDEX(L$11:L$12,Предпосылки!$K130,),0)</f>
        <v>0</v>
      </c>
      <c s="125">
        <f>M74/(1+IFERROR(INDEX(M$11:M$12,Предпосылки!$K130,),0))*IFERROR(INDEX(M$11:M$12,Предпосылки!$K130,),0)</f>
        <v>0</v>
      </c>
      <c s="125">
        <f>N74/(1+IFERROR(INDEX(N$11:N$12,Предпосылки!$K130,),0))*IFERROR(INDEX(N$11:N$12,Предпосылки!$K130,),0)</f>
        <v>0</v>
      </c>
      <c s="125">
        <f>O74/(1+IFERROR(INDEX(O$11:O$12,Предпосылки!$K130,),0))*IFERROR(INDEX(O$11:O$12,Предпосылки!$K130,),0)</f>
        <v>0</v>
      </c>
      <c s="125">
        <f>P74/(1+IFERROR(INDEX(P$11:P$12,Предпосылки!$K130,),0))*IFERROR(INDEX(P$11:P$12,Предпосылки!$K130,),0)</f>
        <v>0</v>
      </c>
      <c s="125">
        <f>Q74/(1+IFERROR(INDEX(Q$11:Q$12,Предпосылки!$K130,),0))*IFERROR(INDEX(Q$11:Q$12,Предпосылки!$K130,),0)</f>
        <v>0</v>
      </c>
      <c s="125">
        <f>R74/(1+IFERROR(INDEX(R$11:R$12,Предпосылки!$K130,),0))*IFERROR(INDEX(R$11:R$12,Предпосылки!$K130,),0)</f>
        <v>0</v>
      </c>
      <c s="125">
        <f>S74/(1+IFERROR(INDEX(S$11:S$12,Предпосылки!$K130,),0))*IFERROR(INDEX(S$11:S$12,Предпосылки!$K130,),0)</f>
        <v>0</v>
      </c>
      <c s="125">
        <f>T74/(1+IFERROR(INDEX(T$11:T$12,Предпосылки!$K130,),0))*IFERROR(INDEX(T$11:T$12,Предпосылки!$K130,),0)</f>
        <v>0</v>
      </c>
      <c s="125">
        <f>U74/(1+IFERROR(INDEX(U$11:U$12,Предпосылки!$K130,),0))*IFERROR(INDEX(U$11:U$12,Предпосылки!$K130,),0)</f>
        <v>0</v>
      </c>
      <c s="125">
        <f>V74/(1+IFERROR(INDEX(V$11:V$12,Предпосылки!$K130,),0))*IFERROR(INDEX(V$11:V$12,Предпосылки!$K130,),0)</f>
        <v>0</v>
      </c>
      <c s="125">
        <f>W74/(1+IFERROR(INDEX(W$11:W$12,Предпосылки!$K130,),0))*IFERROR(INDEX(W$11:W$12,Предпосылки!$K130,),0)</f>
        <v>0</v>
      </c>
      <c s="125">
        <f>X74/(1+IFERROR(INDEX(X$11:X$12,Предпосылки!$K130,),0))*IFERROR(INDEX(X$11:X$12,Предпосылки!$K130,),0)</f>
        <v>0</v>
      </c>
      <c s="125">
        <f>Y74/(1+IFERROR(INDEX(Y$11:Y$12,Предпосылки!$K130,),0))*IFERROR(INDEX(Y$11:Y$12,Предпосылки!$K130,),0)</f>
        <v>0</v>
      </c>
      <c s="125">
        <f>Z74/(1+IFERROR(INDEX(Z$11:Z$12,Предпосылки!$K130,),0))*IFERROR(INDEX(Z$11:Z$12,Предпосылки!$K130,),0)</f>
        <v>0</v>
      </c>
      <c s="125">
        <f>AA74/(1+IFERROR(INDEX(AA$11:AA$12,Предпосылки!$K130,),0))*IFERROR(INDEX(AA$11:AA$12,Предпосылки!$K130,),0)</f>
        <v>0</v>
      </c>
      <c s="125">
        <f>AB74/(1+IFERROR(INDEX(AB$11:AB$12,Предпосылки!$K130,),0))*IFERROR(INDEX(AB$11:AB$12,Предпосылки!$K130,),0)</f>
        <v>0</v>
      </c>
      <c s="125">
        <f>AC74/(1+IFERROR(INDEX(AC$11:AC$12,Предпосылки!$K130,),0))*IFERROR(INDEX(AC$11:AC$12,Предпосылки!$K130,),0)</f>
        <v>0</v>
      </c>
      <c s="125">
        <f>AD74/(1+IFERROR(INDEX(AD$11:AD$12,Предпосылки!$K130,),0))*IFERROR(INDEX(AD$11:AD$12,Предпосылки!$K130,),0)</f>
        <v>0</v>
      </c>
      <c s="125">
        <f>AE74/(1+IFERROR(INDEX(AE$11:AE$12,Предпосылки!$K130,),0))*IFERROR(INDEX(AE$11:AE$12,Предпосылки!$K130,),0)</f>
        <v>0</v>
      </c>
      <c s="125">
        <f>AF74/(1+IFERROR(INDEX(AF$11:AF$12,Предпосылки!$K130,),0))*IFERROR(INDEX(AF$11:AF$12,Предпосылки!$K130,),0)</f>
        <v>0</v>
      </c>
      <c s="125">
        <f>AG74/(1+IFERROR(INDEX(AG$11:AG$12,Предпосылки!$K130,),0))*IFERROR(INDEX(AG$11:AG$12,Предпосылки!$K130,),0)</f>
        <v>0</v>
      </c>
      <c s="125">
        <f>AH74/(1+IFERROR(INDEX(AH$11:AH$12,Предпосылки!$K130,),0))*IFERROR(INDEX(AH$11:AH$12,Предпосылки!$K130,),0)</f>
        <v>0</v>
      </c>
      <c s="125">
        <f>AI74/(1+IFERROR(INDEX(AI$11:AI$12,Предпосылки!$K130,),0))*IFERROR(INDEX(AI$11:AI$12,Предпосылки!$K130,),0)</f>
        <v>0</v>
      </c>
      <c s="125">
        <f>AJ74/(1+IFERROR(INDEX(AJ$11:AJ$12,Предпосылки!$K130,),0))*IFERROR(INDEX(AJ$11:AJ$12,Предпосылки!$K130,),0)</f>
        <v>0</v>
      </c>
      <c s="125">
        <f>AK74/(1+IFERROR(INDEX(AK$11:AK$12,Предпосылки!$K130,),0))*IFERROR(INDEX(AK$11:AK$12,Предпосылки!$K130,),0)</f>
        <v>0</v>
      </c>
      <c s="125">
        <f>AL74/(1+IFERROR(INDEX(AL$11:AL$12,Предпосылки!$K130,),0))*IFERROR(INDEX(AL$11:AL$12,Предпосылки!$K130,),0)</f>
        <v>0</v>
      </c>
      <c s="125">
        <f>AM74/(1+IFERROR(INDEX(AM$11:AM$12,Предпосылки!$K130,),0))*IFERROR(INDEX(AM$11:AM$12,Предпосылки!$K130,),0)</f>
        <v>0</v>
      </c>
      <c s="125">
        <f>AN74/(1+IFERROR(INDEX(AN$11:AN$12,Предпосылки!$K130,),0))*IFERROR(INDEX(AN$11:AN$12,Предпосылки!$K130,),0)</f>
        <v>0</v>
      </c>
      <c s="125">
        <f>AO74/(1+IFERROR(INDEX(AO$11:AO$12,Предпосылки!$K130,),0))*IFERROR(INDEX(AO$11:AO$12,Предпосылки!$K130,),0)</f>
        <v>0</v>
      </c>
      <c s="125">
        <f>AP74/(1+IFERROR(INDEX(AP$11:AP$12,Предпосылки!$K130,),0))*IFERROR(INDEX(AP$11:AP$12,Предпосылки!$K130,),0)</f>
        <v>0</v>
      </c>
      <c s="125">
        <f>AQ74/(1+IFERROR(INDEX(AQ$11:AQ$12,Предпосылки!$K130,),0))*IFERROR(INDEX(AQ$11:AQ$12,Предпосылки!$K130,),0)</f>
        <v>0</v>
      </c>
      <c s="125">
        <f>AR74/(1+IFERROR(INDEX(AR$11:AR$12,Предпосылки!$K130,),0))*IFERROR(INDEX(AR$11:AR$12,Предпосылки!$K130,),0)</f>
        <v>0</v>
      </c>
      <c s="125">
        <f>AS74/(1+IFERROR(INDEX(AS$11:AS$12,Предпосылки!$K130,),0))*IFERROR(INDEX(AS$11:AS$12,Предпосылки!$K130,),0)</f>
        <v>0</v>
      </c>
      <c s="125">
        <f>AT74/(1+IFERROR(INDEX(AT$11:AT$12,Предпосылки!$K130,),0))*IFERROR(INDEX(AT$11:AT$12,Предпосылки!$K130,),0)</f>
        <v>0</v>
      </c>
      <c s="125">
        <f>AU74/(1+IFERROR(INDEX(AU$11:AU$12,Предпосылки!$K130,),0))*IFERROR(INDEX(AU$11:AU$12,Предпосылки!$K130,),0)</f>
        <v>0</v>
      </c>
      <c s="125">
        <f>AV74/(1+IFERROR(INDEX(AV$11:AV$12,Предпосылки!$K130,),0))*IFERROR(INDEX(AV$11:AV$12,Предпосылки!$K130,),0)</f>
        <v>0</v>
      </c>
      <c s="125">
        <f>AW74/(1+IFERROR(INDEX(AW$11:AW$12,Предпосылки!$K130,),0))*IFERROR(INDEX(AW$11:AW$12,Предпосылки!$K130,),0)</f>
        <v>0</v>
      </c>
      <c s="125">
        <f>AX74/(1+IFERROR(INDEX(AX$11:AX$12,Предпосылки!$K130,),0))*IFERROR(INDEX(AX$11:AX$12,Предпосылки!$K130,),0)</f>
        <v>0</v>
      </c>
      <c s="125">
        <f>AY74/(1+IFERROR(INDEX(AY$11:AY$12,Предпосылки!$K130,),0))*IFERROR(INDEX(AY$11:AY$12,Предпосылки!$K130,),0)</f>
        <v>0</v>
      </c>
      <c s="125">
        <f>AZ74/(1+IFERROR(INDEX(AZ$11:AZ$12,Предпосылки!$K130,),0))*IFERROR(INDEX(AZ$11:AZ$12,Предпосылки!$K130,),0)</f>
        <v>0</v>
      </c>
      <c s="125">
        <f>BA74/(1+IFERROR(INDEX(BA$11:BA$12,Предпосылки!$K130,),0))*IFERROR(INDEX(BA$11:BA$12,Предпосылки!$K130,),0)</f>
        <v>0</v>
      </c>
      <c s="125">
        <f>BB74/(1+IFERROR(INDEX(BB$11:BB$12,Предпосылки!$K130,),0))*IFERROR(INDEX(BB$11:BB$12,Предпосылки!$K130,),0)</f>
        <v>0</v>
      </c>
      <c s="125">
        <f>BC74/(1+IFERROR(INDEX(BC$11:BC$12,Предпосылки!$K130,),0))*IFERROR(INDEX(BC$11:BC$12,Предпосылки!$K130,),0)</f>
        <v>0</v>
      </c>
      <c s="125">
        <f>BD74/(1+IFERROR(INDEX(BD$11:BD$12,Предпосылки!$K130,),0))*IFERROR(INDEX(BD$11:BD$12,Предпосылки!$K130,),0)</f>
        <v>0</v>
      </c>
      <c s="125">
        <f>BE74/(1+IFERROR(INDEX(BE$11:BE$12,Предпосылки!$K130,),0))*IFERROR(INDEX(BE$11:BE$12,Предпосылки!$K130,),0)</f>
        <v>0</v>
      </c>
      <c s="125">
        <f>BF74/(1+IFERROR(INDEX(BF$11:BF$12,Предпосылки!$K130,),0))*IFERROR(INDEX(BF$11:BF$12,Предпосылки!$K130,),0)</f>
        <v>0</v>
      </c>
      <c s="125">
        <f>BG74/(1+IFERROR(INDEX(BG$11:BG$12,Предпосылки!$K130,),0))*IFERROR(INDEX(BG$11:BG$12,Предпосылки!$K130,),0)</f>
        <v>0</v>
      </c>
      <c s="125">
        <f>BH74/(1+IFERROR(INDEX(BH$11:BH$12,Предпосылки!$K130,),0))*IFERROR(INDEX(BH$11:BH$12,Предпосылки!$K130,),0)</f>
        <v>0</v>
      </c>
      <c s="125">
        <f>BI74/(1+IFERROR(INDEX(BI$11:BI$12,Предпосылки!$K130,),0))*IFERROR(INDEX(BI$11:BI$12,Предпосылки!$K130,),0)</f>
        <v>0</v>
      </c>
      <c s="125">
        <f>BJ74/(1+IFERROR(INDEX(BJ$11:BJ$12,Предпосылки!$K130,),0))*IFERROR(INDEX(BJ$11:BJ$12,Предпосылки!$K130,),0)</f>
        <v>0</v>
      </c>
      <c s="125">
        <f>BK74/(1+IFERROR(INDEX(BK$11:BK$12,Предпосылки!$K130,),0))*IFERROR(INDEX(BK$11:BK$12,Предпосылки!$K130,),0)</f>
        <v>0</v>
      </c>
      <c s="125">
        <f>BL74/(1+IFERROR(INDEX(BL$11:BL$12,Предпосылки!$K130,),0))*IFERROR(INDEX(BL$11:BL$12,Предпосылки!$K130,),0)</f>
        <v>0</v>
      </c>
      <c s="125">
        <f>BM74/(1+IFERROR(INDEX(BM$11:BM$12,Предпосылки!$K130,),0))*IFERROR(INDEX(BM$11:BM$12,Предпосылки!$K130,),0)</f>
        <v>0</v>
      </c>
    </row>
    <row r="98" spans="2:65" ht="15" customHeight="1">
      <c r="B98" s="12" t="str">
        <f t="shared" si="85"/>
        <v>Продукт 10</v>
      </c>
      <c s="124" t="str">
        <f t="shared" si="84"/>
        <v>тыс. руб.</v>
      </c>
      <c s="276">
        <f t="shared" si="86"/>
        <v>0</v>
      </c>
      <c s="125">
        <f>E75/(1+IFERROR(INDEX(E$11:E$12,Предпосылки!$K131,),0))*IFERROR(INDEX(E$11:E$12,Предпосылки!$K131,),0)</f>
        <v>0</v>
      </c>
      <c s="125">
        <f>F75/(1+IFERROR(INDEX(F$11:F$12,Предпосылки!$K131,),0))*IFERROR(INDEX(F$11:F$12,Предпосылки!$K131,),0)</f>
        <v>0</v>
      </c>
      <c s="125">
        <f>G75/(1+IFERROR(INDEX(G$11:G$12,Предпосылки!$K131,),0))*IFERROR(INDEX(G$11:G$12,Предпосылки!$K131,),0)</f>
        <v>0</v>
      </c>
      <c s="125">
        <f>H75/(1+IFERROR(INDEX(H$11:H$12,Предпосылки!$K131,),0))*IFERROR(INDEX(H$11:H$12,Предпосылки!$K131,),0)</f>
        <v>0</v>
      </c>
      <c s="125">
        <f>I75/(1+IFERROR(INDEX(I$11:I$12,Предпосылки!$K131,),0))*IFERROR(INDEX(I$11:I$12,Предпосылки!$K131,),0)</f>
        <v>0</v>
      </c>
      <c s="125">
        <f>J75/(1+IFERROR(INDEX(J$11:J$12,Предпосылки!$K131,),0))*IFERROR(INDEX(J$11:J$12,Предпосылки!$K131,),0)</f>
        <v>0</v>
      </c>
      <c s="125">
        <f>K75/(1+IFERROR(INDEX(K$11:K$12,Предпосылки!$K131,),0))*IFERROR(INDEX(K$11:K$12,Предпосылки!$K131,),0)</f>
        <v>0</v>
      </c>
      <c s="125">
        <f>L75/(1+IFERROR(INDEX(L$11:L$12,Предпосылки!$K131,),0))*IFERROR(INDEX(L$11:L$12,Предпосылки!$K131,),0)</f>
        <v>0</v>
      </c>
      <c s="125">
        <f>M75/(1+IFERROR(INDEX(M$11:M$12,Предпосылки!$K131,),0))*IFERROR(INDEX(M$11:M$12,Предпосылки!$K131,),0)</f>
        <v>0</v>
      </c>
      <c s="125">
        <f>N75/(1+IFERROR(INDEX(N$11:N$12,Предпосылки!$K131,),0))*IFERROR(INDEX(N$11:N$12,Предпосылки!$K131,),0)</f>
        <v>0</v>
      </c>
      <c s="125">
        <f>O75/(1+IFERROR(INDEX(O$11:O$12,Предпосылки!$K131,),0))*IFERROR(INDEX(O$11:O$12,Предпосылки!$K131,),0)</f>
        <v>0</v>
      </c>
      <c s="125">
        <f>P75/(1+IFERROR(INDEX(P$11:P$12,Предпосылки!$K131,),0))*IFERROR(INDEX(P$11:P$12,Предпосылки!$K131,),0)</f>
        <v>0</v>
      </c>
      <c s="125">
        <f>Q75/(1+IFERROR(INDEX(Q$11:Q$12,Предпосылки!$K131,),0))*IFERROR(INDEX(Q$11:Q$12,Предпосылки!$K131,),0)</f>
        <v>0</v>
      </c>
      <c s="125">
        <f>R75/(1+IFERROR(INDEX(R$11:R$12,Предпосылки!$K131,),0))*IFERROR(INDEX(R$11:R$12,Предпосылки!$K131,),0)</f>
        <v>0</v>
      </c>
      <c s="125">
        <f>S75/(1+IFERROR(INDEX(S$11:S$12,Предпосылки!$K131,),0))*IFERROR(INDEX(S$11:S$12,Предпосылки!$K131,),0)</f>
        <v>0</v>
      </c>
      <c s="125">
        <f>T75/(1+IFERROR(INDEX(T$11:T$12,Предпосылки!$K131,),0))*IFERROR(INDEX(T$11:T$12,Предпосылки!$K131,),0)</f>
        <v>0</v>
      </c>
      <c s="125">
        <f>U75/(1+IFERROR(INDEX(U$11:U$12,Предпосылки!$K131,),0))*IFERROR(INDEX(U$11:U$12,Предпосылки!$K131,),0)</f>
        <v>0</v>
      </c>
      <c s="125">
        <f>V75/(1+IFERROR(INDEX(V$11:V$12,Предпосылки!$K131,),0))*IFERROR(INDEX(V$11:V$12,Предпосылки!$K131,),0)</f>
        <v>0</v>
      </c>
      <c s="125">
        <f>W75/(1+IFERROR(INDEX(W$11:W$12,Предпосылки!$K131,),0))*IFERROR(INDEX(W$11:W$12,Предпосылки!$K131,),0)</f>
        <v>0</v>
      </c>
      <c s="125">
        <f>X75/(1+IFERROR(INDEX(X$11:X$12,Предпосылки!$K131,),0))*IFERROR(INDEX(X$11:X$12,Предпосылки!$K131,),0)</f>
        <v>0</v>
      </c>
      <c s="125">
        <f>Y75/(1+IFERROR(INDEX(Y$11:Y$12,Предпосылки!$K131,),0))*IFERROR(INDEX(Y$11:Y$12,Предпосылки!$K131,),0)</f>
        <v>0</v>
      </c>
      <c s="125">
        <f>Z75/(1+IFERROR(INDEX(Z$11:Z$12,Предпосылки!$K131,),0))*IFERROR(INDEX(Z$11:Z$12,Предпосылки!$K131,),0)</f>
        <v>0</v>
      </c>
      <c s="125">
        <f>AA75/(1+IFERROR(INDEX(AA$11:AA$12,Предпосылки!$K131,),0))*IFERROR(INDEX(AA$11:AA$12,Предпосылки!$K131,),0)</f>
        <v>0</v>
      </c>
      <c s="125">
        <f>AB75/(1+IFERROR(INDEX(AB$11:AB$12,Предпосылки!$K131,),0))*IFERROR(INDEX(AB$11:AB$12,Предпосылки!$K131,),0)</f>
        <v>0</v>
      </c>
      <c s="125">
        <f>AC75/(1+IFERROR(INDEX(AC$11:AC$12,Предпосылки!$K131,),0))*IFERROR(INDEX(AC$11:AC$12,Предпосылки!$K131,),0)</f>
        <v>0</v>
      </c>
      <c s="125">
        <f>AD75/(1+IFERROR(INDEX(AD$11:AD$12,Предпосылки!$K131,),0))*IFERROR(INDEX(AD$11:AD$12,Предпосылки!$K131,),0)</f>
        <v>0</v>
      </c>
      <c s="125">
        <f>AE75/(1+IFERROR(INDEX(AE$11:AE$12,Предпосылки!$K131,),0))*IFERROR(INDEX(AE$11:AE$12,Предпосылки!$K131,),0)</f>
        <v>0</v>
      </c>
      <c s="125">
        <f>AF75/(1+IFERROR(INDEX(AF$11:AF$12,Предпосылки!$K131,),0))*IFERROR(INDEX(AF$11:AF$12,Предпосылки!$K131,),0)</f>
        <v>0</v>
      </c>
      <c s="125">
        <f>AG75/(1+IFERROR(INDEX(AG$11:AG$12,Предпосылки!$K131,),0))*IFERROR(INDEX(AG$11:AG$12,Предпосылки!$K131,),0)</f>
        <v>0</v>
      </c>
      <c s="125">
        <f>AH75/(1+IFERROR(INDEX(AH$11:AH$12,Предпосылки!$K131,),0))*IFERROR(INDEX(AH$11:AH$12,Предпосылки!$K131,),0)</f>
        <v>0</v>
      </c>
      <c s="125">
        <f>AI75/(1+IFERROR(INDEX(AI$11:AI$12,Предпосылки!$K131,),0))*IFERROR(INDEX(AI$11:AI$12,Предпосылки!$K131,),0)</f>
        <v>0</v>
      </c>
      <c s="125">
        <f>AJ75/(1+IFERROR(INDEX(AJ$11:AJ$12,Предпосылки!$K131,),0))*IFERROR(INDEX(AJ$11:AJ$12,Предпосылки!$K131,),0)</f>
        <v>0</v>
      </c>
      <c s="125">
        <f>AK75/(1+IFERROR(INDEX(AK$11:AK$12,Предпосылки!$K131,),0))*IFERROR(INDEX(AK$11:AK$12,Предпосылки!$K131,),0)</f>
        <v>0</v>
      </c>
      <c s="125">
        <f>AL75/(1+IFERROR(INDEX(AL$11:AL$12,Предпосылки!$K131,),0))*IFERROR(INDEX(AL$11:AL$12,Предпосылки!$K131,),0)</f>
        <v>0</v>
      </c>
      <c s="125">
        <f>AM75/(1+IFERROR(INDEX(AM$11:AM$12,Предпосылки!$K131,),0))*IFERROR(INDEX(AM$11:AM$12,Предпосылки!$K131,),0)</f>
        <v>0</v>
      </c>
      <c s="125">
        <f>AN75/(1+IFERROR(INDEX(AN$11:AN$12,Предпосылки!$K131,),0))*IFERROR(INDEX(AN$11:AN$12,Предпосылки!$K131,),0)</f>
        <v>0</v>
      </c>
      <c s="125">
        <f>AO75/(1+IFERROR(INDEX(AO$11:AO$12,Предпосылки!$K131,),0))*IFERROR(INDEX(AO$11:AO$12,Предпосылки!$K131,),0)</f>
        <v>0</v>
      </c>
      <c s="125">
        <f>AP75/(1+IFERROR(INDEX(AP$11:AP$12,Предпосылки!$K131,),0))*IFERROR(INDEX(AP$11:AP$12,Предпосылки!$K131,),0)</f>
        <v>0</v>
      </c>
      <c s="125">
        <f>AQ75/(1+IFERROR(INDEX(AQ$11:AQ$12,Предпосылки!$K131,),0))*IFERROR(INDEX(AQ$11:AQ$12,Предпосылки!$K131,),0)</f>
        <v>0</v>
      </c>
      <c s="125">
        <f>AR75/(1+IFERROR(INDEX(AR$11:AR$12,Предпосылки!$K131,),0))*IFERROR(INDEX(AR$11:AR$12,Предпосылки!$K131,),0)</f>
        <v>0</v>
      </c>
      <c s="125">
        <f>AS75/(1+IFERROR(INDEX(AS$11:AS$12,Предпосылки!$K131,),0))*IFERROR(INDEX(AS$11:AS$12,Предпосылки!$K131,),0)</f>
        <v>0</v>
      </c>
      <c s="125">
        <f>AT75/(1+IFERROR(INDEX(AT$11:AT$12,Предпосылки!$K131,),0))*IFERROR(INDEX(AT$11:AT$12,Предпосылки!$K131,),0)</f>
        <v>0</v>
      </c>
      <c s="125">
        <f>AU75/(1+IFERROR(INDEX(AU$11:AU$12,Предпосылки!$K131,),0))*IFERROR(INDEX(AU$11:AU$12,Предпосылки!$K131,),0)</f>
        <v>0</v>
      </c>
      <c s="125">
        <f>AV75/(1+IFERROR(INDEX(AV$11:AV$12,Предпосылки!$K131,),0))*IFERROR(INDEX(AV$11:AV$12,Предпосылки!$K131,),0)</f>
        <v>0</v>
      </c>
      <c s="125">
        <f>AW75/(1+IFERROR(INDEX(AW$11:AW$12,Предпосылки!$K131,),0))*IFERROR(INDEX(AW$11:AW$12,Предпосылки!$K131,),0)</f>
        <v>0</v>
      </c>
      <c s="125">
        <f>AX75/(1+IFERROR(INDEX(AX$11:AX$12,Предпосылки!$K131,),0))*IFERROR(INDEX(AX$11:AX$12,Предпосылки!$K131,),0)</f>
        <v>0</v>
      </c>
      <c s="125">
        <f>AY75/(1+IFERROR(INDEX(AY$11:AY$12,Предпосылки!$K131,),0))*IFERROR(INDEX(AY$11:AY$12,Предпосылки!$K131,),0)</f>
        <v>0</v>
      </c>
      <c s="125">
        <f>AZ75/(1+IFERROR(INDEX(AZ$11:AZ$12,Предпосылки!$K131,),0))*IFERROR(INDEX(AZ$11:AZ$12,Предпосылки!$K131,),0)</f>
        <v>0</v>
      </c>
      <c s="125">
        <f>BA75/(1+IFERROR(INDEX(BA$11:BA$12,Предпосылки!$K131,),0))*IFERROR(INDEX(BA$11:BA$12,Предпосылки!$K131,),0)</f>
        <v>0</v>
      </c>
      <c s="125">
        <f>BB75/(1+IFERROR(INDEX(BB$11:BB$12,Предпосылки!$K131,),0))*IFERROR(INDEX(BB$11:BB$12,Предпосылки!$K131,),0)</f>
        <v>0</v>
      </c>
      <c s="125">
        <f>BC75/(1+IFERROR(INDEX(BC$11:BC$12,Предпосылки!$K131,),0))*IFERROR(INDEX(BC$11:BC$12,Предпосылки!$K131,),0)</f>
        <v>0</v>
      </c>
      <c s="125">
        <f>BD75/(1+IFERROR(INDEX(BD$11:BD$12,Предпосылки!$K131,),0))*IFERROR(INDEX(BD$11:BD$12,Предпосылки!$K131,),0)</f>
        <v>0</v>
      </c>
      <c s="125">
        <f>BE75/(1+IFERROR(INDEX(BE$11:BE$12,Предпосылки!$K131,),0))*IFERROR(INDEX(BE$11:BE$12,Предпосылки!$K131,),0)</f>
        <v>0</v>
      </c>
      <c s="125">
        <f>BF75/(1+IFERROR(INDEX(BF$11:BF$12,Предпосылки!$K131,),0))*IFERROR(INDEX(BF$11:BF$12,Предпосылки!$K131,),0)</f>
        <v>0</v>
      </c>
      <c s="125">
        <f>BG75/(1+IFERROR(INDEX(BG$11:BG$12,Предпосылки!$K131,),0))*IFERROR(INDEX(BG$11:BG$12,Предпосылки!$K131,),0)</f>
        <v>0</v>
      </c>
      <c s="125">
        <f>BH75/(1+IFERROR(INDEX(BH$11:BH$12,Предпосылки!$K131,),0))*IFERROR(INDEX(BH$11:BH$12,Предпосылки!$K131,),0)</f>
        <v>0</v>
      </c>
      <c s="125">
        <f>BI75/(1+IFERROR(INDEX(BI$11:BI$12,Предпосылки!$K131,),0))*IFERROR(INDEX(BI$11:BI$12,Предпосылки!$K131,),0)</f>
        <v>0</v>
      </c>
      <c s="125">
        <f>BJ75/(1+IFERROR(INDEX(BJ$11:BJ$12,Предпосылки!$K131,),0))*IFERROR(INDEX(BJ$11:BJ$12,Предпосылки!$K131,),0)</f>
        <v>0</v>
      </c>
      <c s="125">
        <f>BK75/(1+IFERROR(INDEX(BK$11:BK$12,Предпосылки!$K131,),0))*IFERROR(INDEX(BK$11:BK$12,Предпосылки!$K131,),0)</f>
        <v>0</v>
      </c>
      <c s="125">
        <f>BL75/(1+IFERROR(INDEX(BL$11:BL$12,Предпосылки!$K131,),0))*IFERROR(INDEX(BL$11:BL$12,Предпосылки!$K131,),0)</f>
        <v>0</v>
      </c>
      <c s="125">
        <f>BM75/(1+IFERROR(INDEX(BM$11:BM$12,Предпосылки!$K131,),0))*IFERROR(INDEX(BM$11:BM$12,Предпосылки!$K131,),0)</f>
        <v>0</v>
      </c>
    </row>
    <row r="99" spans="2:65" ht="15" customHeight="1">
      <c r="B99" s="12" t="str">
        <f t="shared" si="85"/>
        <v>Продукт 11</v>
      </c>
      <c s="124" t="str">
        <f t="shared" si="84"/>
        <v>тыс. руб.</v>
      </c>
      <c s="276">
        <f t="shared" si="86"/>
        <v>0</v>
      </c>
      <c s="125">
        <f>E76/(1+IFERROR(INDEX(E$11:E$12,Предпосылки!$K132,),0))*IFERROR(INDEX(E$11:E$12,Предпосылки!$K132,),0)</f>
        <v>0</v>
      </c>
      <c s="125">
        <f>F76/(1+IFERROR(INDEX(F$11:F$12,Предпосылки!$K132,),0))*IFERROR(INDEX(F$11:F$12,Предпосылки!$K132,),0)</f>
        <v>0</v>
      </c>
      <c s="125">
        <f>G76/(1+IFERROR(INDEX(G$11:G$12,Предпосылки!$K132,),0))*IFERROR(INDEX(G$11:G$12,Предпосылки!$K132,),0)</f>
        <v>0</v>
      </c>
      <c s="125">
        <f>H76/(1+IFERROR(INDEX(H$11:H$12,Предпосылки!$K132,),0))*IFERROR(INDEX(H$11:H$12,Предпосылки!$K132,),0)</f>
        <v>0</v>
      </c>
      <c s="125">
        <f>I76/(1+IFERROR(INDEX(I$11:I$12,Предпосылки!$K132,),0))*IFERROR(INDEX(I$11:I$12,Предпосылки!$K132,),0)</f>
        <v>0</v>
      </c>
      <c s="125">
        <f>J76/(1+IFERROR(INDEX(J$11:J$12,Предпосылки!$K132,),0))*IFERROR(INDEX(J$11:J$12,Предпосылки!$K132,),0)</f>
        <v>0</v>
      </c>
      <c s="125">
        <f>K76/(1+IFERROR(INDEX(K$11:K$12,Предпосылки!$K132,),0))*IFERROR(INDEX(K$11:K$12,Предпосылки!$K132,),0)</f>
        <v>0</v>
      </c>
      <c s="125">
        <f>L76/(1+IFERROR(INDEX(L$11:L$12,Предпосылки!$K132,),0))*IFERROR(INDEX(L$11:L$12,Предпосылки!$K132,),0)</f>
        <v>0</v>
      </c>
      <c s="125">
        <f>M76/(1+IFERROR(INDEX(M$11:M$12,Предпосылки!$K132,),0))*IFERROR(INDEX(M$11:M$12,Предпосылки!$K132,),0)</f>
        <v>0</v>
      </c>
      <c s="125">
        <f>N76/(1+IFERROR(INDEX(N$11:N$12,Предпосылки!$K132,),0))*IFERROR(INDEX(N$11:N$12,Предпосылки!$K132,),0)</f>
        <v>0</v>
      </c>
      <c s="125">
        <f>O76/(1+IFERROR(INDEX(O$11:O$12,Предпосылки!$K132,),0))*IFERROR(INDEX(O$11:O$12,Предпосылки!$K132,),0)</f>
        <v>0</v>
      </c>
      <c s="125">
        <f>P76/(1+IFERROR(INDEX(P$11:P$12,Предпосылки!$K132,),0))*IFERROR(INDEX(P$11:P$12,Предпосылки!$K132,),0)</f>
        <v>0</v>
      </c>
      <c s="125">
        <f>Q76/(1+IFERROR(INDEX(Q$11:Q$12,Предпосылки!$K132,),0))*IFERROR(INDEX(Q$11:Q$12,Предпосылки!$K132,),0)</f>
        <v>0</v>
      </c>
      <c s="125">
        <f>R76/(1+IFERROR(INDEX(R$11:R$12,Предпосылки!$K132,),0))*IFERROR(INDEX(R$11:R$12,Предпосылки!$K132,),0)</f>
        <v>0</v>
      </c>
      <c s="125">
        <f>S76/(1+IFERROR(INDEX(S$11:S$12,Предпосылки!$K132,),0))*IFERROR(INDEX(S$11:S$12,Предпосылки!$K132,),0)</f>
        <v>0</v>
      </c>
      <c s="125">
        <f>T76/(1+IFERROR(INDEX(T$11:T$12,Предпосылки!$K132,),0))*IFERROR(INDEX(T$11:T$12,Предпосылки!$K132,),0)</f>
        <v>0</v>
      </c>
      <c s="125">
        <f>U76/(1+IFERROR(INDEX(U$11:U$12,Предпосылки!$K132,),0))*IFERROR(INDEX(U$11:U$12,Предпосылки!$K132,),0)</f>
        <v>0</v>
      </c>
      <c s="125">
        <f>V76/(1+IFERROR(INDEX(V$11:V$12,Предпосылки!$K132,),0))*IFERROR(INDEX(V$11:V$12,Предпосылки!$K132,),0)</f>
        <v>0</v>
      </c>
      <c s="125">
        <f>W76/(1+IFERROR(INDEX(W$11:W$12,Предпосылки!$K132,),0))*IFERROR(INDEX(W$11:W$12,Предпосылки!$K132,),0)</f>
        <v>0</v>
      </c>
      <c s="125">
        <f>X76/(1+IFERROR(INDEX(X$11:X$12,Предпосылки!$K132,),0))*IFERROR(INDEX(X$11:X$12,Предпосылки!$K132,),0)</f>
        <v>0</v>
      </c>
      <c s="125">
        <f>Y76/(1+IFERROR(INDEX(Y$11:Y$12,Предпосылки!$K132,),0))*IFERROR(INDEX(Y$11:Y$12,Предпосылки!$K132,),0)</f>
        <v>0</v>
      </c>
      <c s="125">
        <f>Z76/(1+IFERROR(INDEX(Z$11:Z$12,Предпосылки!$K132,),0))*IFERROR(INDEX(Z$11:Z$12,Предпосылки!$K132,),0)</f>
        <v>0</v>
      </c>
      <c s="125">
        <f>AA76/(1+IFERROR(INDEX(AA$11:AA$12,Предпосылки!$K132,),0))*IFERROR(INDEX(AA$11:AA$12,Предпосылки!$K132,),0)</f>
        <v>0</v>
      </c>
      <c s="125">
        <f>AB76/(1+IFERROR(INDEX(AB$11:AB$12,Предпосылки!$K132,),0))*IFERROR(INDEX(AB$11:AB$12,Предпосылки!$K132,),0)</f>
        <v>0</v>
      </c>
      <c s="125">
        <f>AC76/(1+IFERROR(INDEX(AC$11:AC$12,Предпосылки!$K132,),0))*IFERROR(INDEX(AC$11:AC$12,Предпосылки!$K132,),0)</f>
        <v>0</v>
      </c>
      <c s="125">
        <f>AD76/(1+IFERROR(INDEX(AD$11:AD$12,Предпосылки!$K132,),0))*IFERROR(INDEX(AD$11:AD$12,Предпосылки!$K132,),0)</f>
        <v>0</v>
      </c>
      <c s="125">
        <f>AE76/(1+IFERROR(INDEX(AE$11:AE$12,Предпосылки!$K132,),0))*IFERROR(INDEX(AE$11:AE$12,Предпосылки!$K132,),0)</f>
        <v>0</v>
      </c>
      <c s="125">
        <f>AF76/(1+IFERROR(INDEX(AF$11:AF$12,Предпосылки!$K132,),0))*IFERROR(INDEX(AF$11:AF$12,Предпосылки!$K132,),0)</f>
        <v>0</v>
      </c>
      <c s="125">
        <f>AG76/(1+IFERROR(INDEX(AG$11:AG$12,Предпосылки!$K132,),0))*IFERROR(INDEX(AG$11:AG$12,Предпосылки!$K132,),0)</f>
        <v>0</v>
      </c>
      <c s="125">
        <f>AH76/(1+IFERROR(INDEX(AH$11:AH$12,Предпосылки!$K132,),0))*IFERROR(INDEX(AH$11:AH$12,Предпосылки!$K132,),0)</f>
        <v>0</v>
      </c>
      <c s="125">
        <f>AI76/(1+IFERROR(INDEX(AI$11:AI$12,Предпосылки!$K132,),0))*IFERROR(INDEX(AI$11:AI$12,Предпосылки!$K132,),0)</f>
        <v>0</v>
      </c>
      <c s="125">
        <f>AJ76/(1+IFERROR(INDEX(AJ$11:AJ$12,Предпосылки!$K132,),0))*IFERROR(INDEX(AJ$11:AJ$12,Предпосылки!$K132,),0)</f>
        <v>0</v>
      </c>
      <c s="125">
        <f>AK76/(1+IFERROR(INDEX(AK$11:AK$12,Предпосылки!$K132,),0))*IFERROR(INDEX(AK$11:AK$12,Предпосылки!$K132,),0)</f>
        <v>0</v>
      </c>
      <c s="125">
        <f>AL76/(1+IFERROR(INDEX(AL$11:AL$12,Предпосылки!$K132,),0))*IFERROR(INDEX(AL$11:AL$12,Предпосылки!$K132,),0)</f>
        <v>0</v>
      </c>
      <c s="125">
        <f>AM76/(1+IFERROR(INDEX(AM$11:AM$12,Предпосылки!$K132,),0))*IFERROR(INDEX(AM$11:AM$12,Предпосылки!$K132,),0)</f>
        <v>0</v>
      </c>
      <c s="125">
        <f>AN76/(1+IFERROR(INDEX(AN$11:AN$12,Предпосылки!$K132,),0))*IFERROR(INDEX(AN$11:AN$12,Предпосылки!$K132,),0)</f>
        <v>0</v>
      </c>
      <c s="125">
        <f>AO76/(1+IFERROR(INDEX(AO$11:AO$12,Предпосылки!$K132,),0))*IFERROR(INDEX(AO$11:AO$12,Предпосылки!$K132,),0)</f>
        <v>0</v>
      </c>
      <c s="125">
        <f>AP76/(1+IFERROR(INDEX(AP$11:AP$12,Предпосылки!$K132,),0))*IFERROR(INDEX(AP$11:AP$12,Предпосылки!$K132,),0)</f>
        <v>0</v>
      </c>
      <c s="125">
        <f>AQ76/(1+IFERROR(INDEX(AQ$11:AQ$12,Предпосылки!$K132,),0))*IFERROR(INDEX(AQ$11:AQ$12,Предпосылки!$K132,),0)</f>
        <v>0</v>
      </c>
      <c s="125">
        <f>AR76/(1+IFERROR(INDEX(AR$11:AR$12,Предпосылки!$K132,),0))*IFERROR(INDEX(AR$11:AR$12,Предпосылки!$K132,),0)</f>
        <v>0</v>
      </c>
      <c s="125">
        <f>AS76/(1+IFERROR(INDEX(AS$11:AS$12,Предпосылки!$K132,),0))*IFERROR(INDEX(AS$11:AS$12,Предпосылки!$K132,),0)</f>
        <v>0</v>
      </c>
      <c s="125">
        <f>AT76/(1+IFERROR(INDEX(AT$11:AT$12,Предпосылки!$K132,),0))*IFERROR(INDEX(AT$11:AT$12,Предпосылки!$K132,),0)</f>
        <v>0</v>
      </c>
      <c s="125">
        <f>AU76/(1+IFERROR(INDEX(AU$11:AU$12,Предпосылки!$K132,),0))*IFERROR(INDEX(AU$11:AU$12,Предпосылки!$K132,),0)</f>
        <v>0</v>
      </c>
      <c s="125">
        <f>AV76/(1+IFERROR(INDEX(AV$11:AV$12,Предпосылки!$K132,),0))*IFERROR(INDEX(AV$11:AV$12,Предпосылки!$K132,),0)</f>
        <v>0</v>
      </c>
      <c s="125">
        <f>AW76/(1+IFERROR(INDEX(AW$11:AW$12,Предпосылки!$K132,),0))*IFERROR(INDEX(AW$11:AW$12,Предпосылки!$K132,),0)</f>
        <v>0</v>
      </c>
      <c s="125">
        <f>AX76/(1+IFERROR(INDEX(AX$11:AX$12,Предпосылки!$K132,),0))*IFERROR(INDEX(AX$11:AX$12,Предпосылки!$K132,),0)</f>
        <v>0</v>
      </c>
      <c s="125">
        <f>AY76/(1+IFERROR(INDEX(AY$11:AY$12,Предпосылки!$K132,),0))*IFERROR(INDEX(AY$11:AY$12,Предпосылки!$K132,),0)</f>
        <v>0</v>
      </c>
      <c s="125">
        <f>AZ76/(1+IFERROR(INDEX(AZ$11:AZ$12,Предпосылки!$K132,),0))*IFERROR(INDEX(AZ$11:AZ$12,Предпосылки!$K132,),0)</f>
        <v>0</v>
      </c>
      <c s="125">
        <f>BA76/(1+IFERROR(INDEX(BA$11:BA$12,Предпосылки!$K132,),0))*IFERROR(INDEX(BA$11:BA$12,Предпосылки!$K132,),0)</f>
        <v>0</v>
      </c>
      <c s="125">
        <f>BB76/(1+IFERROR(INDEX(BB$11:BB$12,Предпосылки!$K132,),0))*IFERROR(INDEX(BB$11:BB$12,Предпосылки!$K132,),0)</f>
        <v>0</v>
      </c>
      <c s="125">
        <f>BC76/(1+IFERROR(INDEX(BC$11:BC$12,Предпосылки!$K132,),0))*IFERROR(INDEX(BC$11:BC$12,Предпосылки!$K132,),0)</f>
        <v>0</v>
      </c>
      <c s="125">
        <f>BD76/(1+IFERROR(INDEX(BD$11:BD$12,Предпосылки!$K132,),0))*IFERROR(INDEX(BD$11:BD$12,Предпосылки!$K132,),0)</f>
        <v>0</v>
      </c>
      <c s="125">
        <f>BE76/(1+IFERROR(INDEX(BE$11:BE$12,Предпосылки!$K132,),0))*IFERROR(INDEX(BE$11:BE$12,Предпосылки!$K132,),0)</f>
        <v>0</v>
      </c>
      <c s="125">
        <f>BF76/(1+IFERROR(INDEX(BF$11:BF$12,Предпосылки!$K132,),0))*IFERROR(INDEX(BF$11:BF$12,Предпосылки!$K132,),0)</f>
        <v>0</v>
      </c>
      <c s="125">
        <f>BG76/(1+IFERROR(INDEX(BG$11:BG$12,Предпосылки!$K132,),0))*IFERROR(INDEX(BG$11:BG$12,Предпосылки!$K132,),0)</f>
        <v>0</v>
      </c>
      <c s="125">
        <f>BH76/(1+IFERROR(INDEX(BH$11:BH$12,Предпосылки!$K132,),0))*IFERROR(INDEX(BH$11:BH$12,Предпосылки!$K132,),0)</f>
        <v>0</v>
      </c>
      <c s="125">
        <f>BI76/(1+IFERROR(INDEX(BI$11:BI$12,Предпосылки!$K132,),0))*IFERROR(INDEX(BI$11:BI$12,Предпосылки!$K132,),0)</f>
        <v>0</v>
      </c>
      <c s="125">
        <f>BJ76/(1+IFERROR(INDEX(BJ$11:BJ$12,Предпосылки!$K132,),0))*IFERROR(INDEX(BJ$11:BJ$12,Предпосылки!$K132,),0)</f>
        <v>0</v>
      </c>
      <c s="125">
        <f>BK76/(1+IFERROR(INDEX(BK$11:BK$12,Предпосылки!$K132,),0))*IFERROR(INDEX(BK$11:BK$12,Предпосылки!$K132,),0)</f>
        <v>0</v>
      </c>
      <c s="125">
        <f>BL76/(1+IFERROR(INDEX(BL$11:BL$12,Предпосылки!$K132,),0))*IFERROR(INDEX(BL$11:BL$12,Предпосылки!$K132,),0)</f>
        <v>0</v>
      </c>
      <c s="125">
        <f>BM76/(1+IFERROR(INDEX(BM$11:BM$12,Предпосылки!$K132,),0))*IFERROR(INDEX(BM$11:BM$12,Предпосылки!$K132,),0)</f>
        <v>0</v>
      </c>
    </row>
    <row r="100" spans="2:65" ht="15" customHeight="1">
      <c r="B100" s="12" t="str">
        <f t="shared" si="85"/>
        <v>Продукт 12</v>
      </c>
      <c s="124" t="str">
        <f t="shared" si="84"/>
        <v>тыс. руб.</v>
      </c>
      <c s="276">
        <f t="shared" si="86"/>
        <v>0</v>
      </c>
      <c s="125">
        <f>E77/(1+IFERROR(INDEX(E$11:E$12,Предпосылки!$K133,),0))*IFERROR(INDEX(E$11:E$12,Предпосылки!$K133,),0)</f>
        <v>0</v>
      </c>
      <c s="125">
        <f>F77/(1+IFERROR(INDEX(F$11:F$12,Предпосылки!$K133,),0))*IFERROR(INDEX(F$11:F$12,Предпосылки!$K133,),0)</f>
        <v>0</v>
      </c>
      <c s="125">
        <f>G77/(1+IFERROR(INDEX(G$11:G$12,Предпосылки!$K133,),0))*IFERROR(INDEX(G$11:G$12,Предпосылки!$K133,),0)</f>
        <v>0</v>
      </c>
      <c s="125">
        <f>H77/(1+IFERROR(INDEX(H$11:H$12,Предпосылки!$K133,),0))*IFERROR(INDEX(H$11:H$12,Предпосылки!$K133,),0)</f>
        <v>0</v>
      </c>
      <c s="125">
        <f>I77/(1+IFERROR(INDEX(I$11:I$12,Предпосылки!$K133,),0))*IFERROR(INDEX(I$11:I$12,Предпосылки!$K133,),0)</f>
        <v>0</v>
      </c>
      <c s="125">
        <f>J77/(1+IFERROR(INDEX(J$11:J$12,Предпосылки!$K133,),0))*IFERROR(INDEX(J$11:J$12,Предпосылки!$K133,),0)</f>
        <v>0</v>
      </c>
      <c s="125">
        <f>K77/(1+IFERROR(INDEX(K$11:K$12,Предпосылки!$K133,),0))*IFERROR(INDEX(K$11:K$12,Предпосылки!$K133,),0)</f>
        <v>0</v>
      </c>
      <c s="125">
        <f>L77/(1+IFERROR(INDEX(L$11:L$12,Предпосылки!$K133,),0))*IFERROR(INDEX(L$11:L$12,Предпосылки!$K133,),0)</f>
        <v>0</v>
      </c>
      <c s="125">
        <f>M77/(1+IFERROR(INDEX(M$11:M$12,Предпосылки!$K133,),0))*IFERROR(INDEX(M$11:M$12,Предпосылки!$K133,),0)</f>
        <v>0</v>
      </c>
      <c s="125">
        <f>N77/(1+IFERROR(INDEX(N$11:N$12,Предпосылки!$K133,),0))*IFERROR(INDEX(N$11:N$12,Предпосылки!$K133,),0)</f>
        <v>0</v>
      </c>
      <c s="125">
        <f>O77/(1+IFERROR(INDEX(O$11:O$12,Предпосылки!$K133,),0))*IFERROR(INDEX(O$11:O$12,Предпосылки!$K133,),0)</f>
        <v>0</v>
      </c>
      <c s="125">
        <f>P77/(1+IFERROR(INDEX(P$11:P$12,Предпосылки!$K133,),0))*IFERROR(INDEX(P$11:P$12,Предпосылки!$K133,),0)</f>
        <v>0</v>
      </c>
      <c s="125">
        <f>Q77/(1+IFERROR(INDEX(Q$11:Q$12,Предпосылки!$K133,),0))*IFERROR(INDEX(Q$11:Q$12,Предпосылки!$K133,),0)</f>
        <v>0</v>
      </c>
      <c s="125">
        <f>R77/(1+IFERROR(INDEX(R$11:R$12,Предпосылки!$K133,),0))*IFERROR(INDEX(R$11:R$12,Предпосылки!$K133,),0)</f>
        <v>0</v>
      </c>
      <c s="125">
        <f>S77/(1+IFERROR(INDEX(S$11:S$12,Предпосылки!$K133,),0))*IFERROR(INDEX(S$11:S$12,Предпосылки!$K133,),0)</f>
        <v>0</v>
      </c>
      <c s="125">
        <f>T77/(1+IFERROR(INDEX(T$11:T$12,Предпосылки!$K133,),0))*IFERROR(INDEX(T$11:T$12,Предпосылки!$K133,),0)</f>
        <v>0</v>
      </c>
      <c s="125">
        <f>U77/(1+IFERROR(INDEX(U$11:U$12,Предпосылки!$K133,),0))*IFERROR(INDEX(U$11:U$12,Предпосылки!$K133,),0)</f>
        <v>0</v>
      </c>
      <c s="125">
        <f>V77/(1+IFERROR(INDEX(V$11:V$12,Предпосылки!$K133,),0))*IFERROR(INDEX(V$11:V$12,Предпосылки!$K133,),0)</f>
        <v>0</v>
      </c>
      <c s="125">
        <f>W77/(1+IFERROR(INDEX(W$11:W$12,Предпосылки!$K133,),0))*IFERROR(INDEX(W$11:W$12,Предпосылки!$K133,),0)</f>
        <v>0</v>
      </c>
      <c s="125">
        <f>X77/(1+IFERROR(INDEX(X$11:X$12,Предпосылки!$K133,),0))*IFERROR(INDEX(X$11:X$12,Предпосылки!$K133,),0)</f>
        <v>0</v>
      </c>
      <c s="125">
        <f>Y77/(1+IFERROR(INDEX(Y$11:Y$12,Предпосылки!$K133,),0))*IFERROR(INDEX(Y$11:Y$12,Предпосылки!$K133,),0)</f>
        <v>0</v>
      </c>
      <c s="125">
        <f>Z77/(1+IFERROR(INDEX(Z$11:Z$12,Предпосылки!$K133,),0))*IFERROR(INDEX(Z$11:Z$12,Предпосылки!$K133,),0)</f>
        <v>0</v>
      </c>
      <c s="125">
        <f>AA77/(1+IFERROR(INDEX(AA$11:AA$12,Предпосылки!$K133,),0))*IFERROR(INDEX(AA$11:AA$12,Предпосылки!$K133,),0)</f>
        <v>0</v>
      </c>
      <c s="125">
        <f>AB77/(1+IFERROR(INDEX(AB$11:AB$12,Предпосылки!$K133,),0))*IFERROR(INDEX(AB$11:AB$12,Предпосылки!$K133,),0)</f>
        <v>0</v>
      </c>
      <c s="125">
        <f>AC77/(1+IFERROR(INDEX(AC$11:AC$12,Предпосылки!$K133,),0))*IFERROR(INDEX(AC$11:AC$12,Предпосылки!$K133,),0)</f>
        <v>0</v>
      </c>
      <c s="125">
        <f>AD77/(1+IFERROR(INDEX(AD$11:AD$12,Предпосылки!$K133,),0))*IFERROR(INDEX(AD$11:AD$12,Предпосылки!$K133,),0)</f>
        <v>0</v>
      </c>
      <c s="125">
        <f>AE77/(1+IFERROR(INDEX(AE$11:AE$12,Предпосылки!$K133,),0))*IFERROR(INDEX(AE$11:AE$12,Предпосылки!$K133,),0)</f>
        <v>0</v>
      </c>
      <c s="125">
        <f>AF77/(1+IFERROR(INDEX(AF$11:AF$12,Предпосылки!$K133,),0))*IFERROR(INDEX(AF$11:AF$12,Предпосылки!$K133,),0)</f>
        <v>0</v>
      </c>
      <c s="125">
        <f>AG77/(1+IFERROR(INDEX(AG$11:AG$12,Предпосылки!$K133,),0))*IFERROR(INDEX(AG$11:AG$12,Предпосылки!$K133,),0)</f>
        <v>0</v>
      </c>
      <c s="125">
        <f>AH77/(1+IFERROR(INDEX(AH$11:AH$12,Предпосылки!$K133,),0))*IFERROR(INDEX(AH$11:AH$12,Предпосылки!$K133,),0)</f>
        <v>0</v>
      </c>
      <c s="125">
        <f>AI77/(1+IFERROR(INDEX(AI$11:AI$12,Предпосылки!$K133,),0))*IFERROR(INDEX(AI$11:AI$12,Предпосылки!$K133,),0)</f>
        <v>0</v>
      </c>
      <c s="125">
        <f>AJ77/(1+IFERROR(INDEX(AJ$11:AJ$12,Предпосылки!$K133,),0))*IFERROR(INDEX(AJ$11:AJ$12,Предпосылки!$K133,),0)</f>
        <v>0</v>
      </c>
      <c s="125">
        <f>AK77/(1+IFERROR(INDEX(AK$11:AK$12,Предпосылки!$K133,),0))*IFERROR(INDEX(AK$11:AK$12,Предпосылки!$K133,),0)</f>
        <v>0</v>
      </c>
      <c s="125">
        <f>AL77/(1+IFERROR(INDEX(AL$11:AL$12,Предпосылки!$K133,),0))*IFERROR(INDEX(AL$11:AL$12,Предпосылки!$K133,),0)</f>
        <v>0</v>
      </c>
      <c s="125">
        <f>AM77/(1+IFERROR(INDEX(AM$11:AM$12,Предпосылки!$K133,),0))*IFERROR(INDEX(AM$11:AM$12,Предпосылки!$K133,),0)</f>
        <v>0</v>
      </c>
      <c s="125">
        <f>AN77/(1+IFERROR(INDEX(AN$11:AN$12,Предпосылки!$K133,),0))*IFERROR(INDEX(AN$11:AN$12,Предпосылки!$K133,),0)</f>
        <v>0</v>
      </c>
      <c s="125">
        <f>AO77/(1+IFERROR(INDEX(AO$11:AO$12,Предпосылки!$K133,),0))*IFERROR(INDEX(AO$11:AO$12,Предпосылки!$K133,),0)</f>
        <v>0</v>
      </c>
      <c s="125">
        <f>AP77/(1+IFERROR(INDEX(AP$11:AP$12,Предпосылки!$K133,),0))*IFERROR(INDEX(AP$11:AP$12,Предпосылки!$K133,),0)</f>
        <v>0</v>
      </c>
      <c s="125">
        <f>AQ77/(1+IFERROR(INDEX(AQ$11:AQ$12,Предпосылки!$K133,),0))*IFERROR(INDEX(AQ$11:AQ$12,Предпосылки!$K133,),0)</f>
        <v>0</v>
      </c>
      <c s="125">
        <f>AR77/(1+IFERROR(INDEX(AR$11:AR$12,Предпосылки!$K133,),0))*IFERROR(INDEX(AR$11:AR$12,Предпосылки!$K133,),0)</f>
        <v>0</v>
      </c>
      <c s="125">
        <f>AS77/(1+IFERROR(INDEX(AS$11:AS$12,Предпосылки!$K133,),0))*IFERROR(INDEX(AS$11:AS$12,Предпосылки!$K133,),0)</f>
        <v>0</v>
      </c>
      <c s="125">
        <f>AT77/(1+IFERROR(INDEX(AT$11:AT$12,Предпосылки!$K133,),0))*IFERROR(INDEX(AT$11:AT$12,Предпосылки!$K133,),0)</f>
        <v>0</v>
      </c>
      <c s="125">
        <f>AU77/(1+IFERROR(INDEX(AU$11:AU$12,Предпосылки!$K133,),0))*IFERROR(INDEX(AU$11:AU$12,Предпосылки!$K133,),0)</f>
        <v>0</v>
      </c>
      <c s="125">
        <f>AV77/(1+IFERROR(INDEX(AV$11:AV$12,Предпосылки!$K133,),0))*IFERROR(INDEX(AV$11:AV$12,Предпосылки!$K133,),0)</f>
        <v>0</v>
      </c>
      <c s="125">
        <f>AW77/(1+IFERROR(INDEX(AW$11:AW$12,Предпосылки!$K133,),0))*IFERROR(INDEX(AW$11:AW$12,Предпосылки!$K133,),0)</f>
        <v>0</v>
      </c>
      <c s="125">
        <f>AX77/(1+IFERROR(INDEX(AX$11:AX$12,Предпосылки!$K133,),0))*IFERROR(INDEX(AX$11:AX$12,Предпосылки!$K133,),0)</f>
        <v>0</v>
      </c>
      <c s="125">
        <f>AY77/(1+IFERROR(INDEX(AY$11:AY$12,Предпосылки!$K133,),0))*IFERROR(INDEX(AY$11:AY$12,Предпосылки!$K133,),0)</f>
        <v>0</v>
      </c>
      <c s="125">
        <f>AZ77/(1+IFERROR(INDEX(AZ$11:AZ$12,Предпосылки!$K133,),0))*IFERROR(INDEX(AZ$11:AZ$12,Предпосылки!$K133,),0)</f>
        <v>0</v>
      </c>
      <c s="125">
        <f>BA77/(1+IFERROR(INDEX(BA$11:BA$12,Предпосылки!$K133,),0))*IFERROR(INDEX(BA$11:BA$12,Предпосылки!$K133,),0)</f>
        <v>0</v>
      </c>
      <c s="125">
        <f>BB77/(1+IFERROR(INDEX(BB$11:BB$12,Предпосылки!$K133,),0))*IFERROR(INDEX(BB$11:BB$12,Предпосылки!$K133,),0)</f>
        <v>0</v>
      </c>
      <c s="125">
        <f>BC77/(1+IFERROR(INDEX(BC$11:BC$12,Предпосылки!$K133,),0))*IFERROR(INDEX(BC$11:BC$12,Предпосылки!$K133,),0)</f>
        <v>0</v>
      </c>
      <c s="125">
        <f>BD77/(1+IFERROR(INDEX(BD$11:BD$12,Предпосылки!$K133,),0))*IFERROR(INDEX(BD$11:BD$12,Предпосылки!$K133,),0)</f>
        <v>0</v>
      </c>
      <c s="125">
        <f>BE77/(1+IFERROR(INDEX(BE$11:BE$12,Предпосылки!$K133,),0))*IFERROR(INDEX(BE$11:BE$12,Предпосылки!$K133,),0)</f>
        <v>0</v>
      </c>
      <c s="125">
        <f>BF77/(1+IFERROR(INDEX(BF$11:BF$12,Предпосылки!$K133,),0))*IFERROR(INDEX(BF$11:BF$12,Предпосылки!$K133,),0)</f>
        <v>0</v>
      </c>
      <c s="125">
        <f>BG77/(1+IFERROR(INDEX(BG$11:BG$12,Предпосылки!$K133,),0))*IFERROR(INDEX(BG$11:BG$12,Предпосылки!$K133,),0)</f>
        <v>0</v>
      </c>
      <c s="125">
        <f>BH77/(1+IFERROR(INDEX(BH$11:BH$12,Предпосылки!$K133,),0))*IFERROR(INDEX(BH$11:BH$12,Предпосылки!$K133,),0)</f>
        <v>0</v>
      </c>
      <c s="125">
        <f>BI77/(1+IFERROR(INDEX(BI$11:BI$12,Предпосылки!$K133,),0))*IFERROR(INDEX(BI$11:BI$12,Предпосылки!$K133,),0)</f>
        <v>0</v>
      </c>
      <c s="125">
        <f>BJ77/(1+IFERROR(INDEX(BJ$11:BJ$12,Предпосылки!$K133,),0))*IFERROR(INDEX(BJ$11:BJ$12,Предпосылки!$K133,),0)</f>
        <v>0</v>
      </c>
      <c s="125">
        <f>BK77/(1+IFERROR(INDEX(BK$11:BK$12,Предпосылки!$K133,),0))*IFERROR(INDEX(BK$11:BK$12,Предпосылки!$K133,),0)</f>
        <v>0</v>
      </c>
      <c s="125">
        <f>BL77/(1+IFERROR(INDEX(BL$11:BL$12,Предпосылки!$K133,),0))*IFERROR(INDEX(BL$11:BL$12,Предпосылки!$K133,),0)</f>
        <v>0</v>
      </c>
      <c s="125">
        <f>BM77/(1+IFERROR(INDEX(BM$11:BM$12,Предпосылки!$K133,),0))*IFERROR(INDEX(BM$11:BM$12,Предпосылки!$K133,),0)</f>
        <v>0</v>
      </c>
    </row>
    <row r="101" spans="2:65" ht="15" customHeight="1">
      <c r="B101" s="12" t="str">
        <f t="shared" si="85"/>
        <v>Продукт 13</v>
      </c>
      <c s="124" t="str">
        <f t="shared" si="84"/>
        <v>тыс. руб.</v>
      </c>
      <c s="276">
        <f t="shared" si="86"/>
        <v>0</v>
      </c>
      <c s="125">
        <f>E78/(1+IFERROR(INDEX(E$11:E$12,Предпосылки!$K134,),0))*IFERROR(INDEX(E$11:E$12,Предпосылки!$K134,),0)</f>
        <v>0</v>
      </c>
      <c s="125">
        <f>F78/(1+IFERROR(INDEX(F$11:F$12,Предпосылки!$K134,),0))*IFERROR(INDEX(F$11:F$12,Предпосылки!$K134,),0)</f>
        <v>0</v>
      </c>
      <c s="125">
        <f>G78/(1+IFERROR(INDEX(G$11:G$12,Предпосылки!$K134,),0))*IFERROR(INDEX(G$11:G$12,Предпосылки!$K134,),0)</f>
        <v>0</v>
      </c>
      <c s="125">
        <f>H78/(1+IFERROR(INDEX(H$11:H$12,Предпосылки!$K134,),0))*IFERROR(INDEX(H$11:H$12,Предпосылки!$K134,),0)</f>
        <v>0</v>
      </c>
      <c s="125">
        <f>I78/(1+IFERROR(INDEX(I$11:I$12,Предпосылки!$K134,),0))*IFERROR(INDEX(I$11:I$12,Предпосылки!$K134,),0)</f>
        <v>0</v>
      </c>
      <c s="125">
        <f>J78/(1+IFERROR(INDEX(J$11:J$12,Предпосылки!$K134,),0))*IFERROR(INDEX(J$11:J$12,Предпосылки!$K134,),0)</f>
        <v>0</v>
      </c>
      <c s="125">
        <f>K78/(1+IFERROR(INDEX(K$11:K$12,Предпосылки!$K134,),0))*IFERROR(INDEX(K$11:K$12,Предпосылки!$K134,),0)</f>
        <v>0</v>
      </c>
      <c s="125">
        <f>L78/(1+IFERROR(INDEX(L$11:L$12,Предпосылки!$K134,),0))*IFERROR(INDEX(L$11:L$12,Предпосылки!$K134,),0)</f>
        <v>0</v>
      </c>
      <c s="125">
        <f>M78/(1+IFERROR(INDEX(M$11:M$12,Предпосылки!$K134,),0))*IFERROR(INDEX(M$11:M$12,Предпосылки!$K134,),0)</f>
        <v>0</v>
      </c>
      <c s="125">
        <f>N78/(1+IFERROR(INDEX(N$11:N$12,Предпосылки!$K134,),0))*IFERROR(INDEX(N$11:N$12,Предпосылки!$K134,),0)</f>
        <v>0</v>
      </c>
      <c s="125">
        <f>O78/(1+IFERROR(INDEX(O$11:O$12,Предпосылки!$K134,),0))*IFERROR(INDEX(O$11:O$12,Предпосылки!$K134,),0)</f>
        <v>0</v>
      </c>
      <c s="125">
        <f>P78/(1+IFERROR(INDEX(P$11:P$12,Предпосылки!$K134,),0))*IFERROR(INDEX(P$11:P$12,Предпосылки!$K134,),0)</f>
        <v>0</v>
      </c>
      <c s="125">
        <f>Q78/(1+IFERROR(INDEX(Q$11:Q$12,Предпосылки!$K134,),0))*IFERROR(INDEX(Q$11:Q$12,Предпосылки!$K134,),0)</f>
        <v>0</v>
      </c>
      <c s="125">
        <f>R78/(1+IFERROR(INDEX(R$11:R$12,Предпосылки!$K134,),0))*IFERROR(INDEX(R$11:R$12,Предпосылки!$K134,),0)</f>
        <v>0</v>
      </c>
      <c s="125">
        <f>S78/(1+IFERROR(INDEX(S$11:S$12,Предпосылки!$K134,),0))*IFERROR(INDEX(S$11:S$12,Предпосылки!$K134,),0)</f>
        <v>0</v>
      </c>
      <c s="125">
        <f>T78/(1+IFERROR(INDEX(T$11:T$12,Предпосылки!$K134,),0))*IFERROR(INDEX(T$11:T$12,Предпосылки!$K134,),0)</f>
        <v>0</v>
      </c>
      <c s="125">
        <f>U78/(1+IFERROR(INDEX(U$11:U$12,Предпосылки!$K134,),0))*IFERROR(INDEX(U$11:U$12,Предпосылки!$K134,),0)</f>
        <v>0</v>
      </c>
      <c s="125">
        <f>V78/(1+IFERROR(INDEX(V$11:V$12,Предпосылки!$K134,),0))*IFERROR(INDEX(V$11:V$12,Предпосылки!$K134,),0)</f>
        <v>0</v>
      </c>
      <c s="125">
        <f>W78/(1+IFERROR(INDEX(W$11:W$12,Предпосылки!$K134,),0))*IFERROR(INDEX(W$11:W$12,Предпосылки!$K134,),0)</f>
        <v>0</v>
      </c>
      <c s="125">
        <f>X78/(1+IFERROR(INDEX(X$11:X$12,Предпосылки!$K134,),0))*IFERROR(INDEX(X$11:X$12,Предпосылки!$K134,),0)</f>
        <v>0</v>
      </c>
      <c s="125">
        <f>Y78/(1+IFERROR(INDEX(Y$11:Y$12,Предпосылки!$K134,),0))*IFERROR(INDEX(Y$11:Y$12,Предпосылки!$K134,),0)</f>
        <v>0</v>
      </c>
      <c s="125">
        <f>Z78/(1+IFERROR(INDEX(Z$11:Z$12,Предпосылки!$K134,),0))*IFERROR(INDEX(Z$11:Z$12,Предпосылки!$K134,),0)</f>
        <v>0</v>
      </c>
      <c s="125">
        <f>AA78/(1+IFERROR(INDEX(AA$11:AA$12,Предпосылки!$K134,),0))*IFERROR(INDEX(AA$11:AA$12,Предпосылки!$K134,),0)</f>
        <v>0</v>
      </c>
      <c s="125">
        <f>AB78/(1+IFERROR(INDEX(AB$11:AB$12,Предпосылки!$K134,),0))*IFERROR(INDEX(AB$11:AB$12,Предпосылки!$K134,),0)</f>
        <v>0</v>
      </c>
      <c s="125">
        <f>AC78/(1+IFERROR(INDEX(AC$11:AC$12,Предпосылки!$K134,),0))*IFERROR(INDEX(AC$11:AC$12,Предпосылки!$K134,),0)</f>
        <v>0</v>
      </c>
      <c s="125">
        <f>AD78/(1+IFERROR(INDEX(AD$11:AD$12,Предпосылки!$K134,),0))*IFERROR(INDEX(AD$11:AD$12,Предпосылки!$K134,),0)</f>
        <v>0</v>
      </c>
      <c s="125">
        <f>AE78/(1+IFERROR(INDEX(AE$11:AE$12,Предпосылки!$K134,),0))*IFERROR(INDEX(AE$11:AE$12,Предпосылки!$K134,),0)</f>
        <v>0</v>
      </c>
      <c s="125">
        <f>AF78/(1+IFERROR(INDEX(AF$11:AF$12,Предпосылки!$K134,),0))*IFERROR(INDEX(AF$11:AF$12,Предпосылки!$K134,),0)</f>
        <v>0</v>
      </c>
      <c s="125">
        <f>AG78/(1+IFERROR(INDEX(AG$11:AG$12,Предпосылки!$K134,),0))*IFERROR(INDEX(AG$11:AG$12,Предпосылки!$K134,),0)</f>
        <v>0</v>
      </c>
      <c s="125">
        <f>AH78/(1+IFERROR(INDEX(AH$11:AH$12,Предпосылки!$K134,),0))*IFERROR(INDEX(AH$11:AH$12,Предпосылки!$K134,),0)</f>
        <v>0</v>
      </c>
      <c s="125">
        <f>AI78/(1+IFERROR(INDEX(AI$11:AI$12,Предпосылки!$K134,),0))*IFERROR(INDEX(AI$11:AI$12,Предпосылки!$K134,),0)</f>
        <v>0</v>
      </c>
      <c s="125">
        <f>AJ78/(1+IFERROR(INDEX(AJ$11:AJ$12,Предпосылки!$K134,),0))*IFERROR(INDEX(AJ$11:AJ$12,Предпосылки!$K134,),0)</f>
        <v>0</v>
      </c>
      <c s="125">
        <f>AK78/(1+IFERROR(INDEX(AK$11:AK$12,Предпосылки!$K134,),0))*IFERROR(INDEX(AK$11:AK$12,Предпосылки!$K134,),0)</f>
        <v>0</v>
      </c>
      <c s="125">
        <f>AL78/(1+IFERROR(INDEX(AL$11:AL$12,Предпосылки!$K134,),0))*IFERROR(INDEX(AL$11:AL$12,Предпосылки!$K134,),0)</f>
        <v>0</v>
      </c>
      <c s="125">
        <f>AM78/(1+IFERROR(INDEX(AM$11:AM$12,Предпосылки!$K134,),0))*IFERROR(INDEX(AM$11:AM$12,Предпосылки!$K134,),0)</f>
        <v>0</v>
      </c>
      <c s="125">
        <f>AN78/(1+IFERROR(INDEX(AN$11:AN$12,Предпосылки!$K134,),0))*IFERROR(INDEX(AN$11:AN$12,Предпосылки!$K134,),0)</f>
        <v>0</v>
      </c>
      <c s="125">
        <f>AO78/(1+IFERROR(INDEX(AO$11:AO$12,Предпосылки!$K134,),0))*IFERROR(INDEX(AO$11:AO$12,Предпосылки!$K134,),0)</f>
        <v>0</v>
      </c>
      <c s="125">
        <f>AP78/(1+IFERROR(INDEX(AP$11:AP$12,Предпосылки!$K134,),0))*IFERROR(INDEX(AP$11:AP$12,Предпосылки!$K134,),0)</f>
        <v>0</v>
      </c>
      <c s="125">
        <f>AQ78/(1+IFERROR(INDEX(AQ$11:AQ$12,Предпосылки!$K134,),0))*IFERROR(INDEX(AQ$11:AQ$12,Предпосылки!$K134,),0)</f>
        <v>0</v>
      </c>
      <c s="125">
        <f>AR78/(1+IFERROR(INDEX(AR$11:AR$12,Предпосылки!$K134,),0))*IFERROR(INDEX(AR$11:AR$12,Предпосылки!$K134,),0)</f>
        <v>0</v>
      </c>
      <c s="125">
        <f>AS78/(1+IFERROR(INDEX(AS$11:AS$12,Предпосылки!$K134,),0))*IFERROR(INDEX(AS$11:AS$12,Предпосылки!$K134,),0)</f>
        <v>0</v>
      </c>
      <c s="125">
        <f>AT78/(1+IFERROR(INDEX(AT$11:AT$12,Предпосылки!$K134,),0))*IFERROR(INDEX(AT$11:AT$12,Предпосылки!$K134,),0)</f>
        <v>0</v>
      </c>
      <c s="125">
        <f>AU78/(1+IFERROR(INDEX(AU$11:AU$12,Предпосылки!$K134,),0))*IFERROR(INDEX(AU$11:AU$12,Предпосылки!$K134,),0)</f>
        <v>0</v>
      </c>
      <c s="125">
        <f>AV78/(1+IFERROR(INDEX(AV$11:AV$12,Предпосылки!$K134,),0))*IFERROR(INDEX(AV$11:AV$12,Предпосылки!$K134,),0)</f>
        <v>0</v>
      </c>
      <c s="125">
        <f>AW78/(1+IFERROR(INDEX(AW$11:AW$12,Предпосылки!$K134,),0))*IFERROR(INDEX(AW$11:AW$12,Предпосылки!$K134,),0)</f>
        <v>0</v>
      </c>
      <c s="125">
        <f>AX78/(1+IFERROR(INDEX(AX$11:AX$12,Предпосылки!$K134,),0))*IFERROR(INDEX(AX$11:AX$12,Предпосылки!$K134,),0)</f>
        <v>0</v>
      </c>
      <c s="125">
        <f>AY78/(1+IFERROR(INDEX(AY$11:AY$12,Предпосылки!$K134,),0))*IFERROR(INDEX(AY$11:AY$12,Предпосылки!$K134,),0)</f>
        <v>0</v>
      </c>
      <c s="125">
        <f>AZ78/(1+IFERROR(INDEX(AZ$11:AZ$12,Предпосылки!$K134,),0))*IFERROR(INDEX(AZ$11:AZ$12,Предпосылки!$K134,),0)</f>
        <v>0</v>
      </c>
      <c s="125">
        <f>BA78/(1+IFERROR(INDEX(BA$11:BA$12,Предпосылки!$K134,),0))*IFERROR(INDEX(BA$11:BA$12,Предпосылки!$K134,),0)</f>
        <v>0</v>
      </c>
      <c s="125">
        <f>BB78/(1+IFERROR(INDEX(BB$11:BB$12,Предпосылки!$K134,),0))*IFERROR(INDEX(BB$11:BB$12,Предпосылки!$K134,),0)</f>
        <v>0</v>
      </c>
      <c s="125">
        <f>BC78/(1+IFERROR(INDEX(BC$11:BC$12,Предпосылки!$K134,),0))*IFERROR(INDEX(BC$11:BC$12,Предпосылки!$K134,),0)</f>
        <v>0</v>
      </c>
      <c s="125">
        <f>BD78/(1+IFERROR(INDEX(BD$11:BD$12,Предпосылки!$K134,),0))*IFERROR(INDEX(BD$11:BD$12,Предпосылки!$K134,),0)</f>
        <v>0</v>
      </c>
      <c s="125">
        <f>BE78/(1+IFERROR(INDEX(BE$11:BE$12,Предпосылки!$K134,),0))*IFERROR(INDEX(BE$11:BE$12,Предпосылки!$K134,),0)</f>
        <v>0</v>
      </c>
      <c s="125">
        <f>BF78/(1+IFERROR(INDEX(BF$11:BF$12,Предпосылки!$K134,),0))*IFERROR(INDEX(BF$11:BF$12,Предпосылки!$K134,),0)</f>
        <v>0</v>
      </c>
      <c s="125">
        <f>BG78/(1+IFERROR(INDEX(BG$11:BG$12,Предпосылки!$K134,),0))*IFERROR(INDEX(BG$11:BG$12,Предпосылки!$K134,),0)</f>
        <v>0</v>
      </c>
      <c s="125">
        <f>BH78/(1+IFERROR(INDEX(BH$11:BH$12,Предпосылки!$K134,),0))*IFERROR(INDEX(BH$11:BH$12,Предпосылки!$K134,),0)</f>
        <v>0</v>
      </c>
      <c s="125">
        <f>BI78/(1+IFERROR(INDEX(BI$11:BI$12,Предпосылки!$K134,),0))*IFERROR(INDEX(BI$11:BI$12,Предпосылки!$K134,),0)</f>
        <v>0</v>
      </c>
      <c s="125">
        <f>BJ78/(1+IFERROR(INDEX(BJ$11:BJ$12,Предпосылки!$K134,),0))*IFERROR(INDEX(BJ$11:BJ$12,Предпосылки!$K134,),0)</f>
        <v>0</v>
      </c>
      <c s="125">
        <f>BK78/(1+IFERROR(INDEX(BK$11:BK$12,Предпосылки!$K134,),0))*IFERROR(INDEX(BK$11:BK$12,Предпосылки!$K134,),0)</f>
        <v>0</v>
      </c>
      <c s="125">
        <f>BL78/(1+IFERROR(INDEX(BL$11:BL$12,Предпосылки!$K134,),0))*IFERROR(INDEX(BL$11:BL$12,Предпосылки!$K134,),0)</f>
        <v>0</v>
      </c>
      <c s="125">
        <f>BM78/(1+IFERROR(INDEX(BM$11:BM$12,Предпосылки!$K134,),0))*IFERROR(INDEX(BM$11:BM$12,Предпосылки!$K134,),0)</f>
        <v>0</v>
      </c>
    </row>
    <row r="102" spans="2:65" ht="15" customHeight="1">
      <c r="B102" s="12" t="str">
        <f t="shared" si="85"/>
        <v>Продукт 14</v>
      </c>
      <c s="124" t="str">
        <f t="shared" si="84"/>
        <v>тыс. руб.</v>
      </c>
      <c s="276">
        <f t="shared" si="86"/>
        <v>0</v>
      </c>
      <c s="125">
        <f>E79/(1+IFERROR(INDEX(E$11:E$12,Предпосылки!$K135,),0))*IFERROR(INDEX(E$11:E$12,Предпосылки!$K135,),0)</f>
        <v>0</v>
      </c>
      <c s="125">
        <f>F79/(1+IFERROR(INDEX(F$11:F$12,Предпосылки!$K135,),0))*IFERROR(INDEX(F$11:F$12,Предпосылки!$K135,),0)</f>
        <v>0</v>
      </c>
      <c s="125">
        <f>G79/(1+IFERROR(INDEX(G$11:G$12,Предпосылки!$K135,),0))*IFERROR(INDEX(G$11:G$12,Предпосылки!$K135,),0)</f>
        <v>0</v>
      </c>
      <c s="125">
        <f>H79/(1+IFERROR(INDEX(H$11:H$12,Предпосылки!$K135,),0))*IFERROR(INDEX(H$11:H$12,Предпосылки!$K135,),0)</f>
        <v>0</v>
      </c>
      <c s="125">
        <f>I79/(1+IFERROR(INDEX(I$11:I$12,Предпосылки!$K135,),0))*IFERROR(INDEX(I$11:I$12,Предпосылки!$K135,),0)</f>
        <v>0</v>
      </c>
      <c s="125">
        <f>J79/(1+IFERROR(INDEX(J$11:J$12,Предпосылки!$K135,),0))*IFERROR(INDEX(J$11:J$12,Предпосылки!$K135,),0)</f>
        <v>0</v>
      </c>
      <c s="125">
        <f>K79/(1+IFERROR(INDEX(K$11:K$12,Предпосылки!$K135,),0))*IFERROR(INDEX(K$11:K$12,Предпосылки!$K135,),0)</f>
        <v>0</v>
      </c>
      <c s="125">
        <f>L79/(1+IFERROR(INDEX(L$11:L$12,Предпосылки!$K135,),0))*IFERROR(INDEX(L$11:L$12,Предпосылки!$K135,),0)</f>
        <v>0</v>
      </c>
      <c s="125">
        <f>M79/(1+IFERROR(INDEX(M$11:M$12,Предпосылки!$K135,),0))*IFERROR(INDEX(M$11:M$12,Предпосылки!$K135,),0)</f>
        <v>0</v>
      </c>
      <c s="125">
        <f>N79/(1+IFERROR(INDEX(N$11:N$12,Предпосылки!$K135,),0))*IFERROR(INDEX(N$11:N$12,Предпосылки!$K135,),0)</f>
        <v>0</v>
      </c>
      <c s="125">
        <f>O79/(1+IFERROR(INDEX(O$11:O$12,Предпосылки!$K135,),0))*IFERROR(INDEX(O$11:O$12,Предпосылки!$K135,),0)</f>
        <v>0</v>
      </c>
      <c s="125">
        <f>P79/(1+IFERROR(INDEX(P$11:P$12,Предпосылки!$K135,),0))*IFERROR(INDEX(P$11:P$12,Предпосылки!$K135,),0)</f>
        <v>0</v>
      </c>
      <c s="125">
        <f>Q79/(1+IFERROR(INDEX(Q$11:Q$12,Предпосылки!$K135,),0))*IFERROR(INDEX(Q$11:Q$12,Предпосылки!$K135,),0)</f>
        <v>0</v>
      </c>
      <c s="125">
        <f>R79/(1+IFERROR(INDEX(R$11:R$12,Предпосылки!$K135,),0))*IFERROR(INDEX(R$11:R$12,Предпосылки!$K135,),0)</f>
        <v>0</v>
      </c>
      <c s="125">
        <f>S79/(1+IFERROR(INDEX(S$11:S$12,Предпосылки!$K135,),0))*IFERROR(INDEX(S$11:S$12,Предпосылки!$K135,),0)</f>
        <v>0</v>
      </c>
      <c s="125">
        <f>T79/(1+IFERROR(INDEX(T$11:T$12,Предпосылки!$K135,),0))*IFERROR(INDEX(T$11:T$12,Предпосылки!$K135,),0)</f>
        <v>0</v>
      </c>
      <c s="125">
        <f>U79/(1+IFERROR(INDEX(U$11:U$12,Предпосылки!$K135,),0))*IFERROR(INDEX(U$11:U$12,Предпосылки!$K135,),0)</f>
        <v>0</v>
      </c>
      <c s="125">
        <f>V79/(1+IFERROR(INDEX(V$11:V$12,Предпосылки!$K135,),0))*IFERROR(INDEX(V$11:V$12,Предпосылки!$K135,),0)</f>
        <v>0</v>
      </c>
      <c s="125">
        <f>W79/(1+IFERROR(INDEX(W$11:W$12,Предпосылки!$K135,),0))*IFERROR(INDEX(W$11:W$12,Предпосылки!$K135,),0)</f>
        <v>0</v>
      </c>
      <c s="125">
        <f>X79/(1+IFERROR(INDEX(X$11:X$12,Предпосылки!$K135,),0))*IFERROR(INDEX(X$11:X$12,Предпосылки!$K135,),0)</f>
        <v>0</v>
      </c>
      <c s="125">
        <f>Y79/(1+IFERROR(INDEX(Y$11:Y$12,Предпосылки!$K135,),0))*IFERROR(INDEX(Y$11:Y$12,Предпосылки!$K135,),0)</f>
        <v>0</v>
      </c>
      <c s="125">
        <f>Z79/(1+IFERROR(INDEX(Z$11:Z$12,Предпосылки!$K135,),0))*IFERROR(INDEX(Z$11:Z$12,Предпосылки!$K135,),0)</f>
        <v>0</v>
      </c>
      <c s="125">
        <f>AA79/(1+IFERROR(INDEX(AA$11:AA$12,Предпосылки!$K135,),0))*IFERROR(INDEX(AA$11:AA$12,Предпосылки!$K135,),0)</f>
        <v>0</v>
      </c>
      <c s="125">
        <f>AB79/(1+IFERROR(INDEX(AB$11:AB$12,Предпосылки!$K135,),0))*IFERROR(INDEX(AB$11:AB$12,Предпосылки!$K135,),0)</f>
        <v>0</v>
      </c>
      <c s="125">
        <f>AC79/(1+IFERROR(INDEX(AC$11:AC$12,Предпосылки!$K135,),0))*IFERROR(INDEX(AC$11:AC$12,Предпосылки!$K135,),0)</f>
        <v>0</v>
      </c>
      <c s="125">
        <f>AD79/(1+IFERROR(INDEX(AD$11:AD$12,Предпосылки!$K135,),0))*IFERROR(INDEX(AD$11:AD$12,Предпосылки!$K135,),0)</f>
        <v>0</v>
      </c>
      <c s="125">
        <f>AE79/(1+IFERROR(INDEX(AE$11:AE$12,Предпосылки!$K135,),0))*IFERROR(INDEX(AE$11:AE$12,Предпосылки!$K135,),0)</f>
        <v>0</v>
      </c>
      <c s="125">
        <f>AF79/(1+IFERROR(INDEX(AF$11:AF$12,Предпосылки!$K135,),0))*IFERROR(INDEX(AF$11:AF$12,Предпосылки!$K135,),0)</f>
        <v>0</v>
      </c>
      <c s="125">
        <f>AG79/(1+IFERROR(INDEX(AG$11:AG$12,Предпосылки!$K135,),0))*IFERROR(INDEX(AG$11:AG$12,Предпосылки!$K135,),0)</f>
        <v>0</v>
      </c>
      <c s="125">
        <f>AH79/(1+IFERROR(INDEX(AH$11:AH$12,Предпосылки!$K135,),0))*IFERROR(INDEX(AH$11:AH$12,Предпосылки!$K135,),0)</f>
        <v>0</v>
      </c>
      <c s="125">
        <f>AI79/(1+IFERROR(INDEX(AI$11:AI$12,Предпосылки!$K135,),0))*IFERROR(INDEX(AI$11:AI$12,Предпосылки!$K135,),0)</f>
        <v>0</v>
      </c>
      <c s="125">
        <f>AJ79/(1+IFERROR(INDEX(AJ$11:AJ$12,Предпосылки!$K135,),0))*IFERROR(INDEX(AJ$11:AJ$12,Предпосылки!$K135,),0)</f>
        <v>0</v>
      </c>
      <c s="125">
        <f>AK79/(1+IFERROR(INDEX(AK$11:AK$12,Предпосылки!$K135,),0))*IFERROR(INDEX(AK$11:AK$12,Предпосылки!$K135,),0)</f>
        <v>0</v>
      </c>
      <c s="125">
        <f>AL79/(1+IFERROR(INDEX(AL$11:AL$12,Предпосылки!$K135,),0))*IFERROR(INDEX(AL$11:AL$12,Предпосылки!$K135,),0)</f>
        <v>0</v>
      </c>
      <c s="125">
        <f>AM79/(1+IFERROR(INDEX(AM$11:AM$12,Предпосылки!$K135,),0))*IFERROR(INDEX(AM$11:AM$12,Предпосылки!$K135,),0)</f>
        <v>0</v>
      </c>
      <c s="125">
        <f>AN79/(1+IFERROR(INDEX(AN$11:AN$12,Предпосылки!$K135,),0))*IFERROR(INDEX(AN$11:AN$12,Предпосылки!$K135,),0)</f>
        <v>0</v>
      </c>
      <c s="125">
        <f>AO79/(1+IFERROR(INDEX(AO$11:AO$12,Предпосылки!$K135,),0))*IFERROR(INDEX(AO$11:AO$12,Предпосылки!$K135,),0)</f>
        <v>0</v>
      </c>
      <c s="125">
        <f>AP79/(1+IFERROR(INDEX(AP$11:AP$12,Предпосылки!$K135,),0))*IFERROR(INDEX(AP$11:AP$12,Предпосылки!$K135,),0)</f>
        <v>0</v>
      </c>
      <c s="125">
        <f>AQ79/(1+IFERROR(INDEX(AQ$11:AQ$12,Предпосылки!$K135,),0))*IFERROR(INDEX(AQ$11:AQ$12,Предпосылки!$K135,),0)</f>
        <v>0</v>
      </c>
      <c s="125">
        <f>AR79/(1+IFERROR(INDEX(AR$11:AR$12,Предпосылки!$K135,),0))*IFERROR(INDEX(AR$11:AR$12,Предпосылки!$K135,),0)</f>
        <v>0</v>
      </c>
      <c s="125">
        <f>AS79/(1+IFERROR(INDEX(AS$11:AS$12,Предпосылки!$K135,),0))*IFERROR(INDEX(AS$11:AS$12,Предпосылки!$K135,),0)</f>
        <v>0</v>
      </c>
      <c s="125">
        <f>AT79/(1+IFERROR(INDEX(AT$11:AT$12,Предпосылки!$K135,),0))*IFERROR(INDEX(AT$11:AT$12,Предпосылки!$K135,),0)</f>
        <v>0</v>
      </c>
      <c s="125">
        <f>AU79/(1+IFERROR(INDEX(AU$11:AU$12,Предпосылки!$K135,),0))*IFERROR(INDEX(AU$11:AU$12,Предпосылки!$K135,),0)</f>
        <v>0</v>
      </c>
      <c s="125">
        <f>AV79/(1+IFERROR(INDEX(AV$11:AV$12,Предпосылки!$K135,),0))*IFERROR(INDEX(AV$11:AV$12,Предпосылки!$K135,),0)</f>
        <v>0</v>
      </c>
      <c s="125">
        <f>AW79/(1+IFERROR(INDEX(AW$11:AW$12,Предпосылки!$K135,),0))*IFERROR(INDEX(AW$11:AW$12,Предпосылки!$K135,),0)</f>
        <v>0</v>
      </c>
      <c s="125">
        <f>AX79/(1+IFERROR(INDEX(AX$11:AX$12,Предпосылки!$K135,),0))*IFERROR(INDEX(AX$11:AX$12,Предпосылки!$K135,),0)</f>
        <v>0</v>
      </c>
      <c s="125">
        <f>AY79/(1+IFERROR(INDEX(AY$11:AY$12,Предпосылки!$K135,),0))*IFERROR(INDEX(AY$11:AY$12,Предпосылки!$K135,),0)</f>
        <v>0</v>
      </c>
      <c s="125">
        <f>AZ79/(1+IFERROR(INDEX(AZ$11:AZ$12,Предпосылки!$K135,),0))*IFERROR(INDEX(AZ$11:AZ$12,Предпосылки!$K135,),0)</f>
        <v>0</v>
      </c>
      <c s="125">
        <f>BA79/(1+IFERROR(INDEX(BA$11:BA$12,Предпосылки!$K135,),0))*IFERROR(INDEX(BA$11:BA$12,Предпосылки!$K135,),0)</f>
        <v>0</v>
      </c>
      <c s="125">
        <f>BB79/(1+IFERROR(INDEX(BB$11:BB$12,Предпосылки!$K135,),0))*IFERROR(INDEX(BB$11:BB$12,Предпосылки!$K135,),0)</f>
        <v>0</v>
      </c>
      <c s="125">
        <f>BC79/(1+IFERROR(INDEX(BC$11:BC$12,Предпосылки!$K135,),0))*IFERROR(INDEX(BC$11:BC$12,Предпосылки!$K135,),0)</f>
        <v>0</v>
      </c>
      <c s="125">
        <f>BD79/(1+IFERROR(INDEX(BD$11:BD$12,Предпосылки!$K135,),0))*IFERROR(INDEX(BD$11:BD$12,Предпосылки!$K135,),0)</f>
        <v>0</v>
      </c>
      <c s="125">
        <f>BE79/(1+IFERROR(INDEX(BE$11:BE$12,Предпосылки!$K135,),0))*IFERROR(INDEX(BE$11:BE$12,Предпосылки!$K135,),0)</f>
        <v>0</v>
      </c>
      <c s="125">
        <f>BF79/(1+IFERROR(INDEX(BF$11:BF$12,Предпосылки!$K135,),0))*IFERROR(INDEX(BF$11:BF$12,Предпосылки!$K135,),0)</f>
        <v>0</v>
      </c>
      <c s="125">
        <f>BG79/(1+IFERROR(INDEX(BG$11:BG$12,Предпосылки!$K135,),0))*IFERROR(INDEX(BG$11:BG$12,Предпосылки!$K135,),0)</f>
        <v>0</v>
      </c>
      <c s="125">
        <f>BH79/(1+IFERROR(INDEX(BH$11:BH$12,Предпосылки!$K135,),0))*IFERROR(INDEX(BH$11:BH$12,Предпосылки!$K135,),0)</f>
        <v>0</v>
      </c>
      <c s="125">
        <f>BI79/(1+IFERROR(INDEX(BI$11:BI$12,Предпосылки!$K135,),0))*IFERROR(INDEX(BI$11:BI$12,Предпосылки!$K135,),0)</f>
        <v>0</v>
      </c>
      <c s="125">
        <f>BJ79/(1+IFERROR(INDEX(BJ$11:BJ$12,Предпосылки!$K135,),0))*IFERROR(INDEX(BJ$11:BJ$12,Предпосылки!$K135,),0)</f>
        <v>0</v>
      </c>
      <c s="125">
        <f>BK79/(1+IFERROR(INDEX(BK$11:BK$12,Предпосылки!$K135,),0))*IFERROR(INDEX(BK$11:BK$12,Предпосылки!$K135,),0)</f>
        <v>0</v>
      </c>
      <c s="125">
        <f>BL79/(1+IFERROR(INDEX(BL$11:BL$12,Предпосылки!$K135,),0))*IFERROR(INDEX(BL$11:BL$12,Предпосылки!$K135,),0)</f>
        <v>0</v>
      </c>
      <c s="125">
        <f>BM79/(1+IFERROR(INDEX(BM$11:BM$12,Предпосылки!$K135,),0))*IFERROR(INDEX(BM$11:BM$12,Предпосылки!$K135,),0)</f>
        <v>0</v>
      </c>
    </row>
    <row r="103" spans="2:65" ht="15" customHeight="1">
      <c r="B103" s="12" t="str">
        <f t="shared" si="85"/>
        <v>Продукт 15</v>
      </c>
      <c s="124" t="str">
        <f t="shared" si="84"/>
        <v>тыс. руб.</v>
      </c>
      <c s="276">
        <f t="shared" si="86"/>
        <v>0</v>
      </c>
      <c s="125">
        <f>E80/(1+IFERROR(INDEX(E$11:E$12,Предпосылки!$K136,),0))*IFERROR(INDEX(E$11:E$12,Предпосылки!$K136,),0)</f>
        <v>0</v>
      </c>
      <c s="125">
        <f>F80/(1+IFERROR(INDEX(F$11:F$12,Предпосылки!$K136,),0))*IFERROR(INDEX(F$11:F$12,Предпосылки!$K136,),0)</f>
        <v>0</v>
      </c>
      <c s="125">
        <f>G80/(1+IFERROR(INDEX(G$11:G$12,Предпосылки!$K136,),0))*IFERROR(INDEX(G$11:G$12,Предпосылки!$K136,),0)</f>
        <v>0</v>
      </c>
      <c s="125">
        <f>H80/(1+IFERROR(INDEX(H$11:H$12,Предпосылки!$K136,),0))*IFERROR(INDEX(H$11:H$12,Предпосылки!$K136,),0)</f>
        <v>0</v>
      </c>
      <c s="125">
        <f>I80/(1+IFERROR(INDEX(I$11:I$12,Предпосылки!$K136,),0))*IFERROR(INDEX(I$11:I$12,Предпосылки!$K136,),0)</f>
        <v>0</v>
      </c>
      <c s="125">
        <f>J80/(1+IFERROR(INDEX(J$11:J$12,Предпосылки!$K136,),0))*IFERROR(INDEX(J$11:J$12,Предпосылки!$K136,),0)</f>
        <v>0</v>
      </c>
      <c s="125">
        <f>K80/(1+IFERROR(INDEX(K$11:K$12,Предпосылки!$K136,),0))*IFERROR(INDEX(K$11:K$12,Предпосылки!$K136,),0)</f>
        <v>0</v>
      </c>
      <c s="125">
        <f>L80/(1+IFERROR(INDEX(L$11:L$12,Предпосылки!$K136,),0))*IFERROR(INDEX(L$11:L$12,Предпосылки!$K136,),0)</f>
        <v>0</v>
      </c>
      <c s="125">
        <f>M80/(1+IFERROR(INDEX(M$11:M$12,Предпосылки!$K136,),0))*IFERROR(INDEX(M$11:M$12,Предпосылки!$K136,),0)</f>
        <v>0</v>
      </c>
      <c s="125">
        <f>N80/(1+IFERROR(INDEX(N$11:N$12,Предпосылки!$K136,),0))*IFERROR(INDEX(N$11:N$12,Предпосылки!$K136,),0)</f>
        <v>0</v>
      </c>
      <c s="125">
        <f>O80/(1+IFERROR(INDEX(O$11:O$12,Предпосылки!$K136,),0))*IFERROR(INDEX(O$11:O$12,Предпосылки!$K136,),0)</f>
        <v>0</v>
      </c>
      <c s="125">
        <f>P80/(1+IFERROR(INDEX(P$11:P$12,Предпосылки!$K136,),0))*IFERROR(INDEX(P$11:P$12,Предпосылки!$K136,),0)</f>
        <v>0</v>
      </c>
      <c s="125">
        <f>Q80/(1+IFERROR(INDEX(Q$11:Q$12,Предпосылки!$K136,),0))*IFERROR(INDEX(Q$11:Q$12,Предпосылки!$K136,),0)</f>
        <v>0</v>
      </c>
      <c s="125">
        <f>R80/(1+IFERROR(INDEX(R$11:R$12,Предпосылки!$K136,),0))*IFERROR(INDEX(R$11:R$12,Предпосылки!$K136,),0)</f>
        <v>0</v>
      </c>
      <c s="125">
        <f>S80/(1+IFERROR(INDEX(S$11:S$12,Предпосылки!$K136,),0))*IFERROR(INDEX(S$11:S$12,Предпосылки!$K136,),0)</f>
        <v>0</v>
      </c>
      <c s="125">
        <f>T80/(1+IFERROR(INDEX(T$11:T$12,Предпосылки!$K136,),0))*IFERROR(INDEX(T$11:T$12,Предпосылки!$K136,),0)</f>
        <v>0</v>
      </c>
      <c s="125">
        <f>U80/(1+IFERROR(INDEX(U$11:U$12,Предпосылки!$K136,),0))*IFERROR(INDEX(U$11:U$12,Предпосылки!$K136,),0)</f>
        <v>0</v>
      </c>
      <c s="125">
        <f>V80/(1+IFERROR(INDEX(V$11:V$12,Предпосылки!$K136,),0))*IFERROR(INDEX(V$11:V$12,Предпосылки!$K136,),0)</f>
        <v>0</v>
      </c>
      <c s="125">
        <f>W80/(1+IFERROR(INDEX(W$11:W$12,Предпосылки!$K136,),0))*IFERROR(INDEX(W$11:W$12,Предпосылки!$K136,),0)</f>
        <v>0</v>
      </c>
      <c s="125">
        <f>X80/(1+IFERROR(INDEX(X$11:X$12,Предпосылки!$K136,),0))*IFERROR(INDEX(X$11:X$12,Предпосылки!$K136,),0)</f>
        <v>0</v>
      </c>
      <c s="125">
        <f>Y80/(1+IFERROR(INDEX(Y$11:Y$12,Предпосылки!$K136,),0))*IFERROR(INDEX(Y$11:Y$12,Предпосылки!$K136,),0)</f>
        <v>0</v>
      </c>
      <c s="125">
        <f>Z80/(1+IFERROR(INDEX(Z$11:Z$12,Предпосылки!$K136,),0))*IFERROR(INDEX(Z$11:Z$12,Предпосылки!$K136,),0)</f>
        <v>0</v>
      </c>
      <c s="125">
        <f>AA80/(1+IFERROR(INDEX(AA$11:AA$12,Предпосылки!$K136,),0))*IFERROR(INDEX(AA$11:AA$12,Предпосылки!$K136,),0)</f>
        <v>0</v>
      </c>
      <c s="125">
        <f>AB80/(1+IFERROR(INDEX(AB$11:AB$12,Предпосылки!$K136,),0))*IFERROR(INDEX(AB$11:AB$12,Предпосылки!$K136,),0)</f>
        <v>0</v>
      </c>
      <c s="125">
        <f>AC80/(1+IFERROR(INDEX(AC$11:AC$12,Предпосылки!$K136,),0))*IFERROR(INDEX(AC$11:AC$12,Предпосылки!$K136,),0)</f>
        <v>0</v>
      </c>
      <c s="125">
        <f>AD80/(1+IFERROR(INDEX(AD$11:AD$12,Предпосылки!$K136,),0))*IFERROR(INDEX(AD$11:AD$12,Предпосылки!$K136,),0)</f>
        <v>0</v>
      </c>
      <c s="125">
        <f>AE80/(1+IFERROR(INDEX(AE$11:AE$12,Предпосылки!$K136,),0))*IFERROR(INDEX(AE$11:AE$12,Предпосылки!$K136,),0)</f>
        <v>0</v>
      </c>
      <c s="125">
        <f>AF80/(1+IFERROR(INDEX(AF$11:AF$12,Предпосылки!$K136,),0))*IFERROR(INDEX(AF$11:AF$12,Предпосылки!$K136,),0)</f>
        <v>0</v>
      </c>
      <c s="125">
        <f>AG80/(1+IFERROR(INDEX(AG$11:AG$12,Предпосылки!$K136,),0))*IFERROR(INDEX(AG$11:AG$12,Предпосылки!$K136,),0)</f>
        <v>0</v>
      </c>
      <c s="125">
        <f>AH80/(1+IFERROR(INDEX(AH$11:AH$12,Предпосылки!$K136,),0))*IFERROR(INDEX(AH$11:AH$12,Предпосылки!$K136,),0)</f>
        <v>0</v>
      </c>
      <c s="125">
        <f>AI80/(1+IFERROR(INDEX(AI$11:AI$12,Предпосылки!$K136,),0))*IFERROR(INDEX(AI$11:AI$12,Предпосылки!$K136,),0)</f>
        <v>0</v>
      </c>
      <c s="125">
        <f>AJ80/(1+IFERROR(INDEX(AJ$11:AJ$12,Предпосылки!$K136,),0))*IFERROR(INDEX(AJ$11:AJ$12,Предпосылки!$K136,),0)</f>
        <v>0</v>
      </c>
      <c s="125">
        <f>AK80/(1+IFERROR(INDEX(AK$11:AK$12,Предпосылки!$K136,),0))*IFERROR(INDEX(AK$11:AK$12,Предпосылки!$K136,),0)</f>
        <v>0</v>
      </c>
      <c s="125">
        <f>AL80/(1+IFERROR(INDEX(AL$11:AL$12,Предпосылки!$K136,),0))*IFERROR(INDEX(AL$11:AL$12,Предпосылки!$K136,),0)</f>
        <v>0</v>
      </c>
      <c s="125">
        <f>AM80/(1+IFERROR(INDEX(AM$11:AM$12,Предпосылки!$K136,),0))*IFERROR(INDEX(AM$11:AM$12,Предпосылки!$K136,),0)</f>
        <v>0</v>
      </c>
      <c s="125">
        <f>AN80/(1+IFERROR(INDEX(AN$11:AN$12,Предпосылки!$K136,),0))*IFERROR(INDEX(AN$11:AN$12,Предпосылки!$K136,),0)</f>
        <v>0</v>
      </c>
      <c s="125">
        <f>AO80/(1+IFERROR(INDEX(AO$11:AO$12,Предпосылки!$K136,),0))*IFERROR(INDEX(AO$11:AO$12,Предпосылки!$K136,),0)</f>
        <v>0</v>
      </c>
      <c s="125">
        <f>AP80/(1+IFERROR(INDEX(AP$11:AP$12,Предпосылки!$K136,),0))*IFERROR(INDEX(AP$11:AP$12,Предпосылки!$K136,),0)</f>
        <v>0</v>
      </c>
      <c s="125">
        <f>AQ80/(1+IFERROR(INDEX(AQ$11:AQ$12,Предпосылки!$K136,),0))*IFERROR(INDEX(AQ$11:AQ$12,Предпосылки!$K136,),0)</f>
        <v>0</v>
      </c>
      <c s="125">
        <f>AR80/(1+IFERROR(INDEX(AR$11:AR$12,Предпосылки!$K136,),0))*IFERROR(INDEX(AR$11:AR$12,Предпосылки!$K136,),0)</f>
        <v>0</v>
      </c>
      <c s="125">
        <f>AS80/(1+IFERROR(INDEX(AS$11:AS$12,Предпосылки!$K136,),0))*IFERROR(INDEX(AS$11:AS$12,Предпосылки!$K136,),0)</f>
        <v>0</v>
      </c>
      <c s="125">
        <f>AT80/(1+IFERROR(INDEX(AT$11:AT$12,Предпосылки!$K136,),0))*IFERROR(INDEX(AT$11:AT$12,Предпосылки!$K136,),0)</f>
        <v>0</v>
      </c>
      <c s="125">
        <f>AU80/(1+IFERROR(INDEX(AU$11:AU$12,Предпосылки!$K136,),0))*IFERROR(INDEX(AU$11:AU$12,Предпосылки!$K136,),0)</f>
        <v>0</v>
      </c>
      <c s="125">
        <f>AV80/(1+IFERROR(INDEX(AV$11:AV$12,Предпосылки!$K136,),0))*IFERROR(INDEX(AV$11:AV$12,Предпосылки!$K136,),0)</f>
        <v>0</v>
      </c>
      <c s="125">
        <f>AW80/(1+IFERROR(INDEX(AW$11:AW$12,Предпосылки!$K136,),0))*IFERROR(INDEX(AW$11:AW$12,Предпосылки!$K136,),0)</f>
        <v>0</v>
      </c>
      <c s="125">
        <f>AX80/(1+IFERROR(INDEX(AX$11:AX$12,Предпосылки!$K136,),0))*IFERROR(INDEX(AX$11:AX$12,Предпосылки!$K136,),0)</f>
        <v>0</v>
      </c>
      <c s="125">
        <f>AY80/(1+IFERROR(INDEX(AY$11:AY$12,Предпосылки!$K136,),0))*IFERROR(INDEX(AY$11:AY$12,Предпосылки!$K136,),0)</f>
        <v>0</v>
      </c>
      <c s="125">
        <f>AZ80/(1+IFERROR(INDEX(AZ$11:AZ$12,Предпосылки!$K136,),0))*IFERROR(INDEX(AZ$11:AZ$12,Предпосылки!$K136,),0)</f>
        <v>0</v>
      </c>
      <c s="125">
        <f>BA80/(1+IFERROR(INDEX(BA$11:BA$12,Предпосылки!$K136,),0))*IFERROR(INDEX(BA$11:BA$12,Предпосылки!$K136,),0)</f>
        <v>0</v>
      </c>
      <c s="125">
        <f>BB80/(1+IFERROR(INDEX(BB$11:BB$12,Предпосылки!$K136,),0))*IFERROR(INDEX(BB$11:BB$12,Предпосылки!$K136,),0)</f>
        <v>0</v>
      </c>
      <c s="125">
        <f>BC80/(1+IFERROR(INDEX(BC$11:BC$12,Предпосылки!$K136,),0))*IFERROR(INDEX(BC$11:BC$12,Предпосылки!$K136,),0)</f>
        <v>0</v>
      </c>
      <c s="125">
        <f>BD80/(1+IFERROR(INDEX(BD$11:BD$12,Предпосылки!$K136,),0))*IFERROR(INDEX(BD$11:BD$12,Предпосылки!$K136,),0)</f>
        <v>0</v>
      </c>
      <c s="125">
        <f>BE80/(1+IFERROR(INDEX(BE$11:BE$12,Предпосылки!$K136,),0))*IFERROR(INDEX(BE$11:BE$12,Предпосылки!$K136,),0)</f>
        <v>0</v>
      </c>
      <c s="125">
        <f>BF80/(1+IFERROR(INDEX(BF$11:BF$12,Предпосылки!$K136,),0))*IFERROR(INDEX(BF$11:BF$12,Предпосылки!$K136,),0)</f>
        <v>0</v>
      </c>
      <c s="125">
        <f>BG80/(1+IFERROR(INDEX(BG$11:BG$12,Предпосылки!$K136,),0))*IFERROR(INDEX(BG$11:BG$12,Предпосылки!$K136,),0)</f>
        <v>0</v>
      </c>
      <c s="125">
        <f>BH80/(1+IFERROR(INDEX(BH$11:BH$12,Предпосылки!$K136,),0))*IFERROR(INDEX(BH$11:BH$12,Предпосылки!$K136,),0)</f>
        <v>0</v>
      </c>
      <c s="125">
        <f>BI80/(1+IFERROR(INDEX(BI$11:BI$12,Предпосылки!$K136,),0))*IFERROR(INDEX(BI$11:BI$12,Предпосылки!$K136,),0)</f>
        <v>0</v>
      </c>
      <c s="125">
        <f>BJ80/(1+IFERROR(INDEX(BJ$11:BJ$12,Предпосылки!$K136,),0))*IFERROR(INDEX(BJ$11:BJ$12,Предпосылки!$K136,),0)</f>
        <v>0</v>
      </c>
      <c s="125">
        <f>BK80/(1+IFERROR(INDEX(BK$11:BK$12,Предпосылки!$K136,),0))*IFERROR(INDEX(BK$11:BK$12,Предпосылки!$K136,),0)</f>
        <v>0</v>
      </c>
      <c s="125">
        <f>BL80/(1+IFERROR(INDEX(BL$11:BL$12,Предпосылки!$K136,),0))*IFERROR(INDEX(BL$11:BL$12,Предпосылки!$K136,),0)</f>
        <v>0</v>
      </c>
      <c s="125">
        <f>BM80/(1+IFERROR(INDEX(BM$11:BM$12,Предпосылки!$K136,),0))*IFERROR(INDEX(BM$11:BM$12,Предпосылки!$K136,),0)</f>
        <v>0</v>
      </c>
    </row>
    <row r="104" spans="2:65" ht="15" customHeight="1">
      <c r="B104" s="12" t="str">
        <f t="shared" si="85"/>
        <v>Продукт 16</v>
      </c>
      <c s="124" t="str">
        <f t="shared" si="84"/>
        <v>тыс. руб.</v>
      </c>
      <c s="276">
        <f t="shared" si="86"/>
        <v>0</v>
      </c>
      <c s="125">
        <f>E81/(1+IFERROR(INDEX(E$11:E$12,Предпосылки!$K137,),0))*IFERROR(INDEX(E$11:E$12,Предпосылки!$K137,),0)</f>
        <v>0</v>
      </c>
      <c s="125">
        <f>F81/(1+IFERROR(INDEX(F$11:F$12,Предпосылки!$K137,),0))*IFERROR(INDEX(F$11:F$12,Предпосылки!$K137,),0)</f>
        <v>0</v>
      </c>
      <c s="125">
        <f>G81/(1+IFERROR(INDEX(G$11:G$12,Предпосылки!$K137,),0))*IFERROR(INDEX(G$11:G$12,Предпосылки!$K137,),0)</f>
        <v>0</v>
      </c>
      <c s="125">
        <f>H81/(1+IFERROR(INDEX(H$11:H$12,Предпосылки!$K137,),0))*IFERROR(INDEX(H$11:H$12,Предпосылки!$K137,),0)</f>
        <v>0</v>
      </c>
      <c s="125">
        <f>I81/(1+IFERROR(INDEX(I$11:I$12,Предпосылки!$K137,),0))*IFERROR(INDEX(I$11:I$12,Предпосылки!$K137,),0)</f>
        <v>0</v>
      </c>
      <c s="125">
        <f>J81/(1+IFERROR(INDEX(J$11:J$12,Предпосылки!$K137,),0))*IFERROR(INDEX(J$11:J$12,Предпосылки!$K137,),0)</f>
        <v>0</v>
      </c>
      <c s="125">
        <f>K81/(1+IFERROR(INDEX(K$11:K$12,Предпосылки!$K137,),0))*IFERROR(INDEX(K$11:K$12,Предпосылки!$K137,),0)</f>
        <v>0</v>
      </c>
      <c s="125">
        <f>L81/(1+IFERROR(INDEX(L$11:L$12,Предпосылки!$K137,),0))*IFERROR(INDEX(L$11:L$12,Предпосылки!$K137,),0)</f>
        <v>0</v>
      </c>
      <c s="125">
        <f>M81/(1+IFERROR(INDEX(M$11:M$12,Предпосылки!$K137,),0))*IFERROR(INDEX(M$11:M$12,Предпосылки!$K137,),0)</f>
        <v>0</v>
      </c>
      <c s="125">
        <f>N81/(1+IFERROR(INDEX(N$11:N$12,Предпосылки!$K137,),0))*IFERROR(INDEX(N$11:N$12,Предпосылки!$K137,),0)</f>
        <v>0</v>
      </c>
      <c s="125">
        <f>O81/(1+IFERROR(INDEX(O$11:O$12,Предпосылки!$K137,),0))*IFERROR(INDEX(O$11:O$12,Предпосылки!$K137,),0)</f>
        <v>0</v>
      </c>
      <c s="125">
        <f>P81/(1+IFERROR(INDEX(P$11:P$12,Предпосылки!$K137,),0))*IFERROR(INDEX(P$11:P$12,Предпосылки!$K137,),0)</f>
        <v>0</v>
      </c>
      <c s="125">
        <f>Q81/(1+IFERROR(INDEX(Q$11:Q$12,Предпосылки!$K137,),0))*IFERROR(INDEX(Q$11:Q$12,Предпосылки!$K137,),0)</f>
        <v>0</v>
      </c>
      <c s="125">
        <f>R81/(1+IFERROR(INDEX(R$11:R$12,Предпосылки!$K137,),0))*IFERROR(INDEX(R$11:R$12,Предпосылки!$K137,),0)</f>
        <v>0</v>
      </c>
      <c s="125">
        <f>S81/(1+IFERROR(INDEX(S$11:S$12,Предпосылки!$K137,),0))*IFERROR(INDEX(S$11:S$12,Предпосылки!$K137,),0)</f>
        <v>0</v>
      </c>
      <c s="125">
        <f>T81/(1+IFERROR(INDEX(T$11:T$12,Предпосылки!$K137,),0))*IFERROR(INDEX(T$11:T$12,Предпосылки!$K137,),0)</f>
        <v>0</v>
      </c>
      <c s="125">
        <f>U81/(1+IFERROR(INDEX(U$11:U$12,Предпосылки!$K137,),0))*IFERROR(INDEX(U$11:U$12,Предпосылки!$K137,),0)</f>
        <v>0</v>
      </c>
      <c s="125">
        <f>V81/(1+IFERROR(INDEX(V$11:V$12,Предпосылки!$K137,),0))*IFERROR(INDEX(V$11:V$12,Предпосылки!$K137,),0)</f>
        <v>0</v>
      </c>
      <c s="125">
        <f>W81/(1+IFERROR(INDEX(W$11:W$12,Предпосылки!$K137,),0))*IFERROR(INDEX(W$11:W$12,Предпосылки!$K137,),0)</f>
        <v>0</v>
      </c>
      <c s="125">
        <f>X81/(1+IFERROR(INDEX(X$11:X$12,Предпосылки!$K137,),0))*IFERROR(INDEX(X$11:X$12,Предпосылки!$K137,),0)</f>
        <v>0</v>
      </c>
      <c s="125">
        <f>Y81/(1+IFERROR(INDEX(Y$11:Y$12,Предпосылки!$K137,),0))*IFERROR(INDEX(Y$11:Y$12,Предпосылки!$K137,),0)</f>
        <v>0</v>
      </c>
      <c s="125">
        <f>Z81/(1+IFERROR(INDEX(Z$11:Z$12,Предпосылки!$K137,),0))*IFERROR(INDEX(Z$11:Z$12,Предпосылки!$K137,),0)</f>
        <v>0</v>
      </c>
      <c s="125">
        <f>AA81/(1+IFERROR(INDEX(AA$11:AA$12,Предпосылки!$K137,),0))*IFERROR(INDEX(AA$11:AA$12,Предпосылки!$K137,),0)</f>
        <v>0</v>
      </c>
      <c s="125">
        <f>AB81/(1+IFERROR(INDEX(AB$11:AB$12,Предпосылки!$K137,),0))*IFERROR(INDEX(AB$11:AB$12,Предпосылки!$K137,),0)</f>
        <v>0</v>
      </c>
      <c s="125">
        <f>AC81/(1+IFERROR(INDEX(AC$11:AC$12,Предпосылки!$K137,),0))*IFERROR(INDEX(AC$11:AC$12,Предпосылки!$K137,),0)</f>
        <v>0</v>
      </c>
      <c s="125">
        <f>AD81/(1+IFERROR(INDEX(AD$11:AD$12,Предпосылки!$K137,),0))*IFERROR(INDEX(AD$11:AD$12,Предпосылки!$K137,),0)</f>
        <v>0</v>
      </c>
      <c s="125">
        <f>AE81/(1+IFERROR(INDEX(AE$11:AE$12,Предпосылки!$K137,),0))*IFERROR(INDEX(AE$11:AE$12,Предпосылки!$K137,),0)</f>
        <v>0</v>
      </c>
      <c s="125">
        <f>AF81/(1+IFERROR(INDEX(AF$11:AF$12,Предпосылки!$K137,),0))*IFERROR(INDEX(AF$11:AF$12,Предпосылки!$K137,),0)</f>
        <v>0</v>
      </c>
      <c s="125">
        <f>AG81/(1+IFERROR(INDEX(AG$11:AG$12,Предпосылки!$K137,),0))*IFERROR(INDEX(AG$11:AG$12,Предпосылки!$K137,),0)</f>
        <v>0</v>
      </c>
      <c s="125">
        <f>AH81/(1+IFERROR(INDEX(AH$11:AH$12,Предпосылки!$K137,),0))*IFERROR(INDEX(AH$11:AH$12,Предпосылки!$K137,),0)</f>
        <v>0</v>
      </c>
      <c s="125">
        <f>AI81/(1+IFERROR(INDEX(AI$11:AI$12,Предпосылки!$K137,),0))*IFERROR(INDEX(AI$11:AI$12,Предпосылки!$K137,),0)</f>
        <v>0</v>
      </c>
      <c s="125">
        <f>AJ81/(1+IFERROR(INDEX(AJ$11:AJ$12,Предпосылки!$K137,),0))*IFERROR(INDEX(AJ$11:AJ$12,Предпосылки!$K137,),0)</f>
        <v>0</v>
      </c>
      <c s="125">
        <f>AK81/(1+IFERROR(INDEX(AK$11:AK$12,Предпосылки!$K137,),0))*IFERROR(INDEX(AK$11:AK$12,Предпосылки!$K137,),0)</f>
        <v>0</v>
      </c>
      <c s="125">
        <f>AL81/(1+IFERROR(INDEX(AL$11:AL$12,Предпосылки!$K137,),0))*IFERROR(INDEX(AL$11:AL$12,Предпосылки!$K137,),0)</f>
        <v>0</v>
      </c>
      <c s="125">
        <f>AM81/(1+IFERROR(INDEX(AM$11:AM$12,Предпосылки!$K137,),0))*IFERROR(INDEX(AM$11:AM$12,Предпосылки!$K137,),0)</f>
        <v>0</v>
      </c>
      <c s="125">
        <f>AN81/(1+IFERROR(INDEX(AN$11:AN$12,Предпосылки!$K137,),0))*IFERROR(INDEX(AN$11:AN$12,Предпосылки!$K137,),0)</f>
        <v>0</v>
      </c>
      <c s="125">
        <f>AO81/(1+IFERROR(INDEX(AO$11:AO$12,Предпосылки!$K137,),0))*IFERROR(INDEX(AO$11:AO$12,Предпосылки!$K137,),0)</f>
        <v>0</v>
      </c>
      <c s="125">
        <f>AP81/(1+IFERROR(INDEX(AP$11:AP$12,Предпосылки!$K137,),0))*IFERROR(INDEX(AP$11:AP$12,Предпосылки!$K137,),0)</f>
        <v>0</v>
      </c>
      <c s="125">
        <f>AQ81/(1+IFERROR(INDEX(AQ$11:AQ$12,Предпосылки!$K137,),0))*IFERROR(INDEX(AQ$11:AQ$12,Предпосылки!$K137,),0)</f>
        <v>0</v>
      </c>
      <c s="125">
        <f>AR81/(1+IFERROR(INDEX(AR$11:AR$12,Предпосылки!$K137,),0))*IFERROR(INDEX(AR$11:AR$12,Предпосылки!$K137,),0)</f>
        <v>0</v>
      </c>
      <c s="125">
        <f>AS81/(1+IFERROR(INDEX(AS$11:AS$12,Предпосылки!$K137,),0))*IFERROR(INDEX(AS$11:AS$12,Предпосылки!$K137,),0)</f>
        <v>0</v>
      </c>
      <c s="125">
        <f>AT81/(1+IFERROR(INDEX(AT$11:AT$12,Предпосылки!$K137,),0))*IFERROR(INDEX(AT$11:AT$12,Предпосылки!$K137,),0)</f>
        <v>0</v>
      </c>
      <c s="125">
        <f>AU81/(1+IFERROR(INDEX(AU$11:AU$12,Предпосылки!$K137,),0))*IFERROR(INDEX(AU$11:AU$12,Предпосылки!$K137,),0)</f>
        <v>0</v>
      </c>
      <c s="125">
        <f>AV81/(1+IFERROR(INDEX(AV$11:AV$12,Предпосылки!$K137,),0))*IFERROR(INDEX(AV$11:AV$12,Предпосылки!$K137,),0)</f>
        <v>0</v>
      </c>
      <c s="125">
        <f>AW81/(1+IFERROR(INDEX(AW$11:AW$12,Предпосылки!$K137,),0))*IFERROR(INDEX(AW$11:AW$12,Предпосылки!$K137,),0)</f>
        <v>0</v>
      </c>
      <c s="125">
        <f>AX81/(1+IFERROR(INDEX(AX$11:AX$12,Предпосылки!$K137,),0))*IFERROR(INDEX(AX$11:AX$12,Предпосылки!$K137,),0)</f>
        <v>0</v>
      </c>
      <c s="125">
        <f>AY81/(1+IFERROR(INDEX(AY$11:AY$12,Предпосылки!$K137,),0))*IFERROR(INDEX(AY$11:AY$12,Предпосылки!$K137,),0)</f>
        <v>0</v>
      </c>
      <c s="125">
        <f>AZ81/(1+IFERROR(INDEX(AZ$11:AZ$12,Предпосылки!$K137,),0))*IFERROR(INDEX(AZ$11:AZ$12,Предпосылки!$K137,),0)</f>
        <v>0</v>
      </c>
      <c s="125">
        <f>BA81/(1+IFERROR(INDEX(BA$11:BA$12,Предпосылки!$K137,),0))*IFERROR(INDEX(BA$11:BA$12,Предпосылки!$K137,),0)</f>
        <v>0</v>
      </c>
      <c s="125">
        <f>BB81/(1+IFERROR(INDEX(BB$11:BB$12,Предпосылки!$K137,),0))*IFERROR(INDEX(BB$11:BB$12,Предпосылки!$K137,),0)</f>
        <v>0</v>
      </c>
      <c s="125">
        <f>BC81/(1+IFERROR(INDEX(BC$11:BC$12,Предпосылки!$K137,),0))*IFERROR(INDEX(BC$11:BC$12,Предпосылки!$K137,),0)</f>
        <v>0</v>
      </c>
      <c s="125">
        <f>BD81/(1+IFERROR(INDEX(BD$11:BD$12,Предпосылки!$K137,),0))*IFERROR(INDEX(BD$11:BD$12,Предпосылки!$K137,),0)</f>
        <v>0</v>
      </c>
      <c s="125">
        <f>BE81/(1+IFERROR(INDEX(BE$11:BE$12,Предпосылки!$K137,),0))*IFERROR(INDEX(BE$11:BE$12,Предпосылки!$K137,),0)</f>
        <v>0</v>
      </c>
      <c s="125">
        <f>BF81/(1+IFERROR(INDEX(BF$11:BF$12,Предпосылки!$K137,),0))*IFERROR(INDEX(BF$11:BF$12,Предпосылки!$K137,),0)</f>
        <v>0</v>
      </c>
      <c s="125">
        <f>BG81/(1+IFERROR(INDEX(BG$11:BG$12,Предпосылки!$K137,),0))*IFERROR(INDEX(BG$11:BG$12,Предпосылки!$K137,),0)</f>
        <v>0</v>
      </c>
      <c s="125">
        <f>BH81/(1+IFERROR(INDEX(BH$11:BH$12,Предпосылки!$K137,),0))*IFERROR(INDEX(BH$11:BH$12,Предпосылки!$K137,),0)</f>
        <v>0</v>
      </c>
      <c s="125">
        <f>BI81/(1+IFERROR(INDEX(BI$11:BI$12,Предпосылки!$K137,),0))*IFERROR(INDEX(BI$11:BI$12,Предпосылки!$K137,),0)</f>
        <v>0</v>
      </c>
      <c s="125">
        <f>BJ81/(1+IFERROR(INDEX(BJ$11:BJ$12,Предпосылки!$K137,),0))*IFERROR(INDEX(BJ$11:BJ$12,Предпосылки!$K137,),0)</f>
        <v>0</v>
      </c>
      <c s="125">
        <f>BK81/(1+IFERROR(INDEX(BK$11:BK$12,Предпосылки!$K137,),0))*IFERROR(INDEX(BK$11:BK$12,Предпосылки!$K137,),0)</f>
        <v>0</v>
      </c>
      <c s="125">
        <f>BL81/(1+IFERROR(INDEX(BL$11:BL$12,Предпосылки!$K137,),0))*IFERROR(INDEX(BL$11:BL$12,Предпосылки!$K137,),0)</f>
        <v>0</v>
      </c>
      <c s="125">
        <f>BM81/(1+IFERROR(INDEX(BM$11:BM$12,Предпосылки!$K137,),0))*IFERROR(INDEX(BM$11:BM$12,Предпосылки!$K137,),0)</f>
        <v>0</v>
      </c>
    </row>
    <row r="105" spans="2:65" ht="15" customHeight="1">
      <c r="B105" s="12" t="str">
        <f t="shared" si="85"/>
        <v>Продукт 17</v>
      </c>
      <c s="124" t="str">
        <f t="shared" si="84"/>
        <v>тыс. руб.</v>
      </c>
      <c s="276">
        <f t="shared" si="86"/>
        <v>0</v>
      </c>
      <c s="125">
        <f>E82/(1+IFERROR(INDEX(E$11:E$12,Предпосылки!$K138,),0))*IFERROR(INDEX(E$11:E$12,Предпосылки!$K138,),0)</f>
        <v>0</v>
      </c>
      <c s="125">
        <f>F82/(1+IFERROR(INDEX(F$11:F$12,Предпосылки!$K138,),0))*IFERROR(INDEX(F$11:F$12,Предпосылки!$K138,),0)</f>
        <v>0</v>
      </c>
      <c s="125">
        <f>G82/(1+IFERROR(INDEX(G$11:G$12,Предпосылки!$K138,),0))*IFERROR(INDEX(G$11:G$12,Предпосылки!$K138,),0)</f>
        <v>0</v>
      </c>
      <c s="125">
        <f>H82/(1+IFERROR(INDEX(H$11:H$12,Предпосылки!$K138,),0))*IFERROR(INDEX(H$11:H$12,Предпосылки!$K138,),0)</f>
        <v>0</v>
      </c>
      <c s="125">
        <f>I82/(1+IFERROR(INDEX(I$11:I$12,Предпосылки!$K138,),0))*IFERROR(INDEX(I$11:I$12,Предпосылки!$K138,),0)</f>
        <v>0</v>
      </c>
      <c s="125">
        <f>J82/(1+IFERROR(INDEX(J$11:J$12,Предпосылки!$K138,),0))*IFERROR(INDEX(J$11:J$12,Предпосылки!$K138,),0)</f>
        <v>0</v>
      </c>
      <c s="125">
        <f>K82/(1+IFERROR(INDEX(K$11:K$12,Предпосылки!$K138,),0))*IFERROR(INDEX(K$11:K$12,Предпосылки!$K138,),0)</f>
        <v>0</v>
      </c>
      <c s="125">
        <f>L82/(1+IFERROR(INDEX(L$11:L$12,Предпосылки!$K138,),0))*IFERROR(INDEX(L$11:L$12,Предпосылки!$K138,),0)</f>
        <v>0</v>
      </c>
      <c s="125">
        <f>M82/(1+IFERROR(INDEX(M$11:M$12,Предпосылки!$K138,),0))*IFERROR(INDEX(M$11:M$12,Предпосылки!$K138,),0)</f>
        <v>0</v>
      </c>
      <c s="125">
        <f>N82/(1+IFERROR(INDEX(N$11:N$12,Предпосылки!$K138,),0))*IFERROR(INDEX(N$11:N$12,Предпосылки!$K138,),0)</f>
        <v>0</v>
      </c>
      <c s="125">
        <f>O82/(1+IFERROR(INDEX(O$11:O$12,Предпосылки!$K138,),0))*IFERROR(INDEX(O$11:O$12,Предпосылки!$K138,),0)</f>
        <v>0</v>
      </c>
      <c s="125">
        <f>P82/(1+IFERROR(INDEX(P$11:P$12,Предпосылки!$K138,),0))*IFERROR(INDEX(P$11:P$12,Предпосылки!$K138,),0)</f>
        <v>0</v>
      </c>
      <c s="125">
        <f>Q82/(1+IFERROR(INDEX(Q$11:Q$12,Предпосылки!$K138,),0))*IFERROR(INDEX(Q$11:Q$12,Предпосылки!$K138,),0)</f>
        <v>0</v>
      </c>
      <c s="125">
        <f>R82/(1+IFERROR(INDEX(R$11:R$12,Предпосылки!$K138,),0))*IFERROR(INDEX(R$11:R$12,Предпосылки!$K138,),0)</f>
        <v>0</v>
      </c>
      <c s="125">
        <f>S82/(1+IFERROR(INDEX(S$11:S$12,Предпосылки!$K138,),0))*IFERROR(INDEX(S$11:S$12,Предпосылки!$K138,),0)</f>
        <v>0</v>
      </c>
      <c s="125">
        <f>T82/(1+IFERROR(INDEX(T$11:T$12,Предпосылки!$K138,),0))*IFERROR(INDEX(T$11:T$12,Предпосылки!$K138,),0)</f>
        <v>0</v>
      </c>
      <c s="125">
        <f>U82/(1+IFERROR(INDEX(U$11:U$12,Предпосылки!$K138,),0))*IFERROR(INDEX(U$11:U$12,Предпосылки!$K138,),0)</f>
        <v>0</v>
      </c>
      <c s="125">
        <f>V82/(1+IFERROR(INDEX(V$11:V$12,Предпосылки!$K138,),0))*IFERROR(INDEX(V$11:V$12,Предпосылки!$K138,),0)</f>
        <v>0</v>
      </c>
      <c s="125">
        <f>W82/(1+IFERROR(INDEX(W$11:W$12,Предпосылки!$K138,),0))*IFERROR(INDEX(W$11:W$12,Предпосылки!$K138,),0)</f>
        <v>0</v>
      </c>
      <c s="125">
        <f>X82/(1+IFERROR(INDEX(X$11:X$12,Предпосылки!$K138,),0))*IFERROR(INDEX(X$11:X$12,Предпосылки!$K138,),0)</f>
        <v>0</v>
      </c>
      <c s="125">
        <f>Y82/(1+IFERROR(INDEX(Y$11:Y$12,Предпосылки!$K138,),0))*IFERROR(INDEX(Y$11:Y$12,Предпосылки!$K138,),0)</f>
        <v>0</v>
      </c>
      <c s="125">
        <f>Z82/(1+IFERROR(INDEX(Z$11:Z$12,Предпосылки!$K138,),0))*IFERROR(INDEX(Z$11:Z$12,Предпосылки!$K138,),0)</f>
        <v>0</v>
      </c>
      <c s="125">
        <f>AA82/(1+IFERROR(INDEX(AA$11:AA$12,Предпосылки!$K138,),0))*IFERROR(INDEX(AA$11:AA$12,Предпосылки!$K138,),0)</f>
        <v>0</v>
      </c>
      <c s="125">
        <f>AB82/(1+IFERROR(INDEX(AB$11:AB$12,Предпосылки!$K138,),0))*IFERROR(INDEX(AB$11:AB$12,Предпосылки!$K138,),0)</f>
        <v>0</v>
      </c>
      <c s="125">
        <f>AC82/(1+IFERROR(INDEX(AC$11:AC$12,Предпосылки!$K138,),0))*IFERROR(INDEX(AC$11:AC$12,Предпосылки!$K138,),0)</f>
        <v>0</v>
      </c>
      <c s="125">
        <f>AD82/(1+IFERROR(INDEX(AD$11:AD$12,Предпосылки!$K138,),0))*IFERROR(INDEX(AD$11:AD$12,Предпосылки!$K138,),0)</f>
        <v>0</v>
      </c>
      <c s="125">
        <f>AE82/(1+IFERROR(INDEX(AE$11:AE$12,Предпосылки!$K138,),0))*IFERROR(INDEX(AE$11:AE$12,Предпосылки!$K138,),0)</f>
        <v>0</v>
      </c>
      <c s="125">
        <f>AF82/(1+IFERROR(INDEX(AF$11:AF$12,Предпосылки!$K138,),0))*IFERROR(INDEX(AF$11:AF$12,Предпосылки!$K138,),0)</f>
        <v>0</v>
      </c>
      <c s="125">
        <f>AG82/(1+IFERROR(INDEX(AG$11:AG$12,Предпосылки!$K138,),0))*IFERROR(INDEX(AG$11:AG$12,Предпосылки!$K138,),0)</f>
        <v>0</v>
      </c>
      <c s="125">
        <f>AH82/(1+IFERROR(INDEX(AH$11:AH$12,Предпосылки!$K138,),0))*IFERROR(INDEX(AH$11:AH$12,Предпосылки!$K138,),0)</f>
        <v>0</v>
      </c>
      <c s="125">
        <f>AI82/(1+IFERROR(INDEX(AI$11:AI$12,Предпосылки!$K138,),0))*IFERROR(INDEX(AI$11:AI$12,Предпосылки!$K138,),0)</f>
        <v>0</v>
      </c>
      <c s="125">
        <f>AJ82/(1+IFERROR(INDEX(AJ$11:AJ$12,Предпосылки!$K138,),0))*IFERROR(INDEX(AJ$11:AJ$12,Предпосылки!$K138,),0)</f>
        <v>0</v>
      </c>
      <c s="125">
        <f>AK82/(1+IFERROR(INDEX(AK$11:AK$12,Предпосылки!$K138,),0))*IFERROR(INDEX(AK$11:AK$12,Предпосылки!$K138,),0)</f>
        <v>0</v>
      </c>
      <c s="125">
        <f>AL82/(1+IFERROR(INDEX(AL$11:AL$12,Предпосылки!$K138,),0))*IFERROR(INDEX(AL$11:AL$12,Предпосылки!$K138,),0)</f>
        <v>0</v>
      </c>
      <c s="125">
        <f>AM82/(1+IFERROR(INDEX(AM$11:AM$12,Предпосылки!$K138,),0))*IFERROR(INDEX(AM$11:AM$12,Предпосылки!$K138,),0)</f>
        <v>0</v>
      </c>
      <c s="125">
        <f>AN82/(1+IFERROR(INDEX(AN$11:AN$12,Предпосылки!$K138,),0))*IFERROR(INDEX(AN$11:AN$12,Предпосылки!$K138,),0)</f>
        <v>0</v>
      </c>
      <c s="125">
        <f>AO82/(1+IFERROR(INDEX(AO$11:AO$12,Предпосылки!$K138,),0))*IFERROR(INDEX(AO$11:AO$12,Предпосылки!$K138,),0)</f>
        <v>0</v>
      </c>
      <c s="125">
        <f>AP82/(1+IFERROR(INDEX(AP$11:AP$12,Предпосылки!$K138,),0))*IFERROR(INDEX(AP$11:AP$12,Предпосылки!$K138,),0)</f>
        <v>0</v>
      </c>
      <c s="125">
        <f>AQ82/(1+IFERROR(INDEX(AQ$11:AQ$12,Предпосылки!$K138,),0))*IFERROR(INDEX(AQ$11:AQ$12,Предпосылки!$K138,),0)</f>
        <v>0</v>
      </c>
      <c s="125">
        <f>AR82/(1+IFERROR(INDEX(AR$11:AR$12,Предпосылки!$K138,),0))*IFERROR(INDEX(AR$11:AR$12,Предпосылки!$K138,),0)</f>
        <v>0</v>
      </c>
      <c s="125">
        <f>AS82/(1+IFERROR(INDEX(AS$11:AS$12,Предпосылки!$K138,),0))*IFERROR(INDEX(AS$11:AS$12,Предпосылки!$K138,),0)</f>
        <v>0</v>
      </c>
      <c s="125">
        <f>AT82/(1+IFERROR(INDEX(AT$11:AT$12,Предпосылки!$K138,),0))*IFERROR(INDEX(AT$11:AT$12,Предпосылки!$K138,),0)</f>
        <v>0</v>
      </c>
      <c s="125">
        <f>AU82/(1+IFERROR(INDEX(AU$11:AU$12,Предпосылки!$K138,),0))*IFERROR(INDEX(AU$11:AU$12,Предпосылки!$K138,),0)</f>
        <v>0</v>
      </c>
      <c s="125">
        <f>AV82/(1+IFERROR(INDEX(AV$11:AV$12,Предпосылки!$K138,),0))*IFERROR(INDEX(AV$11:AV$12,Предпосылки!$K138,),0)</f>
        <v>0</v>
      </c>
      <c s="125">
        <f>AW82/(1+IFERROR(INDEX(AW$11:AW$12,Предпосылки!$K138,),0))*IFERROR(INDEX(AW$11:AW$12,Предпосылки!$K138,),0)</f>
        <v>0</v>
      </c>
      <c s="125">
        <f>AX82/(1+IFERROR(INDEX(AX$11:AX$12,Предпосылки!$K138,),0))*IFERROR(INDEX(AX$11:AX$12,Предпосылки!$K138,),0)</f>
        <v>0</v>
      </c>
      <c s="125">
        <f>AY82/(1+IFERROR(INDEX(AY$11:AY$12,Предпосылки!$K138,),0))*IFERROR(INDEX(AY$11:AY$12,Предпосылки!$K138,),0)</f>
        <v>0</v>
      </c>
      <c s="125">
        <f>AZ82/(1+IFERROR(INDEX(AZ$11:AZ$12,Предпосылки!$K138,),0))*IFERROR(INDEX(AZ$11:AZ$12,Предпосылки!$K138,),0)</f>
        <v>0</v>
      </c>
      <c s="125">
        <f>BA82/(1+IFERROR(INDEX(BA$11:BA$12,Предпосылки!$K138,),0))*IFERROR(INDEX(BA$11:BA$12,Предпосылки!$K138,),0)</f>
        <v>0</v>
      </c>
      <c s="125">
        <f>BB82/(1+IFERROR(INDEX(BB$11:BB$12,Предпосылки!$K138,),0))*IFERROR(INDEX(BB$11:BB$12,Предпосылки!$K138,),0)</f>
        <v>0</v>
      </c>
      <c s="125">
        <f>BC82/(1+IFERROR(INDEX(BC$11:BC$12,Предпосылки!$K138,),0))*IFERROR(INDEX(BC$11:BC$12,Предпосылки!$K138,),0)</f>
        <v>0</v>
      </c>
      <c s="125">
        <f>BD82/(1+IFERROR(INDEX(BD$11:BD$12,Предпосылки!$K138,),0))*IFERROR(INDEX(BD$11:BD$12,Предпосылки!$K138,),0)</f>
        <v>0</v>
      </c>
      <c s="125">
        <f>BE82/(1+IFERROR(INDEX(BE$11:BE$12,Предпосылки!$K138,),0))*IFERROR(INDEX(BE$11:BE$12,Предпосылки!$K138,),0)</f>
        <v>0</v>
      </c>
      <c s="125">
        <f>BF82/(1+IFERROR(INDEX(BF$11:BF$12,Предпосылки!$K138,),0))*IFERROR(INDEX(BF$11:BF$12,Предпосылки!$K138,),0)</f>
        <v>0</v>
      </c>
      <c s="125">
        <f>BG82/(1+IFERROR(INDEX(BG$11:BG$12,Предпосылки!$K138,),0))*IFERROR(INDEX(BG$11:BG$12,Предпосылки!$K138,),0)</f>
        <v>0</v>
      </c>
      <c s="125">
        <f>BH82/(1+IFERROR(INDEX(BH$11:BH$12,Предпосылки!$K138,),0))*IFERROR(INDEX(BH$11:BH$12,Предпосылки!$K138,),0)</f>
        <v>0</v>
      </c>
      <c s="125">
        <f>BI82/(1+IFERROR(INDEX(BI$11:BI$12,Предпосылки!$K138,),0))*IFERROR(INDEX(BI$11:BI$12,Предпосылки!$K138,),0)</f>
        <v>0</v>
      </c>
      <c s="125">
        <f>BJ82/(1+IFERROR(INDEX(BJ$11:BJ$12,Предпосылки!$K138,),0))*IFERROR(INDEX(BJ$11:BJ$12,Предпосылки!$K138,),0)</f>
        <v>0</v>
      </c>
      <c s="125">
        <f>BK82/(1+IFERROR(INDEX(BK$11:BK$12,Предпосылки!$K138,),0))*IFERROR(INDEX(BK$11:BK$12,Предпосылки!$K138,),0)</f>
        <v>0</v>
      </c>
      <c s="125">
        <f>BL82/(1+IFERROR(INDEX(BL$11:BL$12,Предпосылки!$K138,),0))*IFERROR(INDEX(BL$11:BL$12,Предпосылки!$K138,),0)</f>
        <v>0</v>
      </c>
      <c s="125">
        <f>BM82/(1+IFERROR(INDEX(BM$11:BM$12,Предпосылки!$K138,),0))*IFERROR(INDEX(BM$11:BM$12,Предпосылки!$K138,),0)</f>
        <v>0</v>
      </c>
    </row>
    <row r="106" spans="2:65" ht="15" customHeight="1">
      <c r="B106" s="12" t="str">
        <f t="shared" si="85"/>
        <v>Продукт 18</v>
      </c>
      <c s="124" t="str">
        <f t="shared" si="84"/>
        <v>тыс. руб.</v>
      </c>
      <c s="276">
        <f t="shared" si="86"/>
        <v>0</v>
      </c>
      <c s="125">
        <f>E83/(1+IFERROR(INDEX(E$11:E$12,Предпосылки!$K139,),0))*IFERROR(INDEX(E$11:E$12,Предпосылки!$K139,),0)</f>
        <v>0</v>
      </c>
      <c s="125">
        <f>F83/(1+IFERROR(INDEX(F$11:F$12,Предпосылки!$K139,),0))*IFERROR(INDEX(F$11:F$12,Предпосылки!$K139,),0)</f>
        <v>0</v>
      </c>
      <c s="125">
        <f>G83/(1+IFERROR(INDEX(G$11:G$12,Предпосылки!$K139,),0))*IFERROR(INDEX(G$11:G$12,Предпосылки!$K139,),0)</f>
        <v>0</v>
      </c>
      <c s="125">
        <f>H83/(1+IFERROR(INDEX(H$11:H$12,Предпосылки!$K139,),0))*IFERROR(INDEX(H$11:H$12,Предпосылки!$K139,),0)</f>
        <v>0</v>
      </c>
      <c s="125">
        <f>I83/(1+IFERROR(INDEX(I$11:I$12,Предпосылки!$K139,),0))*IFERROR(INDEX(I$11:I$12,Предпосылки!$K139,),0)</f>
        <v>0</v>
      </c>
      <c s="125">
        <f>J83/(1+IFERROR(INDEX(J$11:J$12,Предпосылки!$K139,),0))*IFERROR(INDEX(J$11:J$12,Предпосылки!$K139,),0)</f>
        <v>0</v>
      </c>
      <c s="125">
        <f>K83/(1+IFERROR(INDEX(K$11:K$12,Предпосылки!$K139,),0))*IFERROR(INDEX(K$11:K$12,Предпосылки!$K139,),0)</f>
        <v>0</v>
      </c>
      <c s="125">
        <f>L83/(1+IFERROR(INDEX(L$11:L$12,Предпосылки!$K139,),0))*IFERROR(INDEX(L$11:L$12,Предпосылки!$K139,),0)</f>
        <v>0</v>
      </c>
      <c s="125">
        <f>M83/(1+IFERROR(INDEX(M$11:M$12,Предпосылки!$K139,),0))*IFERROR(INDEX(M$11:M$12,Предпосылки!$K139,),0)</f>
        <v>0</v>
      </c>
      <c s="125">
        <f>N83/(1+IFERROR(INDEX(N$11:N$12,Предпосылки!$K139,),0))*IFERROR(INDEX(N$11:N$12,Предпосылки!$K139,),0)</f>
        <v>0</v>
      </c>
      <c s="125">
        <f>O83/(1+IFERROR(INDEX(O$11:O$12,Предпосылки!$K139,),0))*IFERROR(INDEX(O$11:O$12,Предпосылки!$K139,),0)</f>
        <v>0</v>
      </c>
      <c s="125">
        <f>P83/(1+IFERROR(INDEX(P$11:P$12,Предпосылки!$K139,),0))*IFERROR(INDEX(P$11:P$12,Предпосылки!$K139,),0)</f>
        <v>0</v>
      </c>
      <c s="125">
        <f>Q83/(1+IFERROR(INDEX(Q$11:Q$12,Предпосылки!$K139,),0))*IFERROR(INDEX(Q$11:Q$12,Предпосылки!$K139,),0)</f>
        <v>0</v>
      </c>
      <c s="125">
        <f>R83/(1+IFERROR(INDEX(R$11:R$12,Предпосылки!$K139,),0))*IFERROR(INDEX(R$11:R$12,Предпосылки!$K139,),0)</f>
        <v>0</v>
      </c>
      <c s="125">
        <f>S83/(1+IFERROR(INDEX(S$11:S$12,Предпосылки!$K139,),0))*IFERROR(INDEX(S$11:S$12,Предпосылки!$K139,),0)</f>
        <v>0</v>
      </c>
      <c s="125">
        <f>T83/(1+IFERROR(INDEX(T$11:T$12,Предпосылки!$K139,),0))*IFERROR(INDEX(T$11:T$12,Предпосылки!$K139,),0)</f>
        <v>0</v>
      </c>
      <c s="125">
        <f>U83/(1+IFERROR(INDEX(U$11:U$12,Предпосылки!$K139,),0))*IFERROR(INDEX(U$11:U$12,Предпосылки!$K139,),0)</f>
        <v>0</v>
      </c>
      <c s="125">
        <f>V83/(1+IFERROR(INDEX(V$11:V$12,Предпосылки!$K139,),0))*IFERROR(INDEX(V$11:V$12,Предпосылки!$K139,),0)</f>
        <v>0</v>
      </c>
      <c s="125">
        <f>W83/(1+IFERROR(INDEX(W$11:W$12,Предпосылки!$K139,),0))*IFERROR(INDEX(W$11:W$12,Предпосылки!$K139,),0)</f>
        <v>0</v>
      </c>
      <c s="125">
        <f>X83/(1+IFERROR(INDEX(X$11:X$12,Предпосылки!$K139,),0))*IFERROR(INDEX(X$11:X$12,Предпосылки!$K139,),0)</f>
        <v>0</v>
      </c>
      <c s="125">
        <f>Y83/(1+IFERROR(INDEX(Y$11:Y$12,Предпосылки!$K139,),0))*IFERROR(INDEX(Y$11:Y$12,Предпосылки!$K139,),0)</f>
        <v>0</v>
      </c>
      <c s="125">
        <f>Z83/(1+IFERROR(INDEX(Z$11:Z$12,Предпосылки!$K139,),0))*IFERROR(INDEX(Z$11:Z$12,Предпосылки!$K139,),0)</f>
        <v>0</v>
      </c>
      <c s="125">
        <f>AA83/(1+IFERROR(INDEX(AA$11:AA$12,Предпосылки!$K139,),0))*IFERROR(INDEX(AA$11:AA$12,Предпосылки!$K139,),0)</f>
        <v>0</v>
      </c>
      <c s="125">
        <f>AB83/(1+IFERROR(INDEX(AB$11:AB$12,Предпосылки!$K139,),0))*IFERROR(INDEX(AB$11:AB$12,Предпосылки!$K139,),0)</f>
        <v>0</v>
      </c>
      <c s="125">
        <f>AC83/(1+IFERROR(INDEX(AC$11:AC$12,Предпосылки!$K139,),0))*IFERROR(INDEX(AC$11:AC$12,Предпосылки!$K139,),0)</f>
        <v>0</v>
      </c>
      <c s="125">
        <f>AD83/(1+IFERROR(INDEX(AD$11:AD$12,Предпосылки!$K139,),0))*IFERROR(INDEX(AD$11:AD$12,Предпосылки!$K139,),0)</f>
        <v>0</v>
      </c>
      <c s="125">
        <f>AE83/(1+IFERROR(INDEX(AE$11:AE$12,Предпосылки!$K139,),0))*IFERROR(INDEX(AE$11:AE$12,Предпосылки!$K139,),0)</f>
        <v>0</v>
      </c>
      <c s="125">
        <f>AF83/(1+IFERROR(INDEX(AF$11:AF$12,Предпосылки!$K139,),0))*IFERROR(INDEX(AF$11:AF$12,Предпосылки!$K139,),0)</f>
        <v>0</v>
      </c>
      <c s="125">
        <f>AG83/(1+IFERROR(INDEX(AG$11:AG$12,Предпосылки!$K139,),0))*IFERROR(INDEX(AG$11:AG$12,Предпосылки!$K139,),0)</f>
        <v>0</v>
      </c>
      <c s="125">
        <f>AH83/(1+IFERROR(INDEX(AH$11:AH$12,Предпосылки!$K139,),0))*IFERROR(INDEX(AH$11:AH$12,Предпосылки!$K139,),0)</f>
        <v>0</v>
      </c>
      <c s="125">
        <f>AI83/(1+IFERROR(INDEX(AI$11:AI$12,Предпосылки!$K139,),0))*IFERROR(INDEX(AI$11:AI$12,Предпосылки!$K139,),0)</f>
        <v>0</v>
      </c>
      <c s="125">
        <f>AJ83/(1+IFERROR(INDEX(AJ$11:AJ$12,Предпосылки!$K139,),0))*IFERROR(INDEX(AJ$11:AJ$12,Предпосылки!$K139,),0)</f>
        <v>0</v>
      </c>
      <c s="125">
        <f>AK83/(1+IFERROR(INDEX(AK$11:AK$12,Предпосылки!$K139,),0))*IFERROR(INDEX(AK$11:AK$12,Предпосылки!$K139,),0)</f>
        <v>0</v>
      </c>
      <c s="125">
        <f>AL83/(1+IFERROR(INDEX(AL$11:AL$12,Предпосылки!$K139,),0))*IFERROR(INDEX(AL$11:AL$12,Предпосылки!$K139,),0)</f>
        <v>0</v>
      </c>
      <c s="125">
        <f>AM83/(1+IFERROR(INDEX(AM$11:AM$12,Предпосылки!$K139,),0))*IFERROR(INDEX(AM$11:AM$12,Предпосылки!$K139,),0)</f>
        <v>0</v>
      </c>
      <c s="125">
        <f>AN83/(1+IFERROR(INDEX(AN$11:AN$12,Предпосылки!$K139,),0))*IFERROR(INDEX(AN$11:AN$12,Предпосылки!$K139,),0)</f>
        <v>0</v>
      </c>
      <c s="125">
        <f>AO83/(1+IFERROR(INDEX(AO$11:AO$12,Предпосылки!$K139,),0))*IFERROR(INDEX(AO$11:AO$12,Предпосылки!$K139,),0)</f>
        <v>0</v>
      </c>
      <c s="125">
        <f>AP83/(1+IFERROR(INDEX(AP$11:AP$12,Предпосылки!$K139,),0))*IFERROR(INDEX(AP$11:AP$12,Предпосылки!$K139,),0)</f>
        <v>0</v>
      </c>
      <c s="125">
        <f>AQ83/(1+IFERROR(INDEX(AQ$11:AQ$12,Предпосылки!$K139,),0))*IFERROR(INDEX(AQ$11:AQ$12,Предпосылки!$K139,),0)</f>
        <v>0</v>
      </c>
      <c s="125">
        <f>AR83/(1+IFERROR(INDEX(AR$11:AR$12,Предпосылки!$K139,),0))*IFERROR(INDEX(AR$11:AR$12,Предпосылки!$K139,),0)</f>
        <v>0</v>
      </c>
      <c s="125">
        <f>AS83/(1+IFERROR(INDEX(AS$11:AS$12,Предпосылки!$K139,),0))*IFERROR(INDEX(AS$11:AS$12,Предпосылки!$K139,),0)</f>
        <v>0</v>
      </c>
      <c s="125">
        <f>AT83/(1+IFERROR(INDEX(AT$11:AT$12,Предпосылки!$K139,),0))*IFERROR(INDEX(AT$11:AT$12,Предпосылки!$K139,),0)</f>
        <v>0</v>
      </c>
      <c s="125">
        <f>AU83/(1+IFERROR(INDEX(AU$11:AU$12,Предпосылки!$K139,),0))*IFERROR(INDEX(AU$11:AU$12,Предпосылки!$K139,),0)</f>
        <v>0</v>
      </c>
      <c s="125">
        <f>AV83/(1+IFERROR(INDEX(AV$11:AV$12,Предпосылки!$K139,),0))*IFERROR(INDEX(AV$11:AV$12,Предпосылки!$K139,),0)</f>
        <v>0</v>
      </c>
      <c s="125">
        <f>AW83/(1+IFERROR(INDEX(AW$11:AW$12,Предпосылки!$K139,),0))*IFERROR(INDEX(AW$11:AW$12,Предпосылки!$K139,),0)</f>
        <v>0</v>
      </c>
      <c s="125">
        <f>AX83/(1+IFERROR(INDEX(AX$11:AX$12,Предпосылки!$K139,),0))*IFERROR(INDEX(AX$11:AX$12,Предпосылки!$K139,),0)</f>
        <v>0</v>
      </c>
      <c s="125">
        <f>AY83/(1+IFERROR(INDEX(AY$11:AY$12,Предпосылки!$K139,),0))*IFERROR(INDEX(AY$11:AY$12,Предпосылки!$K139,),0)</f>
        <v>0</v>
      </c>
      <c s="125">
        <f>AZ83/(1+IFERROR(INDEX(AZ$11:AZ$12,Предпосылки!$K139,),0))*IFERROR(INDEX(AZ$11:AZ$12,Предпосылки!$K139,),0)</f>
        <v>0</v>
      </c>
      <c s="125">
        <f>BA83/(1+IFERROR(INDEX(BA$11:BA$12,Предпосылки!$K139,),0))*IFERROR(INDEX(BA$11:BA$12,Предпосылки!$K139,),0)</f>
        <v>0</v>
      </c>
      <c s="125">
        <f>BB83/(1+IFERROR(INDEX(BB$11:BB$12,Предпосылки!$K139,),0))*IFERROR(INDEX(BB$11:BB$12,Предпосылки!$K139,),0)</f>
        <v>0</v>
      </c>
      <c s="125">
        <f>BC83/(1+IFERROR(INDEX(BC$11:BC$12,Предпосылки!$K139,),0))*IFERROR(INDEX(BC$11:BC$12,Предпосылки!$K139,),0)</f>
        <v>0</v>
      </c>
      <c s="125">
        <f>BD83/(1+IFERROR(INDEX(BD$11:BD$12,Предпосылки!$K139,),0))*IFERROR(INDEX(BD$11:BD$12,Предпосылки!$K139,),0)</f>
        <v>0</v>
      </c>
      <c s="125">
        <f>BE83/(1+IFERROR(INDEX(BE$11:BE$12,Предпосылки!$K139,),0))*IFERROR(INDEX(BE$11:BE$12,Предпосылки!$K139,),0)</f>
        <v>0</v>
      </c>
      <c s="125">
        <f>BF83/(1+IFERROR(INDEX(BF$11:BF$12,Предпосылки!$K139,),0))*IFERROR(INDEX(BF$11:BF$12,Предпосылки!$K139,),0)</f>
        <v>0</v>
      </c>
      <c s="125">
        <f>BG83/(1+IFERROR(INDEX(BG$11:BG$12,Предпосылки!$K139,),0))*IFERROR(INDEX(BG$11:BG$12,Предпосылки!$K139,),0)</f>
        <v>0</v>
      </c>
      <c s="125">
        <f>BH83/(1+IFERROR(INDEX(BH$11:BH$12,Предпосылки!$K139,),0))*IFERROR(INDEX(BH$11:BH$12,Предпосылки!$K139,),0)</f>
        <v>0</v>
      </c>
      <c s="125">
        <f>BI83/(1+IFERROR(INDEX(BI$11:BI$12,Предпосылки!$K139,),0))*IFERROR(INDEX(BI$11:BI$12,Предпосылки!$K139,),0)</f>
        <v>0</v>
      </c>
      <c s="125">
        <f>BJ83/(1+IFERROR(INDEX(BJ$11:BJ$12,Предпосылки!$K139,),0))*IFERROR(INDEX(BJ$11:BJ$12,Предпосылки!$K139,),0)</f>
        <v>0</v>
      </c>
      <c s="125">
        <f>BK83/(1+IFERROR(INDEX(BK$11:BK$12,Предпосылки!$K139,),0))*IFERROR(INDEX(BK$11:BK$12,Предпосылки!$K139,),0)</f>
        <v>0</v>
      </c>
      <c s="125">
        <f>BL83/(1+IFERROR(INDEX(BL$11:BL$12,Предпосылки!$K139,),0))*IFERROR(INDEX(BL$11:BL$12,Предпосылки!$K139,),0)</f>
        <v>0</v>
      </c>
      <c s="125">
        <f>BM83/(1+IFERROR(INDEX(BM$11:BM$12,Предпосылки!$K139,),0))*IFERROR(INDEX(BM$11:BM$12,Предпосылки!$K139,),0)</f>
        <v>0</v>
      </c>
    </row>
    <row r="107" spans="2:65" ht="15" customHeight="1">
      <c r="B107" s="12" t="str">
        <f t="shared" si="85"/>
        <v>Продукт 19</v>
      </c>
      <c s="124" t="str">
        <f t="shared" si="84"/>
        <v>тыс. руб.</v>
      </c>
      <c s="276">
        <f t="shared" si="86"/>
        <v>0</v>
      </c>
      <c s="125">
        <f>E84/(1+IFERROR(INDEX(E$11:E$12,Предпосылки!$K140,),0))*IFERROR(INDEX(E$11:E$12,Предпосылки!$K140,),0)</f>
        <v>0</v>
      </c>
      <c s="125">
        <f>F84/(1+IFERROR(INDEX(F$11:F$12,Предпосылки!$K140,),0))*IFERROR(INDEX(F$11:F$12,Предпосылки!$K140,),0)</f>
        <v>0</v>
      </c>
      <c s="125">
        <f>G84/(1+IFERROR(INDEX(G$11:G$12,Предпосылки!$K140,),0))*IFERROR(INDEX(G$11:G$12,Предпосылки!$K140,),0)</f>
        <v>0</v>
      </c>
      <c s="125">
        <f>H84/(1+IFERROR(INDEX(H$11:H$12,Предпосылки!$K140,),0))*IFERROR(INDEX(H$11:H$12,Предпосылки!$K140,),0)</f>
        <v>0</v>
      </c>
      <c s="125">
        <f>I84/(1+IFERROR(INDEX(I$11:I$12,Предпосылки!$K140,),0))*IFERROR(INDEX(I$11:I$12,Предпосылки!$K140,),0)</f>
        <v>0</v>
      </c>
      <c s="125">
        <f>J84/(1+IFERROR(INDEX(J$11:J$12,Предпосылки!$K140,),0))*IFERROR(INDEX(J$11:J$12,Предпосылки!$K140,),0)</f>
        <v>0</v>
      </c>
      <c s="125">
        <f>K84/(1+IFERROR(INDEX(K$11:K$12,Предпосылки!$K140,),0))*IFERROR(INDEX(K$11:K$12,Предпосылки!$K140,),0)</f>
        <v>0</v>
      </c>
      <c s="125">
        <f>L84/(1+IFERROR(INDEX(L$11:L$12,Предпосылки!$K140,),0))*IFERROR(INDEX(L$11:L$12,Предпосылки!$K140,),0)</f>
        <v>0</v>
      </c>
      <c s="125">
        <f>M84/(1+IFERROR(INDEX(M$11:M$12,Предпосылки!$K140,),0))*IFERROR(INDEX(M$11:M$12,Предпосылки!$K140,),0)</f>
        <v>0</v>
      </c>
      <c s="125">
        <f>N84/(1+IFERROR(INDEX(N$11:N$12,Предпосылки!$K140,),0))*IFERROR(INDEX(N$11:N$12,Предпосылки!$K140,),0)</f>
        <v>0</v>
      </c>
      <c s="125">
        <f>O84/(1+IFERROR(INDEX(O$11:O$12,Предпосылки!$K140,),0))*IFERROR(INDEX(O$11:O$12,Предпосылки!$K140,),0)</f>
        <v>0</v>
      </c>
      <c s="125">
        <f>P84/(1+IFERROR(INDEX(P$11:P$12,Предпосылки!$K140,),0))*IFERROR(INDEX(P$11:P$12,Предпосылки!$K140,),0)</f>
        <v>0</v>
      </c>
      <c s="125">
        <f>Q84/(1+IFERROR(INDEX(Q$11:Q$12,Предпосылки!$K140,),0))*IFERROR(INDEX(Q$11:Q$12,Предпосылки!$K140,),0)</f>
        <v>0</v>
      </c>
      <c s="125">
        <f>R84/(1+IFERROR(INDEX(R$11:R$12,Предпосылки!$K140,),0))*IFERROR(INDEX(R$11:R$12,Предпосылки!$K140,),0)</f>
        <v>0</v>
      </c>
      <c s="125">
        <f>S84/(1+IFERROR(INDEX(S$11:S$12,Предпосылки!$K140,),0))*IFERROR(INDEX(S$11:S$12,Предпосылки!$K140,),0)</f>
        <v>0</v>
      </c>
      <c s="125">
        <f>T84/(1+IFERROR(INDEX(T$11:T$12,Предпосылки!$K140,),0))*IFERROR(INDEX(T$11:T$12,Предпосылки!$K140,),0)</f>
        <v>0</v>
      </c>
      <c s="125">
        <f>U84/(1+IFERROR(INDEX(U$11:U$12,Предпосылки!$K140,),0))*IFERROR(INDEX(U$11:U$12,Предпосылки!$K140,),0)</f>
        <v>0</v>
      </c>
      <c s="125">
        <f>V84/(1+IFERROR(INDEX(V$11:V$12,Предпосылки!$K140,),0))*IFERROR(INDEX(V$11:V$12,Предпосылки!$K140,),0)</f>
        <v>0</v>
      </c>
      <c s="125">
        <f>W84/(1+IFERROR(INDEX(W$11:W$12,Предпосылки!$K140,),0))*IFERROR(INDEX(W$11:W$12,Предпосылки!$K140,),0)</f>
        <v>0</v>
      </c>
      <c s="125">
        <f>X84/(1+IFERROR(INDEX(X$11:X$12,Предпосылки!$K140,),0))*IFERROR(INDEX(X$11:X$12,Предпосылки!$K140,),0)</f>
        <v>0</v>
      </c>
      <c s="125">
        <f>Y84/(1+IFERROR(INDEX(Y$11:Y$12,Предпосылки!$K140,),0))*IFERROR(INDEX(Y$11:Y$12,Предпосылки!$K140,),0)</f>
        <v>0</v>
      </c>
      <c s="125">
        <f>Z84/(1+IFERROR(INDEX(Z$11:Z$12,Предпосылки!$K140,),0))*IFERROR(INDEX(Z$11:Z$12,Предпосылки!$K140,),0)</f>
        <v>0</v>
      </c>
      <c s="125">
        <f>AA84/(1+IFERROR(INDEX(AA$11:AA$12,Предпосылки!$K140,),0))*IFERROR(INDEX(AA$11:AA$12,Предпосылки!$K140,),0)</f>
        <v>0</v>
      </c>
      <c s="125">
        <f>AB84/(1+IFERROR(INDEX(AB$11:AB$12,Предпосылки!$K140,),0))*IFERROR(INDEX(AB$11:AB$12,Предпосылки!$K140,),0)</f>
        <v>0</v>
      </c>
      <c s="125">
        <f>AC84/(1+IFERROR(INDEX(AC$11:AC$12,Предпосылки!$K140,),0))*IFERROR(INDEX(AC$11:AC$12,Предпосылки!$K140,),0)</f>
        <v>0</v>
      </c>
      <c s="125">
        <f>AD84/(1+IFERROR(INDEX(AD$11:AD$12,Предпосылки!$K140,),0))*IFERROR(INDEX(AD$11:AD$12,Предпосылки!$K140,),0)</f>
        <v>0</v>
      </c>
      <c s="125">
        <f>AE84/(1+IFERROR(INDEX(AE$11:AE$12,Предпосылки!$K140,),0))*IFERROR(INDEX(AE$11:AE$12,Предпосылки!$K140,),0)</f>
        <v>0</v>
      </c>
      <c s="125">
        <f>AF84/(1+IFERROR(INDEX(AF$11:AF$12,Предпосылки!$K140,),0))*IFERROR(INDEX(AF$11:AF$12,Предпосылки!$K140,),0)</f>
        <v>0</v>
      </c>
      <c s="125">
        <f>AG84/(1+IFERROR(INDEX(AG$11:AG$12,Предпосылки!$K140,),0))*IFERROR(INDEX(AG$11:AG$12,Предпосылки!$K140,),0)</f>
        <v>0</v>
      </c>
      <c s="125">
        <f>AH84/(1+IFERROR(INDEX(AH$11:AH$12,Предпосылки!$K140,),0))*IFERROR(INDEX(AH$11:AH$12,Предпосылки!$K140,),0)</f>
        <v>0</v>
      </c>
      <c s="125">
        <f>AI84/(1+IFERROR(INDEX(AI$11:AI$12,Предпосылки!$K140,),0))*IFERROR(INDEX(AI$11:AI$12,Предпосылки!$K140,),0)</f>
        <v>0</v>
      </c>
      <c s="125">
        <f>AJ84/(1+IFERROR(INDEX(AJ$11:AJ$12,Предпосылки!$K140,),0))*IFERROR(INDEX(AJ$11:AJ$12,Предпосылки!$K140,),0)</f>
        <v>0</v>
      </c>
      <c s="125">
        <f>AK84/(1+IFERROR(INDEX(AK$11:AK$12,Предпосылки!$K140,),0))*IFERROR(INDEX(AK$11:AK$12,Предпосылки!$K140,),0)</f>
        <v>0</v>
      </c>
      <c s="125">
        <f>AL84/(1+IFERROR(INDEX(AL$11:AL$12,Предпосылки!$K140,),0))*IFERROR(INDEX(AL$11:AL$12,Предпосылки!$K140,),0)</f>
        <v>0</v>
      </c>
      <c s="125">
        <f>AM84/(1+IFERROR(INDEX(AM$11:AM$12,Предпосылки!$K140,),0))*IFERROR(INDEX(AM$11:AM$12,Предпосылки!$K140,),0)</f>
        <v>0</v>
      </c>
      <c s="125">
        <f>AN84/(1+IFERROR(INDEX(AN$11:AN$12,Предпосылки!$K140,),0))*IFERROR(INDEX(AN$11:AN$12,Предпосылки!$K140,),0)</f>
        <v>0</v>
      </c>
      <c s="125">
        <f>AO84/(1+IFERROR(INDEX(AO$11:AO$12,Предпосылки!$K140,),0))*IFERROR(INDEX(AO$11:AO$12,Предпосылки!$K140,),0)</f>
        <v>0</v>
      </c>
      <c s="125">
        <f>AP84/(1+IFERROR(INDEX(AP$11:AP$12,Предпосылки!$K140,),0))*IFERROR(INDEX(AP$11:AP$12,Предпосылки!$K140,),0)</f>
        <v>0</v>
      </c>
      <c s="125">
        <f>AQ84/(1+IFERROR(INDEX(AQ$11:AQ$12,Предпосылки!$K140,),0))*IFERROR(INDEX(AQ$11:AQ$12,Предпосылки!$K140,),0)</f>
        <v>0</v>
      </c>
      <c s="125">
        <f>AR84/(1+IFERROR(INDEX(AR$11:AR$12,Предпосылки!$K140,),0))*IFERROR(INDEX(AR$11:AR$12,Предпосылки!$K140,),0)</f>
        <v>0</v>
      </c>
      <c s="125">
        <f>AS84/(1+IFERROR(INDEX(AS$11:AS$12,Предпосылки!$K140,),0))*IFERROR(INDEX(AS$11:AS$12,Предпосылки!$K140,),0)</f>
        <v>0</v>
      </c>
      <c s="125">
        <f>AT84/(1+IFERROR(INDEX(AT$11:AT$12,Предпосылки!$K140,),0))*IFERROR(INDEX(AT$11:AT$12,Предпосылки!$K140,),0)</f>
        <v>0</v>
      </c>
      <c s="125">
        <f>AU84/(1+IFERROR(INDEX(AU$11:AU$12,Предпосылки!$K140,),0))*IFERROR(INDEX(AU$11:AU$12,Предпосылки!$K140,),0)</f>
        <v>0</v>
      </c>
      <c s="125">
        <f>AV84/(1+IFERROR(INDEX(AV$11:AV$12,Предпосылки!$K140,),0))*IFERROR(INDEX(AV$11:AV$12,Предпосылки!$K140,),0)</f>
        <v>0</v>
      </c>
      <c s="125">
        <f>AW84/(1+IFERROR(INDEX(AW$11:AW$12,Предпосылки!$K140,),0))*IFERROR(INDEX(AW$11:AW$12,Предпосылки!$K140,),0)</f>
        <v>0</v>
      </c>
      <c s="125">
        <f>AX84/(1+IFERROR(INDEX(AX$11:AX$12,Предпосылки!$K140,),0))*IFERROR(INDEX(AX$11:AX$12,Предпосылки!$K140,),0)</f>
        <v>0</v>
      </c>
      <c s="125">
        <f>AY84/(1+IFERROR(INDEX(AY$11:AY$12,Предпосылки!$K140,),0))*IFERROR(INDEX(AY$11:AY$12,Предпосылки!$K140,),0)</f>
        <v>0</v>
      </c>
      <c s="125">
        <f>AZ84/(1+IFERROR(INDEX(AZ$11:AZ$12,Предпосылки!$K140,),0))*IFERROR(INDEX(AZ$11:AZ$12,Предпосылки!$K140,),0)</f>
        <v>0</v>
      </c>
      <c s="125">
        <f>BA84/(1+IFERROR(INDEX(BA$11:BA$12,Предпосылки!$K140,),0))*IFERROR(INDEX(BA$11:BA$12,Предпосылки!$K140,),0)</f>
        <v>0</v>
      </c>
      <c s="125">
        <f>BB84/(1+IFERROR(INDEX(BB$11:BB$12,Предпосылки!$K140,),0))*IFERROR(INDEX(BB$11:BB$12,Предпосылки!$K140,),0)</f>
        <v>0</v>
      </c>
      <c s="125">
        <f>BC84/(1+IFERROR(INDEX(BC$11:BC$12,Предпосылки!$K140,),0))*IFERROR(INDEX(BC$11:BC$12,Предпосылки!$K140,),0)</f>
        <v>0</v>
      </c>
      <c s="125">
        <f>BD84/(1+IFERROR(INDEX(BD$11:BD$12,Предпосылки!$K140,),0))*IFERROR(INDEX(BD$11:BD$12,Предпосылки!$K140,),0)</f>
        <v>0</v>
      </c>
      <c s="125">
        <f>BE84/(1+IFERROR(INDEX(BE$11:BE$12,Предпосылки!$K140,),0))*IFERROR(INDEX(BE$11:BE$12,Предпосылки!$K140,),0)</f>
        <v>0</v>
      </c>
      <c s="125">
        <f>BF84/(1+IFERROR(INDEX(BF$11:BF$12,Предпосылки!$K140,),0))*IFERROR(INDEX(BF$11:BF$12,Предпосылки!$K140,),0)</f>
        <v>0</v>
      </c>
      <c s="125">
        <f>BG84/(1+IFERROR(INDEX(BG$11:BG$12,Предпосылки!$K140,),0))*IFERROR(INDEX(BG$11:BG$12,Предпосылки!$K140,),0)</f>
        <v>0</v>
      </c>
      <c s="125">
        <f>BH84/(1+IFERROR(INDEX(BH$11:BH$12,Предпосылки!$K140,),0))*IFERROR(INDEX(BH$11:BH$12,Предпосылки!$K140,),0)</f>
        <v>0</v>
      </c>
      <c s="125">
        <f>BI84/(1+IFERROR(INDEX(BI$11:BI$12,Предпосылки!$K140,),0))*IFERROR(INDEX(BI$11:BI$12,Предпосылки!$K140,),0)</f>
        <v>0</v>
      </c>
      <c s="125">
        <f>BJ84/(1+IFERROR(INDEX(BJ$11:BJ$12,Предпосылки!$K140,),0))*IFERROR(INDEX(BJ$11:BJ$12,Предпосылки!$K140,),0)</f>
        <v>0</v>
      </c>
      <c s="125">
        <f>BK84/(1+IFERROR(INDEX(BK$11:BK$12,Предпосылки!$K140,),0))*IFERROR(INDEX(BK$11:BK$12,Предпосылки!$K140,),0)</f>
        <v>0</v>
      </c>
      <c s="125">
        <f>BL84/(1+IFERROR(INDEX(BL$11:BL$12,Предпосылки!$K140,),0))*IFERROR(INDEX(BL$11:BL$12,Предпосылки!$K140,),0)</f>
        <v>0</v>
      </c>
      <c s="125">
        <f>BM84/(1+IFERROR(INDEX(BM$11:BM$12,Предпосылки!$K140,),0))*IFERROR(INDEX(BM$11:BM$12,Предпосылки!$K140,),0)</f>
        <v>0</v>
      </c>
    </row>
    <row r="108" spans="2:65" ht="15" customHeight="1">
      <c r="B108" s="12" t="str">
        <f t="shared" si="85"/>
        <v>Продукт 20</v>
      </c>
      <c s="124" t="str">
        <f t="shared" si="84"/>
        <v>тыс. руб.</v>
      </c>
      <c s="276">
        <f t="shared" si="86"/>
        <v>0</v>
      </c>
      <c s="125">
        <f>E85/(1+IFERROR(INDEX(E$11:E$12,Предпосылки!$K141,),0))*IFERROR(INDEX(E$11:E$12,Предпосылки!$K141,),0)</f>
        <v>0</v>
      </c>
      <c s="125">
        <f>F85/(1+IFERROR(INDEX(F$11:F$12,Предпосылки!$K141,),0))*IFERROR(INDEX(F$11:F$12,Предпосылки!$K141,),0)</f>
        <v>0</v>
      </c>
      <c s="125">
        <f>G85/(1+IFERROR(INDEX(G$11:G$12,Предпосылки!$K141,),0))*IFERROR(INDEX(G$11:G$12,Предпосылки!$K141,),0)</f>
        <v>0</v>
      </c>
      <c s="125">
        <f>H85/(1+IFERROR(INDEX(H$11:H$12,Предпосылки!$K141,),0))*IFERROR(INDEX(H$11:H$12,Предпосылки!$K141,),0)</f>
        <v>0</v>
      </c>
      <c s="125">
        <f>I85/(1+IFERROR(INDEX(I$11:I$12,Предпосылки!$K141,),0))*IFERROR(INDEX(I$11:I$12,Предпосылки!$K141,),0)</f>
        <v>0</v>
      </c>
      <c s="125">
        <f>J85/(1+IFERROR(INDEX(J$11:J$12,Предпосылки!$K141,),0))*IFERROR(INDEX(J$11:J$12,Предпосылки!$K141,),0)</f>
        <v>0</v>
      </c>
      <c s="125">
        <f>K85/(1+IFERROR(INDEX(K$11:K$12,Предпосылки!$K141,),0))*IFERROR(INDEX(K$11:K$12,Предпосылки!$K141,),0)</f>
        <v>0</v>
      </c>
      <c s="125">
        <f>L85/(1+IFERROR(INDEX(L$11:L$12,Предпосылки!$K141,),0))*IFERROR(INDEX(L$11:L$12,Предпосылки!$K141,),0)</f>
        <v>0</v>
      </c>
      <c s="125">
        <f>M85/(1+IFERROR(INDEX(M$11:M$12,Предпосылки!$K141,),0))*IFERROR(INDEX(M$11:M$12,Предпосылки!$K141,),0)</f>
        <v>0</v>
      </c>
      <c s="125">
        <f>N85/(1+IFERROR(INDEX(N$11:N$12,Предпосылки!$K141,),0))*IFERROR(INDEX(N$11:N$12,Предпосылки!$K141,),0)</f>
        <v>0</v>
      </c>
      <c s="125">
        <f>O85/(1+IFERROR(INDEX(O$11:O$12,Предпосылки!$K141,),0))*IFERROR(INDEX(O$11:O$12,Предпосылки!$K141,),0)</f>
        <v>0</v>
      </c>
      <c s="125">
        <f>P85/(1+IFERROR(INDEX(P$11:P$12,Предпосылки!$K141,),0))*IFERROR(INDEX(P$11:P$12,Предпосылки!$K141,),0)</f>
        <v>0</v>
      </c>
      <c s="125">
        <f>Q85/(1+IFERROR(INDEX(Q$11:Q$12,Предпосылки!$K141,),0))*IFERROR(INDEX(Q$11:Q$12,Предпосылки!$K141,),0)</f>
        <v>0</v>
      </c>
      <c s="125">
        <f>R85/(1+IFERROR(INDEX(R$11:R$12,Предпосылки!$K141,),0))*IFERROR(INDEX(R$11:R$12,Предпосылки!$K141,),0)</f>
        <v>0</v>
      </c>
      <c s="125">
        <f>S85/(1+IFERROR(INDEX(S$11:S$12,Предпосылки!$K141,),0))*IFERROR(INDEX(S$11:S$12,Предпосылки!$K141,),0)</f>
        <v>0</v>
      </c>
      <c s="125">
        <f>T85/(1+IFERROR(INDEX(T$11:T$12,Предпосылки!$K141,),0))*IFERROR(INDEX(T$11:T$12,Предпосылки!$K141,),0)</f>
        <v>0</v>
      </c>
      <c s="125">
        <f>U85/(1+IFERROR(INDEX(U$11:U$12,Предпосылки!$K141,),0))*IFERROR(INDEX(U$11:U$12,Предпосылки!$K141,),0)</f>
        <v>0</v>
      </c>
      <c s="125">
        <f>V85/(1+IFERROR(INDEX(V$11:V$12,Предпосылки!$K141,),0))*IFERROR(INDEX(V$11:V$12,Предпосылки!$K141,),0)</f>
        <v>0</v>
      </c>
      <c s="125">
        <f>W85/(1+IFERROR(INDEX(W$11:W$12,Предпосылки!$K141,),0))*IFERROR(INDEX(W$11:W$12,Предпосылки!$K141,),0)</f>
        <v>0</v>
      </c>
      <c s="125">
        <f>X85/(1+IFERROR(INDEX(X$11:X$12,Предпосылки!$K141,),0))*IFERROR(INDEX(X$11:X$12,Предпосылки!$K141,),0)</f>
        <v>0</v>
      </c>
      <c s="125">
        <f>Y85/(1+IFERROR(INDEX(Y$11:Y$12,Предпосылки!$K141,),0))*IFERROR(INDEX(Y$11:Y$12,Предпосылки!$K141,),0)</f>
        <v>0</v>
      </c>
      <c s="125">
        <f>Z85/(1+IFERROR(INDEX(Z$11:Z$12,Предпосылки!$K141,),0))*IFERROR(INDEX(Z$11:Z$12,Предпосылки!$K141,),0)</f>
        <v>0</v>
      </c>
      <c s="125">
        <f>AA85/(1+IFERROR(INDEX(AA$11:AA$12,Предпосылки!$K141,),0))*IFERROR(INDEX(AA$11:AA$12,Предпосылки!$K141,),0)</f>
        <v>0</v>
      </c>
      <c s="125">
        <f>AB85/(1+IFERROR(INDEX(AB$11:AB$12,Предпосылки!$K141,),0))*IFERROR(INDEX(AB$11:AB$12,Предпосылки!$K141,),0)</f>
        <v>0</v>
      </c>
      <c s="125">
        <f>AC85/(1+IFERROR(INDEX(AC$11:AC$12,Предпосылки!$K141,),0))*IFERROR(INDEX(AC$11:AC$12,Предпосылки!$K141,),0)</f>
        <v>0</v>
      </c>
      <c s="125">
        <f>AD85/(1+IFERROR(INDEX(AD$11:AD$12,Предпосылки!$K141,),0))*IFERROR(INDEX(AD$11:AD$12,Предпосылки!$K141,),0)</f>
        <v>0</v>
      </c>
      <c s="125">
        <f>AE85/(1+IFERROR(INDEX(AE$11:AE$12,Предпосылки!$K141,),0))*IFERROR(INDEX(AE$11:AE$12,Предпосылки!$K141,),0)</f>
        <v>0</v>
      </c>
      <c s="125">
        <f>AF85/(1+IFERROR(INDEX(AF$11:AF$12,Предпосылки!$K141,),0))*IFERROR(INDEX(AF$11:AF$12,Предпосылки!$K141,),0)</f>
        <v>0</v>
      </c>
      <c s="125">
        <f>AG85/(1+IFERROR(INDEX(AG$11:AG$12,Предпосылки!$K141,),0))*IFERROR(INDEX(AG$11:AG$12,Предпосылки!$K141,),0)</f>
        <v>0</v>
      </c>
      <c s="125">
        <f>AH85/(1+IFERROR(INDEX(AH$11:AH$12,Предпосылки!$K141,),0))*IFERROR(INDEX(AH$11:AH$12,Предпосылки!$K141,),0)</f>
        <v>0</v>
      </c>
      <c s="125">
        <f>AI85/(1+IFERROR(INDEX(AI$11:AI$12,Предпосылки!$K141,),0))*IFERROR(INDEX(AI$11:AI$12,Предпосылки!$K141,),0)</f>
        <v>0</v>
      </c>
      <c s="125">
        <f>AJ85/(1+IFERROR(INDEX(AJ$11:AJ$12,Предпосылки!$K141,),0))*IFERROR(INDEX(AJ$11:AJ$12,Предпосылки!$K141,),0)</f>
        <v>0</v>
      </c>
      <c s="125">
        <f>AK85/(1+IFERROR(INDEX(AK$11:AK$12,Предпосылки!$K141,),0))*IFERROR(INDEX(AK$11:AK$12,Предпосылки!$K141,),0)</f>
        <v>0</v>
      </c>
      <c s="125">
        <f>AL85/(1+IFERROR(INDEX(AL$11:AL$12,Предпосылки!$K141,),0))*IFERROR(INDEX(AL$11:AL$12,Предпосылки!$K141,),0)</f>
        <v>0</v>
      </c>
      <c s="125">
        <f>AM85/(1+IFERROR(INDEX(AM$11:AM$12,Предпосылки!$K141,),0))*IFERROR(INDEX(AM$11:AM$12,Предпосылки!$K141,),0)</f>
        <v>0</v>
      </c>
      <c s="125">
        <f>AN85/(1+IFERROR(INDEX(AN$11:AN$12,Предпосылки!$K141,),0))*IFERROR(INDEX(AN$11:AN$12,Предпосылки!$K141,),0)</f>
        <v>0</v>
      </c>
      <c s="125">
        <f>AO85/(1+IFERROR(INDEX(AO$11:AO$12,Предпосылки!$K141,),0))*IFERROR(INDEX(AO$11:AO$12,Предпосылки!$K141,),0)</f>
        <v>0</v>
      </c>
      <c s="125">
        <f>AP85/(1+IFERROR(INDEX(AP$11:AP$12,Предпосылки!$K141,),0))*IFERROR(INDEX(AP$11:AP$12,Предпосылки!$K141,),0)</f>
        <v>0</v>
      </c>
      <c s="125">
        <f>AQ85/(1+IFERROR(INDEX(AQ$11:AQ$12,Предпосылки!$K141,),0))*IFERROR(INDEX(AQ$11:AQ$12,Предпосылки!$K141,),0)</f>
        <v>0</v>
      </c>
      <c s="125">
        <f>AR85/(1+IFERROR(INDEX(AR$11:AR$12,Предпосылки!$K141,),0))*IFERROR(INDEX(AR$11:AR$12,Предпосылки!$K141,),0)</f>
        <v>0</v>
      </c>
      <c s="125">
        <f>AS85/(1+IFERROR(INDEX(AS$11:AS$12,Предпосылки!$K141,),0))*IFERROR(INDEX(AS$11:AS$12,Предпосылки!$K141,),0)</f>
        <v>0</v>
      </c>
      <c s="125">
        <f>AT85/(1+IFERROR(INDEX(AT$11:AT$12,Предпосылки!$K141,),0))*IFERROR(INDEX(AT$11:AT$12,Предпосылки!$K141,),0)</f>
        <v>0</v>
      </c>
      <c s="125">
        <f>AU85/(1+IFERROR(INDEX(AU$11:AU$12,Предпосылки!$K141,),0))*IFERROR(INDEX(AU$11:AU$12,Предпосылки!$K141,),0)</f>
        <v>0</v>
      </c>
      <c s="125">
        <f>AV85/(1+IFERROR(INDEX(AV$11:AV$12,Предпосылки!$K141,),0))*IFERROR(INDEX(AV$11:AV$12,Предпосылки!$K141,),0)</f>
        <v>0</v>
      </c>
      <c s="125">
        <f>AW85/(1+IFERROR(INDEX(AW$11:AW$12,Предпосылки!$K141,),0))*IFERROR(INDEX(AW$11:AW$12,Предпосылки!$K141,),0)</f>
        <v>0</v>
      </c>
      <c s="125">
        <f>AX85/(1+IFERROR(INDEX(AX$11:AX$12,Предпосылки!$K141,),0))*IFERROR(INDEX(AX$11:AX$12,Предпосылки!$K141,),0)</f>
        <v>0</v>
      </c>
      <c s="125">
        <f>AY85/(1+IFERROR(INDEX(AY$11:AY$12,Предпосылки!$K141,),0))*IFERROR(INDEX(AY$11:AY$12,Предпосылки!$K141,),0)</f>
        <v>0</v>
      </c>
      <c s="125">
        <f>AZ85/(1+IFERROR(INDEX(AZ$11:AZ$12,Предпосылки!$K141,),0))*IFERROR(INDEX(AZ$11:AZ$12,Предпосылки!$K141,),0)</f>
        <v>0</v>
      </c>
      <c s="125">
        <f>BA85/(1+IFERROR(INDEX(BA$11:BA$12,Предпосылки!$K141,),0))*IFERROR(INDEX(BA$11:BA$12,Предпосылки!$K141,),0)</f>
        <v>0</v>
      </c>
      <c s="125">
        <f>BB85/(1+IFERROR(INDEX(BB$11:BB$12,Предпосылки!$K141,),0))*IFERROR(INDEX(BB$11:BB$12,Предпосылки!$K141,),0)</f>
        <v>0</v>
      </c>
      <c s="125">
        <f>BC85/(1+IFERROR(INDEX(BC$11:BC$12,Предпосылки!$K141,),0))*IFERROR(INDEX(BC$11:BC$12,Предпосылки!$K141,),0)</f>
        <v>0</v>
      </c>
      <c s="125">
        <f>BD85/(1+IFERROR(INDEX(BD$11:BD$12,Предпосылки!$K141,),0))*IFERROR(INDEX(BD$11:BD$12,Предпосылки!$K141,),0)</f>
        <v>0</v>
      </c>
      <c s="125">
        <f>BE85/(1+IFERROR(INDEX(BE$11:BE$12,Предпосылки!$K141,),0))*IFERROR(INDEX(BE$11:BE$12,Предпосылки!$K141,),0)</f>
        <v>0</v>
      </c>
      <c s="125">
        <f>BF85/(1+IFERROR(INDEX(BF$11:BF$12,Предпосылки!$K141,),0))*IFERROR(INDEX(BF$11:BF$12,Предпосылки!$K141,),0)</f>
        <v>0</v>
      </c>
      <c s="125">
        <f>BG85/(1+IFERROR(INDEX(BG$11:BG$12,Предпосылки!$K141,),0))*IFERROR(INDEX(BG$11:BG$12,Предпосылки!$K141,),0)</f>
        <v>0</v>
      </c>
      <c s="125">
        <f>BH85/(1+IFERROR(INDEX(BH$11:BH$12,Предпосылки!$K141,),0))*IFERROR(INDEX(BH$11:BH$12,Предпосылки!$K141,),0)</f>
        <v>0</v>
      </c>
      <c s="125">
        <f>BI85/(1+IFERROR(INDEX(BI$11:BI$12,Предпосылки!$K141,),0))*IFERROR(INDEX(BI$11:BI$12,Предпосылки!$K141,),0)</f>
        <v>0</v>
      </c>
      <c s="125">
        <f>BJ85/(1+IFERROR(INDEX(BJ$11:BJ$12,Предпосылки!$K141,),0))*IFERROR(INDEX(BJ$11:BJ$12,Предпосылки!$K141,),0)</f>
        <v>0</v>
      </c>
      <c s="125">
        <f>BK85/(1+IFERROR(INDEX(BK$11:BK$12,Предпосылки!$K141,),0))*IFERROR(INDEX(BK$11:BK$12,Предпосылки!$K141,),0)</f>
        <v>0</v>
      </c>
      <c s="125">
        <f>BL85/(1+IFERROR(INDEX(BL$11:BL$12,Предпосылки!$K141,),0))*IFERROR(INDEX(BL$11:BL$12,Предпосылки!$K141,),0)</f>
        <v>0</v>
      </c>
      <c s="125">
        <f>BM85/(1+IFERROR(INDEX(BM$11:BM$12,Предпосылки!$K141,),0))*IFERROR(INDEX(BM$11:BM$12,Предпосылки!$K141,),0)</f>
        <v>0</v>
      </c>
    </row>
    <row r="109" spans="2:65" ht="15" customHeight="1">
      <c r="B109" s="289" t="s">
        <v>454</v>
      </c>
      <c s="290" t="str">
        <f>Единица_измерения</f>
        <v>тыс. руб.</v>
      </c>
      <c s="291">
        <f>SUM(D89:D108)</f>
        <v>0</v>
      </c>
      <c s="276">
        <f>SUM(E89:E108)</f>
        <v>0</v>
      </c>
      <c s="276">
        <f t="shared" si="87" ref="F109:AG109">SUM(F89:F108)</f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7"/>
        <v>0</v>
      </c>
      <c s="276">
        <f t="shared" si="88" ref="AH109:BM109">SUM(AH89:AH108)</f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</row>
    <row r="110" ht="15" customHeight="1"/>
    <row r="111" spans="2:71" ht="21">
      <c r="B111" s="23" t="s">
        <v>852</v>
      </c>
      <c r="D11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2" spans="2:65" ht="15" customHeight="1">
      <c r="B112" s="12" t="str">
        <f>B89</f>
        <v>Продукт 1</v>
      </c>
      <c s="124" t="str">
        <f t="shared" si="89" ref="C112:C132">Единица_измерения</f>
        <v>тыс. руб.</v>
      </c>
      <c s="276">
        <f>SUM(E112:BM112)</f>
        <v>0</v>
      </c>
      <c s="125">
        <f t="shared" si="90" ref="E112:AG112">E66-E89</f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1" ref="AH112:BM112">AH66-AH89</f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</row>
    <row r="113" spans="2:65" ht="15" customHeight="1">
      <c r="B113" s="12" t="str">
        <f t="shared" si="92" ref="B113:B131">B90</f>
        <v>Продукт 2</v>
      </c>
      <c s="124" t="str">
        <f t="shared" si="89"/>
        <v>тыс. руб.</v>
      </c>
      <c s="276">
        <f t="shared" si="93" ref="D113:D131">SUM(E113:BM113)</f>
        <v>0</v>
      </c>
      <c s="125">
        <f t="shared" si="94" ref="E113:AG113">E67-E90</f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5" ref="AH113:BM113">AH67-AH90</f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</row>
    <row r="114" spans="2:65" ht="15" customHeight="1">
      <c r="B114" s="12" t="str">
        <f t="shared" si="92"/>
        <v>Продукт 3</v>
      </c>
      <c s="124" t="str">
        <f t="shared" si="89"/>
        <v>тыс. руб.</v>
      </c>
      <c s="276">
        <f t="shared" si="93"/>
        <v>0</v>
      </c>
      <c s="125">
        <f t="shared" si="96" ref="E114:AG114">E68-E91</f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7" ref="AH114:BM114">AH68-AH91</f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</row>
    <row r="115" spans="2:65" ht="15" customHeight="1">
      <c r="B115" s="12" t="str">
        <f t="shared" si="92"/>
        <v>Продукт 4</v>
      </c>
      <c s="124" t="str">
        <f t="shared" si="89"/>
        <v>тыс. руб.</v>
      </c>
      <c s="276">
        <f t="shared" si="93"/>
        <v>0</v>
      </c>
      <c s="125">
        <f t="shared" si="98" ref="E115:AG115">E69-E92</f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9" ref="AH115:BM115">AH69-AH92</f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</row>
    <row r="116" spans="2:65" ht="15" customHeight="1">
      <c r="B116" s="12" t="str">
        <f t="shared" si="92"/>
        <v>Продукт 5</v>
      </c>
      <c s="124" t="str">
        <f t="shared" si="89"/>
        <v>тыс. руб.</v>
      </c>
      <c s="276">
        <f t="shared" si="93"/>
        <v>0</v>
      </c>
      <c s="125">
        <f t="shared" si="100" ref="E116:AG116">E70-E93</f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1" ref="AH116:BM116">AH70-AH93</f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</row>
    <row r="117" spans="2:65" ht="15" customHeight="1">
      <c r="B117" s="12" t="str">
        <f t="shared" si="92"/>
        <v>Продукт 6</v>
      </c>
      <c s="124" t="str">
        <f t="shared" si="89"/>
        <v>тыс. руб.</v>
      </c>
      <c s="276">
        <f t="shared" si="93"/>
        <v>0</v>
      </c>
      <c s="125">
        <f t="shared" si="102" ref="E117:AG117">E71-E94</f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3" ref="AH117:BM117">AH71-AH94</f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</row>
    <row r="118" spans="2:65" ht="15" customHeight="1">
      <c r="B118" s="12" t="str">
        <f t="shared" si="92"/>
        <v>Продукт 7</v>
      </c>
      <c s="124" t="str">
        <f t="shared" si="89"/>
        <v>тыс. руб.</v>
      </c>
      <c s="276">
        <f t="shared" si="93"/>
        <v>0</v>
      </c>
      <c s="125">
        <f t="shared" si="104" ref="E118:AG118">E72-E95</f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5" ref="AH118:BM118">AH72-AH95</f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</row>
    <row r="119" spans="2:65" ht="15" customHeight="1">
      <c r="B119" s="12" t="str">
        <f t="shared" si="92"/>
        <v>Продукт 8</v>
      </c>
      <c s="124" t="str">
        <f t="shared" si="89"/>
        <v>тыс. руб.</v>
      </c>
      <c s="276">
        <f t="shared" si="93"/>
        <v>0</v>
      </c>
      <c s="125">
        <f t="shared" si="106" ref="E119:AG119">E73-E96</f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7" ref="AH119:BM119">AH73-AH96</f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</row>
    <row r="120" spans="2:65" ht="15" customHeight="1">
      <c r="B120" s="12" t="str">
        <f t="shared" si="92"/>
        <v>Продукт 9</v>
      </c>
      <c s="124" t="str">
        <f t="shared" si="89"/>
        <v>тыс. руб.</v>
      </c>
      <c s="276">
        <f t="shared" si="93"/>
        <v>0</v>
      </c>
      <c s="125">
        <f t="shared" si="108" ref="E120:AG120">E74-E97</f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9" ref="AH120:BM120">AH74-AH97</f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</row>
    <row r="121" spans="2:65" ht="15" customHeight="1">
      <c r="B121" s="12" t="str">
        <f t="shared" si="92"/>
        <v>Продукт 10</v>
      </c>
      <c s="124" t="str">
        <f t="shared" si="89"/>
        <v>тыс. руб.</v>
      </c>
      <c s="276">
        <f t="shared" si="93"/>
        <v>0</v>
      </c>
      <c s="125">
        <f t="shared" si="110" ref="E121:AG121">E75-E98</f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1" ref="AH121:BM121">AH75-AH98</f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</row>
    <row r="122" spans="2:65" ht="15" customHeight="1">
      <c r="B122" s="12" t="str">
        <f t="shared" si="92"/>
        <v>Продукт 11</v>
      </c>
      <c s="124" t="str">
        <f t="shared" si="89"/>
        <v>тыс. руб.</v>
      </c>
      <c s="276">
        <f t="shared" si="93"/>
        <v>0</v>
      </c>
      <c s="125">
        <f t="shared" si="112" ref="E122:AG122">E76-E99</f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3" ref="AH122:BM122">AH76-AH99</f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</row>
    <row r="123" spans="2:65" ht="15" customHeight="1">
      <c r="B123" s="12" t="str">
        <f t="shared" si="92"/>
        <v>Продукт 12</v>
      </c>
      <c s="124" t="str">
        <f t="shared" si="89"/>
        <v>тыс. руб.</v>
      </c>
      <c s="276">
        <f t="shared" si="93"/>
        <v>0</v>
      </c>
      <c s="125">
        <f t="shared" si="114" ref="E123:AG123">E77-E100</f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5" ref="AH123:BM123">AH77-AH100</f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</row>
    <row r="124" spans="2:65" ht="15" customHeight="1">
      <c r="B124" s="12" t="str">
        <f t="shared" si="92"/>
        <v>Продукт 13</v>
      </c>
      <c s="124" t="str">
        <f t="shared" si="89"/>
        <v>тыс. руб.</v>
      </c>
      <c s="276">
        <f t="shared" si="93"/>
        <v>0</v>
      </c>
      <c s="125">
        <f t="shared" si="116" ref="E124:AG124">E78-E101</f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7" ref="AH124:BM124">AH78-AH101</f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  <c s="125">
        <f t="shared" si="117"/>
        <v>0</v>
      </c>
    </row>
    <row r="125" spans="2:65" ht="15" customHeight="1">
      <c r="B125" s="12" t="str">
        <f t="shared" si="92"/>
        <v>Продукт 14</v>
      </c>
      <c s="124" t="str">
        <f t="shared" si="89"/>
        <v>тыс. руб.</v>
      </c>
      <c s="276">
        <f t="shared" si="93"/>
        <v>0</v>
      </c>
      <c s="125">
        <f t="shared" si="118" ref="E125:AG125">E79-E102</f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8"/>
        <v>0</v>
      </c>
      <c s="125">
        <f t="shared" si="119" ref="AH125:BM125">AH79-AH102</f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  <c s="125">
        <f t="shared" si="119"/>
        <v>0</v>
      </c>
    </row>
    <row r="126" spans="2:65" ht="15" customHeight="1">
      <c r="B126" s="12" t="str">
        <f t="shared" si="92"/>
        <v>Продукт 15</v>
      </c>
      <c s="124" t="str">
        <f t="shared" si="89"/>
        <v>тыс. руб.</v>
      </c>
      <c s="276">
        <f t="shared" si="93"/>
        <v>0</v>
      </c>
      <c s="125">
        <f t="shared" si="120" ref="E126:AG126">E80-E103</f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1" ref="AH126:BM126">AH80-AH103</f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  <c s="125">
        <f t="shared" si="121"/>
        <v>0</v>
      </c>
    </row>
    <row r="127" spans="2:65" ht="15" customHeight="1">
      <c r="B127" s="12" t="str">
        <f t="shared" si="92"/>
        <v>Продукт 16</v>
      </c>
      <c s="124" t="str">
        <f t="shared" si="89"/>
        <v>тыс. руб.</v>
      </c>
      <c s="276">
        <f t="shared" si="93"/>
        <v>0</v>
      </c>
      <c s="125">
        <f t="shared" si="122" ref="E127:AG127">E81-E104</f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3" ref="AH127:BM127">AH81-AH104</f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  <c s="125">
        <f t="shared" si="123"/>
        <v>0</v>
      </c>
    </row>
    <row r="128" spans="2:65" ht="15" customHeight="1">
      <c r="B128" s="12" t="str">
        <f t="shared" si="92"/>
        <v>Продукт 17</v>
      </c>
      <c s="124" t="str">
        <f t="shared" si="89"/>
        <v>тыс. руб.</v>
      </c>
      <c s="276">
        <f t="shared" si="93"/>
        <v>0</v>
      </c>
      <c s="125">
        <f t="shared" si="124" ref="E128:AG128">E82-E105</f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5" ref="AH128:BM128">AH82-AH105</f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</row>
    <row r="129" spans="2:65" ht="15" customHeight="1">
      <c r="B129" s="12" t="str">
        <f t="shared" si="92"/>
        <v>Продукт 18</v>
      </c>
      <c s="124" t="str">
        <f t="shared" si="89"/>
        <v>тыс. руб.</v>
      </c>
      <c s="276">
        <f t="shared" si="93"/>
        <v>0</v>
      </c>
      <c s="125">
        <f t="shared" si="126" ref="E129:AG129">E83-E106</f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7" ref="AH129:BM129">AH83-AH106</f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</row>
    <row r="130" spans="2:65" ht="15" customHeight="1">
      <c r="B130" s="12" t="str">
        <f t="shared" si="92"/>
        <v>Продукт 19</v>
      </c>
      <c s="124" t="str">
        <f t="shared" si="89"/>
        <v>тыс. руб.</v>
      </c>
      <c s="276">
        <f t="shared" si="93"/>
        <v>0</v>
      </c>
      <c s="125">
        <f t="shared" si="128" ref="E130:AG130">E84-E107</f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9" ref="AH130:BM130">AH84-AH107</f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</row>
    <row r="131" spans="2:65" ht="15" customHeight="1">
      <c r="B131" s="12" t="str">
        <f t="shared" si="92"/>
        <v>Продукт 20</v>
      </c>
      <c s="124" t="str">
        <f t="shared" si="89"/>
        <v>тыс. руб.</v>
      </c>
      <c s="276">
        <f t="shared" si="93"/>
        <v>0</v>
      </c>
      <c s="125">
        <f t="shared" si="130" ref="E131:AG131">E85-E108</f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1" ref="AH131:BM131">AH85-AH108</f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</row>
    <row r="132" spans="2:65" ht="15" customHeight="1">
      <c r="B132" s="289" t="s">
        <v>454</v>
      </c>
      <c s="290" t="str">
        <f t="shared" si="89"/>
        <v>тыс. руб.</v>
      </c>
      <c s="291">
        <f>SUM(D112:D131)</f>
        <v>0</v>
      </c>
      <c s="276">
        <f>SUM(E112:E131)</f>
        <v>0</v>
      </c>
      <c s="276">
        <f t="shared" si="132" ref="F132:AG132">SUM(F112:F131)</f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3" ref="AH132:BM132">SUM(AH112:AH131)</f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</row>
    <row r="133" ht="15" customHeight="1"/>
    <row r="134" spans="2:71" ht="21">
      <c r="B134" s="23" t="s">
        <v>853</v>
      </c>
      <c r="D13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5" spans="2:2" ht="15" customHeight="1">
      <c r="B135" s="24" t="s">
        <v>854</v>
      </c>
    </row>
    <row r="136" spans="2:65" ht="15" customHeight="1">
      <c r="B136" s="12" t="str">
        <f>B112</f>
        <v>Продукт 1</v>
      </c>
      <c s="124" t="str">
        <f t="shared" si="134" ref="C136:C179">Единица_измерения</f>
        <v>тыс. руб.</v>
      </c>
      <c s="276">
        <f>SUM(E136:BM136)</f>
        <v>0</v>
      </c>
      <c s="125">
        <f>IF(Предпосылки!$G122="да",Продажи!E112,0)</f>
        <v>0</v>
      </c>
      <c s="125">
        <f>IF(Предпосылки!$G122="да",Продажи!F112,0)</f>
        <v>0</v>
      </c>
      <c s="125">
        <f>IF(Предпосылки!$G122="да",Продажи!G112,0)</f>
        <v>0</v>
      </c>
      <c s="125">
        <f>IF(Предпосылки!$G122="да",Продажи!H112,0)</f>
        <v>0</v>
      </c>
      <c s="125">
        <f>IF(Предпосылки!$G122="да",Продажи!I112,0)</f>
        <v>0</v>
      </c>
      <c s="125">
        <f>IF(Предпосылки!$G122="да",Продажи!J112,0)</f>
        <v>0</v>
      </c>
      <c s="125">
        <f>IF(Предпосылки!$G122="да",Продажи!K112,0)</f>
        <v>0</v>
      </c>
      <c s="125">
        <f>IF(Предпосылки!$G122="да",Продажи!L112,0)</f>
        <v>0</v>
      </c>
      <c s="125">
        <f>IF(Предпосылки!$G122="да",Продажи!M112,0)</f>
        <v>0</v>
      </c>
      <c s="125">
        <f>IF(Предпосылки!$G122="да",Продажи!N112,0)</f>
        <v>0</v>
      </c>
      <c s="125">
        <f>IF(Предпосылки!$G122="да",Продажи!O112,0)</f>
        <v>0</v>
      </c>
      <c s="125">
        <f>IF(Предпосылки!$G122="да",Продажи!P112,0)</f>
        <v>0</v>
      </c>
      <c s="125">
        <f>IF(Предпосылки!$G122="да",Продажи!Q112,0)</f>
        <v>0</v>
      </c>
      <c s="125">
        <f>IF(Предпосылки!$G122="да",Продажи!R112,0)</f>
        <v>0</v>
      </c>
      <c s="125">
        <f>IF(Предпосылки!$G122="да",Продажи!S112,0)</f>
        <v>0</v>
      </c>
      <c s="125">
        <f>IF(Предпосылки!$G122="да",Продажи!T112,0)</f>
        <v>0</v>
      </c>
      <c s="125">
        <f>IF(Предпосылки!$G122="да",Продажи!U112,0)</f>
        <v>0</v>
      </c>
      <c s="125">
        <f>IF(Предпосылки!$G122="да",Продажи!V112,0)</f>
        <v>0</v>
      </c>
      <c s="125">
        <f>IF(Предпосылки!$G122="да",Продажи!W112,0)</f>
        <v>0</v>
      </c>
      <c s="125">
        <f>IF(Предпосылки!$G122="да",Продажи!X112,0)</f>
        <v>0</v>
      </c>
      <c s="125">
        <f>IF(Предпосылки!$G122="да",Продажи!Y112,0)</f>
        <v>0</v>
      </c>
      <c s="125">
        <f>IF(Предпосылки!$G122="да",Продажи!Z112,0)</f>
        <v>0</v>
      </c>
      <c s="125">
        <f>IF(Предпосылки!$G122="да",Продажи!AA112,0)</f>
        <v>0</v>
      </c>
      <c s="125">
        <f>IF(Предпосылки!$G122="да",Продажи!AB112,0)</f>
        <v>0</v>
      </c>
      <c s="125">
        <f>IF(Предпосылки!$G122="да",Продажи!AC112,0)</f>
        <v>0</v>
      </c>
      <c s="125">
        <f>IF(Предпосылки!$G122="да",Продажи!AD112,0)</f>
        <v>0</v>
      </c>
      <c s="125">
        <f>IF(Предпосылки!$G122="да",Продажи!AE112,0)</f>
        <v>0</v>
      </c>
      <c s="125">
        <f>IF(Предпосылки!$G122="да",Продажи!AF112,0)</f>
        <v>0</v>
      </c>
      <c s="125">
        <f>IF(Предпосылки!$G122="да",Продажи!AG112,0)</f>
        <v>0</v>
      </c>
      <c s="125">
        <f>IF(Предпосылки!$G122="да",Продажи!AH112,0)</f>
        <v>0</v>
      </c>
      <c s="125">
        <f>IF(Предпосылки!$G122="да",Продажи!AI112,0)</f>
        <v>0</v>
      </c>
      <c s="125">
        <f>IF(Предпосылки!$G122="да",Продажи!AJ112,0)</f>
        <v>0</v>
      </c>
      <c s="125">
        <f>IF(Предпосылки!$G122="да",Продажи!AK112,0)</f>
        <v>0</v>
      </c>
      <c s="125">
        <f>IF(Предпосылки!$G122="да",Продажи!AL112,0)</f>
        <v>0</v>
      </c>
      <c s="125">
        <f>IF(Предпосылки!$G122="да",Продажи!AM112,0)</f>
        <v>0</v>
      </c>
      <c s="125">
        <f>IF(Предпосылки!$G122="да",Продажи!AN112,0)</f>
        <v>0</v>
      </c>
      <c s="125">
        <f>IF(Предпосылки!$G122="да",Продажи!AO112,0)</f>
        <v>0</v>
      </c>
      <c s="125">
        <f>IF(Предпосылки!$G122="да",Продажи!AP112,0)</f>
        <v>0</v>
      </c>
      <c s="125">
        <f>IF(Предпосылки!$G122="да",Продажи!AQ112,0)</f>
        <v>0</v>
      </c>
      <c s="125">
        <f>IF(Предпосылки!$G122="да",Продажи!AR112,0)</f>
        <v>0</v>
      </c>
      <c s="125">
        <f>IF(Предпосылки!$G122="да",Продажи!AS112,0)</f>
        <v>0</v>
      </c>
      <c s="125">
        <f>IF(Предпосылки!$G122="да",Продажи!AT112,0)</f>
        <v>0</v>
      </c>
      <c s="125">
        <f>IF(Предпосылки!$G122="да",Продажи!AU112,0)</f>
        <v>0</v>
      </c>
      <c s="125">
        <f>IF(Предпосылки!$G122="да",Продажи!AV112,0)</f>
        <v>0</v>
      </c>
      <c s="125">
        <f>IF(Предпосылки!$G122="да",Продажи!AW112,0)</f>
        <v>0</v>
      </c>
      <c s="125">
        <f>IF(Предпосылки!$G122="да",Продажи!AX112,0)</f>
        <v>0</v>
      </c>
      <c s="125">
        <f>IF(Предпосылки!$G122="да",Продажи!AY112,0)</f>
        <v>0</v>
      </c>
      <c s="125">
        <f>IF(Предпосылки!$G122="да",Продажи!AZ112,0)</f>
        <v>0</v>
      </c>
      <c s="125">
        <f>IF(Предпосылки!$G122="да",Продажи!BA112,0)</f>
        <v>0</v>
      </c>
      <c s="125">
        <f>IF(Предпосылки!$G122="да",Продажи!BB112,0)</f>
        <v>0</v>
      </c>
      <c s="125">
        <f>IF(Предпосылки!$G122="да",Продажи!BC112,0)</f>
        <v>0</v>
      </c>
      <c s="125">
        <f>IF(Предпосылки!$G122="да",Продажи!BD112,0)</f>
        <v>0</v>
      </c>
      <c s="125">
        <f>IF(Предпосылки!$G122="да",Продажи!BE112,0)</f>
        <v>0</v>
      </c>
      <c s="125">
        <f>IF(Предпосылки!$G122="да",Продажи!BF112,0)</f>
        <v>0</v>
      </c>
      <c s="125">
        <f>IF(Предпосылки!$G122="да",Продажи!BG112,0)</f>
        <v>0</v>
      </c>
      <c s="125">
        <f>IF(Предпосылки!$G122="да",Продажи!BH112,0)</f>
        <v>0</v>
      </c>
      <c s="125">
        <f>IF(Предпосылки!$G122="да",Продажи!BI112,0)</f>
        <v>0</v>
      </c>
      <c s="125">
        <f>IF(Предпосылки!$G122="да",Продажи!BJ112,0)</f>
        <v>0</v>
      </c>
      <c s="125">
        <f>IF(Предпосылки!$G122="да",Продажи!BK112,0)</f>
        <v>0</v>
      </c>
      <c s="125">
        <f>IF(Предпосылки!$G122="да",Продажи!BL112,0)</f>
        <v>0</v>
      </c>
      <c s="125">
        <f>IF(Предпосылки!$G122="да",Продажи!BM112,0)</f>
        <v>0</v>
      </c>
    </row>
    <row r="137" spans="2:65" ht="15" customHeight="1">
      <c r="B137" s="12" t="str">
        <f t="shared" si="135" ref="B137:B155">B113</f>
        <v>Продукт 2</v>
      </c>
      <c s="124" t="str">
        <f t="shared" si="134"/>
        <v>тыс. руб.</v>
      </c>
      <c s="276">
        <f t="shared" si="136" ref="D137:D155">SUM(E137:BM137)</f>
        <v>0</v>
      </c>
      <c s="125">
        <f>IF(Предпосылки!$G123="да",Продажи!E113,0)</f>
        <v>0</v>
      </c>
      <c s="125">
        <f>IF(Предпосылки!$G123="да",Продажи!F113,0)</f>
        <v>0</v>
      </c>
      <c s="125">
        <f>IF(Предпосылки!$G123="да",Продажи!G113,0)</f>
        <v>0</v>
      </c>
      <c s="125">
        <f>IF(Предпосылки!$G123="да",Продажи!H113,0)</f>
        <v>0</v>
      </c>
      <c s="125">
        <f>IF(Предпосылки!$G123="да",Продажи!I113,0)</f>
        <v>0</v>
      </c>
      <c s="125">
        <f>IF(Предпосылки!$G123="да",Продажи!J113,0)</f>
        <v>0</v>
      </c>
      <c s="125">
        <f>IF(Предпосылки!$G123="да",Продажи!K113,0)</f>
        <v>0</v>
      </c>
      <c s="125">
        <f>IF(Предпосылки!$G123="да",Продажи!L113,0)</f>
        <v>0</v>
      </c>
      <c s="125">
        <f>IF(Предпосылки!$G123="да",Продажи!M113,0)</f>
        <v>0</v>
      </c>
      <c s="125">
        <f>IF(Предпосылки!$G123="да",Продажи!N113,0)</f>
        <v>0</v>
      </c>
      <c s="125">
        <f>IF(Предпосылки!$G123="да",Продажи!O113,0)</f>
        <v>0</v>
      </c>
      <c s="125">
        <f>IF(Предпосылки!$G123="да",Продажи!P113,0)</f>
        <v>0</v>
      </c>
      <c s="125">
        <f>IF(Предпосылки!$G123="да",Продажи!Q113,0)</f>
        <v>0</v>
      </c>
      <c s="125">
        <f>IF(Предпосылки!$G123="да",Продажи!R113,0)</f>
        <v>0</v>
      </c>
      <c s="125">
        <f>IF(Предпосылки!$G123="да",Продажи!S113,0)</f>
        <v>0</v>
      </c>
      <c s="125">
        <f>IF(Предпосылки!$G123="да",Продажи!T113,0)</f>
        <v>0</v>
      </c>
      <c s="125">
        <f>IF(Предпосылки!$G123="да",Продажи!U113,0)</f>
        <v>0</v>
      </c>
      <c s="125">
        <f>IF(Предпосылки!$G123="да",Продажи!V113,0)</f>
        <v>0</v>
      </c>
      <c s="125">
        <f>IF(Предпосылки!$G123="да",Продажи!W113,0)</f>
        <v>0</v>
      </c>
      <c s="125">
        <f>IF(Предпосылки!$G123="да",Продажи!X113,0)</f>
        <v>0</v>
      </c>
      <c s="125">
        <f>IF(Предпосылки!$G123="да",Продажи!Y113,0)</f>
        <v>0</v>
      </c>
      <c s="125">
        <f>IF(Предпосылки!$G123="да",Продажи!Z113,0)</f>
        <v>0</v>
      </c>
      <c s="125">
        <f>IF(Предпосылки!$G123="да",Продажи!AA113,0)</f>
        <v>0</v>
      </c>
      <c s="125">
        <f>IF(Предпосылки!$G123="да",Продажи!AB113,0)</f>
        <v>0</v>
      </c>
      <c s="125">
        <f>IF(Предпосылки!$G123="да",Продажи!AC113,0)</f>
        <v>0</v>
      </c>
      <c s="125">
        <f>IF(Предпосылки!$G123="да",Продажи!AD113,0)</f>
        <v>0</v>
      </c>
      <c s="125">
        <f>IF(Предпосылки!$G123="да",Продажи!AE113,0)</f>
        <v>0</v>
      </c>
      <c s="125">
        <f>IF(Предпосылки!$G123="да",Продажи!AF113,0)</f>
        <v>0</v>
      </c>
      <c s="125">
        <f>IF(Предпосылки!$G123="да",Продажи!AG113,0)</f>
        <v>0</v>
      </c>
      <c s="125">
        <f>IF(Предпосылки!$G123="да",Продажи!AH113,0)</f>
        <v>0</v>
      </c>
      <c s="125">
        <f>IF(Предпосылки!$G123="да",Продажи!AI113,0)</f>
        <v>0</v>
      </c>
      <c s="125">
        <f>IF(Предпосылки!$G123="да",Продажи!AJ113,0)</f>
        <v>0</v>
      </c>
      <c s="125">
        <f>IF(Предпосылки!$G123="да",Продажи!AK113,0)</f>
        <v>0</v>
      </c>
      <c s="125">
        <f>IF(Предпосылки!$G123="да",Продажи!AL113,0)</f>
        <v>0</v>
      </c>
      <c s="125">
        <f>IF(Предпосылки!$G123="да",Продажи!AM113,0)</f>
        <v>0</v>
      </c>
      <c s="125">
        <f>IF(Предпосылки!$G123="да",Продажи!AN113,0)</f>
        <v>0</v>
      </c>
      <c s="125">
        <f>IF(Предпосылки!$G123="да",Продажи!AO113,0)</f>
        <v>0</v>
      </c>
      <c s="125">
        <f>IF(Предпосылки!$G123="да",Продажи!AP113,0)</f>
        <v>0</v>
      </c>
      <c s="125">
        <f>IF(Предпосылки!$G123="да",Продажи!AQ113,0)</f>
        <v>0</v>
      </c>
      <c s="125">
        <f>IF(Предпосылки!$G123="да",Продажи!AR113,0)</f>
        <v>0</v>
      </c>
      <c s="125">
        <f>IF(Предпосылки!$G123="да",Продажи!AS113,0)</f>
        <v>0</v>
      </c>
      <c s="125">
        <f>IF(Предпосылки!$G123="да",Продажи!AT113,0)</f>
        <v>0</v>
      </c>
      <c s="125">
        <f>IF(Предпосылки!$G123="да",Продажи!AU113,0)</f>
        <v>0</v>
      </c>
      <c s="125">
        <f>IF(Предпосылки!$G123="да",Продажи!AV113,0)</f>
        <v>0</v>
      </c>
      <c s="125">
        <f>IF(Предпосылки!$G123="да",Продажи!AW113,0)</f>
        <v>0</v>
      </c>
      <c s="125">
        <f>IF(Предпосылки!$G123="да",Продажи!AX113,0)</f>
        <v>0</v>
      </c>
      <c s="125">
        <f>IF(Предпосылки!$G123="да",Продажи!AY113,0)</f>
        <v>0</v>
      </c>
      <c s="125">
        <f>IF(Предпосылки!$G123="да",Продажи!AZ113,0)</f>
        <v>0</v>
      </c>
      <c s="125">
        <f>IF(Предпосылки!$G123="да",Продажи!BA113,0)</f>
        <v>0</v>
      </c>
      <c s="125">
        <f>IF(Предпосылки!$G123="да",Продажи!BB113,0)</f>
        <v>0</v>
      </c>
      <c s="125">
        <f>IF(Предпосылки!$G123="да",Продажи!BC113,0)</f>
        <v>0</v>
      </c>
      <c s="125">
        <f>IF(Предпосылки!$G123="да",Продажи!BD113,0)</f>
        <v>0</v>
      </c>
      <c s="125">
        <f>IF(Предпосылки!$G123="да",Продажи!BE113,0)</f>
        <v>0</v>
      </c>
      <c s="125">
        <f>IF(Предпосылки!$G123="да",Продажи!BF113,0)</f>
        <v>0</v>
      </c>
      <c s="125">
        <f>IF(Предпосылки!$G123="да",Продажи!BG113,0)</f>
        <v>0</v>
      </c>
      <c s="125">
        <f>IF(Предпосылки!$G123="да",Продажи!BH113,0)</f>
        <v>0</v>
      </c>
      <c s="125">
        <f>IF(Предпосылки!$G123="да",Продажи!BI113,0)</f>
        <v>0</v>
      </c>
      <c s="125">
        <f>IF(Предпосылки!$G123="да",Продажи!BJ113,0)</f>
        <v>0</v>
      </c>
      <c s="125">
        <f>IF(Предпосылки!$G123="да",Продажи!BK113,0)</f>
        <v>0</v>
      </c>
      <c s="125">
        <f>IF(Предпосылки!$G123="да",Продажи!BL113,0)</f>
        <v>0</v>
      </c>
      <c s="125">
        <f>IF(Предпосылки!$G123="да",Продажи!BM113,0)</f>
        <v>0</v>
      </c>
    </row>
    <row r="138" spans="2:65" ht="15" customHeight="1">
      <c r="B138" s="12" t="str">
        <f t="shared" si="135"/>
        <v>Продукт 3</v>
      </c>
      <c s="124" t="str">
        <f t="shared" si="134"/>
        <v>тыс. руб.</v>
      </c>
      <c s="276">
        <f t="shared" si="136"/>
        <v>0</v>
      </c>
      <c s="125">
        <f>IF(Предпосылки!$G124="да",Продажи!E114,0)</f>
        <v>0</v>
      </c>
      <c s="125">
        <f>IF(Предпосылки!$G124="да",Продажи!F114,0)</f>
        <v>0</v>
      </c>
      <c s="125">
        <f>IF(Предпосылки!$G124="да",Продажи!G114,0)</f>
        <v>0</v>
      </c>
      <c s="125">
        <f>IF(Предпосылки!$G124="да",Продажи!H114,0)</f>
        <v>0</v>
      </c>
      <c s="125">
        <f>IF(Предпосылки!$G124="да",Продажи!I114,0)</f>
        <v>0</v>
      </c>
      <c s="125">
        <f>IF(Предпосылки!$G124="да",Продажи!J114,0)</f>
        <v>0</v>
      </c>
      <c s="125">
        <f>IF(Предпосылки!$G124="да",Продажи!K114,0)</f>
        <v>0</v>
      </c>
      <c s="125">
        <f>IF(Предпосылки!$G124="да",Продажи!L114,0)</f>
        <v>0</v>
      </c>
      <c s="125">
        <f>IF(Предпосылки!$G124="да",Продажи!M114,0)</f>
        <v>0</v>
      </c>
      <c s="125">
        <f>IF(Предпосылки!$G124="да",Продажи!N114,0)</f>
        <v>0</v>
      </c>
      <c s="125">
        <f>IF(Предпосылки!$G124="да",Продажи!O114,0)</f>
        <v>0</v>
      </c>
      <c s="125">
        <f>IF(Предпосылки!$G124="да",Продажи!P114,0)</f>
        <v>0</v>
      </c>
      <c s="125">
        <f>IF(Предпосылки!$G124="да",Продажи!Q114,0)</f>
        <v>0</v>
      </c>
      <c s="125">
        <f>IF(Предпосылки!$G124="да",Продажи!R114,0)</f>
        <v>0</v>
      </c>
      <c s="125">
        <f>IF(Предпосылки!$G124="да",Продажи!S114,0)</f>
        <v>0</v>
      </c>
      <c s="125">
        <f>IF(Предпосылки!$G124="да",Продажи!T114,0)</f>
        <v>0</v>
      </c>
      <c s="125">
        <f>IF(Предпосылки!$G124="да",Продажи!U114,0)</f>
        <v>0</v>
      </c>
      <c s="125">
        <f>IF(Предпосылки!$G124="да",Продажи!V114,0)</f>
        <v>0</v>
      </c>
      <c s="125">
        <f>IF(Предпосылки!$G124="да",Продажи!W114,0)</f>
        <v>0</v>
      </c>
      <c s="125">
        <f>IF(Предпосылки!$G124="да",Продажи!X114,0)</f>
        <v>0</v>
      </c>
      <c s="125">
        <f>IF(Предпосылки!$G124="да",Продажи!Y114,0)</f>
        <v>0</v>
      </c>
      <c s="125">
        <f>IF(Предпосылки!$G124="да",Продажи!Z114,0)</f>
        <v>0</v>
      </c>
      <c s="125">
        <f>IF(Предпосылки!$G124="да",Продажи!AA114,0)</f>
        <v>0</v>
      </c>
      <c s="125">
        <f>IF(Предпосылки!$G124="да",Продажи!AB114,0)</f>
        <v>0</v>
      </c>
      <c s="125">
        <f>IF(Предпосылки!$G124="да",Продажи!AC114,0)</f>
        <v>0</v>
      </c>
      <c s="125">
        <f>IF(Предпосылки!$G124="да",Продажи!AD114,0)</f>
        <v>0</v>
      </c>
      <c s="125">
        <f>IF(Предпосылки!$G124="да",Продажи!AE114,0)</f>
        <v>0</v>
      </c>
      <c s="125">
        <f>IF(Предпосылки!$G124="да",Продажи!AF114,0)</f>
        <v>0</v>
      </c>
      <c s="125">
        <f>IF(Предпосылки!$G124="да",Продажи!AG114,0)</f>
        <v>0</v>
      </c>
      <c s="125">
        <f>IF(Предпосылки!$G124="да",Продажи!AH114,0)</f>
        <v>0</v>
      </c>
      <c s="125">
        <f>IF(Предпосылки!$G124="да",Продажи!AI114,0)</f>
        <v>0</v>
      </c>
      <c s="125">
        <f>IF(Предпосылки!$G124="да",Продажи!AJ114,0)</f>
        <v>0</v>
      </c>
      <c s="125">
        <f>IF(Предпосылки!$G124="да",Продажи!AK114,0)</f>
        <v>0</v>
      </c>
      <c s="125">
        <f>IF(Предпосылки!$G124="да",Продажи!AL114,0)</f>
        <v>0</v>
      </c>
      <c s="125">
        <f>IF(Предпосылки!$G124="да",Продажи!AM114,0)</f>
        <v>0</v>
      </c>
      <c s="125">
        <f>IF(Предпосылки!$G124="да",Продажи!AN114,0)</f>
        <v>0</v>
      </c>
      <c s="125">
        <f>IF(Предпосылки!$G124="да",Продажи!AO114,0)</f>
        <v>0</v>
      </c>
      <c s="125">
        <f>IF(Предпосылки!$G124="да",Продажи!AP114,0)</f>
        <v>0</v>
      </c>
      <c s="125">
        <f>IF(Предпосылки!$G124="да",Продажи!AQ114,0)</f>
        <v>0</v>
      </c>
      <c s="125">
        <f>IF(Предпосылки!$G124="да",Продажи!AR114,0)</f>
        <v>0</v>
      </c>
      <c s="125">
        <f>IF(Предпосылки!$G124="да",Продажи!AS114,0)</f>
        <v>0</v>
      </c>
      <c s="125">
        <f>IF(Предпосылки!$G124="да",Продажи!AT114,0)</f>
        <v>0</v>
      </c>
      <c s="125">
        <f>IF(Предпосылки!$G124="да",Продажи!AU114,0)</f>
        <v>0</v>
      </c>
      <c s="125">
        <f>IF(Предпосылки!$G124="да",Продажи!AV114,0)</f>
        <v>0</v>
      </c>
      <c s="125">
        <f>IF(Предпосылки!$G124="да",Продажи!AW114,0)</f>
        <v>0</v>
      </c>
      <c s="125">
        <f>IF(Предпосылки!$G124="да",Продажи!AX114,0)</f>
        <v>0</v>
      </c>
      <c s="125">
        <f>IF(Предпосылки!$G124="да",Продажи!AY114,0)</f>
        <v>0</v>
      </c>
      <c s="125">
        <f>IF(Предпосылки!$G124="да",Продажи!AZ114,0)</f>
        <v>0</v>
      </c>
      <c s="125">
        <f>IF(Предпосылки!$G124="да",Продажи!BA114,0)</f>
        <v>0</v>
      </c>
      <c s="125">
        <f>IF(Предпосылки!$G124="да",Продажи!BB114,0)</f>
        <v>0</v>
      </c>
      <c s="125">
        <f>IF(Предпосылки!$G124="да",Продажи!BC114,0)</f>
        <v>0</v>
      </c>
      <c s="125">
        <f>IF(Предпосылки!$G124="да",Продажи!BD114,0)</f>
        <v>0</v>
      </c>
      <c s="125">
        <f>IF(Предпосылки!$G124="да",Продажи!BE114,0)</f>
        <v>0</v>
      </c>
      <c s="125">
        <f>IF(Предпосылки!$G124="да",Продажи!BF114,0)</f>
        <v>0</v>
      </c>
      <c s="125">
        <f>IF(Предпосылки!$G124="да",Продажи!BG114,0)</f>
        <v>0</v>
      </c>
      <c s="125">
        <f>IF(Предпосылки!$G124="да",Продажи!BH114,0)</f>
        <v>0</v>
      </c>
      <c s="125">
        <f>IF(Предпосылки!$G124="да",Продажи!BI114,0)</f>
        <v>0</v>
      </c>
      <c s="125">
        <f>IF(Предпосылки!$G124="да",Продажи!BJ114,0)</f>
        <v>0</v>
      </c>
      <c s="125">
        <f>IF(Предпосылки!$G124="да",Продажи!BK114,0)</f>
        <v>0</v>
      </c>
      <c s="125">
        <f>IF(Предпосылки!$G124="да",Продажи!BL114,0)</f>
        <v>0</v>
      </c>
      <c s="125">
        <f>IF(Предпосылки!$G124="да",Продажи!BM114,0)</f>
        <v>0</v>
      </c>
    </row>
    <row r="139" spans="2:65" ht="15" customHeight="1">
      <c r="B139" s="12" t="str">
        <f t="shared" si="135"/>
        <v>Продукт 4</v>
      </c>
      <c s="124" t="str">
        <f t="shared" si="134"/>
        <v>тыс. руб.</v>
      </c>
      <c s="276">
        <f t="shared" si="136"/>
        <v>0</v>
      </c>
      <c s="125">
        <f>IF(Предпосылки!$G125="да",Продажи!E115,0)</f>
        <v>0</v>
      </c>
      <c s="125">
        <f>IF(Предпосылки!$G125="да",Продажи!F115,0)</f>
        <v>0</v>
      </c>
      <c s="125">
        <f>IF(Предпосылки!$G125="да",Продажи!G115,0)</f>
        <v>0</v>
      </c>
      <c s="125">
        <f>IF(Предпосылки!$G125="да",Продажи!H115,0)</f>
        <v>0</v>
      </c>
      <c s="125">
        <f>IF(Предпосылки!$G125="да",Продажи!I115,0)</f>
        <v>0</v>
      </c>
      <c s="125">
        <f>IF(Предпосылки!$G125="да",Продажи!J115,0)</f>
        <v>0</v>
      </c>
      <c s="125">
        <f>IF(Предпосылки!$G125="да",Продажи!K115,0)</f>
        <v>0</v>
      </c>
      <c s="125">
        <f>IF(Предпосылки!$G125="да",Продажи!L115,0)</f>
        <v>0</v>
      </c>
      <c s="125">
        <f>IF(Предпосылки!$G125="да",Продажи!M115,0)</f>
        <v>0</v>
      </c>
      <c s="125">
        <f>IF(Предпосылки!$G125="да",Продажи!N115,0)</f>
        <v>0</v>
      </c>
      <c s="125">
        <f>IF(Предпосылки!$G125="да",Продажи!O115,0)</f>
        <v>0</v>
      </c>
      <c s="125">
        <f>IF(Предпосылки!$G125="да",Продажи!P115,0)</f>
        <v>0</v>
      </c>
      <c s="125">
        <f>IF(Предпосылки!$G125="да",Продажи!Q115,0)</f>
        <v>0</v>
      </c>
      <c s="125">
        <f>IF(Предпосылки!$G125="да",Продажи!R115,0)</f>
        <v>0</v>
      </c>
      <c s="125">
        <f>IF(Предпосылки!$G125="да",Продажи!S115,0)</f>
        <v>0</v>
      </c>
      <c s="125">
        <f>IF(Предпосылки!$G125="да",Продажи!T115,0)</f>
        <v>0</v>
      </c>
      <c s="125">
        <f>IF(Предпосылки!$G125="да",Продажи!U115,0)</f>
        <v>0</v>
      </c>
      <c s="125">
        <f>IF(Предпосылки!$G125="да",Продажи!V115,0)</f>
        <v>0</v>
      </c>
      <c s="125">
        <f>IF(Предпосылки!$G125="да",Продажи!W115,0)</f>
        <v>0</v>
      </c>
      <c s="125">
        <f>IF(Предпосылки!$G125="да",Продажи!X115,0)</f>
        <v>0</v>
      </c>
      <c s="125">
        <f>IF(Предпосылки!$G125="да",Продажи!Y115,0)</f>
        <v>0</v>
      </c>
      <c s="125">
        <f>IF(Предпосылки!$G125="да",Продажи!Z115,0)</f>
        <v>0</v>
      </c>
      <c s="125">
        <f>IF(Предпосылки!$G125="да",Продажи!AA115,0)</f>
        <v>0</v>
      </c>
      <c s="125">
        <f>IF(Предпосылки!$G125="да",Продажи!AB115,0)</f>
        <v>0</v>
      </c>
      <c s="125">
        <f>IF(Предпосылки!$G125="да",Продажи!AC115,0)</f>
        <v>0</v>
      </c>
      <c s="125">
        <f>IF(Предпосылки!$G125="да",Продажи!AD115,0)</f>
        <v>0</v>
      </c>
      <c s="125">
        <f>IF(Предпосылки!$G125="да",Продажи!AE115,0)</f>
        <v>0</v>
      </c>
      <c s="125">
        <f>IF(Предпосылки!$G125="да",Продажи!AF115,0)</f>
        <v>0</v>
      </c>
      <c s="125">
        <f>IF(Предпосылки!$G125="да",Продажи!AG115,0)</f>
        <v>0</v>
      </c>
      <c s="125">
        <f>IF(Предпосылки!$G125="да",Продажи!AH115,0)</f>
        <v>0</v>
      </c>
      <c s="125">
        <f>IF(Предпосылки!$G125="да",Продажи!AI115,0)</f>
        <v>0</v>
      </c>
      <c s="125">
        <f>IF(Предпосылки!$G125="да",Продажи!AJ115,0)</f>
        <v>0</v>
      </c>
      <c s="125">
        <f>IF(Предпосылки!$G125="да",Продажи!AK115,0)</f>
        <v>0</v>
      </c>
      <c s="125">
        <f>IF(Предпосылки!$G125="да",Продажи!AL115,0)</f>
        <v>0</v>
      </c>
      <c s="125">
        <f>IF(Предпосылки!$G125="да",Продажи!AM115,0)</f>
        <v>0</v>
      </c>
      <c s="125">
        <f>IF(Предпосылки!$G125="да",Продажи!AN115,0)</f>
        <v>0</v>
      </c>
      <c s="125">
        <f>IF(Предпосылки!$G125="да",Продажи!AO115,0)</f>
        <v>0</v>
      </c>
      <c s="125">
        <f>IF(Предпосылки!$G125="да",Продажи!AP115,0)</f>
        <v>0</v>
      </c>
      <c s="125">
        <f>IF(Предпосылки!$G125="да",Продажи!AQ115,0)</f>
        <v>0</v>
      </c>
      <c s="125">
        <f>IF(Предпосылки!$G125="да",Продажи!AR115,0)</f>
        <v>0</v>
      </c>
      <c s="125">
        <f>IF(Предпосылки!$G125="да",Продажи!AS115,0)</f>
        <v>0</v>
      </c>
      <c s="125">
        <f>IF(Предпосылки!$G125="да",Продажи!AT115,0)</f>
        <v>0</v>
      </c>
      <c s="125">
        <f>IF(Предпосылки!$G125="да",Продажи!AU115,0)</f>
        <v>0</v>
      </c>
      <c s="125">
        <f>IF(Предпосылки!$G125="да",Продажи!AV115,0)</f>
        <v>0</v>
      </c>
      <c s="125">
        <f>IF(Предпосылки!$G125="да",Продажи!AW115,0)</f>
        <v>0</v>
      </c>
      <c s="125">
        <f>IF(Предпосылки!$G125="да",Продажи!AX115,0)</f>
        <v>0</v>
      </c>
      <c s="125">
        <f>IF(Предпосылки!$G125="да",Продажи!AY115,0)</f>
        <v>0</v>
      </c>
      <c s="125">
        <f>IF(Предпосылки!$G125="да",Продажи!AZ115,0)</f>
        <v>0</v>
      </c>
      <c s="125">
        <f>IF(Предпосылки!$G125="да",Продажи!BA115,0)</f>
        <v>0</v>
      </c>
      <c s="125">
        <f>IF(Предпосылки!$G125="да",Продажи!BB115,0)</f>
        <v>0</v>
      </c>
      <c s="125">
        <f>IF(Предпосылки!$G125="да",Продажи!BC115,0)</f>
        <v>0</v>
      </c>
      <c s="125">
        <f>IF(Предпосылки!$G125="да",Продажи!BD115,0)</f>
        <v>0</v>
      </c>
      <c s="125">
        <f>IF(Предпосылки!$G125="да",Продажи!BE115,0)</f>
        <v>0</v>
      </c>
      <c s="125">
        <f>IF(Предпосылки!$G125="да",Продажи!BF115,0)</f>
        <v>0</v>
      </c>
      <c s="125">
        <f>IF(Предпосылки!$G125="да",Продажи!BG115,0)</f>
        <v>0</v>
      </c>
      <c s="125">
        <f>IF(Предпосылки!$G125="да",Продажи!BH115,0)</f>
        <v>0</v>
      </c>
      <c s="125">
        <f>IF(Предпосылки!$G125="да",Продажи!BI115,0)</f>
        <v>0</v>
      </c>
      <c s="125">
        <f>IF(Предпосылки!$G125="да",Продажи!BJ115,0)</f>
        <v>0</v>
      </c>
      <c s="125">
        <f>IF(Предпосылки!$G125="да",Продажи!BK115,0)</f>
        <v>0</v>
      </c>
      <c s="125">
        <f>IF(Предпосылки!$G125="да",Продажи!BL115,0)</f>
        <v>0</v>
      </c>
      <c s="125">
        <f>IF(Предпосылки!$G125="да",Продажи!BM115,0)</f>
        <v>0</v>
      </c>
    </row>
    <row r="140" spans="2:65" ht="15" customHeight="1">
      <c r="B140" s="12" t="str">
        <f t="shared" si="135"/>
        <v>Продукт 5</v>
      </c>
      <c s="124" t="str">
        <f t="shared" si="134"/>
        <v>тыс. руб.</v>
      </c>
      <c s="276">
        <f t="shared" si="136"/>
        <v>0</v>
      </c>
      <c s="125">
        <f>IF(Предпосылки!$G126="да",Продажи!E116,0)</f>
        <v>0</v>
      </c>
      <c s="125">
        <f>IF(Предпосылки!$G126="да",Продажи!F116,0)</f>
        <v>0</v>
      </c>
      <c s="125">
        <f>IF(Предпосылки!$G126="да",Продажи!G116,0)</f>
        <v>0</v>
      </c>
      <c s="125">
        <f>IF(Предпосылки!$G126="да",Продажи!H116,0)</f>
        <v>0</v>
      </c>
      <c s="125">
        <f>IF(Предпосылки!$G126="да",Продажи!I116,0)</f>
        <v>0</v>
      </c>
      <c s="125">
        <f>IF(Предпосылки!$G126="да",Продажи!J116,0)</f>
        <v>0</v>
      </c>
      <c s="125">
        <f>IF(Предпосылки!$G126="да",Продажи!K116,0)</f>
        <v>0</v>
      </c>
      <c s="125">
        <f>IF(Предпосылки!$G126="да",Продажи!L116,0)</f>
        <v>0</v>
      </c>
      <c s="125">
        <f>IF(Предпосылки!$G126="да",Продажи!M116,0)</f>
        <v>0</v>
      </c>
      <c s="125">
        <f>IF(Предпосылки!$G126="да",Продажи!N116,0)</f>
        <v>0</v>
      </c>
      <c s="125">
        <f>IF(Предпосылки!$G126="да",Продажи!O116,0)</f>
        <v>0</v>
      </c>
      <c s="125">
        <f>IF(Предпосылки!$G126="да",Продажи!P116,0)</f>
        <v>0</v>
      </c>
      <c s="125">
        <f>IF(Предпосылки!$G126="да",Продажи!Q116,0)</f>
        <v>0</v>
      </c>
      <c s="125">
        <f>IF(Предпосылки!$G126="да",Продажи!R116,0)</f>
        <v>0</v>
      </c>
      <c s="125">
        <f>IF(Предпосылки!$G126="да",Продажи!S116,0)</f>
        <v>0</v>
      </c>
      <c s="125">
        <f>IF(Предпосылки!$G126="да",Продажи!T116,0)</f>
        <v>0</v>
      </c>
      <c s="125">
        <f>IF(Предпосылки!$G126="да",Продажи!U116,0)</f>
        <v>0</v>
      </c>
      <c s="125">
        <f>IF(Предпосылки!$G126="да",Продажи!V116,0)</f>
        <v>0</v>
      </c>
      <c s="125">
        <f>IF(Предпосылки!$G126="да",Продажи!W116,0)</f>
        <v>0</v>
      </c>
      <c s="125">
        <f>IF(Предпосылки!$G126="да",Продажи!X116,0)</f>
        <v>0</v>
      </c>
      <c s="125">
        <f>IF(Предпосылки!$G126="да",Продажи!Y116,0)</f>
        <v>0</v>
      </c>
      <c s="125">
        <f>IF(Предпосылки!$G126="да",Продажи!Z116,0)</f>
        <v>0</v>
      </c>
      <c s="125">
        <f>IF(Предпосылки!$G126="да",Продажи!AA116,0)</f>
        <v>0</v>
      </c>
      <c s="125">
        <f>IF(Предпосылки!$G126="да",Продажи!AB116,0)</f>
        <v>0</v>
      </c>
      <c s="125">
        <f>IF(Предпосылки!$G126="да",Продажи!AC116,0)</f>
        <v>0</v>
      </c>
      <c s="125">
        <f>IF(Предпосылки!$G126="да",Продажи!AD116,0)</f>
        <v>0</v>
      </c>
      <c s="125">
        <f>IF(Предпосылки!$G126="да",Продажи!AE116,0)</f>
        <v>0</v>
      </c>
      <c s="125">
        <f>IF(Предпосылки!$G126="да",Продажи!AF116,0)</f>
        <v>0</v>
      </c>
      <c s="125">
        <f>IF(Предпосылки!$G126="да",Продажи!AG116,0)</f>
        <v>0</v>
      </c>
      <c s="125">
        <f>IF(Предпосылки!$G126="да",Продажи!AH116,0)</f>
        <v>0</v>
      </c>
      <c s="125">
        <f>IF(Предпосылки!$G126="да",Продажи!AI116,0)</f>
        <v>0</v>
      </c>
      <c s="125">
        <f>IF(Предпосылки!$G126="да",Продажи!AJ116,0)</f>
        <v>0</v>
      </c>
      <c s="125">
        <f>IF(Предпосылки!$G126="да",Продажи!AK116,0)</f>
        <v>0</v>
      </c>
      <c s="125">
        <f>IF(Предпосылки!$G126="да",Продажи!AL116,0)</f>
        <v>0</v>
      </c>
      <c s="125">
        <f>IF(Предпосылки!$G126="да",Продажи!AM116,0)</f>
        <v>0</v>
      </c>
      <c s="125">
        <f>IF(Предпосылки!$G126="да",Продажи!AN116,0)</f>
        <v>0</v>
      </c>
      <c s="125">
        <f>IF(Предпосылки!$G126="да",Продажи!AO116,0)</f>
        <v>0</v>
      </c>
      <c s="125">
        <f>IF(Предпосылки!$G126="да",Продажи!AP116,0)</f>
        <v>0</v>
      </c>
      <c s="125">
        <f>IF(Предпосылки!$G126="да",Продажи!AQ116,0)</f>
        <v>0</v>
      </c>
      <c s="125">
        <f>IF(Предпосылки!$G126="да",Продажи!AR116,0)</f>
        <v>0</v>
      </c>
      <c s="125">
        <f>IF(Предпосылки!$G126="да",Продажи!AS116,0)</f>
        <v>0</v>
      </c>
      <c s="125">
        <f>IF(Предпосылки!$G126="да",Продажи!AT116,0)</f>
        <v>0</v>
      </c>
      <c s="125">
        <f>IF(Предпосылки!$G126="да",Продажи!AU116,0)</f>
        <v>0</v>
      </c>
      <c s="125">
        <f>IF(Предпосылки!$G126="да",Продажи!AV116,0)</f>
        <v>0</v>
      </c>
      <c s="125">
        <f>IF(Предпосылки!$G126="да",Продажи!AW116,0)</f>
        <v>0</v>
      </c>
      <c s="125">
        <f>IF(Предпосылки!$G126="да",Продажи!AX116,0)</f>
        <v>0</v>
      </c>
      <c s="125">
        <f>IF(Предпосылки!$G126="да",Продажи!AY116,0)</f>
        <v>0</v>
      </c>
      <c s="125">
        <f>IF(Предпосылки!$G126="да",Продажи!AZ116,0)</f>
        <v>0</v>
      </c>
      <c s="125">
        <f>IF(Предпосылки!$G126="да",Продажи!BA116,0)</f>
        <v>0</v>
      </c>
      <c s="125">
        <f>IF(Предпосылки!$G126="да",Продажи!BB116,0)</f>
        <v>0</v>
      </c>
      <c s="125">
        <f>IF(Предпосылки!$G126="да",Продажи!BC116,0)</f>
        <v>0</v>
      </c>
      <c s="125">
        <f>IF(Предпосылки!$G126="да",Продажи!BD116,0)</f>
        <v>0</v>
      </c>
      <c s="125">
        <f>IF(Предпосылки!$G126="да",Продажи!BE116,0)</f>
        <v>0</v>
      </c>
      <c s="125">
        <f>IF(Предпосылки!$G126="да",Продажи!BF116,0)</f>
        <v>0</v>
      </c>
      <c s="125">
        <f>IF(Предпосылки!$G126="да",Продажи!BG116,0)</f>
        <v>0</v>
      </c>
      <c s="125">
        <f>IF(Предпосылки!$G126="да",Продажи!BH116,0)</f>
        <v>0</v>
      </c>
      <c s="125">
        <f>IF(Предпосылки!$G126="да",Продажи!BI116,0)</f>
        <v>0</v>
      </c>
      <c s="125">
        <f>IF(Предпосылки!$G126="да",Продажи!BJ116,0)</f>
        <v>0</v>
      </c>
      <c s="125">
        <f>IF(Предпосылки!$G126="да",Продажи!BK116,0)</f>
        <v>0</v>
      </c>
      <c s="125">
        <f>IF(Предпосылки!$G126="да",Продажи!BL116,0)</f>
        <v>0</v>
      </c>
      <c s="125">
        <f>IF(Предпосылки!$G126="да",Продажи!BM116,0)</f>
        <v>0</v>
      </c>
    </row>
    <row r="141" spans="2:65" ht="15" customHeight="1">
      <c r="B141" s="12" t="str">
        <f t="shared" si="135"/>
        <v>Продукт 6</v>
      </c>
      <c s="124" t="str">
        <f t="shared" si="134"/>
        <v>тыс. руб.</v>
      </c>
      <c s="276">
        <f t="shared" si="136"/>
        <v>0</v>
      </c>
      <c s="125">
        <f>IF(Предпосылки!$G127="да",Продажи!E117,0)</f>
        <v>0</v>
      </c>
      <c s="125">
        <f>IF(Предпосылки!$G127="да",Продажи!F117,0)</f>
        <v>0</v>
      </c>
      <c s="125">
        <f>IF(Предпосылки!$G127="да",Продажи!G117,0)</f>
        <v>0</v>
      </c>
      <c s="125">
        <f>IF(Предпосылки!$G127="да",Продажи!H117,0)</f>
        <v>0</v>
      </c>
      <c s="125">
        <f>IF(Предпосылки!$G127="да",Продажи!I117,0)</f>
        <v>0</v>
      </c>
      <c s="125">
        <f>IF(Предпосылки!$G127="да",Продажи!J117,0)</f>
        <v>0</v>
      </c>
      <c s="125">
        <f>IF(Предпосылки!$G127="да",Продажи!K117,0)</f>
        <v>0</v>
      </c>
      <c s="125">
        <f>IF(Предпосылки!$G127="да",Продажи!L117,0)</f>
        <v>0</v>
      </c>
      <c s="125">
        <f>IF(Предпосылки!$G127="да",Продажи!M117,0)</f>
        <v>0</v>
      </c>
      <c s="125">
        <f>IF(Предпосылки!$G127="да",Продажи!N117,0)</f>
        <v>0</v>
      </c>
      <c s="125">
        <f>IF(Предпосылки!$G127="да",Продажи!O117,0)</f>
        <v>0</v>
      </c>
      <c s="125">
        <f>IF(Предпосылки!$G127="да",Продажи!P117,0)</f>
        <v>0</v>
      </c>
      <c s="125">
        <f>IF(Предпосылки!$G127="да",Продажи!Q117,0)</f>
        <v>0</v>
      </c>
      <c s="125">
        <f>IF(Предпосылки!$G127="да",Продажи!R117,0)</f>
        <v>0</v>
      </c>
      <c s="125">
        <f>IF(Предпосылки!$G127="да",Продажи!S117,0)</f>
        <v>0</v>
      </c>
      <c s="125">
        <f>IF(Предпосылки!$G127="да",Продажи!T117,0)</f>
        <v>0</v>
      </c>
      <c s="125">
        <f>IF(Предпосылки!$G127="да",Продажи!U117,0)</f>
        <v>0</v>
      </c>
      <c s="125">
        <f>IF(Предпосылки!$G127="да",Продажи!V117,0)</f>
        <v>0</v>
      </c>
      <c s="125">
        <f>IF(Предпосылки!$G127="да",Продажи!W117,0)</f>
        <v>0</v>
      </c>
      <c s="125">
        <f>IF(Предпосылки!$G127="да",Продажи!X117,0)</f>
        <v>0</v>
      </c>
      <c s="125">
        <f>IF(Предпосылки!$G127="да",Продажи!Y117,0)</f>
        <v>0</v>
      </c>
      <c s="125">
        <f>IF(Предпосылки!$G127="да",Продажи!Z117,0)</f>
        <v>0</v>
      </c>
      <c s="125">
        <f>IF(Предпосылки!$G127="да",Продажи!AA117,0)</f>
        <v>0</v>
      </c>
      <c s="125">
        <f>IF(Предпосылки!$G127="да",Продажи!AB117,0)</f>
        <v>0</v>
      </c>
      <c s="125">
        <f>IF(Предпосылки!$G127="да",Продажи!AC117,0)</f>
        <v>0</v>
      </c>
      <c s="125">
        <f>IF(Предпосылки!$G127="да",Продажи!AD117,0)</f>
        <v>0</v>
      </c>
      <c s="125">
        <f>IF(Предпосылки!$G127="да",Продажи!AE117,0)</f>
        <v>0</v>
      </c>
      <c s="125">
        <f>IF(Предпосылки!$G127="да",Продажи!AF117,0)</f>
        <v>0</v>
      </c>
      <c s="125">
        <f>IF(Предпосылки!$G127="да",Продажи!AG117,0)</f>
        <v>0</v>
      </c>
      <c s="125">
        <f>IF(Предпосылки!$G127="да",Продажи!AH117,0)</f>
        <v>0</v>
      </c>
      <c s="125">
        <f>IF(Предпосылки!$G127="да",Продажи!AI117,0)</f>
        <v>0</v>
      </c>
      <c s="125">
        <f>IF(Предпосылки!$G127="да",Продажи!AJ117,0)</f>
        <v>0</v>
      </c>
      <c s="125">
        <f>IF(Предпосылки!$G127="да",Продажи!AK117,0)</f>
        <v>0</v>
      </c>
      <c s="125">
        <f>IF(Предпосылки!$G127="да",Продажи!AL117,0)</f>
        <v>0</v>
      </c>
      <c s="125">
        <f>IF(Предпосылки!$G127="да",Продажи!AM117,0)</f>
        <v>0</v>
      </c>
      <c s="125">
        <f>IF(Предпосылки!$G127="да",Продажи!AN117,0)</f>
        <v>0</v>
      </c>
      <c s="125">
        <f>IF(Предпосылки!$G127="да",Продажи!AO117,0)</f>
        <v>0</v>
      </c>
      <c s="125">
        <f>IF(Предпосылки!$G127="да",Продажи!AP117,0)</f>
        <v>0</v>
      </c>
      <c s="125">
        <f>IF(Предпосылки!$G127="да",Продажи!AQ117,0)</f>
        <v>0</v>
      </c>
      <c s="125">
        <f>IF(Предпосылки!$G127="да",Продажи!AR117,0)</f>
        <v>0</v>
      </c>
      <c s="125">
        <f>IF(Предпосылки!$G127="да",Продажи!AS117,0)</f>
        <v>0</v>
      </c>
      <c s="125">
        <f>IF(Предпосылки!$G127="да",Продажи!AT117,0)</f>
        <v>0</v>
      </c>
      <c s="125">
        <f>IF(Предпосылки!$G127="да",Продажи!AU117,0)</f>
        <v>0</v>
      </c>
      <c s="125">
        <f>IF(Предпосылки!$G127="да",Продажи!AV117,0)</f>
        <v>0</v>
      </c>
      <c s="125">
        <f>IF(Предпосылки!$G127="да",Продажи!AW117,0)</f>
        <v>0</v>
      </c>
      <c s="125">
        <f>IF(Предпосылки!$G127="да",Продажи!AX117,0)</f>
        <v>0</v>
      </c>
      <c s="125">
        <f>IF(Предпосылки!$G127="да",Продажи!AY117,0)</f>
        <v>0</v>
      </c>
      <c s="125">
        <f>IF(Предпосылки!$G127="да",Продажи!AZ117,0)</f>
        <v>0</v>
      </c>
      <c s="125">
        <f>IF(Предпосылки!$G127="да",Продажи!BA117,0)</f>
        <v>0</v>
      </c>
      <c s="125">
        <f>IF(Предпосылки!$G127="да",Продажи!BB117,0)</f>
        <v>0</v>
      </c>
      <c s="125">
        <f>IF(Предпосылки!$G127="да",Продажи!BC117,0)</f>
        <v>0</v>
      </c>
      <c s="125">
        <f>IF(Предпосылки!$G127="да",Продажи!BD117,0)</f>
        <v>0</v>
      </c>
      <c s="125">
        <f>IF(Предпосылки!$G127="да",Продажи!BE117,0)</f>
        <v>0</v>
      </c>
      <c s="125">
        <f>IF(Предпосылки!$G127="да",Продажи!BF117,0)</f>
        <v>0</v>
      </c>
      <c s="125">
        <f>IF(Предпосылки!$G127="да",Продажи!BG117,0)</f>
        <v>0</v>
      </c>
      <c s="125">
        <f>IF(Предпосылки!$G127="да",Продажи!BH117,0)</f>
        <v>0</v>
      </c>
      <c s="125">
        <f>IF(Предпосылки!$G127="да",Продажи!BI117,0)</f>
        <v>0</v>
      </c>
      <c s="125">
        <f>IF(Предпосылки!$G127="да",Продажи!BJ117,0)</f>
        <v>0</v>
      </c>
      <c s="125">
        <f>IF(Предпосылки!$G127="да",Продажи!BK117,0)</f>
        <v>0</v>
      </c>
      <c s="125">
        <f>IF(Предпосылки!$G127="да",Продажи!BL117,0)</f>
        <v>0</v>
      </c>
      <c s="125">
        <f>IF(Предпосылки!$G127="да",Продажи!BM117,0)</f>
        <v>0</v>
      </c>
    </row>
    <row r="142" spans="2:65" ht="15" customHeight="1">
      <c r="B142" s="12" t="str">
        <f t="shared" si="135"/>
        <v>Продукт 7</v>
      </c>
      <c s="124" t="str">
        <f t="shared" si="134"/>
        <v>тыс. руб.</v>
      </c>
      <c s="276">
        <f t="shared" si="136"/>
        <v>0</v>
      </c>
      <c s="125">
        <f>IF(Предпосылки!$G128="да",Продажи!E118,0)</f>
        <v>0</v>
      </c>
      <c s="125">
        <f>IF(Предпосылки!$G128="да",Продажи!F118,0)</f>
        <v>0</v>
      </c>
      <c s="125">
        <f>IF(Предпосылки!$G128="да",Продажи!G118,0)</f>
        <v>0</v>
      </c>
      <c s="125">
        <f>IF(Предпосылки!$G128="да",Продажи!H118,0)</f>
        <v>0</v>
      </c>
      <c s="125">
        <f>IF(Предпосылки!$G128="да",Продажи!I118,0)</f>
        <v>0</v>
      </c>
      <c s="125">
        <f>IF(Предпосылки!$G128="да",Продажи!J118,0)</f>
        <v>0</v>
      </c>
      <c s="125">
        <f>IF(Предпосылки!$G128="да",Продажи!K118,0)</f>
        <v>0</v>
      </c>
      <c s="125">
        <f>IF(Предпосылки!$G128="да",Продажи!L118,0)</f>
        <v>0</v>
      </c>
      <c s="125">
        <f>IF(Предпосылки!$G128="да",Продажи!M118,0)</f>
        <v>0</v>
      </c>
      <c s="125">
        <f>IF(Предпосылки!$G128="да",Продажи!N118,0)</f>
        <v>0</v>
      </c>
      <c s="125">
        <f>IF(Предпосылки!$G128="да",Продажи!O118,0)</f>
        <v>0</v>
      </c>
      <c s="125">
        <f>IF(Предпосылки!$G128="да",Продажи!P118,0)</f>
        <v>0</v>
      </c>
      <c s="125">
        <f>IF(Предпосылки!$G128="да",Продажи!Q118,0)</f>
        <v>0</v>
      </c>
      <c s="125">
        <f>IF(Предпосылки!$G128="да",Продажи!R118,0)</f>
        <v>0</v>
      </c>
      <c s="125">
        <f>IF(Предпосылки!$G128="да",Продажи!S118,0)</f>
        <v>0</v>
      </c>
      <c s="125">
        <f>IF(Предпосылки!$G128="да",Продажи!T118,0)</f>
        <v>0</v>
      </c>
      <c s="125">
        <f>IF(Предпосылки!$G128="да",Продажи!U118,0)</f>
        <v>0</v>
      </c>
      <c s="125">
        <f>IF(Предпосылки!$G128="да",Продажи!V118,0)</f>
        <v>0</v>
      </c>
      <c s="125">
        <f>IF(Предпосылки!$G128="да",Продажи!W118,0)</f>
        <v>0</v>
      </c>
      <c s="125">
        <f>IF(Предпосылки!$G128="да",Продажи!X118,0)</f>
        <v>0</v>
      </c>
      <c s="125">
        <f>IF(Предпосылки!$G128="да",Продажи!Y118,0)</f>
        <v>0</v>
      </c>
      <c s="125">
        <f>IF(Предпосылки!$G128="да",Продажи!Z118,0)</f>
        <v>0</v>
      </c>
      <c s="125">
        <f>IF(Предпосылки!$G128="да",Продажи!AA118,0)</f>
        <v>0</v>
      </c>
      <c s="125">
        <f>IF(Предпосылки!$G128="да",Продажи!AB118,0)</f>
        <v>0</v>
      </c>
      <c s="125">
        <f>IF(Предпосылки!$G128="да",Продажи!AC118,0)</f>
        <v>0</v>
      </c>
      <c s="125">
        <f>IF(Предпосылки!$G128="да",Продажи!AD118,0)</f>
        <v>0</v>
      </c>
      <c s="125">
        <f>IF(Предпосылки!$G128="да",Продажи!AE118,0)</f>
        <v>0</v>
      </c>
      <c s="125">
        <f>IF(Предпосылки!$G128="да",Продажи!AF118,0)</f>
        <v>0</v>
      </c>
      <c s="125">
        <f>IF(Предпосылки!$G128="да",Продажи!AG118,0)</f>
        <v>0</v>
      </c>
      <c s="125">
        <f>IF(Предпосылки!$G128="да",Продажи!AH118,0)</f>
        <v>0</v>
      </c>
      <c s="125">
        <f>IF(Предпосылки!$G128="да",Продажи!AI118,0)</f>
        <v>0</v>
      </c>
      <c s="125">
        <f>IF(Предпосылки!$G128="да",Продажи!AJ118,0)</f>
        <v>0</v>
      </c>
      <c s="125">
        <f>IF(Предпосылки!$G128="да",Продажи!AK118,0)</f>
        <v>0</v>
      </c>
      <c s="125">
        <f>IF(Предпосылки!$G128="да",Продажи!AL118,0)</f>
        <v>0</v>
      </c>
      <c s="125">
        <f>IF(Предпосылки!$G128="да",Продажи!AM118,0)</f>
        <v>0</v>
      </c>
      <c s="125">
        <f>IF(Предпосылки!$G128="да",Продажи!AN118,0)</f>
        <v>0</v>
      </c>
      <c s="125">
        <f>IF(Предпосылки!$G128="да",Продажи!AO118,0)</f>
        <v>0</v>
      </c>
      <c s="125">
        <f>IF(Предпосылки!$G128="да",Продажи!AP118,0)</f>
        <v>0</v>
      </c>
      <c s="125">
        <f>IF(Предпосылки!$G128="да",Продажи!AQ118,0)</f>
        <v>0</v>
      </c>
      <c s="125">
        <f>IF(Предпосылки!$G128="да",Продажи!AR118,0)</f>
        <v>0</v>
      </c>
      <c s="125">
        <f>IF(Предпосылки!$G128="да",Продажи!AS118,0)</f>
        <v>0</v>
      </c>
      <c s="125">
        <f>IF(Предпосылки!$G128="да",Продажи!AT118,0)</f>
        <v>0</v>
      </c>
      <c s="125">
        <f>IF(Предпосылки!$G128="да",Продажи!AU118,0)</f>
        <v>0</v>
      </c>
      <c s="125">
        <f>IF(Предпосылки!$G128="да",Продажи!AV118,0)</f>
        <v>0</v>
      </c>
      <c s="125">
        <f>IF(Предпосылки!$G128="да",Продажи!AW118,0)</f>
        <v>0</v>
      </c>
      <c s="125">
        <f>IF(Предпосылки!$G128="да",Продажи!AX118,0)</f>
        <v>0</v>
      </c>
      <c s="125">
        <f>IF(Предпосылки!$G128="да",Продажи!AY118,0)</f>
        <v>0</v>
      </c>
      <c s="125">
        <f>IF(Предпосылки!$G128="да",Продажи!AZ118,0)</f>
        <v>0</v>
      </c>
      <c s="125">
        <f>IF(Предпосылки!$G128="да",Продажи!BA118,0)</f>
        <v>0</v>
      </c>
      <c s="125">
        <f>IF(Предпосылки!$G128="да",Продажи!BB118,0)</f>
        <v>0</v>
      </c>
      <c s="125">
        <f>IF(Предпосылки!$G128="да",Продажи!BC118,0)</f>
        <v>0</v>
      </c>
      <c s="125">
        <f>IF(Предпосылки!$G128="да",Продажи!BD118,0)</f>
        <v>0</v>
      </c>
      <c s="125">
        <f>IF(Предпосылки!$G128="да",Продажи!BE118,0)</f>
        <v>0</v>
      </c>
      <c s="125">
        <f>IF(Предпосылки!$G128="да",Продажи!BF118,0)</f>
        <v>0</v>
      </c>
      <c s="125">
        <f>IF(Предпосылки!$G128="да",Продажи!BG118,0)</f>
        <v>0</v>
      </c>
      <c s="125">
        <f>IF(Предпосылки!$G128="да",Продажи!BH118,0)</f>
        <v>0</v>
      </c>
      <c s="125">
        <f>IF(Предпосылки!$G128="да",Продажи!BI118,0)</f>
        <v>0</v>
      </c>
      <c s="125">
        <f>IF(Предпосылки!$G128="да",Продажи!BJ118,0)</f>
        <v>0</v>
      </c>
      <c s="125">
        <f>IF(Предпосылки!$G128="да",Продажи!BK118,0)</f>
        <v>0</v>
      </c>
      <c s="125">
        <f>IF(Предпосылки!$G128="да",Продажи!BL118,0)</f>
        <v>0</v>
      </c>
      <c s="125">
        <f>IF(Предпосылки!$G128="да",Продажи!BM118,0)</f>
        <v>0</v>
      </c>
    </row>
    <row r="143" spans="2:65" ht="15" customHeight="1">
      <c r="B143" s="12" t="str">
        <f t="shared" si="135"/>
        <v>Продукт 8</v>
      </c>
      <c s="124" t="str">
        <f t="shared" si="134"/>
        <v>тыс. руб.</v>
      </c>
      <c s="276">
        <f t="shared" si="136"/>
        <v>0</v>
      </c>
      <c s="125">
        <f>IF(Предпосылки!$G129="да",Продажи!E119,0)</f>
        <v>0</v>
      </c>
      <c s="125">
        <f>IF(Предпосылки!$G129="да",Продажи!F119,0)</f>
        <v>0</v>
      </c>
      <c s="125">
        <f>IF(Предпосылки!$G129="да",Продажи!G119,0)</f>
        <v>0</v>
      </c>
      <c s="125">
        <f>IF(Предпосылки!$G129="да",Продажи!H119,0)</f>
        <v>0</v>
      </c>
      <c s="125">
        <f>IF(Предпосылки!$G129="да",Продажи!I119,0)</f>
        <v>0</v>
      </c>
      <c s="125">
        <f>IF(Предпосылки!$G129="да",Продажи!J119,0)</f>
        <v>0</v>
      </c>
      <c s="125">
        <f>IF(Предпосылки!$G129="да",Продажи!K119,0)</f>
        <v>0</v>
      </c>
      <c s="125">
        <f>IF(Предпосылки!$G129="да",Продажи!L119,0)</f>
        <v>0</v>
      </c>
      <c s="125">
        <f>IF(Предпосылки!$G129="да",Продажи!M119,0)</f>
        <v>0</v>
      </c>
      <c s="125">
        <f>IF(Предпосылки!$G129="да",Продажи!N119,0)</f>
        <v>0</v>
      </c>
      <c s="125">
        <f>IF(Предпосылки!$G129="да",Продажи!O119,0)</f>
        <v>0</v>
      </c>
      <c s="125">
        <f>IF(Предпосылки!$G129="да",Продажи!P119,0)</f>
        <v>0</v>
      </c>
      <c s="125">
        <f>IF(Предпосылки!$G129="да",Продажи!Q119,0)</f>
        <v>0</v>
      </c>
      <c s="125">
        <f>IF(Предпосылки!$G129="да",Продажи!R119,0)</f>
        <v>0</v>
      </c>
      <c s="125">
        <f>IF(Предпосылки!$G129="да",Продажи!S119,0)</f>
        <v>0</v>
      </c>
      <c s="125">
        <f>IF(Предпосылки!$G129="да",Продажи!T119,0)</f>
        <v>0</v>
      </c>
      <c s="125">
        <f>IF(Предпосылки!$G129="да",Продажи!U119,0)</f>
        <v>0</v>
      </c>
      <c s="125">
        <f>IF(Предпосылки!$G129="да",Продажи!V119,0)</f>
        <v>0</v>
      </c>
      <c s="125">
        <f>IF(Предпосылки!$G129="да",Продажи!W119,0)</f>
        <v>0</v>
      </c>
      <c s="125">
        <f>IF(Предпосылки!$G129="да",Продажи!X119,0)</f>
        <v>0</v>
      </c>
      <c s="125">
        <f>IF(Предпосылки!$G129="да",Продажи!Y119,0)</f>
        <v>0</v>
      </c>
      <c s="125">
        <f>IF(Предпосылки!$G129="да",Продажи!Z119,0)</f>
        <v>0</v>
      </c>
      <c s="125">
        <f>IF(Предпосылки!$G129="да",Продажи!AA119,0)</f>
        <v>0</v>
      </c>
      <c s="125">
        <f>IF(Предпосылки!$G129="да",Продажи!AB119,0)</f>
        <v>0</v>
      </c>
      <c s="125">
        <f>IF(Предпосылки!$G129="да",Продажи!AC119,0)</f>
        <v>0</v>
      </c>
      <c s="125">
        <f>IF(Предпосылки!$G129="да",Продажи!AD119,0)</f>
        <v>0</v>
      </c>
      <c s="125">
        <f>IF(Предпосылки!$G129="да",Продажи!AE119,0)</f>
        <v>0</v>
      </c>
      <c s="125">
        <f>IF(Предпосылки!$G129="да",Продажи!AF119,0)</f>
        <v>0</v>
      </c>
      <c s="125">
        <f>IF(Предпосылки!$G129="да",Продажи!AG119,0)</f>
        <v>0</v>
      </c>
      <c s="125">
        <f>IF(Предпосылки!$G129="да",Продажи!AH119,0)</f>
        <v>0</v>
      </c>
      <c s="125">
        <f>IF(Предпосылки!$G129="да",Продажи!AI119,0)</f>
        <v>0</v>
      </c>
      <c s="125">
        <f>IF(Предпосылки!$G129="да",Продажи!AJ119,0)</f>
        <v>0</v>
      </c>
      <c s="125">
        <f>IF(Предпосылки!$G129="да",Продажи!AK119,0)</f>
        <v>0</v>
      </c>
      <c s="125">
        <f>IF(Предпосылки!$G129="да",Продажи!AL119,0)</f>
        <v>0</v>
      </c>
      <c s="125">
        <f>IF(Предпосылки!$G129="да",Продажи!AM119,0)</f>
        <v>0</v>
      </c>
      <c s="125">
        <f>IF(Предпосылки!$G129="да",Продажи!AN119,0)</f>
        <v>0</v>
      </c>
      <c s="125">
        <f>IF(Предпосылки!$G129="да",Продажи!AO119,0)</f>
        <v>0</v>
      </c>
      <c s="125">
        <f>IF(Предпосылки!$G129="да",Продажи!AP119,0)</f>
        <v>0</v>
      </c>
      <c s="125">
        <f>IF(Предпосылки!$G129="да",Продажи!AQ119,0)</f>
        <v>0</v>
      </c>
      <c s="125">
        <f>IF(Предпосылки!$G129="да",Продажи!AR119,0)</f>
        <v>0</v>
      </c>
      <c s="125">
        <f>IF(Предпосылки!$G129="да",Продажи!AS119,0)</f>
        <v>0</v>
      </c>
      <c s="125">
        <f>IF(Предпосылки!$G129="да",Продажи!AT119,0)</f>
        <v>0</v>
      </c>
      <c s="125">
        <f>IF(Предпосылки!$G129="да",Продажи!AU119,0)</f>
        <v>0</v>
      </c>
      <c s="125">
        <f>IF(Предпосылки!$G129="да",Продажи!AV119,0)</f>
        <v>0</v>
      </c>
      <c s="125">
        <f>IF(Предпосылки!$G129="да",Продажи!AW119,0)</f>
        <v>0</v>
      </c>
      <c s="125">
        <f>IF(Предпосылки!$G129="да",Продажи!AX119,0)</f>
        <v>0</v>
      </c>
      <c s="125">
        <f>IF(Предпосылки!$G129="да",Продажи!AY119,0)</f>
        <v>0</v>
      </c>
      <c s="125">
        <f>IF(Предпосылки!$G129="да",Продажи!AZ119,0)</f>
        <v>0</v>
      </c>
      <c s="125">
        <f>IF(Предпосылки!$G129="да",Продажи!BA119,0)</f>
        <v>0</v>
      </c>
      <c s="125">
        <f>IF(Предпосылки!$G129="да",Продажи!BB119,0)</f>
        <v>0</v>
      </c>
      <c s="125">
        <f>IF(Предпосылки!$G129="да",Продажи!BC119,0)</f>
        <v>0</v>
      </c>
      <c s="125">
        <f>IF(Предпосылки!$G129="да",Продажи!BD119,0)</f>
        <v>0</v>
      </c>
      <c s="125">
        <f>IF(Предпосылки!$G129="да",Продажи!BE119,0)</f>
        <v>0</v>
      </c>
      <c s="125">
        <f>IF(Предпосылки!$G129="да",Продажи!BF119,0)</f>
        <v>0</v>
      </c>
      <c s="125">
        <f>IF(Предпосылки!$G129="да",Продажи!BG119,0)</f>
        <v>0</v>
      </c>
      <c s="125">
        <f>IF(Предпосылки!$G129="да",Продажи!BH119,0)</f>
        <v>0</v>
      </c>
      <c s="125">
        <f>IF(Предпосылки!$G129="да",Продажи!BI119,0)</f>
        <v>0</v>
      </c>
      <c s="125">
        <f>IF(Предпосылки!$G129="да",Продажи!BJ119,0)</f>
        <v>0</v>
      </c>
      <c s="125">
        <f>IF(Предпосылки!$G129="да",Продажи!BK119,0)</f>
        <v>0</v>
      </c>
      <c s="125">
        <f>IF(Предпосылки!$G129="да",Продажи!BL119,0)</f>
        <v>0</v>
      </c>
      <c s="125">
        <f>IF(Предпосылки!$G129="да",Продажи!BM119,0)</f>
        <v>0</v>
      </c>
    </row>
    <row r="144" spans="2:65" ht="15" customHeight="1">
      <c r="B144" s="12" t="str">
        <f t="shared" si="135"/>
        <v>Продукт 9</v>
      </c>
      <c s="124" t="str">
        <f t="shared" si="134"/>
        <v>тыс. руб.</v>
      </c>
      <c s="276">
        <f t="shared" si="136"/>
        <v>0</v>
      </c>
      <c s="125">
        <f>IF(Предпосылки!$G130="да",Продажи!E120,0)</f>
        <v>0</v>
      </c>
      <c s="125">
        <f>IF(Предпосылки!$G130="да",Продажи!F120,0)</f>
        <v>0</v>
      </c>
      <c s="125">
        <f>IF(Предпосылки!$G130="да",Продажи!G120,0)</f>
        <v>0</v>
      </c>
      <c s="125">
        <f>IF(Предпосылки!$G130="да",Продажи!H120,0)</f>
        <v>0</v>
      </c>
      <c s="125">
        <f>IF(Предпосылки!$G130="да",Продажи!I120,0)</f>
        <v>0</v>
      </c>
      <c s="125">
        <f>IF(Предпосылки!$G130="да",Продажи!J120,0)</f>
        <v>0</v>
      </c>
      <c s="125">
        <f>IF(Предпосылки!$G130="да",Продажи!K120,0)</f>
        <v>0</v>
      </c>
      <c s="125">
        <f>IF(Предпосылки!$G130="да",Продажи!L120,0)</f>
        <v>0</v>
      </c>
      <c s="125">
        <f>IF(Предпосылки!$G130="да",Продажи!M120,0)</f>
        <v>0</v>
      </c>
      <c s="125">
        <f>IF(Предпосылки!$G130="да",Продажи!N120,0)</f>
        <v>0</v>
      </c>
      <c s="125">
        <f>IF(Предпосылки!$G130="да",Продажи!O120,0)</f>
        <v>0</v>
      </c>
      <c s="125">
        <f>IF(Предпосылки!$G130="да",Продажи!P120,0)</f>
        <v>0</v>
      </c>
      <c s="125">
        <f>IF(Предпосылки!$G130="да",Продажи!Q120,0)</f>
        <v>0</v>
      </c>
      <c s="125">
        <f>IF(Предпосылки!$G130="да",Продажи!R120,0)</f>
        <v>0</v>
      </c>
      <c s="125">
        <f>IF(Предпосылки!$G130="да",Продажи!S120,0)</f>
        <v>0</v>
      </c>
      <c s="125">
        <f>IF(Предпосылки!$G130="да",Продажи!T120,0)</f>
        <v>0</v>
      </c>
      <c s="125">
        <f>IF(Предпосылки!$G130="да",Продажи!U120,0)</f>
        <v>0</v>
      </c>
      <c s="125">
        <f>IF(Предпосылки!$G130="да",Продажи!V120,0)</f>
        <v>0</v>
      </c>
      <c s="125">
        <f>IF(Предпосылки!$G130="да",Продажи!W120,0)</f>
        <v>0</v>
      </c>
      <c s="125">
        <f>IF(Предпосылки!$G130="да",Продажи!X120,0)</f>
        <v>0</v>
      </c>
      <c s="125">
        <f>IF(Предпосылки!$G130="да",Продажи!Y120,0)</f>
        <v>0</v>
      </c>
      <c s="125">
        <f>IF(Предпосылки!$G130="да",Продажи!Z120,0)</f>
        <v>0</v>
      </c>
      <c s="125">
        <f>IF(Предпосылки!$G130="да",Продажи!AA120,0)</f>
        <v>0</v>
      </c>
      <c s="125">
        <f>IF(Предпосылки!$G130="да",Продажи!AB120,0)</f>
        <v>0</v>
      </c>
      <c s="125">
        <f>IF(Предпосылки!$G130="да",Продажи!AC120,0)</f>
        <v>0</v>
      </c>
      <c s="125">
        <f>IF(Предпосылки!$G130="да",Продажи!AD120,0)</f>
        <v>0</v>
      </c>
      <c s="125">
        <f>IF(Предпосылки!$G130="да",Продажи!AE120,0)</f>
        <v>0</v>
      </c>
      <c s="125">
        <f>IF(Предпосылки!$G130="да",Продажи!AF120,0)</f>
        <v>0</v>
      </c>
      <c s="125">
        <f>IF(Предпосылки!$G130="да",Продажи!AG120,0)</f>
        <v>0</v>
      </c>
      <c s="125">
        <f>IF(Предпосылки!$G130="да",Продажи!AH120,0)</f>
        <v>0</v>
      </c>
      <c s="125">
        <f>IF(Предпосылки!$G130="да",Продажи!AI120,0)</f>
        <v>0</v>
      </c>
      <c s="125">
        <f>IF(Предпосылки!$G130="да",Продажи!AJ120,0)</f>
        <v>0</v>
      </c>
      <c s="125">
        <f>IF(Предпосылки!$G130="да",Продажи!AK120,0)</f>
        <v>0</v>
      </c>
      <c s="125">
        <f>IF(Предпосылки!$G130="да",Продажи!AL120,0)</f>
        <v>0</v>
      </c>
      <c s="125">
        <f>IF(Предпосылки!$G130="да",Продажи!AM120,0)</f>
        <v>0</v>
      </c>
      <c s="125">
        <f>IF(Предпосылки!$G130="да",Продажи!AN120,0)</f>
        <v>0</v>
      </c>
      <c s="125">
        <f>IF(Предпосылки!$G130="да",Продажи!AO120,0)</f>
        <v>0</v>
      </c>
      <c s="125">
        <f>IF(Предпосылки!$G130="да",Продажи!AP120,0)</f>
        <v>0</v>
      </c>
      <c s="125">
        <f>IF(Предпосылки!$G130="да",Продажи!AQ120,0)</f>
        <v>0</v>
      </c>
      <c s="125">
        <f>IF(Предпосылки!$G130="да",Продажи!AR120,0)</f>
        <v>0</v>
      </c>
      <c s="125">
        <f>IF(Предпосылки!$G130="да",Продажи!AS120,0)</f>
        <v>0</v>
      </c>
      <c s="125">
        <f>IF(Предпосылки!$G130="да",Продажи!AT120,0)</f>
        <v>0</v>
      </c>
      <c s="125">
        <f>IF(Предпосылки!$G130="да",Продажи!AU120,0)</f>
        <v>0</v>
      </c>
      <c s="125">
        <f>IF(Предпосылки!$G130="да",Продажи!AV120,0)</f>
        <v>0</v>
      </c>
      <c s="125">
        <f>IF(Предпосылки!$G130="да",Продажи!AW120,0)</f>
        <v>0</v>
      </c>
      <c s="125">
        <f>IF(Предпосылки!$G130="да",Продажи!AX120,0)</f>
        <v>0</v>
      </c>
      <c s="125">
        <f>IF(Предпосылки!$G130="да",Продажи!AY120,0)</f>
        <v>0</v>
      </c>
      <c s="125">
        <f>IF(Предпосылки!$G130="да",Продажи!AZ120,0)</f>
        <v>0</v>
      </c>
      <c s="125">
        <f>IF(Предпосылки!$G130="да",Продажи!BA120,0)</f>
        <v>0</v>
      </c>
      <c s="125">
        <f>IF(Предпосылки!$G130="да",Продажи!BB120,0)</f>
        <v>0</v>
      </c>
      <c s="125">
        <f>IF(Предпосылки!$G130="да",Продажи!BC120,0)</f>
        <v>0</v>
      </c>
      <c s="125">
        <f>IF(Предпосылки!$G130="да",Продажи!BD120,0)</f>
        <v>0</v>
      </c>
      <c s="125">
        <f>IF(Предпосылки!$G130="да",Продажи!BE120,0)</f>
        <v>0</v>
      </c>
      <c s="125">
        <f>IF(Предпосылки!$G130="да",Продажи!BF120,0)</f>
        <v>0</v>
      </c>
      <c s="125">
        <f>IF(Предпосылки!$G130="да",Продажи!BG120,0)</f>
        <v>0</v>
      </c>
      <c s="125">
        <f>IF(Предпосылки!$G130="да",Продажи!BH120,0)</f>
        <v>0</v>
      </c>
      <c s="125">
        <f>IF(Предпосылки!$G130="да",Продажи!BI120,0)</f>
        <v>0</v>
      </c>
      <c s="125">
        <f>IF(Предпосылки!$G130="да",Продажи!BJ120,0)</f>
        <v>0</v>
      </c>
      <c s="125">
        <f>IF(Предпосылки!$G130="да",Продажи!BK120,0)</f>
        <v>0</v>
      </c>
      <c s="125">
        <f>IF(Предпосылки!$G130="да",Продажи!BL120,0)</f>
        <v>0</v>
      </c>
      <c s="125">
        <f>IF(Предпосылки!$G130="да",Продажи!BM120,0)</f>
        <v>0</v>
      </c>
    </row>
    <row r="145" spans="2:65" ht="15" customHeight="1">
      <c r="B145" s="12" t="str">
        <f t="shared" si="135"/>
        <v>Продукт 10</v>
      </c>
      <c s="124" t="str">
        <f t="shared" si="134"/>
        <v>тыс. руб.</v>
      </c>
      <c s="276">
        <f t="shared" si="136"/>
        <v>0</v>
      </c>
      <c s="125">
        <f>IF(Предпосылки!$G131="да",Продажи!E121,0)</f>
        <v>0</v>
      </c>
      <c s="125">
        <f>IF(Предпосылки!$G131="да",Продажи!F121,0)</f>
        <v>0</v>
      </c>
      <c s="125">
        <f>IF(Предпосылки!$G131="да",Продажи!G121,0)</f>
        <v>0</v>
      </c>
      <c s="125">
        <f>IF(Предпосылки!$G131="да",Продажи!H121,0)</f>
        <v>0</v>
      </c>
      <c s="125">
        <f>IF(Предпосылки!$G131="да",Продажи!I121,0)</f>
        <v>0</v>
      </c>
      <c s="125">
        <f>IF(Предпосылки!$G131="да",Продажи!J121,0)</f>
        <v>0</v>
      </c>
      <c s="125">
        <f>IF(Предпосылки!$G131="да",Продажи!K121,0)</f>
        <v>0</v>
      </c>
      <c s="125">
        <f>IF(Предпосылки!$G131="да",Продажи!L121,0)</f>
        <v>0</v>
      </c>
      <c s="125">
        <f>IF(Предпосылки!$G131="да",Продажи!M121,0)</f>
        <v>0</v>
      </c>
      <c s="125">
        <f>IF(Предпосылки!$G131="да",Продажи!N121,0)</f>
        <v>0</v>
      </c>
      <c s="125">
        <f>IF(Предпосылки!$G131="да",Продажи!O121,0)</f>
        <v>0</v>
      </c>
      <c s="125">
        <f>IF(Предпосылки!$G131="да",Продажи!P121,0)</f>
        <v>0</v>
      </c>
      <c s="125">
        <f>IF(Предпосылки!$G131="да",Продажи!Q121,0)</f>
        <v>0</v>
      </c>
      <c s="125">
        <f>IF(Предпосылки!$G131="да",Продажи!R121,0)</f>
        <v>0</v>
      </c>
      <c s="125">
        <f>IF(Предпосылки!$G131="да",Продажи!S121,0)</f>
        <v>0</v>
      </c>
      <c s="125">
        <f>IF(Предпосылки!$G131="да",Продажи!T121,0)</f>
        <v>0</v>
      </c>
      <c s="125">
        <f>IF(Предпосылки!$G131="да",Продажи!U121,0)</f>
        <v>0</v>
      </c>
      <c s="125">
        <f>IF(Предпосылки!$G131="да",Продажи!V121,0)</f>
        <v>0</v>
      </c>
      <c s="125">
        <f>IF(Предпосылки!$G131="да",Продажи!W121,0)</f>
        <v>0</v>
      </c>
      <c s="125">
        <f>IF(Предпосылки!$G131="да",Продажи!X121,0)</f>
        <v>0</v>
      </c>
      <c s="125">
        <f>IF(Предпосылки!$G131="да",Продажи!Y121,0)</f>
        <v>0</v>
      </c>
      <c s="125">
        <f>IF(Предпосылки!$G131="да",Продажи!Z121,0)</f>
        <v>0</v>
      </c>
      <c s="125">
        <f>IF(Предпосылки!$G131="да",Продажи!AA121,0)</f>
        <v>0</v>
      </c>
      <c s="125">
        <f>IF(Предпосылки!$G131="да",Продажи!AB121,0)</f>
        <v>0</v>
      </c>
      <c s="125">
        <f>IF(Предпосылки!$G131="да",Продажи!AC121,0)</f>
        <v>0</v>
      </c>
      <c s="125">
        <f>IF(Предпосылки!$G131="да",Продажи!AD121,0)</f>
        <v>0</v>
      </c>
      <c s="125">
        <f>IF(Предпосылки!$G131="да",Продажи!AE121,0)</f>
        <v>0</v>
      </c>
      <c s="125">
        <f>IF(Предпосылки!$G131="да",Продажи!AF121,0)</f>
        <v>0</v>
      </c>
      <c s="125">
        <f>IF(Предпосылки!$G131="да",Продажи!AG121,0)</f>
        <v>0</v>
      </c>
      <c s="125">
        <f>IF(Предпосылки!$G131="да",Продажи!AH121,0)</f>
        <v>0</v>
      </c>
      <c s="125">
        <f>IF(Предпосылки!$G131="да",Продажи!AI121,0)</f>
        <v>0</v>
      </c>
      <c s="125">
        <f>IF(Предпосылки!$G131="да",Продажи!AJ121,0)</f>
        <v>0</v>
      </c>
      <c s="125">
        <f>IF(Предпосылки!$G131="да",Продажи!AK121,0)</f>
        <v>0</v>
      </c>
      <c s="125">
        <f>IF(Предпосылки!$G131="да",Продажи!AL121,0)</f>
        <v>0</v>
      </c>
      <c s="125">
        <f>IF(Предпосылки!$G131="да",Продажи!AM121,0)</f>
        <v>0</v>
      </c>
      <c s="125">
        <f>IF(Предпосылки!$G131="да",Продажи!AN121,0)</f>
        <v>0</v>
      </c>
      <c s="125">
        <f>IF(Предпосылки!$G131="да",Продажи!AO121,0)</f>
        <v>0</v>
      </c>
      <c s="125">
        <f>IF(Предпосылки!$G131="да",Продажи!AP121,0)</f>
        <v>0</v>
      </c>
      <c s="125">
        <f>IF(Предпосылки!$G131="да",Продажи!AQ121,0)</f>
        <v>0</v>
      </c>
      <c s="125">
        <f>IF(Предпосылки!$G131="да",Продажи!AR121,0)</f>
        <v>0</v>
      </c>
      <c s="125">
        <f>IF(Предпосылки!$G131="да",Продажи!AS121,0)</f>
        <v>0</v>
      </c>
      <c s="125">
        <f>IF(Предпосылки!$G131="да",Продажи!AT121,0)</f>
        <v>0</v>
      </c>
      <c s="125">
        <f>IF(Предпосылки!$G131="да",Продажи!AU121,0)</f>
        <v>0</v>
      </c>
      <c s="125">
        <f>IF(Предпосылки!$G131="да",Продажи!AV121,0)</f>
        <v>0</v>
      </c>
      <c s="125">
        <f>IF(Предпосылки!$G131="да",Продажи!AW121,0)</f>
        <v>0</v>
      </c>
      <c s="125">
        <f>IF(Предпосылки!$G131="да",Продажи!AX121,0)</f>
        <v>0</v>
      </c>
      <c s="125">
        <f>IF(Предпосылки!$G131="да",Продажи!AY121,0)</f>
        <v>0</v>
      </c>
      <c s="125">
        <f>IF(Предпосылки!$G131="да",Продажи!AZ121,0)</f>
        <v>0</v>
      </c>
      <c s="125">
        <f>IF(Предпосылки!$G131="да",Продажи!BA121,0)</f>
        <v>0</v>
      </c>
      <c s="125">
        <f>IF(Предпосылки!$G131="да",Продажи!BB121,0)</f>
        <v>0</v>
      </c>
      <c s="125">
        <f>IF(Предпосылки!$G131="да",Продажи!BC121,0)</f>
        <v>0</v>
      </c>
      <c s="125">
        <f>IF(Предпосылки!$G131="да",Продажи!BD121,0)</f>
        <v>0</v>
      </c>
      <c s="125">
        <f>IF(Предпосылки!$G131="да",Продажи!BE121,0)</f>
        <v>0</v>
      </c>
      <c s="125">
        <f>IF(Предпосылки!$G131="да",Продажи!BF121,0)</f>
        <v>0</v>
      </c>
      <c s="125">
        <f>IF(Предпосылки!$G131="да",Продажи!BG121,0)</f>
        <v>0</v>
      </c>
      <c s="125">
        <f>IF(Предпосылки!$G131="да",Продажи!BH121,0)</f>
        <v>0</v>
      </c>
      <c s="125">
        <f>IF(Предпосылки!$G131="да",Продажи!BI121,0)</f>
        <v>0</v>
      </c>
      <c s="125">
        <f>IF(Предпосылки!$G131="да",Продажи!BJ121,0)</f>
        <v>0</v>
      </c>
      <c s="125">
        <f>IF(Предпосылки!$G131="да",Продажи!BK121,0)</f>
        <v>0</v>
      </c>
      <c s="125">
        <f>IF(Предпосылки!$G131="да",Продажи!BL121,0)</f>
        <v>0</v>
      </c>
      <c s="125">
        <f>IF(Предпосылки!$G131="да",Продажи!BM121,0)</f>
        <v>0</v>
      </c>
    </row>
    <row r="146" spans="2:65" ht="15" customHeight="1">
      <c r="B146" s="12" t="str">
        <f t="shared" si="135"/>
        <v>Продукт 11</v>
      </c>
      <c s="124" t="str">
        <f t="shared" si="134"/>
        <v>тыс. руб.</v>
      </c>
      <c s="276">
        <f t="shared" si="136"/>
        <v>0</v>
      </c>
      <c s="125">
        <f>IF(Предпосылки!$G132="да",Продажи!E122,0)</f>
        <v>0</v>
      </c>
      <c s="125">
        <f>IF(Предпосылки!$G132="да",Продажи!F122,0)</f>
        <v>0</v>
      </c>
      <c s="125">
        <f>IF(Предпосылки!$G132="да",Продажи!G122,0)</f>
        <v>0</v>
      </c>
      <c s="125">
        <f>IF(Предпосылки!$G132="да",Продажи!H122,0)</f>
        <v>0</v>
      </c>
      <c s="125">
        <f>IF(Предпосылки!$G132="да",Продажи!I122,0)</f>
        <v>0</v>
      </c>
      <c s="125">
        <f>IF(Предпосылки!$G132="да",Продажи!J122,0)</f>
        <v>0</v>
      </c>
      <c s="125">
        <f>IF(Предпосылки!$G132="да",Продажи!K122,0)</f>
        <v>0</v>
      </c>
      <c s="125">
        <f>IF(Предпосылки!$G132="да",Продажи!L122,0)</f>
        <v>0</v>
      </c>
      <c s="125">
        <f>IF(Предпосылки!$G132="да",Продажи!M122,0)</f>
        <v>0</v>
      </c>
      <c s="125">
        <f>IF(Предпосылки!$G132="да",Продажи!N122,0)</f>
        <v>0</v>
      </c>
      <c s="125">
        <f>IF(Предпосылки!$G132="да",Продажи!O122,0)</f>
        <v>0</v>
      </c>
      <c s="125">
        <f>IF(Предпосылки!$G132="да",Продажи!P122,0)</f>
        <v>0</v>
      </c>
      <c s="125">
        <f>IF(Предпосылки!$G132="да",Продажи!Q122,0)</f>
        <v>0</v>
      </c>
      <c s="125">
        <f>IF(Предпосылки!$G132="да",Продажи!R122,0)</f>
        <v>0</v>
      </c>
      <c s="125">
        <f>IF(Предпосылки!$G132="да",Продажи!S122,0)</f>
        <v>0</v>
      </c>
      <c s="125">
        <f>IF(Предпосылки!$G132="да",Продажи!T122,0)</f>
        <v>0</v>
      </c>
      <c s="125">
        <f>IF(Предпосылки!$G132="да",Продажи!U122,0)</f>
        <v>0</v>
      </c>
      <c s="125">
        <f>IF(Предпосылки!$G132="да",Продажи!V122,0)</f>
        <v>0</v>
      </c>
      <c s="125">
        <f>IF(Предпосылки!$G132="да",Продажи!W122,0)</f>
        <v>0</v>
      </c>
      <c s="125">
        <f>IF(Предпосылки!$G132="да",Продажи!X122,0)</f>
        <v>0</v>
      </c>
      <c s="125">
        <f>IF(Предпосылки!$G132="да",Продажи!Y122,0)</f>
        <v>0</v>
      </c>
      <c s="125">
        <f>IF(Предпосылки!$G132="да",Продажи!Z122,0)</f>
        <v>0</v>
      </c>
      <c s="125">
        <f>IF(Предпосылки!$G132="да",Продажи!AA122,0)</f>
        <v>0</v>
      </c>
      <c s="125">
        <f>IF(Предпосылки!$G132="да",Продажи!AB122,0)</f>
        <v>0</v>
      </c>
      <c s="125">
        <f>IF(Предпосылки!$G132="да",Продажи!AC122,0)</f>
        <v>0</v>
      </c>
      <c s="125">
        <f>IF(Предпосылки!$G132="да",Продажи!AD122,0)</f>
        <v>0</v>
      </c>
      <c s="125">
        <f>IF(Предпосылки!$G132="да",Продажи!AE122,0)</f>
        <v>0</v>
      </c>
      <c s="125">
        <f>IF(Предпосылки!$G132="да",Продажи!AF122,0)</f>
        <v>0</v>
      </c>
      <c s="125">
        <f>IF(Предпосылки!$G132="да",Продажи!AG122,0)</f>
        <v>0</v>
      </c>
      <c s="125">
        <f>IF(Предпосылки!$G132="да",Продажи!AH122,0)</f>
        <v>0</v>
      </c>
      <c s="125">
        <f>IF(Предпосылки!$G132="да",Продажи!AI122,0)</f>
        <v>0</v>
      </c>
      <c s="125">
        <f>IF(Предпосылки!$G132="да",Продажи!AJ122,0)</f>
        <v>0</v>
      </c>
      <c s="125">
        <f>IF(Предпосылки!$G132="да",Продажи!AK122,0)</f>
        <v>0</v>
      </c>
      <c s="125">
        <f>IF(Предпосылки!$G132="да",Продажи!AL122,0)</f>
        <v>0</v>
      </c>
      <c s="125">
        <f>IF(Предпосылки!$G132="да",Продажи!AM122,0)</f>
        <v>0</v>
      </c>
      <c s="125">
        <f>IF(Предпосылки!$G132="да",Продажи!AN122,0)</f>
        <v>0</v>
      </c>
      <c s="125">
        <f>IF(Предпосылки!$G132="да",Продажи!AO122,0)</f>
        <v>0</v>
      </c>
      <c s="125">
        <f>IF(Предпосылки!$G132="да",Продажи!AP122,0)</f>
        <v>0</v>
      </c>
      <c s="125">
        <f>IF(Предпосылки!$G132="да",Продажи!AQ122,0)</f>
        <v>0</v>
      </c>
      <c s="125">
        <f>IF(Предпосылки!$G132="да",Продажи!AR122,0)</f>
        <v>0</v>
      </c>
      <c s="125">
        <f>IF(Предпосылки!$G132="да",Продажи!AS122,0)</f>
        <v>0</v>
      </c>
      <c s="125">
        <f>IF(Предпосылки!$G132="да",Продажи!AT122,0)</f>
        <v>0</v>
      </c>
      <c s="125">
        <f>IF(Предпосылки!$G132="да",Продажи!AU122,0)</f>
        <v>0</v>
      </c>
      <c s="125">
        <f>IF(Предпосылки!$G132="да",Продажи!AV122,0)</f>
        <v>0</v>
      </c>
      <c s="125">
        <f>IF(Предпосылки!$G132="да",Продажи!AW122,0)</f>
        <v>0</v>
      </c>
      <c s="125">
        <f>IF(Предпосылки!$G132="да",Продажи!AX122,0)</f>
        <v>0</v>
      </c>
      <c s="125">
        <f>IF(Предпосылки!$G132="да",Продажи!AY122,0)</f>
        <v>0</v>
      </c>
      <c s="125">
        <f>IF(Предпосылки!$G132="да",Продажи!AZ122,0)</f>
        <v>0</v>
      </c>
      <c s="125">
        <f>IF(Предпосылки!$G132="да",Продажи!BA122,0)</f>
        <v>0</v>
      </c>
      <c s="125">
        <f>IF(Предпосылки!$G132="да",Продажи!BB122,0)</f>
        <v>0</v>
      </c>
      <c s="125">
        <f>IF(Предпосылки!$G132="да",Продажи!BC122,0)</f>
        <v>0</v>
      </c>
      <c s="125">
        <f>IF(Предпосылки!$G132="да",Продажи!BD122,0)</f>
        <v>0</v>
      </c>
      <c s="125">
        <f>IF(Предпосылки!$G132="да",Продажи!BE122,0)</f>
        <v>0</v>
      </c>
      <c s="125">
        <f>IF(Предпосылки!$G132="да",Продажи!BF122,0)</f>
        <v>0</v>
      </c>
      <c s="125">
        <f>IF(Предпосылки!$G132="да",Продажи!BG122,0)</f>
        <v>0</v>
      </c>
      <c s="125">
        <f>IF(Предпосылки!$G132="да",Продажи!BH122,0)</f>
        <v>0</v>
      </c>
      <c s="125">
        <f>IF(Предпосылки!$G132="да",Продажи!BI122,0)</f>
        <v>0</v>
      </c>
      <c s="125">
        <f>IF(Предпосылки!$G132="да",Продажи!BJ122,0)</f>
        <v>0</v>
      </c>
      <c s="125">
        <f>IF(Предпосылки!$G132="да",Продажи!BK122,0)</f>
        <v>0</v>
      </c>
      <c s="125">
        <f>IF(Предпосылки!$G132="да",Продажи!BL122,0)</f>
        <v>0</v>
      </c>
      <c s="125">
        <f>IF(Предпосылки!$G132="да",Продажи!BM122,0)</f>
        <v>0</v>
      </c>
    </row>
    <row r="147" spans="2:65" ht="15" customHeight="1">
      <c r="B147" s="12" t="str">
        <f t="shared" si="135"/>
        <v>Продукт 12</v>
      </c>
      <c s="124" t="str">
        <f t="shared" si="134"/>
        <v>тыс. руб.</v>
      </c>
      <c s="276">
        <f t="shared" si="136"/>
        <v>0</v>
      </c>
      <c s="125">
        <f>IF(Предпосылки!$G133="да",Продажи!E123,0)</f>
        <v>0</v>
      </c>
      <c s="125">
        <f>IF(Предпосылки!$G133="да",Продажи!F123,0)</f>
        <v>0</v>
      </c>
      <c s="125">
        <f>IF(Предпосылки!$G133="да",Продажи!G123,0)</f>
        <v>0</v>
      </c>
      <c s="125">
        <f>IF(Предпосылки!$G133="да",Продажи!H123,0)</f>
        <v>0</v>
      </c>
      <c s="125">
        <f>IF(Предпосылки!$G133="да",Продажи!I123,0)</f>
        <v>0</v>
      </c>
      <c s="125">
        <f>IF(Предпосылки!$G133="да",Продажи!J123,0)</f>
        <v>0</v>
      </c>
      <c s="125">
        <f>IF(Предпосылки!$G133="да",Продажи!K123,0)</f>
        <v>0</v>
      </c>
      <c s="125">
        <f>IF(Предпосылки!$G133="да",Продажи!L123,0)</f>
        <v>0</v>
      </c>
      <c s="125">
        <f>IF(Предпосылки!$G133="да",Продажи!M123,0)</f>
        <v>0</v>
      </c>
      <c s="125">
        <f>IF(Предпосылки!$G133="да",Продажи!N123,0)</f>
        <v>0</v>
      </c>
      <c s="125">
        <f>IF(Предпосылки!$G133="да",Продажи!O123,0)</f>
        <v>0</v>
      </c>
      <c s="125">
        <f>IF(Предпосылки!$G133="да",Продажи!P123,0)</f>
        <v>0</v>
      </c>
      <c s="125">
        <f>IF(Предпосылки!$G133="да",Продажи!Q123,0)</f>
        <v>0</v>
      </c>
      <c s="125">
        <f>IF(Предпосылки!$G133="да",Продажи!R123,0)</f>
        <v>0</v>
      </c>
      <c s="125">
        <f>IF(Предпосылки!$G133="да",Продажи!S123,0)</f>
        <v>0</v>
      </c>
      <c s="125">
        <f>IF(Предпосылки!$G133="да",Продажи!T123,0)</f>
        <v>0</v>
      </c>
      <c s="125">
        <f>IF(Предпосылки!$G133="да",Продажи!U123,0)</f>
        <v>0</v>
      </c>
      <c s="125">
        <f>IF(Предпосылки!$G133="да",Продажи!V123,0)</f>
        <v>0</v>
      </c>
      <c s="125">
        <f>IF(Предпосылки!$G133="да",Продажи!W123,0)</f>
        <v>0</v>
      </c>
      <c s="125">
        <f>IF(Предпосылки!$G133="да",Продажи!X123,0)</f>
        <v>0</v>
      </c>
      <c s="125">
        <f>IF(Предпосылки!$G133="да",Продажи!Y123,0)</f>
        <v>0</v>
      </c>
      <c s="125">
        <f>IF(Предпосылки!$G133="да",Продажи!Z123,0)</f>
        <v>0</v>
      </c>
      <c s="125">
        <f>IF(Предпосылки!$G133="да",Продажи!AA123,0)</f>
        <v>0</v>
      </c>
      <c s="125">
        <f>IF(Предпосылки!$G133="да",Продажи!AB123,0)</f>
        <v>0</v>
      </c>
      <c s="125">
        <f>IF(Предпосылки!$G133="да",Продажи!AC123,0)</f>
        <v>0</v>
      </c>
      <c s="125">
        <f>IF(Предпосылки!$G133="да",Продажи!AD123,0)</f>
        <v>0</v>
      </c>
      <c s="125">
        <f>IF(Предпосылки!$G133="да",Продажи!AE123,0)</f>
        <v>0</v>
      </c>
      <c s="125">
        <f>IF(Предпосылки!$G133="да",Продажи!AF123,0)</f>
        <v>0</v>
      </c>
      <c s="125">
        <f>IF(Предпосылки!$G133="да",Продажи!AG123,0)</f>
        <v>0</v>
      </c>
      <c s="125">
        <f>IF(Предпосылки!$G133="да",Продажи!AH123,0)</f>
        <v>0</v>
      </c>
      <c s="125">
        <f>IF(Предпосылки!$G133="да",Продажи!AI123,0)</f>
        <v>0</v>
      </c>
      <c s="125">
        <f>IF(Предпосылки!$G133="да",Продажи!AJ123,0)</f>
        <v>0</v>
      </c>
      <c s="125">
        <f>IF(Предпосылки!$G133="да",Продажи!AK123,0)</f>
        <v>0</v>
      </c>
      <c s="125">
        <f>IF(Предпосылки!$G133="да",Продажи!AL123,0)</f>
        <v>0</v>
      </c>
      <c s="125">
        <f>IF(Предпосылки!$G133="да",Продажи!AM123,0)</f>
        <v>0</v>
      </c>
      <c s="125">
        <f>IF(Предпосылки!$G133="да",Продажи!AN123,0)</f>
        <v>0</v>
      </c>
      <c s="125">
        <f>IF(Предпосылки!$G133="да",Продажи!AO123,0)</f>
        <v>0</v>
      </c>
      <c s="125">
        <f>IF(Предпосылки!$G133="да",Продажи!AP123,0)</f>
        <v>0</v>
      </c>
      <c s="125">
        <f>IF(Предпосылки!$G133="да",Продажи!AQ123,0)</f>
        <v>0</v>
      </c>
      <c s="125">
        <f>IF(Предпосылки!$G133="да",Продажи!AR123,0)</f>
        <v>0</v>
      </c>
      <c s="125">
        <f>IF(Предпосылки!$G133="да",Продажи!AS123,0)</f>
        <v>0</v>
      </c>
      <c s="125">
        <f>IF(Предпосылки!$G133="да",Продажи!AT123,0)</f>
        <v>0</v>
      </c>
      <c s="125">
        <f>IF(Предпосылки!$G133="да",Продажи!AU123,0)</f>
        <v>0</v>
      </c>
      <c s="125">
        <f>IF(Предпосылки!$G133="да",Продажи!AV123,0)</f>
        <v>0</v>
      </c>
      <c s="125">
        <f>IF(Предпосылки!$G133="да",Продажи!AW123,0)</f>
        <v>0</v>
      </c>
      <c s="125">
        <f>IF(Предпосылки!$G133="да",Продажи!AX123,0)</f>
        <v>0</v>
      </c>
      <c s="125">
        <f>IF(Предпосылки!$G133="да",Продажи!AY123,0)</f>
        <v>0</v>
      </c>
      <c s="125">
        <f>IF(Предпосылки!$G133="да",Продажи!AZ123,0)</f>
        <v>0</v>
      </c>
      <c s="125">
        <f>IF(Предпосылки!$G133="да",Продажи!BA123,0)</f>
        <v>0</v>
      </c>
      <c s="125">
        <f>IF(Предпосылки!$G133="да",Продажи!BB123,0)</f>
        <v>0</v>
      </c>
      <c s="125">
        <f>IF(Предпосылки!$G133="да",Продажи!BC123,0)</f>
        <v>0</v>
      </c>
      <c s="125">
        <f>IF(Предпосылки!$G133="да",Продажи!BD123,0)</f>
        <v>0</v>
      </c>
      <c s="125">
        <f>IF(Предпосылки!$G133="да",Продажи!BE123,0)</f>
        <v>0</v>
      </c>
      <c s="125">
        <f>IF(Предпосылки!$G133="да",Продажи!BF123,0)</f>
        <v>0</v>
      </c>
      <c s="125">
        <f>IF(Предпосылки!$G133="да",Продажи!BG123,0)</f>
        <v>0</v>
      </c>
      <c s="125">
        <f>IF(Предпосылки!$G133="да",Продажи!BH123,0)</f>
        <v>0</v>
      </c>
      <c s="125">
        <f>IF(Предпосылки!$G133="да",Продажи!BI123,0)</f>
        <v>0</v>
      </c>
      <c s="125">
        <f>IF(Предпосылки!$G133="да",Продажи!BJ123,0)</f>
        <v>0</v>
      </c>
      <c s="125">
        <f>IF(Предпосылки!$G133="да",Продажи!BK123,0)</f>
        <v>0</v>
      </c>
      <c s="125">
        <f>IF(Предпосылки!$G133="да",Продажи!BL123,0)</f>
        <v>0</v>
      </c>
      <c s="125">
        <f>IF(Предпосылки!$G133="да",Продажи!BM123,0)</f>
        <v>0</v>
      </c>
    </row>
    <row r="148" spans="2:65" ht="15" customHeight="1">
      <c r="B148" s="12" t="str">
        <f t="shared" si="135"/>
        <v>Продукт 13</v>
      </c>
      <c s="124" t="str">
        <f t="shared" si="134"/>
        <v>тыс. руб.</v>
      </c>
      <c s="276">
        <f t="shared" si="136"/>
        <v>0</v>
      </c>
      <c s="125">
        <f>IF(Предпосылки!$G134="да",Продажи!E124,0)</f>
        <v>0</v>
      </c>
      <c s="125">
        <f>IF(Предпосылки!$G134="да",Продажи!F124,0)</f>
        <v>0</v>
      </c>
      <c s="125">
        <f>IF(Предпосылки!$G134="да",Продажи!G124,0)</f>
        <v>0</v>
      </c>
      <c s="125">
        <f>IF(Предпосылки!$G134="да",Продажи!H124,0)</f>
        <v>0</v>
      </c>
      <c s="125">
        <f>IF(Предпосылки!$G134="да",Продажи!I124,0)</f>
        <v>0</v>
      </c>
      <c s="125">
        <f>IF(Предпосылки!$G134="да",Продажи!J124,0)</f>
        <v>0</v>
      </c>
      <c s="125">
        <f>IF(Предпосылки!$G134="да",Продажи!K124,0)</f>
        <v>0</v>
      </c>
      <c s="125">
        <f>IF(Предпосылки!$G134="да",Продажи!L124,0)</f>
        <v>0</v>
      </c>
      <c s="125">
        <f>IF(Предпосылки!$G134="да",Продажи!M124,0)</f>
        <v>0</v>
      </c>
      <c s="125">
        <f>IF(Предпосылки!$G134="да",Продажи!N124,0)</f>
        <v>0</v>
      </c>
      <c s="125">
        <f>IF(Предпосылки!$G134="да",Продажи!O124,0)</f>
        <v>0</v>
      </c>
      <c s="125">
        <f>IF(Предпосылки!$G134="да",Продажи!P124,0)</f>
        <v>0</v>
      </c>
      <c s="125">
        <f>IF(Предпосылки!$G134="да",Продажи!Q124,0)</f>
        <v>0</v>
      </c>
      <c s="125">
        <f>IF(Предпосылки!$G134="да",Продажи!R124,0)</f>
        <v>0</v>
      </c>
      <c s="125">
        <f>IF(Предпосылки!$G134="да",Продажи!S124,0)</f>
        <v>0</v>
      </c>
      <c s="125">
        <f>IF(Предпосылки!$G134="да",Продажи!T124,0)</f>
        <v>0</v>
      </c>
      <c s="125">
        <f>IF(Предпосылки!$G134="да",Продажи!U124,0)</f>
        <v>0</v>
      </c>
      <c s="125">
        <f>IF(Предпосылки!$G134="да",Продажи!V124,0)</f>
        <v>0</v>
      </c>
      <c s="125">
        <f>IF(Предпосылки!$G134="да",Продажи!W124,0)</f>
        <v>0</v>
      </c>
      <c s="125">
        <f>IF(Предпосылки!$G134="да",Продажи!X124,0)</f>
        <v>0</v>
      </c>
      <c s="125">
        <f>IF(Предпосылки!$G134="да",Продажи!Y124,0)</f>
        <v>0</v>
      </c>
      <c s="125">
        <f>IF(Предпосылки!$G134="да",Продажи!Z124,0)</f>
        <v>0</v>
      </c>
      <c s="125">
        <f>IF(Предпосылки!$G134="да",Продажи!AA124,0)</f>
        <v>0</v>
      </c>
      <c s="125">
        <f>IF(Предпосылки!$G134="да",Продажи!AB124,0)</f>
        <v>0</v>
      </c>
      <c s="125">
        <f>IF(Предпосылки!$G134="да",Продажи!AC124,0)</f>
        <v>0</v>
      </c>
      <c s="125">
        <f>IF(Предпосылки!$G134="да",Продажи!AD124,0)</f>
        <v>0</v>
      </c>
      <c s="125">
        <f>IF(Предпосылки!$G134="да",Продажи!AE124,0)</f>
        <v>0</v>
      </c>
      <c s="125">
        <f>IF(Предпосылки!$G134="да",Продажи!AF124,0)</f>
        <v>0</v>
      </c>
      <c s="125">
        <f>IF(Предпосылки!$G134="да",Продажи!AG124,0)</f>
        <v>0</v>
      </c>
      <c s="125">
        <f>IF(Предпосылки!$G134="да",Продажи!AH124,0)</f>
        <v>0</v>
      </c>
      <c s="125">
        <f>IF(Предпосылки!$G134="да",Продажи!AI124,0)</f>
        <v>0</v>
      </c>
      <c s="125">
        <f>IF(Предпосылки!$G134="да",Продажи!AJ124,0)</f>
        <v>0</v>
      </c>
      <c s="125">
        <f>IF(Предпосылки!$G134="да",Продажи!AK124,0)</f>
        <v>0</v>
      </c>
      <c s="125">
        <f>IF(Предпосылки!$G134="да",Продажи!AL124,0)</f>
        <v>0</v>
      </c>
      <c s="125">
        <f>IF(Предпосылки!$G134="да",Продажи!AM124,0)</f>
        <v>0</v>
      </c>
      <c s="125">
        <f>IF(Предпосылки!$G134="да",Продажи!AN124,0)</f>
        <v>0</v>
      </c>
      <c s="125">
        <f>IF(Предпосылки!$G134="да",Продажи!AO124,0)</f>
        <v>0</v>
      </c>
      <c s="125">
        <f>IF(Предпосылки!$G134="да",Продажи!AP124,0)</f>
        <v>0</v>
      </c>
      <c s="125">
        <f>IF(Предпосылки!$G134="да",Продажи!AQ124,0)</f>
        <v>0</v>
      </c>
      <c s="125">
        <f>IF(Предпосылки!$G134="да",Продажи!AR124,0)</f>
        <v>0</v>
      </c>
      <c s="125">
        <f>IF(Предпосылки!$G134="да",Продажи!AS124,0)</f>
        <v>0</v>
      </c>
      <c s="125">
        <f>IF(Предпосылки!$G134="да",Продажи!AT124,0)</f>
        <v>0</v>
      </c>
      <c s="125">
        <f>IF(Предпосылки!$G134="да",Продажи!AU124,0)</f>
        <v>0</v>
      </c>
      <c s="125">
        <f>IF(Предпосылки!$G134="да",Продажи!AV124,0)</f>
        <v>0</v>
      </c>
      <c s="125">
        <f>IF(Предпосылки!$G134="да",Продажи!AW124,0)</f>
        <v>0</v>
      </c>
      <c s="125">
        <f>IF(Предпосылки!$G134="да",Продажи!AX124,0)</f>
        <v>0</v>
      </c>
      <c s="125">
        <f>IF(Предпосылки!$G134="да",Продажи!AY124,0)</f>
        <v>0</v>
      </c>
      <c s="125">
        <f>IF(Предпосылки!$G134="да",Продажи!AZ124,0)</f>
        <v>0</v>
      </c>
      <c s="125">
        <f>IF(Предпосылки!$G134="да",Продажи!BA124,0)</f>
        <v>0</v>
      </c>
      <c s="125">
        <f>IF(Предпосылки!$G134="да",Продажи!BB124,0)</f>
        <v>0</v>
      </c>
      <c s="125">
        <f>IF(Предпосылки!$G134="да",Продажи!BC124,0)</f>
        <v>0</v>
      </c>
      <c s="125">
        <f>IF(Предпосылки!$G134="да",Продажи!BD124,0)</f>
        <v>0</v>
      </c>
      <c s="125">
        <f>IF(Предпосылки!$G134="да",Продажи!BE124,0)</f>
        <v>0</v>
      </c>
      <c s="125">
        <f>IF(Предпосылки!$G134="да",Продажи!BF124,0)</f>
        <v>0</v>
      </c>
      <c s="125">
        <f>IF(Предпосылки!$G134="да",Продажи!BG124,0)</f>
        <v>0</v>
      </c>
      <c s="125">
        <f>IF(Предпосылки!$G134="да",Продажи!BH124,0)</f>
        <v>0</v>
      </c>
      <c s="125">
        <f>IF(Предпосылки!$G134="да",Продажи!BI124,0)</f>
        <v>0</v>
      </c>
      <c s="125">
        <f>IF(Предпосылки!$G134="да",Продажи!BJ124,0)</f>
        <v>0</v>
      </c>
      <c s="125">
        <f>IF(Предпосылки!$G134="да",Продажи!BK124,0)</f>
        <v>0</v>
      </c>
      <c s="125">
        <f>IF(Предпосылки!$G134="да",Продажи!BL124,0)</f>
        <v>0</v>
      </c>
      <c s="125">
        <f>IF(Предпосылки!$G134="да",Продажи!BM124,0)</f>
        <v>0</v>
      </c>
    </row>
    <row r="149" spans="2:65" ht="15" customHeight="1">
      <c r="B149" s="12" t="str">
        <f t="shared" si="135"/>
        <v>Продукт 14</v>
      </c>
      <c s="124" t="str">
        <f t="shared" si="134"/>
        <v>тыс. руб.</v>
      </c>
      <c s="276">
        <f t="shared" si="136"/>
        <v>0</v>
      </c>
      <c s="125">
        <f>IF(Предпосылки!$G135="да",Продажи!E125,0)</f>
        <v>0</v>
      </c>
      <c s="125">
        <f>IF(Предпосылки!$G135="да",Продажи!F125,0)</f>
        <v>0</v>
      </c>
      <c s="125">
        <f>IF(Предпосылки!$G135="да",Продажи!G125,0)</f>
        <v>0</v>
      </c>
      <c s="125">
        <f>IF(Предпосылки!$G135="да",Продажи!H125,0)</f>
        <v>0</v>
      </c>
      <c s="125">
        <f>IF(Предпосылки!$G135="да",Продажи!I125,0)</f>
        <v>0</v>
      </c>
      <c s="125">
        <f>IF(Предпосылки!$G135="да",Продажи!J125,0)</f>
        <v>0</v>
      </c>
      <c s="125">
        <f>IF(Предпосылки!$G135="да",Продажи!K125,0)</f>
        <v>0</v>
      </c>
      <c s="125">
        <f>IF(Предпосылки!$G135="да",Продажи!L125,0)</f>
        <v>0</v>
      </c>
      <c s="125">
        <f>IF(Предпосылки!$G135="да",Продажи!M125,0)</f>
        <v>0</v>
      </c>
      <c s="125">
        <f>IF(Предпосылки!$G135="да",Продажи!N125,0)</f>
        <v>0</v>
      </c>
      <c s="125">
        <f>IF(Предпосылки!$G135="да",Продажи!O125,0)</f>
        <v>0</v>
      </c>
      <c s="125">
        <f>IF(Предпосылки!$G135="да",Продажи!P125,0)</f>
        <v>0</v>
      </c>
      <c s="125">
        <f>IF(Предпосылки!$G135="да",Продажи!Q125,0)</f>
        <v>0</v>
      </c>
      <c s="125">
        <f>IF(Предпосылки!$G135="да",Продажи!R125,0)</f>
        <v>0</v>
      </c>
      <c s="125">
        <f>IF(Предпосылки!$G135="да",Продажи!S125,0)</f>
        <v>0</v>
      </c>
      <c s="125">
        <f>IF(Предпосылки!$G135="да",Продажи!T125,0)</f>
        <v>0</v>
      </c>
      <c s="125">
        <f>IF(Предпосылки!$G135="да",Продажи!U125,0)</f>
        <v>0</v>
      </c>
      <c s="125">
        <f>IF(Предпосылки!$G135="да",Продажи!V125,0)</f>
        <v>0</v>
      </c>
      <c s="125">
        <f>IF(Предпосылки!$G135="да",Продажи!W125,0)</f>
        <v>0</v>
      </c>
      <c s="125">
        <f>IF(Предпосылки!$G135="да",Продажи!X125,0)</f>
        <v>0</v>
      </c>
      <c s="125">
        <f>IF(Предпосылки!$G135="да",Продажи!Y125,0)</f>
        <v>0</v>
      </c>
      <c s="125">
        <f>IF(Предпосылки!$G135="да",Продажи!Z125,0)</f>
        <v>0</v>
      </c>
      <c s="125">
        <f>IF(Предпосылки!$G135="да",Продажи!AA125,0)</f>
        <v>0</v>
      </c>
      <c s="125">
        <f>IF(Предпосылки!$G135="да",Продажи!AB125,0)</f>
        <v>0</v>
      </c>
      <c s="125">
        <f>IF(Предпосылки!$G135="да",Продажи!AC125,0)</f>
        <v>0</v>
      </c>
      <c s="125">
        <f>IF(Предпосылки!$G135="да",Продажи!AD125,0)</f>
        <v>0</v>
      </c>
      <c s="125">
        <f>IF(Предпосылки!$G135="да",Продажи!AE125,0)</f>
        <v>0</v>
      </c>
      <c s="125">
        <f>IF(Предпосылки!$G135="да",Продажи!AF125,0)</f>
        <v>0</v>
      </c>
      <c s="125">
        <f>IF(Предпосылки!$G135="да",Продажи!AG125,0)</f>
        <v>0</v>
      </c>
      <c s="125">
        <f>IF(Предпосылки!$G135="да",Продажи!AH125,0)</f>
        <v>0</v>
      </c>
      <c s="125">
        <f>IF(Предпосылки!$G135="да",Продажи!AI125,0)</f>
        <v>0</v>
      </c>
      <c s="125">
        <f>IF(Предпосылки!$G135="да",Продажи!AJ125,0)</f>
        <v>0</v>
      </c>
      <c s="125">
        <f>IF(Предпосылки!$G135="да",Продажи!AK125,0)</f>
        <v>0</v>
      </c>
      <c s="125">
        <f>IF(Предпосылки!$G135="да",Продажи!AL125,0)</f>
        <v>0</v>
      </c>
      <c s="125">
        <f>IF(Предпосылки!$G135="да",Продажи!AM125,0)</f>
        <v>0</v>
      </c>
      <c s="125">
        <f>IF(Предпосылки!$G135="да",Продажи!AN125,0)</f>
        <v>0</v>
      </c>
      <c s="125">
        <f>IF(Предпосылки!$G135="да",Продажи!AO125,0)</f>
        <v>0</v>
      </c>
      <c s="125">
        <f>IF(Предпосылки!$G135="да",Продажи!AP125,0)</f>
        <v>0</v>
      </c>
      <c s="125">
        <f>IF(Предпосылки!$G135="да",Продажи!AQ125,0)</f>
        <v>0</v>
      </c>
      <c s="125">
        <f>IF(Предпосылки!$G135="да",Продажи!AR125,0)</f>
        <v>0</v>
      </c>
      <c s="125">
        <f>IF(Предпосылки!$G135="да",Продажи!AS125,0)</f>
        <v>0</v>
      </c>
      <c s="125">
        <f>IF(Предпосылки!$G135="да",Продажи!AT125,0)</f>
        <v>0</v>
      </c>
      <c s="125">
        <f>IF(Предпосылки!$G135="да",Продажи!AU125,0)</f>
        <v>0</v>
      </c>
      <c s="125">
        <f>IF(Предпосылки!$G135="да",Продажи!AV125,0)</f>
        <v>0</v>
      </c>
      <c s="125">
        <f>IF(Предпосылки!$G135="да",Продажи!AW125,0)</f>
        <v>0</v>
      </c>
      <c s="125">
        <f>IF(Предпосылки!$G135="да",Продажи!AX125,0)</f>
        <v>0</v>
      </c>
      <c s="125">
        <f>IF(Предпосылки!$G135="да",Продажи!AY125,0)</f>
        <v>0</v>
      </c>
      <c s="125">
        <f>IF(Предпосылки!$G135="да",Продажи!AZ125,0)</f>
        <v>0</v>
      </c>
      <c s="125">
        <f>IF(Предпосылки!$G135="да",Продажи!BA125,0)</f>
        <v>0</v>
      </c>
      <c s="125">
        <f>IF(Предпосылки!$G135="да",Продажи!BB125,0)</f>
        <v>0</v>
      </c>
      <c s="125">
        <f>IF(Предпосылки!$G135="да",Продажи!BC125,0)</f>
        <v>0</v>
      </c>
      <c s="125">
        <f>IF(Предпосылки!$G135="да",Продажи!BD125,0)</f>
        <v>0</v>
      </c>
      <c s="125">
        <f>IF(Предпосылки!$G135="да",Продажи!BE125,0)</f>
        <v>0</v>
      </c>
      <c s="125">
        <f>IF(Предпосылки!$G135="да",Продажи!BF125,0)</f>
        <v>0</v>
      </c>
      <c s="125">
        <f>IF(Предпосылки!$G135="да",Продажи!BG125,0)</f>
        <v>0</v>
      </c>
      <c s="125">
        <f>IF(Предпосылки!$G135="да",Продажи!BH125,0)</f>
        <v>0</v>
      </c>
      <c s="125">
        <f>IF(Предпосылки!$G135="да",Продажи!BI125,0)</f>
        <v>0</v>
      </c>
      <c s="125">
        <f>IF(Предпосылки!$G135="да",Продажи!BJ125,0)</f>
        <v>0</v>
      </c>
      <c s="125">
        <f>IF(Предпосылки!$G135="да",Продажи!BK125,0)</f>
        <v>0</v>
      </c>
      <c s="125">
        <f>IF(Предпосылки!$G135="да",Продажи!BL125,0)</f>
        <v>0</v>
      </c>
      <c s="125">
        <f>IF(Предпосылки!$G135="да",Продажи!BM125,0)</f>
        <v>0</v>
      </c>
    </row>
    <row r="150" spans="2:65" ht="15" customHeight="1">
      <c r="B150" s="12" t="str">
        <f t="shared" si="135"/>
        <v>Продукт 15</v>
      </c>
      <c s="124" t="str">
        <f t="shared" si="134"/>
        <v>тыс. руб.</v>
      </c>
      <c s="276">
        <f t="shared" si="136"/>
        <v>0</v>
      </c>
      <c s="125">
        <f>IF(Предпосылки!$G136="да",Продажи!E126,0)</f>
        <v>0</v>
      </c>
      <c s="125">
        <f>IF(Предпосылки!$G136="да",Продажи!F126,0)</f>
        <v>0</v>
      </c>
      <c s="125">
        <f>IF(Предпосылки!$G136="да",Продажи!G126,0)</f>
        <v>0</v>
      </c>
      <c s="125">
        <f>IF(Предпосылки!$G136="да",Продажи!H126,0)</f>
        <v>0</v>
      </c>
      <c s="125">
        <f>IF(Предпосылки!$G136="да",Продажи!I126,0)</f>
        <v>0</v>
      </c>
      <c s="125">
        <f>IF(Предпосылки!$G136="да",Продажи!J126,0)</f>
        <v>0</v>
      </c>
      <c s="125">
        <f>IF(Предпосылки!$G136="да",Продажи!K126,0)</f>
        <v>0</v>
      </c>
      <c s="125">
        <f>IF(Предпосылки!$G136="да",Продажи!L126,0)</f>
        <v>0</v>
      </c>
      <c s="125">
        <f>IF(Предпосылки!$G136="да",Продажи!M126,0)</f>
        <v>0</v>
      </c>
      <c s="125">
        <f>IF(Предпосылки!$G136="да",Продажи!N126,0)</f>
        <v>0</v>
      </c>
      <c s="125">
        <f>IF(Предпосылки!$G136="да",Продажи!O126,0)</f>
        <v>0</v>
      </c>
      <c s="125">
        <f>IF(Предпосылки!$G136="да",Продажи!P126,0)</f>
        <v>0</v>
      </c>
      <c s="125">
        <f>IF(Предпосылки!$G136="да",Продажи!Q126,0)</f>
        <v>0</v>
      </c>
      <c s="125">
        <f>IF(Предпосылки!$G136="да",Продажи!R126,0)</f>
        <v>0</v>
      </c>
      <c s="125">
        <f>IF(Предпосылки!$G136="да",Продажи!S126,0)</f>
        <v>0</v>
      </c>
      <c s="125">
        <f>IF(Предпосылки!$G136="да",Продажи!T126,0)</f>
        <v>0</v>
      </c>
      <c s="125">
        <f>IF(Предпосылки!$G136="да",Продажи!U126,0)</f>
        <v>0</v>
      </c>
      <c s="125">
        <f>IF(Предпосылки!$G136="да",Продажи!V126,0)</f>
        <v>0</v>
      </c>
      <c s="125">
        <f>IF(Предпосылки!$G136="да",Продажи!W126,0)</f>
        <v>0</v>
      </c>
      <c s="125">
        <f>IF(Предпосылки!$G136="да",Продажи!X126,0)</f>
        <v>0</v>
      </c>
      <c s="125">
        <f>IF(Предпосылки!$G136="да",Продажи!Y126,0)</f>
        <v>0</v>
      </c>
      <c s="125">
        <f>IF(Предпосылки!$G136="да",Продажи!Z126,0)</f>
        <v>0</v>
      </c>
      <c s="125">
        <f>IF(Предпосылки!$G136="да",Продажи!AA126,0)</f>
        <v>0</v>
      </c>
      <c s="125">
        <f>IF(Предпосылки!$G136="да",Продажи!AB126,0)</f>
        <v>0</v>
      </c>
      <c s="125">
        <f>IF(Предпосылки!$G136="да",Продажи!AC126,0)</f>
        <v>0</v>
      </c>
      <c s="125">
        <f>IF(Предпосылки!$G136="да",Продажи!AD126,0)</f>
        <v>0</v>
      </c>
      <c s="125">
        <f>IF(Предпосылки!$G136="да",Продажи!AE126,0)</f>
        <v>0</v>
      </c>
      <c s="125">
        <f>IF(Предпосылки!$G136="да",Продажи!AF126,0)</f>
        <v>0</v>
      </c>
      <c s="125">
        <f>IF(Предпосылки!$G136="да",Продажи!AG126,0)</f>
        <v>0</v>
      </c>
      <c s="125">
        <f>IF(Предпосылки!$G136="да",Продажи!AH126,0)</f>
        <v>0</v>
      </c>
      <c s="125">
        <f>IF(Предпосылки!$G136="да",Продажи!AI126,0)</f>
        <v>0</v>
      </c>
      <c s="125">
        <f>IF(Предпосылки!$G136="да",Продажи!AJ126,0)</f>
        <v>0</v>
      </c>
      <c s="125">
        <f>IF(Предпосылки!$G136="да",Продажи!AK126,0)</f>
        <v>0</v>
      </c>
      <c s="125">
        <f>IF(Предпосылки!$G136="да",Продажи!AL126,0)</f>
        <v>0</v>
      </c>
      <c s="125">
        <f>IF(Предпосылки!$G136="да",Продажи!AM126,0)</f>
        <v>0</v>
      </c>
      <c s="125">
        <f>IF(Предпосылки!$G136="да",Продажи!AN126,0)</f>
        <v>0</v>
      </c>
      <c s="125">
        <f>IF(Предпосылки!$G136="да",Продажи!AO126,0)</f>
        <v>0</v>
      </c>
      <c s="125">
        <f>IF(Предпосылки!$G136="да",Продажи!AP126,0)</f>
        <v>0</v>
      </c>
      <c s="125">
        <f>IF(Предпосылки!$G136="да",Продажи!AQ126,0)</f>
        <v>0</v>
      </c>
      <c s="125">
        <f>IF(Предпосылки!$G136="да",Продажи!AR126,0)</f>
        <v>0</v>
      </c>
      <c s="125">
        <f>IF(Предпосылки!$G136="да",Продажи!AS126,0)</f>
        <v>0</v>
      </c>
      <c s="125">
        <f>IF(Предпосылки!$G136="да",Продажи!AT126,0)</f>
        <v>0</v>
      </c>
      <c s="125">
        <f>IF(Предпосылки!$G136="да",Продажи!AU126,0)</f>
        <v>0</v>
      </c>
      <c s="125">
        <f>IF(Предпосылки!$G136="да",Продажи!AV126,0)</f>
        <v>0</v>
      </c>
      <c s="125">
        <f>IF(Предпосылки!$G136="да",Продажи!AW126,0)</f>
        <v>0</v>
      </c>
      <c s="125">
        <f>IF(Предпосылки!$G136="да",Продажи!AX126,0)</f>
        <v>0</v>
      </c>
      <c s="125">
        <f>IF(Предпосылки!$G136="да",Продажи!AY126,0)</f>
        <v>0</v>
      </c>
      <c s="125">
        <f>IF(Предпосылки!$G136="да",Продажи!AZ126,0)</f>
        <v>0</v>
      </c>
      <c s="125">
        <f>IF(Предпосылки!$G136="да",Продажи!BA126,0)</f>
        <v>0</v>
      </c>
      <c s="125">
        <f>IF(Предпосылки!$G136="да",Продажи!BB126,0)</f>
        <v>0</v>
      </c>
      <c s="125">
        <f>IF(Предпосылки!$G136="да",Продажи!BC126,0)</f>
        <v>0</v>
      </c>
      <c s="125">
        <f>IF(Предпосылки!$G136="да",Продажи!BD126,0)</f>
        <v>0</v>
      </c>
      <c s="125">
        <f>IF(Предпосылки!$G136="да",Продажи!BE126,0)</f>
        <v>0</v>
      </c>
      <c s="125">
        <f>IF(Предпосылки!$G136="да",Продажи!BF126,0)</f>
        <v>0</v>
      </c>
      <c s="125">
        <f>IF(Предпосылки!$G136="да",Продажи!BG126,0)</f>
        <v>0</v>
      </c>
      <c s="125">
        <f>IF(Предпосылки!$G136="да",Продажи!BH126,0)</f>
        <v>0</v>
      </c>
      <c s="125">
        <f>IF(Предпосылки!$G136="да",Продажи!BI126,0)</f>
        <v>0</v>
      </c>
      <c s="125">
        <f>IF(Предпосылки!$G136="да",Продажи!BJ126,0)</f>
        <v>0</v>
      </c>
      <c s="125">
        <f>IF(Предпосылки!$G136="да",Продажи!BK126,0)</f>
        <v>0</v>
      </c>
      <c s="125">
        <f>IF(Предпосылки!$G136="да",Продажи!BL126,0)</f>
        <v>0</v>
      </c>
      <c s="125">
        <f>IF(Предпосылки!$G136="да",Продажи!BM126,0)</f>
        <v>0</v>
      </c>
    </row>
    <row r="151" spans="2:65" ht="15" customHeight="1">
      <c r="B151" s="12" t="str">
        <f t="shared" si="135"/>
        <v>Продукт 16</v>
      </c>
      <c s="124" t="str">
        <f t="shared" si="134"/>
        <v>тыс. руб.</v>
      </c>
      <c s="276">
        <f t="shared" si="136"/>
        <v>0</v>
      </c>
      <c s="125">
        <f>IF(Предпосылки!$G137="да",Продажи!E127,0)</f>
        <v>0</v>
      </c>
      <c s="125">
        <f>IF(Предпосылки!$G137="да",Продажи!F127,0)</f>
        <v>0</v>
      </c>
      <c s="125">
        <f>IF(Предпосылки!$G137="да",Продажи!G127,0)</f>
        <v>0</v>
      </c>
      <c s="125">
        <f>IF(Предпосылки!$G137="да",Продажи!H127,0)</f>
        <v>0</v>
      </c>
      <c s="125">
        <f>IF(Предпосылки!$G137="да",Продажи!I127,0)</f>
        <v>0</v>
      </c>
      <c s="125">
        <f>IF(Предпосылки!$G137="да",Продажи!J127,0)</f>
        <v>0</v>
      </c>
      <c s="125">
        <f>IF(Предпосылки!$G137="да",Продажи!K127,0)</f>
        <v>0</v>
      </c>
      <c s="125">
        <f>IF(Предпосылки!$G137="да",Продажи!L127,0)</f>
        <v>0</v>
      </c>
      <c s="125">
        <f>IF(Предпосылки!$G137="да",Продажи!M127,0)</f>
        <v>0</v>
      </c>
      <c s="125">
        <f>IF(Предпосылки!$G137="да",Продажи!N127,0)</f>
        <v>0</v>
      </c>
      <c s="125">
        <f>IF(Предпосылки!$G137="да",Продажи!O127,0)</f>
        <v>0</v>
      </c>
      <c s="125">
        <f>IF(Предпосылки!$G137="да",Продажи!P127,0)</f>
        <v>0</v>
      </c>
      <c s="125">
        <f>IF(Предпосылки!$G137="да",Продажи!Q127,0)</f>
        <v>0</v>
      </c>
      <c s="125">
        <f>IF(Предпосылки!$G137="да",Продажи!R127,0)</f>
        <v>0</v>
      </c>
      <c s="125">
        <f>IF(Предпосылки!$G137="да",Продажи!S127,0)</f>
        <v>0</v>
      </c>
      <c s="125">
        <f>IF(Предпосылки!$G137="да",Продажи!T127,0)</f>
        <v>0</v>
      </c>
      <c s="125">
        <f>IF(Предпосылки!$G137="да",Продажи!U127,0)</f>
        <v>0</v>
      </c>
      <c s="125">
        <f>IF(Предпосылки!$G137="да",Продажи!V127,0)</f>
        <v>0</v>
      </c>
      <c s="125">
        <f>IF(Предпосылки!$G137="да",Продажи!W127,0)</f>
        <v>0</v>
      </c>
      <c s="125">
        <f>IF(Предпосылки!$G137="да",Продажи!X127,0)</f>
        <v>0</v>
      </c>
      <c s="125">
        <f>IF(Предпосылки!$G137="да",Продажи!Y127,0)</f>
        <v>0</v>
      </c>
      <c s="125">
        <f>IF(Предпосылки!$G137="да",Продажи!Z127,0)</f>
        <v>0</v>
      </c>
      <c s="125">
        <f>IF(Предпосылки!$G137="да",Продажи!AA127,0)</f>
        <v>0</v>
      </c>
      <c s="125">
        <f>IF(Предпосылки!$G137="да",Продажи!AB127,0)</f>
        <v>0</v>
      </c>
      <c s="125">
        <f>IF(Предпосылки!$G137="да",Продажи!AC127,0)</f>
        <v>0</v>
      </c>
      <c s="125">
        <f>IF(Предпосылки!$G137="да",Продажи!AD127,0)</f>
        <v>0</v>
      </c>
      <c s="125">
        <f>IF(Предпосылки!$G137="да",Продажи!AE127,0)</f>
        <v>0</v>
      </c>
      <c s="125">
        <f>IF(Предпосылки!$G137="да",Продажи!AF127,0)</f>
        <v>0</v>
      </c>
      <c s="125">
        <f>IF(Предпосылки!$G137="да",Продажи!AG127,0)</f>
        <v>0</v>
      </c>
      <c s="125">
        <f>IF(Предпосылки!$G137="да",Продажи!AH127,0)</f>
        <v>0</v>
      </c>
      <c s="125">
        <f>IF(Предпосылки!$G137="да",Продажи!AI127,0)</f>
        <v>0</v>
      </c>
      <c s="125">
        <f>IF(Предпосылки!$G137="да",Продажи!AJ127,0)</f>
        <v>0</v>
      </c>
      <c s="125">
        <f>IF(Предпосылки!$G137="да",Продажи!AK127,0)</f>
        <v>0</v>
      </c>
      <c s="125">
        <f>IF(Предпосылки!$G137="да",Продажи!AL127,0)</f>
        <v>0</v>
      </c>
      <c s="125">
        <f>IF(Предпосылки!$G137="да",Продажи!AM127,0)</f>
        <v>0</v>
      </c>
      <c s="125">
        <f>IF(Предпосылки!$G137="да",Продажи!AN127,0)</f>
        <v>0</v>
      </c>
      <c s="125">
        <f>IF(Предпосылки!$G137="да",Продажи!AO127,0)</f>
        <v>0</v>
      </c>
      <c s="125">
        <f>IF(Предпосылки!$G137="да",Продажи!AP127,0)</f>
        <v>0</v>
      </c>
      <c s="125">
        <f>IF(Предпосылки!$G137="да",Продажи!AQ127,0)</f>
        <v>0</v>
      </c>
      <c s="125">
        <f>IF(Предпосылки!$G137="да",Продажи!AR127,0)</f>
        <v>0</v>
      </c>
      <c s="125">
        <f>IF(Предпосылки!$G137="да",Продажи!AS127,0)</f>
        <v>0</v>
      </c>
      <c s="125">
        <f>IF(Предпосылки!$G137="да",Продажи!AT127,0)</f>
        <v>0</v>
      </c>
      <c s="125">
        <f>IF(Предпосылки!$G137="да",Продажи!AU127,0)</f>
        <v>0</v>
      </c>
      <c s="125">
        <f>IF(Предпосылки!$G137="да",Продажи!AV127,0)</f>
        <v>0</v>
      </c>
      <c s="125">
        <f>IF(Предпосылки!$G137="да",Продажи!AW127,0)</f>
        <v>0</v>
      </c>
      <c s="125">
        <f>IF(Предпосылки!$G137="да",Продажи!AX127,0)</f>
        <v>0</v>
      </c>
      <c s="125">
        <f>IF(Предпосылки!$G137="да",Продажи!AY127,0)</f>
        <v>0</v>
      </c>
      <c s="125">
        <f>IF(Предпосылки!$G137="да",Продажи!AZ127,0)</f>
        <v>0</v>
      </c>
      <c s="125">
        <f>IF(Предпосылки!$G137="да",Продажи!BA127,0)</f>
        <v>0</v>
      </c>
      <c s="125">
        <f>IF(Предпосылки!$G137="да",Продажи!BB127,0)</f>
        <v>0</v>
      </c>
      <c s="125">
        <f>IF(Предпосылки!$G137="да",Продажи!BC127,0)</f>
        <v>0</v>
      </c>
      <c s="125">
        <f>IF(Предпосылки!$G137="да",Продажи!BD127,0)</f>
        <v>0</v>
      </c>
      <c s="125">
        <f>IF(Предпосылки!$G137="да",Продажи!BE127,0)</f>
        <v>0</v>
      </c>
      <c s="125">
        <f>IF(Предпосылки!$G137="да",Продажи!BF127,0)</f>
        <v>0</v>
      </c>
      <c s="125">
        <f>IF(Предпосылки!$G137="да",Продажи!BG127,0)</f>
        <v>0</v>
      </c>
      <c s="125">
        <f>IF(Предпосылки!$G137="да",Продажи!BH127,0)</f>
        <v>0</v>
      </c>
      <c s="125">
        <f>IF(Предпосылки!$G137="да",Продажи!BI127,0)</f>
        <v>0</v>
      </c>
      <c s="125">
        <f>IF(Предпосылки!$G137="да",Продажи!BJ127,0)</f>
        <v>0</v>
      </c>
      <c s="125">
        <f>IF(Предпосылки!$G137="да",Продажи!BK127,0)</f>
        <v>0</v>
      </c>
      <c s="125">
        <f>IF(Предпосылки!$G137="да",Продажи!BL127,0)</f>
        <v>0</v>
      </c>
      <c s="125">
        <f>IF(Предпосылки!$G137="да",Продажи!BM127,0)</f>
        <v>0</v>
      </c>
    </row>
    <row r="152" spans="2:65" ht="15" customHeight="1">
      <c r="B152" s="12" t="str">
        <f t="shared" si="135"/>
        <v>Продукт 17</v>
      </c>
      <c s="124" t="str">
        <f t="shared" si="134"/>
        <v>тыс. руб.</v>
      </c>
      <c s="276">
        <f t="shared" si="136"/>
        <v>0</v>
      </c>
      <c s="125">
        <f>IF(Предпосылки!$G138="да",Продажи!E128,0)</f>
        <v>0</v>
      </c>
      <c s="125">
        <f>IF(Предпосылки!$G138="да",Продажи!F128,0)</f>
        <v>0</v>
      </c>
      <c s="125">
        <f>IF(Предпосылки!$G138="да",Продажи!G128,0)</f>
        <v>0</v>
      </c>
      <c s="125">
        <f>IF(Предпосылки!$G138="да",Продажи!H128,0)</f>
        <v>0</v>
      </c>
      <c s="125">
        <f>IF(Предпосылки!$G138="да",Продажи!I128,0)</f>
        <v>0</v>
      </c>
      <c s="125">
        <f>IF(Предпосылки!$G138="да",Продажи!J128,0)</f>
        <v>0</v>
      </c>
      <c s="125">
        <f>IF(Предпосылки!$G138="да",Продажи!K128,0)</f>
        <v>0</v>
      </c>
      <c s="125">
        <f>IF(Предпосылки!$G138="да",Продажи!L128,0)</f>
        <v>0</v>
      </c>
      <c s="125">
        <f>IF(Предпосылки!$G138="да",Продажи!M128,0)</f>
        <v>0</v>
      </c>
      <c s="125">
        <f>IF(Предпосылки!$G138="да",Продажи!N128,0)</f>
        <v>0</v>
      </c>
      <c s="125">
        <f>IF(Предпосылки!$G138="да",Продажи!O128,0)</f>
        <v>0</v>
      </c>
      <c s="125">
        <f>IF(Предпосылки!$G138="да",Продажи!P128,0)</f>
        <v>0</v>
      </c>
      <c s="125">
        <f>IF(Предпосылки!$G138="да",Продажи!Q128,0)</f>
        <v>0</v>
      </c>
      <c s="125">
        <f>IF(Предпосылки!$G138="да",Продажи!R128,0)</f>
        <v>0</v>
      </c>
      <c s="125">
        <f>IF(Предпосылки!$G138="да",Продажи!S128,0)</f>
        <v>0</v>
      </c>
      <c s="125">
        <f>IF(Предпосылки!$G138="да",Продажи!T128,0)</f>
        <v>0</v>
      </c>
      <c s="125">
        <f>IF(Предпосылки!$G138="да",Продажи!U128,0)</f>
        <v>0</v>
      </c>
      <c s="125">
        <f>IF(Предпосылки!$G138="да",Продажи!V128,0)</f>
        <v>0</v>
      </c>
      <c s="125">
        <f>IF(Предпосылки!$G138="да",Продажи!W128,0)</f>
        <v>0</v>
      </c>
      <c s="125">
        <f>IF(Предпосылки!$G138="да",Продажи!X128,0)</f>
        <v>0</v>
      </c>
      <c s="125">
        <f>IF(Предпосылки!$G138="да",Продажи!Y128,0)</f>
        <v>0</v>
      </c>
      <c s="125">
        <f>IF(Предпосылки!$G138="да",Продажи!Z128,0)</f>
        <v>0</v>
      </c>
      <c s="125">
        <f>IF(Предпосылки!$G138="да",Продажи!AA128,0)</f>
        <v>0</v>
      </c>
      <c s="125">
        <f>IF(Предпосылки!$G138="да",Продажи!AB128,0)</f>
        <v>0</v>
      </c>
      <c s="125">
        <f>IF(Предпосылки!$G138="да",Продажи!AC128,0)</f>
        <v>0</v>
      </c>
      <c s="125">
        <f>IF(Предпосылки!$G138="да",Продажи!AD128,0)</f>
        <v>0</v>
      </c>
      <c s="125">
        <f>IF(Предпосылки!$G138="да",Продажи!AE128,0)</f>
        <v>0</v>
      </c>
      <c s="125">
        <f>IF(Предпосылки!$G138="да",Продажи!AF128,0)</f>
        <v>0</v>
      </c>
      <c s="125">
        <f>IF(Предпосылки!$G138="да",Продажи!AG128,0)</f>
        <v>0</v>
      </c>
      <c s="125">
        <f>IF(Предпосылки!$G138="да",Продажи!AH128,0)</f>
        <v>0</v>
      </c>
      <c s="125">
        <f>IF(Предпосылки!$G138="да",Продажи!AI128,0)</f>
        <v>0</v>
      </c>
      <c s="125">
        <f>IF(Предпосылки!$G138="да",Продажи!AJ128,0)</f>
        <v>0</v>
      </c>
      <c s="125">
        <f>IF(Предпосылки!$G138="да",Продажи!AK128,0)</f>
        <v>0</v>
      </c>
      <c s="125">
        <f>IF(Предпосылки!$G138="да",Продажи!AL128,0)</f>
        <v>0</v>
      </c>
      <c s="125">
        <f>IF(Предпосылки!$G138="да",Продажи!AM128,0)</f>
        <v>0</v>
      </c>
      <c s="125">
        <f>IF(Предпосылки!$G138="да",Продажи!AN128,0)</f>
        <v>0</v>
      </c>
      <c s="125">
        <f>IF(Предпосылки!$G138="да",Продажи!AO128,0)</f>
        <v>0</v>
      </c>
      <c s="125">
        <f>IF(Предпосылки!$G138="да",Продажи!AP128,0)</f>
        <v>0</v>
      </c>
      <c s="125">
        <f>IF(Предпосылки!$G138="да",Продажи!AQ128,0)</f>
        <v>0</v>
      </c>
      <c s="125">
        <f>IF(Предпосылки!$G138="да",Продажи!AR128,0)</f>
        <v>0</v>
      </c>
      <c s="125">
        <f>IF(Предпосылки!$G138="да",Продажи!AS128,0)</f>
        <v>0</v>
      </c>
      <c s="125">
        <f>IF(Предпосылки!$G138="да",Продажи!AT128,0)</f>
        <v>0</v>
      </c>
      <c s="125">
        <f>IF(Предпосылки!$G138="да",Продажи!AU128,0)</f>
        <v>0</v>
      </c>
      <c s="125">
        <f>IF(Предпосылки!$G138="да",Продажи!AV128,0)</f>
        <v>0</v>
      </c>
      <c s="125">
        <f>IF(Предпосылки!$G138="да",Продажи!AW128,0)</f>
        <v>0</v>
      </c>
      <c s="125">
        <f>IF(Предпосылки!$G138="да",Продажи!AX128,0)</f>
        <v>0</v>
      </c>
      <c s="125">
        <f>IF(Предпосылки!$G138="да",Продажи!AY128,0)</f>
        <v>0</v>
      </c>
      <c s="125">
        <f>IF(Предпосылки!$G138="да",Продажи!AZ128,0)</f>
        <v>0</v>
      </c>
      <c s="125">
        <f>IF(Предпосылки!$G138="да",Продажи!BA128,0)</f>
        <v>0</v>
      </c>
      <c s="125">
        <f>IF(Предпосылки!$G138="да",Продажи!BB128,0)</f>
        <v>0</v>
      </c>
      <c s="125">
        <f>IF(Предпосылки!$G138="да",Продажи!BC128,0)</f>
        <v>0</v>
      </c>
      <c s="125">
        <f>IF(Предпосылки!$G138="да",Продажи!BD128,0)</f>
        <v>0</v>
      </c>
      <c s="125">
        <f>IF(Предпосылки!$G138="да",Продажи!BE128,0)</f>
        <v>0</v>
      </c>
      <c s="125">
        <f>IF(Предпосылки!$G138="да",Продажи!BF128,0)</f>
        <v>0</v>
      </c>
      <c s="125">
        <f>IF(Предпосылки!$G138="да",Продажи!BG128,0)</f>
        <v>0</v>
      </c>
      <c s="125">
        <f>IF(Предпосылки!$G138="да",Продажи!BH128,0)</f>
        <v>0</v>
      </c>
      <c s="125">
        <f>IF(Предпосылки!$G138="да",Продажи!BI128,0)</f>
        <v>0</v>
      </c>
      <c s="125">
        <f>IF(Предпосылки!$G138="да",Продажи!BJ128,0)</f>
        <v>0</v>
      </c>
      <c s="125">
        <f>IF(Предпосылки!$G138="да",Продажи!BK128,0)</f>
        <v>0</v>
      </c>
      <c s="125">
        <f>IF(Предпосылки!$G138="да",Продажи!BL128,0)</f>
        <v>0</v>
      </c>
      <c s="125">
        <f>IF(Предпосылки!$G138="да",Продажи!BM128,0)</f>
        <v>0</v>
      </c>
    </row>
    <row r="153" spans="2:65" ht="15" customHeight="1">
      <c r="B153" s="12" t="str">
        <f t="shared" si="135"/>
        <v>Продукт 18</v>
      </c>
      <c s="124" t="str">
        <f t="shared" si="134"/>
        <v>тыс. руб.</v>
      </c>
      <c s="276">
        <f t="shared" si="136"/>
        <v>0</v>
      </c>
      <c s="125">
        <f>IF(Предпосылки!$G139="да",Продажи!E129,0)</f>
        <v>0</v>
      </c>
      <c s="125">
        <f>IF(Предпосылки!$G139="да",Продажи!F129,0)</f>
        <v>0</v>
      </c>
      <c s="125">
        <f>IF(Предпосылки!$G139="да",Продажи!G129,0)</f>
        <v>0</v>
      </c>
      <c s="125">
        <f>IF(Предпосылки!$G139="да",Продажи!H129,0)</f>
        <v>0</v>
      </c>
      <c s="125">
        <f>IF(Предпосылки!$G139="да",Продажи!I129,0)</f>
        <v>0</v>
      </c>
      <c s="125">
        <f>IF(Предпосылки!$G139="да",Продажи!J129,0)</f>
        <v>0</v>
      </c>
      <c s="125">
        <f>IF(Предпосылки!$G139="да",Продажи!K129,0)</f>
        <v>0</v>
      </c>
      <c s="125">
        <f>IF(Предпосылки!$G139="да",Продажи!L129,0)</f>
        <v>0</v>
      </c>
      <c s="125">
        <f>IF(Предпосылки!$G139="да",Продажи!M129,0)</f>
        <v>0</v>
      </c>
      <c s="125">
        <f>IF(Предпосылки!$G139="да",Продажи!N129,0)</f>
        <v>0</v>
      </c>
      <c s="125">
        <f>IF(Предпосылки!$G139="да",Продажи!O129,0)</f>
        <v>0</v>
      </c>
      <c s="125">
        <f>IF(Предпосылки!$G139="да",Продажи!P129,0)</f>
        <v>0</v>
      </c>
      <c s="125">
        <f>IF(Предпосылки!$G139="да",Продажи!Q129,0)</f>
        <v>0</v>
      </c>
      <c s="125">
        <f>IF(Предпосылки!$G139="да",Продажи!R129,0)</f>
        <v>0</v>
      </c>
      <c s="125">
        <f>IF(Предпосылки!$G139="да",Продажи!S129,0)</f>
        <v>0</v>
      </c>
      <c s="125">
        <f>IF(Предпосылки!$G139="да",Продажи!T129,0)</f>
        <v>0</v>
      </c>
      <c s="125">
        <f>IF(Предпосылки!$G139="да",Продажи!U129,0)</f>
        <v>0</v>
      </c>
      <c s="125">
        <f>IF(Предпосылки!$G139="да",Продажи!V129,0)</f>
        <v>0</v>
      </c>
      <c s="125">
        <f>IF(Предпосылки!$G139="да",Продажи!W129,0)</f>
        <v>0</v>
      </c>
      <c s="125">
        <f>IF(Предпосылки!$G139="да",Продажи!X129,0)</f>
        <v>0</v>
      </c>
      <c s="125">
        <f>IF(Предпосылки!$G139="да",Продажи!Y129,0)</f>
        <v>0</v>
      </c>
      <c s="125">
        <f>IF(Предпосылки!$G139="да",Продажи!Z129,0)</f>
        <v>0</v>
      </c>
      <c s="125">
        <f>IF(Предпосылки!$G139="да",Продажи!AA129,0)</f>
        <v>0</v>
      </c>
      <c s="125">
        <f>IF(Предпосылки!$G139="да",Продажи!AB129,0)</f>
        <v>0</v>
      </c>
      <c s="125">
        <f>IF(Предпосылки!$G139="да",Продажи!AC129,0)</f>
        <v>0</v>
      </c>
      <c s="125">
        <f>IF(Предпосылки!$G139="да",Продажи!AD129,0)</f>
        <v>0</v>
      </c>
      <c s="125">
        <f>IF(Предпосылки!$G139="да",Продажи!AE129,0)</f>
        <v>0</v>
      </c>
      <c s="125">
        <f>IF(Предпосылки!$G139="да",Продажи!AF129,0)</f>
        <v>0</v>
      </c>
      <c s="125">
        <f>IF(Предпосылки!$G139="да",Продажи!AG129,0)</f>
        <v>0</v>
      </c>
      <c s="125">
        <f>IF(Предпосылки!$G139="да",Продажи!AH129,0)</f>
        <v>0</v>
      </c>
      <c s="125">
        <f>IF(Предпосылки!$G139="да",Продажи!AI129,0)</f>
        <v>0</v>
      </c>
      <c s="125">
        <f>IF(Предпосылки!$G139="да",Продажи!AJ129,0)</f>
        <v>0</v>
      </c>
      <c s="125">
        <f>IF(Предпосылки!$G139="да",Продажи!AK129,0)</f>
        <v>0</v>
      </c>
      <c s="125">
        <f>IF(Предпосылки!$G139="да",Продажи!AL129,0)</f>
        <v>0</v>
      </c>
      <c s="125">
        <f>IF(Предпосылки!$G139="да",Продажи!AM129,0)</f>
        <v>0</v>
      </c>
      <c s="125">
        <f>IF(Предпосылки!$G139="да",Продажи!AN129,0)</f>
        <v>0</v>
      </c>
      <c s="125">
        <f>IF(Предпосылки!$G139="да",Продажи!AO129,0)</f>
        <v>0</v>
      </c>
      <c s="125">
        <f>IF(Предпосылки!$G139="да",Продажи!AP129,0)</f>
        <v>0</v>
      </c>
      <c s="125">
        <f>IF(Предпосылки!$G139="да",Продажи!AQ129,0)</f>
        <v>0</v>
      </c>
      <c s="125">
        <f>IF(Предпосылки!$G139="да",Продажи!AR129,0)</f>
        <v>0</v>
      </c>
      <c s="125">
        <f>IF(Предпосылки!$G139="да",Продажи!AS129,0)</f>
        <v>0</v>
      </c>
      <c s="125">
        <f>IF(Предпосылки!$G139="да",Продажи!AT129,0)</f>
        <v>0</v>
      </c>
      <c s="125">
        <f>IF(Предпосылки!$G139="да",Продажи!AU129,0)</f>
        <v>0</v>
      </c>
      <c s="125">
        <f>IF(Предпосылки!$G139="да",Продажи!AV129,0)</f>
        <v>0</v>
      </c>
      <c s="125">
        <f>IF(Предпосылки!$G139="да",Продажи!AW129,0)</f>
        <v>0</v>
      </c>
      <c s="125">
        <f>IF(Предпосылки!$G139="да",Продажи!AX129,0)</f>
        <v>0</v>
      </c>
      <c s="125">
        <f>IF(Предпосылки!$G139="да",Продажи!AY129,0)</f>
        <v>0</v>
      </c>
      <c s="125">
        <f>IF(Предпосылки!$G139="да",Продажи!AZ129,0)</f>
        <v>0</v>
      </c>
      <c s="125">
        <f>IF(Предпосылки!$G139="да",Продажи!BA129,0)</f>
        <v>0</v>
      </c>
      <c s="125">
        <f>IF(Предпосылки!$G139="да",Продажи!BB129,0)</f>
        <v>0</v>
      </c>
      <c s="125">
        <f>IF(Предпосылки!$G139="да",Продажи!BC129,0)</f>
        <v>0</v>
      </c>
      <c s="125">
        <f>IF(Предпосылки!$G139="да",Продажи!BD129,0)</f>
        <v>0</v>
      </c>
      <c s="125">
        <f>IF(Предпосылки!$G139="да",Продажи!BE129,0)</f>
        <v>0</v>
      </c>
      <c s="125">
        <f>IF(Предпосылки!$G139="да",Продажи!BF129,0)</f>
        <v>0</v>
      </c>
      <c s="125">
        <f>IF(Предпосылки!$G139="да",Продажи!BG129,0)</f>
        <v>0</v>
      </c>
      <c s="125">
        <f>IF(Предпосылки!$G139="да",Продажи!BH129,0)</f>
        <v>0</v>
      </c>
      <c s="125">
        <f>IF(Предпосылки!$G139="да",Продажи!BI129,0)</f>
        <v>0</v>
      </c>
      <c s="125">
        <f>IF(Предпосылки!$G139="да",Продажи!BJ129,0)</f>
        <v>0</v>
      </c>
      <c s="125">
        <f>IF(Предпосылки!$G139="да",Продажи!BK129,0)</f>
        <v>0</v>
      </c>
      <c s="125">
        <f>IF(Предпосылки!$G139="да",Продажи!BL129,0)</f>
        <v>0</v>
      </c>
      <c s="125">
        <f>IF(Предпосылки!$G139="да",Продажи!BM129,0)</f>
        <v>0</v>
      </c>
    </row>
    <row r="154" spans="2:65" ht="15" customHeight="1">
      <c r="B154" s="12" t="str">
        <f t="shared" si="135"/>
        <v>Продукт 19</v>
      </c>
      <c s="124" t="str">
        <f t="shared" si="134"/>
        <v>тыс. руб.</v>
      </c>
      <c s="276">
        <f t="shared" si="136"/>
        <v>0</v>
      </c>
      <c s="125">
        <f>IF(Предпосылки!$G140="да",Продажи!E130,0)</f>
        <v>0</v>
      </c>
      <c s="125">
        <f>IF(Предпосылки!$G140="да",Продажи!F130,0)</f>
        <v>0</v>
      </c>
      <c s="125">
        <f>IF(Предпосылки!$G140="да",Продажи!G130,0)</f>
        <v>0</v>
      </c>
      <c s="125">
        <f>IF(Предпосылки!$G140="да",Продажи!H130,0)</f>
        <v>0</v>
      </c>
      <c s="125">
        <f>IF(Предпосылки!$G140="да",Продажи!I130,0)</f>
        <v>0</v>
      </c>
      <c s="125">
        <f>IF(Предпосылки!$G140="да",Продажи!J130,0)</f>
        <v>0</v>
      </c>
      <c s="125">
        <f>IF(Предпосылки!$G140="да",Продажи!K130,0)</f>
        <v>0</v>
      </c>
      <c s="125">
        <f>IF(Предпосылки!$G140="да",Продажи!L130,0)</f>
        <v>0</v>
      </c>
      <c s="125">
        <f>IF(Предпосылки!$G140="да",Продажи!M130,0)</f>
        <v>0</v>
      </c>
      <c s="125">
        <f>IF(Предпосылки!$G140="да",Продажи!N130,0)</f>
        <v>0</v>
      </c>
      <c s="125">
        <f>IF(Предпосылки!$G140="да",Продажи!O130,0)</f>
        <v>0</v>
      </c>
      <c s="125">
        <f>IF(Предпосылки!$G140="да",Продажи!P130,0)</f>
        <v>0</v>
      </c>
      <c s="125">
        <f>IF(Предпосылки!$G140="да",Продажи!Q130,0)</f>
        <v>0</v>
      </c>
      <c s="125">
        <f>IF(Предпосылки!$G140="да",Продажи!R130,0)</f>
        <v>0</v>
      </c>
      <c s="125">
        <f>IF(Предпосылки!$G140="да",Продажи!S130,0)</f>
        <v>0</v>
      </c>
      <c s="125">
        <f>IF(Предпосылки!$G140="да",Продажи!T130,0)</f>
        <v>0</v>
      </c>
      <c s="125">
        <f>IF(Предпосылки!$G140="да",Продажи!U130,0)</f>
        <v>0</v>
      </c>
      <c s="125">
        <f>IF(Предпосылки!$G140="да",Продажи!V130,0)</f>
        <v>0</v>
      </c>
      <c s="125">
        <f>IF(Предпосылки!$G140="да",Продажи!W130,0)</f>
        <v>0</v>
      </c>
      <c s="125">
        <f>IF(Предпосылки!$G140="да",Продажи!X130,0)</f>
        <v>0</v>
      </c>
      <c s="125">
        <f>IF(Предпосылки!$G140="да",Продажи!Y130,0)</f>
        <v>0</v>
      </c>
      <c s="125">
        <f>IF(Предпосылки!$G140="да",Продажи!Z130,0)</f>
        <v>0</v>
      </c>
      <c s="125">
        <f>IF(Предпосылки!$G140="да",Продажи!AA130,0)</f>
        <v>0</v>
      </c>
      <c s="125">
        <f>IF(Предпосылки!$G140="да",Продажи!AB130,0)</f>
        <v>0</v>
      </c>
      <c s="125">
        <f>IF(Предпосылки!$G140="да",Продажи!AC130,0)</f>
        <v>0</v>
      </c>
      <c s="125">
        <f>IF(Предпосылки!$G140="да",Продажи!AD130,0)</f>
        <v>0</v>
      </c>
      <c s="125">
        <f>IF(Предпосылки!$G140="да",Продажи!AE130,0)</f>
        <v>0</v>
      </c>
      <c s="125">
        <f>IF(Предпосылки!$G140="да",Продажи!AF130,0)</f>
        <v>0</v>
      </c>
      <c s="125">
        <f>IF(Предпосылки!$G140="да",Продажи!AG130,0)</f>
        <v>0</v>
      </c>
      <c s="125">
        <f>IF(Предпосылки!$G140="да",Продажи!AH130,0)</f>
        <v>0</v>
      </c>
      <c s="125">
        <f>IF(Предпосылки!$G140="да",Продажи!AI130,0)</f>
        <v>0</v>
      </c>
      <c s="125">
        <f>IF(Предпосылки!$G140="да",Продажи!AJ130,0)</f>
        <v>0</v>
      </c>
      <c s="125">
        <f>IF(Предпосылки!$G140="да",Продажи!AK130,0)</f>
        <v>0</v>
      </c>
      <c s="125">
        <f>IF(Предпосылки!$G140="да",Продажи!AL130,0)</f>
        <v>0</v>
      </c>
      <c s="125">
        <f>IF(Предпосылки!$G140="да",Продажи!AM130,0)</f>
        <v>0</v>
      </c>
      <c s="125">
        <f>IF(Предпосылки!$G140="да",Продажи!AN130,0)</f>
        <v>0</v>
      </c>
      <c s="125">
        <f>IF(Предпосылки!$G140="да",Продажи!AO130,0)</f>
        <v>0</v>
      </c>
      <c s="125">
        <f>IF(Предпосылки!$G140="да",Продажи!AP130,0)</f>
        <v>0</v>
      </c>
      <c s="125">
        <f>IF(Предпосылки!$G140="да",Продажи!AQ130,0)</f>
        <v>0</v>
      </c>
      <c s="125">
        <f>IF(Предпосылки!$G140="да",Продажи!AR130,0)</f>
        <v>0</v>
      </c>
      <c s="125">
        <f>IF(Предпосылки!$G140="да",Продажи!AS130,0)</f>
        <v>0</v>
      </c>
      <c s="125">
        <f>IF(Предпосылки!$G140="да",Продажи!AT130,0)</f>
        <v>0</v>
      </c>
      <c s="125">
        <f>IF(Предпосылки!$G140="да",Продажи!AU130,0)</f>
        <v>0</v>
      </c>
      <c s="125">
        <f>IF(Предпосылки!$G140="да",Продажи!AV130,0)</f>
        <v>0</v>
      </c>
      <c s="125">
        <f>IF(Предпосылки!$G140="да",Продажи!AW130,0)</f>
        <v>0</v>
      </c>
      <c s="125">
        <f>IF(Предпосылки!$G140="да",Продажи!AX130,0)</f>
        <v>0</v>
      </c>
      <c s="125">
        <f>IF(Предпосылки!$G140="да",Продажи!AY130,0)</f>
        <v>0</v>
      </c>
      <c s="125">
        <f>IF(Предпосылки!$G140="да",Продажи!AZ130,0)</f>
        <v>0</v>
      </c>
      <c s="125">
        <f>IF(Предпосылки!$G140="да",Продажи!BA130,0)</f>
        <v>0</v>
      </c>
      <c s="125">
        <f>IF(Предпосылки!$G140="да",Продажи!BB130,0)</f>
        <v>0</v>
      </c>
      <c s="125">
        <f>IF(Предпосылки!$G140="да",Продажи!BC130,0)</f>
        <v>0</v>
      </c>
      <c s="125">
        <f>IF(Предпосылки!$G140="да",Продажи!BD130,0)</f>
        <v>0</v>
      </c>
      <c s="125">
        <f>IF(Предпосылки!$G140="да",Продажи!BE130,0)</f>
        <v>0</v>
      </c>
      <c s="125">
        <f>IF(Предпосылки!$G140="да",Продажи!BF130,0)</f>
        <v>0</v>
      </c>
      <c s="125">
        <f>IF(Предпосылки!$G140="да",Продажи!BG130,0)</f>
        <v>0</v>
      </c>
      <c s="125">
        <f>IF(Предпосылки!$G140="да",Продажи!BH130,0)</f>
        <v>0</v>
      </c>
      <c s="125">
        <f>IF(Предпосылки!$G140="да",Продажи!BI130,0)</f>
        <v>0</v>
      </c>
      <c s="125">
        <f>IF(Предпосылки!$G140="да",Продажи!BJ130,0)</f>
        <v>0</v>
      </c>
      <c s="125">
        <f>IF(Предпосылки!$G140="да",Продажи!BK130,0)</f>
        <v>0</v>
      </c>
      <c s="125">
        <f>IF(Предпосылки!$G140="да",Продажи!BL130,0)</f>
        <v>0</v>
      </c>
      <c s="125">
        <f>IF(Предпосылки!$G140="да",Продажи!BM130,0)</f>
        <v>0</v>
      </c>
    </row>
    <row r="155" spans="2:65" ht="15" customHeight="1">
      <c r="B155" s="12" t="str">
        <f t="shared" si="135"/>
        <v>Продукт 20</v>
      </c>
      <c s="124" t="str">
        <f t="shared" si="134"/>
        <v>тыс. руб.</v>
      </c>
      <c s="276">
        <f t="shared" si="136"/>
        <v>0</v>
      </c>
      <c s="125">
        <f>IF(Предпосылки!$G141="да",Продажи!E131,0)</f>
        <v>0</v>
      </c>
      <c s="125">
        <f>IF(Предпосылки!$G141="да",Продажи!F131,0)</f>
        <v>0</v>
      </c>
      <c s="125">
        <f>IF(Предпосылки!$G141="да",Продажи!G131,0)</f>
        <v>0</v>
      </c>
      <c s="125">
        <f>IF(Предпосылки!$G141="да",Продажи!H131,0)</f>
        <v>0</v>
      </c>
      <c s="125">
        <f>IF(Предпосылки!$G141="да",Продажи!I131,0)</f>
        <v>0</v>
      </c>
      <c s="125">
        <f>IF(Предпосылки!$G141="да",Продажи!J131,0)</f>
        <v>0</v>
      </c>
      <c s="125">
        <f>IF(Предпосылки!$G141="да",Продажи!K131,0)</f>
        <v>0</v>
      </c>
      <c s="125">
        <f>IF(Предпосылки!$G141="да",Продажи!L131,0)</f>
        <v>0</v>
      </c>
      <c s="125">
        <f>IF(Предпосылки!$G141="да",Продажи!M131,0)</f>
        <v>0</v>
      </c>
      <c s="125">
        <f>IF(Предпосылки!$G141="да",Продажи!N131,0)</f>
        <v>0</v>
      </c>
      <c s="125">
        <f>IF(Предпосылки!$G141="да",Продажи!O131,0)</f>
        <v>0</v>
      </c>
      <c s="125">
        <f>IF(Предпосылки!$G141="да",Продажи!P131,0)</f>
        <v>0</v>
      </c>
      <c s="125">
        <f>IF(Предпосылки!$G141="да",Продажи!Q131,0)</f>
        <v>0</v>
      </c>
      <c s="125">
        <f>IF(Предпосылки!$G141="да",Продажи!R131,0)</f>
        <v>0</v>
      </c>
      <c s="125">
        <f>IF(Предпосылки!$G141="да",Продажи!S131,0)</f>
        <v>0</v>
      </c>
      <c s="125">
        <f>IF(Предпосылки!$G141="да",Продажи!T131,0)</f>
        <v>0</v>
      </c>
      <c s="125">
        <f>IF(Предпосылки!$G141="да",Продажи!U131,0)</f>
        <v>0</v>
      </c>
      <c s="125">
        <f>IF(Предпосылки!$G141="да",Продажи!V131,0)</f>
        <v>0</v>
      </c>
      <c s="125">
        <f>IF(Предпосылки!$G141="да",Продажи!W131,0)</f>
        <v>0</v>
      </c>
      <c s="125">
        <f>IF(Предпосылки!$G141="да",Продажи!X131,0)</f>
        <v>0</v>
      </c>
      <c s="125">
        <f>IF(Предпосылки!$G141="да",Продажи!Y131,0)</f>
        <v>0</v>
      </c>
      <c s="125">
        <f>IF(Предпосылки!$G141="да",Продажи!Z131,0)</f>
        <v>0</v>
      </c>
      <c s="125">
        <f>IF(Предпосылки!$G141="да",Продажи!AA131,0)</f>
        <v>0</v>
      </c>
      <c s="125">
        <f>IF(Предпосылки!$G141="да",Продажи!AB131,0)</f>
        <v>0</v>
      </c>
      <c s="125">
        <f>IF(Предпосылки!$G141="да",Продажи!AC131,0)</f>
        <v>0</v>
      </c>
      <c s="125">
        <f>IF(Предпосылки!$G141="да",Продажи!AD131,0)</f>
        <v>0</v>
      </c>
      <c s="125">
        <f>IF(Предпосылки!$G141="да",Продажи!AE131,0)</f>
        <v>0</v>
      </c>
      <c s="125">
        <f>IF(Предпосылки!$G141="да",Продажи!AF131,0)</f>
        <v>0</v>
      </c>
      <c s="125">
        <f>IF(Предпосылки!$G141="да",Продажи!AG131,0)</f>
        <v>0</v>
      </c>
      <c s="125">
        <f>IF(Предпосылки!$G141="да",Продажи!AH131,0)</f>
        <v>0</v>
      </c>
      <c s="125">
        <f>IF(Предпосылки!$G141="да",Продажи!AI131,0)</f>
        <v>0</v>
      </c>
      <c s="125">
        <f>IF(Предпосылки!$G141="да",Продажи!AJ131,0)</f>
        <v>0</v>
      </c>
      <c s="125">
        <f>IF(Предпосылки!$G141="да",Продажи!AK131,0)</f>
        <v>0</v>
      </c>
      <c s="125">
        <f>IF(Предпосылки!$G141="да",Продажи!AL131,0)</f>
        <v>0</v>
      </c>
      <c s="125">
        <f>IF(Предпосылки!$G141="да",Продажи!AM131,0)</f>
        <v>0</v>
      </c>
      <c s="125">
        <f>IF(Предпосылки!$G141="да",Продажи!AN131,0)</f>
        <v>0</v>
      </c>
      <c s="125">
        <f>IF(Предпосылки!$G141="да",Продажи!AO131,0)</f>
        <v>0</v>
      </c>
      <c s="125">
        <f>IF(Предпосылки!$G141="да",Продажи!AP131,0)</f>
        <v>0</v>
      </c>
      <c s="125">
        <f>IF(Предпосылки!$G141="да",Продажи!AQ131,0)</f>
        <v>0</v>
      </c>
      <c s="125">
        <f>IF(Предпосылки!$G141="да",Продажи!AR131,0)</f>
        <v>0</v>
      </c>
      <c s="125">
        <f>IF(Предпосылки!$G141="да",Продажи!AS131,0)</f>
        <v>0</v>
      </c>
      <c s="125">
        <f>IF(Предпосылки!$G141="да",Продажи!AT131,0)</f>
        <v>0</v>
      </c>
      <c s="125">
        <f>IF(Предпосылки!$G141="да",Продажи!AU131,0)</f>
        <v>0</v>
      </c>
      <c s="125">
        <f>IF(Предпосылки!$G141="да",Продажи!AV131,0)</f>
        <v>0</v>
      </c>
      <c s="125">
        <f>IF(Предпосылки!$G141="да",Продажи!AW131,0)</f>
        <v>0</v>
      </c>
      <c s="125">
        <f>IF(Предпосылки!$G141="да",Продажи!AX131,0)</f>
        <v>0</v>
      </c>
      <c s="125">
        <f>IF(Предпосылки!$G141="да",Продажи!AY131,0)</f>
        <v>0</v>
      </c>
      <c s="125">
        <f>IF(Предпосылки!$G141="да",Продажи!AZ131,0)</f>
        <v>0</v>
      </c>
      <c s="125">
        <f>IF(Предпосылки!$G141="да",Продажи!BA131,0)</f>
        <v>0</v>
      </c>
      <c s="125">
        <f>IF(Предпосылки!$G141="да",Продажи!BB131,0)</f>
        <v>0</v>
      </c>
      <c s="125">
        <f>IF(Предпосылки!$G141="да",Продажи!BC131,0)</f>
        <v>0</v>
      </c>
      <c s="125">
        <f>IF(Предпосылки!$G141="да",Продажи!BD131,0)</f>
        <v>0</v>
      </c>
      <c s="125">
        <f>IF(Предпосылки!$G141="да",Продажи!BE131,0)</f>
        <v>0</v>
      </c>
      <c s="125">
        <f>IF(Предпосылки!$G141="да",Продажи!BF131,0)</f>
        <v>0</v>
      </c>
      <c s="125">
        <f>IF(Предпосылки!$G141="да",Продажи!BG131,0)</f>
        <v>0</v>
      </c>
      <c s="125">
        <f>IF(Предпосылки!$G141="да",Продажи!BH131,0)</f>
        <v>0</v>
      </c>
      <c s="125">
        <f>IF(Предпосылки!$G141="да",Продажи!BI131,0)</f>
        <v>0</v>
      </c>
      <c s="125">
        <f>IF(Предпосылки!$G141="да",Продажи!BJ131,0)</f>
        <v>0</v>
      </c>
      <c s="125">
        <f>IF(Предпосылки!$G141="да",Продажи!BK131,0)</f>
        <v>0</v>
      </c>
      <c s="125">
        <f>IF(Предпосылки!$G141="да",Продажи!BL131,0)</f>
        <v>0</v>
      </c>
      <c s="125">
        <f>IF(Предпосылки!$G141="да",Продажи!BM131,0)</f>
        <v>0</v>
      </c>
    </row>
    <row r="156" spans="2:65" ht="15" customHeight="1">
      <c r="B156" s="289" t="s">
        <v>454</v>
      </c>
      <c s="290" t="str">
        <f t="shared" si="134"/>
        <v>тыс. руб.</v>
      </c>
      <c s="291">
        <f>SUM(D136:D155)</f>
        <v>0</v>
      </c>
      <c s="276">
        <f>SUM(E136:E155)</f>
        <v>0</v>
      </c>
      <c s="276">
        <f t="shared" si="137" ref="F156:AG156">SUM(F136:F155)</f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8" ref="AH156:BM156">SUM(AH136:AH155)</f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</row>
    <row r="157" ht="15" customHeight="1"/>
    <row r="158" spans="2:2" ht="15" customHeight="1">
      <c r="B158" s="24" t="s">
        <v>855</v>
      </c>
    </row>
    <row r="159" spans="2:65" ht="15" customHeight="1">
      <c r="B159" s="12" t="str">
        <f>B136</f>
        <v>Продукт 1</v>
      </c>
      <c s="124" t="str">
        <f t="shared" si="134"/>
        <v>тыс. руб.</v>
      </c>
      <c s="276">
        <f>SUM(E159:BM159)</f>
        <v>0</v>
      </c>
      <c s="125">
        <f>E112-E136</f>
        <v>0</v>
      </c>
      <c s="125">
        <f t="shared" si="139" ref="F159:AG159">F112-F136</f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40" ref="AH159:BM159">AH112-AH136</f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</row>
    <row r="160" spans="2:65" ht="15" customHeight="1">
      <c r="B160" s="12" t="str">
        <f t="shared" si="141" ref="B160:B178">B137</f>
        <v>Продукт 2</v>
      </c>
      <c s="124" t="str">
        <f t="shared" si="134"/>
        <v>тыс. руб.</v>
      </c>
      <c s="276">
        <f t="shared" si="142" ref="D160:D178">SUM(E160:BM160)</f>
        <v>0</v>
      </c>
      <c s="125">
        <f t="shared" si="143" ref="E160:AG160">E113-E137</f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4" ref="AH160:BM160">AH113-AH137</f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</row>
    <row r="161" spans="2:65" ht="15" customHeight="1">
      <c r="B161" s="12" t="str">
        <f t="shared" si="141"/>
        <v>Продукт 3</v>
      </c>
      <c s="124" t="str">
        <f t="shared" si="134"/>
        <v>тыс. руб.</v>
      </c>
      <c s="276">
        <f t="shared" si="142"/>
        <v>0</v>
      </c>
      <c s="125">
        <f t="shared" si="145" ref="E161:AG161">E114-E138</f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6" ref="AH161:BM161">AH114-AH138</f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</row>
    <row r="162" spans="2:65" ht="15" customHeight="1">
      <c r="B162" s="12" t="str">
        <f t="shared" si="141"/>
        <v>Продукт 4</v>
      </c>
      <c s="124" t="str">
        <f t="shared" si="134"/>
        <v>тыс. руб.</v>
      </c>
      <c s="276">
        <f t="shared" si="142"/>
        <v>0</v>
      </c>
      <c s="125">
        <f t="shared" si="147" ref="E162:AG162">E115-E139</f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8" ref="AH162:BM162">AH115-AH139</f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</row>
    <row r="163" spans="2:65" ht="15" customHeight="1">
      <c r="B163" s="12" t="str">
        <f t="shared" si="141"/>
        <v>Продукт 5</v>
      </c>
      <c s="124" t="str">
        <f t="shared" si="134"/>
        <v>тыс. руб.</v>
      </c>
      <c s="276">
        <f t="shared" si="142"/>
        <v>0</v>
      </c>
      <c s="125">
        <f t="shared" si="149" ref="E163:AG163">E116-E140</f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50" ref="AH163:BM163">AH116-AH140</f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</row>
    <row r="164" spans="2:65" ht="15" customHeight="1">
      <c r="B164" s="12" t="str">
        <f t="shared" si="141"/>
        <v>Продукт 6</v>
      </c>
      <c s="124" t="str">
        <f t="shared" si="134"/>
        <v>тыс. руб.</v>
      </c>
      <c s="276">
        <f t="shared" si="142"/>
        <v>0</v>
      </c>
      <c s="125">
        <f t="shared" si="151" ref="E164:AG164">E117-E141</f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2" ref="AH164:BM164">AH117-AH141</f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</row>
    <row r="165" spans="2:65" ht="15" customHeight="1">
      <c r="B165" s="12" t="str">
        <f t="shared" si="141"/>
        <v>Продукт 7</v>
      </c>
      <c s="124" t="str">
        <f t="shared" si="134"/>
        <v>тыс. руб.</v>
      </c>
      <c s="276">
        <f t="shared" si="142"/>
        <v>0</v>
      </c>
      <c s="125">
        <f t="shared" si="153" ref="E165:AG165">E118-E142</f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4" ref="AH165:BM165">AH118-AH142</f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</row>
    <row r="166" spans="2:65" ht="15" customHeight="1">
      <c r="B166" s="12" t="str">
        <f t="shared" si="141"/>
        <v>Продукт 8</v>
      </c>
      <c s="124" t="str">
        <f t="shared" si="134"/>
        <v>тыс. руб.</v>
      </c>
      <c s="276">
        <f t="shared" si="142"/>
        <v>0</v>
      </c>
      <c s="125">
        <f t="shared" si="155" ref="E166:AG166">E119-E143</f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6" ref="AH166:BM166">AH119-AH143</f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</row>
    <row r="167" spans="2:65" ht="15" customHeight="1">
      <c r="B167" s="12" t="str">
        <f t="shared" si="141"/>
        <v>Продукт 9</v>
      </c>
      <c s="124" t="str">
        <f t="shared" si="134"/>
        <v>тыс. руб.</v>
      </c>
      <c s="276">
        <f t="shared" si="142"/>
        <v>0</v>
      </c>
      <c s="125">
        <f t="shared" si="157" ref="E167:AG167">E120-E144</f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8" ref="AH167:BM167">AH120-AH144</f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</row>
    <row r="168" spans="2:65" ht="15" customHeight="1">
      <c r="B168" s="12" t="str">
        <f t="shared" si="141"/>
        <v>Продукт 10</v>
      </c>
      <c s="124" t="str">
        <f t="shared" si="134"/>
        <v>тыс. руб.</v>
      </c>
      <c s="276">
        <f t="shared" si="142"/>
        <v>0</v>
      </c>
      <c s="125">
        <f t="shared" si="159" ref="E168:AG168">E121-E145</f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60" ref="AH168:BM168">AH121-AH145</f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</row>
    <row r="169" spans="2:65" ht="15" customHeight="1">
      <c r="B169" s="12" t="str">
        <f t="shared" si="141"/>
        <v>Продукт 11</v>
      </c>
      <c s="124" t="str">
        <f t="shared" si="134"/>
        <v>тыс. руб.</v>
      </c>
      <c s="276">
        <f t="shared" si="142"/>
        <v>0</v>
      </c>
      <c s="125">
        <f t="shared" si="161" ref="E169:AG169">E122-E146</f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2" ref="AH169:BM169">AH122-AH146</f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</row>
    <row r="170" spans="2:65" ht="15" customHeight="1">
      <c r="B170" s="12" t="str">
        <f t="shared" si="141"/>
        <v>Продукт 12</v>
      </c>
      <c s="124" t="str">
        <f t="shared" si="134"/>
        <v>тыс. руб.</v>
      </c>
      <c s="276">
        <f t="shared" si="142"/>
        <v>0</v>
      </c>
      <c s="125">
        <f t="shared" si="163" ref="E170:AG170">E123-E147</f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4" ref="AH170:BM170">AH123-AH147</f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</row>
    <row r="171" spans="2:65" ht="15" customHeight="1">
      <c r="B171" s="12" t="str">
        <f t="shared" si="141"/>
        <v>Продукт 13</v>
      </c>
      <c s="124" t="str">
        <f t="shared" si="134"/>
        <v>тыс. руб.</v>
      </c>
      <c s="276">
        <f t="shared" si="142"/>
        <v>0</v>
      </c>
      <c s="125">
        <f t="shared" si="165" ref="E171:AG171">E124-E148</f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6" ref="AH171:BM171">AH124-AH148</f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</row>
    <row r="172" spans="2:65" ht="15" customHeight="1">
      <c r="B172" s="12" t="str">
        <f t="shared" si="141"/>
        <v>Продукт 14</v>
      </c>
      <c s="124" t="str">
        <f t="shared" si="134"/>
        <v>тыс. руб.</v>
      </c>
      <c s="276">
        <f t="shared" si="142"/>
        <v>0</v>
      </c>
      <c s="125">
        <f t="shared" si="167" ref="E172:AG172">E125-E149</f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8" ref="AH172:BM172">AH125-AH149</f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</row>
    <row r="173" spans="2:65" ht="15" customHeight="1">
      <c r="B173" s="12" t="str">
        <f t="shared" si="141"/>
        <v>Продукт 15</v>
      </c>
      <c s="124" t="str">
        <f t="shared" si="134"/>
        <v>тыс. руб.</v>
      </c>
      <c s="276">
        <f t="shared" si="142"/>
        <v>0</v>
      </c>
      <c s="125">
        <f t="shared" si="169" ref="E173:AG173">E126-E150</f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70" ref="AH173:BM173">AH126-AH150</f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</row>
    <row r="174" spans="2:65" ht="15" customHeight="1">
      <c r="B174" s="12" t="str">
        <f t="shared" si="141"/>
        <v>Продукт 16</v>
      </c>
      <c s="124" t="str">
        <f t="shared" si="134"/>
        <v>тыс. руб.</v>
      </c>
      <c s="276">
        <f t="shared" si="142"/>
        <v>0</v>
      </c>
      <c s="125">
        <f t="shared" si="171" ref="E174:AG174">E127-E151</f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2" ref="AH174:BM174">AH127-AH151</f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</row>
    <row r="175" spans="2:65" ht="15" customHeight="1">
      <c r="B175" s="12" t="str">
        <f t="shared" si="141"/>
        <v>Продукт 17</v>
      </c>
      <c s="124" t="str">
        <f t="shared" si="134"/>
        <v>тыс. руб.</v>
      </c>
      <c s="276">
        <f t="shared" si="142"/>
        <v>0</v>
      </c>
      <c s="125">
        <f t="shared" si="173" ref="E175:AG175">E128-E152</f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4" ref="AH175:BM175">AH128-AH152</f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</row>
    <row r="176" spans="2:65" ht="15" customHeight="1">
      <c r="B176" s="12" t="str">
        <f t="shared" si="141"/>
        <v>Продукт 18</v>
      </c>
      <c s="124" t="str">
        <f t="shared" si="134"/>
        <v>тыс. руб.</v>
      </c>
      <c s="276">
        <f t="shared" si="142"/>
        <v>0</v>
      </c>
      <c s="125">
        <f t="shared" si="175" ref="E176:AG176">E129-E153</f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6" ref="AH176:BM176">AH129-AH153</f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</row>
    <row r="177" spans="2:65" ht="15" customHeight="1">
      <c r="B177" s="12" t="str">
        <f t="shared" si="141"/>
        <v>Продукт 19</v>
      </c>
      <c s="124" t="str">
        <f t="shared" si="134"/>
        <v>тыс. руб.</v>
      </c>
      <c s="276">
        <f t="shared" si="142"/>
        <v>0</v>
      </c>
      <c s="125">
        <f t="shared" si="177" ref="E177:AG177">E130-E154</f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8" ref="AH177:BM177">AH130-AH154</f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</row>
    <row r="178" spans="2:65" ht="15" customHeight="1">
      <c r="B178" s="12" t="str">
        <f t="shared" si="141"/>
        <v>Продукт 20</v>
      </c>
      <c s="124" t="str">
        <f t="shared" si="134"/>
        <v>тыс. руб.</v>
      </c>
      <c s="276">
        <f t="shared" si="142"/>
        <v>0</v>
      </c>
      <c s="125">
        <f t="shared" si="179" ref="E178:AG178">E131-E155</f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80" ref="AH178:BM178">AH131-AH155</f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</row>
    <row r="179" spans="2:65" ht="15" customHeight="1">
      <c r="B179" s="289" t="s">
        <v>454</v>
      </c>
      <c s="290" t="str">
        <f t="shared" si="134"/>
        <v>тыс. руб.</v>
      </c>
      <c s="291">
        <f>SUM(D159:D178)</f>
        <v>0</v>
      </c>
      <c s="276">
        <f>SUM(E159:E178)</f>
        <v>0</v>
      </c>
      <c s="276">
        <f t="shared" si="181" ref="F179:AG179">SUM(F159:F178)</f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1"/>
        <v>0</v>
      </c>
      <c s="276">
        <f t="shared" si="182" ref="AH179:BM179">SUM(AH159:AH178)</f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  <c s="276">
        <f t="shared" si="182"/>
        <v>0</v>
      </c>
    </row>
    <row r="180" ht="15" customHeight="1"/>
  </sheetData>
  <sheetProtection algorithmName="SHA-512" hashValue="e+3Qu8/NimTVOcNrNRDMfTNxMYlvlPaMlU9iDgMo4VjhWfxDGvqkGCleegamAIeGRL0ZXoRZ8e2kfH2BNpRuTA==" saltValue="K57LU2XsBwYNw2MWrNcwCA==" spinCount="100000" sheet="1" objects="1" scenarios="1"/>
  <mergeCells count="5">
    <mergeCell ref="B6:B8"/>
    <mergeCell ref="C6:C8"/>
    <mergeCell ref="D6:D8"/>
    <mergeCell ref="E2:H2"/>
    <mergeCell ref="E4:G4"/>
  </mergeCells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0"/>
    <pageSetUpPr fitToPage="1"/>
  </sheetPr>
  <dimension ref="B2:BS702"/>
  <sheetViews>
    <sheetView showGridLines="0" workbookViewId="0" topLeftCell="A1">
      <pane xSplit="4" ySplit="8" topLeftCell="E9" activePane="bottomRight" state="frozen"/>
      <selection pane="topLeft" activeCell="A1" sqref="A1"/>
      <selection pane="bottomLeft" activeCell="A1" sqref="A1"/>
      <selection pane="topRight" activeCell="A1" sqref="A1"/>
      <selection pane="bottomRight" activeCell="I2" sqref="I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65" width="17.2857142857143" customWidth="1"/>
    <col min="66" max="66" width="2.71428571428571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14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BM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0"/>
        <v>30</v>
      </c>
      <c s="255">
        <f t="shared" si="0"/>
        <v>31</v>
      </c>
      <c s="255">
        <f t="shared" si="0"/>
        <v>32</v>
      </c>
      <c s="255">
        <f t="shared" si="0"/>
        <v>33</v>
      </c>
      <c s="255">
        <f t="shared" si="0"/>
        <v>34</v>
      </c>
      <c s="255">
        <f t="shared" si="0"/>
        <v>35</v>
      </c>
      <c s="255">
        <f t="shared" si="0"/>
        <v>36</v>
      </c>
      <c s="255">
        <f t="shared" si="0"/>
        <v>37</v>
      </c>
      <c s="255">
        <f t="shared" si="0"/>
        <v>38</v>
      </c>
      <c s="255">
        <f t="shared" si="0"/>
        <v>39</v>
      </c>
      <c s="255">
        <f t="shared" si="0"/>
        <v>40</v>
      </c>
      <c s="255">
        <f t="shared" si="0"/>
        <v>41</v>
      </c>
      <c s="255">
        <f t="shared" si="0"/>
        <v>42</v>
      </c>
      <c s="255">
        <f t="shared" si="0"/>
        <v>43</v>
      </c>
      <c s="255">
        <f t="shared" si="0"/>
        <v>44</v>
      </c>
      <c s="255">
        <f t="shared" si="0"/>
        <v>45</v>
      </c>
      <c s="255">
        <f t="shared" si="0"/>
        <v>46</v>
      </c>
      <c s="255">
        <f t="shared" si="0"/>
        <v>47</v>
      </c>
      <c s="255">
        <f t="shared" si="0"/>
        <v>48</v>
      </c>
      <c s="255">
        <f t="shared" si="0"/>
        <v>49</v>
      </c>
      <c s="255">
        <f t="shared" si="0"/>
        <v>50</v>
      </c>
      <c s="255">
        <f t="shared" si="0"/>
        <v>51</v>
      </c>
      <c s="255">
        <f t="shared" si="0"/>
        <v>52</v>
      </c>
      <c s="255">
        <f t="shared" si="0"/>
        <v>53</v>
      </c>
      <c s="255">
        <f t="shared" si="0"/>
        <v>54</v>
      </c>
      <c s="255">
        <f t="shared" si="0"/>
        <v>55</v>
      </c>
      <c s="255">
        <f t="shared" si="0"/>
        <v>56</v>
      </c>
      <c s="255">
        <f t="shared" si="0"/>
        <v>57</v>
      </c>
      <c s="255">
        <f t="shared" si="0"/>
        <v>58</v>
      </c>
      <c s="255">
        <f t="shared" si="0"/>
        <v>59</v>
      </c>
      <c s="255">
        <f t="shared" si="0"/>
        <v>60</v>
      </c>
      <c s="255">
        <f t="shared" si="0"/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65" ht="15" customHeight="1">
      <c r="B10" s="12" t="s">
        <v>816</v>
      </c>
      <c s="124" t="s">
        <v>817</v>
      </c>
      <c s="124"/>
      <c s="126">
        <f>LOOKUP(YEAR(E$8),Предпосылки!$C$480:$R$480,Ставки_НДС_основная)</f>
        <v>0.20000000000000001</v>
      </c>
      <c s="126">
        <f>LOOKUP(YEAR(F$8),Предпосылки!$C$480:$R$480,Ставки_НДС_основная)</f>
        <v>0.20000000000000001</v>
      </c>
      <c s="126">
        <f>LOOKUP(YEAR(G$8),Предпосылки!$C$480:$R$480,Ставки_НДС_основная)</f>
        <v>0.20000000000000001</v>
      </c>
      <c s="126">
        <f>LOOKUP(YEAR(H$8),Предпосылки!$C$480:$R$480,Ставки_НДС_основная)</f>
        <v>0.20000000000000001</v>
      </c>
      <c s="126">
        <f>LOOKUP(YEAR(I$8),Предпосылки!$C$480:$R$480,Ставки_НДС_основная)</f>
        <v>0.20000000000000001</v>
      </c>
      <c s="126">
        <f>LOOKUP(YEAR(J$8),Предпосылки!$C$480:$R$480,Ставки_НДС_основная)</f>
        <v>0.20000000000000001</v>
      </c>
      <c s="126">
        <f>LOOKUP(YEAR(K$8),Предпосылки!$C$480:$R$480,Ставки_НДС_основная)</f>
        <v>0.20000000000000001</v>
      </c>
      <c s="126">
        <f>LOOKUP(YEAR(L$8),Предпосылки!$C$480:$R$480,Ставки_НДС_основная)</f>
        <v>0.20000000000000001</v>
      </c>
      <c s="126">
        <f>LOOKUP(YEAR(M$8),Предпосылки!$C$480:$R$480,Ставки_НДС_основная)</f>
        <v>0.20000000000000001</v>
      </c>
      <c s="126">
        <f>LOOKUP(YEAR(N$8),Предпосылки!$C$480:$R$480,Ставки_НДС_основная)</f>
        <v>0.20000000000000001</v>
      </c>
      <c s="126">
        <f>LOOKUP(YEAR(O$8),Предпосылки!$C$480:$R$480,Ставки_НДС_основная)</f>
        <v>0.20000000000000001</v>
      </c>
      <c s="126">
        <f>LOOKUP(YEAR(P$8),Предпосылки!$C$480:$R$480,Ставки_НДС_основная)</f>
        <v>0.20000000000000001</v>
      </c>
      <c s="126">
        <f>LOOKUP(YEAR(Q$8),Предпосылки!$C$480:$R$480,Ставки_НДС_основная)</f>
        <v>0.20000000000000001</v>
      </c>
      <c s="126">
        <f>LOOKUP(YEAR(R$8),Предпосылки!$C$480:$R$480,Ставки_НДС_основная)</f>
        <v>0.20000000000000001</v>
      </c>
      <c s="126">
        <f>LOOKUP(YEAR(S$8),Предпосылки!$C$480:$R$480,Ставки_НДС_основная)</f>
        <v>0.20000000000000001</v>
      </c>
      <c s="126">
        <f>LOOKUP(YEAR(T$8),Предпосылки!$C$480:$R$480,Ставки_НДС_основная)</f>
        <v>0.20000000000000001</v>
      </c>
      <c s="126">
        <f>LOOKUP(YEAR(U$8),Предпосылки!$C$480:$R$480,Ставки_НДС_основная)</f>
        <v>0.20000000000000001</v>
      </c>
      <c s="126">
        <f>LOOKUP(YEAR(V$8),Предпосылки!$C$480:$R$480,Ставки_НДС_основная)</f>
        <v>0.20000000000000001</v>
      </c>
      <c s="126">
        <f>LOOKUP(YEAR(W$8),Предпосылки!$C$480:$R$480,Ставки_НДС_основная)</f>
        <v>0.20000000000000001</v>
      </c>
      <c s="126">
        <f>LOOKUP(YEAR(X$8),Предпосылки!$C$480:$R$480,Ставки_НДС_основная)</f>
        <v>0.20000000000000001</v>
      </c>
      <c s="126">
        <f>LOOKUP(YEAR(Y$8),Предпосылки!$C$480:$R$480,Ставки_НДС_основная)</f>
        <v>0.20000000000000001</v>
      </c>
      <c s="126">
        <f>LOOKUP(YEAR(Z$8),Предпосылки!$C$480:$R$480,Ставки_НДС_основная)</f>
        <v>0.20000000000000001</v>
      </c>
      <c s="126">
        <f>LOOKUP(YEAR(AA$8),Предпосылки!$C$480:$R$480,Ставки_НДС_основная)</f>
        <v>0.20000000000000001</v>
      </c>
      <c s="126">
        <f>LOOKUP(YEAR(AB$8),Предпосылки!$C$480:$R$480,Ставки_НДС_основная)</f>
        <v>0.20000000000000001</v>
      </c>
      <c s="126">
        <f>LOOKUP(YEAR(AC$8),Предпосылки!$C$480:$R$480,Ставки_НДС_основная)</f>
        <v>0.20000000000000001</v>
      </c>
      <c s="126">
        <f>LOOKUP(YEAR(AD$8),Предпосылки!$C$480:$R$480,Ставки_НДС_основная)</f>
        <v>0.20000000000000001</v>
      </c>
      <c s="126">
        <f>LOOKUP(YEAR(AE$8),Предпосылки!$C$480:$R$480,Ставки_НДС_основная)</f>
        <v>0.20000000000000001</v>
      </c>
      <c s="126">
        <f>LOOKUP(YEAR(AF$8),Предпосылки!$C$480:$R$480,Ставки_НДС_основная)</f>
        <v>0.20000000000000001</v>
      </c>
      <c s="126">
        <f>LOOKUP(YEAR(AG$8),Предпосылки!$C$480:$R$480,Ставки_НДС_основная)</f>
        <v>0.20000000000000001</v>
      </c>
      <c s="126">
        <f>LOOKUP(YEAR(AH$8),Предпосылки!$C$480:$R$480,Ставки_НДС_основная)</f>
        <v>0.20000000000000001</v>
      </c>
      <c s="126">
        <f>LOOKUP(YEAR(AI$8),Предпосылки!$C$480:$R$480,Ставки_НДС_основная)</f>
        <v>0.20000000000000001</v>
      </c>
      <c s="126">
        <f>LOOKUP(YEAR(AJ$8),Предпосылки!$C$480:$R$480,Ставки_НДС_основная)</f>
        <v>0.20000000000000001</v>
      </c>
      <c s="126">
        <f>LOOKUP(YEAR(AK$8),Предпосылки!$C$480:$R$480,Ставки_НДС_основная)</f>
        <v>0.20000000000000001</v>
      </c>
      <c s="126">
        <f>LOOKUP(YEAR(AL$8),Предпосылки!$C$480:$R$480,Ставки_НДС_основная)</f>
        <v>0.20000000000000001</v>
      </c>
      <c s="126">
        <f>LOOKUP(YEAR(AM$8),Предпосылки!$C$480:$R$480,Ставки_НДС_основная)</f>
        <v>0.20000000000000001</v>
      </c>
      <c s="126">
        <f>LOOKUP(YEAR(AN$8),Предпосылки!$C$480:$R$480,Ставки_НДС_основная)</f>
        <v>0.20000000000000001</v>
      </c>
      <c s="126">
        <f>LOOKUP(YEAR(AO$8),Предпосылки!$C$480:$R$480,Ставки_НДС_основная)</f>
        <v>0.20000000000000001</v>
      </c>
      <c s="126">
        <f>LOOKUP(YEAR(AP$8),Предпосылки!$C$480:$R$480,Ставки_НДС_основная)</f>
        <v>0.20000000000000001</v>
      </c>
      <c s="126">
        <f>LOOKUP(YEAR(AQ$8),Предпосылки!$C$480:$R$480,Ставки_НДС_основная)</f>
        <v>0.20000000000000001</v>
      </c>
      <c s="126">
        <f>LOOKUP(YEAR(AR$8),Предпосылки!$C$480:$R$480,Ставки_НДС_основная)</f>
        <v>0.20000000000000001</v>
      </c>
      <c s="126">
        <f>LOOKUP(YEAR(AS$8),Предпосылки!$C$480:$R$480,Ставки_НДС_основная)</f>
        <v>0.20000000000000001</v>
      </c>
      <c s="126">
        <f>LOOKUP(YEAR(AT$8),Предпосылки!$C$480:$R$480,Ставки_НДС_основная)</f>
        <v>0.20000000000000001</v>
      </c>
      <c s="126">
        <f>LOOKUP(YEAR(AU$8),Предпосылки!$C$480:$R$480,Ставки_НДС_основная)</f>
        <v>0.20000000000000001</v>
      </c>
      <c s="126">
        <f>LOOKUP(YEAR(AV$8),Предпосылки!$C$480:$R$480,Ставки_НДС_основная)</f>
        <v>0.20000000000000001</v>
      </c>
      <c s="126">
        <f>LOOKUP(YEAR(AW$8),Предпосылки!$C$480:$R$480,Ставки_НДС_основная)</f>
        <v>0.20000000000000001</v>
      </c>
      <c s="126">
        <f>LOOKUP(YEAR(AX$8),Предпосылки!$C$480:$R$480,Ставки_НДС_основная)</f>
        <v>0.20000000000000001</v>
      </c>
      <c s="126">
        <f>LOOKUP(YEAR(AY$8),Предпосылки!$C$480:$R$480,Ставки_НДС_основная)</f>
        <v>0.20000000000000001</v>
      </c>
      <c s="126">
        <f>LOOKUP(YEAR(AZ$8),Предпосылки!$C$480:$R$480,Ставки_НДС_основная)</f>
        <v>0.20000000000000001</v>
      </c>
      <c s="126">
        <f>LOOKUP(YEAR(BA$8),Предпосылки!$C$480:$R$480,Ставки_НДС_основная)</f>
        <v>0.20000000000000001</v>
      </c>
      <c s="126">
        <f>LOOKUP(YEAR(BB$8),Предпосылки!$C$480:$R$480,Ставки_НДС_основная)</f>
        <v>0.20000000000000001</v>
      </c>
      <c s="126">
        <f>LOOKUP(YEAR(BC$8),Предпосылки!$C$480:$R$480,Ставки_НДС_основная)</f>
        <v>0.20000000000000001</v>
      </c>
      <c s="126">
        <f>LOOKUP(YEAR(BD$8),Предпосылки!$C$480:$R$480,Ставки_НДС_основная)</f>
        <v>0.20000000000000001</v>
      </c>
      <c s="126">
        <f>LOOKUP(YEAR(BE$8),Предпосылки!$C$480:$R$480,Ставки_НДС_основная)</f>
        <v>0.20000000000000001</v>
      </c>
      <c s="126">
        <f>LOOKUP(YEAR(BF$8),Предпосылки!$C$480:$R$480,Ставки_НДС_основная)</f>
        <v>0.20000000000000001</v>
      </c>
      <c s="126">
        <f>LOOKUP(YEAR(BG$8),Предпосылки!$C$480:$R$480,Ставки_НДС_основная)</f>
        <v>0.20000000000000001</v>
      </c>
      <c s="126">
        <f>LOOKUP(YEAR(BH$8),Предпосылки!$C$480:$R$480,Ставки_НДС_основная)</f>
        <v>0.20000000000000001</v>
      </c>
      <c s="126">
        <f>LOOKUP(YEAR(BI$8),Предпосылки!$C$480:$R$480,Ставки_НДС_основная)</f>
        <v>0.20000000000000001</v>
      </c>
      <c s="126">
        <f>LOOKUP(YEAR(BJ$8),Предпосылки!$C$480:$R$480,Ставки_НДС_основная)</f>
        <v>0.20000000000000001</v>
      </c>
      <c s="126">
        <f>LOOKUP(YEAR(BK$8),Предпосылки!$C$480:$R$480,Ставки_НДС_основная)</f>
        <v>0.20000000000000001</v>
      </c>
      <c s="126">
        <f>LOOKUP(YEAR(BL$8),Предпосылки!$C$480:$R$480,Ставки_НДС_основная)</f>
        <v>0.20000000000000001</v>
      </c>
      <c s="126">
        <f>LOOKUP(YEAR(BM$8),Предпосылки!$C$480:$R$480,Ставки_НДС_основная)</f>
        <v>0.20000000000000001</v>
      </c>
    </row>
    <row r="11" spans="2:65" ht="15" customHeight="1">
      <c r="B11" s="12" t="s">
        <v>844</v>
      </c>
      <c s="124" t="s">
        <v>817</v>
      </c>
      <c s="124"/>
      <c s="126">
        <f>LOOKUP(YEAR(E$8),Предпосылки!$C$480:$R$480,Ставки_НДС_льготная)</f>
        <v>0.10000000000000001</v>
      </c>
      <c s="126">
        <f>LOOKUP(YEAR(F$8),Предпосылки!$C$480:$R$480,Ставки_НДС_льготная)</f>
        <v>0.10000000000000001</v>
      </c>
      <c s="126">
        <f>LOOKUP(YEAR(G$8),Предпосылки!$C$480:$R$480,Ставки_НДС_льготная)</f>
        <v>0.10000000000000001</v>
      </c>
      <c s="126">
        <f>LOOKUP(YEAR(H$8),Предпосылки!$C$480:$R$480,Ставки_НДС_льготная)</f>
        <v>0.10000000000000001</v>
      </c>
      <c s="126">
        <f>LOOKUP(YEAR(I$8),Предпосылки!$C$480:$R$480,Ставки_НДС_льготная)</f>
        <v>0.10000000000000001</v>
      </c>
      <c s="126">
        <f>LOOKUP(YEAR(J$8),Предпосылки!$C$480:$R$480,Ставки_НДС_льготная)</f>
        <v>0.10000000000000001</v>
      </c>
      <c s="126">
        <f>LOOKUP(YEAR(K$8),Предпосылки!$C$480:$R$480,Ставки_НДС_льготная)</f>
        <v>0.10000000000000001</v>
      </c>
      <c s="126">
        <f>LOOKUP(YEAR(L$8),Предпосылки!$C$480:$R$480,Ставки_НДС_льготная)</f>
        <v>0.10000000000000001</v>
      </c>
      <c s="126">
        <f>LOOKUP(YEAR(M$8),Предпосылки!$C$480:$R$480,Ставки_НДС_льготная)</f>
        <v>0.10000000000000001</v>
      </c>
      <c s="126">
        <f>LOOKUP(YEAR(N$8),Предпосылки!$C$480:$R$480,Ставки_НДС_льготная)</f>
        <v>0.10000000000000001</v>
      </c>
      <c s="126">
        <f>LOOKUP(YEAR(O$8),Предпосылки!$C$480:$R$480,Ставки_НДС_льготная)</f>
        <v>0.10000000000000001</v>
      </c>
      <c s="126">
        <f>LOOKUP(YEAR(P$8),Предпосылки!$C$480:$R$480,Ставки_НДС_льготная)</f>
        <v>0.10000000000000001</v>
      </c>
      <c s="126">
        <f>LOOKUP(YEAR(Q$8),Предпосылки!$C$480:$R$480,Ставки_НДС_льготная)</f>
        <v>0.10000000000000001</v>
      </c>
      <c s="126">
        <f>LOOKUP(YEAR(R$8),Предпосылки!$C$480:$R$480,Ставки_НДС_льготная)</f>
        <v>0.10000000000000001</v>
      </c>
      <c s="126">
        <f>LOOKUP(YEAR(S$8),Предпосылки!$C$480:$R$480,Ставки_НДС_льготная)</f>
        <v>0.10000000000000001</v>
      </c>
      <c s="126">
        <f>LOOKUP(YEAR(T$8),Предпосылки!$C$480:$R$480,Ставки_НДС_льготная)</f>
        <v>0.10000000000000001</v>
      </c>
      <c s="126">
        <f>LOOKUP(YEAR(U$8),Предпосылки!$C$480:$R$480,Ставки_НДС_льготная)</f>
        <v>0.10000000000000001</v>
      </c>
      <c s="126">
        <f>LOOKUP(YEAR(V$8),Предпосылки!$C$480:$R$480,Ставки_НДС_льготная)</f>
        <v>0.10000000000000001</v>
      </c>
      <c s="126">
        <f>LOOKUP(YEAR(W$8),Предпосылки!$C$480:$R$480,Ставки_НДС_льготная)</f>
        <v>0.10000000000000001</v>
      </c>
      <c s="126">
        <f>LOOKUP(YEAR(X$8),Предпосылки!$C$480:$R$480,Ставки_НДС_льготная)</f>
        <v>0.10000000000000001</v>
      </c>
      <c s="126">
        <f>LOOKUP(YEAR(Y$8),Предпосылки!$C$480:$R$480,Ставки_НДС_льготная)</f>
        <v>0.10000000000000001</v>
      </c>
      <c s="126">
        <f>LOOKUP(YEAR(Z$8),Предпосылки!$C$480:$R$480,Ставки_НДС_льготная)</f>
        <v>0.10000000000000001</v>
      </c>
      <c s="126">
        <f>LOOKUP(YEAR(AA$8),Предпосылки!$C$480:$R$480,Ставки_НДС_льготная)</f>
        <v>0.10000000000000001</v>
      </c>
      <c s="126">
        <f>LOOKUP(YEAR(AB$8),Предпосылки!$C$480:$R$480,Ставки_НДС_льготная)</f>
        <v>0.10000000000000001</v>
      </c>
      <c s="126">
        <f>LOOKUP(YEAR(AC$8),Предпосылки!$C$480:$R$480,Ставки_НДС_льготная)</f>
        <v>0.10000000000000001</v>
      </c>
      <c s="126">
        <f>LOOKUP(YEAR(AD$8),Предпосылки!$C$480:$R$480,Ставки_НДС_льготная)</f>
        <v>0.10000000000000001</v>
      </c>
      <c s="126">
        <f>LOOKUP(YEAR(AE$8),Предпосылки!$C$480:$R$480,Ставки_НДС_льготная)</f>
        <v>0.10000000000000001</v>
      </c>
      <c s="126">
        <f>LOOKUP(YEAR(AF$8),Предпосылки!$C$480:$R$480,Ставки_НДС_льготная)</f>
        <v>0.10000000000000001</v>
      </c>
      <c s="126">
        <f>LOOKUP(YEAR(AG$8),Предпосылки!$C$480:$R$480,Ставки_НДС_льготная)</f>
        <v>0.10000000000000001</v>
      </c>
      <c s="126">
        <f>LOOKUP(YEAR(AH$8),Предпосылки!$C$480:$R$480,Ставки_НДС_льготная)</f>
        <v>0.10000000000000001</v>
      </c>
      <c s="126">
        <f>LOOKUP(YEAR(AI$8),Предпосылки!$C$480:$R$480,Ставки_НДС_льготная)</f>
        <v>0.10000000000000001</v>
      </c>
      <c s="126">
        <f>LOOKUP(YEAR(AJ$8),Предпосылки!$C$480:$R$480,Ставки_НДС_льготная)</f>
        <v>0.10000000000000001</v>
      </c>
      <c s="126">
        <f>LOOKUP(YEAR(AK$8),Предпосылки!$C$480:$R$480,Ставки_НДС_льготная)</f>
        <v>0.10000000000000001</v>
      </c>
      <c s="126">
        <f>LOOKUP(YEAR(AL$8),Предпосылки!$C$480:$R$480,Ставки_НДС_льготная)</f>
        <v>0.10000000000000001</v>
      </c>
      <c s="126">
        <f>LOOKUP(YEAR(AM$8),Предпосылки!$C$480:$R$480,Ставки_НДС_льготная)</f>
        <v>0.10000000000000001</v>
      </c>
      <c s="126">
        <f>LOOKUP(YEAR(AN$8),Предпосылки!$C$480:$R$480,Ставки_НДС_льготная)</f>
        <v>0.10000000000000001</v>
      </c>
      <c s="126">
        <f>LOOKUP(YEAR(AO$8),Предпосылки!$C$480:$R$480,Ставки_НДС_льготная)</f>
        <v>0.10000000000000001</v>
      </c>
      <c s="126">
        <f>LOOKUP(YEAR(AP$8),Предпосылки!$C$480:$R$480,Ставки_НДС_льготная)</f>
        <v>0.10000000000000001</v>
      </c>
      <c s="126">
        <f>LOOKUP(YEAR(AQ$8),Предпосылки!$C$480:$R$480,Ставки_НДС_льготная)</f>
        <v>0.10000000000000001</v>
      </c>
      <c s="126">
        <f>LOOKUP(YEAR(AR$8),Предпосылки!$C$480:$R$480,Ставки_НДС_льготная)</f>
        <v>0.10000000000000001</v>
      </c>
      <c s="126">
        <f>LOOKUP(YEAR(AS$8),Предпосылки!$C$480:$R$480,Ставки_НДС_льготная)</f>
        <v>0.10000000000000001</v>
      </c>
      <c s="126">
        <f>LOOKUP(YEAR(AT$8),Предпосылки!$C$480:$R$480,Ставки_НДС_льготная)</f>
        <v>0.10000000000000001</v>
      </c>
      <c s="126">
        <f>LOOKUP(YEAR(AU$8),Предпосылки!$C$480:$R$480,Ставки_НДС_льготная)</f>
        <v>0.10000000000000001</v>
      </c>
      <c s="126">
        <f>LOOKUP(YEAR(AV$8),Предпосылки!$C$480:$R$480,Ставки_НДС_льготная)</f>
        <v>0.10000000000000001</v>
      </c>
      <c s="126">
        <f>LOOKUP(YEAR(AW$8),Предпосылки!$C$480:$R$480,Ставки_НДС_льготная)</f>
        <v>0.10000000000000001</v>
      </c>
      <c s="126">
        <f>LOOKUP(YEAR(AX$8),Предпосылки!$C$480:$R$480,Ставки_НДС_льготная)</f>
        <v>0.10000000000000001</v>
      </c>
      <c s="126">
        <f>LOOKUP(YEAR(AY$8),Предпосылки!$C$480:$R$480,Ставки_НДС_льготная)</f>
        <v>0.10000000000000001</v>
      </c>
      <c s="126">
        <f>LOOKUP(YEAR(AZ$8),Предпосылки!$C$480:$R$480,Ставки_НДС_льготная)</f>
        <v>0.10000000000000001</v>
      </c>
      <c s="126">
        <f>LOOKUP(YEAR(BA$8),Предпосылки!$C$480:$R$480,Ставки_НДС_льготная)</f>
        <v>0.10000000000000001</v>
      </c>
      <c s="126">
        <f>LOOKUP(YEAR(BB$8),Предпосылки!$C$480:$R$480,Ставки_НДС_льготная)</f>
        <v>0.10000000000000001</v>
      </c>
      <c s="126">
        <f>LOOKUP(YEAR(BC$8),Предпосылки!$C$480:$R$480,Ставки_НДС_льготная)</f>
        <v>0.10000000000000001</v>
      </c>
      <c s="126">
        <f>LOOKUP(YEAR(BD$8),Предпосылки!$C$480:$R$480,Ставки_НДС_льготная)</f>
        <v>0.10000000000000001</v>
      </c>
      <c s="126">
        <f>LOOKUP(YEAR(BE$8),Предпосылки!$C$480:$R$480,Ставки_НДС_льготная)</f>
        <v>0.10000000000000001</v>
      </c>
      <c s="126">
        <f>LOOKUP(YEAR(BF$8),Предпосылки!$C$480:$R$480,Ставки_НДС_льготная)</f>
        <v>0.10000000000000001</v>
      </c>
      <c s="126">
        <f>LOOKUP(YEAR(BG$8),Предпосылки!$C$480:$R$480,Ставки_НДС_льготная)</f>
        <v>0.10000000000000001</v>
      </c>
      <c s="126">
        <f>LOOKUP(YEAR(BH$8),Предпосылки!$C$480:$R$480,Ставки_НДС_льготная)</f>
        <v>0.10000000000000001</v>
      </c>
      <c s="126">
        <f>LOOKUP(YEAR(BI$8),Предпосылки!$C$480:$R$480,Ставки_НДС_льготная)</f>
        <v>0.10000000000000001</v>
      </c>
      <c s="126">
        <f>LOOKUP(YEAR(BJ$8),Предпосылки!$C$480:$R$480,Ставки_НДС_льготная)</f>
        <v>0.10000000000000001</v>
      </c>
      <c s="126">
        <f>LOOKUP(YEAR(BK$8),Предпосылки!$C$480:$R$480,Ставки_НДС_льготная)</f>
        <v>0.10000000000000001</v>
      </c>
      <c s="126">
        <f>LOOKUP(YEAR(BL$8),Предпосылки!$C$480:$R$480,Ставки_НДС_льготная)</f>
        <v>0.10000000000000001</v>
      </c>
      <c s="126">
        <f>LOOKUP(YEAR(BM$8),Предпосылки!$C$480:$R$480,Ставки_НДС_льготная)</f>
        <v>0.10000000000000001</v>
      </c>
    </row>
    <row r="12" ht="15" customHeight="1"/>
    <row r="13" spans="2:65" ht="15" customHeight="1">
      <c r="B13" s="12" t="str">
        <f>Предпосылки!B476</f>
        <v>Курс USD/RUB</v>
      </c>
      <c s="124">
        <v>2</v>
      </c>
      <c s="125"/>
      <c s="125">
        <f>IF(ISBLANK(LOOKUP(YEAR(E$8),Предпосылки!$C$475:$R$475,Предпосылки!$C476:$R476)),1,LOOKUP(YEAR(E$8),Предпосылки!$C$475:$R$475,Предпосылки!$C476:$R476))*(1+Чувствительность!$D$28)</f>
        <v>90</v>
      </c>
      <c s="125">
        <f>IF(ISBLANK(LOOKUP(YEAR(F$8),Предпосылки!$C$475:$R$475,Предпосылки!$C476:$R476)),1,LOOKUP(YEAR(F$8),Предпосылки!$C$475:$R$475,Предпосылки!$C476:$R476))*(1+Чувствительность!$D$28)</f>
        <v>90</v>
      </c>
      <c s="125">
        <f>IF(ISBLANK(LOOKUP(YEAR(G$8),Предпосылки!$C$475:$R$475,Предпосылки!$C476:$R476)),1,LOOKUP(YEAR(G$8),Предпосылки!$C$475:$R$475,Предпосылки!$C476:$R476))*(1+Чувствительность!$D$28)</f>
        <v>90</v>
      </c>
      <c s="125">
        <f>IF(ISBLANK(LOOKUP(YEAR(H$8),Предпосылки!$C$475:$R$475,Предпосылки!$C476:$R476)),1,LOOKUP(YEAR(H$8),Предпосылки!$C$475:$R$475,Предпосылки!$C476:$R476))*(1+Чувствительность!$D$28)</f>
        <v>90</v>
      </c>
      <c s="125">
        <f>IF(ISBLANK(LOOKUP(YEAR(I$8),Предпосылки!$C$475:$R$475,Предпосылки!$C476:$R476)),1,LOOKUP(YEAR(I$8),Предпосылки!$C$475:$R$475,Предпосылки!$C476:$R476))*(1+Чувствительность!$D$28)</f>
        <v>90</v>
      </c>
      <c s="125">
        <f>IF(ISBLANK(LOOKUP(YEAR(J$8),Предпосылки!$C$475:$R$475,Предпосылки!$C476:$R476)),1,LOOKUP(YEAR(J$8),Предпосылки!$C$475:$R$475,Предпосылки!$C476:$R476))*(1+Чувствительность!$D$28)</f>
        <v>90</v>
      </c>
      <c s="125">
        <f>IF(ISBLANK(LOOKUP(YEAR(K$8),Предпосылки!$C$475:$R$475,Предпосылки!$C476:$R476)),1,LOOKUP(YEAR(K$8),Предпосылки!$C$475:$R$475,Предпосылки!$C476:$R476))*(1+Чувствительность!$D$28)</f>
        <v>90</v>
      </c>
      <c s="125">
        <f>IF(ISBLANK(LOOKUP(YEAR(L$8),Предпосылки!$C$475:$R$475,Предпосылки!$C476:$R476)),1,LOOKUP(YEAR(L$8),Предпосылки!$C$475:$R$475,Предпосылки!$C476:$R476))*(1+Чувствительность!$D$28)</f>
        <v>90</v>
      </c>
      <c s="125">
        <f>IF(ISBLANK(LOOKUP(YEAR(M$8),Предпосылки!$C$475:$R$475,Предпосылки!$C476:$R476)),1,LOOKUP(YEAR(M$8),Предпосылки!$C$475:$R$475,Предпосылки!$C476:$R476))*(1+Чувствительность!$D$28)</f>
        <v>90</v>
      </c>
      <c s="125">
        <f>IF(ISBLANK(LOOKUP(YEAR(N$8),Предпосылки!$C$475:$R$475,Предпосылки!$C476:$R476)),1,LOOKUP(YEAR(N$8),Предпосылки!$C$475:$R$475,Предпосылки!$C476:$R476))*(1+Чувствительность!$D$28)</f>
        <v>90</v>
      </c>
      <c s="125">
        <f>IF(ISBLANK(LOOKUP(YEAR(O$8),Предпосылки!$C$475:$R$475,Предпосылки!$C476:$R476)),1,LOOKUP(YEAR(O$8),Предпосылки!$C$475:$R$475,Предпосылки!$C476:$R476))*(1+Чувствительность!$D$28)</f>
        <v>90</v>
      </c>
      <c s="125">
        <f>IF(ISBLANK(LOOKUP(YEAR(P$8),Предпосылки!$C$475:$R$475,Предпосылки!$C476:$R476)),1,LOOKUP(YEAR(P$8),Предпосылки!$C$475:$R$475,Предпосылки!$C476:$R476))*(1+Чувствительность!$D$28)</f>
        <v>90</v>
      </c>
      <c s="125">
        <f>IF(ISBLANK(LOOKUP(YEAR(Q$8),Предпосылки!$C$475:$R$475,Предпосылки!$C476:$R476)),1,LOOKUP(YEAR(Q$8),Предпосылки!$C$475:$R$475,Предпосылки!$C476:$R476))*(1+Чувствительность!$D$28)</f>
        <v>90</v>
      </c>
      <c s="125">
        <f>IF(ISBLANK(LOOKUP(YEAR(R$8),Предпосылки!$C$475:$R$475,Предпосылки!$C476:$R476)),1,LOOKUP(YEAR(R$8),Предпосылки!$C$475:$R$475,Предпосылки!$C476:$R476))*(1+Чувствительность!$D$28)</f>
        <v>90</v>
      </c>
      <c s="125">
        <f>IF(ISBLANK(LOOKUP(YEAR(S$8),Предпосылки!$C$475:$R$475,Предпосылки!$C476:$R476)),1,LOOKUP(YEAR(S$8),Предпосылки!$C$475:$R$475,Предпосылки!$C476:$R476))*(1+Чувствительность!$D$28)</f>
        <v>90</v>
      </c>
      <c s="125">
        <f>IF(ISBLANK(LOOKUP(YEAR(T$8),Предпосылки!$C$475:$R$475,Предпосылки!$C476:$R476)),1,LOOKUP(YEAR(T$8),Предпосылки!$C$475:$R$475,Предпосылки!$C476:$R476))*(1+Чувствительность!$D$28)</f>
        <v>90</v>
      </c>
      <c s="125">
        <f>IF(ISBLANK(LOOKUP(YEAR(U$8),Предпосылки!$C$475:$R$475,Предпосылки!$C476:$R476)),1,LOOKUP(YEAR(U$8),Предпосылки!$C$475:$R$475,Предпосылки!$C476:$R476))*(1+Чувствительность!$D$28)</f>
        <v>90</v>
      </c>
      <c s="125">
        <f>IF(ISBLANK(LOOKUP(YEAR(V$8),Предпосылки!$C$475:$R$475,Предпосылки!$C476:$R476)),1,LOOKUP(YEAR(V$8),Предпосылки!$C$475:$R$475,Предпосылки!$C476:$R476))*(1+Чувствительность!$D$28)</f>
        <v>90</v>
      </c>
      <c s="125">
        <f>IF(ISBLANK(LOOKUP(YEAR(W$8),Предпосылки!$C$475:$R$475,Предпосылки!$C476:$R476)),1,LOOKUP(YEAR(W$8),Предпосылки!$C$475:$R$475,Предпосылки!$C476:$R476))*(1+Чувствительность!$D$28)</f>
        <v>90</v>
      </c>
      <c s="125">
        <f>IF(ISBLANK(LOOKUP(YEAR(X$8),Предпосылки!$C$475:$R$475,Предпосылки!$C476:$R476)),1,LOOKUP(YEAR(X$8),Предпосылки!$C$475:$R$475,Предпосылки!$C476:$R476))*(1+Чувствительность!$D$28)</f>
        <v>90</v>
      </c>
      <c s="125">
        <f>IF(ISBLANK(LOOKUP(YEAR(Y$8),Предпосылки!$C$475:$R$475,Предпосылки!$C476:$R476)),1,LOOKUP(YEAR(Y$8),Предпосылки!$C$475:$R$475,Предпосылки!$C476:$R476))*(1+Чувствительность!$D$28)</f>
        <v>90</v>
      </c>
      <c s="125">
        <f>IF(ISBLANK(LOOKUP(YEAR(Z$8),Предпосылки!$C$475:$R$475,Предпосылки!$C476:$R476)),1,LOOKUP(YEAR(Z$8),Предпосылки!$C$475:$R$475,Предпосылки!$C476:$R476))*(1+Чувствительность!$D$28)</f>
        <v>90</v>
      </c>
      <c s="125">
        <f>IF(ISBLANK(LOOKUP(YEAR(AA$8),Предпосылки!$C$475:$R$475,Предпосылки!$C476:$R476)),1,LOOKUP(YEAR(AA$8),Предпосылки!$C$475:$R$475,Предпосылки!$C476:$R476))*(1+Чувствительность!$D$28)</f>
        <v>90</v>
      </c>
      <c s="125">
        <f>IF(ISBLANK(LOOKUP(YEAR(AB$8),Предпосылки!$C$475:$R$475,Предпосылки!$C476:$R476)),1,LOOKUP(YEAR(AB$8),Предпосылки!$C$475:$R$475,Предпосылки!$C476:$R476))*(1+Чувствительность!$D$28)</f>
        <v>90</v>
      </c>
      <c s="125">
        <f>IF(ISBLANK(LOOKUP(YEAR(AC$8),Предпосылки!$C$475:$R$475,Предпосылки!$C476:$R476)),1,LOOKUP(YEAR(AC$8),Предпосылки!$C$475:$R$475,Предпосылки!$C476:$R476))*(1+Чувствительность!$D$28)</f>
        <v>90</v>
      </c>
      <c s="125">
        <f>IF(ISBLANK(LOOKUP(YEAR(AD$8),Предпосылки!$C$475:$R$475,Предпосылки!$C476:$R476)),1,LOOKUP(YEAR(AD$8),Предпосылки!$C$475:$R$475,Предпосылки!$C476:$R476))*(1+Чувствительность!$D$28)</f>
        <v>90</v>
      </c>
      <c s="125">
        <f>IF(ISBLANK(LOOKUP(YEAR(AE$8),Предпосылки!$C$475:$R$475,Предпосылки!$C476:$R476)),1,LOOKUP(YEAR(AE$8),Предпосылки!$C$475:$R$475,Предпосылки!$C476:$R476))*(1+Чувствительность!$D$28)</f>
        <v>90</v>
      </c>
      <c s="125">
        <f>IF(ISBLANK(LOOKUP(YEAR(AF$8),Предпосылки!$C$475:$R$475,Предпосылки!$C476:$R476)),1,LOOKUP(YEAR(AF$8),Предпосылки!$C$475:$R$475,Предпосылки!$C476:$R476))*(1+Чувствительность!$D$28)</f>
        <v>90</v>
      </c>
      <c s="125">
        <f>IF(ISBLANK(LOOKUP(YEAR(AG$8),Предпосылки!$C$475:$R$475,Предпосылки!$C476:$R476)),1,LOOKUP(YEAR(AG$8),Предпосылки!$C$475:$R$475,Предпосылки!$C476:$R476))*(1+Чувствительность!$D$28)</f>
        <v>90</v>
      </c>
      <c s="125">
        <f>IF(ISBLANK(LOOKUP(YEAR(AH$8),Предпосылки!$C$475:$R$475,Предпосылки!$C476:$R476)),1,LOOKUP(YEAR(AH$8),Предпосылки!$C$475:$R$475,Предпосылки!$C476:$R476))*(1+Чувствительность!$D$28)</f>
        <v>90</v>
      </c>
      <c s="125">
        <f>IF(ISBLANK(LOOKUP(YEAR(AI$8),Предпосылки!$C$475:$R$475,Предпосылки!$C476:$R476)),1,LOOKUP(YEAR(AI$8),Предпосылки!$C$475:$R$475,Предпосылки!$C476:$R476))*(1+Чувствительность!$D$28)</f>
        <v>90</v>
      </c>
      <c s="125">
        <f>IF(ISBLANK(LOOKUP(YEAR(AJ$8),Предпосылки!$C$475:$R$475,Предпосылки!$C476:$R476)),1,LOOKUP(YEAR(AJ$8),Предпосылки!$C$475:$R$475,Предпосылки!$C476:$R476))*(1+Чувствительность!$D$28)</f>
        <v>90</v>
      </c>
      <c s="125">
        <f>IF(ISBLANK(LOOKUP(YEAR(AK$8),Предпосылки!$C$475:$R$475,Предпосылки!$C476:$R476)),1,LOOKUP(YEAR(AK$8),Предпосылки!$C$475:$R$475,Предпосылки!$C476:$R476))*(1+Чувствительность!$D$28)</f>
        <v>90</v>
      </c>
      <c s="125">
        <f>IF(ISBLANK(LOOKUP(YEAR(AL$8),Предпосылки!$C$475:$R$475,Предпосылки!$C476:$R476)),1,LOOKUP(YEAR(AL$8),Предпосылки!$C$475:$R$475,Предпосылки!$C476:$R476))*(1+Чувствительность!$D$28)</f>
        <v>90</v>
      </c>
      <c s="125">
        <f>IF(ISBLANK(LOOKUP(YEAR(AM$8),Предпосылки!$C$475:$R$475,Предпосылки!$C476:$R476)),1,LOOKUP(YEAR(AM$8),Предпосылки!$C$475:$R$475,Предпосылки!$C476:$R476))*(1+Чувствительность!$D$28)</f>
        <v>90</v>
      </c>
      <c s="125">
        <f>IF(ISBLANK(LOOKUP(YEAR(AN$8),Предпосылки!$C$475:$R$475,Предпосылки!$C476:$R476)),1,LOOKUP(YEAR(AN$8),Предпосылки!$C$475:$R$475,Предпосылки!$C476:$R476))*(1+Чувствительность!$D$28)</f>
        <v>90</v>
      </c>
      <c s="125">
        <f>IF(ISBLANK(LOOKUP(YEAR(AO$8),Предпосылки!$C$475:$R$475,Предпосылки!$C476:$R476)),1,LOOKUP(YEAR(AO$8),Предпосылки!$C$475:$R$475,Предпосылки!$C476:$R476))*(1+Чувствительность!$D$28)</f>
        <v>90</v>
      </c>
      <c s="125">
        <f>IF(ISBLANK(LOOKUP(YEAR(AP$8),Предпосылки!$C$475:$R$475,Предпосылки!$C476:$R476)),1,LOOKUP(YEAR(AP$8),Предпосылки!$C$475:$R$475,Предпосылки!$C476:$R476))*(1+Чувствительность!$D$28)</f>
        <v>90</v>
      </c>
      <c s="125">
        <f>IF(ISBLANK(LOOKUP(YEAR(AQ$8),Предпосылки!$C$475:$R$475,Предпосылки!$C476:$R476)),1,LOOKUP(YEAR(AQ$8),Предпосылки!$C$475:$R$475,Предпосылки!$C476:$R476))*(1+Чувствительность!$D$28)</f>
        <v>90</v>
      </c>
      <c s="125">
        <f>IF(ISBLANK(LOOKUP(YEAR(AR$8),Предпосылки!$C$475:$R$475,Предпосылки!$C476:$R476)),1,LOOKUP(YEAR(AR$8),Предпосылки!$C$475:$R$475,Предпосылки!$C476:$R476))*(1+Чувствительность!$D$28)</f>
        <v>90</v>
      </c>
      <c s="125">
        <f>IF(ISBLANK(LOOKUP(YEAR(AS$8),Предпосылки!$C$475:$R$475,Предпосылки!$C476:$R476)),1,LOOKUP(YEAR(AS$8),Предпосылки!$C$475:$R$475,Предпосылки!$C476:$R476))*(1+Чувствительность!$D$28)</f>
        <v>90</v>
      </c>
      <c s="125">
        <f>IF(ISBLANK(LOOKUP(YEAR(AT$8),Предпосылки!$C$475:$R$475,Предпосылки!$C476:$R476)),1,LOOKUP(YEAR(AT$8),Предпосылки!$C$475:$R$475,Предпосылки!$C476:$R476))*(1+Чувствительность!$D$28)</f>
        <v>90</v>
      </c>
      <c s="125">
        <f>IF(ISBLANK(LOOKUP(YEAR(AU$8),Предпосылки!$C$475:$R$475,Предпосылки!$C476:$R476)),1,LOOKUP(YEAR(AU$8),Предпосылки!$C$475:$R$475,Предпосылки!$C476:$R476))*(1+Чувствительность!$D$28)</f>
        <v>90</v>
      </c>
      <c s="125">
        <f>IF(ISBLANK(LOOKUP(YEAR(AV$8),Предпосылки!$C$475:$R$475,Предпосылки!$C476:$R476)),1,LOOKUP(YEAR(AV$8),Предпосылки!$C$475:$R$475,Предпосылки!$C476:$R476))*(1+Чувствительность!$D$28)</f>
        <v>90</v>
      </c>
      <c s="125">
        <f>IF(ISBLANK(LOOKUP(YEAR(AW$8),Предпосылки!$C$475:$R$475,Предпосылки!$C476:$R476)),1,LOOKUP(YEAR(AW$8),Предпосылки!$C$475:$R$475,Предпосылки!$C476:$R476))*(1+Чувствительность!$D$28)</f>
        <v>90</v>
      </c>
      <c s="125">
        <f>IF(ISBLANK(LOOKUP(YEAR(AX$8),Предпосылки!$C$475:$R$475,Предпосылки!$C476:$R476)),1,LOOKUP(YEAR(AX$8),Предпосылки!$C$475:$R$475,Предпосылки!$C476:$R476))*(1+Чувствительность!$D$28)</f>
        <v>90</v>
      </c>
      <c s="125">
        <f>IF(ISBLANK(LOOKUP(YEAR(AY$8),Предпосылки!$C$475:$R$475,Предпосылки!$C476:$R476)),1,LOOKUP(YEAR(AY$8),Предпосылки!$C$475:$R$475,Предпосылки!$C476:$R476))*(1+Чувствительность!$D$28)</f>
        <v>90</v>
      </c>
      <c s="125">
        <f>IF(ISBLANK(LOOKUP(YEAR(AZ$8),Предпосылки!$C$475:$R$475,Предпосылки!$C476:$R476)),1,LOOKUP(YEAR(AZ$8),Предпосылки!$C$475:$R$475,Предпосылки!$C476:$R476))*(1+Чувствительность!$D$28)</f>
        <v>90</v>
      </c>
      <c s="125">
        <f>IF(ISBLANK(LOOKUP(YEAR(BA$8),Предпосылки!$C$475:$R$475,Предпосылки!$C476:$R476)),1,LOOKUP(YEAR(BA$8),Предпосылки!$C$475:$R$475,Предпосылки!$C476:$R476))*(1+Чувствительность!$D$28)</f>
        <v>90</v>
      </c>
      <c s="125">
        <f>IF(ISBLANK(LOOKUP(YEAR(BB$8),Предпосылки!$C$475:$R$475,Предпосылки!$C476:$R476)),1,LOOKUP(YEAR(BB$8),Предпосылки!$C$475:$R$475,Предпосылки!$C476:$R476))*(1+Чувствительность!$D$28)</f>
        <v>90</v>
      </c>
      <c s="125">
        <f>IF(ISBLANK(LOOKUP(YEAR(BC$8),Предпосылки!$C$475:$R$475,Предпосылки!$C476:$R476)),1,LOOKUP(YEAR(BC$8),Предпосылки!$C$475:$R$475,Предпосылки!$C476:$R476))*(1+Чувствительность!$D$28)</f>
        <v>90</v>
      </c>
      <c s="125">
        <f>IF(ISBLANK(LOOKUP(YEAR(BD$8),Предпосылки!$C$475:$R$475,Предпосылки!$C476:$R476)),1,LOOKUP(YEAR(BD$8),Предпосылки!$C$475:$R$475,Предпосылки!$C476:$R476))*(1+Чувствительность!$D$28)</f>
        <v>90</v>
      </c>
      <c s="125">
        <f>IF(ISBLANK(LOOKUP(YEAR(BE$8),Предпосылки!$C$475:$R$475,Предпосылки!$C476:$R476)),1,LOOKUP(YEAR(BE$8),Предпосылки!$C$475:$R$475,Предпосылки!$C476:$R476))*(1+Чувствительность!$D$28)</f>
        <v>90</v>
      </c>
      <c s="125">
        <f>IF(ISBLANK(LOOKUP(YEAR(BF$8),Предпосылки!$C$475:$R$475,Предпосылки!$C476:$R476)),1,LOOKUP(YEAR(BF$8),Предпосылки!$C$475:$R$475,Предпосылки!$C476:$R476))*(1+Чувствительность!$D$28)</f>
        <v>90</v>
      </c>
      <c s="125">
        <f>IF(ISBLANK(LOOKUP(YEAR(BG$8),Предпосылки!$C$475:$R$475,Предпосылки!$C476:$R476)),1,LOOKUP(YEAR(BG$8),Предпосылки!$C$475:$R$475,Предпосылки!$C476:$R476))*(1+Чувствительность!$D$28)</f>
        <v>90</v>
      </c>
      <c s="125">
        <f>IF(ISBLANK(LOOKUP(YEAR(BH$8),Предпосылки!$C$475:$R$475,Предпосылки!$C476:$R476)),1,LOOKUP(YEAR(BH$8),Предпосылки!$C$475:$R$475,Предпосылки!$C476:$R476))*(1+Чувствительность!$D$28)</f>
        <v>90</v>
      </c>
      <c s="125">
        <f>IF(ISBLANK(LOOKUP(YEAR(BI$8),Предпосылки!$C$475:$R$475,Предпосылки!$C476:$R476)),1,LOOKUP(YEAR(BI$8),Предпосылки!$C$475:$R$475,Предпосылки!$C476:$R476))*(1+Чувствительность!$D$28)</f>
        <v>90</v>
      </c>
      <c s="125">
        <f>IF(ISBLANK(LOOKUP(YEAR(BJ$8),Предпосылки!$C$475:$R$475,Предпосылки!$C476:$R476)),1,LOOKUP(YEAR(BJ$8),Предпосылки!$C$475:$R$475,Предпосылки!$C476:$R476))*(1+Чувствительность!$D$28)</f>
        <v>90</v>
      </c>
      <c s="125">
        <f>IF(ISBLANK(LOOKUP(YEAR(BK$8),Предпосылки!$C$475:$R$475,Предпосылки!$C476:$R476)),1,LOOKUP(YEAR(BK$8),Предпосылки!$C$475:$R$475,Предпосылки!$C476:$R476))*(1+Чувствительность!$D$28)</f>
        <v>90</v>
      </c>
      <c s="125">
        <f>IF(ISBLANK(LOOKUP(YEAR(BL$8),Предпосылки!$C$475:$R$475,Предпосылки!$C476:$R476)),1,LOOKUP(YEAR(BL$8),Предпосылки!$C$475:$R$475,Предпосылки!$C476:$R476))*(1+Чувствительность!$D$28)</f>
        <v>90</v>
      </c>
      <c s="125">
        <f>IF(ISBLANK(LOOKUP(YEAR(BM$8),Предпосылки!$C$475:$R$475,Предпосылки!$C476:$R476)),1,LOOKUP(YEAR(BM$8),Предпосылки!$C$475:$R$475,Предпосылки!$C476:$R476))*(1+Чувствительность!$D$28)</f>
        <v>90</v>
      </c>
    </row>
    <row r="14" spans="2:65" ht="15" customHeight="1">
      <c r="B14" s="22" t="str">
        <f>Предпосылки!B477</f>
        <v>Курс CNY/RUB</v>
      </c>
      <c s="124">
        <v>3</v>
      </c>
      <c s="125"/>
      <c s="125">
        <f>IF(ISBLANK(LOOKUP(YEAR(E$8),Предпосылки!$C$475:$R$475,Предпосылки!$C477:$R477)),1,LOOKUP(YEAR(E$8),Предпосылки!$C$475:$R$475,Предпосылки!$C477:$R477))*(1+Чувствительность!$D$28)</f>
        <v>12.5</v>
      </c>
      <c s="125">
        <f>IF(ISBLANK(LOOKUP(YEAR(F$8),Предпосылки!$C$475:$R$475,Предпосылки!$C477:$R477)),1,LOOKUP(YEAR(F$8),Предпосылки!$C$475:$R$475,Предпосылки!$C477:$R477))*(1+Чувствительность!$D$28)</f>
        <v>12.5</v>
      </c>
      <c s="125">
        <f>IF(ISBLANK(LOOKUP(YEAR(G$8),Предпосылки!$C$475:$R$475,Предпосылки!$C477:$R477)),1,LOOKUP(YEAR(G$8),Предпосылки!$C$475:$R$475,Предпосылки!$C477:$R477))*(1+Чувствительность!$D$28)</f>
        <v>12.5</v>
      </c>
      <c s="125">
        <f>IF(ISBLANK(LOOKUP(YEAR(H$8),Предпосылки!$C$475:$R$475,Предпосылки!$C477:$R477)),1,LOOKUP(YEAR(H$8),Предпосылки!$C$475:$R$475,Предпосылки!$C477:$R477))*(1+Чувствительность!$D$28)</f>
        <v>12.5</v>
      </c>
      <c s="125">
        <f>IF(ISBLANK(LOOKUP(YEAR(I$8),Предпосылки!$C$475:$R$475,Предпосылки!$C477:$R477)),1,LOOKUP(YEAR(I$8),Предпосылки!$C$475:$R$475,Предпосылки!$C477:$R477))*(1+Чувствительность!$D$28)</f>
        <v>12.5</v>
      </c>
      <c s="125">
        <f>IF(ISBLANK(LOOKUP(YEAR(J$8),Предпосылки!$C$475:$R$475,Предпосылки!$C477:$R477)),1,LOOKUP(YEAR(J$8),Предпосылки!$C$475:$R$475,Предпосылки!$C477:$R477))*(1+Чувствительность!$D$28)</f>
        <v>12.5</v>
      </c>
      <c s="125">
        <f>IF(ISBLANK(LOOKUP(YEAR(K$8),Предпосылки!$C$475:$R$475,Предпосылки!$C477:$R477)),1,LOOKUP(YEAR(K$8),Предпосылки!$C$475:$R$475,Предпосылки!$C477:$R477))*(1+Чувствительность!$D$28)</f>
        <v>12.5</v>
      </c>
      <c s="125">
        <f>IF(ISBLANK(LOOKUP(YEAR(L$8),Предпосылки!$C$475:$R$475,Предпосылки!$C477:$R477)),1,LOOKUP(YEAR(L$8),Предпосылки!$C$475:$R$475,Предпосылки!$C477:$R477))*(1+Чувствительность!$D$28)</f>
        <v>12.5</v>
      </c>
      <c s="125">
        <f>IF(ISBLANK(LOOKUP(YEAR(M$8),Предпосылки!$C$475:$R$475,Предпосылки!$C477:$R477)),1,LOOKUP(YEAR(M$8),Предпосылки!$C$475:$R$475,Предпосылки!$C477:$R477))*(1+Чувствительность!$D$28)</f>
        <v>12.5</v>
      </c>
      <c s="125">
        <f>IF(ISBLANK(LOOKUP(YEAR(N$8),Предпосылки!$C$475:$R$475,Предпосылки!$C477:$R477)),1,LOOKUP(YEAR(N$8),Предпосылки!$C$475:$R$475,Предпосылки!$C477:$R477))*(1+Чувствительность!$D$28)</f>
        <v>12.5</v>
      </c>
      <c s="125">
        <f>IF(ISBLANK(LOOKUP(YEAR(O$8),Предпосылки!$C$475:$R$475,Предпосылки!$C477:$R477)),1,LOOKUP(YEAR(O$8),Предпосылки!$C$475:$R$475,Предпосылки!$C477:$R477))*(1+Чувствительность!$D$28)</f>
        <v>12.5</v>
      </c>
      <c s="125">
        <f>IF(ISBLANK(LOOKUP(YEAR(P$8),Предпосылки!$C$475:$R$475,Предпосылки!$C477:$R477)),1,LOOKUP(YEAR(P$8),Предпосылки!$C$475:$R$475,Предпосылки!$C477:$R477))*(1+Чувствительность!$D$28)</f>
        <v>12.5</v>
      </c>
      <c s="125">
        <f>IF(ISBLANK(LOOKUP(YEAR(Q$8),Предпосылки!$C$475:$R$475,Предпосылки!$C477:$R477)),1,LOOKUP(YEAR(Q$8),Предпосылки!$C$475:$R$475,Предпосылки!$C477:$R477))*(1+Чувствительность!$D$28)</f>
        <v>12.5</v>
      </c>
      <c s="125">
        <f>IF(ISBLANK(LOOKUP(YEAR(R$8),Предпосылки!$C$475:$R$475,Предпосылки!$C477:$R477)),1,LOOKUP(YEAR(R$8),Предпосылки!$C$475:$R$475,Предпосылки!$C477:$R477))*(1+Чувствительность!$D$28)</f>
        <v>12.5</v>
      </c>
      <c s="125">
        <f>IF(ISBLANK(LOOKUP(YEAR(S$8),Предпосылки!$C$475:$R$475,Предпосылки!$C477:$R477)),1,LOOKUP(YEAR(S$8),Предпосылки!$C$475:$R$475,Предпосылки!$C477:$R477))*(1+Чувствительность!$D$28)</f>
        <v>12.5</v>
      </c>
      <c s="125">
        <f>IF(ISBLANK(LOOKUP(YEAR(T$8),Предпосылки!$C$475:$R$475,Предпосылки!$C477:$R477)),1,LOOKUP(YEAR(T$8),Предпосылки!$C$475:$R$475,Предпосылки!$C477:$R477))*(1+Чувствительность!$D$28)</f>
        <v>12.5</v>
      </c>
      <c s="125">
        <f>IF(ISBLANK(LOOKUP(YEAR(U$8),Предпосылки!$C$475:$R$475,Предпосылки!$C477:$R477)),1,LOOKUP(YEAR(U$8),Предпосылки!$C$475:$R$475,Предпосылки!$C477:$R477))*(1+Чувствительность!$D$28)</f>
        <v>12.5</v>
      </c>
      <c s="125">
        <f>IF(ISBLANK(LOOKUP(YEAR(V$8),Предпосылки!$C$475:$R$475,Предпосылки!$C477:$R477)),1,LOOKUP(YEAR(V$8),Предпосылки!$C$475:$R$475,Предпосылки!$C477:$R477))*(1+Чувствительность!$D$28)</f>
        <v>12.5</v>
      </c>
      <c s="125">
        <f>IF(ISBLANK(LOOKUP(YEAR(W$8),Предпосылки!$C$475:$R$475,Предпосылки!$C477:$R477)),1,LOOKUP(YEAR(W$8),Предпосылки!$C$475:$R$475,Предпосылки!$C477:$R477))*(1+Чувствительность!$D$28)</f>
        <v>12.5</v>
      </c>
      <c s="125">
        <f>IF(ISBLANK(LOOKUP(YEAR(X$8),Предпосылки!$C$475:$R$475,Предпосылки!$C477:$R477)),1,LOOKUP(YEAR(X$8),Предпосылки!$C$475:$R$475,Предпосылки!$C477:$R477))*(1+Чувствительность!$D$28)</f>
        <v>12.5</v>
      </c>
      <c s="125">
        <f>IF(ISBLANK(LOOKUP(YEAR(Y$8),Предпосылки!$C$475:$R$475,Предпосылки!$C477:$R477)),1,LOOKUP(YEAR(Y$8),Предпосылки!$C$475:$R$475,Предпосылки!$C477:$R477))*(1+Чувствительность!$D$28)</f>
        <v>12.5</v>
      </c>
      <c s="125">
        <f>IF(ISBLANK(LOOKUP(YEAR(Z$8),Предпосылки!$C$475:$R$475,Предпосылки!$C477:$R477)),1,LOOKUP(YEAR(Z$8),Предпосылки!$C$475:$R$475,Предпосылки!$C477:$R477))*(1+Чувствительность!$D$28)</f>
        <v>12.5</v>
      </c>
      <c s="125">
        <f>IF(ISBLANK(LOOKUP(YEAR(AA$8),Предпосылки!$C$475:$R$475,Предпосылки!$C477:$R477)),1,LOOKUP(YEAR(AA$8),Предпосылки!$C$475:$R$475,Предпосылки!$C477:$R477))*(1+Чувствительность!$D$28)</f>
        <v>12.5</v>
      </c>
      <c s="125">
        <f>IF(ISBLANK(LOOKUP(YEAR(AB$8),Предпосылки!$C$475:$R$475,Предпосылки!$C477:$R477)),1,LOOKUP(YEAR(AB$8),Предпосылки!$C$475:$R$475,Предпосылки!$C477:$R477))*(1+Чувствительность!$D$28)</f>
        <v>12.5</v>
      </c>
      <c s="125">
        <f>IF(ISBLANK(LOOKUP(YEAR(AC$8),Предпосылки!$C$475:$R$475,Предпосылки!$C477:$R477)),1,LOOKUP(YEAR(AC$8),Предпосылки!$C$475:$R$475,Предпосылки!$C477:$R477))*(1+Чувствительность!$D$28)</f>
        <v>12.5</v>
      </c>
      <c s="125">
        <f>IF(ISBLANK(LOOKUP(YEAR(AD$8),Предпосылки!$C$475:$R$475,Предпосылки!$C477:$R477)),1,LOOKUP(YEAR(AD$8),Предпосылки!$C$475:$R$475,Предпосылки!$C477:$R477))*(1+Чувствительность!$D$28)</f>
        <v>12.5</v>
      </c>
      <c s="125">
        <f>IF(ISBLANK(LOOKUP(YEAR(AE$8),Предпосылки!$C$475:$R$475,Предпосылки!$C477:$R477)),1,LOOKUP(YEAR(AE$8),Предпосылки!$C$475:$R$475,Предпосылки!$C477:$R477))*(1+Чувствительность!$D$28)</f>
        <v>12.5</v>
      </c>
      <c s="125">
        <f>IF(ISBLANK(LOOKUP(YEAR(AF$8),Предпосылки!$C$475:$R$475,Предпосылки!$C477:$R477)),1,LOOKUP(YEAR(AF$8),Предпосылки!$C$475:$R$475,Предпосылки!$C477:$R477))*(1+Чувствительность!$D$28)</f>
        <v>12.5</v>
      </c>
      <c s="125">
        <f>IF(ISBLANK(LOOKUP(YEAR(AG$8),Предпосылки!$C$475:$R$475,Предпосылки!$C477:$R477)),1,LOOKUP(YEAR(AG$8),Предпосылки!$C$475:$R$475,Предпосылки!$C477:$R477))*(1+Чувствительность!$D$28)</f>
        <v>12.5</v>
      </c>
      <c s="125">
        <f>IF(ISBLANK(LOOKUP(YEAR(AH$8),Предпосылки!$C$475:$R$475,Предпосылки!$C477:$R477)),1,LOOKUP(YEAR(AH$8),Предпосылки!$C$475:$R$475,Предпосылки!$C477:$R477))*(1+Чувствительность!$D$28)</f>
        <v>12.5</v>
      </c>
      <c s="125">
        <f>IF(ISBLANK(LOOKUP(YEAR(AI$8),Предпосылки!$C$475:$R$475,Предпосылки!$C477:$R477)),1,LOOKUP(YEAR(AI$8),Предпосылки!$C$475:$R$475,Предпосылки!$C477:$R477))*(1+Чувствительность!$D$28)</f>
        <v>12.5</v>
      </c>
      <c s="125">
        <f>IF(ISBLANK(LOOKUP(YEAR(AJ$8),Предпосылки!$C$475:$R$475,Предпосылки!$C477:$R477)),1,LOOKUP(YEAR(AJ$8),Предпосылки!$C$475:$R$475,Предпосылки!$C477:$R477))*(1+Чувствительность!$D$28)</f>
        <v>12.5</v>
      </c>
      <c s="125">
        <f>IF(ISBLANK(LOOKUP(YEAR(AK$8),Предпосылки!$C$475:$R$475,Предпосылки!$C477:$R477)),1,LOOKUP(YEAR(AK$8),Предпосылки!$C$475:$R$475,Предпосылки!$C477:$R477))*(1+Чувствительность!$D$28)</f>
        <v>12.5</v>
      </c>
      <c s="125">
        <f>IF(ISBLANK(LOOKUP(YEAR(AL$8),Предпосылки!$C$475:$R$475,Предпосылки!$C477:$R477)),1,LOOKUP(YEAR(AL$8),Предпосылки!$C$475:$R$475,Предпосылки!$C477:$R477))*(1+Чувствительность!$D$28)</f>
        <v>12.5</v>
      </c>
      <c s="125">
        <f>IF(ISBLANK(LOOKUP(YEAR(AM$8),Предпосылки!$C$475:$R$475,Предпосылки!$C477:$R477)),1,LOOKUP(YEAR(AM$8),Предпосылки!$C$475:$R$475,Предпосылки!$C477:$R477))*(1+Чувствительность!$D$28)</f>
        <v>12.5</v>
      </c>
      <c s="125">
        <f>IF(ISBLANK(LOOKUP(YEAR(AN$8),Предпосылки!$C$475:$R$475,Предпосылки!$C477:$R477)),1,LOOKUP(YEAR(AN$8),Предпосылки!$C$475:$R$475,Предпосылки!$C477:$R477))*(1+Чувствительность!$D$28)</f>
        <v>12.5</v>
      </c>
      <c s="125">
        <f>IF(ISBLANK(LOOKUP(YEAR(AO$8),Предпосылки!$C$475:$R$475,Предпосылки!$C477:$R477)),1,LOOKUP(YEAR(AO$8),Предпосылки!$C$475:$R$475,Предпосылки!$C477:$R477))*(1+Чувствительность!$D$28)</f>
        <v>12.5</v>
      </c>
      <c s="125">
        <f>IF(ISBLANK(LOOKUP(YEAR(AP$8),Предпосылки!$C$475:$R$475,Предпосылки!$C477:$R477)),1,LOOKUP(YEAR(AP$8),Предпосылки!$C$475:$R$475,Предпосылки!$C477:$R477))*(1+Чувствительность!$D$28)</f>
        <v>12.5</v>
      </c>
      <c s="125">
        <f>IF(ISBLANK(LOOKUP(YEAR(AQ$8),Предпосылки!$C$475:$R$475,Предпосылки!$C477:$R477)),1,LOOKUP(YEAR(AQ$8),Предпосылки!$C$475:$R$475,Предпосылки!$C477:$R477))*(1+Чувствительность!$D$28)</f>
        <v>12.5</v>
      </c>
      <c s="125">
        <f>IF(ISBLANK(LOOKUP(YEAR(AR$8),Предпосылки!$C$475:$R$475,Предпосылки!$C477:$R477)),1,LOOKUP(YEAR(AR$8),Предпосылки!$C$475:$R$475,Предпосылки!$C477:$R477))*(1+Чувствительность!$D$28)</f>
        <v>12.5</v>
      </c>
      <c s="125">
        <f>IF(ISBLANK(LOOKUP(YEAR(AS$8),Предпосылки!$C$475:$R$475,Предпосылки!$C477:$R477)),1,LOOKUP(YEAR(AS$8),Предпосылки!$C$475:$R$475,Предпосылки!$C477:$R477))*(1+Чувствительность!$D$28)</f>
        <v>12.5</v>
      </c>
      <c s="125">
        <f>IF(ISBLANK(LOOKUP(YEAR(AT$8),Предпосылки!$C$475:$R$475,Предпосылки!$C477:$R477)),1,LOOKUP(YEAR(AT$8),Предпосылки!$C$475:$R$475,Предпосылки!$C477:$R477))*(1+Чувствительность!$D$28)</f>
        <v>12.5</v>
      </c>
      <c s="125">
        <f>IF(ISBLANK(LOOKUP(YEAR(AU$8),Предпосылки!$C$475:$R$475,Предпосылки!$C477:$R477)),1,LOOKUP(YEAR(AU$8),Предпосылки!$C$475:$R$475,Предпосылки!$C477:$R477))*(1+Чувствительность!$D$28)</f>
        <v>12.5</v>
      </c>
      <c s="125">
        <f>IF(ISBLANK(LOOKUP(YEAR(AV$8),Предпосылки!$C$475:$R$475,Предпосылки!$C477:$R477)),1,LOOKUP(YEAR(AV$8),Предпосылки!$C$475:$R$475,Предпосылки!$C477:$R477))*(1+Чувствительность!$D$28)</f>
        <v>12.5</v>
      </c>
      <c s="125">
        <f>IF(ISBLANK(LOOKUP(YEAR(AW$8),Предпосылки!$C$475:$R$475,Предпосылки!$C477:$R477)),1,LOOKUP(YEAR(AW$8),Предпосылки!$C$475:$R$475,Предпосылки!$C477:$R477))*(1+Чувствительность!$D$28)</f>
        <v>12.5</v>
      </c>
      <c s="125">
        <f>IF(ISBLANK(LOOKUP(YEAR(AX$8),Предпосылки!$C$475:$R$475,Предпосылки!$C477:$R477)),1,LOOKUP(YEAR(AX$8),Предпосылки!$C$475:$R$475,Предпосылки!$C477:$R477))*(1+Чувствительность!$D$28)</f>
        <v>12.5</v>
      </c>
      <c s="125">
        <f>IF(ISBLANK(LOOKUP(YEAR(AY$8),Предпосылки!$C$475:$R$475,Предпосылки!$C477:$R477)),1,LOOKUP(YEAR(AY$8),Предпосылки!$C$475:$R$475,Предпосылки!$C477:$R477))*(1+Чувствительность!$D$28)</f>
        <v>12.5</v>
      </c>
      <c s="125">
        <f>IF(ISBLANK(LOOKUP(YEAR(AZ$8),Предпосылки!$C$475:$R$475,Предпосылки!$C477:$R477)),1,LOOKUP(YEAR(AZ$8),Предпосылки!$C$475:$R$475,Предпосылки!$C477:$R477))*(1+Чувствительность!$D$28)</f>
        <v>12.5</v>
      </c>
      <c s="125">
        <f>IF(ISBLANK(LOOKUP(YEAR(BA$8),Предпосылки!$C$475:$R$475,Предпосылки!$C477:$R477)),1,LOOKUP(YEAR(BA$8),Предпосылки!$C$475:$R$475,Предпосылки!$C477:$R477))*(1+Чувствительность!$D$28)</f>
        <v>12.5</v>
      </c>
      <c s="125">
        <f>IF(ISBLANK(LOOKUP(YEAR(BB$8),Предпосылки!$C$475:$R$475,Предпосылки!$C477:$R477)),1,LOOKUP(YEAR(BB$8),Предпосылки!$C$475:$R$475,Предпосылки!$C477:$R477))*(1+Чувствительность!$D$28)</f>
        <v>12.5</v>
      </c>
      <c s="125">
        <f>IF(ISBLANK(LOOKUP(YEAR(BC$8),Предпосылки!$C$475:$R$475,Предпосылки!$C477:$R477)),1,LOOKUP(YEAR(BC$8),Предпосылки!$C$475:$R$475,Предпосылки!$C477:$R477))*(1+Чувствительность!$D$28)</f>
        <v>12.5</v>
      </c>
      <c s="125">
        <f>IF(ISBLANK(LOOKUP(YEAR(BD$8),Предпосылки!$C$475:$R$475,Предпосылки!$C477:$R477)),1,LOOKUP(YEAR(BD$8),Предпосылки!$C$475:$R$475,Предпосылки!$C477:$R477))*(1+Чувствительность!$D$28)</f>
        <v>12.5</v>
      </c>
      <c s="125">
        <f>IF(ISBLANK(LOOKUP(YEAR(BE$8),Предпосылки!$C$475:$R$475,Предпосылки!$C477:$R477)),1,LOOKUP(YEAR(BE$8),Предпосылки!$C$475:$R$475,Предпосылки!$C477:$R477))*(1+Чувствительность!$D$28)</f>
        <v>12.5</v>
      </c>
      <c s="125">
        <f>IF(ISBLANK(LOOKUP(YEAR(BF$8),Предпосылки!$C$475:$R$475,Предпосылки!$C477:$R477)),1,LOOKUP(YEAR(BF$8),Предпосылки!$C$475:$R$475,Предпосылки!$C477:$R477))*(1+Чувствительность!$D$28)</f>
        <v>12.5</v>
      </c>
      <c s="125">
        <f>IF(ISBLANK(LOOKUP(YEAR(BG$8),Предпосылки!$C$475:$R$475,Предпосылки!$C477:$R477)),1,LOOKUP(YEAR(BG$8),Предпосылки!$C$475:$R$475,Предпосылки!$C477:$R477))*(1+Чувствительность!$D$28)</f>
        <v>12.5</v>
      </c>
      <c s="125">
        <f>IF(ISBLANK(LOOKUP(YEAR(BH$8),Предпосылки!$C$475:$R$475,Предпосылки!$C477:$R477)),1,LOOKUP(YEAR(BH$8),Предпосылки!$C$475:$R$475,Предпосылки!$C477:$R477))*(1+Чувствительность!$D$28)</f>
        <v>12.5</v>
      </c>
      <c s="125">
        <f>IF(ISBLANK(LOOKUP(YEAR(BI$8),Предпосылки!$C$475:$R$475,Предпосылки!$C477:$R477)),1,LOOKUP(YEAR(BI$8),Предпосылки!$C$475:$R$475,Предпосылки!$C477:$R477))*(1+Чувствительность!$D$28)</f>
        <v>12.5</v>
      </c>
      <c s="125">
        <f>IF(ISBLANK(LOOKUP(YEAR(BJ$8),Предпосылки!$C$475:$R$475,Предпосылки!$C477:$R477)),1,LOOKUP(YEAR(BJ$8),Предпосылки!$C$475:$R$475,Предпосылки!$C477:$R477))*(1+Чувствительность!$D$28)</f>
        <v>12.5</v>
      </c>
      <c s="125">
        <f>IF(ISBLANK(LOOKUP(YEAR(BK$8),Предпосылки!$C$475:$R$475,Предпосылки!$C477:$R477)),1,LOOKUP(YEAR(BK$8),Предпосылки!$C$475:$R$475,Предпосылки!$C477:$R477))*(1+Чувствительность!$D$28)</f>
        <v>12.5</v>
      </c>
      <c s="125">
        <f>IF(ISBLANK(LOOKUP(YEAR(BL$8),Предпосылки!$C$475:$R$475,Предпосылки!$C477:$R477)),1,LOOKUP(YEAR(BL$8),Предпосылки!$C$475:$R$475,Предпосылки!$C477:$R477))*(1+Чувствительность!$D$28)</f>
        <v>12.5</v>
      </c>
      <c s="125">
        <f>IF(ISBLANK(LOOKUP(YEAR(BM$8),Предпосылки!$C$475:$R$475,Предпосылки!$C477:$R477)),1,LOOKUP(YEAR(BM$8),Предпосылки!$C$475:$R$475,Предпосылки!$C477:$R477))*(1+Чувствительность!$D$28)</f>
        <v>12.5</v>
      </c>
    </row>
    <row r="15" spans="2:65" ht="15" customHeight="1">
      <c r="B15" s="22" t="str">
        <f>Предпосылки!B478</f>
        <v>Курс EUR/RUB</v>
      </c>
      <c s="124">
        <v>4</v>
      </c>
      <c s="125"/>
      <c s="125">
        <f>IF(ISBLANK(LOOKUP(YEAR(E$8),Предпосылки!$C$475:$R$475,Предпосылки!$C478:$R478)),1,LOOKUP(YEAR(E$8),Предпосылки!$C$475:$R$475,Предпосылки!$C478:$R478))*(1+Чувствительность!$D$28)</f>
        <v>97</v>
      </c>
      <c s="125">
        <f>IF(ISBLANK(LOOKUP(YEAR(F$8),Предпосылки!$C$475:$R$475,Предпосылки!$C478:$R478)),1,LOOKUP(YEAR(F$8),Предпосылки!$C$475:$R$475,Предпосылки!$C478:$R478))*(1+Чувствительность!$D$28)</f>
        <v>97</v>
      </c>
      <c s="125">
        <f>IF(ISBLANK(LOOKUP(YEAR(G$8),Предпосылки!$C$475:$R$475,Предпосылки!$C478:$R478)),1,LOOKUP(YEAR(G$8),Предпосылки!$C$475:$R$475,Предпосылки!$C478:$R478))*(1+Чувствительность!$D$28)</f>
        <v>97</v>
      </c>
      <c s="125">
        <f>IF(ISBLANK(LOOKUP(YEAR(H$8),Предпосылки!$C$475:$R$475,Предпосылки!$C478:$R478)),1,LOOKUP(YEAR(H$8),Предпосылки!$C$475:$R$475,Предпосылки!$C478:$R478))*(1+Чувствительность!$D$28)</f>
        <v>97</v>
      </c>
      <c s="125">
        <f>IF(ISBLANK(LOOKUP(YEAR(I$8),Предпосылки!$C$475:$R$475,Предпосылки!$C478:$R478)),1,LOOKUP(YEAR(I$8),Предпосылки!$C$475:$R$475,Предпосылки!$C478:$R478))*(1+Чувствительность!$D$28)</f>
        <v>97</v>
      </c>
      <c s="125">
        <f>IF(ISBLANK(LOOKUP(YEAR(J$8),Предпосылки!$C$475:$R$475,Предпосылки!$C478:$R478)),1,LOOKUP(YEAR(J$8),Предпосылки!$C$475:$R$475,Предпосылки!$C478:$R478))*(1+Чувствительность!$D$28)</f>
        <v>97</v>
      </c>
      <c s="125">
        <f>IF(ISBLANK(LOOKUP(YEAR(K$8),Предпосылки!$C$475:$R$475,Предпосылки!$C478:$R478)),1,LOOKUP(YEAR(K$8),Предпосылки!$C$475:$R$475,Предпосылки!$C478:$R478))*(1+Чувствительность!$D$28)</f>
        <v>97</v>
      </c>
      <c s="125">
        <f>IF(ISBLANK(LOOKUP(YEAR(L$8),Предпосылки!$C$475:$R$475,Предпосылки!$C478:$R478)),1,LOOKUP(YEAR(L$8),Предпосылки!$C$475:$R$475,Предпосылки!$C478:$R478))*(1+Чувствительность!$D$28)</f>
        <v>97</v>
      </c>
      <c s="125">
        <f>IF(ISBLANK(LOOKUP(YEAR(M$8),Предпосылки!$C$475:$R$475,Предпосылки!$C478:$R478)),1,LOOKUP(YEAR(M$8),Предпосылки!$C$475:$R$475,Предпосылки!$C478:$R478))*(1+Чувствительность!$D$28)</f>
        <v>97</v>
      </c>
      <c s="125">
        <f>IF(ISBLANK(LOOKUP(YEAR(N$8),Предпосылки!$C$475:$R$475,Предпосылки!$C478:$R478)),1,LOOKUP(YEAR(N$8),Предпосылки!$C$475:$R$475,Предпосылки!$C478:$R478))*(1+Чувствительность!$D$28)</f>
        <v>97</v>
      </c>
      <c s="125">
        <f>IF(ISBLANK(LOOKUP(YEAR(O$8),Предпосылки!$C$475:$R$475,Предпосылки!$C478:$R478)),1,LOOKUP(YEAR(O$8),Предпосылки!$C$475:$R$475,Предпосылки!$C478:$R478))*(1+Чувствительность!$D$28)</f>
        <v>97</v>
      </c>
      <c s="125">
        <f>IF(ISBLANK(LOOKUP(YEAR(P$8),Предпосылки!$C$475:$R$475,Предпосылки!$C478:$R478)),1,LOOKUP(YEAR(P$8),Предпосылки!$C$475:$R$475,Предпосылки!$C478:$R478))*(1+Чувствительность!$D$28)</f>
        <v>97</v>
      </c>
      <c s="125">
        <f>IF(ISBLANK(LOOKUP(YEAR(Q$8),Предпосылки!$C$475:$R$475,Предпосылки!$C478:$R478)),1,LOOKUP(YEAR(Q$8),Предпосылки!$C$475:$R$475,Предпосылки!$C478:$R478))*(1+Чувствительность!$D$28)</f>
        <v>97</v>
      </c>
      <c s="125">
        <f>IF(ISBLANK(LOOKUP(YEAR(R$8),Предпосылки!$C$475:$R$475,Предпосылки!$C478:$R478)),1,LOOKUP(YEAR(R$8),Предпосылки!$C$475:$R$475,Предпосылки!$C478:$R478))*(1+Чувствительность!$D$28)</f>
        <v>97</v>
      </c>
      <c s="125">
        <f>IF(ISBLANK(LOOKUP(YEAR(S$8),Предпосылки!$C$475:$R$475,Предпосылки!$C478:$R478)),1,LOOKUP(YEAR(S$8),Предпосылки!$C$475:$R$475,Предпосылки!$C478:$R478))*(1+Чувствительность!$D$28)</f>
        <v>97</v>
      </c>
      <c s="125">
        <f>IF(ISBLANK(LOOKUP(YEAR(T$8),Предпосылки!$C$475:$R$475,Предпосылки!$C478:$R478)),1,LOOKUP(YEAR(T$8),Предпосылки!$C$475:$R$475,Предпосылки!$C478:$R478))*(1+Чувствительность!$D$28)</f>
        <v>97</v>
      </c>
      <c s="125">
        <f>IF(ISBLANK(LOOKUP(YEAR(U$8),Предпосылки!$C$475:$R$475,Предпосылки!$C478:$R478)),1,LOOKUP(YEAR(U$8),Предпосылки!$C$475:$R$475,Предпосылки!$C478:$R478))*(1+Чувствительность!$D$28)</f>
        <v>97</v>
      </c>
      <c s="125">
        <f>IF(ISBLANK(LOOKUP(YEAR(V$8),Предпосылки!$C$475:$R$475,Предпосылки!$C478:$R478)),1,LOOKUP(YEAR(V$8),Предпосылки!$C$475:$R$475,Предпосылки!$C478:$R478))*(1+Чувствительность!$D$28)</f>
        <v>97</v>
      </c>
      <c s="125">
        <f>IF(ISBLANK(LOOKUP(YEAR(W$8),Предпосылки!$C$475:$R$475,Предпосылки!$C478:$R478)),1,LOOKUP(YEAR(W$8),Предпосылки!$C$475:$R$475,Предпосылки!$C478:$R478))*(1+Чувствительность!$D$28)</f>
        <v>97</v>
      </c>
      <c s="125">
        <f>IF(ISBLANK(LOOKUP(YEAR(X$8),Предпосылки!$C$475:$R$475,Предпосылки!$C478:$R478)),1,LOOKUP(YEAR(X$8),Предпосылки!$C$475:$R$475,Предпосылки!$C478:$R478))*(1+Чувствительность!$D$28)</f>
        <v>97</v>
      </c>
      <c s="125">
        <f>IF(ISBLANK(LOOKUP(YEAR(Y$8),Предпосылки!$C$475:$R$475,Предпосылки!$C478:$R478)),1,LOOKUP(YEAR(Y$8),Предпосылки!$C$475:$R$475,Предпосылки!$C478:$R478))*(1+Чувствительность!$D$28)</f>
        <v>97</v>
      </c>
      <c s="125">
        <f>IF(ISBLANK(LOOKUP(YEAR(Z$8),Предпосылки!$C$475:$R$475,Предпосылки!$C478:$R478)),1,LOOKUP(YEAR(Z$8),Предпосылки!$C$475:$R$475,Предпосылки!$C478:$R478))*(1+Чувствительность!$D$28)</f>
        <v>97</v>
      </c>
      <c s="125">
        <f>IF(ISBLANK(LOOKUP(YEAR(AA$8),Предпосылки!$C$475:$R$475,Предпосылки!$C478:$R478)),1,LOOKUP(YEAR(AA$8),Предпосылки!$C$475:$R$475,Предпосылки!$C478:$R478))*(1+Чувствительность!$D$28)</f>
        <v>97</v>
      </c>
      <c s="125">
        <f>IF(ISBLANK(LOOKUP(YEAR(AB$8),Предпосылки!$C$475:$R$475,Предпосылки!$C478:$R478)),1,LOOKUP(YEAR(AB$8),Предпосылки!$C$475:$R$475,Предпосылки!$C478:$R478))*(1+Чувствительность!$D$28)</f>
        <v>97</v>
      </c>
      <c s="125">
        <f>IF(ISBLANK(LOOKUP(YEAR(AC$8),Предпосылки!$C$475:$R$475,Предпосылки!$C478:$R478)),1,LOOKUP(YEAR(AC$8),Предпосылки!$C$475:$R$475,Предпосылки!$C478:$R478))*(1+Чувствительность!$D$28)</f>
        <v>97</v>
      </c>
      <c s="125">
        <f>IF(ISBLANK(LOOKUP(YEAR(AD$8),Предпосылки!$C$475:$R$475,Предпосылки!$C478:$R478)),1,LOOKUP(YEAR(AD$8),Предпосылки!$C$475:$R$475,Предпосылки!$C478:$R478))*(1+Чувствительность!$D$28)</f>
        <v>97</v>
      </c>
      <c s="125">
        <f>IF(ISBLANK(LOOKUP(YEAR(AE$8),Предпосылки!$C$475:$R$475,Предпосылки!$C478:$R478)),1,LOOKUP(YEAR(AE$8),Предпосылки!$C$475:$R$475,Предпосылки!$C478:$R478))*(1+Чувствительность!$D$28)</f>
        <v>97</v>
      </c>
      <c s="125">
        <f>IF(ISBLANK(LOOKUP(YEAR(AF$8),Предпосылки!$C$475:$R$475,Предпосылки!$C478:$R478)),1,LOOKUP(YEAR(AF$8),Предпосылки!$C$475:$R$475,Предпосылки!$C478:$R478))*(1+Чувствительность!$D$28)</f>
        <v>97</v>
      </c>
      <c s="125">
        <f>IF(ISBLANK(LOOKUP(YEAR(AG$8),Предпосылки!$C$475:$R$475,Предпосылки!$C478:$R478)),1,LOOKUP(YEAR(AG$8),Предпосылки!$C$475:$R$475,Предпосылки!$C478:$R478))*(1+Чувствительность!$D$28)</f>
        <v>97</v>
      </c>
      <c s="125">
        <f>IF(ISBLANK(LOOKUP(YEAR(AH$8),Предпосылки!$C$475:$R$475,Предпосылки!$C478:$R478)),1,LOOKUP(YEAR(AH$8),Предпосылки!$C$475:$R$475,Предпосылки!$C478:$R478))*(1+Чувствительность!$D$28)</f>
        <v>97</v>
      </c>
      <c s="125">
        <f>IF(ISBLANK(LOOKUP(YEAR(AI$8),Предпосылки!$C$475:$R$475,Предпосылки!$C478:$R478)),1,LOOKUP(YEAR(AI$8),Предпосылки!$C$475:$R$475,Предпосылки!$C478:$R478))*(1+Чувствительность!$D$28)</f>
        <v>97</v>
      </c>
      <c s="125">
        <f>IF(ISBLANK(LOOKUP(YEAR(AJ$8),Предпосылки!$C$475:$R$475,Предпосылки!$C478:$R478)),1,LOOKUP(YEAR(AJ$8),Предпосылки!$C$475:$R$475,Предпосылки!$C478:$R478))*(1+Чувствительность!$D$28)</f>
        <v>97</v>
      </c>
      <c s="125">
        <f>IF(ISBLANK(LOOKUP(YEAR(AK$8),Предпосылки!$C$475:$R$475,Предпосылки!$C478:$R478)),1,LOOKUP(YEAR(AK$8),Предпосылки!$C$475:$R$475,Предпосылки!$C478:$R478))*(1+Чувствительность!$D$28)</f>
        <v>97</v>
      </c>
      <c s="125">
        <f>IF(ISBLANK(LOOKUP(YEAR(AL$8),Предпосылки!$C$475:$R$475,Предпосылки!$C478:$R478)),1,LOOKUP(YEAR(AL$8),Предпосылки!$C$475:$R$475,Предпосылки!$C478:$R478))*(1+Чувствительность!$D$28)</f>
        <v>97</v>
      </c>
      <c s="125">
        <f>IF(ISBLANK(LOOKUP(YEAR(AM$8),Предпосылки!$C$475:$R$475,Предпосылки!$C478:$R478)),1,LOOKUP(YEAR(AM$8),Предпосылки!$C$475:$R$475,Предпосылки!$C478:$R478))*(1+Чувствительность!$D$28)</f>
        <v>97</v>
      </c>
      <c s="125">
        <f>IF(ISBLANK(LOOKUP(YEAR(AN$8),Предпосылки!$C$475:$R$475,Предпосылки!$C478:$R478)),1,LOOKUP(YEAR(AN$8),Предпосылки!$C$475:$R$475,Предпосылки!$C478:$R478))*(1+Чувствительность!$D$28)</f>
        <v>97</v>
      </c>
      <c s="125">
        <f>IF(ISBLANK(LOOKUP(YEAR(AO$8),Предпосылки!$C$475:$R$475,Предпосылки!$C478:$R478)),1,LOOKUP(YEAR(AO$8),Предпосылки!$C$475:$R$475,Предпосылки!$C478:$R478))*(1+Чувствительность!$D$28)</f>
        <v>97</v>
      </c>
      <c s="125">
        <f>IF(ISBLANK(LOOKUP(YEAR(AP$8),Предпосылки!$C$475:$R$475,Предпосылки!$C478:$R478)),1,LOOKUP(YEAR(AP$8),Предпосылки!$C$475:$R$475,Предпосылки!$C478:$R478))*(1+Чувствительность!$D$28)</f>
        <v>97</v>
      </c>
      <c s="125">
        <f>IF(ISBLANK(LOOKUP(YEAR(AQ$8),Предпосылки!$C$475:$R$475,Предпосылки!$C478:$R478)),1,LOOKUP(YEAR(AQ$8),Предпосылки!$C$475:$R$475,Предпосылки!$C478:$R478))*(1+Чувствительность!$D$28)</f>
        <v>97</v>
      </c>
      <c s="125">
        <f>IF(ISBLANK(LOOKUP(YEAR(AR$8),Предпосылки!$C$475:$R$475,Предпосылки!$C478:$R478)),1,LOOKUP(YEAR(AR$8),Предпосылки!$C$475:$R$475,Предпосылки!$C478:$R478))*(1+Чувствительность!$D$28)</f>
        <v>97</v>
      </c>
      <c s="125">
        <f>IF(ISBLANK(LOOKUP(YEAR(AS$8),Предпосылки!$C$475:$R$475,Предпосылки!$C478:$R478)),1,LOOKUP(YEAR(AS$8),Предпосылки!$C$475:$R$475,Предпосылки!$C478:$R478))*(1+Чувствительность!$D$28)</f>
        <v>97</v>
      </c>
      <c s="125">
        <f>IF(ISBLANK(LOOKUP(YEAR(AT$8),Предпосылки!$C$475:$R$475,Предпосылки!$C478:$R478)),1,LOOKUP(YEAR(AT$8),Предпосылки!$C$475:$R$475,Предпосылки!$C478:$R478))*(1+Чувствительность!$D$28)</f>
        <v>97</v>
      </c>
      <c s="125">
        <f>IF(ISBLANK(LOOKUP(YEAR(AU$8),Предпосылки!$C$475:$R$475,Предпосылки!$C478:$R478)),1,LOOKUP(YEAR(AU$8),Предпосылки!$C$475:$R$475,Предпосылки!$C478:$R478))*(1+Чувствительность!$D$28)</f>
        <v>97</v>
      </c>
      <c s="125">
        <f>IF(ISBLANK(LOOKUP(YEAR(AV$8),Предпосылки!$C$475:$R$475,Предпосылки!$C478:$R478)),1,LOOKUP(YEAR(AV$8),Предпосылки!$C$475:$R$475,Предпосылки!$C478:$R478))*(1+Чувствительность!$D$28)</f>
        <v>97</v>
      </c>
      <c s="125">
        <f>IF(ISBLANK(LOOKUP(YEAR(AW$8),Предпосылки!$C$475:$R$475,Предпосылки!$C478:$R478)),1,LOOKUP(YEAR(AW$8),Предпосылки!$C$475:$R$475,Предпосылки!$C478:$R478))*(1+Чувствительность!$D$28)</f>
        <v>97</v>
      </c>
      <c s="125">
        <f>IF(ISBLANK(LOOKUP(YEAR(AX$8),Предпосылки!$C$475:$R$475,Предпосылки!$C478:$R478)),1,LOOKUP(YEAR(AX$8),Предпосылки!$C$475:$R$475,Предпосылки!$C478:$R478))*(1+Чувствительность!$D$28)</f>
        <v>97</v>
      </c>
      <c s="125">
        <f>IF(ISBLANK(LOOKUP(YEAR(AY$8),Предпосылки!$C$475:$R$475,Предпосылки!$C478:$R478)),1,LOOKUP(YEAR(AY$8),Предпосылки!$C$475:$R$475,Предпосылки!$C478:$R478))*(1+Чувствительность!$D$28)</f>
        <v>97</v>
      </c>
      <c s="125">
        <f>IF(ISBLANK(LOOKUP(YEAR(AZ$8),Предпосылки!$C$475:$R$475,Предпосылки!$C478:$R478)),1,LOOKUP(YEAR(AZ$8),Предпосылки!$C$475:$R$475,Предпосылки!$C478:$R478))*(1+Чувствительность!$D$28)</f>
        <v>97</v>
      </c>
      <c s="125">
        <f>IF(ISBLANK(LOOKUP(YEAR(BA$8),Предпосылки!$C$475:$R$475,Предпосылки!$C478:$R478)),1,LOOKUP(YEAR(BA$8),Предпосылки!$C$475:$R$475,Предпосылки!$C478:$R478))*(1+Чувствительность!$D$28)</f>
        <v>97</v>
      </c>
      <c s="125">
        <f>IF(ISBLANK(LOOKUP(YEAR(BB$8),Предпосылки!$C$475:$R$475,Предпосылки!$C478:$R478)),1,LOOKUP(YEAR(BB$8),Предпосылки!$C$475:$R$475,Предпосылки!$C478:$R478))*(1+Чувствительность!$D$28)</f>
        <v>97</v>
      </c>
      <c s="125">
        <f>IF(ISBLANK(LOOKUP(YEAR(BC$8),Предпосылки!$C$475:$R$475,Предпосылки!$C478:$R478)),1,LOOKUP(YEAR(BC$8),Предпосылки!$C$475:$R$475,Предпосылки!$C478:$R478))*(1+Чувствительность!$D$28)</f>
        <v>97</v>
      </c>
      <c s="125">
        <f>IF(ISBLANK(LOOKUP(YEAR(BD$8),Предпосылки!$C$475:$R$475,Предпосылки!$C478:$R478)),1,LOOKUP(YEAR(BD$8),Предпосылки!$C$475:$R$475,Предпосылки!$C478:$R478))*(1+Чувствительность!$D$28)</f>
        <v>97</v>
      </c>
      <c s="125">
        <f>IF(ISBLANK(LOOKUP(YEAR(BE$8),Предпосылки!$C$475:$R$475,Предпосылки!$C478:$R478)),1,LOOKUP(YEAR(BE$8),Предпосылки!$C$475:$R$475,Предпосылки!$C478:$R478))*(1+Чувствительность!$D$28)</f>
        <v>97</v>
      </c>
      <c s="125">
        <f>IF(ISBLANK(LOOKUP(YEAR(BF$8),Предпосылки!$C$475:$R$475,Предпосылки!$C478:$R478)),1,LOOKUP(YEAR(BF$8),Предпосылки!$C$475:$R$475,Предпосылки!$C478:$R478))*(1+Чувствительность!$D$28)</f>
        <v>97</v>
      </c>
      <c s="125">
        <f>IF(ISBLANK(LOOKUP(YEAR(BG$8),Предпосылки!$C$475:$R$475,Предпосылки!$C478:$R478)),1,LOOKUP(YEAR(BG$8),Предпосылки!$C$475:$R$475,Предпосылки!$C478:$R478))*(1+Чувствительность!$D$28)</f>
        <v>97</v>
      </c>
      <c s="125">
        <f>IF(ISBLANK(LOOKUP(YEAR(BH$8),Предпосылки!$C$475:$R$475,Предпосылки!$C478:$R478)),1,LOOKUP(YEAR(BH$8),Предпосылки!$C$475:$R$475,Предпосылки!$C478:$R478))*(1+Чувствительность!$D$28)</f>
        <v>97</v>
      </c>
      <c s="125">
        <f>IF(ISBLANK(LOOKUP(YEAR(BI$8),Предпосылки!$C$475:$R$475,Предпосылки!$C478:$R478)),1,LOOKUP(YEAR(BI$8),Предпосылки!$C$475:$R$475,Предпосылки!$C478:$R478))*(1+Чувствительность!$D$28)</f>
        <v>97</v>
      </c>
      <c s="125">
        <f>IF(ISBLANK(LOOKUP(YEAR(BJ$8),Предпосылки!$C$475:$R$475,Предпосылки!$C478:$R478)),1,LOOKUP(YEAR(BJ$8),Предпосылки!$C$475:$R$475,Предпосылки!$C478:$R478))*(1+Чувствительность!$D$28)</f>
        <v>97</v>
      </c>
      <c s="125">
        <f>IF(ISBLANK(LOOKUP(YEAR(BK$8),Предпосылки!$C$475:$R$475,Предпосылки!$C478:$R478)),1,LOOKUP(YEAR(BK$8),Предпосылки!$C$475:$R$475,Предпосылки!$C478:$R478))*(1+Чувствительность!$D$28)</f>
        <v>97</v>
      </c>
      <c s="125">
        <f>IF(ISBLANK(LOOKUP(YEAR(BL$8),Предпосылки!$C$475:$R$475,Предпосылки!$C478:$R478)),1,LOOKUP(YEAR(BL$8),Предпосылки!$C$475:$R$475,Предпосылки!$C478:$R478))*(1+Чувствительность!$D$28)</f>
        <v>97</v>
      </c>
      <c s="125">
        <f>IF(ISBLANK(LOOKUP(YEAR(BM$8),Предпосылки!$C$475:$R$475,Предпосылки!$C478:$R478)),1,LOOKUP(YEAR(BM$8),Предпосылки!$C$475:$R$475,Предпосылки!$C478:$R478))*(1+Чувствительность!$D$28)</f>
        <v>97</v>
      </c>
    </row>
    <row r="16" spans="2:2" ht="21">
      <c r="B16" s="23" t="s">
        <v>139</v>
      </c>
    </row>
    <row r="17" spans="2:2" ht="15" customHeight="1">
      <c r="B17" s="24" t="s">
        <v>856</v>
      </c>
    </row>
    <row r="18" spans="2:65" ht="15" customHeight="1">
      <c r="B18" s="12" t="s">
        <v>847</v>
      </c>
      <c s="124" t="s">
        <v>817</v>
      </c>
      <c s="124"/>
      <c s="126">
        <f>POWER(1+LOOKUP(YEAR(E$8),Предпосылки!$C$468:$R$468,Предпосылки!$C$470:$R$470),(E$8+1-E$7)/IF(MOD(YEAR(E$8),4),365,366))</f>
        <v>1.0156492190185731</v>
      </c>
      <c s="126">
        <f>POWER(1+LOOKUP(YEAR(F$8),Предпосылки!$C$468:$R$468,Предпосылки!$C$470:$R$470),(F$8+1-F$7)/IF(MOD(YEAR(F$8),4),365,366))</f>
        <v>1.0158244678502373</v>
      </c>
      <c s="126">
        <f>POWER(1+LOOKUP(YEAR(G$8),Предпосылки!$C$468:$R$468,Предпосылки!$C$470:$R$470),(G$8+1-G$7)/IF(MOD(YEAR(G$8),4),365,366))</f>
        <v>1.0159997469208388</v>
      </c>
      <c s="126">
        <f>POWER(1+LOOKUP(YEAR(H$8),Предпосылки!$C$468:$R$468,Предпосылки!$C$470:$R$470),(H$8+1-H$7)/IF(MOD(YEAR(H$8),4),365,366))</f>
        <v>1.0159997469208388</v>
      </c>
      <c s="126">
        <f>POWER(1+LOOKUP(YEAR(I$8),Предпосылки!$C$468:$R$468,Предпосылки!$C$470:$R$470),(I$8+1-I$7)/IF(MOD(YEAR(I$8),4),365,366))</f>
        <v>1.0109125912605132</v>
      </c>
      <c s="126">
        <f>POWER(1+LOOKUP(YEAR(J$8),Предпосылки!$C$468:$R$468,Предпосылки!$C$470:$R$470),(J$8+1-J$7)/IF(MOD(YEAR(J$8),4),365,366))</f>
        <v>1.0110345088135473</v>
      </c>
      <c s="126">
        <f>POWER(1+LOOKUP(YEAR(K$8),Предпосылки!$C$468:$R$468,Предпосылки!$C$470:$R$470),(K$8+1-K$7)/IF(MOD(YEAR(K$8),4),365,366))</f>
        <v>1.0111564410700187</v>
      </c>
      <c s="126">
        <f>POWER(1+LOOKUP(YEAR(L$8),Предпосылки!$C$468:$R$468,Предпосылки!$C$470:$R$470),(L$8+1-L$7)/IF(MOD(YEAR(L$8),4),365,366))</f>
        <v>1.0111564410700187</v>
      </c>
      <c s="126">
        <f>POWER(1+LOOKUP(YEAR(M$8),Предпосылки!$C$468:$R$468,Предпосылки!$C$470:$R$470),(M$8+1-M$7)/IF(MOD(YEAR(M$8),4),365,366))</f>
        <v>1.0097177746622019</v>
      </c>
      <c s="126">
        <f>POWER(1+LOOKUP(YEAR(N$8),Предпосылки!$C$468:$R$468,Предпосылки!$C$470:$R$470),(N$8+1-N$7)/IF(MOD(YEAR(N$8),4),365,366))</f>
        <v>1.009826278714177</v>
      </c>
      <c s="126">
        <f>POWER(1+LOOKUP(YEAR(O$8),Предпосылки!$C$468:$R$468,Предпосылки!$C$470:$R$470),(O$8+1-O$7)/IF(MOD(YEAR(O$8),4),365,366))</f>
        <v>1.0099347944259736</v>
      </c>
      <c s="126">
        <f>POWER(1+LOOKUP(YEAR(P$8),Предпосылки!$C$468:$R$468,Предпосылки!$C$470:$R$470),(P$8+1-P$7)/IF(MOD(YEAR(P$8),4),365,366))</f>
        <v>1.0099347944259736</v>
      </c>
      <c s="126">
        <f>POWER(1+LOOKUP(YEAR(Q$8),Предпосылки!$C$468:$R$468,Предпосылки!$C$470:$R$470),(Q$8+1-Q$7)/IF(MOD(YEAR(Q$8),4),365,366))</f>
        <v>1.0097992998416958</v>
      </c>
      <c s="126">
        <f>POWER(1+LOOKUP(YEAR(R$8),Предпосылки!$C$468:$R$468,Предпосылки!$C$470:$R$470),(R$8+1-R$7)/IF(MOD(YEAR(R$8),4),365,366))</f>
        <v>1.0097992998416958</v>
      </c>
      <c s="126">
        <f>POWER(1+LOOKUP(YEAR(S$8),Предпосылки!$C$468:$R$468,Предпосылки!$C$470:$R$470),(S$8+1-S$7)/IF(MOD(YEAR(S$8),4),365,366))</f>
        <v>1.0099075161553681</v>
      </c>
      <c s="126">
        <f>POWER(1+LOOKUP(YEAR(T$8),Предпосылки!$C$468:$R$468,Предпосылки!$C$470:$R$470),(T$8+1-T$7)/IF(MOD(YEAR(T$8),4),365,366))</f>
        <v>1.0099075161553681</v>
      </c>
      <c s="126">
        <f>POWER(1+LOOKUP(YEAR(U$8),Предпосылки!$C$468:$R$468,Предпосылки!$C$470:$R$470),(U$8+1-U$7)/IF(MOD(YEAR(U$8),4),365,366))</f>
        <v>1.0097177746622019</v>
      </c>
      <c s="126">
        <f>POWER(1+LOOKUP(YEAR(V$8),Предпосылки!$C$468:$R$468,Предпосылки!$C$470:$R$470),(V$8+1-V$7)/IF(MOD(YEAR(V$8),4),365,366))</f>
        <v>1.009826278714177</v>
      </c>
      <c s="126">
        <f>POWER(1+LOOKUP(YEAR(W$8),Предпосылки!$C$468:$R$468,Предпосылки!$C$470:$R$470),(W$8+1-W$7)/IF(MOD(YEAR(W$8),4),365,366))</f>
        <v>1.0099347944259736</v>
      </c>
      <c s="126">
        <f>POWER(1+LOOKUP(YEAR(X$8),Предпосылки!$C$468:$R$468,Предпосылки!$C$470:$R$470),(X$8+1-X$7)/IF(MOD(YEAR(X$8),4),365,366))</f>
        <v>1.0099347944259736</v>
      </c>
      <c s="126">
        <f>POWER(1+LOOKUP(YEAR(Y$8),Предпосылки!$C$468:$R$468,Предпосылки!$C$470:$R$470),(Y$8+1-Y$7)/IF(MOD(YEAR(Y$8),4),365,366))</f>
        <v>1.0097177746622019</v>
      </c>
      <c s="126">
        <f>POWER(1+LOOKUP(YEAR(Z$8),Предпосылки!$C$468:$R$468,Предпосылки!$C$470:$R$470),(Z$8+1-Z$7)/IF(MOD(YEAR(Z$8),4),365,366))</f>
        <v>1.009826278714177</v>
      </c>
      <c s="126">
        <f>POWER(1+LOOKUP(YEAR(AA$8),Предпосылки!$C$468:$R$468,Предпосылки!$C$470:$R$470),(AA$8+1-AA$7)/IF(MOD(YEAR(AA$8),4),365,366))</f>
        <v>1.0099347944259736</v>
      </c>
      <c s="126">
        <f>POWER(1+LOOKUP(YEAR(AB$8),Предпосылки!$C$468:$R$468,Предпосылки!$C$470:$R$470),(AB$8+1-AB$7)/IF(MOD(YEAR(AB$8),4),365,366))</f>
        <v>1.0099347944259736</v>
      </c>
      <c s="126">
        <f>POWER(1+LOOKUP(YEAR(AC$8),Предпосылки!$C$468:$R$468,Предпосылки!$C$470:$R$470),(AC$8+1-AC$7)/IF(MOD(YEAR(AC$8),4),365,366))</f>
        <v>1.0097177746622019</v>
      </c>
      <c s="126">
        <f>POWER(1+LOOKUP(YEAR(AD$8),Предпосылки!$C$468:$R$468,Предпосылки!$C$470:$R$470),(AD$8+1-AD$7)/IF(MOD(YEAR(AD$8),4),365,366))</f>
        <v>1.009826278714177</v>
      </c>
      <c s="126">
        <f>POWER(1+LOOKUP(YEAR(AE$8),Предпосылки!$C$468:$R$468,Предпосылки!$C$470:$R$470),(AE$8+1-AE$7)/IF(MOD(YEAR(AE$8),4),365,366))</f>
        <v>1.0099347944259736</v>
      </c>
      <c s="126">
        <f>POWER(1+LOOKUP(YEAR(AF$8),Предпосылки!$C$468:$R$468,Предпосылки!$C$470:$R$470),(AF$8+1-AF$7)/IF(MOD(YEAR(AF$8),4),365,366))</f>
        <v>1.0099347944259736</v>
      </c>
      <c s="126">
        <f>POWER(1+LOOKUP(YEAR(AG$8),Предпосылки!$C$468:$R$468,Предпосылки!$C$470:$R$470),(AG$8+1-AG$7)/IF(MOD(YEAR(AG$8),4),365,366))</f>
        <v>1.0097992998416958</v>
      </c>
      <c s="126">
        <f>POWER(1+LOOKUP(YEAR(AH$8),Предпосылки!$C$468:$R$468,Предпосылки!$C$470:$R$470),(AH$8+1-AH$7)/IF(MOD(YEAR(AH$8),4),365,366))</f>
        <v>1.0097992998416958</v>
      </c>
      <c s="126">
        <f>POWER(1+LOOKUP(YEAR(AI$8),Предпосылки!$C$468:$R$468,Предпосылки!$C$470:$R$470),(AI$8+1-AI$7)/IF(MOD(YEAR(AI$8),4),365,366))</f>
        <v>1.0099075161553681</v>
      </c>
      <c s="126">
        <f>POWER(1+LOOKUP(YEAR(AJ$8),Предпосылки!$C$468:$R$468,Предпосылки!$C$470:$R$470),(AJ$8+1-AJ$7)/IF(MOD(YEAR(AJ$8),4),365,366))</f>
        <v>1.0099075161553681</v>
      </c>
      <c s="126">
        <f>POWER(1+LOOKUP(YEAR(AK$8),Предпосылки!$C$468:$R$468,Предпосылки!$C$470:$R$470),(AK$8+1-AK$7)/IF(MOD(YEAR(AK$8),4),365,366))</f>
        <v>1.0097177746622019</v>
      </c>
      <c s="126">
        <f>POWER(1+LOOKUP(YEAR(AL$8),Предпосылки!$C$468:$R$468,Предпосылки!$C$470:$R$470),(AL$8+1-AL$7)/IF(MOD(YEAR(AL$8),4),365,366))</f>
        <v>1.009826278714177</v>
      </c>
      <c s="126">
        <f>POWER(1+LOOKUP(YEAR(AM$8),Предпосылки!$C$468:$R$468,Предпосылки!$C$470:$R$470),(AM$8+1-AM$7)/IF(MOD(YEAR(AM$8),4),365,366))</f>
        <v>1.0099347944259736</v>
      </c>
      <c s="126">
        <f>POWER(1+LOOKUP(YEAR(AN$8),Предпосылки!$C$468:$R$468,Предпосылки!$C$470:$R$470),(AN$8+1-AN$7)/IF(MOD(YEAR(AN$8),4),365,366))</f>
        <v>1.0099347944259736</v>
      </c>
      <c s="126">
        <f>POWER(1+LOOKUP(YEAR(AO$8),Предпосылки!$C$468:$R$468,Предпосылки!$C$470:$R$470),(AO$8+1-AO$7)/IF(MOD(YEAR(AO$8),4),365,366))</f>
        <v>1.0097177746622019</v>
      </c>
      <c s="126">
        <f>POWER(1+LOOKUP(YEAR(AP$8),Предпосылки!$C$468:$R$468,Предпосылки!$C$470:$R$470),(AP$8+1-AP$7)/IF(MOD(YEAR(AP$8),4),365,366))</f>
        <v>1.009826278714177</v>
      </c>
      <c s="126">
        <f>POWER(1+LOOKUP(YEAR(AQ$8),Предпосылки!$C$468:$R$468,Предпосылки!$C$470:$R$470),(AQ$8+1-AQ$7)/IF(MOD(YEAR(AQ$8),4),365,366))</f>
        <v>1.0099347944259736</v>
      </c>
      <c s="126">
        <f>POWER(1+LOOKUP(YEAR(AR$8),Предпосылки!$C$468:$R$468,Предпосылки!$C$470:$R$470),(AR$8+1-AR$7)/IF(MOD(YEAR(AR$8),4),365,366))</f>
        <v>1.0099347944259736</v>
      </c>
      <c s="126">
        <f>POWER(1+LOOKUP(YEAR(AS$8),Предпосылки!$C$468:$R$468,Предпосылки!$C$470:$R$470),(AS$8+1-AS$7)/IF(MOD(YEAR(AS$8),4),365,366))</f>
        <v>1.0097177746622019</v>
      </c>
      <c s="126">
        <f>POWER(1+LOOKUP(YEAR(AT$8),Предпосылки!$C$468:$R$468,Предпосылки!$C$470:$R$470),(AT$8+1-AT$7)/IF(MOD(YEAR(AT$8),4),365,366))</f>
        <v>1.009826278714177</v>
      </c>
      <c s="126">
        <f>POWER(1+LOOKUP(YEAR(AU$8),Предпосылки!$C$468:$R$468,Предпосылки!$C$470:$R$470),(AU$8+1-AU$7)/IF(MOD(YEAR(AU$8),4),365,366))</f>
        <v>1.0099347944259736</v>
      </c>
      <c s="126">
        <f>POWER(1+LOOKUP(YEAR(AV$8),Предпосылки!$C$468:$R$468,Предпосылки!$C$470:$R$470),(AV$8+1-AV$7)/IF(MOD(YEAR(AV$8),4),365,366))</f>
        <v>1.0099347944259736</v>
      </c>
      <c s="126">
        <f>POWER(1+LOOKUP(YEAR(AW$8),Предпосылки!$C$468:$R$468,Предпосылки!$C$470:$R$470),(AW$8+1-AW$7)/IF(MOD(YEAR(AW$8),4),365,366))</f>
        <v>1.0097992998416958</v>
      </c>
      <c s="126">
        <f>POWER(1+LOOKUP(YEAR(AX$8),Предпосылки!$C$468:$R$468,Предпосылки!$C$470:$R$470),(AX$8+1-AX$7)/IF(MOD(YEAR(AX$8),4),365,366))</f>
        <v>1.0097992998416958</v>
      </c>
      <c s="126">
        <f>POWER(1+LOOKUP(YEAR(AY$8),Предпосылки!$C$468:$R$468,Предпосылки!$C$470:$R$470),(AY$8+1-AY$7)/IF(MOD(YEAR(AY$8),4),365,366))</f>
        <v>1.0099075161553681</v>
      </c>
      <c s="126">
        <f>POWER(1+LOOKUP(YEAR(AZ$8),Предпосылки!$C$468:$R$468,Предпосылки!$C$470:$R$470),(AZ$8+1-AZ$7)/IF(MOD(YEAR(AZ$8),4),365,366))</f>
        <v>1.0099075161553681</v>
      </c>
      <c s="126">
        <f>POWER(1+LOOKUP(YEAR(BA$8),Предпосылки!$C$468:$R$468,Предпосылки!$C$470:$R$470),(BA$8+1-BA$7)/IF(MOD(YEAR(BA$8),4),365,366))</f>
        <v>1.0097177746622019</v>
      </c>
      <c s="126">
        <f>POWER(1+LOOKUP(YEAR(BB$8),Предпосылки!$C$468:$R$468,Предпосылки!$C$470:$R$470),(BB$8+1-BB$7)/IF(MOD(YEAR(BB$8),4),365,366))</f>
        <v>1.009826278714177</v>
      </c>
      <c s="126">
        <f>POWER(1+LOOKUP(YEAR(BC$8),Предпосылки!$C$468:$R$468,Предпосылки!$C$470:$R$470),(BC$8+1-BC$7)/IF(MOD(YEAR(BC$8),4),365,366))</f>
        <v>1.0099347944259736</v>
      </c>
      <c s="126">
        <f>POWER(1+LOOKUP(YEAR(BD$8),Предпосылки!$C$468:$R$468,Предпосылки!$C$470:$R$470),(BD$8+1-BD$7)/IF(MOD(YEAR(BD$8),4),365,366))</f>
        <v>1.0099347944259736</v>
      </c>
      <c s="126">
        <f>POWER(1+LOOKUP(YEAR(BE$8),Предпосылки!$C$468:$R$468,Предпосылки!$C$470:$R$470),(BE$8+1-BE$7)/IF(MOD(YEAR(BE$8),4),365,366))</f>
        <v>1.0097177746622019</v>
      </c>
      <c s="126">
        <f>POWER(1+LOOKUP(YEAR(BF$8),Предпосылки!$C$468:$R$468,Предпосылки!$C$470:$R$470),(BF$8+1-BF$7)/IF(MOD(YEAR(BF$8),4),365,366))</f>
        <v>1.009826278714177</v>
      </c>
      <c s="126">
        <f>POWER(1+LOOKUP(YEAR(BG$8),Предпосылки!$C$468:$R$468,Предпосылки!$C$470:$R$470),(BG$8+1-BG$7)/IF(MOD(YEAR(BG$8),4),365,366))</f>
        <v>1.0099347944259736</v>
      </c>
      <c s="126">
        <f>POWER(1+LOOKUP(YEAR(BH$8),Предпосылки!$C$468:$R$468,Предпосылки!$C$470:$R$470),(BH$8+1-BH$7)/IF(MOD(YEAR(BH$8),4),365,366))</f>
        <v>1.0099347944259736</v>
      </c>
      <c s="126">
        <f>POWER(1+LOOKUP(YEAR(BI$8),Предпосылки!$C$468:$R$468,Предпосылки!$C$470:$R$470),(BI$8+1-BI$7)/IF(MOD(YEAR(BI$8),4),365,366))</f>
        <v>1.0097177746622019</v>
      </c>
      <c s="126">
        <f>POWER(1+LOOKUP(YEAR(BJ$8),Предпосылки!$C$468:$R$468,Предпосылки!$C$470:$R$470),(BJ$8+1-BJ$7)/IF(MOD(YEAR(BJ$8),4),365,366))</f>
        <v>1.009826278714177</v>
      </c>
      <c s="126">
        <f>POWER(1+LOOKUP(YEAR(BK$8),Предпосылки!$C$468:$R$468,Предпосылки!$C$470:$R$470),(BK$8+1-BK$7)/IF(MOD(YEAR(BK$8),4),365,366))</f>
        <v>1.0099347944259736</v>
      </c>
      <c s="126">
        <f>POWER(1+LOOKUP(YEAR(BL$8),Предпосылки!$C$468:$R$468,Предпосылки!$C$470:$R$470),(BL$8+1-BL$7)/IF(MOD(YEAR(BL$8),4),365,366))</f>
        <v>1.0099347944259736</v>
      </c>
      <c s="126">
        <f>POWER(1+LOOKUP(YEAR(BM$8),Предпосылки!$C$468:$R$468,Предпосылки!$C$470:$R$470),(BM$8+1-BM$7)/IF(MOD(YEAR(BM$8),4),365,366))</f>
        <v>1.0097992998416958</v>
      </c>
    </row>
    <row r="19" spans="2:65" ht="15" customHeight="1">
      <c r="B19" s="289" t="s">
        <v>848</v>
      </c>
      <c s="290" t="s">
        <v>817</v>
      </c>
      <c s="282">
        <v>1</v>
      </c>
      <c s="282">
        <f>D19*E18</f>
        <v>1.0156492190185731</v>
      </c>
      <c s="282">
        <f t="shared" si="1" ref="F19">E19*F18</f>
        <v>1.0317213274320511</v>
      </c>
      <c s="282">
        <f t="shared" si="2" ref="G19">F19*G18</f>
        <v>1.0482286075637959</v>
      </c>
      <c s="282">
        <f t="shared" si="3" ref="H19">G19*H18</f>
        <v>1.0649999999999999</v>
      </c>
      <c s="282">
        <f t="shared" si="4" ref="I19">H19*I18</f>
        <v>1.0766219096924465</v>
      </c>
      <c s="282">
        <f t="shared" si="5" ref="J19">I19*J18</f>
        <v>1.0885019036438059</v>
      </c>
      <c s="282">
        <f t="shared" si="6" ref="K19">J19*K18</f>
        <v>1.1006457109864112</v>
      </c>
      <c s="282">
        <f t="shared" si="7" ref="L19">K19*L18</f>
        <v>1.1129249999999999</v>
      </c>
      <c s="282">
        <f t="shared" si="8" ref="M19">L19*M18</f>
        <v>1.1237401543659311</v>
      </c>
      <c s="282">
        <f t="shared" si="9" ref="N19">M19*N18</f>
        <v>1.134782338325043</v>
      </c>
      <c s="282">
        <f t="shared" si="10" ref="O19">N19*O18</f>
        <v>1.146056167574528</v>
      </c>
      <c s="282">
        <f t="shared" si="11" ref="P19">O19*P18</f>
        <v>1.1574420000000001</v>
      </c>
      <c s="282">
        <f t="shared" si="12" ref="Q19">P19*Q18</f>
        <v>1.1687841212073722</v>
      </c>
      <c s="282">
        <f t="shared" si="13" ref="R19">Q19*R18</f>
        <v>1.1802373872612961</v>
      </c>
      <c s="282">
        <f t="shared" si="14" ref="S19">R19*S18</f>
        <v>1.1919306082427568</v>
      </c>
      <c s="282">
        <f t="shared" si="15" ref="T19">S19*T18</f>
        <v>1.2037396799999995</v>
      </c>
      <c s="282">
        <f t="shared" si="16" ref="U19">T19*U18</f>
        <v>1.2154373509621905</v>
      </c>
      <c s="282">
        <f t="shared" si="17" ref="V19">U19*V18</f>
        <v>1.227380577132366</v>
      </c>
      <c s="282">
        <f t="shared" si="18" ref="W19">V19*W18</f>
        <v>1.2395743508486088</v>
      </c>
      <c s="282">
        <f t="shared" si="19" ref="X19">W19*X18</f>
        <v>1.2518892671999993</v>
      </c>
      <c s="282">
        <f t="shared" si="20" ref="Y19">X19*Y18</f>
        <v>1.2640548450006779</v>
      </c>
      <c s="282">
        <f t="shared" si="21" ref="Z19">Y19*Z18</f>
        <v>1.2764758002176604</v>
      </c>
      <c s="282">
        <f t="shared" si="22" ref="AA19">Z19*AA18</f>
        <v>1.289157324882553</v>
      </c>
      <c s="282">
        <f t="shared" si="23" ref="AB19">AA19*AB18</f>
        <v>1.3019648378879991</v>
      </c>
      <c s="282">
        <f t="shared" si="24" ref="AC19">AB19*AC18</f>
        <v>1.314617038800705</v>
      </c>
      <c s="282">
        <f t="shared" si="25" ref="AD19">AC19*AD18</f>
        <v>1.3275348322263667</v>
      </c>
      <c s="282">
        <f t="shared" si="26" ref="AE19">AD19*AE18</f>
        <v>1.340723617877855</v>
      </c>
      <c s="282">
        <f t="shared" si="27" ref="AF19">AE19*AF18</f>
        <v>1.354043431403519</v>
      </c>
      <c s="282">
        <f t="shared" si="28" ref="AG19">AF19*AG18</f>
        <v>1.3673121089865208</v>
      </c>
      <c s="282">
        <f t="shared" si="29" ref="AH19">AG19*AH18</f>
        <v>1.3807108103196613</v>
      </c>
      <c s="282">
        <f t="shared" si="30" ref="AI19">AH19*AI18</f>
        <v>1.3943902249787947</v>
      </c>
      <c s="282">
        <f t="shared" si="31" ref="AJ19">AI19*AJ18</f>
        <v>1.4082051686596595</v>
      </c>
      <c s="282">
        <f t="shared" si="32" ref="AK19">AJ19*AK18</f>
        <v>1.4218897891668421</v>
      </c>
      <c s="282">
        <f t="shared" si="33" ref="AL19">AK19*AL18</f>
        <v>1.4358616745360377</v>
      </c>
      <c s="282">
        <f t="shared" si="34" ref="AM19">AL19*AM18</f>
        <v>1.4501266650966875</v>
      </c>
      <c s="282">
        <f t="shared" si="35" ref="AN19">AM19*AN18</f>
        <v>1.4645333754060457</v>
      </c>
      <c s="282">
        <f t="shared" si="36" ref="AO19">AN19*AO18</f>
        <v>1.4787653807335155</v>
      </c>
      <c s="282">
        <f t="shared" si="37" ref="AP19">AO19*AP18</f>
        <v>1.493296141517479</v>
      </c>
      <c s="282">
        <f t="shared" si="38" ref="AQ19">AP19*AQ18</f>
        <v>1.5081317317005547</v>
      </c>
      <c s="282">
        <f t="shared" si="39" ref="AR19">AQ19*AR18</f>
        <v>1.5231147104222873</v>
      </c>
      <c s="282">
        <f t="shared" si="40" ref="AS19">AR19*AS18</f>
        <v>1.5379159959628561</v>
      </c>
      <c s="282">
        <f t="shared" si="41" ref="AT19">AS19*AT18</f>
        <v>1.5530279871781782</v>
      </c>
      <c s="282">
        <f t="shared" si="42" ref="AU19">AT19*AU18</f>
        <v>1.568457000968577</v>
      </c>
      <c s="282">
        <f t="shared" si="43" ref="AV19">AU19*AV18</f>
        <v>1.5840392988391787</v>
      </c>
      <c s="282">
        <f t="shared" si="44" ref="AW19">AV19*AW18</f>
        <v>1.5995617748895334</v>
      </c>
      <c s="282">
        <f t="shared" si="45" ref="AX19">AW19*AX18</f>
        <v>1.615236360336991</v>
      </c>
      <c s="282">
        <f t="shared" si="46" ref="AY19">AX19*AY18</f>
        <v>1.6312393406717678</v>
      </c>
      <c s="282">
        <f t="shared" si="47" ref="AZ19">AY19*AZ18</f>
        <v>1.6474008707927454</v>
      </c>
      <c s="282">
        <f t="shared" si="48" ref="BA19">AZ19*BA18</f>
        <v>1.6634099412334244</v>
      </c>
      <c s="282">
        <f t="shared" si="49" ref="BB19">BA19*BB18</f>
        <v>1.6797550709319169</v>
      </c>
      <c s="282">
        <f t="shared" si="50" ref="BC19">BB19*BC18</f>
        <v>1.6964430922476121</v>
      </c>
      <c s="282">
        <f t="shared" si="51" ref="BD19">BC19*BD18</f>
        <v>1.7132969056244551</v>
      </c>
      <c s="282">
        <f t="shared" si="52" ref="BE19">BD19*BE18</f>
        <v>1.7299463388827614</v>
      </c>
      <c s="282">
        <f t="shared" si="53" ref="BF19">BE19*BF18</f>
        <v>1.7469452737691935</v>
      </c>
      <c s="282">
        <f t="shared" si="54" ref="BG19">BF19*BG18</f>
        <v>1.7643008159375166</v>
      </c>
      <c s="282">
        <f t="shared" si="55" ref="BH19">BG19*BH18</f>
        <v>1.7818287818494334</v>
      </c>
      <c s="282">
        <f t="shared" si="56" ref="BI19">BH19*BI18</f>
        <v>1.799144192438072</v>
      </c>
      <c s="282">
        <f t="shared" si="57" ref="BJ19">BI19*BJ18</f>
        <v>1.8168230847199613</v>
      </c>
      <c s="282">
        <f t="shared" si="58" ref="BK19">BJ19*BK18</f>
        <v>1.8348728485750172</v>
      </c>
      <c s="282">
        <f t="shared" si="59" ref="BL19">BK19*BL18</f>
        <v>1.8531019331234104</v>
      </c>
      <c s="282">
        <f t="shared" si="60" ref="BM19">BL19*BM18</f>
        <v>1.8712610346033129</v>
      </c>
    </row>
    <row r="20" ht="15" customHeight="1"/>
    <row r="21" spans="2:2" ht="15" customHeight="1">
      <c r="B21" s="24" t="s">
        <v>857</v>
      </c>
    </row>
    <row r="22" spans="2:69" ht="14.45">
      <c r="B22" s="25" t="str">
        <f>Предпосылки!B228</f>
        <v>Операционные затраты 1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" spans="2:65" ht="15" customHeight="1">
      <c r="B23" s="12" t="str">
        <f>Предпосылки!B150</f>
        <v>Продукт 1</v>
      </c>
      <c s="124" t="str">
        <f t="shared" si="61" ref="C23:C42">Единица_измерения</f>
        <v>тыс. руб.</v>
      </c>
      <c s="276">
        <f>SUM(E23:BM23)</f>
        <v>0</v>
      </c>
      <c s="125">
        <f>Предпосылки!D$228*Предпосылки!$D253*Продажи!E18*E$19*(1+Чувствительность!$D$20)*IFERROR(LOOKUP(Предпосылки!$H$201,$C$13:$C$15,E$13:E$15),1)</f>
        <v>0</v>
      </c>
      <c s="125">
        <f>Предпосылки!E$228*Предпосылки!$D253*Продажи!F18*F$19*(1+Чувствительность!$D$20)*IFERROR(LOOKUP(Предпосылки!$H$201,$C$13:$C$15,F$13:F$15),1)</f>
        <v>0</v>
      </c>
      <c s="125">
        <f>Предпосылки!F$228*Предпосылки!$D253*Продажи!G18*G$19*(1+Чувствительность!$D$20)*IFERROR(LOOKUP(Предпосылки!$H$201,$C$13:$C$15,G$13:G$15),1)</f>
        <v>0</v>
      </c>
      <c s="125">
        <f>Предпосылки!G$228*Предпосылки!$D253*Продажи!H18*H$19*(1+Чувствительность!$D$20)*IFERROR(LOOKUP(Предпосылки!$H$201,$C$13:$C$15,H$13:H$15),1)</f>
        <v>0</v>
      </c>
      <c s="125">
        <f>Предпосылки!H$228*Предпосылки!$D253*Продажи!I18*I$19*(1+Чувствительность!$D$20)*IFERROR(LOOKUP(Предпосылки!$H$201,$C$13:$C$15,I$13:I$15),1)</f>
        <v>0</v>
      </c>
      <c s="125">
        <f>Предпосылки!I$228*Предпосылки!$D253*Продажи!J18*J$19*(1+Чувствительность!$D$20)*IFERROR(LOOKUP(Предпосылки!$H$201,$C$13:$C$15,J$13:J$15),1)</f>
        <v>0</v>
      </c>
      <c s="125">
        <f>Предпосылки!J$228*Предпосылки!$D253*Продажи!K18*K$19*(1+Чувствительность!$D$20)*IFERROR(LOOKUP(Предпосылки!$H$201,$C$13:$C$15,K$13:K$15),1)</f>
        <v>0</v>
      </c>
      <c s="125">
        <f>Предпосылки!K$228*Предпосылки!$D253*Продажи!L18*L$19*(1+Чувствительность!$D$20)*IFERROR(LOOKUP(Предпосылки!$H$201,$C$13:$C$15,L$13:L$15),1)</f>
        <v>0</v>
      </c>
      <c s="125">
        <f>Предпосылки!L$228*Предпосылки!$D253*Продажи!M18*M$19*(1+Чувствительность!$D$20)*IFERROR(LOOKUP(Предпосылки!$H$201,$C$13:$C$15,M$13:M$15),1)</f>
        <v>0</v>
      </c>
      <c s="125">
        <f>Предпосылки!M$228*Предпосылки!$D253*Продажи!N18*N$19*(1+Чувствительность!$D$20)*IFERROR(LOOKUP(Предпосылки!$H$201,$C$13:$C$15,N$13:N$15),1)</f>
        <v>0</v>
      </c>
      <c s="125">
        <f>Предпосылки!N$228*Предпосылки!$D253*Продажи!O18*O$19*(1+Чувствительность!$D$20)*IFERROR(LOOKUP(Предпосылки!$H$201,$C$13:$C$15,O$13:O$15),1)</f>
        <v>0</v>
      </c>
      <c s="125">
        <f>Предпосылки!O$228*Предпосылки!$D253*Продажи!P18*P$19*(1+Чувствительность!$D$20)*IFERROR(LOOKUP(Предпосылки!$H$201,$C$13:$C$15,P$13:P$15),1)</f>
        <v>0</v>
      </c>
      <c s="125">
        <f>Предпосылки!P$228*Предпосылки!$D253*Продажи!Q18*Q$19*(1+Чувствительность!$D$20)*IFERROR(LOOKUP(Предпосылки!$H$201,$C$13:$C$15,Q$13:Q$15),1)</f>
        <v>0</v>
      </c>
      <c s="125">
        <f>Предпосылки!Q$228*Предпосылки!$D253*Продажи!R18*R$19*(1+Чувствительность!$D$20)*IFERROR(LOOKUP(Предпосылки!$H$201,$C$13:$C$15,R$13:R$15),1)</f>
        <v>0</v>
      </c>
      <c s="125">
        <f>Предпосылки!R$228*Предпосылки!$D253*Продажи!S18*S$19*(1+Чувствительность!$D$20)*IFERROR(LOOKUP(Предпосылки!$H$201,$C$13:$C$15,S$13:S$15),1)</f>
        <v>0</v>
      </c>
      <c s="125">
        <f>Предпосылки!S$228*Предпосылки!$D253*Продажи!T18*T$19*(1+Чувствительность!$D$20)*IFERROR(LOOKUP(Предпосылки!$H$201,$C$13:$C$15,T$13:T$15),1)</f>
        <v>0</v>
      </c>
      <c s="125">
        <f>Предпосылки!T$228*Предпосылки!$D253*Продажи!U18*U$19*(1+Чувствительность!$D$20)*IFERROR(LOOKUP(Предпосылки!$H$201,$C$13:$C$15,U$13:U$15),1)</f>
        <v>0</v>
      </c>
      <c s="125">
        <f>Предпосылки!U$228*Предпосылки!$D253*Продажи!V18*V$19*(1+Чувствительность!$D$20)*IFERROR(LOOKUP(Предпосылки!$H$201,$C$13:$C$15,V$13:V$15),1)</f>
        <v>0</v>
      </c>
      <c s="125">
        <f>Предпосылки!V$228*Предпосылки!$D253*Продажи!W18*W$19*(1+Чувствительность!$D$20)*IFERROR(LOOKUP(Предпосылки!$H$201,$C$13:$C$15,W$13:W$15),1)</f>
        <v>0</v>
      </c>
      <c s="125">
        <f>Предпосылки!W$228*Предпосылки!$D253*Продажи!X18*X$19*(1+Чувствительность!$D$20)*IFERROR(LOOKUP(Предпосылки!$H$201,$C$13:$C$15,X$13:X$15),1)</f>
        <v>0</v>
      </c>
      <c s="125">
        <f>Предпосылки!X$228*Предпосылки!$D253*Продажи!Y18*Y$19*(1+Чувствительность!$D$20)*IFERROR(LOOKUP(Предпосылки!$H$201,$C$13:$C$15,Y$13:Y$15),1)</f>
        <v>0</v>
      </c>
      <c s="125">
        <f>Предпосылки!Y$228*Предпосылки!$D253*Продажи!Z18*Z$19*(1+Чувствительность!$D$20)*IFERROR(LOOKUP(Предпосылки!$H$201,$C$13:$C$15,Z$13:Z$15),1)</f>
        <v>0</v>
      </c>
      <c s="125">
        <f>Предпосылки!Z$228*Предпосылки!$D253*Продажи!AA18*AA$19*(1+Чувствительность!$D$20)*IFERROR(LOOKUP(Предпосылки!$H$201,$C$13:$C$15,AA$13:AA$15),1)</f>
        <v>0</v>
      </c>
      <c s="125">
        <f>Предпосылки!AA$228*Предпосылки!$D253*Продажи!AB18*AB$19*(1+Чувствительность!$D$20)*IFERROR(LOOKUP(Предпосылки!$H$201,$C$13:$C$15,AB$13:AB$15),1)</f>
        <v>0</v>
      </c>
      <c s="125">
        <f>Предпосылки!AB$228*Предпосылки!$D253*Продажи!AC18*AC$19*(1+Чувствительность!$D$20)*IFERROR(LOOKUP(Предпосылки!$H$201,$C$13:$C$15,AC$13:AC$15),1)</f>
        <v>0</v>
      </c>
      <c s="125">
        <f>Предпосылки!AC$228*Предпосылки!$D253*Продажи!AD18*AD$19*(1+Чувствительность!$D$20)*IFERROR(LOOKUP(Предпосылки!$H$201,$C$13:$C$15,AD$13:AD$15),1)</f>
        <v>0</v>
      </c>
      <c s="125">
        <f>Предпосылки!AD$228*Предпосылки!$D253*Продажи!AE18*AE$19*(1+Чувствительность!$D$20)*IFERROR(LOOKUP(Предпосылки!$H$201,$C$13:$C$15,AE$13:AE$15),1)</f>
        <v>0</v>
      </c>
      <c s="125">
        <f>Предпосылки!AE$228*Предпосылки!$D253*Продажи!AF18*AF$19*(1+Чувствительность!$D$20)*IFERROR(LOOKUP(Предпосылки!$H$201,$C$13:$C$15,AF$13:AF$15),1)</f>
        <v>0</v>
      </c>
      <c s="125">
        <f>Предпосылки!AF$228*Предпосылки!$D253*Продажи!AG18*AG$19*(1+Чувствительность!$D$20)*IFERROR(LOOKUP(Предпосылки!$H$201,$C$13:$C$15,AG$13:AG$15),1)</f>
        <v>0</v>
      </c>
      <c s="125">
        <f>Предпосылки!AG$228*Предпосылки!$D253*Продажи!AH18*AH$19*(1+Чувствительность!$D$20)*IFERROR(LOOKUP(Предпосылки!$H$201,$C$13:$C$15,AH$13:AH$15),1)</f>
        <v>0</v>
      </c>
      <c s="125">
        <f>Предпосылки!AH$228*Предпосылки!$D253*Продажи!AI18*AI$19*(1+Чувствительность!$D$20)*IFERROR(LOOKUP(Предпосылки!$H$201,$C$13:$C$15,AI$13:AI$15),1)</f>
        <v>0</v>
      </c>
      <c s="125">
        <f>Предпосылки!AI$228*Предпосылки!$D253*Продажи!AJ18*AJ$19*(1+Чувствительность!$D$20)*IFERROR(LOOKUP(Предпосылки!$H$201,$C$13:$C$15,AJ$13:AJ$15),1)</f>
        <v>0</v>
      </c>
      <c s="125">
        <f>Предпосылки!AJ$228*Предпосылки!$D253*Продажи!AK18*AK$19*(1+Чувствительность!$D$20)*IFERROR(LOOKUP(Предпосылки!$H$201,$C$13:$C$15,AK$13:AK$15),1)</f>
        <v>0</v>
      </c>
      <c s="125">
        <f>Предпосылки!AK$228*Предпосылки!$D253*Продажи!AL18*AL$19*(1+Чувствительность!$D$20)*IFERROR(LOOKUP(Предпосылки!$H$201,$C$13:$C$15,AL$13:AL$15),1)</f>
        <v>0</v>
      </c>
      <c s="125">
        <f>Предпосылки!AL$228*Предпосылки!$D253*Продажи!AM18*AM$19*(1+Чувствительность!$D$20)*IFERROR(LOOKUP(Предпосылки!$H$201,$C$13:$C$15,AM$13:AM$15),1)</f>
        <v>0</v>
      </c>
      <c s="125">
        <f>Предпосылки!AM$228*Предпосылки!$D253*Продажи!AN18*AN$19*(1+Чувствительность!$D$20)*IFERROR(LOOKUP(Предпосылки!$H$201,$C$13:$C$15,AN$13:AN$15),1)</f>
        <v>0</v>
      </c>
      <c s="125">
        <f>Предпосылки!AN$228*Предпосылки!$D253*Продажи!AO18*AO$19*(1+Чувствительность!$D$20)*IFERROR(LOOKUP(Предпосылки!$H$201,$C$13:$C$15,AO$13:AO$15),1)</f>
        <v>0</v>
      </c>
      <c s="125">
        <f>Предпосылки!AO$228*Предпосылки!$D253*Продажи!AP18*AP$19*(1+Чувствительность!$D$20)*IFERROR(LOOKUP(Предпосылки!$H$201,$C$13:$C$15,AP$13:AP$15),1)</f>
        <v>0</v>
      </c>
      <c s="125">
        <f>Предпосылки!AP$228*Предпосылки!$D253*Продажи!AQ18*AQ$19*(1+Чувствительность!$D$20)*IFERROR(LOOKUP(Предпосылки!$H$201,$C$13:$C$15,AQ$13:AQ$15),1)</f>
        <v>0</v>
      </c>
      <c s="125">
        <f>Предпосылки!AQ$228*Предпосылки!$D253*Продажи!AR18*AR$19*(1+Чувствительность!$D$20)*IFERROR(LOOKUP(Предпосылки!$H$201,$C$13:$C$15,AR$13:AR$15),1)</f>
        <v>0</v>
      </c>
      <c s="125">
        <f>Предпосылки!AR$228*Предпосылки!$D253*Продажи!AS18*AS$19*(1+Чувствительность!$D$20)*IFERROR(LOOKUP(Предпосылки!$H$201,$C$13:$C$15,AS$13:AS$15),1)</f>
        <v>0</v>
      </c>
      <c s="125">
        <f>Предпосылки!AS$228*Предпосылки!$D253*Продажи!AT18*AT$19*(1+Чувствительность!$D$20)*IFERROR(LOOKUP(Предпосылки!$H$201,$C$13:$C$15,AT$13:AT$15),1)</f>
        <v>0</v>
      </c>
      <c s="125">
        <f>Предпосылки!AT$228*Предпосылки!$D253*Продажи!AU18*AU$19*(1+Чувствительность!$D$20)*IFERROR(LOOKUP(Предпосылки!$H$201,$C$13:$C$15,AU$13:AU$15),1)</f>
        <v>0</v>
      </c>
      <c s="125">
        <f>Предпосылки!AU$228*Предпосылки!$D253*Продажи!AV18*AV$19*(1+Чувствительность!$D$20)*IFERROR(LOOKUP(Предпосылки!$H$201,$C$13:$C$15,AV$13:AV$15),1)</f>
        <v>0</v>
      </c>
      <c s="125">
        <f>Предпосылки!AV$228*Предпосылки!$D253*Продажи!AW18*AW$19*(1+Чувствительность!$D$20)*IFERROR(LOOKUP(Предпосылки!$H$201,$C$13:$C$15,AW$13:AW$15),1)</f>
        <v>0</v>
      </c>
      <c s="125">
        <f>Предпосылки!AW$228*Предпосылки!$D253*Продажи!AX18*AX$19*(1+Чувствительность!$D$20)*IFERROR(LOOKUP(Предпосылки!$H$201,$C$13:$C$15,AX$13:AX$15),1)</f>
        <v>0</v>
      </c>
      <c s="125">
        <f>Предпосылки!AX$228*Предпосылки!$D253*Продажи!AY18*AY$19*(1+Чувствительность!$D$20)*IFERROR(LOOKUP(Предпосылки!$H$201,$C$13:$C$15,AY$13:AY$15),1)</f>
        <v>0</v>
      </c>
      <c s="125">
        <f>Предпосылки!AY$228*Предпосылки!$D253*Продажи!AZ18*AZ$19*(1+Чувствительность!$D$20)*IFERROR(LOOKUP(Предпосылки!$H$201,$C$13:$C$15,AZ$13:AZ$15),1)</f>
        <v>0</v>
      </c>
      <c s="125">
        <f>Предпосылки!AZ$228*Предпосылки!$D253*Продажи!BA18*BA$19*(1+Чувствительность!$D$20)*IFERROR(LOOKUP(Предпосылки!$H$201,$C$13:$C$15,BA$13:BA$15),1)</f>
        <v>0</v>
      </c>
      <c s="125">
        <f>Предпосылки!BA$228*Предпосылки!$D253*Продажи!BB18*BB$19*(1+Чувствительность!$D$20)*IFERROR(LOOKUP(Предпосылки!$H$201,$C$13:$C$15,BB$13:BB$15),1)</f>
        <v>0</v>
      </c>
      <c s="125">
        <f>Предпосылки!BB$228*Предпосылки!$D253*Продажи!BC18*BC$19*(1+Чувствительность!$D$20)*IFERROR(LOOKUP(Предпосылки!$H$201,$C$13:$C$15,BC$13:BC$15),1)</f>
        <v>0</v>
      </c>
      <c s="125">
        <f>Предпосылки!BC$228*Предпосылки!$D253*Продажи!BD18*BD$19*(1+Чувствительность!$D$20)*IFERROR(LOOKUP(Предпосылки!$H$201,$C$13:$C$15,BD$13:BD$15),1)</f>
        <v>0</v>
      </c>
      <c s="125">
        <f>Предпосылки!BD$228*Предпосылки!$D253*Продажи!BE18*BE$19*(1+Чувствительность!$D$20)*IFERROR(LOOKUP(Предпосылки!$H$201,$C$13:$C$15,BE$13:BE$15),1)</f>
        <v>0</v>
      </c>
      <c s="125">
        <f>Предпосылки!BE$228*Предпосылки!$D253*Продажи!BF18*BF$19*(1+Чувствительность!$D$20)*IFERROR(LOOKUP(Предпосылки!$H$201,$C$13:$C$15,BF$13:BF$15),1)</f>
        <v>0</v>
      </c>
      <c s="125">
        <f>Предпосылки!BF$228*Предпосылки!$D253*Продажи!BG18*BG$19*(1+Чувствительность!$D$20)*IFERROR(LOOKUP(Предпосылки!$H$201,$C$13:$C$15,BG$13:BG$15),1)</f>
        <v>0</v>
      </c>
      <c s="125">
        <f>Предпосылки!BG$228*Предпосылки!$D253*Продажи!BH18*BH$19*(1+Чувствительность!$D$20)*IFERROR(LOOKUP(Предпосылки!$H$201,$C$13:$C$15,BH$13:BH$15),1)</f>
        <v>0</v>
      </c>
      <c s="125">
        <f>Предпосылки!BH$228*Предпосылки!$D253*Продажи!BI18*BI$19*(1+Чувствительность!$D$20)*IFERROR(LOOKUP(Предпосылки!$H$201,$C$13:$C$15,BI$13:BI$15),1)</f>
        <v>0</v>
      </c>
      <c s="125">
        <f>Предпосылки!BI$228*Предпосылки!$D253*Продажи!BJ18*BJ$19*(1+Чувствительность!$D$20)*IFERROR(LOOKUP(Предпосылки!$H$201,$C$13:$C$15,BJ$13:BJ$15),1)</f>
        <v>0</v>
      </c>
      <c s="125">
        <f>Предпосылки!BJ$228*Предпосылки!$D253*Продажи!BK18*BK$19*(1+Чувствительность!$D$20)*IFERROR(LOOKUP(Предпосылки!$H$201,$C$13:$C$15,BK$13:BK$15),1)</f>
        <v>0</v>
      </c>
      <c s="125">
        <f>Предпосылки!BK$228*Предпосылки!$D253*Продажи!BL18*BL$19*(1+Чувствительность!$D$20)*IFERROR(LOOKUP(Предпосылки!$H$201,$C$13:$C$15,BL$13:BL$15),1)</f>
        <v>0</v>
      </c>
      <c s="125">
        <f>Предпосылки!BL$228*Предпосылки!$D253*Продажи!BM18*BM$19*(1+Чувствительность!$D$20)*IFERROR(LOOKUP(Предпосылки!$H$201,$C$13:$C$15,BM$13:BM$15),1)</f>
        <v>0</v>
      </c>
    </row>
    <row r="24" spans="2:65" ht="15" customHeight="1">
      <c r="B24" s="12" t="str">
        <f>Предпосылки!B151</f>
        <v>Продукт 2</v>
      </c>
      <c s="124" t="str">
        <f t="shared" si="61"/>
        <v>тыс. руб.</v>
      </c>
      <c s="276">
        <f t="shared" si="62" ref="D24:D42">SUM(E24:BM24)</f>
        <v>0</v>
      </c>
      <c s="125">
        <f>Предпосылки!D$228*Предпосылки!$D254*Продажи!E19*E$19*(1+Чувствительность!$D$20)*IFERROR(LOOKUP(Предпосылки!$H$201,$C$13:$C$15,E$13:E$15),1)</f>
        <v>0</v>
      </c>
      <c s="125">
        <f>Предпосылки!E$228*Предпосылки!$D254*Продажи!F19*F$19*(1+Чувствительность!$D$20)*IFERROR(LOOKUP(Предпосылки!$H$201,$C$13:$C$15,F$13:F$15),1)</f>
        <v>0</v>
      </c>
      <c s="125">
        <f>Предпосылки!F$228*Предпосылки!$D254*Продажи!G19*G$19*(1+Чувствительность!$D$20)*IFERROR(LOOKUP(Предпосылки!$H$201,$C$13:$C$15,G$13:G$15),1)</f>
        <v>0</v>
      </c>
      <c s="125">
        <f>Предпосылки!G$228*Предпосылки!$D254*Продажи!H19*H$19*(1+Чувствительность!$D$20)*IFERROR(LOOKUP(Предпосылки!$H$201,$C$13:$C$15,H$13:H$15),1)</f>
        <v>0</v>
      </c>
      <c s="125">
        <f>Предпосылки!H$228*Предпосылки!$D254*Продажи!I19*I$19*(1+Чувствительность!$D$20)*IFERROR(LOOKUP(Предпосылки!$H$201,$C$13:$C$15,I$13:I$15),1)</f>
        <v>0</v>
      </c>
      <c s="125">
        <f>Предпосылки!I$228*Предпосылки!$D254*Продажи!J19*J$19*(1+Чувствительность!$D$20)*IFERROR(LOOKUP(Предпосылки!$H$201,$C$13:$C$15,J$13:J$15),1)</f>
        <v>0</v>
      </c>
      <c s="125">
        <f>Предпосылки!J$228*Предпосылки!$D254*Продажи!K19*K$19*(1+Чувствительность!$D$20)*IFERROR(LOOKUP(Предпосылки!$H$201,$C$13:$C$15,K$13:K$15),1)</f>
        <v>0</v>
      </c>
      <c s="125">
        <f>Предпосылки!K$228*Предпосылки!$D254*Продажи!L19*L$19*(1+Чувствительность!$D$20)*IFERROR(LOOKUP(Предпосылки!$H$201,$C$13:$C$15,L$13:L$15),1)</f>
        <v>0</v>
      </c>
      <c s="125">
        <f>Предпосылки!L$228*Предпосылки!$D254*Продажи!M19*M$19*(1+Чувствительность!$D$20)*IFERROR(LOOKUP(Предпосылки!$H$201,$C$13:$C$15,M$13:M$15),1)</f>
        <v>0</v>
      </c>
      <c s="125">
        <f>Предпосылки!M$228*Предпосылки!$D254*Продажи!N19*N$19*(1+Чувствительность!$D$20)*IFERROR(LOOKUP(Предпосылки!$H$201,$C$13:$C$15,N$13:N$15),1)</f>
        <v>0</v>
      </c>
      <c s="125">
        <f>Предпосылки!N$228*Предпосылки!$D254*Продажи!O19*O$19*(1+Чувствительность!$D$20)*IFERROR(LOOKUP(Предпосылки!$H$201,$C$13:$C$15,O$13:O$15),1)</f>
        <v>0</v>
      </c>
      <c s="125">
        <f>Предпосылки!O$228*Предпосылки!$D254*Продажи!P19*P$19*(1+Чувствительность!$D$20)*IFERROR(LOOKUP(Предпосылки!$H$201,$C$13:$C$15,P$13:P$15),1)</f>
        <v>0</v>
      </c>
      <c s="125">
        <f>Предпосылки!P$228*Предпосылки!$D254*Продажи!Q19*Q$19*(1+Чувствительность!$D$20)*IFERROR(LOOKUP(Предпосылки!$H$201,$C$13:$C$15,Q$13:Q$15),1)</f>
        <v>0</v>
      </c>
      <c s="125">
        <f>Предпосылки!Q$228*Предпосылки!$D254*Продажи!R19*R$19*(1+Чувствительность!$D$20)*IFERROR(LOOKUP(Предпосылки!$H$201,$C$13:$C$15,R$13:R$15),1)</f>
        <v>0</v>
      </c>
      <c s="125">
        <f>Предпосылки!R$228*Предпосылки!$D254*Продажи!S19*S$19*(1+Чувствительность!$D$20)*IFERROR(LOOKUP(Предпосылки!$H$201,$C$13:$C$15,S$13:S$15),1)</f>
        <v>0</v>
      </c>
      <c s="125">
        <f>Предпосылки!S$228*Предпосылки!$D254*Продажи!T19*T$19*(1+Чувствительность!$D$20)*IFERROR(LOOKUP(Предпосылки!$H$201,$C$13:$C$15,T$13:T$15),1)</f>
        <v>0</v>
      </c>
      <c s="125">
        <f>Предпосылки!T$228*Предпосылки!$D254*Продажи!U19*U$19*(1+Чувствительность!$D$20)*IFERROR(LOOKUP(Предпосылки!$H$201,$C$13:$C$15,U$13:U$15),1)</f>
        <v>0</v>
      </c>
      <c s="125">
        <f>Предпосылки!U$228*Предпосылки!$D254*Продажи!V19*V$19*(1+Чувствительность!$D$20)*IFERROR(LOOKUP(Предпосылки!$H$201,$C$13:$C$15,V$13:V$15),1)</f>
        <v>0</v>
      </c>
      <c s="125">
        <f>Предпосылки!V$228*Предпосылки!$D254*Продажи!W19*W$19*(1+Чувствительность!$D$20)*IFERROR(LOOKUP(Предпосылки!$H$201,$C$13:$C$15,W$13:W$15),1)</f>
        <v>0</v>
      </c>
      <c s="125">
        <f>Предпосылки!W$228*Предпосылки!$D254*Продажи!X19*X$19*(1+Чувствительность!$D$20)*IFERROR(LOOKUP(Предпосылки!$H$201,$C$13:$C$15,X$13:X$15),1)</f>
        <v>0</v>
      </c>
      <c s="125">
        <f>Предпосылки!X$228*Предпосылки!$D254*Продажи!Y19*Y$19*(1+Чувствительность!$D$20)*IFERROR(LOOKUP(Предпосылки!$H$201,$C$13:$C$15,Y$13:Y$15),1)</f>
        <v>0</v>
      </c>
      <c s="125">
        <f>Предпосылки!Y$228*Предпосылки!$D254*Продажи!Z19*Z$19*(1+Чувствительность!$D$20)*IFERROR(LOOKUP(Предпосылки!$H$201,$C$13:$C$15,Z$13:Z$15),1)</f>
        <v>0</v>
      </c>
      <c s="125">
        <f>Предпосылки!Z$228*Предпосылки!$D254*Продажи!AA19*AA$19*(1+Чувствительность!$D$20)*IFERROR(LOOKUP(Предпосылки!$H$201,$C$13:$C$15,AA$13:AA$15),1)</f>
        <v>0</v>
      </c>
      <c s="125">
        <f>Предпосылки!AA$228*Предпосылки!$D254*Продажи!AB19*AB$19*(1+Чувствительность!$D$20)*IFERROR(LOOKUP(Предпосылки!$H$201,$C$13:$C$15,AB$13:AB$15),1)</f>
        <v>0</v>
      </c>
      <c s="125">
        <f>Предпосылки!AB$228*Предпосылки!$D254*Продажи!AC19*AC$19*(1+Чувствительность!$D$20)*IFERROR(LOOKUP(Предпосылки!$H$201,$C$13:$C$15,AC$13:AC$15),1)</f>
        <v>0</v>
      </c>
      <c s="125">
        <f>Предпосылки!AC$228*Предпосылки!$D254*Продажи!AD19*AD$19*(1+Чувствительность!$D$20)*IFERROR(LOOKUP(Предпосылки!$H$201,$C$13:$C$15,AD$13:AD$15),1)</f>
        <v>0</v>
      </c>
      <c s="125">
        <f>Предпосылки!AD$228*Предпосылки!$D254*Продажи!AE19*AE$19*(1+Чувствительность!$D$20)*IFERROR(LOOKUP(Предпосылки!$H$201,$C$13:$C$15,AE$13:AE$15),1)</f>
        <v>0</v>
      </c>
      <c s="125">
        <f>Предпосылки!AE$228*Предпосылки!$D254*Продажи!AF19*AF$19*(1+Чувствительность!$D$20)*IFERROR(LOOKUP(Предпосылки!$H$201,$C$13:$C$15,AF$13:AF$15),1)</f>
        <v>0</v>
      </c>
      <c s="125">
        <f>Предпосылки!AF$228*Предпосылки!$D254*Продажи!AG19*AG$19*(1+Чувствительность!$D$20)*IFERROR(LOOKUP(Предпосылки!$H$201,$C$13:$C$15,AG$13:AG$15),1)</f>
        <v>0</v>
      </c>
      <c s="125">
        <f>Предпосылки!AG$228*Предпосылки!$D254*Продажи!AH19*AH$19*(1+Чувствительность!$D$20)*IFERROR(LOOKUP(Предпосылки!$H$201,$C$13:$C$15,AH$13:AH$15),1)</f>
        <v>0</v>
      </c>
      <c s="125">
        <f>Предпосылки!AH$228*Предпосылки!$D254*Продажи!AI19*AI$19*(1+Чувствительность!$D$20)*IFERROR(LOOKUP(Предпосылки!$H$201,$C$13:$C$15,AI$13:AI$15),1)</f>
        <v>0</v>
      </c>
      <c s="125">
        <f>Предпосылки!AI$228*Предпосылки!$D254*Продажи!AJ19*AJ$19*(1+Чувствительность!$D$20)*IFERROR(LOOKUP(Предпосылки!$H$201,$C$13:$C$15,AJ$13:AJ$15),1)</f>
        <v>0</v>
      </c>
      <c s="125">
        <f>Предпосылки!AJ$228*Предпосылки!$D254*Продажи!AK19*AK$19*(1+Чувствительность!$D$20)*IFERROR(LOOKUP(Предпосылки!$H$201,$C$13:$C$15,AK$13:AK$15),1)</f>
        <v>0</v>
      </c>
      <c s="125">
        <f>Предпосылки!AK$228*Предпосылки!$D254*Продажи!AL19*AL$19*(1+Чувствительность!$D$20)*IFERROR(LOOKUP(Предпосылки!$H$201,$C$13:$C$15,AL$13:AL$15),1)</f>
        <v>0</v>
      </c>
      <c s="125">
        <f>Предпосылки!AL$228*Предпосылки!$D254*Продажи!AM19*AM$19*(1+Чувствительность!$D$20)*IFERROR(LOOKUP(Предпосылки!$H$201,$C$13:$C$15,AM$13:AM$15),1)</f>
        <v>0</v>
      </c>
      <c s="125">
        <f>Предпосылки!AM$228*Предпосылки!$D254*Продажи!AN19*AN$19*(1+Чувствительность!$D$20)*IFERROR(LOOKUP(Предпосылки!$H$201,$C$13:$C$15,AN$13:AN$15),1)</f>
        <v>0</v>
      </c>
      <c s="125">
        <f>Предпосылки!AN$228*Предпосылки!$D254*Продажи!AO19*AO$19*(1+Чувствительность!$D$20)*IFERROR(LOOKUP(Предпосылки!$H$201,$C$13:$C$15,AO$13:AO$15),1)</f>
        <v>0</v>
      </c>
      <c s="125">
        <f>Предпосылки!AO$228*Предпосылки!$D254*Продажи!AP19*AP$19*(1+Чувствительность!$D$20)*IFERROR(LOOKUP(Предпосылки!$H$201,$C$13:$C$15,AP$13:AP$15),1)</f>
        <v>0</v>
      </c>
      <c s="125">
        <f>Предпосылки!AP$228*Предпосылки!$D254*Продажи!AQ19*AQ$19*(1+Чувствительность!$D$20)*IFERROR(LOOKUP(Предпосылки!$H$201,$C$13:$C$15,AQ$13:AQ$15),1)</f>
        <v>0</v>
      </c>
      <c s="125">
        <f>Предпосылки!AQ$228*Предпосылки!$D254*Продажи!AR19*AR$19*(1+Чувствительность!$D$20)*IFERROR(LOOKUP(Предпосылки!$H$201,$C$13:$C$15,AR$13:AR$15),1)</f>
        <v>0</v>
      </c>
      <c s="125">
        <f>Предпосылки!AR$228*Предпосылки!$D254*Продажи!AS19*AS$19*(1+Чувствительность!$D$20)*IFERROR(LOOKUP(Предпосылки!$H$201,$C$13:$C$15,AS$13:AS$15),1)</f>
        <v>0</v>
      </c>
      <c s="125">
        <f>Предпосылки!AS$228*Предпосылки!$D254*Продажи!AT19*AT$19*(1+Чувствительность!$D$20)*IFERROR(LOOKUP(Предпосылки!$H$201,$C$13:$C$15,AT$13:AT$15),1)</f>
        <v>0</v>
      </c>
      <c s="125">
        <f>Предпосылки!AT$228*Предпосылки!$D254*Продажи!AU19*AU$19*(1+Чувствительность!$D$20)*IFERROR(LOOKUP(Предпосылки!$H$201,$C$13:$C$15,AU$13:AU$15),1)</f>
        <v>0</v>
      </c>
      <c s="125">
        <f>Предпосылки!AU$228*Предпосылки!$D254*Продажи!AV19*AV$19*(1+Чувствительность!$D$20)*IFERROR(LOOKUP(Предпосылки!$H$201,$C$13:$C$15,AV$13:AV$15),1)</f>
        <v>0</v>
      </c>
      <c s="125">
        <f>Предпосылки!AV$228*Предпосылки!$D254*Продажи!AW19*AW$19*(1+Чувствительность!$D$20)*IFERROR(LOOKUP(Предпосылки!$H$201,$C$13:$C$15,AW$13:AW$15),1)</f>
        <v>0</v>
      </c>
      <c s="125">
        <f>Предпосылки!AW$228*Предпосылки!$D254*Продажи!AX19*AX$19*(1+Чувствительность!$D$20)*IFERROR(LOOKUP(Предпосылки!$H$201,$C$13:$C$15,AX$13:AX$15),1)</f>
        <v>0</v>
      </c>
      <c s="125">
        <f>Предпосылки!AX$228*Предпосылки!$D254*Продажи!AY19*AY$19*(1+Чувствительность!$D$20)*IFERROR(LOOKUP(Предпосылки!$H$201,$C$13:$C$15,AY$13:AY$15),1)</f>
        <v>0</v>
      </c>
      <c s="125">
        <f>Предпосылки!AY$228*Предпосылки!$D254*Продажи!AZ19*AZ$19*(1+Чувствительность!$D$20)*IFERROR(LOOKUP(Предпосылки!$H$201,$C$13:$C$15,AZ$13:AZ$15),1)</f>
        <v>0</v>
      </c>
      <c s="125">
        <f>Предпосылки!AZ$228*Предпосылки!$D254*Продажи!BA19*BA$19*(1+Чувствительность!$D$20)*IFERROR(LOOKUP(Предпосылки!$H$201,$C$13:$C$15,BA$13:BA$15),1)</f>
        <v>0</v>
      </c>
      <c s="125">
        <f>Предпосылки!BA$228*Предпосылки!$D254*Продажи!BB19*BB$19*(1+Чувствительность!$D$20)*IFERROR(LOOKUP(Предпосылки!$H$201,$C$13:$C$15,BB$13:BB$15),1)</f>
        <v>0</v>
      </c>
      <c s="125">
        <f>Предпосылки!BB$228*Предпосылки!$D254*Продажи!BC19*BC$19*(1+Чувствительность!$D$20)*IFERROR(LOOKUP(Предпосылки!$H$201,$C$13:$C$15,BC$13:BC$15),1)</f>
        <v>0</v>
      </c>
      <c s="125">
        <f>Предпосылки!BC$228*Предпосылки!$D254*Продажи!BD19*BD$19*(1+Чувствительность!$D$20)*IFERROR(LOOKUP(Предпосылки!$H$201,$C$13:$C$15,BD$13:BD$15),1)</f>
        <v>0</v>
      </c>
      <c s="125">
        <f>Предпосылки!BD$228*Предпосылки!$D254*Продажи!BE19*BE$19*(1+Чувствительность!$D$20)*IFERROR(LOOKUP(Предпосылки!$H$201,$C$13:$C$15,BE$13:BE$15),1)</f>
        <v>0</v>
      </c>
      <c s="125">
        <f>Предпосылки!BE$228*Предпосылки!$D254*Продажи!BF19*BF$19*(1+Чувствительность!$D$20)*IFERROR(LOOKUP(Предпосылки!$H$201,$C$13:$C$15,BF$13:BF$15),1)</f>
        <v>0</v>
      </c>
      <c s="125">
        <f>Предпосылки!BF$228*Предпосылки!$D254*Продажи!BG19*BG$19*(1+Чувствительность!$D$20)*IFERROR(LOOKUP(Предпосылки!$H$201,$C$13:$C$15,BG$13:BG$15),1)</f>
        <v>0</v>
      </c>
      <c s="125">
        <f>Предпосылки!BG$228*Предпосылки!$D254*Продажи!BH19*BH$19*(1+Чувствительность!$D$20)*IFERROR(LOOKUP(Предпосылки!$H$201,$C$13:$C$15,BH$13:BH$15),1)</f>
        <v>0</v>
      </c>
      <c s="125">
        <f>Предпосылки!BH$228*Предпосылки!$D254*Продажи!BI19*BI$19*(1+Чувствительность!$D$20)*IFERROR(LOOKUP(Предпосылки!$H$201,$C$13:$C$15,BI$13:BI$15),1)</f>
        <v>0</v>
      </c>
      <c s="125">
        <f>Предпосылки!BI$228*Предпосылки!$D254*Продажи!BJ19*BJ$19*(1+Чувствительность!$D$20)*IFERROR(LOOKUP(Предпосылки!$H$201,$C$13:$C$15,BJ$13:BJ$15),1)</f>
        <v>0</v>
      </c>
      <c s="125">
        <f>Предпосылки!BJ$228*Предпосылки!$D254*Продажи!BK19*BK$19*(1+Чувствительность!$D$20)*IFERROR(LOOKUP(Предпосылки!$H$201,$C$13:$C$15,BK$13:BK$15),1)</f>
        <v>0</v>
      </c>
      <c s="125">
        <f>Предпосылки!BK$228*Предпосылки!$D254*Продажи!BL19*BL$19*(1+Чувствительность!$D$20)*IFERROR(LOOKUP(Предпосылки!$H$201,$C$13:$C$15,BL$13:BL$15),1)</f>
        <v>0</v>
      </c>
      <c s="125">
        <f>Предпосылки!BL$228*Предпосылки!$D254*Продажи!BM19*BM$19*(1+Чувствительность!$D$20)*IFERROR(LOOKUP(Предпосылки!$H$201,$C$13:$C$15,BM$13:BM$15),1)</f>
        <v>0</v>
      </c>
    </row>
    <row r="25" spans="2:65" ht="15" customHeight="1">
      <c r="B25" s="12" t="str">
        <f>Предпосылки!B152</f>
        <v>Продукт 3</v>
      </c>
      <c s="124" t="str">
        <f t="shared" si="61"/>
        <v>тыс. руб.</v>
      </c>
      <c s="276">
        <f t="shared" si="62"/>
        <v>0</v>
      </c>
      <c s="125">
        <f>Предпосылки!D$228*Предпосылки!$D255*Продажи!E20*E$19*(1+Чувствительность!$D$20)*IFERROR(LOOKUP(Предпосылки!$H$201,$C$13:$C$15,E$13:E$15),1)</f>
        <v>0</v>
      </c>
      <c s="125">
        <f>Предпосылки!E$228*Предпосылки!$D255*Продажи!F20*F$19*(1+Чувствительность!$D$20)*IFERROR(LOOKUP(Предпосылки!$H$201,$C$13:$C$15,F$13:F$15),1)</f>
        <v>0</v>
      </c>
      <c s="125">
        <f>Предпосылки!F$228*Предпосылки!$D255*Продажи!G20*G$19*(1+Чувствительность!$D$20)*IFERROR(LOOKUP(Предпосылки!$H$201,$C$13:$C$15,G$13:G$15),1)</f>
        <v>0</v>
      </c>
      <c s="125">
        <f>Предпосылки!G$228*Предпосылки!$D255*Продажи!H20*H$19*(1+Чувствительность!$D$20)*IFERROR(LOOKUP(Предпосылки!$H$201,$C$13:$C$15,H$13:H$15),1)</f>
        <v>0</v>
      </c>
      <c s="125">
        <f>Предпосылки!H$228*Предпосылки!$D255*Продажи!I20*I$19*(1+Чувствительность!$D$20)*IFERROR(LOOKUP(Предпосылки!$H$201,$C$13:$C$15,I$13:I$15),1)</f>
        <v>0</v>
      </c>
      <c s="125">
        <f>Предпосылки!I$228*Предпосылки!$D255*Продажи!J20*J$19*(1+Чувствительность!$D$20)*IFERROR(LOOKUP(Предпосылки!$H$201,$C$13:$C$15,J$13:J$15),1)</f>
        <v>0</v>
      </c>
      <c s="125">
        <f>Предпосылки!J$228*Предпосылки!$D255*Продажи!K20*K$19*(1+Чувствительность!$D$20)*IFERROR(LOOKUP(Предпосылки!$H$201,$C$13:$C$15,K$13:K$15),1)</f>
        <v>0</v>
      </c>
      <c s="125">
        <f>Предпосылки!K$228*Предпосылки!$D255*Продажи!L20*L$19*(1+Чувствительность!$D$20)*IFERROR(LOOKUP(Предпосылки!$H$201,$C$13:$C$15,L$13:L$15),1)</f>
        <v>0</v>
      </c>
      <c s="125">
        <f>Предпосылки!L$228*Предпосылки!$D255*Продажи!M20*M$19*(1+Чувствительность!$D$20)*IFERROR(LOOKUP(Предпосылки!$H$201,$C$13:$C$15,M$13:M$15),1)</f>
        <v>0</v>
      </c>
      <c s="125">
        <f>Предпосылки!M$228*Предпосылки!$D255*Продажи!N20*N$19*(1+Чувствительность!$D$20)*IFERROR(LOOKUP(Предпосылки!$H$201,$C$13:$C$15,N$13:N$15),1)</f>
        <v>0</v>
      </c>
      <c s="125">
        <f>Предпосылки!N$228*Предпосылки!$D255*Продажи!O20*O$19*(1+Чувствительность!$D$20)*IFERROR(LOOKUP(Предпосылки!$H$201,$C$13:$C$15,O$13:O$15),1)</f>
        <v>0</v>
      </c>
      <c s="125">
        <f>Предпосылки!O$228*Предпосылки!$D255*Продажи!P20*P$19*(1+Чувствительность!$D$20)*IFERROR(LOOKUP(Предпосылки!$H$201,$C$13:$C$15,P$13:P$15),1)</f>
        <v>0</v>
      </c>
      <c s="125">
        <f>Предпосылки!P$228*Предпосылки!$D255*Продажи!Q20*Q$19*(1+Чувствительность!$D$20)*IFERROR(LOOKUP(Предпосылки!$H$201,$C$13:$C$15,Q$13:Q$15),1)</f>
        <v>0</v>
      </c>
      <c s="125">
        <f>Предпосылки!Q$228*Предпосылки!$D255*Продажи!R20*R$19*(1+Чувствительность!$D$20)*IFERROR(LOOKUP(Предпосылки!$H$201,$C$13:$C$15,R$13:R$15),1)</f>
        <v>0</v>
      </c>
      <c s="125">
        <f>Предпосылки!R$228*Предпосылки!$D255*Продажи!S20*S$19*(1+Чувствительность!$D$20)*IFERROR(LOOKUP(Предпосылки!$H$201,$C$13:$C$15,S$13:S$15),1)</f>
        <v>0</v>
      </c>
      <c s="125">
        <f>Предпосылки!S$228*Предпосылки!$D255*Продажи!T20*T$19*(1+Чувствительность!$D$20)*IFERROR(LOOKUP(Предпосылки!$H$201,$C$13:$C$15,T$13:T$15),1)</f>
        <v>0</v>
      </c>
      <c s="125">
        <f>Предпосылки!T$228*Предпосылки!$D255*Продажи!U20*U$19*(1+Чувствительность!$D$20)*IFERROR(LOOKUP(Предпосылки!$H$201,$C$13:$C$15,U$13:U$15),1)</f>
        <v>0</v>
      </c>
      <c s="125">
        <f>Предпосылки!U$228*Предпосылки!$D255*Продажи!V20*V$19*(1+Чувствительность!$D$20)*IFERROR(LOOKUP(Предпосылки!$H$201,$C$13:$C$15,V$13:V$15),1)</f>
        <v>0</v>
      </c>
      <c s="125">
        <f>Предпосылки!V$228*Предпосылки!$D255*Продажи!W20*W$19*(1+Чувствительность!$D$20)*IFERROR(LOOKUP(Предпосылки!$H$201,$C$13:$C$15,W$13:W$15),1)</f>
        <v>0</v>
      </c>
      <c s="125">
        <f>Предпосылки!W$228*Предпосылки!$D255*Продажи!X20*X$19*(1+Чувствительность!$D$20)*IFERROR(LOOKUP(Предпосылки!$H$201,$C$13:$C$15,X$13:X$15),1)</f>
        <v>0</v>
      </c>
      <c s="125">
        <f>Предпосылки!X$228*Предпосылки!$D255*Продажи!Y20*Y$19*(1+Чувствительность!$D$20)*IFERROR(LOOKUP(Предпосылки!$H$201,$C$13:$C$15,Y$13:Y$15),1)</f>
        <v>0</v>
      </c>
      <c s="125">
        <f>Предпосылки!Y$228*Предпосылки!$D255*Продажи!Z20*Z$19*(1+Чувствительность!$D$20)*IFERROR(LOOKUP(Предпосылки!$H$201,$C$13:$C$15,Z$13:Z$15),1)</f>
        <v>0</v>
      </c>
      <c s="125">
        <f>Предпосылки!Z$228*Предпосылки!$D255*Продажи!AA20*AA$19*(1+Чувствительность!$D$20)*IFERROR(LOOKUP(Предпосылки!$H$201,$C$13:$C$15,AA$13:AA$15),1)</f>
        <v>0</v>
      </c>
      <c s="125">
        <f>Предпосылки!AA$228*Предпосылки!$D255*Продажи!AB20*AB$19*(1+Чувствительность!$D$20)*IFERROR(LOOKUP(Предпосылки!$H$201,$C$13:$C$15,AB$13:AB$15),1)</f>
        <v>0</v>
      </c>
      <c s="125">
        <f>Предпосылки!AB$228*Предпосылки!$D255*Продажи!AC20*AC$19*(1+Чувствительность!$D$20)*IFERROR(LOOKUP(Предпосылки!$H$201,$C$13:$C$15,AC$13:AC$15),1)</f>
        <v>0</v>
      </c>
      <c s="125">
        <f>Предпосылки!AC$228*Предпосылки!$D255*Продажи!AD20*AD$19*(1+Чувствительность!$D$20)*IFERROR(LOOKUP(Предпосылки!$H$201,$C$13:$C$15,AD$13:AD$15),1)</f>
        <v>0</v>
      </c>
      <c s="125">
        <f>Предпосылки!AD$228*Предпосылки!$D255*Продажи!AE20*AE$19*(1+Чувствительность!$D$20)*IFERROR(LOOKUP(Предпосылки!$H$201,$C$13:$C$15,AE$13:AE$15),1)</f>
        <v>0</v>
      </c>
      <c s="125">
        <f>Предпосылки!AE$228*Предпосылки!$D255*Продажи!AF20*AF$19*(1+Чувствительность!$D$20)*IFERROR(LOOKUP(Предпосылки!$H$201,$C$13:$C$15,AF$13:AF$15),1)</f>
        <v>0</v>
      </c>
      <c s="125">
        <f>Предпосылки!AF$228*Предпосылки!$D255*Продажи!AG20*AG$19*(1+Чувствительность!$D$20)*IFERROR(LOOKUP(Предпосылки!$H$201,$C$13:$C$15,AG$13:AG$15),1)</f>
        <v>0</v>
      </c>
      <c s="125">
        <f>Предпосылки!AG$228*Предпосылки!$D255*Продажи!AH20*AH$19*(1+Чувствительность!$D$20)*IFERROR(LOOKUP(Предпосылки!$H$201,$C$13:$C$15,AH$13:AH$15),1)</f>
        <v>0</v>
      </c>
      <c s="125">
        <f>Предпосылки!AH$228*Предпосылки!$D255*Продажи!AI20*AI$19*(1+Чувствительность!$D$20)*IFERROR(LOOKUP(Предпосылки!$H$201,$C$13:$C$15,AI$13:AI$15),1)</f>
        <v>0</v>
      </c>
      <c s="125">
        <f>Предпосылки!AI$228*Предпосылки!$D255*Продажи!AJ20*AJ$19*(1+Чувствительность!$D$20)*IFERROR(LOOKUP(Предпосылки!$H$201,$C$13:$C$15,AJ$13:AJ$15),1)</f>
        <v>0</v>
      </c>
      <c s="125">
        <f>Предпосылки!AJ$228*Предпосылки!$D255*Продажи!AK20*AK$19*(1+Чувствительность!$D$20)*IFERROR(LOOKUP(Предпосылки!$H$201,$C$13:$C$15,AK$13:AK$15),1)</f>
        <v>0</v>
      </c>
      <c s="125">
        <f>Предпосылки!AK$228*Предпосылки!$D255*Продажи!AL20*AL$19*(1+Чувствительность!$D$20)*IFERROR(LOOKUP(Предпосылки!$H$201,$C$13:$C$15,AL$13:AL$15),1)</f>
        <v>0</v>
      </c>
      <c s="125">
        <f>Предпосылки!AL$228*Предпосылки!$D255*Продажи!AM20*AM$19*(1+Чувствительность!$D$20)*IFERROR(LOOKUP(Предпосылки!$H$201,$C$13:$C$15,AM$13:AM$15),1)</f>
        <v>0</v>
      </c>
      <c s="125">
        <f>Предпосылки!AM$228*Предпосылки!$D255*Продажи!AN20*AN$19*(1+Чувствительность!$D$20)*IFERROR(LOOKUP(Предпосылки!$H$201,$C$13:$C$15,AN$13:AN$15),1)</f>
        <v>0</v>
      </c>
      <c s="125">
        <f>Предпосылки!AN$228*Предпосылки!$D255*Продажи!AO20*AO$19*(1+Чувствительность!$D$20)*IFERROR(LOOKUP(Предпосылки!$H$201,$C$13:$C$15,AO$13:AO$15),1)</f>
        <v>0</v>
      </c>
      <c s="125">
        <f>Предпосылки!AO$228*Предпосылки!$D255*Продажи!AP20*AP$19*(1+Чувствительность!$D$20)*IFERROR(LOOKUP(Предпосылки!$H$201,$C$13:$C$15,AP$13:AP$15),1)</f>
        <v>0</v>
      </c>
      <c s="125">
        <f>Предпосылки!AP$228*Предпосылки!$D255*Продажи!AQ20*AQ$19*(1+Чувствительность!$D$20)*IFERROR(LOOKUP(Предпосылки!$H$201,$C$13:$C$15,AQ$13:AQ$15),1)</f>
        <v>0</v>
      </c>
      <c s="125">
        <f>Предпосылки!AQ$228*Предпосылки!$D255*Продажи!AR20*AR$19*(1+Чувствительность!$D$20)*IFERROR(LOOKUP(Предпосылки!$H$201,$C$13:$C$15,AR$13:AR$15),1)</f>
        <v>0</v>
      </c>
      <c s="125">
        <f>Предпосылки!AR$228*Предпосылки!$D255*Продажи!AS20*AS$19*(1+Чувствительность!$D$20)*IFERROR(LOOKUP(Предпосылки!$H$201,$C$13:$C$15,AS$13:AS$15),1)</f>
        <v>0</v>
      </c>
      <c s="125">
        <f>Предпосылки!AS$228*Предпосылки!$D255*Продажи!AT20*AT$19*(1+Чувствительность!$D$20)*IFERROR(LOOKUP(Предпосылки!$H$201,$C$13:$C$15,AT$13:AT$15),1)</f>
        <v>0</v>
      </c>
      <c s="125">
        <f>Предпосылки!AT$228*Предпосылки!$D255*Продажи!AU20*AU$19*(1+Чувствительность!$D$20)*IFERROR(LOOKUP(Предпосылки!$H$201,$C$13:$C$15,AU$13:AU$15),1)</f>
        <v>0</v>
      </c>
      <c s="125">
        <f>Предпосылки!AU$228*Предпосылки!$D255*Продажи!AV20*AV$19*(1+Чувствительность!$D$20)*IFERROR(LOOKUP(Предпосылки!$H$201,$C$13:$C$15,AV$13:AV$15),1)</f>
        <v>0</v>
      </c>
      <c s="125">
        <f>Предпосылки!AV$228*Предпосылки!$D255*Продажи!AW20*AW$19*(1+Чувствительность!$D$20)*IFERROR(LOOKUP(Предпосылки!$H$201,$C$13:$C$15,AW$13:AW$15),1)</f>
        <v>0</v>
      </c>
      <c s="125">
        <f>Предпосылки!AW$228*Предпосылки!$D255*Продажи!AX20*AX$19*(1+Чувствительность!$D$20)*IFERROR(LOOKUP(Предпосылки!$H$201,$C$13:$C$15,AX$13:AX$15),1)</f>
        <v>0</v>
      </c>
      <c s="125">
        <f>Предпосылки!AX$228*Предпосылки!$D255*Продажи!AY20*AY$19*(1+Чувствительность!$D$20)*IFERROR(LOOKUP(Предпосылки!$H$201,$C$13:$C$15,AY$13:AY$15),1)</f>
        <v>0</v>
      </c>
      <c s="125">
        <f>Предпосылки!AY$228*Предпосылки!$D255*Продажи!AZ20*AZ$19*(1+Чувствительность!$D$20)*IFERROR(LOOKUP(Предпосылки!$H$201,$C$13:$C$15,AZ$13:AZ$15),1)</f>
        <v>0</v>
      </c>
      <c s="125">
        <f>Предпосылки!AZ$228*Предпосылки!$D255*Продажи!BA20*BA$19*(1+Чувствительность!$D$20)*IFERROR(LOOKUP(Предпосылки!$H$201,$C$13:$C$15,BA$13:BA$15),1)</f>
        <v>0</v>
      </c>
      <c s="125">
        <f>Предпосылки!BA$228*Предпосылки!$D255*Продажи!BB20*BB$19*(1+Чувствительность!$D$20)*IFERROR(LOOKUP(Предпосылки!$H$201,$C$13:$C$15,BB$13:BB$15),1)</f>
        <v>0</v>
      </c>
      <c s="125">
        <f>Предпосылки!BB$228*Предпосылки!$D255*Продажи!BC20*BC$19*(1+Чувствительность!$D$20)*IFERROR(LOOKUP(Предпосылки!$H$201,$C$13:$C$15,BC$13:BC$15),1)</f>
        <v>0</v>
      </c>
      <c s="125">
        <f>Предпосылки!BC$228*Предпосылки!$D255*Продажи!BD20*BD$19*(1+Чувствительность!$D$20)*IFERROR(LOOKUP(Предпосылки!$H$201,$C$13:$C$15,BD$13:BD$15),1)</f>
        <v>0</v>
      </c>
      <c s="125">
        <f>Предпосылки!BD$228*Предпосылки!$D255*Продажи!BE20*BE$19*(1+Чувствительность!$D$20)*IFERROR(LOOKUP(Предпосылки!$H$201,$C$13:$C$15,BE$13:BE$15),1)</f>
        <v>0</v>
      </c>
      <c s="125">
        <f>Предпосылки!BE$228*Предпосылки!$D255*Продажи!BF20*BF$19*(1+Чувствительность!$D$20)*IFERROR(LOOKUP(Предпосылки!$H$201,$C$13:$C$15,BF$13:BF$15),1)</f>
        <v>0</v>
      </c>
      <c s="125">
        <f>Предпосылки!BF$228*Предпосылки!$D255*Продажи!BG20*BG$19*(1+Чувствительность!$D$20)*IFERROR(LOOKUP(Предпосылки!$H$201,$C$13:$C$15,BG$13:BG$15),1)</f>
        <v>0</v>
      </c>
      <c s="125">
        <f>Предпосылки!BG$228*Предпосылки!$D255*Продажи!BH20*BH$19*(1+Чувствительность!$D$20)*IFERROR(LOOKUP(Предпосылки!$H$201,$C$13:$C$15,BH$13:BH$15),1)</f>
        <v>0</v>
      </c>
      <c s="125">
        <f>Предпосылки!BH$228*Предпосылки!$D255*Продажи!BI20*BI$19*(1+Чувствительность!$D$20)*IFERROR(LOOKUP(Предпосылки!$H$201,$C$13:$C$15,BI$13:BI$15),1)</f>
        <v>0</v>
      </c>
      <c s="125">
        <f>Предпосылки!BI$228*Предпосылки!$D255*Продажи!BJ20*BJ$19*(1+Чувствительность!$D$20)*IFERROR(LOOKUP(Предпосылки!$H$201,$C$13:$C$15,BJ$13:BJ$15),1)</f>
        <v>0</v>
      </c>
      <c s="125">
        <f>Предпосылки!BJ$228*Предпосылки!$D255*Продажи!BK20*BK$19*(1+Чувствительность!$D$20)*IFERROR(LOOKUP(Предпосылки!$H$201,$C$13:$C$15,BK$13:BK$15),1)</f>
        <v>0</v>
      </c>
      <c s="125">
        <f>Предпосылки!BK$228*Предпосылки!$D255*Продажи!BL20*BL$19*(1+Чувствительность!$D$20)*IFERROR(LOOKUP(Предпосылки!$H$201,$C$13:$C$15,BL$13:BL$15),1)</f>
        <v>0</v>
      </c>
      <c s="125">
        <f>Предпосылки!BL$228*Предпосылки!$D255*Продажи!BM20*BM$19*(1+Чувствительность!$D$20)*IFERROR(LOOKUP(Предпосылки!$H$201,$C$13:$C$15,BM$13:BM$15),1)</f>
        <v>0</v>
      </c>
    </row>
    <row r="26" spans="2:65" ht="15" customHeight="1">
      <c r="B26" s="12" t="str">
        <f>Предпосылки!B153</f>
        <v>Продукт 4</v>
      </c>
      <c s="124" t="str">
        <f t="shared" si="61"/>
        <v>тыс. руб.</v>
      </c>
      <c s="276">
        <f t="shared" si="62"/>
        <v>0</v>
      </c>
      <c s="125">
        <f>Предпосылки!D$228*Предпосылки!$D256*Продажи!E21*E$19*(1+Чувствительность!$D$20)*IFERROR(LOOKUP(Предпосылки!$H$201,$C$13:$C$15,E$13:E$15),1)</f>
        <v>0</v>
      </c>
      <c s="125">
        <f>Предпосылки!E$228*Предпосылки!$D256*Продажи!F21*F$19*(1+Чувствительность!$D$20)*IFERROR(LOOKUP(Предпосылки!$H$201,$C$13:$C$15,F$13:F$15),1)</f>
        <v>0</v>
      </c>
      <c s="125">
        <f>Предпосылки!F$228*Предпосылки!$D256*Продажи!G21*G$19*(1+Чувствительность!$D$20)*IFERROR(LOOKUP(Предпосылки!$H$201,$C$13:$C$15,G$13:G$15),1)</f>
        <v>0</v>
      </c>
      <c s="125">
        <f>Предпосылки!G$228*Предпосылки!$D256*Продажи!H21*H$19*(1+Чувствительность!$D$20)*IFERROR(LOOKUP(Предпосылки!$H$201,$C$13:$C$15,H$13:H$15),1)</f>
        <v>0</v>
      </c>
      <c s="125">
        <f>Предпосылки!H$228*Предпосылки!$D256*Продажи!I21*I$19*(1+Чувствительность!$D$20)*IFERROR(LOOKUP(Предпосылки!$H$201,$C$13:$C$15,I$13:I$15),1)</f>
        <v>0</v>
      </c>
      <c s="125">
        <f>Предпосылки!I$228*Предпосылки!$D256*Продажи!J21*J$19*(1+Чувствительность!$D$20)*IFERROR(LOOKUP(Предпосылки!$H$201,$C$13:$C$15,J$13:J$15),1)</f>
        <v>0</v>
      </c>
      <c s="125">
        <f>Предпосылки!J$228*Предпосылки!$D256*Продажи!K21*K$19*(1+Чувствительность!$D$20)*IFERROR(LOOKUP(Предпосылки!$H$201,$C$13:$C$15,K$13:K$15),1)</f>
        <v>0</v>
      </c>
      <c s="125">
        <f>Предпосылки!K$228*Предпосылки!$D256*Продажи!L21*L$19*(1+Чувствительность!$D$20)*IFERROR(LOOKUP(Предпосылки!$H$201,$C$13:$C$15,L$13:L$15),1)</f>
        <v>0</v>
      </c>
      <c s="125">
        <f>Предпосылки!L$228*Предпосылки!$D256*Продажи!M21*M$19*(1+Чувствительность!$D$20)*IFERROR(LOOKUP(Предпосылки!$H$201,$C$13:$C$15,M$13:M$15),1)</f>
        <v>0</v>
      </c>
      <c s="125">
        <f>Предпосылки!M$228*Предпосылки!$D256*Продажи!N21*N$19*(1+Чувствительность!$D$20)*IFERROR(LOOKUP(Предпосылки!$H$201,$C$13:$C$15,N$13:N$15),1)</f>
        <v>0</v>
      </c>
      <c s="125">
        <f>Предпосылки!N$228*Предпосылки!$D256*Продажи!O21*O$19*(1+Чувствительность!$D$20)*IFERROR(LOOKUP(Предпосылки!$H$201,$C$13:$C$15,O$13:O$15),1)</f>
        <v>0</v>
      </c>
      <c s="125">
        <f>Предпосылки!O$228*Предпосылки!$D256*Продажи!P21*P$19*(1+Чувствительность!$D$20)*IFERROR(LOOKUP(Предпосылки!$H$201,$C$13:$C$15,P$13:P$15),1)</f>
        <v>0</v>
      </c>
      <c s="125">
        <f>Предпосылки!P$228*Предпосылки!$D256*Продажи!Q21*Q$19*(1+Чувствительность!$D$20)*IFERROR(LOOKUP(Предпосылки!$H$201,$C$13:$C$15,Q$13:Q$15),1)</f>
        <v>0</v>
      </c>
      <c s="125">
        <f>Предпосылки!Q$228*Предпосылки!$D256*Продажи!R21*R$19*(1+Чувствительность!$D$20)*IFERROR(LOOKUP(Предпосылки!$H$201,$C$13:$C$15,R$13:R$15),1)</f>
        <v>0</v>
      </c>
      <c s="125">
        <f>Предпосылки!R$228*Предпосылки!$D256*Продажи!S21*S$19*(1+Чувствительность!$D$20)*IFERROR(LOOKUP(Предпосылки!$H$201,$C$13:$C$15,S$13:S$15),1)</f>
        <v>0</v>
      </c>
      <c s="125">
        <f>Предпосылки!S$228*Предпосылки!$D256*Продажи!T21*T$19*(1+Чувствительность!$D$20)*IFERROR(LOOKUP(Предпосылки!$H$201,$C$13:$C$15,T$13:T$15),1)</f>
        <v>0</v>
      </c>
      <c s="125">
        <f>Предпосылки!T$228*Предпосылки!$D256*Продажи!U21*U$19*(1+Чувствительность!$D$20)*IFERROR(LOOKUP(Предпосылки!$H$201,$C$13:$C$15,U$13:U$15),1)</f>
        <v>0</v>
      </c>
      <c s="125">
        <f>Предпосылки!U$228*Предпосылки!$D256*Продажи!V21*V$19*(1+Чувствительность!$D$20)*IFERROR(LOOKUP(Предпосылки!$H$201,$C$13:$C$15,V$13:V$15),1)</f>
        <v>0</v>
      </c>
      <c s="125">
        <f>Предпосылки!V$228*Предпосылки!$D256*Продажи!W21*W$19*(1+Чувствительность!$D$20)*IFERROR(LOOKUP(Предпосылки!$H$201,$C$13:$C$15,W$13:W$15),1)</f>
        <v>0</v>
      </c>
      <c s="125">
        <f>Предпосылки!W$228*Предпосылки!$D256*Продажи!X21*X$19*(1+Чувствительность!$D$20)*IFERROR(LOOKUP(Предпосылки!$H$201,$C$13:$C$15,X$13:X$15),1)</f>
        <v>0</v>
      </c>
      <c s="125">
        <f>Предпосылки!X$228*Предпосылки!$D256*Продажи!Y21*Y$19*(1+Чувствительность!$D$20)*IFERROR(LOOKUP(Предпосылки!$H$201,$C$13:$C$15,Y$13:Y$15),1)</f>
        <v>0</v>
      </c>
      <c s="125">
        <f>Предпосылки!Y$228*Предпосылки!$D256*Продажи!Z21*Z$19*(1+Чувствительность!$D$20)*IFERROR(LOOKUP(Предпосылки!$H$201,$C$13:$C$15,Z$13:Z$15),1)</f>
        <v>0</v>
      </c>
      <c s="125">
        <f>Предпосылки!Z$228*Предпосылки!$D256*Продажи!AA21*AA$19*(1+Чувствительность!$D$20)*IFERROR(LOOKUP(Предпосылки!$H$201,$C$13:$C$15,AA$13:AA$15),1)</f>
        <v>0</v>
      </c>
      <c s="125">
        <f>Предпосылки!AA$228*Предпосылки!$D256*Продажи!AB21*AB$19*(1+Чувствительность!$D$20)*IFERROR(LOOKUP(Предпосылки!$H$201,$C$13:$C$15,AB$13:AB$15),1)</f>
        <v>0</v>
      </c>
      <c s="125">
        <f>Предпосылки!AB$228*Предпосылки!$D256*Продажи!AC21*AC$19*(1+Чувствительность!$D$20)*IFERROR(LOOKUP(Предпосылки!$H$201,$C$13:$C$15,AC$13:AC$15),1)</f>
        <v>0</v>
      </c>
      <c s="125">
        <f>Предпосылки!AC$228*Предпосылки!$D256*Продажи!AD21*AD$19*(1+Чувствительность!$D$20)*IFERROR(LOOKUP(Предпосылки!$H$201,$C$13:$C$15,AD$13:AD$15),1)</f>
        <v>0</v>
      </c>
      <c s="125">
        <f>Предпосылки!AD$228*Предпосылки!$D256*Продажи!AE21*AE$19*(1+Чувствительность!$D$20)*IFERROR(LOOKUP(Предпосылки!$H$201,$C$13:$C$15,AE$13:AE$15),1)</f>
        <v>0</v>
      </c>
      <c s="125">
        <f>Предпосылки!AE$228*Предпосылки!$D256*Продажи!AF21*AF$19*(1+Чувствительность!$D$20)*IFERROR(LOOKUP(Предпосылки!$H$201,$C$13:$C$15,AF$13:AF$15),1)</f>
        <v>0</v>
      </c>
      <c s="125">
        <f>Предпосылки!AF$228*Предпосылки!$D256*Продажи!AG21*AG$19*(1+Чувствительность!$D$20)*IFERROR(LOOKUP(Предпосылки!$H$201,$C$13:$C$15,AG$13:AG$15),1)</f>
        <v>0</v>
      </c>
      <c s="125">
        <f>Предпосылки!AG$228*Предпосылки!$D256*Продажи!AH21*AH$19*(1+Чувствительность!$D$20)*IFERROR(LOOKUP(Предпосылки!$H$201,$C$13:$C$15,AH$13:AH$15),1)</f>
        <v>0</v>
      </c>
      <c s="125">
        <f>Предпосылки!AH$228*Предпосылки!$D256*Продажи!AI21*AI$19*(1+Чувствительность!$D$20)*IFERROR(LOOKUP(Предпосылки!$H$201,$C$13:$C$15,AI$13:AI$15),1)</f>
        <v>0</v>
      </c>
      <c s="125">
        <f>Предпосылки!AI$228*Предпосылки!$D256*Продажи!AJ21*AJ$19*(1+Чувствительность!$D$20)*IFERROR(LOOKUP(Предпосылки!$H$201,$C$13:$C$15,AJ$13:AJ$15),1)</f>
        <v>0</v>
      </c>
      <c s="125">
        <f>Предпосылки!AJ$228*Предпосылки!$D256*Продажи!AK21*AK$19*(1+Чувствительность!$D$20)*IFERROR(LOOKUP(Предпосылки!$H$201,$C$13:$C$15,AK$13:AK$15),1)</f>
        <v>0</v>
      </c>
      <c s="125">
        <f>Предпосылки!AK$228*Предпосылки!$D256*Продажи!AL21*AL$19*(1+Чувствительность!$D$20)*IFERROR(LOOKUP(Предпосылки!$H$201,$C$13:$C$15,AL$13:AL$15),1)</f>
        <v>0</v>
      </c>
      <c s="125">
        <f>Предпосылки!AL$228*Предпосылки!$D256*Продажи!AM21*AM$19*(1+Чувствительность!$D$20)*IFERROR(LOOKUP(Предпосылки!$H$201,$C$13:$C$15,AM$13:AM$15),1)</f>
        <v>0</v>
      </c>
      <c s="125">
        <f>Предпосылки!AM$228*Предпосылки!$D256*Продажи!AN21*AN$19*(1+Чувствительность!$D$20)*IFERROR(LOOKUP(Предпосылки!$H$201,$C$13:$C$15,AN$13:AN$15),1)</f>
        <v>0</v>
      </c>
      <c s="125">
        <f>Предпосылки!AN$228*Предпосылки!$D256*Продажи!AO21*AO$19*(1+Чувствительность!$D$20)*IFERROR(LOOKUP(Предпосылки!$H$201,$C$13:$C$15,AO$13:AO$15),1)</f>
        <v>0</v>
      </c>
      <c s="125">
        <f>Предпосылки!AO$228*Предпосылки!$D256*Продажи!AP21*AP$19*(1+Чувствительность!$D$20)*IFERROR(LOOKUP(Предпосылки!$H$201,$C$13:$C$15,AP$13:AP$15),1)</f>
        <v>0</v>
      </c>
      <c s="125">
        <f>Предпосылки!AP$228*Предпосылки!$D256*Продажи!AQ21*AQ$19*(1+Чувствительность!$D$20)*IFERROR(LOOKUP(Предпосылки!$H$201,$C$13:$C$15,AQ$13:AQ$15),1)</f>
        <v>0</v>
      </c>
      <c s="125">
        <f>Предпосылки!AQ$228*Предпосылки!$D256*Продажи!AR21*AR$19*(1+Чувствительность!$D$20)*IFERROR(LOOKUP(Предпосылки!$H$201,$C$13:$C$15,AR$13:AR$15),1)</f>
        <v>0</v>
      </c>
      <c s="125">
        <f>Предпосылки!AR$228*Предпосылки!$D256*Продажи!AS21*AS$19*(1+Чувствительность!$D$20)*IFERROR(LOOKUP(Предпосылки!$H$201,$C$13:$C$15,AS$13:AS$15),1)</f>
        <v>0</v>
      </c>
      <c s="125">
        <f>Предпосылки!AS$228*Предпосылки!$D256*Продажи!AT21*AT$19*(1+Чувствительность!$D$20)*IFERROR(LOOKUP(Предпосылки!$H$201,$C$13:$C$15,AT$13:AT$15),1)</f>
        <v>0</v>
      </c>
      <c s="125">
        <f>Предпосылки!AT$228*Предпосылки!$D256*Продажи!AU21*AU$19*(1+Чувствительность!$D$20)*IFERROR(LOOKUP(Предпосылки!$H$201,$C$13:$C$15,AU$13:AU$15),1)</f>
        <v>0</v>
      </c>
      <c s="125">
        <f>Предпосылки!AU$228*Предпосылки!$D256*Продажи!AV21*AV$19*(1+Чувствительность!$D$20)*IFERROR(LOOKUP(Предпосылки!$H$201,$C$13:$C$15,AV$13:AV$15),1)</f>
        <v>0</v>
      </c>
      <c s="125">
        <f>Предпосылки!AV$228*Предпосылки!$D256*Продажи!AW21*AW$19*(1+Чувствительность!$D$20)*IFERROR(LOOKUP(Предпосылки!$H$201,$C$13:$C$15,AW$13:AW$15),1)</f>
        <v>0</v>
      </c>
      <c s="125">
        <f>Предпосылки!AW$228*Предпосылки!$D256*Продажи!AX21*AX$19*(1+Чувствительность!$D$20)*IFERROR(LOOKUP(Предпосылки!$H$201,$C$13:$C$15,AX$13:AX$15),1)</f>
        <v>0</v>
      </c>
      <c s="125">
        <f>Предпосылки!AX$228*Предпосылки!$D256*Продажи!AY21*AY$19*(1+Чувствительность!$D$20)*IFERROR(LOOKUP(Предпосылки!$H$201,$C$13:$C$15,AY$13:AY$15),1)</f>
        <v>0</v>
      </c>
      <c s="125">
        <f>Предпосылки!AY$228*Предпосылки!$D256*Продажи!AZ21*AZ$19*(1+Чувствительность!$D$20)*IFERROR(LOOKUP(Предпосылки!$H$201,$C$13:$C$15,AZ$13:AZ$15),1)</f>
        <v>0</v>
      </c>
      <c s="125">
        <f>Предпосылки!AZ$228*Предпосылки!$D256*Продажи!BA21*BA$19*(1+Чувствительность!$D$20)*IFERROR(LOOKUP(Предпосылки!$H$201,$C$13:$C$15,BA$13:BA$15),1)</f>
        <v>0</v>
      </c>
      <c s="125">
        <f>Предпосылки!BA$228*Предпосылки!$D256*Продажи!BB21*BB$19*(1+Чувствительность!$D$20)*IFERROR(LOOKUP(Предпосылки!$H$201,$C$13:$C$15,BB$13:BB$15),1)</f>
        <v>0</v>
      </c>
      <c s="125">
        <f>Предпосылки!BB$228*Предпосылки!$D256*Продажи!BC21*BC$19*(1+Чувствительность!$D$20)*IFERROR(LOOKUP(Предпосылки!$H$201,$C$13:$C$15,BC$13:BC$15),1)</f>
        <v>0</v>
      </c>
      <c s="125">
        <f>Предпосылки!BC$228*Предпосылки!$D256*Продажи!BD21*BD$19*(1+Чувствительность!$D$20)*IFERROR(LOOKUP(Предпосылки!$H$201,$C$13:$C$15,BD$13:BD$15),1)</f>
        <v>0</v>
      </c>
      <c s="125">
        <f>Предпосылки!BD$228*Предпосылки!$D256*Продажи!BE21*BE$19*(1+Чувствительность!$D$20)*IFERROR(LOOKUP(Предпосылки!$H$201,$C$13:$C$15,BE$13:BE$15),1)</f>
        <v>0</v>
      </c>
      <c s="125">
        <f>Предпосылки!BE$228*Предпосылки!$D256*Продажи!BF21*BF$19*(1+Чувствительность!$D$20)*IFERROR(LOOKUP(Предпосылки!$H$201,$C$13:$C$15,BF$13:BF$15),1)</f>
        <v>0</v>
      </c>
      <c s="125">
        <f>Предпосылки!BF$228*Предпосылки!$D256*Продажи!BG21*BG$19*(1+Чувствительность!$D$20)*IFERROR(LOOKUP(Предпосылки!$H$201,$C$13:$C$15,BG$13:BG$15),1)</f>
        <v>0</v>
      </c>
      <c s="125">
        <f>Предпосылки!BG$228*Предпосылки!$D256*Продажи!BH21*BH$19*(1+Чувствительность!$D$20)*IFERROR(LOOKUP(Предпосылки!$H$201,$C$13:$C$15,BH$13:BH$15),1)</f>
        <v>0</v>
      </c>
      <c s="125">
        <f>Предпосылки!BH$228*Предпосылки!$D256*Продажи!BI21*BI$19*(1+Чувствительность!$D$20)*IFERROR(LOOKUP(Предпосылки!$H$201,$C$13:$C$15,BI$13:BI$15),1)</f>
        <v>0</v>
      </c>
      <c s="125">
        <f>Предпосылки!BI$228*Предпосылки!$D256*Продажи!BJ21*BJ$19*(1+Чувствительность!$D$20)*IFERROR(LOOKUP(Предпосылки!$H$201,$C$13:$C$15,BJ$13:BJ$15),1)</f>
        <v>0</v>
      </c>
      <c s="125">
        <f>Предпосылки!BJ$228*Предпосылки!$D256*Продажи!BK21*BK$19*(1+Чувствительность!$D$20)*IFERROR(LOOKUP(Предпосылки!$H$201,$C$13:$C$15,BK$13:BK$15),1)</f>
        <v>0</v>
      </c>
      <c s="125">
        <f>Предпосылки!BK$228*Предпосылки!$D256*Продажи!BL21*BL$19*(1+Чувствительность!$D$20)*IFERROR(LOOKUP(Предпосылки!$H$201,$C$13:$C$15,BL$13:BL$15),1)</f>
        <v>0</v>
      </c>
      <c s="125">
        <f>Предпосылки!BL$228*Предпосылки!$D256*Продажи!BM21*BM$19*(1+Чувствительность!$D$20)*IFERROR(LOOKUP(Предпосылки!$H$201,$C$13:$C$15,BM$13:BM$15),1)</f>
        <v>0</v>
      </c>
    </row>
    <row r="27" spans="2:65" ht="15" customHeight="1">
      <c r="B27" s="12" t="str">
        <f>Предпосылки!B154</f>
        <v>Продукт 5</v>
      </c>
      <c s="124" t="str">
        <f t="shared" si="61"/>
        <v>тыс. руб.</v>
      </c>
      <c s="276">
        <f t="shared" si="62"/>
        <v>0</v>
      </c>
      <c s="125">
        <f>Предпосылки!D$228*Предпосылки!$D257*Продажи!E22*E$19*(1+Чувствительность!$D$20)*IFERROR(LOOKUP(Предпосылки!$H$201,$C$13:$C$15,E$13:E$15),1)</f>
        <v>0</v>
      </c>
      <c s="125">
        <f>Предпосылки!E$228*Предпосылки!$D257*Продажи!F22*F$19*(1+Чувствительность!$D$20)*IFERROR(LOOKUP(Предпосылки!$H$201,$C$13:$C$15,F$13:F$15),1)</f>
        <v>0</v>
      </c>
      <c s="125">
        <f>Предпосылки!F$228*Предпосылки!$D257*Продажи!G22*G$19*(1+Чувствительность!$D$20)*IFERROR(LOOKUP(Предпосылки!$H$201,$C$13:$C$15,G$13:G$15),1)</f>
        <v>0</v>
      </c>
      <c s="125">
        <f>Предпосылки!G$228*Предпосылки!$D257*Продажи!H22*H$19*(1+Чувствительность!$D$20)*IFERROR(LOOKUP(Предпосылки!$H$201,$C$13:$C$15,H$13:H$15),1)</f>
        <v>0</v>
      </c>
      <c s="125">
        <f>Предпосылки!H$228*Предпосылки!$D257*Продажи!I22*I$19*(1+Чувствительность!$D$20)*IFERROR(LOOKUP(Предпосылки!$H$201,$C$13:$C$15,I$13:I$15),1)</f>
        <v>0</v>
      </c>
      <c s="125">
        <f>Предпосылки!I$228*Предпосылки!$D257*Продажи!J22*J$19*(1+Чувствительность!$D$20)*IFERROR(LOOKUP(Предпосылки!$H$201,$C$13:$C$15,J$13:J$15),1)</f>
        <v>0</v>
      </c>
      <c s="125">
        <f>Предпосылки!J$228*Предпосылки!$D257*Продажи!K22*K$19*(1+Чувствительность!$D$20)*IFERROR(LOOKUP(Предпосылки!$H$201,$C$13:$C$15,K$13:K$15),1)</f>
        <v>0</v>
      </c>
      <c s="125">
        <f>Предпосылки!K$228*Предпосылки!$D257*Продажи!L22*L$19*(1+Чувствительность!$D$20)*IFERROR(LOOKUP(Предпосылки!$H$201,$C$13:$C$15,L$13:L$15),1)</f>
        <v>0</v>
      </c>
      <c s="125">
        <f>Предпосылки!L$228*Предпосылки!$D257*Продажи!M22*M$19*(1+Чувствительность!$D$20)*IFERROR(LOOKUP(Предпосылки!$H$201,$C$13:$C$15,M$13:M$15),1)</f>
        <v>0</v>
      </c>
      <c s="125">
        <f>Предпосылки!M$228*Предпосылки!$D257*Продажи!N22*N$19*(1+Чувствительность!$D$20)*IFERROR(LOOKUP(Предпосылки!$H$201,$C$13:$C$15,N$13:N$15),1)</f>
        <v>0</v>
      </c>
      <c s="125">
        <f>Предпосылки!N$228*Предпосылки!$D257*Продажи!O22*O$19*(1+Чувствительность!$D$20)*IFERROR(LOOKUP(Предпосылки!$H$201,$C$13:$C$15,O$13:O$15),1)</f>
        <v>0</v>
      </c>
      <c s="125">
        <f>Предпосылки!O$228*Предпосылки!$D257*Продажи!P22*P$19*(1+Чувствительность!$D$20)*IFERROR(LOOKUP(Предпосылки!$H$201,$C$13:$C$15,P$13:P$15),1)</f>
        <v>0</v>
      </c>
      <c s="125">
        <f>Предпосылки!P$228*Предпосылки!$D257*Продажи!Q22*Q$19*(1+Чувствительность!$D$20)*IFERROR(LOOKUP(Предпосылки!$H$201,$C$13:$C$15,Q$13:Q$15),1)</f>
        <v>0</v>
      </c>
      <c s="125">
        <f>Предпосылки!Q$228*Предпосылки!$D257*Продажи!R22*R$19*(1+Чувствительность!$D$20)*IFERROR(LOOKUP(Предпосылки!$H$201,$C$13:$C$15,R$13:R$15),1)</f>
        <v>0</v>
      </c>
      <c s="125">
        <f>Предпосылки!R$228*Предпосылки!$D257*Продажи!S22*S$19*(1+Чувствительность!$D$20)*IFERROR(LOOKUP(Предпосылки!$H$201,$C$13:$C$15,S$13:S$15),1)</f>
        <v>0</v>
      </c>
      <c s="125">
        <f>Предпосылки!S$228*Предпосылки!$D257*Продажи!T22*T$19*(1+Чувствительность!$D$20)*IFERROR(LOOKUP(Предпосылки!$H$201,$C$13:$C$15,T$13:T$15),1)</f>
        <v>0</v>
      </c>
      <c s="125">
        <f>Предпосылки!T$228*Предпосылки!$D257*Продажи!U22*U$19*(1+Чувствительность!$D$20)*IFERROR(LOOKUP(Предпосылки!$H$201,$C$13:$C$15,U$13:U$15),1)</f>
        <v>0</v>
      </c>
      <c s="125">
        <f>Предпосылки!U$228*Предпосылки!$D257*Продажи!V22*V$19*(1+Чувствительность!$D$20)*IFERROR(LOOKUP(Предпосылки!$H$201,$C$13:$C$15,V$13:V$15),1)</f>
        <v>0</v>
      </c>
      <c s="125">
        <f>Предпосылки!V$228*Предпосылки!$D257*Продажи!W22*W$19*(1+Чувствительность!$D$20)*IFERROR(LOOKUP(Предпосылки!$H$201,$C$13:$C$15,W$13:W$15),1)</f>
        <v>0</v>
      </c>
      <c s="125">
        <f>Предпосылки!W$228*Предпосылки!$D257*Продажи!X22*X$19*(1+Чувствительность!$D$20)*IFERROR(LOOKUP(Предпосылки!$H$201,$C$13:$C$15,X$13:X$15),1)</f>
        <v>0</v>
      </c>
      <c s="125">
        <f>Предпосылки!X$228*Предпосылки!$D257*Продажи!Y22*Y$19*(1+Чувствительность!$D$20)*IFERROR(LOOKUP(Предпосылки!$H$201,$C$13:$C$15,Y$13:Y$15),1)</f>
        <v>0</v>
      </c>
      <c s="125">
        <f>Предпосылки!Y$228*Предпосылки!$D257*Продажи!Z22*Z$19*(1+Чувствительность!$D$20)*IFERROR(LOOKUP(Предпосылки!$H$201,$C$13:$C$15,Z$13:Z$15),1)</f>
        <v>0</v>
      </c>
      <c s="125">
        <f>Предпосылки!Z$228*Предпосылки!$D257*Продажи!AA22*AA$19*(1+Чувствительность!$D$20)*IFERROR(LOOKUP(Предпосылки!$H$201,$C$13:$C$15,AA$13:AA$15),1)</f>
        <v>0</v>
      </c>
      <c s="125">
        <f>Предпосылки!AA$228*Предпосылки!$D257*Продажи!AB22*AB$19*(1+Чувствительность!$D$20)*IFERROR(LOOKUP(Предпосылки!$H$201,$C$13:$C$15,AB$13:AB$15),1)</f>
        <v>0</v>
      </c>
      <c s="125">
        <f>Предпосылки!AB$228*Предпосылки!$D257*Продажи!AC22*AC$19*(1+Чувствительность!$D$20)*IFERROR(LOOKUP(Предпосылки!$H$201,$C$13:$C$15,AC$13:AC$15),1)</f>
        <v>0</v>
      </c>
      <c s="125">
        <f>Предпосылки!AC$228*Предпосылки!$D257*Продажи!AD22*AD$19*(1+Чувствительность!$D$20)*IFERROR(LOOKUP(Предпосылки!$H$201,$C$13:$C$15,AD$13:AD$15),1)</f>
        <v>0</v>
      </c>
      <c s="125">
        <f>Предпосылки!AD$228*Предпосылки!$D257*Продажи!AE22*AE$19*(1+Чувствительность!$D$20)*IFERROR(LOOKUP(Предпосылки!$H$201,$C$13:$C$15,AE$13:AE$15),1)</f>
        <v>0</v>
      </c>
      <c s="125">
        <f>Предпосылки!AE$228*Предпосылки!$D257*Продажи!AF22*AF$19*(1+Чувствительность!$D$20)*IFERROR(LOOKUP(Предпосылки!$H$201,$C$13:$C$15,AF$13:AF$15),1)</f>
        <v>0</v>
      </c>
      <c s="125">
        <f>Предпосылки!AF$228*Предпосылки!$D257*Продажи!AG22*AG$19*(1+Чувствительность!$D$20)*IFERROR(LOOKUP(Предпосылки!$H$201,$C$13:$C$15,AG$13:AG$15),1)</f>
        <v>0</v>
      </c>
      <c s="125">
        <f>Предпосылки!AG$228*Предпосылки!$D257*Продажи!AH22*AH$19*(1+Чувствительность!$D$20)*IFERROR(LOOKUP(Предпосылки!$H$201,$C$13:$C$15,AH$13:AH$15),1)</f>
        <v>0</v>
      </c>
      <c s="125">
        <f>Предпосылки!AH$228*Предпосылки!$D257*Продажи!AI22*AI$19*(1+Чувствительность!$D$20)*IFERROR(LOOKUP(Предпосылки!$H$201,$C$13:$C$15,AI$13:AI$15),1)</f>
        <v>0</v>
      </c>
      <c s="125">
        <f>Предпосылки!AI$228*Предпосылки!$D257*Продажи!AJ22*AJ$19*(1+Чувствительность!$D$20)*IFERROR(LOOKUP(Предпосылки!$H$201,$C$13:$C$15,AJ$13:AJ$15),1)</f>
        <v>0</v>
      </c>
      <c s="125">
        <f>Предпосылки!AJ$228*Предпосылки!$D257*Продажи!AK22*AK$19*(1+Чувствительность!$D$20)*IFERROR(LOOKUP(Предпосылки!$H$201,$C$13:$C$15,AK$13:AK$15),1)</f>
        <v>0</v>
      </c>
      <c s="125">
        <f>Предпосылки!AK$228*Предпосылки!$D257*Продажи!AL22*AL$19*(1+Чувствительность!$D$20)*IFERROR(LOOKUP(Предпосылки!$H$201,$C$13:$C$15,AL$13:AL$15),1)</f>
        <v>0</v>
      </c>
      <c s="125">
        <f>Предпосылки!AL$228*Предпосылки!$D257*Продажи!AM22*AM$19*(1+Чувствительность!$D$20)*IFERROR(LOOKUP(Предпосылки!$H$201,$C$13:$C$15,AM$13:AM$15),1)</f>
        <v>0</v>
      </c>
      <c s="125">
        <f>Предпосылки!AM$228*Предпосылки!$D257*Продажи!AN22*AN$19*(1+Чувствительность!$D$20)*IFERROR(LOOKUP(Предпосылки!$H$201,$C$13:$C$15,AN$13:AN$15),1)</f>
        <v>0</v>
      </c>
      <c s="125">
        <f>Предпосылки!AN$228*Предпосылки!$D257*Продажи!AO22*AO$19*(1+Чувствительность!$D$20)*IFERROR(LOOKUP(Предпосылки!$H$201,$C$13:$C$15,AO$13:AO$15),1)</f>
        <v>0</v>
      </c>
      <c s="125">
        <f>Предпосылки!AO$228*Предпосылки!$D257*Продажи!AP22*AP$19*(1+Чувствительность!$D$20)*IFERROR(LOOKUP(Предпосылки!$H$201,$C$13:$C$15,AP$13:AP$15),1)</f>
        <v>0</v>
      </c>
      <c s="125">
        <f>Предпосылки!AP$228*Предпосылки!$D257*Продажи!AQ22*AQ$19*(1+Чувствительность!$D$20)*IFERROR(LOOKUP(Предпосылки!$H$201,$C$13:$C$15,AQ$13:AQ$15),1)</f>
        <v>0</v>
      </c>
      <c s="125">
        <f>Предпосылки!AQ$228*Предпосылки!$D257*Продажи!AR22*AR$19*(1+Чувствительность!$D$20)*IFERROR(LOOKUP(Предпосылки!$H$201,$C$13:$C$15,AR$13:AR$15),1)</f>
        <v>0</v>
      </c>
      <c s="125">
        <f>Предпосылки!AR$228*Предпосылки!$D257*Продажи!AS22*AS$19*(1+Чувствительность!$D$20)*IFERROR(LOOKUP(Предпосылки!$H$201,$C$13:$C$15,AS$13:AS$15),1)</f>
        <v>0</v>
      </c>
      <c s="125">
        <f>Предпосылки!AS$228*Предпосылки!$D257*Продажи!AT22*AT$19*(1+Чувствительность!$D$20)*IFERROR(LOOKUP(Предпосылки!$H$201,$C$13:$C$15,AT$13:AT$15),1)</f>
        <v>0</v>
      </c>
      <c s="125">
        <f>Предпосылки!AT$228*Предпосылки!$D257*Продажи!AU22*AU$19*(1+Чувствительность!$D$20)*IFERROR(LOOKUP(Предпосылки!$H$201,$C$13:$C$15,AU$13:AU$15),1)</f>
        <v>0</v>
      </c>
      <c s="125">
        <f>Предпосылки!AU$228*Предпосылки!$D257*Продажи!AV22*AV$19*(1+Чувствительность!$D$20)*IFERROR(LOOKUP(Предпосылки!$H$201,$C$13:$C$15,AV$13:AV$15),1)</f>
        <v>0</v>
      </c>
      <c s="125">
        <f>Предпосылки!AV$228*Предпосылки!$D257*Продажи!AW22*AW$19*(1+Чувствительность!$D$20)*IFERROR(LOOKUP(Предпосылки!$H$201,$C$13:$C$15,AW$13:AW$15),1)</f>
        <v>0</v>
      </c>
      <c s="125">
        <f>Предпосылки!AW$228*Предпосылки!$D257*Продажи!AX22*AX$19*(1+Чувствительность!$D$20)*IFERROR(LOOKUP(Предпосылки!$H$201,$C$13:$C$15,AX$13:AX$15),1)</f>
        <v>0</v>
      </c>
      <c s="125">
        <f>Предпосылки!AX$228*Предпосылки!$D257*Продажи!AY22*AY$19*(1+Чувствительность!$D$20)*IFERROR(LOOKUP(Предпосылки!$H$201,$C$13:$C$15,AY$13:AY$15),1)</f>
        <v>0</v>
      </c>
      <c s="125">
        <f>Предпосылки!AY$228*Предпосылки!$D257*Продажи!AZ22*AZ$19*(1+Чувствительность!$D$20)*IFERROR(LOOKUP(Предпосылки!$H$201,$C$13:$C$15,AZ$13:AZ$15),1)</f>
        <v>0</v>
      </c>
      <c s="125">
        <f>Предпосылки!AZ$228*Предпосылки!$D257*Продажи!BA22*BA$19*(1+Чувствительность!$D$20)*IFERROR(LOOKUP(Предпосылки!$H$201,$C$13:$C$15,BA$13:BA$15),1)</f>
        <v>0</v>
      </c>
      <c s="125">
        <f>Предпосылки!BA$228*Предпосылки!$D257*Продажи!BB22*BB$19*(1+Чувствительность!$D$20)*IFERROR(LOOKUP(Предпосылки!$H$201,$C$13:$C$15,BB$13:BB$15),1)</f>
        <v>0</v>
      </c>
      <c s="125">
        <f>Предпосылки!BB$228*Предпосылки!$D257*Продажи!BC22*BC$19*(1+Чувствительность!$D$20)*IFERROR(LOOKUP(Предпосылки!$H$201,$C$13:$C$15,BC$13:BC$15),1)</f>
        <v>0</v>
      </c>
      <c s="125">
        <f>Предпосылки!BC$228*Предпосылки!$D257*Продажи!BD22*BD$19*(1+Чувствительность!$D$20)*IFERROR(LOOKUP(Предпосылки!$H$201,$C$13:$C$15,BD$13:BD$15),1)</f>
        <v>0</v>
      </c>
      <c s="125">
        <f>Предпосылки!BD$228*Предпосылки!$D257*Продажи!BE22*BE$19*(1+Чувствительность!$D$20)*IFERROR(LOOKUP(Предпосылки!$H$201,$C$13:$C$15,BE$13:BE$15),1)</f>
        <v>0</v>
      </c>
      <c s="125">
        <f>Предпосылки!BE$228*Предпосылки!$D257*Продажи!BF22*BF$19*(1+Чувствительность!$D$20)*IFERROR(LOOKUP(Предпосылки!$H$201,$C$13:$C$15,BF$13:BF$15),1)</f>
        <v>0</v>
      </c>
      <c s="125">
        <f>Предпосылки!BF$228*Предпосылки!$D257*Продажи!BG22*BG$19*(1+Чувствительность!$D$20)*IFERROR(LOOKUP(Предпосылки!$H$201,$C$13:$C$15,BG$13:BG$15),1)</f>
        <v>0</v>
      </c>
      <c s="125">
        <f>Предпосылки!BG$228*Предпосылки!$D257*Продажи!BH22*BH$19*(1+Чувствительность!$D$20)*IFERROR(LOOKUP(Предпосылки!$H$201,$C$13:$C$15,BH$13:BH$15),1)</f>
        <v>0</v>
      </c>
      <c s="125">
        <f>Предпосылки!BH$228*Предпосылки!$D257*Продажи!BI22*BI$19*(1+Чувствительность!$D$20)*IFERROR(LOOKUP(Предпосылки!$H$201,$C$13:$C$15,BI$13:BI$15),1)</f>
        <v>0</v>
      </c>
      <c s="125">
        <f>Предпосылки!BI$228*Предпосылки!$D257*Продажи!BJ22*BJ$19*(1+Чувствительность!$D$20)*IFERROR(LOOKUP(Предпосылки!$H$201,$C$13:$C$15,BJ$13:BJ$15),1)</f>
        <v>0</v>
      </c>
      <c s="125">
        <f>Предпосылки!BJ$228*Предпосылки!$D257*Продажи!BK22*BK$19*(1+Чувствительность!$D$20)*IFERROR(LOOKUP(Предпосылки!$H$201,$C$13:$C$15,BK$13:BK$15),1)</f>
        <v>0</v>
      </c>
      <c s="125">
        <f>Предпосылки!BK$228*Предпосылки!$D257*Продажи!BL22*BL$19*(1+Чувствительность!$D$20)*IFERROR(LOOKUP(Предпосылки!$H$201,$C$13:$C$15,BL$13:BL$15),1)</f>
        <v>0</v>
      </c>
      <c s="125">
        <f>Предпосылки!BL$228*Предпосылки!$D257*Продажи!BM22*BM$19*(1+Чувствительность!$D$20)*IFERROR(LOOKUP(Предпосылки!$H$201,$C$13:$C$15,BM$13:BM$15),1)</f>
        <v>0</v>
      </c>
    </row>
    <row r="28" spans="2:65" ht="15" customHeight="1">
      <c r="B28" s="12" t="str">
        <f>Предпосылки!B155</f>
        <v>Продукт 6</v>
      </c>
      <c s="124" t="str">
        <f t="shared" si="61"/>
        <v>тыс. руб.</v>
      </c>
      <c s="276">
        <f t="shared" si="62"/>
        <v>0</v>
      </c>
      <c s="125">
        <f>Предпосылки!D$228*Предпосылки!$D258*Продажи!E23*E$19*(1+Чувствительность!$D$20)*IFERROR(LOOKUP(Предпосылки!$H$201,$C$13:$C$15,E$13:E$15),1)</f>
        <v>0</v>
      </c>
      <c s="125">
        <f>Предпосылки!E$228*Предпосылки!$D258*Продажи!F23*F$19*(1+Чувствительность!$D$20)*IFERROR(LOOKUP(Предпосылки!$H$201,$C$13:$C$15,F$13:F$15),1)</f>
        <v>0</v>
      </c>
      <c s="125">
        <f>Предпосылки!F$228*Предпосылки!$D258*Продажи!G23*G$19*(1+Чувствительность!$D$20)*IFERROR(LOOKUP(Предпосылки!$H$201,$C$13:$C$15,G$13:G$15),1)</f>
        <v>0</v>
      </c>
      <c s="125">
        <f>Предпосылки!G$228*Предпосылки!$D258*Продажи!H23*H$19*(1+Чувствительность!$D$20)*IFERROR(LOOKUP(Предпосылки!$H$201,$C$13:$C$15,H$13:H$15),1)</f>
        <v>0</v>
      </c>
      <c s="125">
        <f>Предпосылки!H$228*Предпосылки!$D258*Продажи!I23*I$19*(1+Чувствительность!$D$20)*IFERROR(LOOKUP(Предпосылки!$H$201,$C$13:$C$15,I$13:I$15),1)</f>
        <v>0</v>
      </c>
      <c s="125">
        <f>Предпосылки!I$228*Предпосылки!$D258*Продажи!J23*J$19*(1+Чувствительность!$D$20)*IFERROR(LOOKUP(Предпосылки!$H$201,$C$13:$C$15,J$13:J$15),1)</f>
        <v>0</v>
      </c>
      <c s="125">
        <f>Предпосылки!J$228*Предпосылки!$D258*Продажи!K23*K$19*(1+Чувствительность!$D$20)*IFERROR(LOOKUP(Предпосылки!$H$201,$C$13:$C$15,K$13:K$15),1)</f>
        <v>0</v>
      </c>
      <c s="125">
        <f>Предпосылки!K$228*Предпосылки!$D258*Продажи!L23*L$19*(1+Чувствительность!$D$20)*IFERROR(LOOKUP(Предпосылки!$H$201,$C$13:$C$15,L$13:L$15),1)</f>
        <v>0</v>
      </c>
      <c s="125">
        <f>Предпосылки!L$228*Предпосылки!$D258*Продажи!M23*M$19*(1+Чувствительность!$D$20)*IFERROR(LOOKUP(Предпосылки!$H$201,$C$13:$C$15,M$13:M$15),1)</f>
        <v>0</v>
      </c>
      <c s="125">
        <f>Предпосылки!M$228*Предпосылки!$D258*Продажи!N23*N$19*(1+Чувствительность!$D$20)*IFERROR(LOOKUP(Предпосылки!$H$201,$C$13:$C$15,N$13:N$15),1)</f>
        <v>0</v>
      </c>
      <c s="125">
        <f>Предпосылки!N$228*Предпосылки!$D258*Продажи!O23*O$19*(1+Чувствительность!$D$20)*IFERROR(LOOKUP(Предпосылки!$H$201,$C$13:$C$15,O$13:O$15),1)</f>
        <v>0</v>
      </c>
      <c s="125">
        <f>Предпосылки!O$228*Предпосылки!$D258*Продажи!P23*P$19*(1+Чувствительность!$D$20)*IFERROR(LOOKUP(Предпосылки!$H$201,$C$13:$C$15,P$13:P$15),1)</f>
        <v>0</v>
      </c>
      <c s="125">
        <f>Предпосылки!P$228*Предпосылки!$D258*Продажи!Q23*Q$19*(1+Чувствительность!$D$20)*IFERROR(LOOKUP(Предпосылки!$H$201,$C$13:$C$15,Q$13:Q$15),1)</f>
        <v>0</v>
      </c>
      <c s="125">
        <f>Предпосылки!Q$228*Предпосылки!$D258*Продажи!R23*R$19*(1+Чувствительность!$D$20)*IFERROR(LOOKUP(Предпосылки!$H$201,$C$13:$C$15,R$13:R$15),1)</f>
        <v>0</v>
      </c>
      <c s="125">
        <f>Предпосылки!R$228*Предпосылки!$D258*Продажи!S23*S$19*(1+Чувствительность!$D$20)*IFERROR(LOOKUP(Предпосылки!$H$201,$C$13:$C$15,S$13:S$15),1)</f>
        <v>0</v>
      </c>
      <c s="125">
        <f>Предпосылки!S$228*Предпосылки!$D258*Продажи!T23*T$19*(1+Чувствительность!$D$20)*IFERROR(LOOKUP(Предпосылки!$H$201,$C$13:$C$15,T$13:T$15),1)</f>
        <v>0</v>
      </c>
      <c s="125">
        <f>Предпосылки!T$228*Предпосылки!$D258*Продажи!U23*U$19*(1+Чувствительность!$D$20)*IFERROR(LOOKUP(Предпосылки!$H$201,$C$13:$C$15,U$13:U$15),1)</f>
        <v>0</v>
      </c>
      <c s="125">
        <f>Предпосылки!U$228*Предпосылки!$D258*Продажи!V23*V$19*(1+Чувствительность!$D$20)*IFERROR(LOOKUP(Предпосылки!$H$201,$C$13:$C$15,V$13:V$15),1)</f>
        <v>0</v>
      </c>
      <c s="125">
        <f>Предпосылки!V$228*Предпосылки!$D258*Продажи!W23*W$19*(1+Чувствительность!$D$20)*IFERROR(LOOKUP(Предпосылки!$H$201,$C$13:$C$15,W$13:W$15),1)</f>
        <v>0</v>
      </c>
      <c s="125">
        <f>Предпосылки!W$228*Предпосылки!$D258*Продажи!X23*X$19*(1+Чувствительность!$D$20)*IFERROR(LOOKUP(Предпосылки!$H$201,$C$13:$C$15,X$13:X$15),1)</f>
        <v>0</v>
      </c>
      <c s="125">
        <f>Предпосылки!X$228*Предпосылки!$D258*Продажи!Y23*Y$19*(1+Чувствительность!$D$20)*IFERROR(LOOKUP(Предпосылки!$H$201,$C$13:$C$15,Y$13:Y$15),1)</f>
        <v>0</v>
      </c>
      <c s="125">
        <f>Предпосылки!Y$228*Предпосылки!$D258*Продажи!Z23*Z$19*(1+Чувствительность!$D$20)*IFERROR(LOOKUP(Предпосылки!$H$201,$C$13:$C$15,Z$13:Z$15),1)</f>
        <v>0</v>
      </c>
      <c s="125">
        <f>Предпосылки!Z$228*Предпосылки!$D258*Продажи!AA23*AA$19*(1+Чувствительность!$D$20)*IFERROR(LOOKUP(Предпосылки!$H$201,$C$13:$C$15,AA$13:AA$15),1)</f>
        <v>0</v>
      </c>
      <c s="125">
        <f>Предпосылки!AA$228*Предпосылки!$D258*Продажи!AB23*AB$19*(1+Чувствительность!$D$20)*IFERROR(LOOKUP(Предпосылки!$H$201,$C$13:$C$15,AB$13:AB$15),1)</f>
        <v>0</v>
      </c>
      <c s="125">
        <f>Предпосылки!AB$228*Предпосылки!$D258*Продажи!AC23*AC$19*(1+Чувствительность!$D$20)*IFERROR(LOOKUP(Предпосылки!$H$201,$C$13:$C$15,AC$13:AC$15),1)</f>
        <v>0</v>
      </c>
      <c s="125">
        <f>Предпосылки!AC$228*Предпосылки!$D258*Продажи!AD23*AD$19*(1+Чувствительность!$D$20)*IFERROR(LOOKUP(Предпосылки!$H$201,$C$13:$C$15,AD$13:AD$15),1)</f>
        <v>0</v>
      </c>
      <c s="125">
        <f>Предпосылки!AD$228*Предпосылки!$D258*Продажи!AE23*AE$19*(1+Чувствительность!$D$20)*IFERROR(LOOKUP(Предпосылки!$H$201,$C$13:$C$15,AE$13:AE$15),1)</f>
        <v>0</v>
      </c>
      <c s="125">
        <f>Предпосылки!AE$228*Предпосылки!$D258*Продажи!AF23*AF$19*(1+Чувствительность!$D$20)*IFERROR(LOOKUP(Предпосылки!$H$201,$C$13:$C$15,AF$13:AF$15),1)</f>
        <v>0</v>
      </c>
      <c s="125">
        <f>Предпосылки!AF$228*Предпосылки!$D258*Продажи!AG23*AG$19*(1+Чувствительность!$D$20)*IFERROR(LOOKUP(Предпосылки!$H$201,$C$13:$C$15,AG$13:AG$15),1)</f>
        <v>0</v>
      </c>
      <c s="125">
        <f>Предпосылки!AG$228*Предпосылки!$D258*Продажи!AH23*AH$19*(1+Чувствительность!$D$20)*IFERROR(LOOKUP(Предпосылки!$H$201,$C$13:$C$15,AH$13:AH$15),1)</f>
        <v>0</v>
      </c>
      <c s="125">
        <f>Предпосылки!AH$228*Предпосылки!$D258*Продажи!AI23*AI$19*(1+Чувствительность!$D$20)*IFERROR(LOOKUP(Предпосылки!$H$201,$C$13:$C$15,AI$13:AI$15),1)</f>
        <v>0</v>
      </c>
      <c s="125">
        <f>Предпосылки!AI$228*Предпосылки!$D258*Продажи!AJ23*AJ$19*(1+Чувствительность!$D$20)*IFERROR(LOOKUP(Предпосылки!$H$201,$C$13:$C$15,AJ$13:AJ$15),1)</f>
        <v>0</v>
      </c>
      <c s="125">
        <f>Предпосылки!AJ$228*Предпосылки!$D258*Продажи!AK23*AK$19*(1+Чувствительность!$D$20)*IFERROR(LOOKUP(Предпосылки!$H$201,$C$13:$C$15,AK$13:AK$15),1)</f>
        <v>0</v>
      </c>
      <c s="125">
        <f>Предпосылки!AK$228*Предпосылки!$D258*Продажи!AL23*AL$19*(1+Чувствительность!$D$20)*IFERROR(LOOKUP(Предпосылки!$H$201,$C$13:$C$15,AL$13:AL$15),1)</f>
        <v>0</v>
      </c>
      <c s="125">
        <f>Предпосылки!AL$228*Предпосылки!$D258*Продажи!AM23*AM$19*(1+Чувствительность!$D$20)*IFERROR(LOOKUP(Предпосылки!$H$201,$C$13:$C$15,AM$13:AM$15),1)</f>
        <v>0</v>
      </c>
      <c s="125">
        <f>Предпосылки!AM$228*Предпосылки!$D258*Продажи!AN23*AN$19*(1+Чувствительность!$D$20)*IFERROR(LOOKUP(Предпосылки!$H$201,$C$13:$C$15,AN$13:AN$15),1)</f>
        <v>0</v>
      </c>
      <c s="125">
        <f>Предпосылки!AN$228*Предпосылки!$D258*Продажи!AO23*AO$19*(1+Чувствительность!$D$20)*IFERROR(LOOKUP(Предпосылки!$H$201,$C$13:$C$15,AO$13:AO$15),1)</f>
        <v>0</v>
      </c>
      <c s="125">
        <f>Предпосылки!AO$228*Предпосылки!$D258*Продажи!AP23*AP$19*(1+Чувствительность!$D$20)*IFERROR(LOOKUP(Предпосылки!$H$201,$C$13:$C$15,AP$13:AP$15),1)</f>
        <v>0</v>
      </c>
      <c s="125">
        <f>Предпосылки!AP$228*Предпосылки!$D258*Продажи!AQ23*AQ$19*(1+Чувствительность!$D$20)*IFERROR(LOOKUP(Предпосылки!$H$201,$C$13:$C$15,AQ$13:AQ$15),1)</f>
        <v>0</v>
      </c>
      <c s="125">
        <f>Предпосылки!AQ$228*Предпосылки!$D258*Продажи!AR23*AR$19*(1+Чувствительность!$D$20)*IFERROR(LOOKUP(Предпосылки!$H$201,$C$13:$C$15,AR$13:AR$15),1)</f>
        <v>0</v>
      </c>
      <c s="125">
        <f>Предпосылки!AR$228*Предпосылки!$D258*Продажи!AS23*AS$19*(1+Чувствительность!$D$20)*IFERROR(LOOKUP(Предпосылки!$H$201,$C$13:$C$15,AS$13:AS$15),1)</f>
        <v>0</v>
      </c>
      <c s="125">
        <f>Предпосылки!AS$228*Предпосылки!$D258*Продажи!AT23*AT$19*(1+Чувствительность!$D$20)*IFERROR(LOOKUP(Предпосылки!$H$201,$C$13:$C$15,AT$13:AT$15),1)</f>
        <v>0</v>
      </c>
      <c s="125">
        <f>Предпосылки!AT$228*Предпосылки!$D258*Продажи!AU23*AU$19*(1+Чувствительность!$D$20)*IFERROR(LOOKUP(Предпосылки!$H$201,$C$13:$C$15,AU$13:AU$15),1)</f>
        <v>0</v>
      </c>
      <c s="125">
        <f>Предпосылки!AU$228*Предпосылки!$D258*Продажи!AV23*AV$19*(1+Чувствительность!$D$20)*IFERROR(LOOKUP(Предпосылки!$H$201,$C$13:$C$15,AV$13:AV$15),1)</f>
        <v>0</v>
      </c>
      <c s="125">
        <f>Предпосылки!AV$228*Предпосылки!$D258*Продажи!AW23*AW$19*(1+Чувствительность!$D$20)*IFERROR(LOOKUP(Предпосылки!$H$201,$C$13:$C$15,AW$13:AW$15),1)</f>
        <v>0</v>
      </c>
      <c s="125">
        <f>Предпосылки!AW$228*Предпосылки!$D258*Продажи!AX23*AX$19*(1+Чувствительность!$D$20)*IFERROR(LOOKUP(Предпосылки!$H$201,$C$13:$C$15,AX$13:AX$15),1)</f>
        <v>0</v>
      </c>
      <c s="125">
        <f>Предпосылки!AX$228*Предпосылки!$D258*Продажи!AY23*AY$19*(1+Чувствительность!$D$20)*IFERROR(LOOKUP(Предпосылки!$H$201,$C$13:$C$15,AY$13:AY$15),1)</f>
        <v>0</v>
      </c>
      <c s="125">
        <f>Предпосылки!AY$228*Предпосылки!$D258*Продажи!AZ23*AZ$19*(1+Чувствительность!$D$20)*IFERROR(LOOKUP(Предпосылки!$H$201,$C$13:$C$15,AZ$13:AZ$15),1)</f>
        <v>0</v>
      </c>
      <c s="125">
        <f>Предпосылки!AZ$228*Предпосылки!$D258*Продажи!BA23*BA$19*(1+Чувствительность!$D$20)*IFERROR(LOOKUP(Предпосылки!$H$201,$C$13:$C$15,BA$13:BA$15),1)</f>
        <v>0</v>
      </c>
      <c s="125">
        <f>Предпосылки!BA$228*Предпосылки!$D258*Продажи!BB23*BB$19*(1+Чувствительность!$D$20)*IFERROR(LOOKUP(Предпосылки!$H$201,$C$13:$C$15,BB$13:BB$15),1)</f>
        <v>0</v>
      </c>
      <c s="125">
        <f>Предпосылки!BB$228*Предпосылки!$D258*Продажи!BC23*BC$19*(1+Чувствительность!$D$20)*IFERROR(LOOKUP(Предпосылки!$H$201,$C$13:$C$15,BC$13:BC$15),1)</f>
        <v>0</v>
      </c>
      <c s="125">
        <f>Предпосылки!BC$228*Предпосылки!$D258*Продажи!BD23*BD$19*(1+Чувствительность!$D$20)*IFERROR(LOOKUP(Предпосылки!$H$201,$C$13:$C$15,BD$13:BD$15),1)</f>
        <v>0</v>
      </c>
      <c s="125">
        <f>Предпосылки!BD$228*Предпосылки!$D258*Продажи!BE23*BE$19*(1+Чувствительность!$D$20)*IFERROR(LOOKUP(Предпосылки!$H$201,$C$13:$C$15,BE$13:BE$15),1)</f>
        <v>0</v>
      </c>
      <c s="125">
        <f>Предпосылки!BE$228*Предпосылки!$D258*Продажи!BF23*BF$19*(1+Чувствительность!$D$20)*IFERROR(LOOKUP(Предпосылки!$H$201,$C$13:$C$15,BF$13:BF$15),1)</f>
        <v>0</v>
      </c>
      <c s="125">
        <f>Предпосылки!BF$228*Предпосылки!$D258*Продажи!BG23*BG$19*(1+Чувствительность!$D$20)*IFERROR(LOOKUP(Предпосылки!$H$201,$C$13:$C$15,BG$13:BG$15),1)</f>
        <v>0</v>
      </c>
      <c s="125">
        <f>Предпосылки!BG$228*Предпосылки!$D258*Продажи!BH23*BH$19*(1+Чувствительность!$D$20)*IFERROR(LOOKUP(Предпосылки!$H$201,$C$13:$C$15,BH$13:BH$15),1)</f>
        <v>0</v>
      </c>
      <c s="125">
        <f>Предпосылки!BH$228*Предпосылки!$D258*Продажи!BI23*BI$19*(1+Чувствительность!$D$20)*IFERROR(LOOKUP(Предпосылки!$H$201,$C$13:$C$15,BI$13:BI$15),1)</f>
        <v>0</v>
      </c>
      <c s="125">
        <f>Предпосылки!BI$228*Предпосылки!$D258*Продажи!BJ23*BJ$19*(1+Чувствительность!$D$20)*IFERROR(LOOKUP(Предпосылки!$H$201,$C$13:$C$15,BJ$13:BJ$15),1)</f>
        <v>0</v>
      </c>
      <c s="125">
        <f>Предпосылки!BJ$228*Предпосылки!$D258*Продажи!BK23*BK$19*(1+Чувствительность!$D$20)*IFERROR(LOOKUP(Предпосылки!$H$201,$C$13:$C$15,BK$13:BK$15),1)</f>
        <v>0</v>
      </c>
      <c s="125">
        <f>Предпосылки!BK$228*Предпосылки!$D258*Продажи!BL23*BL$19*(1+Чувствительность!$D$20)*IFERROR(LOOKUP(Предпосылки!$H$201,$C$13:$C$15,BL$13:BL$15),1)</f>
        <v>0</v>
      </c>
      <c s="125">
        <f>Предпосылки!BL$228*Предпосылки!$D258*Продажи!BM23*BM$19*(1+Чувствительность!$D$20)*IFERROR(LOOKUP(Предпосылки!$H$201,$C$13:$C$15,BM$13:BM$15),1)</f>
        <v>0</v>
      </c>
    </row>
    <row r="29" spans="2:65" ht="15" customHeight="1">
      <c r="B29" s="12" t="str">
        <f>Предпосылки!B156</f>
        <v>Продукт 7</v>
      </c>
      <c s="124" t="str">
        <f t="shared" si="61"/>
        <v>тыс. руб.</v>
      </c>
      <c s="276">
        <f t="shared" si="62"/>
        <v>0</v>
      </c>
      <c s="125">
        <f>Предпосылки!D$228*Предпосылки!$D259*Продажи!E24*E$19*(1+Чувствительность!$D$20)*IFERROR(LOOKUP(Предпосылки!$H$201,$C$13:$C$15,E$13:E$15),1)</f>
        <v>0</v>
      </c>
      <c s="125">
        <f>Предпосылки!E$228*Предпосылки!$D259*Продажи!F24*F$19*(1+Чувствительность!$D$20)*IFERROR(LOOKUP(Предпосылки!$H$201,$C$13:$C$15,F$13:F$15),1)</f>
        <v>0</v>
      </c>
      <c s="125">
        <f>Предпосылки!F$228*Предпосылки!$D259*Продажи!G24*G$19*(1+Чувствительность!$D$20)*IFERROR(LOOKUP(Предпосылки!$H$201,$C$13:$C$15,G$13:G$15),1)</f>
        <v>0</v>
      </c>
      <c s="125">
        <f>Предпосылки!G$228*Предпосылки!$D259*Продажи!H24*H$19*(1+Чувствительность!$D$20)*IFERROR(LOOKUP(Предпосылки!$H$201,$C$13:$C$15,H$13:H$15),1)</f>
        <v>0</v>
      </c>
      <c s="125">
        <f>Предпосылки!H$228*Предпосылки!$D259*Продажи!I24*I$19*(1+Чувствительность!$D$20)*IFERROR(LOOKUP(Предпосылки!$H$201,$C$13:$C$15,I$13:I$15),1)</f>
        <v>0</v>
      </c>
      <c s="125">
        <f>Предпосылки!I$228*Предпосылки!$D259*Продажи!J24*J$19*(1+Чувствительность!$D$20)*IFERROR(LOOKUP(Предпосылки!$H$201,$C$13:$C$15,J$13:J$15),1)</f>
        <v>0</v>
      </c>
      <c s="125">
        <f>Предпосылки!J$228*Предпосылки!$D259*Продажи!K24*K$19*(1+Чувствительность!$D$20)*IFERROR(LOOKUP(Предпосылки!$H$201,$C$13:$C$15,K$13:K$15),1)</f>
        <v>0</v>
      </c>
      <c s="125">
        <f>Предпосылки!K$228*Предпосылки!$D259*Продажи!L24*L$19*(1+Чувствительность!$D$20)*IFERROR(LOOKUP(Предпосылки!$H$201,$C$13:$C$15,L$13:L$15),1)</f>
        <v>0</v>
      </c>
      <c s="125">
        <f>Предпосылки!L$228*Предпосылки!$D259*Продажи!M24*M$19*(1+Чувствительность!$D$20)*IFERROR(LOOKUP(Предпосылки!$H$201,$C$13:$C$15,M$13:M$15),1)</f>
        <v>0</v>
      </c>
      <c s="125">
        <f>Предпосылки!M$228*Предпосылки!$D259*Продажи!N24*N$19*(1+Чувствительность!$D$20)*IFERROR(LOOKUP(Предпосылки!$H$201,$C$13:$C$15,N$13:N$15),1)</f>
        <v>0</v>
      </c>
      <c s="125">
        <f>Предпосылки!N$228*Предпосылки!$D259*Продажи!O24*O$19*(1+Чувствительность!$D$20)*IFERROR(LOOKUP(Предпосылки!$H$201,$C$13:$C$15,O$13:O$15),1)</f>
        <v>0</v>
      </c>
      <c s="125">
        <f>Предпосылки!O$228*Предпосылки!$D259*Продажи!P24*P$19*(1+Чувствительность!$D$20)*IFERROR(LOOKUP(Предпосылки!$H$201,$C$13:$C$15,P$13:P$15),1)</f>
        <v>0</v>
      </c>
      <c s="125">
        <f>Предпосылки!P$228*Предпосылки!$D259*Продажи!Q24*Q$19*(1+Чувствительность!$D$20)*IFERROR(LOOKUP(Предпосылки!$H$201,$C$13:$C$15,Q$13:Q$15),1)</f>
        <v>0</v>
      </c>
      <c s="125">
        <f>Предпосылки!Q$228*Предпосылки!$D259*Продажи!R24*R$19*(1+Чувствительность!$D$20)*IFERROR(LOOKUP(Предпосылки!$H$201,$C$13:$C$15,R$13:R$15),1)</f>
        <v>0</v>
      </c>
      <c s="125">
        <f>Предпосылки!R$228*Предпосылки!$D259*Продажи!S24*S$19*(1+Чувствительность!$D$20)*IFERROR(LOOKUP(Предпосылки!$H$201,$C$13:$C$15,S$13:S$15),1)</f>
        <v>0</v>
      </c>
      <c s="125">
        <f>Предпосылки!S$228*Предпосылки!$D259*Продажи!T24*T$19*(1+Чувствительность!$D$20)*IFERROR(LOOKUP(Предпосылки!$H$201,$C$13:$C$15,T$13:T$15),1)</f>
        <v>0</v>
      </c>
      <c s="125">
        <f>Предпосылки!T$228*Предпосылки!$D259*Продажи!U24*U$19*(1+Чувствительность!$D$20)*IFERROR(LOOKUP(Предпосылки!$H$201,$C$13:$C$15,U$13:U$15),1)</f>
        <v>0</v>
      </c>
      <c s="125">
        <f>Предпосылки!U$228*Предпосылки!$D259*Продажи!V24*V$19*(1+Чувствительность!$D$20)*IFERROR(LOOKUP(Предпосылки!$H$201,$C$13:$C$15,V$13:V$15),1)</f>
        <v>0</v>
      </c>
      <c s="125">
        <f>Предпосылки!V$228*Предпосылки!$D259*Продажи!W24*W$19*(1+Чувствительность!$D$20)*IFERROR(LOOKUP(Предпосылки!$H$201,$C$13:$C$15,W$13:W$15),1)</f>
        <v>0</v>
      </c>
      <c s="125">
        <f>Предпосылки!W$228*Предпосылки!$D259*Продажи!X24*X$19*(1+Чувствительность!$D$20)*IFERROR(LOOKUP(Предпосылки!$H$201,$C$13:$C$15,X$13:X$15),1)</f>
        <v>0</v>
      </c>
      <c s="125">
        <f>Предпосылки!X$228*Предпосылки!$D259*Продажи!Y24*Y$19*(1+Чувствительность!$D$20)*IFERROR(LOOKUP(Предпосылки!$H$201,$C$13:$C$15,Y$13:Y$15),1)</f>
        <v>0</v>
      </c>
      <c s="125">
        <f>Предпосылки!Y$228*Предпосылки!$D259*Продажи!Z24*Z$19*(1+Чувствительность!$D$20)*IFERROR(LOOKUP(Предпосылки!$H$201,$C$13:$C$15,Z$13:Z$15),1)</f>
        <v>0</v>
      </c>
      <c s="125">
        <f>Предпосылки!Z$228*Предпосылки!$D259*Продажи!AA24*AA$19*(1+Чувствительность!$D$20)*IFERROR(LOOKUP(Предпосылки!$H$201,$C$13:$C$15,AA$13:AA$15),1)</f>
        <v>0</v>
      </c>
      <c s="125">
        <f>Предпосылки!AA$228*Предпосылки!$D259*Продажи!AB24*AB$19*(1+Чувствительность!$D$20)*IFERROR(LOOKUP(Предпосылки!$H$201,$C$13:$C$15,AB$13:AB$15),1)</f>
        <v>0</v>
      </c>
      <c s="125">
        <f>Предпосылки!AB$228*Предпосылки!$D259*Продажи!AC24*AC$19*(1+Чувствительность!$D$20)*IFERROR(LOOKUP(Предпосылки!$H$201,$C$13:$C$15,AC$13:AC$15),1)</f>
        <v>0</v>
      </c>
      <c s="125">
        <f>Предпосылки!AC$228*Предпосылки!$D259*Продажи!AD24*AD$19*(1+Чувствительность!$D$20)*IFERROR(LOOKUP(Предпосылки!$H$201,$C$13:$C$15,AD$13:AD$15),1)</f>
        <v>0</v>
      </c>
      <c s="125">
        <f>Предпосылки!AD$228*Предпосылки!$D259*Продажи!AE24*AE$19*(1+Чувствительность!$D$20)*IFERROR(LOOKUP(Предпосылки!$H$201,$C$13:$C$15,AE$13:AE$15),1)</f>
        <v>0</v>
      </c>
      <c s="125">
        <f>Предпосылки!AE$228*Предпосылки!$D259*Продажи!AF24*AF$19*(1+Чувствительность!$D$20)*IFERROR(LOOKUP(Предпосылки!$H$201,$C$13:$C$15,AF$13:AF$15),1)</f>
        <v>0</v>
      </c>
      <c s="125">
        <f>Предпосылки!AF$228*Предпосылки!$D259*Продажи!AG24*AG$19*(1+Чувствительность!$D$20)*IFERROR(LOOKUP(Предпосылки!$H$201,$C$13:$C$15,AG$13:AG$15),1)</f>
        <v>0</v>
      </c>
      <c s="125">
        <f>Предпосылки!AG$228*Предпосылки!$D259*Продажи!AH24*AH$19*(1+Чувствительность!$D$20)*IFERROR(LOOKUP(Предпосылки!$H$201,$C$13:$C$15,AH$13:AH$15),1)</f>
        <v>0</v>
      </c>
      <c s="125">
        <f>Предпосылки!AH$228*Предпосылки!$D259*Продажи!AI24*AI$19*(1+Чувствительность!$D$20)*IFERROR(LOOKUP(Предпосылки!$H$201,$C$13:$C$15,AI$13:AI$15),1)</f>
        <v>0</v>
      </c>
      <c s="125">
        <f>Предпосылки!AI$228*Предпосылки!$D259*Продажи!AJ24*AJ$19*(1+Чувствительность!$D$20)*IFERROR(LOOKUP(Предпосылки!$H$201,$C$13:$C$15,AJ$13:AJ$15),1)</f>
        <v>0</v>
      </c>
      <c s="125">
        <f>Предпосылки!AJ$228*Предпосылки!$D259*Продажи!AK24*AK$19*(1+Чувствительность!$D$20)*IFERROR(LOOKUP(Предпосылки!$H$201,$C$13:$C$15,AK$13:AK$15),1)</f>
        <v>0</v>
      </c>
      <c s="125">
        <f>Предпосылки!AK$228*Предпосылки!$D259*Продажи!AL24*AL$19*(1+Чувствительность!$D$20)*IFERROR(LOOKUP(Предпосылки!$H$201,$C$13:$C$15,AL$13:AL$15),1)</f>
        <v>0</v>
      </c>
      <c s="125">
        <f>Предпосылки!AL$228*Предпосылки!$D259*Продажи!AM24*AM$19*(1+Чувствительность!$D$20)*IFERROR(LOOKUP(Предпосылки!$H$201,$C$13:$C$15,AM$13:AM$15),1)</f>
        <v>0</v>
      </c>
      <c s="125">
        <f>Предпосылки!AM$228*Предпосылки!$D259*Продажи!AN24*AN$19*(1+Чувствительность!$D$20)*IFERROR(LOOKUP(Предпосылки!$H$201,$C$13:$C$15,AN$13:AN$15),1)</f>
        <v>0</v>
      </c>
      <c s="125">
        <f>Предпосылки!AN$228*Предпосылки!$D259*Продажи!AO24*AO$19*(1+Чувствительность!$D$20)*IFERROR(LOOKUP(Предпосылки!$H$201,$C$13:$C$15,AO$13:AO$15),1)</f>
        <v>0</v>
      </c>
      <c s="125">
        <f>Предпосылки!AO$228*Предпосылки!$D259*Продажи!AP24*AP$19*(1+Чувствительность!$D$20)*IFERROR(LOOKUP(Предпосылки!$H$201,$C$13:$C$15,AP$13:AP$15),1)</f>
        <v>0</v>
      </c>
      <c s="125">
        <f>Предпосылки!AP$228*Предпосылки!$D259*Продажи!AQ24*AQ$19*(1+Чувствительность!$D$20)*IFERROR(LOOKUP(Предпосылки!$H$201,$C$13:$C$15,AQ$13:AQ$15),1)</f>
        <v>0</v>
      </c>
      <c s="125">
        <f>Предпосылки!AQ$228*Предпосылки!$D259*Продажи!AR24*AR$19*(1+Чувствительность!$D$20)*IFERROR(LOOKUP(Предпосылки!$H$201,$C$13:$C$15,AR$13:AR$15),1)</f>
        <v>0</v>
      </c>
      <c s="125">
        <f>Предпосылки!AR$228*Предпосылки!$D259*Продажи!AS24*AS$19*(1+Чувствительность!$D$20)*IFERROR(LOOKUP(Предпосылки!$H$201,$C$13:$C$15,AS$13:AS$15),1)</f>
        <v>0</v>
      </c>
      <c s="125">
        <f>Предпосылки!AS$228*Предпосылки!$D259*Продажи!AT24*AT$19*(1+Чувствительность!$D$20)*IFERROR(LOOKUP(Предпосылки!$H$201,$C$13:$C$15,AT$13:AT$15),1)</f>
        <v>0</v>
      </c>
      <c s="125">
        <f>Предпосылки!AT$228*Предпосылки!$D259*Продажи!AU24*AU$19*(1+Чувствительность!$D$20)*IFERROR(LOOKUP(Предпосылки!$H$201,$C$13:$C$15,AU$13:AU$15),1)</f>
        <v>0</v>
      </c>
      <c s="125">
        <f>Предпосылки!AU$228*Предпосылки!$D259*Продажи!AV24*AV$19*(1+Чувствительность!$D$20)*IFERROR(LOOKUP(Предпосылки!$H$201,$C$13:$C$15,AV$13:AV$15),1)</f>
        <v>0</v>
      </c>
      <c s="125">
        <f>Предпосылки!AV$228*Предпосылки!$D259*Продажи!AW24*AW$19*(1+Чувствительность!$D$20)*IFERROR(LOOKUP(Предпосылки!$H$201,$C$13:$C$15,AW$13:AW$15),1)</f>
        <v>0</v>
      </c>
      <c s="125">
        <f>Предпосылки!AW$228*Предпосылки!$D259*Продажи!AX24*AX$19*(1+Чувствительность!$D$20)*IFERROR(LOOKUP(Предпосылки!$H$201,$C$13:$C$15,AX$13:AX$15),1)</f>
        <v>0</v>
      </c>
      <c s="125">
        <f>Предпосылки!AX$228*Предпосылки!$D259*Продажи!AY24*AY$19*(1+Чувствительность!$D$20)*IFERROR(LOOKUP(Предпосылки!$H$201,$C$13:$C$15,AY$13:AY$15),1)</f>
        <v>0</v>
      </c>
      <c s="125">
        <f>Предпосылки!AY$228*Предпосылки!$D259*Продажи!AZ24*AZ$19*(1+Чувствительность!$D$20)*IFERROR(LOOKUP(Предпосылки!$H$201,$C$13:$C$15,AZ$13:AZ$15),1)</f>
        <v>0</v>
      </c>
      <c s="125">
        <f>Предпосылки!AZ$228*Предпосылки!$D259*Продажи!BA24*BA$19*(1+Чувствительность!$D$20)*IFERROR(LOOKUP(Предпосылки!$H$201,$C$13:$C$15,BA$13:BA$15),1)</f>
        <v>0</v>
      </c>
      <c s="125">
        <f>Предпосылки!BA$228*Предпосылки!$D259*Продажи!BB24*BB$19*(1+Чувствительность!$D$20)*IFERROR(LOOKUP(Предпосылки!$H$201,$C$13:$C$15,BB$13:BB$15),1)</f>
        <v>0</v>
      </c>
      <c s="125">
        <f>Предпосылки!BB$228*Предпосылки!$D259*Продажи!BC24*BC$19*(1+Чувствительность!$D$20)*IFERROR(LOOKUP(Предпосылки!$H$201,$C$13:$C$15,BC$13:BC$15),1)</f>
        <v>0</v>
      </c>
      <c s="125">
        <f>Предпосылки!BC$228*Предпосылки!$D259*Продажи!BD24*BD$19*(1+Чувствительность!$D$20)*IFERROR(LOOKUP(Предпосылки!$H$201,$C$13:$C$15,BD$13:BD$15),1)</f>
        <v>0</v>
      </c>
      <c s="125">
        <f>Предпосылки!BD$228*Предпосылки!$D259*Продажи!BE24*BE$19*(1+Чувствительность!$D$20)*IFERROR(LOOKUP(Предпосылки!$H$201,$C$13:$C$15,BE$13:BE$15),1)</f>
        <v>0</v>
      </c>
      <c s="125">
        <f>Предпосылки!BE$228*Предпосылки!$D259*Продажи!BF24*BF$19*(1+Чувствительность!$D$20)*IFERROR(LOOKUP(Предпосылки!$H$201,$C$13:$C$15,BF$13:BF$15),1)</f>
        <v>0</v>
      </c>
      <c s="125">
        <f>Предпосылки!BF$228*Предпосылки!$D259*Продажи!BG24*BG$19*(1+Чувствительность!$D$20)*IFERROR(LOOKUP(Предпосылки!$H$201,$C$13:$C$15,BG$13:BG$15),1)</f>
        <v>0</v>
      </c>
      <c s="125">
        <f>Предпосылки!BG$228*Предпосылки!$D259*Продажи!BH24*BH$19*(1+Чувствительность!$D$20)*IFERROR(LOOKUP(Предпосылки!$H$201,$C$13:$C$15,BH$13:BH$15),1)</f>
        <v>0</v>
      </c>
      <c s="125">
        <f>Предпосылки!BH$228*Предпосылки!$D259*Продажи!BI24*BI$19*(1+Чувствительность!$D$20)*IFERROR(LOOKUP(Предпосылки!$H$201,$C$13:$C$15,BI$13:BI$15),1)</f>
        <v>0</v>
      </c>
      <c s="125">
        <f>Предпосылки!BI$228*Предпосылки!$D259*Продажи!BJ24*BJ$19*(1+Чувствительность!$D$20)*IFERROR(LOOKUP(Предпосылки!$H$201,$C$13:$C$15,BJ$13:BJ$15),1)</f>
        <v>0</v>
      </c>
      <c s="125">
        <f>Предпосылки!BJ$228*Предпосылки!$D259*Продажи!BK24*BK$19*(1+Чувствительность!$D$20)*IFERROR(LOOKUP(Предпосылки!$H$201,$C$13:$C$15,BK$13:BK$15),1)</f>
        <v>0</v>
      </c>
      <c s="125">
        <f>Предпосылки!BK$228*Предпосылки!$D259*Продажи!BL24*BL$19*(1+Чувствительность!$D$20)*IFERROR(LOOKUP(Предпосылки!$H$201,$C$13:$C$15,BL$13:BL$15),1)</f>
        <v>0</v>
      </c>
      <c s="125">
        <f>Предпосылки!BL$228*Предпосылки!$D259*Продажи!BM24*BM$19*(1+Чувствительность!$D$20)*IFERROR(LOOKUP(Предпосылки!$H$201,$C$13:$C$15,BM$13:BM$15),1)</f>
        <v>0</v>
      </c>
    </row>
    <row r="30" spans="2:65" ht="15" customHeight="1">
      <c r="B30" s="12" t="str">
        <f>Предпосылки!B157</f>
        <v>Продукт 8</v>
      </c>
      <c s="124" t="str">
        <f t="shared" si="61"/>
        <v>тыс. руб.</v>
      </c>
      <c s="276">
        <f t="shared" si="62"/>
        <v>0</v>
      </c>
      <c s="125">
        <f>Предпосылки!D$228*Предпосылки!$D260*Продажи!E25*E$19*(1+Чувствительность!$D$20)*IFERROR(LOOKUP(Предпосылки!$H$201,$C$13:$C$15,E$13:E$15),1)</f>
        <v>0</v>
      </c>
      <c s="125">
        <f>Предпосылки!E$228*Предпосылки!$D260*Продажи!F25*F$19*(1+Чувствительность!$D$20)*IFERROR(LOOKUP(Предпосылки!$H$201,$C$13:$C$15,F$13:F$15),1)</f>
        <v>0</v>
      </c>
      <c s="125">
        <f>Предпосылки!F$228*Предпосылки!$D260*Продажи!G25*G$19*(1+Чувствительность!$D$20)*IFERROR(LOOKUP(Предпосылки!$H$201,$C$13:$C$15,G$13:G$15),1)</f>
        <v>0</v>
      </c>
      <c s="125">
        <f>Предпосылки!G$228*Предпосылки!$D260*Продажи!H25*H$19*(1+Чувствительность!$D$20)*IFERROR(LOOKUP(Предпосылки!$H$201,$C$13:$C$15,H$13:H$15),1)</f>
        <v>0</v>
      </c>
      <c s="125">
        <f>Предпосылки!H$228*Предпосылки!$D260*Продажи!I25*I$19*(1+Чувствительность!$D$20)*IFERROR(LOOKUP(Предпосылки!$H$201,$C$13:$C$15,I$13:I$15),1)</f>
        <v>0</v>
      </c>
      <c s="125">
        <f>Предпосылки!I$228*Предпосылки!$D260*Продажи!J25*J$19*(1+Чувствительность!$D$20)*IFERROR(LOOKUP(Предпосылки!$H$201,$C$13:$C$15,J$13:J$15),1)</f>
        <v>0</v>
      </c>
      <c s="125">
        <f>Предпосылки!J$228*Предпосылки!$D260*Продажи!K25*K$19*(1+Чувствительность!$D$20)*IFERROR(LOOKUP(Предпосылки!$H$201,$C$13:$C$15,K$13:K$15),1)</f>
        <v>0</v>
      </c>
      <c s="125">
        <f>Предпосылки!K$228*Предпосылки!$D260*Продажи!L25*L$19*(1+Чувствительность!$D$20)*IFERROR(LOOKUP(Предпосылки!$H$201,$C$13:$C$15,L$13:L$15),1)</f>
        <v>0</v>
      </c>
      <c s="125">
        <f>Предпосылки!L$228*Предпосылки!$D260*Продажи!M25*M$19*(1+Чувствительность!$D$20)*IFERROR(LOOKUP(Предпосылки!$H$201,$C$13:$C$15,M$13:M$15),1)</f>
        <v>0</v>
      </c>
      <c s="125">
        <f>Предпосылки!M$228*Предпосылки!$D260*Продажи!N25*N$19*(1+Чувствительность!$D$20)*IFERROR(LOOKUP(Предпосылки!$H$201,$C$13:$C$15,N$13:N$15),1)</f>
        <v>0</v>
      </c>
      <c s="125">
        <f>Предпосылки!N$228*Предпосылки!$D260*Продажи!O25*O$19*(1+Чувствительность!$D$20)*IFERROR(LOOKUP(Предпосылки!$H$201,$C$13:$C$15,O$13:O$15),1)</f>
        <v>0</v>
      </c>
      <c s="125">
        <f>Предпосылки!O$228*Предпосылки!$D260*Продажи!P25*P$19*(1+Чувствительность!$D$20)*IFERROR(LOOKUP(Предпосылки!$H$201,$C$13:$C$15,P$13:P$15),1)</f>
        <v>0</v>
      </c>
      <c s="125">
        <f>Предпосылки!P$228*Предпосылки!$D260*Продажи!Q25*Q$19*(1+Чувствительность!$D$20)*IFERROR(LOOKUP(Предпосылки!$H$201,$C$13:$C$15,Q$13:Q$15),1)</f>
        <v>0</v>
      </c>
      <c s="125">
        <f>Предпосылки!Q$228*Предпосылки!$D260*Продажи!R25*R$19*(1+Чувствительность!$D$20)*IFERROR(LOOKUP(Предпосылки!$H$201,$C$13:$C$15,R$13:R$15),1)</f>
        <v>0</v>
      </c>
      <c s="125">
        <f>Предпосылки!R$228*Предпосылки!$D260*Продажи!S25*S$19*(1+Чувствительность!$D$20)*IFERROR(LOOKUP(Предпосылки!$H$201,$C$13:$C$15,S$13:S$15),1)</f>
        <v>0</v>
      </c>
      <c s="125">
        <f>Предпосылки!S$228*Предпосылки!$D260*Продажи!T25*T$19*(1+Чувствительность!$D$20)*IFERROR(LOOKUP(Предпосылки!$H$201,$C$13:$C$15,T$13:T$15),1)</f>
        <v>0</v>
      </c>
      <c s="125">
        <f>Предпосылки!T$228*Предпосылки!$D260*Продажи!U25*U$19*(1+Чувствительность!$D$20)*IFERROR(LOOKUP(Предпосылки!$H$201,$C$13:$C$15,U$13:U$15),1)</f>
        <v>0</v>
      </c>
      <c s="125">
        <f>Предпосылки!U$228*Предпосылки!$D260*Продажи!V25*V$19*(1+Чувствительность!$D$20)*IFERROR(LOOKUP(Предпосылки!$H$201,$C$13:$C$15,V$13:V$15),1)</f>
        <v>0</v>
      </c>
      <c s="125">
        <f>Предпосылки!V$228*Предпосылки!$D260*Продажи!W25*W$19*(1+Чувствительность!$D$20)*IFERROR(LOOKUP(Предпосылки!$H$201,$C$13:$C$15,W$13:W$15),1)</f>
        <v>0</v>
      </c>
      <c s="125">
        <f>Предпосылки!W$228*Предпосылки!$D260*Продажи!X25*X$19*(1+Чувствительность!$D$20)*IFERROR(LOOKUP(Предпосылки!$H$201,$C$13:$C$15,X$13:X$15),1)</f>
        <v>0</v>
      </c>
      <c s="125">
        <f>Предпосылки!X$228*Предпосылки!$D260*Продажи!Y25*Y$19*(1+Чувствительность!$D$20)*IFERROR(LOOKUP(Предпосылки!$H$201,$C$13:$C$15,Y$13:Y$15),1)</f>
        <v>0</v>
      </c>
      <c s="125">
        <f>Предпосылки!Y$228*Предпосылки!$D260*Продажи!Z25*Z$19*(1+Чувствительность!$D$20)*IFERROR(LOOKUP(Предпосылки!$H$201,$C$13:$C$15,Z$13:Z$15),1)</f>
        <v>0</v>
      </c>
      <c s="125">
        <f>Предпосылки!Z$228*Предпосылки!$D260*Продажи!AA25*AA$19*(1+Чувствительность!$D$20)*IFERROR(LOOKUP(Предпосылки!$H$201,$C$13:$C$15,AA$13:AA$15),1)</f>
        <v>0</v>
      </c>
      <c s="125">
        <f>Предпосылки!AA$228*Предпосылки!$D260*Продажи!AB25*AB$19*(1+Чувствительность!$D$20)*IFERROR(LOOKUP(Предпосылки!$H$201,$C$13:$C$15,AB$13:AB$15),1)</f>
        <v>0</v>
      </c>
      <c s="125">
        <f>Предпосылки!AB$228*Предпосылки!$D260*Продажи!AC25*AC$19*(1+Чувствительность!$D$20)*IFERROR(LOOKUP(Предпосылки!$H$201,$C$13:$C$15,AC$13:AC$15),1)</f>
        <v>0</v>
      </c>
      <c s="125">
        <f>Предпосылки!AC$228*Предпосылки!$D260*Продажи!AD25*AD$19*(1+Чувствительность!$D$20)*IFERROR(LOOKUP(Предпосылки!$H$201,$C$13:$C$15,AD$13:AD$15),1)</f>
        <v>0</v>
      </c>
      <c s="125">
        <f>Предпосылки!AD$228*Предпосылки!$D260*Продажи!AE25*AE$19*(1+Чувствительность!$D$20)*IFERROR(LOOKUP(Предпосылки!$H$201,$C$13:$C$15,AE$13:AE$15),1)</f>
        <v>0</v>
      </c>
      <c s="125">
        <f>Предпосылки!AE$228*Предпосылки!$D260*Продажи!AF25*AF$19*(1+Чувствительность!$D$20)*IFERROR(LOOKUP(Предпосылки!$H$201,$C$13:$C$15,AF$13:AF$15),1)</f>
        <v>0</v>
      </c>
      <c s="125">
        <f>Предпосылки!AF$228*Предпосылки!$D260*Продажи!AG25*AG$19*(1+Чувствительность!$D$20)*IFERROR(LOOKUP(Предпосылки!$H$201,$C$13:$C$15,AG$13:AG$15),1)</f>
        <v>0</v>
      </c>
      <c s="125">
        <f>Предпосылки!AG$228*Предпосылки!$D260*Продажи!AH25*AH$19*(1+Чувствительность!$D$20)*IFERROR(LOOKUP(Предпосылки!$H$201,$C$13:$C$15,AH$13:AH$15),1)</f>
        <v>0</v>
      </c>
      <c s="125">
        <f>Предпосылки!AH$228*Предпосылки!$D260*Продажи!AI25*AI$19*(1+Чувствительность!$D$20)*IFERROR(LOOKUP(Предпосылки!$H$201,$C$13:$C$15,AI$13:AI$15),1)</f>
        <v>0</v>
      </c>
      <c s="125">
        <f>Предпосылки!AI$228*Предпосылки!$D260*Продажи!AJ25*AJ$19*(1+Чувствительность!$D$20)*IFERROR(LOOKUP(Предпосылки!$H$201,$C$13:$C$15,AJ$13:AJ$15),1)</f>
        <v>0</v>
      </c>
      <c s="125">
        <f>Предпосылки!AJ$228*Предпосылки!$D260*Продажи!AK25*AK$19*(1+Чувствительность!$D$20)*IFERROR(LOOKUP(Предпосылки!$H$201,$C$13:$C$15,AK$13:AK$15),1)</f>
        <v>0</v>
      </c>
      <c s="125">
        <f>Предпосылки!AK$228*Предпосылки!$D260*Продажи!AL25*AL$19*(1+Чувствительность!$D$20)*IFERROR(LOOKUP(Предпосылки!$H$201,$C$13:$C$15,AL$13:AL$15),1)</f>
        <v>0</v>
      </c>
      <c s="125">
        <f>Предпосылки!AL$228*Предпосылки!$D260*Продажи!AM25*AM$19*(1+Чувствительность!$D$20)*IFERROR(LOOKUP(Предпосылки!$H$201,$C$13:$C$15,AM$13:AM$15),1)</f>
        <v>0</v>
      </c>
      <c s="125">
        <f>Предпосылки!AM$228*Предпосылки!$D260*Продажи!AN25*AN$19*(1+Чувствительность!$D$20)*IFERROR(LOOKUP(Предпосылки!$H$201,$C$13:$C$15,AN$13:AN$15),1)</f>
        <v>0</v>
      </c>
      <c s="125">
        <f>Предпосылки!AN$228*Предпосылки!$D260*Продажи!AO25*AO$19*(1+Чувствительность!$D$20)*IFERROR(LOOKUP(Предпосылки!$H$201,$C$13:$C$15,AO$13:AO$15),1)</f>
        <v>0</v>
      </c>
      <c s="125">
        <f>Предпосылки!AO$228*Предпосылки!$D260*Продажи!AP25*AP$19*(1+Чувствительность!$D$20)*IFERROR(LOOKUP(Предпосылки!$H$201,$C$13:$C$15,AP$13:AP$15),1)</f>
        <v>0</v>
      </c>
      <c s="125">
        <f>Предпосылки!AP$228*Предпосылки!$D260*Продажи!AQ25*AQ$19*(1+Чувствительность!$D$20)*IFERROR(LOOKUP(Предпосылки!$H$201,$C$13:$C$15,AQ$13:AQ$15),1)</f>
        <v>0</v>
      </c>
      <c s="125">
        <f>Предпосылки!AQ$228*Предпосылки!$D260*Продажи!AR25*AR$19*(1+Чувствительность!$D$20)*IFERROR(LOOKUP(Предпосылки!$H$201,$C$13:$C$15,AR$13:AR$15),1)</f>
        <v>0</v>
      </c>
      <c s="125">
        <f>Предпосылки!AR$228*Предпосылки!$D260*Продажи!AS25*AS$19*(1+Чувствительность!$D$20)*IFERROR(LOOKUP(Предпосылки!$H$201,$C$13:$C$15,AS$13:AS$15),1)</f>
        <v>0</v>
      </c>
      <c s="125">
        <f>Предпосылки!AS$228*Предпосылки!$D260*Продажи!AT25*AT$19*(1+Чувствительность!$D$20)*IFERROR(LOOKUP(Предпосылки!$H$201,$C$13:$C$15,AT$13:AT$15),1)</f>
        <v>0</v>
      </c>
      <c s="125">
        <f>Предпосылки!AT$228*Предпосылки!$D260*Продажи!AU25*AU$19*(1+Чувствительность!$D$20)*IFERROR(LOOKUP(Предпосылки!$H$201,$C$13:$C$15,AU$13:AU$15),1)</f>
        <v>0</v>
      </c>
      <c s="125">
        <f>Предпосылки!AU$228*Предпосылки!$D260*Продажи!AV25*AV$19*(1+Чувствительность!$D$20)*IFERROR(LOOKUP(Предпосылки!$H$201,$C$13:$C$15,AV$13:AV$15),1)</f>
        <v>0</v>
      </c>
      <c s="125">
        <f>Предпосылки!AV$228*Предпосылки!$D260*Продажи!AW25*AW$19*(1+Чувствительность!$D$20)*IFERROR(LOOKUP(Предпосылки!$H$201,$C$13:$C$15,AW$13:AW$15),1)</f>
        <v>0</v>
      </c>
      <c s="125">
        <f>Предпосылки!AW$228*Предпосылки!$D260*Продажи!AX25*AX$19*(1+Чувствительность!$D$20)*IFERROR(LOOKUP(Предпосылки!$H$201,$C$13:$C$15,AX$13:AX$15),1)</f>
        <v>0</v>
      </c>
      <c s="125">
        <f>Предпосылки!AX$228*Предпосылки!$D260*Продажи!AY25*AY$19*(1+Чувствительность!$D$20)*IFERROR(LOOKUP(Предпосылки!$H$201,$C$13:$C$15,AY$13:AY$15),1)</f>
        <v>0</v>
      </c>
      <c s="125">
        <f>Предпосылки!AY$228*Предпосылки!$D260*Продажи!AZ25*AZ$19*(1+Чувствительность!$D$20)*IFERROR(LOOKUP(Предпосылки!$H$201,$C$13:$C$15,AZ$13:AZ$15),1)</f>
        <v>0</v>
      </c>
      <c s="125">
        <f>Предпосылки!AZ$228*Предпосылки!$D260*Продажи!BA25*BA$19*(1+Чувствительность!$D$20)*IFERROR(LOOKUP(Предпосылки!$H$201,$C$13:$C$15,BA$13:BA$15),1)</f>
        <v>0</v>
      </c>
      <c s="125">
        <f>Предпосылки!BA$228*Предпосылки!$D260*Продажи!BB25*BB$19*(1+Чувствительность!$D$20)*IFERROR(LOOKUP(Предпосылки!$H$201,$C$13:$C$15,BB$13:BB$15),1)</f>
        <v>0</v>
      </c>
      <c s="125">
        <f>Предпосылки!BB$228*Предпосылки!$D260*Продажи!BC25*BC$19*(1+Чувствительность!$D$20)*IFERROR(LOOKUP(Предпосылки!$H$201,$C$13:$C$15,BC$13:BC$15),1)</f>
        <v>0</v>
      </c>
      <c s="125">
        <f>Предпосылки!BC$228*Предпосылки!$D260*Продажи!BD25*BD$19*(1+Чувствительность!$D$20)*IFERROR(LOOKUP(Предпосылки!$H$201,$C$13:$C$15,BD$13:BD$15),1)</f>
        <v>0</v>
      </c>
      <c s="125">
        <f>Предпосылки!BD$228*Предпосылки!$D260*Продажи!BE25*BE$19*(1+Чувствительность!$D$20)*IFERROR(LOOKUP(Предпосылки!$H$201,$C$13:$C$15,BE$13:BE$15),1)</f>
        <v>0</v>
      </c>
      <c s="125">
        <f>Предпосылки!BE$228*Предпосылки!$D260*Продажи!BF25*BF$19*(1+Чувствительность!$D$20)*IFERROR(LOOKUP(Предпосылки!$H$201,$C$13:$C$15,BF$13:BF$15),1)</f>
        <v>0</v>
      </c>
      <c s="125">
        <f>Предпосылки!BF$228*Предпосылки!$D260*Продажи!BG25*BG$19*(1+Чувствительность!$D$20)*IFERROR(LOOKUP(Предпосылки!$H$201,$C$13:$C$15,BG$13:BG$15),1)</f>
        <v>0</v>
      </c>
      <c s="125">
        <f>Предпосылки!BG$228*Предпосылки!$D260*Продажи!BH25*BH$19*(1+Чувствительность!$D$20)*IFERROR(LOOKUP(Предпосылки!$H$201,$C$13:$C$15,BH$13:BH$15),1)</f>
        <v>0</v>
      </c>
      <c s="125">
        <f>Предпосылки!BH$228*Предпосылки!$D260*Продажи!BI25*BI$19*(1+Чувствительность!$D$20)*IFERROR(LOOKUP(Предпосылки!$H$201,$C$13:$C$15,BI$13:BI$15),1)</f>
        <v>0</v>
      </c>
      <c s="125">
        <f>Предпосылки!BI$228*Предпосылки!$D260*Продажи!BJ25*BJ$19*(1+Чувствительность!$D$20)*IFERROR(LOOKUP(Предпосылки!$H$201,$C$13:$C$15,BJ$13:BJ$15),1)</f>
        <v>0</v>
      </c>
      <c s="125">
        <f>Предпосылки!BJ$228*Предпосылки!$D260*Продажи!BK25*BK$19*(1+Чувствительность!$D$20)*IFERROR(LOOKUP(Предпосылки!$H$201,$C$13:$C$15,BK$13:BK$15),1)</f>
        <v>0</v>
      </c>
      <c s="125">
        <f>Предпосылки!BK$228*Предпосылки!$D260*Продажи!BL25*BL$19*(1+Чувствительность!$D$20)*IFERROR(LOOKUP(Предпосылки!$H$201,$C$13:$C$15,BL$13:BL$15),1)</f>
        <v>0</v>
      </c>
      <c s="125">
        <f>Предпосылки!BL$228*Предпосылки!$D260*Продажи!BM25*BM$19*(1+Чувствительность!$D$20)*IFERROR(LOOKUP(Предпосылки!$H$201,$C$13:$C$15,BM$13:BM$15),1)</f>
        <v>0</v>
      </c>
    </row>
    <row r="31" spans="2:65" ht="15" customHeight="1">
      <c r="B31" s="12" t="str">
        <f>Предпосылки!B158</f>
        <v>Продукт 9</v>
      </c>
      <c s="124" t="str">
        <f t="shared" si="61"/>
        <v>тыс. руб.</v>
      </c>
      <c s="276">
        <f t="shared" si="62"/>
        <v>0</v>
      </c>
      <c s="125">
        <f>Предпосылки!D$228*Предпосылки!$D261*Продажи!E26*E$19*(1+Чувствительность!$D$20)*IFERROR(LOOKUP(Предпосылки!$H$201,$C$13:$C$15,E$13:E$15),1)</f>
        <v>0</v>
      </c>
      <c s="125">
        <f>Предпосылки!E$228*Предпосылки!$D261*Продажи!F26*F$19*(1+Чувствительность!$D$20)*IFERROR(LOOKUP(Предпосылки!$H$201,$C$13:$C$15,F$13:F$15),1)</f>
        <v>0</v>
      </c>
      <c s="125">
        <f>Предпосылки!F$228*Предпосылки!$D261*Продажи!G26*G$19*(1+Чувствительность!$D$20)*IFERROR(LOOKUP(Предпосылки!$H$201,$C$13:$C$15,G$13:G$15),1)</f>
        <v>0</v>
      </c>
      <c s="125">
        <f>Предпосылки!G$228*Предпосылки!$D261*Продажи!H26*H$19*(1+Чувствительность!$D$20)*IFERROR(LOOKUP(Предпосылки!$H$201,$C$13:$C$15,H$13:H$15),1)</f>
        <v>0</v>
      </c>
      <c s="125">
        <f>Предпосылки!H$228*Предпосылки!$D261*Продажи!I26*I$19*(1+Чувствительность!$D$20)*IFERROR(LOOKUP(Предпосылки!$H$201,$C$13:$C$15,I$13:I$15),1)</f>
        <v>0</v>
      </c>
      <c s="125">
        <f>Предпосылки!I$228*Предпосылки!$D261*Продажи!J26*J$19*(1+Чувствительность!$D$20)*IFERROR(LOOKUP(Предпосылки!$H$201,$C$13:$C$15,J$13:J$15),1)</f>
        <v>0</v>
      </c>
      <c s="125">
        <f>Предпосылки!J$228*Предпосылки!$D261*Продажи!K26*K$19*(1+Чувствительность!$D$20)*IFERROR(LOOKUP(Предпосылки!$H$201,$C$13:$C$15,K$13:K$15),1)</f>
        <v>0</v>
      </c>
      <c s="125">
        <f>Предпосылки!K$228*Предпосылки!$D261*Продажи!L26*L$19*(1+Чувствительность!$D$20)*IFERROR(LOOKUP(Предпосылки!$H$201,$C$13:$C$15,L$13:L$15),1)</f>
        <v>0</v>
      </c>
      <c s="125">
        <f>Предпосылки!L$228*Предпосылки!$D261*Продажи!M26*M$19*(1+Чувствительность!$D$20)*IFERROR(LOOKUP(Предпосылки!$H$201,$C$13:$C$15,M$13:M$15),1)</f>
        <v>0</v>
      </c>
      <c s="125">
        <f>Предпосылки!M$228*Предпосылки!$D261*Продажи!N26*N$19*(1+Чувствительность!$D$20)*IFERROR(LOOKUP(Предпосылки!$H$201,$C$13:$C$15,N$13:N$15),1)</f>
        <v>0</v>
      </c>
      <c s="125">
        <f>Предпосылки!N$228*Предпосылки!$D261*Продажи!O26*O$19*(1+Чувствительность!$D$20)*IFERROR(LOOKUP(Предпосылки!$H$201,$C$13:$C$15,O$13:O$15),1)</f>
        <v>0</v>
      </c>
      <c s="125">
        <f>Предпосылки!O$228*Предпосылки!$D261*Продажи!P26*P$19*(1+Чувствительность!$D$20)*IFERROR(LOOKUP(Предпосылки!$H$201,$C$13:$C$15,P$13:P$15),1)</f>
        <v>0</v>
      </c>
      <c s="125">
        <f>Предпосылки!P$228*Предпосылки!$D261*Продажи!Q26*Q$19*(1+Чувствительность!$D$20)*IFERROR(LOOKUP(Предпосылки!$H$201,$C$13:$C$15,Q$13:Q$15),1)</f>
        <v>0</v>
      </c>
      <c s="125">
        <f>Предпосылки!Q$228*Предпосылки!$D261*Продажи!R26*R$19*(1+Чувствительность!$D$20)*IFERROR(LOOKUP(Предпосылки!$H$201,$C$13:$C$15,R$13:R$15),1)</f>
        <v>0</v>
      </c>
      <c s="125">
        <f>Предпосылки!R$228*Предпосылки!$D261*Продажи!S26*S$19*(1+Чувствительность!$D$20)*IFERROR(LOOKUP(Предпосылки!$H$201,$C$13:$C$15,S$13:S$15),1)</f>
        <v>0</v>
      </c>
      <c s="125">
        <f>Предпосылки!S$228*Предпосылки!$D261*Продажи!T26*T$19*(1+Чувствительность!$D$20)*IFERROR(LOOKUP(Предпосылки!$H$201,$C$13:$C$15,T$13:T$15),1)</f>
        <v>0</v>
      </c>
      <c s="125">
        <f>Предпосылки!T$228*Предпосылки!$D261*Продажи!U26*U$19*(1+Чувствительность!$D$20)*IFERROR(LOOKUP(Предпосылки!$H$201,$C$13:$C$15,U$13:U$15),1)</f>
        <v>0</v>
      </c>
      <c s="125">
        <f>Предпосылки!U$228*Предпосылки!$D261*Продажи!V26*V$19*(1+Чувствительность!$D$20)*IFERROR(LOOKUP(Предпосылки!$H$201,$C$13:$C$15,V$13:V$15),1)</f>
        <v>0</v>
      </c>
      <c s="125">
        <f>Предпосылки!V$228*Предпосылки!$D261*Продажи!W26*W$19*(1+Чувствительность!$D$20)*IFERROR(LOOKUP(Предпосылки!$H$201,$C$13:$C$15,W$13:W$15),1)</f>
        <v>0</v>
      </c>
      <c s="125">
        <f>Предпосылки!W$228*Предпосылки!$D261*Продажи!X26*X$19*(1+Чувствительность!$D$20)*IFERROR(LOOKUP(Предпосылки!$H$201,$C$13:$C$15,X$13:X$15),1)</f>
        <v>0</v>
      </c>
      <c s="125">
        <f>Предпосылки!X$228*Предпосылки!$D261*Продажи!Y26*Y$19*(1+Чувствительность!$D$20)*IFERROR(LOOKUP(Предпосылки!$H$201,$C$13:$C$15,Y$13:Y$15),1)</f>
        <v>0</v>
      </c>
      <c s="125">
        <f>Предпосылки!Y$228*Предпосылки!$D261*Продажи!Z26*Z$19*(1+Чувствительность!$D$20)*IFERROR(LOOKUP(Предпосылки!$H$201,$C$13:$C$15,Z$13:Z$15),1)</f>
        <v>0</v>
      </c>
      <c s="125">
        <f>Предпосылки!Z$228*Предпосылки!$D261*Продажи!AA26*AA$19*(1+Чувствительность!$D$20)*IFERROR(LOOKUP(Предпосылки!$H$201,$C$13:$C$15,AA$13:AA$15),1)</f>
        <v>0</v>
      </c>
      <c s="125">
        <f>Предпосылки!AA$228*Предпосылки!$D261*Продажи!AB26*AB$19*(1+Чувствительность!$D$20)*IFERROR(LOOKUP(Предпосылки!$H$201,$C$13:$C$15,AB$13:AB$15),1)</f>
        <v>0</v>
      </c>
      <c s="125">
        <f>Предпосылки!AB$228*Предпосылки!$D261*Продажи!AC26*AC$19*(1+Чувствительность!$D$20)*IFERROR(LOOKUP(Предпосылки!$H$201,$C$13:$C$15,AC$13:AC$15),1)</f>
        <v>0</v>
      </c>
      <c s="125">
        <f>Предпосылки!AC$228*Предпосылки!$D261*Продажи!AD26*AD$19*(1+Чувствительность!$D$20)*IFERROR(LOOKUP(Предпосылки!$H$201,$C$13:$C$15,AD$13:AD$15),1)</f>
        <v>0</v>
      </c>
      <c s="125">
        <f>Предпосылки!AD$228*Предпосылки!$D261*Продажи!AE26*AE$19*(1+Чувствительность!$D$20)*IFERROR(LOOKUP(Предпосылки!$H$201,$C$13:$C$15,AE$13:AE$15),1)</f>
        <v>0</v>
      </c>
      <c s="125">
        <f>Предпосылки!AE$228*Предпосылки!$D261*Продажи!AF26*AF$19*(1+Чувствительность!$D$20)*IFERROR(LOOKUP(Предпосылки!$H$201,$C$13:$C$15,AF$13:AF$15),1)</f>
        <v>0</v>
      </c>
      <c s="125">
        <f>Предпосылки!AF$228*Предпосылки!$D261*Продажи!AG26*AG$19*(1+Чувствительность!$D$20)*IFERROR(LOOKUP(Предпосылки!$H$201,$C$13:$C$15,AG$13:AG$15),1)</f>
        <v>0</v>
      </c>
      <c s="125">
        <f>Предпосылки!AG$228*Предпосылки!$D261*Продажи!AH26*AH$19*(1+Чувствительность!$D$20)*IFERROR(LOOKUP(Предпосылки!$H$201,$C$13:$C$15,AH$13:AH$15),1)</f>
        <v>0</v>
      </c>
      <c s="125">
        <f>Предпосылки!AH$228*Предпосылки!$D261*Продажи!AI26*AI$19*(1+Чувствительность!$D$20)*IFERROR(LOOKUP(Предпосылки!$H$201,$C$13:$C$15,AI$13:AI$15),1)</f>
        <v>0</v>
      </c>
      <c s="125">
        <f>Предпосылки!AI$228*Предпосылки!$D261*Продажи!AJ26*AJ$19*(1+Чувствительность!$D$20)*IFERROR(LOOKUP(Предпосылки!$H$201,$C$13:$C$15,AJ$13:AJ$15),1)</f>
        <v>0</v>
      </c>
      <c s="125">
        <f>Предпосылки!AJ$228*Предпосылки!$D261*Продажи!AK26*AK$19*(1+Чувствительность!$D$20)*IFERROR(LOOKUP(Предпосылки!$H$201,$C$13:$C$15,AK$13:AK$15),1)</f>
        <v>0</v>
      </c>
      <c s="125">
        <f>Предпосылки!AK$228*Предпосылки!$D261*Продажи!AL26*AL$19*(1+Чувствительность!$D$20)*IFERROR(LOOKUP(Предпосылки!$H$201,$C$13:$C$15,AL$13:AL$15),1)</f>
        <v>0</v>
      </c>
      <c s="125">
        <f>Предпосылки!AL$228*Предпосылки!$D261*Продажи!AM26*AM$19*(1+Чувствительность!$D$20)*IFERROR(LOOKUP(Предпосылки!$H$201,$C$13:$C$15,AM$13:AM$15),1)</f>
        <v>0</v>
      </c>
      <c s="125">
        <f>Предпосылки!AM$228*Предпосылки!$D261*Продажи!AN26*AN$19*(1+Чувствительность!$D$20)*IFERROR(LOOKUP(Предпосылки!$H$201,$C$13:$C$15,AN$13:AN$15),1)</f>
        <v>0</v>
      </c>
      <c s="125">
        <f>Предпосылки!AN$228*Предпосылки!$D261*Продажи!AO26*AO$19*(1+Чувствительность!$D$20)*IFERROR(LOOKUP(Предпосылки!$H$201,$C$13:$C$15,AO$13:AO$15),1)</f>
        <v>0</v>
      </c>
      <c s="125">
        <f>Предпосылки!AO$228*Предпосылки!$D261*Продажи!AP26*AP$19*(1+Чувствительность!$D$20)*IFERROR(LOOKUP(Предпосылки!$H$201,$C$13:$C$15,AP$13:AP$15),1)</f>
        <v>0</v>
      </c>
      <c s="125">
        <f>Предпосылки!AP$228*Предпосылки!$D261*Продажи!AQ26*AQ$19*(1+Чувствительность!$D$20)*IFERROR(LOOKUP(Предпосылки!$H$201,$C$13:$C$15,AQ$13:AQ$15),1)</f>
        <v>0</v>
      </c>
      <c s="125">
        <f>Предпосылки!AQ$228*Предпосылки!$D261*Продажи!AR26*AR$19*(1+Чувствительность!$D$20)*IFERROR(LOOKUP(Предпосылки!$H$201,$C$13:$C$15,AR$13:AR$15),1)</f>
        <v>0</v>
      </c>
      <c s="125">
        <f>Предпосылки!AR$228*Предпосылки!$D261*Продажи!AS26*AS$19*(1+Чувствительность!$D$20)*IFERROR(LOOKUP(Предпосылки!$H$201,$C$13:$C$15,AS$13:AS$15),1)</f>
        <v>0</v>
      </c>
      <c s="125">
        <f>Предпосылки!AS$228*Предпосылки!$D261*Продажи!AT26*AT$19*(1+Чувствительность!$D$20)*IFERROR(LOOKUP(Предпосылки!$H$201,$C$13:$C$15,AT$13:AT$15),1)</f>
        <v>0</v>
      </c>
      <c s="125">
        <f>Предпосылки!AT$228*Предпосылки!$D261*Продажи!AU26*AU$19*(1+Чувствительность!$D$20)*IFERROR(LOOKUP(Предпосылки!$H$201,$C$13:$C$15,AU$13:AU$15),1)</f>
        <v>0</v>
      </c>
      <c s="125">
        <f>Предпосылки!AU$228*Предпосылки!$D261*Продажи!AV26*AV$19*(1+Чувствительность!$D$20)*IFERROR(LOOKUP(Предпосылки!$H$201,$C$13:$C$15,AV$13:AV$15),1)</f>
        <v>0</v>
      </c>
      <c s="125">
        <f>Предпосылки!AV$228*Предпосылки!$D261*Продажи!AW26*AW$19*(1+Чувствительность!$D$20)*IFERROR(LOOKUP(Предпосылки!$H$201,$C$13:$C$15,AW$13:AW$15),1)</f>
        <v>0</v>
      </c>
      <c s="125">
        <f>Предпосылки!AW$228*Предпосылки!$D261*Продажи!AX26*AX$19*(1+Чувствительность!$D$20)*IFERROR(LOOKUP(Предпосылки!$H$201,$C$13:$C$15,AX$13:AX$15),1)</f>
        <v>0</v>
      </c>
      <c s="125">
        <f>Предпосылки!AX$228*Предпосылки!$D261*Продажи!AY26*AY$19*(1+Чувствительность!$D$20)*IFERROR(LOOKUP(Предпосылки!$H$201,$C$13:$C$15,AY$13:AY$15),1)</f>
        <v>0</v>
      </c>
      <c s="125">
        <f>Предпосылки!AY$228*Предпосылки!$D261*Продажи!AZ26*AZ$19*(1+Чувствительность!$D$20)*IFERROR(LOOKUP(Предпосылки!$H$201,$C$13:$C$15,AZ$13:AZ$15),1)</f>
        <v>0</v>
      </c>
      <c s="125">
        <f>Предпосылки!AZ$228*Предпосылки!$D261*Продажи!BA26*BA$19*(1+Чувствительность!$D$20)*IFERROR(LOOKUP(Предпосылки!$H$201,$C$13:$C$15,BA$13:BA$15),1)</f>
        <v>0</v>
      </c>
      <c s="125">
        <f>Предпосылки!BA$228*Предпосылки!$D261*Продажи!BB26*BB$19*(1+Чувствительность!$D$20)*IFERROR(LOOKUP(Предпосылки!$H$201,$C$13:$C$15,BB$13:BB$15),1)</f>
        <v>0</v>
      </c>
      <c s="125">
        <f>Предпосылки!BB$228*Предпосылки!$D261*Продажи!BC26*BC$19*(1+Чувствительность!$D$20)*IFERROR(LOOKUP(Предпосылки!$H$201,$C$13:$C$15,BC$13:BC$15),1)</f>
        <v>0</v>
      </c>
      <c s="125">
        <f>Предпосылки!BC$228*Предпосылки!$D261*Продажи!BD26*BD$19*(1+Чувствительность!$D$20)*IFERROR(LOOKUP(Предпосылки!$H$201,$C$13:$C$15,BD$13:BD$15),1)</f>
        <v>0</v>
      </c>
      <c s="125">
        <f>Предпосылки!BD$228*Предпосылки!$D261*Продажи!BE26*BE$19*(1+Чувствительность!$D$20)*IFERROR(LOOKUP(Предпосылки!$H$201,$C$13:$C$15,BE$13:BE$15),1)</f>
        <v>0</v>
      </c>
      <c s="125">
        <f>Предпосылки!BE$228*Предпосылки!$D261*Продажи!BF26*BF$19*(1+Чувствительность!$D$20)*IFERROR(LOOKUP(Предпосылки!$H$201,$C$13:$C$15,BF$13:BF$15),1)</f>
        <v>0</v>
      </c>
      <c s="125">
        <f>Предпосылки!BF$228*Предпосылки!$D261*Продажи!BG26*BG$19*(1+Чувствительность!$D$20)*IFERROR(LOOKUP(Предпосылки!$H$201,$C$13:$C$15,BG$13:BG$15),1)</f>
        <v>0</v>
      </c>
      <c s="125">
        <f>Предпосылки!BG$228*Предпосылки!$D261*Продажи!BH26*BH$19*(1+Чувствительность!$D$20)*IFERROR(LOOKUP(Предпосылки!$H$201,$C$13:$C$15,BH$13:BH$15),1)</f>
        <v>0</v>
      </c>
      <c s="125">
        <f>Предпосылки!BH$228*Предпосылки!$D261*Продажи!BI26*BI$19*(1+Чувствительность!$D$20)*IFERROR(LOOKUP(Предпосылки!$H$201,$C$13:$C$15,BI$13:BI$15),1)</f>
        <v>0</v>
      </c>
      <c s="125">
        <f>Предпосылки!BI$228*Предпосылки!$D261*Продажи!BJ26*BJ$19*(1+Чувствительность!$D$20)*IFERROR(LOOKUP(Предпосылки!$H$201,$C$13:$C$15,BJ$13:BJ$15),1)</f>
        <v>0</v>
      </c>
      <c s="125">
        <f>Предпосылки!BJ$228*Предпосылки!$D261*Продажи!BK26*BK$19*(1+Чувствительность!$D$20)*IFERROR(LOOKUP(Предпосылки!$H$201,$C$13:$C$15,BK$13:BK$15),1)</f>
        <v>0</v>
      </c>
      <c s="125">
        <f>Предпосылки!BK$228*Предпосылки!$D261*Продажи!BL26*BL$19*(1+Чувствительность!$D$20)*IFERROR(LOOKUP(Предпосылки!$H$201,$C$13:$C$15,BL$13:BL$15),1)</f>
        <v>0</v>
      </c>
      <c s="125">
        <f>Предпосылки!BL$228*Предпосылки!$D261*Продажи!BM26*BM$19*(1+Чувствительность!$D$20)*IFERROR(LOOKUP(Предпосылки!$H$201,$C$13:$C$15,BM$13:BM$15),1)</f>
        <v>0</v>
      </c>
    </row>
    <row r="32" spans="2:65" ht="15" customHeight="1">
      <c r="B32" s="12" t="str">
        <f>Предпосылки!B159</f>
        <v>Продукт 10</v>
      </c>
      <c s="124" t="str">
        <f t="shared" si="61"/>
        <v>тыс. руб.</v>
      </c>
      <c s="276">
        <f t="shared" si="62"/>
        <v>0</v>
      </c>
      <c s="125">
        <f>Предпосылки!D$228*Предпосылки!$D262*Продажи!E27*E$19*(1+Чувствительность!$D$20)*IFERROR(LOOKUP(Предпосылки!$H$201,$C$13:$C$15,E$13:E$15),1)</f>
        <v>0</v>
      </c>
      <c s="125">
        <f>Предпосылки!E$228*Предпосылки!$D262*Продажи!F27*F$19*(1+Чувствительность!$D$20)*IFERROR(LOOKUP(Предпосылки!$H$201,$C$13:$C$15,F$13:F$15),1)</f>
        <v>0</v>
      </c>
      <c s="125">
        <f>Предпосылки!F$228*Предпосылки!$D262*Продажи!G27*G$19*(1+Чувствительность!$D$20)*IFERROR(LOOKUP(Предпосылки!$H$201,$C$13:$C$15,G$13:G$15),1)</f>
        <v>0</v>
      </c>
      <c s="125">
        <f>Предпосылки!G$228*Предпосылки!$D262*Продажи!H27*H$19*(1+Чувствительность!$D$20)*IFERROR(LOOKUP(Предпосылки!$H$201,$C$13:$C$15,H$13:H$15),1)</f>
        <v>0</v>
      </c>
      <c s="125">
        <f>Предпосылки!H$228*Предпосылки!$D262*Продажи!I27*I$19*(1+Чувствительность!$D$20)*IFERROR(LOOKUP(Предпосылки!$H$201,$C$13:$C$15,I$13:I$15),1)</f>
        <v>0</v>
      </c>
      <c s="125">
        <f>Предпосылки!I$228*Предпосылки!$D262*Продажи!J27*J$19*(1+Чувствительность!$D$20)*IFERROR(LOOKUP(Предпосылки!$H$201,$C$13:$C$15,J$13:J$15),1)</f>
        <v>0</v>
      </c>
      <c s="125">
        <f>Предпосылки!J$228*Предпосылки!$D262*Продажи!K27*K$19*(1+Чувствительность!$D$20)*IFERROR(LOOKUP(Предпосылки!$H$201,$C$13:$C$15,K$13:K$15),1)</f>
        <v>0</v>
      </c>
      <c s="125">
        <f>Предпосылки!K$228*Предпосылки!$D262*Продажи!L27*L$19*(1+Чувствительность!$D$20)*IFERROR(LOOKUP(Предпосылки!$H$201,$C$13:$C$15,L$13:L$15),1)</f>
        <v>0</v>
      </c>
      <c s="125">
        <f>Предпосылки!L$228*Предпосылки!$D262*Продажи!M27*M$19*(1+Чувствительность!$D$20)*IFERROR(LOOKUP(Предпосылки!$H$201,$C$13:$C$15,M$13:M$15),1)</f>
        <v>0</v>
      </c>
      <c s="125">
        <f>Предпосылки!M$228*Предпосылки!$D262*Продажи!N27*N$19*(1+Чувствительность!$D$20)*IFERROR(LOOKUP(Предпосылки!$H$201,$C$13:$C$15,N$13:N$15),1)</f>
        <v>0</v>
      </c>
      <c s="125">
        <f>Предпосылки!N$228*Предпосылки!$D262*Продажи!O27*O$19*(1+Чувствительность!$D$20)*IFERROR(LOOKUP(Предпосылки!$H$201,$C$13:$C$15,O$13:O$15),1)</f>
        <v>0</v>
      </c>
      <c s="125">
        <f>Предпосылки!O$228*Предпосылки!$D262*Продажи!P27*P$19*(1+Чувствительность!$D$20)*IFERROR(LOOKUP(Предпосылки!$H$201,$C$13:$C$15,P$13:P$15),1)</f>
        <v>0</v>
      </c>
      <c s="125">
        <f>Предпосылки!P$228*Предпосылки!$D262*Продажи!Q27*Q$19*(1+Чувствительность!$D$20)*IFERROR(LOOKUP(Предпосылки!$H$201,$C$13:$C$15,Q$13:Q$15),1)</f>
        <v>0</v>
      </c>
      <c s="125">
        <f>Предпосылки!Q$228*Предпосылки!$D262*Продажи!R27*R$19*(1+Чувствительность!$D$20)*IFERROR(LOOKUP(Предпосылки!$H$201,$C$13:$C$15,R$13:R$15),1)</f>
        <v>0</v>
      </c>
      <c s="125">
        <f>Предпосылки!R$228*Предпосылки!$D262*Продажи!S27*S$19*(1+Чувствительность!$D$20)*IFERROR(LOOKUP(Предпосылки!$H$201,$C$13:$C$15,S$13:S$15),1)</f>
        <v>0</v>
      </c>
      <c s="125">
        <f>Предпосылки!S$228*Предпосылки!$D262*Продажи!T27*T$19*(1+Чувствительность!$D$20)*IFERROR(LOOKUP(Предпосылки!$H$201,$C$13:$C$15,T$13:T$15),1)</f>
        <v>0</v>
      </c>
      <c s="125">
        <f>Предпосылки!T$228*Предпосылки!$D262*Продажи!U27*U$19*(1+Чувствительность!$D$20)*IFERROR(LOOKUP(Предпосылки!$H$201,$C$13:$C$15,U$13:U$15),1)</f>
        <v>0</v>
      </c>
      <c s="125">
        <f>Предпосылки!U$228*Предпосылки!$D262*Продажи!V27*V$19*(1+Чувствительность!$D$20)*IFERROR(LOOKUP(Предпосылки!$H$201,$C$13:$C$15,V$13:V$15),1)</f>
        <v>0</v>
      </c>
      <c s="125">
        <f>Предпосылки!V$228*Предпосылки!$D262*Продажи!W27*W$19*(1+Чувствительность!$D$20)*IFERROR(LOOKUP(Предпосылки!$H$201,$C$13:$C$15,W$13:W$15),1)</f>
        <v>0</v>
      </c>
      <c s="125">
        <f>Предпосылки!W$228*Предпосылки!$D262*Продажи!X27*X$19*(1+Чувствительность!$D$20)*IFERROR(LOOKUP(Предпосылки!$H$201,$C$13:$C$15,X$13:X$15),1)</f>
        <v>0</v>
      </c>
      <c s="125">
        <f>Предпосылки!X$228*Предпосылки!$D262*Продажи!Y27*Y$19*(1+Чувствительность!$D$20)*IFERROR(LOOKUP(Предпосылки!$H$201,$C$13:$C$15,Y$13:Y$15),1)</f>
        <v>0</v>
      </c>
      <c s="125">
        <f>Предпосылки!Y$228*Предпосылки!$D262*Продажи!Z27*Z$19*(1+Чувствительность!$D$20)*IFERROR(LOOKUP(Предпосылки!$H$201,$C$13:$C$15,Z$13:Z$15),1)</f>
        <v>0</v>
      </c>
      <c s="125">
        <f>Предпосылки!Z$228*Предпосылки!$D262*Продажи!AA27*AA$19*(1+Чувствительность!$D$20)*IFERROR(LOOKUP(Предпосылки!$H$201,$C$13:$C$15,AA$13:AA$15),1)</f>
        <v>0</v>
      </c>
      <c s="125">
        <f>Предпосылки!AA$228*Предпосылки!$D262*Продажи!AB27*AB$19*(1+Чувствительность!$D$20)*IFERROR(LOOKUP(Предпосылки!$H$201,$C$13:$C$15,AB$13:AB$15),1)</f>
        <v>0</v>
      </c>
      <c s="125">
        <f>Предпосылки!AB$228*Предпосылки!$D262*Продажи!AC27*AC$19*(1+Чувствительность!$D$20)*IFERROR(LOOKUP(Предпосылки!$H$201,$C$13:$C$15,AC$13:AC$15),1)</f>
        <v>0</v>
      </c>
      <c s="125">
        <f>Предпосылки!AC$228*Предпосылки!$D262*Продажи!AD27*AD$19*(1+Чувствительность!$D$20)*IFERROR(LOOKUP(Предпосылки!$H$201,$C$13:$C$15,AD$13:AD$15),1)</f>
        <v>0</v>
      </c>
      <c s="125">
        <f>Предпосылки!AD$228*Предпосылки!$D262*Продажи!AE27*AE$19*(1+Чувствительность!$D$20)*IFERROR(LOOKUP(Предпосылки!$H$201,$C$13:$C$15,AE$13:AE$15),1)</f>
        <v>0</v>
      </c>
      <c s="125">
        <f>Предпосылки!AE$228*Предпосылки!$D262*Продажи!AF27*AF$19*(1+Чувствительность!$D$20)*IFERROR(LOOKUP(Предпосылки!$H$201,$C$13:$C$15,AF$13:AF$15),1)</f>
        <v>0</v>
      </c>
      <c s="125">
        <f>Предпосылки!AF$228*Предпосылки!$D262*Продажи!AG27*AG$19*(1+Чувствительность!$D$20)*IFERROR(LOOKUP(Предпосылки!$H$201,$C$13:$C$15,AG$13:AG$15),1)</f>
        <v>0</v>
      </c>
      <c s="125">
        <f>Предпосылки!AG$228*Предпосылки!$D262*Продажи!AH27*AH$19*(1+Чувствительность!$D$20)*IFERROR(LOOKUP(Предпосылки!$H$201,$C$13:$C$15,AH$13:AH$15),1)</f>
        <v>0</v>
      </c>
      <c s="125">
        <f>Предпосылки!AH$228*Предпосылки!$D262*Продажи!AI27*AI$19*(1+Чувствительность!$D$20)*IFERROR(LOOKUP(Предпосылки!$H$201,$C$13:$C$15,AI$13:AI$15),1)</f>
        <v>0</v>
      </c>
      <c s="125">
        <f>Предпосылки!AI$228*Предпосылки!$D262*Продажи!AJ27*AJ$19*(1+Чувствительность!$D$20)*IFERROR(LOOKUP(Предпосылки!$H$201,$C$13:$C$15,AJ$13:AJ$15),1)</f>
        <v>0</v>
      </c>
      <c s="125">
        <f>Предпосылки!AJ$228*Предпосылки!$D262*Продажи!AK27*AK$19*(1+Чувствительность!$D$20)*IFERROR(LOOKUP(Предпосылки!$H$201,$C$13:$C$15,AK$13:AK$15),1)</f>
        <v>0</v>
      </c>
      <c s="125">
        <f>Предпосылки!AK$228*Предпосылки!$D262*Продажи!AL27*AL$19*(1+Чувствительность!$D$20)*IFERROR(LOOKUP(Предпосылки!$H$201,$C$13:$C$15,AL$13:AL$15),1)</f>
        <v>0</v>
      </c>
      <c s="125">
        <f>Предпосылки!AL$228*Предпосылки!$D262*Продажи!AM27*AM$19*(1+Чувствительность!$D$20)*IFERROR(LOOKUP(Предпосылки!$H$201,$C$13:$C$15,AM$13:AM$15),1)</f>
        <v>0</v>
      </c>
      <c s="125">
        <f>Предпосылки!AM$228*Предпосылки!$D262*Продажи!AN27*AN$19*(1+Чувствительность!$D$20)*IFERROR(LOOKUP(Предпосылки!$H$201,$C$13:$C$15,AN$13:AN$15),1)</f>
        <v>0</v>
      </c>
      <c s="125">
        <f>Предпосылки!AN$228*Предпосылки!$D262*Продажи!AO27*AO$19*(1+Чувствительность!$D$20)*IFERROR(LOOKUP(Предпосылки!$H$201,$C$13:$C$15,AO$13:AO$15),1)</f>
        <v>0</v>
      </c>
      <c s="125">
        <f>Предпосылки!AO$228*Предпосылки!$D262*Продажи!AP27*AP$19*(1+Чувствительность!$D$20)*IFERROR(LOOKUP(Предпосылки!$H$201,$C$13:$C$15,AP$13:AP$15),1)</f>
        <v>0</v>
      </c>
      <c s="125">
        <f>Предпосылки!AP$228*Предпосылки!$D262*Продажи!AQ27*AQ$19*(1+Чувствительность!$D$20)*IFERROR(LOOKUP(Предпосылки!$H$201,$C$13:$C$15,AQ$13:AQ$15),1)</f>
        <v>0</v>
      </c>
      <c s="125">
        <f>Предпосылки!AQ$228*Предпосылки!$D262*Продажи!AR27*AR$19*(1+Чувствительность!$D$20)*IFERROR(LOOKUP(Предпосылки!$H$201,$C$13:$C$15,AR$13:AR$15),1)</f>
        <v>0</v>
      </c>
      <c s="125">
        <f>Предпосылки!AR$228*Предпосылки!$D262*Продажи!AS27*AS$19*(1+Чувствительность!$D$20)*IFERROR(LOOKUP(Предпосылки!$H$201,$C$13:$C$15,AS$13:AS$15),1)</f>
        <v>0</v>
      </c>
      <c s="125">
        <f>Предпосылки!AS$228*Предпосылки!$D262*Продажи!AT27*AT$19*(1+Чувствительность!$D$20)*IFERROR(LOOKUP(Предпосылки!$H$201,$C$13:$C$15,AT$13:AT$15),1)</f>
        <v>0</v>
      </c>
      <c s="125">
        <f>Предпосылки!AT$228*Предпосылки!$D262*Продажи!AU27*AU$19*(1+Чувствительность!$D$20)*IFERROR(LOOKUP(Предпосылки!$H$201,$C$13:$C$15,AU$13:AU$15),1)</f>
        <v>0</v>
      </c>
      <c s="125">
        <f>Предпосылки!AU$228*Предпосылки!$D262*Продажи!AV27*AV$19*(1+Чувствительность!$D$20)*IFERROR(LOOKUP(Предпосылки!$H$201,$C$13:$C$15,AV$13:AV$15),1)</f>
        <v>0</v>
      </c>
      <c s="125">
        <f>Предпосылки!AV$228*Предпосылки!$D262*Продажи!AW27*AW$19*(1+Чувствительность!$D$20)*IFERROR(LOOKUP(Предпосылки!$H$201,$C$13:$C$15,AW$13:AW$15),1)</f>
        <v>0</v>
      </c>
      <c s="125">
        <f>Предпосылки!AW$228*Предпосылки!$D262*Продажи!AX27*AX$19*(1+Чувствительность!$D$20)*IFERROR(LOOKUP(Предпосылки!$H$201,$C$13:$C$15,AX$13:AX$15),1)</f>
        <v>0</v>
      </c>
      <c s="125">
        <f>Предпосылки!AX$228*Предпосылки!$D262*Продажи!AY27*AY$19*(1+Чувствительность!$D$20)*IFERROR(LOOKUP(Предпосылки!$H$201,$C$13:$C$15,AY$13:AY$15),1)</f>
        <v>0</v>
      </c>
      <c s="125">
        <f>Предпосылки!AY$228*Предпосылки!$D262*Продажи!AZ27*AZ$19*(1+Чувствительность!$D$20)*IFERROR(LOOKUP(Предпосылки!$H$201,$C$13:$C$15,AZ$13:AZ$15),1)</f>
        <v>0</v>
      </c>
      <c s="125">
        <f>Предпосылки!AZ$228*Предпосылки!$D262*Продажи!BA27*BA$19*(1+Чувствительность!$D$20)*IFERROR(LOOKUP(Предпосылки!$H$201,$C$13:$C$15,BA$13:BA$15),1)</f>
        <v>0</v>
      </c>
      <c s="125">
        <f>Предпосылки!BA$228*Предпосылки!$D262*Продажи!BB27*BB$19*(1+Чувствительность!$D$20)*IFERROR(LOOKUP(Предпосылки!$H$201,$C$13:$C$15,BB$13:BB$15),1)</f>
        <v>0</v>
      </c>
      <c s="125">
        <f>Предпосылки!BB$228*Предпосылки!$D262*Продажи!BC27*BC$19*(1+Чувствительность!$D$20)*IFERROR(LOOKUP(Предпосылки!$H$201,$C$13:$C$15,BC$13:BC$15),1)</f>
        <v>0</v>
      </c>
      <c s="125">
        <f>Предпосылки!BC$228*Предпосылки!$D262*Продажи!BD27*BD$19*(1+Чувствительность!$D$20)*IFERROR(LOOKUP(Предпосылки!$H$201,$C$13:$C$15,BD$13:BD$15),1)</f>
        <v>0</v>
      </c>
      <c s="125">
        <f>Предпосылки!BD$228*Предпосылки!$D262*Продажи!BE27*BE$19*(1+Чувствительность!$D$20)*IFERROR(LOOKUP(Предпосылки!$H$201,$C$13:$C$15,BE$13:BE$15),1)</f>
        <v>0</v>
      </c>
      <c s="125">
        <f>Предпосылки!BE$228*Предпосылки!$D262*Продажи!BF27*BF$19*(1+Чувствительность!$D$20)*IFERROR(LOOKUP(Предпосылки!$H$201,$C$13:$C$15,BF$13:BF$15),1)</f>
        <v>0</v>
      </c>
      <c s="125">
        <f>Предпосылки!BF$228*Предпосылки!$D262*Продажи!BG27*BG$19*(1+Чувствительность!$D$20)*IFERROR(LOOKUP(Предпосылки!$H$201,$C$13:$C$15,BG$13:BG$15),1)</f>
        <v>0</v>
      </c>
      <c s="125">
        <f>Предпосылки!BG$228*Предпосылки!$D262*Продажи!BH27*BH$19*(1+Чувствительность!$D$20)*IFERROR(LOOKUP(Предпосылки!$H$201,$C$13:$C$15,BH$13:BH$15),1)</f>
        <v>0</v>
      </c>
      <c s="125">
        <f>Предпосылки!BH$228*Предпосылки!$D262*Продажи!BI27*BI$19*(1+Чувствительность!$D$20)*IFERROR(LOOKUP(Предпосылки!$H$201,$C$13:$C$15,BI$13:BI$15),1)</f>
        <v>0</v>
      </c>
      <c s="125">
        <f>Предпосылки!BI$228*Предпосылки!$D262*Продажи!BJ27*BJ$19*(1+Чувствительность!$D$20)*IFERROR(LOOKUP(Предпосылки!$H$201,$C$13:$C$15,BJ$13:BJ$15),1)</f>
        <v>0</v>
      </c>
      <c s="125">
        <f>Предпосылки!BJ$228*Предпосылки!$D262*Продажи!BK27*BK$19*(1+Чувствительность!$D$20)*IFERROR(LOOKUP(Предпосылки!$H$201,$C$13:$C$15,BK$13:BK$15),1)</f>
        <v>0</v>
      </c>
      <c s="125">
        <f>Предпосылки!BK$228*Предпосылки!$D262*Продажи!BL27*BL$19*(1+Чувствительность!$D$20)*IFERROR(LOOKUP(Предпосылки!$H$201,$C$13:$C$15,BL$13:BL$15),1)</f>
        <v>0</v>
      </c>
      <c s="125">
        <f>Предпосылки!BL$228*Предпосылки!$D262*Продажи!BM27*BM$19*(1+Чувствительность!$D$20)*IFERROR(LOOKUP(Предпосылки!$H$201,$C$13:$C$15,BM$13:BM$15),1)</f>
        <v>0</v>
      </c>
    </row>
    <row r="33" spans="2:65" ht="15" customHeight="1">
      <c r="B33" s="12" t="str">
        <f>Предпосылки!B160</f>
        <v>Продукт 11</v>
      </c>
      <c s="124" t="str">
        <f t="shared" si="61"/>
        <v>тыс. руб.</v>
      </c>
      <c s="276">
        <f t="shared" si="62"/>
        <v>0</v>
      </c>
      <c s="125">
        <f>Предпосылки!D$228*Предпосылки!$D263*Продажи!E28*E$19*(1+Чувствительность!$D$20)*IFERROR(LOOKUP(Предпосылки!$H$201,$C$13:$C$15,E$13:E$15),1)</f>
        <v>0</v>
      </c>
      <c s="125">
        <f>Предпосылки!E$228*Предпосылки!$D263*Продажи!F28*F$19*(1+Чувствительность!$D$20)*IFERROR(LOOKUP(Предпосылки!$H$201,$C$13:$C$15,F$13:F$15),1)</f>
        <v>0</v>
      </c>
      <c s="125">
        <f>Предпосылки!F$228*Предпосылки!$D263*Продажи!G28*G$19*(1+Чувствительность!$D$20)*IFERROR(LOOKUP(Предпосылки!$H$201,$C$13:$C$15,G$13:G$15),1)</f>
        <v>0</v>
      </c>
      <c s="125">
        <f>Предпосылки!G$228*Предпосылки!$D263*Продажи!H28*H$19*(1+Чувствительность!$D$20)*IFERROR(LOOKUP(Предпосылки!$H$201,$C$13:$C$15,H$13:H$15),1)</f>
        <v>0</v>
      </c>
      <c s="125">
        <f>Предпосылки!H$228*Предпосылки!$D263*Продажи!I28*I$19*(1+Чувствительность!$D$20)*IFERROR(LOOKUP(Предпосылки!$H$201,$C$13:$C$15,I$13:I$15),1)</f>
        <v>0</v>
      </c>
      <c s="125">
        <f>Предпосылки!I$228*Предпосылки!$D263*Продажи!J28*J$19*(1+Чувствительность!$D$20)*IFERROR(LOOKUP(Предпосылки!$H$201,$C$13:$C$15,J$13:J$15),1)</f>
        <v>0</v>
      </c>
      <c s="125">
        <f>Предпосылки!J$228*Предпосылки!$D263*Продажи!K28*K$19*(1+Чувствительность!$D$20)*IFERROR(LOOKUP(Предпосылки!$H$201,$C$13:$C$15,K$13:K$15),1)</f>
        <v>0</v>
      </c>
      <c s="125">
        <f>Предпосылки!K$228*Предпосылки!$D263*Продажи!L28*L$19*(1+Чувствительность!$D$20)*IFERROR(LOOKUP(Предпосылки!$H$201,$C$13:$C$15,L$13:L$15),1)</f>
        <v>0</v>
      </c>
      <c s="125">
        <f>Предпосылки!L$228*Предпосылки!$D263*Продажи!M28*M$19*(1+Чувствительность!$D$20)*IFERROR(LOOKUP(Предпосылки!$H$201,$C$13:$C$15,M$13:M$15),1)</f>
        <v>0</v>
      </c>
      <c s="125">
        <f>Предпосылки!M$228*Предпосылки!$D263*Продажи!N28*N$19*(1+Чувствительность!$D$20)*IFERROR(LOOKUP(Предпосылки!$H$201,$C$13:$C$15,N$13:N$15),1)</f>
        <v>0</v>
      </c>
      <c s="125">
        <f>Предпосылки!N$228*Предпосылки!$D263*Продажи!O28*O$19*(1+Чувствительность!$D$20)*IFERROR(LOOKUP(Предпосылки!$H$201,$C$13:$C$15,O$13:O$15),1)</f>
        <v>0</v>
      </c>
      <c s="125">
        <f>Предпосылки!O$228*Предпосылки!$D263*Продажи!P28*P$19*(1+Чувствительность!$D$20)*IFERROR(LOOKUP(Предпосылки!$H$201,$C$13:$C$15,P$13:P$15),1)</f>
        <v>0</v>
      </c>
      <c s="125">
        <f>Предпосылки!P$228*Предпосылки!$D263*Продажи!Q28*Q$19*(1+Чувствительность!$D$20)*IFERROR(LOOKUP(Предпосылки!$H$201,$C$13:$C$15,Q$13:Q$15),1)</f>
        <v>0</v>
      </c>
      <c s="125">
        <f>Предпосылки!Q$228*Предпосылки!$D263*Продажи!R28*R$19*(1+Чувствительность!$D$20)*IFERROR(LOOKUP(Предпосылки!$H$201,$C$13:$C$15,R$13:R$15),1)</f>
        <v>0</v>
      </c>
      <c s="125">
        <f>Предпосылки!R$228*Предпосылки!$D263*Продажи!S28*S$19*(1+Чувствительность!$D$20)*IFERROR(LOOKUP(Предпосылки!$H$201,$C$13:$C$15,S$13:S$15),1)</f>
        <v>0</v>
      </c>
      <c s="125">
        <f>Предпосылки!S$228*Предпосылки!$D263*Продажи!T28*T$19*(1+Чувствительность!$D$20)*IFERROR(LOOKUP(Предпосылки!$H$201,$C$13:$C$15,T$13:T$15),1)</f>
        <v>0</v>
      </c>
      <c s="125">
        <f>Предпосылки!T$228*Предпосылки!$D263*Продажи!U28*U$19*(1+Чувствительность!$D$20)*IFERROR(LOOKUP(Предпосылки!$H$201,$C$13:$C$15,U$13:U$15),1)</f>
        <v>0</v>
      </c>
      <c s="125">
        <f>Предпосылки!U$228*Предпосылки!$D263*Продажи!V28*V$19*(1+Чувствительность!$D$20)*IFERROR(LOOKUP(Предпосылки!$H$201,$C$13:$C$15,V$13:V$15),1)</f>
        <v>0</v>
      </c>
      <c s="125">
        <f>Предпосылки!V$228*Предпосылки!$D263*Продажи!W28*W$19*(1+Чувствительность!$D$20)*IFERROR(LOOKUP(Предпосылки!$H$201,$C$13:$C$15,W$13:W$15),1)</f>
        <v>0</v>
      </c>
      <c s="125">
        <f>Предпосылки!W$228*Предпосылки!$D263*Продажи!X28*X$19*(1+Чувствительность!$D$20)*IFERROR(LOOKUP(Предпосылки!$H$201,$C$13:$C$15,X$13:X$15),1)</f>
        <v>0</v>
      </c>
      <c s="125">
        <f>Предпосылки!X$228*Предпосылки!$D263*Продажи!Y28*Y$19*(1+Чувствительность!$D$20)*IFERROR(LOOKUP(Предпосылки!$H$201,$C$13:$C$15,Y$13:Y$15),1)</f>
        <v>0</v>
      </c>
      <c s="125">
        <f>Предпосылки!Y$228*Предпосылки!$D263*Продажи!Z28*Z$19*(1+Чувствительность!$D$20)*IFERROR(LOOKUP(Предпосылки!$H$201,$C$13:$C$15,Z$13:Z$15),1)</f>
        <v>0</v>
      </c>
      <c s="125">
        <f>Предпосылки!Z$228*Предпосылки!$D263*Продажи!AA28*AA$19*(1+Чувствительность!$D$20)*IFERROR(LOOKUP(Предпосылки!$H$201,$C$13:$C$15,AA$13:AA$15),1)</f>
        <v>0</v>
      </c>
      <c s="125">
        <f>Предпосылки!AA$228*Предпосылки!$D263*Продажи!AB28*AB$19*(1+Чувствительность!$D$20)*IFERROR(LOOKUP(Предпосылки!$H$201,$C$13:$C$15,AB$13:AB$15),1)</f>
        <v>0</v>
      </c>
      <c s="125">
        <f>Предпосылки!AB$228*Предпосылки!$D263*Продажи!AC28*AC$19*(1+Чувствительность!$D$20)*IFERROR(LOOKUP(Предпосылки!$H$201,$C$13:$C$15,AC$13:AC$15),1)</f>
        <v>0</v>
      </c>
      <c s="125">
        <f>Предпосылки!AC$228*Предпосылки!$D263*Продажи!AD28*AD$19*(1+Чувствительность!$D$20)*IFERROR(LOOKUP(Предпосылки!$H$201,$C$13:$C$15,AD$13:AD$15),1)</f>
        <v>0</v>
      </c>
      <c s="125">
        <f>Предпосылки!AD$228*Предпосылки!$D263*Продажи!AE28*AE$19*(1+Чувствительность!$D$20)*IFERROR(LOOKUP(Предпосылки!$H$201,$C$13:$C$15,AE$13:AE$15),1)</f>
        <v>0</v>
      </c>
      <c s="125">
        <f>Предпосылки!AE$228*Предпосылки!$D263*Продажи!AF28*AF$19*(1+Чувствительность!$D$20)*IFERROR(LOOKUP(Предпосылки!$H$201,$C$13:$C$15,AF$13:AF$15),1)</f>
        <v>0</v>
      </c>
      <c s="125">
        <f>Предпосылки!AF$228*Предпосылки!$D263*Продажи!AG28*AG$19*(1+Чувствительность!$D$20)*IFERROR(LOOKUP(Предпосылки!$H$201,$C$13:$C$15,AG$13:AG$15),1)</f>
        <v>0</v>
      </c>
      <c s="125">
        <f>Предпосылки!AG$228*Предпосылки!$D263*Продажи!AH28*AH$19*(1+Чувствительность!$D$20)*IFERROR(LOOKUP(Предпосылки!$H$201,$C$13:$C$15,AH$13:AH$15),1)</f>
        <v>0</v>
      </c>
      <c s="125">
        <f>Предпосылки!AH$228*Предпосылки!$D263*Продажи!AI28*AI$19*(1+Чувствительность!$D$20)*IFERROR(LOOKUP(Предпосылки!$H$201,$C$13:$C$15,AI$13:AI$15),1)</f>
        <v>0</v>
      </c>
      <c s="125">
        <f>Предпосылки!AI$228*Предпосылки!$D263*Продажи!AJ28*AJ$19*(1+Чувствительность!$D$20)*IFERROR(LOOKUP(Предпосылки!$H$201,$C$13:$C$15,AJ$13:AJ$15),1)</f>
        <v>0</v>
      </c>
      <c s="125">
        <f>Предпосылки!AJ$228*Предпосылки!$D263*Продажи!AK28*AK$19*(1+Чувствительность!$D$20)*IFERROR(LOOKUP(Предпосылки!$H$201,$C$13:$C$15,AK$13:AK$15),1)</f>
        <v>0</v>
      </c>
      <c s="125">
        <f>Предпосылки!AK$228*Предпосылки!$D263*Продажи!AL28*AL$19*(1+Чувствительность!$D$20)*IFERROR(LOOKUP(Предпосылки!$H$201,$C$13:$C$15,AL$13:AL$15),1)</f>
        <v>0</v>
      </c>
      <c s="125">
        <f>Предпосылки!AL$228*Предпосылки!$D263*Продажи!AM28*AM$19*(1+Чувствительность!$D$20)*IFERROR(LOOKUP(Предпосылки!$H$201,$C$13:$C$15,AM$13:AM$15),1)</f>
        <v>0</v>
      </c>
      <c s="125">
        <f>Предпосылки!AM$228*Предпосылки!$D263*Продажи!AN28*AN$19*(1+Чувствительность!$D$20)*IFERROR(LOOKUP(Предпосылки!$H$201,$C$13:$C$15,AN$13:AN$15),1)</f>
        <v>0</v>
      </c>
      <c s="125">
        <f>Предпосылки!AN$228*Предпосылки!$D263*Продажи!AO28*AO$19*(1+Чувствительность!$D$20)*IFERROR(LOOKUP(Предпосылки!$H$201,$C$13:$C$15,AO$13:AO$15),1)</f>
        <v>0</v>
      </c>
      <c s="125">
        <f>Предпосылки!AO$228*Предпосылки!$D263*Продажи!AP28*AP$19*(1+Чувствительность!$D$20)*IFERROR(LOOKUP(Предпосылки!$H$201,$C$13:$C$15,AP$13:AP$15),1)</f>
        <v>0</v>
      </c>
      <c s="125">
        <f>Предпосылки!AP$228*Предпосылки!$D263*Продажи!AQ28*AQ$19*(1+Чувствительность!$D$20)*IFERROR(LOOKUP(Предпосылки!$H$201,$C$13:$C$15,AQ$13:AQ$15),1)</f>
        <v>0</v>
      </c>
      <c s="125">
        <f>Предпосылки!AQ$228*Предпосылки!$D263*Продажи!AR28*AR$19*(1+Чувствительность!$D$20)*IFERROR(LOOKUP(Предпосылки!$H$201,$C$13:$C$15,AR$13:AR$15),1)</f>
        <v>0</v>
      </c>
      <c s="125">
        <f>Предпосылки!AR$228*Предпосылки!$D263*Продажи!AS28*AS$19*(1+Чувствительность!$D$20)*IFERROR(LOOKUP(Предпосылки!$H$201,$C$13:$C$15,AS$13:AS$15),1)</f>
        <v>0</v>
      </c>
      <c s="125">
        <f>Предпосылки!AS$228*Предпосылки!$D263*Продажи!AT28*AT$19*(1+Чувствительность!$D$20)*IFERROR(LOOKUP(Предпосылки!$H$201,$C$13:$C$15,AT$13:AT$15),1)</f>
        <v>0</v>
      </c>
      <c s="125">
        <f>Предпосылки!AT$228*Предпосылки!$D263*Продажи!AU28*AU$19*(1+Чувствительность!$D$20)*IFERROR(LOOKUP(Предпосылки!$H$201,$C$13:$C$15,AU$13:AU$15),1)</f>
        <v>0</v>
      </c>
      <c s="125">
        <f>Предпосылки!AU$228*Предпосылки!$D263*Продажи!AV28*AV$19*(1+Чувствительность!$D$20)*IFERROR(LOOKUP(Предпосылки!$H$201,$C$13:$C$15,AV$13:AV$15),1)</f>
        <v>0</v>
      </c>
      <c s="125">
        <f>Предпосылки!AV$228*Предпосылки!$D263*Продажи!AW28*AW$19*(1+Чувствительность!$D$20)*IFERROR(LOOKUP(Предпосылки!$H$201,$C$13:$C$15,AW$13:AW$15),1)</f>
        <v>0</v>
      </c>
      <c s="125">
        <f>Предпосылки!AW$228*Предпосылки!$D263*Продажи!AX28*AX$19*(1+Чувствительность!$D$20)*IFERROR(LOOKUP(Предпосылки!$H$201,$C$13:$C$15,AX$13:AX$15),1)</f>
        <v>0</v>
      </c>
      <c s="125">
        <f>Предпосылки!AX$228*Предпосылки!$D263*Продажи!AY28*AY$19*(1+Чувствительность!$D$20)*IFERROR(LOOKUP(Предпосылки!$H$201,$C$13:$C$15,AY$13:AY$15),1)</f>
        <v>0</v>
      </c>
      <c s="125">
        <f>Предпосылки!AY$228*Предпосылки!$D263*Продажи!AZ28*AZ$19*(1+Чувствительность!$D$20)*IFERROR(LOOKUP(Предпосылки!$H$201,$C$13:$C$15,AZ$13:AZ$15),1)</f>
        <v>0</v>
      </c>
      <c s="125">
        <f>Предпосылки!AZ$228*Предпосылки!$D263*Продажи!BA28*BA$19*(1+Чувствительность!$D$20)*IFERROR(LOOKUP(Предпосылки!$H$201,$C$13:$C$15,BA$13:BA$15),1)</f>
        <v>0</v>
      </c>
      <c s="125">
        <f>Предпосылки!BA$228*Предпосылки!$D263*Продажи!BB28*BB$19*(1+Чувствительность!$D$20)*IFERROR(LOOKUP(Предпосылки!$H$201,$C$13:$C$15,BB$13:BB$15),1)</f>
        <v>0</v>
      </c>
      <c s="125">
        <f>Предпосылки!BB$228*Предпосылки!$D263*Продажи!BC28*BC$19*(1+Чувствительность!$D$20)*IFERROR(LOOKUP(Предпосылки!$H$201,$C$13:$C$15,BC$13:BC$15),1)</f>
        <v>0</v>
      </c>
      <c s="125">
        <f>Предпосылки!BC$228*Предпосылки!$D263*Продажи!BD28*BD$19*(1+Чувствительность!$D$20)*IFERROR(LOOKUP(Предпосылки!$H$201,$C$13:$C$15,BD$13:BD$15),1)</f>
        <v>0</v>
      </c>
      <c s="125">
        <f>Предпосылки!BD$228*Предпосылки!$D263*Продажи!BE28*BE$19*(1+Чувствительность!$D$20)*IFERROR(LOOKUP(Предпосылки!$H$201,$C$13:$C$15,BE$13:BE$15),1)</f>
        <v>0</v>
      </c>
      <c s="125">
        <f>Предпосылки!BE$228*Предпосылки!$D263*Продажи!BF28*BF$19*(1+Чувствительность!$D$20)*IFERROR(LOOKUP(Предпосылки!$H$201,$C$13:$C$15,BF$13:BF$15),1)</f>
        <v>0</v>
      </c>
      <c s="125">
        <f>Предпосылки!BF$228*Предпосылки!$D263*Продажи!BG28*BG$19*(1+Чувствительность!$D$20)*IFERROR(LOOKUP(Предпосылки!$H$201,$C$13:$C$15,BG$13:BG$15),1)</f>
        <v>0</v>
      </c>
      <c s="125">
        <f>Предпосылки!BG$228*Предпосылки!$D263*Продажи!BH28*BH$19*(1+Чувствительность!$D$20)*IFERROR(LOOKUP(Предпосылки!$H$201,$C$13:$C$15,BH$13:BH$15),1)</f>
        <v>0</v>
      </c>
      <c s="125">
        <f>Предпосылки!BH$228*Предпосылки!$D263*Продажи!BI28*BI$19*(1+Чувствительность!$D$20)*IFERROR(LOOKUP(Предпосылки!$H$201,$C$13:$C$15,BI$13:BI$15),1)</f>
        <v>0</v>
      </c>
      <c s="125">
        <f>Предпосылки!BI$228*Предпосылки!$D263*Продажи!BJ28*BJ$19*(1+Чувствительность!$D$20)*IFERROR(LOOKUP(Предпосылки!$H$201,$C$13:$C$15,BJ$13:BJ$15),1)</f>
        <v>0</v>
      </c>
      <c s="125">
        <f>Предпосылки!BJ$228*Предпосылки!$D263*Продажи!BK28*BK$19*(1+Чувствительность!$D$20)*IFERROR(LOOKUP(Предпосылки!$H$201,$C$13:$C$15,BK$13:BK$15),1)</f>
        <v>0</v>
      </c>
      <c s="125">
        <f>Предпосылки!BK$228*Предпосылки!$D263*Продажи!BL28*BL$19*(1+Чувствительность!$D$20)*IFERROR(LOOKUP(Предпосылки!$H$201,$C$13:$C$15,BL$13:BL$15),1)</f>
        <v>0</v>
      </c>
      <c s="125">
        <f>Предпосылки!BL$228*Предпосылки!$D263*Продажи!BM28*BM$19*(1+Чувствительность!$D$20)*IFERROR(LOOKUP(Предпосылки!$H$201,$C$13:$C$15,BM$13:BM$15),1)</f>
        <v>0</v>
      </c>
    </row>
    <row r="34" spans="2:65" ht="15" customHeight="1">
      <c r="B34" s="12" t="str">
        <f>Предпосылки!B161</f>
        <v>Продукт 12</v>
      </c>
      <c s="124" t="str">
        <f t="shared" si="61"/>
        <v>тыс. руб.</v>
      </c>
      <c s="276">
        <f t="shared" si="62"/>
        <v>0</v>
      </c>
      <c s="125">
        <f>Предпосылки!D$228*Предпосылки!$D264*Продажи!E29*E$19*(1+Чувствительность!$D$20)*IFERROR(LOOKUP(Предпосылки!$H$201,$C$13:$C$15,E$13:E$15),1)</f>
        <v>0</v>
      </c>
      <c s="125">
        <f>Предпосылки!E$228*Предпосылки!$D264*Продажи!F29*F$19*(1+Чувствительность!$D$20)*IFERROR(LOOKUP(Предпосылки!$H$201,$C$13:$C$15,F$13:F$15),1)</f>
        <v>0</v>
      </c>
      <c s="125">
        <f>Предпосылки!F$228*Предпосылки!$D264*Продажи!G29*G$19*(1+Чувствительность!$D$20)*IFERROR(LOOKUP(Предпосылки!$H$201,$C$13:$C$15,G$13:G$15),1)</f>
        <v>0</v>
      </c>
      <c s="125">
        <f>Предпосылки!G$228*Предпосылки!$D264*Продажи!H29*H$19*(1+Чувствительность!$D$20)*IFERROR(LOOKUP(Предпосылки!$H$201,$C$13:$C$15,H$13:H$15),1)</f>
        <v>0</v>
      </c>
      <c s="125">
        <f>Предпосылки!H$228*Предпосылки!$D264*Продажи!I29*I$19*(1+Чувствительность!$D$20)*IFERROR(LOOKUP(Предпосылки!$H$201,$C$13:$C$15,I$13:I$15),1)</f>
        <v>0</v>
      </c>
      <c s="125">
        <f>Предпосылки!I$228*Предпосылки!$D264*Продажи!J29*J$19*(1+Чувствительность!$D$20)*IFERROR(LOOKUP(Предпосылки!$H$201,$C$13:$C$15,J$13:J$15),1)</f>
        <v>0</v>
      </c>
      <c s="125">
        <f>Предпосылки!J$228*Предпосылки!$D264*Продажи!K29*K$19*(1+Чувствительность!$D$20)*IFERROR(LOOKUP(Предпосылки!$H$201,$C$13:$C$15,K$13:K$15),1)</f>
        <v>0</v>
      </c>
      <c s="125">
        <f>Предпосылки!K$228*Предпосылки!$D264*Продажи!L29*L$19*(1+Чувствительность!$D$20)*IFERROR(LOOKUP(Предпосылки!$H$201,$C$13:$C$15,L$13:L$15),1)</f>
        <v>0</v>
      </c>
      <c s="125">
        <f>Предпосылки!L$228*Предпосылки!$D264*Продажи!M29*M$19*(1+Чувствительность!$D$20)*IFERROR(LOOKUP(Предпосылки!$H$201,$C$13:$C$15,M$13:M$15),1)</f>
        <v>0</v>
      </c>
      <c s="125">
        <f>Предпосылки!M$228*Предпосылки!$D264*Продажи!N29*N$19*(1+Чувствительность!$D$20)*IFERROR(LOOKUP(Предпосылки!$H$201,$C$13:$C$15,N$13:N$15),1)</f>
        <v>0</v>
      </c>
      <c s="125">
        <f>Предпосылки!N$228*Предпосылки!$D264*Продажи!O29*O$19*(1+Чувствительность!$D$20)*IFERROR(LOOKUP(Предпосылки!$H$201,$C$13:$C$15,O$13:O$15),1)</f>
        <v>0</v>
      </c>
      <c s="125">
        <f>Предпосылки!O$228*Предпосылки!$D264*Продажи!P29*P$19*(1+Чувствительность!$D$20)*IFERROR(LOOKUP(Предпосылки!$H$201,$C$13:$C$15,P$13:P$15),1)</f>
        <v>0</v>
      </c>
      <c s="125">
        <f>Предпосылки!P$228*Предпосылки!$D264*Продажи!Q29*Q$19*(1+Чувствительность!$D$20)*IFERROR(LOOKUP(Предпосылки!$H$201,$C$13:$C$15,Q$13:Q$15),1)</f>
        <v>0</v>
      </c>
      <c s="125">
        <f>Предпосылки!Q$228*Предпосылки!$D264*Продажи!R29*R$19*(1+Чувствительность!$D$20)*IFERROR(LOOKUP(Предпосылки!$H$201,$C$13:$C$15,R$13:R$15),1)</f>
        <v>0</v>
      </c>
      <c s="125">
        <f>Предпосылки!R$228*Предпосылки!$D264*Продажи!S29*S$19*(1+Чувствительность!$D$20)*IFERROR(LOOKUP(Предпосылки!$H$201,$C$13:$C$15,S$13:S$15),1)</f>
        <v>0</v>
      </c>
      <c s="125">
        <f>Предпосылки!S$228*Предпосылки!$D264*Продажи!T29*T$19*(1+Чувствительность!$D$20)*IFERROR(LOOKUP(Предпосылки!$H$201,$C$13:$C$15,T$13:T$15),1)</f>
        <v>0</v>
      </c>
      <c s="125">
        <f>Предпосылки!T$228*Предпосылки!$D264*Продажи!U29*U$19*(1+Чувствительность!$D$20)*IFERROR(LOOKUP(Предпосылки!$H$201,$C$13:$C$15,U$13:U$15),1)</f>
        <v>0</v>
      </c>
      <c s="125">
        <f>Предпосылки!U$228*Предпосылки!$D264*Продажи!V29*V$19*(1+Чувствительность!$D$20)*IFERROR(LOOKUP(Предпосылки!$H$201,$C$13:$C$15,V$13:V$15),1)</f>
        <v>0</v>
      </c>
      <c s="125">
        <f>Предпосылки!V$228*Предпосылки!$D264*Продажи!W29*W$19*(1+Чувствительность!$D$20)*IFERROR(LOOKUP(Предпосылки!$H$201,$C$13:$C$15,W$13:W$15),1)</f>
        <v>0</v>
      </c>
      <c s="125">
        <f>Предпосылки!W$228*Предпосылки!$D264*Продажи!X29*X$19*(1+Чувствительность!$D$20)*IFERROR(LOOKUP(Предпосылки!$H$201,$C$13:$C$15,X$13:X$15),1)</f>
        <v>0</v>
      </c>
      <c s="125">
        <f>Предпосылки!X$228*Предпосылки!$D264*Продажи!Y29*Y$19*(1+Чувствительность!$D$20)*IFERROR(LOOKUP(Предпосылки!$H$201,$C$13:$C$15,Y$13:Y$15),1)</f>
        <v>0</v>
      </c>
      <c s="125">
        <f>Предпосылки!Y$228*Предпосылки!$D264*Продажи!Z29*Z$19*(1+Чувствительность!$D$20)*IFERROR(LOOKUP(Предпосылки!$H$201,$C$13:$C$15,Z$13:Z$15),1)</f>
        <v>0</v>
      </c>
      <c s="125">
        <f>Предпосылки!Z$228*Предпосылки!$D264*Продажи!AA29*AA$19*(1+Чувствительность!$D$20)*IFERROR(LOOKUP(Предпосылки!$H$201,$C$13:$C$15,AA$13:AA$15),1)</f>
        <v>0</v>
      </c>
      <c s="125">
        <f>Предпосылки!AA$228*Предпосылки!$D264*Продажи!AB29*AB$19*(1+Чувствительность!$D$20)*IFERROR(LOOKUP(Предпосылки!$H$201,$C$13:$C$15,AB$13:AB$15),1)</f>
        <v>0</v>
      </c>
      <c s="125">
        <f>Предпосылки!AB$228*Предпосылки!$D264*Продажи!AC29*AC$19*(1+Чувствительность!$D$20)*IFERROR(LOOKUP(Предпосылки!$H$201,$C$13:$C$15,AC$13:AC$15),1)</f>
        <v>0</v>
      </c>
      <c s="125">
        <f>Предпосылки!AC$228*Предпосылки!$D264*Продажи!AD29*AD$19*(1+Чувствительность!$D$20)*IFERROR(LOOKUP(Предпосылки!$H$201,$C$13:$C$15,AD$13:AD$15),1)</f>
        <v>0</v>
      </c>
      <c s="125">
        <f>Предпосылки!AD$228*Предпосылки!$D264*Продажи!AE29*AE$19*(1+Чувствительность!$D$20)*IFERROR(LOOKUP(Предпосылки!$H$201,$C$13:$C$15,AE$13:AE$15),1)</f>
        <v>0</v>
      </c>
      <c s="125">
        <f>Предпосылки!AE$228*Предпосылки!$D264*Продажи!AF29*AF$19*(1+Чувствительность!$D$20)*IFERROR(LOOKUP(Предпосылки!$H$201,$C$13:$C$15,AF$13:AF$15),1)</f>
        <v>0</v>
      </c>
      <c s="125">
        <f>Предпосылки!AF$228*Предпосылки!$D264*Продажи!AG29*AG$19*(1+Чувствительность!$D$20)*IFERROR(LOOKUP(Предпосылки!$H$201,$C$13:$C$15,AG$13:AG$15),1)</f>
        <v>0</v>
      </c>
      <c s="125">
        <f>Предпосылки!AG$228*Предпосылки!$D264*Продажи!AH29*AH$19*(1+Чувствительность!$D$20)*IFERROR(LOOKUP(Предпосылки!$H$201,$C$13:$C$15,AH$13:AH$15),1)</f>
        <v>0</v>
      </c>
      <c s="125">
        <f>Предпосылки!AH$228*Предпосылки!$D264*Продажи!AI29*AI$19*(1+Чувствительность!$D$20)*IFERROR(LOOKUP(Предпосылки!$H$201,$C$13:$C$15,AI$13:AI$15),1)</f>
        <v>0</v>
      </c>
      <c s="125">
        <f>Предпосылки!AI$228*Предпосылки!$D264*Продажи!AJ29*AJ$19*(1+Чувствительность!$D$20)*IFERROR(LOOKUP(Предпосылки!$H$201,$C$13:$C$15,AJ$13:AJ$15),1)</f>
        <v>0</v>
      </c>
      <c s="125">
        <f>Предпосылки!AJ$228*Предпосылки!$D264*Продажи!AK29*AK$19*(1+Чувствительность!$D$20)*IFERROR(LOOKUP(Предпосылки!$H$201,$C$13:$C$15,AK$13:AK$15),1)</f>
        <v>0</v>
      </c>
      <c s="125">
        <f>Предпосылки!AK$228*Предпосылки!$D264*Продажи!AL29*AL$19*(1+Чувствительность!$D$20)*IFERROR(LOOKUP(Предпосылки!$H$201,$C$13:$C$15,AL$13:AL$15),1)</f>
        <v>0</v>
      </c>
      <c s="125">
        <f>Предпосылки!AL$228*Предпосылки!$D264*Продажи!AM29*AM$19*(1+Чувствительность!$D$20)*IFERROR(LOOKUP(Предпосылки!$H$201,$C$13:$C$15,AM$13:AM$15),1)</f>
        <v>0</v>
      </c>
      <c s="125">
        <f>Предпосылки!AM$228*Предпосылки!$D264*Продажи!AN29*AN$19*(1+Чувствительность!$D$20)*IFERROR(LOOKUP(Предпосылки!$H$201,$C$13:$C$15,AN$13:AN$15),1)</f>
        <v>0</v>
      </c>
      <c s="125">
        <f>Предпосылки!AN$228*Предпосылки!$D264*Продажи!AO29*AO$19*(1+Чувствительность!$D$20)*IFERROR(LOOKUP(Предпосылки!$H$201,$C$13:$C$15,AO$13:AO$15),1)</f>
        <v>0</v>
      </c>
      <c s="125">
        <f>Предпосылки!AO$228*Предпосылки!$D264*Продажи!AP29*AP$19*(1+Чувствительность!$D$20)*IFERROR(LOOKUP(Предпосылки!$H$201,$C$13:$C$15,AP$13:AP$15),1)</f>
        <v>0</v>
      </c>
      <c s="125">
        <f>Предпосылки!AP$228*Предпосылки!$D264*Продажи!AQ29*AQ$19*(1+Чувствительность!$D$20)*IFERROR(LOOKUP(Предпосылки!$H$201,$C$13:$C$15,AQ$13:AQ$15),1)</f>
        <v>0</v>
      </c>
      <c s="125">
        <f>Предпосылки!AQ$228*Предпосылки!$D264*Продажи!AR29*AR$19*(1+Чувствительность!$D$20)*IFERROR(LOOKUP(Предпосылки!$H$201,$C$13:$C$15,AR$13:AR$15),1)</f>
        <v>0</v>
      </c>
      <c s="125">
        <f>Предпосылки!AR$228*Предпосылки!$D264*Продажи!AS29*AS$19*(1+Чувствительность!$D$20)*IFERROR(LOOKUP(Предпосылки!$H$201,$C$13:$C$15,AS$13:AS$15),1)</f>
        <v>0</v>
      </c>
      <c s="125">
        <f>Предпосылки!AS$228*Предпосылки!$D264*Продажи!AT29*AT$19*(1+Чувствительность!$D$20)*IFERROR(LOOKUP(Предпосылки!$H$201,$C$13:$C$15,AT$13:AT$15),1)</f>
        <v>0</v>
      </c>
      <c s="125">
        <f>Предпосылки!AT$228*Предпосылки!$D264*Продажи!AU29*AU$19*(1+Чувствительность!$D$20)*IFERROR(LOOKUP(Предпосылки!$H$201,$C$13:$C$15,AU$13:AU$15),1)</f>
        <v>0</v>
      </c>
      <c s="125">
        <f>Предпосылки!AU$228*Предпосылки!$D264*Продажи!AV29*AV$19*(1+Чувствительность!$D$20)*IFERROR(LOOKUP(Предпосылки!$H$201,$C$13:$C$15,AV$13:AV$15),1)</f>
        <v>0</v>
      </c>
      <c s="125">
        <f>Предпосылки!AV$228*Предпосылки!$D264*Продажи!AW29*AW$19*(1+Чувствительность!$D$20)*IFERROR(LOOKUP(Предпосылки!$H$201,$C$13:$C$15,AW$13:AW$15),1)</f>
        <v>0</v>
      </c>
      <c s="125">
        <f>Предпосылки!AW$228*Предпосылки!$D264*Продажи!AX29*AX$19*(1+Чувствительность!$D$20)*IFERROR(LOOKUP(Предпосылки!$H$201,$C$13:$C$15,AX$13:AX$15),1)</f>
        <v>0</v>
      </c>
      <c s="125">
        <f>Предпосылки!AX$228*Предпосылки!$D264*Продажи!AY29*AY$19*(1+Чувствительность!$D$20)*IFERROR(LOOKUP(Предпосылки!$H$201,$C$13:$C$15,AY$13:AY$15),1)</f>
        <v>0</v>
      </c>
      <c s="125">
        <f>Предпосылки!AY$228*Предпосылки!$D264*Продажи!AZ29*AZ$19*(1+Чувствительность!$D$20)*IFERROR(LOOKUP(Предпосылки!$H$201,$C$13:$C$15,AZ$13:AZ$15),1)</f>
        <v>0</v>
      </c>
      <c s="125">
        <f>Предпосылки!AZ$228*Предпосылки!$D264*Продажи!BA29*BA$19*(1+Чувствительность!$D$20)*IFERROR(LOOKUP(Предпосылки!$H$201,$C$13:$C$15,BA$13:BA$15),1)</f>
        <v>0</v>
      </c>
      <c s="125">
        <f>Предпосылки!BA$228*Предпосылки!$D264*Продажи!BB29*BB$19*(1+Чувствительность!$D$20)*IFERROR(LOOKUP(Предпосылки!$H$201,$C$13:$C$15,BB$13:BB$15),1)</f>
        <v>0</v>
      </c>
      <c s="125">
        <f>Предпосылки!BB$228*Предпосылки!$D264*Продажи!BC29*BC$19*(1+Чувствительность!$D$20)*IFERROR(LOOKUP(Предпосылки!$H$201,$C$13:$C$15,BC$13:BC$15),1)</f>
        <v>0</v>
      </c>
      <c s="125">
        <f>Предпосылки!BC$228*Предпосылки!$D264*Продажи!BD29*BD$19*(1+Чувствительность!$D$20)*IFERROR(LOOKUP(Предпосылки!$H$201,$C$13:$C$15,BD$13:BD$15),1)</f>
        <v>0</v>
      </c>
      <c s="125">
        <f>Предпосылки!BD$228*Предпосылки!$D264*Продажи!BE29*BE$19*(1+Чувствительность!$D$20)*IFERROR(LOOKUP(Предпосылки!$H$201,$C$13:$C$15,BE$13:BE$15),1)</f>
        <v>0</v>
      </c>
      <c s="125">
        <f>Предпосылки!BE$228*Предпосылки!$D264*Продажи!BF29*BF$19*(1+Чувствительность!$D$20)*IFERROR(LOOKUP(Предпосылки!$H$201,$C$13:$C$15,BF$13:BF$15),1)</f>
        <v>0</v>
      </c>
      <c s="125">
        <f>Предпосылки!BF$228*Предпосылки!$D264*Продажи!BG29*BG$19*(1+Чувствительность!$D$20)*IFERROR(LOOKUP(Предпосылки!$H$201,$C$13:$C$15,BG$13:BG$15),1)</f>
        <v>0</v>
      </c>
      <c s="125">
        <f>Предпосылки!BG$228*Предпосылки!$D264*Продажи!BH29*BH$19*(1+Чувствительность!$D$20)*IFERROR(LOOKUP(Предпосылки!$H$201,$C$13:$C$15,BH$13:BH$15),1)</f>
        <v>0</v>
      </c>
      <c s="125">
        <f>Предпосылки!BH$228*Предпосылки!$D264*Продажи!BI29*BI$19*(1+Чувствительность!$D$20)*IFERROR(LOOKUP(Предпосылки!$H$201,$C$13:$C$15,BI$13:BI$15),1)</f>
        <v>0</v>
      </c>
      <c s="125">
        <f>Предпосылки!BI$228*Предпосылки!$D264*Продажи!BJ29*BJ$19*(1+Чувствительность!$D$20)*IFERROR(LOOKUP(Предпосылки!$H$201,$C$13:$C$15,BJ$13:BJ$15),1)</f>
        <v>0</v>
      </c>
      <c s="125">
        <f>Предпосылки!BJ$228*Предпосылки!$D264*Продажи!BK29*BK$19*(1+Чувствительность!$D$20)*IFERROR(LOOKUP(Предпосылки!$H$201,$C$13:$C$15,BK$13:BK$15),1)</f>
        <v>0</v>
      </c>
      <c s="125">
        <f>Предпосылки!BK$228*Предпосылки!$D264*Продажи!BL29*BL$19*(1+Чувствительность!$D$20)*IFERROR(LOOKUP(Предпосылки!$H$201,$C$13:$C$15,BL$13:BL$15),1)</f>
        <v>0</v>
      </c>
      <c s="125">
        <f>Предпосылки!BL$228*Предпосылки!$D264*Продажи!BM29*BM$19*(1+Чувствительность!$D$20)*IFERROR(LOOKUP(Предпосылки!$H$201,$C$13:$C$15,BM$13:BM$15),1)</f>
        <v>0</v>
      </c>
    </row>
    <row r="35" spans="2:65" ht="15" customHeight="1">
      <c r="B35" s="12" t="str">
        <f>Предпосылки!B162</f>
        <v>Продукт 13</v>
      </c>
      <c s="124" t="str">
        <f t="shared" si="61"/>
        <v>тыс. руб.</v>
      </c>
      <c s="276">
        <f t="shared" si="62"/>
        <v>0</v>
      </c>
      <c s="125">
        <f>Предпосылки!D$228*Предпосылки!$D265*Продажи!E30*E$19*(1+Чувствительность!$D$20)*IFERROR(LOOKUP(Предпосылки!$H$201,$C$13:$C$15,E$13:E$15),1)</f>
        <v>0</v>
      </c>
      <c s="125">
        <f>Предпосылки!E$228*Предпосылки!$D265*Продажи!F30*F$19*(1+Чувствительность!$D$20)*IFERROR(LOOKUP(Предпосылки!$H$201,$C$13:$C$15,F$13:F$15),1)</f>
        <v>0</v>
      </c>
      <c s="125">
        <f>Предпосылки!F$228*Предпосылки!$D265*Продажи!G30*G$19*(1+Чувствительность!$D$20)*IFERROR(LOOKUP(Предпосылки!$H$201,$C$13:$C$15,G$13:G$15),1)</f>
        <v>0</v>
      </c>
      <c s="125">
        <f>Предпосылки!G$228*Предпосылки!$D265*Продажи!H30*H$19*(1+Чувствительность!$D$20)*IFERROR(LOOKUP(Предпосылки!$H$201,$C$13:$C$15,H$13:H$15),1)</f>
        <v>0</v>
      </c>
      <c s="125">
        <f>Предпосылки!H$228*Предпосылки!$D265*Продажи!I30*I$19*(1+Чувствительность!$D$20)*IFERROR(LOOKUP(Предпосылки!$H$201,$C$13:$C$15,I$13:I$15),1)</f>
        <v>0</v>
      </c>
      <c s="125">
        <f>Предпосылки!I$228*Предпосылки!$D265*Продажи!J30*J$19*(1+Чувствительность!$D$20)*IFERROR(LOOKUP(Предпосылки!$H$201,$C$13:$C$15,J$13:J$15),1)</f>
        <v>0</v>
      </c>
      <c s="125">
        <f>Предпосылки!J$228*Предпосылки!$D265*Продажи!K30*K$19*(1+Чувствительность!$D$20)*IFERROR(LOOKUP(Предпосылки!$H$201,$C$13:$C$15,K$13:K$15),1)</f>
        <v>0</v>
      </c>
      <c s="125">
        <f>Предпосылки!K$228*Предпосылки!$D265*Продажи!L30*L$19*(1+Чувствительность!$D$20)*IFERROR(LOOKUP(Предпосылки!$H$201,$C$13:$C$15,L$13:L$15),1)</f>
        <v>0</v>
      </c>
      <c s="125">
        <f>Предпосылки!L$228*Предпосылки!$D265*Продажи!M30*M$19*(1+Чувствительность!$D$20)*IFERROR(LOOKUP(Предпосылки!$H$201,$C$13:$C$15,M$13:M$15),1)</f>
        <v>0</v>
      </c>
      <c s="125">
        <f>Предпосылки!M$228*Предпосылки!$D265*Продажи!N30*N$19*(1+Чувствительность!$D$20)*IFERROR(LOOKUP(Предпосылки!$H$201,$C$13:$C$15,N$13:N$15),1)</f>
        <v>0</v>
      </c>
      <c s="125">
        <f>Предпосылки!N$228*Предпосылки!$D265*Продажи!O30*O$19*(1+Чувствительность!$D$20)*IFERROR(LOOKUP(Предпосылки!$H$201,$C$13:$C$15,O$13:O$15),1)</f>
        <v>0</v>
      </c>
      <c s="125">
        <f>Предпосылки!O$228*Предпосылки!$D265*Продажи!P30*P$19*(1+Чувствительность!$D$20)*IFERROR(LOOKUP(Предпосылки!$H$201,$C$13:$C$15,P$13:P$15),1)</f>
        <v>0</v>
      </c>
      <c s="125">
        <f>Предпосылки!P$228*Предпосылки!$D265*Продажи!Q30*Q$19*(1+Чувствительность!$D$20)*IFERROR(LOOKUP(Предпосылки!$H$201,$C$13:$C$15,Q$13:Q$15),1)</f>
        <v>0</v>
      </c>
      <c s="125">
        <f>Предпосылки!Q$228*Предпосылки!$D265*Продажи!R30*R$19*(1+Чувствительность!$D$20)*IFERROR(LOOKUP(Предпосылки!$H$201,$C$13:$C$15,R$13:R$15),1)</f>
        <v>0</v>
      </c>
      <c s="125">
        <f>Предпосылки!R$228*Предпосылки!$D265*Продажи!S30*S$19*(1+Чувствительность!$D$20)*IFERROR(LOOKUP(Предпосылки!$H$201,$C$13:$C$15,S$13:S$15),1)</f>
        <v>0</v>
      </c>
      <c s="125">
        <f>Предпосылки!S$228*Предпосылки!$D265*Продажи!T30*T$19*(1+Чувствительность!$D$20)*IFERROR(LOOKUP(Предпосылки!$H$201,$C$13:$C$15,T$13:T$15),1)</f>
        <v>0</v>
      </c>
      <c s="125">
        <f>Предпосылки!T$228*Предпосылки!$D265*Продажи!U30*U$19*(1+Чувствительность!$D$20)*IFERROR(LOOKUP(Предпосылки!$H$201,$C$13:$C$15,U$13:U$15),1)</f>
        <v>0</v>
      </c>
      <c s="125">
        <f>Предпосылки!U$228*Предпосылки!$D265*Продажи!V30*V$19*(1+Чувствительность!$D$20)*IFERROR(LOOKUP(Предпосылки!$H$201,$C$13:$C$15,V$13:V$15),1)</f>
        <v>0</v>
      </c>
      <c s="125">
        <f>Предпосылки!V$228*Предпосылки!$D265*Продажи!W30*W$19*(1+Чувствительность!$D$20)*IFERROR(LOOKUP(Предпосылки!$H$201,$C$13:$C$15,W$13:W$15),1)</f>
        <v>0</v>
      </c>
      <c s="125">
        <f>Предпосылки!W$228*Предпосылки!$D265*Продажи!X30*X$19*(1+Чувствительность!$D$20)*IFERROR(LOOKUP(Предпосылки!$H$201,$C$13:$C$15,X$13:X$15),1)</f>
        <v>0</v>
      </c>
      <c s="125">
        <f>Предпосылки!X$228*Предпосылки!$D265*Продажи!Y30*Y$19*(1+Чувствительность!$D$20)*IFERROR(LOOKUP(Предпосылки!$H$201,$C$13:$C$15,Y$13:Y$15),1)</f>
        <v>0</v>
      </c>
      <c s="125">
        <f>Предпосылки!Y$228*Предпосылки!$D265*Продажи!Z30*Z$19*(1+Чувствительность!$D$20)*IFERROR(LOOKUP(Предпосылки!$H$201,$C$13:$C$15,Z$13:Z$15),1)</f>
        <v>0</v>
      </c>
      <c s="125">
        <f>Предпосылки!Z$228*Предпосылки!$D265*Продажи!AA30*AA$19*(1+Чувствительность!$D$20)*IFERROR(LOOKUP(Предпосылки!$H$201,$C$13:$C$15,AA$13:AA$15),1)</f>
        <v>0</v>
      </c>
      <c s="125">
        <f>Предпосылки!AA$228*Предпосылки!$D265*Продажи!AB30*AB$19*(1+Чувствительность!$D$20)*IFERROR(LOOKUP(Предпосылки!$H$201,$C$13:$C$15,AB$13:AB$15),1)</f>
        <v>0</v>
      </c>
      <c s="125">
        <f>Предпосылки!AB$228*Предпосылки!$D265*Продажи!AC30*AC$19*(1+Чувствительность!$D$20)*IFERROR(LOOKUP(Предпосылки!$H$201,$C$13:$C$15,AC$13:AC$15),1)</f>
        <v>0</v>
      </c>
      <c s="125">
        <f>Предпосылки!AC$228*Предпосылки!$D265*Продажи!AD30*AD$19*(1+Чувствительность!$D$20)*IFERROR(LOOKUP(Предпосылки!$H$201,$C$13:$C$15,AD$13:AD$15),1)</f>
        <v>0</v>
      </c>
      <c s="125">
        <f>Предпосылки!AD$228*Предпосылки!$D265*Продажи!AE30*AE$19*(1+Чувствительность!$D$20)*IFERROR(LOOKUP(Предпосылки!$H$201,$C$13:$C$15,AE$13:AE$15),1)</f>
        <v>0</v>
      </c>
      <c s="125">
        <f>Предпосылки!AE$228*Предпосылки!$D265*Продажи!AF30*AF$19*(1+Чувствительность!$D$20)*IFERROR(LOOKUP(Предпосылки!$H$201,$C$13:$C$15,AF$13:AF$15),1)</f>
        <v>0</v>
      </c>
      <c s="125">
        <f>Предпосылки!AF$228*Предпосылки!$D265*Продажи!AG30*AG$19*(1+Чувствительность!$D$20)*IFERROR(LOOKUP(Предпосылки!$H$201,$C$13:$C$15,AG$13:AG$15),1)</f>
        <v>0</v>
      </c>
      <c s="125">
        <f>Предпосылки!AG$228*Предпосылки!$D265*Продажи!AH30*AH$19*(1+Чувствительность!$D$20)*IFERROR(LOOKUP(Предпосылки!$H$201,$C$13:$C$15,AH$13:AH$15),1)</f>
        <v>0</v>
      </c>
      <c s="125">
        <f>Предпосылки!AH$228*Предпосылки!$D265*Продажи!AI30*AI$19*(1+Чувствительность!$D$20)*IFERROR(LOOKUP(Предпосылки!$H$201,$C$13:$C$15,AI$13:AI$15),1)</f>
        <v>0</v>
      </c>
      <c s="125">
        <f>Предпосылки!AI$228*Предпосылки!$D265*Продажи!AJ30*AJ$19*(1+Чувствительность!$D$20)*IFERROR(LOOKUP(Предпосылки!$H$201,$C$13:$C$15,AJ$13:AJ$15),1)</f>
        <v>0</v>
      </c>
      <c s="125">
        <f>Предпосылки!AJ$228*Предпосылки!$D265*Продажи!AK30*AK$19*(1+Чувствительность!$D$20)*IFERROR(LOOKUP(Предпосылки!$H$201,$C$13:$C$15,AK$13:AK$15),1)</f>
        <v>0</v>
      </c>
      <c s="125">
        <f>Предпосылки!AK$228*Предпосылки!$D265*Продажи!AL30*AL$19*(1+Чувствительность!$D$20)*IFERROR(LOOKUP(Предпосылки!$H$201,$C$13:$C$15,AL$13:AL$15),1)</f>
        <v>0</v>
      </c>
      <c s="125">
        <f>Предпосылки!AL$228*Предпосылки!$D265*Продажи!AM30*AM$19*(1+Чувствительность!$D$20)*IFERROR(LOOKUP(Предпосылки!$H$201,$C$13:$C$15,AM$13:AM$15),1)</f>
        <v>0</v>
      </c>
      <c s="125">
        <f>Предпосылки!AM$228*Предпосылки!$D265*Продажи!AN30*AN$19*(1+Чувствительность!$D$20)*IFERROR(LOOKUP(Предпосылки!$H$201,$C$13:$C$15,AN$13:AN$15),1)</f>
        <v>0</v>
      </c>
      <c s="125">
        <f>Предпосылки!AN$228*Предпосылки!$D265*Продажи!AO30*AO$19*(1+Чувствительность!$D$20)*IFERROR(LOOKUP(Предпосылки!$H$201,$C$13:$C$15,AO$13:AO$15),1)</f>
        <v>0</v>
      </c>
      <c s="125">
        <f>Предпосылки!AO$228*Предпосылки!$D265*Продажи!AP30*AP$19*(1+Чувствительность!$D$20)*IFERROR(LOOKUP(Предпосылки!$H$201,$C$13:$C$15,AP$13:AP$15),1)</f>
        <v>0</v>
      </c>
      <c s="125">
        <f>Предпосылки!AP$228*Предпосылки!$D265*Продажи!AQ30*AQ$19*(1+Чувствительность!$D$20)*IFERROR(LOOKUP(Предпосылки!$H$201,$C$13:$C$15,AQ$13:AQ$15),1)</f>
        <v>0</v>
      </c>
      <c s="125">
        <f>Предпосылки!AQ$228*Предпосылки!$D265*Продажи!AR30*AR$19*(1+Чувствительность!$D$20)*IFERROR(LOOKUP(Предпосылки!$H$201,$C$13:$C$15,AR$13:AR$15),1)</f>
        <v>0</v>
      </c>
      <c s="125">
        <f>Предпосылки!AR$228*Предпосылки!$D265*Продажи!AS30*AS$19*(1+Чувствительность!$D$20)*IFERROR(LOOKUP(Предпосылки!$H$201,$C$13:$C$15,AS$13:AS$15),1)</f>
        <v>0</v>
      </c>
      <c s="125">
        <f>Предпосылки!AS$228*Предпосылки!$D265*Продажи!AT30*AT$19*(1+Чувствительность!$D$20)*IFERROR(LOOKUP(Предпосылки!$H$201,$C$13:$C$15,AT$13:AT$15),1)</f>
        <v>0</v>
      </c>
      <c s="125">
        <f>Предпосылки!AT$228*Предпосылки!$D265*Продажи!AU30*AU$19*(1+Чувствительность!$D$20)*IFERROR(LOOKUP(Предпосылки!$H$201,$C$13:$C$15,AU$13:AU$15),1)</f>
        <v>0</v>
      </c>
      <c s="125">
        <f>Предпосылки!AU$228*Предпосылки!$D265*Продажи!AV30*AV$19*(1+Чувствительность!$D$20)*IFERROR(LOOKUP(Предпосылки!$H$201,$C$13:$C$15,AV$13:AV$15),1)</f>
        <v>0</v>
      </c>
      <c s="125">
        <f>Предпосылки!AV$228*Предпосылки!$D265*Продажи!AW30*AW$19*(1+Чувствительность!$D$20)*IFERROR(LOOKUP(Предпосылки!$H$201,$C$13:$C$15,AW$13:AW$15),1)</f>
        <v>0</v>
      </c>
      <c s="125">
        <f>Предпосылки!AW$228*Предпосылки!$D265*Продажи!AX30*AX$19*(1+Чувствительность!$D$20)*IFERROR(LOOKUP(Предпосылки!$H$201,$C$13:$C$15,AX$13:AX$15),1)</f>
        <v>0</v>
      </c>
      <c s="125">
        <f>Предпосылки!AX$228*Предпосылки!$D265*Продажи!AY30*AY$19*(1+Чувствительность!$D$20)*IFERROR(LOOKUP(Предпосылки!$H$201,$C$13:$C$15,AY$13:AY$15),1)</f>
        <v>0</v>
      </c>
      <c s="125">
        <f>Предпосылки!AY$228*Предпосылки!$D265*Продажи!AZ30*AZ$19*(1+Чувствительность!$D$20)*IFERROR(LOOKUP(Предпосылки!$H$201,$C$13:$C$15,AZ$13:AZ$15),1)</f>
        <v>0</v>
      </c>
      <c s="125">
        <f>Предпосылки!AZ$228*Предпосылки!$D265*Продажи!BA30*BA$19*(1+Чувствительность!$D$20)*IFERROR(LOOKUP(Предпосылки!$H$201,$C$13:$C$15,BA$13:BA$15),1)</f>
        <v>0</v>
      </c>
      <c s="125">
        <f>Предпосылки!BA$228*Предпосылки!$D265*Продажи!BB30*BB$19*(1+Чувствительность!$D$20)*IFERROR(LOOKUP(Предпосылки!$H$201,$C$13:$C$15,BB$13:BB$15),1)</f>
        <v>0</v>
      </c>
      <c s="125">
        <f>Предпосылки!BB$228*Предпосылки!$D265*Продажи!BC30*BC$19*(1+Чувствительность!$D$20)*IFERROR(LOOKUP(Предпосылки!$H$201,$C$13:$C$15,BC$13:BC$15),1)</f>
        <v>0</v>
      </c>
      <c s="125">
        <f>Предпосылки!BC$228*Предпосылки!$D265*Продажи!BD30*BD$19*(1+Чувствительность!$D$20)*IFERROR(LOOKUP(Предпосылки!$H$201,$C$13:$C$15,BD$13:BD$15),1)</f>
        <v>0</v>
      </c>
      <c s="125">
        <f>Предпосылки!BD$228*Предпосылки!$D265*Продажи!BE30*BE$19*(1+Чувствительность!$D$20)*IFERROR(LOOKUP(Предпосылки!$H$201,$C$13:$C$15,BE$13:BE$15),1)</f>
        <v>0</v>
      </c>
      <c s="125">
        <f>Предпосылки!BE$228*Предпосылки!$D265*Продажи!BF30*BF$19*(1+Чувствительность!$D$20)*IFERROR(LOOKUP(Предпосылки!$H$201,$C$13:$C$15,BF$13:BF$15),1)</f>
        <v>0</v>
      </c>
      <c s="125">
        <f>Предпосылки!BF$228*Предпосылки!$D265*Продажи!BG30*BG$19*(1+Чувствительность!$D$20)*IFERROR(LOOKUP(Предпосылки!$H$201,$C$13:$C$15,BG$13:BG$15),1)</f>
        <v>0</v>
      </c>
      <c s="125">
        <f>Предпосылки!BG$228*Предпосылки!$D265*Продажи!BH30*BH$19*(1+Чувствительность!$D$20)*IFERROR(LOOKUP(Предпосылки!$H$201,$C$13:$C$15,BH$13:BH$15),1)</f>
        <v>0</v>
      </c>
      <c s="125">
        <f>Предпосылки!BH$228*Предпосылки!$D265*Продажи!BI30*BI$19*(1+Чувствительность!$D$20)*IFERROR(LOOKUP(Предпосылки!$H$201,$C$13:$C$15,BI$13:BI$15),1)</f>
        <v>0</v>
      </c>
      <c s="125">
        <f>Предпосылки!BI$228*Предпосылки!$D265*Продажи!BJ30*BJ$19*(1+Чувствительность!$D$20)*IFERROR(LOOKUP(Предпосылки!$H$201,$C$13:$C$15,BJ$13:BJ$15),1)</f>
        <v>0</v>
      </c>
      <c s="125">
        <f>Предпосылки!BJ$228*Предпосылки!$D265*Продажи!BK30*BK$19*(1+Чувствительность!$D$20)*IFERROR(LOOKUP(Предпосылки!$H$201,$C$13:$C$15,BK$13:BK$15),1)</f>
        <v>0</v>
      </c>
      <c s="125">
        <f>Предпосылки!BK$228*Предпосылки!$D265*Продажи!BL30*BL$19*(1+Чувствительность!$D$20)*IFERROR(LOOKUP(Предпосылки!$H$201,$C$13:$C$15,BL$13:BL$15),1)</f>
        <v>0</v>
      </c>
      <c s="125">
        <f>Предпосылки!BL$228*Предпосылки!$D265*Продажи!BM30*BM$19*(1+Чувствительность!$D$20)*IFERROR(LOOKUP(Предпосылки!$H$201,$C$13:$C$15,BM$13:BM$15),1)</f>
        <v>0</v>
      </c>
    </row>
    <row r="36" spans="2:65" ht="15" customHeight="1">
      <c r="B36" s="12" t="str">
        <f>Предпосылки!B163</f>
        <v>Продукт 14</v>
      </c>
      <c s="124" t="str">
        <f t="shared" si="61"/>
        <v>тыс. руб.</v>
      </c>
      <c s="276">
        <f t="shared" si="62"/>
        <v>0</v>
      </c>
      <c s="125">
        <f>Предпосылки!D$228*Предпосылки!$D266*Продажи!E31*E$19*(1+Чувствительность!$D$20)*IFERROR(LOOKUP(Предпосылки!$H$201,$C$13:$C$15,E$13:E$15),1)</f>
        <v>0</v>
      </c>
      <c s="125">
        <f>Предпосылки!E$228*Предпосылки!$D266*Продажи!F31*F$19*(1+Чувствительность!$D$20)*IFERROR(LOOKUP(Предпосылки!$H$201,$C$13:$C$15,F$13:F$15),1)</f>
        <v>0</v>
      </c>
      <c s="125">
        <f>Предпосылки!F$228*Предпосылки!$D266*Продажи!G31*G$19*(1+Чувствительность!$D$20)*IFERROR(LOOKUP(Предпосылки!$H$201,$C$13:$C$15,G$13:G$15),1)</f>
        <v>0</v>
      </c>
      <c s="125">
        <f>Предпосылки!G$228*Предпосылки!$D266*Продажи!H31*H$19*(1+Чувствительность!$D$20)*IFERROR(LOOKUP(Предпосылки!$H$201,$C$13:$C$15,H$13:H$15),1)</f>
        <v>0</v>
      </c>
      <c s="125">
        <f>Предпосылки!H$228*Предпосылки!$D266*Продажи!I31*I$19*(1+Чувствительность!$D$20)*IFERROR(LOOKUP(Предпосылки!$H$201,$C$13:$C$15,I$13:I$15),1)</f>
        <v>0</v>
      </c>
      <c s="125">
        <f>Предпосылки!I$228*Предпосылки!$D266*Продажи!J31*J$19*(1+Чувствительность!$D$20)*IFERROR(LOOKUP(Предпосылки!$H$201,$C$13:$C$15,J$13:J$15),1)</f>
        <v>0</v>
      </c>
      <c s="125">
        <f>Предпосылки!J$228*Предпосылки!$D266*Продажи!K31*K$19*(1+Чувствительность!$D$20)*IFERROR(LOOKUP(Предпосылки!$H$201,$C$13:$C$15,K$13:K$15),1)</f>
        <v>0</v>
      </c>
      <c s="125">
        <f>Предпосылки!K$228*Предпосылки!$D266*Продажи!L31*L$19*(1+Чувствительность!$D$20)*IFERROR(LOOKUP(Предпосылки!$H$201,$C$13:$C$15,L$13:L$15),1)</f>
        <v>0</v>
      </c>
      <c s="125">
        <f>Предпосылки!L$228*Предпосылки!$D266*Продажи!M31*M$19*(1+Чувствительность!$D$20)*IFERROR(LOOKUP(Предпосылки!$H$201,$C$13:$C$15,M$13:M$15),1)</f>
        <v>0</v>
      </c>
      <c s="125">
        <f>Предпосылки!M$228*Предпосылки!$D266*Продажи!N31*N$19*(1+Чувствительность!$D$20)*IFERROR(LOOKUP(Предпосылки!$H$201,$C$13:$C$15,N$13:N$15),1)</f>
        <v>0</v>
      </c>
      <c s="125">
        <f>Предпосылки!N$228*Предпосылки!$D266*Продажи!O31*O$19*(1+Чувствительность!$D$20)*IFERROR(LOOKUP(Предпосылки!$H$201,$C$13:$C$15,O$13:O$15),1)</f>
        <v>0</v>
      </c>
      <c s="125">
        <f>Предпосылки!O$228*Предпосылки!$D266*Продажи!P31*P$19*(1+Чувствительность!$D$20)*IFERROR(LOOKUP(Предпосылки!$H$201,$C$13:$C$15,P$13:P$15),1)</f>
        <v>0</v>
      </c>
      <c s="125">
        <f>Предпосылки!P$228*Предпосылки!$D266*Продажи!Q31*Q$19*(1+Чувствительность!$D$20)*IFERROR(LOOKUP(Предпосылки!$H$201,$C$13:$C$15,Q$13:Q$15),1)</f>
        <v>0</v>
      </c>
      <c s="125">
        <f>Предпосылки!Q$228*Предпосылки!$D266*Продажи!R31*R$19*(1+Чувствительность!$D$20)*IFERROR(LOOKUP(Предпосылки!$H$201,$C$13:$C$15,R$13:R$15),1)</f>
        <v>0</v>
      </c>
      <c s="125">
        <f>Предпосылки!R$228*Предпосылки!$D266*Продажи!S31*S$19*(1+Чувствительность!$D$20)*IFERROR(LOOKUP(Предпосылки!$H$201,$C$13:$C$15,S$13:S$15),1)</f>
        <v>0</v>
      </c>
      <c s="125">
        <f>Предпосылки!S$228*Предпосылки!$D266*Продажи!T31*T$19*(1+Чувствительность!$D$20)*IFERROR(LOOKUP(Предпосылки!$H$201,$C$13:$C$15,T$13:T$15),1)</f>
        <v>0</v>
      </c>
      <c s="125">
        <f>Предпосылки!T$228*Предпосылки!$D266*Продажи!U31*U$19*(1+Чувствительность!$D$20)*IFERROR(LOOKUP(Предпосылки!$H$201,$C$13:$C$15,U$13:U$15),1)</f>
        <v>0</v>
      </c>
      <c s="125">
        <f>Предпосылки!U$228*Предпосылки!$D266*Продажи!V31*V$19*(1+Чувствительность!$D$20)*IFERROR(LOOKUP(Предпосылки!$H$201,$C$13:$C$15,V$13:V$15),1)</f>
        <v>0</v>
      </c>
      <c s="125">
        <f>Предпосылки!V$228*Предпосылки!$D266*Продажи!W31*W$19*(1+Чувствительность!$D$20)*IFERROR(LOOKUP(Предпосылки!$H$201,$C$13:$C$15,W$13:W$15),1)</f>
        <v>0</v>
      </c>
      <c s="125">
        <f>Предпосылки!W$228*Предпосылки!$D266*Продажи!X31*X$19*(1+Чувствительность!$D$20)*IFERROR(LOOKUP(Предпосылки!$H$201,$C$13:$C$15,X$13:X$15),1)</f>
        <v>0</v>
      </c>
      <c s="125">
        <f>Предпосылки!X$228*Предпосылки!$D266*Продажи!Y31*Y$19*(1+Чувствительность!$D$20)*IFERROR(LOOKUP(Предпосылки!$H$201,$C$13:$C$15,Y$13:Y$15),1)</f>
        <v>0</v>
      </c>
      <c s="125">
        <f>Предпосылки!Y$228*Предпосылки!$D266*Продажи!Z31*Z$19*(1+Чувствительность!$D$20)*IFERROR(LOOKUP(Предпосылки!$H$201,$C$13:$C$15,Z$13:Z$15),1)</f>
        <v>0</v>
      </c>
      <c s="125">
        <f>Предпосылки!Z$228*Предпосылки!$D266*Продажи!AA31*AA$19*(1+Чувствительность!$D$20)*IFERROR(LOOKUP(Предпосылки!$H$201,$C$13:$C$15,AA$13:AA$15),1)</f>
        <v>0</v>
      </c>
      <c s="125">
        <f>Предпосылки!AA$228*Предпосылки!$D266*Продажи!AB31*AB$19*(1+Чувствительность!$D$20)*IFERROR(LOOKUP(Предпосылки!$H$201,$C$13:$C$15,AB$13:AB$15),1)</f>
        <v>0</v>
      </c>
      <c s="125">
        <f>Предпосылки!AB$228*Предпосылки!$D266*Продажи!AC31*AC$19*(1+Чувствительность!$D$20)*IFERROR(LOOKUP(Предпосылки!$H$201,$C$13:$C$15,AC$13:AC$15),1)</f>
        <v>0</v>
      </c>
      <c s="125">
        <f>Предпосылки!AC$228*Предпосылки!$D266*Продажи!AD31*AD$19*(1+Чувствительность!$D$20)*IFERROR(LOOKUP(Предпосылки!$H$201,$C$13:$C$15,AD$13:AD$15),1)</f>
        <v>0</v>
      </c>
      <c s="125">
        <f>Предпосылки!AD$228*Предпосылки!$D266*Продажи!AE31*AE$19*(1+Чувствительность!$D$20)*IFERROR(LOOKUP(Предпосылки!$H$201,$C$13:$C$15,AE$13:AE$15),1)</f>
        <v>0</v>
      </c>
      <c s="125">
        <f>Предпосылки!AE$228*Предпосылки!$D266*Продажи!AF31*AF$19*(1+Чувствительность!$D$20)*IFERROR(LOOKUP(Предпосылки!$H$201,$C$13:$C$15,AF$13:AF$15),1)</f>
        <v>0</v>
      </c>
      <c s="125">
        <f>Предпосылки!AF$228*Предпосылки!$D266*Продажи!AG31*AG$19*(1+Чувствительность!$D$20)*IFERROR(LOOKUP(Предпосылки!$H$201,$C$13:$C$15,AG$13:AG$15),1)</f>
        <v>0</v>
      </c>
      <c s="125">
        <f>Предпосылки!AG$228*Предпосылки!$D266*Продажи!AH31*AH$19*(1+Чувствительность!$D$20)*IFERROR(LOOKUP(Предпосылки!$H$201,$C$13:$C$15,AH$13:AH$15),1)</f>
        <v>0</v>
      </c>
      <c s="125">
        <f>Предпосылки!AH$228*Предпосылки!$D266*Продажи!AI31*AI$19*(1+Чувствительность!$D$20)*IFERROR(LOOKUP(Предпосылки!$H$201,$C$13:$C$15,AI$13:AI$15),1)</f>
        <v>0</v>
      </c>
      <c s="125">
        <f>Предпосылки!AI$228*Предпосылки!$D266*Продажи!AJ31*AJ$19*(1+Чувствительность!$D$20)*IFERROR(LOOKUP(Предпосылки!$H$201,$C$13:$C$15,AJ$13:AJ$15),1)</f>
        <v>0</v>
      </c>
      <c s="125">
        <f>Предпосылки!AJ$228*Предпосылки!$D266*Продажи!AK31*AK$19*(1+Чувствительность!$D$20)*IFERROR(LOOKUP(Предпосылки!$H$201,$C$13:$C$15,AK$13:AK$15),1)</f>
        <v>0</v>
      </c>
      <c s="125">
        <f>Предпосылки!AK$228*Предпосылки!$D266*Продажи!AL31*AL$19*(1+Чувствительность!$D$20)*IFERROR(LOOKUP(Предпосылки!$H$201,$C$13:$C$15,AL$13:AL$15),1)</f>
        <v>0</v>
      </c>
      <c s="125">
        <f>Предпосылки!AL$228*Предпосылки!$D266*Продажи!AM31*AM$19*(1+Чувствительность!$D$20)*IFERROR(LOOKUP(Предпосылки!$H$201,$C$13:$C$15,AM$13:AM$15),1)</f>
        <v>0</v>
      </c>
      <c s="125">
        <f>Предпосылки!AM$228*Предпосылки!$D266*Продажи!AN31*AN$19*(1+Чувствительность!$D$20)*IFERROR(LOOKUP(Предпосылки!$H$201,$C$13:$C$15,AN$13:AN$15),1)</f>
        <v>0</v>
      </c>
      <c s="125">
        <f>Предпосылки!AN$228*Предпосылки!$D266*Продажи!AO31*AO$19*(1+Чувствительность!$D$20)*IFERROR(LOOKUP(Предпосылки!$H$201,$C$13:$C$15,AO$13:AO$15),1)</f>
        <v>0</v>
      </c>
      <c s="125">
        <f>Предпосылки!AO$228*Предпосылки!$D266*Продажи!AP31*AP$19*(1+Чувствительность!$D$20)*IFERROR(LOOKUP(Предпосылки!$H$201,$C$13:$C$15,AP$13:AP$15),1)</f>
        <v>0</v>
      </c>
      <c s="125">
        <f>Предпосылки!AP$228*Предпосылки!$D266*Продажи!AQ31*AQ$19*(1+Чувствительность!$D$20)*IFERROR(LOOKUP(Предпосылки!$H$201,$C$13:$C$15,AQ$13:AQ$15),1)</f>
        <v>0</v>
      </c>
      <c s="125">
        <f>Предпосылки!AQ$228*Предпосылки!$D266*Продажи!AR31*AR$19*(1+Чувствительность!$D$20)*IFERROR(LOOKUP(Предпосылки!$H$201,$C$13:$C$15,AR$13:AR$15),1)</f>
        <v>0</v>
      </c>
      <c s="125">
        <f>Предпосылки!AR$228*Предпосылки!$D266*Продажи!AS31*AS$19*(1+Чувствительность!$D$20)*IFERROR(LOOKUP(Предпосылки!$H$201,$C$13:$C$15,AS$13:AS$15),1)</f>
        <v>0</v>
      </c>
      <c s="125">
        <f>Предпосылки!AS$228*Предпосылки!$D266*Продажи!AT31*AT$19*(1+Чувствительность!$D$20)*IFERROR(LOOKUP(Предпосылки!$H$201,$C$13:$C$15,AT$13:AT$15),1)</f>
        <v>0</v>
      </c>
      <c s="125">
        <f>Предпосылки!AT$228*Предпосылки!$D266*Продажи!AU31*AU$19*(1+Чувствительность!$D$20)*IFERROR(LOOKUP(Предпосылки!$H$201,$C$13:$C$15,AU$13:AU$15),1)</f>
        <v>0</v>
      </c>
      <c s="125">
        <f>Предпосылки!AU$228*Предпосылки!$D266*Продажи!AV31*AV$19*(1+Чувствительность!$D$20)*IFERROR(LOOKUP(Предпосылки!$H$201,$C$13:$C$15,AV$13:AV$15),1)</f>
        <v>0</v>
      </c>
      <c s="125">
        <f>Предпосылки!AV$228*Предпосылки!$D266*Продажи!AW31*AW$19*(1+Чувствительность!$D$20)*IFERROR(LOOKUP(Предпосылки!$H$201,$C$13:$C$15,AW$13:AW$15),1)</f>
        <v>0</v>
      </c>
      <c s="125">
        <f>Предпосылки!AW$228*Предпосылки!$D266*Продажи!AX31*AX$19*(1+Чувствительность!$D$20)*IFERROR(LOOKUP(Предпосылки!$H$201,$C$13:$C$15,AX$13:AX$15),1)</f>
        <v>0</v>
      </c>
      <c s="125">
        <f>Предпосылки!AX$228*Предпосылки!$D266*Продажи!AY31*AY$19*(1+Чувствительность!$D$20)*IFERROR(LOOKUP(Предпосылки!$H$201,$C$13:$C$15,AY$13:AY$15),1)</f>
        <v>0</v>
      </c>
      <c s="125">
        <f>Предпосылки!AY$228*Предпосылки!$D266*Продажи!AZ31*AZ$19*(1+Чувствительность!$D$20)*IFERROR(LOOKUP(Предпосылки!$H$201,$C$13:$C$15,AZ$13:AZ$15),1)</f>
        <v>0</v>
      </c>
      <c s="125">
        <f>Предпосылки!AZ$228*Предпосылки!$D266*Продажи!BA31*BA$19*(1+Чувствительность!$D$20)*IFERROR(LOOKUP(Предпосылки!$H$201,$C$13:$C$15,BA$13:BA$15),1)</f>
        <v>0</v>
      </c>
      <c s="125">
        <f>Предпосылки!BA$228*Предпосылки!$D266*Продажи!BB31*BB$19*(1+Чувствительность!$D$20)*IFERROR(LOOKUP(Предпосылки!$H$201,$C$13:$C$15,BB$13:BB$15),1)</f>
        <v>0</v>
      </c>
      <c s="125">
        <f>Предпосылки!BB$228*Предпосылки!$D266*Продажи!BC31*BC$19*(1+Чувствительность!$D$20)*IFERROR(LOOKUP(Предпосылки!$H$201,$C$13:$C$15,BC$13:BC$15),1)</f>
        <v>0</v>
      </c>
      <c s="125">
        <f>Предпосылки!BC$228*Предпосылки!$D266*Продажи!BD31*BD$19*(1+Чувствительность!$D$20)*IFERROR(LOOKUP(Предпосылки!$H$201,$C$13:$C$15,BD$13:BD$15),1)</f>
        <v>0</v>
      </c>
      <c s="125">
        <f>Предпосылки!BD$228*Предпосылки!$D266*Продажи!BE31*BE$19*(1+Чувствительность!$D$20)*IFERROR(LOOKUP(Предпосылки!$H$201,$C$13:$C$15,BE$13:BE$15),1)</f>
        <v>0</v>
      </c>
      <c s="125">
        <f>Предпосылки!BE$228*Предпосылки!$D266*Продажи!BF31*BF$19*(1+Чувствительность!$D$20)*IFERROR(LOOKUP(Предпосылки!$H$201,$C$13:$C$15,BF$13:BF$15),1)</f>
        <v>0</v>
      </c>
      <c s="125">
        <f>Предпосылки!BF$228*Предпосылки!$D266*Продажи!BG31*BG$19*(1+Чувствительность!$D$20)*IFERROR(LOOKUP(Предпосылки!$H$201,$C$13:$C$15,BG$13:BG$15),1)</f>
        <v>0</v>
      </c>
      <c s="125">
        <f>Предпосылки!BG$228*Предпосылки!$D266*Продажи!BH31*BH$19*(1+Чувствительность!$D$20)*IFERROR(LOOKUP(Предпосылки!$H$201,$C$13:$C$15,BH$13:BH$15),1)</f>
        <v>0</v>
      </c>
      <c s="125">
        <f>Предпосылки!BH$228*Предпосылки!$D266*Продажи!BI31*BI$19*(1+Чувствительность!$D$20)*IFERROR(LOOKUP(Предпосылки!$H$201,$C$13:$C$15,BI$13:BI$15),1)</f>
        <v>0</v>
      </c>
      <c s="125">
        <f>Предпосылки!BI$228*Предпосылки!$D266*Продажи!BJ31*BJ$19*(1+Чувствительность!$D$20)*IFERROR(LOOKUP(Предпосылки!$H$201,$C$13:$C$15,BJ$13:BJ$15),1)</f>
        <v>0</v>
      </c>
      <c s="125">
        <f>Предпосылки!BJ$228*Предпосылки!$D266*Продажи!BK31*BK$19*(1+Чувствительность!$D$20)*IFERROR(LOOKUP(Предпосылки!$H$201,$C$13:$C$15,BK$13:BK$15),1)</f>
        <v>0</v>
      </c>
      <c s="125">
        <f>Предпосылки!BK$228*Предпосылки!$D266*Продажи!BL31*BL$19*(1+Чувствительность!$D$20)*IFERROR(LOOKUP(Предпосылки!$H$201,$C$13:$C$15,BL$13:BL$15),1)</f>
        <v>0</v>
      </c>
      <c s="125">
        <f>Предпосылки!BL$228*Предпосылки!$D266*Продажи!BM31*BM$19*(1+Чувствительность!$D$20)*IFERROR(LOOKUP(Предпосылки!$H$201,$C$13:$C$15,BM$13:BM$15),1)</f>
        <v>0</v>
      </c>
    </row>
    <row r="37" spans="2:65" ht="15" customHeight="1">
      <c r="B37" s="12" t="str">
        <f>Предпосылки!B164</f>
        <v>Продукт 15</v>
      </c>
      <c s="124" t="str">
        <f t="shared" si="61"/>
        <v>тыс. руб.</v>
      </c>
      <c s="276">
        <f t="shared" si="62"/>
        <v>0</v>
      </c>
      <c s="125">
        <f>Предпосылки!D$228*Предпосылки!$D267*Продажи!E32*E$19*(1+Чувствительность!$D$20)*IFERROR(LOOKUP(Предпосылки!$H$201,$C$13:$C$15,E$13:E$15),1)</f>
        <v>0</v>
      </c>
      <c s="125">
        <f>Предпосылки!E$228*Предпосылки!$D267*Продажи!F32*F$19*(1+Чувствительность!$D$20)*IFERROR(LOOKUP(Предпосылки!$H$201,$C$13:$C$15,F$13:F$15),1)</f>
        <v>0</v>
      </c>
      <c s="125">
        <f>Предпосылки!F$228*Предпосылки!$D267*Продажи!G32*G$19*(1+Чувствительность!$D$20)*IFERROR(LOOKUP(Предпосылки!$H$201,$C$13:$C$15,G$13:G$15),1)</f>
        <v>0</v>
      </c>
      <c s="125">
        <f>Предпосылки!G$228*Предпосылки!$D267*Продажи!H32*H$19*(1+Чувствительность!$D$20)*IFERROR(LOOKUP(Предпосылки!$H$201,$C$13:$C$15,H$13:H$15),1)</f>
        <v>0</v>
      </c>
      <c s="125">
        <f>Предпосылки!H$228*Предпосылки!$D267*Продажи!I32*I$19*(1+Чувствительность!$D$20)*IFERROR(LOOKUP(Предпосылки!$H$201,$C$13:$C$15,I$13:I$15),1)</f>
        <v>0</v>
      </c>
      <c s="125">
        <f>Предпосылки!I$228*Предпосылки!$D267*Продажи!J32*J$19*(1+Чувствительность!$D$20)*IFERROR(LOOKUP(Предпосылки!$H$201,$C$13:$C$15,J$13:J$15),1)</f>
        <v>0</v>
      </c>
      <c s="125">
        <f>Предпосылки!J$228*Предпосылки!$D267*Продажи!K32*K$19*(1+Чувствительность!$D$20)*IFERROR(LOOKUP(Предпосылки!$H$201,$C$13:$C$15,K$13:K$15),1)</f>
        <v>0</v>
      </c>
      <c s="125">
        <f>Предпосылки!K$228*Предпосылки!$D267*Продажи!L32*L$19*(1+Чувствительность!$D$20)*IFERROR(LOOKUP(Предпосылки!$H$201,$C$13:$C$15,L$13:L$15),1)</f>
        <v>0</v>
      </c>
      <c s="125">
        <f>Предпосылки!L$228*Предпосылки!$D267*Продажи!M32*M$19*(1+Чувствительность!$D$20)*IFERROR(LOOKUP(Предпосылки!$H$201,$C$13:$C$15,M$13:M$15),1)</f>
        <v>0</v>
      </c>
      <c s="125">
        <f>Предпосылки!M$228*Предпосылки!$D267*Продажи!N32*N$19*(1+Чувствительность!$D$20)*IFERROR(LOOKUP(Предпосылки!$H$201,$C$13:$C$15,N$13:N$15),1)</f>
        <v>0</v>
      </c>
      <c s="125">
        <f>Предпосылки!N$228*Предпосылки!$D267*Продажи!O32*O$19*(1+Чувствительность!$D$20)*IFERROR(LOOKUP(Предпосылки!$H$201,$C$13:$C$15,O$13:O$15),1)</f>
        <v>0</v>
      </c>
      <c s="125">
        <f>Предпосылки!O$228*Предпосылки!$D267*Продажи!P32*P$19*(1+Чувствительность!$D$20)*IFERROR(LOOKUP(Предпосылки!$H$201,$C$13:$C$15,P$13:P$15),1)</f>
        <v>0</v>
      </c>
      <c s="125">
        <f>Предпосылки!P$228*Предпосылки!$D267*Продажи!Q32*Q$19*(1+Чувствительность!$D$20)*IFERROR(LOOKUP(Предпосылки!$H$201,$C$13:$C$15,Q$13:Q$15),1)</f>
        <v>0</v>
      </c>
      <c s="125">
        <f>Предпосылки!Q$228*Предпосылки!$D267*Продажи!R32*R$19*(1+Чувствительность!$D$20)*IFERROR(LOOKUP(Предпосылки!$H$201,$C$13:$C$15,R$13:R$15),1)</f>
        <v>0</v>
      </c>
      <c s="125">
        <f>Предпосылки!R$228*Предпосылки!$D267*Продажи!S32*S$19*(1+Чувствительность!$D$20)*IFERROR(LOOKUP(Предпосылки!$H$201,$C$13:$C$15,S$13:S$15),1)</f>
        <v>0</v>
      </c>
      <c s="125">
        <f>Предпосылки!S$228*Предпосылки!$D267*Продажи!T32*T$19*(1+Чувствительность!$D$20)*IFERROR(LOOKUP(Предпосылки!$H$201,$C$13:$C$15,T$13:T$15),1)</f>
        <v>0</v>
      </c>
      <c s="125">
        <f>Предпосылки!T$228*Предпосылки!$D267*Продажи!U32*U$19*(1+Чувствительность!$D$20)*IFERROR(LOOKUP(Предпосылки!$H$201,$C$13:$C$15,U$13:U$15),1)</f>
        <v>0</v>
      </c>
      <c s="125">
        <f>Предпосылки!U$228*Предпосылки!$D267*Продажи!V32*V$19*(1+Чувствительность!$D$20)*IFERROR(LOOKUP(Предпосылки!$H$201,$C$13:$C$15,V$13:V$15),1)</f>
        <v>0</v>
      </c>
      <c s="125">
        <f>Предпосылки!V$228*Предпосылки!$D267*Продажи!W32*W$19*(1+Чувствительность!$D$20)*IFERROR(LOOKUP(Предпосылки!$H$201,$C$13:$C$15,W$13:W$15),1)</f>
        <v>0</v>
      </c>
      <c s="125">
        <f>Предпосылки!W$228*Предпосылки!$D267*Продажи!X32*X$19*(1+Чувствительность!$D$20)*IFERROR(LOOKUP(Предпосылки!$H$201,$C$13:$C$15,X$13:X$15),1)</f>
        <v>0</v>
      </c>
      <c s="125">
        <f>Предпосылки!X$228*Предпосылки!$D267*Продажи!Y32*Y$19*(1+Чувствительность!$D$20)*IFERROR(LOOKUP(Предпосылки!$H$201,$C$13:$C$15,Y$13:Y$15),1)</f>
        <v>0</v>
      </c>
      <c s="125">
        <f>Предпосылки!Y$228*Предпосылки!$D267*Продажи!Z32*Z$19*(1+Чувствительность!$D$20)*IFERROR(LOOKUP(Предпосылки!$H$201,$C$13:$C$15,Z$13:Z$15),1)</f>
        <v>0</v>
      </c>
      <c s="125">
        <f>Предпосылки!Z$228*Предпосылки!$D267*Продажи!AA32*AA$19*(1+Чувствительность!$D$20)*IFERROR(LOOKUP(Предпосылки!$H$201,$C$13:$C$15,AA$13:AA$15),1)</f>
        <v>0</v>
      </c>
      <c s="125">
        <f>Предпосылки!AA$228*Предпосылки!$D267*Продажи!AB32*AB$19*(1+Чувствительность!$D$20)*IFERROR(LOOKUP(Предпосылки!$H$201,$C$13:$C$15,AB$13:AB$15),1)</f>
        <v>0</v>
      </c>
      <c s="125">
        <f>Предпосылки!AB$228*Предпосылки!$D267*Продажи!AC32*AC$19*(1+Чувствительность!$D$20)*IFERROR(LOOKUP(Предпосылки!$H$201,$C$13:$C$15,AC$13:AC$15),1)</f>
        <v>0</v>
      </c>
      <c s="125">
        <f>Предпосылки!AC$228*Предпосылки!$D267*Продажи!AD32*AD$19*(1+Чувствительность!$D$20)*IFERROR(LOOKUP(Предпосылки!$H$201,$C$13:$C$15,AD$13:AD$15),1)</f>
        <v>0</v>
      </c>
      <c s="125">
        <f>Предпосылки!AD$228*Предпосылки!$D267*Продажи!AE32*AE$19*(1+Чувствительность!$D$20)*IFERROR(LOOKUP(Предпосылки!$H$201,$C$13:$C$15,AE$13:AE$15),1)</f>
        <v>0</v>
      </c>
      <c s="125">
        <f>Предпосылки!AE$228*Предпосылки!$D267*Продажи!AF32*AF$19*(1+Чувствительность!$D$20)*IFERROR(LOOKUP(Предпосылки!$H$201,$C$13:$C$15,AF$13:AF$15),1)</f>
        <v>0</v>
      </c>
      <c s="125">
        <f>Предпосылки!AF$228*Предпосылки!$D267*Продажи!AG32*AG$19*(1+Чувствительность!$D$20)*IFERROR(LOOKUP(Предпосылки!$H$201,$C$13:$C$15,AG$13:AG$15),1)</f>
        <v>0</v>
      </c>
      <c s="125">
        <f>Предпосылки!AG$228*Предпосылки!$D267*Продажи!AH32*AH$19*(1+Чувствительность!$D$20)*IFERROR(LOOKUP(Предпосылки!$H$201,$C$13:$C$15,AH$13:AH$15),1)</f>
        <v>0</v>
      </c>
      <c s="125">
        <f>Предпосылки!AH$228*Предпосылки!$D267*Продажи!AI32*AI$19*(1+Чувствительность!$D$20)*IFERROR(LOOKUP(Предпосылки!$H$201,$C$13:$C$15,AI$13:AI$15),1)</f>
        <v>0</v>
      </c>
      <c s="125">
        <f>Предпосылки!AI$228*Предпосылки!$D267*Продажи!AJ32*AJ$19*(1+Чувствительность!$D$20)*IFERROR(LOOKUP(Предпосылки!$H$201,$C$13:$C$15,AJ$13:AJ$15),1)</f>
        <v>0</v>
      </c>
      <c s="125">
        <f>Предпосылки!AJ$228*Предпосылки!$D267*Продажи!AK32*AK$19*(1+Чувствительность!$D$20)*IFERROR(LOOKUP(Предпосылки!$H$201,$C$13:$C$15,AK$13:AK$15),1)</f>
        <v>0</v>
      </c>
      <c s="125">
        <f>Предпосылки!AK$228*Предпосылки!$D267*Продажи!AL32*AL$19*(1+Чувствительность!$D$20)*IFERROR(LOOKUP(Предпосылки!$H$201,$C$13:$C$15,AL$13:AL$15),1)</f>
        <v>0</v>
      </c>
      <c s="125">
        <f>Предпосылки!AL$228*Предпосылки!$D267*Продажи!AM32*AM$19*(1+Чувствительность!$D$20)*IFERROR(LOOKUP(Предпосылки!$H$201,$C$13:$C$15,AM$13:AM$15),1)</f>
        <v>0</v>
      </c>
      <c s="125">
        <f>Предпосылки!AM$228*Предпосылки!$D267*Продажи!AN32*AN$19*(1+Чувствительность!$D$20)*IFERROR(LOOKUP(Предпосылки!$H$201,$C$13:$C$15,AN$13:AN$15),1)</f>
        <v>0</v>
      </c>
      <c s="125">
        <f>Предпосылки!AN$228*Предпосылки!$D267*Продажи!AO32*AO$19*(1+Чувствительность!$D$20)*IFERROR(LOOKUP(Предпосылки!$H$201,$C$13:$C$15,AO$13:AO$15),1)</f>
        <v>0</v>
      </c>
      <c s="125">
        <f>Предпосылки!AO$228*Предпосылки!$D267*Продажи!AP32*AP$19*(1+Чувствительность!$D$20)*IFERROR(LOOKUP(Предпосылки!$H$201,$C$13:$C$15,AP$13:AP$15),1)</f>
        <v>0</v>
      </c>
      <c s="125">
        <f>Предпосылки!AP$228*Предпосылки!$D267*Продажи!AQ32*AQ$19*(1+Чувствительность!$D$20)*IFERROR(LOOKUP(Предпосылки!$H$201,$C$13:$C$15,AQ$13:AQ$15),1)</f>
        <v>0</v>
      </c>
      <c s="125">
        <f>Предпосылки!AQ$228*Предпосылки!$D267*Продажи!AR32*AR$19*(1+Чувствительность!$D$20)*IFERROR(LOOKUP(Предпосылки!$H$201,$C$13:$C$15,AR$13:AR$15),1)</f>
        <v>0</v>
      </c>
      <c s="125">
        <f>Предпосылки!AR$228*Предпосылки!$D267*Продажи!AS32*AS$19*(1+Чувствительность!$D$20)*IFERROR(LOOKUP(Предпосылки!$H$201,$C$13:$C$15,AS$13:AS$15),1)</f>
        <v>0</v>
      </c>
      <c s="125">
        <f>Предпосылки!AS$228*Предпосылки!$D267*Продажи!AT32*AT$19*(1+Чувствительность!$D$20)*IFERROR(LOOKUP(Предпосылки!$H$201,$C$13:$C$15,AT$13:AT$15),1)</f>
        <v>0</v>
      </c>
      <c s="125">
        <f>Предпосылки!AT$228*Предпосылки!$D267*Продажи!AU32*AU$19*(1+Чувствительность!$D$20)*IFERROR(LOOKUP(Предпосылки!$H$201,$C$13:$C$15,AU$13:AU$15),1)</f>
        <v>0</v>
      </c>
      <c s="125">
        <f>Предпосылки!AU$228*Предпосылки!$D267*Продажи!AV32*AV$19*(1+Чувствительность!$D$20)*IFERROR(LOOKUP(Предпосылки!$H$201,$C$13:$C$15,AV$13:AV$15),1)</f>
        <v>0</v>
      </c>
      <c s="125">
        <f>Предпосылки!AV$228*Предпосылки!$D267*Продажи!AW32*AW$19*(1+Чувствительность!$D$20)*IFERROR(LOOKUP(Предпосылки!$H$201,$C$13:$C$15,AW$13:AW$15),1)</f>
        <v>0</v>
      </c>
      <c s="125">
        <f>Предпосылки!AW$228*Предпосылки!$D267*Продажи!AX32*AX$19*(1+Чувствительность!$D$20)*IFERROR(LOOKUP(Предпосылки!$H$201,$C$13:$C$15,AX$13:AX$15),1)</f>
        <v>0</v>
      </c>
      <c s="125">
        <f>Предпосылки!AX$228*Предпосылки!$D267*Продажи!AY32*AY$19*(1+Чувствительность!$D$20)*IFERROR(LOOKUP(Предпосылки!$H$201,$C$13:$C$15,AY$13:AY$15),1)</f>
        <v>0</v>
      </c>
      <c s="125">
        <f>Предпосылки!AY$228*Предпосылки!$D267*Продажи!AZ32*AZ$19*(1+Чувствительность!$D$20)*IFERROR(LOOKUP(Предпосылки!$H$201,$C$13:$C$15,AZ$13:AZ$15),1)</f>
        <v>0</v>
      </c>
      <c s="125">
        <f>Предпосылки!AZ$228*Предпосылки!$D267*Продажи!BA32*BA$19*(1+Чувствительность!$D$20)*IFERROR(LOOKUP(Предпосылки!$H$201,$C$13:$C$15,BA$13:BA$15),1)</f>
        <v>0</v>
      </c>
      <c s="125">
        <f>Предпосылки!BA$228*Предпосылки!$D267*Продажи!BB32*BB$19*(1+Чувствительность!$D$20)*IFERROR(LOOKUP(Предпосылки!$H$201,$C$13:$C$15,BB$13:BB$15),1)</f>
        <v>0</v>
      </c>
      <c s="125">
        <f>Предпосылки!BB$228*Предпосылки!$D267*Продажи!BC32*BC$19*(1+Чувствительность!$D$20)*IFERROR(LOOKUP(Предпосылки!$H$201,$C$13:$C$15,BC$13:BC$15),1)</f>
        <v>0</v>
      </c>
      <c s="125">
        <f>Предпосылки!BC$228*Предпосылки!$D267*Продажи!BD32*BD$19*(1+Чувствительность!$D$20)*IFERROR(LOOKUP(Предпосылки!$H$201,$C$13:$C$15,BD$13:BD$15),1)</f>
        <v>0</v>
      </c>
      <c s="125">
        <f>Предпосылки!BD$228*Предпосылки!$D267*Продажи!BE32*BE$19*(1+Чувствительность!$D$20)*IFERROR(LOOKUP(Предпосылки!$H$201,$C$13:$C$15,BE$13:BE$15),1)</f>
        <v>0</v>
      </c>
      <c s="125">
        <f>Предпосылки!BE$228*Предпосылки!$D267*Продажи!BF32*BF$19*(1+Чувствительность!$D$20)*IFERROR(LOOKUP(Предпосылки!$H$201,$C$13:$C$15,BF$13:BF$15),1)</f>
        <v>0</v>
      </c>
      <c s="125">
        <f>Предпосылки!BF$228*Предпосылки!$D267*Продажи!BG32*BG$19*(1+Чувствительность!$D$20)*IFERROR(LOOKUP(Предпосылки!$H$201,$C$13:$C$15,BG$13:BG$15),1)</f>
        <v>0</v>
      </c>
      <c s="125">
        <f>Предпосылки!BG$228*Предпосылки!$D267*Продажи!BH32*BH$19*(1+Чувствительность!$D$20)*IFERROR(LOOKUP(Предпосылки!$H$201,$C$13:$C$15,BH$13:BH$15),1)</f>
        <v>0</v>
      </c>
      <c s="125">
        <f>Предпосылки!BH$228*Предпосылки!$D267*Продажи!BI32*BI$19*(1+Чувствительность!$D$20)*IFERROR(LOOKUP(Предпосылки!$H$201,$C$13:$C$15,BI$13:BI$15),1)</f>
        <v>0</v>
      </c>
      <c s="125">
        <f>Предпосылки!BI$228*Предпосылки!$D267*Продажи!BJ32*BJ$19*(1+Чувствительность!$D$20)*IFERROR(LOOKUP(Предпосылки!$H$201,$C$13:$C$15,BJ$13:BJ$15),1)</f>
        <v>0</v>
      </c>
      <c s="125">
        <f>Предпосылки!BJ$228*Предпосылки!$D267*Продажи!BK32*BK$19*(1+Чувствительность!$D$20)*IFERROR(LOOKUP(Предпосылки!$H$201,$C$13:$C$15,BK$13:BK$15),1)</f>
        <v>0</v>
      </c>
      <c s="125">
        <f>Предпосылки!BK$228*Предпосылки!$D267*Продажи!BL32*BL$19*(1+Чувствительность!$D$20)*IFERROR(LOOKUP(Предпосылки!$H$201,$C$13:$C$15,BL$13:BL$15),1)</f>
        <v>0</v>
      </c>
      <c s="125">
        <f>Предпосылки!BL$228*Предпосылки!$D267*Продажи!BM32*BM$19*(1+Чувствительность!$D$20)*IFERROR(LOOKUP(Предпосылки!$H$201,$C$13:$C$15,BM$13:BM$15),1)</f>
        <v>0</v>
      </c>
    </row>
    <row r="38" spans="2:65" ht="15" customHeight="1">
      <c r="B38" s="12" t="str">
        <f>Предпосылки!B165</f>
        <v>Продукт 16</v>
      </c>
      <c s="124" t="str">
        <f t="shared" si="61"/>
        <v>тыс. руб.</v>
      </c>
      <c s="276">
        <f t="shared" si="62"/>
        <v>0</v>
      </c>
      <c s="125">
        <f>Предпосылки!D$228*Предпосылки!$D268*Продажи!E33*E$19*(1+Чувствительность!$D$20)*IFERROR(LOOKUP(Предпосылки!$H$201,$C$13:$C$15,E$13:E$15),1)</f>
        <v>0</v>
      </c>
      <c s="125">
        <f>Предпосылки!E$228*Предпосылки!$D268*Продажи!F33*F$19*(1+Чувствительность!$D$20)*IFERROR(LOOKUP(Предпосылки!$H$201,$C$13:$C$15,F$13:F$15),1)</f>
        <v>0</v>
      </c>
      <c s="125">
        <f>Предпосылки!F$228*Предпосылки!$D268*Продажи!G33*G$19*(1+Чувствительность!$D$20)*IFERROR(LOOKUP(Предпосылки!$H$201,$C$13:$C$15,G$13:G$15),1)</f>
        <v>0</v>
      </c>
      <c s="125">
        <f>Предпосылки!G$228*Предпосылки!$D268*Продажи!H33*H$19*(1+Чувствительность!$D$20)*IFERROR(LOOKUP(Предпосылки!$H$201,$C$13:$C$15,H$13:H$15),1)</f>
        <v>0</v>
      </c>
      <c s="125">
        <f>Предпосылки!H$228*Предпосылки!$D268*Продажи!I33*I$19*(1+Чувствительность!$D$20)*IFERROR(LOOKUP(Предпосылки!$H$201,$C$13:$C$15,I$13:I$15),1)</f>
        <v>0</v>
      </c>
      <c s="125">
        <f>Предпосылки!I$228*Предпосылки!$D268*Продажи!J33*J$19*(1+Чувствительность!$D$20)*IFERROR(LOOKUP(Предпосылки!$H$201,$C$13:$C$15,J$13:J$15),1)</f>
        <v>0</v>
      </c>
      <c s="125">
        <f>Предпосылки!J$228*Предпосылки!$D268*Продажи!K33*K$19*(1+Чувствительность!$D$20)*IFERROR(LOOKUP(Предпосылки!$H$201,$C$13:$C$15,K$13:K$15),1)</f>
        <v>0</v>
      </c>
      <c s="125">
        <f>Предпосылки!K$228*Предпосылки!$D268*Продажи!L33*L$19*(1+Чувствительность!$D$20)*IFERROR(LOOKUP(Предпосылки!$H$201,$C$13:$C$15,L$13:L$15),1)</f>
        <v>0</v>
      </c>
      <c s="125">
        <f>Предпосылки!L$228*Предпосылки!$D268*Продажи!M33*M$19*(1+Чувствительность!$D$20)*IFERROR(LOOKUP(Предпосылки!$H$201,$C$13:$C$15,M$13:M$15),1)</f>
        <v>0</v>
      </c>
      <c s="125">
        <f>Предпосылки!M$228*Предпосылки!$D268*Продажи!N33*N$19*(1+Чувствительность!$D$20)*IFERROR(LOOKUP(Предпосылки!$H$201,$C$13:$C$15,N$13:N$15),1)</f>
        <v>0</v>
      </c>
      <c s="125">
        <f>Предпосылки!N$228*Предпосылки!$D268*Продажи!O33*O$19*(1+Чувствительность!$D$20)*IFERROR(LOOKUP(Предпосылки!$H$201,$C$13:$C$15,O$13:O$15),1)</f>
        <v>0</v>
      </c>
      <c s="125">
        <f>Предпосылки!O$228*Предпосылки!$D268*Продажи!P33*P$19*(1+Чувствительность!$D$20)*IFERROR(LOOKUP(Предпосылки!$H$201,$C$13:$C$15,P$13:P$15),1)</f>
        <v>0</v>
      </c>
      <c s="125">
        <f>Предпосылки!P$228*Предпосылки!$D268*Продажи!Q33*Q$19*(1+Чувствительность!$D$20)*IFERROR(LOOKUP(Предпосылки!$H$201,$C$13:$C$15,Q$13:Q$15),1)</f>
        <v>0</v>
      </c>
      <c s="125">
        <f>Предпосылки!Q$228*Предпосылки!$D268*Продажи!R33*R$19*(1+Чувствительность!$D$20)*IFERROR(LOOKUP(Предпосылки!$H$201,$C$13:$C$15,R$13:R$15),1)</f>
        <v>0</v>
      </c>
      <c s="125">
        <f>Предпосылки!R$228*Предпосылки!$D268*Продажи!S33*S$19*(1+Чувствительность!$D$20)*IFERROR(LOOKUP(Предпосылки!$H$201,$C$13:$C$15,S$13:S$15),1)</f>
        <v>0</v>
      </c>
      <c s="125">
        <f>Предпосылки!S$228*Предпосылки!$D268*Продажи!T33*T$19*(1+Чувствительность!$D$20)*IFERROR(LOOKUP(Предпосылки!$H$201,$C$13:$C$15,T$13:T$15),1)</f>
        <v>0</v>
      </c>
      <c s="125">
        <f>Предпосылки!T$228*Предпосылки!$D268*Продажи!U33*U$19*(1+Чувствительность!$D$20)*IFERROR(LOOKUP(Предпосылки!$H$201,$C$13:$C$15,U$13:U$15),1)</f>
        <v>0</v>
      </c>
      <c s="125">
        <f>Предпосылки!U$228*Предпосылки!$D268*Продажи!V33*V$19*(1+Чувствительность!$D$20)*IFERROR(LOOKUP(Предпосылки!$H$201,$C$13:$C$15,V$13:V$15),1)</f>
        <v>0</v>
      </c>
      <c s="125">
        <f>Предпосылки!V$228*Предпосылки!$D268*Продажи!W33*W$19*(1+Чувствительность!$D$20)*IFERROR(LOOKUP(Предпосылки!$H$201,$C$13:$C$15,W$13:W$15),1)</f>
        <v>0</v>
      </c>
      <c s="125">
        <f>Предпосылки!W$228*Предпосылки!$D268*Продажи!X33*X$19*(1+Чувствительность!$D$20)*IFERROR(LOOKUP(Предпосылки!$H$201,$C$13:$C$15,X$13:X$15),1)</f>
        <v>0</v>
      </c>
      <c s="125">
        <f>Предпосылки!X$228*Предпосылки!$D268*Продажи!Y33*Y$19*(1+Чувствительность!$D$20)*IFERROR(LOOKUP(Предпосылки!$H$201,$C$13:$C$15,Y$13:Y$15),1)</f>
        <v>0</v>
      </c>
      <c s="125">
        <f>Предпосылки!Y$228*Предпосылки!$D268*Продажи!Z33*Z$19*(1+Чувствительность!$D$20)*IFERROR(LOOKUP(Предпосылки!$H$201,$C$13:$C$15,Z$13:Z$15),1)</f>
        <v>0</v>
      </c>
      <c s="125">
        <f>Предпосылки!Z$228*Предпосылки!$D268*Продажи!AA33*AA$19*(1+Чувствительность!$D$20)*IFERROR(LOOKUP(Предпосылки!$H$201,$C$13:$C$15,AA$13:AA$15),1)</f>
        <v>0</v>
      </c>
      <c s="125">
        <f>Предпосылки!AA$228*Предпосылки!$D268*Продажи!AB33*AB$19*(1+Чувствительность!$D$20)*IFERROR(LOOKUP(Предпосылки!$H$201,$C$13:$C$15,AB$13:AB$15),1)</f>
        <v>0</v>
      </c>
      <c s="125">
        <f>Предпосылки!AB$228*Предпосылки!$D268*Продажи!AC33*AC$19*(1+Чувствительность!$D$20)*IFERROR(LOOKUP(Предпосылки!$H$201,$C$13:$C$15,AC$13:AC$15),1)</f>
        <v>0</v>
      </c>
      <c s="125">
        <f>Предпосылки!AC$228*Предпосылки!$D268*Продажи!AD33*AD$19*(1+Чувствительность!$D$20)*IFERROR(LOOKUP(Предпосылки!$H$201,$C$13:$C$15,AD$13:AD$15),1)</f>
        <v>0</v>
      </c>
      <c s="125">
        <f>Предпосылки!AD$228*Предпосылки!$D268*Продажи!AE33*AE$19*(1+Чувствительность!$D$20)*IFERROR(LOOKUP(Предпосылки!$H$201,$C$13:$C$15,AE$13:AE$15),1)</f>
        <v>0</v>
      </c>
      <c s="125">
        <f>Предпосылки!AE$228*Предпосылки!$D268*Продажи!AF33*AF$19*(1+Чувствительность!$D$20)*IFERROR(LOOKUP(Предпосылки!$H$201,$C$13:$C$15,AF$13:AF$15),1)</f>
        <v>0</v>
      </c>
      <c s="125">
        <f>Предпосылки!AF$228*Предпосылки!$D268*Продажи!AG33*AG$19*(1+Чувствительность!$D$20)*IFERROR(LOOKUP(Предпосылки!$H$201,$C$13:$C$15,AG$13:AG$15),1)</f>
        <v>0</v>
      </c>
      <c s="125">
        <f>Предпосылки!AG$228*Предпосылки!$D268*Продажи!AH33*AH$19*(1+Чувствительность!$D$20)*IFERROR(LOOKUP(Предпосылки!$H$201,$C$13:$C$15,AH$13:AH$15),1)</f>
        <v>0</v>
      </c>
      <c s="125">
        <f>Предпосылки!AH$228*Предпосылки!$D268*Продажи!AI33*AI$19*(1+Чувствительность!$D$20)*IFERROR(LOOKUP(Предпосылки!$H$201,$C$13:$C$15,AI$13:AI$15),1)</f>
        <v>0</v>
      </c>
      <c s="125">
        <f>Предпосылки!AI$228*Предпосылки!$D268*Продажи!AJ33*AJ$19*(1+Чувствительность!$D$20)*IFERROR(LOOKUP(Предпосылки!$H$201,$C$13:$C$15,AJ$13:AJ$15),1)</f>
        <v>0</v>
      </c>
      <c s="125">
        <f>Предпосылки!AJ$228*Предпосылки!$D268*Продажи!AK33*AK$19*(1+Чувствительность!$D$20)*IFERROR(LOOKUP(Предпосылки!$H$201,$C$13:$C$15,AK$13:AK$15),1)</f>
        <v>0</v>
      </c>
      <c s="125">
        <f>Предпосылки!AK$228*Предпосылки!$D268*Продажи!AL33*AL$19*(1+Чувствительность!$D$20)*IFERROR(LOOKUP(Предпосылки!$H$201,$C$13:$C$15,AL$13:AL$15),1)</f>
        <v>0</v>
      </c>
      <c s="125">
        <f>Предпосылки!AL$228*Предпосылки!$D268*Продажи!AM33*AM$19*(1+Чувствительность!$D$20)*IFERROR(LOOKUP(Предпосылки!$H$201,$C$13:$C$15,AM$13:AM$15),1)</f>
        <v>0</v>
      </c>
      <c s="125">
        <f>Предпосылки!AM$228*Предпосылки!$D268*Продажи!AN33*AN$19*(1+Чувствительность!$D$20)*IFERROR(LOOKUP(Предпосылки!$H$201,$C$13:$C$15,AN$13:AN$15),1)</f>
        <v>0</v>
      </c>
      <c s="125">
        <f>Предпосылки!AN$228*Предпосылки!$D268*Продажи!AO33*AO$19*(1+Чувствительность!$D$20)*IFERROR(LOOKUP(Предпосылки!$H$201,$C$13:$C$15,AO$13:AO$15),1)</f>
        <v>0</v>
      </c>
      <c s="125">
        <f>Предпосылки!AO$228*Предпосылки!$D268*Продажи!AP33*AP$19*(1+Чувствительность!$D$20)*IFERROR(LOOKUP(Предпосылки!$H$201,$C$13:$C$15,AP$13:AP$15),1)</f>
        <v>0</v>
      </c>
      <c s="125">
        <f>Предпосылки!AP$228*Предпосылки!$D268*Продажи!AQ33*AQ$19*(1+Чувствительность!$D$20)*IFERROR(LOOKUP(Предпосылки!$H$201,$C$13:$C$15,AQ$13:AQ$15),1)</f>
        <v>0</v>
      </c>
      <c s="125">
        <f>Предпосылки!AQ$228*Предпосылки!$D268*Продажи!AR33*AR$19*(1+Чувствительность!$D$20)*IFERROR(LOOKUP(Предпосылки!$H$201,$C$13:$C$15,AR$13:AR$15),1)</f>
        <v>0</v>
      </c>
      <c s="125">
        <f>Предпосылки!AR$228*Предпосылки!$D268*Продажи!AS33*AS$19*(1+Чувствительность!$D$20)*IFERROR(LOOKUP(Предпосылки!$H$201,$C$13:$C$15,AS$13:AS$15),1)</f>
        <v>0</v>
      </c>
      <c s="125">
        <f>Предпосылки!AS$228*Предпосылки!$D268*Продажи!AT33*AT$19*(1+Чувствительность!$D$20)*IFERROR(LOOKUP(Предпосылки!$H$201,$C$13:$C$15,AT$13:AT$15),1)</f>
        <v>0</v>
      </c>
      <c s="125">
        <f>Предпосылки!AT$228*Предпосылки!$D268*Продажи!AU33*AU$19*(1+Чувствительность!$D$20)*IFERROR(LOOKUP(Предпосылки!$H$201,$C$13:$C$15,AU$13:AU$15),1)</f>
        <v>0</v>
      </c>
      <c s="125">
        <f>Предпосылки!AU$228*Предпосылки!$D268*Продажи!AV33*AV$19*(1+Чувствительность!$D$20)*IFERROR(LOOKUP(Предпосылки!$H$201,$C$13:$C$15,AV$13:AV$15),1)</f>
        <v>0</v>
      </c>
      <c s="125">
        <f>Предпосылки!AV$228*Предпосылки!$D268*Продажи!AW33*AW$19*(1+Чувствительность!$D$20)*IFERROR(LOOKUP(Предпосылки!$H$201,$C$13:$C$15,AW$13:AW$15),1)</f>
        <v>0</v>
      </c>
      <c s="125">
        <f>Предпосылки!AW$228*Предпосылки!$D268*Продажи!AX33*AX$19*(1+Чувствительность!$D$20)*IFERROR(LOOKUP(Предпосылки!$H$201,$C$13:$C$15,AX$13:AX$15),1)</f>
        <v>0</v>
      </c>
      <c s="125">
        <f>Предпосылки!AX$228*Предпосылки!$D268*Продажи!AY33*AY$19*(1+Чувствительность!$D$20)*IFERROR(LOOKUP(Предпосылки!$H$201,$C$13:$C$15,AY$13:AY$15),1)</f>
        <v>0</v>
      </c>
      <c s="125">
        <f>Предпосылки!AY$228*Предпосылки!$D268*Продажи!AZ33*AZ$19*(1+Чувствительность!$D$20)*IFERROR(LOOKUP(Предпосылки!$H$201,$C$13:$C$15,AZ$13:AZ$15),1)</f>
        <v>0</v>
      </c>
      <c s="125">
        <f>Предпосылки!AZ$228*Предпосылки!$D268*Продажи!BA33*BA$19*(1+Чувствительность!$D$20)*IFERROR(LOOKUP(Предпосылки!$H$201,$C$13:$C$15,BA$13:BA$15),1)</f>
        <v>0</v>
      </c>
      <c s="125">
        <f>Предпосылки!BA$228*Предпосылки!$D268*Продажи!BB33*BB$19*(1+Чувствительность!$D$20)*IFERROR(LOOKUP(Предпосылки!$H$201,$C$13:$C$15,BB$13:BB$15),1)</f>
        <v>0</v>
      </c>
      <c s="125">
        <f>Предпосылки!BB$228*Предпосылки!$D268*Продажи!BC33*BC$19*(1+Чувствительность!$D$20)*IFERROR(LOOKUP(Предпосылки!$H$201,$C$13:$C$15,BC$13:BC$15),1)</f>
        <v>0</v>
      </c>
      <c s="125">
        <f>Предпосылки!BC$228*Предпосылки!$D268*Продажи!BD33*BD$19*(1+Чувствительность!$D$20)*IFERROR(LOOKUP(Предпосылки!$H$201,$C$13:$C$15,BD$13:BD$15),1)</f>
        <v>0</v>
      </c>
      <c s="125">
        <f>Предпосылки!BD$228*Предпосылки!$D268*Продажи!BE33*BE$19*(1+Чувствительность!$D$20)*IFERROR(LOOKUP(Предпосылки!$H$201,$C$13:$C$15,BE$13:BE$15),1)</f>
        <v>0</v>
      </c>
      <c s="125">
        <f>Предпосылки!BE$228*Предпосылки!$D268*Продажи!BF33*BF$19*(1+Чувствительность!$D$20)*IFERROR(LOOKUP(Предпосылки!$H$201,$C$13:$C$15,BF$13:BF$15),1)</f>
        <v>0</v>
      </c>
      <c s="125">
        <f>Предпосылки!BF$228*Предпосылки!$D268*Продажи!BG33*BG$19*(1+Чувствительность!$D$20)*IFERROR(LOOKUP(Предпосылки!$H$201,$C$13:$C$15,BG$13:BG$15),1)</f>
        <v>0</v>
      </c>
      <c s="125">
        <f>Предпосылки!BG$228*Предпосылки!$D268*Продажи!BH33*BH$19*(1+Чувствительность!$D$20)*IFERROR(LOOKUP(Предпосылки!$H$201,$C$13:$C$15,BH$13:BH$15),1)</f>
        <v>0</v>
      </c>
      <c s="125">
        <f>Предпосылки!BH$228*Предпосылки!$D268*Продажи!BI33*BI$19*(1+Чувствительность!$D$20)*IFERROR(LOOKUP(Предпосылки!$H$201,$C$13:$C$15,BI$13:BI$15),1)</f>
        <v>0</v>
      </c>
      <c s="125">
        <f>Предпосылки!BI$228*Предпосылки!$D268*Продажи!BJ33*BJ$19*(1+Чувствительность!$D$20)*IFERROR(LOOKUP(Предпосылки!$H$201,$C$13:$C$15,BJ$13:BJ$15),1)</f>
        <v>0</v>
      </c>
      <c s="125">
        <f>Предпосылки!BJ$228*Предпосылки!$D268*Продажи!BK33*BK$19*(1+Чувствительность!$D$20)*IFERROR(LOOKUP(Предпосылки!$H$201,$C$13:$C$15,BK$13:BK$15),1)</f>
        <v>0</v>
      </c>
      <c s="125">
        <f>Предпосылки!BK$228*Предпосылки!$D268*Продажи!BL33*BL$19*(1+Чувствительность!$D$20)*IFERROR(LOOKUP(Предпосылки!$H$201,$C$13:$C$15,BL$13:BL$15),1)</f>
        <v>0</v>
      </c>
      <c s="125">
        <f>Предпосылки!BL$228*Предпосылки!$D268*Продажи!BM33*BM$19*(1+Чувствительность!$D$20)*IFERROR(LOOKUP(Предпосылки!$H$201,$C$13:$C$15,BM$13:BM$15),1)</f>
        <v>0</v>
      </c>
    </row>
    <row r="39" spans="2:65" ht="15" customHeight="1">
      <c r="B39" s="12" t="str">
        <f>Предпосылки!B166</f>
        <v>Продукт 17</v>
      </c>
      <c s="124" t="str">
        <f t="shared" si="61"/>
        <v>тыс. руб.</v>
      </c>
      <c s="276">
        <f t="shared" si="62"/>
        <v>0</v>
      </c>
      <c s="125">
        <f>Предпосылки!D$228*Предпосылки!$D269*Продажи!E34*E$19*(1+Чувствительность!$D$20)*IFERROR(LOOKUP(Предпосылки!$H$201,$C$13:$C$15,E$13:E$15),1)</f>
        <v>0</v>
      </c>
      <c s="125">
        <f>Предпосылки!E$228*Предпосылки!$D269*Продажи!F34*F$19*(1+Чувствительность!$D$20)*IFERROR(LOOKUP(Предпосылки!$H$201,$C$13:$C$15,F$13:F$15),1)</f>
        <v>0</v>
      </c>
      <c s="125">
        <f>Предпосылки!F$228*Предпосылки!$D269*Продажи!G34*G$19*(1+Чувствительность!$D$20)*IFERROR(LOOKUP(Предпосылки!$H$201,$C$13:$C$15,G$13:G$15),1)</f>
        <v>0</v>
      </c>
      <c s="125">
        <f>Предпосылки!G$228*Предпосылки!$D269*Продажи!H34*H$19*(1+Чувствительность!$D$20)*IFERROR(LOOKUP(Предпосылки!$H$201,$C$13:$C$15,H$13:H$15),1)</f>
        <v>0</v>
      </c>
      <c s="125">
        <f>Предпосылки!H$228*Предпосылки!$D269*Продажи!I34*I$19*(1+Чувствительность!$D$20)*IFERROR(LOOKUP(Предпосылки!$H$201,$C$13:$C$15,I$13:I$15),1)</f>
        <v>0</v>
      </c>
      <c s="125">
        <f>Предпосылки!I$228*Предпосылки!$D269*Продажи!J34*J$19*(1+Чувствительность!$D$20)*IFERROR(LOOKUP(Предпосылки!$H$201,$C$13:$C$15,J$13:J$15),1)</f>
        <v>0</v>
      </c>
      <c s="125">
        <f>Предпосылки!J$228*Предпосылки!$D269*Продажи!K34*K$19*(1+Чувствительность!$D$20)*IFERROR(LOOKUP(Предпосылки!$H$201,$C$13:$C$15,K$13:K$15),1)</f>
        <v>0</v>
      </c>
      <c s="125">
        <f>Предпосылки!K$228*Предпосылки!$D269*Продажи!L34*L$19*(1+Чувствительность!$D$20)*IFERROR(LOOKUP(Предпосылки!$H$201,$C$13:$C$15,L$13:L$15),1)</f>
        <v>0</v>
      </c>
      <c s="125">
        <f>Предпосылки!L$228*Предпосылки!$D269*Продажи!M34*M$19*(1+Чувствительность!$D$20)*IFERROR(LOOKUP(Предпосылки!$H$201,$C$13:$C$15,M$13:M$15),1)</f>
        <v>0</v>
      </c>
      <c s="125">
        <f>Предпосылки!M$228*Предпосылки!$D269*Продажи!N34*N$19*(1+Чувствительность!$D$20)*IFERROR(LOOKUP(Предпосылки!$H$201,$C$13:$C$15,N$13:N$15),1)</f>
        <v>0</v>
      </c>
      <c s="125">
        <f>Предпосылки!N$228*Предпосылки!$D269*Продажи!O34*O$19*(1+Чувствительность!$D$20)*IFERROR(LOOKUP(Предпосылки!$H$201,$C$13:$C$15,O$13:O$15),1)</f>
        <v>0</v>
      </c>
      <c s="125">
        <f>Предпосылки!O$228*Предпосылки!$D269*Продажи!P34*P$19*(1+Чувствительность!$D$20)*IFERROR(LOOKUP(Предпосылки!$H$201,$C$13:$C$15,P$13:P$15),1)</f>
        <v>0</v>
      </c>
      <c s="125">
        <f>Предпосылки!P$228*Предпосылки!$D269*Продажи!Q34*Q$19*(1+Чувствительность!$D$20)*IFERROR(LOOKUP(Предпосылки!$H$201,$C$13:$C$15,Q$13:Q$15),1)</f>
        <v>0</v>
      </c>
      <c s="125">
        <f>Предпосылки!Q$228*Предпосылки!$D269*Продажи!R34*R$19*(1+Чувствительность!$D$20)*IFERROR(LOOKUP(Предпосылки!$H$201,$C$13:$C$15,R$13:R$15),1)</f>
        <v>0</v>
      </c>
      <c s="125">
        <f>Предпосылки!R$228*Предпосылки!$D269*Продажи!S34*S$19*(1+Чувствительность!$D$20)*IFERROR(LOOKUP(Предпосылки!$H$201,$C$13:$C$15,S$13:S$15),1)</f>
        <v>0</v>
      </c>
      <c s="125">
        <f>Предпосылки!S$228*Предпосылки!$D269*Продажи!T34*T$19*(1+Чувствительность!$D$20)*IFERROR(LOOKUP(Предпосылки!$H$201,$C$13:$C$15,T$13:T$15),1)</f>
        <v>0</v>
      </c>
      <c s="125">
        <f>Предпосылки!T$228*Предпосылки!$D269*Продажи!U34*U$19*(1+Чувствительность!$D$20)*IFERROR(LOOKUP(Предпосылки!$H$201,$C$13:$C$15,U$13:U$15),1)</f>
        <v>0</v>
      </c>
      <c s="125">
        <f>Предпосылки!U$228*Предпосылки!$D269*Продажи!V34*V$19*(1+Чувствительность!$D$20)*IFERROR(LOOKUP(Предпосылки!$H$201,$C$13:$C$15,V$13:V$15),1)</f>
        <v>0</v>
      </c>
      <c s="125">
        <f>Предпосылки!V$228*Предпосылки!$D269*Продажи!W34*W$19*(1+Чувствительность!$D$20)*IFERROR(LOOKUP(Предпосылки!$H$201,$C$13:$C$15,W$13:W$15),1)</f>
        <v>0</v>
      </c>
      <c s="125">
        <f>Предпосылки!W$228*Предпосылки!$D269*Продажи!X34*X$19*(1+Чувствительность!$D$20)*IFERROR(LOOKUP(Предпосылки!$H$201,$C$13:$C$15,X$13:X$15),1)</f>
        <v>0</v>
      </c>
      <c s="125">
        <f>Предпосылки!X$228*Предпосылки!$D269*Продажи!Y34*Y$19*(1+Чувствительность!$D$20)*IFERROR(LOOKUP(Предпосылки!$H$201,$C$13:$C$15,Y$13:Y$15),1)</f>
        <v>0</v>
      </c>
      <c s="125">
        <f>Предпосылки!Y$228*Предпосылки!$D269*Продажи!Z34*Z$19*(1+Чувствительность!$D$20)*IFERROR(LOOKUP(Предпосылки!$H$201,$C$13:$C$15,Z$13:Z$15),1)</f>
        <v>0</v>
      </c>
      <c s="125">
        <f>Предпосылки!Z$228*Предпосылки!$D269*Продажи!AA34*AA$19*(1+Чувствительность!$D$20)*IFERROR(LOOKUP(Предпосылки!$H$201,$C$13:$C$15,AA$13:AA$15),1)</f>
        <v>0</v>
      </c>
      <c s="125">
        <f>Предпосылки!AA$228*Предпосылки!$D269*Продажи!AB34*AB$19*(1+Чувствительность!$D$20)*IFERROR(LOOKUP(Предпосылки!$H$201,$C$13:$C$15,AB$13:AB$15),1)</f>
        <v>0</v>
      </c>
      <c s="125">
        <f>Предпосылки!AB$228*Предпосылки!$D269*Продажи!AC34*AC$19*(1+Чувствительность!$D$20)*IFERROR(LOOKUP(Предпосылки!$H$201,$C$13:$C$15,AC$13:AC$15),1)</f>
        <v>0</v>
      </c>
      <c s="125">
        <f>Предпосылки!AC$228*Предпосылки!$D269*Продажи!AD34*AD$19*(1+Чувствительность!$D$20)*IFERROR(LOOKUP(Предпосылки!$H$201,$C$13:$C$15,AD$13:AD$15),1)</f>
        <v>0</v>
      </c>
      <c s="125">
        <f>Предпосылки!AD$228*Предпосылки!$D269*Продажи!AE34*AE$19*(1+Чувствительность!$D$20)*IFERROR(LOOKUP(Предпосылки!$H$201,$C$13:$C$15,AE$13:AE$15),1)</f>
        <v>0</v>
      </c>
      <c s="125">
        <f>Предпосылки!AE$228*Предпосылки!$D269*Продажи!AF34*AF$19*(1+Чувствительность!$D$20)*IFERROR(LOOKUP(Предпосылки!$H$201,$C$13:$C$15,AF$13:AF$15),1)</f>
        <v>0</v>
      </c>
      <c s="125">
        <f>Предпосылки!AF$228*Предпосылки!$D269*Продажи!AG34*AG$19*(1+Чувствительность!$D$20)*IFERROR(LOOKUP(Предпосылки!$H$201,$C$13:$C$15,AG$13:AG$15),1)</f>
        <v>0</v>
      </c>
      <c s="125">
        <f>Предпосылки!AG$228*Предпосылки!$D269*Продажи!AH34*AH$19*(1+Чувствительность!$D$20)*IFERROR(LOOKUP(Предпосылки!$H$201,$C$13:$C$15,AH$13:AH$15),1)</f>
        <v>0</v>
      </c>
      <c s="125">
        <f>Предпосылки!AH$228*Предпосылки!$D269*Продажи!AI34*AI$19*(1+Чувствительность!$D$20)*IFERROR(LOOKUP(Предпосылки!$H$201,$C$13:$C$15,AI$13:AI$15),1)</f>
        <v>0</v>
      </c>
      <c s="125">
        <f>Предпосылки!AI$228*Предпосылки!$D269*Продажи!AJ34*AJ$19*(1+Чувствительность!$D$20)*IFERROR(LOOKUP(Предпосылки!$H$201,$C$13:$C$15,AJ$13:AJ$15),1)</f>
        <v>0</v>
      </c>
      <c s="125">
        <f>Предпосылки!AJ$228*Предпосылки!$D269*Продажи!AK34*AK$19*(1+Чувствительность!$D$20)*IFERROR(LOOKUP(Предпосылки!$H$201,$C$13:$C$15,AK$13:AK$15),1)</f>
        <v>0</v>
      </c>
      <c s="125">
        <f>Предпосылки!AK$228*Предпосылки!$D269*Продажи!AL34*AL$19*(1+Чувствительность!$D$20)*IFERROR(LOOKUP(Предпосылки!$H$201,$C$13:$C$15,AL$13:AL$15),1)</f>
        <v>0</v>
      </c>
      <c s="125">
        <f>Предпосылки!AL$228*Предпосылки!$D269*Продажи!AM34*AM$19*(1+Чувствительность!$D$20)*IFERROR(LOOKUP(Предпосылки!$H$201,$C$13:$C$15,AM$13:AM$15),1)</f>
        <v>0</v>
      </c>
      <c s="125">
        <f>Предпосылки!AM$228*Предпосылки!$D269*Продажи!AN34*AN$19*(1+Чувствительность!$D$20)*IFERROR(LOOKUP(Предпосылки!$H$201,$C$13:$C$15,AN$13:AN$15),1)</f>
        <v>0</v>
      </c>
      <c s="125">
        <f>Предпосылки!AN$228*Предпосылки!$D269*Продажи!AO34*AO$19*(1+Чувствительность!$D$20)*IFERROR(LOOKUP(Предпосылки!$H$201,$C$13:$C$15,AO$13:AO$15),1)</f>
        <v>0</v>
      </c>
      <c s="125">
        <f>Предпосылки!AO$228*Предпосылки!$D269*Продажи!AP34*AP$19*(1+Чувствительность!$D$20)*IFERROR(LOOKUP(Предпосылки!$H$201,$C$13:$C$15,AP$13:AP$15),1)</f>
        <v>0</v>
      </c>
      <c s="125">
        <f>Предпосылки!AP$228*Предпосылки!$D269*Продажи!AQ34*AQ$19*(1+Чувствительность!$D$20)*IFERROR(LOOKUP(Предпосылки!$H$201,$C$13:$C$15,AQ$13:AQ$15),1)</f>
        <v>0</v>
      </c>
      <c s="125">
        <f>Предпосылки!AQ$228*Предпосылки!$D269*Продажи!AR34*AR$19*(1+Чувствительность!$D$20)*IFERROR(LOOKUP(Предпосылки!$H$201,$C$13:$C$15,AR$13:AR$15),1)</f>
        <v>0</v>
      </c>
      <c s="125">
        <f>Предпосылки!AR$228*Предпосылки!$D269*Продажи!AS34*AS$19*(1+Чувствительность!$D$20)*IFERROR(LOOKUP(Предпосылки!$H$201,$C$13:$C$15,AS$13:AS$15),1)</f>
        <v>0</v>
      </c>
      <c s="125">
        <f>Предпосылки!AS$228*Предпосылки!$D269*Продажи!AT34*AT$19*(1+Чувствительность!$D$20)*IFERROR(LOOKUP(Предпосылки!$H$201,$C$13:$C$15,AT$13:AT$15),1)</f>
        <v>0</v>
      </c>
      <c s="125">
        <f>Предпосылки!AT$228*Предпосылки!$D269*Продажи!AU34*AU$19*(1+Чувствительность!$D$20)*IFERROR(LOOKUP(Предпосылки!$H$201,$C$13:$C$15,AU$13:AU$15),1)</f>
        <v>0</v>
      </c>
      <c s="125">
        <f>Предпосылки!AU$228*Предпосылки!$D269*Продажи!AV34*AV$19*(1+Чувствительность!$D$20)*IFERROR(LOOKUP(Предпосылки!$H$201,$C$13:$C$15,AV$13:AV$15),1)</f>
        <v>0</v>
      </c>
      <c s="125">
        <f>Предпосылки!AV$228*Предпосылки!$D269*Продажи!AW34*AW$19*(1+Чувствительность!$D$20)*IFERROR(LOOKUP(Предпосылки!$H$201,$C$13:$C$15,AW$13:AW$15),1)</f>
        <v>0</v>
      </c>
      <c s="125">
        <f>Предпосылки!AW$228*Предпосылки!$D269*Продажи!AX34*AX$19*(1+Чувствительность!$D$20)*IFERROR(LOOKUP(Предпосылки!$H$201,$C$13:$C$15,AX$13:AX$15),1)</f>
        <v>0</v>
      </c>
      <c s="125">
        <f>Предпосылки!AX$228*Предпосылки!$D269*Продажи!AY34*AY$19*(1+Чувствительность!$D$20)*IFERROR(LOOKUP(Предпосылки!$H$201,$C$13:$C$15,AY$13:AY$15),1)</f>
        <v>0</v>
      </c>
      <c s="125">
        <f>Предпосылки!AY$228*Предпосылки!$D269*Продажи!AZ34*AZ$19*(1+Чувствительность!$D$20)*IFERROR(LOOKUP(Предпосылки!$H$201,$C$13:$C$15,AZ$13:AZ$15),1)</f>
        <v>0</v>
      </c>
      <c s="125">
        <f>Предпосылки!AZ$228*Предпосылки!$D269*Продажи!BA34*BA$19*(1+Чувствительность!$D$20)*IFERROR(LOOKUP(Предпосылки!$H$201,$C$13:$C$15,BA$13:BA$15),1)</f>
        <v>0</v>
      </c>
      <c s="125">
        <f>Предпосылки!BA$228*Предпосылки!$D269*Продажи!BB34*BB$19*(1+Чувствительность!$D$20)*IFERROR(LOOKUP(Предпосылки!$H$201,$C$13:$C$15,BB$13:BB$15),1)</f>
        <v>0</v>
      </c>
      <c s="125">
        <f>Предпосылки!BB$228*Предпосылки!$D269*Продажи!BC34*BC$19*(1+Чувствительность!$D$20)*IFERROR(LOOKUP(Предпосылки!$H$201,$C$13:$C$15,BC$13:BC$15),1)</f>
        <v>0</v>
      </c>
      <c s="125">
        <f>Предпосылки!BC$228*Предпосылки!$D269*Продажи!BD34*BD$19*(1+Чувствительность!$D$20)*IFERROR(LOOKUP(Предпосылки!$H$201,$C$13:$C$15,BD$13:BD$15),1)</f>
        <v>0</v>
      </c>
      <c s="125">
        <f>Предпосылки!BD$228*Предпосылки!$D269*Продажи!BE34*BE$19*(1+Чувствительность!$D$20)*IFERROR(LOOKUP(Предпосылки!$H$201,$C$13:$C$15,BE$13:BE$15),1)</f>
        <v>0</v>
      </c>
      <c s="125">
        <f>Предпосылки!BE$228*Предпосылки!$D269*Продажи!BF34*BF$19*(1+Чувствительность!$D$20)*IFERROR(LOOKUP(Предпосылки!$H$201,$C$13:$C$15,BF$13:BF$15),1)</f>
        <v>0</v>
      </c>
      <c s="125">
        <f>Предпосылки!BF$228*Предпосылки!$D269*Продажи!BG34*BG$19*(1+Чувствительность!$D$20)*IFERROR(LOOKUP(Предпосылки!$H$201,$C$13:$C$15,BG$13:BG$15),1)</f>
        <v>0</v>
      </c>
      <c s="125">
        <f>Предпосылки!BG$228*Предпосылки!$D269*Продажи!BH34*BH$19*(1+Чувствительность!$D$20)*IFERROR(LOOKUP(Предпосылки!$H$201,$C$13:$C$15,BH$13:BH$15),1)</f>
        <v>0</v>
      </c>
      <c s="125">
        <f>Предпосылки!BH$228*Предпосылки!$D269*Продажи!BI34*BI$19*(1+Чувствительность!$D$20)*IFERROR(LOOKUP(Предпосылки!$H$201,$C$13:$C$15,BI$13:BI$15),1)</f>
        <v>0</v>
      </c>
      <c s="125">
        <f>Предпосылки!BI$228*Предпосылки!$D269*Продажи!BJ34*BJ$19*(1+Чувствительность!$D$20)*IFERROR(LOOKUP(Предпосылки!$H$201,$C$13:$C$15,BJ$13:BJ$15),1)</f>
        <v>0</v>
      </c>
      <c s="125">
        <f>Предпосылки!BJ$228*Предпосылки!$D269*Продажи!BK34*BK$19*(1+Чувствительность!$D$20)*IFERROR(LOOKUP(Предпосылки!$H$201,$C$13:$C$15,BK$13:BK$15),1)</f>
        <v>0</v>
      </c>
      <c s="125">
        <f>Предпосылки!BK$228*Предпосылки!$D269*Продажи!BL34*BL$19*(1+Чувствительность!$D$20)*IFERROR(LOOKUP(Предпосылки!$H$201,$C$13:$C$15,BL$13:BL$15),1)</f>
        <v>0</v>
      </c>
      <c s="125">
        <f>Предпосылки!BL$228*Предпосылки!$D269*Продажи!BM34*BM$19*(1+Чувствительность!$D$20)*IFERROR(LOOKUP(Предпосылки!$H$201,$C$13:$C$15,BM$13:BM$15),1)</f>
        <v>0</v>
      </c>
    </row>
    <row r="40" spans="2:65" ht="15" customHeight="1">
      <c r="B40" s="12" t="str">
        <f>Предпосылки!B167</f>
        <v>Продукт 18</v>
      </c>
      <c s="124" t="str">
        <f t="shared" si="61"/>
        <v>тыс. руб.</v>
      </c>
      <c s="276">
        <f t="shared" si="62"/>
        <v>0</v>
      </c>
      <c s="125">
        <f>Предпосылки!D$228*Предпосылки!$D270*Продажи!E35*E$19*(1+Чувствительность!$D$20)*IFERROR(LOOKUP(Предпосылки!$H$201,$C$13:$C$15,E$13:E$15),1)</f>
        <v>0</v>
      </c>
      <c s="125">
        <f>Предпосылки!E$228*Предпосылки!$D270*Продажи!F35*F$19*(1+Чувствительность!$D$20)*IFERROR(LOOKUP(Предпосылки!$H$201,$C$13:$C$15,F$13:F$15),1)</f>
        <v>0</v>
      </c>
      <c s="125">
        <f>Предпосылки!F$228*Предпосылки!$D270*Продажи!G35*G$19*(1+Чувствительность!$D$20)*IFERROR(LOOKUP(Предпосылки!$H$201,$C$13:$C$15,G$13:G$15),1)</f>
        <v>0</v>
      </c>
      <c s="125">
        <f>Предпосылки!G$228*Предпосылки!$D270*Продажи!H35*H$19*(1+Чувствительность!$D$20)*IFERROR(LOOKUP(Предпосылки!$H$201,$C$13:$C$15,H$13:H$15),1)</f>
        <v>0</v>
      </c>
      <c s="125">
        <f>Предпосылки!H$228*Предпосылки!$D270*Продажи!I35*I$19*(1+Чувствительность!$D$20)*IFERROR(LOOKUP(Предпосылки!$H$201,$C$13:$C$15,I$13:I$15),1)</f>
        <v>0</v>
      </c>
      <c s="125">
        <f>Предпосылки!I$228*Предпосылки!$D270*Продажи!J35*J$19*(1+Чувствительность!$D$20)*IFERROR(LOOKUP(Предпосылки!$H$201,$C$13:$C$15,J$13:J$15),1)</f>
        <v>0</v>
      </c>
      <c s="125">
        <f>Предпосылки!J$228*Предпосылки!$D270*Продажи!K35*K$19*(1+Чувствительность!$D$20)*IFERROR(LOOKUP(Предпосылки!$H$201,$C$13:$C$15,K$13:K$15),1)</f>
        <v>0</v>
      </c>
      <c s="125">
        <f>Предпосылки!K$228*Предпосылки!$D270*Продажи!L35*L$19*(1+Чувствительность!$D$20)*IFERROR(LOOKUP(Предпосылки!$H$201,$C$13:$C$15,L$13:L$15),1)</f>
        <v>0</v>
      </c>
      <c s="125">
        <f>Предпосылки!L$228*Предпосылки!$D270*Продажи!M35*M$19*(1+Чувствительность!$D$20)*IFERROR(LOOKUP(Предпосылки!$H$201,$C$13:$C$15,M$13:M$15),1)</f>
        <v>0</v>
      </c>
      <c s="125">
        <f>Предпосылки!M$228*Предпосылки!$D270*Продажи!N35*N$19*(1+Чувствительность!$D$20)*IFERROR(LOOKUP(Предпосылки!$H$201,$C$13:$C$15,N$13:N$15),1)</f>
        <v>0</v>
      </c>
      <c s="125">
        <f>Предпосылки!N$228*Предпосылки!$D270*Продажи!O35*O$19*(1+Чувствительность!$D$20)*IFERROR(LOOKUP(Предпосылки!$H$201,$C$13:$C$15,O$13:O$15),1)</f>
        <v>0</v>
      </c>
      <c s="125">
        <f>Предпосылки!O$228*Предпосылки!$D270*Продажи!P35*P$19*(1+Чувствительность!$D$20)*IFERROR(LOOKUP(Предпосылки!$H$201,$C$13:$C$15,P$13:P$15),1)</f>
        <v>0</v>
      </c>
      <c s="125">
        <f>Предпосылки!P$228*Предпосылки!$D270*Продажи!Q35*Q$19*(1+Чувствительность!$D$20)*IFERROR(LOOKUP(Предпосылки!$H$201,$C$13:$C$15,Q$13:Q$15),1)</f>
        <v>0</v>
      </c>
      <c s="125">
        <f>Предпосылки!Q$228*Предпосылки!$D270*Продажи!R35*R$19*(1+Чувствительность!$D$20)*IFERROR(LOOKUP(Предпосылки!$H$201,$C$13:$C$15,R$13:R$15),1)</f>
        <v>0</v>
      </c>
      <c s="125">
        <f>Предпосылки!R$228*Предпосылки!$D270*Продажи!S35*S$19*(1+Чувствительность!$D$20)*IFERROR(LOOKUP(Предпосылки!$H$201,$C$13:$C$15,S$13:S$15),1)</f>
        <v>0</v>
      </c>
      <c s="125">
        <f>Предпосылки!S$228*Предпосылки!$D270*Продажи!T35*T$19*(1+Чувствительность!$D$20)*IFERROR(LOOKUP(Предпосылки!$H$201,$C$13:$C$15,T$13:T$15),1)</f>
        <v>0</v>
      </c>
      <c s="125">
        <f>Предпосылки!T$228*Предпосылки!$D270*Продажи!U35*U$19*(1+Чувствительность!$D$20)*IFERROR(LOOKUP(Предпосылки!$H$201,$C$13:$C$15,U$13:U$15),1)</f>
        <v>0</v>
      </c>
      <c s="125">
        <f>Предпосылки!U$228*Предпосылки!$D270*Продажи!V35*V$19*(1+Чувствительность!$D$20)*IFERROR(LOOKUP(Предпосылки!$H$201,$C$13:$C$15,V$13:V$15),1)</f>
        <v>0</v>
      </c>
      <c s="125">
        <f>Предпосылки!V$228*Предпосылки!$D270*Продажи!W35*W$19*(1+Чувствительность!$D$20)*IFERROR(LOOKUP(Предпосылки!$H$201,$C$13:$C$15,W$13:W$15),1)</f>
        <v>0</v>
      </c>
      <c s="125">
        <f>Предпосылки!W$228*Предпосылки!$D270*Продажи!X35*X$19*(1+Чувствительность!$D$20)*IFERROR(LOOKUP(Предпосылки!$H$201,$C$13:$C$15,X$13:X$15),1)</f>
        <v>0</v>
      </c>
      <c s="125">
        <f>Предпосылки!X$228*Предпосылки!$D270*Продажи!Y35*Y$19*(1+Чувствительность!$D$20)*IFERROR(LOOKUP(Предпосылки!$H$201,$C$13:$C$15,Y$13:Y$15),1)</f>
        <v>0</v>
      </c>
      <c s="125">
        <f>Предпосылки!Y$228*Предпосылки!$D270*Продажи!Z35*Z$19*(1+Чувствительность!$D$20)*IFERROR(LOOKUP(Предпосылки!$H$201,$C$13:$C$15,Z$13:Z$15),1)</f>
        <v>0</v>
      </c>
      <c s="125">
        <f>Предпосылки!Z$228*Предпосылки!$D270*Продажи!AA35*AA$19*(1+Чувствительность!$D$20)*IFERROR(LOOKUP(Предпосылки!$H$201,$C$13:$C$15,AA$13:AA$15),1)</f>
        <v>0</v>
      </c>
      <c s="125">
        <f>Предпосылки!AA$228*Предпосылки!$D270*Продажи!AB35*AB$19*(1+Чувствительность!$D$20)*IFERROR(LOOKUP(Предпосылки!$H$201,$C$13:$C$15,AB$13:AB$15),1)</f>
        <v>0</v>
      </c>
      <c s="125">
        <f>Предпосылки!AB$228*Предпосылки!$D270*Продажи!AC35*AC$19*(1+Чувствительность!$D$20)*IFERROR(LOOKUP(Предпосылки!$H$201,$C$13:$C$15,AC$13:AC$15),1)</f>
        <v>0</v>
      </c>
      <c s="125">
        <f>Предпосылки!AC$228*Предпосылки!$D270*Продажи!AD35*AD$19*(1+Чувствительность!$D$20)*IFERROR(LOOKUP(Предпосылки!$H$201,$C$13:$C$15,AD$13:AD$15),1)</f>
        <v>0</v>
      </c>
      <c s="125">
        <f>Предпосылки!AD$228*Предпосылки!$D270*Продажи!AE35*AE$19*(1+Чувствительность!$D$20)*IFERROR(LOOKUP(Предпосылки!$H$201,$C$13:$C$15,AE$13:AE$15),1)</f>
        <v>0</v>
      </c>
      <c s="125">
        <f>Предпосылки!AE$228*Предпосылки!$D270*Продажи!AF35*AF$19*(1+Чувствительность!$D$20)*IFERROR(LOOKUP(Предпосылки!$H$201,$C$13:$C$15,AF$13:AF$15),1)</f>
        <v>0</v>
      </c>
      <c s="125">
        <f>Предпосылки!AF$228*Предпосылки!$D270*Продажи!AG35*AG$19*(1+Чувствительность!$D$20)*IFERROR(LOOKUP(Предпосылки!$H$201,$C$13:$C$15,AG$13:AG$15),1)</f>
        <v>0</v>
      </c>
      <c s="125">
        <f>Предпосылки!AG$228*Предпосылки!$D270*Продажи!AH35*AH$19*(1+Чувствительность!$D$20)*IFERROR(LOOKUP(Предпосылки!$H$201,$C$13:$C$15,AH$13:AH$15),1)</f>
        <v>0</v>
      </c>
      <c s="125">
        <f>Предпосылки!AH$228*Предпосылки!$D270*Продажи!AI35*AI$19*(1+Чувствительность!$D$20)*IFERROR(LOOKUP(Предпосылки!$H$201,$C$13:$C$15,AI$13:AI$15),1)</f>
        <v>0</v>
      </c>
      <c s="125">
        <f>Предпосылки!AI$228*Предпосылки!$D270*Продажи!AJ35*AJ$19*(1+Чувствительность!$D$20)*IFERROR(LOOKUP(Предпосылки!$H$201,$C$13:$C$15,AJ$13:AJ$15),1)</f>
        <v>0</v>
      </c>
      <c s="125">
        <f>Предпосылки!AJ$228*Предпосылки!$D270*Продажи!AK35*AK$19*(1+Чувствительность!$D$20)*IFERROR(LOOKUP(Предпосылки!$H$201,$C$13:$C$15,AK$13:AK$15),1)</f>
        <v>0</v>
      </c>
      <c s="125">
        <f>Предпосылки!AK$228*Предпосылки!$D270*Продажи!AL35*AL$19*(1+Чувствительность!$D$20)*IFERROR(LOOKUP(Предпосылки!$H$201,$C$13:$C$15,AL$13:AL$15),1)</f>
        <v>0</v>
      </c>
      <c s="125">
        <f>Предпосылки!AL$228*Предпосылки!$D270*Продажи!AM35*AM$19*(1+Чувствительность!$D$20)*IFERROR(LOOKUP(Предпосылки!$H$201,$C$13:$C$15,AM$13:AM$15),1)</f>
        <v>0</v>
      </c>
      <c s="125">
        <f>Предпосылки!AM$228*Предпосылки!$D270*Продажи!AN35*AN$19*(1+Чувствительность!$D$20)*IFERROR(LOOKUP(Предпосылки!$H$201,$C$13:$C$15,AN$13:AN$15),1)</f>
        <v>0</v>
      </c>
      <c s="125">
        <f>Предпосылки!AN$228*Предпосылки!$D270*Продажи!AO35*AO$19*(1+Чувствительность!$D$20)*IFERROR(LOOKUP(Предпосылки!$H$201,$C$13:$C$15,AO$13:AO$15),1)</f>
        <v>0</v>
      </c>
      <c s="125">
        <f>Предпосылки!AO$228*Предпосылки!$D270*Продажи!AP35*AP$19*(1+Чувствительность!$D$20)*IFERROR(LOOKUP(Предпосылки!$H$201,$C$13:$C$15,AP$13:AP$15),1)</f>
        <v>0</v>
      </c>
      <c s="125">
        <f>Предпосылки!AP$228*Предпосылки!$D270*Продажи!AQ35*AQ$19*(1+Чувствительность!$D$20)*IFERROR(LOOKUP(Предпосылки!$H$201,$C$13:$C$15,AQ$13:AQ$15),1)</f>
        <v>0</v>
      </c>
      <c s="125">
        <f>Предпосылки!AQ$228*Предпосылки!$D270*Продажи!AR35*AR$19*(1+Чувствительность!$D$20)*IFERROR(LOOKUP(Предпосылки!$H$201,$C$13:$C$15,AR$13:AR$15),1)</f>
        <v>0</v>
      </c>
      <c s="125">
        <f>Предпосылки!AR$228*Предпосылки!$D270*Продажи!AS35*AS$19*(1+Чувствительность!$D$20)*IFERROR(LOOKUP(Предпосылки!$H$201,$C$13:$C$15,AS$13:AS$15),1)</f>
        <v>0</v>
      </c>
      <c s="125">
        <f>Предпосылки!AS$228*Предпосылки!$D270*Продажи!AT35*AT$19*(1+Чувствительность!$D$20)*IFERROR(LOOKUP(Предпосылки!$H$201,$C$13:$C$15,AT$13:AT$15),1)</f>
        <v>0</v>
      </c>
      <c s="125">
        <f>Предпосылки!AT$228*Предпосылки!$D270*Продажи!AU35*AU$19*(1+Чувствительность!$D$20)*IFERROR(LOOKUP(Предпосылки!$H$201,$C$13:$C$15,AU$13:AU$15),1)</f>
        <v>0</v>
      </c>
      <c s="125">
        <f>Предпосылки!AU$228*Предпосылки!$D270*Продажи!AV35*AV$19*(1+Чувствительность!$D$20)*IFERROR(LOOKUP(Предпосылки!$H$201,$C$13:$C$15,AV$13:AV$15),1)</f>
        <v>0</v>
      </c>
      <c s="125">
        <f>Предпосылки!AV$228*Предпосылки!$D270*Продажи!AW35*AW$19*(1+Чувствительность!$D$20)*IFERROR(LOOKUP(Предпосылки!$H$201,$C$13:$C$15,AW$13:AW$15),1)</f>
        <v>0</v>
      </c>
      <c s="125">
        <f>Предпосылки!AW$228*Предпосылки!$D270*Продажи!AX35*AX$19*(1+Чувствительность!$D$20)*IFERROR(LOOKUP(Предпосылки!$H$201,$C$13:$C$15,AX$13:AX$15),1)</f>
        <v>0</v>
      </c>
      <c s="125">
        <f>Предпосылки!AX$228*Предпосылки!$D270*Продажи!AY35*AY$19*(1+Чувствительность!$D$20)*IFERROR(LOOKUP(Предпосылки!$H$201,$C$13:$C$15,AY$13:AY$15),1)</f>
        <v>0</v>
      </c>
      <c s="125">
        <f>Предпосылки!AY$228*Предпосылки!$D270*Продажи!AZ35*AZ$19*(1+Чувствительность!$D$20)*IFERROR(LOOKUP(Предпосылки!$H$201,$C$13:$C$15,AZ$13:AZ$15),1)</f>
        <v>0</v>
      </c>
      <c s="125">
        <f>Предпосылки!AZ$228*Предпосылки!$D270*Продажи!BA35*BA$19*(1+Чувствительность!$D$20)*IFERROR(LOOKUP(Предпосылки!$H$201,$C$13:$C$15,BA$13:BA$15),1)</f>
        <v>0</v>
      </c>
      <c s="125">
        <f>Предпосылки!BA$228*Предпосылки!$D270*Продажи!BB35*BB$19*(1+Чувствительность!$D$20)*IFERROR(LOOKUP(Предпосылки!$H$201,$C$13:$C$15,BB$13:BB$15),1)</f>
        <v>0</v>
      </c>
      <c s="125">
        <f>Предпосылки!BB$228*Предпосылки!$D270*Продажи!BC35*BC$19*(1+Чувствительность!$D$20)*IFERROR(LOOKUP(Предпосылки!$H$201,$C$13:$C$15,BC$13:BC$15),1)</f>
        <v>0</v>
      </c>
      <c s="125">
        <f>Предпосылки!BC$228*Предпосылки!$D270*Продажи!BD35*BD$19*(1+Чувствительность!$D$20)*IFERROR(LOOKUP(Предпосылки!$H$201,$C$13:$C$15,BD$13:BD$15),1)</f>
        <v>0</v>
      </c>
      <c s="125">
        <f>Предпосылки!BD$228*Предпосылки!$D270*Продажи!BE35*BE$19*(1+Чувствительность!$D$20)*IFERROR(LOOKUP(Предпосылки!$H$201,$C$13:$C$15,BE$13:BE$15),1)</f>
        <v>0</v>
      </c>
      <c s="125">
        <f>Предпосылки!BE$228*Предпосылки!$D270*Продажи!BF35*BF$19*(1+Чувствительность!$D$20)*IFERROR(LOOKUP(Предпосылки!$H$201,$C$13:$C$15,BF$13:BF$15),1)</f>
        <v>0</v>
      </c>
      <c s="125">
        <f>Предпосылки!BF$228*Предпосылки!$D270*Продажи!BG35*BG$19*(1+Чувствительность!$D$20)*IFERROR(LOOKUP(Предпосылки!$H$201,$C$13:$C$15,BG$13:BG$15),1)</f>
        <v>0</v>
      </c>
      <c s="125">
        <f>Предпосылки!BG$228*Предпосылки!$D270*Продажи!BH35*BH$19*(1+Чувствительность!$D$20)*IFERROR(LOOKUP(Предпосылки!$H$201,$C$13:$C$15,BH$13:BH$15),1)</f>
        <v>0</v>
      </c>
      <c s="125">
        <f>Предпосылки!BH$228*Предпосылки!$D270*Продажи!BI35*BI$19*(1+Чувствительность!$D$20)*IFERROR(LOOKUP(Предпосылки!$H$201,$C$13:$C$15,BI$13:BI$15),1)</f>
        <v>0</v>
      </c>
      <c s="125">
        <f>Предпосылки!BI$228*Предпосылки!$D270*Продажи!BJ35*BJ$19*(1+Чувствительность!$D$20)*IFERROR(LOOKUP(Предпосылки!$H$201,$C$13:$C$15,BJ$13:BJ$15),1)</f>
        <v>0</v>
      </c>
      <c s="125">
        <f>Предпосылки!BJ$228*Предпосылки!$D270*Продажи!BK35*BK$19*(1+Чувствительность!$D$20)*IFERROR(LOOKUP(Предпосылки!$H$201,$C$13:$C$15,BK$13:BK$15),1)</f>
        <v>0</v>
      </c>
      <c s="125">
        <f>Предпосылки!BK$228*Предпосылки!$D270*Продажи!BL35*BL$19*(1+Чувствительность!$D$20)*IFERROR(LOOKUP(Предпосылки!$H$201,$C$13:$C$15,BL$13:BL$15),1)</f>
        <v>0</v>
      </c>
      <c s="125">
        <f>Предпосылки!BL$228*Предпосылки!$D270*Продажи!BM35*BM$19*(1+Чувствительность!$D$20)*IFERROR(LOOKUP(Предпосылки!$H$201,$C$13:$C$15,BM$13:BM$15),1)</f>
        <v>0</v>
      </c>
    </row>
    <row r="41" spans="2:65" ht="15" customHeight="1">
      <c r="B41" s="12" t="str">
        <f>Предпосылки!B168</f>
        <v>Продукт 19</v>
      </c>
      <c s="124" t="str">
        <f t="shared" si="61"/>
        <v>тыс. руб.</v>
      </c>
      <c s="276">
        <f t="shared" si="62"/>
        <v>0</v>
      </c>
      <c s="125">
        <f>Предпосылки!D$228*Предпосылки!$D271*Продажи!E36*E$19*(1+Чувствительность!$D$20)*IFERROR(LOOKUP(Предпосылки!$H$201,$C$13:$C$15,E$13:E$15),1)</f>
        <v>0</v>
      </c>
      <c s="125">
        <f>Предпосылки!E$228*Предпосылки!$D271*Продажи!F36*F$19*(1+Чувствительность!$D$20)*IFERROR(LOOKUP(Предпосылки!$H$201,$C$13:$C$15,F$13:F$15),1)</f>
        <v>0</v>
      </c>
      <c s="125">
        <f>Предпосылки!F$228*Предпосылки!$D271*Продажи!G36*G$19*(1+Чувствительность!$D$20)*IFERROR(LOOKUP(Предпосылки!$H$201,$C$13:$C$15,G$13:G$15),1)</f>
        <v>0</v>
      </c>
      <c s="125">
        <f>Предпосылки!G$228*Предпосылки!$D271*Продажи!H36*H$19*(1+Чувствительность!$D$20)*IFERROR(LOOKUP(Предпосылки!$H$201,$C$13:$C$15,H$13:H$15),1)</f>
        <v>0</v>
      </c>
      <c s="125">
        <f>Предпосылки!H$228*Предпосылки!$D271*Продажи!I36*I$19*(1+Чувствительность!$D$20)*IFERROR(LOOKUP(Предпосылки!$H$201,$C$13:$C$15,I$13:I$15),1)</f>
        <v>0</v>
      </c>
      <c s="125">
        <f>Предпосылки!I$228*Предпосылки!$D271*Продажи!J36*J$19*(1+Чувствительность!$D$20)*IFERROR(LOOKUP(Предпосылки!$H$201,$C$13:$C$15,J$13:J$15),1)</f>
        <v>0</v>
      </c>
      <c s="125">
        <f>Предпосылки!J$228*Предпосылки!$D271*Продажи!K36*K$19*(1+Чувствительность!$D$20)*IFERROR(LOOKUP(Предпосылки!$H$201,$C$13:$C$15,K$13:K$15),1)</f>
        <v>0</v>
      </c>
      <c s="125">
        <f>Предпосылки!K$228*Предпосылки!$D271*Продажи!L36*L$19*(1+Чувствительность!$D$20)*IFERROR(LOOKUP(Предпосылки!$H$201,$C$13:$C$15,L$13:L$15),1)</f>
        <v>0</v>
      </c>
      <c s="125">
        <f>Предпосылки!L$228*Предпосылки!$D271*Продажи!M36*M$19*(1+Чувствительность!$D$20)*IFERROR(LOOKUP(Предпосылки!$H$201,$C$13:$C$15,M$13:M$15),1)</f>
        <v>0</v>
      </c>
      <c s="125">
        <f>Предпосылки!M$228*Предпосылки!$D271*Продажи!N36*N$19*(1+Чувствительность!$D$20)*IFERROR(LOOKUP(Предпосылки!$H$201,$C$13:$C$15,N$13:N$15),1)</f>
        <v>0</v>
      </c>
      <c s="125">
        <f>Предпосылки!N$228*Предпосылки!$D271*Продажи!O36*O$19*(1+Чувствительность!$D$20)*IFERROR(LOOKUP(Предпосылки!$H$201,$C$13:$C$15,O$13:O$15),1)</f>
        <v>0</v>
      </c>
      <c s="125">
        <f>Предпосылки!O$228*Предпосылки!$D271*Продажи!P36*P$19*(1+Чувствительность!$D$20)*IFERROR(LOOKUP(Предпосылки!$H$201,$C$13:$C$15,P$13:P$15),1)</f>
        <v>0</v>
      </c>
      <c s="125">
        <f>Предпосылки!P$228*Предпосылки!$D271*Продажи!Q36*Q$19*(1+Чувствительность!$D$20)*IFERROR(LOOKUP(Предпосылки!$H$201,$C$13:$C$15,Q$13:Q$15),1)</f>
        <v>0</v>
      </c>
      <c s="125">
        <f>Предпосылки!Q$228*Предпосылки!$D271*Продажи!R36*R$19*(1+Чувствительность!$D$20)*IFERROR(LOOKUP(Предпосылки!$H$201,$C$13:$C$15,R$13:R$15),1)</f>
        <v>0</v>
      </c>
      <c s="125">
        <f>Предпосылки!R$228*Предпосылки!$D271*Продажи!S36*S$19*(1+Чувствительность!$D$20)*IFERROR(LOOKUP(Предпосылки!$H$201,$C$13:$C$15,S$13:S$15),1)</f>
        <v>0</v>
      </c>
      <c s="125">
        <f>Предпосылки!S$228*Предпосылки!$D271*Продажи!T36*T$19*(1+Чувствительность!$D$20)*IFERROR(LOOKUP(Предпосылки!$H$201,$C$13:$C$15,T$13:T$15),1)</f>
        <v>0</v>
      </c>
      <c s="125">
        <f>Предпосылки!T$228*Предпосылки!$D271*Продажи!U36*U$19*(1+Чувствительность!$D$20)*IFERROR(LOOKUP(Предпосылки!$H$201,$C$13:$C$15,U$13:U$15),1)</f>
        <v>0</v>
      </c>
      <c s="125">
        <f>Предпосылки!U$228*Предпосылки!$D271*Продажи!V36*V$19*(1+Чувствительность!$D$20)*IFERROR(LOOKUP(Предпосылки!$H$201,$C$13:$C$15,V$13:V$15),1)</f>
        <v>0</v>
      </c>
      <c s="125">
        <f>Предпосылки!V$228*Предпосылки!$D271*Продажи!W36*W$19*(1+Чувствительность!$D$20)*IFERROR(LOOKUP(Предпосылки!$H$201,$C$13:$C$15,W$13:W$15),1)</f>
        <v>0</v>
      </c>
      <c s="125">
        <f>Предпосылки!W$228*Предпосылки!$D271*Продажи!X36*X$19*(1+Чувствительность!$D$20)*IFERROR(LOOKUP(Предпосылки!$H$201,$C$13:$C$15,X$13:X$15),1)</f>
        <v>0</v>
      </c>
      <c s="125">
        <f>Предпосылки!X$228*Предпосылки!$D271*Продажи!Y36*Y$19*(1+Чувствительность!$D$20)*IFERROR(LOOKUP(Предпосылки!$H$201,$C$13:$C$15,Y$13:Y$15),1)</f>
        <v>0</v>
      </c>
      <c s="125">
        <f>Предпосылки!Y$228*Предпосылки!$D271*Продажи!Z36*Z$19*(1+Чувствительность!$D$20)*IFERROR(LOOKUP(Предпосылки!$H$201,$C$13:$C$15,Z$13:Z$15),1)</f>
        <v>0</v>
      </c>
      <c s="125">
        <f>Предпосылки!Z$228*Предпосылки!$D271*Продажи!AA36*AA$19*(1+Чувствительность!$D$20)*IFERROR(LOOKUP(Предпосылки!$H$201,$C$13:$C$15,AA$13:AA$15),1)</f>
        <v>0</v>
      </c>
      <c s="125">
        <f>Предпосылки!AA$228*Предпосылки!$D271*Продажи!AB36*AB$19*(1+Чувствительность!$D$20)*IFERROR(LOOKUP(Предпосылки!$H$201,$C$13:$C$15,AB$13:AB$15),1)</f>
        <v>0</v>
      </c>
      <c s="125">
        <f>Предпосылки!AB$228*Предпосылки!$D271*Продажи!AC36*AC$19*(1+Чувствительность!$D$20)*IFERROR(LOOKUP(Предпосылки!$H$201,$C$13:$C$15,AC$13:AC$15),1)</f>
        <v>0</v>
      </c>
      <c s="125">
        <f>Предпосылки!AC$228*Предпосылки!$D271*Продажи!AD36*AD$19*(1+Чувствительность!$D$20)*IFERROR(LOOKUP(Предпосылки!$H$201,$C$13:$C$15,AD$13:AD$15),1)</f>
        <v>0</v>
      </c>
      <c s="125">
        <f>Предпосылки!AD$228*Предпосылки!$D271*Продажи!AE36*AE$19*(1+Чувствительность!$D$20)*IFERROR(LOOKUP(Предпосылки!$H$201,$C$13:$C$15,AE$13:AE$15),1)</f>
        <v>0</v>
      </c>
      <c s="125">
        <f>Предпосылки!AE$228*Предпосылки!$D271*Продажи!AF36*AF$19*(1+Чувствительность!$D$20)*IFERROR(LOOKUP(Предпосылки!$H$201,$C$13:$C$15,AF$13:AF$15),1)</f>
        <v>0</v>
      </c>
      <c s="125">
        <f>Предпосылки!AF$228*Предпосылки!$D271*Продажи!AG36*AG$19*(1+Чувствительность!$D$20)*IFERROR(LOOKUP(Предпосылки!$H$201,$C$13:$C$15,AG$13:AG$15),1)</f>
        <v>0</v>
      </c>
      <c s="125">
        <f>Предпосылки!AG$228*Предпосылки!$D271*Продажи!AH36*AH$19*(1+Чувствительность!$D$20)*IFERROR(LOOKUP(Предпосылки!$H$201,$C$13:$C$15,AH$13:AH$15),1)</f>
        <v>0</v>
      </c>
      <c s="125">
        <f>Предпосылки!AH$228*Предпосылки!$D271*Продажи!AI36*AI$19*(1+Чувствительность!$D$20)*IFERROR(LOOKUP(Предпосылки!$H$201,$C$13:$C$15,AI$13:AI$15),1)</f>
        <v>0</v>
      </c>
      <c s="125">
        <f>Предпосылки!AI$228*Предпосылки!$D271*Продажи!AJ36*AJ$19*(1+Чувствительность!$D$20)*IFERROR(LOOKUP(Предпосылки!$H$201,$C$13:$C$15,AJ$13:AJ$15),1)</f>
        <v>0</v>
      </c>
      <c s="125">
        <f>Предпосылки!AJ$228*Предпосылки!$D271*Продажи!AK36*AK$19*(1+Чувствительность!$D$20)*IFERROR(LOOKUP(Предпосылки!$H$201,$C$13:$C$15,AK$13:AK$15),1)</f>
        <v>0</v>
      </c>
      <c s="125">
        <f>Предпосылки!AK$228*Предпосылки!$D271*Продажи!AL36*AL$19*(1+Чувствительность!$D$20)*IFERROR(LOOKUP(Предпосылки!$H$201,$C$13:$C$15,AL$13:AL$15),1)</f>
        <v>0</v>
      </c>
      <c s="125">
        <f>Предпосылки!AL$228*Предпосылки!$D271*Продажи!AM36*AM$19*(1+Чувствительность!$D$20)*IFERROR(LOOKUP(Предпосылки!$H$201,$C$13:$C$15,AM$13:AM$15),1)</f>
        <v>0</v>
      </c>
      <c s="125">
        <f>Предпосылки!AM$228*Предпосылки!$D271*Продажи!AN36*AN$19*(1+Чувствительность!$D$20)*IFERROR(LOOKUP(Предпосылки!$H$201,$C$13:$C$15,AN$13:AN$15),1)</f>
        <v>0</v>
      </c>
      <c s="125">
        <f>Предпосылки!AN$228*Предпосылки!$D271*Продажи!AO36*AO$19*(1+Чувствительность!$D$20)*IFERROR(LOOKUP(Предпосылки!$H$201,$C$13:$C$15,AO$13:AO$15),1)</f>
        <v>0</v>
      </c>
      <c s="125">
        <f>Предпосылки!AO$228*Предпосылки!$D271*Продажи!AP36*AP$19*(1+Чувствительность!$D$20)*IFERROR(LOOKUP(Предпосылки!$H$201,$C$13:$C$15,AP$13:AP$15),1)</f>
        <v>0</v>
      </c>
      <c s="125">
        <f>Предпосылки!AP$228*Предпосылки!$D271*Продажи!AQ36*AQ$19*(1+Чувствительность!$D$20)*IFERROR(LOOKUP(Предпосылки!$H$201,$C$13:$C$15,AQ$13:AQ$15),1)</f>
        <v>0</v>
      </c>
      <c s="125">
        <f>Предпосылки!AQ$228*Предпосылки!$D271*Продажи!AR36*AR$19*(1+Чувствительность!$D$20)*IFERROR(LOOKUP(Предпосылки!$H$201,$C$13:$C$15,AR$13:AR$15),1)</f>
        <v>0</v>
      </c>
      <c s="125">
        <f>Предпосылки!AR$228*Предпосылки!$D271*Продажи!AS36*AS$19*(1+Чувствительность!$D$20)*IFERROR(LOOKUP(Предпосылки!$H$201,$C$13:$C$15,AS$13:AS$15),1)</f>
        <v>0</v>
      </c>
      <c s="125">
        <f>Предпосылки!AS$228*Предпосылки!$D271*Продажи!AT36*AT$19*(1+Чувствительность!$D$20)*IFERROR(LOOKUP(Предпосылки!$H$201,$C$13:$C$15,AT$13:AT$15),1)</f>
        <v>0</v>
      </c>
      <c s="125">
        <f>Предпосылки!AT$228*Предпосылки!$D271*Продажи!AU36*AU$19*(1+Чувствительность!$D$20)*IFERROR(LOOKUP(Предпосылки!$H$201,$C$13:$C$15,AU$13:AU$15),1)</f>
        <v>0</v>
      </c>
      <c s="125">
        <f>Предпосылки!AU$228*Предпосылки!$D271*Продажи!AV36*AV$19*(1+Чувствительность!$D$20)*IFERROR(LOOKUP(Предпосылки!$H$201,$C$13:$C$15,AV$13:AV$15),1)</f>
        <v>0</v>
      </c>
      <c s="125">
        <f>Предпосылки!AV$228*Предпосылки!$D271*Продажи!AW36*AW$19*(1+Чувствительность!$D$20)*IFERROR(LOOKUP(Предпосылки!$H$201,$C$13:$C$15,AW$13:AW$15),1)</f>
        <v>0</v>
      </c>
      <c s="125">
        <f>Предпосылки!AW$228*Предпосылки!$D271*Продажи!AX36*AX$19*(1+Чувствительность!$D$20)*IFERROR(LOOKUP(Предпосылки!$H$201,$C$13:$C$15,AX$13:AX$15),1)</f>
        <v>0</v>
      </c>
      <c s="125">
        <f>Предпосылки!AX$228*Предпосылки!$D271*Продажи!AY36*AY$19*(1+Чувствительность!$D$20)*IFERROR(LOOKUP(Предпосылки!$H$201,$C$13:$C$15,AY$13:AY$15),1)</f>
        <v>0</v>
      </c>
      <c s="125">
        <f>Предпосылки!AY$228*Предпосылки!$D271*Продажи!AZ36*AZ$19*(1+Чувствительность!$D$20)*IFERROR(LOOKUP(Предпосылки!$H$201,$C$13:$C$15,AZ$13:AZ$15),1)</f>
        <v>0</v>
      </c>
      <c s="125">
        <f>Предпосылки!AZ$228*Предпосылки!$D271*Продажи!BA36*BA$19*(1+Чувствительность!$D$20)*IFERROR(LOOKUP(Предпосылки!$H$201,$C$13:$C$15,BA$13:BA$15),1)</f>
        <v>0</v>
      </c>
      <c s="125">
        <f>Предпосылки!BA$228*Предпосылки!$D271*Продажи!BB36*BB$19*(1+Чувствительность!$D$20)*IFERROR(LOOKUP(Предпосылки!$H$201,$C$13:$C$15,BB$13:BB$15),1)</f>
        <v>0</v>
      </c>
      <c s="125">
        <f>Предпосылки!BB$228*Предпосылки!$D271*Продажи!BC36*BC$19*(1+Чувствительность!$D$20)*IFERROR(LOOKUP(Предпосылки!$H$201,$C$13:$C$15,BC$13:BC$15),1)</f>
        <v>0</v>
      </c>
      <c s="125">
        <f>Предпосылки!BC$228*Предпосылки!$D271*Продажи!BD36*BD$19*(1+Чувствительность!$D$20)*IFERROR(LOOKUP(Предпосылки!$H$201,$C$13:$C$15,BD$13:BD$15),1)</f>
        <v>0</v>
      </c>
      <c s="125">
        <f>Предпосылки!BD$228*Предпосылки!$D271*Продажи!BE36*BE$19*(1+Чувствительность!$D$20)*IFERROR(LOOKUP(Предпосылки!$H$201,$C$13:$C$15,BE$13:BE$15),1)</f>
        <v>0</v>
      </c>
      <c s="125">
        <f>Предпосылки!BE$228*Предпосылки!$D271*Продажи!BF36*BF$19*(1+Чувствительность!$D$20)*IFERROR(LOOKUP(Предпосылки!$H$201,$C$13:$C$15,BF$13:BF$15),1)</f>
        <v>0</v>
      </c>
      <c s="125">
        <f>Предпосылки!BF$228*Предпосылки!$D271*Продажи!BG36*BG$19*(1+Чувствительность!$D$20)*IFERROR(LOOKUP(Предпосылки!$H$201,$C$13:$C$15,BG$13:BG$15),1)</f>
        <v>0</v>
      </c>
      <c s="125">
        <f>Предпосылки!BG$228*Предпосылки!$D271*Продажи!BH36*BH$19*(1+Чувствительность!$D$20)*IFERROR(LOOKUP(Предпосылки!$H$201,$C$13:$C$15,BH$13:BH$15),1)</f>
        <v>0</v>
      </c>
      <c s="125">
        <f>Предпосылки!BH$228*Предпосылки!$D271*Продажи!BI36*BI$19*(1+Чувствительность!$D$20)*IFERROR(LOOKUP(Предпосылки!$H$201,$C$13:$C$15,BI$13:BI$15),1)</f>
        <v>0</v>
      </c>
      <c s="125">
        <f>Предпосылки!BI$228*Предпосылки!$D271*Продажи!BJ36*BJ$19*(1+Чувствительность!$D$20)*IFERROR(LOOKUP(Предпосылки!$H$201,$C$13:$C$15,BJ$13:BJ$15),1)</f>
        <v>0</v>
      </c>
      <c s="125">
        <f>Предпосылки!BJ$228*Предпосылки!$D271*Продажи!BK36*BK$19*(1+Чувствительность!$D$20)*IFERROR(LOOKUP(Предпосылки!$H$201,$C$13:$C$15,BK$13:BK$15),1)</f>
        <v>0</v>
      </c>
      <c s="125">
        <f>Предпосылки!BK$228*Предпосылки!$D271*Продажи!BL36*BL$19*(1+Чувствительность!$D$20)*IFERROR(LOOKUP(Предпосылки!$H$201,$C$13:$C$15,BL$13:BL$15),1)</f>
        <v>0</v>
      </c>
      <c s="125">
        <f>Предпосылки!BL$228*Предпосылки!$D271*Продажи!BM36*BM$19*(1+Чувствительность!$D$20)*IFERROR(LOOKUP(Предпосылки!$H$201,$C$13:$C$15,BM$13:BM$15),1)</f>
        <v>0</v>
      </c>
    </row>
    <row r="42" spans="2:65" ht="15" customHeight="1">
      <c r="B42" s="12" t="str">
        <f>Предпосылки!B169</f>
        <v>Продукт 20</v>
      </c>
      <c s="124" t="str">
        <f t="shared" si="61"/>
        <v>тыс. руб.</v>
      </c>
      <c s="276">
        <f t="shared" si="62"/>
        <v>0</v>
      </c>
      <c s="125">
        <f>Предпосылки!D$228*Предпосылки!$D272*Продажи!E37*E$19*(1+Чувствительность!$D$20)*IFERROR(LOOKUP(Предпосылки!$H$201,$C$13:$C$15,E$13:E$15),1)</f>
        <v>0</v>
      </c>
      <c s="125">
        <f>Предпосылки!E$228*Предпосылки!$D272*Продажи!F37*F$19*(1+Чувствительность!$D$20)*IFERROR(LOOKUP(Предпосылки!$H$201,$C$13:$C$15,F$13:F$15),1)</f>
        <v>0</v>
      </c>
      <c s="125">
        <f>Предпосылки!F$228*Предпосылки!$D272*Продажи!G37*G$19*(1+Чувствительность!$D$20)*IFERROR(LOOKUP(Предпосылки!$H$201,$C$13:$C$15,G$13:G$15),1)</f>
        <v>0</v>
      </c>
      <c s="125">
        <f>Предпосылки!G$228*Предпосылки!$D272*Продажи!H37*H$19*(1+Чувствительность!$D$20)*IFERROR(LOOKUP(Предпосылки!$H$201,$C$13:$C$15,H$13:H$15),1)</f>
        <v>0</v>
      </c>
      <c s="125">
        <f>Предпосылки!H$228*Предпосылки!$D272*Продажи!I37*I$19*(1+Чувствительность!$D$20)*IFERROR(LOOKUP(Предпосылки!$H$201,$C$13:$C$15,I$13:I$15),1)</f>
        <v>0</v>
      </c>
      <c s="125">
        <f>Предпосылки!I$228*Предпосылки!$D272*Продажи!J37*J$19*(1+Чувствительность!$D$20)*IFERROR(LOOKUP(Предпосылки!$H$201,$C$13:$C$15,J$13:J$15),1)</f>
        <v>0</v>
      </c>
      <c s="125">
        <f>Предпосылки!J$228*Предпосылки!$D272*Продажи!K37*K$19*(1+Чувствительность!$D$20)*IFERROR(LOOKUP(Предпосылки!$H$201,$C$13:$C$15,K$13:K$15),1)</f>
        <v>0</v>
      </c>
      <c s="125">
        <f>Предпосылки!K$228*Предпосылки!$D272*Продажи!L37*L$19*(1+Чувствительность!$D$20)*IFERROR(LOOKUP(Предпосылки!$H$201,$C$13:$C$15,L$13:L$15),1)</f>
        <v>0</v>
      </c>
      <c s="125">
        <f>Предпосылки!L$228*Предпосылки!$D272*Продажи!M37*M$19*(1+Чувствительность!$D$20)*IFERROR(LOOKUP(Предпосылки!$H$201,$C$13:$C$15,M$13:M$15),1)</f>
        <v>0</v>
      </c>
      <c s="125">
        <f>Предпосылки!M$228*Предпосылки!$D272*Продажи!N37*N$19*(1+Чувствительность!$D$20)*IFERROR(LOOKUP(Предпосылки!$H$201,$C$13:$C$15,N$13:N$15),1)</f>
        <v>0</v>
      </c>
      <c s="125">
        <f>Предпосылки!N$228*Предпосылки!$D272*Продажи!O37*O$19*(1+Чувствительность!$D$20)*IFERROR(LOOKUP(Предпосылки!$H$201,$C$13:$C$15,O$13:O$15),1)</f>
        <v>0</v>
      </c>
      <c s="125">
        <f>Предпосылки!O$228*Предпосылки!$D272*Продажи!P37*P$19*(1+Чувствительность!$D$20)*IFERROR(LOOKUP(Предпосылки!$H$201,$C$13:$C$15,P$13:P$15),1)</f>
        <v>0</v>
      </c>
      <c s="125">
        <f>Предпосылки!P$228*Предпосылки!$D272*Продажи!Q37*Q$19*(1+Чувствительность!$D$20)*IFERROR(LOOKUP(Предпосылки!$H$201,$C$13:$C$15,Q$13:Q$15),1)</f>
        <v>0</v>
      </c>
      <c s="125">
        <f>Предпосылки!Q$228*Предпосылки!$D272*Продажи!R37*R$19*(1+Чувствительность!$D$20)*IFERROR(LOOKUP(Предпосылки!$H$201,$C$13:$C$15,R$13:R$15),1)</f>
        <v>0</v>
      </c>
      <c s="125">
        <f>Предпосылки!R$228*Предпосылки!$D272*Продажи!S37*S$19*(1+Чувствительность!$D$20)*IFERROR(LOOKUP(Предпосылки!$H$201,$C$13:$C$15,S$13:S$15),1)</f>
        <v>0</v>
      </c>
      <c s="125">
        <f>Предпосылки!S$228*Предпосылки!$D272*Продажи!T37*T$19*(1+Чувствительность!$D$20)*IFERROR(LOOKUP(Предпосылки!$H$201,$C$13:$C$15,T$13:T$15),1)</f>
        <v>0</v>
      </c>
      <c s="125">
        <f>Предпосылки!T$228*Предпосылки!$D272*Продажи!U37*U$19*(1+Чувствительность!$D$20)*IFERROR(LOOKUP(Предпосылки!$H$201,$C$13:$C$15,U$13:U$15),1)</f>
        <v>0</v>
      </c>
      <c s="125">
        <f>Предпосылки!U$228*Предпосылки!$D272*Продажи!V37*V$19*(1+Чувствительность!$D$20)*IFERROR(LOOKUP(Предпосылки!$H$201,$C$13:$C$15,V$13:V$15),1)</f>
        <v>0</v>
      </c>
      <c s="125">
        <f>Предпосылки!V$228*Предпосылки!$D272*Продажи!W37*W$19*(1+Чувствительность!$D$20)*IFERROR(LOOKUP(Предпосылки!$H$201,$C$13:$C$15,W$13:W$15),1)</f>
        <v>0</v>
      </c>
      <c s="125">
        <f>Предпосылки!W$228*Предпосылки!$D272*Продажи!X37*X$19*(1+Чувствительность!$D$20)*IFERROR(LOOKUP(Предпосылки!$H$201,$C$13:$C$15,X$13:X$15),1)</f>
        <v>0</v>
      </c>
      <c s="125">
        <f>Предпосылки!X$228*Предпосылки!$D272*Продажи!Y37*Y$19*(1+Чувствительность!$D$20)*IFERROR(LOOKUP(Предпосылки!$H$201,$C$13:$C$15,Y$13:Y$15),1)</f>
        <v>0</v>
      </c>
      <c s="125">
        <f>Предпосылки!Y$228*Предпосылки!$D272*Продажи!Z37*Z$19*(1+Чувствительность!$D$20)*IFERROR(LOOKUP(Предпосылки!$H$201,$C$13:$C$15,Z$13:Z$15),1)</f>
        <v>0</v>
      </c>
      <c s="125">
        <f>Предпосылки!Z$228*Предпосылки!$D272*Продажи!AA37*AA$19*(1+Чувствительность!$D$20)*IFERROR(LOOKUP(Предпосылки!$H$201,$C$13:$C$15,AA$13:AA$15),1)</f>
        <v>0</v>
      </c>
      <c s="125">
        <f>Предпосылки!AA$228*Предпосылки!$D272*Продажи!AB37*AB$19*(1+Чувствительность!$D$20)*IFERROR(LOOKUP(Предпосылки!$H$201,$C$13:$C$15,AB$13:AB$15),1)</f>
        <v>0</v>
      </c>
      <c s="125">
        <f>Предпосылки!AB$228*Предпосылки!$D272*Продажи!AC37*AC$19*(1+Чувствительность!$D$20)*IFERROR(LOOKUP(Предпосылки!$H$201,$C$13:$C$15,AC$13:AC$15),1)</f>
        <v>0</v>
      </c>
      <c s="125">
        <f>Предпосылки!AC$228*Предпосылки!$D272*Продажи!AD37*AD$19*(1+Чувствительность!$D$20)*IFERROR(LOOKUP(Предпосылки!$H$201,$C$13:$C$15,AD$13:AD$15),1)</f>
        <v>0</v>
      </c>
      <c s="125">
        <f>Предпосылки!AD$228*Предпосылки!$D272*Продажи!AE37*AE$19*(1+Чувствительность!$D$20)*IFERROR(LOOKUP(Предпосылки!$H$201,$C$13:$C$15,AE$13:AE$15),1)</f>
        <v>0</v>
      </c>
      <c s="125">
        <f>Предпосылки!AE$228*Предпосылки!$D272*Продажи!AF37*AF$19*(1+Чувствительность!$D$20)*IFERROR(LOOKUP(Предпосылки!$H$201,$C$13:$C$15,AF$13:AF$15),1)</f>
        <v>0</v>
      </c>
      <c s="125">
        <f>Предпосылки!AF$228*Предпосылки!$D272*Продажи!AG37*AG$19*(1+Чувствительность!$D$20)*IFERROR(LOOKUP(Предпосылки!$H$201,$C$13:$C$15,AG$13:AG$15),1)</f>
        <v>0</v>
      </c>
      <c s="125">
        <f>Предпосылки!AG$228*Предпосылки!$D272*Продажи!AH37*AH$19*(1+Чувствительность!$D$20)*IFERROR(LOOKUP(Предпосылки!$H$201,$C$13:$C$15,AH$13:AH$15),1)</f>
        <v>0</v>
      </c>
      <c s="125">
        <f>Предпосылки!AH$228*Предпосылки!$D272*Продажи!AI37*AI$19*(1+Чувствительность!$D$20)*IFERROR(LOOKUP(Предпосылки!$H$201,$C$13:$C$15,AI$13:AI$15),1)</f>
        <v>0</v>
      </c>
      <c s="125">
        <f>Предпосылки!AI$228*Предпосылки!$D272*Продажи!AJ37*AJ$19*(1+Чувствительность!$D$20)*IFERROR(LOOKUP(Предпосылки!$H$201,$C$13:$C$15,AJ$13:AJ$15),1)</f>
        <v>0</v>
      </c>
      <c s="125">
        <f>Предпосылки!AJ$228*Предпосылки!$D272*Продажи!AK37*AK$19*(1+Чувствительность!$D$20)*IFERROR(LOOKUP(Предпосылки!$H$201,$C$13:$C$15,AK$13:AK$15),1)</f>
        <v>0</v>
      </c>
      <c s="125">
        <f>Предпосылки!AK$228*Предпосылки!$D272*Продажи!AL37*AL$19*(1+Чувствительность!$D$20)*IFERROR(LOOKUP(Предпосылки!$H$201,$C$13:$C$15,AL$13:AL$15),1)</f>
        <v>0</v>
      </c>
      <c s="125">
        <f>Предпосылки!AL$228*Предпосылки!$D272*Продажи!AM37*AM$19*(1+Чувствительность!$D$20)*IFERROR(LOOKUP(Предпосылки!$H$201,$C$13:$C$15,AM$13:AM$15),1)</f>
        <v>0</v>
      </c>
      <c s="125">
        <f>Предпосылки!AM$228*Предпосылки!$D272*Продажи!AN37*AN$19*(1+Чувствительность!$D$20)*IFERROR(LOOKUP(Предпосылки!$H$201,$C$13:$C$15,AN$13:AN$15),1)</f>
        <v>0</v>
      </c>
      <c s="125">
        <f>Предпосылки!AN$228*Предпосылки!$D272*Продажи!AO37*AO$19*(1+Чувствительность!$D$20)*IFERROR(LOOKUP(Предпосылки!$H$201,$C$13:$C$15,AO$13:AO$15),1)</f>
        <v>0</v>
      </c>
      <c s="125">
        <f>Предпосылки!AO$228*Предпосылки!$D272*Продажи!AP37*AP$19*(1+Чувствительность!$D$20)*IFERROR(LOOKUP(Предпосылки!$H$201,$C$13:$C$15,AP$13:AP$15),1)</f>
        <v>0</v>
      </c>
      <c s="125">
        <f>Предпосылки!AP$228*Предпосылки!$D272*Продажи!AQ37*AQ$19*(1+Чувствительность!$D$20)*IFERROR(LOOKUP(Предпосылки!$H$201,$C$13:$C$15,AQ$13:AQ$15),1)</f>
        <v>0</v>
      </c>
      <c s="125">
        <f>Предпосылки!AQ$228*Предпосылки!$D272*Продажи!AR37*AR$19*(1+Чувствительность!$D$20)*IFERROR(LOOKUP(Предпосылки!$H$201,$C$13:$C$15,AR$13:AR$15),1)</f>
        <v>0</v>
      </c>
      <c s="125">
        <f>Предпосылки!AR$228*Предпосылки!$D272*Продажи!AS37*AS$19*(1+Чувствительность!$D$20)*IFERROR(LOOKUP(Предпосылки!$H$201,$C$13:$C$15,AS$13:AS$15),1)</f>
        <v>0</v>
      </c>
      <c s="125">
        <f>Предпосылки!AS$228*Предпосылки!$D272*Продажи!AT37*AT$19*(1+Чувствительность!$D$20)*IFERROR(LOOKUP(Предпосылки!$H$201,$C$13:$C$15,AT$13:AT$15),1)</f>
        <v>0</v>
      </c>
      <c s="125">
        <f>Предпосылки!AT$228*Предпосылки!$D272*Продажи!AU37*AU$19*(1+Чувствительность!$D$20)*IFERROR(LOOKUP(Предпосылки!$H$201,$C$13:$C$15,AU$13:AU$15),1)</f>
        <v>0</v>
      </c>
      <c s="125">
        <f>Предпосылки!AU$228*Предпосылки!$D272*Продажи!AV37*AV$19*(1+Чувствительность!$D$20)*IFERROR(LOOKUP(Предпосылки!$H$201,$C$13:$C$15,AV$13:AV$15),1)</f>
        <v>0</v>
      </c>
      <c s="125">
        <f>Предпосылки!AV$228*Предпосылки!$D272*Продажи!AW37*AW$19*(1+Чувствительность!$D$20)*IFERROR(LOOKUP(Предпосылки!$H$201,$C$13:$C$15,AW$13:AW$15),1)</f>
        <v>0</v>
      </c>
      <c s="125">
        <f>Предпосылки!AW$228*Предпосылки!$D272*Продажи!AX37*AX$19*(1+Чувствительность!$D$20)*IFERROR(LOOKUP(Предпосылки!$H$201,$C$13:$C$15,AX$13:AX$15),1)</f>
        <v>0</v>
      </c>
      <c s="125">
        <f>Предпосылки!AX$228*Предпосылки!$D272*Продажи!AY37*AY$19*(1+Чувствительность!$D$20)*IFERROR(LOOKUP(Предпосылки!$H$201,$C$13:$C$15,AY$13:AY$15),1)</f>
        <v>0</v>
      </c>
      <c s="125">
        <f>Предпосылки!AY$228*Предпосылки!$D272*Продажи!AZ37*AZ$19*(1+Чувствительность!$D$20)*IFERROR(LOOKUP(Предпосылки!$H$201,$C$13:$C$15,AZ$13:AZ$15),1)</f>
        <v>0</v>
      </c>
      <c s="125">
        <f>Предпосылки!AZ$228*Предпосылки!$D272*Продажи!BA37*BA$19*(1+Чувствительность!$D$20)*IFERROR(LOOKUP(Предпосылки!$H$201,$C$13:$C$15,BA$13:BA$15),1)</f>
        <v>0</v>
      </c>
      <c s="125">
        <f>Предпосылки!BA$228*Предпосылки!$D272*Продажи!BB37*BB$19*(1+Чувствительность!$D$20)*IFERROR(LOOKUP(Предпосылки!$H$201,$C$13:$C$15,BB$13:BB$15),1)</f>
        <v>0</v>
      </c>
      <c s="125">
        <f>Предпосылки!BB$228*Предпосылки!$D272*Продажи!BC37*BC$19*(1+Чувствительность!$D$20)*IFERROR(LOOKUP(Предпосылки!$H$201,$C$13:$C$15,BC$13:BC$15),1)</f>
        <v>0</v>
      </c>
      <c s="125">
        <f>Предпосылки!BC$228*Предпосылки!$D272*Продажи!BD37*BD$19*(1+Чувствительность!$D$20)*IFERROR(LOOKUP(Предпосылки!$H$201,$C$13:$C$15,BD$13:BD$15),1)</f>
        <v>0</v>
      </c>
      <c s="125">
        <f>Предпосылки!BD$228*Предпосылки!$D272*Продажи!BE37*BE$19*(1+Чувствительность!$D$20)*IFERROR(LOOKUP(Предпосылки!$H$201,$C$13:$C$15,BE$13:BE$15),1)</f>
        <v>0</v>
      </c>
      <c s="125">
        <f>Предпосылки!BE$228*Предпосылки!$D272*Продажи!BF37*BF$19*(1+Чувствительность!$D$20)*IFERROR(LOOKUP(Предпосылки!$H$201,$C$13:$C$15,BF$13:BF$15),1)</f>
        <v>0</v>
      </c>
      <c s="125">
        <f>Предпосылки!BF$228*Предпосылки!$D272*Продажи!BG37*BG$19*(1+Чувствительность!$D$20)*IFERROR(LOOKUP(Предпосылки!$H$201,$C$13:$C$15,BG$13:BG$15),1)</f>
        <v>0</v>
      </c>
      <c s="125">
        <f>Предпосылки!BG$228*Предпосылки!$D272*Продажи!BH37*BH$19*(1+Чувствительность!$D$20)*IFERROR(LOOKUP(Предпосылки!$H$201,$C$13:$C$15,BH$13:BH$15),1)</f>
        <v>0</v>
      </c>
      <c s="125">
        <f>Предпосылки!BH$228*Предпосылки!$D272*Продажи!BI37*BI$19*(1+Чувствительность!$D$20)*IFERROR(LOOKUP(Предпосылки!$H$201,$C$13:$C$15,BI$13:BI$15),1)</f>
        <v>0</v>
      </c>
      <c s="125">
        <f>Предпосылки!BI$228*Предпосылки!$D272*Продажи!BJ37*BJ$19*(1+Чувствительность!$D$20)*IFERROR(LOOKUP(Предпосылки!$H$201,$C$13:$C$15,BJ$13:BJ$15),1)</f>
        <v>0</v>
      </c>
      <c s="125">
        <f>Предпосылки!BJ$228*Предпосылки!$D272*Продажи!BK37*BK$19*(1+Чувствительность!$D$20)*IFERROR(LOOKUP(Предпосылки!$H$201,$C$13:$C$15,BK$13:BK$15),1)</f>
        <v>0</v>
      </c>
      <c s="125">
        <f>Предпосылки!BK$228*Предпосылки!$D272*Продажи!BL37*BL$19*(1+Чувствительность!$D$20)*IFERROR(LOOKUP(Предпосылки!$H$201,$C$13:$C$15,BL$13:BL$15),1)</f>
        <v>0</v>
      </c>
      <c s="125">
        <f>Предпосылки!BL$228*Предпосылки!$D272*Продажи!BM37*BM$19*(1+Чувствительность!$D$20)*IFERROR(LOOKUP(Предпосылки!$H$201,$C$13:$C$15,BM$13:BM$15),1)</f>
        <v>0</v>
      </c>
    </row>
    <row r="43" spans="2:65" ht="15" customHeight="1">
      <c r="B43" s="289" t="s">
        <v>454</v>
      </c>
      <c s="290" t="str">
        <f>Единица_измерения</f>
        <v>тыс. руб.</v>
      </c>
      <c s="291">
        <f>SUM(D23:D42)</f>
        <v>0</v>
      </c>
      <c s="276">
        <f>SUM(E23:E42)</f>
        <v>0</v>
      </c>
      <c s="276">
        <f t="shared" si="63" ref="F43:AG43">SUM(F23:F42)</f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3"/>
        <v>0</v>
      </c>
      <c s="276">
        <f t="shared" si="64" ref="AH43:BM43">SUM(AH23:AH42)</f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  <c s="276">
        <f t="shared" si="64"/>
        <v>0</v>
      </c>
    </row>
    <row r="44" ht="15" customHeight="1"/>
    <row r="45" spans="2:69" ht="14.45">
      <c r="B45" s="25" t="str">
        <f>Предпосылки!B229</f>
        <v>Операционные затраты 2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6" spans="2:65" ht="15" customHeight="1">
      <c r="B46" s="12" t="str">
        <f>B23</f>
        <v>Продукт 1</v>
      </c>
      <c s="124" t="str">
        <f t="shared" si="65" ref="C46:C65">Единица_измерения</f>
        <v>тыс. руб.</v>
      </c>
      <c s="276">
        <f>SUM(E46:BM46)</f>
        <v>0</v>
      </c>
      <c s="125">
        <f>Предпосылки!D$229*Предпосылки!$E253*Продажи!E18*E$19*(1+Чувствительность!$D$20)*IFERROR(LOOKUP(Предпосылки!$H$202,$C$13:$C$15,E$13:E$15),1)</f>
        <v>0</v>
      </c>
      <c s="125">
        <f>Предпосылки!E$229*Предпосылки!$E253*Продажи!F18*F$19*(1+Чувствительность!$D$20)*IFERROR(LOOKUP(Предпосылки!$H$202,$C$13:$C$15,F$13:F$15),1)</f>
        <v>0</v>
      </c>
      <c s="125">
        <f>Предпосылки!F$229*Предпосылки!$E253*Продажи!G18*G$19*(1+Чувствительность!$D$20)*IFERROR(LOOKUP(Предпосылки!$H$202,$C$13:$C$15,G$13:G$15),1)</f>
        <v>0</v>
      </c>
      <c s="125">
        <f>Предпосылки!G$229*Предпосылки!$E253*Продажи!H18*H$19*(1+Чувствительность!$D$20)*IFERROR(LOOKUP(Предпосылки!$H$202,$C$13:$C$15,H$13:H$15),1)</f>
        <v>0</v>
      </c>
      <c s="125">
        <f>Предпосылки!H$229*Предпосылки!$E253*Продажи!I18*I$19*(1+Чувствительность!$D$20)*IFERROR(LOOKUP(Предпосылки!$H$202,$C$13:$C$15,I$13:I$15),1)</f>
        <v>0</v>
      </c>
      <c s="125">
        <f>Предпосылки!I$229*Предпосылки!$E253*Продажи!J18*J$19*(1+Чувствительность!$D$20)*IFERROR(LOOKUP(Предпосылки!$H$202,$C$13:$C$15,J$13:J$15),1)</f>
        <v>0</v>
      </c>
      <c s="125">
        <f>Предпосылки!J$229*Предпосылки!$E253*Продажи!K18*K$19*(1+Чувствительность!$D$20)*IFERROR(LOOKUP(Предпосылки!$H$202,$C$13:$C$15,K$13:K$15),1)</f>
        <v>0</v>
      </c>
      <c s="125">
        <f>Предпосылки!K$229*Предпосылки!$E253*Продажи!L18*L$19*(1+Чувствительность!$D$20)*IFERROR(LOOKUP(Предпосылки!$H$202,$C$13:$C$15,L$13:L$15),1)</f>
        <v>0</v>
      </c>
      <c s="125">
        <f>Предпосылки!L$229*Предпосылки!$E253*Продажи!M18*M$19*(1+Чувствительность!$D$20)*IFERROR(LOOKUP(Предпосылки!$H$202,$C$13:$C$15,M$13:M$15),1)</f>
        <v>0</v>
      </c>
      <c s="125">
        <f>Предпосылки!M$229*Предпосылки!$E253*Продажи!N18*N$19*(1+Чувствительность!$D$20)*IFERROR(LOOKUP(Предпосылки!$H$202,$C$13:$C$15,N$13:N$15),1)</f>
        <v>0</v>
      </c>
      <c s="125">
        <f>Предпосылки!N$229*Предпосылки!$E253*Продажи!O18*O$19*(1+Чувствительность!$D$20)*IFERROR(LOOKUP(Предпосылки!$H$202,$C$13:$C$15,O$13:O$15),1)</f>
        <v>0</v>
      </c>
      <c s="125">
        <f>Предпосылки!O$229*Предпосылки!$E253*Продажи!P18*P$19*(1+Чувствительность!$D$20)*IFERROR(LOOKUP(Предпосылки!$H$202,$C$13:$C$15,P$13:P$15),1)</f>
        <v>0</v>
      </c>
      <c s="125">
        <f>Предпосылки!P$229*Предпосылки!$E253*Продажи!Q18*Q$19*(1+Чувствительность!$D$20)*IFERROR(LOOKUP(Предпосылки!$H$202,$C$13:$C$15,Q$13:Q$15),1)</f>
        <v>0</v>
      </c>
      <c s="125">
        <f>Предпосылки!Q$229*Предпосылки!$E253*Продажи!R18*R$19*(1+Чувствительность!$D$20)*IFERROR(LOOKUP(Предпосылки!$H$202,$C$13:$C$15,R$13:R$15),1)</f>
        <v>0</v>
      </c>
      <c s="125">
        <f>Предпосылки!R$229*Предпосылки!$E253*Продажи!S18*S$19*(1+Чувствительность!$D$20)*IFERROR(LOOKUP(Предпосылки!$H$202,$C$13:$C$15,S$13:S$15),1)</f>
        <v>0</v>
      </c>
      <c s="125">
        <f>Предпосылки!S$229*Предпосылки!$E253*Продажи!T18*T$19*(1+Чувствительность!$D$20)*IFERROR(LOOKUP(Предпосылки!$H$202,$C$13:$C$15,T$13:T$15),1)</f>
        <v>0</v>
      </c>
      <c s="125">
        <f>Предпосылки!T$229*Предпосылки!$E253*Продажи!U18*U$19*(1+Чувствительность!$D$20)*IFERROR(LOOKUP(Предпосылки!$H$202,$C$13:$C$15,U$13:U$15),1)</f>
        <v>0</v>
      </c>
      <c s="125">
        <f>Предпосылки!U$229*Предпосылки!$E253*Продажи!V18*V$19*(1+Чувствительность!$D$20)*IFERROR(LOOKUP(Предпосылки!$H$202,$C$13:$C$15,V$13:V$15),1)</f>
        <v>0</v>
      </c>
      <c s="125">
        <f>Предпосылки!V$229*Предпосылки!$E253*Продажи!W18*W$19*(1+Чувствительность!$D$20)*IFERROR(LOOKUP(Предпосылки!$H$202,$C$13:$C$15,W$13:W$15),1)</f>
        <v>0</v>
      </c>
      <c s="125">
        <f>Предпосылки!W$229*Предпосылки!$E253*Продажи!X18*X$19*(1+Чувствительность!$D$20)*IFERROR(LOOKUP(Предпосылки!$H$202,$C$13:$C$15,X$13:X$15),1)</f>
        <v>0</v>
      </c>
      <c s="125">
        <f>Предпосылки!X$229*Предпосылки!$E253*Продажи!Y18*Y$19*(1+Чувствительность!$D$20)*IFERROR(LOOKUP(Предпосылки!$H$202,$C$13:$C$15,Y$13:Y$15),1)</f>
        <v>0</v>
      </c>
      <c s="125">
        <f>Предпосылки!Y$229*Предпосылки!$E253*Продажи!Z18*Z$19*(1+Чувствительность!$D$20)*IFERROR(LOOKUP(Предпосылки!$H$202,$C$13:$C$15,Z$13:Z$15),1)</f>
        <v>0</v>
      </c>
      <c s="125">
        <f>Предпосылки!Z$229*Предпосылки!$E253*Продажи!AA18*AA$19*(1+Чувствительность!$D$20)*IFERROR(LOOKUP(Предпосылки!$H$202,$C$13:$C$15,AA$13:AA$15),1)</f>
        <v>0</v>
      </c>
      <c s="125">
        <f>Предпосылки!AA$229*Предпосылки!$E253*Продажи!AB18*AB$19*(1+Чувствительность!$D$20)*IFERROR(LOOKUP(Предпосылки!$H$202,$C$13:$C$15,AB$13:AB$15),1)</f>
        <v>0</v>
      </c>
      <c s="125">
        <f>Предпосылки!AB$229*Предпосылки!$E253*Продажи!AC18*AC$19*(1+Чувствительность!$D$20)*IFERROR(LOOKUP(Предпосылки!$H$202,$C$13:$C$15,AC$13:AC$15),1)</f>
        <v>0</v>
      </c>
      <c s="125">
        <f>Предпосылки!AC$229*Предпосылки!$E253*Продажи!AD18*AD$19*(1+Чувствительность!$D$20)*IFERROR(LOOKUP(Предпосылки!$H$202,$C$13:$C$15,AD$13:AD$15),1)</f>
        <v>0</v>
      </c>
      <c s="125">
        <f>Предпосылки!AD$229*Предпосылки!$E253*Продажи!AE18*AE$19*(1+Чувствительность!$D$20)*IFERROR(LOOKUP(Предпосылки!$H$202,$C$13:$C$15,AE$13:AE$15),1)</f>
        <v>0</v>
      </c>
      <c s="125">
        <f>Предпосылки!AE$229*Предпосылки!$E253*Продажи!AF18*AF$19*(1+Чувствительность!$D$20)*IFERROR(LOOKUP(Предпосылки!$H$202,$C$13:$C$15,AF$13:AF$15),1)</f>
        <v>0</v>
      </c>
      <c s="125">
        <f>Предпосылки!AF$229*Предпосылки!$E253*Продажи!AG18*AG$19*(1+Чувствительность!$D$20)*IFERROR(LOOKUP(Предпосылки!$H$202,$C$13:$C$15,AG$13:AG$15),1)</f>
        <v>0</v>
      </c>
      <c s="125">
        <f>Предпосылки!AG$229*Предпосылки!$E253*Продажи!AH18*AH$19*(1+Чувствительность!$D$20)*IFERROR(LOOKUP(Предпосылки!$H$202,$C$13:$C$15,AH$13:AH$15),1)</f>
        <v>0</v>
      </c>
      <c s="125">
        <f>Предпосылки!AH$229*Предпосылки!$E253*Продажи!AI18*AI$19*(1+Чувствительность!$D$20)*IFERROR(LOOKUP(Предпосылки!$H$202,$C$13:$C$15,AI$13:AI$15),1)</f>
        <v>0</v>
      </c>
      <c s="125">
        <f>Предпосылки!AI$229*Предпосылки!$E253*Продажи!AJ18*AJ$19*(1+Чувствительность!$D$20)*IFERROR(LOOKUP(Предпосылки!$H$202,$C$13:$C$15,AJ$13:AJ$15),1)</f>
        <v>0</v>
      </c>
      <c s="125">
        <f>Предпосылки!AJ$229*Предпосылки!$E253*Продажи!AK18*AK$19*(1+Чувствительность!$D$20)*IFERROR(LOOKUP(Предпосылки!$H$202,$C$13:$C$15,AK$13:AK$15),1)</f>
        <v>0</v>
      </c>
      <c s="125">
        <f>Предпосылки!AK$229*Предпосылки!$E253*Продажи!AL18*AL$19*(1+Чувствительность!$D$20)*IFERROR(LOOKUP(Предпосылки!$H$202,$C$13:$C$15,AL$13:AL$15),1)</f>
        <v>0</v>
      </c>
      <c s="125">
        <f>Предпосылки!AL$229*Предпосылки!$E253*Продажи!AM18*AM$19*(1+Чувствительность!$D$20)*IFERROR(LOOKUP(Предпосылки!$H$202,$C$13:$C$15,AM$13:AM$15),1)</f>
        <v>0</v>
      </c>
      <c s="125">
        <f>Предпосылки!AM$229*Предпосылки!$E253*Продажи!AN18*AN$19*(1+Чувствительность!$D$20)*IFERROR(LOOKUP(Предпосылки!$H$202,$C$13:$C$15,AN$13:AN$15),1)</f>
        <v>0</v>
      </c>
      <c s="125">
        <f>Предпосылки!AN$229*Предпосылки!$E253*Продажи!AO18*AO$19*(1+Чувствительность!$D$20)*IFERROR(LOOKUP(Предпосылки!$H$202,$C$13:$C$15,AO$13:AO$15),1)</f>
        <v>0</v>
      </c>
      <c s="125">
        <f>Предпосылки!AO$229*Предпосылки!$E253*Продажи!AP18*AP$19*(1+Чувствительность!$D$20)*IFERROR(LOOKUP(Предпосылки!$H$202,$C$13:$C$15,AP$13:AP$15),1)</f>
        <v>0</v>
      </c>
      <c s="125">
        <f>Предпосылки!AP$229*Предпосылки!$E253*Продажи!AQ18*AQ$19*(1+Чувствительность!$D$20)*IFERROR(LOOKUP(Предпосылки!$H$202,$C$13:$C$15,AQ$13:AQ$15),1)</f>
        <v>0</v>
      </c>
      <c s="125">
        <f>Предпосылки!AQ$229*Предпосылки!$E253*Продажи!AR18*AR$19*(1+Чувствительность!$D$20)*IFERROR(LOOKUP(Предпосылки!$H$202,$C$13:$C$15,AR$13:AR$15),1)</f>
        <v>0</v>
      </c>
      <c s="125">
        <f>Предпосылки!AR$229*Предпосылки!$E253*Продажи!AS18*AS$19*(1+Чувствительность!$D$20)*IFERROR(LOOKUP(Предпосылки!$H$202,$C$13:$C$15,AS$13:AS$15),1)</f>
        <v>0</v>
      </c>
      <c s="125">
        <f>Предпосылки!AS$229*Предпосылки!$E253*Продажи!AT18*AT$19*(1+Чувствительность!$D$20)*IFERROR(LOOKUP(Предпосылки!$H$202,$C$13:$C$15,AT$13:AT$15),1)</f>
        <v>0</v>
      </c>
      <c s="125">
        <f>Предпосылки!AT$229*Предпосылки!$E253*Продажи!AU18*AU$19*(1+Чувствительность!$D$20)*IFERROR(LOOKUP(Предпосылки!$H$202,$C$13:$C$15,AU$13:AU$15),1)</f>
        <v>0</v>
      </c>
      <c s="125">
        <f>Предпосылки!AU$229*Предпосылки!$E253*Продажи!AV18*AV$19*(1+Чувствительность!$D$20)*IFERROR(LOOKUP(Предпосылки!$H$202,$C$13:$C$15,AV$13:AV$15),1)</f>
        <v>0</v>
      </c>
      <c s="125">
        <f>Предпосылки!AV$229*Предпосылки!$E253*Продажи!AW18*AW$19*(1+Чувствительность!$D$20)*IFERROR(LOOKUP(Предпосылки!$H$202,$C$13:$C$15,AW$13:AW$15),1)</f>
        <v>0</v>
      </c>
      <c s="125">
        <f>Предпосылки!AW$229*Предпосылки!$E253*Продажи!AX18*AX$19*(1+Чувствительность!$D$20)*IFERROR(LOOKUP(Предпосылки!$H$202,$C$13:$C$15,AX$13:AX$15),1)</f>
        <v>0</v>
      </c>
      <c s="125">
        <f>Предпосылки!AX$229*Предпосылки!$E253*Продажи!AY18*AY$19*(1+Чувствительность!$D$20)*IFERROR(LOOKUP(Предпосылки!$H$202,$C$13:$C$15,AY$13:AY$15),1)</f>
        <v>0</v>
      </c>
      <c s="125">
        <f>Предпосылки!AY$229*Предпосылки!$E253*Продажи!AZ18*AZ$19*(1+Чувствительность!$D$20)*IFERROR(LOOKUP(Предпосылки!$H$202,$C$13:$C$15,AZ$13:AZ$15),1)</f>
        <v>0</v>
      </c>
      <c s="125">
        <f>Предпосылки!AZ$229*Предпосылки!$E253*Продажи!BA18*BA$19*(1+Чувствительность!$D$20)*IFERROR(LOOKUP(Предпосылки!$H$202,$C$13:$C$15,BA$13:BA$15),1)</f>
        <v>0</v>
      </c>
      <c s="125">
        <f>Предпосылки!BA$229*Предпосылки!$E253*Продажи!BB18*BB$19*(1+Чувствительность!$D$20)*IFERROR(LOOKUP(Предпосылки!$H$202,$C$13:$C$15,BB$13:BB$15),1)</f>
        <v>0</v>
      </c>
      <c s="125">
        <f>Предпосылки!BB$229*Предпосылки!$E253*Продажи!BC18*BC$19*(1+Чувствительность!$D$20)*IFERROR(LOOKUP(Предпосылки!$H$202,$C$13:$C$15,BC$13:BC$15),1)</f>
        <v>0</v>
      </c>
      <c s="125">
        <f>Предпосылки!BC$229*Предпосылки!$E253*Продажи!BD18*BD$19*(1+Чувствительность!$D$20)*IFERROR(LOOKUP(Предпосылки!$H$202,$C$13:$C$15,BD$13:BD$15),1)</f>
        <v>0</v>
      </c>
      <c s="125">
        <f>Предпосылки!BD$229*Предпосылки!$E253*Продажи!BE18*BE$19*(1+Чувствительность!$D$20)*IFERROR(LOOKUP(Предпосылки!$H$202,$C$13:$C$15,BE$13:BE$15),1)</f>
        <v>0</v>
      </c>
      <c s="125">
        <f>Предпосылки!BE$229*Предпосылки!$E253*Продажи!BF18*BF$19*(1+Чувствительность!$D$20)*IFERROR(LOOKUP(Предпосылки!$H$202,$C$13:$C$15,BF$13:BF$15),1)</f>
        <v>0</v>
      </c>
      <c s="125">
        <f>Предпосылки!BF$229*Предпосылки!$E253*Продажи!BG18*BG$19*(1+Чувствительность!$D$20)*IFERROR(LOOKUP(Предпосылки!$H$202,$C$13:$C$15,BG$13:BG$15),1)</f>
        <v>0</v>
      </c>
      <c s="125">
        <f>Предпосылки!BG$229*Предпосылки!$E253*Продажи!BH18*BH$19*(1+Чувствительность!$D$20)*IFERROR(LOOKUP(Предпосылки!$H$202,$C$13:$C$15,BH$13:BH$15),1)</f>
        <v>0</v>
      </c>
      <c s="125">
        <f>Предпосылки!BH$229*Предпосылки!$E253*Продажи!BI18*BI$19*(1+Чувствительность!$D$20)*IFERROR(LOOKUP(Предпосылки!$H$202,$C$13:$C$15,BI$13:BI$15),1)</f>
        <v>0</v>
      </c>
      <c s="125">
        <f>Предпосылки!BI$229*Предпосылки!$E253*Продажи!BJ18*BJ$19*(1+Чувствительность!$D$20)*IFERROR(LOOKUP(Предпосылки!$H$202,$C$13:$C$15,BJ$13:BJ$15),1)</f>
        <v>0</v>
      </c>
      <c s="125">
        <f>Предпосылки!BJ$229*Предпосылки!$E253*Продажи!BK18*BK$19*(1+Чувствительность!$D$20)*IFERROR(LOOKUP(Предпосылки!$H$202,$C$13:$C$15,BK$13:BK$15),1)</f>
        <v>0</v>
      </c>
      <c s="125">
        <f>Предпосылки!BK$229*Предпосылки!$E253*Продажи!BL18*BL$19*(1+Чувствительность!$D$20)*IFERROR(LOOKUP(Предпосылки!$H$202,$C$13:$C$15,BL$13:BL$15),1)</f>
        <v>0</v>
      </c>
      <c s="125">
        <f>Предпосылки!BL$229*Предпосылки!$E253*Продажи!BM18*BM$19*(1+Чувствительность!$D$20)*IFERROR(LOOKUP(Предпосылки!$H$202,$C$13:$C$15,BM$13:BM$15),1)</f>
        <v>0</v>
      </c>
    </row>
    <row r="47" spans="2:65" ht="15" customHeight="1">
      <c r="B47" s="12" t="str">
        <f t="shared" si="66" ref="B47:B65">B24</f>
        <v>Продукт 2</v>
      </c>
      <c s="124" t="str">
        <f t="shared" si="65"/>
        <v>тыс. руб.</v>
      </c>
      <c s="276">
        <f t="shared" si="67" ref="D47:D65">SUM(E47:BM47)</f>
        <v>0</v>
      </c>
      <c s="125">
        <f>Предпосылки!D$229*Предпосылки!$E254*Продажи!E19*E$19*(1+Чувствительность!$D$20)*IFERROR(LOOKUP(Предпосылки!$H$202,$C$13:$C$15,E$13:E$15),1)</f>
        <v>0</v>
      </c>
      <c s="125">
        <f>Предпосылки!E$229*Предпосылки!$E254*Продажи!F19*F$19*(1+Чувствительность!$D$20)*IFERROR(LOOKUP(Предпосылки!$H$202,$C$13:$C$15,F$13:F$15),1)</f>
        <v>0</v>
      </c>
      <c s="125">
        <f>Предпосылки!F$229*Предпосылки!$E254*Продажи!G19*G$19*(1+Чувствительность!$D$20)*IFERROR(LOOKUP(Предпосылки!$H$202,$C$13:$C$15,G$13:G$15),1)</f>
        <v>0</v>
      </c>
      <c s="125">
        <f>Предпосылки!G$229*Предпосылки!$E254*Продажи!H19*H$19*(1+Чувствительность!$D$20)*IFERROR(LOOKUP(Предпосылки!$H$202,$C$13:$C$15,H$13:H$15),1)</f>
        <v>0</v>
      </c>
      <c s="125">
        <f>Предпосылки!H$229*Предпосылки!$E254*Продажи!I19*I$19*(1+Чувствительность!$D$20)*IFERROR(LOOKUP(Предпосылки!$H$202,$C$13:$C$15,I$13:I$15),1)</f>
        <v>0</v>
      </c>
      <c s="125">
        <f>Предпосылки!I$229*Предпосылки!$E254*Продажи!J19*J$19*(1+Чувствительность!$D$20)*IFERROR(LOOKUP(Предпосылки!$H$202,$C$13:$C$15,J$13:J$15),1)</f>
        <v>0</v>
      </c>
      <c s="125">
        <f>Предпосылки!J$229*Предпосылки!$E254*Продажи!K19*K$19*(1+Чувствительность!$D$20)*IFERROR(LOOKUP(Предпосылки!$H$202,$C$13:$C$15,K$13:K$15),1)</f>
        <v>0</v>
      </c>
      <c s="125">
        <f>Предпосылки!K$229*Предпосылки!$E254*Продажи!L19*L$19*(1+Чувствительность!$D$20)*IFERROR(LOOKUP(Предпосылки!$H$202,$C$13:$C$15,L$13:L$15),1)</f>
        <v>0</v>
      </c>
      <c s="125">
        <f>Предпосылки!L$229*Предпосылки!$E254*Продажи!M19*M$19*(1+Чувствительность!$D$20)*IFERROR(LOOKUP(Предпосылки!$H$202,$C$13:$C$15,M$13:M$15),1)</f>
        <v>0</v>
      </c>
      <c s="125">
        <f>Предпосылки!M$229*Предпосылки!$E254*Продажи!N19*N$19*(1+Чувствительность!$D$20)*IFERROR(LOOKUP(Предпосылки!$H$202,$C$13:$C$15,N$13:N$15),1)</f>
        <v>0</v>
      </c>
      <c s="125">
        <f>Предпосылки!N$229*Предпосылки!$E254*Продажи!O19*O$19*(1+Чувствительность!$D$20)*IFERROR(LOOKUP(Предпосылки!$H$202,$C$13:$C$15,O$13:O$15),1)</f>
        <v>0</v>
      </c>
      <c s="125">
        <f>Предпосылки!O$229*Предпосылки!$E254*Продажи!P19*P$19*(1+Чувствительность!$D$20)*IFERROR(LOOKUP(Предпосылки!$H$202,$C$13:$C$15,P$13:P$15),1)</f>
        <v>0</v>
      </c>
      <c s="125">
        <f>Предпосылки!P$229*Предпосылки!$E254*Продажи!Q19*Q$19*(1+Чувствительность!$D$20)*IFERROR(LOOKUP(Предпосылки!$H$202,$C$13:$C$15,Q$13:Q$15),1)</f>
        <v>0</v>
      </c>
      <c s="125">
        <f>Предпосылки!Q$229*Предпосылки!$E254*Продажи!R19*R$19*(1+Чувствительность!$D$20)*IFERROR(LOOKUP(Предпосылки!$H$202,$C$13:$C$15,R$13:R$15),1)</f>
        <v>0</v>
      </c>
      <c s="125">
        <f>Предпосылки!R$229*Предпосылки!$E254*Продажи!S19*S$19*(1+Чувствительность!$D$20)*IFERROR(LOOKUP(Предпосылки!$H$202,$C$13:$C$15,S$13:S$15),1)</f>
        <v>0</v>
      </c>
      <c s="125">
        <f>Предпосылки!S$229*Предпосылки!$E254*Продажи!T19*T$19*(1+Чувствительность!$D$20)*IFERROR(LOOKUP(Предпосылки!$H$202,$C$13:$C$15,T$13:T$15),1)</f>
        <v>0</v>
      </c>
      <c s="125">
        <f>Предпосылки!T$229*Предпосылки!$E254*Продажи!U19*U$19*(1+Чувствительность!$D$20)*IFERROR(LOOKUP(Предпосылки!$H$202,$C$13:$C$15,U$13:U$15),1)</f>
        <v>0</v>
      </c>
      <c s="125">
        <f>Предпосылки!U$229*Предпосылки!$E254*Продажи!V19*V$19*(1+Чувствительность!$D$20)*IFERROR(LOOKUP(Предпосылки!$H$202,$C$13:$C$15,V$13:V$15),1)</f>
        <v>0</v>
      </c>
      <c s="125">
        <f>Предпосылки!V$229*Предпосылки!$E254*Продажи!W19*W$19*(1+Чувствительность!$D$20)*IFERROR(LOOKUP(Предпосылки!$H$202,$C$13:$C$15,W$13:W$15),1)</f>
        <v>0</v>
      </c>
      <c s="125">
        <f>Предпосылки!W$229*Предпосылки!$E254*Продажи!X19*X$19*(1+Чувствительность!$D$20)*IFERROR(LOOKUP(Предпосылки!$H$202,$C$13:$C$15,X$13:X$15),1)</f>
        <v>0</v>
      </c>
      <c s="125">
        <f>Предпосылки!X$229*Предпосылки!$E254*Продажи!Y19*Y$19*(1+Чувствительность!$D$20)*IFERROR(LOOKUP(Предпосылки!$H$202,$C$13:$C$15,Y$13:Y$15),1)</f>
        <v>0</v>
      </c>
      <c s="125">
        <f>Предпосылки!Y$229*Предпосылки!$E254*Продажи!Z19*Z$19*(1+Чувствительность!$D$20)*IFERROR(LOOKUP(Предпосылки!$H$202,$C$13:$C$15,Z$13:Z$15),1)</f>
        <v>0</v>
      </c>
      <c s="125">
        <f>Предпосылки!Z$229*Предпосылки!$E254*Продажи!AA19*AA$19*(1+Чувствительность!$D$20)*IFERROR(LOOKUP(Предпосылки!$H$202,$C$13:$C$15,AA$13:AA$15),1)</f>
        <v>0</v>
      </c>
      <c s="125">
        <f>Предпосылки!AA$229*Предпосылки!$E254*Продажи!AB19*AB$19*(1+Чувствительность!$D$20)*IFERROR(LOOKUP(Предпосылки!$H$202,$C$13:$C$15,AB$13:AB$15),1)</f>
        <v>0</v>
      </c>
      <c s="125">
        <f>Предпосылки!AB$229*Предпосылки!$E254*Продажи!AC19*AC$19*(1+Чувствительность!$D$20)*IFERROR(LOOKUP(Предпосылки!$H$202,$C$13:$C$15,AC$13:AC$15),1)</f>
        <v>0</v>
      </c>
      <c s="125">
        <f>Предпосылки!AC$229*Предпосылки!$E254*Продажи!AD19*AD$19*(1+Чувствительность!$D$20)*IFERROR(LOOKUP(Предпосылки!$H$202,$C$13:$C$15,AD$13:AD$15),1)</f>
        <v>0</v>
      </c>
      <c s="125">
        <f>Предпосылки!AD$229*Предпосылки!$E254*Продажи!AE19*AE$19*(1+Чувствительность!$D$20)*IFERROR(LOOKUP(Предпосылки!$H$202,$C$13:$C$15,AE$13:AE$15),1)</f>
        <v>0</v>
      </c>
      <c s="125">
        <f>Предпосылки!AE$229*Предпосылки!$E254*Продажи!AF19*AF$19*(1+Чувствительность!$D$20)*IFERROR(LOOKUP(Предпосылки!$H$202,$C$13:$C$15,AF$13:AF$15),1)</f>
        <v>0</v>
      </c>
      <c s="125">
        <f>Предпосылки!AF$229*Предпосылки!$E254*Продажи!AG19*AG$19*(1+Чувствительность!$D$20)*IFERROR(LOOKUP(Предпосылки!$H$202,$C$13:$C$15,AG$13:AG$15),1)</f>
        <v>0</v>
      </c>
      <c s="125">
        <f>Предпосылки!AG$229*Предпосылки!$E254*Продажи!AH19*AH$19*(1+Чувствительность!$D$20)*IFERROR(LOOKUP(Предпосылки!$H$202,$C$13:$C$15,AH$13:AH$15),1)</f>
        <v>0</v>
      </c>
      <c s="125">
        <f>Предпосылки!AH$229*Предпосылки!$E254*Продажи!AI19*AI$19*(1+Чувствительность!$D$20)*IFERROR(LOOKUP(Предпосылки!$H$202,$C$13:$C$15,AI$13:AI$15),1)</f>
        <v>0</v>
      </c>
      <c s="125">
        <f>Предпосылки!AI$229*Предпосылки!$E254*Продажи!AJ19*AJ$19*(1+Чувствительность!$D$20)*IFERROR(LOOKUP(Предпосылки!$H$202,$C$13:$C$15,AJ$13:AJ$15),1)</f>
        <v>0</v>
      </c>
      <c s="125">
        <f>Предпосылки!AJ$229*Предпосылки!$E254*Продажи!AK19*AK$19*(1+Чувствительность!$D$20)*IFERROR(LOOKUP(Предпосылки!$H$202,$C$13:$C$15,AK$13:AK$15),1)</f>
        <v>0</v>
      </c>
      <c s="125">
        <f>Предпосылки!AK$229*Предпосылки!$E254*Продажи!AL19*AL$19*(1+Чувствительность!$D$20)*IFERROR(LOOKUP(Предпосылки!$H$202,$C$13:$C$15,AL$13:AL$15),1)</f>
        <v>0</v>
      </c>
      <c s="125">
        <f>Предпосылки!AL$229*Предпосылки!$E254*Продажи!AM19*AM$19*(1+Чувствительность!$D$20)*IFERROR(LOOKUP(Предпосылки!$H$202,$C$13:$C$15,AM$13:AM$15),1)</f>
        <v>0</v>
      </c>
      <c s="125">
        <f>Предпосылки!AM$229*Предпосылки!$E254*Продажи!AN19*AN$19*(1+Чувствительность!$D$20)*IFERROR(LOOKUP(Предпосылки!$H$202,$C$13:$C$15,AN$13:AN$15),1)</f>
        <v>0</v>
      </c>
      <c s="125">
        <f>Предпосылки!AN$229*Предпосылки!$E254*Продажи!AO19*AO$19*(1+Чувствительность!$D$20)*IFERROR(LOOKUP(Предпосылки!$H$202,$C$13:$C$15,AO$13:AO$15),1)</f>
        <v>0</v>
      </c>
      <c s="125">
        <f>Предпосылки!AO$229*Предпосылки!$E254*Продажи!AP19*AP$19*(1+Чувствительность!$D$20)*IFERROR(LOOKUP(Предпосылки!$H$202,$C$13:$C$15,AP$13:AP$15),1)</f>
        <v>0</v>
      </c>
      <c s="125">
        <f>Предпосылки!AP$229*Предпосылки!$E254*Продажи!AQ19*AQ$19*(1+Чувствительность!$D$20)*IFERROR(LOOKUP(Предпосылки!$H$202,$C$13:$C$15,AQ$13:AQ$15),1)</f>
        <v>0</v>
      </c>
      <c s="125">
        <f>Предпосылки!AQ$229*Предпосылки!$E254*Продажи!AR19*AR$19*(1+Чувствительность!$D$20)*IFERROR(LOOKUP(Предпосылки!$H$202,$C$13:$C$15,AR$13:AR$15),1)</f>
        <v>0</v>
      </c>
      <c s="125">
        <f>Предпосылки!AR$229*Предпосылки!$E254*Продажи!AS19*AS$19*(1+Чувствительность!$D$20)*IFERROR(LOOKUP(Предпосылки!$H$202,$C$13:$C$15,AS$13:AS$15),1)</f>
        <v>0</v>
      </c>
      <c s="125">
        <f>Предпосылки!AS$229*Предпосылки!$E254*Продажи!AT19*AT$19*(1+Чувствительность!$D$20)*IFERROR(LOOKUP(Предпосылки!$H$202,$C$13:$C$15,AT$13:AT$15),1)</f>
        <v>0</v>
      </c>
      <c s="125">
        <f>Предпосылки!AT$229*Предпосылки!$E254*Продажи!AU19*AU$19*(1+Чувствительность!$D$20)*IFERROR(LOOKUP(Предпосылки!$H$202,$C$13:$C$15,AU$13:AU$15),1)</f>
        <v>0</v>
      </c>
      <c s="125">
        <f>Предпосылки!AU$229*Предпосылки!$E254*Продажи!AV19*AV$19*(1+Чувствительность!$D$20)*IFERROR(LOOKUP(Предпосылки!$H$202,$C$13:$C$15,AV$13:AV$15),1)</f>
        <v>0</v>
      </c>
      <c s="125">
        <f>Предпосылки!AV$229*Предпосылки!$E254*Продажи!AW19*AW$19*(1+Чувствительность!$D$20)*IFERROR(LOOKUP(Предпосылки!$H$202,$C$13:$C$15,AW$13:AW$15),1)</f>
        <v>0</v>
      </c>
      <c s="125">
        <f>Предпосылки!AW$229*Предпосылки!$E254*Продажи!AX19*AX$19*(1+Чувствительность!$D$20)*IFERROR(LOOKUP(Предпосылки!$H$202,$C$13:$C$15,AX$13:AX$15),1)</f>
        <v>0</v>
      </c>
      <c s="125">
        <f>Предпосылки!AX$229*Предпосылки!$E254*Продажи!AY19*AY$19*(1+Чувствительность!$D$20)*IFERROR(LOOKUP(Предпосылки!$H$202,$C$13:$C$15,AY$13:AY$15),1)</f>
        <v>0</v>
      </c>
      <c s="125">
        <f>Предпосылки!AY$229*Предпосылки!$E254*Продажи!AZ19*AZ$19*(1+Чувствительность!$D$20)*IFERROR(LOOKUP(Предпосылки!$H$202,$C$13:$C$15,AZ$13:AZ$15),1)</f>
        <v>0</v>
      </c>
      <c s="125">
        <f>Предпосылки!AZ$229*Предпосылки!$E254*Продажи!BA19*BA$19*(1+Чувствительность!$D$20)*IFERROR(LOOKUP(Предпосылки!$H$202,$C$13:$C$15,BA$13:BA$15),1)</f>
        <v>0</v>
      </c>
      <c s="125">
        <f>Предпосылки!BA$229*Предпосылки!$E254*Продажи!BB19*BB$19*(1+Чувствительность!$D$20)*IFERROR(LOOKUP(Предпосылки!$H$202,$C$13:$C$15,BB$13:BB$15),1)</f>
        <v>0</v>
      </c>
      <c s="125">
        <f>Предпосылки!BB$229*Предпосылки!$E254*Продажи!BC19*BC$19*(1+Чувствительность!$D$20)*IFERROR(LOOKUP(Предпосылки!$H$202,$C$13:$C$15,BC$13:BC$15),1)</f>
        <v>0</v>
      </c>
      <c s="125">
        <f>Предпосылки!BC$229*Предпосылки!$E254*Продажи!BD19*BD$19*(1+Чувствительность!$D$20)*IFERROR(LOOKUP(Предпосылки!$H$202,$C$13:$C$15,BD$13:BD$15),1)</f>
        <v>0</v>
      </c>
      <c s="125">
        <f>Предпосылки!BD$229*Предпосылки!$E254*Продажи!BE19*BE$19*(1+Чувствительность!$D$20)*IFERROR(LOOKUP(Предпосылки!$H$202,$C$13:$C$15,BE$13:BE$15),1)</f>
        <v>0</v>
      </c>
      <c s="125">
        <f>Предпосылки!BE$229*Предпосылки!$E254*Продажи!BF19*BF$19*(1+Чувствительность!$D$20)*IFERROR(LOOKUP(Предпосылки!$H$202,$C$13:$C$15,BF$13:BF$15),1)</f>
        <v>0</v>
      </c>
      <c s="125">
        <f>Предпосылки!BF$229*Предпосылки!$E254*Продажи!BG19*BG$19*(1+Чувствительность!$D$20)*IFERROR(LOOKUP(Предпосылки!$H$202,$C$13:$C$15,BG$13:BG$15),1)</f>
        <v>0</v>
      </c>
      <c s="125">
        <f>Предпосылки!BG$229*Предпосылки!$E254*Продажи!BH19*BH$19*(1+Чувствительность!$D$20)*IFERROR(LOOKUP(Предпосылки!$H$202,$C$13:$C$15,BH$13:BH$15),1)</f>
        <v>0</v>
      </c>
      <c s="125">
        <f>Предпосылки!BH$229*Предпосылки!$E254*Продажи!BI19*BI$19*(1+Чувствительность!$D$20)*IFERROR(LOOKUP(Предпосылки!$H$202,$C$13:$C$15,BI$13:BI$15),1)</f>
        <v>0</v>
      </c>
      <c s="125">
        <f>Предпосылки!BI$229*Предпосылки!$E254*Продажи!BJ19*BJ$19*(1+Чувствительность!$D$20)*IFERROR(LOOKUP(Предпосылки!$H$202,$C$13:$C$15,BJ$13:BJ$15),1)</f>
        <v>0</v>
      </c>
      <c s="125">
        <f>Предпосылки!BJ$229*Предпосылки!$E254*Продажи!BK19*BK$19*(1+Чувствительность!$D$20)*IFERROR(LOOKUP(Предпосылки!$H$202,$C$13:$C$15,BK$13:BK$15),1)</f>
        <v>0</v>
      </c>
      <c s="125">
        <f>Предпосылки!BK$229*Предпосылки!$E254*Продажи!BL19*BL$19*(1+Чувствительность!$D$20)*IFERROR(LOOKUP(Предпосылки!$H$202,$C$13:$C$15,BL$13:BL$15),1)</f>
        <v>0</v>
      </c>
      <c s="125">
        <f>Предпосылки!BL$229*Предпосылки!$E254*Продажи!BM19*BM$19*(1+Чувствительность!$D$20)*IFERROR(LOOKUP(Предпосылки!$H$202,$C$13:$C$15,BM$13:BM$15),1)</f>
        <v>0</v>
      </c>
    </row>
    <row r="48" spans="2:65" ht="15" customHeight="1">
      <c r="B48" s="12" t="str">
        <f t="shared" si="66"/>
        <v>Продукт 3</v>
      </c>
      <c s="124" t="str">
        <f t="shared" si="65"/>
        <v>тыс. руб.</v>
      </c>
      <c s="276">
        <f t="shared" si="67"/>
        <v>0</v>
      </c>
      <c s="125">
        <f>Предпосылки!D$229*Предпосылки!$E255*Продажи!E20*E$19*(1+Чувствительность!$D$20)*IFERROR(LOOKUP(Предпосылки!$H$202,$C$13:$C$15,E$13:E$15),1)</f>
        <v>0</v>
      </c>
      <c s="125">
        <f>Предпосылки!E$229*Предпосылки!$E255*Продажи!F20*F$19*(1+Чувствительность!$D$20)*IFERROR(LOOKUP(Предпосылки!$H$202,$C$13:$C$15,F$13:F$15),1)</f>
        <v>0</v>
      </c>
      <c s="125">
        <f>Предпосылки!F$229*Предпосылки!$E255*Продажи!G20*G$19*(1+Чувствительность!$D$20)*IFERROR(LOOKUP(Предпосылки!$H$202,$C$13:$C$15,G$13:G$15),1)</f>
        <v>0</v>
      </c>
      <c s="125">
        <f>Предпосылки!G$229*Предпосылки!$E255*Продажи!H20*H$19*(1+Чувствительность!$D$20)*IFERROR(LOOKUP(Предпосылки!$H$202,$C$13:$C$15,H$13:H$15),1)</f>
        <v>0</v>
      </c>
      <c s="125">
        <f>Предпосылки!H$229*Предпосылки!$E255*Продажи!I20*I$19*(1+Чувствительность!$D$20)*IFERROR(LOOKUP(Предпосылки!$H$202,$C$13:$C$15,I$13:I$15),1)</f>
        <v>0</v>
      </c>
      <c s="125">
        <f>Предпосылки!I$229*Предпосылки!$E255*Продажи!J20*J$19*(1+Чувствительность!$D$20)*IFERROR(LOOKUP(Предпосылки!$H$202,$C$13:$C$15,J$13:J$15),1)</f>
        <v>0</v>
      </c>
      <c s="125">
        <f>Предпосылки!J$229*Предпосылки!$E255*Продажи!K20*K$19*(1+Чувствительность!$D$20)*IFERROR(LOOKUP(Предпосылки!$H$202,$C$13:$C$15,K$13:K$15),1)</f>
        <v>0</v>
      </c>
      <c s="125">
        <f>Предпосылки!K$229*Предпосылки!$E255*Продажи!L20*L$19*(1+Чувствительность!$D$20)*IFERROR(LOOKUP(Предпосылки!$H$202,$C$13:$C$15,L$13:L$15),1)</f>
        <v>0</v>
      </c>
      <c s="125">
        <f>Предпосылки!L$229*Предпосылки!$E255*Продажи!M20*M$19*(1+Чувствительность!$D$20)*IFERROR(LOOKUP(Предпосылки!$H$202,$C$13:$C$15,M$13:M$15),1)</f>
        <v>0</v>
      </c>
      <c s="125">
        <f>Предпосылки!M$229*Предпосылки!$E255*Продажи!N20*N$19*(1+Чувствительность!$D$20)*IFERROR(LOOKUP(Предпосылки!$H$202,$C$13:$C$15,N$13:N$15),1)</f>
        <v>0</v>
      </c>
      <c s="125">
        <f>Предпосылки!N$229*Предпосылки!$E255*Продажи!O20*O$19*(1+Чувствительность!$D$20)*IFERROR(LOOKUP(Предпосылки!$H$202,$C$13:$C$15,O$13:O$15),1)</f>
        <v>0</v>
      </c>
      <c s="125">
        <f>Предпосылки!O$229*Предпосылки!$E255*Продажи!P20*P$19*(1+Чувствительность!$D$20)*IFERROR(LOOKUP(Предпосылки!$H$202,$C$13:$C$15,P$13:P$15),1)</f>
        <v>0</v>
      </c>
      <c s="125">
        <f>Предпосылки!P$229*Предпосылки!$E255*Продажи!Q20*Q$19*(1+Чувствительность!$D$20)*IFERROR(LOOKUP(Предпосылки!$H$202,$C$13:$C$15,Q$13:Q$15),1)</f>
        <v>0</v>
      </c>
      <c s="125">
        <f>Предпосылки!Q$229*Предпосылки!$E255*Продажи!R20*R$19*(1+Чувствительность!$D$20)*IFERROR(LOOKUP(Предпосылки!$H$202,$C$13:$C$15,R$13:R$15),1)</f>
        <v>0</v>
      </c>
      <c s="125">
        <f>Предпосылки!R$229*Предпосылки!$E255*Продажи!S20*S$19*(1+Чувствительность!$D$20)*IFERROR(LOOKUP(Предпосылки!$H$202,$C$13:$C$15,S$13:S$15),1)</f>
        <v>0</v>
      </c>
      <c s="125">
        <f>Предпосылки!S$229*Предпосылки!$E255*Продажи!T20*T$19*(1+Чувствительность!$D$20)*IFERROR(LOOKUP(Предпосылки!$H$202,$C$13:$C$15,T$13:T$15),1)</f>
        <v>0</v>
      </c>
      <c s="125">
        <f>Предпосылки!T$229*Предпосылки!$E255*Продажи!U20*U$19*(1+Чувствительность!$D$20)*IFERROR(LOOKUP(Предпосылки!$H$202,$C$13:$C$15,U$13:U$15),1)</f>
        <v>0</v>
      </c>
      <c s="125">
        <f>Предпосылки!U$229*Предпосылки!$E255*Продажи!V20*V$19*(1+Чувствительность!$D$20)*IFERROR(LOOKUP(Предпосылки!$H$202,$C$13:$C$15,V$13:V$15),1)</f>
        <v>0</v>
      </c>
      <c s="125">
        <f>Предпосылки!V$229*Предпосылки!$E255*Продажи!W20*W$19*(1+Чувствительность!$D$20)*IFERROR(LOOKUP(Предпосылки!$H$202,$C$13:$C$15,W$13:W$15),1)</f>
        <v>0</v>
      </c>
      <c s="125">
        <f>Предпосылки!W$229*Предпосылки!$E255*Продажи!X20*X$19*(1+Чувствительность!$D$20)*IFERROR(LOOKUP(Предпосылки!$H$202,$C$13:$C$15,X$13:X$15),1)</f>
        <v>0</v>
      </c>
      <c s="125">
        <f>Предпосылки!X$229*Предпосылки!$E255*Продажи!Y20*Y$19*(1+Чувствительность!$D$20)*IFERROR(LOOKUP(Предпосылки!$H$202,$C$13:$C$15,Y$13:Y$15),1)</f>
        <v>0</v>
      </c>
      <c s="125">
        <f>Предпосылки!Y$229*Предпосылки!$E255*Продажи!Z20*Z$19*(1+Чувствительность!$D$20)*IFERROR(LOOKUP(Предпосылки!$H$202,$C$13:$C$15,Z$13:Z$15),1)</f>
        <v>0</v>
      </c>
      <c s="125">
        <f>Предпосылки!Z$229*Предпосылки!$E255*Продажи!AA20*AA$19*(1+Чувствительность!$D$20)*IFERROR(LOOKUP(Предпосылки!$H$202,$C$13:$C$15,AA$13:AA$15),1)</f>
        <v>0</v>
      </c>
      <c s="125">
        <f>Предпосылки!AA$229*Предпосылки!$E255*Продажи!AB20*AB$19*(1+Чувствительность!$D$20)*IFERROR(LOOKUP(Предпосылки!$H$202,$C$13:$C$15,AB$13:AB$15),1)</f>
        <v>0</v>
      </c>
      <c s="125">
        <f>Предпосылки!AB$229*Предпосылки!$E255*Продажи!AC20*AC$19*(1+Чувствительность!$D$20)*IFERROR(LOOKUP(Предпосылки!$H$202,$C$13:$C$15,AC$13:AC$15),1)</f>
        <v>0</v>
      </c>
      <c s="125">
        <f>Предпосылки!AC$229*Предпосылки!$E255*Продажи!AD20*AD$19*(1+Чувствительность!$D$20)*IFERROR(LOOKUP(Предпосылки!$H$202,$C$13:$C$15,AD$13:AD$15),1)</f>
        <v>0</v>
      </c>
      <c s="125">
        <f>Предпосылки!AD$229*Предпосылки!$E255*Продажи!AE20*AE$19*(1+Чувствительность!$D$20)*IFERROR(LOOKUP(Предпосылки!$H$202,$C$13:$C$15,AE$13:AE$15),1)</f>
        <v>0</v>
      </c>
      <c s="125">
        <f>Предпосылки!AE$229*Предпосылки!$E255*Продажи!AF20*AF$19*(1+Чувствительность!$D$20)*IFERROR(LOOKUP(Предпосылки!$H$202,$C$13:$C$15,AF$13:AF$15),1)</f>
        <v>0</v>
      </c>
      <c s="125">
        <f>Предпосылки!AF$229*Предпосылки!$E255*Продажи!AG20*AG$19*(1+Чувствительность!$D$20)*IFERROR(LOOKUP(Предпосылки!$H$202,$C$13:$C$15,AG$13:AG$15),1)</f>
        <v>0</v>
      </c>
      <c s="125">
        <f>Предпосылки!AG$229*Предпосылки!$E255*Продажи!AH20*AH$19*(1+Чувствительность!$D$20)*IFERROR(LOOKUP(Предпосылки!$H$202,$C$13:$C$15,AH$13:AH$15),1)</f>
        <v>0</v>
      </c>
      <c s="125">
        <f>Предпосылки!AH$229*Предпосылки!$E255*Продажи!AI20*AI$19*(1+Чувствительность!$D$20)*IFERROR(LOOKUP(Предпосылки!$H$202,$C$13:$C$15,AI$13:AI$15),1)</f>
        <v>0</v>
      </c>
      <c s="125">
        <f>Предпосылки!AI$229*Предпосылки!$E255*Продажи!AJ20*AJ$19*(1+Чувствительность!$D$20)*IFERROR(LOOKUP(Предпосылки!$H$202,$C$13:$C$15,AJ$13:AJ$15),1)</f>
        <v>0</v>
      </c>
      <c s="125">
        <f>Предпосылки!AJ$229*Предпосылки!$E255*Продажи!AK20*AK$19*(1+Чувствительность!$D$20)*IFERROR(LOOKUP(Предпосылки!$H$202,$C$13:$C$15,AK$13:AK$15),1)</f>
        <v>0</v>
      </c>
      <c s="125">
        <f>Предпосылки!AK$229*Предпосылки!$E255*Продажи!AL20*AL$19*(1+Чувствительность!$D$20)*IFERROR(LOOKUP(Предпосылки!$H$202,$C$13:$C$15,AL$13:AL$15),1)</f>
        <v>0</v>
      </c>
      <c s="125">
        <f>Предпосылки!AL$229*Предпосылки!$E255*Продажи!AM20*AM$19*(1+Чувствительность!$D$20)*IFERROR(LOOKUP(Предпосылки!$H$202,$C$13:$C$15,AM$13:AM$15),1)</f>
        <v>0</v>
      </c>
      <c s="125">
        <f>Предпосылки!AM$229*Предпосылки!$E255*Продажи!AN20*AN$19*(1+Чувствительность!$D$20)*IFERROR(LOOKUP(Предпосылки!$H$202,$C$13:$C$15,AN$13:AN$15),1)</f>
        <v>0</v>
      </c>
      <c s="125">
        <f>Предпосылки!AN$229*Предпосылки!$E255*Продажи!AO20*AO$19*(1+Чувствительность!$D$20)*IFERROR(LOOKUP(Предпосылки!$H$202,$C$13:$C$15,AO$13:AO$15),1)</f>
        <v>0</v>
      </c>
      <c s="125">
        <f>Предпосылки!AO$229*Предпосылки!$E255*Продажи!AP20*AP$19*(1+Чувствительность!$D$20)*IFERROR(LOOKUP(Предпосылки!$H$202,$C$13:$C$15,AP$13:AP$15),1)</f>
        <v>0</v>
      </c>
      <c s="125">
        <f>Предпосылки!AP$229*Предпосылки!$E255*Продажи!AQ20*AQ$19*(1+Чувствительность!$D$20)*IFERROR(LOOKUP(Предпосылки!$H$202,$C$13:$C$15,AQ$13:AQ$15),1)</f>
        <v>0</v>
      </c>
      <c s="125">
        <f>Предпосылки!AQ$229*Предпосылки!$E255*Продажи!AR20*AR$19*(1+Чувствительность!$D$20)*IFERROR(LOOKUP(Предпосылки!$H$202,$C$13:$C$15,AR$13:AR$15),1)</f>
        <v>0</v>
      </c>
      <c s="125">
        <f>Предпосылки!AR$229*Предпосылки!$E255*Продажи!AS20*AS$19*(1+Чувствительность!$D$20)*IFERROR(LOOKUP(Предпосылки!$H$202,$C$13:$C$15,AS$13:AS$15),1)</f>
        <v>0</v>
      </c>
      <c s="125">
        <f>Предпосылки!AS$229*Предпосылки!$E255*Продажи!AT20*AT$19*(1+Чувствительность!$D$20)*IFERROR(LOOKUP(Предпосылки!$H$202,$C$13:$C$15,AT$13:AT$15),1)</f>
        <v>0</v>
      </c>
      <c s="125">
        <f>Предпосылки!AT$229*Предпосылки!$E255*Продажи!AU20*AU$19*(1+Чувствительность!$D$20)*IFERROR(LOOKUP(Предпосылки!$H$202,$C$13:$C$15,AU$13:AU$15),1)</f>
        <v>0</v>
      </c>
      <c s="125">
        <f>Предпосылки!AU$229*Предпосылки!$E255*Продажи!AV20*AV$19*(1+Чувствительность!$D$20)*IFERROR(LOOKUP(Предпосылки!$H$202,$C$13:$C$15,AV$13:AV$15),1)</f>
        <v>0</v>
      </c>
      <c s="125">
        <f>Предпосылки!AV$229*Предпосылки!$E255*Продажи!AW20*AW$19*(1+Чувствительность!$D$20)*IFERROR(LOOKUP(Предпосылки!$H$202,$C$13:$C$15,AW$13:AW$15),1)</f>
        <v>0</v>
      </c>
      <c s="125">
        <f>Предпосылки!AW$229*Предпосылки!$E255*Продажи!AX20*AX$19*(1+Чувствительность!$D$20)*IFERROR(LOOKUP(Предпосылки!$H$202,$C$13:$C$15,AX$13:AX$15),1)</f>
        <v>0</v>
      </c>
      <c s="125">
        <f>Предпосылки!AX$229*Предпосылки!$E255*Продажи!AY20*AY$19*(1+Чувствительность!$D$20)*IFERROR(LOOKUP(Предпосылки!$H$202,$C$13:$C$15,AY$13:AY$15),1)</f>
        <v>0</v>
      </c>
      <c s="125">
        <f>Предпосылки!AY$229*Предпосылки!$E255*Продажи!AZ20*AZ$19*(1+Чувствительность!$D$20)*IFERROR(LOOKUP(Предпосылки!$H$202,$C$13:$C$15,AZ$13:AZ$15),1)</f>
        <v>0</v>
      </c>
      <c s="125">
        <f>Предпосылки!AZ$229*Предпосылки!$E255*Продажи!BA20*BA$19*(1+Чувствительность!$D$20)*IFERROR(LOOKUP(Предпосылки!$H$202,$C$13:$C$15,BA$13:BA$15),1)</f>
        <v>0</v>
      </c>
      <c s="125">
        <f>Предпосылки!BA$229*Предпосылки!$E255*Продажи!BB20*BB$19*(1+Чувствительность!$D$20)*IFERROR(LOOKUP(Предпосылки!$H$202,$C$13:$C$15,BB$13:BB$15),1)</f>
        <v>0</v>
      </c>
      <c s="125">
        <f>Предпосылки!BB$229*Предпосылки!$E255*Продажи!BC20*BC$19*(1+Чувствительность!$D$20)*IFERROR(LOOKUP(Предпосылки!$H$202,$C$13:$C$15,BC$13:BC$15),1)</f>
        <v>0</v>
      </c>
      <c s="125">
        <f>Предпосылки!BC$229*Предпосылки!$E255*Продажи!BD20*BD$19*(1+Чувствительность!$D$20)*IFERROR(LOOKUP(Предпосылки!$H$202,$C$13:$C$15,BD$13:BD$15),1)</f>
        <v>0</v>
      </c>
      <c s="125">
        <f>Предпосылки!BD$229*Предпосылки!$E255*Продажи!BE20*BE$19*(1+Чувствительность!$D$20)*IFERROR(LOOKUP(Предпосылки!$H$202,$C$13:$C$15,BE$13:BE$15),1)</f>
        <v>0</v>
      </c>
      <c s="125">
        <f>Предпосылки!BE$229*Предпосылки!$E255*Продажи!BF20*BF$19*(1+Чувствительность!$D$20)*IFERROR(LOOKUP(Предпосылки!$H$202,$C$13:$C$15,BF$13:BF$15),1)</f>
        <v>0</v>
      </c>
      <c s="125">
        <f>Предпосылки!BF$229*Предпосылки!$E255*Продажи!BG20*BG$19*(1+Чувствительность!$D$20)*IFERROR(LOOKUP(Предпосылки!$H$202,$C$13:$C$15,BG$13:BG$15),1)</f>
        <v>0</v>
      </c>
      <c s="125">
        <f>Предпосылки!BG$229*Предпосылки!$E255*Продажи!BH20*BH$19*(1+Чувствительность!$D$20)*IFERROR(LOOKUP(Предпосылки!$H$202,$C$13:$C$15,BH$13:BH$15),1)</f>
        <v>0</v>
      </c>
      <c s="125">
        <f>Предпосылки!BH$229*Предпосылки!$E255*Продажи!BI20*BI$19*(1+Чувствительность!$D$20)*IFERROR(LOOKUP(Предпосылки!$H$202,$C$13:$C$15,BI$13:BI$15),1)</f>
        <v>0</v>
      </c>
      <c s="125">
        <f>Предпосылки!BI$229*Предпосылки!$E255*Продажи!BJ20*BJ$19*(1+Чувствительность!$D$20)*IFERROR(LOOKUP(Предпосылки!$H$202,$C$13:$C$15,BJ$13:BJ$15),1)</f>
        <v>0</v>
      </c>
      <c s="125">
        <f>Предпосылки!BJ$229*Предпосылки!$E255*Продажи!BK20*BK$19*(1+Чувствительность!$D$20)*IFERROR(LOOKUP(Предпосылки!$H$202,$C$13:$C$15,BK$13:BK$15),1)</f>
        <v>0</v>
      </c>
      <c s="125">
        <f>Предпосылки!BK$229*Предпосылки!$E255*Продажи!BL20*BL$19*(1+Чувствительность!$D$20)*IFERROR(LOOKUP(Предпосылки!$H$202,$C$13:$C$15,BL$13:BL$15),1)</f>
        <v>0</v>
      </c>
      <c s="125">
        <f>Предпосылки!BL$229*Предпосылки!$E255*Продажи!BM20*BM$19*(1+Чувствительность!$D$20)*IFERROR(LOOKUP(Предпосылки!$H$202,$C$13:$C$15,BM$13:BM$15),1)</f>
        <v>0</v>
      </c>
    </row>
    <row r="49" spans="2:65" ht="15" customHeight="1">
      <c r="B49" s="12" t="str">
        <f t="shared" si="66"/>
        <v>Продукт 4</v>
      </c>
      <c s="124" t="str">
        <f t="shared" si="65"/>
        <v>тыс. руб.</v>
      </c>
      <c s="276">
        <f t="shared" si="67"/>
        <v>0</v>
      </c>
      <c s="125">
        <f>Предпосылки!D$229*Предпосылки!$E256*Продажи!E21*E$19*(1+Чувствительность!$D$20)*IFERROR(LOOKUP(Предпосылки!$H$202,$C$13:$C$15,E$13:E$15),1)</f>
        <v>0</v>
      </c>
      <c s="125">
        <f>Предпосылки!E$229*Предпосылки!$E256*Продажи!F21*F$19*(1+Чувствительность!$D$20)*IFERROR(LOOKUP(Предпосылки!$H$202,$C$13:$C$15,F$13:F$15),1)</f>
        <v>0</v>
      </c>
      <c s="125">
        <f>Предпосылки!F$229*Предпосылки!$E256*Продажи!G21*G$19*(1+Чувствительность!$D$20)*IFERROR(LOOKUP(Предпосылки!$H$202,$C$13:$C$15,G$13:G$15),1)</f>
        <v>0</v>
      </c>
      <c s="125">
        <f>Предпосылки!G$229*Предпосылки!$E256*Продажи!H21*H$19*(1+Чувствительность!$D$20)*IFERROR(LOOKUP(Предпосылки!$H$202,$C$13:$C$15,H$13:H$15),1)</f>
        <v>0</v>
      </c>
      <c s="125">
        <f>Предпосылки!H$229*Предпосылки!$E256*Продажи!I21*I$19*(1+Чувствительность!$D$20)*IFERROR(LOOKUP(Предпосылки!$H$202,$C$13:$C$15,I$13:I$15),1)</f>
        <v>0</v>
      </c>
      <c s="125">
        <f>Предпосылки!I$229*Предпосылки!$E256*Продажи!J21*J$19*(1+Чувствительность!$D$20)*IFERROR(LOOKUP(Предпосылки!$H$202,$C$13:$C$15,J$13:J$15),1)</f>
        <v>0</v>
      </c>
      <c s="125">
        <f>Предпосылки!J$229*Предпосылки!$E256*Продажи!K21*K$19*(1+Чувствительность!$D$20)*IFERROR(LOOKUP(Предпосылки!$H$202,$C$13:$C$15,K$13:K$15),1)</f>
        <v>0</v>
      </c>
      <c s="125">
        <f>Предпосылки!K$229*Предпосылки!$E256*Продажи!L21*L$19*(1+Чувствительность!$D$20)*IFERROR(LOOKUP(Предпосылки!$H$202,$C$13:$C$15,L$13:L$15),1)</f>
        <v>0</v>
      </c>
      <c s="125">
        <f>Предпосылки!L$229*Предпосылки!$E256*Продажи!M21*M$19*(1+Чувствительность!$D$20)*IFERROR(LOOKUP(Предпосылки!$H$202,$C$13:$C$15,M$13:M$15),1)</f>
        <v>0</v>
      </c>
      <c s="125">
        <f>Предпосылки!M$229*Предпосылки!$E256*Продажи!N21*N$19*(1+Чувствительность!$D$20)*IFERROR(LOOKUP(Предпосылки!$H$202,$C$13:$C$15,N$13:N$15),1)</f>
        <v>0</v>
      </c>
      <c s="125">
        <f>Предпосылки!N$229*Предпосылки!$E256*Продажи!O21*O$19*(1+Чувствительность!$D$20)*IFERROR(LOOKUP(Предпосылки!$H$202,$C$13:$C$15,O$13:O$15),1)</f>
        <v>0</v>
      </c>
      <c s="125">
        <f>Предпосылки!O$229*Предпосылки!$E256*Продажи!P21*P$19*(1+Чувствительность!$D$20)*IFERROR(LOOKUP(Предпосылки!$H$202,$C$13:$C$15,P$13:P$15),1)</f>
        <v>0</v>
      </c>
      <c s="125">
        <f>Предпосылки!P$229*Предпосылки!$E256*Продажи!Q21*Q$19*(1+Чувствительность!$D$20)*IFERROR(LOOKUP(Предпосылки!$H$202,$C$13:$C$15,Q$13:Q$15),1)</f>
        <v>0</v>
      </c>
      <c s="125">
        <f>Предпосылки!Q$229*Предпосылки!$E256*Продажи!R21*R$19*(1+Чувствительность!$D$20)*IFERROR(LOOKUP(Предпосылки!$H$202,$C$13:$C$15,R$13:R$15),1)</f>
        <v>0</v>
      </c>
      <c s="125">
        <f>Предпосылки!R$229*Предпосылки!$E256*Продажи!S21*S$19*(1+Чувствительность!$D$20)*IFERROR(LOOKUP(Предпосылки!$H$202,$C$13:$C$15,S$13:S$15),1)</f>
        <v>0</v>
      </c>
      <c s="125">
        <f>Предпосылки!S$229*Предпосылки!$E256*Продажи!T21*T$19*(1+Чувствительность!$D$20)*IFERROR(LOOKUP(Предпосылки!$H$202,$C$13:$C$15,T$13:T$15),1)</f>
        <v>0</v>
      </c>
      <c s="125">
        <f>Предпосылки!T$229*Предпосылки!$E256*Продажи!U21*U$19*(1+Чувствительность!$D$20)*IFERROR(LOOKUP(Предпосылки!$H$202,$C$13:$C$15,U$13:U$15),1)</f>
        <v>0</v>
      </c>
      <c s="125">
        <f>Предпосылки!U$229*Предпосылки!$E256*Продажи!V21*V$19*(1+Чувствительность!$D$20)*IFERROR(LOOKUP(Предпосылки!$H$202,$C$13:$C$15,V$13:V$15),1)</f>
        <v>0</v>
      </c>
      <c s="125">
        <f>Предпосылки!V$229*Предпосылки!$E256*Продажи!W21*W$19*(1+Чувствительность!$D$20)*IFERROR(LOOKUP(Предпосылки!$H$202,$C$13:$C$15,W$13:W$15),1)</f>
        <v>0</v>
      </c>
      <c s="125">
        <f>Предпосылки!W$229*Предпосылки!$E256*Продажи!X21*X$19*(1+Чувствительность!$D$20)*IFERROR(LOOKUP(Предпосылки!$H$202,$C$13:$C$15,X$13:X$15),1)</f>
        <v>0</v>
      </c>
      <c s="125">
        <f>Предпосылки!X$229*Предпосылки!$E256*Продажи!Y21*Y$19*(1+Чувствительность!$D$20)*IFERROR(LOOKUP(Предпосылки!$H$202,$C$13:$C$15,Y$13:Y$15),1)</f>
        <v>0</v>
      </c>
      <c s="125">
        <f>Предпосылки!Y$229*Предпосылки!$E256*Продажи!Z21*Z$19*(1+Чувствительность!$D$20)*IFERROR(LOOKUP(Предпосылки!$H$202,$C$13:$C$15,Z$13:Z$15),1)</f>
        <v>0</v>
      </c>
      <c s="125">
        <f>Предпосылки!Z$229*Предпосылки!$E256*Продажи!AA21*AA$19*(1+Чувствительность!$D$20)*IFERROR(LOOKUP(Предпосылки!$H$202,$C$13:$C$15,AA$13:AA$15),1)</f>
        <v>0</v>
      </c>
      <c s="125">
        <f>Предпосылки!AA$229*Предпосылки!$E256*Продажи!AB21*AB$19*(1+Чувствительность!$D$20)*IFERROR(LOOKUP(Предпосылки!$H$202,$C$13:$C$15,AB$13:AB$15),1)</f>
        <v>0</v>
      </c>
      <c s="125">
        <f>Предпосылки!AB$229*Предпосылки!$E256*Продажи!AC21*AC$19*(1+Чувствительность!$D$20)*IFERROR(LOOKUP(Предпосылки!$H$202,$C$13:$C$15,AC$13:AC$15),1)</f>
        <v>0</v>
      </c>
      <c s="125">
        <f>Предпосылки!AC$229*Предпосылки!$E256*Продажи!AD21*AD$19*(1+Чувствительность!$D$20)*IFERROR(LOOKUP(Предпосылки!$H$202,$C$13:$C$15,AD$13:AD$15),1)</f>
        <v>0</v>
      </c>
      <c s="125">
        <f>Предпосылки!AD$229*Предпосылки!$E256*Продажи!AE21*AE$19*(1+Чувствительность!$D$20)*IFERROR(LOOKUP(Предпосылки!$H$202,$C$13:$C$15,AE$13:AE$15),1)</f>
        <v>0</v>
      </c>
      <c s="125">
        <f>Предпосылки!AE$229*Предпосылки!$E256*Продажи!AF21*AF$19*(1+Чувствительность!$D$20)*IFERROR(LOOKUP(Предпосылки!$H$202,$C$13:$C$15,AF$13:AF$15),1)</f>
        <v>0</v>
      </c>
      <c s="125">
        <f>Предпосылки!AF$229*Предпосылки!$E256*Продажи!AG21*AG$19*(1+Чувствительность!$D$20)*IFERROR(LOOKUP(Предпосылки!$H$202,$C$13:$C$15,AG$13:AG$15),1)</f>
        <v>0</v>
      </c>
      <c s="125">
        <f>Предпосылки!AG$229*Предпосылки!$E256*Продажи!AH21*AH$19*(1+Чувствительность!$D$20)*IFERROR(LOOKUP(Предпосылки!$H$202,$C$13:$C$15,AH$13:AH$15),1)</f>
        <v>0</v>
      </c>
      <c s="125">
        <f>Предпосылки!AH$229*Предпосылки!$E256*Продажи!AI21*AI$19*(1+Чувствительность!$D$20)*IFERROR(LOOKUP(Предпосылки!$H$202,$C$13:$C$15,AI$13:AI$15),1)</f>
        <v>0</v>
      </c>
      <c s="125">
        <f>Предпосылки!AI$229*Предпосылки!$E256*Продажи!AJ21*AJ$19*(1+Чувствительность!$D$20)*IFERROR(LOOKUP(Предпосылки!$H$202,$C$13:$C$15,AJ$13:AJ$15),1)</f>
        <v>0</v>
      </c>
      <c s="125">
        <f>Предпосылки!AJ$229*Предпосылки!$E256*Продажи!AK21*AK$19*(1+Чувствительность!$D$20)*IFERROR(LOOKUP(Предпосылки!$H$202,$C$13:$C$15,AK$13:AK$15),1)</f>
        <v>0</v>
      </c>
      <c s="125">
        <f>Предпосылки!AK$229*Предпосылки!$E256*Продажи!AL21*AL$19*(1+Чувствительность!$D$20)*IFERROR(LOOKUP(Предпосылки!$H$202,$C$13:$C$15,AL$13:AL$15),1)</f>
        <v>0</v>
      </c>
      <c s="125">
        <f>Предпосылки!AL$229*Предпосылки!$E256*Продажи!AM21*AM$19*(1+Чувствительность!$D$20)*IFERROR(LOOKUP(Предпосылки!$H$202,$C$13:$C$15,AM$13:AM$15),1)</f>
        <v>0</v>
      </c>
      <c s="125">
        <f>Предпосылки!AM$229*Предпосылки!$E256*Продажи!AN21*AN$19*(1+Чувствительность!$D$20)*IFERROR(LOOKUP(Предпосылки!$H$202,$C$13:$C$15,AN$13:AN$15),1)</f>
        <v>0</v>
      </c>
      <c s="125">
        <f>Предпосылки!AN$229*Предпосылки!$E256*Продажи!AO21*AO$19*(1+Чувствительность!$D$20)*IFERROR(LOOKUP(Предпосылки!$H$202,$C$13:$C$15,AO$13:AO$15),1)</f>
        <v>0</v>
      </c>
      <c s="125">
        <f>Предпосылки!AO$229*Предпосылки!$E256*Продажи!AP21*AP$19*(1+Чувствительность!$D$20)*IFERROR(LOOKUP(Предпосылки!$H$202,$C$13:$C$15,AP$13:AP$15),1)</f>
        <v>0</v>
      </c>
      <c s="125">
        <f>Предпосылки!AP$229*Предпосылки!$E256*Продажи!AQ21*AQ$19*(1+Чувствительность!$D$20)*IFERROR(LOOKUP(Предпосылки!$H$202,$C$13:$C$15,AQ$13:AQ$15),1)</f>
        <v>0</v>
      </c>
      <c s="125">
        <f>Предпосылки!AQ$229*Предпосылки!$E256*Продажи!AR21*AR$19*(1+Чувствительность!$D$20)*IFERROR(LOOKUP(Предпосылки!$H$202,$C$13:$C$15,AR$13:AR$15),1)</f>
        <v>0</v>
      </c>
      <c s="125">
        <f>Предпосылки!AR$229*Предпосылки!$E256*Продажи!AS21*AS$19*(1+Чувствительность!$D$20)*IFERROR(LOOKUP(Предпосылки!$H$202,$C$13:$C$15,AS$13:AS$15),1)</f>
        <v>0</v>
      </c>
      <c s="125">
        <f>Предпосылки!AS$229*Предпосылки!$E256*Продажи!AT21*AT$19*(1+Чувствительность!$D$20)*IFERROR(LOOKUP(Предпосылки!$H$202,$C$13:$C$15,AT$13:AT$15),1)</f>
        <v>0</v>
      </c>
      <c s="125">
        <f>Предпосылки!AT$229*Предпосылки!$E256*Продажи!AU21*AU$19*(1+Чувствительность!$D$20)*IFERROR(LOOKUP(Предпосылки!$H$202,$C$13:$C$15,AU$13:AU$15),1)</f>
        <v>0</v>
      </c>
      <c s="125">
        <f>Предпосылки!AU$229*Предпосылки!$E256*Продажи!AV21*AV$19*(1+Чувствительность!$D$20)*IFERROR(LOOKUP(Предпосылки!$H$202,$C$13:$C$15,AV$13:AV$15),1)</f>
        <v>0</v>
      </c>
      <c s="125">
        <f>Предпосылки!AV$229*Предпосылки!$E256*Продажи!AW21*AW$19*(1+Чувствительность!$D$20)*IFERROR(LOOKUP(Предпосылки!$H$202,$C$13:$C$15,AW$13:AW$15),1)</f>
        <v>0</v>
      </c>
      <c s="125">
        <f>Предпосылки!AW$229*Предпосылки!$E256*Продажи!AX21*AX$19*(1+Чувствительность!$D$20)*IFERROR(LOOKUP(Предпосылки!$H$202,$C$13:$C$15,AX$13:AX$15),1)</f>
        <v>0</v>
      </c>
      <c s="125">
        <f>Предпосылки!AX$229*Предпосылки!$E256*Продажи!AY21*AY$19*(1+Чувствительность!$D$20)*IFERROR(LOOKUP(Предпосылки!$H$202,$C$13:$C$15,AY$13:AY$15),1)</f>
        <v>0</v>
      </c>
      <c s="125">
        <f>Предпосылки!AY$229*Предпосылки!$E256*Продажи!AZ21*AZ$19*(1+Чувствительность!$D$20)*IFERROR(LOOKUP(Предпосылки!$H$202,$C$13:$C$15,AZ$13:AZ$15),1)</f>
        <v>0</v>
      </c>
      <c s="125">
        <f>Предпосылки!AZ$229*Предпосылки!$E256*Продажи!BA21*BA$19*(1+Чувствительность!$D$20)*IFERROR(LOOKUP(Предпосылки!$H$202,$C$13:$C$15,BA$13:BA$15),1)</f>
        <v>0</v>
      </c>
      <c s="125">
        <f>Предпосылки!BA$229*Предпосылки!$E256*Продажи!BB21*BB$19*(1+Чувствительность!$D$20)*IFERROR(LOOKUP(Предпосылки!$H$202,$C$13:$C$15,BB$13:BB$15),1)</f>
        <v>0</v>
      </c>
      <c s="125">
        <f>Предпосылки!BB$229*Предпосылки!$E256*Продажи!BC21*BC$19*(1+Чувствительность!$D$20)*IFERROR(LOOKUP(Предпосылки!$H$202,$C$13:$C$15,BC$13:BC$15),1)</f>
        <v>0</v>
      </c>
      <c s="125">
        <f>Предпосылки!BC$229*Предпосылки!$E256*Продажи!BD21*BD$19*(1+Чувствительность!$D$20)*IFERROR(LOOKUP(Предпосылки!$H$202,$C$13:$C$15,BD$13:BD$15),1)</f>
        <v>0</v>
      </c>
      <c s="125">
        <f>Предпосылки!BD$229*Предпосылки!$E256*Продажи!BE21*BE$19*(1+Чувствительность!$D$20)*IFERROR(LOOKUP(Предпосылки!$H$202,$C$13:$C$15,BE$13:BE$15),1)</f>
        <v>0</v>
      </c>
      <c s="125">
        <f>Предпосылки!BE$229*Предпосылки!$E256*Продажи!BF21*BF$19*(1+Чувствительность!$D$20)*IFERROR(LOOKUP(Предпосылки!$H$202,$C$13:$C$15,BF$13:BF$15),1)</f>
        <v>0</v>
      </c>
      <c s="125">
        <f>Предпосылки!BF$229*Предпосылки!$E256*Продажи!BG21*BG$19*(1+Чувствительность!$D$20)*IFERROR(LOOKUP(Предпосылки!$H$202,$C$13:$C$15,BG$13:BG$15),1)</f>
        <v>0</v>
      </c>
      <c s="125">
        <f>Предпосылки!BG$229*Предпосылки!$E256*Продажи!BH21*BH$19*(1+Чувствительность!$D$20)*IFERROR(LOOKUP(Предпосылки!$H$202,$C$13:$C$15,BH$13:BH$15),1)</f>
        <v>0</v>
      </c>
      <c s="125">
        <f>Предпосылки!BH$229*Предпосылки!$E256*Продажи!BI21*BI$19*(1+Чувствительность!$D$20)*IFERROR(LOOKUP(Предпосылки!$H$202,$C$13:$C$15,BI$13:BI$15),1)</f>
        <v>0</v>
      </c>
      <c s="125">
        <f>Предпосылки!BI$229*Предпосылки!$E256*Продажи!BJ21*BJ$19*(1+Чувствительность!$D$20)*IFERROR(LOOKUP(Предпосылки!$H$202,$C$13:$C$15,BJ$13:BJ$15),1)</f>
        <v>0</v>
      </c>
      <c s="125">
        <f>Предпосылки!BJ$229*Предпосылки!$E256*Продажи!BK21*BK$19*(1+Чувствительность!$D$20)*IFERROR(LOOKUP(Предпосылки!$H$202,$C$13:$C$15,BK$13:BK$15),1)</f>
        <v>0</v>
      </c>
      <c s="125">
        <f>Предпосылки!BK$229*Предпосылки!$E256*Продажи!BL21*BL$19*(1+Чувствительность!$D$20)*IFERROR(LOOKUP(Предпосылки!$H$202,$C$13:$C$15,BL$13:BL$15),1)</f>
        <v>0</v>
      </c>
      <c s="125">
        <f>Предпосылки!BL$229*Предпосылки!$E256*Продажи!BM21*BM$19*(1+Чувствительность!$D$20)*IFERROR(LOOKUP(Предпосылки!$H$202,$C$13:$C$15,BM$13:BM$15),1)</f>
        <v>0</v>
      </c>
    </row>
    <row r="50" spans="2:65" ht="15" customHeight="1">
      <c r="B50" s="12" t="str">
        <f t="shared" si="66"/>
        <v>Продукт 5</v>
      </c>
      <c s="124" t="str">
        <f t="shared" si="65"/>
        <v>тыс. руб.</v>
      </c>
      <c s="276">
        <f t="shared" si="67"/>
        <v>0</v>
      </c>
      <c s="125">
        <f>Предпосылки!D$229*Предпосылки!$E257*Продажи!E22*E$19*(1+Чувствительность!$D$20)*IFERROR(LOOKUP(Предпосылки!$H$202,$C$13:$C$15,E$13:E$15),1)</f>
        <v>0</v>
      </c>
      <c s="125">
        <f>Предпосылки!E$229*Предпосылки!$E257*Продажи!F22*F$19*(1+Чувствительность!$D$20)*IFERROR(LOOKUP(Предпосылки!$H$202,$C$13:$C$15,F$13:F$15),1)</f>
        <v>0</v>
      </c>
      <c s="125">
        <f>Предпосылки!F$229*Предпосылки!$E257*Продажи!G22*G$19*(1+Чувствительность!$D$20)*IFERROR(LOOKUP(Предпосылки!$H$202,$C$13:$C$15,G$13:G$15),1)</f>
        <v>0</v>
      </c>
      <c s="125">
        <f>Предпосылки!G$229*Предпосылки!$E257*Продажи!H22*H$19*(1+Чувствительность!$D$20)*IFERROR(LOOKUP(Предпосылки!$H$202,$C$13:$C$15,H$13:H$15),1)</f>
        <v>0</v>
      </c>
      <c s="125">
        <f>Предпосылки!H$229*Предпосылки!$E257*Продажи!I22*I$19*(1+Чувствительность!$D$20)*IFERROR(LOOKUP(Предпосылки!$H$202,$C$13:$C$15,I$13:I$15),1)</f>
        <v>0</v>
      </c>
      <c s="125">
        <f>Предпосылки!I$229*Предпосылки!$E257*Продажи!J22*J$19*(1+Чувствительность!$D$20)*IFERROR(LOOKUP(Предпосылки!$H$202,$C$13:$C$15,J$13:J$15),1)</f>
        <v>0</v>
      </c>
      <c s="125">
        <f>Предпосылки!J$229*Предпосылки!$E257*Продажи!K22*K$19*(1+Чувствительность!$D$20)*IFERROR(LOOKUP(Предпосылки!$H$202,$C$13:$C$15,K$13:K$15),1)</f>
        <v>0</v>
      </c>
      <c s="125">
        <f>Предпосылки!K$229*Предпосылки!$E257*Продажи!L22*L$19*(1+Чувствительность!$D$20)*IFERROR(LOOKUP(Предпосылки!$H$202,$C$13:$C$15,L$13:L$15),1)</f>
        <v>0</v>
      </c>
      <c s="125">
        <f>Предпосылки!L$229*Предпосылки!$E257*Продажи!M22*M$19*(1+Чувствительность!$D$20)*IFERROR(LOOKUP(Предпосылки!$H$202,$C$13:$C$15,M$13:M$15),1)</f>
        <v>0</v>
      </c>
      <c s="125">
        <f>Предпосылки!M$229*Предпосылки!$E257*Продажи!N22*N$19*(1+Чувствительность!$D$20)*IFERROR(LOOKUP(Предпосылки!$H$202,$C$13:$C$15,N$13:N$15),1)</f>
        <v>0</v>
      </c>
      <c s="125">
        <f>Предпосылки!N$229*Предпосылки!$E257*Продажи!O22*O$19*(1+Чувствительность!$D$20)*IFERROR(LOOKUP(Предпосылки!$H$202,$C$13:$C$15,O$13:O$15),1)</f>
        <v>0</v>
      </c>
      <c s="125">
        <f>Предпосылки!O$229*Предпосылки!$E257*Продажи!P22*P$19*(1+Чувствительность!$D$20)*IFERROR(LOOKUP(Предпосылки!$H$202,$C$13:$C$15,P$13:P$15),1)</f>
        <v>0</v>
      </c>
      <c s="125">
        <f>Предпосылки!P$229*Предпосылки!$E257*Продажи!Q22*Q$19*(1+Чувствительность!$D$20)*IFERROR(LOOKUP(Предпосылки!$H$202,$C$13:$C$15,Q$13:Q$15),1)</f>
        <v>0</v>
      </c>
      <c s="125">
        <f>Предпосылки!Q$229*Предпосылки!$E257*Продажи!R22*R$19*(1+Чувствительность!$D$20)*IFERROR(LOOKUP(Предпосылки!$H$202,$C$13:$C$15,R$13:R$15),1)</f>
        <v>0</v>
      </c>
      <c s="125">
        <f>Предпосылки!R$229*Предпосылки!$E257*Продажи!S22*S$19*(1+Чувствительность!$D$20)*IFERROR(LOOKUP(Предпосылки!$H$202,$C$13:$C$15,S$13:S$15),1)</f>
        <v>0</v>
      </c>
      <c s="125">
        <f>Предпосылки!S$229*Предпосылки!$E257*Продажи!T22*T$19*(1+Чувствительность!$D$20)*IFERROR(LOOKUP(Предпосылки!$H$202,$C$13:$C$15,T$13:T$15),1)</f>
        <v>0</v>
      </c>
      <c s="125">
        <f>Предпосылки!T$229*Предпосылки!$E257*Продажи!U22*U$19*(1+Чувствительность!$D$20)*IFERROR(LOOKUP(Предпосылки!$H$202,$C$13:$C$15,U$13:U$15),1)</f>
        <v>0</v>
      </c>
      <c s="125">
        <f>Предпосылки!U$229*Предпосылки!$E257*Продажи!V22*V$19*(1+Чувствительность!$D$20)*IFERROR(LOOKUP(Предпосылки!$H$202,$C$13:$C$15,V$13:V$15),1)</f>
        <v>0</v>
      </c>
      <c s="125">
        <f>Предпосылки!V$229*Предпосылки!$E257*Продажи!W22*W$19*(1+Чувствительность!$D$20)*IFERROR(LOOKUP(Предпосылки!$H$202,$C$13:$C$15,W$13:W$15),1)</f>
        <v>0</v>
      </c>
      <c s="125">
        <f>Предпосылки!W$229*Предпосылки!$E257*Продажи!X22*X$19*(1+Чувствительность!$D$20)*IFERROR(LOOKUP(Предпосылки!$H$202,$C$13:$C$15,X$13:X$15),1)</f>
        <v>0</v>
      </c>
      <c s="125">
        <f>Предпосылки!X$229*Предпосылки!$E257*Продажи!Y22*Y$19*(1+Чувствительность!$D$20)*IFERROR(LOOKUP(Предпосылки!$H$202,$C$13:$C$15,Y$13:Y$15),1)</f>
        <v>0</v>
      </c>
      <c s="125">
        <f>Предпосылки!Y$229*Предпосылки!$E257*Продажи!Z22*Z$19*(1+Чувствительность!$D$20)*IFERROR(LOOKUP(Предпосылки!$H$202,$C$13:$C$15,Z$13:Z$15),1)</f>
        <v>0</v>
      </c>
      <c s="125">
        <f>Предпосылки!Z$229*Предпосылки!$E257*Продажи!AA22*AA$19*(1+Чувствительность!$D$20)*IFERROR(LOOKUP(Предпосылки!$H$202,$C$13:$C$15,AA$13:AA$15),1)</f>
        <v>0</v>
      </c>
      <c s="125">
        <f>Предпосылки!AA$229*Предпосылки!$E257*Продажи!AB22*AB$19*(1+Чувствительность!$D$20)*IFERROR(LOOKUP(Предпосылки!$H$202,$C$13:$C$15,AB$13:AB$15),1)</f>
        <v>0</v>
      </c>
      <c s="125">
        <f>Предпосылки!AB$229*Предпосылки!$E257*Продажи!AC22*AC$19*(1+Чувствительность!$D$20)*IFERROR(LOOKUP(Предпосылки!$H$202,$C$13:$C$15,AC$13:AC$15),1)</f>
        <v>0</v>
      </c>
      <c s="125">
        <f>Предпосылки!AC$229*Предпосылки!$E257*Продажи!AD22*AD$19*(1+Чувствительность!$D$20)*IFERROR(LOOKUP(Предпосылки!$H$202,$C$13:$C$15,AD$13:AD$15),1)</f>
        <v>0</v>
      </c>
      <c s="125">
        <f>Предпосылки!AD$229*Предпосылки!$E257*Продажи!AE22*AE$19*(1+Чувствительность!$D$20)*IFERROR(LOOKUP(Предпосылки!$H$202,$C$13:$C$15,AE$13:AE$15),1)</f>
        <v>0</v>
      </c>
      <c s="125">
        <f>Предпосылки!AE$229*Предпосылки!$E257*Продажи!AF22*AF$19*(1+Чувствительность!$D$20)*IFERROR(LOOKUP(Предпосылки!$H$202,$C$13:$C$15,AF$13:AF$15),1)</f>
        <v>0</v>
      </c>
      <c s="125">
        <f>Предпосылки!AF$229*Предпосылки!$E257*Продажи!AG22*AG$19*(1+Чувствительность!$D$20)*IFERROR(LOOKUP(Предпосылки!$H$202,$C$13:$C$15,AG$13:AG$15),1)</f>
        <v>0</v>
      </c>
      <c s="125">
        <f>Предпосылки!AG$229*Предпосылки!$E257*Продажи!AH22*AH$19*(1+Чувствительность!$D$20)*IFERROR(LOOKUP(Предпосылки!$H$202,$C$13:$C$15,AH$13:AH$15),1)</f>
        <v>0</v>
      </c>
      <c s="125">
        <f>Предпосылки!AH$229*Предпосылки!$E257*Продажи!AI22*AI$19*(1+Чувствительность!$D$20)*IFERROR(LOOKUP(Предпосылки!$H$202,$C$13:$C$15,AI$13:AI$15),1)</f>
        <v>0</v>
      </c>
      <c s="125">
        <f>Предпосылки!AI$229*Предпосылки!$E257*Продажи!AJ22*AJ$19*(1+Чувствительность!$D$20)*IFERROR(LOOKUP(Предпосылки!$H$202,$C$13:$C$15,AJ$13:AJ$15),1)</f>
        <v>0</v>
      </c>
      <c s="125">
        <f>Предпосылки!AJ$229*Предпосылки!$E257*Продажи!AK22*AK$19*(1+Чувствительность!$D$20)*IFERROR(LOOKUP(Предпосылки!$H$202,$C$13:$C$15,AK$13:AK$15),1)</f>
        <v>0</v>
      </c>
      <c s="125">
        <f>Предпосылки!AK$229*Предпосылки!$E257*Продажи!AL22*AL$19*(1+Чувствительность!$D$20)*IFERROR(LOOKUP(Предпосылки!$H$202,$C$13:$C$15,AL$13:AL$15),1)</f>
        <v>0</v>
      </c>
      <c s="125">
        <f>Предпосылки!AL$229*Предпосылки!$E257*Продажи!AM22*AM$19*(1+Чувствительность!$D$20)*IFERROR(LOOKUP(Предпосылки!$H$202,$C$13:$C$15,AM$13:AM$15),1)</f>
        <v>0</v>
      </c>
      <c s="125">
        <f>Предпосылки!AM$229*Предпосылки!$E257*Продажи!AN22*AN$19*(1+Чувствительность!$D$20)*IFERROR(LOOKUP(Предпосылки!$H$202,$C$13:$C$15,AN$13:AN$15),1)</f>
        <v>0</v>
      </c>
      <c s="125">
        <f>Предпосылки!AN$229*Предпосылки!$E257*Продажи!AO22*AO$19*(1+Чувствительность!$D$20)*IFERROR(LOOKUP(Предпосылки!$H$202,$C$13:$C$15,AO$13:AO$15),1)</f>
        <v>0</v>
      </c>
      <c s="125">
        <f>Предпосылки!AO$229*Предпосылки!$E257*Продажи!AP22*AP$19*(1+Чувствительность!$D$20)*IFERROR(LOOKUP(Предпосылки!$H$202,$C$13:$C$15,AP$13:AP$15),1)</f>
        <v>0</v>
      </c>
      <c s="125">
        <f>Предпосылки!AP$229*Предпосылки!$E257*Продажи!AQ22*AQ$19*(1+Чувствительность!$D$20)*IFERROR(LOOKUP(Предпосылки!$H$202,$C$13:$C$15,AQ$13:AQ$15),1)</f>
        <v>0</v>
      </c>
      <c s="125">
        <f>Предпосылки!AQ$229*Предпосылки!$E257*Продажи!AR22*AR$19*(1+Чувствительность!$D$20)*IFERROR(LOOKUP(Предпосылки!$H$202,$C$13:$C$15,AR$13:AR$15),1)</f>
        <v>0</v>
      </c>
      <c s="125">
        <f>Предпосылки!AR$229*Предпосылки!$E257*Продажи!AS22*AS$19*(1+Чувствительность!$D$20)*IFERROR(LOOKUP(Предпосылки!$H$202,$C$13:$C$15,AS$13:AS$15),1)</f>
        <v>0</v>
      </c>
      <c s="125">
        <f>Предпосылки!AS$229*Предпосылки!$E257*Продажи!AT22*AT$19*(1+Чувствительность!$D$20)*IFERROR(LOOKUP(Предпосылки!$H$202,$C$13:$C$15,AT$13:AT$15),1)</f>
        <v>0</v>
      </c>
      <c s="125">
        <f>Предпосылки!AT$229*Предпосылки!$E257*Продажи!AU22*AU$19*(1+Чувствительность!$D$20)*IFERROR(LOOKUP(Предпосылки!$H$202,$C$13:$C$15,AU$13:AU$15),1)</f>
        <v>0</v>
      </c>
      <c s="125">
        <f>Предпосылки!AU$229*Предпосылки!$E257*Продажи!AV22*AV$19*(1+Чувствительность!$D$20)*IFERROR(LOOKUP(Предпосылки!$H$202,$C$13:$C$15,AV$13:AV$15),1)</f>
        <v>0</v>
      </c>
      <c s="125">
        <f>Предпосылки!AV$229*Предпосылки!$E257*Продажи!AW22*AW$19*(1+Чувствительность!$D$20)*IFERROR(LOOKUP(Предпосылки!$H$202,$C$13:$C$15,AW$13:AW$15),1)</f>
        <v>0</v>
      </c>
      <c s="125">
        <f>Предпосылки!AW$229*Предпосылки!$E257*Продажи!AX22*AX$19*(1+Чувствительность!$D$20)*IFERROR(LOOKUP(Предпосылки!$H$202,$C$13:$C$15,AX$13:AX$15),1)</f>
        <v>0</v>
      </c>
      <c s="125">
        <f>Предпосылки!AX$229*Предпосылки!$E257*Продажи!AY22*AY$19*(1+Чувствительность!$D$20)*IFERROR(LOOKUP(Предпосылки!$H$202,$C$13:$C$15,AY$13:AY$15),1)</f>
        <v>0</v>
      </c>
      <c s="125">
        <f>Предпосылки!AY$229*Предпосылки!$E257*Продажи!AZ22*AZ$19*(1+Чувствительность!$D$20)*IFERROR(LOOKUP(Предпосылки!$H$202,$C$13:$C$15,AZ$13:AZ$15),1)</f>
        <v>0</v>
      </c>
      <c s="125">
        <f>Предпосылки!AZ$229*Предпосылки!$E257*Продажи!BA22*BA$19*(1+Чувствительность!$D$20)*IFERROR(LOOKUP(Предпосылки!$H$202,$C$13:$C$15,BA$13:BA$15),1)</f>
        <v>0</v>
      </c>
      <c s="125">
        <f>Предпосылки!BA$229*Предпосылки!$E257*Продажи!BB22*BB$19*(1+Чувствительность!$D$20)*IFERROR(LOOKUP(Предпосылки!$H$202,$C$13:$C$15,BB$13:BB$15),1)</f>
        <v>0</v>
      </c>
      <c s="125">
        <f>Предпосылки!BB$229*Предпосылки!$E257*Продажи!BC22*BC$19*(1+Чувствительность!$D$20)*IFERROR(LOOKUP(Предпосылки!$H$202,$C$13:$C$15,BC$13:BC$15),1)</f>
        <v>0</v>
      </c>
      <c s="125">
        <f>Предпосылки!BC$229*Предпосылки!$E257*Продажи!BD22*BD$19*(1+Чувствительность!$D$20)*IFERROR(LOOKUP(Предпосылки!$H$202,$C$13:$C$15,BD$13:BD$15),1)</f>
        <v>0</v>
      </c>
      <c s="125">
        <f>Предпосылки!BD$229*Предпосылки!$E257*Продажи!BE22*BE$19*(1+Чувствительность!$D$20)*IFERROR(LOOKUP(Предпосылки!$H$202,$C$13:$C$15,BE$13:BE$15),1)</f>
        <v>0</v>
      </c>
      <c s="125">
        <f>Предпосылки!BE$229*Предпосылки!$E257*Продажи!BF22*BF$19*(1+Чувствительность!$D$20)*IFERROR(LOOKUP(Предпосылки!$H$202,$C$13:$C$15,BF$13:BF$15),1)</f>
        <v>0</v>
      </c>
      <c s="125">
        <f>Предпосылки!BF$229*Предпосылки!$E257*Продажи!BG22*BG$19*(1+Чувствительность!$D$20)*IFERROR(LOOKUP(Предпосылки!$H$202,$C$13:$C$15,BG$13:BG$15),1)</f>
        <v>0</v>
      </c>
      <c s="125">
        <f>Предпосылки!BG$229*Предпосылки!$E257*Продажи!BH22*BH$19*(1+Чувствительность!$D$20)*IFERROR(LOOKUP(Предпосылки!$H$202,$C$13:$C$15,BH$13:BH$15),1)</f>
        <v>0</v>
      </c>
      <c s="125">
        <f>Предпосылки!BH$229*Предпосылки!$E257*Продажи!BI22*BI$19*(1+Чувствительность!$D$20)*IFERROR(LOOKUP(Предпосылки!$H$202,$C$13:$C$15,BI$13:BI$15),1)</f>
        <v>0</v>
      </c>
      <c s="125">
        <f>Предпосылки!BI$229*Предпосылки!$E257*Продажи!BJ22*BJ$19*(1+Чувствительность!$D$20)*IFERROR(LOOKUP(Предпосылки!$H$202,$C$13:$C$15,BJ$13:BJ$15),1)</f>
        <v>0</v>
      </c>
      <c s="125">
        <f>Предпосылки!BJ$229*Предпосылки!$E257*Продажи!BK22*BK$19*(1+Чувствительность!$D$20)*IFERROR(LOOKUP(Предпосылки!$H$202,$C$13:$C$15,BK$13:BK$15),1)</f>
        <v>0</v>
      </c>
      <c s="125">
        <f>Предпосылки!BK$229*Предпосылки!$E257*Продажи!BL22*BL$19*(1+Чувствительность!$D$20)*IFERROR(LOOKUP(Предпосылки!$H$202,$C$13:$C$15,BL$13:BL$15),1)</f>
        <v>0</v>
      </c>
      <c s="125">
        <f>Предпосылки!BL$229*Предпосылки!$E257*Продажи!BM22*BM$19*(1+Чувствительность!$D$20)*IFERROR(LOOKUP(Предпосылки!$H$202,$C$13:$C$15,BM$13:BM$15),1)</f>
        <v>0</v>
      </c>
    </row>
    <row r="51" spans="2:65" ht="15" customHeight="1">
      <c r="B51" s="12" t="str">
        <f t="shared" si="66"/>
        <v>Продукт 6</v>
      </c>
      <c s="124" t="str">
        <f t="shared" si="65"/>
        <v>тыс. руб.</v>
      </c>
      <c s="276">
        <f t="shared" si="67"/>
        <v>0</v>
      </c>
      <c s="125">
        <f>Предпосылки!D$229*Предпосылки!$E258*Продажи!E23*E$19*(1+Чувствительность!$D$20)*IFERROR(LOOKUP(Предпосылки!$H$202,$C$13:$C$15,E$13:E$15),1)</f>
        <v>0</v>
      </c>
      <c s="125">
        <f>Предпосылки!E$229*Предпосылки!$E258*Продажи!F23*F$19*(1+Чувствительность!$D$20)*IFERROR(LOOKUP(Предпосылки!$H$202,$C$13:$C$15,F$13:F$15),1)</f>
        <v>0</v>
      </c>
      <c s="125">
        <f>Предпосылки!F$229*Предпосылки!$E258*Продажи!G23*G$19*(1+Чувствительность!$D$20)*IFERROR(LOOKUP(Предпосылки!$H$202,$C$13:$C$15,G$13:G$15),1)</f>
        <v>0</v>
      </c>
      <c s="125">
        <f>Предпосылки!G$229*Предпосылки!$E258*Продажи!H23*H$19*(1+Чувствительность!$D$20)*IFERROR(LOOKUP(Предпосылки!$H$202,$C$13:$C$15,H$13:H$15),1)</f>
        <v>0</v>
      </c>
      <c s="125">
        <f>Предпосылки!H$229*Предпосылки!$E258*Продажи!I23*I$19*(1+Чувствительность!$D$20)*IFERROR(LOOKUP(Предпосылки!$H$202,$C$13:$C$15,I$13:I$15),1)</f>
        <v>0</v>
      </c>
      <c s="125">
        <f>Предпосылки!I$229*Предпосылки!$E258*Продажи!J23*J$19*(1+Чувствительность!$D$20)*IFERROR(LOOKUP(Предпосылки!$H$202,$C$13:$C$15,J$13:J$15),1)</f>
        <v>0</v>
      </c>
      <c s="125">
        <f>Предпосылки!J$229*Предпосылки!$E258*Продажи!K23*K$19*(1+Чувствительность!$D$20)*IFERROR(LOOKUP(Предпосылки!$H$202,$C$13:$C$15,K$13:K$15),1)</f>
        <v>0</v>
      </c>
      <c s="125">
        <f>Предпосылки!K$229*Предпосылки!$E258*Продажи!L23*L$19*(1+Чувствительность!$D$20)*IFERROR(LOOKUP(Предпосылки!$H$202,$C$13:$C$15,L$13:L$15),1)</f>
        <v>0</v>
      </c>
      <c s="125">
        <f>Предпосылки!L$229*Предпосылки!$E258*Продажи!M23*M$19*(1+Чувствительность!$D$20)*IFERROR(LOOKUP(Предпосылки!$H$202,$C$13:$C$15,M$13:M$15),1)</f>
        <v>0</v>
      </c>
      <c s="125">
        <f>Предпосылки!M$229*Предпосылки!$E258*Продажи!N23*N$19*(1+Чувствительность!$D$20)*IFERROR(LOOKUP(Предпосылки!$H$202,$C$13:$C$15,N$13:N$15),1)</f>
        <v>0</v>
      </c>
      <c s="125">
        <f>Предпосылки!N$229*Предпосылки!$E258*Продажи!O23*O$19*(1+Чувствительность!$D$20)*IFERROR(LOOKUP(Предпосылки!$H$202,$C$13:$C$15,O$13:O$15),1)</f>
        <v>0</v>
      </c>
      <c s="125">
        <f>Предпосылки!O$229*Предпосылки!$E258*Продажи!P23*P$19*(1+Чувствительность!$D$20)*IFERROR(LOOKUP(Предпосылки!$H$202,$C$13:$C$15,P$13:P$15),1)</f>
        <v>0</v>
      </c>
      <c s="125">
        <f>Предпосылки!P$229*Предпосылки!$E258*Продажи!Q23*Q$19*(1+Чувствительность!$D$20)*IFERROR(LOOKUP(Предпосылки!$H$202,$C$13:$C$15,Q$13:Q$15),1)</f>
        <v>0</v>
      </c>
      <c s="125">
        <f>Предпосылки!Q$229*Предпосылки!$E258*Продажи!R23*R$19*(1+Чувствительность!$D$20)*IFERROR(LOOKUP(Предпосылки!$H$202,$C$13:$C$15,R$13:R$15),1)</f>
        <v>0</v>
      </c>
      <c s="125">
        <f>Предпосылки!R$229*Предпосылки!$E258*Продажи!S23*S$19*(1+Чувствительность!$D$20)*IFERROR(LOOKUP(Предпосылки!$H$202,$C$13:$C$15,S$13:S$15),1)</f>
        <v>0</v>
      </c>
      <c s="125">
        <f>Предпосылки!S$229*Предпосылки!$E258*Продажи!T23*T$19*(1+Чувствительность!$D$20)*IFERROR(LOOKUP(Предпосылки!$H$202,$C$13:$C$15,T$13:T$15),1)</f>
        <v>0</v>
      </c>
      <c s="125">
        <f>Предпосылки!T$229*Предпосылки!$E258*Продажи!U23*U$19*(1+Чувствительность!$D$20)*IFERROR(LOOKUP(Предпосылки!$H$202,$C$13:$C$15,U$13:U$15),1)</f>
        <v>0</v>
      </c>
      <c s="125">
        <f>Предпосылки!U$229*Предпосылки!$E258*Продажи!V23*V$19*(1+Чувствительность!$D$20)*IFERROR(LOOKUP(Предпосылки!$H$202,$C$13:$C$15,V$13:V$15),1)</f>
        <v>0</v>
      </c>
      <c s="125">
        <f>Предпосылки!V$229*Предпосылки!$E258*Продажи!W23*W$19*(1+Чувствительность!$D$20)*IFERROR(LOOKUP(Предпосылки!$H$202,$C$13:$C$15,W$13:W$15),1)</f>
        <v>0</v>
      </c>
      <c s="125">
        <f>Предпосылки!W$229*Предпосылки!$E258*Продажи!X23*X$19*(1+Чувствительность!$D$20)*IFERROR(LOOKUP(Предпосылки!$H$202,$C$13:$C$15,X$13:X$15),1)</f>
        <v>0</v>
      </c>
      <c s="125">
        <f>Предпосылки!X$229*Предпосылки!$E258*Продажи!Y23*Y$19*(1+Чувствительность!$D$20)*IFERROR(LOOKUP(Предпосылки!$H$202,$C$13:$C$15,Y$13:Y$15),1)</f>
        <v>0</v>
      </c>
      <c s="125">
        <f>Предпосылки!Y$229*Предпосылки!$E258*Продажи!Z23*Z$19*(1+Чувствительность!$D$20)*IFERROR(LOOKUP(Предпосылки!$H$202,$C$13:$C$15,Z$13:Z$15),1)</f>
        <v>0</v>
      </c>
      <c s="125">
        <f>Предпосылки!Z$229*Предпосылки!$E258*Продажи!AA23*AA$19*(1+Чувствительность!$D$20)*IFERROR(LOOKUP(Предпосылки!$H$202,$C$13:$C$15,AA$13:AA$15),1)</f>
        <v>0</v>
      </c>
      <c s="125">
        <f>Предпосылки!AA$229*Предпосылки!$E258*Продажи!AB23*AB$19*(1+Чувствительность!$D$20)*IFERROR(LOOKUP(Предпосылки!$H$202,$C$13:$C$15,AB$13:AB$15),1)</f>
        <v>0</v>
      </c>
      <c s="125">
        <f>Предпосылки!AB$229*Предпосылки!$E258*Продажи!AC23*AC$19*(1+Чувствительность!$D$20)*IFERROR(LOOKUP(Предпосылки!$H$202,$C$13:$C$15,AC$13:AC$15),1)</f>
        <v>0</v>
      </c>
      <c s="125">
        <f>Предпосылки!AC$229*Предпосылки!$E258*Продажи!AD23*AD$19*(1+Чувствительность!$D$20)*IFERROR(LOOKUP(Предпосылки!$H$202,$C$13:$C$15,AD$13:AD$15),1)</f>
        <v>0</v>
      </c>
      <c s="125">
        <f>Предпосылки!AD$229*Предпосылки!$E258*Продажи!AE23*AE$19*(1+Чувствительность!$D$20)*IFERROR(LOOKUP(Предпосылки!$H$202,$C$13:$C$15,AE$13:AE$15),1)</f>
        <v>0</v>
      </c>
      <c s="125">
        <f>Предпосылки!AE$229*Предпосылки!$E258*Продажи!AF23*AF$19*(1+Чувствительность!$D$20)*IFERROR(LOOKUP(Предпосылки!$H$202,$C$13:$C$15,AF$13:AF$15),1)</f>
        <v>0</v>
      </c>
      <c s="125">
        <f>Предпосылки!AF$229*Предпосылки!$E258*Продажи!AG23*AG$19*(1+Чувствительность!$D$20)*IFERROR(LOOKUP(Предпосылки!$H$202,$C$13:$C$15,AG$13:AG$15),1)</f>
        <v>0</v>
      </c>
      <c s="125">
        <f>Предпосылки!AG$229*Предпосылки!$E258*Продажи!AH23*AH$19*(1+Чувствительность!$D$20)*IFERROR(LOOKUP(Предпосылки!$H$202,$C$13:$C$15,AH$13:AH$15),1)</f>
        <v>0</v>
      </c>
      <c s="125">
        <f>Предпосылки!AH$229*Предпосылки!$E258*Продажи!AI23*AI$19*(1+Чувствительность!$D$20)*IFERROR(LOOKUP(Предпосылки!$H$202,$C$13:$C$15,AI$13:AI$15),1)</f>
        <v>0</v>
      </c>
      <c s="125">
        <f>Предпосылки!AI$229*Предпосылки!$E258*Продажи!AJ23*AJ$19*(1+Чувствительность!$D$20)*IFERROR(LOOKUP(Предпосылки!$H$202,$C$13:$C$15,AJ$13:AJ$15),1)</f>
        <v>0</v>
      </c>
      <c s="125">
        <f>Предпосылки!AJ$229*Предпосылки!$E258*Продажи!AK23*AK$19*(1+Чувствительность!$D$20)*IFERROR(LOOKUP(Предпосылки!$H$202,$C$13:$C$15,AK$13:AK$15),1)</f>
        <v>0</v>
      </c>
      <c s="125">
        <f>Предпосылки!AK$229*Предпосылки!$E258*Продажи!AL23*AL$19*(1+Чувствительность!$D$20)*IFERROR(LOOKUP(Предпосылки!$H$202,$C$13:$C$15,AL$13:AL$15),1)</f>
        <v>0</v>
      </c>
      <c s="125">
        <f>Предпосылки!AL$229*Предпосылки!$E258*Продажи!AM23*AM$19*(1+Чувствительность!$D$20)*IFERROR(LOOKUP(Предпосылки!$H$202,$C$13:$C$15,AM$13:AM$15),1)</f>
        <v>0</v>
      </c>
      <c s="125">
        <f>Предпосылки!AM$229*Предпосылки!$E258*Продажи!AN23*AN$19*(1+Чувствительность!$D$20)*IFERROR(LOOKUP(Предпосылки!$H$202,$C$13:$C$15,AN$13:AN$15),1)</f>
        <v>0</v>
      </c>
      <c s="125">
        <f>Предпосылки!AN$229*Предпосылки!$E258*Продажи!AO23*AO$19*(1+Чувствительность!$D$20)*IFERROR(LOOKUP(Предпосылки!$H$202,$C$13:$C$15,AO$13:AO$15),1)</f>
        <v>0</v>
      </c>
      <c s="125">
        <f>Предпосылки!AO$229*Предпосылки!$E258*Продажи!AP23*AP$19*(1+Чувствительность!$D$20)*IFERROR(LOOKUP(Предпосылки!$H$202,$C$13:$C$15,AP$13:AP$15),1)</f>
        <v>0</v>
      </c>
      <c s="125">
        <f>Предпосылки!AP$229*Предпосылки!$E258*Продажи!AQ23*AQ$19*(1+Чувствительность!$D$20)*IFERROR(LOOKUP(Предпосылки!$H$202,$C$13:$C$15,AQ$13:AQ$15),1)</f>
        <v>0</v>
      </c>
      <c s="125">
        <f>Предпосылки!AQ$229*Предпосылки!$E258*Продажи!AR23*AR$19*(1+Чувствительность!$D$20)*IFERROR(LOOKUP(Предпосылки!$H$202,$C$13:$C$15,AR$13:AR$15),1)</f>
        <v>0</v>
      </c>
      <c s="125">
        <f>Предпосылки!AR$229*Предпосылки!$E258*Продажи!AS23*AS$19*(1+Чувствительность!$D$20)*IFERROR(LOOKUP(Предпосылки!$H$202,$C$13:$C$15,AS$13:AS$15),1)</f>
        <v>0</v>
      </c>
      <c s="125">
        <f>Предпосылки!AS$229*Предпосылки!$E258*Продажи!AT23*AT$19*(1+Чувствительность!$D$20)*IFERROR(LOOKUP(Предпосылки!$H$202,$C$13:$C$15,AT$13:AT$15),1)</f>
        <v>0</v>
      </c>
      <c s="125">
        <f>Предпосылки!AT$229*Предпосылки!$E258*Продажи!AU23*AU$19*(1+Чувствительность!$D$20)*IFERROR(LOOKUP(Предпосылки!$H$202,$C$13:$C$15,AU$13:AU$15),1)</f>
        <v>0</v>
      </c>
      <c s="125">
        <f>Предпосылки!AU$229*Предпосылки!$E258*Продажи!AV23*AV$19*(1+Чувствительность!$D$20)*IFERROR(LOOKUP(Предпосылки!$H$202,$C$13:$C$15,AV$13:AV$15),1)</f>
        <v>0</v>
      </c>
      <c s="125">
        <f>Предпосылки!AV$229*Предпосылки!$E258*Продажи!AW23*AW$19*(1+Чувствительность!$D$20)*IFERROR(LOOKUP(Предпосылки!$H$202,$C$13:$C$15,AW$13:AW$15),1)</f>
        <v>0</v>
      </c>
      <c s="125">
        <f>Предпосылки!AW$229*Предпосылки!$E258*Продажи!AX23*AX$19*(1+Чувствительность!$D$20)*IFERROR(LOOKUP(Предпосылки!$H$202,$C$13:$C$15,AX$13:AX$15),1)</f>
        <v>0</v>
      </c>
      <c s="125">
        <f>Предпосылки!AX$229*Предпосылки!$E258*Продажи!AY23*AY$19*(1+Чувствительность!$D$20)*IFERROR(LOOKUP(Предпосылки!$H$202,$C$13:$C$15,AY$13:AY$15),1)</f>
        <v>0</v>
      </c>
      <c s="125">
        <f>Предпосылки!AY$229*Предпосылки!$E258*Продажи!AZ23*AZ$19*(1+Чувствительность!$D$20)*IFERROR(LOOKUP(Предпосылки!$H$202,$C$13:$C$15,AZ$13:AZ$15),1)</f>
        <v>0</v>
      </c>
      <c s="125">
        <f>Предпосылки!AZ$229*Предпосылки!$E258*Продажи!BA23*BA$19*(1+Чувствительность!$D$20)*IFERROR(LOOKUP(Предпосылки!$H$202,$C$13:$C$15,BA$13:BA$15),1)</f>
        <v>0</v>
      </c>
      <c s="125">
        <f>Предпосылки!BA$229*Предпосылки!$E258*Продажи!BB23*BB$19*(1+Чувствительность!$D$20)*IFERROR(LOOKUP(Предпосылки!$H$202,$C$13:$C$15,BB$13:BB$15),1)</f>
        <v>0</v>
      </c>
      <c s="125">
        <f>Предпосылки!BB$229*Предпосылки!$E258*Продажи!BC23*BC$19*(1+Чувствительность!$D$20)*IFERROR(LOOKUP(Предпосылки!$H$202,$C$13:$C$15,BC$13:BC$15),1)</f>
        <v>0</v>
      </c>
      <c s="125">
        <f>Предпосылки!BC$229*Предпосылки!$E258*Продажи!BD23*BD$19*(1+Чувствительность!$D$20)*IFERROR(LOOKUP(Предпосылки!$H$202,$C$13:$C$15,BD$13:BD$15),1)</f>
        <v>0</v>
      </c>
      <c s="125">
        <f>Предпосылки!BD$229*Предпосылки!$E258*Продажи!BE23*BE$19*(1+Чувствительность!$D$20)*IFERROR(LOOKUP(Предпосылки!$H$202,$C$13:$C$15,BE$13:BE$15),1)</f>
        <v>0</v>
      </c>
      <c s="125">
        <f>Предпосылки!BE$229*Предпосылки!$E258*Продажи!BF23*BF$19*(1+Чувствительность!$D$20)*IFERROR(LOOKUP(Предпосылки!$H$202,$C$13:$C$15,BF$13:BF$15),1)</f>
        <v>0</v>
      </c>
      <c s="125">
        <f>Предпосылки!BF$229*Предпосылки!$E258*Продажи!BG23*BG$19*(1+Чувствительность!$D$20)*IFERROR(LOOKUP(Предпосылки!$H$202,$C$13:$C$15,BG$13:BG$15),1)</f>
        <v>0</v>
      </c>
      <c s="125">
        <f>Предпосылки!BG$229*Предпосылки!$E258*Продажи!BH23*BH$19*(1+Чувствительность!$D$20)*IFERROR(LOOKUP(Предпосылки!$H$202,$C$13:$C$15,BH$13:BH$15),1)</f>
        <v>0</v>
      </c>
      <c s="125">
        <f>Предпосылки!BH$229*Предпосылки!$E258*Продажи!BI23*BI$19*(1+Чувствительность!$D$20)*IFERROR(LOOKUP(Предпосылки!$H$202,$C$13:$C$15,BI$13:BI$15),1)</f>
        <v>0</v>
      </c>
      <c s="125">
        <f>Предпосылки!BI$229*Предпосылки!$E258*Продажи!BJ23*BJ$19*(1+Чувствительность!$D$20)*IFERROR(LOOKUP(Предпосылки!$H$202,$C$13:$C$15,BJ$13:BJ$15),1)</f>
        <v>0</v>
      </c>
      <c s="125">
        <f>Предпосылки!BJ$229*Предпосылки!$E258*Продажи!BK23*BK$19*(1+Чувствительность!$D$20)*IFERROR(LOOKUP(Предпосылки!$H$202,$C$13:$C$15,BK$13:BK$15),1)</f>
        <v>0</v>
      </c>
      <c s="125">
        <f>Предпосылки!BK$229*Предпосылки!$E258*Продажи!BL23*BL$19*(1+Чувствительность!$D$20)*IFERROR(LOOKUP(Предпосылки!$H$202,$C$13:$C$15,BL$13:BL$15),1)</f>
        <v>0</v>
      </c>
      <c s="125">
        <f>Предпосылки!BL$229*Предпосылки!$E258*Продажи!BM23*BM$19*(1+Чувствительность!$D$20)*IFERROR(LOOKUP(Предпосылки!$H$202,$C$13:$C$15,BM$13:BM$15),1)</f>
        <v>0</v>
      </c>
    </row>
    <row r="52" spans="2:65" ht="15" customHeight="1">
      <c r="B52" s="12" t="str">
        <f t="shared" si="66"/>
        <v>Продукт 7</v>
      </c>
      <c s="124" t="str">
        <f t="shared" si="65"/>
        <v>тыс. руб.</v>
      </c>
      <c s="276">
        <f t="shared" si="67"/>
        <v>0</v>
      </c>
      <c s="125">
        <f>Предпосылки!D$229*Предпосылки!$E259*Продажи!E24*E$19*(1+Чувствительность!$D$20)*IFERROR(LOOKUP(Предпосылки!$H$202,$C$13:$C$15,E$13:E$15),1)</f>
        <v>0</v>
      </c>
      <c s="125">
        <f>Предпосылки!E$229*Предпосылки!$E259*Продажи!F24*F$19*(1+Чувствительность!$D$20)*IFERROR(LOOKUP(Предпосылки!$H$202,$C$13:$C$15,F$13:F$15),1)</f>
        <v>0</v>
      </c>
      <c s="125">
        <f>Предпосылки!F$229*Предпосылки!$E259*Продажи!G24*G$19*(1+Чувствительность!$D$20)*IFERROR(LOOKUP(Предпосылки!$H$202,$C$13:$C$15,G$13:G$15),1)</f>
        <v>0</v>
      </c>
      <c s="125">
        <f>Предпосылки!G$229*Предпосылки!$E259*Продажи!H24*H$19*(1+Чувствительность!$D$20)*IFERROR(LOOKUP(Предпосылки!$H$202,$C$13:$C$15,H$13:H$15),1)</f>
        <v>0</v>
      </c>
      <c s="125">
        <f>Предпосылки!H$229*Предпосылки!$E259*Продажи!I24*I$19*(1+Чувствительность!$D$20)*IFERROR(LOOKUP(Предпосылки!$H$202,$C$13:$C$15,I$13:I$15),1)</f>
        <v>0</v>
      </c>
      <c s="125">
        <f>Предпосылки!I$229*Предпосылки!$E259*Продажи!J24*J$19*(1+Чувствительность!$D$20)*IFERROR(LOOKUP(Предпосылки!$H$202,$C$13:$C$15,J$13:J$15),1)</f>
        <v>0</v>
      </c>
      <c s="125">
        <f>Предпосылки!J$229*Предпосылки!$E259*Продажи!K24*K$19*(1+Чувствительность!$D$20)*IFERROR(LOOKUP(Предпосылки!$H$202,$C$13:$C$15,K$13:K$15),1)</f>
        <v>0</v>
      </c>
      <c s="125">
        <f>Предпосылки!K$229*Предпосылки!$E259*Продажи!L24*L$19*(1+Чувствительность!$D$20)*IFERROR(LOOKUP(Предпосылки!$H$202,$C$13:$C$15,L$13:L$15),1)</f>
        <v>0</v>
      </c>
      <c s="125">
        <f>Предпосылки!L$229*Предпосылки!$E259*Продажи!M24*M$19*(1+Чувствительность!$D$20)*IFERROR(LOOKUP(Предпосылки!$H$202,$C$13:$C$15,M$13:M$15),1)</f>
        <v>0</v>
      </c>
      <c s="125">
        <f>Предпосылки!M$229*Предпосылки!$E259*Продажи!N24*N$19*(1+Чувствительность!$D$20)*IFERROR(LOOKUP(Предпосылки!$H$202,$C$13:$C$15,N$13:N$15),1)</f>
        <v>0</v>
      </c>
      <c s="125">
        <f>Предпосылки!N$229*Предпосылки!$E259*Продажи!O24*O$19*(1+Чувствительность!$D$20)*IFERROR(LOOKUP(Предпосылки!$H$202,$C$13:$C$15,O$13:O$15),1)</f>
        <v>0</v>
      </c>
      <c s="125">
        <f>Предпосылки!O$229*Предпосылки!$E259*Продажи!P24*P$19*(1+Чувствительность!$D$20)*IFERROR(LOOKUP(Предпосылки!$H$202,$C$13:$C$15,P$13:P$15),1)</f>
        <v>0</v>
      </c>
      <c s="125">
        <f>Предпосылки!P$229*Предпосылки!$E259*Продажи!Q24*Q$19*(1+Чувствительность!$D$20)*IFERROR(LOOKUP(Предпосылки!$H$202,$C$13:$C$15,Q$13:Q$15),1)</f>
        <v>0</v>
      </c>
      <c s="125">
        <f>Предпосылки!Q$229*Предпосылки!$E259*Продажи!R24*R$19*(1+Чувствительность!$D$20)*IFERROR(LOOKUP(Предпосылки!$H$202,$C$13:$C$15,R$13:R$15),1)</f>
        <v>0</v>
      </c>
      <c s="125">
        <f>Предпосылки!R$229*Предпосылки!$E259*Продажи!S24*S$19*(1+Чувствительность!$D$20)*IFERROR(LOOKUP(Предпосылки!$H$202,$C$13:$C$15,S$13:S$15),1)</f>
        <v>0</v>
      </c>
      <c s="125">
        <f>Предпосылки!S$229*Предпосылки!$E259*Продажи!T24*T$19*(1+Чувствительность!$D$20)*IFERROR(LOOKUP(Предпосылки!$H$202,$C$13:$C$15,T$13:T$15),1)</f>
        <v>0</v>
      </c>
      <c s="125">
        <f>Предпосылки!T$229*Предпосылки!$E259*Продажи!U24*U$19*(1+Чувствительность!$D$20)*IFERROR(LOOKUP(Предпосылки!$H$202,$C$13:$C$15,U$13:U$15),1)</f>
        <v>0</v>
      </c>
      <c s="125">
        <f>Предпосылки!U$229*Предпосылки!$E259*Продажи!V24*V$19*(1+Чувствительность!$D$20)*IFERROR(LOOKUP(Предпосылки!$H$202,$C$13:$C$15,V$13:V$15),1)</f>
        <v>0</v>
      </c>
      <c s="125">
        <f>Предпосылки!V$229*Предпосылки!$E259*Продажи!W24*W$19*(1+Чувствительность!$D$20)*IFERROR(LOOKUP(Предпосылки!$H$202,$C$13:$C$15,W$13:W$15),1)</f>
        <v>0</v>
      </c>
      <c s="125">
        <f>Предпосылки!W$229*Предпосылки!$E259*Продажи!X24*X$19*(1+Чувствительность!$D$20)*IFERROR(LOOKUP(Предпосылки!$H$202,$C$13:$C$15,X$13:X$15),1)</f>
        <v>0</v>
      </c>
      <c s="125">
        <f>Предпосылки!X$229*Предпосылки!$E259*Продажи!Y24*Y$19*(1+Чувствительность!$D$20)*IFERROR(LOOKUP(Предпосылки!$H$202,$C$13:$C$15,Y$13:Y$15),1)</f>
        <v>0</v>
      </c>
      <c s="125">
        <f>Предпосылки!Y$229*Предпосылки!$E259*Продажи!Z24*Z$19*(1+Чувствительность!$D$20)*IFERROR(LOOKUP(Предпосылки!$H$202,$C$13:$C$15,Z$13:Z$15),1)</f>
        <v>0</v>
      </c>
      <c s="125">
        <f>Предпосылки!Z$229*Предпосылки!$E259*Продажи!AA24*AA$19*(1+Чувствительность!$D$20)*IFERROR(LOOKUP(Предпосылки!$H$202,$C$13:$C$15,AA$13:AA$15),1)</f>
        <v>0</v>
      </c>
      <c s="125">
        <f>Предпосылки!AA$229*Предпосылки!$E259*Продажи!AB24*AB$19*(1+Чувствительность!$D$20)*IFERROR(LOOKUP(Предпосылки!$H$202,$C$13:$C$15,AB$13:AB$15),1)</f>
        <v>0</v>
      </c>
      <c s="125">
        <f>Предпосылки!AB$229*Предпосылки!$E259*Продажи!AC24*AC$19*(1+Чувствительность!$D$20)*IFERROR(LOOKUP(Предпосылки!$H$202,$C$13:$C$15,AC$13:AC$15),1)</f>
        <v>0</v>
      </c>
      <c s="125">
        <f>Предпосылки!AC$229*Предпосылки!$E259*Продажи!AD24*AD$19*(1+Чувствительность!$D$20)*IFERROR(LOOKUP(Предпосылки!$H$202,$C$13:$C$15,AD$13:AD$15),1)</f>
        <v>0</v>
      </c>
      <c s="125">
        <f>Предпосылки!AD$229*Предпосылки!$E259*Продажи!AE24*AE$19*(1+Чувствительность!$D$20)*IFERROR(LOOKUP(Предпосылки!$H$202,$C$13:$C$15,AE$13:AE$15),1)</f>
        <v>0</v>
      </c>
      <c s="125">
        <f>Предпосылки!AE$229*Предпосылки!$E259*Продажи!AF24*AF$19*(1+Чувствительность!$D$20)*IFERROR(LOOKUP(Предпосылки!$H$202,$C$13:$C$15,AF$13:AF$15),1)</f>
        <v>0</v>
      </c>
      <c s="125">
        <f>Предпосылки!AF$229*Предпосылки!$E259*Продажи!AG24*AG$19*(1+Чувствительность!$D$20)*IFERROR(LOOKUP(Предпосылки!$H$202,$C$13:$C$15,AG$13:AG$15),1)</f>
        <v>0</v>
      </c>
      <c s="125">
        <f>Предпосылки!AG$229*Предпосылки!$E259*Продажи!AH24*AH$19*(1+Чувствительность!$D$20)*IFERROR(LOOKUP(Предпосылки!$H$202,$C$13:$C$15,AH$13:AH$15),1)</f>
        <v>0</v>
      </c>
      <c s="125">
        <f>Предпосылки!AH$229*Предпосылки!$E259*Продажи!AI24*AI$19*(1+Чувствительность!$D$20)*IFERROR(LOOKUP(Предпосылки!$H$202,$C$13:$C$15,AI$13:AI$15),1)</f>
        <v>0</v>
      </c>
      <c s="125">
        <f>Предпосылки!AI$229*Предпосылки!$E259*Продажи!AJ24*AJ$19*(1+Чувствительность!$D$20)*IFERROR(LOOKUP(Предпосылки!$H$202,$C$13:$C$15,AJ$13:AJ$15),1)</f>
        <v>0</v>
      </c>
      <c s="125">
        <f>Предпосылки!AJ$229*Предпосылки!$E259*Продажи!AK24*AK$19*(1+Чувствительность!$D$20)*IFERROR(LOOKUP(Предпосылки!$H$202,$C$13:$C$15,AK$13:AK$15),1)</f>
        <v>0</v>
      </c>
      <c s="125">
        <f>Предпосылки!AK$229*Предпосылки!$E259*Продажи!AL24*AL$19*(1+Чувствительность!$D$20)*IFERROR(LOOKUP(Предпосылки!$H$202,$C$13:$C$15,AL$13:AL$15),1)</f>
        <v>0</v>
      </c>
      <c s="125">
        <f>Предпосылки!AL$229*Предпосылки!$E259*Продажи!AM24*AM$19*(1+Чувствительность!$D$20)*IFERROR(LOOKUP(Предпосылки!$H$202,$C$13:$C$15,AM$13:AM$15),1)</f>
        <v>0</v>
      </c>
      <c s="125">
        <f>Предпосылки!AM$229*Предпосылки!$E259*Продажи!AN24*AN$19*(1+Чувствительность!$D$20)*IFERROR(LOOKUP(Предпосылки!$H$202,$C$13:$C$15,AN$13:AN$15),1)</f>
        <v>0</v>
      </c>
      <c s="125">
        <f>Предпосылки!AN$229*Предпосылки!$E259*Продажи!AO24*AO$19*(1+Чувствительность!$D$20)*IFERROR(LOOKUP(Предпосылки!$H$202,$C$13:$C$15,AO$13:AO$15),1)</f>
        <v>0</v>
      </c>
      <c s="125">
        <f>Предпосылки!AO$229*Предпосылки!$E259*Продажи!AP24*AP$19*(1+Чувствительность!$D$20)*IFERROR(LOOKUP(Предпосылки!$H$202,$C$13:$C$15,AP$13:AP$15),1)</f>
        <v>0</v>
      </c>
      <c s="125">
        <f>Предпосылки!AP$229*Предпосылки!$E259*Продажи!AQ24*AQ$19*(1+Чувствительность!$D$20)*IFERROR(LOOKUP(Предпосылки!$H$202,$C$13:$C$15,AQ$13:AQ$15),1)</f>
        <v>0</v>
      </c>
      <c s="125">
        <f>Предпосылки!AQ$229*Предпосылки!$E259*Продажи!AR24*AR$19*(1+Чувствительность!$D$20)*IFERROR(LOOKUP(Предпосылки!$H$202,$C$13:$C$15,AR$13:AR$15),1)</f>
        <v>0</v>
      </c>
      <c s="125">
        <f>Предпосылки!AR$229*Предпосылки!$E259*Продажи!AS24*AS$19*(1+Чувствительность!$D$20)*IFERROR(LOOKUP(Предпосылки!$H$202,$C$13:$C$15,AS$13:AS$15),1)</f>
        <v>0</v>
      </c>
      <c s="125">
        <f>Предпосылки!AS$229*Предпосылки!$E259*Продажи!AT24*AT$19*(1+Чувствительность!$D$20)*IFERROR(LOOKUP(Предпосылки!$H$202,$C$13:$C$15,AT$13:AT$15),1)</f>
        <v>0</v>
      </c>
      <c s="125">
        <f>Предпосылки!AT$229*Предпосылки!$E259*Продажи!AU24*AU$19*(1+Чувствительность!$D$20)*IFERROR(LOOKUP(Предпосылки!$H$202,$C$13:$C$15,AU$13:AU$15),1)</f>
        <v>0</v>
      </c>
      <c s="125">
        <f>Предпосылки!AU$229*Предпосылки!$E259*Продажи!AV24*AV$19*(1+Чувствительность!$D$20)*IFERROR(LOOKUP(Предпосылки!$H$202,$C$13:$C$15,AV$13:AV$15),1)</f>
        <v>0</v>
      </c>
      <c s="125">
        <f>Предпосылки!AV$229*Предпосылки!$E259*Продажи!AW24*AW$19*(1+Чувствительность!$D$20)*IFERROR(LOOKUP(Предпосылки!$H$202,$C$13:$C$15,AW$13:AW$15),1)</f>
        <v>0</v>
      </c>
      <c s="125">
        <f>Предпосылки!AW$229*Предпосылки!$E259*Продажи!AX24*AX$19*(1+Чувствительность!$D$20)*IFERROR(LOOKUP(Предпосылки!$H$202,$C$13:$C$15,AX$13:AX$15),1)</f>
        <v>0</v>
      </c>
      <c s="125">
        <f>Предпосылки!AX$229*Предпосылки!$E259*Продажи!AY24*AY$19*(1+Чувствительность!$D$20)*IFERROR(LOOKUP(Предпосылки!$H$202,$C$13:$C$15,AY$13:AY$15),1)</f>
        <v>0</v>
      </c>
      <c s="125">
        <f>Предпосылки!AY$229*Предпосылки!$E259*Продажи!AZ24*AZ$19*(1+Чувствительность!$D$20)*IFERROR(LOOKUP(Предпосылки!$H$202,$C$13:$C$15,AZ$13:AZ$15),1)</f>
        <v>0</v>
      </c>
      <c s="125">
        <f>Предпосылки!AZ$229*Предпосылки!$E259*Продажи!BA24*BA$19*(1+Чувствительность!$D$20)*IFERROR(LOOKUP(Предпосылки!$H$202,$C$13:$C$15,BA$13:BA$15),1)</f>
        <v>0</v>
      </c>
      <c s="125">
        <f>Предпосылки!BA$229*Предпосылки!$E259*Продажи!BB24*BB$19*(1+Чувствительность!$D$20)*IFERROR(LOOKUP(Предпосылки!$H$202,$C$13:$C$15,BB$13:BB$15),1)</f>
        <v>0</v>
      </c>
      <c s="125">
        <f>Предпосылки!BB$229*Предпосылки!$E259*Продажи!BC24*BC$19*(1+Чувствительность!$D$20)*IFERROR(LOOKUP(Предпосылки!$H$202,$C$13:$C$15,BC$13:BC$15),1)</f>
        <v>0</v>
      </c>
      <c s="125">
        <f>Предпосылки!BC$229*Предпосылки!$E259*Продажи!BD24*BD$19*(1+Чувствительность!$D$20)*IFERROR(LOOKUP(Предпосылки!$H$202,$C$13:$C$15,BD$13:BD$15),1)</f>
        <v>0</v>
      </c>
      <c s="125">
        <f>Предпосылки!BD$229*Предпосылки!$E259*Продажи!BE24*BE$19*(1+Чувствительность!$D$20)*IFERROR(LOOKUP(Предпосылки!$H$202,$C$13:$C$15,BE$13:BE$15),1)</f>
        <v>0</v>
      </c>
      <c s="125">
        <f>Предпосылки!BE$229*Предпосылки!$E259*Продажи!BF24*BF$19*(1+Чувствительность!$D$20)*IFERROR(LOOKUP(Предпосылки!$H$202,$C$13:$C$15,BF$13:BF$15),1)</f>
        <v>0</v>
      </c>
      <c s="125">
        <f>Предпосылки!BF$229*Предпосылки!$E259*Продажи!BG24*BG$19*(1+Чувствительность!$D$20)*IFERROR(LOOKUP(Предпосылки!$H$202,$C$13:$C$15,BG$13:BG$15),1)</f>
        <v>0</v>
      </c>
      <c s="125">
        <f>Предпосылки!BG$229*Предпосылки!$E259*Продажи!BH24*BH$19*(1+Чувствительность!$D$20)*IFERROR(LOOKUP(Предпосылки!$H$202,$C$13:$C$15,BH$13:BH$15),1)</f>
        <v>0</v>
      </c>
      <c s="125">
        <f>Предпосылки!BH$229*Предпосылки!$E259*Продажи!BI24*BI$19*(1+Чувствительность!$D$20)*IFERROR(LOOKUP(Предпосылки!$H$202,$C$13:$C$15,BI$13:BI$15),1)</f>
        <v>0</v>
      </c>
      <c s="125">
        <f>Предпосылки!BI$229*Предпосылки!$E259*Продажи!BJ24*BJ$19*(1+Чувствительность!$D$20)*IFERROR(LOOKUP(Предпосылки!$H$202,$C$13:$C$15,BJ$13:BJ$15),1)</f>
        <v>0</v>
      </c>
      <c s="125">
        <f>Предпосылки!BJ$229*Предпосылки!$E259*Продажи!BK24*BK$19*(1+Чувствительность!$D$20)*IFERROR(LOOKUP(Предпосылки!$H$202,$C$13:$C$15,BK$13:BK$15),1)</f>
        <v>0</v>
      </c>
      <c s="125">
        <f>Предпосылки!BK$229*Предпосылки!$E259*Продажи!BL24*BL$19*(1+Чувствительность!$D$20)*IFERROR(LOOKUP(Предпосылки!$H$202,$C$13:$C$15,BL$13:BL$15),1)</f>
        <v>0</v>
      </c>
      <c s="125">
        <f>Предпосылки!BL$229*Предпосылки!$E259*Продажи!BM24*BM$19*(1+Чувствительность!$D$20)*IFERROR(LOOKUP(Предпосылки!$H$202,$C$13:$C$15,BM$13:BM$15),1)</f>
        <v>0</v>
      </c>
    </row>
    <row r="53" spans="2:65" ht="15" customHeight="1">
      <c r="B53" s="12" t="str">
        <f t="shared" si="66"/>
        <v>Продукт 8</v>
      </c>
      <c s="124" t="str">
        <f t="shared" si="65"/>
        <v>тыс. руб.</v>
      </c>
      <c s="276">
        <f t="shared" si="67"/>
        <v>0</v>
      </c>
      <c s="125">
        <f>Предпосылки!D$229*Предпосылки!$E260*Продажи!E25*E$19*(1+Чувствительность!$D$20)*IFERROR(LOOKUP(Предпосылки!$H$202,$C$13:$C$15,E$13:E$15),1)</f>
        <v>0</v>
      </c>
      <c s="125">
        <f>Предпосылки!E$229*Предпосылки!$E260*Продажи!F25*F$19*(1+Чувствительность!$D$20)*IFERROR(LOOKUP(Предпосылки!$H$202,$C$13:$C$15,F$13:F$15),1)</f>
        <v>0</v>
      </c>
      <c s="125">
        <f>Предпосылки!F$229*Предпосылки!$E260*Продажи!G25*G$19*(1+Чувствительность!$D$20)*IFERROR(LOOKUP(Предпосылки!$H$202,$C$13:$C$15,G$13:G$15),1)</f>
        <v>0</v>
      </c>
      <c s="125">
        <f>Предпосылки!G$229*Предпосылки!$E260*Продажи!H25*H$19*(1+Чувствительность!$D$20)*IFERROR(LOOKUP(Предпосылки!$H$202,$C$13:$C$15,H$13:H$15),1)</f>
        <v>0</v>
      </c>
      <c s="125">
        <f>Предпосылки!H$229*Предпосылки!$E260*Продажи!I25*I$19*(1+Чувствительность!$D$20)*IFERROR(LOOKUP(Предпосылки!$H$202,$C$13:$C$15,I$13:I$15),1)</f>
        <v>0</v>
      </c>
      <c s="125">
        <f>Предпосылки!I$229*Предпосылки!$E260*Продажи!J25*J$19*(1+Чувствительность!$D$20)*IFERROR(LOOKUP(Предпосылки!$H$202,$C$13:$C$15,J$13:J$15),1)</f>
        <v>0</v>
      </c>
      <c s="125">
        <f>Предпосылки!J$229*Предпосылки!$E260*Продажи!K25*K$19*(1+Чувствительность!$D$20)*IFERROR(LOOKUP(Предпосылки!$H$202,$C$13:$C$15,K$13:K$15),1)</f>
        <v>0</v>
      </c>
      <c s="125">
        <f>Предпосылки!K$229*Предпосылки!$E260*Продажи!L25*L$19*(1+Чувствительность!$D$20)*IFERROR(LOOKUP(Предпосылки!$H$202,$C$13:$C$15,L$13:L$15),1)</f>
        <v>0</v>
      </c>
      <c s="125">
        <f>Предпосылки!L$229*Предпосылки!$E260*Продажи!M25*M$19*(1+Чувствительность!$D$20)*IFERROR(LOOKUP(Предпосылки!$H$202,$C$13:$C$15,M$13:M$15),1)</f>
        <v>0</v>
      </c>
      <c s="125">
        <f>Предпосылки!M$229*Предпосылки!$E260*Продажи!N25*N$19*(1+Чувствительность!$D$20)*IFERROR(LOOKUP(Предпосылки!$H$202,$C$13:$C$15,N$13:N$15),1)</f>
        <v>0</v>
      </c>
      <c s="125">
        <f>Предпосылки!N$229*Предпосылки!$E260*Продажи!O25*O$19*(1+Чувствительность!$D$20)*IFERROR(LOOKUP(Предпосылки!$H$202,$C$13:$C$15,O$13:O$15),1)</f>
        <v>0</v>
      </c>
      <c s="125">
        <f>Предпосылки!O$229*Предпосылки!$E260*Продажи!P25*P$19*(1+Чувствительность!$D$20)*IFERROR(LOOKUP(Предпосылки!$H$202,$C$13:$C$15,P$13:P$15),1)</f>
        <v>0</v>
      </c>
      <c s="125">
        <f>Предпосылки!P$229*Предпосылки!$E260*Продажи!Q25*Q$19*(1+Чувствительность!$D$20)*IFERROR(LOOKUP(Предпосылки!$H$202,$C$13:$C$15,Q$13:Q$15),1)</f>
        <v>0</v>
      </c>
      <c s="125">
        <f>Предпосылки!Q$229*Предпосылки!$E260*Продажи!R25*R$19*(1+Чувствительность!$D$20)*IFERROR(LOOKUP(Предпосылки!$H$202,$C$13:$C$15,R$13:R$15),1)</f>
        <v>0</v>
      </c>
      <c s="125">
        <f>Предпосылки!R$229*Предпосылки!$E260*Продажи!S25*S$19*(1+Чувствительность!$D$20)*IFERROR(LOOKUP(Предпосылки!$H$202,$C$13:$C$15,S$13:S$15),1)</f>
        <v>0</v>
      </c>
      <c s="125">
        <f>Предпосылки!S$229*Предпосылки!$E260*Продажи!T25*T$19*(1+Чувствительность!$D$20)*IFERROR(LOOKUP(Предпосылки!$H$202,$C$13:$C$15,T$13:T$15),1)</f>
        <v>0</v>
      </c>
      <c s="125">
        <f>Предпосылки!T$229*Предпосылки!$E260*Продажи!U25*U$19*(1+Чувствительность!$D$20)*IFERROR(LOOKUP(Предпосылки!$H$202,$C$13:$C$15,U$13:U$15),1)</f>
        <v>0</v>
      </c>
      <c s="125">
        <f>Предпосылки!U$229*Предпосылки!$E260*Продажи!V25*V$19*(1+Чувствительность!$D$20)*IFERROR(LOOKUP(Предпосылки!$H$202,$C$13:$C$15,V$13:V$15),1)</f>
        <v>0</v>
      </c>
      <c s="125">
        <f>Предпосылки!V$229*Предпосылки!$E260*Продажи!W25*W$19*(1+Чувствительность!$D$20)*IFERROR(LOOKUP(Предпосылки!$H$202,$C$13:$C$15,W$13:W$15),1)</f>
        <v>0</v>
      </c>
      <c s="125">
        <f>Предпосылки!W$229*Предпосылки!$E260*Продажи!X25*X$19*(1+Чувствительность!$D$20)*IFERROR(LOOKUP(Предпосылки!$H$202,$C$13:$C$15,X$13:X$15),1)</f>
        <v>0</v>
      </c>
      <c s="125">
        <f>Предпосылки!X$229*Предпосылки!$E260*Продажи!Y25*Y$19*(1+Чувствительность!$D$20)*IFERROR(LOOKUP(Предпосылки!$H$202,$C$13:$C$15,Y$13:Y$15),1)</f>
        <v>0</v>
      </c>
      <c s="125">
        <f>Предпосылки!Y$229*Предпосылки!$E260*Продажи!Z25*Z$19*(1+Чувствительность!$D$20)*IFERROR(LOOKUP(Предпосылки!$H$202,$C$13:$C$15,Z$13:Z$15),1)</f>
        <v>0</v>
      </c>
      <c s="125">
        <f>Предпосылки!Z$229*Предпосылки!$E260*Продажи!AA25*AA$19*(1+Чувствительность!$D$20)*IFERROR(LOOKUP(Предпосылки!$H$202,$C$13:$C$15,AA$13:AA$15),1)</f>
        <v>0</v>
      </c>
      <c s="125">
        <f>Предпосылки!AA$229*Предпосылки!$E260*Продажи!AB25*AB$19*(1+Чувствительность!$D$20)*IFERROR(LOOKUP(Предпосылки!$H$202,$C$13:$C$15,AB$13:AB$15),1)</f>
        <v>0</v>
      </c>
      <c s="125">
        <f>Предпосылки!AB$229*Предпосылки!$E260*Продажи!AC25*AC$19*(1+Чувствительность!$D$20)*IFERROR(LOOKUP(Предпосылки!$H$202,$C$13:$C$15,AC$13:AC$15),1)</f>
        <v>0</v>
      </c>
      <c s="125">
        <f>Предпосылки!AC$229*Предпосылки!$E260*Продажи!AD25*AD$19*(1+Чувствительность!$D$20)*IFERROR(LOOKUP(Предпосылки!$H$202,$C$13:$C$15,AD$13:AD$15),1)</f>
        <v>0</v>
      </c>
      <c s="125">
        <f>Предпосылки!AD$229*Предпосылки!$E260*Продажи!AE25*AE$19*(1+Чувствительность!$D$20)*IFERROR(LOOKUP(Предпосылки!$H$202,$C$13:$C$15,AE$13:AE$15),1)</f>
        <v>0</v>
      </c>
      <c s="125">
        <f>Предпосылки!AE$229*Предпосылки!$E260*Продажи!AF25*AF$19*(1+Чувствительность!$D$20)*IFERROR(LOOKUP(Предпосылки!$H$202,$C$13:$C$15,AF$13:AF$15),1)</f>
        <v>0</v>
      </c>
      <c s="125">
        <f>Предпосылки!AF$229*Предпосылки!$E260*Продажи!AG25*AG$19*(1+Чувствительность!$D$20)*IFERROR(LOOKUP(Предпосылки!$H$202,$C$13:$C$15,AG$13:AG$15),1)</f>
        <v>0</v>
      </c>
      <c s="125">
        <f>Предпосылки!AG$229*Предпосылки!$E260*Продажи!AH25*AH$19*(1+Чувствительность!$D$20)*IFERROR(LOOKUP(Предпосылки!$H$202,$C$13:$C$15,AH$13:AH$15),1)</f>
        <v>0</v>
      </c>
      <c s="125">
        <f>Предпосылки!AH$229*Предпосылки!$E260*Продажи!AI25*AI$19*(1+Чувствительность!$D$20)*IFERROR(LOOKUP(Предпосылки!$H$202,$C$13:$C$15,AI$13:AI$15),1)</f>
        <v>0</v>
      </c>
      <c s="125">
        <f>Предпосылки!AI$229*Предпосылки!$E260*Продажи!AJ25*AJ$19*(1+Чувствительность!$D$20)*IFERROR(LOOKUP(Предпосылки!$H$202,$C$13:$C$15,AJ$13:AJ$15),1)</f>
        <v>0</v>
      </c>
      <c s="125">
        <f>Предпосылки!AJ$229*Предпосылки!$E260*Продажи!AK25*AK$19*(1+Чувствительность!$D$20)*IFERROR(LOOKUP(Предпосылки!$H$202,$C$13:$C$15,AK$13:AK$15),1)</f>
        <v>0</v>
      </c>
      <c s="125">
        <f>Предпосылки!AK$229*Предпосылки!$E260*Продажи!AL25*AL$19*(1+Чувствительность!$D$20)*IFERROR(LOOKUP(Предпосылки!$H$202,$C$13:$C$15,AL$13:AL$15),1)</f>
        <v>0</v>
      </c>
      <c s="125">
        <f>Предпосылки!AL$229*Предпосылки!$E260*Продажи!AM25*AM$19*(1+Чувствительность!$D$20)*IFERROR(LOOKUP(Предпосылки!$H$202,$C$13:$C$15,AM$13:AM$15),1)</f>
        <v>0</v>
      </c>
      <c s="125">
        <f>Предпосылки!AM$229*Предпосылки!$E260*Продажи!AN25*AN$19*(1+Чувствительность!$D$20)*IFERROR(LOOKUP(Предпосылки!$H$202,$C$13:$C$15,AN$13:AN$15),1)</f>
        <v>0</v>
      </c>
      <c s="125">
        <f>Предпосылки!AN$229*Предпосылки!$E260*Продажи!AO25*AO$19*(1+Чувствительность!$D$20)*IFERROR(LOOKUP(Предпосылки!$H$202,$C$13:$C$15,AO$13:AO$15),1)</f>
        <v>0</v>
      </c>
      <c s="125">
        <f>Предпосылки!AO$229*Предпосылки!$E260*Продажи!AP25*AP$19*(1+Чувствительность!$D$20)*IFERROR(LOOKUP(Предпосылки!$H$202,$C$13:$C$15,AP$13:AP$15),1)</f>
        <v>0</v>
      </c>
      <c s="125">
        <f>Предпосылки!AP$229*Предпосылки!$E260*Продажи!AQ25*AQ$19*(1+Чувствительность!$D$20)*IFERROR(LOOKUP(Предпосылки!$H$202,$C$13:$C$15,AQ$13:AQ$15),1)</f>
        <v>0</v>
      </c>
      <c s="125">
        <f>Предпосылки!AQ$229*Предпосылки!$E260*Продажи!AR25*AR$19*(1+Чувствительность!$D$20)*IFERROR(LOOKUP(Предпосылки!$H$202,$C$13:$C$15,AR$13:AR$15),1)</f>
        <v>0</v>
      </c>
      <c s="125">
        <f>Предпосылки!AR$229*Предпосылки!$E260*Продажи!AS25*AS$19*(1+Чувствительность!$D$20)*IFERROR(LOOKUP(Предпосылки!$H$202,$C$13:$C$15,AS$13:AS$15),1)</f>
        <v>0</v>
      </c>
      <c s="125">
        <f>Предпосылки!AS$229*Предпосылки!$E260*Продажи!AT25*AT$19*(1+Чувствительность!$D$20)*IFERROR(LOOKUP(Предпосылки!$H$202,$C$13:$C$15,AT$13:AT$15),1)</f>
        <v>0</v>
      </c>
      <c s="125">
        <f>Предпосылки!AT$229*Предпосылки!$E260*Продажи!AU25*AU$19*(1+Чувствительность!$D$20)*IFERROR(LOOKUP(Предпосылки!$H$202,$C$13:$C$15,AU$13:AU$15),1)</f>
        <v>0</v>
      </c>
      <c s="125">
        <f>Предпосылки!AU$229*Предпосылки!$E260*Продажи!AV25*AV$19*(1+Чувствительность!$D$20)*IFERROR(LOOKUP(Предпосылки!$H$202,$C$13:$C$15,AV$13:AV$15),1)</f>
        <v>0</v>
      </c>
      <c s="125">
        <f>Предпосылки!AV$229*Предпосылки!$E260*Продажи!AW25*AW$19*(1+Чувствительность!$D$20)*IFERROR(LOOKUP(Предпосылки!$H$202,$C$13:$C$15,AW$13:AW$15),1)</f>
        <v>0</v>
      </c>
      <c s="125">
        <f>Предпосылки!AW$229*Предпосылки!$E260*Продажи!AX25*AX$19*(1+Чувствительность!$D$20)*IFERROR(LOOKUP(Предпосылки!$H$202,$C$13:$C$15,AX$13:AX$15),1)</f>
        <v>0</v>
      </c>
      <c s="125">
        <f>Предпосылки!AX$229*Предпосылки!$E260*Продажи!AY25*AY$19*(1+Чувствительность!$D$20)*IFERROR(LOOKUP(Предпосылки!$H$202,$C$13:$C$15,AY$13:AY$15),1)</f>
        <v>0</v>
      </c>
      <c s="125">
        <f>Предпосылки!AY$229*Предпосылки!$E260*Продажи!AZ25*AZ$19*(1+Чувствительность!$D$20)*IFERROR(LOOKUP(Предпосылки!$H$202,$C$13:$C$15,AZ$13:AZ$15),1)</f>
        <v>0</v>
      </c>
      <c s="125">
        <f>Предпосылки!AZ$229*Предпосылки!$E260*Продажи!BA25*BA$19*(1+Чувствительность!$D$20)*IFERROR(LOOKUP(Предпосылки!$H$202,$C$13:$C$15,BA$13:BA$15),1)</f>
        <v>0</v>
      </c>
      <c s="125">
        <f>Предпосылки!BA$229*Предпосылки!$E260*Продажи!BB25*BB$19*(1+Чувствительность!$D$20)*IFERROR(LOOKUP(Предпосылки!$H$202,$C$13:$C$15,BB$13:BB$15),1)</f>
        <v>0</v>
      </c>
      <c s="125">
        <f>Предпосылки!BB$229*Предпосылки!$E260*Продажи!BC25*BC$19*(1+Чувствительность!$D$20)*IFERROR(LOOKUP(Предпосылки!$H$202,$C$13:$C$15,BC$13:BC$15),1)</f>
        <v>0</v>
      </c>
      <c s="125">
        <f>Предпосылки!BC$229*Предпосылки!$E260*Продажи!BD25*BD$19*(1+Чувствительность!$D$20)*IFERROR(LOOKUP(Предпосылки!$H$202,$C$13:$C$15,BD$13:BD$15),1)</f>
        <v>0</v>
      </c>
      <c s="125">
        <f>Предпосылки!BD$229*Предпосылки!$E260*Продажи!BE25*BE$19*(1+Чувствительность!$D$20)*IFERROR(LOOKUP(Предпосылки!$H$202,$C$13:$C$15,BE$13:BE$15),1)</f>
        <v>0</v>
      </c>
      <c s="125">
        <f>Предпосылки!BE$229*Предпосылки!$E260*Продажи!BF25*BF$19*(1+Чувствительность!$D$20)*IFERROR(LOOKUP(Предпосылки!$H$202,$C$13:$C$15,BF$13:BF$15),1)</f>
        <v>0</v>
      </c>
      <c s="125">
        <f>Предпосылки!BF$229*Предпосылки!$E260*Продажи!BG25*BG$19*(1+Чувствительность!$D$20)*IFERROR(LOOKUP(Предпосылки!$H$202,$C$13:$C$15,BG$13:BG$15),1)</f>
        <v>0</v>
      </c>
      <c s="125">
        <f>Предпосылки!BG$229*Предпосылки!$E260*Продажи!BH25*BH$19*(1+Чувствительность!$D$20)*IFERROR(LOOKUP(Предпосылки!$H$202,$C$13:$C$15,BH$13:BH$15),1)</f>
        <v>0</v>
      </c>
      <c s="125">
        <f>Предпосылки!BH$229*Предпосылки!$E260*Продажи!BI25*BI$19*(1+Чувствительность!$D$20)*IFERROR(LOOKUP(Предпосылки!$H$202,$C$13:$C$15,BI$13:BI$15),1)</f>
        <v>0</v>
      </c>
      <c s="125">
        <f>Предпосылки!BI$229*Предпосылки!$E260*Продажи!BJ25*BJ$19*(1+Чувствительность!$D$20)*IFERROR(LOOKUP(Предпосылки!$H$202,$C$13:$C$15,BJ$13:BJ$15),1)</f>
        <v>0</v>
      </c>
      <c s="125">
        <f>Предпосылки!BJ$229*Предпосылки!$E260*Продажи!BK25*BK$19*(1+Чувствительность!$D$20)*IFERROR(LOOKUP(Предпосылки!$H$202,$C$13:$C$15,BK$13:BK$15),1)</f>
        <v>0</v>
      </c>
      <c s="125">
        <f>Предпосылки!BK$229*Предпосылки!$E260*Продажи!BL25*BL$19*(1+Чувствительность!$D$20)*IFERROR(LOOKUP(Предпосылки!$H$202,$C$13:$C$15,BL$13:BL$15),1)</f>
        <v>0</v>
      </c>
      <c s="125">
        <f>Предпосылки!BL$229*Предпосылки!$E260*Продажи!BM25*BM$19*(1+Чувствительность!$D$20)*IFERROR(LOOKUP(Предпосылки!$H$202,$C$13:$C$15,BM$13:BM$15),1)</f>
        <v>0</v>
      </c>
    </row>
    <row r="54" spans="2:65" ht="15" customHeight="1">
      <c r="B54" s="12" t="str">
        <f t="shared" si="66"/>
        <v>Продукт 9</v>
      </c>
      <c s="124" t="str">
        <f t="shared" si="65"/>
        <v>тыс. руб.</v>
      </c>
      <c s="276">
        <f t="shared" si="67"/>
        <v>0</v>
      </c>
      <c s="125">
        <f>Предпосылки!D$229*Предпосылки!$E261*Продажи!E26*E$19*(1+Чувствительность!$D$20)*IFERROR(LOOKUP(Предпосылки!$H$202,$C$13:$C$15,E$13:E$15),1)</f>
        <v>0</v>
      </c>
      <c s="125">
        <f>Предпосылки!E$229*Предпосылки!$E261*Продажи!F26*F$19*(1+Чувствительность!$D$20)*IFERROR(LOOKUP(Предпосылки!$H$202,$C$13:$C$15,F$13:F$15),1)</f>
        <v>0</v>
      </c>
      <c s="125">
        <f>Предпосылки!F$229*Предпосылки!$E261*Продажи!G26*G$19*(1+Чувствительность!$D$20)*IFERROR(LOOKUP(Предпосылки!$H$202,$C$13:$C$15,G$13:G$15),1)</f>
        <v>0</v>
      </c>
      <c s="125">
        <f>Предпосылки!G$229*Предпосылки!$E261*Продажи!H26*H$19*(1+Чувствительность!$D$20)*IFERROR(LOOKUP(Предпосылки!$H$202,$C$13:$C$15,H$13:H$15),1)</f>
        <v>0</v>
      </c>
      <c s="125">
        <f>Предпосылки!H$229*Предпосылки!$E261*Продажи!I26*I$19*(1+Чувствительность!$D$20)*IFERROR(LOOKUP(Предпосылки!$H$202,$C$13:$C$15,I$13:I$15),1)</f>
        <v>0</v>
      </c>
      <c s="125">
        <f>Предпосылки!I$229*Предпосылки!$E261*Продажи!J26*J$19*(1+Чувствительность!$D$20)*IFERROR(LOOKUP(Предпосылки!$H$202,$C$13:$C$15,J$13:J$15),1)</f>
        <v>0</v>
      </c>
      <c s="125">
        <f>Предпосылки!J$229*Предпосылки!$E261*Продажи!K26*K$19*(1+Чувствительность!$D$20)*IFERROR(LOOKUP(Предпосылки!$H$202,$C$13:$C$15,K$13:K$15),1)</f>
        <v>0</v>
      </c>
      <c s="125">
        <f>Предпосылки!K$229*Предпосылки!$E261*Продажи!L26*L$19*(1+Чувствительность!$D$20)*IFERROR(LOOKUP(Предпосылки!$H$202,$C$13:$C$15,L$13:L$15),1)</f>
        <v>0</v>
      </c>
      <c s="125">
        <f>Предпосылки!L$229*Предпосылки!$E261*Продажи!M26*M$19*(1+Чувствительность!$D$20)*IFERROR(LOOKUP(Предпосылки!$H$202,$C$13:$C$15,M$13:M$15),1)</f>
        <v>0</v>
      </c>
      <c s="125">
        <f>Предпосылки!M$229*Предпосылки!$E261*Продажи!N26*N$19*(1+Чувствительность!$D$20)*IFERROR(LOOKUP(Предпосылки!$H$202,$C$13:$C$15,N$13:N$15),1)</f>
        <v>0</v>
      </c>
      <c s="125">
        <f>Предпосылки!N$229*Предпосылки!$E261*Продажи!O26*O$19*(1+Чувствительность!$D$20)*IFERROR(LOOKUP(Предпосылки!$H$202,$C$13:$C$15,O$13:O$15),1)</f>
        <v>0</v>
      </c>
      <c s="125">
        <f>Предпосылки!O$229*Предпосылки!$E261*Продажи!P26*P$19*(1+Чувствительность!$D$20)*IFERROR(LOOKUP(Предпосылки!$H$202,$C$13:$C$15,P$13:P$15),1)</f>
        <v>0</v>
      </c>
      <c s="125">
        <f>Предпосылки!P$229*Предпосылки!$E261*Продажи!Q26*Q$19*(1+Чувствительность!$D$20)*IFERROR(LOOKUP(Предпосылки!$H$202,$C$13:$C$15,Q$13:Q$15),1)</f>
        <v>0</v>
      </c>
      <c s="125">
        <f>Предпосылки!Q$229*Предпосылки!$E261*Продажи!R26*R$19*(1+Чувствительность!$D$20)*IFERROR(LOOKUP(Предпосылки!$H$202,$C$13:$C$15,R$13:R$15),1)</f>
        <v>0</v>
      </c>
      <c s="125">
        <f>Предпосылки!R$229*Предпосылки!$E261*Продажи!S26*S$19*(1+Чувствительность!$D$20)*IFERROR(LOOKUP(Предпосылки!$H$202,$C$13:$C$15,S$13:S$15),1)</f>
        <v>0</v>
      </c>
      <c s="125">
        <f>Предпосылки!S$229*Предпосылки!$E261*Продажи!T26*T$19*(1+Чувствительность!$D$20)*IFERROR(LOOKUP(Предпосылки!$H$202,$C$13:$C$15,T$13:T$15),1)</f>
        <v>0</v>
      </c>
      <c s="125">
        <f>Предпосылки!T$229*Предпосылки!$E261*Продажи!U26*U$19*(1+Чувствительность!$D$20)*IFERROR(LOOKUP(Предпосылки!$H$202,$C$13:$C$15,U$13:U$15),1)</f>
        <v>0</v>
      </c>
      <c s="125">
        <f>Предпосылки!U$229*Предпосылки!$E261*Продажи!V26*V$19*(1+Чувствительность!$D$20)*IFERROR(LOOKUP(Предпосылки!$H$202,$C$13:$C$15,V$13:V$15),1)</f>
        <v>0</v>
      </c>
      <c s="125">
        <f>Предпосылки!V$229*Предпосылки!$E261*Продажи!W26*W$19*(1+Чувствительность!$D$20)*IFERROR(LOOKUP(Предпосылки!$H$202,$C$13:$C$15,W$13:W$15),1)</f>
        <v>0</v>
      </c>
      <c s="125">
        <f>Предпосылки!W$229*Предпосылки!$E261*Продажи!X26*X$19*(1+Чувствительность!$D$20)*IFERROR(LOOKUP(Предпосылки!$H$202,$C$13:$C$15,X$13:X$15),1)</f>
        <v>0</v>
      </c>
      <c s="125">
        <f>Предпосылки!X$229*Предпосылки!$E261*Продажи!Y26*Y$19*(1+Чувствительность!$D$20)*IFERROR(LOOKUP(Предпосылки!$H$202,$C$13:$C$15,Y$13:Y$15),1)</f>
        <v>0</v>
      </c>
      <c s="125">
        <f>Предпосылки!Y$229*Предпосылки!$E261*Продажи!Z26*Z$19*(1+Чувствительность!$D$20)*IFERROR(LOOKUP(Предпосылки!$H$202,$C$13:$C$15,Z$13:Z$15),1)</f>
        <v>0</v>
      </c>
      <c s="125">
        <f>Предпосылки!Z$229*Предпосылки!$E261*Продажи!AA26*AA$19*(1+Чувствительность!$D$20)*IFERROR(LOOKUP(Предпосылки!$H$202,$C$13:$C$15,AA$13:AA$15),1)</f>
        <v>0</v>
      </c>
      <c s="125">
        <f>Предпосылки!AA$229*Предпосылки!$E261*Продажи!AB26*AB$19*(1+Чувствительность!$D$20)*IFERROR(LOOKUP(Предпосылки!$H$202,$C$13:$C$15,AB$13:AB$15),1)</f>
        <v>0</v>
      </c>
      <c s="125">
        <f>Предпосылки!AB$229*Предпосылки!$E261*Продажи!AC26*AC$19*(1+Чувствительность!$D$20)*IFERROR(LOOKUP(Предпосылки!$H$202,$C$13:$C$15,AC$13:AC$15),1)</f>
        <v>0</v>
      </c>
      <c s="125">
        <f>Предпосылки!AC$229*Предпосылки!$E261*Продажи!AD26*AD$19*(1+Чувствительность!$D$20)*IFERROR(LOOKUP(Предпосылки!$H$202,$C$13:$C$15,AD$13:AD$15),1)</f>
        <v>0</v>
      </c>
      <c s="125">
        <f>Предпосылки!AD$229*Предпосылки!$E261*Продажи!AE26*AE$19*(1+Чувствительность!$D$20)*IFERROR(LOOKUP(Предпосылки!$H$202,$C$13:$C$15,AE$13:AE$15),1)</f>
        <v>0</v>
      </c>
      <c s="125">
        <f>Предпосылки!AE$229*Предпосылки!$E261*Продажи!AF26*AF$19*(1+Чувствительность!$D$20)*IFERROR(LOOKUP(Предпосылки!$H$202,$C$13:$C$15,AF$13:AF$15),1)</f>
        <v>0</v>
      </c>
      <c s="125">
        <f>Предпосылки!AF$229*Предпосылки!$E261*Продажи!AG26*AG$19*(1+Чувствительность!$D$20)*IFERROR(LOOKUP(Предпосылки!$H$202,$C$13:$C$15,AG$13:AG$15),1)</f>
        <v>0</v>
      </c>
      <c s="125">
        <f>Предпосылки!AG$229*Предпосылки!$E261*Продажи!AH26*AH$19*(1+Чувствительность!$D$20)*IFERROR(LOOKUP(Предпосылки!$H$202,$C$13:$C$15,AH$13:AH$15),1)</f>
        <v>0</v>
      </c>
      <c s="125">
        <f>Предпосылки!AH$229*Предпосылки!$E261*Продажи!AI26*AI$19*(1+Чувствительность!$D$20)*IFERROR(LOOKUP(Предпосылки!$H$202,$C$13:$C$15,AI$13:AI$15),1)</f>
        <v>0</v>
      </c>
      <c s="125">
        <f>Предпосылки!AI$229*Предпосылки!$E261*Продажи!AJ26*AJ$19*(1+Чувствительность!$D$20)*IFERROR(LOOKUP(Предпосылки!$H$202,$C$13:$C$15,AJ$13:AJ$15),1)</f>
        <v>0</v>
      </c>
      <c s="125">
        <f>Предпосылки!AJ$229*Предпосылки!$E261*Продажи!AK26*AK$19*(1+Чувствительность!$D$20)*IFERROR(LOOKUP(Предпосылки!$H$202,$C$13:$C$15,AK$13:AK$15),1)</f>
        <v>0</v>
      </c>
      <c s="125">
        <f>Предпосылки!AK$229*Предпосылки!$E261*Продажи!AL26*AL$19*(1+Чувствительность!$D$20)*IFERROR(LOOKUP(Предпосылки!$H$202,$C$13:$C$15,AL$13:AL$15),1)</f>
        <v>0</v>
      </c>
      <c s="125">
        <f>Предпосылки!AL$229*Предпосылки!$E261*Продажи!AM26*AM$19*(1+Чувствительность!$D$20)*IFERROR(LOOKUP(Предпосылки!$H$202,$C$13:$C$15,AM$13:AM$15),1)</f>
        <v>0</v>
      </c>
      <c s="125">
        <f>Предпосылки!AM$229*Предпосылки!$E261*Продажи!AN26*AN$19*(1+Чувствительность!$D$20)*IFERROR(LOOKUP(Предпосылки!$H$202,$C$13:$C$15,AN$13:AN$15),1)</f>
        <v>0</v>
      </c>
      <c s="125">
        <f>Предпосылки!AN$229*Предпосылки!$E261*Продажи!AO26*AO$19*(1+Чувствительность!$D$20)*IFERROR(LOOKUP(Предпосылки!$H$202,$C$13:$C$15,AO$13:AO$15),1)</f>
        <v>0</v>
      </c>
      <c s="125">
        <f>Предпосылки!AO$229*Предпосылки!$E261*Продажи!AP26*AP$19*(1+Чувствительность!$D$20)*IFERROR(LOOKUP(Предпосылки!$H$202,$C$13:$C$15,AP$13:AP$15),1)</f>
        <v>0</v>
      </c>
      <c s="125">
        <f>Предпосылки!AP$229*Предпосылки!$E261*Продажи!AQ26*AQ$19*(1+Чувствительность!$D$20)*IFERROR(LOOKUP(Предпосылки!$H$202,$C$13:$C$15,AQ$13:AQ$15),1)</f>
        <v>0</v>
      </c>
      <c s="125">
        <f>Предпосылки!AQ$229*Предпосылки!$E261*Продажи!AR26*AR$19*(1+Чувствительность!$D$20)*IFERROR(LOOKUP(Предпосылки!$H$202,$C$13:$C$15,AR$13:AR$15),1)</f>
        <v>0</v>
      </c>
      <c s="125">
        <f>Предпосылки!AR$229*Предпосылки!$E261*Продажи!AS26*AS$19*(1+Чувствительность!$D$20)*IFERROR(LOOKUP(Предпосылки!$H$202,$C$13:$C$15,AS$13:AS$15),1)</f>
        <v>0</v>
      </c>
      <c s="125">
        <f>Предпосылки!AS$229*Предпосылки!$E261*Продажи!AT26*AT$19*(1+Чувствительность!$D$20)*IFERROR(LOOKUP(Предпосылки!$H$202,$C$13:$C$15,AT$13:AT$15),1)</f>
        <v>0</v>
      </c>
      <c s="125">
        <f>Предпосылки!AT$229*Предпосылки!$E261*Продажи!AU26*AU$19*(1+Чувствительность!$D$20)*IFERROR(LOOKUP(Предпосылки!$H$202,$C$13:$C$15,AU$13:AU$15),1)</f>
        <v>0</v>
      </c>
      <c s="125">
        <f>Предпосылки!AU$229*Предпосылки!$E261*Продажи!AV26*AV$19*(1+Чувствительность!$D$20)*IFERROR(LOOKUP(Предпосылки!$H$202,$C$13:$C$15,AV$13:AV$15),1)</f>
        <v>0</v>
      </c>
      <c s="125">
        <f>Предпосылки!AV$229*Предпосылки!$E261*Продажи!AW26*AW$19*(1+Чувствительность!$D$20)*IFERROR(LOOKUP(Предпосылки!$H$202,$C$13:$C$15,AW$13:AW$15),1)</f>
        <v>0</v>
      </c>
      <c s="125">
        <f>Предпосылки!AW$229*Предпосылки!$E261*Продажи!AX26*AX$19*(1+Чувствительность!$D$20)*IFERROR(LOOKUP(Предпосылки!$H$202,$C$13:$C$15,AX$13:AX$15),1)</f>
        <v>0</v>
      </c>
      <c s="125">
        <f>Предпосылки!AX$229*Предпосылки!$E261*Продажи!AY26*AY$19*(1+Чувствительность!$D$20)*IFERROR(LOOKUP(Предпосылки!$H$202,$C$13:$C$15,AY$13:AY$15),1)</f>
        <v>0</v>
      </c>
      <c s="125">
        <f>Предпосылки!AY$229*Предпосылки!$E261*Продажи!AZ26*AZ$19*(1+Чувствительность!$D$20)*IFERROR(LOOKUP(Предпосылки!$H$202,$C$13:$C$15,AZ$13:AZ$15),1)</f>
        <v>0</v>
      </c>
      <c s="125">
        <f>Предпосылки!AZ$229*Предпосылки!$E261*Продажи!BA26*BA$19*(1+Чувствительность!$D$20)*IFERROR(LOOKUP(Предпосылки!$H$202,$C$13:$C$15,BA$13:BA$15),1)</f>
        <v>0</v>
      </c>
      <c s="125">
        <f>Предпосылки!BA$229*Предпосылки!$E261*Продажи!BB26*BB$19*(1+Чувствительность!$D$20)*IFERROR(LOOKUP(Предпосылки!$H$202,$C$13:$C$15,BB$13:BB$15),1)</f>
        <v>0</v>
      </c>
      <c s="125">
        <f>Предпосылки!BB$229*Предпосылки!$E261*Продажи!BC26*BC$19*(1+Чувствительность!$D$20)*IFERROR(LOOKUP(Предпосылки!$H$202,$C$13:$C$15,BC$13:BC$15),1)</f>
        <v>0</v>
      </c>
      <c s="125">
        <f>Предпосылки!BC$229*Предпосылки!$E261*Продажи!BD26*BD$19*(1+Чувствительность!$D$20)*IFERROR(LOOKUP(Предпосылки!$H$202,$C$13:$C$15,BD$13:BD$15),1)</f>
        <v>0</v>
      </c>
      <c s="125">
        <f>Предпосылки!BD$229*Предпосылки!$E261*Продажи!BE26*BE$19*(1+Чувствительность!$D$20)*IFERROR(LOOKUP(Предпосылки!$H$202,$C$13:$C$15,BE$13:BE$15),1)</f>
        <v>0</v>
      </c>
      <c s="125">
        <f>Предпосылки!BE$229*Предпосылки!$E261*Продажи!BF26*BF$19*(1+Чувствительность!$D$20)*IFERROR(LOOKUP(Предпосылки!$H$202,$C$13:$C$15,BF$13:BF$15),1)</f>
        <v>0</v>
      </c>
      <c s="125">
        <f>Предпосылки!BF$229*Предпосылки!$E261*Продажи!BG26*BG$19*(1+Чувствительность!$D$20)*IFERROR(LOOKUP(Предпосылки!$H$202,$C$13:$C$15,BG$13:BG$15),1)</f>
        <v>0</v>
      </c>
      <c s="125">
        <f>Предпосылки!BG$229*Предпосылки!$E261*Продажи!BH26*BH$19*(1+Чувствительность!$D$20)*IFERROR(LOOKUP(Предпосылки!$H$202,$C$13:$C$15,BH$13:BH$15),1)</f>
        <v>0</v>
      </c>
      <c s="125">
        <f>Предпосылки!BH$229*Предпосылки!$E261*Продажи!BI26*BI$19*(1+Чувствительность!$D$20)*IFERROR(LOOKUP(Предпосылки!$H$202,$C$13:$C$15,BI$13:BI$15),1)</f>
        <v>0</v>
      </c>
      <c s="125">
        <f>Предпосылки!BI$229*Предпосылки!$E261*Продажи!BJ26*BJ$19*(1+Чувствительность!$D$20)*IFERROR(LOOKUP(Предпосылки!$H$202,$C$13:$C$15,BJ$13:BJ$15),1)</f>
        <v>0</v>
      </c>
      <c s="125">
        <f>Предпосылки!BJ$229*Предпосылки!$E261*Продажи!BK26*BK$19*(1+Чувствительность!$D$20)*IFERROR(LOOKUP(Предпосылки!$H$202,$C$13:$C$15,BK$13:BK$15),1)</f>
        <v>0</v>
      </c>
      <c s="125">
        <f>Предпосылки!BK$229*Предпосылки!$E261*Продажи!BL26*BL$19*(1+Чувствительность!$D$20)*IFERROR(LOOKUP(Предпосылки!$H$202,$C$13:$C$15,BL$13:BL$15),1)</f>
        <v>0</v>
      </c>
      <c s="125">
        <f>Предпосылки!BL$229*Предпосылки!$E261*Продажи!BM26*BM$19*(1+Чувствительность!$D$20)*IFERROR(LOOKUP(Предпосылки!$H$202,$C$13:$C$15,BM$13:BM$15),1)</f>
        <v>0</v>
      </c>
    </row>
    <row r="55" spans="2:65" ht="15" customHeight="1">
      <c r="B55" s="12" t="str">
        <f t="shared" si="66"/>
        <v>Продукт 10</v>
      </c>
      <c s="124" t="str">
        <f t="shared" si="65"/>
        <v>тыс. руб.</v>
      </c>
      <c s="276">
        <f t="shared" si="67"/>
        <v>0</v>
      </c>
      <c s="125">
        <f>Предпосылки!D$229*Предпосылки!$E262*Продажи!E27*E$19*(1+Чувствительность!$D$20)*IFERROR(LOOKUP(Предпосылки!$H$202,$C$13:$C$15,E$13:E$15),1)</f>
        <v>0</v>
      </c>
      <c s="125">
        <f>Предпосылки!E$229*Предпосылки!$E262*Продажи!F27*F$19*(1+Чувствительность!$D$20)*IFERROR(LOOKUP(Предпосылки!$H$202,$C$13:$C$15,F$13:F$15),1)</f>
        <v>0</v>
      </c>
      <c s="125">
        <f>Предпосылки!F$229*Предпосылки!$E262*Продажи!G27*G$19*(1+Чувствительность!$D$20)*IFERROR(LOOKUP(Предпосылки!$H$202,$C$13:$C$15,G$13:G$15),1)</f>
        <v>0</v>
      </c>
      <c s="125">
        <f>Предпосылки!G$229*Предпосылки!$E262*Продажи!H27*H$19*(1+Чувствительность!$D$20)*IFERROR(LOOKUP(Предпосылки!$H$202,$C$13:$C$15,H$13:H$15),1)</f>
        <v>0</v>
      </c>
      <c s="125">
        <f>Предпосылки!H$229*Предпосылки!$E262*Продажи!I27*I$19*(1+Чувствительность!$D$20)*IFERROR(LOOKUP(Предпосылки!$H$202,$C$13:$C$15,I$13:I$15),1)</f>
        <v>0</v>
      </c>
      <c s="125">
        <f>Предпосылки!I$229*Предпосылки!$E262*Продажи!J27*J$19*(1+Чувствительность!$D$20)*IFERROR(LOOKUP(Предпосылки!$H$202,$C$13:$C$15,J$13:J$15),1)</f>
        <v>0</v>
      </c>
      <c s="125">
        <f>Предпосылки!J$229*Предпосылки!$E262*Продажи!K27*K$19*(1+Чувствительность!$D$20)*IFERROR(LOOKUP(Предпосылки!$H$202,$C$13:$C$15,K$13:K$15),1)</f>
        <v>0</v>
      </c>
      <c s="125">
        <f>Предпосылки!K$229*Предпосылки!$E262*Продажи!L27*L$19*(1+Чувствительность!$D$20)*IFERROR(LOOKUP(Предпосылки!$H$202,$C$13:$C$15,L$13:L$15),1)</f>
        <v>0</v>
      </c>
      <c s="125">
        <f>Предпосылки!L$229*Предпосылки!$E262*Продажи!M27*M$19*(1+Чувствительность!$D$20)*IFERROR(LOOKUP(Предпосылки!$H$202,$C$13:$C$15,M$13:M$15),1)</f>
        <v>0</v>
      </c>
      <c s="125">
        <f>Предпосылки!M$229*Предпосылки!$E262*Продажи!N27*N$19*(1+Чувствительность!$D$20)*IFERROR(LOOKUP(Предпосылки!$H$202,$C$13:$C$15,N$13:N$15),1)</f>
        <v>0</v>
      </c>
      <c s="125">
        <f>Предпосылки!N$229*Предпосылки!$E262*Продажи!O27*O$19*(1+Чувствительность!$D$20)*IFERROR(LOOKUP(Предпосылки!$H$202,$C$13:$C$15,O$13:O$15),1)</f>
        <v>0</v>
      </c>
      <c s="125">
        <f>Предпосылки!O$229*Предпосылки!$E262*Продажи!P27*P$19*(1+Чувствительность!$D$20)*IFERROR(LOOKUP(Предпосылки!$H$202,$C$13:$C$15,P$13:P$15),1)</f>
        <v>0</v>
      </c>
      <c s="125">
        <f>Предпосылки!P$229*Предпосылки!$E262*Продажи!Q27*Q$19*(1+Чувствительность!$D$20)*IFERROR(LOOKUP(Предпосылки!$H$202,$C$13:$C$15,Q$13:Q$15),1)</f>
        <v>0</v>
      </c>
      <c s="125">
        <f>Предпосылки!Q$229*Предпосылки!$E262*Продажи!R27*R$19*(1+Чувствительность!$D$20)*IFERROR(LOOKUP(Предпосылки!$H$202,$C$13:$C$15,R$13:R$15),1)</f>
        <v>0</v>
      </c>
      <c s="125">
        <f>Предпосылки!R$229*Предпосылки!$E262*Продажи!S27*S$19*(1+Чувствительность!$D$20)*IFERROR(LOOKUP(Предпосылки!$H$202,$C$13:$C$15,S$13:S$15),1)</f>
        <v>0</v>
      </c>
      <c s="125">
        <f>Предпосылки!S$229*Предпосылки!$E262*Продажи!T27*T$19*(1+Чувствительность!$D$20)*IFERROR(LOOKUP(Предпосылки!$H$202,$C$13:$C$15,T$13:T$15),1)</f>
        <v>0</v>
      </c>
      <c s="125">
        <f>Предпосылки!T$229*Предпосылки!$E262*Продажи!U27*U$19*(1+Чувствительность!$D$20)*IFERROR(LOOKUP(Предпосылки!$H$202,$C$13:$C$15,U$13:U$15),1)</f>
        <v>0</v>
      </c>
      <c s="125">
        <f>Предпосылки!U$229*Предпосылки!$E262*Продажи!V27*V$19*(1+Чувствительность!$D$20)*IFERROR(LOOKUP(Предпосылки!$H$202,$C$13:$C$15,V$13:V$15),1)</f>
        <v>0</v>
      </c>
      <c s="125">
        <f>Предпосылки!V$229*Предпосылки!$E262*Продажи!W27*W$19*(1+Чувствительность!$D$20)*IFERROR(LOOKUP(Предпосылки!$H$202,$C$13:$C$15,W$13:W$15),1)</f>
        <v>0</v>
      </c>
      <c s="125">
        <f>Предпосылки!W$229*Предпосылки!$E262*Продажи!X27*X$19*(1+Чувствительность!$D$20)*IFERROR(LOOKUP(Предпосылки!$H$202,$C$13:$C$15,X$13:X$15),1)</f>
        <v>0</v>
      </c>
      <c s="125">
        <f>Предпосылки!X$229*Предпосылки!$E262*Продажи!Y27*Y$19*(1+Чувствительность!$D$20)*IFERROR(LOOKUP(Предпосылки!$H$202,$C$13:$C$15,Y$13:Y$15),1)</f>
        <v>0</v>
      </c>
      <c s="125">
        <f>Предпосылки!Y$229*Предпосылки!$E262*Продажи!Z27*Z$19*(1+Чувствительность!$D$20)*IFERROR(LOOKUP(Предпосылки!$H$202,$C$13:$C$15,Z$13:Z$15),1)</f>
        <v>0</v>
      </c>
      <c s="125">
        <f>Предпосылки!Z$229*Предпосылки!$E262*Продажи!AA27*AA$19*(1+Чувствительность!$D$20)*IFERROR(LOOKUP(Предпосылки!$H$202,$C$13:$C$15,AA$13:AA$15),1)</f>
        <v>0</v>
      </c>
      <c s="125">
        <f>Предпосылки!AA$229*Предпосылки!$E262*Продажи!AB27*AB$19*(1+Чувствительность!$D$20)*IFERROR(LOOKUP(Предпосылки!$H$202,$C$13:$C$15,AB$13:AB$15),1)</f>
        <v>0</v>
      </c>
      <c s="125">
        <f>Предпосылки!AB$229*Предпосылки!$E262*Продажи!AC27*AC$19*(1+Чувствительность!$D$20)*IFERROR(LOOKUP(Предпосылки!$H$202,$C$13:$C$15,AC$13:AC$15),1)</f>
        <v>0</v>
      </c>
      <c s="125">
        <f>Предпосылки!AC$229*Предпосылки!$E262*Продажи!AD27*AD$19*(1+Чувствительность!$D$20)*IFERROR(LOOKUP(Предпосылки!$H$202,$C$13:$C$15,AD$13:AD$15),1)</f>
        <v>0</v>
      </c>
      <c s="125">
        <f>Предпосылки!AD$229*Предпосылки!$E262*Продажи!AE27*AE$19*(1+Чувствительность!$D$20)*IFERROR(LOOKUP(Предпосылки!$H$202,$C$13:$C$15,AE$13:AE$15),1)</f>
        <v>0</v>
      </c>
      <c s="125">
        <f>Предпосылки!AE$229*Предпосылки!$E262*Продажи!AF27*AF$19*(1+Чувствительность!$D$20)*IFERROR(LOOKUP(Предпосылки!$H$202,$C$13:$C$15,AF$13:AF$15),1)</f>
        <v>0</v>
      </c>
      <c s="125">
        <f>Предпосылки!AF$229*Предпосылки!$E262*Продажи!AG27*AG$19*(1+Чувствительность!$D$20)*IFERROR(LOOKUP(Предпосылки!$H$202,$C$13:$C$15,AG$13:AG$15),1)</f>
        <v>0</v>
      </c>
      <c s="125">
        <f>Предпосылки!AG$229*Предпосылки!$E262*Продажи!AH27*AH$19*(1+Чувствительность!$D$20)*IFERROR(LOOKUP(Предпосылки!$H$202,$C$13:$C$15,AH$13:AH$15),1)</f>
        <v>0</v>
      </c>
      <c s="125">
        <f>Предпосылки!AH$229*Предпосылки!$E262*Продажи!AI27*AI$19*(1+Чувствительность!$D$20)*IFERROR(LOOKUP(Предпосылки!$H$202,$C$13:$C$15,AI$13:AI$15),1)</f>
        <v>0</v>
      </c>
      <c s="125">
        <f>Предпосылки!AI$229*Предпосылки!$E262*Продажи!AJ27*AJ$19*(1+Чувствительность!$D$20)*IFERROR(LOOKUP(Предпосылки!$H$202,$C$13:$C$15,AJ$13:AJ$15),1)</f>
        <v>0</v>
      </c>
      <c s="125">
        <f>Предпосылки!AJ$229*Предпосылки!$E262*Продажи!AK27*AK$19*(1+Чувствительность!$D$20)*IFERROR(LOOKUP(Предпосылки!$H$202,$C$13:$C$15,AK$13:AK$15),1)</f>
        <v>0</v>
      </c>
      <c s="125">
        <f>Предпосылки!AK$229*Предпосылки!$E262*Продажи!AL27*AL$19*(1+Чувствительность!$D$20)*IFERROR(LOOKUP(Предпосылки!$H$202,$C$13:$C$15,AL$13:AL$15),1)</f>
        <v>0</v>
      </c>
      <c s="125">
        <f>Предпосылки!AL$229*Предпосылки!$E262*Продажи!AM27*AM$19*(1+Чувствительность!$D$20)*IFERROR(LOOKUP(Предпосылки!$H$202,$C$13:$C$15,AM$13:AM$15),1)</f>
        <v>0</v>
      </c>
      <c s="125">
        <f>Предпосылки!AM$229*Предпосылки!$E262*Продажи!AN27*AN$19*(1+Чувствительность!$D$20)*IFERROR(LOOKUP(Предпосылки!$H$202,$C$13:$C$15,AN$13:AN$15),1)</f>
        <v>0</v>
      </c>
      <c s="125">
        <f>Предпосылки!AN$229*Предпосылки!$E262*Продажи!AO27*AO$19*(1+Чувствительность!$D$20)*IFERROR(LOOKUP(Предпосылки!$H$202,$C$13:$C$15,AO$13:AO$15),1)</f>
        <v>0</v>
      </c>
      <c s="125">
        <f>Предпосылки!AO$229*Предпосылки!$E262*Продажи!AP27*AP$19*(1+Чувствительность!$D$20)*IFERROR(LOOKUP(Предпосылки!$H$202,$C$13:$C$15,AP$13:AP$15),1)</f>
        <v>0</v>
      </c>
      <c s="125">
        <f>Предпосылки!AP$229*Предпосылки!$E262*Продажи!AQ27*AQ$19*(1+Чувствительность!$D$20)*IFERROR(LOOKUP(Предпосылки!$H$202,$C$13:$C$15,AQ$13:AQ$15),1)</f>
        <v>0</v>
      </c>
      <c s="125">
        <f>Предпосылки!AQ$229*Предпосылки!$E262*Продажи!AR27*AR$19*(1+Чувствительность!$D$20)*IFERROR(LOOKUP(Предпосылки!$H$202,$C$13:$C$15,AR$13:AR$15),1)</f>
        <v>0</v>
      </c>
      <c s="125">
        <f>Предпосылки!AR$229*Предпосылки!$E262*Продажи!AS27*AS$19*(1+Чувствительность!$D$20)*IFERROR(LOOKUP(Предпосылки!$H$202,$C$13:$C$15,AS$13:AS$15),1)</f>
        <v>0</v>
      </c>
      <c s="125">
        <f>Предпосылки!AS$229*Предпосылки!$E262*Продажи!AT27*AT$19*(1+Чувствительность!$D$20)*IFERROR(LOOKUP(Предпосылки!$H$202,$C$13:$C$15,AT$13:AT$15),1)</f>
        <v>0</v>
      </c>
      <c s="125">
        <f>Предпосылки!AT$229*Предпосылки!$E262*Продажи!AU27*AU$19*(1+Чувствительность!$D$20)*IFERROR(LOOKUP(Предпосылки!$H$202,$C$13:$C$15,AU$13:AU$15),1)</f>
        <v>0</v>
      </c>
      <c s="125">
        <f>Предпосылки!AU$229*Предпосылки!$E262*Продажи!AV27*AV$19*(1+Чувствительность!$D$20)*IFERROR(LOOKUP(Предпосылки!$H$202,$C$13:$C$15,AV$13:AV$15),1)</f>
        <v>0</v>
      </c>
      <c s="125">
        <f>Предпосылки!AV$229*Предпосылки!$E262*Продажи!AW27*AW$19*(1+Чувствительность!$D$20)*IFERROR(LOOKUP(Предпосылки!$H$202,$C$13:$C$15,AW$13:AW$15),1)</f>
        <v>0</v>
      </c>
      <c s="125">
        <f>Предпосылки!AW$229*Предпосылки!$E262*Продажи!AX27*AX$19*(1+Чувствительность!$D$20)*IFERROR(LOOKUP(Предпосылки!$H$202,$C$13:$C$15,AX$13:AX$15),1)</f>
        <v>0</v>
      </c>
      <c s="125">
        <f>Предпосылки!AX$229*Предпосылки!$E262*Продажи!AY27*AY$19*(1+Чувствительность!$D$20)*IFERROR(LOOKUP(Предпосылки!$H$202,$C$13:$C$15,AY$13:AY$15),1)</f>
        <v>0</v>
      </c>
      <c s="125">
        <f>Предпосылки!AY$229*Предпосылки!$E262*Продажи!AZ27*AZ$19*(1+Чувствительность!$D$20)*IFERROR(LOOKUP(Предпосылки!$H$202,$C$13:$C$15,AZ$13:AZ$15),1)</f>
        <v>0</v>
      </c>
      <c s="125">
        <f>Предпосылки!AZ$229*Предпосылки!$E262*Продажи!BA27*BA$19*(1+Чувствительность!$D$20)*IFERROR(LOOKUP(Предпосылки!$H$202,$C$13:$C$15,BA$13:BA$15),1)</f>
        <v>0</v>
      </c>
      <c s="125">
        <f>Предпосылки!BA$229*Предпосылки!$E262*Продажи!BB27*BB$19*(1+Чувствительность!$D$20)*IFERROR(LOOKUP(Предпосылки!$H$202,$C$13:$C$15,BB$13:BB$15),1)</f>
        <v>0</v>
      </c>
      <c s="125">
        <f>Предпосылки!BB$229*Предпосылки!$E262*Продажи!BC27*BC$19*(1+Чувствительность!$D$20)*IFERROR(LOOKUP(Предпосылки!$H$202,$C$13:$C$15,BC$13:BC$15),1)</f>
        <v>0</v>
      </c>
      <c s="125">
        <f>Предпосылки!BC$229*Предпосылки!$E262*Продажи!BD27*BD$19*(1+Чувствительность!$D$20)*IFERROR(LOOKUP(Предпосылки!$H$202,$C$13:$C$15,BD$13:BD$15),1)</f>
        <v>0</v>
      </c>
      <c s="125">
        <f>Предпосылки!BD$229*Предпосылки!$E262*Продажи!BE27*BE$19*(1+Чувствительность!$D$20)*IFERROR(LOOKUP(Предпосылки!$H$202,$C$13:$C$15,BE$13:BE$15),1)</f>
        <v>0</v>
      </c>
      <c s="125">
        <f>Предпосылки!BE$229*Предпосылки!$E262*Продажи!BF27*BF$19*(1+Чувствительность!$D$20)*IFERROR(LOOKUP(Предпосылки!$H$202,$C$13:$C$15,BF$13:BF$15),1)</f>
        <v>0</v>
      </c>
      <c s="125">
        <f>Предпосылки!BF$229*Предпосылки!$E262*Продажи!BG27*BG$19*(1+Чувствительность!$D$20)*IFERROR(LOOKUP(Предпосылки!$H$202,$C$13:$C$15,BG$13:BG$15),1)</f>
        <v>0</v>
      </c>
      <c s="125">
        <f>Предпосылки!BG$229*Предпосылки!$E262*Продажи!BH27*BH$19*(1+Чувствительность!$D$20)*IFERROR(LOOKUP(Предпосылки!$H$202,$C$13:$C$15,BH$13:BH$15),1)</f>
        <v>0</v>
      </c>
      <c s="125">
        <f>Предпосылки!BH$229*Предпосылки!$E262*Продажи!BI27*BI$19*(1+Чувствительность!$D$20)*IFERROR(LOOKUP(Предпосылки!$H$202,$C$13:$C$15,BI$13:BI$15),1)</f>
        <v>0</v>
      </c>
      <c s="125">
        <f>Предпосылки!BI$229*Предпосылки!$E262*Продажи!BJ27*BJ$19*(1+Чувствительность!$D$20)*IFERROR(LOOKUP(Предпосылки!$H$202,$C$13:$C$15,BJ$13:BJ$15),1)</f>
        <v>0</v>
      </c>
      <c s="125">
        <f>Предпосылки!BJ$229*Предпосылки!$E262*Продажи!BK27*BK$19*(1+Чувствительность!$D$20)*IFERROR(LOOKUP(Предпосылки!$H$202,$C$13:$C$15,BK$13:BK$15),1)</f>
        <v>0</v>
      </c>
      <c s="125">
        <f>Предпосылки!BK$229*Предпосылки!$E262*Продажи!BL27*BL$19*(1+Чувствительность!$D$20)*IFERROR(LOOKUP(Предпосылки!$H$202,$C$13:$C$15,BL$13:BL$15),1)</f>
        <v>0</v>
      </c>
      <c s="125">
        <f>Предпосылки!BL$229*Предпосылки!$E262*Продажи!BM27*BM$19*(1+Чувствительность!$D$20)*IFERROR(LOOKUP(Предпосылки!$H$202,$C$13:$C$15,BM$13:BM$15),1)</f>
        <v>0</v>
      </c>
    </row>
    <row r="56" spans="2:65" ht="15" customHeight="1">
      <c r="B56" s="12" t="str">
        <f t="shared" si="66"/>
        <v>Продукт 11</v>
      </c>
      <c s="124" t="str">
        <f t="shared" si="65"/>
        <v>тыс. руб.</v>
      </c>
      <c s="276">
        <f t="shared" si="67"/>
        <v>0</v>
      </c>
      <c s="125">
        <f>Предпосылки!D$229*Предпосылки!$E263*Продажи!E28*E$19*(1+Чувствительность!$D$20)*IFERROR(LOOKUP(Предпосылки!$H$202,$C$13:$C$15,E$13:E$15),1)</f>
        <v>0</v>
      </c>
      <c s="125">
        <f>Предпосылки!E$229*Предпосылки!$E263*Продажи!F28*F$19*(1+Чувствительность!$D$20)*IFERROR(LOOKUP(Предпосылки!$H$202,$C$13:$C$15,F$13:F$15),1)</f>
        <v>0</v>
      </c>
      <c s="125">
        <f>Предпосылки!F$229*Предпосылки!$E263*Продажи!G28*G$19*(1+Чувствительность!$D$20)*IFERROR(LOOKUP(Предпосылки!$H$202,$C$13:$C$15,G$13:G$15),1)</f>
        <v>0</v>
      </c>
      <c s="125">
        <f>Предпосылки!G$229*Предпосылки!$E263*Продажи!H28*H$19*(1+Чувствительность!$D$20)*IFERROR(LOOKUP(Предпосылки!$H$202,$C$13:$C$15,H$13:H$15),1)</f>
        <v>0</v>
      </c>
      <c s="125">
        <f>Предпосылки!H$229*Предпосылки!$E263*Продажи!I28*I$19*(1+Чувствительность!$D$20)*IFERROR(LOOKUP(Предпосылки!$H$202,$C$13:$C$15,I$13:I$15),1)</f>
        <v>0</v>
      </c>
      <c s="125">
        <f>Предпосылки!I$229*Предпосылки!$E263*Продажи!J28*J$19*(1+Чувствительность!$D$20)*IFERROR(LOOKUP(Предпосылки!$H$202,$C$13:$C$15,J$13:J$15),1)</f>
        <v>0</v>
      </c>
      <c s="125">
        <f>Предпосылки!J$229*Предпосылки!$E263*Продажи!K28*K$19*(1+Чувствительность!$D$20)*IFERROR(LOOKUP(Предпосылки!$H$202,$C$13:$C$15,K$13:K$15),1)</f>
        <v>0</v>
      </c>
      <c s="125">
        <f>Предпосылки!K$229*Предпосылки!$E263*Продажи!L28*L$19*(1+Чувствительность!$D$20)*IFERROR(LOOKUP(Предпосылки!$H$202,$C$13:$C$15,L$13:L$15),1)</f>
        <v>0</v>
      </c>
      <c s="125">
        <f>Предпосылки!L$229*Предпосылки!$E263*Продажи!M28*M$19*(1+Чувствительность!$D$20)*IFERROR(LOOKUP(Предпосылки!$H$202,$C$13:$C$15,M$13:M$15),1)</f>
        <v>0</v>
      </c>
      <c s="125">
        <f>Предпосылки!M$229*Предпосылки!$E263*Продажи!N28*N$19*(1+Чувствительность!$D$20)*IFERROR(LOOKUP(Предпосылки!$H$202,$C$13:$C$15,N$13:N$15),1)</f>
        <v>0</v>
      </c>
      <c s="125">
        <f>Предпосылки!N$229*Предпосылки!$E263*Продажи!O28*O$19*(1+Чувствительность!$D$20)*IFERROR(LOOKUP(Предпосылки!$H$202,$C$13:$C$15,O$13:O$15),1)</f>
        <v>0</v>
      </c>
      <c s="125">
        <f>Предпосылки!O$229*Предпосылки!$E263*Продажи!P28*P$19*(1+Чувствительность!$D$20)*IFERROR(LOOKUP(Предпосылки!$H$202,$C$13:$C$15,P$13:P$15),1)</f>
        <v>0</v>
      </c>
      <c s="125">
        <f>Предпосылки!P$229*Предпосылки!$E263*Продажи!Q28*Q$19*(1+Чувствительность!$D$20)*IFERROR(LOOKUP(Предпосылки!$H$202,$C$13:$C$15,Q$13:Q$15),1)</f>
        <v>0</v>
      </c>
      <c s="125">
        <f>Предпосылки!Q$229*Предпосылки!$E263*Продажи!R28*R$19*(1+Чувствительность!$D$20)*IFERROR(LOOKUP(Предпосылки!$H$202,$C$13:$C$15,R$13:R$15),1)</f>
        <v>0</v>
      </c>
      <c s="125">
        <f>Предпосылки!R$229*Предпосылки!$E263*Продажи!S28*S$19*(1+Чувствительность!$D$20)*IFERROR(LOOKUP(Предпосылки!$H$202,$C$13:$C$15,S$13:S$15),1)</f>
        <v>0</v>
      </c>
      <c s="125">
        <f>Предпосылки!S$229*Предпосылки!$E263*Продажи!T28*T$19*(1+Чувствительность!$D$20)*IFERROR(LOOKUP(Предпосылки!$H$202,$C$13:$C$15,T$13:T$15),1)</f>
        <v>0</v>
      </c>
      <c s="125">
        <f>Предпосылки!T$229*Предпосылки!$E263*Продажи!U28*U$19*(1+Чувствительность!$D$20)*IFERROR(LOOKUP(Предпосылки!$H$202,$C$13:$C$15,U$13:U$15),1)</f>
        <v>0</v>
      </c>
      <c s="125">
        <f>Предпосылки!U$229*Предпосылки!$E263*Продажи!V28*V$19*(1+Чувствительность!$D$20)*IFERROR(LOOKUP(Предпосылки!$H$202,$C$13:$C$15,V$13:V$15),1)</f>
        <v>0</v>
      </c>
      <c s="125">
        <f>Предпосылки!V$229*Предпосылки!$E263*Продажи!W28*W$19*(1+Чувствительность!$D$20)*IFERROR(LOOKUP(Предпосылки!$H$202,$C$13:$C$15,W$13:W$15),1)</f>
        <v>0</v>
      </c>
      <c s="125">
        <f>Предпосылки!W$229*Предпосылки!$E263*Продажи!X28*X$19*(1+Чувствительность!$D$20)*IFERROR(LOOKUP(Предпосылки!$H$202,$C$13:$C$15,X$13:X$15),1)</f>
        <v>0</v>
      </c>
      <c s="125">
        <f>Предпосылки!X$229*Предпосылки!$E263*Продажи!Y28*Y$19*(1+Чувствительность!$D$20)*IFERROR(LOOKUP(Предпосылки!$H$202,$C$13:$C$15,Y$13:Y$15),1)</f>
        <v>0</v>
      </c>
      <c s="125">
        <f>Предпосылки!Y$229*Предпосылки!$E263*Продажи!Z28*Z$19*(1+Чувствительность!$D$20)*IFERROR(LOOKUP(Предпосылки!$H$202,$C$13:$C$15,Z$13:Z$15),1)</f>
        <v>0</v>
      </c>
      <c s="125">
        <f>Предпосылки!Z$229*Предпосылки!$E263*Продажи!AA28*AA$19*(1+Чувствительность!$D$20)*IFERROR(LOOKUP(Предпосылки!$H$202,$C$13:$C$15,AA$13:AA$15),1)</f>
        <v>0</v>
      </c>
      <c s="125">
        <f>Предпосылки!AA$229*Предпосылки!$E263*Продажи!AB28*AB$19*(1+Чувствительность!$D$20)*IFERROR(LOOKUP(Предпосылки!$H$202,$C$13:$C$15,AB$13:AB$15),1)</f>
        <v>0</v>
      </c>
      <c s="125">
        <f>Предпосылки!AB$229*Предпосылки!$E263*Продажи!AC28*AC$19*(1+Чувствительность!$D$20)*IFERROR(LOOKUP(Предпосылки!$H$202,$C$13:$C$15,AC$13:AC$15),1)</f>
        <v>0</v>
      </c>
      <c s="125">
        <f>Предпосылки!AC$229*Предпосылки!$E263*Продажи!AD28*AD$19*(1+Чувствительность!$D$20)*IFERROR(LOOKUP(Предпосылки!$H$202,$C$13:$C$15,AD$13:AD$15),1)</f>
        <v>0</v>
      </c>
      <c s="125">
        <f>Предпосылки!AD$229*Предпосылки!$E263*Продажи!AE28*AE$19*(1+Чувствительность!$D$20)*IFERROR(LOOKUP(Предпосылки!$H$202,$C$13:$C$15,AE$13:AE$15),1)</f>
        <v>0</v>
      </c>
      <c s="125">
        <f>Предпосылки!AE$229*Предпосылки!$E263*Продажи!AF28*AF$19*(1+Чувствительность!$D$20)*IFERROR(LOOKUP(Предпосылки!$H$202,$C$13:$C$15,AF$13:AF$15),1)</f>
        <v>0</v>
      </c>
      <c s="125">
        <f>Предпосылки!AF$229*Предпосылки!$E263*Продажи!AG28*AG$19*(1+Чувствительность!$D$20)*IFERROR(LOOKUP(Предпосылки!$H$202,$C$13:$C$15,AG$13:AG$15),1)</f>
        <v>0</v>
      </c>
      <c s="125">
        <f>Предпосылки!AG$229*Предпосылки!$E263*Продажи!AH28*AH$19*(1+Чувствительность!$D$20)*IFERROR(LOOKUP(Предпосылки!$H$202,$C$13:$C$15,AH$13:AH$15),1)</f>
        <v>0</v>
      </c>
      <c s="125">
        <f>Предпосылки!AH$229*Предпосылки!$E263*Продажи!AI28*AI$19*(1+Чувствительность!$D$20)*IFERROR(LOOKUP(Предпосылки!$H$202,$C$13:$C$15,AI$13:AI$15),1)</f>
        <v>0</v>
      </c>
      <c s="125">
        <f>Предпосылки!AI$229*Предпосылки!$E263*Продажи!AJ28*AJ$19*(1+Чувствительность!$D$20)*IFERROR(LOOKUP(Предпосылки!$H$202,$C$13:$C$15,AJ$13:AJ$15),1)</f>
        <v>0</v>
      </c>
      <c s="125">
        <f>Предпосылки!AJ$229*Предпосылки!$E263*Продажи!AK28*AK$19*(1+Чувствительность!$D$20)*IFERROR(LOOKUP(Предпосылки!$H$202,$C$13:$C$15,AK$13:AK$15),1)</f>
        <v>0</v>
      </c>
      <c s="125">
        <f>Предпосылки!AK$229*Предпосылки!$E263*Продажи!AL28*AL$19*(1+Чувствительность!$D$20)*IFERROR(LOOKUP(Предпосылки!$H$202,$C$13:$C$15,AL$13:AL$15),1)</f>
        <v>0</v>
      </c>
      <c s="125">
        <f>Предпосылки!AL$229*Предпосылки!$E263*Продажи!AM28*AM$19*(1+Чувствительность!$D$20)*IFERROR(LOOKUP(Предпосылки!$H$202,$C$13:$C$15,AM$13:AM$15),1)</f>
        <v>0</v>
      </c>
      <c s="125">
        <f>Предпосылки!AM$229*Предпосылки!$E263*Продажи!AN28*AN$19*(1+Чувствительность!$D$20)*IFERROR(LOOKUP(Предпосылки!$H$202,$C$13:$C$15,AN$13:AN$15),1)</f>
        <v>0</v>
      </c>
      <c s="125">
        <f>Предпосылки!AN$229*Предпосылки!$E263*Продажи!AO28*AO$19*(1+Чувствительность!$D$20)*IFERROR(LOOKUP(Предпосылки!$H$202,$C$13:$C$15,AO$13:AO$15),1)</f>
        <v>0</v>
      </c>
      <c s="125">
        <f>Предпосылки!AO$229*Предпосылки!$E263*Продажи!AP28*AP$19*(1+Чувствительность!$D$20)*IFERROR(LOOKUP(Предпосылки!$H$202,$C$13:$C$15,AP$13:AP$15),1)</f>
        <v>0</v>
      </c>
      <c s="125">
        <f>Предпосылки!AP$229*Предпосылки!$E263*Продажи!AQ28*AQ$19*(1+Чувствительность!$D$20)*IFERROR(LOOKUP(Предпосылки!$H$202,$C$13:$C$15,AQ$13:AQ$15),1)</f>
        <v>0</v>
      </c>
      <c s="125">
        <f>Предпосылки!AQ$229*Предпосылки!$E263*Продажи!AR28*AR$19*(1+Чувствительность!$D$20)*IFERROR(LOOKUP(Предпосылки!$H$202,$C$13:$C$15,AR$13:AR$15),1)</f>
        <v>0</v>
      </c>
      <c s="125">
        <f>Предпосылки!AR$229*Предпосылки!$E263*Продажи!AS28*AS$19*(1+Чувствительность!$D$20)*IFERROR(LOOKUP(Предпосылки!$H$202,$C$13:$C$15,AS$13:AS$15),1)</f>
        <v>0</v>
      </c>
      <c s="125">
        <f>Предпосылки!AS$229*Предпосылки!$E263*Продажи!AT28*AT$19*(1+Чувствительность!$D$20)*IFERROR(LOOKUP(Предпосылки!$H$202,$C$13:$C$15,AT$13:AT$15),1)</f>
        <v>0</v>
      </c>
      <c s="125">
        <f>Предпосылки!AT$229*Предпосылки!$E263*Продажи!AU28*AU$19*(1+Чувствительность!$D$20)*IFERROR(LOOKUP(Предпосылки!$H$202,$C$13:$C$15,AU$13:AU$15),1)</f>
        <v>0</v>
      </c>
      <c s="125">
        <f>Предпосылки!AU$229*Предпосылки!$E263*Продажи!AV28*AV$19*(1+Чувствительность!$D$20)*IFERROR(LOOKUP(Предпосылки!$H$202,$C$13:$C$15,AV$13:AV$15),1)</f>
        <v>0</v>
      </c>
      <c s="125">
        <f>Предпосылки!AV$229*Предпосылки!$E263*Продажи!AW28*AW$19*(1+Чувствительность!$D$20)*IFERROR(LOOKUP(Предпосылки!$H$202,$C$13:$C$15,AW$13:AW$15),1)</f>
        <v>0</v>
      </c>
      <c s="125">
        <f>Предпосылки!AW$229*Предпосылки!$E263*Продажи!AX28*AX$19*(1+Чувствительность!$D$20)*IFERROR(LOOKUP(Предпосылки!$H$202,$C$13:$C$15,AX$13:AX$15),1)</f>
        <v>0</v>
      </c>
      <c s="125">
        <f>Предпосылки!AX$229*Предпосылки!$E263*Продажи!AY28*AY$19*(1+Чувствительность!$D$20)*IFERROR(LOOKUP(Предпосылки!$H$202,$C$13:$C$15,AY$13:AY$15),1)</f>
        <v>0</v>
      </c>
      <c s="125">
        <f>Предпосылки!AY$229*Предпосылки!$E263*Продажи!AZ28*AZ$19*(1+Чувствительность!$D$20)*IFERROR(LOOKUP(Предпосылки!$H$202,$C$13:$C$15,AZ$13:AZ$15),1)</f>
        <v>0</v>
      </c>
      <c s="125">
        <f>Предпосылки!AZ$229*Предпосылки!$E263*Продажи!BA28*BA$19*(1+Чувствительность!$D$20)*IFERROR(LOOKUP(Предпосылки!$H$202,$C$13:$C$15,BA$13:BA$15),1)</f>
        <v>0</v>
      </c>
      <c s="125">
        <f>Предпосылки!BA$229*Предпосылки!$E263*Продажи!BB28*BB$19*(1+Чувствительность!$D$20)*IFERROR(LOOKUP(Предпосылки!$H$202,$C$13:$C$15,BB$13:BB$15),1)</f>
        <v>0</v>
      </c>
      <c s="125">
        <f>Предпосылки!BB$229*Предпосылки!$E263*Продажи!BC28*BC$19*(1+Чувствительность!$D$20)*IFERROR(LOOKUP(Предпосылки!$H$202,$C$13:$C$15,BC$13:BC$15),1)</f>
        <v>0</v>
      </c>
      <c s="125">
        <f>Предпосылки!BC$229*Предпосылки!$E263*Продажи!BD28*BD$19*(1+Чувствительность!$D$20)*IFERROR(LOOKUP(Предпосылки!$H$202,$C$13:$C$15,BD$13:BD$15),1)</f>
        <v>0</v>
      </c>
      <c s="125">
        <f>Предпосылки!BD$229*Предпосылки!$E263*Продажи!BE28*BE$19*(1+Чувствительность!$D$20)*IFERROR(LOOKUP(Предпосылки!$H$202,$C$13:$C$15,BE$13:BE$15),1)</f>
        <v>0</v>
      </c>
      <c s="125">
        <f>Предпосылки!BE$229*Предпосылки!$E263*Продажи!BF28*BF$19*(1+Чувствительность!$D$20)*IFERROR(LOOKUP(Предпосылки!$H$202,$C$13:$C$15,BF$13:BF$15),1)</f>
        <v>0</v>
      </c>
      <c s="125">
        <f>Предпосылки!BF$229*Предпосылки!$E263*Продажи!BG28*BG$19*(1+Чувствительность!$D$20)*IFERROR(LOOKUP(Предпосылки!$H$202,$C$13:$C$15,BG$13:BG$15),1)</f>
        <v>0</v>
      </c>
      <c s="125">
        <f>Предпосылки!BG$229*Предпосылки!$E263*Продажи!BH28*BH$19*(1+Чувствительность!$D$20)*IFERROR(LOOKUP(Предпосылки!$H$202,$C$13:$C$15,BH$13:BH$15),1)</f>
        <v>0</v>
      </c>
      <c s="125">
        <f>Предпосылки!BH$229*Предпосылки!$E263*Продажи!BI28*BI$19*(1+Чувствительность!$D$20)*IFERROR(LOOKUP(Предпосылки!$H$202,$C$13:$C$15,BI$13:BI$15),1)</f>
        <v>0</v>
      </c>
      <c s="125">
        <f>Предпосылки!BI$229*Предпосылки!$E263*Продажи!BJ28*BJ$19*(1+Чувствительность!$D$20)*IFERROR(LOOKUP(Предпосылки!$H$202,$C$13:$C$15,BJ$13:BJ$15),1)</f>
        <v>0</v>
      </c>
      <c s="125">
        <f>Предпосылки!BJ$229*Предпосылки!$E263*Продажи!BK28*BK$19*(1+Чувствительность!$D$20)*IFERROR(LOOKUP(Предпосылки!$H$202,$C$13:$C$15,BK$13:BK$15),1)</f>
        <v>0</v>
      </c>
      <c s="125">
        <f>Предпосылки!BK$229*Предпосылки!$E263*Продажи!BL28*BL$19*(1+Чувствительность!$D$20)*IFERROR(LOOKUP(Предпосылки!$H$202,$C$13:$C$15,BL$13:BL$15),1)</f>
        <v>0</v>
      </c>
      <c s="125">
        <f>Предпосылки!BL$229*Предпосылки!$E263*Продажи!BM28*BM$19*(1+Чувствительность!$D$20)*IFERROR(LOOKUP(Предпосылки!$H$202,$C$13:$C$15,BM$13:BM$15),1)</f>
        <v>0</v>
      </c>
    </row>
    <row r="57" spans="2:65" ht="15" customHeight="1">
      <c r="B57" s="12" t="str">
        <f t="shared" si="66"/>
        <v>Продукт 12</v>
      </c>
      <c s="124" t="str">
        <f t="shared" si="65"/>
        <v>тыс. руб.</v>
      </c>
      <c s="276">
        <f t="shared" si="67"/>
        <v>0</v>
      </c>
      <c s="125">
        <f>Предпосылки!D$229*Предпосылки!$E264*Продажи!E29*E$19*(1+Чувствительность!$D$20)*IFERROR(LOOKUP(Предпосылки!$H$202,$C$13:$C$15,E$13:E$15),1)</f>
        <v>0</v>
      </c>
      <c s="125">
        <f>Предпосылки!E$229*Предпосылки!$E264*Продажи!F29*F$19*(1+Чувствительность!$D$20)*IFERROR(LOOKUP(Предпосылки!$H$202,$C$13:$C$15,F$13:F$15),1)</f>
        <v>0</v>
      </c>
      <c s="125">
        <f>Предпосылки!F$229*Предпосылки!$E264*Продажи!G29*G$19*(1+Чувствительность!$D$20)*IFERROR(LOOKUP(Предпосылки!$H$202,$C$13:$C$15,G$13:G$15),1)</f>
        <v>0</v>
      </c>
      <c s="125">
        <f>Предпосылки!G$229*Предпосылки!$E264*Продажи!H29*H$19*(1+Чувствительность!$D$20)*IFERROR(LOOKUP(Предпосылки!$H$202,$C$13:$C$15,H$13:H$15),1)</f>
        <v>0</v>
      </c>
      <c s="125">
        <f>Предпосылки!H$229*Предпосылки!$E264*Продажи!I29*I$19*(1+Чувствительность!$D$20)*IFERROR(LOOKUP(Предпосылки!$H$202,$C$13:$C$15,I$13:I$15),1)</f>
        <v>0</v>
      </c>
      <c s="125">
        <f>Предпосылки!I$229*Предпосылки!$E264*Продажи!J29*J$19*(1+Чувствительность!$D$20)*IFERROR(LOOKUP(Предпосылки!$H$202,$C$13:$C$15,J$13:J$15),1)</f>
        <v>0</v>
      </c>
      <c s="125">
        <f>Предпосылки!J$229*Предпосылки!$E264*Продажи!K29*K$19*(1+Чувствительность!$D$20)*IFERROR(LOOKUP(Предпосылки!$H$202,$C$13:$C$15,K$13:K$15),1)</f>
        <v>0</v>
      </c>
      <c s="125">
        <f>Предпосылки!K$229*Предпосылки!$E264*Продажи!L29*L$19*(1+Чувствительность!$D$20)*IFERROR(LOOKUP(Предпосылки!$H$202,$C$13:$C$15,L$13:L$15),1)</f>
        <v>0</v>
      </c>
      <c s="125">
        <f>Предпосылки!L$229*Предпосылки!$E264*Продажи!M29*M$19*(1+Чувствительность!$D$20)*IFERROR(LOOKUP(Предпосылки!$H$202,$C$13:$C$15,M$13:M$15),1)</f>
        <v>0</v>
      </c>
      <c s="125">
        <f>Предпосылки!M$229*Предпосылки!$E264*Продажи!N29*N$19*(1+Чувствительность!$D$20)*IFERROR(LOOKUP(Предпосылки!$H$202,$C$13:$C$15,N$13:N$15),1)</f>
        <v>0</v>
      </c>
      <c s="125">
        <f>Предпосылки!N$229*Предпосылки!$E264*Продажи!O29*O$19*(1+Чувствительность!$D$20)*IFERROR(LOOKUP(Предпосылки!$H$202,$C$13:$C$15,O$13:O$15),1)</f>
        <v>0</v>
      </c>
      <c s="125">
        <f>Предпосылки!O$229*Предпосылки!$E264*Продажи!P29*P$19*(1+Чувствительность!$D$20)*IFERROR(LOOKUP(Предпосылки!$H$202,$C$13:$C$15,P$13:P$15),1)</f>
        <v>0</v>
      </c>
      <c s="125">
        <f>Предпосылки!P$229*Предпосылки!$E264*Продажи!Q29*Q$19*(1+Чувствительность!$D$20)*IFERROR(LOOKUP(Предпосылки!$H$202,$C$13:$C$15,Q$13:Q$15),1)</f>
        <v>0</v>
      </c>
      <c s="125">
        <f>Предпосылки!Q$229*Предпосылки!$E264*Продажи!R29*R$19*(1+Чувствительность!$D$20)*IFERROR(LOOKUP(Предпосылки!$H$202,$C$13:$C$15,R$13:R$15),1)</f>
        <v>0</v>
      </c>
      <c s="125">
        <f>Предпосылки!R$229*Предпосылки!$E264*Продажи!S29*S$19*(1+Чувствительность!$D$20)*IFERROR(LOOKUP(Предпосылки!$H$202,$C$13:$C$15,S$13:S$15),1)</f>
        <v>0</v>
      </c>
      <c s="125">
        <f>Предпосылки!S$229*Предпосылки!$E264*Продажи!T29*T$19*(1+Чувствительность!$D$20)*IFERROR(LOOKUP(Предпосылки!$H$202,$C$13:$C$15,T$13:T$15),1)</f>
        <v>0</v>
      </c>
      <c s="125">
        <f>Предпосылки!T$229*Предпосылки!$E264*Продажи!U29*U$19*(1+Чувствительность!$D$20)*IFERROR(LOOKUP(Предпосылки!$H$202,$C$13:$C$15,U$13:U$15),1)</f>
        <v>0</v>
      </c>
      <c s="125">
        <f>Предпосылки!U$229*Предпосылки!$E264*Продажи!V29*V$19*(1+Чувствительность!$D$20)*IFERROR(LOOKUP(Предпосылки!$H$202,$C$13:$C$15,V$13:V$15),1)</f>
        <v>0</v>
      </c>
      <c s="125">
        <f>Предпосылки!V$229*Предпосылки!$E264*Продажи!W29*W$19*(1+Чувствительность!$D$20)*IFERROR(LOOKUP(Предпосылки!$H$202,$C$13:$C$15,W$13:W$15),1)</f>
        <v>0</v>
      </c>
      <c s="125">
        <f>Предпосылки!W$229*Предпосылки!$E264*Продажи!X29*X$19*(1+Чувствительность!$D$20)*IFERROR(LOOKUP(Предпосылки!$H$202,$C$13:$C$15,X$13:X$15),1)</f>
        <v>0</v>
      </c>
      <c s="125">
        <f>Предпосылки!X$229*Предпосылки!$E264*Продажи!Y29*Y$19*(1+Чувствительность!$D$20)*IFERROR(LOOKUP(Предпосылки!$H$202,$C$13:$C$15,Y$13:Y$15),1)</f>
        <v>0</v>
      </c>
      <c s="125">
        <f>Предпосылки!Y$229*Предпосылки!$E264*Продажи!Z29*Z$19*(1+Чувствительность!$D$20)*IFERROR(LOOKUP(Предпосылки!$H$202,$C$13:$C$15,Z$13:Z$15),1)</f>
        <v>0</v>
      </c>
      <c s="125">
        <f>Предпосылки!Z$229*Предпосылки!$E264*Продажи!AA29*AA$19*(1+Чувствительность!$D$20)*IFERROR(LOOKUP(Предпосылки!$H$202,$C$13:$C$15,AA$13:AA$15),1)</f>
        <v>0</v>
      </c>
      <c s="125">
        <f>Предпосылки!AA$229*Предпосылки!$E264*Продажи!AB29*AB$19*(1+Чувствительность!$D$20)*IFERROR(LOOKUP(Предпосылки!$H$202,$C$13:$C$15,AB$13:AB$15),1)</f>
        <v>0</v>
      </c>
      <c s="125">
        <f>Предпосылки!AB$229*Предпосылки!$E264*Продажи!AC29*AC$19*(1+Чувствительность!$D$20)*IFERROR(LOOKUP(Предпосылки!$H$202,$C$13:$C$15,AC$13:AC$15),1)</f>
        <v>0</v>
      </c>
      <c s="125">
        <f>Предпосылки!AC$229*Предпосылки!$E264*Продажи!AD29*AD$19*(1+Чувствительность!$D$20)*IFERROR(LOOKUP(Предпосылки!$H$202,$C$13:$C$15,AD$13:AD$15),1)</f>
        <v>0</v>
      </c>
      <c s="125">
        <f>Предпосылки!AD$229*Предпосылки!$E264*Продажи!AE29*AE$19*(1+Чувствительность!$D$20)*IFERROR(LOOKUP(Предпосылки!$H$202,$C$13:$C$15,AE$13:AE$15),1)</f>
        <v>0</v>
      </c>
      <c s="125">
        <f>Предпосылки!AE$229*Предпосылки!$E264*Продажи!AF29*AF$19*(1+Чувствительность!$D$20)*IFERROR(LOOKUP(Предпосылки!$H$202,$C$13:$C$15,AF$13:AF$15),1)</f>
        <v>0</v>
      </c>
      <c s="125">
        <f>Предпосылки!AF$229*Предпосылки!$E264*Продажи!AG29*AG$19*(1+Чувствительность!$D$20)*IFERROR(LOOKUP(Предпосылки!$H$202,$C$13:$C$15,AG$13:AG$15),1)</f>
        <v>0</v>
      </c>
      <c s="125">
        <f>Предпосылки!AG$229*Предпосылки!$E264*Продажи!AH29*AH$19*(1+Чувствительность!$D$20)*IFERROR(LOOKUP(Предпосылки!$H$202,$C$13:$C$15,AH$13:AH$15),1)</f>
        <v>0</v>
      </c>
      <c s="125">
        <f>Предпосылки!AH$229*Предпосылки!$E264*Продажи!AI29*AI$19*(1+Чувствительность!$D$20)*IFERROR(LOOKUP(Предпосылки!$H$202,$C$13:$C$15,AI$13:AI$15),1)</f>
        <v>0</v>
      </c>
      <c s="125">
        <f>Предпосылки!AI$229*Предпосылки!$E264*Продажи!AJ29*AJ$19*(1+Чувствительность!$D$20)*IFERROR(LOOKUP(Предпосылки!$H$202,$C$13:$C$15,AJ$13:AJ$15),1)</f>
        <v>0</v>
      </c>
      <c s="125">
        <f>Предпосылки!AJ$229*Предпосылки!$E264*Продажи!AK29*AK$19*(1+Чувствительность!$D$20)*IFERROR(LOOKUP(Предпосылки!$H$202,$C$13:$C$15,AK$13:AK$15),1)</f>
        <v>0</v>
      </c>
      <c s="125">
        <f>Предпосылки!AK$229*Предпосылки!$E264*Продажи!AL29*AL$19*(1+Чувствительность!$D$20)*IFERROR(LOOKUP(Предпосылки!$H$202,$C$13:$C$15,AL$13:AL$15),1)</f>
        <v>0</v>
      </c>
      <c s="125">
        <f>Предпосылки!AL$229*Предпосылки!$E264*Продажи!AM29*AM$19*(1+Чувствительность!$D$20)*IFERROR(LOOKUP(Предпосылки!$H$202,$C$13:$C$15,AM$13:AM$15),1)</f>
        <v>0</v>
      </c>
      <c s="125">
        <f>Предпосылки!AM$229*Предпосылки!$E264*Продажи!AN29*AN$19*(1+Чувствительность!$D$20)*IFERROR(LOOKUP(Предпосылки!$H$202,$C$13:$C$15,AN$13:AN$15),1)</f>
        <v>0</v>
      </c>
      <c s="125">
        <f>Предпосылки!AN$229*Предпосылки!$E264*Продажи!AO29*AO$19*(1+Чувствительность!$D$20)*IFERROR(LOOKUP(Предпосылки!$H$202,$C$13:$C$15,AO$13:AO$15),1)</f>
        <v>0</v>
      </c>
      <c s="125">
        <f>Предпосылки!AO$229*Предпосылки!$E264*Продажи!AP29*AP$19*(1+Чувствительность!$D$20)*IFERROR(LOOKUP(Предпосылки!$H$202,$C$13:$C$15,AP$13:AP$15),1)</f>
        <v>0</v>
      </c>
      <c s="125">
        <f>Предпосылки!AP$229*Предпосылки!$E264*Продажи!AQ29*AQ$19*(1+Чувствительность!$D$20)*IFERROR(LOOKUP(Предпосылки!$H$202,$C$13:$C$15,AQ$13:AQ$15),1)</f>
        <v>0</v>
      </c>
      <c s="125">
        <f>Предпосылки!AQ$229*Предпосылки!$E264*Продажи!AR29*AR$19*(1+Чувствительность!$D$20)*IFERROR(LOOKUP(Предпосылки!$H$202,$C$13:$C$15,AR$13:AR$15),1)</f>
        <v>0</v>
      </c>
      <c s="125">
        <f>Предпосылки!AR$229*Предпосылки!$E264*Продажи!AS29*AS$19*(1+Чувствительность!$D$20)*IFERROR(LOOKUP(Предпосылки!$H$202,$C$13:$C$15,AS$13:AS$15),1)</f>
        <v>0</v>
      </c>
      <c s="125">
        <f>Предпосылки!AS$229*Предпосылки!$E264*Продажи!AT29*AT$19*(1+Чувствительность!$D$20)*IFERROR(LOOKUP(Предпосылки!$H$202,$C$13:$C$15,AT$13:AT$15),1)</f>
        <v>0</v>
      </c>
      <c s="125">
        <f>Предпосылки!AT$229*Предпосылки!$E264*Продажи!AU29*AU$19*(1+Чувствительность!$D$20)*IFERROR(LOOKUP(Предпосылки!$H$202,$C$13:$C$15,AU$13:AU$15),1)</f>
        <v>0</v>
      </c>
      <c s="125">
        <f>Предпосылки!AU$229*Предпосылки!$E264*Продажи!AV29*AV$19*(1+Чувствительность!$D$20)*IFERROR(LOOKUP(Предпосылки!$H$202,$C$13:$C$15,AV$13:AV$15),1)</f>
        <v>0</v>
      </c>
      <c s="125">
        <f>Предпосылки!AV$229*Предпосылки!$E264*Продажи!AW29*AW$19*(1+Чувствительность!$D$20)*IFERROR(LOOKUP(Предпосылки!$H$202,$C$13:$C$15,AW$13:AW$15),1)</f>
        <v>0</v>
      </c>
      <c s="125">
        <f>Предпосылки!AW$229*Предпосылки!$E264*Продажи!AX29*AX$19*(1+Чувствительность!$D$20)*IFERROR(LOOKUP(Предпосылки!$H$202,$C$13:$C$15,AX$13:AX$15),1)</f>
        <v>0</v>
      </c>
      <c s="125">
        <f>Предпосылки!AX$229*Предпосылки!$E264*Продажи!AY29*AY$19*(1+Чувствительность!$D$20)*IFERROR(LOOKUP(Предпосылки!$H$202,$C$13:$C$15,AY$13:AY$15),1)</f>
        <v>0</v>
      </c>
      <c s="125">
        <f>Предпосылки!AY$229*Предпосылки!$E264*Продажи!AZ29*AZ$19*(1+Чувствительность!$D$20)*IFERROR(LOOKUP(Предпосылки!$H$202,$C$13:$C$15,AZ$13:AZ$15),1)</f>
        <v>0</v>
      </c>
      <c s="125">
        <f>Предпосылки!AZ$229*Предпосылки!$E264*Продажи!BA29*BA$19*(1+Чувствительность!$D$20)*IFERROR(LOOKUP(Предпосылки!$H$202,$C$13:$C$15,BA$13:BA$15),1)</f>
        <v>0</v>
      </c>
      <c s="125">
        <f>Предпосылки!BA$229*Предпосылки!$E264*Продажи!BB29*BB$19*(1+Чувствительность!$D$20)*IFERROR(LOOKUP(Предпосылки!$H$202,$C$13:$C$15,BB$13:BB$15),1)</f>
        <v>0</v>
      </c>
      <c s="125">
        <f>Предпосылки!BB$229*Предпосылки!$E264*Продажи!BC29*BC$19*(1+Чувствительность!$D$20)*IFERROR(LOOKUP(Предпосылки!$H$202,$C$13:$C$15,BC$13:BC$15),1)</f>
        <v>0</v>
      </c>
      <c s="125">
        <f>Предпосылки!BC$229*Предпосылки!$E264*Продажи!BD29*BD$19*(1+Чувствительность!$D$20)*IFERROR(LOOKUP(Предпосылки!$H$202,$C$13:$C$15,BD$13:BD$15),1)</f>
        <v>0</v>
      </c>
      <c s="125">
        <f>Предпосылки!BD$229*Предпосылки!$E264*Продажи!BE29*BE$19*(1+Чувствительность!$D$20)*IFERROR(LOOKUP(Предпосылки!$H$202,$C$13:$C$15,BE$13:BE$15),1)</f>
        <v>0</v>
      </c>
      <c s="125">
        <f>Предпосылки!BE$229*Предпосылки!$E264*Продажи!BF29*BF$19*(1+Чувствительность!$D$20)*IFERROR(LOOKUP(Предпосылки!$H$202,$C$13:$C$15,BF$13:BF$15),1)</f>
        <v>0</v>
      </c>
      <c s="125">
        <f>Предпосылки!BF$229*Предпосылки!$E264*Продажи!BG29*BG$19*(1+Чувствительность!$D$20)*IFERROR(LOOKUP(Предпосылки!$H$202,$C$13:$C$15,BG$13:BG$15),1)</f>
        <v>0</v>
      </c>
      <c s="125">
        <f>Предпосылки!BG$229*Предпосылки!$E264*Продажи!BH29*BH$19*(1+Чувствительность!$D$20)*IFERROR(LOOKUP(Предпосылки!$H$202,$C$13:$C$15,BH$13:BH$15),1)</f>
        <v>0</v>
      </c>
      <c s="125">
        <f>Предпосылки!BH$229*Предпосылки!$E264*Продажи!BI29*BI$19*(1+Чувствительность!$D$20)*IFERROR(LOOKUP(Предпосылки!$H$202,$C$13:$C$15,BI$13:BI$15),1)</f>
        <v>0</v>
      </c>
      <c s="125">
        <f>Предпосылки!BI$229*Предпосылки!$E264*Продажи!BJ29*BJ$19*(1+Чувствительность!$D$20)*IFERROR(LOOKUP(Предпосылки!$H$202,$C$13:$C$15,BJ$13:BJ$15),1)</f>
        <v>0</v>
      </c>
      <c s="125">
        <f>Предпосылки!BJ$229*Предпосылки!$E264*Продажи!BK29*BK$19*(1+Чувствительность!$D$20)*IFERROR(LOOKUP(Предпосылки!$H$202,$C$13:$C$15,BK$13:BK$15),1)</f>
        <v>0</v>
      </c>
      <c s="125">
        <f>Предпосылки!BK$229*Предпосылки!$E264*Продажи!BL29*BL$19*(1+Чувствительность!$D$20)*IFERROR(LOOKUP(Предпосылки!$H$202,$C$13:$C$15,BL$13:BL$15),1)</f>
        <v>0</v>
      </c>
      <c s="125">
        <f>Предпосылки!BL$229*Предпосылки!$E264*Продажи!BM29*BM$19*(1+Чувствительность!$D$20)*IFERROR(LOOKUP(Предпосылки!$H$202,$C$13:$C$15,BM$13:BM$15),1)</f>
        <v>0</v>
      </c>
    </row>
    <row r="58" spans="2:65" ht="15" customHeight="1">
      <c r="B58" s="12" t="str">
        <f t="shared" si="66"/>
        <v>Продукт 13</v>
      </c>
      <c s="124" t="str">
        <f t="shared" si="65"/>
        <v>тыс. руб.</v>
      </c>
      <c s="276">
        <f t="shared" si="67"/>
        <v>0</v>
      </c>
      <c s="125">
        <f>Предпосылки!D$229*Предпосылки!$E265*Продажи!E30*E$19*(1+Чувствительность!$D$20)*IFERROR(LOOKUP(Предпосылки!$H$202,$C$13:$C$15,E$13:E$15),1)</f>
        <v>0</v>
      </c>
      <c s="125">
        <f>Предпосылки!E$229*Предпосылки!$E265*Продажи!F30*F$19*(1+Чувствительность!$D$20)*IFERROR(LOOKUP(Предпосылки!$H$202,$C$13:$C$15,F$13:F$15),1)</f>
        <v>0</v>
      </c>
      <c s="125">
        <f>Предпосылки!F$229*Предпосылки!$E265*Продажи!G30*G$19*(1+Чувствительность!$D$20)*IFERROR(LOOKUP(Предпосылки!$H$202,$C$13:$C$15,G$13:G$15),1)</f>
        <v>0</v>
      </c>
      <c s="125">
        <f>Предпосылки!G$229*Предпосылки!$E265*Продажи!H30*H$19*(1+Чувствительность!$D$20)*IFERROR(LOOKUP(Предпосылки!$H$202,$C$13:$C$15,H$13:H$15),1)</f>
        <v>0</v>
      </c>
      <c s="125">
        <f>Предпосылки!H$229*Предпосылки!$E265*Продажи!I30*I$19*(1+Чувствительность!$D$20)*IFERROR(LOOKUP(Предпосылки!$H$202,$C$13:$C$15,I$13:I$15),1)</f>
        <v>0</v>
      </c>
      <c s="125">
        <f>Предпосылки!I$229*Предпосылки!$E265*Продажи!J30*J$19*(1+Чувствительность!$D$20)*IFERROR(LOOKUP(Предпосылки!$H$202,$C$13:$C$15,J$13:J$15),1)</f>
        <v>0</v>
      </c>
      <c s="125">
        <f>Предпосылки!J$229*Предпосылки!$E265*Продажи!K30*K$19*(1+Чувствительность!$D$20)*IFERROR(LOOKUP(Предпосылки!$H$202,$C$13:$C$15,K$13:K$15),1)</f>
        <v>0</v>
      </c>
      <c s="125">
        <f>Предпосылки!K$229*Предпосылки!$E265*Продажи!L30*L$19*(1+Чувствительность!$D$20)*IFERROR(LOOKUP(Предпосылки!$H$202,$C$13:$C$15,L$13:L$15),1)</f>
        <v>0</v>
      </c>
      <c s="125">
        <f>Предпосылки!L$229*Предпосылки!$E265*Продажи!M30*M$19*(1+Чувствительность!$D$20)*IFERROR(LOOKUP(Предпосылки!$H$202,$C$13:$C$15,M$13:M$15),1)</f>
        <v>0</v>
      </c>
      <c s="125">
        <f>Предпосылки!M$229*Предпосылки!$E265*Продажи!N30*N$19*(1+Чувствительность!$D$20)*IFERROR(LOOKUP(Предпосылки!$H$202,$C$13:$C$15,N$13:N$15),1)</f>
        <v>0</v>
      </c>
      <c s="125">
        <f>Предпосылки!N$229*Предпосылки!$E265*Продажи!O30*O$19*(1+Чувствительность!$D$20)*IFERROR(LOOKUP(Предпосылки!$H$202,$C$13:$C$15,O$13:O$15),1)</f>
        <v>0</v>
      </c>
      <c s="125">
        <f>Предпосылки!O$229*Предпосылки!$E265*Продажи!P30*P$19*(1+Чувствительность!$D$20)*IFERROR(LOOKUP(Предпосылки!$H$202,$C$13:$C$15,P$13:P$15),1)</f>
        <v>0</v>
      </c>
      <c s="125">
        <f>Предпосылки!P$229*Предпосылки!$E265*Продажи!Q30*Q$19*(1+Чувствительность!$D$20)*IFERROR(LOOKUP(Предпосылки!$H$202,$C$13:$C$15,Q$13:Q$15),1)</f>
        <v>0</v>
      </c>
      <c s="125">
        <f>Предпосылки!Q$229*Предпосылки!$E265*Продажи!R30*R$19*(1+Чувствительность!$D$20)*IFERROR(LOOKUP(Предпосылки!$H$202,$C$13:$C$15,R$13:R$15),1)</f>
        <v>0</v>
      </c>
      <c s="125">
        <f>Предпосылки!R$229*Предпосылки!$E265*Продажи!S30*S$19*(1+Чувствительность!$D$20)*IFERROR(LOOKUP(Предпосылки!$H$202,$C$13:$C$15,S$13:S$15),1)</f>
        <v>0</v>
      </c>
      <c s="125">
        <f>Предпосылки!S$229*Предпосылки!$E265*Продажи!T30*T$19*(1+Чувствительность!$D$20)*IFERROR(LOOKUP(Предпосылки!$H$202,$C$13:$C$15,T$13:T$15),1)</f>
        <v>0</v>
      </c>
      <c s="125">
        <f>Предпосылки!T$229*Предпосылки!$E265*Продажи!U30*U$19*(1+Чувствительность!$D$20)*IFERROR(LOOKUP(Предпосылки!$H$202,$C$13:$C$15,U$13:U$15),1)</f>
        <v>0</v>
      </c>
      <c s="125">
        <f>Предпосылки!U$229*Предпосылки!$E265*Продажи!V30*V$19*(1+Чувствительность!$D$20)*IFERROR(LOOKUP(Предпосылки!$H$202,$C$13:$C$15,V$13:V$15),1)</f>
        <v>0</v>
      </c>
      <c s="125">
        <f>Предпосылки!V$229*Предпосылки!$E265*Продажи!W30*W$19*(1+Чувствительность!$D$20)*IFERROR(LOOKUP(Предпосылки!$H$202,$C$13:$C$15,W$13:W$15),1)</f>
        <v>0</v>
      </c>
      <c s="125">
        <f>Предпосылки!W$229*Предпосылки!$E265*Продажи!X30*X$19*(1+Чувствительность!$D$20)*IFERROR(LOOKUP(Предпосылки!$H$202,$C$13:$C$15,X$13:X$15),1)</f>
        <v>0</v>
      </c>
      <c s="125">
        <f>Предпосылки!X$229*Предпосылки!$E265*Продажи!Y30*Y$19*(1+Чувствительность!$D$20)*IFERROR(LOOKUP(Предпосылки!$H$202,$C$13:$C$15,Y$13:Y$15),1)</f>
        <v>0</v>
      </c>
      <c s="125">
        <f>Предпосылки!Y$229*Предпосылки!$E265*Продажи!Z30*Z$19*(1+Чувствительность!$D$20)*IFERROR(LOOKUP(Предпосылки!$H$202,$C$13:$C$15,Z$13:Z$15),1)</f>
        <v>0</v>
      </c>
      <c s="125">
        <f>Предпосылки!Z$229*Предпосылки!$E265*Продажи!AA30*AA$19*(1+Чувствительность!$D$20)*IFERROR(LOOKUP(Предпосылки!$H$202,$C$13:$C$15,AA$13:AA$15),1)</f>
        <v>0</v>
      </c>
      <c s="125">
        <f>Предпосылки!AA$229*Предпосылки!$E265*Продажи!AB30*AB$19*(1+Чувствительность!$D$20)*IFERROR(LOOKUP(Предпосылки!$H$202,$C$13:$C$15,AB$13:AB$15),1)</f>
        <v>0</v>
      </c>
      <c s="125">
        <f>Предпосылки!AB$229*Предпосылки!$E265*Продажи!AC30*AC$19*(1+Чувствительность!$D$20)*IFERROR(LOOKUP(Предпосылки!$H$202,$C$13:$C$15,AC$13:AC$15),1)</f>
        <v>0</v>
      </c>
      <c s="125">
        <f>Предпосылки!AC$229*Предпосылки!$E265*Продажи!AD30*AD$19*(1+Чувствительность!$D$20)*IFERROR(LOOKUP(Предпосылки!$H$202,$C$13:$C$15,AD$13:AD$15),1)</f>
        <v>0</v>
      </c>
      <c s="125">
        <f>Предпосылки!AD$229*Предпосылки!$E265*Продажи!AE30*AE$19*(1+Чувствительность!$D$20)*IFERROR(LOOKUP(Предпосылки!$H$202,$C$13:$C$15,AE$13:AE$15),1)</f>
        <v>0</v>
      </c>
      <c s="125">
        <f>Предпосылки!AE$229*Предпосылки!$E265*Продажи!AF30*AF$19*(1+Чувствительность!$D$20)*IFERROR(LOOKUP(Предпосылки!$H$202,$C$13:$C$15,AF$13:AF$15),1)</f>
        <v>0</v>
      </c>
      <c s="125">
        <f>Предпосылки!AF$229*Предпосылки!$E265*Продажи!AG30*AG$19*(1+Чувствительность!$D$20)*IFERROR(LOOKUP(Предпосылки!$H$202,$C$13:$C$15,AG$13:AG$15),1)</f>
        <v>0</v>
      </c>
      <c s="125">
        <f>Предпосылки!AG$229*Предпосылки!$E265*Продажи!AH30*AH$19*(1+Чувствительность!$D$20)*IFERROR(LOOKUP(Предпосылки!$H$202,$C$13:$C$15,AH$13:AH$15),1)</f>
        <v>0</v>
      </c>
      <c s="125">
        <f>Предпосылки!AH$229*Предпосылки!$E265*Продажи!AI30*AI$19*(1+Чувствительность!$D$20)*IFERROR(LOOKUP(Предпосылки!$H$202,$C$13:$C$15,AI$13:AI$15),1)</f>
        <v>0</v>
      </c>
      <c s="125">
        <f>Предпосылки!AI$229*Предпосылки!$E265*Продажи!AJ30*AJ$19*(1+Чувствительность!$D$20)*IFERROR(LOOKUP(Предпосылки!$H$202,$C$13:$C$15,AJ$13:AJ$15),1)</f>
        <v>0</v>
      </c>
      <c s="125">
        <f>Предпосылки!AJ$229*Предпосылки!$E265*Продажи!AK30*AK$19*(1+Чувствительность!$D$20)*IFERROR(LOOKUP(Предпосылки!$H$202,$C$13:$C$15,AK$13:AK$15),1)</f>
        <v>0</v>
      </c>
      <c s="125">
        <f>Предпосылки!AK$229*Предпосылки!$E265*Продажи!AL30*AL$19*(1+Чувствительность!$D$20)*IFERROR(LOOKUP(Предпосылки!$H$202,$C$13:$C$15,AL$13:AL$15),1)</f>
        <v>0</v>
      </c>
      <c s="125">
        <f>Предпосылки!AL$229*Предпосылки!$E265*Продажи!AM30*AM$19*(1+Чувствительность!$D$20)*IFERROR(LOOKUP(Предпосылки!$H$202,$C$13:$C$15,AM$13:AM$15),1)</f>
        <v>0</v>
      </c>
      <c s="125">
        <f>Предпосылки!AM$229*Предпосылки!$E265*Продажи!AN30*AN$19*(1+Чувствительность!$D$20)*IFERROR(LOOKUP(Предпосылки!$H$202,$C$13:$C$15,AN$13:AN$15),1)</f>
        <v>0</v>
      </c>
      <c s="125">
        <f>Предпосылки!AN$229*Предпосылки!$E265*Продажи!AO30*AO$19*(1+Чувствительность!$D$20)*IFERROR(LOOKUP(Предпосылки!$H$202,$C$13:$C$15,AO$13:AO$15),1)</f>
        <v>0</v>
      </c>
      <c s="125">
        <f>Предпосылки!AO$229*Предпосылки!$E265*Продажи!AP30*AP$19*(1+Чувствительность!$D$20)*IFERROR(LOOKUP(Предпосылки!$H$202,$C$13:$C$15,AP$13:AP$15),1)</f>
        <v>0</v>
      </c>
      <c s="125">
        <f>Предпосылки!AP$229*Предпосылки!$E265*Продажи!AQ30*AQ$19*(1+Чувствительность!$D$20)*IFERROR(LOOKUP(Предпосылки!$H$202,$C$13:$C$15,AQ$13:AQ$15),1)</f>
        <v>0</v>
      </c>
      <c s="125">
        <f>Предпосылки!AQ$229*Предпосылки!$E265*Продажи!AR30*AR$19*(1+Чувствительность!$D$20)*IFERROR(LOOKUP(Предпосылки!$H$202,$C$13:$C$15,AR$13:AR$15),1)</f>
        <v>0</v>
      </c>
      <c s="125">
        <f>Предпосылки!AR$229*Предпосылки!$E265*Продажи!AS30*AS$19*(1+Чувствительность!$D$20)*IFERROR(LOOKUP(Предпосылки!$H$202,$C$13:$C$15,AS$13:AS$15),1)</f>
        <v>0</v>
      </c>
      <c s="125">
        <f>Предпосылки!AS$229*Предпосылки!$E265*Продажи!AT30*AT$19*(1+Чувствительность!$D$20)*IFERROR(LOOKUP(Предпосылки!$H$202,$C$13:$C$15,AT$13:AT$15),1)</f>
        <v>0</v>
      </c>
      <c s="125">
        <f>Предпосылки!AT$229*Предпосылки!$E265*Продажи!AU30*AU$19*(1+Чувствительность!$D$20)*IFERROR(LOOKUP(Предпосылки!$H$202,$C$13:$C$15,AU$13:AU$15),1)</f>
        <v>0</v>
      </c>
      <c s="125">
        <f>Предпосылки!AU$229*Предпосылки!$E265*Продажи!AV30*AV$19*(1+Чувствительность!$D$20)*IFERROR(LOOKUP(Предпосылки!$H$202,$C$13:$C$15,AV$13:AV$15),1)</f>
        <v>0</v>
      </c>
      <c s="125">
        <f>Предпосылки!AV$229*Предпосылки!$E265*Продажи!AW30*AW$19*(1+Чувствительность!$D$20)*IFERROR(LOOKUP(Предпосылки!$H$202,$C$13:$C$15,AW$13:AW$15),1)</f>
        <v>0</v>
      </c>
      <c s="125">
        <f>Предпосылки!AW$229*Предпосылки!$E265*Продажи!AX30*AX$19*(1+Чувствительность!$D$20)*IFERROR(LOOKUP(Предпосылки!$H$202,$C$13:$C$15,AX$13:AX$15),1)</f>
        <v>0</v>
      </c>
      <c s="125">
        <f>Предпосылки!AX$229*Предпосылки!$E265*Продажи!AY30*AY$19*(1+Чувствительность!$D$20)*IFERROR(LOOKUP(Предпосылки!$H$202,$C$13:$C$15,AY$13:AY$15),1)</f>
        <v>0</v>
      </c>
      <c s="125">
        <f>Предпосылки!AY$229*Предпосылки!$E265*Продажи!AZ30*AZ$19*(1+Чувствительность!$D$20)*IFERROR(LOOKUP(Предпосылки!$H$202,$C$13:$C$15,AZ$13:AZ$15),1)</f>
        <v>0</v>
      </c>
      <c s="125">
        <f>Предпосылки!AZ$229*Предпосылки!$E265*Продажи!BA30*BA$19*(1+Чувствительность!$D$20)*IFERROR(LOOKUP(Предпосылки!$H$202,$C$13:$C$15,BA$13:BA$15),1)</f>
        <v>0</v>
      </c>
      <c s="125">
        <f>Предпосылки!BA$229*Предпосылки!$E265*Продажи!BB30*BB$19*(1+Чувствительность!$D$20)*IFERROR(LOOKUP(Предпосылки!$H$202,$C$13:$C$15,BB$13:BB$15),1)</f>
        <v>0</v>
      </c>
      <c s="125">
        <f>Предпосылки!BB$229*Предпосылки!$E265*Продажи!BC30*BC$19*(1+Чувствительность!$D$20)*IFERROR(LOOKUP(Предпосылки!$H$202,$C$13:$C$15,BC$13:BC$15),1)</f>
        <v>0</v>
      </c>
      <c s="125">
        <f>Предпосылки!BC$229*Предпосылки!$E265*Продажи!BD30*BD$19*(1+Чувствительность!$D$20)*IFERROR(LOOKUP(Предпосылки!$H$202,$C$13:$C$15,BD$13:BD$15),1)</f>
        <v>0</v>
      </c>
      <c s="125">
        <f>Предпосылки!BD$229*Предпосылки!$E265*Продажи!BE30*BE$19*(1+Чувствительность!$D$20)*IFERROR(LOOKUP(Предпосылки!$H$202,$C$13:$C$15,BE$13:BE$15),1)</f>
        <v>0</v>
      </c>
      <c s="125">
        <f>Предпосылки!BE$229*Предпосылки!$E265*Продажи!BF30*BF$19*(1+Чувствительность!$D$20)*IFERROR(LOOKUP(Предпосылки!$H$202,$C$13:$C$15,BF$13:BF$15),1)</f>
        <v>0</v>
      </c>
      <c s="125">
        <f>Предпосылки!BF$229*Предпосылки!$E265*Продажи!BG30*BG$19*(1+Чувствительность!$D$20)*IFERROR(LOOKUP(Предпосылки!$H$202,$C$13:$C$15,BG$13:BG$15),1)</f>
        <v>0</v>
      </c>
      <c s="125">
        <f>Предпосылки!BG$229*Предпосылки!$E265*Продажи!BH30*BH$19*(1+Чувствительность!$D$20)*IFERROR(LOOKUP(Предпосылки!$H$202,$C$13:$C$15,BH$13:BH$15),1)</f>
        <v>0</v>
      </c>
      <c s="125">
        <f>Предпосылки!BH$229*Предпосылки!$E265*Продажи!BI30*BI$19*(1+Чувствительность!$D$20)*IFERROR(LOOKUP(Предпосылки!$H$202,$C$13:$C$15,BI$13:BI$15),1)</f>
        <v>0</v>
      </c>
      <c s="125">
        <f>Предпосылки!BI$229*Предпосылки!$E265*Продажи!BJ30*BJ$19*(1+Чувствительность!$D$20)*IFERROR(LOOKUP(Предпосылки!$H$202,$C$13:$C$15,BJ$13:BJ$15),1)</f>
        <v>0</v>
      </c>
      <c s="125">
        <f>Предпосылки!BJ$229*Предпосылки!$E265*Продажи!BK30*BK$19*(1+Чувствительность!$D$20)*IFERROR(LOOKUP(Предпосылки!$H$202,$C$13:$C$15,BK$13:BK$15),1)</f>
        <v>0</v>
      </c>
      <c s="125">
        <f>Предпосылки!BK$229*Предпосылки!$E265*Продажи!BL30*BL$19*(1+Чувствительность!$D$20)*IFERROR(LOOKUP(Предпосылки!$H$202,$C$13:$C$15,BL$13:BL$15),1)</f>
        <v>0</v>
      </c>
      <c s="125">
        <f>Предпосылки!BL$229*Предпосылки!$E265*Продажи!BM30*BM$19*(1+Чувствительность!$D$20)*IFERROR(LOOKUP(Предпосылки!$H$202,$C$13:$C$15,BM$13:BM$15),1)</f>
        <v>0</v>
      </c>
    </row>
    <row r="59" spans="2:65" ht="15" customHeight="1">
      <c r="B59" s="12" t="str">
        <f t="shared" si="66"/>
        <v>Продукт 14</v>
      </c>
      <c s="124" t="str">
        <f t="shared" si="65"/>
        <v>тыс. руб.</v>
      </c>
      <c s="276">
        <f t="shared" si="67"/>
        <v>0</v>
      </c>
      <c s="125">
        <f>Предпосылки!D$229*Предпосылки!$E266*Продажи!E31*E$19*(1+Чувствительность!$D$20)*IFERROR(LOOKUP(Предпосылки!$H$202,$C$13:$C$15,E$13:E$15),1)</f>
        <v>0</v>
      </c>
      <c s="125">
        <f>Предпосылки!E$229*Предпосылки!$E266*Продажи!F31*F$19*(1+Чувствительность!$D$20)*IFERROR(LOOKUP(Предпосылки!$H$202,$C$13:$C$15,F$13:F$15),1)</f>
        <v>0</v>
      </c>
      <c s="125">
        <f>Предпосылки!F$229*Предпосылки!$E266*Продажи!G31*G$19*(1+Чувствительность!$D$20)*IFERROR(LOOKUP(Предпосылки!$H$202,$C$13:$C$15,G$13:G$15),1)</f>
        <v>0</v>
      </c>
      <c s="125">
        <f>Предпосылки!G$229*Предпосылки!$E266*Продажи!H31*H$19*(1+Чувствительность!$D$20)*IFERROR(LOOKUP(Предпосылки!$H$202,$C$13:$C$15,H$13:H$15),1)</f>
        <v>0</v>
      </c>
      <c s="125">
        <f>Предпосылки!H$229*Предпосылки!$E266*Продажи!I31*I$19*(1+Чувствительность!$D$20)*IFERROR(LOOKUP(Предпосылки!$H$202,$C$13:$C$15,I$13:I$15),1)</f>
        <v>0</v>
      </c>
      <c s="125">
        <f>Предпосылки!I$229*Предпосылки!$E266*Продажи!J31*J$19*(1+Чувствительность!$D$20)*IFERROR(LOOKUP(Предпосылки!$H$202,$C$13:$C$15,J$13:J$15),1)</f>
        <v>0</v>
      </c>
      <c s="125">
        <f>Предпосылки!J$229*Предпосылки!$E266*Продажи!K31*K$19*(1+Чувствительность!$D$20)*IFERROR(LOOKUP(Предпосылки!$H$202,$C$13:$C$15,K$13:K$15),1)</f>
        <v>0</v>
      </c>
      <c s="125">
        <f>Предпосылки!K$229*Предпосылки!$E266*Продажи!L31*L$19*(1+Чувствительность!$D$20)*IFERROR(LOOKUP(Предпосылки!$H$202,$C$13:$C$15,L$13:L$15),1)</f>
        <v>0</v>
      </c>
      <c s="125">
        <f>Предпосылки!L$229*Предпосылки!$E266*Продажи!M31*M$19*(1+Чувствительность!$D$20)*IFERROR(LOOKUP(Предпосылки!$H$202,$C$13:$C$15,M$13:M$15),1)</f>
        <v>0</v>
      </c>
      <c s="125">
        <f>Предпосылки!M$229*Предпосылки!$E266*Продажи!N31*N$19*(1+Чувствительность!$D$20)*IFERROR(LOOKUP(Предпосылки!$H$202,$C$13:$C$15,N$13:N$15),1)</f>
        <v>0</v>
      </c>
      <c s="125">
        <f>Предпосылки!N$229*Предпосылки!$E266*Продажи!O31*O$19*(1+Чувствительность!$D$20)*IFERROR(LOOKUP(Предпосылки!$H$202,$C$13:$C$15,O$13:O$15),1)</f>
        <v>0</v>
      </c>
      <c s="125">
        <f>Предпосылки!O$229*Предпосылки!$E266*Продажи!P31*P$19*(1+Чувствительность!$D$20)*IFERROR(LOOKUP(Предпосылки!$H$202,$C$13:$C$15,P$13:P$15),1)</f>
        <v>0</v>
      </c>
      <c s="125">
        <f>Предпосылки!P$229*Предпосылки!$E266*Продажи!Q31*Q$19*(1+Чувствительность!$D$20)*IFERROR(LOOKUP(Предпосылки!$H$202,$C$13:$C$15,Q$13:Q$15),1)</f>
        <v>0</v>
      </c>
      <c s="125">
        <f>Предпосылки!Q$229*Предпосылки!$E266*Продажи!R31*R$19*(1+Чувствительность!$D$20)*IFERROR(LOOKUP(Предпосылки!$H$202,$C$13:$C$15,R$13:R$15),1)</f>
        <v>0</v>
      </c>
      <c s="125">
        <f>Предпосылки!R$229*Предпосылки!$E266*Продажи!S31*S$19*(1+Чувствительность!$D$20)*IFERROR(LOOKUP(Предпосылки!$H$202,$C$13:$C$15,S$13:S$15),1)</f>
        <v>0</v>
      </c>
      <c s="125">
        <f>Предпосылки!S$229*Предпосылки!$E266*Продажи!T31*T$19*(1+Чувствительность!$D$20)*IFERROR(LOOKUP(Предпосылки!$H$202,$C$13:$C$15,T$13:T$15),1)</f>
        <v>0</v>
      </c>
      <c s="125">
        <f>Предпосылки!T$229*Предпосылки!$E266*Продажи!U31*U$19*(1+Чувствительность!$D$20)*IFERROR(LOOKUP(Предпосылки!$H$202,$C$13:$C$15,U$13:U$15),1)</f>
        <v>0</v>
      </c>
      <c s="125">
        <f>Предпосылки!U$229*Предпосылки!$E266*Продажи!V31*V$19*(1+Чувствительность!$D$20)*IFERROR(LOOKUP(Предпосылки!$H$202,$C$13:$C$15,V$13:V$15),1)</f>
        <v>0</v>
      </c>
      <c s="125">
        <f>Предпосылки!V$229*Предпосылки!$E266*Продажи!W31*W$19*(1+Чувствительность!$D$20)*IFERROR(LOOKUP(Предпосылки!$H$202,$C$13:$C$15,W$13:W$15),1)</f>
        <v>0</v>
      </c>
      <c s="125">
        <f>Предпосылки!W$229*Предпосылки!$E266*Продажи!X31*X$19*(1+Чувствительность!$D$20)*IFERROR(LOOKUP(Предпосылки!$H$202,$C$13:$C$15,X$13:X$15),1)</f>
        <v>0</v>
      </c>
      <c s="125">
        <f>Предпосылки!X$229*Предпосылки!$E266*Продажи!Y31*Y$19*(1+Чувствительность!$D$20)*IFERROR(LOOKUP(Предпосылки!$H$202,$C$13:$C$15,Y$13:Y$15),1)</f>
        <v>0</v>
      </c>
      <c s="125">
        <f>Предпосылки!Y$229*Предпосылки!$E266*Продажи!Z31*Z$19*(1+Чувствительность!$D$20)*IFERROR(LOOKUP(Предпосылки!$H$202,$C$13:$C$15,Z$13:Z$15),1)</f>
        <v>0</v>
      </c>
      <c s="125">
        <f>Предпосылки!Z$229*Предпосылки!$E266*Продажи!AA31*AA$19*(1+Чувствительность!$D$20)*IFERROR(LOOKUP(Предпосылки!$H$202,$C$13:$C$15,AA$13:AA$15),1)</f>
        <v>0</v>
      </c>
      <c s="125">
        <f>Предпосылки!AA$229*Предпосылки!$E266*Продажи!AB31*AB$19*(1+Чувствительность!$D$20)*IFERROR(LOOKUP(Предпосылки!$H$202,$C$13:$C$15,AB$13:AB$15),1)</f>
        <v>0</v>
      </c>
      <c s="125">
        <f>Предпосылки!AB$229*Предпосылки!$E266*Продажи!AC31*AC$19*(1+Чувствительность!$D$20)*IFERROR(LOOKUP(Предпосылки!$H$202,$C$13:$C$15,AC$13:AC$15),1)</f>
        <v>0</v>
      </c>
      <c s="125">
        <f>Предпосылки!AC$229*Предпосылки!$E266*Продажи!AD31*AD$19*(1+Чувствительность!$D$20)*IFERROR(LOOKUP(Предпосылки!$H$202,$C$13:$C$15,AD$13:AD$15),1)</f>
        <v>0</v>
      </c>
      <c s="125">
        <f>Предпосылки!AD$229*Предпосылки!$E266*Продажи!AE31*AE$19*(1+Чувствительность!$D$20)*IFERROR(LOOKUP(Предпосылки!$H$202,$C$13:$C$15,AE$13:AE$15),1)</f>
        <v>0</v>
      </c>
      <c s="125">
        <f>Предпосылки!AE$229*Предпосылки!$E266*Продажи!AF31*AF$19*(1+Чувствительность!$D$20)*IFERROR(LOOKUP(Предпосылки!$H$202,$C$13:$C$15,AF$13:AF$15),1)</f>
        <v>0</v>
      </c>
      <c s="125">
        <f>Предпосылки!AF$229*Предпосылки!$E266*Продажи!AG31*AG$19*(1+Чувствительность!$D$20)*IFERROR(LOOKUP(Предпосылки!$H$202,$C$13:$C$15,AG$13:AG$15),1)</f>
        <v>0</v>
      </c>
      <c s="125">
        <f>Предпосылки!AG$229*Предпосылки!$E266*Продажи!AH31*AH$19*(1+Чувствительность!$D$20)*IFERROR(LOOKUP(Предпосылки!$H$202,$C$13:$C$15,AH$13:AH$15),1)</f>
        <v>0</v>
      </c>
      <c s="125">
        <f>Предпосылки!AH$229*Предпосылки!$E266*Продажи!AI31*AI$19*(1+Чувствительность!$D$20)*IFERROR(LOOKUP(Предпосылки!$H$202,$C$13:$C$15,AI$13:AI$15),1)</f>
        <v>0</v>
      </c>
      <c s="125">
        <f>Предпосылки!AI$229*Предпосылки!$E266*Продажи!AJ31*AJ$19*(1+Чувствительность!$D$20)*IFERROR(LOOKUP(Предпосылки!$H$202,$C$13:$C$15,AJ$13:AJ$15),1)</f>
        <v>0</v>
      </c>
      <c s="125">
        <f>Предпосылки!AJ$229*Предпосылки!$E266*Продажи!AK31*AK$19*(1+Чувствительность!$D$20)*IFERROR(LOOKUP(Предпосылки!$H$202,$C$13:$C$15,AK$13:AK$15),1)</f>
        <v>0</v>
      </c>
      <c s="125">
        <f>Предпосылки!AK$229*Предпосылки!$E266*Продажи!AL31*AL$19*(1+Чувствительность!$D$20)*IFERROR(LOOKUP(Предпосылки!$H$202,$C$13:$C$15,AL$13:AL$15),1)</f>
        <v>0</v>
      </c>
      <c s="125">
        <f>Предпосылки!AL$229*Предпосылки!$E266*Продажи!AM31*AM$19*(1+Чувствительность!$D$20)*IFERROR(LOOKUP(Предпосылки!$H$202,$C$13:$C$15,AM$13:AM$15),1)</f>
        <v>0</v>
      </c>
      <c s="125">
        <f>Предпосылки!AM$229*Предпосылки!$E266*Продажи!AN31*AN$19*(1+Чувствительность!$D$20)*IFERROR(LOOKUP(Предпосылки!$H$202,$C$13:$C$15,AN$13:AN$15),1)</f>
        <v>0</v>
      </c>
      <c s="125">
        <f>Предпосылки!AN$229*Предпосылки!$E266*Продажи!AO31*AO$19*(1+Чувствительность!$D$20)*IFERROR(LOOKUP(Предпосылки!$H$202,$C$13:$C$15,AO$13:AO$15),1)</f>
        <v>0</v>
      </c>
      <c s="125">
        <f>Предпосылки!AO$229*Предпосылки!$E266*Продажи!AP31*AP$19*(1+Чувствительность!$D$20)*IFERROR(LOOKUP(Предпосылки!$H$202,$C$13:$C$15,AP$13:AP$15),1)</f>
        <v>0</v>
      </c>
      <c s="125">
        <f>Предпосылки!AP$229*Предпосылки!$E266*Продажи!AQ31*AQ$19*(1+Чувствительность!$D$20)*IFERROR(LOOKUP(Предпосылки!$H$202,$C$13:$C$15,AQ$13:AQ$15),1)</f>
        <v>0</v>
      </c>
      <c s="125">
        <f>Предпосылки!AQ$229*Предпосылки!$E266*Продажи!AR31*AR$19*(1+Чувствительность!$D$20)*IFERROR(LOOKUP(Предпосылки!$H$202,$C$13:$C$15,AR$13:AR$15),1)</f>
        <v>0</v>
      </c>
      <c s="125">
        <f>Предпосылки!AR$229*Предпосылки!$E266*Продажи!AS31*AS$19*(1+Чувствительность!$D$20)*IFERROR(LOOKUP(Предпосылки!$H$202,$C$13:$C$15,AS$13:AS$15),1)</f>
        <v>0</v>
      </c>
      <c s="125">
        <f>Предпосылки!AS$229*Предпосылки!$E266*Продажи!AT31*AT$19*(1+Чувствительность!$D$20)*IFERROR(LOOKUP(Предпосылки!$H$202,$C$13:$C$15,AT$13:AT$15),1)</f>
        <v>0</v>
      </c>
      <c s="125">
        <f>Предпосылки!AT$229*Предпосылки!$E266*Продажи!AU31*AU$19*(1+Чувствительность!$D$20)*IFERROR(LOOKUP(Предпосылки!$H$202,$C$13:$C$15,AU$13:AU$15),1)</f>
        <v>0</v>
      </c>
      <c s="125">
        <f>Предпосылки!AU$229*Предпосылки!$E266*Продажи!AV31*AV$19*(1+Чувствительность!$D$20)*IFERROR(LOOKUP(Предпосылки!$H$202,$C$13:$C$15,AV$13:AV$15),1)</f>
        <v>0</v>
      </c>
      <c s="125">
        <f>Предпосылки!AV$229*Предпосылки!$E266*Продажи!AW31*AW$19*(1+Чувствительность!$D$20)*IFERROR(LOOKUP(Предпосылки!$H$202,$C$13:$C$15,AW$13:AW$15),1)</f>
        <v>0</v>
      </c>
      <c s="125">
        <f>Предпосылки!AW$229*Предпосылки!$E266*Продажи!AX31*AX$19*(1+Чувствительность!$D$20)*IFERROR(LOOKUP(Предпосылки!$H$202,$C$13:$C$15,AX$13:AX$15),1)</f>
        <v>0</v>
      </c>
      <c s="125">
        <f>Предпосылки!AX$229*Предпосылки!$E266*Продажи!AY31*AY$19*(1+Чувствительность!$D$20)*IFERROR(LOOKUP(Предпосылки!$H$202,$C$13:$C$15,AY$13:AY$15),1)</f>
        <v>0</v>
      </c>
      <c s="125">
        <f>Предпосылки!AY$229*Предпосылки!$E266*Продажи!AZ31*AZ$19*(1+Чувствительность!$D$20)*IFERROR(LOOKUP(Предпосылки!$H$202,$C$13:$C$15,AZ$13:AZ$15),1)</f>
        <v>0</v>
      </c>
      <c s="125">
        <f>Предпосылки!AZ$229*Предпосылки!$E266*Продажи!BA31*BA$19*(1+Чувствительность!$D$20)*IFERROR(LOOKUP(Предпосылки!$H$202,$C$13:$C$15,BA$13:BA$15),1)</f>
        <v>0</v>
      </c>
      <c s="125">
        <f>Предпосылки!BA$229*Предпосылки!$E266*Продажи!BB31*BB$19*(1+Чувствительность!$D$20)*IFERROR(LOOKUP(Предпосылки!$H$202,$C$13:$C$15,BB$13:BB$15),1)</f>
        <v>0</v>
      </c>
      <c s="125">
        <f>Предпосылки!BB$229*Предпосылки!$E266*Продажи!BC31*BC$19*(1+Чувствительность!$D$20)*IFERROR(LOOKUP(Предпосылки!$H$202,$C$13:$C$15,BC$13:BC$15),1)</f>
        <v>0</v>
      </c>
      <c s="125">
        <f>Предпосылки!BC$229*Предпосылки!$E266*Продажи!BD31*BD$19*(1+Чувствительность!$D$20)*IFERROR(LOOKUP(Предпосылки!$H$202,$C$13:$C$15,BD$13:BD$15),1)</f>
        <v>0</v>
      </c>
      <c s="125">
        <f>Предпосылки!BD$229*Предпосылки!$E266*Продажи!BE31*BE$19*(1+Чувствительность!$D$20)*IFERROR(LOOKUP(Предпосылки!$H$202,$C$13:$C$15,BE$13:BE$15),1)</f>
        <v>0</v>
      </c>
      <c s="125">
        <f>Предпосылки!BE$229*Предпосылки!$E266*Продажи!BF31*BF$19*(1+Чувствительность!$D$20)*IFERROR(LOOKUP(Предпосылки!$H$202,$C$13:$C$15,BF$13:BF$15),1)</f>
        <v>0</v>
      </c>
      <c s="125">
        <f>Предпосылки!BF$229*Предпосылки!$E266*Продажи!BG31*BG$19*(1+Чувствительность!$D$20)*IFERROR(LOOKUP(Предпосылки!$H$202,$C$13:$C$15,BG$13:BG$15),1)</f>
        <v>0</v>
      </c>
      <c s="125">
        <f>Предпосылки!BG$229*Предпосылки!$E266*Продажи!BH31*BH$19*(1+Чувствительность!$D$20)*IFERROR(LOOKUP(Предпосылки!$H$202,$C$13:$C$15,BH$13:BH$15),1)</f>
        <v>0</v>
      </c>
      <c s="125">
        <f>Предпосылки!BH$229*Предпосылки!$E266*Продажи!BI31*BI$19*(1+Чувствительность!$D$20)*IFERROR(LOOKUP(Предпосылки!$H$202,$C$13:$C$15,BI$13:BI$15),1)</f>
        <v>0</v>
      </c>
      <c s="125">
        <f>Предпосылки!BI$229*Предпосылки!$E266*Продажи!BJ31*BJ$19*(1+Чувствительность!$D$20)*IFERROR(LOOKUP(Предпосылки!$H$202,$C$13:$C$15,BJ$13:BJ$15),1)</f>
        <v>0</v>
      </c>
      <c s="125">
        <f>Предпосылки!BJ$229*Предпосылки!$E266*Продажи!BK31*BK$19*(1+Чувствительность!$D$20)*IFERROR(LOOKUP(Предпосылки!$H$202,$C$13:$C$15,BK$13:BK$15),1)</f>
        <v>0</v>
      </c>
      <c s="125">
        <f>Предпосылки!BK$229*Предпосылки!$E266*Продажи!BL31*BL$19*(1+Чувствительность!$D$20)*IFERROR(LOOKUP(Предпосылки!$H$202,$C$13:$C$15,BL$13:BL$15),1)</f>
        <v>0</v>
      </c>
      <c s="125">
        <f>Предпосылки!BL$229*Предпосылки!$E266*Продажи!BM31*BM$19*(1+Чувствительность!$D$20)*IFERROR(LOOKUP(Предпосылки!$H$202,$C$13:$C$15,BM$13:BM$15),1)</f>
        <v>0</v>
      </c>
    </row>
    <row r="60" spans="2:65" ht="15" customHeight="1">
      <c r="B60" s="12" t="str">
        <f t="shared" si="66"/>
        <v>Продукт 15</v>
      </c>
      <c s="124" t="str">
        <f t="shared" si="65"/>
        <v>тыс. руб.</v>
      </c>
      <c s="276">
        <f t="shared" si="67"/>
        <v>0</v>
      </c>
      <c s="125">
        <f>Предпосылки!D$229*Предпосылки!$E267*Продажи!E32*E$19*(1+Чувствительность!$D$20)*IFERROR(LOOKUP(Предпосылки!$H$202,$C$13:$C$15,E$13:E$15),1)</f>
        <v>0</v>
      </c>
      <c s="125">
        <f>Предпосылки!E$229*Предпосылки!$E267*Продажи!F32*F$19*(1+Чувствительность!$D$20)*IFERROR(LOOKUP(Предпосылки!$H$202,$C$13:$C$15,F$13:F$15),1)</f>
        <v>0</v>
      </c>
      <c s="125">
        <f>Предпосылки!F$229*Предпосылки!$E267*Продажи!G32*G$19*(1+Чувствительность!$D$20)*IFERROR(LOOKUP(Предпосылки!$H$202,$C$13:$C$15,G$13:G$15),1)</f>
        <v>0</v>
      </c>
      <c s="125">
        <f>Предпосылки!G$229*Предпосылки!$E267*Продажи!H32*H$19*(1+Чувствительность!$D$20)*IFERROR(LOOKUP(Предпосылки!$H$202,$C$13:$C$15,H$13:H$15),1)</f>
        <v>0</v>
      </c>
      <c s="125">
        <f>Предпосылки!H$229*Предпосылки!$E267*Продажи!I32*I$19*(1+Чувствительность!$D$20)*IFERROR(LOOKUP(Предпосылки!$H$202,$C$13:$C$15,I$13:I$15),1)</f>
        <v>0</v>
      </c>
      <c s="125">
        <f>Предпосылки!I$229*Предпосылки!$E267*Продажи!J32*J$19*(1+Чувствительность!$D$20)*IFERROR(LOOKUP(Предпосылки!$H$202,$C$13:$C$15,J$13:J$15),1)</f>
        <v>0</v>
      </c>
      <c s="125">
        <f>Предпосылки!J$229*Предпосылки!$E267*Продажи!K32*K$19*(1+Чувствительность!$D$20)*IFERROR(LOOKUP(Предпосылки!$H$202,$C$13:$C$15,K$13:K$15),1)</f>
        <v>0</v>
      </c>
      <c s="125">
        <f>Предпосылки!K$229*Предпосылки!$E267*Продажи!L32*L$19*(1+Чувствительность!$D$20)*IFERROR(LOOKUP(Предпосылки!$H$202,$C$13:$C$15,L$13:L$15),1)</f>
        <v>0</v>
      </c>
      <c s="125">
        <f>Предпосылки!L$229*Предпосылки!$E267*Продажи!M32*M$19*(1+Чувствительность!$D$20)*IFERROR(LOOKUP(Предпосылки!$H$202,$C$13:$C$15,M$13:M$15),1)</f>
        <v>0</v>
      </c>
      <c s="125">
        <f>Предпосылки!M$229*Предпосылки!$E267*Продажи!N32*N$19*(1+Чувствительность!$D$20)*IFERROR(LOOKUP(Предпосылки!$H$202,$C$13:$C$15,N$13:N$15),1)</f>
        <v>0</v>
      </c>
      <c s="125">
        <f>Предпосылки!N$229*Предпосылки!$E267*Продажи!O32*O$19*(1+Чувствительность!$D$20)*IFERROR(LOOKUP(Предпосылки!$H$202,$C$13:$C$15,O$13:O$15),1)</f>
        <v>0</v>
      </c>
      <c s="125">
        <f>Предпосылки!O$229*Предпосылки!$E267*Продажи!P32*P$19*(1+Чувствительность!$D$20)*IFERROR(LOOKUP(Предпосылки!$H$202,$C$13:$C$15,P$13:P$15),1)</f>
        <v>0</v>
      </c>
      <c s="125">
        <f>Предпосылки!P$229*Предпосылки!$E267*Продажи!Q32*Q$19*(1+Чувствительность!$D$20)*IFERROR(LOOKUP(Предпосылки!$H$202,$C$13:$C$15,Q$13:Q$15),1)</f>
        <v>0</v>
      </c>
      <c s="125">
        <f>Предпосылки!Q$229*Предпосылки!$E267*Продажи!R32*R$19*(1+Чувствительность!$D$20)*IFERROR(LOOKUP(Предпосылки!$H$202,$C$13:$C$15,R$13:R$15),1)</f>
        <v>0</v>
      </c>
      <c s="125">
        <f>Предпосылки!R$229*Предпосылки!$E267*Продажи!S32*S$19*(1+Чувствительность!$D$20)*IFERROR(LOOKUP(Предпосылки!$H$202,$C$13:$C$15,S$13:S$15),1)</f>
        <v>0</v>
      </c>
      <c s="125">
        <f>Предпосылки!S$229*Предпосылки!$E267*Продажи!T32*T$19*(1+Чувствительность!$D$20)*IFERROR(LOOKUP(Предпосылки!$H$202,$C$13:$C$15,T$13:T$15),1)</f>
        <v>0</v>
      </c>
      <c s="125">
        <f>Предпосылки!T$229*Предпосылки!$E267*Продажи!U32*U$19*(1+Чувствительность!$D$20)*IFERROR(LOOKUP(Предпосылки!$H$202,$C$13:$C$15,U$13:U$15),1)</f>
        <v>0</v>
      </c>
      <c s="125">
        <f>Предпосылки!U$229*Предпосылки!$E267*Продажи!V32*V$19*(1+Чувствительность!$D$20)*IFERROR(LOOKUP(Предпосылки!$H$202,$C$13:$C$15,V$13:V$15),1)</f>
        <v>0</v>
      </c>
      <c s="125">
        <f>Предпосылки!V$229*Предпосылки!$E267*Продажи!W32*W$19*(1+Чувствительность!$D$20)*IFERROR(LOOKUP(Предпосылки!$H$202,$C$13:$C$15,W$13:W$15),1)</f>
        <v>0</v>
      </c>
      <c s="125">
        <f>Предпосылки!W$229*Предпосылки!$E267*Продажи!X32*X$19*(1+Чувствительность!$D$20)*IFERROR(LOOKUP(Предпосылки!$H$202,$C$13:$C$15,X$13:X$15),1)</f>
        <v>0</v>
      </c>
      <c s="125">
        <f>Предпосылки!X$229*Предпосылки!$E267*Продажи!Y32*Y$19*(1+Чувствительность!$D$20)*IFERROR(LOOKUP(Предпосылки!$H$202,$C$13:$C$15,Y$13:Y$15),1)</f>
        <v>0</v>
      </c>
      <c s="125">
        <f>Предпосылки!Y$229*Предпосылки!$E267*Продажи!Z32*Z$19*(1+Чувствительность!$D$20)*IFERROR(LOOKUP(Предпосылки!$H$202,$C$13:$C$15,Z$13:Z$15),1)</f>
        <v>0</v>
      </c>
      <c s="125">
        <f>Предпосылки!Z$229*Предпосылки!$E267*Продажи!AA32*AA$19*(1+Чувствительность!$D$20)*IFERROR(LOOKUP(Предпосылки!$H$202,$C$13:$C$15,AA$13:AA$15),1)</f>
        <v>0</v>
      </c>
      <c s="125">
        <f>Предпосылки!AA$229*Предпосылки!$E267*Продажи!AB32*AB$19*(1+Чувствительность!$D$20)*IFERROR(LOOKUP(Предпосылки!$H$202,$C$13:$C$15,AB$13:AB$15),1)</f>
        <v>0</v>
      </c>
      <c s="125">
        <f>Предпосылки!AB$229*Предпосылки!$E267*Продажи!AC32*AC$19*(1+Чувствительность!$D$20)*IFERROR(LOOKUP(Предпосылки!$H$202,$C$13:$C$15,AC$13:AC$15),1)</f>
        <v>0</v>
      </c>
      <c s="125">
        <f>Предпосылки!AC$229*Предпосылки!$E267*Продажи!AD32*AD$19*(1+Чувствительность!$D$20)*IFERROR(LOOKUP(Предпосылки!$H$202,$C$13:$C$15,AD$13:AD$15),1)</f>
        <v>0</v>
      </c>
      <c s="125">
        <f>Предпосылки!AD$229*Предпосылки!$E267*Продажи!AE32*AE$19*(1+Чувствительность!$D$20)*IFERROR(LOOKUP(Предпосылки!$H$202,$C$13:$C$15,AE$13:AE$15),1)</f>
        <v>0</v>
      </c>
      <c s="125">
        <f>Предпосылки!AE$229*Предпосылки!$E267*Продажи!AF32*AF$19*(1+Чувствительность!$D$20)*IFERROR(LOOKUP(Предпосылки!$H$202,$C$13:$C$15,AF$13:AF$15),1)</f>
        <v>0</v>
      </c>
      <c s="125">
        <f>Предпосылки!AF$229*Предпосылки!$E267*Продажи!AG32*AG$19*(1+Чувствительность!$D$20)*IFERROR(LOOKUP(Предпосылки!$H$202,$C$13:$C$15,AG$13:AG$15),1)</f>
        <v>0</v>
      </c>
      <c s="125">
        <f>Предпосылки!AG$229*Предпосылки!$E267*Продажи!AH32*AH$19*(1+Чувствительность!$D$20)*IFERROR(LOOKUP(Предпосылки!$H$202,$C$13:$C$15,AH$13:AH$15),1)</f>
        <v>0</v>
      </c>
      <c s="125">
        <f>Предпосылки!AH$229*Предпосылки!$E267*Продажи!AI32*AI$19*(1+Чувствительность!$D$20)*IFERROR(LOOKUP(Предпосылки!$H$202,$C$13:$C$15,AI$13:AI$15),1)</f>
        <v>0</v>
      </c>
      <c s="125">
        <f>Предпосылки!AI$229*Предпосылки!$E267*Продажи!AJ32*AJ$19*(1+Чувствительность!$D$20)*IFERROR(LOOKUP(Предпосылки!$H$202,$C$13:$C$15,AJ$13:AJ$15),1)</f>
        <v>0</v>
      </c>
      <c s="125">
        <f>Предпосылки!AJ$229*Предпосылки!$E267*Продажи!AK32*AK$19*(1+Чувствительность!$D$20)*IFERROR(LOOKUP(Предпосылки!$H$202,$C$13:$C$15,AK$13:AK$15),1)</f>
        <v>0</v>
      </c>
      <c s="125">
        <f>Предпосылки!AK$229*Предпосылки!$E267*Продажи!AL32*AL$19*(1+Чувствительность!$D$20)*IFERROR(LOOKUP(Предпосылки!$H$202,$C$13:$C$15,AL$13:AL$15),1)</f>
        <v>0</v>
      </c>
      <c s="125">
        <f>Предпосылки!AL$229*Предпосылки!$E267*Продажи!AM32*AM$19*(1+Чувствительность!$D$20)*IFERROR(LOOKUP(Предпосылки!$H$202,$C$13:$C$15,AM$13:AM$15),1)</f>
        <v>0</v>
      </c>
      <c s="125">
        <f>Предпосылки!AM$229*Предпосылки!$E267*Продажи!AN32*AN$19*(1+Чувствительность!$D$20)*IFERROR(LOOKUP(Предпосылки!$H$202,$C$13:$C$15,AN$13:AN$15),1)</f>
        <v>0</v>
      </c>
      <c s="125">
        <f>Предпосылки!AN$229*Предпосылки!$E267*Продажи!AO32*AO$19*(1+Чувствительность!$D$20)*IFERROR(LOOKUP(Предпосылки!$H$202,$C$13:$C$15,AO$13:AO$15),1)</f>
        <v>0</v>
      </c>
      <c s="125">
        <f>Предпосылки!AO$229*Предпосылки!$E267*Продажи!AP32*AP$19*(1+Чувствительность!$D$20)*IFERROR(LOOKUP(Предпосылки!$H$202,$C$13:$C$15,AP$13:AP$15),1)</f>
        <v>0</v>
      </c>
      <c s="125">
        <f>Предпосылки!AP$229*Предпосылки!$E267*Продажи!AQ32*AQ$19*(1+Чувствительность!$D$20)*IFERROR(LOOKUP(Предпосылки!$H$202,$C$13:$C$15,AQ$13:AQ$15),1)</f>
        <v>0</v>
      </c>
      <c s="125">
        <f>Предпосылки!AQ$229*Предпосылки!$E267*Продажи!AR32*AR$19*(1+Чувствительность!$D$20)*IFERROR(LOOKUP(Предпосылки!$H$202,$C$13:$C$15,AR$13:AR$15),1)</f>
        <v>0</v>
      </c>
      <c s="125">
        <f>Предпосылки!AR$229*Предпосылки!$E267*Продажи!AS32*AS$19*(1+Чувствительность!$D$20)*IFERROR(LOOKUP(Предпосылки!$H$202,$C$13:$C$15,AS$13:AS$15),1)</f>
        <v>0</v>
      </c>
      <c s="125">
        <f>Предпосылки!AS$229*Предпосылки!$E267*Продажи!AT32*AT$19*(1+Чувствительность!$D$20)*IFERROR(LOOKUP(Предпосылки!$H$202,$C$13:$C$15,AT$13:AT$15),1)</f>
        <v>0</v>
      </c>
      <c s="125">
        <f>Предпосылки!AT$229*Предпосылки!$E267*Продажи!AU32*AU$19*(1+Чувствительность!$D$20)*IFERROR(LOOKUP(Предпосылки!$H$202,$C$13:$C$15,AU$13:AU$15),1)</f>
        <v>0</v>
      </c>
      <c s="125">
        <f>Предпосылки!AU$229*Предпосылки!$E267*Продажи!AV32*AV$19*(1+Чувствительность!$D$20)*IFERROR(LOOKUP(Предпосылки!$H$202,$C$13:$C$15,AV$13:AV$15),1)</f>
        <v>0</v>
      </c>
      <c s="125">
        <f>Предпосылки!AV$229*Предпосылки!$E267*Продажи!AW32*AW$19*(1+Чувствительность!$D$20)*IFERROR(LOOKUP(Предпосылки!$H$202,$C$13:$C$15,AW$13:AW$15),1)</f>
        <v>0</v>
      </c>
      <c s="125">
        <f>Предпосылки!AW$229*Предпосылки!$E267*Продажи!AX32*AX$19*(1+Чувствительность!$D$20)*IFERROR(LOOKUP(Предпосылки!$H$202,$C$13:$C$15,AX$13:AX$15),1)</f>
        <v>0</v>
      </c>
      <c s="125">
        <f>Предпосылки!AX$229*Предпосылки!$E267*Продажи!AY32*AY$19*(1+Чувствительность!$D$20)*IFERROR(LOOKUP(Предпосылки!$H$202,$C$13:$C$15,AY$13:AY$15),1)</f>
        <v>0</v>
      </c>
      <c s="125">
        <f>Предпосылки!AY$229*Предпосылки!$E267*Продажи!AZ32*AZ$19*(1+Чувствительность!$D$20)*IFERROR(LOOKUP(Предпосылки!$H$202,$C$13:$C$15,AZ$13:AZ$15),1)</f>
        <v>0</v>
      </c>
      <c s="125">
        <f>Предпосылки!AZ$229*Предпосылки!$E267*Продажи!BA32*BA$19*(1+Чувствительность!$D$20)*IFERROR(LOOKUP(Предпосылки!$H$202,$C$13:$C$15,BA$13:BA$15),1)</f>
        <v>0</v>
      </c>
      <c s="125">
        <f>Предпосылки!BA$229*Предпосылки!$E267*Продажи!BB32*BB$19*(1+Чувствительность!$D$20)*IFERROR(LOOKUP(Предпосылки!$H$202,$C$13:$C$15,BB$13:BB$15),1)</f>
        <v>0</v>
      </c>
      <c s="125">
        <f>Предпосылки!BB$229*Предпосылки!$E267*Продажи!BC32*BC$19*(1+Чувствительность!$D$20)*IFERROR(LOOKUP(Предпосылки!$H$202,$C$13:$C$15,BC$13:BC$15),1)</f>
        <v>0</v>
      </c>
      <c s="125">
        <f>Предпосылки!BC$229*Предпосылки!$E267*Продажи!BD32*BD$19*(1+Чувствительность!$D$20)*IFERROR(LOOKUP(Предпосылки!$H$202,$C$13:$C$15,BD$13:BD$15),1)</f>
        <v>0</v>
      </c>
      <c s="125">
        <f>Предпосылки!BD$229*Предпосылки!$E267*Продажи!BE32*BE$19*(1+Чувствительность!$D$20)*IFERROR(LOOKUP(Предпосылки!$H$202,$C$13:$C$15,BE$13:BE$15),1)</f>
        <v>0</v>
      </c>
      <c s="125">
        <f>Предпосылки!BE$229*Предпосылки!$E267*Продажи!BF32*BF$19*(1+Чувствительность!$D$20)*IFERROR(LOOKUP(Предпосылки!$H$202,$C$13:$C$15,BF$13:BF$15),1)</f>
        <v>0</v>
      </c>
      <c s="125">
        <f>Предпосылки!BF$229*Предпосылки!$E267*Продажи!BG32*BG$19*(1+Чувствительность!$D$20)*IFERROR(LOOKUP(Предпосылки!$H$202,$C$13:$C$15,BG$13:BG$15),1)</f>
        <v>0</v>
      </c>
      <c s="125">
        <f>Предпосылки!BG$229*Предпосылки!$E267*Продажи!BH32*BH$19*(1+Чувствительность!$D$20)*IFERROR(LOOKUP(Предпосылки!$H$202,$C$13:$C$15,BH$13:BH$15),1)</f>
        <v>0</v>
      </c>
      <c s="125">
        <f>Предпосылки!BH$229*Предпосылки!$E267*Продажи!BI32*BI$19*(1+Чувствительность!$D$20)*IFERROR(LOOKUP(Предпосылки!$H$202,$C$13:$C$15,BI$13:BI$15),1)</f>
        <v>0</v>
      </c>
      <c s="125">
        <f>Предпосылки!BI$229*Предпосылки!$E267*Продажи!BJ32*BJ$19*(1+Чувствительность!$D$20)*IFERROR(LOOKUP(Предпосылки!$H$202,$C$13:$C$15,BJ$13:BJ$15),1)</f>
        <v>0</v>
      </c>
      <c s="125">
        <f>Предпосылки!BJ$229*Предпосылки!$E267*Продажи!BK32*BK$19*(1+Чувствительность!$D$20)*IFERROR(LOOKUP(Предпосылки!$H$202,$C$13:$C$15,BK$13:BK$15),1)</f>
        <v>0</v>
      </c>
      <c s="125">
        <f>Предпосылки!BK$229*Предпосылки!$E267*Продажи!BL32*BL$19*(1+Чувствительность!$D$20)*IFERROR(LOOKUP(Предпосылки!$H$202,$C$13:$C$15,BL$13:BL$15),1)</f>
        <v>0</v>
      </c>
      <c s="125">
        <f>Предпосылки!BL$229*Предпосылки!$E267*Продажи!BM32*BM$19*(1+Чувствительность!$D$20)*IFERROR(LOOKUP(Предпосылки!$H$202,$C$13:$C$15,BM$13:BM$15),1)</f>
        <v>0</v>
      </c>
    </row>
    <row r="61" spans="2:65" ht="15" customHeight="1">
      <c r="B61" s="12" t="str">
        <f t="shared" si="66"/>
        <v>Продукт 16</v>
      </c>
      <c s="124" t="str">
        <f t="shared" si="65"/>
        <v>тыс. руб.</v>
      </c>
      <c s="276">
        <f t="shared" si="67"/>
        <v>0</v>
      </c>
      <c s="125">
        <f>Предпосылки!D$229*Предпосылки!$E268*Продажи!E33*E$19*(1+Чувствительность!$D$20)*IFERROR(LOOKUP(Предпосылки!$H$202,$C$13:$C$15,E$13:E$15),1)</f>
        <v>0</v>
      </c>
      <c s="125">
        <f>Предпосылки!E$229*Предпосылки!$E268*Продажи!F33*F$19*(1+Чувствительность!$D$20)*IFERROR(LOOKUP(Предпосылки!$H$202,$C$13:$C$15,F$13:F$15),1)</f>
        <v>0</v>
      </c>
      <c s="125">
        <f>Предпосылки!F$229*Предпосылки!$E268*Продажи!G33*G$19*(1+Чувствительность!$D$20)*IFERROR(LOOKUP(Предпосылки!$H$202,$C$13:$C$15,G$13:G$15),1)</f>
        <v>0</v>
      </c>
      <c s="125">
        <f>Предпосылки!G$229*Предпосылки!$E268*Продажи!H33*H$19*(1+Чувствительность!$D$20)*IFERROR(LOOKUP(Предпосылки!$H$202,$C$13:$C$15,H$13:H$15),1)</f>
        <v>0</v>
      </c>
      <c s="125">
        <f>Предпосылки!H$229*Предпосылки!$E268*Продажи!I33*I$19*(1+Чувствительность!$D$20)*IFERROR(LOOKUP(Предпосылки!$H$202,$C$13:$C$15,I$13:I$15),1)</f>
        <v>0</v>
      </c>
      <c s="125">
        <f>Предпосылки!I$229*Предпосылки!$E268*Продажи!J33*J$19*(1+Чувствительность!$D$20)*IFERROR(LOOKUP(Предпосылки!$H$202,$C$13:$C$15,J$13:J$15),1)</f>
        <v>0</v>
      </c>
      <c s="125">
        <f>Предпосылки!J$229*Предпосылки!$E268*Продажи!K33*K$19*(1+Чувствительность!$D$20)*IFERROR(LOOKUP(Предпосылки!$H$202,$C$13:$C$15,K$13:K$15),1)</f>
        <v>0</v>
      </c>
      <c s="125">
        <f>Предпосылки!K$229*Предпосылки!$E268*Продажи!L33*L$19*(1+Чувствительность!$D$20)*IFERROR(LOOKUP(Предпосылки!$H$202,$C$13:$C$15,L$13:L$15),1)</f>
        <v>0</v>
      </c>
      <c s="125">
        <f>Предпосылки!L$229*Предпосылки!$E268*Продажи!M33*M$19*(1+Чувствительность!$D$20)*IFERROR(LOOKUP(Предпосылки!$H$202,$C$13:$C$15,M$13:M$15),1)</f>
        <v>0</v>
      </c>
      <c s="125">
        <f>Предпосылки!M$229*Предпосылки!$E268*Продажи!N33*N$19*(1+Чувствительность!$D$20)*IFERROR(LOOKUP(Предпосылки!$H$202,$C$13:$C$15,N$13:N$15),1)</f>
        <v>0</v>
      </c>
      <c s="125">
        <f>Предпосылки!N$229*Предпосылки!$E268*Продажи!O33*O$19*(1+Чувствительность!$D$20)*IFERROR(LOOKUP(Предпосылки!$H$202,$C$13:$C$15,O$13:O$15),1)</f>
        <v>0</v>
      </c>
      <c s="125">
        <f>Предпосылки!O$229*Предпосылки!$E268*Продажи!P33*P$19*(1+Чувствительность!$D$20)*IFERROR(LOOKUP(Предпосылки!$H$202,$C$13:$C$15,P$13:P$15),1)</f>
        <v>0</v>
      </c>
      <c s="125">
        <f>Предпосылки!P$229*Предпосылки!$E268*Продажи!Q33*Q$19*(1+Чувствительность!$D$20)*IFERROR(LOOKUP(Предпосылки!$H$202,$C$13:$C$15,Q$13:Q$15),1)</f>
        <v>0</v>
      </c>
      <c s="125">
        <f>Предпосылки!Q$229*Предпосылки!$E268*Продажи!R33*R$19*(1+Чувствительность!$D$20)*IFERROR(LOOKUP(Предпосылки!$H$202,$C$13:$C$15,R$13:R$15),1)</f>
        <v>0</v>
      </c>
      <c s="125">
        <f>Предпосылки!R$229*Предпосылки!$E268*Продажи!S33*S$19*(1+Чувствительность!$D$20)*IFERROR(LOOKUP(Предпосылки!$H$202,$C$13:$C$15,S$13:S$15),1)</f>
        <v>0</v>
      </c>
      <c s="125">
        <f>Предпосылки!S$229*Предпосылки!$E268*Продажи!T33*T$19*(1+Чувствительность!$D$20)*IFERROR(LOOKUP(Предпосылки!$H$202,$C$13:$C$15,T$13:T$15),1)</f>
        <v>0</v>
      </c>
      <c s="125">
        <f>Предпосылки!T$229*Предпосылки!$E268*Продажи!U33*U$19*(1+Чувствительность!$D$20)*IFERROR(LOOKUP(Предпосылки!$H$202,$C$13:$C$15,U$13:U$15),1)</f>
        <v>0</v>
      </c>
      <c s="125">
        <f>Предпосылки!U$229*Предпосылки!$E268*Продажи!V33*V$19*(1+Чувствительность!$D$20)*IFERROR(LOOKUP(Предпосылки!$H$202,$C$13:$C$15,V$13:V$15),1)</f>
        <v>0</v>
      </c>
      <c s="125">
        <f>Предпосылки!V$229*Предпосылки!$E268*Продажи!W33*W$19*(1+Чувствительность!$D$20)*IFERROR(LOOKUP(Предпосылки!$H$202,$C$13:$C$15,W$13:W$15),1)</f>
        <v>0</v>
      </c>
      <c s="125">
        <f>Предпосылки!W$229*Предпосылки!$E268*Продажи!X33*X$19*(1+Чувствительность!$D$20)*IFERROR(LOOKUP(Предпосылки!$H$202,$C$13:$C$15,X$13:X$15),1)</f>
        <v>0</v>
      </c>
      <c s="125">
        <f>Предпосылки!X$229*Предпосылки!$E268*Продажи!Y33*Y$19*(1+Чувствительность!$D$20)*IFERROR(LOOKUP(Предпосылки!$H$202,$C$13:$C$15,Y$13:Y$15),1)</f>
        <v>0</v>
      </c>
      <c s="125">
        <f>Предпосылки!Y$229*Предпосылки!$E268*Продажи!Z33*Z$19*(1+Чувствительность!$D$20)*IFERROR(LOOKUP(Предпосылки!$H$202,$C$13:$C$15,Z$13:Z$15),1)</f>
        <v>0</v>
      </c>
      <c s="125">
        <f>Предпосылки!Z$229*Предпосылки!$E268*Продажи!AA33*AA$19*(1+Чувствительность!$D$20)*IFERROR(LOOKUP(Предпосылки!$H$202,$C$13:$C$15,AA$13:AA$15),1)</f>
        <v>0</v>
      </c>
      <c s="125">
        <f>Предпосылки!AA$229*Предпосылки!$E268*Продажи!AB33*AB$19*(1+Чувствительность!$D$20)*IFERROR(LOOKUP(Предпосылки!$H$202,$C$13:$C$15,AB$13:AB$15),1)</f>
        <v>0</v>
      </c>
      <c s="125">
        <f>Предпосылки!AB$229*Предпосылки!$E268*Продажи!AC33*AC$19*(1+Чувствительность!$D$20)*IFERROR(LOOKUP(Предпосылки!$H$202,$C$13:$C$15,AC$13:AC$15),1)</f>
        <v>0</v>
      </c>
      <c s="125">
        <f>Предпосылки!AC$229*Предпосылки!$E268*Продажи!AD33*AD$19*(1+Чувствительность!$D$20)*IFERROR(LOOKUP(Предпосылки!$H$202,$C$13:$C$15,AD$13:AD$15),1)</f>
        <v>0</v>
      </c>
      <c s="125">
        <f>Предпосылки!AD$229*Предпосылки!$E268*Продажи!AE33*AE$19*(1+Чувствительность!$D$20)*IFERROR(LOOKUP(Предпосылки!$H$202,$C$13:$C$15,AE$13:AE$15),1)</f>
        <v>0</v>
      </c>
      <c s="125">
        <f>Предпосылки!AE$229*Предпосылки!$E268*Продажи!AF33*AF$19*(1+Чувствительность!$D$20)*IFERROR(LOOKUP(Предпосылки!$H$202,$C$13:$C$15,AF$13:AF$15),1)</f>
        <v>0</v>
      </c>
      <c s="125">
        <f>Предпосылки!AF$229*Предпосылки!$E268*Продажи!AG33*AG$19*(1+Чувствительность!$D$20)*IFERROR(LOOKUP(Предпосылки!$H$202,$C$13:$C$15,AG$13:AG$15),1)</f>
        <v>0</v>
      </c>
      <c s="125">
        <f>Предпосылки!AG$229*Предпосылки!$E268*Продажи!AH33*AH$19*(1+Чувствительность!$D$20)*IFERROR(LOOKUP(Предпосылки!$H$202,$C$13:$C$15,AH$13:AH$15),1)</f>
        <v>0</v>
      </c>
      <c s="125">
        <f>Предпосылки!AH$229*Предпосылки!$E268*Продажи!AI33*AI$19*(1+Чувствительность!$D$20)*IFERROR(LOOKUP(Предпосылки!$H$202,$C$13:$C$15,AI$13:AI$15),1)</f>
        <v>0</v>
      </c>
      <c s="125">
        <f>Предпосылки!AI$229*Предпосылки!$E268*Продажи!AJ33*AJ$19*(1+Чувствительность!$D$20)*IFERROR(LOOKUP(Предпосылки!$H$202,$C$13:$C$15,AJ$13:AJ$15),1)</f>
        <v>0</v>
      </c>
      <c s="125">
        <f>Предпосылки!AJ$229*Предпосылки!$E268*Продажи!AK33*AK$19*(1+Чувствительность!$D$20)*IFERROR(LOOKUP(Предпосылки!$H$202,$C$13:$C$15,AK$13:AK$15),1)</f>
        <v>0</v>
      </c>
      <c s="125">
        <f>Предпосылки!AK$229*Предпосылки!$E268*Продажи!AL33*AL$19*(1+Чувствительность!$D$20)*IFERROR(LOOKUP(Предпосылки!$H$202,$C$13:$C$15,AL$13:AL$15),1)</f>
        <v>0</v>
      </c>
      <c s="125">
        <f>Предпосылки!AL$229*Предпосылки!$E268*Продажи!AM33*AM$19*(1+Чувствительность!$D$20)*IFERROR(LOOKUP(Предпосылки!$H$202,$C$13:$C$15,AM$13:AM$15),1)</f>
        <v>0</v>
      </c>
      <c s="125">
        <f>Предпосылки!AM$229*Предпосылки!$E268*Продажи!AN33*AN$19*(1+Чувствительность!$D$20)*IFERROR(LOOKUP(Предпосылки!$H$202,$C$13:$C$15,AN$13:AN$15),1)</f>
        <v>0</v>
      </c>
      <c s="125">
        <f>Предпосылки!AN$229*Предпосылки!$E268*Продажи!AO33*AO$19*(1+Чувствительность!$D$20)*IFERROR(LOOKUP(Предпосылки!$H$202,$C$13:$C$15,AO$13:AO$15),1)</f>
        <v>0</v>
      </c>
      <c s="125">
        <f>Предпосылки!AO$229*Предпосылки!$E268*Продажи!AP33*AP$19*(1+Чувствительность!$D$20)*IFERROR(LOOKUP(Предпосылки!$H$202,$C$13:$C$15,AP$13:AP$15),1)</f>
        <v>0</v>
      </c>
      <c s="125">
        <f>Предпосылки!AP$229*Предпосылки!$E268*Продажи!AQ33*AQ$19*(1+Чувствительность!$D$20)*IFERROR(LOOKUP(Предпосылки!$H$202,$C$13:$C$15,AQ$13:AQ$15),1)</f>
        <v>0</v>
      </c>
      <c s="125">
        <f>Предпосылки!AQ$229*Предпосылки!$E268*Продажи!AR33*AR$19*(1+Чувствительность!$D$20)*IFERROR(LOOKUP(Предпосылки!$H$202,$C$13:$C$15,AR$13:AR$15),1)</f>
        <v>0</v>
      </c>
      <c s="125">
        <f>Предпосылки!AR$229*Предпосылки!$E268*Продажи!AS33*AS$19*(1+Чувствительность!$D$20)*IFERROR(LOOKUP(Предпосылки!$H$202,$C$13:$C$15,AS$13:AS$15),1)</f>
        <v>0</v>
      </c>
      <c s="125">
        <f>Предпосылки!AS$229*Предпосылки!$E268*Продажи!AT33*AT$19*(1+Чувствительность!$D$20)*IFERROR(LOOKUP(Предпосылки!$H$202,$C$13:$C$15,AT$13:AT$15),1)</f>
        <v>0</v>
      </c>
      <c s="125">
        <f>Предпосылки!AT$229*Предпосылки!$E268*Продажи!AU33*AU$19*(1+Чувствительность!$D$20)*IFERROR(LOOKUP(Предпосылки!$H$202,$C$13:$C$15,AU$13:AU$15),1)</f>
        <v>0</v>
      </c>
      <c s="125">
        <f>Предпосылки!AU$229*Предпосылки!$E268*Продажи!AV33*AV$19*(1+Чувствительность!$D$20)*IFERROR(LOOKUP(Предпосылки!$H$202,$C$13:$C$15,AV$13:AV$15),1)</f>
        <v>0</v>
      </c>
      <c s="125">
        <f>Предпосылки!AV$229*Предпосылки!$E268*Продажи!AW33*AW$19*(1+Чувствительность!$D$20)*IFERROR(LOOKUP(Предпосылки!$H$202,$C$13:$C$15,AW$13:AW$15),1)</f>
        <v>0</v>
      </c>
      <c s="125">
        <f>Предпосылки!AW$229*Предпосылки!$E268*Продажи!AX33*AX$19*(1+Чувствительность!$D$20)*IFERROR(LOOKUP(Предпосылки!$H$202,$C$13:$C$15,AX$13:AX$15),1)</f>
        <v>0</v>
      </c>
      <c s="125">
        <f>Предпосылки!AX$229*Предпосылки!$E268*Продажи!AY33*AY$19*(1+Чувствительность!$D$20)*IFERROR(LOOKUP(Предпосылки!$H$202,$C$13:$C$15,AY$13:AY$15),1)</f>
        <v>0</v>
      </c>
      <c s="125">
        <f>Предпосылки!AY$229*Предпосылки!$E268*Продажи!AZ33*AZ$19*(1+Чувствительность!$D$20)*IFERROR(LOOKUP(Предпосылки!$H$202,$C$13:$C$15,AZ$13:AZ$15),1)</f>
        <v>0</v>
      </c>
      <c s="125">
        <f>Предпосылки!AZ$229*Предпосылки!$E268*Продажи!BA33*BA$19*(1+Чувствительность!$D$20)*IFERROR(LOOKUP(Предпосылки!$H$202,$C$13:$C$15,BA$13:BA$15),1)</f>
        <v>0</v>
      </c>
      <c s="125">
        <f>Предпосылки!BA$229*Предпосылки!$E268*Продажи!BB33*BB$19*(1+Чувствительность!$D$20)*IFERROR(LOOKUP(Предпосылки!$H$202,$C$13:$C$15,BB$13:BB$15),1)</f>
        <v>0</v>
      </c>
      <c s="125">
        <f>Предпосылки!BB$229*Предпосылки!$E268*Продажи!BC33*BC$19*(1+Чувствительность!$D$20)*IFERROR(LOOKUP(Предпосылки!$H$202,$C$13:$C$15,BC$13:BC$15),1)</f>
        <v>0</v>
      </c>
      <c s="125">
        <f>Предпосылки!BC$229*Предпосылки!$E268*Продажи!BD33*BD$19*(1+Чувствительность!$D$20)*IFERROR(LOOKUP(Предпосылки!$H$202,$C$13:$C$15,BD$13:BD$15),1)</f>
        <v>0</v>
      </c>
      <c s="125">
        <f>Предпосылки!BD$229*Предпосылки!$E268*Продажи!BE33*BE$19*(1+Чувствительность!$D$20)*IFERROR(LOOKUP(Предпосылки!$H$202,$C$13:$C$15,BE$13:BE$15),1)</f>
        <v>0</v>
      </c>
      <c s="125">
        <f>Предпосылки!BE$229*Предпосылки!$E268*Продажи!BF33*BF$19*(1+Чувствительность!$D$20)*IFERROR(LOOKUP(Предпосылки!$H$202,$C$13:$C$15,BF$13:BF$15),1)</f>
        <v>0</v>
      </c>
      <c s="125">
        <f>Предпосылки!BF$229*Предпосылки!$E268*Продажи!BG33*BG$19*(1+Чувствительность!$D$20)*IFERROR(LOOKUP(Предпосылки!$H$202,$C$13:$C$15,BG$13:BG$15),1)</f>
        <v>0</v>
      </c>
      <c s="125">
        <f>Предпосылки!BG$229*Предпосылки!$E268*Продажи!BH33*BH$19*(1+Чувствительность!$D$20)*IFERROR(LOOKUP(Предпосылки!$H$202,$C$13:$C$15,BH$13:BH$15),1)</f>
        <v>0</v>
      </c>
      <c s="125">
        <f>Предпосылки!BH$229*Предпосылки!$E268*Продажи!BI33*BI$19*(1+Чувствительность!$D$20)*IFERROR(LOOKUP(Предпосылки!$H$202,$C$13:$C$15,BI$13:BI$15),1)</f>
        <v>0</v>
      </c>
      <c s="125">
        <f>Предпосылки!BI$229*Предпосылки!$E268*Продажи!BJ33*BJ$19*(1+Чувствительность!$D$20)*IFERROR(LOOKUP(Предпосылки!$H$202,$C$13:$C$15,BJ$13:BJ$15),1)</f>
        <v>0</v>
      </c>
      <c s="125">
        <f>Предпосылки!BJ$229*Предпосылки!$E268*Продажи!BK33*BK$19*(1+Чувствительность!$D$20)*IFERROR(LOOKUP(Предпосылки!$H$202,$C$13:$C$15,BK$13:BK$15),1)</f>
        <v>0</v>
      </c>
      <c s="125">
        <f>Предпосылки!BK$229*Предпосылки!$E268*Продажи!BL33*BL$19*(1+Чувствительность!$D$20)*IFERROR(LOOKUP(Предпосылки!$H$202,$C$13:$C$15,BL$13:BL$15),1)</f>
        <v>0</v>
      </c>
      <c s="125">
        <f>Предпосылки!BL$229*Предпосылки!$E268*Продажи!BM33*BM$19*(1+Чувствительность!$D$20)*IFERROR(LOOKUP(Предпосылки!$H$202,$C$13:$C$15,BM$13:BM$15),1)</f>
        <v>0</v>
      </c>
    </row>
    <row r="62" spans="2:65" ht="15" customHeight="1">
      <c r="B62" s="12" t="str">
        <f t="shared" si="66"/>
        <v>Продукт 17</v>
      </c>
      <c s="124" t="str">
        <f t="shared" si="65"/>
        <v>тыс. руб.</v>
      </c>
      <c s="276">
        <f t="shared" si="67"/>
        <v>0</v>
      </c>
      <c s="125">
        <f>Предпосылки!D$229*Предпосылки!$E269*Продажи!E34*E$19*(1+Чувствительность!$D$20)*IFERROR(LOOKUP(Предпосылки!$H$202,$C$13:$C$15,E$13:E$15),1)</f>
        <v>0</v>
      </c>
      <c s="125">
        <f>Предпосылки!E$229*Предпосылки!$E269*Продажи!F34*F$19*(1+Чувствительность!$D$20)*IFERROR(LOOKUP(Предпосылки!$H$202,$C$13:$C$15,F$13:F$15),1)</f>
        <v>0</v>
      </c>
      <c s="125">
        <f>Предпосылки!F$229*Предпосылки!$E269*Продажи!G34*G$19*(1+Чувствительность!$D$20)*IFERROR(LOOKUP(Предпосылки!$H$202,$C$13:$C$15,G$13:G$15),1)</f>
        <v>0</v>
      </c>
      <c s="125">
        <f>Предпосылки!G$229*Предпосылки!$E269*Продажи!H34*H$19*(1+Чувствительность!$D$20)*IFERROR(LOOKUP(Предпосылки!$H$202,$C$13:$C$15,H$13:H$15),1)</f>
        <v>0</v>
      </c>
      <c s="125">
        <f>Предпосылки!H$229*Предпосылки!$E269*Продажи!I34*I$19*(1+Чувствительность!$D$20)*IFERROR(LOOKUP(Предпосылки!$H$202,$C$13:$C$15,I$13:I$15),1)</f>
        <v>0</v>
      </c>
      <c s="125">
        <f>Предпосылки!I$229*Предпосылки!$E269*Продажи!J34*J$19*(1+Чувствительность!$D$20)*IFERROR(LOOKUP(Предпосылки!$H$202,$C$13:$C$15,J$13:J$15),1)</f>
        <v>0</v>
      </c>
      <c s="125">
        <f>Предпосылки!J$229*Предпосылки!$E269*Продажи!K34*K$19*(1+Чувствительность!$D$20)*IFERROR(LOOKUP(Предпосылки!$H$202,$C$13:$C$15,K$13:K$15),1)</f>
        <v>0</v>
      </c>
      <c s="125">
        <f>Предпосылки!K$229*Предпосылки!$E269*Продажи!L34*L$19*(1+Чувствительность!$D$20)*IFERROR(LOOKUP(Предпосылки!$H$202,$C$13:$C$15,L$13:L$15),1)</f>
        <v>0</v>
      </c>
      <c s="125">
        <f>Предпосылки!L$229*Предпосылки!$E269*Продажи!M34*M$19*(1+Чувствительность!$D$20)*IFERROR(LOOKUP(Предпосылки!$H$202,$C$13:$C$15,M$13:M$15),1)</f>
        <v>0</v>
      </c>
      <c s="125">
        <f>Предпосылки!M$229*Предпосылки!$E269*Продажи!N34*N$19*(1+Чувствительность!$D$20)*IFERROR(LOOKUP(Предпосылки!$H$202,$C$13:$C$15,N$13:N$15),1)</f>
        <v>0</v>
      </c>
      <c s="125">
        <f>Предпосылки!N$229*Предпосылки!$E269*Продажи!O34*O$19*(1+Чувствительность!$D$20)*IFERROR(LOOKUP(Предпосылки!$H$202,$C$13:$C$15,O$13:O$15),1)</f>
        <v>0</v>
      </c>
      <c s="125">
        <f>Предпосылки!O$229*Предпосылки!$E269*Продажи!P34*P$19*(1+Чувствительность!$D$20)*IFERROR(LOOKUP(Предпосылки!$H$202,$C$13:$C$15,P$13:P$15),1)</f>
        <v>0</v>
      </c>
      <c s="125">
        <f>Предпосылки!P$229*Предпосылки!$E269*Продажи!Q34*Q$19*(1+Чувствительность!$D$20)*IFERROR(LOOKUP(Предпосылки!$H$202,$C$13:$C$15,Q$13:Q$15),1)</f>
        <v>0</v>
      </c>
      <c s="125">
        <f>Предпосылки!Q$229*Предпосылки!$E269*Продажи!R34*R$19*(1+Чувствительность!$D$20)*IFERROR(LOOKUP(Предпосылки!$H$202,$C$13:$C$15,R$13:R$15),1)</f>
        <v>0</v>
      </c>
      <c s="125">
        <f>Предпосылки!R$229*Предпосылки!$E269*Продажи!S34*S$19*(1+Чувствительность!$D$20)*IFERROR(LOOKUP(Предпосылки!$H$202,$C$13:$C$15,S$13:S$15),1)</f>
        <v>0</v>
      </c>
      <c s="125">
        <f>Предпосылки!S$229*Предпосылки!$E269*Продажи!T34*T$19*(1+Чувствительность!$D$20)*IFERROR(LOOKUP(Предпосылки!$H$202,$C$13:$C$15,T$13:T$15),1)</f>
        <v>0</v>
      </c>
      <c s="125">
        <f>Предпосылки!T$229*Предпосылки!$E269*Продажи!U34*U$19*(1+Чувствительность!$D$20)*IFERROR(LOOKUP(Предпосылки!$H$202,$C$13:$C$15,U$13:U$15),1)</f>
        <v>0</v>
      </c>
      <c s="125">
        <f>Предпосылки!U$229*Предпосылки!$E269*Продажи!V34*V$19*(1+Чувствительность!$D$20)*IFERROR(LOOKUP(Предпосылки!$H$202,$C$13:$C$15,V$13:V$15),1)</f>
        <v>0</v>
      </c>
      <c s="125">
        <f>Предпосылки!V$229*Предпосылки!$E269*Продажи!W34*W$19*(1+Чувствительность!$D$20)*IFERROR(LOOKUP(Предпосылки!$H$202,$C$13:$C$15,W$13:W$15),1)</f>
        <v>0</v>
      </c>
      <c s="125">
        <f>Предпосылки!W$229*Предпосылки!$E269*Продажи!X34*X$19*(1+Чувствительность!$D$20)*IFERROR(LOOKUP(Предпосылки!$H$202,$C$13:$C$15,X$13:X$15),1)</f>
        <v>0</v>
      </c>
      <c s="125">
        <f>Предпосылки!X$229*Предпосылки!$E269*Продажи!Y34*Y$19*(1+Чувствительность!$D$20)*IFERROR(LOOKUP(Предпосылки!$H$202,$C$13:$C$15,Y$13:Y$15),1)</f>
        <v>0</v>
      </c>
      <c s="125">
        <f>Предпосылки!Y$229*Предпосылки!$E269*Продажи!Z34*Z$19*(1+Чувствительность!$D$20)*IFERROR(LOOKUP(Предпосылки!$H$202,$C$13:$C$15,Z$13:Z$15),1)</f>
        <v>0</v>
      </c>
      <c s="125">
        <f>Предпосылки!Z$229*Предпосылки!$E269*Продажи!AA34*AA$19*(1+Чувствительность!$D$20)*IFERROR(LOOKUP(Предпосылки!$H$202,$C$13:$C$15,AA$13:AA$15),1)</f>
        <v>0</v>
      </c>
      <c s="125">
        <f>Предпосылки!AA$229*Предпосылки!$E269*Продажи!AB34*AB$19*(1+Чувствительность!$D$20)*IFERROR(LOOKUP(Предпосылки!$H$202,$C$13:$C$15,AB$13:AB$15),1)</f>
        <v>0</v>
      </c>
      <c s="125">
        <f>Предпосылки!AB$229*Предпосылки!$E269*Продажи!AC34*AC$19*(1+Чувствительность!$D$20)*IFERROR(LOOKUP(Предпосылки!$H$202,$C$13:$C$15,AC$13:AC$15),1)</f>
        <v>0</v>
      </c>
      <c s="125">
        <f>Предпосылки!AC$229*Предпосылки!$E269*Продажи!AD34*AD$19*(1+Чувствительность!$D$20)*IFERROR(LOOKUP(Предпосылки!$H$202,$C$13:$C$15,AD$13:AD$15),1)</f>
        <v>0</v>
      </c>
      <c s="125">
        <f>Предпосылки!AD$229*Предпосылки!$E269*Продажи!AE34*AE$19*(1+Чувствительность!$D$20)*IFERROR(LOOKUP(Предпосылки!$H$202,$C$13:$C$15,AE$13:AE$15),1)</f>
        <v>0</v>
      </c>
      <c s="125">
        <f>Предпосылки!AE$229*Предпосылки!$E269*Продажи!AF34*AF$19*(1+Чувствительность!$D$20)*IFERROR(LOOKUP(Предпосылки!$H$202,$C$13:$C$15,AF$13:AF$15),1)</f>
        <v>0</v>
      </c>
      <c s="125">
        <f>Предпосылки!AF$229*Предпосылки!$E269*Продажи!AG34*AG$19*(1+Чувствительность!$D$20)*IFERROR(LOOKUP(Предпосылки!$H$202,$C$13:$C$15,AG$13:AG$15),1)</f>
        <v>0</v>
      </c>
      <c s="125">
        <f>Предпосылки!AG$229*Предпосылки!$E269*Продажи!AH34*AH$19*(1+Чувствительность!$D$20)*IFERROR(LOOKUP(Предпосылки!$H$202,$C$13:$C$15,AH$13:AH$15),1)</f>
        <v>0</v>
      </c>
      <c s="125">
        <f>Предпосылки!AH$229*Предпосылки!$E269*Продажи!AI34*AI$19*(1+Чувствительность!$D$20)*IFERROR(LOOKUP(Предпосылки!$H$202,$C$13:$C$15,AI$13:AI$15),1)</f>
        <v>0</v>
      </c>
      <c s="125">
        <f>Предпосылки!AI$229*Предпосылки!$E269*Продажи!AJ34*AJ$19*(1+Чувствительность!$D$20)*IFERROR(LOOKUP(Предпосылки!$H$202,$C$13:$C$15,AJ$13:AJ$15),1)</f>
        <v>0</v>
      </c>
      <c s="125">
        <f>Предпосылки!AJ$229*Предпосылки!$E269*Продажи!AK34*AK$19*(1+Чувствительность!$D$20)*IFERROR(LOOKUP(Предпосылки!$H$202,$C$13:$C$15,AK$13:AK$15),1)</f>
        <v>0</v>
      </c>
      <c s="125">
        <f>Предпосылки!AK$229*Предпосылки!$E269*Продажи!AL34*AL$19*(1+Чувствительность!$D$20)*IFERROR(LOOKUP(Предпосылки!$H$202,$C$13:$C$15,AL$13:AL$15),1)</f>
        <v>0</v>
      </c>
      <c s="125">
        <f>Предпосылки!AL$229*Предпосылки!$E269*Продажи!AM34*AM$19*(1+Чувствительность!$D$20)*IFERROR(LOOKUP(Предпосылки!$H$202,$C$13:$C$15,AM$13:AM$15),1)</f>
        <v>0</v>
      </c>
      <c s="125">
        <f>Предпосылки!AM$229*Предпосылки!$E269*Продажи!AN34*AN$19*(1+Чувствительность!$D$20)*IFERROR(LOOKUP(Предпосылки!$H$202,$C$13:$C$15,AN$13:AN$15),1)</f>
        <v>0</v>
      </c>
      <c s="125">
        <f>Предпосылки!AN$229*Предпосылки!$E269*Продажи!AO34*AO$19*(1+Чувствительность!$D$20)*IFERROR(LOOKUP(Предпосылки!$H$202,$C$13:$C$15,AO$13:AO$15),1)</f>
        <v>0</v>
      </c>
      <c s="125">
        <f>Предпосылки!AO$229*Предпосылки!$E269*Продажи!AP34*AP$19*(1+Чувствительность!$D$20)*IFERROR(LOOKUP(Предпосылки!$H$202,$C$13:$C$15,AP$13:AP$15),1)</f>
        <v>0</v>
      </c>
      <c s="125">
        <f>Предпосылки!AP$229*Предпосылки!$E269*Продажи!AQ34*AQ$19*(1+Чувствительность!$D$20)*IFERROR(LOOKUP(Предпосылки!$H$202,$C$13:$C$15,AQ$13:AQ$15),1)</f>
        <v>0</v>
      </c>
      <c s="125">
        <f>Предпосылки!AQ$229*Предпосылки!$E269*Продажи!AR34*AR$19*(1+Чувствительность!$D$20)*IFERROR(LOOKUP(Предпосылки!$H$202,$C$13:$C$15,AR$13:AR$15),1)</f>
        <v>0</v>
      </c>
      <c s="125">
        <f>Предпосылки!AR$229*Предпосылки!$E269*Продажи!AS34*AS$19*(1+Чувствительность!$D$20)*IFERROR(LOOKUP(Предпосылки!$H$202,$C$13:$C$15,AS$13:AS$15),1)</f>
        <v>0</v>
      </c>
      <c s="125">
        <f>Предпосылки!AS$229*Предпосылки!$E269*Продажи!AT34*AT$19*(1+Чувствительность!$D$20)*IFERROR(LOOKUP(Предпосылки!$H$202,$C$13:$C$15,AT$13:AT$15),1)</f>
        <v>0</v>
      </c>
      <c s="125">
        <f>Предпосылки!AT$229*Предпосылки!$E269*Продажи!AU34*AU$19*(1+Чувствительность!$D$20)*IFERROR(LOOKUP(Предпосылки!$H$202,$C$13:$C$15,AU$13:AU$15),1)</f>
        <v>0</v>
      </c>
      <c s="125">
        <f>Предпосылки!AU$229*Предпосылки!$E269*Продажи!AV34*AV$19*(1+Чувствительность!$D$20)*IFERROR(LOOKUP(Предпосылки!$H$202,$C$13:$C$15,AV$13:AV$15),1)</f>
        <v>0</v>
      </c>
      <c s="125">
        <f>Предпосылки!AV$229*Предпосылки!$E269*Продажи!AW34*AW$19*(1+Чувствительность!$D$20)*IFERROR(LOOKUP(Предпосылки!$H$202,$C$13:$C$15,AW$13:AW$15),1)</f>
        <v>0</v>
      </c>
      <c s="125">
        <f>Предпосылки!AW$229*Предпосылки!$E269*Продажи!AX34*AX$19*(1+Чувствительность!$D$20)*IFERROR(LOOKUP(Предпосылки!$H$202,$C$13:$C$15,AX$13:AX$15),1)</f>
        <v>0</v>
      </c>
      <c s="125">
        <f>Предпосылки!AX$229*Предпосылки!$E269*Продажи!AY34*AY$19*(1+Чувствительность!$D$20)*IFERROR(LOOKUP(Предпосылки!$H$202,$C$13:$C$15,AY$13:AY$15),1)</f>
        <v>0</v>
      </c>
      <c s="125">
        <f>Предпосылки!AY$229*Предпосылки!$E269*Продажи!AZ34*AZ$19*(1+Чувствительность!$D$20)*IFERROR(LOOKUP(Предпосылки!$H$202,$C$13:$C$15,AZ$13:AZ$15),1)</f>
        <v>0</v>
      </c>
      <c s="125">
        <f>Предпосылки!AZ$229*Предпосылки!$E269*Продажи!BA34*BA$19*(1+Чувствительность!$D$20)*IFERROR(LOOKUP(Предпосылки!$H$202,$C$13:$C$15,BA$13:BA$15),1)</f>
        <v>0</v>
      </c>
      <c s="125">
        <f>Предпосылки!BA$229*Предпосылки!$E269*Продажи!BB34*BB$19*(1+Чувствительность!$D$20)*IFERROR(LOOKUP(Предпосылки!$H$202,$C$13:$C$15,BB$13:BB$15),1)</f>
        <v>0</v>
      </c>
      <c s="125">
        <f>Предпосылки!BB$229*Предпосылки!$E269*Продажи!BC34*BC$19*(1+Чувствительность!$D$20)*IFERROR(LOOKUP(Предпосылки!$H$202,$C$13:$C$15,BC$13:BC$15),1)</f>
        <v>0</v>
      </c>
      <c s="125">
        <f>Предпосылки!BC$229*Предпосылки!$E269*Продажи!BD34*BD$19*(1+Чувствительность!$D$20)*IFERROR(LOOKUP(Предпосылки!$H$202,$C$13:$C$15,BD$13:BD$15),1)</f>
        <v>0</v>
      </c>
      <c s="125">
        <f>Предпосылки!BD$229*Предпосылки!$E269*Продажи!BE34*BE$19*(1+Чувствительность!$D$20)*IFERROR(LOOKUP(Предпосылки!$H$202,$C$13:$C$15,BE$13:BE$15),1)</f>
        <v>0</v>
      </c>
      <c s="125">
        <f>Предпосылки!BE$229*Предпосылки!$E269*Продажи!BF34*BF$19*(1+Чувствительность!$D$20)*IFERROR(LOOKUP(Предпосылки!$H$202,$C$13:$C$15,BF$13:BF$15),1)</f>
        <v>0</v>
      </c>
      <c s="125">
        <f>Предпосылки!BF$229*Предпосылки!$E269*Продажи!BG34*BG$19*(1+Чувствительность!$D$20)*IFERROR(LOOKUP(Предпосылки!$H$202,$C$13:$C$15,BG$13:BG$15),1)</f>
        <v>0</v>
      </c>
      <c s="125">
        <f>Предпосылки!BG$229*Предпосылки!$E269*Продажи!BH34*BH$19*(1+Чувствительность!$D$20)*IFERROR(LOOKUP(Предпосылки!$H$202,$C$13:$C$15,BH$13:BH$15),1)</f>
        <v>0</v>
      </c>
      <c s="125">
        <f>Предпосылки!BH$229*Предпосылки!$E269*Продажи!BI34*BI$19*(1+Чувствительность!$D$20)*IFERROR(LOOKUP(Предпосылки!$H$202,$C$13:$C$15,BI$13:BI$15),1)</f>
        <v>0</v>
      </c>
      <c s="125">
        <f>Предпосылки!BI$229*Предпосылки!$E269*Продажи!BJ34*BJ$19*(1+Чувствительность!$D$20)*IFERROR(LOOKUP(Предпосылки!$H$202,$C$13:$C$15,BJ$13:BJ$15),1)</f>
        <v>0</v>
      </c>
      <c s="125">
        <f>Предпосылки!BJ$229*Предпосылки!$E269*Продажи!BK34*BK$19*(1+Чувствительность!$D$20)*IFERROR(LOOKUP(Предпосылки!$H$202,$C$13:$C$15,BK$13:BK$15),1)</f>
        <v>0</v>
      </c>
      <c s="125">
        <f>Предпосылки!BK$229*Предпосылки!$E269*Продажи!BL34*BL$19*(1+Чувствительность!$D$20)*IFERROR(LOOKUP(Предпосылки!$H$202,$C$13:$C$15,BL$13:BL$15),1)</f>
        <v>0</v>
      </c>
      <c s="125">
        <f>Предпосылки!BL$229*Предпосылки!$E269*Продажи!BM34*BM$19*(1+Чувствительность!$D$20)*IFERROR(LOOKUP(Предпосылки!$H$202,$C$13:$C$15,BM$13:BM$15),1)</f>
        <v>0</v>
      </c>
    </row>
    <row r="63" spans="2:65" ht="15" customHeight="1">
      <c r="B63" s="12" t="str">
        <f t="shared" si="66"/>
        <v>Продукт 18</v>
      </c>
      <c s="124" t="str">
        <f t="shared" si="65"/>
        <v>тыс. руб.</v>
      </c>
      <c s="276">
        <f t="shared" si="67"/>
        <v>0</v>
      </c>
      <c s="125">
        <f>Предпосылки!D$229*Предпосылки!$E270*Продажи!E35*E$19*(1+Чувствительность!$D$20)*IFERROR(LOOKUP(Предпосылки!$H$202,$C$13:$C$15,E$13:E$15),1)</f>
        <v>0</v>
      </c>
      <c s="125">
        <f>Предпосылки!E$229*Предпосылки!$E270*Продажи!F35*F$19*(1+Чувствительность!$D$20)*IFERROR(LOOKUP(Предпосылки!$H$202,$C$13:$C$15,F$13:F$15),1)</f>
        <v>0</v>
      </c>
      <c s="125">
        <f>Предпосылки!F$229*Предпосылки!$E270*Продажи!G35*G$19*(1+Чувствительность!$D$20)*IFERROR(LOOKUP(Предпосылки!$H$202,$C$13:$C$15,G$13:G$15),1)</f>
        <v>0</v>
      </c>
      <c s="125">
        <f>Предпосылки!G$229*Предпосылки!$E270*Продажи!H35*H$19*(1+Чувствительность!$D$20)*IFERROR(LOOKUP(Предпосылки!$H$202,$C$13:$C$15,H$13:H$15),1)</f>
        <v>0</v>
      </c>
      <c s="125">
        <f>Предпосылки!H$229*Предпосылки!$E270*Продажи!I35*I$19*(1+Чувствительность!$D$20)*IFERROR(LOOKUP(Предпосылки!$H$202,$C$13:$C$15,I$13:I$15),1)</f>
        <v>0</v>
      </c>
      <c s="125">
        <f>Предпосылки!I$229*Предпосылки!$E270*Продажи!J35*J$19*(1+Чувствительность!$D$20)*IFERROR(LOOKUP(Предпосылки!$H$202,$C$13:$C$15,J$13:J$15),1)</f>
        <v>0</v>
      </c>
      <c s="125">
        <f>Предпосылки!J$229*Предпосылки!$E270*Продажи!K35*K$19*(1+Чувствительность!$D$20)*IFERROR(LOOKUP(Предпосылки!$H$202,$C$13:$C$15,K$13:K$15),1)</f>
        <v>0</v>
      </c>
      <c s="125">
        <f>Предпосылки!K$229*Предпосылки!$E270*Продажи!L35*L$19*(1+Чувствительность!$D$20)*IFERROR(LOOKUP(Предпосылки!$H$202,$C$13:$C$15,L$13:L$15),1)</f>
        <v>0</v>
      </c>
      <c s="125">
        <f>Предпосылки!L$229*Предпосылки!$E270*Продажи!M35*M$19*(1+Чувствительность!$D$20)*IFERROR(LOOKUP(Предпосылки!$H$202,$C$13:$C$15,M$13:M$15),1)</f>
        <v>0</v>
      </c>
      <c s="125">
        <f>Предпосылки!M$229*Предпосылки!$E270*Продажи!N35*N$19*(1+Чувствительность!$D$20)*IFERROR(LOOKUP(Предпосылки!$H$202,$C$13:$C$15,N$13:N$15),1)</f>
        <v>0</v>
      </c>
      <c s="125">
        <f>Предпосылки!N$229*Предпосылки!$E270*Продажи!O35*O$19*(1+Чувствительность!$D$20)*IFERROR(LOOKUP(Предпосылки!$H$202,$C$13:$C$15,O$13:O$15),1)</f>
        <v>0</v>
      </c>
      <c s="125">
        <f>Предпосылки!O$229*Предпосылки!$E270*Продажи!P35*P$19*(1+Чувствительность!$D$20)*IFERROR(LOOKUP(Предпосылки!$H$202,$C$13:$C$15,P$13:P$15),1)</f>
        <v>0</v>
      </c>
      <c s="125">
        <f>Предпосылки!P$229*Предпосылки!$E270*Продажи!Q35*Q$19*(1+Чувствительность!$D$20)*IFERROR(LOOKUP(Предпосылки!$H$202,$C$13:$C$15,Q$13:Q$15),1)</f>
        <v>0</v>
      </c>
      <c s="125">
        <f>Предпосылки!Q$229*Предпосылки!$E270*Продажи!R35*R$19*(1+Чувствительность!$D$20)*IFERROR(LOOKUP(Предпосылки!$H$202,$C$13:$C$15,R$13:R$15),1)</f>
        <v>0</v>
      </c>
      <c s="125">
        <f>Предпосылки!R$229*Предпосылки!$E270*Продажи!S35*S$19*(1+Чувствительность!$D$20)*IFERROR(LOOKUP(Предпосылки!$H$202,$C$13:$C$15,S$13:S$15),1)</f>
        <v>0</v>
      </c>
      <c s="125">
        <f>Предпосылки!S$229*Предпосылки!$E270*Продажи!T35*T$19*(1+Чувствительность!$D$20)*IFERROR(LOOKUP(Предпосылки!$H$202,$C$13:$C$15,T$13:T$15),1)</f>
        <v>0</v>
      </c>
      <c s="125">
        <f>Предпосылки!T$229*Предпосылки!$E270*Продажи!U35*U$19*(1+Чувствительность!$D$20)*IFERROR(LOOKUP(Предпосылки!$H$202,$C$13:$C$15,U$13:U$15),1)</f>
        <v>0</v>
      </c>
      <c s="125">
        <f>Предпосылки!U$229*Предпосылки!$E270*Продажи!V35*V$19*(1+Чувствительность!$D$20)*IFERROR(LOOKUP(Предпосылки!$H$202,$C$13:$C$15,V$13:V$15),1)</f>
        <v>0</v>
      </c>
      <c s="125">
        <f>Предпосылки!V$229*Предпосылки!$E270*Продажи!W35*W$19*(1+Чувствительность!$D$20)*IFERROR(LOOKUP(Предпосылки!$H$202,$C$13:$C$15,W$13:W$15),1)</f>
        <v>0</v>
      </c>
      <c s="125">
        <f>Предпосылки!W$229*Предпосылки!$E270*Продажи!X35*X$19*(1+Чувствительность!$D$20)*IFERROR(LOOKUP(Предпосылки!$H$202,$C$13:$C$15,X$13:X$15),1)</f>
        <v>0</v>
      </c>
      <c s="125">
        <f>Предпосылки!X$229*Предпосылки!$E270*Продажи!Y35*Y$19*(1+Чувствительность!$D$20)*IFERROR(LOOKUP(Предпосылки!$H$202,$C$13:$C$15,Y$13:Y$15),1)</f>
        <v>0</v>
      </c>
      <c s="125">
        <f>Предпосылки!Y$229*Предпосылки!$E270*Продажи!Z35*Z$19*(1+Чувствительность!$D$20)*IFERROR(LOOKUP(Предпосылки!$H$202,$C$13:$C$15,Z$13:Z$15),1)</f>
        <v>0</v>
      </c>
      <c s="125">
        <f>Предпосылки!Z$229*Предпосылки!$E270*Продажи!AA35*AA$19*(1+Чувствительность!$D$20)*IFERROR(LOOKUP(Предпосылки!$H$202,$C$13:$C$15,AA$13:AA$15),1)</f>
        <v>0</v>
      </c>
      <c s="125">
        <f>Предпосылки!AA$229*Предпосылки!$E270*Продажи!AB35*AB$19*(1+Чувствительность!$D$20)*IFERROR(LOOKUP(Предпосылки!$H$202,$C$13:$C$15,AB$13:AB$15),1)</f>
        <v>0</v>
      </c>
      <c s="125">
        <f>Предпосылки!AB$229*Предпосылки!$E270*Продажи!AC35*AC$19*(1+Чувствительность!$D$20)*IFERROR(LOOKUP(Предпосылки!$H$202,$C$13:$C$15,AC$13:AC$15),1)</f>
        <v>0</v>
      </c>
      <c s="125">
        <f>Предпосылки!AC$229*Предпосылки!$E270*Продажи!AD35*AD$19*(1+Чувствительность!$D$20)*IFERROR(LOOKUP(Предпосылки!$H$202,$C$13:$C$15,AD$13:AD$15),1)</f>
        <v>0</v>
      </c>
      <c s="125">
        <f>Предпосылки!AD$229*Предпосылки!$E270*Продажи!AE35*AE$19*(1+Чувствительность!$D$20)*IFERROR(LOOKUP(Предпосылки!$H$202,$C$13:$C$15,AE$13:AE$15),1)</f>
        <v>0</v>
      </c>
      <c s="125">
        <f>Предпосылки!AE$229*Предпосылки!$E270*Продажи!AF35*AF$19*(1+Чувствительность!$D$20)*IFERROR(LOOKUP(Предпосылки!$H$202,$C$13:$C$15,AF$13:AF$15),1)</f>
        <v>0</v>
      </c>
      <c s="125">
        <f>Предпосылки!AF$229*Предпосылки!$E270*Продажи!AG35*AG$19*(1+Чувствительность!$D$20)*IFERROR(LOOKUP(Предпосылки!$H$202,$C$13:$C$15,AG$13:AG$15),1)</f>
        <v>0</v>
      </c>
      <c s="125">
        <f>Предпосылки!AG$229*Предпосылки!$E270*Продажи!AH35*AH$19*(1+Чувствительность!$D$20)*IFERROR(LOOKUP(Предпосылки!$H$202,$C$13:$C$15,AH$13:AH$15),1)</f>
        <v>0</v>
      </c>
      <c s="125">
        <f>Предпосылки!AH$229*Предпосылки!$E270*Продажи!AI35*AI$19*(1+Чувствительность!$D$20)*IFERROR(LOOKUP(Предпосылки!$H$202,$C$13:$C$15,AI$13:AI$15),1)</f>
        <v>0</v>
      </c>
      <c s="125">
        <f>Предпосылки!AI$229*Предпосылки!$E270*Продажи!AJ35*AJ$19*(1+Чувствительность!$D$20)*IFERROR(LOOKUP(Предпосылки!$H$202,$C$13:$C$15,AJ$13:AJ$15),1)</f>
        <v>0</v>
      </c>
      <c s="125">
        <f>Предпосылки!AJ$229*Предпосылки!$E270*Продажи!AK35*AK$19*(1+Чувствительность!$D$20)*IFERROR(LOOKUP(Предпосылки!$H$202,$C$13:$C$15,AK$13:AK$15),1)</f>
        <v>0</v>
      </c>
      <c s="125">
        <f>Предпосылки!AK$229*Предпосылки!$E270*Продажи!AL35*AL$19*(1+Чувствительность!$D$20)*IFERROR(LOOKUP(Предпосылки!$H$202,$C$13:$C$15,AL$13:AL$15),1)</f>
        <v>0</v>
      </c>
      <c s="125">
        <f>Предпосылки!AL$229*Предпосылки!$E270*Продажи!AM35*AM$19*(1+Чувствительность!$D$20)*IFERROR(LOOKUP(Предпосылки!$H$202,$C$13:$C$15,AM$13:AM$15),1)</f>
        <v>0</v>
      </c>
      <c s="125">
        <f>Предпосылки!AM$229*Предпосылки!$E270*Продажи!AN35*AN$19*(1+Чувствительность!$D$20)*IFERROR(LOOKUP(Предпосылки!$H$202,$C$13:$C$15,AN$13:AN$15),1)</f>
        <v>0</v>
      </c>
      <c s="125">
        <f>Предпосылки!AN$229*Предпосылки!$E270*Продажи!AO35*AO$19*(1+Чувствительность!$D$20)*IFERROR(LOOKUP(Предпосылки!$H$202,$C$13:$C$15,AO$13:AO$15),1)</f>
        <v>0</v>
      </c>
      <c s="125">
        <f>Предпосылки!AO$229*Предпосылки!$E270*Продажи!AP35*AP$19*(1+Чувствительность!$D$20)*IFERROR(LOOKUP(Предпосылки!$H$202,$C$13:$C$15,AP$13:AP$15),1)</f>
        <v>0</v>
      </c>
      <c s="125">
        <f>Предпосылки!AP$229*Предпосылки!$E270*Продажи!AQ35*AQ$19*(1+Чувствительность!$D$20)*IFERROR(LOOKUP(Предпосылки!$H$202,$C$13:$C$15,AQ$13:AQ$15),1)</f>
        <v>0</v>
      </c>
      <c s="125">
        <f>Предпосылки!AQ$229*Предпосылки!$E270*Продажи!AR35*AR$19*(1+Чувствительность!$D$20)*IFERROR(LOOKUP(Предпосылки!$H$202,$C$13:$C$15,AR$13:AR$15),1)</f>
        <v>0</v>
      </c>
      <c s="125">
        <f>Предпосылки!AR$229*Предпосылки!$E270*Продажи!AS35*AS$19*(1+Чувствительность!$D$20)*IFERROR(LOOKUP(Предпосылки!$H$202,$C$13:$C$15,AS$13:AS$15),1)</f>
        <v>0</v>
      </c>
      <c s="125">
        <f>Предпосылки!AS$229*Предпосылки!$E270*Продажи!AT35*AT$19*(1+Чувствительность!$D$20)*IFERROR(LOOKUP(Предпосылки!$H$202,$C$13:$C$15,AT$13:AT$15),1)</f>
        <v>0</v>
      </c>
      <c s="125">
        <f>Предпосылки!AT$229*Предпосылки!$E270*Продажи!AU35*AU$19*(1+Чувствительность!$D$20)*IFERROR(LOOKUP(Предпосылки!$H$202,$C$13:$C$15,AU$13:AU$15),1)</f>
        <v>0</v>
      </c>
      <c s="125">
        <f>Предпосылки!AU$229*Предпосылки!$E270*Продажи!AV35*AV$19*(1+Чувствительность!$D$20)*IFERROR(LOOKUP(Предпосылки!$H$202,$C$13:$C$15,AV$13:AV$15),1)</f>
        <v>0</v>
      </c>
      <c s="125">
        <f>Предпосылки!AV$229*Предпосылки!$E270*Продажи!AW35*AW$19*(1+Чувствительность!$D$20)*IFERROR(LOOKUP(Предпосылки!$H$202,$C$13:$C$15,AW$13:AW$15),1)</f>
        <v>0</v>
      </c>
      <c s="125">
        <f>Предпосылки!AW$229*Предпосылки!$E270*Продажи!AX35*AX$19*(1+Чувствительность!$D$20)*IFERROR(LOOKUP(Предпосылки!$H$202,$C$13:$C$15,AX$13:AX$15),1)</f>
        <v>0</v>
      </c>
      <c s="125">
        <f>Предпосылки!AX$229*Предпосылки!$E270*Продажи!AY35*AY$19*(1+Чувствительность!$D$20)*IFERROR(LOOKUP(Предпосылки!$H$202,$C$13:$C$15,AY$13:AY$15),1)</f>
        <v>0</v>
      </c>
      <c s="125">
        <f>Предпосылки!AY$229*Предпосылки!$E270*Продажи!AZ35*AZ$19*(1+Чувствительность!$D$20)*IFERROR(LOOKUP(Предпосылки!$H$202,$C$13:$C$15,AZ$13:AZ$15),1)</f>
        <v>0</v>
      </c>
      <c s="125">
        <f>Предпосылки!AZ$229*Предпосылки!$E270*Продажи!BA35*BA$19*(1+Чувствительность!$D$20)*IFERROR(LOOKUP(Предпосылки!$H$202,$C$13:$C$15,BA$13:BA$15),1)</f>
        <v>0</v>
      </c>
      <c s="125">
        <f>Предпосылки!BA$229*Предпосылки!$E270*Продажи!BB35*BB$19*(1+Чувствительность!$D$20)*IFERROR(LOOKUP(Предпосылки!$H$202,$C$13:$C$15,BB$13:BB$15),1)</f>
        <v>0</v>
      </c>
      <c s="125">
        <f>Предпосылки!BB$229*Предпосылки!$E270*Продажи!BC35*BC$19*(1+Чувствительность!$D$20)*IFERROR(LOOKUP(Предпосылки!$H$202,$C$13:$C$15,BC$13:BC$15),1)</f>
        <v>0</v>
      </c>
      <c s="125">
        <f>Предпосылки!BC$229*Предпосылки!$E270*Продажи!BD35*BD$19*(1+Чувствительность!$D$20)*IFERROR(LOOKUP(Предпосылки!$H$202,$C$13:$C$15,BD$13:BD$15),1)</f>
        <v>0</v>
      </c>
      <c s="125">
        <f>Предпосылки!BD$229*Предпосылки!$E270*Продажи!BE35*BE$19*(1+Чувствительность!$D$20)*IFERROR(LOOKUP(Предпосылки!$H$202,$C$13:$C$15,BE$13:BE$15),1)</f>
        <v>0</v>
      </c>
      <c s="125">
        <f>Предпосылки!BE$229*Предпосылки!$E270*Продажи!BF35*BF$19*(1+Чувствительность!$D$20)*IFERROR(LOOKUP(Предпосылки!$H$202,$C$13:$C$15,BF$13:BF$15),1)</f>
        <v>0</v>
      </c>
      <c s="125">
        <f>Предпосылки!BF$229*Предпосылки!$E270*Продажи!BG35*BG$19*(1+Чувствительность!$D$20)*IFERROR(LOOKUP(Предпосылки!$H$202,$C$13:$C$15,BG$13:BG$15),1)</f>
        <v>0</v>
      </c>
      <c s="125">
        <f>Предпосылки!BG$229*Предпосылки!$E270*Продажи!BH35*BH$19*(1+Чувствительность!$D$20)*IFERROR(LOOKUP(Предпосылки!$H$202,$C$13:$C$15,BH$13:BH$15),1)</f>
        <v>0</v>
      </c>
      <c s="125">
        <f>Предпосылки!BH$229*Предпосылки!$E270*Продажи!BI35*BI$19*(1+Чувствительность!$D$20)*IFERROR(LOOKUP(Предпосылки!$H$202,$C$13:$C$15,BI$13:BI$15),1)</f>
        <v>0</v>
      </c>
      <c s="125">
        <f>Предпосылки!BI$229*Предпосылки!$E270*Продажи!BJ35*BJ$19*(1+Чувствительность!$D$20)*IFERROR(LOOKUP(Предпосылки!$H$202,$C$13:$C$15,BJ$13:BJ$15),1)</f>
        <v>0</v>
      </c>
      <c s="125">
        <f>Предпосылки!BJ$229*Предпосылки!$E270*Продажи!BK35*BK$19*(1+Чувствительность!$D$20)*IFERROR(LOOKUP(Предпосылки!$H$202,$C$13:$C$15,BK$13:BK$15),1)</f>
        <v>0</v>
      </c>
      <c s="125">
        <f>Предпосылки!BK$229*Предпосылки!$E270*Продажи!BL35*BL$19*(1+Чувствительность!$D$20)*IFERROR(LOOKUP(Предпосылки!$H$202,$C$13:$C$15,BL$13:BL$15),1)</f>
        <v>0</v>
      </c>
      <c s="125">
        <f>Предпосылки!BL$229*Предпосылки!$E270*Продажи!BM35*BM$19*(1+Чувствительность!$D$20)*IFERROR(LOOKUP(Предпосылки!$H$202,$C$13:$C$15,BM$13:BM$15),1)</f>
        <v>0</v>
      </c>
    </row>
    <row r="64" spans="2:65" ht="15" customHeight="1">
      <c r="B64" s="12" t="str">
        <f t="shared" si="66"/>
        <v>Продукт 19</v>
      </c>
      <c s="124" t="str">
        <f t="shared" si="65"/>
        <v>тыс. руб.</v>
      </c>
      <c s="276">
        <f t="shared" si="67"/>
        <v>0</v>
      </c>
      <c s="125">
        <f>Предпосылки!D$229*Предпосылки!$E271*Продажи!E36*E$19*(1+Чувствительность!$D$20)*IFERROR(LOOKUP(Предпосылки!$H$202,$C$13:$C$15,E$13:E$15),1)</f>
        <v>0</v>
      </c>
      <c s="125">
        <f>Предпосылки!E$229*Предпосылки!$E271*Продажи!F36*F$19*(1+Чувствительность!$D$20)*IFERROR(LOOKUP(Предпосылки!$H$202,$C$13:$C$15,F$13:F$15),1)</f>
        <v>0</v>
      </c>
      <c s="125">
        <f>Предпосылки!F$229*Предпосылки!$E271*Продажи!G36*G$19*(1+Чувствительность!$D$20)*IFERROR(LOOKUP(Предпосылки!$H$202,$C$13:$C$15,G$13:G$15),1)</f>
        <v>0</v>
      </c>
      <c s="125">
        <f>Предпосылки!G$229*Предпосылки!$E271*Продажи!H36*H$19*(1+Чувствительность!$D$20)*IFERROR(LOOKUP(Предпосылки!$H$202,$C$13:$C$15,H$13:H$15),1)</f>
        <v>0</v>
      </c>
      <c s="125">
        <f>Предпосылки!H$229*Предпосылки!$E271*Продажи!I36*I$19*(1+Чувствительность!$D$20)*IFERROR(LOOKUP(Предпосылки!$H$202,$C$13:$C$15,I$13:I$15),1)</f>
        <v>0</v>
      </c>
      <c s="125">
        <f>Предпосылки!I$229*Предпосылки!$E271*Продажи!J36*J$19*(1+Чувствительность!$D$20)*IFERROR(LOOKUP(Предпосылки!$H$202,$C$13:$C$15,J$13:J$15),1)</f>
        <v>0</v>
      </c>
      <c s="125">
        <f>Предпосылки!J$229*Предпосылки!$E271*Продажи!K36*K$19*(1+Чувствительность!$D$20)*IFERROR(LOOKUP(Предпосылки!$H$202,$C$13:$C$15,K$13:K$15),1)</f>
        <v>0</v>
      </c>
      <c s="125">
        <f>Предпосылки!K$229*Предпосылки!$E271*Продажи!L36*L$19*(1+Чувствительность!$D$20)*IFERROR(LOOKUP(Предпосылки!$H$202,$C$13:$C$15,L$13:L$15),1)</f>
        <v>0</v>
      </c>
      <c s="125">
        <f>Предпосылки!L$229*Предпосылки!$E271*Продажи!M36*M$19*(1+Чувствительность!$D$20)*IFERROR(LOOKUP(Предпосылки!$H$202,$C$13:$C$15,M$13:M$15),1)</f>
        <v>0</v>
      </c>
      <c s="125">
        <f>Предпосылки!M$229*Предпосылки!$E271*Продажи!N36*N$19*(1+Чувствительность!$D$20)*IFERROR(LOOKUP(Предпосылки!$H$202,$C$13:$C$15,N$13:N$15),1)</f>
        <v>0</v>
      </c>
      <c s="125">
        <f>Предпосылки!N$229*Предпосылки!$E271*Продажи!O36*O$19*(1+Чувствительность!$D$20)*IFERROR(LOOKUP(Предпосылки!$H$202,$C$13:$C$15,O$13:O$15),1)</f>
        <v>0</v>
      </c>
      <c s="125">
        <f>Предпосылки!O$229*Предпосылки!$E271*Продажи!P36*P$19*(1+Чувствительность!$D$20)*IFERROR(LOOKUP(Предпосылки!$H$202,$C$13:$C$15,P$13:P$15),1)</f>
        <v>0</v>
      </c>
      <c s="125">
        <f>Предпосылки!P$229*Предпосылки!$E271*Продажи!Q36*Q$19*(1+Чувствительность!$D$20)*IFERROR(LOOKUP(Предпосылки!$H$202,$C$13:$C$15,Q$13:Q$15),1)</f>
        <v>0</v>
      </c>
      <c s="125">
        <f>Предпосылки!Q$229*Предпосылки!$E271*Продажи!R36*R$19*(1+Чувствительность!$D$20)*IFERROR(LOOKUP(Предпосылки!$H$202,$C$13:$C$15,R$13:R$15),1)</f>
        <v>0</v>
      </c>
      <c s="125">
        <f>Предпосылки!R$229*Предпосылки!$E271*Продажи!S36*S$19*(1+Чувствительность!$D$20)*IFERROR(LOOKUP(Предпосылки!$H$202,$C$13:$C$15,S$13:S$15),1)</f>
        <v>0</v>
      </c>
      <c s="125">
        <f>Предпосылки!S$229*Предпосылки!$E271*Продажи!T36*T$19*(1+Чувствительность!$D$20)*IFERROR(LOOKUP(Предпосылки!$H$202,$C$13:$C$15,T$13:T$15),1)</f>
        <v>0</v>
      </c>
      <c s="125">
        <f>Предпосылки!T$229*Предпосылки!$E271*Продажи!U36*U$19*(1+Чувствительность!$D$20)*IFERROR(LOOKUP(Предпосылки!$H$202,$C$13:$C$15,U$13:U$15),1)</f>
        <v>0</v>
      </c>
      <c s="125">
        <f>Предпосылки!U$229*Предпосылки!$E271*Продажи!V36*V$19*(1+Чувствительность!$D$20)*IFERROR(LOOKUP(Предпосылки!$H$202,$C$13:$C$15,V$13:V$15),1)</f>
        <v>0</v>
      </c>
      <c s="125">
        <f>Предпосылки!V$229*Предпосылки!$E271*Продажи!W36*W$19*(1+Чувствительность!$D$20)*IFERROR(LOOKUP(Предпосылки!$H$202,$C$13:$C$15,W$13:W$15),1)</f>
        <v>0</v>
      </c>
      <c s="125">
        <f>Предпосылки!W$229*Предпосылки!$E271*Продажи!X36*X$19*(1+Чувствительность!$D$20)*IFERROR(LOOKUP(Предпосылки!$H$202,$C$13:$C$15,X$13:X$15),1)</f>
        <v>0</v>
      </c>
      <c s="125">
        <f>Предпосылки!X$229*Предпосылки!$E271*Продажи!Y36*Y$19*(1+Чувствительность!$D$20)*IFERROR(LOOKUP(Предпосылки!$H$202,$C$13:$C$15,Y$13:Y$15),1)</f>
        <v>0</v>
      </c>
      <c s="125">
        <f>Предпосылки!Y$229*Предпосылки!$E271*Продажи!Z36*Z$19*(1+Чувствительность!$D$20)*IFERROR(LOOKUP(Предпосылки!$H$202,$C$13:$C$15,Z$13:Z$15),1)</f>
        <v>0</v>
      </c>
      <c s="125">
        <f>Предпосылки!Z$229*Предпосылки!$E271*Продажи!AA36*AA$19*(1+Чувствительность!$D$20)*IFERROR(LOOKUP(Предпосылки!$H$202,$C$13:$C$15,AA$13:AA$15),1)</f>
        <v>0</v>
      </c>
      <c s="125">
        <f>Предпосылки!AA$229*Предпосылки!$E271*Продажи!AB36*AB$19*(1+Чувствительность!$D$20)*IFERROR(LOOKUP(Предпосылки!$H$202,$C$13:$C$15,AB$13:AB$15),1)</f>
        <v>0</v>
      </c>
      <c s="125">
        <f>Предпосылки!AB$229*Предпосылки!$E271*Продажи!AC36*AC$19*(1+Чувствительность!$D$20)*IFERROR(LOOKUP(Предпосылки!$H$202,$C$13:$C$15,AC$13:AC$15),1)</f>
        <v>0</v>
      </c>
      <c s="125">
        <f>Предпосылки!AC$229*Предпосылки!$E271*Продажи!AD36*AD$19*(1+Чувствительность!$D$20)*IFERROR(LOOKUP(Предпосылки!$H$202,$C$13:$C$15,AD$13:AD$15),1)</f>
        <v>0</v>
      </c>
      <c s="125">
        <f>Предпосылки!AD$229*Предпосылки!$E271*Продажи!AE36*AE$19*(1+Чувствительность!$D$20)*IFERROR(LOOKUP(Предпосылки!$H$202,$C$13:$C$15,AE$13:AE$15),1)</f>
        <v>0</v>
      </c>
      <c s="125">
        <f>Предпосылки!AE$229*Предпосылки!$E271*Продажи!AF36*AF$19*(1+Чувствительность!$D$20)*IFERROR(LOOKUP(Предпосылки!$H$202,$C$13:$C$15,AF$13:AF$15),1)</f>
        <v>0</v>
      </c>
      <c s="125">
        <f>Предпосылки!AF$229*Предпосылки!$E271*Продажи!AG36*AG$19*(1+Чувствительность!$D$20)*IFERROR(LOOKUP(Предпосылки!$H$202,$C$13:$C$15,AG$13:AG$15),1)</f>
        <v>0</v>
      </c>
      <c s="125">
        <f>Предпосылки!AG$229*Предпосылки!$E271*Продажи!AH36*AH$19*(1+Чувствительность!$D$20)*IFERROR(LOOKUP(Предпосылки!$H$202,$C$13:$C$15,AH$13:AH$15),1)</f>
        <v>0</v>
      </c>
      <c s="125">
        <f>Предпосылки!AH$229*Предпосылки!$E271*Продажи!AI36*AI$19*(1+Чувствительность!$D$20)*IFERROR(LOOKUP(Предпосылки!$H$202,$C$13:$C$15,AI$13:AI$15),1)</f>
        <v>0</v>
      </c>
      <c s="125">
        <f>Предпосылки!AI$229*Предпосылки!$E271*Продажи!AJ36*AJ$19*(1+Чувствительность!$D$20)*IFERROR(LOOKUP(Предпосылки!$H$202,$C$13:$C$15,AJ$13:AJ$15),1)</f>
        <v>0</v>
      </c>
      <c s="125">
        <f>Предпосылки!AJ$229*Предпосылки!$E271*Продажи!AK36*AK$19*(1+Чувствительность!$D$20)*IFERROR(LOOKUP(Предпосылки!$H$202,$C$13:$C$15,AK$13:AK$15),1)</f>
        <v>0</v>
      </c>
      <c s="125">
        <f>Предпосылки!AK$229*Предпосылки!$E271*Продажи!AL36*AL$19*(1+Чувствительность!$D$20)*IFERROR(LOOKUP(Предпосылки!$H$202,$C$13:$C$15,AL$13:AL$15),1)</f>
        <v>0</v>
      </c>
      <c s="125">
        <f>Предпосылки!AL$229*Предпосылки!$E271*Продажи!AM36*AM$19*(1+Чувствительность!$D$20)*IFERROR(LOOKUP(Предпосылки!$H$202,$C$13:$C$15,AM$13:AM$15),1)</f>
        <v>0</v>
      </c>
      <c s="125">
        <f>Предпосылки!AM$229*Предпосылки!$E271*Продажи!AN36*AN$19*(1+Чувствительность!$D$20)*IFERROR(LOOKUP(Предпосылки!$H$202,$C$13:$C$15,AN$13:AN$15),1)</f>
        <v>0</v>
      </c>
      <c s="125">
        <f>Предпосылки!AN$229*Предпосылки!$E271*Продажи!AO36*AO$19*(1+Чувствительность!$D$20)*IFERROR(LOOKUP(Предпосылки!$H$202,$C$13:$C$15,AO$13:AO$15),1)</f>
        <v>0</v>
      </c>
      <c s="125">
        <f>Предпосылки!AO$229*Предпосылки!$E271*Продажи!AP36*AP$19*(1+Чувствительность!$D$20)*IFERROR(LOOKUP(Предпосылки!$H$202,$C$13:$C$15,AP$13:AP$15),1)</f>
        <v>0</v>
      </c>
      <c s="125">
        <f>Предпосылки!AP$229*Предпосылки!$E271*Продажи!AQ36*AQ$19*(1+Чувствительность!$D$20)*IFERROR(LOOKUP(Предпосылки!$H$202,$C$13:$C$15,AQ$13:AQ$15),1)</f>
        <v>0</v>
      </c>
      <c s="125">
        <f>Предпосылки!AQ$229*Предпосылки!$E271*Продажи!AR36*AR$19*(1+Чувствительность!$D$20)*IFERROR(LOOKUP(Предпосылки!$H$202,$C$13:$C$15,AR$13:AR$15),1)</f>
        <v>0</v>
      </c>
      <c s="125">
        <f>Предпосылки!AR$229*Предпосылки!$E271*Продажи!AS36*AS$19*(1+Чувствительность!$D$20)*IFERROR(LOOKUP(Предпосылки!$H$202,$C$13:$C$15,AS$13:AS$15),1)</f>
        <v>0</v>
      </c>
      <c s="125">
        <f>Предпосылки!AS$229*Предпосылки!$E271*Продажи!AT36*AT$19*(1+Чувствительность!$D$20)*IFERROR(LOOKUP(Предпосылки!$H$202,$C$13:$C$15,AT$13:AT$15),1)</f>
        <v>0</v>
      </c>
      <c s="125">
        <f>Предпосылки!AT$229*Предпосылки!$E271*Продажи!AU36*AU$19*(1+Чувствительность!$D$20)*IFERROR(LOOKUP(Предпосылки!$H$202,$C$13:$C$15,AU$13:AU$15),1)</f>
        <v>0</v>
      </c>
      <c s="125">
        <f>Предпосылки!AU$229*Предпосылки!$E271*Продажи!AV36*AV$19*(1+Чувствительность!$D$20)*IFERROR(LOOKUP(Предпосылки!$H$202,$C$13:$C$15,AV$13:AV$15),1)</f>
        <v>0</v>
      </c>
      <c s="125">
        <f>Предпосылки!AV$229*Предпосылки!$E271*Продажи!AW36*AW$19*(1+Чувствительность!$D$20)*IFERROR(LOOKUP(Предпосылки!$H$202,$C$13:$C$15,AW$13:AW$15),1)</f>
        <v>0</v>
      </c>
      <c s="125">
        <f>Предпосылки!AW$229*Предпосылки!$E271*Продажи!AX36*AX$19*(1+Чувствительность!$D$20)*IFERROR(LOOKUP(Предпосылки!$H$202,$C$13:$C$15,AX$13:AX$15),1)</f>
        <v>0</v>
      </c>
      <c s="125">
        <f>Предпосылки!AX$229*Предпосылки!$E271*Продажи!AY36*AY$19*(1+Чувствительность!$D$20)*IFERROR(LOOKUP(Предпосылки!$H$202,$C$13:$C$15,AY$13:AY$15),1)</f>
        <v>0</v>
      </c>
      <c s="125">
        <f>Предпосылки!AY$229*Предпосылки!$E271*Продажи!AZ36*AZ$19*(1+Чувствительность!$D$20)*IFERROR(LOOKUP(Предпосылки!$H$202,$C$13:$C$15,AZ$13:AZ$15),1)</f>
        <v>0</v>
      </c>
      <c s="125">
        <f>Предпосылки!AZ$229*Предпосылки!$E271*Продажи!BA36*BA$19*(1+Чувствительность!$D$20)*IFERROR(LOOKUP(Предпосылки!$H$202,$C$13:$C$15,BA$13:BA$15),1)</f>
        <v>0</v>
      </c>
      <c s="125">
        <f>Предпосылки!BA$229*Предпосылки!$E271*Продажи!BB36*BB$19*(1+Чувствительность!$D$20)*IFERROR(LOOKUP(Предпосылки!$H$202,$C$13:$C$15,BB$13:BB$15),1)</f>
        <v>0</v>
      </c>
      <c s="125">
        <f>Предпосылки!BB$229*Предпосылки!$E271*Продажи!BC36*BC$19*(1+Чувствительность!$D$20)*IFERROR(LOOKUP(Предпосылки!$H$202,$C$13:$C$15,BC$13:BC$15),1)</f>
        <v>0</v>
      </c>
      <c s="125">
        <f>Предпосылки!BC$229*Предпосылки!$E271*Продажи!BD36*BD$19*(1+Чувствительность!$D$20)*IFERROR(LOOKUP(Предпосылки!$H$202,$C$13:$C$15,BD$13:BD$15),1)</f>
        <v>0</v>
      </c>
      <c s="125">
        <f>Предпосылки!BD$229*Предпосылки!$E271*Продажи!BE36*BE$19*(1+Чувствительность!$D$20)*IFERROR(LOOKUP(Предпосылки!$H$202,$C$13:$C$15,BE$13:BE$15),1)</f>
        <v>0</v>
      </c>
      <c s="125">
        <f>Предпосылки!BE$229*Предпосылки!$E271*Продажи!BF36*BF$19*(1+Чувствительность!$D$20)*IFERROR(LOOKUP(Предпосылки!$H$202,$C$13:$C$15,BF$13:BF$15),1)</f>
        <v>0</v>
      </c>
      <c s="125">
        <f>Предпосылки!BF$229*Предпосылки!$E271*Продажи!BG36*BG$19*(1+Чувствительность!$D$20)*IFERROR(LOOKUP(Предпосылки!$H$202,$C$13:$C$15,BG$13:BG$15),1)</f>
        <v>0</v>
      </c>
      <c s="125">
        <f>Предпосылки!BG$229*Предпосылки!$E271*Продажи!BH36*BH$19*(1+Чувствительность!$D$20)*IFERROR(LOOKUP(Предпосылки!$H$202,$C$13:$C$15,BH$13:BH$15),1)</f>
        <v>0</v>
      </c>
      <c s="125">
        <f>Предпосылки!BH$229*Предпосылки!$E271*Продажи!BI36*BI$19*(1+Чувствительность!$D$20)*IFERROR(LOOKUP(Предпосылки!$H$202,$C$13:$C$15,BI$13:BI$15),1)</f>
        <v>0</v>
      </c>
      <c s="125">
        <f>Предпосылки!BI$229*Предпосылки!$E271*Продажи!BJ36*BJ$19*(1+Чувствительность!$D$20)*IFERROR(LOOKUP(Предпосылки!$H$202,$C$13:$C$15,BJ$13:BJ$15),1)</f>
        <v>0</v>
      </c>
      <c s="125">
        <f>Предпосылки!BJ$229*Предпосылки!$E271*Продажи!BK36*BK$19*(1+Чувствительность!$D$20)*IFERROR(LOOKUP(Предпосылки!$H$202,$C$13:$C$15,BK$13:BK$15),1)</f>
        <v>0</v>
      </c>
      <c s="125">
        <f>Предпосылки!BK$229*Предпосылки!$E271*Продажи!BL36*BL$19*(1+Чувствительность!$D$20)*IFERROR(LOOKUP(Предпосылки!$H$202,$C$13:$C$15,BL$13:BL$15),1)</f>
        <v>0</v>
      </c>
      <c s="125">
        <f>Предпосылки!BL$229*Предпосылки!$E271*Продажи!BM36*BM$19*(1+Чувствительность!$D$20)*IFERROR(LOOKUP(Предпосылки!$H$202,$C$13:$C$15,BM$13:BM$15),1)</f>
        <v>0</v>
      </c>
    </row>
    <row r="65" spans="2:65" ht="15" customHeight="1">
      <c r="B65" s="12" t="str">
        <f t="shared" si="66"/>
        <v>Продукт 20</v>
      </c>
      <c s="124" t="str">
        <f t="shared" si="65"/>
        <v>тыс. руб.</v>
      </c>
      <c s="276">
        <f t="shared" si="67"/>
        <v>0</v>
      </c>
      <c s="125">
        <f>Предпосылки!D$229*Предпосылки!$E272*Продажи!E37*E$19*(1+Чувствительность!$D$20)*IFERROR(LOOKUP(Предпосылки!$H$202,$C$13:$C$15,E$13:E$15),1)</f>
        <v>0</v>
      </c>
      <c s="125">
        <f>Предпосылки!E$229*Предпосылки!$E272*Продажи!F37*F$19*(1+Чувствительность!$D$20)*IFERROR(LOOKUP(Предпосылки!$H$202,$C$13:$C$15,F$13:F$15),1)</f>
        <v>0</v>
      </c>
      <c s="125">
        <f>Предпосылки!F$229*Предпосылки!$E272*Продажи!G37*G$19*(1+Чувствительность!$D$20)*IFERROR(LOOKUP(Предпосылки!$H$202,$C$13:$C$15,G$13:G$15),1)</f>
        <v>0</v>
      </c>
      <c s="125">
        <f>Предпосылки!G$229*Предпосылки!$E272*Продажи!H37*H$19*(1+Чувствительность!$D$20)*IFERROR(LOOKUP(Предпосылки!$H$202,$C$13:$C$15,H$13:H$15),1)</f>
        <v>0</v>
      </c>
      <c s="125">
        <f>Предпосылки!H$229*Предпосылки!$E272*Продажи!I37*I$19*(1+Чувствительность!$D$20)*IFERROR(LOOKUP(Предпосылки!$H$202,$C$13:$C$15,I$13:I$15),1)</f>
        <v>0</v>
      </c>
      <c s="125">
        <f>Предпосылки!I$229*Предпосылки!$E272*Продажи!J37*J$19*(1+Чувствительность!$D$20)*IFERROR(LOOKUP(Предпосылки!$H$202,$C$13:$C$15,J$13:J$15),1)</f>
        <v>0</v>
      </c>
      <c s="125">
        <f>Предпосылки!J$229*Предпосылки!$E272*Продажи!K37*K$19*(1+Чувствительность!$D$20)*IFERROR(LOOKUP(Предпосылки!$H$202,$C$13:$C$15,K$13:K$15),1)</f>
        <v>0</v>
      </c>
      <c s="125">
        <f>Предпосылки!K$229*Предпосылки!$E272*Продажи!L37*L$19*(1+Чувствительность!$D$20)*IFERROR(LOOKUP(Предпосылки!$H$202,$C$13:$C$15,L$13:L$15),1)</f>
        <v>0</v>
      </c>
      <c s="125">
        <f>Предпосылки!L$229*Предпосылки!$E272*Продажи!M37*M$19*(1+Чувствительность!$D$20)*IFERROR(LOOKUP(Предпосылки!$H$202,$C$13:$C$15,M$13:M$15),1)</f>
        <v>0</v>
      </c>
      <c s="125">
        <f>Предпосылки!M$229*Предпосылки!$E272*Продажи!N37*N$19*(1+Чувствительность!$D$20)*IFERROR(LOOKUP(Предпосылки!$H$202,$C$13:$C$15,N$13:N$15),1)</f>
        <v>0</v>
      </c>
      <c s="125">
        <f>Предпосылки!N$229*Предпосылки!$E272*Продажи!O37*O$19*(1+Чувствительность!$D$20)*IFERROR(LOOKUP(Предпосылки!$H$202,$C$13:$C$15,O$13:O$15),1)</f>
        <v>0</v>
      </c>
      <c s="125">
        <f>Предпосылки!O$229*Предпосылки!$E272*Продажи!P37*P$19*(1+Чувствительность!$D$20)*IFERROR(LOOKUP(Предпосылки!$H$202,$C$13:$C$15,P$13:P$15),1)</f>
        <v>0</v>
      </c>
      <c s="125">
        <f>Предпосылки!P$229*Предпосылки!$E272*Продажи!Q37*Q$19*(1+Чувствительность!$D$20)*IFERROR(LOOKUP(Предпосылки!$H$202,$C$13:$C$15,Q$13:Q$15),1)</f>
        <v>0</v>
      </c>
      <c s="125">
        <f>Предпосылки!Q$229*Предпосылки!$E272*Продажи!R37*R$19*(1+Чувствительность!$D$20)*IFERROR(LOOKUP(Предпосылки!$H$202,$C$13:$C$15,R$13:R$15),1)</f>
        <v>0</v>
      </c>
      <c s="125">
        <f>Предпосылки!R$229*Предпосылки!$E272*Продажи!S37*S$19*(1+Чувствительность!$D$20)*IFERROR(LOOKUP(Предпосылки!$H$202,$C$13:$C$15,S$13:S$15),1)</f>
        <v>0</v>
      </c>
      <c s="125">
        <f>Предпосылки!S$229*Предпосылки!$E272*Продажи!T37*T$19*(1+Чувствительность!$D$20)*IFERROR(LOOKUP(Предпосылки!$H$202,$C$13:$C$15,T$13:T$15),1)</f>
        <v>0</v>
      </c>
      <c s="125">
        <f>Предпосылки!T$229*Предпосылки!$E272*Продажи!U37*U$19*(1+Чувствительность!$D$20)*IFERROR(LOOKUP(Предпосылки!$H$202,$C$13:$C$15,U$13:U$15),1)</f>
        <v>0</v>
      </c>
      <c s="125">
        <f>Предпосылки!U$229*Предпосылки!$E272*Продажи!V37*V$19*(1+Чувствительность!$D$20)*IFERROR(LOOKUP(Предпосылки!$H$202,$C$13:$C$15,V$13:V$15),1)</f>
        <v>0</v>
      </c>
      <c s="125">
        <f>Предпосылки!V$229*Предпосылки!$E272*Продажи!W37*W$19*(1+Чувствительность!$D$20)*IFERROR(LOOKUP(Предпосылки!$H$202,$C$13:$C$15,W$13:W$15),1)</f>
        <v>0</v>
      </c>
      <c s="125">
        <f>Предпосылки!W$229*Предпосылки!$E272*Продажи!X37*X$19*(1+Чувствительность!$D$20)*IFERROR(LOOKUP(Предпосылки!$H$202,$C$13:$C$15,X$13:X$15),1)</f>
        <v>0</v>
      </c>
      <c s="125">
        <f>Предпосылки!X$229*Предпосылки!$E272*Продажи!Y37*Y$19*(1+Чувствительность!$D$20)*IFERROR(LOOKUP(Предпосылки!$H$202,$C$13:$C$15,Y$13:Y$15),1)</f>
        <v>0</v>
      </c>
      <c s="125">
        <f>Предпосылки!Y$229*Предпосылки!$E272*Продажи!Z37*Z$19*(1+Чувствительность!$D$20)*IFERROR(LOOKUP(Предпосылки!$H$202,$C$13:$C$15,Z$13:Z$15),1)</f>
        <v>0</v>
      </c>
      <c s="125">
        <f>Предпосылки!Z$229*Предпосылки!$E272*Продажи!AA37*AA$19*(1+Чувствительность!$D$20)*IFERROR(LOOKUP(Предпосылки!$H$202,$C$13:$C$15,AA$13:AA$15),1)</f>
        <v>0</v>
      </c>
      <c s="125">
        <f>Предпосылки!AA$229*Предпосылки!$E272*Продажи!AB37*AB$19*(1+Чувствительность!$D$20)*IFERROR(LOOKUP(Предпосылки!$H$202,$C$13:$C$15,AB$13:AB$15),1)</f>
        <v>0</v>
      </c>
      <c s="125">
        <f>Предпосылки!AB$229*Предпосылки!$E272*Продажи!AC37*AC$19*(1+Чувствительность!$D$20)*IFERROR(LOOKUP(Предпосылки!$H$202,$C$13:$C$15,AC$13:AC$15),1)</f>
        <v>0</v>
      </c>
      <c s="125">
        <f>Предпосылки!AC$229*Предпосылки!$E272*Продажи!AD37*AD$19*(1+Чувствительность!$D$20)*IFERROR(LOOKUP(Предпосылки!$H$202,$C$13:$C$15,AD$13:AD$15),1)</f>
        <v>0</v>
      </c>
      <c s="125">
        <f>Предпосылки!AD$229*Предпосылки!$E272*Продажи!AE37*AE$19*(1+Чувствительность!$D$20)*IFERROR(LOOKUP(Предпосылки!$H$202,$C$13:$C$15,AE$13:AE$15),1)</f>
        <v>0</v>
      </c>
      <c s="125">
        <f>Предпосылки!AE$229*Предпосылки!$E272*Продажи!AF37*AF$19*(1+Чувствительность!$D$20)*IFERROR(LOOKUP(Предпосылки!$H$202,$C$13:$C$15,AF$13:AF$15),1)</f>
        <v>0</v>
      </c>
      <c s="125">
        <f>Предпосылки!AF$229*Предпосылки!$E272*Продажи!AG37*AG$19*(1+Чувствительность!$D$20)*IFERROR(LOOKUP(Предпосылки!$H$202,$C$13:$C$15,AG$13:AG$15),1)</f>
        <v>0</v>
      </c>
      <c s="125">
        <f>Предпосылки!AG$229*Предпосылки!$E272*Продажи!AH37*AH$19*(1+Чувствительность!$D$20)*IFERROR(LOOKUP(Предпосылки!$H$202,$C$13:$C$15,AH$13:AH$15),1)</f>
        <v>0</v>
      </c>
      <c s="125">
        <f>Предпосылки!AH$229*Предпосылки!$E272*Продажи!AI37*AI$19*(1+Чувствительность!$D$20)*IFERROR(LOOKUP(Предпосылки!$H$202,$C$13:$C$15,AI$13:AI$15),1)</f>
        <v>0</v>
      </c>
      <c s="125">
        <f>Предпосылки!AI$229*Предпосылки!$E272*Продажи!AJ37*AJ$19*(1+Чувствительность!$D$20)*IFERROR(LOOKUP(Предпосылки!$H$202,$C$13:$C$15,AJ$13:AJ$15),1)</f>
        <v>0</v>
      </c>
      <c s="125">
        <f>Предпосылки!AJ$229*Предпосылки!$E272*Продажи!AK37*AK$19*(1+Чувствительность!$D$20)*IFERROR(LOOKUP(Предпосылки!$H$202,$C$13:$C$15,AK$13:AK$15),1)</f>
        <v>0</v>
      </c>
      <c s="125">
        <f>Предпосылки!AK$229*Предпосылки!$E272*Продажи!AL37*AL$19*(1+Чувствительность!$D$20)*IFERROR(LOOKUP(Предпосылки!$H$202,$C$13:$C$15,AL$13:AL$15),1)</f>
        <v>0</v>
      </c>
      <c s="125">
        <f>Предпосылки!AL$229*Предпосылки!$E272*Продажи!AM37*AM$19*(1+Чувствительность!$D$20)*IFERROR(LOOKUP(Предпосылки!$H$202,$C$13:$C$15,AM$13:AM$15),1)</f>
        <v>0</v>
      </c>
      <c s="125">
        <f>Предпосылки!AM$229*Предпосылки!$E272*Продажи!AN37*AN$19*(1+Чувствительность!$D$20)*IFERROR(LOOKUP(Предпосылки!$H$202,$C$13:$C$15,AN$13:AN$15),1)</f>
        <v>0</v>
      </c>
      <c s="125">
        <f>Предпосылки!AN$229*Предпосылки!$E272*Продажи!AO37*AO$19*(1+Чувствительность!$D$20)*IFERROR(LOOKUP(Предпосылки!$H$202,$C$13:$C$15,AO$13:AO$15),1)</f>
        <v>0</v>
      </c>
      <c s="125">
        <f>Предпосылки!AO$229*Предпосылки!$E272*Продажи!AP37*AP$19*(1+Чувствительность!$D$20)*IFERROR(LOOKUP(Предпосылки!$H$202,$C$13:$C$15,AP$13:AP$15),1)</f>
        <v>0</v>
      </c>
      <c s="125">
        <f>Предпосылки!AP$229*Предпосылки!$E272*Продажи!AQ37*AQ$19*(1+Чувствительность!$D$20)*IFERROR(LOOKUP(Предпосылки!$H$202,$C$13:$C$15,AQ$13:AQ$15),1)</f>
        <v>0</v>
      </c>
      <c s="125">
        <f>Предпосылки!AQ$229*Предпосылки!$E272*Продажи!AR37*AR$19*(1+Чувствительность!$D$20)*IFERROR(LOOKUP(Предпосылки!$H$202,$C$13:$C$15,AR$13:AR$15),1)</f>
        <v>0</v>
      </c>
      <c s="125">
        <f>Предпосылки!AR$229*Предпосылки!$E272*Продажи!AS37*AS$19*(1+Чувствительность!$D$20)*IFERROR(LOOKUP(Предпосылки!$H$202,$C$13:$C$15,AS$13:AS$15),1)</f>
        <v>0</v>
      </c>
      <c s="125">
        <f>Предпосылки!AS$229*Предпосылки!$E272*Продажи!AT37*AT$19*(1+Чувствительность!$D$20)*IFERROR(LOOKUP(Предпосылки!$H$202,$C$13:$C$15,AT$13:AT$15),1)</f>
        <v>0</v>
      </c>
      <c s="125">
        <f>Предпосылки!AT$229*Предпосылки!$E272*Продажи!AU37*AU$19*(1+Чувствительность!$D$20)*IFERROR(LOOKUP(Предпосылки!$H$202,$C$13:$C$15,AU$13:AU$15),1)</f>
        <v>0</v>
      </c>
      <c s="125">
        <f>Предпосылки!AU$229*Предпосылки!$E272*Продажи!AV37*AV$19*(1+Чувствительность!$D$20)*IFERROR(LOOKUP(Предпосылки!$H$202,$C$13:$C$15,AV$13:AV$15),1)</f>
        <v>0</v>
      </c>
      <c s="125">
        <f>Предпосылки!AV$229*Предпосылки!$E272*Продажи!AW37*AW$19*(1+Чувствительность!$D$20)*IFERROR(LOOKUP(Предпосылки!$H$202,$C$13:$C$15,AW$13:AW$15),1)</f>
        <v>0</v>
      </c>
      <c s="125">
        <f>Предпосылки!AW$229*Предпосылки!$E272*Продажи!AX37*AX$19*(1+Чувствительность!$D$20)*IFERROR(LOOKUP(Предпосылки!$H$202,$C$13:$C$15,AX$13:AX$15),1)</f>
        <v>0</v>
      </c>
      <c s="125">
        <f>Предпосылки!AX$229*Предпосылки!$E272*Продажи!AY37*AY$19*(1+Чувствительность!$D$20)*IFERROR(LOOKUP(Предпосылки!$H$202,$C$13:$C$15,AY$13:AY$15),1)</f>
        <v>0</v>
      </c>
      <c s="125">
        <f>Предпосылки!AY$229*Предпосылки!$E272*Продажи!AZ37*AZ$19*(1+Чувствительность!$D$20)*IFERROR(LOOKUP(Предпосылки!$H$202,$C$13:$C$15,AZ$13:AZ$15),1)</f>
        <v>0</v>
      </c>
      <c s="125">
        <f>Предпосылки!AZ$229*Предпосылки!$E272*Продажи!BA37*BA$19*(1+Чувствительность!$D$20)*IFERROR(LOOKUP(Предпосылки!$H$202,$C$13:$C$15,BA$13:BA$15),1)</f>
        <v>0</v>
      </c>
      <c s="125">
        <f>Предпосылки!BA$229*Предпосылки!$E272*Продажи!BB37*BB$19*(1+Чувствительность!$D$20)*IFERROR(LOOKUP(Предпосылки!$H$202,$C$13:$C$15,BB$13:BB$15),1)</f>
        <v>0</v>
      </c>
      <c s="125">
        <f>Предпосылки!BB$229*Предпосылки!$E272*Продажи!BC37*BC$19*(1+Чувствительность!$D$20)*IFERROR(LOOKUP(Предпосылки!$H$202,$C$13:$C$15,BC$13:BC$15),1)</f>
        <v>0</v>
      </c>
      <c s="125">
        <f>Предпосылки!BC$229*Предпосылки!$E272*Продажи!BD37*BD$19*(1+Чувствительность!$D$20)*IFERROR(LOOKUP(Предпосылки!$H$202,$C$13:$C$15,BD$13:BD$15),1)</f>
        <v>0</v>
      </c>
      <c s="125">
        <f>Предпосылки!BD$229*Предпосылки!$E272*Продажи!BE37*BE$19*(1+Чувствительность!$D$20)*IFERROR(LOOKUP(Предпосылки!$H$202,$C$13:$C$15,BE$13:BE$15),1)</f>
        <v>0</v>
      </c>
      <c s="125">
        <f>Предпосылки!BE$229*Предпосылки!$E272*Продажи!BF37*BF$19*(1+Чувствительность!$D$20)*IFERROR(LOOKUP(Предпосылки!$H$202,$C$13:$C$15,BF$13:BF$15),1)</f>
        <v>0</v>
      </c>
      <c s="125">
        <f>Предпосылки!BF$229*Предпосылки!$E272*Продажи!BG37*BG$19*(1+Чувствительность!$D$20)*IFERROR(LOOKUP(Предпосылки!$H$202,$C$13:$C$15,BG$13:BG$15),1)</f>
        <v>0</v>
      </c>
      <c s="125">
        <f>Предпосылки!BG$229*Предпосылки!$E272*Продажи!BH37*BH$19*(1+Чувствительность!$D$20)*IFERROR(LOOKUP(Предпосылки!$H$202,$C$13:$C$15,BH$13:BH$15),1)</f>
        <v>0</v>
      </c>
      <c s="125">
        <f>Предпосылки!BH$229*Предпосылки!$E272*Продажи!BI37*BI$19*(1+Чувствительность!$D$20)*IFERROR(LOOKUP(Предпосылки!$H$202,$C$13:$C$15,BI$13:BI$15),1)</f>
        <v>0</v>
      </c>
      <c s="125">
        <f>Предпосылки!BI$229*Предпосылки!$E272*Продажи!BJ37*BJ$19*(1+Чувствительность!$D$20)*IFERROR(LOOKUP(Предпосылки!$H$202,$C$13:$C$15,BJ$13:BJ$15),1)</f>
        <v>0</v>
      </c>
      <c s="125">
        <f>Предпосылки!BJ$229*Предпосылки!$E272*Продажи!BK37*BK$19*(1+Чувствительность!$D$20)*IFERROR(LOOKUP(Предпосылки!$H$202,$C$13:$C$15,BK$13:BK$15),1)</f>
        <v>0</v>
      </c>
      <c s="125">
        <f>Предпосылки!BK$229*Предпосылки!$E272*Продажи!BL37*BL$19*(1+Чувствительность!$D$20)*IFERROR(LOOKUP(Предпосылки!$H$202,$C$13:$C$15,BL$13:BL$15),1)</f>
        <v>0</v>
      </c>
      <c s="125">
        <f>Предпосылки!BL$229*Предпосылки!$E272*Продажи!BM37*BM$19*(1+Чувствительность!$D$20)*IFERROR(LOOKUP(Предпосылки!$H$202,$C$13:$C$15,BM$13:BM$15),1)</f>
        <v>0</v>
      </c>
    </row>
    <row r="66" spans="2:65" ht="15" customHeight="1">
      <c r="B66" s="289" t="s">
        <v>454</v>
      </c>
      <c s="290" t="str">
        <f>Единица_измерения</f>
        <v>тыс. руб.</v>
      </c>
      <c s="291">
        <f>SUM(D46:D65)</f>
        <v>0</v>
      </c>
      <c s="276">
        <f>SUM(E46:E65)</f>
        <v>0</v>
      </c>
      <c s="276">
        <f t="shared" si="68" ref="F66:AG66">SUM(F46:F65)</f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9" ref="AH66:BM66">SUM(AH46:AH65)</f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  <c s="276">
        <f t="shared" si="69"/>
        <v>0</v>
      </c>
    </row>
    <row r="67" ht="15" customHeight="1"/>
    <row r="68" spans="2:69" ht="14.45">
      <c r="B68" s="25" t="str">
        <f>Предпосылки!B230</f>
        <v>Операционные затраты 3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9" spans="2:65" ht="15" customHeight="1">
      <c r="B69" s="12" t="str">
        <f>B46</f>
        <v>Продукт 1</v>
      </c>
      <c s="124" t="str">
        <f t="shared" si="70" ref="C69:C88">Единица_измерения</f>
        <v>тыс. руб.</v>
      </c>
      <c s="276">
        <f>SUM(E69:BM69)</f>
        <v>0</v>
      </c>
      <c s="125">
        <f>Предпосылки!D$230*Предпосылки!$F253*Продажи!E18*E$19*(1+Чувствительность!$D$20)*IFERROR(LOOKUP(Предпосылки!$H$203,$C$13:$C$15,E$13:E$15),1)</f>
        <v>0</v>
      </c>
      <c s="125">
        <f>Предпосылки!E$230*Предпосылки!$F253*Продажи!F18*F$19*(1+Чувствительность!$D$20)*IFERROR(LOOKUP(Предпосылки!$H$203,$C$13:$C$15,F$13:F$15),1)</f>
        <v>0</v>
      </c>
      <c s="125">
        <f>Предпосылки!F$230*Предпосылки!$F253*Продажи!G18*G$19*(1+Чувствительность!$D$20)*IFERROR(LOOKUP(Предпосылки!$H$203,$C$13:$C$15,G$13:G$15),1)</f>
        <v>0</v>
      </c>
      <c s="125">
        <f>Предпосылки!G$230*Предпосылки!$F253*Продажи!H18*H$19*(1+Чувствительность!$D$20)*IFERROR(LOOKUP(Предпосылки!$H$203,$C$13:$C$15,H$13:H$15),1)</f>
        <v>0</v>
      </c>
      <c s="125">
        <f>Предпосылки!H$230*Предпосылки!$F253*Продажи!I18*I$19*(1+Чувствительность!$D$20)*IFERROR(LOOKUP(Предпосылки!$H$203,$C$13:$C$15,I$13:I$15),1)</f>
        <v>0</v>
      </c>
      <c s="125">
        <f>Предпосылки!I$230*Предпосылки!$F253*Продажи!J18*J$19*(1+Чувствительность!$D$20)*IFERROR(LOOKUP(Предпосылки!$H$203,$C$13:$C$15,J$13:J$15),1)</f>
        <v>0</v>
      </c>
      <c s="125">
        <f>Предпосылки!J$230*Предпосылки!$F253*Продажи!K18*K$19*(1+Чувствительность!$D$20)*IFERROR(LOOKUP(Предпосылки!$H$203,$C$13:$C$15,K$13:K$15),1)</f>
        <v>0</v>
      </c>
      <c s="125">
        <f>Предпосылки!K$230*Предпосылки!$F253*Продажи!L18*L$19*(1+Чувствительность!$D$20)*IFERROR(LOOKUP(Предпосылки!$H$203,$C$13:$C$15,L$13:L$15),1)</f>
        <v>0</v>
      </c>
      <c s="125">
        <f>Предпосылки!L$230*Предпосылки!$F253*Продажи!M18*M$19*(1+Чувствительность!$D$20)*IFERROR(LOOKUP(Предпосылки!$H$203,$C$13:$C$15,M$13:M$15),1)</f>
        <v>0</v>
      </c>
      <c s="125">
        <f>Предпосылки!M$230*Предпосылки!$F253*Продажи!N18*N$19*(1+Чувствительность!$D$20)*IFERROR(LOOKUP(Предпосылки!$H$203,$C$13:$C$15,N$13:N$15),1)</f>
        <v>0</v>
      </c>
      <c s="125">
        <f>Предпосылки!N$230*Предпосылки!$F253*Продажи!O18*O$19*(1+Чувствительность!$D$20)*IFERROR(LOOKUP(Предпосылки!$H$203,$C$13:$C$15,O$13:O$15),1)</f>
        <v>0</v>
      </c>
      <c s="125">
        <f>Предпосылки!O$230*Предпосылки!$F253*Продажи!P18*P$19*(1+Чувствительность!$D$20)*IFERROR(LOOKUP(Предпосылки!$H$203,$C$13:$C$15,P$13:P$15),1)</f>
        <v>0</v>
      </c>
      <c s="125">
        <f>Предпосылки!P$230*Предпосылки!$F253*Продажи!Q18*Q$19*(1+Чувствительность!$D$20)*IFERROR(LOOKUP(Предпосылки!$H$203,$C$13:$C$15,Q$13:Q$15),1)</f>
        <v>0</v>
      </c>
      <c s="125">
        <f>Предпосылки!Q$230*Предпосылки!$F253*Продажи!R18*R$19*(1+Чувствительность!$D$20)*IFERROR(LOOKUP(Предпосылки!$H$203,$C$13:$C$15,R$13:R$15),1)</f>
        <v>0</v>
      </c>
      <c s="125">
        <f>Предпосылки!R$230*Предпосылки!$F253*Продажи!S18*S$19*(1+Чувствительность!$D$20)*IFERROR(LOOKUP(Предпосылки!$H$203,$C$13:$C$15,S$13:S$15),1)</f>
        <v>0</v>
      </c>
      <c s="125">
        <f>Предпосылки!S$230*Предпосылки!$F253*Продажи!T18*T$19*(1+Чувствительность!$D$20)*IFERROR(LOOKUP(Предпосылки!$H$203,$C$13:$C$15,T$13:T$15),1)</f>
        <v>0</v>
      </c>
      <c s="125">
        <f>Предпосылки!T$230*Предпосылки!$F253*Продажи!U18*U$19*(1+Чувствительность!$D$20)*IFERROR(LOOKUP(Предпосылки!$H$203,$C$13:$C$15,U$13:U$15),1)</f>
        <v>0</v>
      </c>
      <c s="125">
        <f>Предпосылки!U$230*Предпосылки!$F253*Продажи!V18*V$19*(1+Чувствительность!$D$20)*IFERROR(LOOKUP(Предпосылки!$H$203,$C$13:$C$15,V$13:V$15),1)</f>
        <v>0</v>
      </c>
      <c s="125">
        <f>Предпосылки!V$230*Предпосылки!$F253*Продажи!W18*W$19*(1+Чувствительность!$D$20)*IFERROR(LOOKUP(Предпосылки!$H$203,$C$13:$C$15,W$13:W$15),1)</f>
        <v>0</v>
      </c>
      <c s="125">
        <f>Предпосылки!W$230*Предпосылки!$F253*Продажи!X18*X$19*(1+Чувствительность!$D$20)*IFERROR(LOOKUP(Предпосылки!$H$203,$C$13:$C$15,X$13:X$15),1)</f>
        <v>0</v>
      </c>
      <c s="125">
        <f>Предпосылки!X$230*Предпосылки!$F253*Продажи!Y18*Y$19*(1+Чувствительность!$D$20)*IFERROR(LOOKUP(Предпосылки!$H$203,$C$13:$C$15,Y$13:Y$15),1)</f>
        <v>0</v>
      </c>
      <c s="125">
        <f>Предпосылки!Y$230*Предпосылки!$F253*Продажи!Z18*Z$19*(1+Чувствительность!$D$20)*IFERROR(LOOKUP(Предпосылки!$H$203,$C$13:$C$15,Z$13:Z$15),1)</f>
        <v>0</v>
      </c>
      <c s="125">
        <f>Предпосылки!Z$230*Предпосылки!$F253*Продажи!AA18*AA$19*(1+Чувствительность!$D$20)*IFERROR(LOOKUP(Предпосылки!$H$203,$C$13:$C$15,AA$13:AA$15),1)</f>
        <v>0</v>
      </c>
      <c s="125">
        <f>Предпосылки!AA$230*Предпосылки!$F253*Продажи!AB18*AB$19*(1+Чувствительность!$D$20)*IFERROR(LOOKUP(Предпосылки!$H$203,$C$13:$C$15,AB$13:AB$15),1)</f>
        <v>0</v>
      </c>
      <c s="125">
        <f>Предпосылки!AB$230*Предпосылки!$F253*Продажи!AC18*AC$19*(1+Чувствительность!$D$20)*IFERROR(LOOKUP(Предпосылки!$H$203,$C$13:$C$15,AC$13:AC$15),1)</f>
        <v>0</v>
      </c>
      <c s="125">
        <f>Предпосылки!AC$230*Предпосылки!$F253*Продажи!AD18*AD$19*(1+Чувствительность!$D$20)*IFERROR(LOOKUP(Предпосылки!$H$203,$C$13:$C$15,AD$13:AD$15),1)</f>
        <v>0</v>
      </c>
      <c s="125">
        <f>Предпосылки!AD$230*Предпосылки!$F253*Продажи!AE18*AE$19*(1+Чувствительность!$D$20)*IFERROR(LOOKUP(Предпосылки!$H$203,$C$13:$C$15,AE$13:AE$15),1)</f>
        <v>0</v>
      </c>
      <c s="125">
        <f>Предпосылки!AE$230*Предпосылки!$F253*Продажи!AF18*AF$19*(1+Чувствительность!$D$20)*IFERROR(LOOKUP(Предпосылки!$H$203,$C$13:$C$15,AF$13:AF$15),1)</f>
        <v>0</v>
      </c>
      <c s="125">
        <f>Предпосылки!AF$230*Предпосылки!$F253*Продажи!AG18*AG$19*(1+Чувствительность!$D$20)*IFERROR(LOOKUP(Предпосылки!$H$203,$C$13:$C$15,AG$13:AG$15),1)</f>
        <v>0</v>
      </c>
      <c s="125">
        <f>Предпосылки!AG$230*Предпосылки!$F253*Продажи!AH18*AH$19*(1+Чувствительность!$D$20)*IFERROR(LOOKUP(Предпосылки!$H$203,$C$13:$C$15,AH$13:AH$15),1)</f>
        <v>0</v>
      </c>
      <c s="125">
        <f>Предпосылки!AH$230*Предпосылки!$F253*Продажи!AI18*AI$19*(1+Чувствительность!$D$20)*IFERROR(LOOKUP(Предпосылки!$H$203,$C$13:$C$15,AI$13:AI$15),1)</f>
        <v>0</v>
      </c>
      <c s="125">
        <f>Предпосылки!AI$230*Предпосылки!$F253*Продажи!AJ18*AJ$19*(1+Чувствительность!$D$20)*IFERROR(LOOKUP(Предпосылки!$H$203,$C$13:$C$15,AJ$13:AJ$15),1)</f>
        <v>0</v>
      </c>
      <c s="125">
        <f>Предпосылки!AJ$230*Предпосылки!$F253*Продажи!AK18*AK$19*(1+Чувствительность!$D$20)*IFERROR(LOOKUP(Предпосылки!$H$203,$C$13:$C$15,AK$13:AK$15),1)</f>
        <v>0</v>
      </c>
      <c s="125">
        <f>Предпосылки!AK$230*Предпосылки!$F253*Продажи!AL18*AL$19*(1+Чувствительность!$D$20)*IFERROR(LOOKUP(Предпосылки!$H$203,$C$13:$C$15,AL$13:AL$15),1)</f>
        <v>0</v>
      </c>
      <c s="125">
        <f>Предпосылки!AL$230*Предпосылки!$F253*Продажи!AM18*AM$19*(1+Чувствительность!$D$20)*IFERROR(LOOKUP(Предпосылки!$H$203,$C$13:$C$15,AM$13:AM$15),1)</f>
        <v>0</v>
      </c>
      <c s="125">
        <f>Предпосылки!AM$230*Предпосылки!$F253*Продажи!AN18*AN$19*(1+Чувствительность!$D$20)*IFERROR(LOOKUP(Предпосылки!$H$203,$C$13:$C$15,AN$13:AN$15),1)</f>
        <v>0</v>
      </c>
      <c s="125">
        <f>Предпосылки!AN$230*Предпосылки!$F253*Продажи!AO18*AO$19*(1+Чувствительность!$D$20)*IFERROR(LOOKUP(Предпосылки!$H$203,$C$13:$C$15,AO$13:AO$15),1)</f>
        <v>0</v>
      </c>
      <c s="125">
        <f>Предпосылки!AO$230*Предпосылки!$F253*Продажи!AP18*AP$19*(1+Чувствительность!$D$20)*IFERROR(LOOKUP(Предпосылки!$H$203,$C$13:$C$15,AP$13:AP$15),1)</f>
        <v>0</v>
      </c>
      <c s="125">
        <f>Предпосылки!AP$230*Предпосылки!$F253*Продажи!AQ18*AQ$19*(1+Чувствительность!$D$20)*IFERROR(LOOKUP(Предпосылки!$H$203,$C$13:$C$15,AQ$13:AQ$15),1)</f>
        <v>0</v>
      </c>
      <c s="125">
        <f>Предпосылки!AQ$230*Предпосылки!$F253*Продажи!AR18*AR$19*(1+Чувствительность!$D$20)*IFERROR(LOOKUP(Предпосылки!$H$203,$C$13:$C$15,AR$13:AR$15),1)</f>
        <v>0</v>
      </c>
      <c s="125">
        <f>Предпосылки!AR$230*Предпосылки!$F253*Продажи!AS18*AS$19*(1+Чувствительность!$D$20)*IFERROR(LOOKUP(Предпосылки!$H$203,$C$13:$C$15,AS$13:AS$15),1)</f>
        <v>0</v>
      </c>
      <c s="125">
        <f>Предпосылки!AS$230*Предпосылки!$F253*Продажи!AT18*AT$19*(1+Чувствительность!$D$20)*IFERROR(LOOKUP(Предпосылки!$H$203,$C$13:$C$15,AT$13:AT$15),1)</f>
        <v>0</v>
      </c>
      <c s="125">
        <f>Предпосылки!AT$230*Предпосылки!$F253*Продажи!AU18*AU$19*(1+Чувствительность!$D$20)*IFERROR(LOOKUP(Предпосылки!$H$203,$C$13:$C$15,AU$13:AU$15),1)</f>
        <v>0</v>
      </c>
      <c s="125">
        <f>Предпосылки!AU$230*Предпосылки!$F253*Продажи!AV18*AV$19*(1+Чувствительность!$D$20)*IFERROR(LOOKUP(Предпосылки!$H$203,$C$13:$C$15,AV$13:AV$15),1)</f>
        <v>0</v>
      </c>
      <c s="125">
        <f>Предпосылки!AV$230*Предпосылки!$F253*Продажи!AW18*AW$19*(1+Чувствительность!$D$20)*IFERROR(LOOKUP(Предпосылки!$H$203,$C$13:$C$15,AW$13:AW$15),1)</f>
        <v>0</v>
      </c>
      <c s="125">
        <f>Предпосылки!AW$230*Предпосылки!$F253*Продажи!AX18*AX$19*(1+Чувствительность!$D$20)*IFERROR(LOOKUP(Предпосылки!$H$203,$C$13:$C$15,AX$13:AX$15),1)</f>
        <v>0</v>
      </c>
      <c s="125">
        <f>Предпосылки!AX$230*Предпосылки!$F253*Продажи!AY18*AY$19*(1+Чувствительность!$D$20)*IFERROR(LOOKUP(Предпосылки!$H$203,$C$13:$C$15,AY$13:AY$15),1)</f>
        <v>0</v>
      </c>
      <c s="125">
        <f>Предпосылки!AY$230*Предпосылки!$F253*Продажи!AZ18*AZ$19*(1+Чувствительность!$D$20)*IFERROR(LOOKUP(Предпосылки!$H$203,$C$13:$C$15,AZ$13:AZ$15),1)</f>
        <v>0</v>
      </c>
      <c s="125">
        <f>Предпосылки!AZ$230*Предпосылки!$F253*Продажи!BA18*BA$19*(1+Чувствительность!$D$20)*IFERROR(LOOKUP(Предпосылки!$H$203,$C$13:$C$15,BA$13:BA$15),1)</f>
        <v>0</v>
      </c>
      <c s="125">
        <f>Предпосылки!BA$230*Предпосылки!$F253*Продажи!BB18*BB$19*(1+Чувствительность!$D$20)*IFERROR(LOOKUP(Предпосылки!$H$203,$C$13:$C$15,BB$13:BB$15),1)</f>
        <v>0</v>
      </c>
      <c s="125">
        <f>Предпосылки!BB$230*Предпосылки!$F253*Продажи!BC18*BC$19*(1+Чувствительность!$D$20)*IFERROR(LOOKUP(Предпосылки!$H$203,$C$13:$C$15,BC$13:BC$15),1)</f>
        <v>0</v>
      </c>
      <c s="125">
        <f>Предпосылки!BC$230*Предпосылки!$F253*Продажи!BD18*BD$19*(1+Чувствительность!$D$20)*IFERROR(LOOKUP(Предпосылки!$H$203,$C$13:$C$15,BD$13:BD$15),1)</f>
        <v>0</v>
      </c>
      <c s="125">
        <f>Предпосылки!BD$230*Предпосылки!$F253*Продажи!BE18*BE$19*(1+Чувствительность!$D$20)*IFERROR(LOOKUP(Предпосылки!$H$203,$C$13:$C$15,BE$13:BE$15),1)</f>
        <v>0</v>
      </c>
      <c s="125">
        <f>Предпосылки!BE$230*Предпосылки!$F253*Продажи!BF18*BF$19*(1+Чувствительность!$D$20)*IFERROR(LOOKUP(Предпосылки!$H$203,$C$13:$C$15,BF$13:BF$15),1)</f>
        <v>0</v>
      </c>
      <c s="125">
        <f>Предпосылки!BF$230*Предпосылки!$F253*Продажи!BG18*BG$19*(1+Чувствительность!$D$20)*IFERROR(LOOKUP(Предпосылки!$H$203,$C$13:$C$15,BG$13:BG$15),1)</f>
        <v>0</v>
      </c>
      <c s="125">
        <f>Предпосылки!BG$230*Предпосылки!$F253*Продажи!BH18*BH$19*(1+Чувствительность!$D$20)*IFERROR(LOOKUP(Предпосылки!$H$203,$C$13:$C$15,BH$13:BH$15),1)</f>
        <v>0</v>
      </c>
      <c s="125">
        <f>Предпосылки!BH$230*Предпосылки!$F253*Продажи!BI18*BI$19*(1+Чувствительность!$D$20)*IFERROR(LOOKUP(Предпосылки!$H$203,$C$13:$C$15,BI$13:BI$15),1)</f>
        <v>0</v>
      </c>
      <c s="125">
        <f>Предпосылки!BI$230*Предпосылки!$F253*Продажи!BJ18*BJ$19*(1+Чувствительность!$D$20)*IFERROR(LOOKUP(Предпосылки!$H$203,$C$13:$C$15,BJ$13:BJ$15),1)</f>
        <v>0</v>
      </c>
      <c s="125">
        <f>Предпосылки!BJ$230*Предпосылки!$F253*Продажи!BK18*BK$19*(1+Чувствительность!$D$20)*IFERROR(LOOKUP(Предпосылки!$H$203,$C$13:$C$15,BK$13:BK$15),1)</f>
        <v>0</v>
      </c>
      <c s="125">
        <f>Предпосылки!BK$230*Предпосылки!$F253*Продажи!BL18*BL$19*(1+Чувствительность!$D$20)*IFERROR(LOOKUP(Предпосылки!$H$203,$C$13:$C$15,BL$13:BL$15),1)</f>
        <v>0</v>
      </c>
      <c s="125">
        <f>Предпосылки!BL$230*Предпосылки!$F253*Продажи!BM18*BM$19*(1+Чувствительность!$D$20)*IFERROR(LOOKUP(Предпосылки!$H$203,$C$13:$C$15,BM$13:BM$15),1)</f>
        <v>0</v>
      </c>
    </row>
    <row r="70" spans="2:65" ht="15" customHeight="1">
      <c r="B70" s="12" t="str">
        <f t="shared" si="71" ref="B70:B88">B47</f>
        <v>Продукт 2</v>
      </c>
      <c s="124" t="str">
        <f t="shared" si="70"/>
        <v>тыс. руб.</v>
      </c>
      <c s="276">
        <f t="shared" si="72" ref="D70:D88">SUM(E70:BM70)</f>
        <v>0</v>
      </c>
      <c s="125">
        <f>Предпосылки!D$230*Предпосылки!$F254*Продажи!E19*E$19*(1+Чувствительность!$D$20)*IFERROR(LOOKUP(Предпосылки!$H$203,$C$13:$C$15,E$13:E$15),1)</f>
        <v>0</v>
      </c>
      <c s="125">
        <f>Предпосылки!E$230*Предпосылки!$F254*Продажи!F19*F$19*(1+Чувствительность!$D$20)*IFERROR(LOOKUP(Предпосылки!$H$203,$C$13:$C$15,F$13:F$15),1)</f>
        <v>0</v>
      </c>
      <c s="125">
        <f>Предпосылки!F$230*Предпосылки!$F254*Продажи!G19*G$19*(1+Чувствительность!$D$20)*IFERROR(LOOKUP(Предпосылки!$H$203,$C$13:$C$15,G$13:G$15),1)</f>
        <v>0</v>
      </c>
      <c s="125">
        <f>Предпосылки!G$230*Предпосылки!$F254*Продажи!H19*H$19*(1+Чувствительность!$D$20)*IFERROR(LOOKUP(Предпосылки!$H$203,$C$13:$C$15,H$13:H$15),1)</f>
        <v>0</v>
      </c>
      <c s="125">
        <f>Предпосылки!H$230*Предпосылки!$F254*Продажи!I19*I$19*(1+Чувствительность!$D$20)*IFERROR(LOOKUP(Предпосылки!$H$203,$C$13:$C$15,I$13:I$15),1)</f>
        <v>0</v>
      </c>
      <c s="125">
        <f>Предпосылки!I$230*Предпосылки!$F254*Продажи!J19*J$19*(1+Чувствительность!$D$20)*IFERROR(LOOKUP(Предпосылки!$H$203,$C$13:$C$15,J$13:J$15),1)</f>
        <v>0</v>
      </c>
      <c s="125">
        <f>Предпосылки!J$230*Предпосылки!$F254*Продажи!K19*K$19*(1+Чувствительность!$D$20)*IFERROR(LOOKUP(Предпосылки!$H$203,$C$13:$C$15,K$13:K$15),1)</f>
        <v>0</v>
      </c>
      <c s="125">
        <f>Предпосылки!K$230*Предпосылки!$F254*Продажи!L19*L$19*(1+Чувствительность!$D$20)*IFERROR(LOOKUP(Предпосылки!$H$203,$C$13:$C$15,L$13:L$15),1)</f>
        <v>0</v>
      </c>
      <c s="125">
        <f>Предпосылки!L$230*Предпосылки!$F254*Продажи!M19*M$19*(1+Чувствительность!$D$20)*IFERROR(LOOKUP(Предпосылки!$H$203,$C$13:$C$15,M$13:M$15),1)</f>
        <v>0</v>
      </c>
      <c s="125">
        <f>Предпосылки!M$230*Предпосылки!$F254*Продажи!N19*N$19*(1+Чувствительность!$D$20)*IFERROR(LOOKUP(Предпосылки!$H$203,$C$13:$C$15,N$13:N$15),1)</f>
        <v>0</v>
      </c>
      <c s="125">
        <f>Предпосылки!N$230*Предпосылки!$F254*Продажи!O19*O$19*(1+Чувствительность!$D$20)*IFERROR(LOOKUP(Предпосылки!$H$203,$C$13:$C$15,O$13:O$15),1)</f>
        <v>0</v>
      </c>
      <c s="125">
        <f>Предпосылки!O$230*Предпосылки!$F254*Продажи!P19*P$19*(1+Чувствительность!$D$20)*IFERROR(LOOKUP(Предпосылки!$H$203,$C$13:$C$15,P$13:P$15),1)</f>
        <v>0</v>
      </c>
      <c s="125">
        <f>Предпосылки!P$230*Предпосылки!$F254*Продажи!Q19*Q$19*(1+Чувствительность!$D$20)*IFERROR(LOOKUP(Предпосылки!$H$203,$C$13:$C$15,Q$13:Q$15),1)</f>
        <v>0</v>
      </c>
      <c s="125">
        <f>Предпосылки!Q$230*Предпосылки!$F254*Продажи!R19*R$19*(1+Чувствительность!$D$20)*IFERROR(LOOKUP(Предпосылки!$H$203,$C$13:$C$15,R$13:R$15),1)</f>
        <v>0</v>
      </c>
      <c s="125">
        <f>Предпосылки!R$230*Предпосылки!$F254*Продажи!S19*S$19*(1+Чувствительность!$D$20)*IFERROR(LOOKUP(Предпосылки!$H$203,$C$13:$C$15,S$13:S$15),1)</f>
        <v>0</v>
      </c>
      <c s="125">
        <f>Предпосылки!S$230*Предпосылки!$F254*Продажи!T19*T$19*(1+Чувствительность!$D$20)*IFERROR(LOOKUP(Предпосылки!$H$203,$C$13:$C$15,T$13:T$15),1)</f>
        <v>0</v>
      </c>
      <c s="125">
        <f>Предпосылки!T$230*Предпосылки!$F254*Продажи!U19*U$19*(1+Чувствительность!$D$20)*IFERROR(LOOKUP(Предпосылки!$H$203,$C$13:$C$15,U$13:U$15),1)</f>
        <v>0</v>
      </c>
      <c s="125">
        <f>Предпосылки!U$230*Предпосылки!$F254*Продажи!V19*V$19*(1+Чувствительность!$D$20)*IFERROR(LOOKUP(Предпосылки!$H$203,$C$13:$C$15,V$13:V$15),1)</f>
        <v>0</v>
      </c>
      <c s="125">
        <f>Предпосылки!V$230*Предпосылки!$F254*Продажи!W19*W$19*(1+Чувствительность!$D$20)*IFERROR(LOOKUP(Предпосылки!$H$203,$C$13:$C$15,W$13:W$15),1)</f>
        <v>0</v>
      </c>
      <c s="125">
        <f>Предпосылки!W$230*Предпосылки!$F254*Продажи!X19*X$19*(1+Чувствительность!$D$20)*IFERROR(LOOKUP(Предпосылки!$H$203,$C$13:$C$15,X$13:X$15),1)</f>
        <v>0</v>
      </c>
      <c s="125">
        <f>Предпосылки!X$230*Предпосылки!$F254*Продажи!Y19*Y$19*(1+Чувствительность!$D$20)*IFERROR(LOOKUP(Предпосылки!$H$203,$C$13:$C$15,Y$13:Y$15),1)</f>
        <v>0</v>
      </c>
      <c s="125">
        <f>Предпосылки!Y$230*Предпосылки!$F254*Продажи!Z19*Z$19*(1+Чувствительность!$D$20)*IFERROR(LOOKUP(Предпосылки!$H$203,$C$13:$C$15,Z$13:Z$15),1)</f>
        <v>0</v>
      </c>
      <c s="125">
        <f>Предпосылки!Z$230*Предпосылки!$F254*Продажи!AA19*AA$19*(1+Чувствительность!$D$20)*IFERROR(LOOKUP(Предпосылки!$H$203,$C$13:$C$15,AA$13:AA$15),1)</f>
        <v>0</v>
      </c>
      <c s="125">
        <f>Предпосылки!AA$230*Предпосылки!$F254*Продажи!AB19*AB$19*(1+Чувствительность!$D$20)*IFERROR(LOOKUP(Предпосылки!$H$203,$C$13:$C$15,AB$13:AB$15),1)</f>
        <v>0</v>
      </c>
      <c s="125">
        <f>Предпосылки!AB$230*Предпосылки!$F254*Продажи!AC19*AC$19*(1+Чувствительность!$D$20)*IFERROR(LOOKUP(Предпосылки!$H$203,$C$13:$C$15,AC$13:AC$15),1)</f>
        <v>0</v>
      </c>
      <c s="125">
        <f>Предпосылки!AC$230*Предпосылки!$F254*Продажи!AD19*AD$19*(1+Чувствительность!$D$20)*IFERROR(LOOKUP(Предпосылки!$H$203,$C$13:$C$15,AD$13:AD$15),1)</f>
        <v>0</v>
      </c>
      <c s="125">
        <f>Предпосылки!AD$230*Предпосылки!$F254*Продажи!AE19*AE$19*(1+Чувствительность!$D$20)*IFERROR(LOOKUP(Предпосылки!$H$203,$C$13:$C$15,AE$13:AE$15),1)</f>
        <v>0</v>
      </c>
      <c s="125">
        <f>Предпосылки!AE$230*Предпосылки!$F254*Продажи!AF19*AF$19*(1+Чувствительность!$D$20)*IFERROR(LOOKUP(Предпосылки!$H$203,$C$13:$C$15,AF$13:AF$15),1)</f>
        <v>0</v>
      </c>
      <c s="125">
        <f>Предпосылки!AF$230*Предпосылки!$F254*Продажи!AG19*AG$19*(1+Чувствительность!$D$20)*IFERROR(LOOKUP(Предпосылки!$H$203,$C$13:$C$15,AG$13:AG$15),1)</f>
        <v>0</v>
      </c>
      <c s="125">
        <f>Предпосылки!AG$230*Предпосылки!$F254*Продажи!AH19*AH$19*(1+Чувствительность!$D$20)*IFERROR(LOOKUP(Предпосылки!$H$203,$C$13:$C$15,AH$13:AH$15),1)</f>
        <v>0</v>
      </c>
      <c s="125">
        <f>Предпосылки!AH$230*Предпосылки!$F254*Продажи!AI19*AI$19*(1+Чувствительность!$D$20)*IFERROR(LOOKUP(Предпосылки!$H$203,$C$13:$C$15,AI$13:AI$15),1)</f>
        <v>0</v>
      </c>
      <c s="125">
        <f>Предпосылки!AI$230*Предпосылки!$F254*Продажи!AJ19*AJ$19*(1+Чувствительность!$D$20)*IFERROR(LOOKUP(Предпосылки!$H$203,$C$13:$C$15,AJ$13:AJ$15),1)</f>
        <v>0</v>
      </c>
      <c s="125">
        <f>Предпосылки!AJ$230*Предпосылки!$F254*Продажи!AK19*AK$19*(1+Чувствительность!$D$20)*IFERROR(LOOKUP(Предпосылки!$H$203,$C$13:$C$15,AK$13:AK$15),1)</f>
        <v>0</v>
      </c>
      <c s="125">
        <f>Предпосылки!AK$230*Предпосылки!$F254*Продажи!AL19*AL$19*(1+Чувствительность!$D$20)*IFERROR(LOOKUP(Предпосылки!$H$203,$C$13:$C$15,AL$13:AL$15),1)</f>
        <v>0</v>
      </c>
      <c s="125">
        <f>Предпосылки!AL$230*Предпосылки!$F254*Продажи!AM19*AM$19*(1+Чувствительность!$D$20)*IFERROR(LOOKUP(Предпосылки!$H$203,$C$13:$C$15,AM$13:AM$15),1)</f>
        <v>0</v>
      </c>
      <c s="125">
        <f>Предпосылки!AM$230*Предпосылки!$F254*Продажи!AN19*AN$19*(1+Чувствительность!$D$20)*IFERROR(LOOKUP(Предпосылки!$H$203,$C$13:$C$15,AN$13:AN$15),1)</f>
        <v>0</v>
      </c>
      <c s="125">
        <f>Предпосылки!AN$230*Предпосылки!$F254*Продажи!AO19*AO$19*(1+Чувствительность!$D$20)*IFERROR(LOOKUP(Предпосылки!$H$203,$C$13:$C$15,AO$13:AO$15),1)</f>
        <v>0</v>
      </c>
      <c s="125">
        <f>Предпосылки!AO$230*Предпосылки!$F254*Продажи!AP19*AP$19*(1+Чувствительность!$D$20)*IFERROR(LOOKUP(Предпосылки!$H$203,$C$13:$C$15,AP$13:AP$15),1)</f>
        <v>0</v>
      </c>
      <c s="125">
        <f>Предпосылки!AP$230*Предпосылки!$F254*Продажи!AQ19*AQ$19*(1+Чувствительность!$D$20)*IFERROR(LOOKUP(Предпосылки!$H$203,$C$13:$C$15,AQ$13:AQ$15),1)</f>
        <v>0</v>
      </c>
      <c s="125">
        <f>Предпосылки!AQ$230*Предпосылки!$F254*Продажи!AR19*AR$19*(1+Чувствительность!$D$20)*IFERROR(LOOKUP(Предпосылки!$H$203,$C$13:$C$15,AR$13:AR$15),1)</f>
        <v>0</v>
      </c>
      <c s="125">
        <f>Предпосылки!AR$230*Предпосылки!$F254*Продажи!AS19*AS$19*(1+Чувствительность!$D$20)*IFERROR(LOOKUP(Предпосылки!$H$203,$C$13:$C$15,AS$13:AS$15),1)</f>
        <v>0</v>
      </c>
      <c s="125">
        <f>Предпосылки!AS$230*Предпосылки!$F254*Продажи!AT19*AT$19*(1+Чувствительность!$D$20)*IFERROR(LOOKUP(Предпосылки!$H$203,$C$13:$C$15,AT$13:AT$15),1)</f>
        <v>0</v>
      </c>
      <c s="125">
        <f>Предпосылки!AT$230*Предпосылки!$F254*Продажи!AU19*AU$19*(1+Чувствительность!$D$20)*IFERROR(LOOKUP(Предпосылки!$H$203,$C$13:$C$15,AU$13:AU$15),1)</f>
        <v>0</v>
      </c>
      <c s="125">
        <f>Предпосылки!AU$230*Предпосылки!$F254*Продажи!AV19*AV$19*(1+Чувствительность!$D$20)*IFERROR(LOOKUP(Предпосылки!$H$203,$C$13:$C$15,AV$13:AV$15),1)</f>
        <v>0</v>
      </c>
      <c s="125">
        <f>Предпосылки!AV$230*Предпосылки!$F254*Продажи!AW19*AW$19*(1+Чувствительность!$D$20)*IFERROR(LOOKUP(Предпосылки!$H$203,$C$13:$C$15,AW$13:AW$15),1)</f>
        <v>0</v>
      </c>
      <c s="125">
        <f>Предпосылки!AW$230*Предпосылки!$F254*Продажи!AX19*AX$19*(1+Чувствительность!$D$20)*IFERROR(LOOKUP(Предпосылки!$H$203,$C$13:$C$15,AX$13:AX$15),1)</f>
        <v>0</v>
      </c>
      <c s="125">
        <f>Предпосылки!AX$230*Предпосылки!$F254*Продажи!AY19*AY$19*(1+Чувствительность!$D$20)*IFERROR(LOOKUP(Предпосылки!$H$203,$C$13:$C$15,AY$13:AY$15),1)</f>
        <v>0</v>
      </c>
      <c s="125">
        <f>Предпосылки!AY$230*Предпосылки!$F254*Продажи!AZ19*AZ$19*(1+Чувствительность!$D$20)*IFERROR(LOOKUP(Предпосылки!$H$203,$C$13:$C$15,AZ$13:AZ$15),1)</f>
        <v>0</v>
      </c>
      <c s="125">
        <f>Предпосылки!AZ$230*Предпосылки!$F254*Продажи!BA19*BA$19*(1+Чувствительность!$D$20)*IFERROR(LOOKUP(Предпосылки!$H$203,$C$13:$C$15,BA$13:BA$15),1)</f>
        <v>0</v>
      </c>
      <c s="125">
        <f>Предпосылки!BA$230*Предпосылки!$F254*Продажи!BB19*BB$19*(1+Чувствительность!$D$20)*IFERROR(LOOKUP(Предпосылки!$H$203,$C$13:$C$15,BB$13:BB$15),1)</f>
        <v>0</v>
      </c>
      <c s="125">
        <f>Предпосылки!BB$230*Предпосылки!$F254*Продажи!BC19*BC$19*(1+Чувствительность!$D$20)*IFERROR(LOOKUP(Предпосылки!$H$203,$C$13:$C$15,BC$13:BC$15),1)</f>
        <v>0</v>
      </c>
      <c s="125">
        <f>Предпосылки!BC$230*Предпосылки!$F254*Продажи!BD19*BD$19*(1+Чувствительность!$D$20)*IFERROR(LOOKUP(Предпосылки!$H$203,$C$13:$C$15,BD$13:BD$15),1)</f>
        <v>0</v>
      </c>
      <c s="125">
        <f>Предпосылки!BD$230*Предпосылки!$F254*Продажи!BE19*BE$19*(1+Чувствительность!$D$20)*IFERROR(LOOKUP(Предпосылки!$H$203,$C$13:$C$15,BE$13:BE$15),1)</f>
        <v>0</v>
      </c>
      <c s="125">
        <f>Предпосылки!BE$230*Предпосылки!$F254*Продажи!BF19*BF$19*(1+Чувствительность!$D$20)*IFERROR(LOOKUP(Предпосылки!$H$203,$C$13:$C$15,BF$13:BF$15),1)</f>
        <v>0</v>
      </c>
      <c s="125">
        <f>Предпосылки!BF$230*Предпосылки!$F254*Продажи!BG19*BG$19*(1+Чувствительность!$D$20)*IFERROR(LOOKUP(Предпосылки!$H$203,$C$13:$C$15,BG$13:BG$15),1)</f>
        <v>0</v>
      </c>
      <c s="125">
        <f>Предпосылки!BG$230*Предпосылки!$F254*Продажи!BH19*BH$19*(1+Чувствительность!$D$20)*IFERROR(LOOKUP(Предпосылки!$H$203,$C$13:$C$15,BH$13:BH$15),1)</f>
        <v>0</v>
      </c>
      <c s="125">
        <f>Предпосылки!BH$230*Предпосылки!$F254*Продажи!BI19*BI$19*(1+Чувствительность!$D$20)*IFERROR(LOOKUP(Предпосылки!$H$203,$C$13:$C$15,BI$13:BI$15),1)</f>
        <v>0</v>
      </c>
      <c s="125">
        <f>Предпосылки!BI$230*Предпосылки!$F254*Продажи!BJ19*BJ$19*(1+Чувствительность!$D$20)*IFERROR(LOOKUP(Предпосылки!$H$203,$C$13:$C$15,BJ$13:BJ$15),1)</f>
        <v>0</v>
      </c>
      <c s="125">
        <f>Предпосылки!BJ$230*Предпосылки!$F254*Продажи!BK19*BK$19*(1+Чувствительность!$D$20)*IFERROR(LOOKUP(Предпосылки!$H$203,$C$13:$C$15,BK$13:BK$15),1)</f>
        <v>0</v>
      </c>
      <c s="125">
        <f>Предпосылки!BK$230*Предпосылки!$F254*Продажи!BL19*BL$19*(1+Чувствительность!$D$20)*IFERROR(LOOKUP(Предпосылки!$H$203,$C$13:$C$15,BL$13:BL$15),1)</f>
        <v>0</v>
      </c>
      <c s="125">
        <f>Предпосылки!BL$230*Предпосылки!$F254*Продажи!BM19*BM$19*(1+Чувствительность!$D$20)*IFERROR(LOOKUP(Предпосылки!$H$203,$C$13:$C$15,BM$13:BM$15),1)</f>
        <v>0</v>
      </c>
    </row>
    <row r="71" spans="2:65" ht="15" customHeight="1">
      <c r="B71" s="12" t="str">
        <f t="shared" si="71"/>
        <v>Продукт 3</v>
      </c>
      <c s="124" t="str">
        <f t="shared" si="70"/>
        <v>тыс. руб.</v>
      </c>
      <c s="276">
        <f t="shared" si="72"/>
        <v>0</v>
      </c>
      <c s="125">
        <f>Предпосылки!D$230*Предпосылки!$F255*Продажи!E20*E$19*(1+Чувствительность!$D$20)*IFERROR(LOOKUP(Предпосылки!$H$203,$C$13:$C$15,E$13:E$15),1)</f>
        <v>0</v>
      </c>
      <c s="125">
        <f>Предпосылки!E$230*Предпосылки!$F255*Продажи!F20*F$19*(1+Чувствительность!$D$20)*IFERROR(LOOKUP(Предпосылки!$H$203,$C$13:$C$15,F$13:F$15),1)</f>
        <v>0</v>
      </c>
      <c s="125">
        <f>Предпосылки!F$230*Предпосылки!$F255*Продажи!G20*G$19*(1+Чувствительность!$D$20)*IFERROR(LOOKUP(Предпосылки!$H$203,$C$13:$C$15,G$13:G$15),1)</f>
        <v>0</v>
      </c>
      <c s="125">
        <f>Предпосылки!G$230*Предпосылки!$F255*Продажи!H20*H$19*(1+Чувствительность!$D$20)*IFERROR(LOOKUP(Предпосылки!$H$203,$C$13:$C$15,H$13:H$15),1)</f>
        <v>0</v>
      </c>
      <c s="125">
        <f>Предпосылки!H$230*Предпосылки!$F255*Продажи!I20*I$19*(1+Чувствительность!$D$20)*IFERROR(LOOKUP(Предпосылки!$H$203,$C$13:$C$15,I$13:I$15),1)</f>
        <v>0</v>
      </c>
      <c s="125">
        <f>Предпосылки!I$230*Предпосылки!$F255*Продажи!J20*J$19*(1+Чувствительность!$D$20)*IFERROR(LOOKUP(Предпосылки!$H$203,$C$13:$C$15,J$13:J$15),1)</f>
        <v>0</v>
      </c>
      <c s="125">
        <f>Предпосылки!J$230*Предпосылки!$F255*Продажи!K20*K$19*(1+Чувствительность!$D$20)*IFERROR(LOOKUP(Предпосылки!$H$203,$C$13:$C$15,K$13:K$15),1)</f>
        <v>0</v>
      </c>
      <c s="125">
        <f>Предпосылки!K$230*Предпосылки!$F255*Продажи!L20*L$19*(1+Чувствительность!$D$20)*IFERROR(LOOKUP(Предпосылки!$H$203,$C$13:$C$15,L$13:L$15),1)</f>
        <v>0</v>
      </c>
      <c s="125">
        <f>Предпосылки!L$230*Предпосылки!$F255*Продажи!M20*M$19*(1+Чувствительность!$D$20)*IFERROR(LOOKUP(Предпосылки!$H$203,$C$13:$C$15,M$13:M$15),1)</f>
        <v>0</v>
      </c>
      <c s="125">
        <f>Предпосылки!M$230*Предпосылки!$F255*Продажи!N20*N$19*(1+Чувствительность!$D$20)*IFERROR(LOOKUP(Предпосылки!$H$203,$C$13:$C$15,N$13:N$15),1)</f>
        <v>0</v>
      </c>
      <c s="125">
        <f>Предпосылки!N$230*Предпосылки!$F255*Продажи!O20*O$19*(1+Чувствительность!$D$20)*IFERROR(LOOKUP(Предпосылки!$H$203,$C$13:$C$15,O$13:O$15),1)</f>
        <v>0</v>
      </c>
      <c s="125">
        <f>Предпосылки!O$230*Предпосылки!$F255*Продажи!P20*P$19*(1+Чувствительность!$D$20)*IFERROR(LOOKUP(Предпосылки!$H$203,$C$13:$C$15,P$13:P$15),1)</f>
        <v>0</v>
      </c>
      <c s="125">
        <f>Предпосылки!P$230*Предпосылки!$F255*Продажи!Q20*Q$19*(1+Чувствительность!$D$20)*IFERROR(LOOKUP(Предпосылки!$H$203,$C$13:$C$15,Q$13:Q$15),1)</f>
        <v>0</v>
      </c>
      <c s="125">
        <f>Предпосылки!Q$230*Предпосылки!$F255*Продажи!R20*R$19*(1+Чувствительность!$D$20)*IFERROR(LOOKUP(Предпосылки!$H$203,$C$13:$C$15,R$13:R$15),1)</f>
        <v>0</v>
      </c>
      <c s="125">
        <f>Предпосылки!R$230*Предпосылки!$F255*Продажи!S20*S$19*(1+Чувствительность!$D$20)*IFERROR(LOOKUP(Предпосылки!$H$203,$C$13:$C$15,S$13:S$15),1)</f>
        <v>0</v>
      </c>
      <c s="125">
        <f>Предпосылки!S$230*Предпосылки!$F255*Продажи!T20*T$19*(1+Чувствительность!$D$20)*IFERROR(LOOKUP(Предпосылки!$H$203,$C$13:$C$15,T$13:T$15),1)</f>
        <v>0</v>
      </c>
      <c s="125">
        <f>Предпосылки!T$230*Предпосылки!$F255*Продажи!U20*U$19*(1+Чувствительность!$D$20)*IFERROR(LOOKUP(Предпосылки!$H$203,$C$13:$C$15,U$13:U$15),1)</f>
        <v>0</v>
      </c>
      <c s="125">
        <f>Предпосылки!U$230*Предпосылки!$F255*Продажи!V20*V$19*(1+Чувствительность!$D$20)*IFERROR(LOOKUP(Предпосылки!$H$203,$C$13:$C$15,V$13:V$15),1)</f>
        <v>0</v>
      </c>
      <c s="125">
        <f>Предпосылки!V$230*Предпосылки!$F255*Продажи!W20*W$19*(1+Чувствительность!$D$20)*IFERROR(LOOKUP(Предпосылки!$H$203,$C$13:$C$15,W$13:W$15),1)</f>
        <v>0</v>
      </c>
      <c s="125">
        <f>Предпосылки!W$230*Предпосылки!$F255*Продажи!X20*X$19*(1+Чувствительность!$D$20)*IFERROR(LOOKUP(Предпосылки!$H$203,$C$13:$C$15,X$13:X$15),1)</f>
        <v>0</v>
      </c>
      <c s="125">
        <f>Предпосылки!X$230*Предпосылки!$F255*Продажи!Y20*Y$19*(1+Чувствительность!$D$20)*IFERROR(LOOKUP(Предпосылки!$H$203,$C$13:$C$15,Y$13:Y$15),1)</f>
        <v>0</v>
      </c>
      <c s="125">
        <f>Предпосылки!Y$230*Предпосылки!$F255*Продажи!Z20*Z$19*(1+Чувствительность!$D$20)*IFERROR(LOOKUP(Предпосылки!$H$203,$C$13:$C$15,Z$13:Z$15),1)</f>
        <v>0</v>
      </c>
      <c s="125">
        <f>Предпосылки!Z$230*Предпосылки!$F255*Продажи!AA20*AA$19*(1+Чувствительность!$D$20)*IFERROR(LOOKUP(Предпосылки!$H$203,$C$13:$C$15,AA$13:AA$15),1)</f>
        <v>0</v>
      </c>
      <c s="125">
        <f>Предпосылки!AA$230*Предпосылки!$F255*Продажи!AB20*AB$19*(1+Чувствительность!$D$20)*IFERROR(LOOKUP(Предпосылки!$H$203,$C$13:$C$15,AB$13:AB$15),1)</f>
        <v>0</v>
      </c>
      <c s="125">
        <f>Предпосылки!AB$230*Предпосылки!$F255*Продажи!AC20*AC$19*(1+Чувствительность!$D$20)*IFERROR(LOOKUP(Предпосылки!$H$203,$C$13:$C$15,AC$13:AC$15),1)</f>
        <v>0</v>
      </c>
      <c s="125">
        <f>Предпосылки!AC$230*Предпосылки!$F255*Продажи!AD20*AD$19*(1+Чувствительность!$D$20)*IFERROR(LOOKUP(Предпосылки!$H$203,$C$13:$C$15,AD$13:AD$15),1)</f>
        <v>0</v>
      </c>
      <c s="125">
        <f>Предпосылки!AD$230*Предпосылки!$F255*Продажи!AE20*AE$19*(1+Чувствительность!$D$20)*IFERROR(LOOKUP(Предпосылки!$H$203,$C$13:$C$15,AE$13:AE$15),1)</f>
        <v>0</v>
      </c>
      <c s="125">
        <f>Предпосылки!AE$230*Предпосылки!$F255*Продажи!AF20*AF$19*(1+Чувствительность!$D$20)*IFERROR(LOOKUP(Предпосылки!$H$203,$C$13:$C$15,AF$13:AF$15),1)</f>
        <v>0</v>
      </c>
      <c s="125">
        <f>Предпосылки!AF$230*Предпосылки!$F255*Продажи!AG20*AG$19*(1+Чувствительность!$D$20)*IFERROR(LOOKUP(Предпосылки!$H$203,$C$13:$C$15,AG$13:AG$15),1)</f>
        <v>0</v>
      </c>
      <c s="125">
        <f>Предпосылки!AG$230*Предпосылки!$F255*Продажи!AH20*AH$19*(1+Чувствительность!$D$20)*IFERROR(LOOKUP(Предпосылки!$H$203,$C$13:$C$15,AH$13:AH$15),1)</f>
        <v>0</v>
      </c>
      <c s="125">
        <f>Предпосылки!AH$230*Предпосылки!$F255*Продажи!AI20*AI$19*(1+Чувствительность!$D$20)*IFERROR(LOOKUP(Предпосылки!$H$203,$C$13:$C$15,AI$13:AI$15),1)</f>
        <v>0</v>
      </c>
      <c s="125">
        <f>Предпосылки!AI$230*Предпосылки!$F255*Продажи!AJ20*AJ$19*(1+Чувствительность!$D$20)*IFERROR(LOOKUP(Предпосылки!$H$203,$C$13:$C$15,AJ$13:AJ$15),1)</f>
        <v>0</v>
      </c>
      <c s="125">
        <f>Предпосылки!AJ$230*Предпосылки!$F255*Продажи!AK20*AK$19*(1+Чувствительность!$D$20)*IFERROR(LOOKUP(Предпосылки!$H$203,$C$13:$C$15,AK$13:AK$15),1)</f>
        <v>0</v>
      </c>
      <c s="125">
        <f>Предпосылки!AK$230*Предпосылки!$F255*Продажи!AL20*AL$19*(1+Чувствительность!$D$20)*IFERROR(LOOKUP(Предпосылки!$H$203,$C$13:$C$15,AL$13:AL$15),1)</f>
        <v>0</v>
      </c>
      <c s="125">
        <f>Предпосылки!AL$230*Предпосылки!$F255*Продажи!AM20*AM$19*(1+Чувствительность!$D$20)*IFERROR(LOOKUP(Предпосылки!$H$203,$C$13:$C$15,AM$13:AM$15),1)</f>
        <v>0</v>
      </c>
      <c s="125">
        <f>Предпосылки!AM$230*Предпосылки!$F255*Продажи!AN20*AN$19*(1+Чувствительность!$D$20)*IFERROR(LOOKUP(Предпосылки!$H$203,$C$13:$C$15,AN$13:AN$15),1)</f>
        <v>0</v>
      </c>
      <c s="125">
        <f>Предпосылки!AN$230*Предпосылки!$F255*Продажи!AO20*AO$19*(1+Чувствительность!$D$20)*IFERROR(LOOKUP(Предпосылки!$H$203,$C$13:$C$15,AO$13:AO$15),1)</f>
        <v>0</v>
      </c>
      <c s="125">
        <f>Предпосылки!AO$230*Предпосылки!$F255*Продажи!AP20*AP$19*(1+Чувствительность!$D$20)*IFERROR(LOOKUP(Предпосылки!$H$203,$C$13:$C$15,AP$13:AP$15),1)</f>
        <v>0</v>
      </c>
      <c s="125">
        <f>Предпосылки!AP$230*Предпосылки!$F255*Продажи!AQ20*AQ$19*(1+Чувствительность!$D$20)*IFERROR(LOOKUP(Предпосылки!$H$203,$C$13:$C$15,AQ$13:AQ$15),1)</f>
        <v>0</v>
      </c>
      <c s="125">
        <f>Предпосылки!AQ$230*Предпосылки!$F255*Продажи!AR20*AR$19*(1+Чувствительность!$D$20)*IFERROR(LOOKUP(Предпосылки!$H$203,$C$13:$C$15,AR$13:AR$15),1)</f>
        <v>0</v>
      </c>
      <c s="125">
        <f>Предпосылки!AR$230*Предпосылки!$F255*Продажи!AS20*AS$19*(1+Чувствительность!$D$20)*IFERROR(LOOKUP(Предпосылки!$H$203,$C$13:$C$15,AS$13:AS$15),1)</f>
        <v>0</v>
      </c>
      <c s="125">
        <f>Предпосылки!AS$230*Предпосылки!$F255*Продажи!AT20*AT$19*(1+Чувствительность!$D$20)*IFERROR(LOOKUP(Предпосылки!$H$203,$C$13:$C$15,AT$13:AT$15),1)</f>
        <v>0</v>
      </c>
      <c s="125">
        <f>Предпосылки!AT$230*Предпосылки!$F255*Продажи!AU20*AU$19*(1+Чувствительность!$D$20)*IFERROR(LOOKUP(Предпосылки!$H$203,$C$13:$C$15,AU$13:AU$15),1)</f>
        <v>0</v>
      </c>
      <c s="125">
        <f>Предпосылки!AU$230*Предпосылки!$F255*Продажи!AV20*AV$19*(1+Чувствительность!$D$20)*IFERROR(LOOKUP(Предпосылки!$H$203,$C$13:$C$15,AV$13:AV$15),1)</f>
        <v>0</v>
      </c>
      <c s="125">
        <f>Предпосылки!AV$230*Предпосылки!$F255*Продажи!AW20*AW$19*(1+Чувствительность!$D$20)*IFERROR(LOOKUP(Предпосылки!$H$203,$C$13:$C$15,AW$13:AW$15),1)</f>
        <v>0</v>
      </c>
      <c s="125">
        <f>Предпосылки!AW$230*Предпосылки!$F255*Продажи!AX20*AX$19*(1+Чувствительность!$D$20)*IFERROR(LOOKUP(Предпосылки!$H$203,$C$13:$C$15,AX$13:AX$15),1)</f>
        <v>0</v>
      </c>
      <c s="125">
        <f>Предпосылки!AX$230*Предпосылки!$F255*Продажи!AY20*AY$19*(1+Чувствительность!$D$20)*IFERROR(LOOKUP(Предпосылки!$H$203,$C$13:$C$15,AY$13:AY$15),1)</f>
        <v>0</v>
      </c>
      <c s="125">
        <f>Предпосылки!AY$230*Предпосылки!$F255*Продажи!AZ20*AZ$19*(1+Чувствительность!$D$20)*IFERROR(LOOKUP(Предпосылки!$H$203,$C$13:$C$15,AZ$13:AZ$15),1)</f>
        <v>0</v>
      </c>
      <c s="125">
        <f>Предпосылки!AZ$230*Предпосылки!$F255*Продажи!BA20*BA$19*(1+Чувствительность!$D$20)*IFERROR(LOOKUP(Предпосылки!$H$203,$C$13:$C$15,BA$13:BA$15),1)</f>
        <v>0</v>
      </c>
      <c s="125">
        <f>Предпосылки!BA$230*Предпосылки!$F255*Продажи!BB20*BB$19*(1+Чувствительность!$D$20)*IFERROR(LOOKUP(Предпосылки!$H$203,$C$13:$C$15,BB$13:BB$15),1)</f>
        <v>0</v>
      </c>
      <c s="125">
        <f>Предпосылки!BB$230*Предпосылки!$F255*Продажи!BC20*BC$19*(1+Чувствительность!$D$20)*IFERROR(LOOKUP(Предпосылки!$H$203,$C$13:$C$15,BC$13:BC$15),1)</f>
        <v>0</v>
      </c>
      <c s="125">
        <f>Предпосылки!BC$230*Предпосылки!$F255*Продажи!BD20*BD$19*(1+Чувствительность!$D$20)*IFERROR(LOOKUP(Предпосылки!$H$203,$C$13:$C$15,BD$13:BD$15),1)</f>
        <v>0</v>
      </c>
      <c s="125">
        <f>Предпосылки!BD$230*Предпосылки!$F255*Продажи!BE20*BE$19*(1+Чувствительность!$D$20)*IFERROR(LOOKUP(Предпосылки!$H$203,$C$13:$C$15,BE$13:BE$15),1)</f>
        <v>0</v>
      </c>
      <c s="125">
        <f>Предпосылки!BE$230*Предпосылки!$F255*Продажи!BF20*BF$19*(1+Чувствительность!$D$20)*IFERROR(LOOKUP(Предпосылки!$H$203,$C$13:$C$15,BF$13:BF$15),1)</f>
        <v>0</v>
      </c>
      <c s="125">
        <f>Предпосылки!BF$230*Предпосылки!$F255*Продажи!BG20*BG$19*(1+Чувствительность!$D$20)*IFERROR(LOOKUP(Предпосылки!$H$203,$C$13:$C$15,BG$13:BG$15),1)</f>
        <v>0</v>
      </c>
      <c s="125">
        <f>Предпосылки!BG$230*Предпосылки!$F255*Продажи!BH20*BH$19*(1+Чувствительность!$D$20)*IFERROR(LOOKUP(Предпосылки!$H$203,$C$13:$C$15,BH$13:BH$15),1)</f>
        <v>0</v>
      </c>
      <c s="125">
        <f>Предпосылки!BH$230*Предпосылки!$F255*Продажи!BI20*BI$19*(1+Чувствительность!$D$20)*IFERROR(LOOKUP(Предпосылки!$H$203,$C$13:$C$15,BI$13:BI$15),1)</f>
        <v>0</v>
      </c>
      <c s="125">
        <f>Предпосылки!BI$230*Предпосылки!$F255*Продажи!BJ20*BJ$19*(1+Чувствительность!$D$20)*IFERROR(LOOKUP(Предпосылки!$H$203,$C$13:$C$15,BJ$13:BJ$15),1)</f>
        <v>0</v>
      </c>
      <c s="125">
        <f>Предпосылки!BJ$230*Предпосылки!$F255*Продажи!BK20*BK$19*(1+Чувствительность!$D$20)*IFERROR(LOOKUP(Предпосылки!$H$203,$C$13:$C$15,BK$13:BK$15),1)</f>
        <v>0</v>
      </c>
      <c s="125">
        <f>Предпосылки!BK$230*Предпосылки!$F255*Продажи!BL20*BL$19*(1+Чувствительность!$D$20)*IFERROR(LOOKUP(Предпосылки!$H$203,$C$13:$C$15,BL$13:BL$15),1)</f>
        <v>0</v>
      </c>
      <c s="125">
        <f>Предпосылки!BL$230*Предпосылки!$F255*Продажи!BM20*BM$19*(1+Чувствительность!$D$20)*IFERROR(LOOKUP(Предпосылки!$H$203,$C$13:$C$15,BM$13:BM$15),1)</f>
        <v>0</v>
      </c>
    </row>
    <row r="72" spans="2:65" ht="15" customHeight="1">
      <c r="B72" s="12" t="str">
        <f t="shared" si="71"/>
        <v>Продукт 4</v>
      </c>
      <c s="124" t="str">
        <f t="shared" si="70"/>
        <v>тыс. руб.</v>
      </c>
      <c s="276">
        <f t="shared" si="72"/>
        <v>0</v>
      </c>
      <c s="125">
        <f>Предпосылки!D$230*Предпосылки!$F256*Продажи!E21*E$19*(1+Чувствительность!$D$20)*IFERROR(LOOKUP(Предпосылки!$H$203,$C$13:$C$15,E$13:E$15),1)</f>
        <v>0</v>
      </c>
      <c s="125">
        <f>Предпосылки!E$230*Предпосылки!$F256*Продажи!F21*F$19*(1+Чувствительность!$D$20)*IFERROR(LOOKUP(Предпосылки!$H$203,$C$13:$C$15,F$13:F$15),1)</f>
        <v>0</v>
      </c>
      <c s="125">
        <f>Предпосылки!F$230*Предпосылки!$F256*Продажи!G21*G$19*(1+Чувствительность!$D$20)*IFERROR(LOOKUP(Предпосылки!$H$203,$C$13:$C$15,G$13:G$15),1)</f>
        <v>0</v>
      </c>
      <c s="125">
        <f>Предпосылки!G$230*Предпосылки!$F256*Продажи!H21*H$19*(1+Чувствительность!$D$20)*IFERROR(LOOKUP(Предпосылки!$H$203,$C$13:$C$15,H$13:H$15),1)</f>
        <v>0</v>
      </c>
      <c s="125">
        <f>Предпосылки!H$230*Предпосылки!$F256*Продажи!I21*I$19*(1+Чувствительность!$D$20)*IFERROR(LOOKUP(Предпосылки!$H$203,$C$13:$C$15,I$13:I$15),1)</f>
        <v>0</v>
      </c>
      <c s="125">
        <f>Предпосылки!I$230*Предпосылки!$F256*Продажи!J21*J$19*(1+Чувствительность!$D$20)*IFERROR(LOOKUP(Предпосылки!$H$203,$C$13:$C$15,J$13:J$15),1)</f>
        <v>0</v>
      </c>
      <c s="125">
        <f>Предпосылки!J$230*Предпосылки!$F256*Продажи!K21*K$19*(1+Чувствительность!$D$20)*IFERROR(LOOKUP(Предпосылки!$H$203,$C$13:$C$15,K$13:K$15),1)</f>
        <v>0</v>
      </c>
      <c s="125">
        <f>Предпосылки!K$230*Предпосылки!$F256*Продажи!L21*L$19*(1+Чувствительность!$D$20)*IFERROR(LOOKUP(Предпосылки!$H$203,$C$13:$C$15,L$13:L$15),1)</f>
        <v>0</v>
      </c>
      <c s="125">
        <f>Предпосылки!L$230*Предпосылки!$F256*Продажи!M21*M$19*(1+Чувствительность!$D$20)*IFERROR(LOOKUP(Предпосылки!$H$203,$C$13:$C$15,M$13:M$15),1)</f>
        <v>0</v>
      </c>
      <c s="125">
        <f>Предпосылки!M$230*Предпосылки!$F256*Продажи!N21*N$19*(1+Чувствительность!$D$20)*IFERROR(LOOKUP(Предпосылки!$H$203,$C$13:$C$15,N$13:N$15),1)</f>
        <v>0</v>
      </c>
      <c s="125">
        <f>Предпосылки!N$230*Предпосылки!$F256*Продажи!O21*O$19*(1+Чувствительность!$D$20)*IFERROR(LOOKUP(Предпосылки!$H$203,$C$13:$C$15,O$13:O$15),1)</f>
        <v>0</v>
      </c>
      <c s="125">
        <f>Предпосылки!O$230*Предпосылки!$F256*Продажи!P21*P$19*(1+Чувствительность!$D$20)*IFERROR(LOOKUP(Предпосылки!$H$203,$C$13:$C$15,P$13:P$15),1)</f>
        <v>0</v>
      </c>
      <c s="125">
        <f>Предпосылки!P$230*Предпосылки!$F256*Продажи!Q21*Q$19*(1+Чувствительность!$D$20)*IFERROR(LOOKUP(Предпосылки!$H$203,$C$13:$C$15,Q$13:Q$15),1)</f>
        <v>0</v>
      </c>
      <c s="125">
        <f>Предпосылки!Q$230*Предпосылки!$F256*Продажи!R21*R$19*(1+Чувствительность!$D$20)*IFERROR(LOOKUP(Предпосылки!$H$203,$C$13:$C$15,R$13:R$15),1)</f>
        <v>0</v>
      </c>
      <c s="125">
        <f>Предпосылки!R$230*Предпосылки!$F256*Продажи!S21*S$19*(1+Чувствительность!$D$20)*IFERROR(LOOKUP(Предпосылки!$H$203,$C$13:$C$15,S$13:S$15),1)</f>
        <v>0</v>
      </c>
      <c s="125">
        <f>Предпосылки!S$230*Предпосылки!$F256*Продажи!T21*T$19*(1+Чувствительность!$D$20)*IFERROR(LOOKUP(Предпосылки!$H$203,$C$13:$C$15,T$13:T$15),1)</f>
        <v>0</v>
      </c>
      <c s="125">
        <f>Предпосылки!T$230*Предпосылки!$F256*Продажи!U21*U$19*(1+Чувствительность!$D$20)*IFERROR(LOOKUP(Предпосылки!$H$203,$C$13:$C$15,U$13:U$15),1)</f>
        <v>0</v>
      </c>
      <c s="125">
        <f>Предпосылки!U$230*Предпосылки!$F256*Продажи!V21*V$19*(1+Чувствительность!$D$20)*IFERROR(LOOKUP(Предпосылки!$H$203,$C$13:$C$15,V$13:V$15),1)</f>
        <v>0</v>
      </c>
      <c s="125">
        <f>Предпосылки!V$230*Предпосылки!$F256*Продажи!W21*W$19*(1+Чувствительность!$D$20)*IFERROR(LOOKUP(Предпосылки!$H$203,$C$13:$C$15,W$13:W$15),1)</f>
        <v>0</v>
      </c>
      <c s="125">
        <f>Предпосылки!W$230*Предпосылки!$F256*Продажи!X21*X$19*(1+Чувствительность!$D$20)*IFERROR(LOOKUP(Предпосылки!$H$203,$C$13:$C$15,X$13:X$15),1)</f>
        <v>0</v>
      </c>
      <c s="125">
        <f>Предпосылки!X$230*Предпосылки!$F256*Продажи!Y21*Y$19*(1+Чувствительность!$D$20)*IFERROR(LOOKUP(Предпосылки!$H$203,$C$13:$C$15,Y$13:Y$15),1)</f>
        <v>0</v>
      </c>
      <c s="125">
        <f>Предпосылки!Y$230*Предпосылки!$F256*Продажи!Z21*Z$19*(1+Чувствительность!$D$20)*IFERROR(LOOKUP(Предпосылки!$H$203,$C$13:$C$15,Z$13:Z$15),1)</f>
        <v>0</v>
      </c>
      <c s="125">
        <f>Предпосылки!Z$230*Предпосылки!$F256*Продажи!AA21*AA$19*(1+Чувствительность!$D$20)*IFERROR(LOOKUP(Предпосылки!$H$203,$C$13:$C$15,AA$13:AA$15),1)</f>
        <v>0</v>
      </c>
      <c s="125">
        <f>Предпосылки!AA$230*Предпосылки!$F256*Продажи!AB21*AB$19*(1+Чувствительность!$D$20)*IFERROR(LOOKUP(Предпосылки!$H$203,$C$13:$C$15,AB$13:AB$15),1)</f>
        <v>0</v>
      </c>
      <c s="125">
        <f>Предпосылки!AB$230*Предпосылки!$F256*Продажи!AC21*AC$19*(1+Чувствительность!$D$20)*IFERROR(LOOKUP(Предпосылки!$H$203,$C$13:$C$15,AC$13:AC$15),1)</f>
        <v>0</v>
      </c>
      <c s="125">
        <f>Предпосылки!AC$230*Предпосылки!$F256*Продажи!AD21*AD$19*(1+Чувствительность!$D$20)*IFERROR(LOOKUP(Предпосылки!$H$203,$C$13:$C$15,AD$13:AD$15),1)</f>
        <v>0</v>
      </c>
      <c s="125">
        <f>Предпосылки!AD$230*Предпосылки!$F256*Продажи!AE21*AE$19*(1+Чувствительность!$D$20)*IFERROR(LOOKUP(Предпосылки!$H$203,$C$13:$C$15,AE$13:AE$15),1)</f>
        <v>0</v>
      </c>
      <c s="125">
        <f>Предпосылки!AE$230*Предпосылки!$F256*Продажи!AF21*AF$19*(1+Чувствительность!$D$20)*IFERROR(LOOKUP(Предпосылки!$H$203,$C$13:$C$15,AF$13:AF$15),1)</f>
        <v>0</v>
      </c>
      <c s="125">
        <f>Предпосылки!AF$230*Предпосылки!$F256*Продажи!AG21*AG$19*(1+Чувствительность!$D$20)*IFERROR(LOOKUP(Предпосылки!$H$203,$C$13:$C$15,AG$13:AG$15),1)</f>
        <v>0</v>
      </c>
      <c s="125">
        <f>Предпосылки!AG$230*Предпосылки!$F256*Продажи!AH21*AH$19*(1+Чувствительность!$D$20)*IFERROR(LOOKUP(Предпосылки!$H$203,$C$13:$C$15,AH$13:AH$15),1)</f>
        <v>0</v>
      </c>
      <c s="125">
        <f>Предпосылки!AH$230*Предпосылки!$F256*Продажи!AI21*AI$19*(1+Чувствительность!$D$20)*IFERROR(LOOKUP(Предпосылки!$H$203,$C$13:$C$15,AI$13:AI$15),1)</f>
        <v>0</v>
      </c>
      <c s="125">
        <f>Предпосылки!AI$230*Предпосылки!$F256*Продажи!AJ21*AJ$19*(1+Чувствительность!$D$20)*IFERROR(LOOKUP(Предпосылки!$H$203,$C$13:$C$15,AJ$13:AJ$15),1)</f>
        <v>0</v>
      </c>
      <c s="125">
        <f>Предпосылки!AJ$230*Предпосылки!$F256*Продажи!AK21*AK$19*(1+Чувствительность!$D$20)*IFERROR(LOOKUP(Предпосылки!$H$203,$C$13:$C$15,AK$13:AK$15),1)</f>
        <v>0</v>
      </c>
      <c s="125">
        <f>Предпосылки!AK$230*Предпосылки!$F256*Продажи!AL21*AL$19*(1+Чувствительность!$D$20)*IFERROR(LOOKUP(Предпосылки!$H$203,$C$13:$C$15,AL$13:AL$15),1)</f>
        <v>0</v>
      </c>
      <c s="125">
        <f>Предпосылки!AL$230*Предпосылки!$F256*Продажи!AM21*AM$19*(1+Чувствительность!$D$20)*IFERROR(LOOKUP(Предпосылки!$H$203,$C$13:$C$15,AM$13:AM$15),1)</f>
        <v>0</v>
      </c>
      <c s="125">
        <f>Предпосылки!AM$230*Предпосылки!$F256*Продажи!AN21*AN$19*(1+Чувствительность!$D$20)*IFERROR(LOOKUP(Предпосылки!$H$203,$C$13:$C$15,AN$13:AN$15),1)</f>
        <v>0</v>
      </c>
      <c s="125">
        <f>Предпосылки!AN$230*Предпосылки!$F256*Продажи!AO21*AO$19*(1+Чувствительность!$D$20)*IFERROR(LOOKUP(Предпосылки!$H$203,$C$13:$C$15,AO$13:AO$15),1)</f>
        <v>0</v>
      </c>
      <c s="125">
        <f>Предпосылки!AO$230*Предпосылки!$F256*Продажи!AP21*AP$19*(1+Чувствительность!$D$20)*IFERROR(LOOKUP(Предпосылки!$H$203,$C$13:$C$15,AP$13:AP$15),1)</f>
        <v>0</v>
      </c>
      <c s="125">
        <f>Предпосылки!AP$230*Предпосылки!$F256*Продажи!AQ21*AQ$19*(1+Чувствительность!$D$20)*IFERROR(LOOKUP(Предпосылки!$H$203,$C$13:$C$15,AQ$13:AQ$15),1)</f>
        <v>0</v>
      </c>
      <c s="125">
        <f>Предпосылки!AQ$230*Предпосылки!$F256*Продажи!AR21*AR$19*(1+Чувствительность!$D$20)*IFERROR(LOOKUP(Предпосылки!$H$203,$C$13:$C$15,AR$13:AR$15),1)</f>
        <v>0</v>
      </c>
      <c s="125">
        <f>Предпосылки!AR$230*Предпосылки!$F256*Продажи!AS21*AS$19*(1+Чувствительность!$D$20)*IFERROR(LOOKUP(Предпосылки!$H$203,$C$13:$C$15,AS$13:AS$15),1)</f>
        <v>0</v>
      </c>
      <c s="125">
        <f>Предпосылки!AS$230*Предпосылки!$F256*Продажи!AT21*AT$19*(1+Чувствительность!$D$20)*IFERROR(LOOKUP(Предпосылки!$H$203,$C$13:$C$15,AT$13:AT$15),1)</f>
        <v>0</v>
      </c>
      <c s="125">
        <f>Предпосылки!AT$230*Предпосылки!$F256*Продажи!AU21*AU$19*(1+Чувствительность!$D$20)*IFERROR(LOOKUP(Предпосылки!$H$203,$C$13:$C$15,AU$13:AU$15),1)</f>
        <v>0</v>
      </c>
      <c s="125">
        <f>Предпосылки!AU$230*Предпосылки!$F256*Продажи!AV21*AV$19*(1+Чувствительность!$D$20)*IFERROR(LOOKUP(Предпосылки!$H$203,$C$13:$C$15,AV$13:AV$15),1)</f>
        <v>0</v>
      </c>
      <c s="125">
        <f>Предпосылки!AV$230*Предпосылки!$F256*Продажи!AW21*AW$19*(1+Чувствительность!$D$20)*IFERROR(LOOKUP(Предпосылки!$H$203,$C$13:$C$15,AW$13:AW$15),1)</f>
        <v>0</v>
      </c>
      <c s="125">
        <f>Предпосылки!AW$230*Предпосылки!$F256*Продажи!AX21*AX$19*(1+Чувствительность!$D$20)*IFERROR(LOOKUP(Предпосылки!$H$203,$C$13:$C$15,AX$13:AX$15),1)</f>
        <v>0</v>
      </c>
      <c s="125">
        <f>Предпосылки!AX$230*Предпосылки!$F256*Продажи!AY21*AY$19*(1+Чувствительность!$D$20)*IFERROR(LOOKUP(Предпосылки!$H$203,$C$13:$C$15,AY$13:AY$15),1)</f>
        <v>0</v>
      </c>
      <c s="125">
        <f>Предпосылки!AY$230*Предпосылки!$F256*Продажи!AZ21*AZ$19*(1+Чувствительность!$D$20)*IFERROR(LOOKUP(Предпосылки!$H$203,$C$13:$C$15,AZ$13:AZ$15),1)</f>
        <v>0</v>
      </c>
      <c s="125">
        <f>Предпосылки!AZ$230*Предпосылки!$F256*Продажи!BA21*BA$19*(1+Чувствительность!$D$20)*IFERROR(LOOKUP(Предпосылки!$H$203,$C$13:$C$15,BA$13:BA$15),1)</f>
        <v>0</v>
      </c>
      <c s="125">
        <f>Предпосылки!BA$230*Предпосылки!$F256*Продажи!BB21*BB$19*(1+Чувствительность!$D$20)*IFERROR(LOOKUP(Предпосылки!$H$203,$C$13:$C$15,BB$13:BB$15),1)</f>
        <v>0</v>
      </c>
      <c s="125">
        <f>Предпосылки!BB$230*Предпосылки!$F256*Продажи!BC21*BC$19*(1+Чувствительность!$D$20)*IFERROR(LOOKUP(Предпосылки!$H$203,$C$13:$C$15,BC$13:BC$15),1)</f>
        <v>0</v>
      </c>
      <c s="125">
        <f>Предпосылки!BC$230*Предпосылки!$F256*Продажи!BD21*BD$19*(1+Чувствительность!$D$20)*IFERROR(LOOKUP(Предпосылки!$H$203,$C$13:$C$15,BD$13:BD$15),1)</f>
        <v>0</v>
      </c>
      <c s="125">
        <f>Предпосылки!BD$230*Предпосылки!$F256*Продажи!BE21*BE$19*(1+Чувствительность!$D$20)*IFERROR(LOOKUP(Предпосылки!$H$203,$C$13:$C$15,BE$13:BE$15),1)</f>
        <v>0</v>
      </c>
      <c s="125">
        <f>Предпосылки!BE$230*Предпосылки!$F256*Продажи!BF21*BF$19*(1+Чувствительность!$D$20)*IFERROR(LOOKUP(Предпосылки!$H$203,$C$13:$C$15,BF$13:BF$15),1)</f>
        <v>0</v>
      </c>
      <c s="125">
        <f>Предпосылки!BF$230*Предпосылки!$F256*Продажи!BG21*BG$19*(1+Чувствительность!$D$20)*IFERROR(LOOKUP(Предпосылки!$H$203,$C$13:$C$15,BG$13:BG$15),1)</f>
        <v>0</v>
      </c>
      <c s="125">
        <f>Предпосылки!BG$230*Предпосылки!$F256*Продажи!BH21*BH$19*(1+Чувствительность!$D$20)*IFERROR(LOOKUP(Предпосылки!$H$203,$C$13:$C$15,BH$13:BH$15),1)</f>
        <v>0</v>
      </c>
      <c s="125">
        <f>Предпосылки!BH$230*Предпосылки!$F256*Продажи!BI21*BI$19*(1+Чувствительность!$D$20)*IFERROR(LOOKUP(Предпосылки!$H$203,$C$13:$C$15,BI$13:BI$15),1)</f>
        <v>0</v>
      </c>
      <c s="125">
        <f>Предпосылки!BI$230*Предпосылки!$F256*Продажи!BJ21*BJ$19*(1+Чувствительность!$D$20)*IFERROR(LOOKUP(Предпосылки!$H$203,$C$13:$C$15,BJ$13:BJ$15),1)</f>
        <v>0</v>
      </c>
      <c s="125">
        <f>Предпосылки!BJ$230*Предпосылки!$F256*Продажи!BK21*BK$19*(1+Чувствительность!$D$20)*IFERROR(LOOKUP(Предпосылки!$H$203,$C$13:$C$15,BK$13:BK$15),1)</f>
        <v>0</v>
      </c>
      <c s="125">
        <f>Предпосылки!BK$230*Предпосылки!$F256*Продажи!BL21*BL$19*(1+Чувствительность!$D$20)*IFERROR(LOOKUP(Предпосылки!$H$203,$C$13:$C$15,BL$13:BL$15),1)</f>
        <v>0</v>
      </c>
      <c s="125">
        <f>Предпосылки!BL$230*Предпосылки!$F256*Продажи!BM21*BM$19*(1+Чувствительность!$D$20)*IFERROR(LOOKUP(Предпосылки!$H$203,$C$13:$C$15,BM$13:BM$15),1)</f>
        <v>0</v>
      </c>
    </row>
    <row r="73" spans="2:65" ht="15" customHeight="1">
      <c r="B73" s="12" t="str">
        <f t="shared" si="71"/>
        <v>Продукт 5</v>
      </c>
      <c s="124" t="str">
        <f t="shared" si="70"/>
        <v>тыс. руб.</v>
      </c>
      <c s="276">
        <f t="shared" si="72"/>
        <v>0</v>
      </c>
      <c s="125">
        <f>Предпосылки!D$230*Предпосылки!$F257*Продажи!E22*E$19*(1+Чувствительность!$D$20)*IFERROR(LOOKUP(Предпосылки!$H$203,$C$13:$C$15,E$13:E$15),1)</f>
        <v>0</v>
      </c>
      <c s="125">
        <f>Предпосылки!E$230*Предпосылки!$F257*Продажи!F22*F$19*(1+Чувствительность!$D$20)*IFERROR(LOOKUP(Предпосылки!$H$203,$C$13:$C$15,F$13:F$15),1)</f>
        <v>0</v>
      </c>
      <c s="125">
        <f>Предпосылки!F$230*Предпосылки!$F257*Продажи!G22*G$19*(1+Чувствительность!$D$20)*IFERROR(LOOKUP(Предпосылки!$H$203,$C$13:$C$15,G$13:G$15),1)</f>
        <v>0</v>
      </c>
      <c s="125">
        <f>Предпосылки!G$230*Предпосылки!$F257*Продажи!H22*H$19*(1+Чувствительность!$D$20)*IFERROR(LOOKUP(Предпосылки!$H$203,$C$13:$C$15,H$13:H$15),1)</f>
        <v>0</v>
      </c>
      <c s="125">
        <f>Предпосылки!H$230*Предпосылки!$F257*Продажи!I22*I$19*(1+Чувствительность!$D$20)*IFERROR(LOOKUP(Предпосылки!$H$203,$C$13:$C$15,I$13:I$15),1)</f>
        <v>0</v>
      </c>
      <c s="125">
        <f>Предпосылки!I$230*Предпосылки!$F257*Продажи!J22*J$19*(1+Чувствительность!$D$20)*IFERROR(LOOKUP(Предпосылки!$H$203,$C$13:$C$15,J$13:J$15),1)</f>
        <v>0</v>
      </c>
      <c s="125">
        <f>Предпосылки!J$230*Предпосылки!$F257*Продажи!K22*K$19*(1+Чувствительность!$D$20)*IFERROR(LOOKUP(Предпосылки!$H$203,$C$13:$C$15,K$13:K$15),1)</f>
        <v>0</v>
      </c>
      <c s="125">
        <f>Предпосылки!K$230*Предпосылки!$F257*Продажи!L22*L$19*(1+Чувствительность!$D$20)*IFERROR(LOOKUP(Предпосылки!$H$203,$C$13:$C$15,L$13:L$15),1)</f>
        <v>0</v>
      </c>
      <c s="125">
        <f>Предпосылки!L$230*Предпосылки!$F257*Продажи!M22*M$19*(1+Чувствительность!$D$20)*IFERROR(LOOKUP(Предпосылки!$H$203,$C$13:$C$15,M$13:M$15),1)</f>
        <v>0</v>
      </c>
      <c s="125">
        <f>Предпосылки!M$230*Предпосылки!$F257*Продажи!N22*N$19*(1+Чувствительность!$D$20)*IFERROR(LOOKUP(Предпосылки!$H$203,$C$13:$C$15,N$13:N$15),1)</f>
        <v>0</v>
      </c>
      <c s="125">
        <f>Предпосылки!N$230*Предпосылки!$F257*Продажи!O22*O$19*(1+Чувствительность!$D$20)*IFERROR(LOOKUP(Предпосылки!$H$203,$C$13:$C$15,O$13:O$15),1)</f>
        <v>0</v>
      </c>
      <c s="125">
        <f>Предпосылки!O$230*Предпосылки!$F257*Продажи!P22*P$19*(1+Чувствительность!$D$20)*IFERROR(LOOKUP(Предпосылки!$H$203,$C$13:$C$15,P$13:P$15),1)</f>
        <v>0</v>
      </c>
      <c s="125">
        <f>Предпосылки!P$230*Предпосылки!$F257*Продажи!Q22*Q$19*(1+Чувствительность!$D$20)*IFERROR(LOOKUP(Предпосылки!$H$203,$C$13:$C$15,Q$13:Q$15),1)</f>
        <v>0</v>
      </c>
      <c s="125">
        <f>Предпосылки!Q$230*Предпосылки!$F257*Продажи!R22*R$19*(1+Чувствительность!$D$20)*IFERROR(LOOKUP(Предпосылки!$H$203,$C$13:$C$15,R$13:R$15),1)</f>
        <v>0</v>
      </c>
      <c s="125">
        <f>Предпосылки!R$230*Предпосылки!$F257*Продажи!S22*S$19*(1+Чувствительность!$D$20)*IFERROR(LOOKUP(Предпосылки!$H$203,$C$13:$C$15,S$13:S$15),1)</f>
        <v>0</v>
      </c>
      <c s="125">
        <f>Предпосылки!S$230*Предпосылки!$F257*Продажи!T22*T$19*(1+Чувствительность!$D$20)*IFERROR(LOOKUP(Предпосылки!$H$203,$C$13:$C$15,T$13:T$15),1)</f>
        <v>0</v>
      </c>
      <c s="125">
        <f>Предпосылки!T$230*Предпосылки!$F257*Продажи!U22*U$19*(1+Чувствительность!$D$20)*IFERROR(LOOKUP(Предпосылки!$H$203,$C$13:$C$15,U$13:U$15),1)</f>
        <v>0</v>
      </c>
      <c s="125">
        <f>Предпосылки!U$230*Предпосылки!$F257*Продажи!V22*V$19*(1+Чувствительность!$D$20)*IFERROR(LOOKUP(Предпосылки!$H$203,$C$13:$C$15,V$13:V$15),1)</f>
        <v>0</v>
      </c>
      <c s="125">
        <f>Предпосылки!V$230*Предпосылки!$F257*Продажи!W22*W$19*(1+Чувствительность!$D$20)*IFERROR(LOOKUP(Предпосылки!$H$203,$C$13:$C$15,W$13:W$15),1)</f>
        <v>0</v>
      </c>
      <c s="125">
        <f>Предпосылки!W$230*Предпосылки!$F257*Продажи!X22*X$19*(1+Чувствительность!$D$20)*IFERROR(LOOKUP(Предпосылки!$H$203,$C$13:$C$15,X$13:X$15),1)</f>
        <v>0</v>
      </c>
      <c s="125">
        <f>Предпосылки!X$230*Предпосылки!$F257*Продажи!Y22*Y$19*(1+Чувствительность!$D$20)*IFERROR(LOOKUP(Предпосылки!$H$203,$C$13:$C$15,Y$13:Y$15),1)</f>
        <v>0</v>
      </c>
      <c s="125">
        <f>Предпосылки!Y$230*Предпосылки!$F257*Продажи!Z22*Z$19*(1+Чувствительность!$D$20)*IFERROR(LOOKUP(Предпосылки!$H$203,$C$13:$C$15,Z$13:Z$15),1)</f>
        <v>0</v>
      </c>
      <c s="125">
        <f>Предпосылки!Z$230*Предпосылки!$F257*Продажи!AA22*AA$19*(1+Чувствительность!$D$20)*IFERROR(LOOKUP(Предпосылки!$H$203,$C$13:$C$15,AA$13:AA$15),1)</f>
        <v>0</v>
      </c>
      <c s="125">
        <f>Предпосылки!AA$230*Предпосылки!$F257*Продажи!AB22*AB$19*(1+Чувствительность!$D$20)*IFERROR(LOOKUP(Предпосылки!$H$203,$C$13:$C$15,AB$13:AB$15),1)</f>
        <v>0</v>
      </c>
      <c s="125">
        <f>Предпосылки!AB$230*Предпосылки!$F257*Продажи!AC22*AC$19*(1+Чувствительность!$D$20)*IFERROR(LOOKUP(Предпосылки!$H$203,$C$13:$C$15,AC$13:AC$15),1)</f>
        <v>0</v>
      </c>
      <c s="125">
        <f>Предпосылки!AC$230*Предпосылки!$F257*Продажи!AD22*AD$19*(1+Чувствительность!$D$20)*IFERROR(LOOKUP(Предпосылки!$H$203,$C$13:$C$15,AD$13:AD$15),1)</f>
        <v>0</v>
      </c>
      <c s="125">
        <f>Предпосылки!AD$230*Предпосылки!$F257*Продажи!AE22*AE$19*(1+Чувствительность!$D$20)*IFERROR(LOOKUP(Предпосылки!$H$203,$C$13:$C$15,AE$13:AE$15),1)</f>
        <v>0</v>
      </c>
      <c s="125">
        <f>Предпосылки!AE$230*Предпосылки!$F257*Продажи!AF22*AF$19*(1+Чувствительность!$D$20)*IFERROR(LOOKUP(Предпосылки!$H$203,$C$13:$C$15,AF$13:AF$15),1)</f>
        <v>0</v>
      </c>
      <c s="125">
        <f>Предпосылки!AF$230*Предпосылки!$F257*Продажи!AG22*AG$19*(1+Чувствительность!$D$20)*IFERROR(LOOKUP(Предпосылки!$H$203,$C$13:$C$15,AG$13:AG$15),1)</f>
        <v>0</v>
      </c>
      <c s="125">
        <f>Предпосылки!AG$230*Предпосылки!$F257*Продажи!AH22*AH$19*(1+Чувствительность!$D$20)*IFERROR(LOOKUP(Предпосылки!$H$203,$C$13:$C$15,AH$13:AH$15),1)</f>
        <v>0</v>
      </c>
      <c s="125">
        <f>Предпосылки!AH$230*Предпосылки!$F257*Продажи!AI22*AI$19*(1+Чувствительность!$D$20)*IFERROR(LOOKUP(Предпосылки!$H$203,$C$13:$C$15,AI$13:AI$15),1)</f>
        <v>0</v>
      </c>
      <c s="125">
        <f>Предпосылки!AI$230*Предпосылки!$F257*Продажи!AJ22*AJ$19*(1+Чувствительность!$D$20)*IFERROR(LOOKUP(Предпосылки!$H$203,$C$13:$C$15,AJ$13:AJ$15),1)</f>
        <v>0</v>
      </c>
      <c s="125">
        <f>Предпосылки!AJ$230*Предпосылки!$F257*Продажи!AK22*AK$19*(1+Чувствительность!$D$20)*IFERROR(LOOKUP(Предпосылки!$H$203,$C$13:$C$15,AK$13:AK$15),1)</f>
        <v>0</v>
      </c>
      <c s="125">
        <f>Предпосылки!AK$230*Предпосылки!$F257*Продажи!AL22*AL$19*(1+Чувствительность!$D$20)*IFERROR(LOOKUP(Предпосылки!$H$203,$C$13:$C$15,AL$13:AL$15),1)</f>
        <v>0</v>
      </c>
      <c s="125">
        <f>Предпосылки!AL$230*Предпосылки!$F257*Продажи!AM22*AM$19*(1+Чувствительность!$D$20)*IFERROR(LOOKUP(Предпосылки!$H$203,$C$13:$C$15,AM$13:AM$15),1)</f>
        <v>0</v>
      </c>
      <c s="125">
        <f>Предпосылки!AM$230*Предпосылки!$F257*Продажи!AN22*AN$19*(1+Чувствительность!$D$20)*IFERROR(LOOKUP(Предпосылки!$H$203,$C$13:$C$15,AN$13:AN$15),1)</f>
        <v>0</v>
      </c>
      <c s="125">
        <f>Предпосылки!AN$230*Предпосылки!$F257*Продажи!AO22*AO$19*(1+Чувствительность!$D$20)*IFERROR(LOOKUP(Предпосылки!$H$203,$C$13:$C$15,AO$13:AO$15),1)</f>
        <v>0</v>
      </c>
      <c s="125">
        <f>Предпосылки!AO$230*Предпосылки!$F257*Продажи!AP22*AP$19*(1+Чувствительность!$D$20)*IFERROR(LOOKUP(Предпосылки!$H$203,$C$13:$C$15,AP$13:AP$15),1)</f>
        <v>0</v>
      </c>
      <c s="125">
        <f>Предпосылки!AP$230*Предпосылки!$F257*Продажи!AQ22*AQ$19*(1+Чувствительность!$D$20)*IFERROR(LOOKUP(Предпосылки!$H$203,$C$13:$C$15,AQ$13:AQ$15),1)</f>
        <v>0</v>
      </c>
      <c s="125">
        <f>Предпосылки!AQ$230*Предпосылки!$F257*Продажи!AR22*AR$19*(1+Чувствительность!$D$20)*IFERROR(LOOKUP(Предпосылки!$H$203,$C$13:$C$15,AR$13:AR$15),1)</f>
        <v>0</v>
      </c>
      <c s="125">
        <f>Предпосылки!AR$230*Предпосылки!$F257*Продажи!AS22*AS$19*(1+Чувствительность!$D$20)*IFERROR(LOOKUP(Предпосылки!$H$203,$C$13:$C$15,AS$13:AS$15),1)</f>
        <v>0</v>
      </c>
      <c s="125">
        <f>Предпосылки!AS$230*Предпосылки!$F257*Продажи!AT22*AT$19*(1+Чувствительность!$D$20)*IFERROR(LOOKUP(Предпосылки!$H$203,$C$13:$C$15,AT$13:AT$15),1)</f>
        <v>0</v>
      </c>
      <c s="125">
        <f>Предпосылки!AT$230*Предпосылки!$F257*Продажи!AU22*AU$19*(1+Чувствительность!$D$20)*IFERROR(LOOKUP(Предпосылки!$H$203,$C$13:$C$15,AU$13:AU$15),1)</f>
        <v>0</v>
      </c>
      <c s="125">
        <f>Предпосылки!AU$230*Предпосылки!$F257*Продажи!AV22*AV$19*(1+Чувствительность!$D$20)*IFERROR(LOOKUP(Предпосылки!$H$203,$C$13:$C$15,AV$13:AV$15),1)</f>
        <v>0</v>
      </c>
      <c s="125">
        <f>Предпосылки!AV$230*Предпосылки!$F257*Продажи!AW22*AW$19*(1+Чувствительность!$D$20)*IFERROR(LOOKUP(Предпосылки!$H$203,$C$13:$C$15,AW$13:AW$15),1)</f>
        <v>0</v>
      </c>
      <c s="125">
        <f>Предпосылки!AW$230*Предпосылки!$F257*Продажи!AX22*AX$19*(1+Чувствительность!$D$20)*IFERROR(LOOKUP(Предпосылки!$H$203,$C$13:$C$15,AX$13:AX$15),1)</f>
        <v>0</v>
      </c>
      <c s="125">
        <f>Предпосылки!AX$230*Предпосылки!$F257*Продажи!AY22*AY$19*(1+Чувствительность!$D$20)*IFERROR(LOOKUP(Предпосылки!$H$203,$C$13:$C$15,AY$13:AY$15),1)</f>
        <v>0</v>
      </c>
      <c s="125">
        <f>Предпосылки!AY$230*Предпосылки!$F257*Продажи!AZ22*AZ$19*(1+Чувствительность!$D$20)*IFERROR(LOOKUP(Предпосылки!$H$203,$C$13:$C$15,AZ$13:AZ$15),1)</f>
        <v>0</v>
      </c>
      <c s="125">
        <f>Предпосылки!AZ$230*Предпосылки!$F257*Продажи!BA22*BA$19*(1+Чувствительность!$D$20)*IFERROR(LOOKUP(Предпосылки!$H$203,$C$13:$C$15,BA$13:BA$15),1)</f>
        <v>0</v>
      </c>
      <c s="125">
        <f>Предпосылки!BA$230*Предпосылки!$F257*Продажи!BB22*BB$19*(1+Чувствительность!$D$20)*IFERROR(LOOKUP(Предпосылки!$H$203,$C$13:$C$15,BB$13:BB$15),1)</f>
        <v>0</v>
      </c>
      <c s="125">
        <f>Предпосылки!BB$230*Предпосылки!$F257*Продажи!BC22*BC$19*(1+Чувствительность!$D$20)*IFERROR(LOOKUP(Предпосылки!$H$203,$C$13:$C$15,BC$13:BC$15),1)</f>
        <v>0</v>
      </c>
      <c s="125">
        <f>Предпосылки!BC$230*Предпосылки!$F257*Продажи!BD22*BD$19*(1+Чувствительность!$D$20)*IFERROR(LOOKUP(Предпосылки!$H$203,$C$13:$C$15,BD$13:BD$15),1)</f>
        <v>0</v>
      </c>
      <c s="125">
        <f>Предпосылки!BD$230*Предпосылки!$F257*Продажи!BE22*BE$19*(1+Чувствительность!$D$20)*IFERROR(LOOKUP(Предпосылки!$H$203,$C$13:$C$15,BE$13:BE$15),1)</f>
        <v>0</v>
      </c>
      <c s="125">
        <f>Предпосылки!BE$230*Предпосылки!$F257*Продажи!BF22*BF$19*(1+Чувствительность!$D$20)*IFERROR(LOOKUP(Предпосылки!$H$203,$C$13:$C$15,BF$13:BF$15),1)</f>
        <v>0</v>
      </c>
      <c s="125">
        <f>Предпосылки!BF$230*Предпосылки!$F257*Продажи!BG22*BG$19*(1+Чувствительность!$D$20)*IFERROR(LOOKUP(Предпосылки!$H$203,$C$13:$C$15,BG$13:BG$15),1)</f>
        <v>0</v>
      </c>
      <c s="125">
        <f>Предпосылки!BG$230*Предпосылки!$F257*Продажи!BH22*BH$19*(1+Чувствительность!$D$20)*IFERROR(LOOKUP(Предпосылки!$H$203,$C$13:$C$15,BH$13:BH$15),1)</f>
        <v>0</v>
      </c>
      <c s="125">
        <f>Предпосылки!BH$230*Предпосылки!$F257*Продажи!BI22*BI$19*(1+Чувствительность!$D$20)*IFERROR(LOOKUP(Предпосылки!$H$203,$C$13:$C$15,BI$13:BI$15),1)</f>
        <v>0</v>
      </c>
      <c s="125">
        <f>Предпосылки!BI$230*Предпосылки!$F257*Продажи!BJ22*BJ$19*(1+Чувствительность!$D$20)*IFERROR(LOOKUP(Предпосылки!$H$203,$C$13:$C$15,BJ$13:BJ$15),1)</f>
        <v>0</v>
      </c>
      <c s="125">
        <f>Предпосылки!BJ$230*Предпосылки!$F257*Продажи!BK22*BK$19*(1+Чувствительность!$D$20)*IFERROR(LOOKUP(Предпосылки!$H$203,$C$13:$C$15,BK$13:BK$15),1)</f>
        <v>0</v>
      </c>
      <c s="125">
        <f>Предпосылки!BK$230*Предпосылки!$F257*Продажи!BL22*BL$19*(1+Чувствительность!$D$20)*IFERROR(LOOKUP(Предпосылки!$H$203,$C$13:$C$15,BL$13:BL$15),1)</f>
        <v>0</v>
      </c>
      <c s="125">
        <f>Предпосылки!BL$230*Предпосылки!$F257*Продажи!BM22*BM$19*(1+Чувствительность!$D$20)*IFERROR(LOOKUP(Предпосылки!$H$203,$C$13:$C$15,BM$13:BM$15),1)</f>
        <v>0</v>
      </c>
    </row>
    <row r="74" spans="2:65" ht="15" customHeight="1">
      <c r="B74" s="12" t="str">
        <f t="shared" si="71"/>
        <v>Продукт 6</v>
      </c>
      <c s="124" t="str">
        <f t="shared" si="70"/>
        <v>тыс. руб.</v>
      </c>
      <c s="276">
        <f t="shared" si="72"/>
        <v>0</v>
      </c>
      <c s="125">
        <f>Предпосылки!D$230*Предпосылки!$F258*Продажи!E23*E$19*(1+Чувствительность!$D$20)*IFERROR(LOOKUP(Предпосылки!$H$203,$C$13:$C$15,E$13:E$15),1)</f>
        <v>0</v>
      </c>
      <c s="125">
        <f>Предпосылки!E$230*Предпосылки!$F258*Продажи!F23*F$19*(1+Чувствительность!$D$20)*IFERROR(LOOKUP(Предпосылки!$H$203,$C$13:$C$15,F$13:F$15),1)</f>
        <v>0</v>
      </c>
      <c s="125">
        <f>Предпосылки!F$230*Предпосылки!$F258*Продажи!G23*G$19*(1+Чувствительность!$D$20)*IFERROR(LOOKUP(Предпосылки!$H$203,$C$13:$C$15,G$13:G$15),1)</f>
        <v>0</v>
      </c>
      <c s="125">
        <f>Предпосылки!G$230*Предпосылки!$F258*Продажи!H23*H$19*(1+Чувствительность!$D$20)*IFERROR(LOOKUP(Предпосылки!$H$203,$C$13:$C$15,H$13:H$15),1)</f>
        <v>0</v>
      </c>
      <c s="125">
        <f>Предпосылки!H$230*Предпосылки!$F258*Продажи!I23*I$19*(1+Чувствительность!$D$20)*IFERROR(LOOKUP(Предпосылки!$H$203,$C$13:$C$15,I$13:I$15),1)</f>
        <v>0</v>
      </c>
      <c s="125">
        <f>Предпосылки!I$230*Предпосылки!$F258*Продажи!J23*J$19*(1+Чувствительность!$D$20)*IFERROR(LOOKUP(Предпосылки!$H$203,$C$13:$C$15,J$13:J$15),1)</f>
        <v>0</v>
      </c>
      <c s="125">
        <f>Предпосылки!J$230*Предпосылки!$F258*Продажи!K23*K$19*(1+Чувствительность!$D$20)*IFERROR(LOOKUP(Предпосылки!$H$203,$C$13:$C$15,K$13:K$15),1)</f>
        <v>0</v>
      </c>
      <c s="125">
        <f>Предпосылки!K$230*Предпосылки!$F258*Продажи!L23*L$19*(1+Чувствительность!$D$20)*IFERROR(LOOKUP(Предпосылки!$H$203,$C$13:$C$15,L$13:L$15),1)</f>
        <v>0</v>
      </c>
      <c s="125">
        <f>Предпосылки!L$230*Предпосылки!$F258*Продажи!M23*M$19*(1+Чувствительность!$D$20)*IFERROR(LOOKUP(Предпосылки!$H$203,$C$13:$C$15,M$13:M$15),1)</f>
        <v>0</v>
      </c>
      <c s="125">
        <f>Предпосылки!M$230*Предпосылки!$F258*Продажи!N23*N$19*(1+Чувствительность!$D$20)*IFERROR(LOOKUP(Предпосылки!$H$203,$C$13:$C$15,N$13:N$15),1)</f>
        <v>0</v>
      </c>
      <c s="125">
        <f>Предпосылки!N$230*Предпосылки!$F258*Продажи!O23*O$19*(1+Чувствительность!$D$20)*IFERROR(LOOKUP(Предпосылки!$H$203,$C$13:$C$15,O$13:O$15),1)</f>
        <v>0</v>
      </c>
      <c s="125">
        <f>Предпосылки!O$230*Предпосылки!$F258*Продажи!P23*P$19*(1+Чувствительность!$D$20)*IFERROR(LOOKUP(Предпосылки!$H$203,$C$13:$C$15,P$13:P$15),1)</f>
        <v>0</v>
      </c>
      <c s="125">
        <f>Предпосылки!P$230*Предпосылки!$F258*Продажи!Q23*Q$19*(1+Чувствительность!$D$20)*IFERROR(LOOKUP(Предпосылки!$H$203,$C$13:$C$15,Q$13:Q$15),1)</f>
        <v>0</v>
      </c>
      <c s="125">
        <f>Предпосылки!Q$230*Предпосылки!$F258*Продажи!R23*R$19*(1+Чувствительность!$D$20)*IFERROR(LOOKUP(Предпосылки!$H$203,$C$13:$C$15,R$13:R$15),1)</f>
        <v>0</v>
      </c>
      <c s="125">
        <f>Предпосылки!R$230*Предпосылки!$F258*Продажи!S23*S$19*(1+Чувствительность!$D$20)*IFERROR(LOOKUP(Предпосылки!$H$203,$C$13:$C$15,S$13:S$15),1)</f>
        <v>0</v>
      </c>
      <c s="125">
        <f>Предпосылки!S$230*Предпосылки!$F258*Продажи!T23*T$19*(1+Чувствительность!$D$20)*IFERROR(LOOKUP(Предпосылки!$H$203,$C$13:$C$15,T$13:T$15),1)</f>
        <v>0</v>
      </c>
      <c s="125">
        <f>Предпосылки!T$230*Предпосылки!$F258*Продажи!U23*U$19*(1+Чувствительность!$D$20)*IFERROR(LOOKUP(Предпосылки!$H$203,$C$13:$C$15,U$13:U$15),1)</f>
        <v>0</v>
      </c>
      <c s="125">
        <f>Предпосылки!U$230*Предпосылки!$F258*Продажи!V23*V$19*(1+Чувствительность!$D$20)*IFERROR(LOOKUP(Предпосылки!$H$203,$C$13:$C$15,V$13:V$15),1)</f>
        <v>0</v>
      </c>
      <c s="125">
        <f>Предпосылки!V$230*Предпосылки!$F258*Продажи!W23*W$19*(1+Чувствительность!$D$20)*IFERROR(LOOKUP(Предпосылки!$H$203,$C$13:$C$15,W$13:W$15),1)</f>
        <v>0</v>
      </c>
      <c s="125">
        <f>Предпосылки!W$230*Предпосылки!$F258*Продажи!X23*X$19*(1+Чувствительность!$D$20)*IFERROR(LOOKUP(Предпосылки!$H$203,$C$13:$C$15,X$13:X$15),1)</f>
        <v>0</v>
      </c>
      <c s="125">
        <f>Предпосылки!X$230*Предпосылки!$F258*Продажи!Y23*Y$19*(1+Чувствительность!$D$20)*IFERROR(LOOKUP(Предпосылки!$H$203,$C$13:$C$15,Y$13:Y$15),1)</f>
        <v>0</v>
      </c>
      <c s="125">
        <f>Предпосылки!Y$230*Предпосылки!$F258*Продажи!Z23*Z$19*(1+Чувствительность!$D$20)*IFERROR(LOOKUP(Предпосылки!$H$203,$C$13:$C$15,Z$13:Z$15),1)</f>
        <v>0</v>
      </c>
      <c s="125">
        <f>Предпосылки!Z$230*Предпосылки!$F258*Продажи!AA23*AA$19*(1+Чувствительность!$D$20)*IFERROR(LOOKUP(Предпосылки!$H$203,$C$13:$C$15,AA$13:AA$15),1)</f>
        <v>0</v>
      </c>
      <c s="125">
        <f>Предпосылки!AA$230*Предпосылки!$F258*Продажи!AB23*AB$19*(1+Чувствительность!$D$20)*IFERROR(LOOKUP(Предпосылки!$H$203,$C$13:$C$15,AB$13:AB$15),1)</f>
        <v>0</v>
      </c>
      <c s="125">
        <f>Предпосылки!AB$230*Предпосылки!$F258*Продажи!AC23*AC$19*(1+Чувствительность!$D$20)*IFERROR(LOOKUP(Предпосылки!$H$203,$C$13:$C$15,AC$13:AC$15),1)</f>
        <v>0</v>
      </c>
      <c s="125">
        <f>Предпосылки!AC$230*Предпосылки!$F258*Продажи!AD23*AD$19*(1+Чувствительность!$D$20)*IFERROR(LOOKUP(Предпосылки!$H$203,$C$13:$C$15,AD$13:AD$15),1)</f>
        <v>0</v>
      </c>
      <c s="125">
        <f>Предпосылки!AD$230*Предпосылки!$F258*Продажи!AE23*AE$19*(1+Чувствительность!$D$20)*IFERROR(LOOKUP(Предпосылки!$H$203,$C$13:$C$15,AE$13:AE$15),1)</f>
        <v>0</v>
      </c>
      <c s="125">
        <f>Предпосылки!AE$230*Предпосылки!$F258*Продажи!AF23*AF$19*(1+Чувствительность!$D$20)*IFERROR(LOOKUP(Предпосылки!$H$203,$C$13:$C$15,AF$13:AF$15),1)</f>
        <v>0</v>
      </c>
      <c s="125">
        <f>Предпосылки!AF$230*Предпосылки!$F258*Продажи!AG23*AG$19*(1+Чувствительность!$D$20)*IFERROR(LOOKUP(Предпосылки!$H$203,$C$13:$C$15,AG$13:AG$15),1)</f>
        <v>0</v>
      </c>
      <c s="125">
        <f>Предпосылки!AG$230*Предпосылки!$F258*Продажи!AH23*AH$19*(1+Чувствительность!$D$20)*IFERROR(LOOKUP(Предпосылки!$H$203,$C$13:$C$15,AH$13:AH$15),1)</f>
        <v>0</v>
      </c>
      <c s="125">
        <f>Предпосылки!AH$230*Предпосылки!$F258*Продажи!AI23*AI$19*(1+Чувствительность!$D$20)*IFERROR(LOOKUP(Предпосылки!$H$203,$C$13:$C$15,AI$13:AI$15),1)</f>
        <v>0</v>
      </c>
      <c s="125">
        <f>Предпосылки!AI$230*Предпосылки!$F258*Продажи!AJ23*AJ$19*(1+Чувствительность!$D$20)*IFERROR(LOOKUP(Предпосылки!$H$203,$C$13:$C$15,AJ$13:AJ$15),1)</f>
        <v>0</v>
      </c>
      <c s="125">
        <f>Предпосылки!AJ$230*Предпосылки!$F258*Продажи!AK23*AK$19*(1+Чувствительность!$D$20)*IFERROR(LOOKUP(Предпосылки!$H$203,$C$13:$C$15,AK$13:AK$15),1)</f>
        <v>0</v>
      </c>
      <c s="125">
        <f>Предпосылки!AK$230*Предпосылки!$F258*Продажи!AL23*AL$19*(1+Чувствительность!$D$20)*IFERROR(LOOKUP(Предпосылки!$H$203,$C$13:$C$15,AL$13:AL$15),1)</f>
        <v>0</v>
      </c>
      <c s="125">
        <f>Предпосылки!AL$230*Предпосылки!$F258*Продажи!AM23*AM$19*(1+Чувствительность!$D$20)*IFERROR(LOOKUP(Предпосылки!$H$203,$C$13:$C$15,AM$13:AM$15),1)</f>
        <v>0</v>
      </c>
      <c s="125">
        <f>Предпосылки!AM$230*Предпосылки!$F258*Продажи!AN23*AN$19*(1+Чувствительность!$D$20)*IFERROR(LOOKUP(Предпосылки!$H$203,$C$13:$C$15,AN$13:AN$15),1)</f>
        <v>0</v>
      </c>
      <c s="125">
        <f>Предпосылки!AN$230*Предпосылки!$F258*Продажи!AO23*AO$19*(1+Чувствительность!$D$20)*IFERROR(LOOKUP(Предпосылки!$H$203,$C$13:$C$15,AO$13:AO$15),1)</f>
        <v>0</v>
      </c>
      <c s="125">
        <f>Предпосылки!AO$230*Предпосылки!$F258*Продажи!AP23*AP$19*(1+Чувствительность!$D$20)*IFERROR(LOOKUP(Предпосылки!$H$203,$C$13:$C$15,AP$13:AP$15),1)</f>
        <v>0</v>
      </c>
      <c s="125">
        <f>Предпосылки!AP$230*Предпосылки!$F258*Продажи!AQ23*AQ$19*(1+Чувствительность!$D$20)*IFERROR(LOOKUP(Предпосылки!$H$203,$C$13:$C$15,AQ$13:AQ$15),1)</f>
        <v>0</v>
      </c>
      <c s="125">
        <f>Предпосылки!AQ$230*Предпосылки!$F258*Продажи!AR23*AR$19*(1+Чувствительность!$D$20)*IFERROR(LOOKUP(Предпосылки!$H$203,$C$13:$C$15,AR$13:AR$15),1)</f>
        <v>0</v>
      </c>
      <c s="125">
        <f>Предпосылки!AR$230*Предпосылки!$F258*Продажи!AS23*AS$19*(1+Чувствительность!$D$20)*IFERROR(LOOKUP(Предпосылки!$H$203,$C$13:$C$15,AS$13:AS$15),1)</f>
        <v>0</v>
      </c>
      <c s="125">
        <f>Предпосылки!AS$230*Предпосылки!$F258*Продажи!AT23*AT$19*(1+Чувствительность!$D$20)*IFERROR(LOOKUP(Предпосылки!$H$203,$C$13:$C$15,AT$13:AT$15),1)</f>
        <v>0</v>
      </c>
      <c s="125">
        <f>Предпосылки!AT$230*Предпосылки!$F258*Продажи!AU23*AU$19*(1+Чувствительность!$D$20)*IFERROR(LOOKUP(Предпосылки!$H$203,$C$13:$C$15,AU$13:AU$15),1)</f>
        <v>0</v>
      </c>
      <c s="125">
        <f>Предпосылки!AU$230*Предпосылки!$F258*Продажи!AV23*AV$19*(1+Чувствительность!$D$20)*IFERROR(LOOKUP(Предпосылки!$H$203,$C$13:$C$15,AV$13:AV$15),1)</f>
        <v>0</v>
      </c>
      <c s="125">
        <f>Предпосылки!AV$230*Предпосылки!$F258*Продажи!AW23*AW$19*(1+Чувствительность!$D$20)*IFERROR(LOOKUP(Предпосылки!$H$203,$C$13:$C$15,AW$13:AW$15),1)</f>
        <v>0</v>
      </c>
      <c s="125">
        <f>Предпосылки!AW$230*Предпосылки!$F258*Продажи!AX23*AX$19*(1+Чувствительность!$D$20)*IFERROR(LOOKUP(Предпосылки!$H$203,$C$13:$C$15,AX$13:AX$15),1)</f>
        <v>0</v>
      </c>
      <c s="125">
        <f>Предпосылки!AX$230*Предпосылки!$F258*Продажи!AY23*AY$19*(1+Чувствительность!$D$20)*IFERROR(LOOKUP(Предпосылки!$H$203,$C$13:$C$15,AY$13:AY$15),1)</f>
        <v>0</v>
      </c>
      <c s="125">
        <f>Предпосылки!AY$230*Предпосылки!$F258*Продажи!AZ23*AZ$19*(1+Чувствительность!$D$20)*IFERROR(LOOKUP(Предпосылки!$H$203,$C$13:$C$15,AZ$13:AZ$15),1)</f>
        <v>0</v>
      </c>
      <c s="125">
        <f>Предпосылки!AZ$230*Предпосылки!$F258*Продажи!BA23*BA$19*(1+Чувствительность!$D$20)*IFERROR(LOOKUP(Предпосылки!$H$203,$C$13:$C$15,BA$13:BA$15),1)</f>
        <v>0</v>
      </c>
      <c s="125">
        <f>Предпосылки!BA$230*Предпосылки!$F258*Продажи!BB23*BB$19*(1+Чувствительность!$D$20)*IFERROR(LOOKUP(Предпосылки!$H$203,$C$13:$C$15,BB$13:BB$15),1)</f>
        <v>0</v>
      </c>
      <c s="125">
        <f>Предпосылки!BB$230*Предпосылки!$F258*Продажи!BC23*BC$19*(1+Чувствительность!$D$20)*IFERROR(LOOKUP(Предпосылки!$H$203,$C$13:$C$15,BC$13:BC$15),1)</f>
        <v>0</v>
      </c>
      <c s="125">
        <f>Предпосылки!BC$230*Предпосылки!$F258*Продажи!BD23*BD$19*(1+Чувствительность!$D$20)*IFERROR(LOOKUP(Предпосылки!$H$203,$C$13:$C$15,BD$13:BD$15),1)</f>
        <v>0</v>
      </c>
      <c s="125">
        <f>Предпосылки!BD$230*Предпосылки!$F258*Продажи!BE23*BE$19*(1+Чувствительность!$D$20)*IFERROR(LOOKUP(Предпосылки!$H$203,$C$13:$C$15,BE$13:BE$15),1)</f>
        <v>0</v>
      </c>
      <c s="125">
        <f>Предпосылки!BE$230*Предпосылки!$F258*Продажи!BF23*BF$19*(1+Чувствительность!$D$20)*IFERROR(LOOKUP(Предпосылки!$H$203,$C$13:$C$15,BF$13:BF$15),1)</f>
        <v>0</v>
      </c>
      <c s="125">
        <f>Предпосылки!BF$230*Предпосылки!$F258*Продажи!BG23*BG$19*(1+Чувствительность!$D$20)*IFERROR(LOOKUP(Предпосылки!$H$203,$C$13:$C$15,BG$13:BG$15),1)</f>
        <v>0</v>
      </c>
      <c s="125">
        <f>Предпосылки!BG$230*Предпосылки!$F258*Продажи!BH23*BH$19*(1+Чувствительность!$D$20)*IFERROR(LOOKUP(Предпосылки!$H$203,$C$13:$C$15,BH$13:BH$15),1)</f>
        <v>0</v>
      </c>
      <c s="125">
        <f>Предпосылки!BH$230*Предпосылки!$F258*Продажи!BI23*BI$19*(1+Чувствительность!$D$20)*IFERROR(LOOKUP(Предпосылки!$H$203,$C$13:$C$15,BI$13:BI$15),1)</f>
        <v>0</v>
      </c>
      <c s="125">
        <f>Предпосылки!BI$230*Предпосылки!$F258*Продажи!BJ23*BJ$19*(1+Чувствительность!$D$20)*IFERROR(LOOKUP(Предпосылки!$H$203,$C$13:$C$15,BJ$13:BJ$15),1)</f>
        <v>0</v>
      </c>
      <c s="125">
        <f>Предпосылки!BJ$230*Предпосылки!$F258*Продажи!BK23*BK$19*(1+Чувствительность!$D$20)*IFERROR(LOOKUP(Предпосылки!$H$203,$C$13:$C$15,BK$13:BK$15),1)</f>
        <v>0</v>
      </c>
      <c s="125">
        <f>Предпосылки!BK$230*Предпосылки!$F258*Продажи!BL23*BL$19*(1+Чувствительность!$D$20)*IFERROR(LOOKUP(Предпосылки!$H$203,$C$13:$C$15,BL$13:BL$15),1)</f>
        <v>0</v>
      </c>
      <c s="125">
        <f>Предпосылки!BL$230*Предпосылки!$F258*Продажи!BM23*BM$19*(1+Чувствительность!$D$20)*IFERROR(LOOKUP(Предпосылки!$H$203,$C$13:$C$15,BM$13:BM$15),1)</f>
        <v>0</v>
      </c>
    </row>
    <row r="75" spans="2:65" ht="15" customHeight="1">
      <c r="B75" s="12" t="str">
        <f t="shared" si="71"/>
        <v>Продукт 7</v>
      </c>
      <c s="124" t="str">
        <f t="shared" si="70"/>
        <v>тыс. руб.</v>
      </c>
      <c s="276">
        <f t="shared" si="72"/>
        <v>0</v>
      </c>
      <c s="125">
        <f>Предпосылки!D$230*Предпосылки!$F259*Продажи!E24*E$19*(1+Чувствительность!$D$20)*IFERROR(LOOKUP(Предпосылки!$H$203,$C$13:$C$15,E$13:E$15),1)</f>
        <v>0</v>
      </c>
      <c s="125">
        <f>Предпосылки!E$230*Предпосылки!$F259*Продажи!F24*F$19*(1+Чувствительность!$D$20)*IFERROR(LOOKUP(Предпосылки!$H$203,$C$13:$C$15,F$13:F$15),1)</f>
        <v>0</v>
      </c>
      <c s="125">
        <f>Предпосылки!F$230*Предпосылки!$F259*Продажи!G24*G$19*(1+Чувствительность!$D$20)*IFERROR(LOOKUP(Предпосылки!$H$203,$C$13:$C$15,G$13:G$15),1)</f>
        <v>0</v>
      </c>
      <c s="125">
        <f>Предпосылки!G$230*Предпосылки!$F259*Продажи!H24*H$19*(1+Чувствительность!$D$20)*IFERROR(LOOKUP(Предпосылки!$H$203,$C$13:$C$15,H$13:H$15),1)</f>
        <v>0</v>
      </c>
      <c s="125">
        <f>Предпосылки!H$230*Предпосылки!$F259*Продажи!I24*I$19*(1+Чувствительность!$D$20)*IFERROR(LOOKUP(Предпосылки!$H$203,$C$13:$C$15,I$13:I$15),1)</f>
        <v>0</v>
      </c>
      <c s="125">
        <f>Предпосылки!I$230*Предпосылки!$F259*Продажи!J24*J$19*(1+Чувствительность!$D$20)*IFERROR(LOOKUP(Предпосылки!$H$203,$C$13:$C$15,J$13:J$15),1)</f>
        <v>0</v>
      </c>
      <c s="125">
        <f>Предпосылки!J$230*Предпосылки!$F259*Продажи!K24*K$19*(1+Чувствительность!$D$20)*IFERROR(LOOKUP(Предпосылки!$H$203,$C$13:$C$15,K$13:K$15),1)</f>
        <v>0</v>
      </c>
      <c s="125">
        <f>Предпосылки!K$230*Предпосылки!$F259*Продажи!L24*L$19*(1+Чувствительность!$D$20)*IFERROR(LOOKUP(Предпосылки!$H$203,$C$13:$C$15,L$13:L$15),1)</f>
        <v>0</v>
      </c>
      <c s="125">
        <f>Предпосылки!L$230*Предпосылки!$F259*Продажи!M24*M$19*(1+Чувствительность!$D$20)*IFERROR(LOOKUP(Предпосылки!$H$203,$C$13:$C$15,M$13:M$15),1)</f>
        <v>0</v>
      </c>
      <c s="125">
        <f>Предпосылки!M$230*Предпосылки!$F259*Продажи!N24*N$19*(1+Чувствительность!$D$20)*IFERROR(LOOKUP(Предпосылки!$H$203,$C$13:$C$15,N$13:N$15),1)</f>
        <v>0</v>
      </c>
      <c s="125">
        <f>Предпосылки!N$230*Предпосылки!$F259*Продажи!O24*O$19*(1+Чувствительность!$D$20)*IFERROR(LOOKUP(Предпосылки!$H$203,$C$13:$C$15,O$13:O$15),1)</f>
        <v>0</v>
      </c>
      <c s="125">
        <f>Предпосылки!O$230*Предпосылки!$F259*Продажи!P24*P$19*(1+Чувствительность!$D$20)*IFERROR(LOOKUP(Предпосылки!$H$203,$C$13:$C$15,P$13:P$15),1)</f>
        <v>0</v>
      </c>
      <c s="125">
        <f>Предпосылки!P$230*Предпосылки!$F259*Продажи!Q24*Q$19*(1+Чувствительность!$D$20)*IFERROR(LOOKUP(Предпосылки!$H$203,$C$13:$C$15,Q$13:Q$15),1)</f>
        <v>0</v>
      </c>
      <c s="125">
        <f>Предпосылки!Q$230*Предпосылки!$F259*Продажи!R24*R$19*(1+Чувствительность!$D$20)*IFERROR(LOOKUP(Предпосылки!$H$203,$C$13:$C$15,R$13:R$15),1)</f>
        <v>0</v>
      </c>
      <c s="125">
        <f>Предпосылки!R$230*Предпосылки!$F259*Продажи!S24*S$19*(1+Чувствительность!$D$20)*IFERROR(LOOKUP(Предпосылки!$H$203,$C$13:$C$15,S$13:S$15),1)</f>
        <v>0</v>
      </c>
      <c s="125">
        <f>Предпосылки!S$230*Предпосылки!$F259*Продажи!T24*T$19*(1+Чувствительность!$D$20)*IFERROR(LOOKUP(Предпосылки!$H$203,$C$13:$C$15,T$13:T$15),1)</f>
        <v>0</v>
      </c>
      <c s="125">
        <f>Предпосылки!T$230*Предпосылки!$F259*Продажи!U24*U$19*(1+Чувствительность!$D$20)*IFERROR(LOOKUP(Предпосылки!$H$203,$C$13:$C$15,U$13:U$15),1)</f>
        <v>0</v>
      </c>
      <c s="125">
        <f>Предпосылки!U$230*Предпосылки!$F259*Продажи!V24*V$19*(1+Чувствительность!$D$20)*IFERROR(LOOKUP(Предпосылки!$H$203,$C$13:$C$15,V$13:V$15),1)</f>
        <v>0</v>
      </c>
      <c s="125">
        <f>Предпосылки!V$230*Предпосылки!$F259*Продажи!W24*W$19*(1+Чувствительность!$D$20)*IFERROR(LOOKUP(Предпосылки!$H$203,$C$13:$C$15,W$13:W$15),1)</f>
        <v>0</v>
      </c>
      <c s="125">
        <f>Предпосылки!W$230*Предпосылки!$F259*Продажи!X24*X$19*(1+Чувствительность!$D$20)*IFERROR(LOOKUP(Предпосылки!$H$203,$C$13:$C$15,X$13:X$15),1)</f>
        <v>0</v>
      </c>
      <c s="125">
        <f>Предпосылки!X$230*Предпосылки!$F259*Продажи!Y24*Y$19*(1+Чувствительность!$D$20)*IFERROR(LOOKUP(Предпосылки!$H$203,$C$13:$C$15,Y$13:Y$15),1)</f>
        <v>0</v>
      </c>
      <c s="125">
        <f>Предпосылки!Y$230*Предпосылки!$F259*Продажи!Z24*Z$19*(1+Чувствительность!$D$20)*IFERROR(LOOKUP(Предпосылки!$H$203,$C$13:$C$15,Z$13:Z$15),1)</f>
        <v>0</v>
      </c>
      <c s="125">
        <f>Предпосылки!Z$230*Предпосылки!$F259*Продажи!AA24*AA$19*(1+Чувствительность!$D$20)*IFERROR(LOOKUP(Предпосылки!$H$203,$C$13:$C$15,AA$13:AA$15),1)</f>
        <v>0</v>
      </c>
      <c s="125">
        <f>Предпосылки!AA$230*Предпосылки!$F259*Продажи!AB24*AB$19*(1+Чувствительность!$D$20)*IFERROR(LOOKUP(Предпосылки!$H$203,$C$13:$C$15,AB$13:AB$15),1)</f>
        <v>0</v>
      </c>
      <c s="125">
        <f>Предпосылки!AB$230*Предпосылки!$F259*Продажи!AC24*AC$19*(1+Чувствительность!$D$20)*IFERROR(LOOKUP(Предпосылки!$H$203,$C$13:$C$15,AC$13:AC$15),1)</f>
        <v>0</v>
      </c>
      <c s="125">
        <f>Предпосылки!AC$230*Предпосылки!$F259*Продажи!AD24*AD$19*(1+Чувствительность!$D$20)*IFERROR(LOOKUP(Предпосылки!$H$203,$C$13:$C$15,AD$13:AD$15),1)</f>
        <v>0</v>
      </c>
      <c s="125">
        <f>Предпосылки!AD$230*Предпосылки!$F259*Продажи!AE24*AE$19*(1+Чувствительность!$D$20)*IFERROR(LOOKUP(Предпосылки!$H$203,$C$13:$C$15,AE$13:AE$15),1)</f>
        <v>0</v>
      </c>
      <c s="125">
        <f>Предпосылки!AE$230*Предпосылки!$F259*Продажи!AF24*AF$19*(1+Чувствительность!$D$20)*IFERROR(LOOKUP(Предпосылки!$H$203,$C$13:$C$15,AF$13:AF$15),1)</f>
        <v>0</v>
      </c>
      <c s="125">
        <f>Предпосылки!AF$230*Предпосылки!$F259*Продажи!AG24*AG$19*(1+Чувствительность!$D$20)*IFERROR(LOOKUP(Предпосылки!$H$203,$C$13:$C$15,AG$13:AG$15),1)</f>
        <v>0</v>
      </c>
      <c s="125">
        <f>Предпосылки!AG$230*Предпосылки!$F259*Продажи!AH24*AH$19*(1+Чувствительность!$D$20)*IFERROR(LOOKUP(Предпосылки!$H$203,$C$13:$C$15,AH$13:AH$15),1)</f>
        <v>0</v>
      </c>
      <c s="125">
        <f>Предпосылки!AH$230*Предпосылки!$F259*Продажи!AI24*AI$19*(1+Чувствительность!$D$20)*IFERROR(LOOKUP(Предпосылки!$H$203,$C$13:$C$15,AI$13:AI$15),1)</f>
        <v>0</v>
      </c>
      <c s="125">
        <f>Предпосылки!AI$230*Предпосылки!$F259*Продажи!AJ24*AJ$19*(1+Чувствительность!$D$20)*IFERROR(LOOKUP(Предпосылки!$H$203,$C$13:$C$15,AJ$13:AJ$15),1)</f>
        <v>0</v>
      </c>
      <c s="125">
        <f>Предпосылки!AJ$230*Предпосылки!$F259*Продажи!AK24*AK$19*(1+Чувствительность!$D$20)*IFERROR(LOOKUP(Предпосылки!$H$203,$C$13:$C$15,AK$13:AK$15),1)</f>
        <v>0</v>
      </c>
      <c s="125">
        <f>Предпосылки!AK$230*Предпосылки!$F259*Продажи!AL24*AL$19*(1+Чувствительность!$D$20)*IFERROR(LOOKUP(Предпосылки!$H$203,$C$13:$C$15,AL$13:AL$15),1)</f>
        <v>0</v>
      </c>
      <c s="125">
        <f>Предпосылки!AL$230*Предпосылки!$F259*Продажи!AM24*AM$19*(1+Чувствительность!$D$20)*IFERROR(LOOKUP(Предпосылки!$H$203,$C$13:$C$15,AM$13:AM$15),1)</f>
        <v>0</v>
      </c>
      <c s="125">
        <f>Предпосылки!AM$230*Предпосылки!$F259*Продажи!AN24*AN$19*(1+Чувствительность!$D$20)*IFERROR(LOOKUP(Предпосылки!$H$203,$C$13:$C$15,AN$13:AN$15),1)</f>
        <v>0</v>
      </c>
      <c s="125">
        <f>Предпосылки!AN$230*Предпосылки!$F259*Продажи!AO24*AO$19*(1+Чувствительность!$D$20)*IFERROR(LOOKUP(Предпосылки!$H$203,$C$13:$C$15,AO$13:AO$15),1)</f>
        <v>0</v>
      </c>
      <c s="125">
        <f>Предпосылки!AO$230*Предпосылки!$F259*Продажи!AP24*AP$19*(1+Чувствительность!$D$20)*IFERROR(LOOKUP(Предпосылки!$H$203,$C$13:$C$15,AP$13:AP$15),1)</f>
        <v>0</v>
      </c>
      <c s="125">
        <f>Предпосылки!AP$230*Предпосылки!$F259*Продажи!AQ24*AQ$19*(1+Чувствительность!$D$20)*IFERROR(LOOKUP(Предпосылки!$H$203,$C$13:$C$15,AQ$13:AQ$15),1)</f>
        <v>0</v>
      </c>
      <c s="125">
        <f>Предпосылки!AQ$230*Предпосылки!$F259*Продажи!AR24*AR$19*(1+Чувствительность!$D$20)*IFERROR(LOOKUP(Предпосылки!$H$203,$C$13:$C$15,AR$13:AR$15),1)</f>
        <v>0</v>
      </c>
      <c s="125">
        <f>Предпосылки!AR$230*Предпосылки!$F259*Продажи!AS24*AS$19*(1+Чувствительность!$D$20)*IFERROR(LOOKUP(Предпосылки!$H$203,$C$13:$C$15,AS$13:AS$15),1)</f>
        <v>0</v>
      </c>
      <c s="125">
        <f>Предпосылки!AS$230*Предпосылки!$F259*Продажи!AT24*AT$19*(1+Чувствительность!$D$20)*IFERROR(LOOKUP(Предпосылки!$H$203,$C$13:$C$15,AT$13:AT$15),1)</f>
        <v>0</v>
      </c>
      <c s="125">
        <f>Предпосылки!AT$230*Предпосылки!$F259*Продажи!AU24*AU$19*(1+Чувствительность!$D$20)*IFERROR(LOOKUP(Предпосылки!$H$203,$C$13:$C$15,AU$13:AU$15),1)</f>
        <v>0</v>
      </c>
      <c s="125">
        <f>Предпосылки!AU$230*Предпосылки!$F259*Продажи!AV24*AV$19*(1+Чувствительность!$D$20)*IFERROR(LOOKUP(Предпосылки!$H$203,$C$13:$C$15,AV$13:AV$15),1)</f>
        <v>0</v>
      </c>
      <c s="125">
        <f>Предпосылки!AV$230*Предпосылки!$F259*Продажи!AW24*AW$19*(1+Чувствительность!$D$20)*IFERROR(LOOKUP(Предпосылки!$H$203,$C$13:$C$15,AW$13:AW$15),1)</f>
        <v>0</v>
      </c>
      <c s="125">
        <f>Предпосылки!AW$230*Предпосылки!$F259*Продажи!AX24*AX$19*(1+Чувствительность!$D$20)*IFERROR(LOOKUP(Предпосылки!$H$203,$C$13:$C$15,AX$13:AX$15),1)</f>
        <v>0</v>
      </c>
      <c s="125">
        <f>Предпосылки!AX$230*Предпосылки!$F259*Продажи!AY24*AY$19*(1+Чувствительность!$D$20)*IFERROR(LOOKUP(Предпосылки!$H$203,$C$13:$C$15,AY$13:AY$15),1)</f>
        <v>0</v>
      </c>
      <c s="125">
        <f>Предпосылки!AY$230*Предпосылки!$F259*Продажи!AZ24*AZ$19*(1+Чувствительность!$D$20)*IFERROR(LOOKUP(Предпосылки!$H$203,$C$13:$C$15,AZ$13:AZ$15),1)</f>
        <v>0</v>
      </c>
      <c s="125">
        <f>Предпосылки!AZ$230*Предпосылки!$F259*Продажи!BA24*BA$19*(1+Чувствительность!$D$20)*IFERROR(LOOKUP(Предпосылки!$H$203,$C$13:$C$15,BA$13:BA$15),1)</f>
        <v>0</v>
      </c>
      <c s="125">
        <f>Предпосылки!BA$230*Предпосылки!$F259*Продажи!BB24*BB$19*(1+Чувствительность!$D$20)*IFERROR(LOOKUP(Предпосылки!$H$203,$C$13:$C$15,BB$13:BB$15),1)</f>
        <v>0</v>
      </c>
      <c s="125">
        <f>Предпосылки!BB$230*Предпосылки!$F259*Продажи!BC24*BC$19*(1+Чувствительность!$D$20)*IFERROR(LOOKUP(Предпосылки!$H$203,$C$13:$C$15,BC$13:BC$15),1)</f>
        <v>0</v>
      </c>
      <c s="125">
        <f>Предпосылки!BC$230*Предпосылки!$F259*Продажи!BD24*BD$19*(1+Чувствительность!$D$20)*IFERROR(LOOKUP(Предпосылки!$H$203,$C$13:$C$15,BD$13:BD$15),1)</f>
        <v>0</v>
      </c>
      <c s="125">
        <f>Предпосылки!BD$230*Предпосылки!$F259*Продажи!BE24*BE$19*(1+Чувствительность!$D$20)*IFERROR(LOOKUP(Предпосылки!$H$203,$C$13:$C$15,BE$13:BE$15),1)</f>
        <v>0</v>
      </c>
      <c s="125">
        <f>Предпосылки!BE$230*Предпосылки!$F259*Продажи!BF24*BF$19*(1+Чувствительность!$D$20)*IFERROR(LOOKUP(Предпосылки!$H$203,$C$13:$C$15,BF$13:BF$15),1)</f>
        <v>0</v>
      </c>
      <c s="125">
        <f>Предпосылки!BF$230*Предпосылки!$F259*Продажи!BG24*BG$19*(1+Чувствительность!$D$20)*IFERROR(LOOKUP(Предпосылки!$H$203,$C$13:$C$15,BG$13:BG$15),1)</f>
        <v>0</v>
      </c>
      <c s="125">
        <f>Предпосылки!BG$230*Предпосылки!$F259*Продажи!BH24*BH$19*(1+Чувствительность!$D$20)*IFERROR(LOOKUP(Предпосылки!$H$203,$C$13:$C$15,BH$13:BH$15),1)</f>
        <v>0</v>
      </c>
      <c s="125">
        <f>Предпосылки!BH$230*Предпосылки!$F259*Продажи!BI24*BI$19*(1+Чувствительность!$D$20)*IFERROR(LOOKUP(Предпосылки!$H$203,$C$13:$C$15,BI$13:BI$15),1)</f>
        <v>0</v>
      </c>
      <c s="125">
        <f>Предпосылки!BI$230*Предпосылки!$F259*Продажи!BJ24*BJ$19*(1+Чувствительность!$D$20)*IFERROR(LOOKUP(Предпосылки!$H$203,$C$13:$C$15,BJ$13:BJ$15),1)</f>
        <v>0</v>
      </c>
      <c s="125">
        <f>Предпосылки!BJ$230*Предпосылки!$F259*Продажи!BK24*BK$19*(1+Чувствительность!$D$20)*IFERROR(LOOKUP(Предпосылки!$H$203,$C$13:$C$15,BK$13:BK$15),1)</f>
        <v>0</v>
      </c>
      <c s="125">
        <f>Предпосылки!BK$230*Предпосылки!$F259*Продажи!BL24*BL$19*(1+Чувствительность!$D$20)*IFERROR(LOOKUP(Предпосылки!$H$203,$C$13:$C$15,BL$13:BL$15),1)</f>
        <v>0</v>
      </c>
      <c s="125">
        <f>Предпосылки!BL$230*Предпосылки!$F259*Продажи!BM24*BM$19*(1+Чувствительность!$D$20)*IFERROR(LOOKUP(Предпосылки!$H$203,$C$13:$C$15,BM$13:BM$15),1)</f>
        <v>0</v>
      </c>
    </row>
    <row r="76" spans="2:65" ht="15" customHeight="1">
      <c r="B76" s="12" t="str">
        <f t="shared" si="71"/>
        <v>Продукт 8</v>
      </c>
      <c s="124" t="str">
        <f t="shared" si="70"/>
        <v>тыс. руб.</v>
      </c>
      <c s="276">
        <f t="shared" si="72"/>
        <v>0</v>
      </c>
      <c s="125">
        <f>Предпосылки!D$230*Предпосылки!$F260*Продажи!E25*E$19*(1+Чувствительность!$D$20)*IFERROR(LOOKUP(Предпосылки!$H$203,$C$13:$C$15,E$13:E$15),1)</f>
        <v>0</v>
      </c>
      <c s="125">
        <f>Предпосылки!E$230*Предпосылки!$F260*Продажи!F25*F$19*(1+Чувствительность!$D$20)*IFERROR(LOOKUP(Предпосылки!$H$203,$C$13:$C$15,F$13:F$15),1)</f>
        <v>0</v>
      </c>
      <c s="125">
        <f>Предпосылки!F$230*Предпосылки!$F260*Продажи!G25*G$19*(1+Чувствительность!$D$20)*IFERROR(LOOKUP(Предпосылки!$H$203,$C$13:$C$15,G$13:G$15),1)</f>
        <v>0</v>
      </c>
      <c s="125">
        <f>Предпосылки!G$230*Предпосылки!$F260*Продажи!H25*H$19*(1+Чувствительность!$D$20)*IFERROR(LOOKUP(Предпосылки!$H$203,$C$13:$C$15,H$13:H$15),1)</f>
        <v>0</v>
      </c>
      <c s="125">
        <f>Предпосылки!H$230*Предпосылки!$F260*Продажи!I25*I$19*(1+Чувствительность!$D$20)*IFERROR(LOOKUP(Предпосылки!$H$203,$C$13:$C$15,I$13:I$15),1)</f>
        <v>0</v>
      </c>
      <c s="125">
        <f>Предпосылки!I$230*Предпосылки!$F260*Продажи!J25*J$19*(1+Чувствительность!$D$20)*IFERROR(LOOKUP(Предпосылки!$H$203,$C$13:$C$15,J$13:J$15),1)</f>
        <v>0</v>
      </c>
      <c s="125">
        <f>Предпосылки!J$230*Предпосылки!$F260*Продажи!K25*K$19*(1+Чувствительность!$D$20)*IFERROR(LOOKUP(Предпосылки!$H$203,$C$13:$C$15,K$13:K$15),1)</f>
        <v>0</v>
      </c>
      <c s="125">
        <f>Предпосылки!K$230*Предпосылки!$F260*Продажи!L25*L$19*(1+Чувствительность!$D$20)*IFERROR(LOOKUP(Предпосылки!$H$203,$C$13:$C$15,L$13:L$15),1)</f>
        <v>0</v>
      </c>
      <c s="125">
        <f>Предпосылки!L$230*Предпосылки!$F260*Продажи!M25*M$19*(1+Чувствительность!$D$20)*IFERROR(LOOKUP(Предпосылки!$H$203,$C$13:$C$15,M$13:M$15),1)</f>
        <v>0</v>
      </c>
      <c s="125">
        <f>Предпосылки!M$230*Предпосылки!$F260*Продажи!N25*N$19*(1+Чувствительность!$D$20)*IFERROR(LOOKUP(Предпосылки!$H$203,$C$13:$C$15,N$13:N$15),1)</f>
        <v>0</v>
      </c>
      <c s="125">
        <f>Предпосылки!N$230*Предпосылки!$F260*Продажи!O25*O$19*(1+Чувствительность!$D$20)*IFERROR(LOOKUP(Предпосылки!$H$203,$C$13:$C$15,O$13:O$15),1)</f>
        <v>0</v>
      </c>
      <c s="125">
        <f>Предпосылки!O$230*Предпосылки!$F260*Продажи!P25*P$19*(1+Чувствительность!$D$20)*IFERROR(LOOKUP(Предпосылки!$H$203,$C$13:$C$15,P$13:P$15),1)</f>
        <v>0</v>
      </c>
      <c s="125">
        <f>Предпосылки!P$230*Предпосылки!$F260*Продажи!Q25*Q$19*(1+Чувствительность!$D$20)*IFERROR(LOOKUP(Предпосылки!$H$203,$C$13:$C$15,Q$13:Q$15),1)</f>
        <v>0</v>
      </c>
      <c s="125">
        <f>Предпосылки!Q$230*Предпосылки!$F260*Продажи!R25*R$19*(1+Чувствительность!$D$20)*IFERROR(LOOKUP(Предпосылки!$H$203,$C$13:$C$15,R$13:R$15),1)</f>
        <v>0</v>
      </c>
      <c s="125">
        <f>Предпосылки!R$230*Предпосылки!$F260*Продажи!S25*S$19*(1+Чувствительность!$D$20)*IFERROR(LOOKUP(Предпосылки!$H$203,$C$13:$C$15,S$13:S$15),1)</f>
        <v>0</v>
      </c>
      <c s="125">
        <f>Предпосылки!S$230*Предпосылки!$F260*Продажи!T25*T$19*(1+Чувствительность!$D$20)*IFERROR(LOOKUP(Предпосылки!$H$203,$C$13:$C$15,T$13:T$15),1)</f>
        <v>0</v>
      </c>
      <c s="125">
        <f>Предпосылки!T$230*Предпосылки!$F260*Продажи!U25*U$19*(1+Чувствительность!$D$20)*IFERROR(LOOKUP(Предпосылки!$H$203,$C$13:$C$15,U$13:U$15),1)</f>
        <v>0</v>
      </c>
      <c s="125">
        <f>Предпосылки!U$230*Предпосылки!$F260*Продажи!V25*V$19*(1+Чувствительность!$D$20)*IFERROR(LOOKUP(Предпосылки!$H$203,$C$13:$C$15,V$13:V$15),1)</f>
        <v>0</v>
      </c>
      <c s="125">
        <f>Предпосылки!V$230*Предпосылки!$F260*Продажи!W25*W$19*(1+Чувствительность!$D$20)*IFERROR(LOOKUP(Предпосылки!$H$203,$C$13:$C$15,W$13:W$15),1)</f>
        <v>0</v>
      </c>
      <c s="125">
        <f>Предпосылки!W$230*Предпосылки!$F260*Продажи!X25*X$19*(1+Чувствительность!$D$20)*IFERROR(LOOKUP(Предпосылки!$H$203,$C$13:$C$15,X$13:X$15),1)</f>
        <v>0</v>
      </c>
      <c s="125">
        <f>Предпосылки!X$230*Предпосылки!$F260*Продажи!Y25*Y$19*(1+Чувствительность!$D$20)*IFERROR(LOOKUP(Предпосылки!$H$203,$C$13:$C$15,Y$13:Y$15),1)</f>
        <v>0</v>
      </c>
      <c s="125">
        <f>Предпосылки!Y$230*Предпосылки!$F260*Продажи!Z25*Z$19*(1+Чувствительность!$D$20)*IFERROR(LOOKUP(Предпосылки!$H$203,$C$13:$C$15,Z$13:Z$15),1)</f>
        <v>0</v>
      </c>
      <c s="125">
        <f>Предпосылки!Z$230*Предпосылки!$F260*Продажи!AA25*AA$19*(1+Чувствительность!$D$20)*IFERROR(LOOKUP(Предпосылки!$H$203,$C$13:$C$15,AA$13:AA$15),1)</f>
        <v>0</v>
      </c>
      <c s="125">
        <f>Предпосылки!AA$230*Предпосылки!$F260*Продажи!AB25*AB$19*(1+Чувствительность!$D$20)*IFERROR(LOOKUP(Предпосылки!$H$203,$C$13:$C$15,AB$13:AB$15),1)</f>
        <v>0</v>
      </c>
      <c s="125">
        <f>Предпосылки!AB$230*Предпосылки!$F260*Продажи!AC25*AC$19*(1+Чувствительность!$D$20)*IFERROR(LOOKUP(Предпосылки!$H$203,$C$13:$C$15,AC$13:AC$15),1)</f>
        <v>0</v>
      </c>
      <c s="125">
        <f>Предпосылки!AC$230*Предпосылки!$F260*Продажи!AD25*AD$19*(1+Чувствительность!$D$20)*IFERROR(LOOKUP(Предпосылки!$H$203,$C$13:$C$15,AD$13:AD$15),1)</f>
        <v>0</v>
      </c>
      <c s="125">
        <f>Предпосылки!AD$230*Предпосылки!$F260*Продажи!AE25*AE$19*(1+Чувствительность!$D$20)*IFERROR(LOOKUP(Предпосылки!$H$203,$C$13:$C$15,AE$13:AE$15),1)</f>
        <v>0</v>
      </c>
      <c s="125">
        <f>Предпосылки!AE$230*Предпосылки!$F260*Продажи!AF25*AF$19*(1+Чувствительность!$D$20)*IFERROR(LOOKUP(Предпосылки!$H$203,$C$13:$C$15,AF$13:AF$15),1)</f>
        <v>0</v>
      </c>
      <c s="125">
        <f>Предпосылки!AF$230*Предпосылки!$F260*Продажи!AG25*AG$19*(1+Чувствительность!$D$20)*IFERROR(LOOKUP(Предпосылки!$H$203,$C$13:$C$15,AG$13:AG$15),1)</f>
        <v>0</v>
      </c>
      <c s="125">
        <f>Предпосылки!AG$230*Предпосылки!$F260*Продажи!AH25*AH$19*(1+Чувствительность!$D$20)*IFERROR(LOOKUP(Предпосылки!$H$203,$C$13:$C$15,AH$13:AH$15),1)</f>
        <v>0</v>
      </c>
      <c s="125">
        <f>Предпосылки!AH$230*Предпосылки!$F260*Продажи!AI25*AI$19*(1+Чувствительность!$D$20)*IFERROR(LOOKUP(Предпосылки!$H$203,$C$13:$C$15,AI$13:AI$15),1)</f>
        <v>0</v>
      </c>
      <c s="125">
        <f>Предпосылки!AI$230*Предпосылки!$F260*Продажи!AJ25*AJ$19*(1+Чувствительность!$D$20)*IFERROR(LOOKUP(Предпосылки!$H$203,$C$13:$C$15,AJ$13:AJ$15),1)</f>
        <v>0</v>
      </c>
      <c s="125">
        <f>Предпосылки!AJ$230*Предпосылки!$F260*Продажи!AK25*AK$19*(1+Чувствительность!$D$20)*IFERROR(LOOKUP(Предпосылки!$H$203,$C$13:$C$15,AK$13:AK$15),1)</f>
        <v>0</v>
      </c>
      <c s="125">
        <f>Предпосылки!AK$230*Предпосылки!$F260*Продажи!AL25*AL$19*(1+Чувствительность!$D$20)*IFERROR(LOOKUP(Предпосылки!$H$203,$C$13:$C$15,AL$13:AL$15),1)</f>
        <v>0</v>
      </c>
      <c s="125">
        <f>Предпосылки!AL$230*Предпосылки!$F260*Продажи!AM25*AM$19*(1+Чувствительность!$D$20)*IFERROR(LOOKUP(Предпосылки!$H$203,$C$13:$C$15,AM$13:AM$15),1)</f>
        <v>0</v>
      </c>
      <c s="125">
        <f>Предпосылки!AM$230*Предпосылки!$F260*Продажи!AN25*AN$19*(1+Чувствительность!$D$20)*IFERROR(LOOKUP(Предпосылки!$H$203,$C$13:$C$15,AN$13:AN$15),1)</f>
        <v>0</v>
      </c>
      <c s="125">
        <f>Предпосылки!AN$230*Предпосылки!$F260*Продажи!AO25*AO$19*(1+Чувствительность!$D$20)*IFERROR(LOOKUP(Предпосылки!$H$203,$C$13:$C$15,AO$13:AO$15),1)</f>
        <v>0</v>
      </c>
      <c s="125">
        <f>Предпосылки!AO$230*Предпосылки!$F260*Продажи!AP25*AP$19*(1+Чувствительность!$D$20)*IFERROR(LOOKUP(Предпосылки!$H$203,$C$13:$C$15,AP$13:AP$15),1)</f>
        <v>0</v>
      </c>
      <c s="125">
        <f>Предпосылки!AP$230*Предпосылки!$F260*Продажи!AQ25*AQ$19*(1+Чувствительность!$D$20)*IFERROR(LOOKUP(Предпосылки!$H$203,$C$13:$C$15,AQ$13:AQ$15),1)</f>
        <v>0</v>
      </c>
      <c s="125">
        <f>Предпосылки!AQ$230*Предпосылки!$F260*Продажи!AR25*AR$19*(1+Чувствительность!$D$20)*IFERROR(LOOKUP(Предпосылки!$H$203,$C$13:$C$15,AR$13:AR$15),1)</f>
        <v>0</v>
      </c>
      <c s="125">
        <f>Предпосылки!AR$230*Предпосылки!$F260*Продажи!AS25*AS$19*(1+Чувствительность!$D$20)*IFERROR(LOOKUP(Предпосылки!$H$203,$C$13:$C$15,AS$13:AS$15),1)</f>
        <v>0</v>
      </c>
      <c s="125">
        <f>Предпосылки!AS$230*Предпосылки!$F260*Продажи!AT25*AT$19*(1+Чувствительность!$D$20)*IFERROR(LOOKUP(Предпосылки!$H$203,$C$13:$C$15,AT$13:AT$15),1)</f>
        <v>0</v>
      </c>
      <c s="125">
        <f>Предпосылки!AT$230*Предпосылки!$F260*Продажи!AU25*AU$19*(1+Чувствительность!$D$20)*IFERROR(LOOKUP(Предпосылки!$H$203,$C$13:$C$15,AU$13:AU$15),1)</f>
        <v>0</v>
      </c>
      <c s="125">
        <f>Предпосылки!AU$230*Предпосылки!$F260*Продажи!AV25*AV$19*(1+Чувствительность!$D$20)*IFERROR(LOOKUP(Предпосылки!$H$203,$C$13:$C$15,AV$13:AV$15),1)</f>
        <v>0</v>
      </c>
      <c s="125">
        <f>Предпосылки!AV$230*Предпосылки!$F260*Продажи!AW25*AW$19*(1+Чувствительность!$D$20)*IFERROR(LOOKUP(Предпосылки!$H$203,$C$13:$C$15,AW$13:AW$15),1)</f>
        <v>0</v>
      </c>
      <c s="125">
        <f>Предпосылки!AW$230*Предпосылки!$F260*Продажи!AX25*AX$19*(1+Чувствительность!$D$20)*IFERROR(LOOKUP(Предпосылки!$H$203,$C$13:$C$15,AX$13:AX$15),1)</f>
        <v>0</v>
      </c>
      <c s="125">
        <f>Предпосылки!AX$230*Предпосылки!$F260*Продажи!AY25*AY$19*(1+Чувствительность!$D$20)*IFERROR(LOOKUP(Предпосылки!$H$203,$C$13:$C$15,AY$13:AY$15),1)</f>
        <v>0</v>
      </c>
      <c s="125">
        <f>Предпосылки!AY$230*Предпосылки!$F260*Продажи!AZ25*AZ$19*(1+Чувствительность!$D$20)*IFERROR(LOOKUP(Предпосылки!$H$203,$C$13:$C$15,AZ$13:AZ$15),1)</f>
        <v>0</v>
      </c>
      <c s="125">
        <f>Предпосылки!AZ$230*Предпосылки!$F260*Продажи!BA25*BA$19*(1+Чувствительность!$D$20)*IFERROR(LOOKUP(Предпосылки!$H$203,$C$13:$C$15,BA$13:BA$15),1)</f>
        <v>0</v>
      </c>
      <c s="125">
        <f>Предпосылки!BA$230*Предпосылки!$F260*Продажи!BB25*BB$19*(1+Чувствительность!$D$20)*IFERROR(LOOKUP(Предпосылки!$H$203,$C$13:$C$15,BB$13:BB$15),1)</f>
        <v>0</v>
      </c>
      <c s="125">
        <f>Предпосылки!BB$230*Предпосылки!$F260*Продажи!BC25*BC$19*(1+Чувствительность!$D$20)*IFERROR(LOOKUP(Предпосылки!$H$203,$C$13:$C$15,BC$13:BC$15),1)</f>
        <v>0</v>
      </c>
      <c s="125">
        <f>Предпосылки!BC$230*Предпосылки!$F260*Продажи!BD25*BD$19*(1+Чувствительность!$D$20)*IFERROR(LOOKUP(Предпосылки!$H$203,$C$13:$C$15,BD$13:BD$15),1)</f>
        <v>0</v>
      </c>
      <c s="125">
        <f>Предпосылки!BD$230*Предпосылки!$F260*Продажи!BE25*BE$19*(1+Чувствительность!$D$20)*IFERROR(LOOKUP(Предпосылки!$H$203,$C$13:$C$15,BE$13:BE$15),1)</f>
        <v>0</v>
      </c>
      <c s="125">
        <f>Предпосылки!BE$230*Предпосылки!$F260*Продажи!BF25*BF$19*(1+Чувствительность!$D$20)*IFERROR(LOOKUP(Предпосылки!$H$203,$C$13:$C$15,BF$13:BF$15),1)</f>
        <v>0</v>
      </c>
      <c s="125">
        <f>Предпосылки!BF$230*Предпосылки!$F260*Продажи!BG25*BG$19*(1+Чувствительность!$D$20)*IFERROR(LOOKUP(Предпосылки!$H$203,$C$13:$C$15,BG$13:BG$15),1)</f>
        <v>0</v>
      </c>
      <c s="125">
        <f>Предпосылки!BG$230*Предпосылки!$F260*Продажи!BH25*BH$19*(1+Чувствительность!$D$20)*IFERROR(LOOKUP(Предпосылки!$H$203,$C$13:$C$15,BH$13:BH$15),1)</f>
        <v>0</v>
      </c>
      <c s="125">
        <f>Предпосылки!BH$230*Предпосылки!$F260*Продажи!BI25*BI$19*(1+Чувствительность!$D$20)*IFERROR(LOOKUP(Предпосылки!$H$203,$C$13:$C$15,BI$13:BI$15),1)</f>
        <v>0</v>
      </c>
      <c s="125">
        <f>Предпосылки!BI$230*Предпосылки!$F260*Продажи!BJ25*BJ$19*(1+Чувствительность!$D$20)*IFERROR(LOOKUP(Предпосылки!$H$203,$C$13:$C$15,BJ$13:BJ$15),1)</f>
        <v>0</v>
      </c>
      <c s="125">
        <f>Предпосылки!BJ$230*Предпосылки!$F260*Продажи!BK25*BK$19*(1+Чувствительность!$D$20)*IFERROR(LOOKUP(Предпосылки!$H$203,$C$13:$C$15,BK$13:BK$15),1)</f>
        <v>0</v>
      </c>
      <c s="125">
        <f>Предпосылки!BK$230*Предпосылки!$F260*Продажи!BL25*BL$19*(1+Чувствительность!$D$20)*IFERROR(LOOKUP(Предпосылки!$H$203,$C$13:$C$15,BL$13:BL$15),1)</f>
        <v>0</v>
      </c>
      <c s="125">
        <f>Предпосылки!BL$230*Предпосылки!$F260*Продажи!BM25*BM$19*(1+Чувствительность!$D$20)*IFERROR(LOOKUP(Предпосылки!$H$203,$C$13:$C$15,BM$13:BM$15),1)</f>
        <v>0</v>
      </c>
    </row>
    <row r="77" spans="2:65" ht="15" customHeight="1">
      <c r="B77" s="12" t="str">
        <f t="shared" si="71"/>
        <v>Продукт 9</v>
      </c>
      <c s="124" t="str">
        <f t="shared" si="70"/>
        <v>тыс. руб.</v>
      </c>
      <c s="276">
        <f t="shared" si="72"/>
        <v>0</v>
      </c>
      <c s="125">
        <f>Предпосылки!D$230*Предпосылки!$F261*Продажи!E26*E$19*(1+Чувствительность!$D$20)*IFERROR(LOOKUP(Предпосылки!$H$203,$C$13:$C$15,E$13:E$15),1)</f>
        <v>0</v>
      </c>
      <c s="125">
        <f>Предпосылки!E$230*Предпосылки!$F261*Продажи!F26*F$19*(1+Чувствительность!$D$20)*IFERROR(LOOKUP(Предпосылки!$H$203,$C$13:$C$15,F$13:F$15),1)</f>
        <v>0</v>
      </c>
      <c s="125">
        <f>Предпосылки!F$230*Предпосылки!$F261*Продажи!G26*G$19*(1+Чувствительность!$D$20)*IFERROR(LOOKUP(Предпосылки!$H$203,$C$13:$C$15,G$13:G$15),1)</f>
        <v>0</v>
      </c>
      <c s="125">
        <f>Предпосылки!G$230*Предпосылки!$F261*Продажи!H26*H$19*(1+Чувствительность!$D$20)*IFERROR(LOOKUP(Предпосылки!$H$203,$C$13:$C$15,H$13:H$15),1)</f>
        <v>0</v>
      </c>
      <c s="125">
        <f>Предпосылки!H$230*Предпосылки!$F261*Продажи!I26*I$19*(1+Чувствительность!$D$20)*IFERROR(LOOKUP(Предпосылки!$H$203,$C$13:$C$15,I$13:I$15),1)</f>
        <v>0</v>
      </c>
      <c s="125">
        <f>Предпосылки!I$230*Предпосылки!$F261*Продажи!J26*J$19*(1+Чувствительность!$D$20)*IFERROR(LOOKUP(Предпосылки!$H$203,$C$13:$C$15,J$13:J$15),1)</f>
        <v>0</v>
      </c>
      <c s="125">
        <f>Предпосылки!J$230*Предпосылки!$F261*Продажи!K26*K$19*(1+Чувствительность!$D$20)*IFERROR(LOOKUP(Предпосылки!$H$203,$C$13:$C$15,K$13:K$15),1)</f>
        <v>0</v>
      </c>
      <c s="125">
        <f>Предпосылки!K$230*Предпосылки!$F261*Продажи!L26*L$19*(1+Чувствительность!$D$20)*IFERROR(LOOKUP(Предпосылки!$H$203,$C$13:$C$15,L$13:L$15),1)</f>
        <v>0</v>
      </c>
      <c s="125">
        <f>Предпосылки!L$230*Предпосылки!$F261*Продажи!M26*M$19*(1+Чувствительность!$D$20)*IFERROR(LOOKUP(Предпосылки!$H$203,$C$13:$C$15,M$13:M$15),1)</f>
        <v>0</v>
      </c>
      <c s="125">
        <f>Предпосылки!M$230*Предпосылки!$F261*Продажи!N26*N$19*(1+Чувствительность!$D$20)*IFERROR(LOOKUP(Предпосылки!$H$203,$C$13:$C$15,N$13:N$15),1)</f>
        <v>0</v>
      </c>
      <c s="125">
        <f>Предпосылки!N$230*Предпосылки!$F261*Продажи!O26*O$19*(1+Чувствительность!$D$20)*IFERROR(LOOKUP(Предпосылки!$H$203,$C$13:$C$15,O$13:O$15),1)</f>
        <v>0</v>
      </c>
      <c s="125">
        <f>Предпосылки!O$230*Предпосылки!$F261*Продажи!P26*P$19*(1+Чувствительность!$D$20)*IFERROR(LOOKUP(Предпосылки!$H$203,$C$13:$C$15,P$13:P$15),1)</f>
        <v>0</v>
      </c>
      <c s="125">
        <f>Предпосылки!P$230*Предпосылки!$F261*Продажи!Q26*Q$19*(1+Чувствительность!$D$20)*IFERROR(LOOKUP(Предпосылки!$H$203,$C$13:$C$15,Q$13:Q$15),1)</f>
        <v>0</v>
      </c>
      <c s="125">
        <f>Предпосылки!Q$230*Предпосылки!$F261*Продажи!R26*R$19*(1+Чувствительность!$D$20)*IFERROR(LOOKUP(Предпосылки!$H$203,$C$13:$C$15,R$13:R$15),1)</f>
        <v>0</v>
      </c>
      <c s="125">
        <f>Предпосылки!R$230*Предпосылки!$F261*Продажи!S26*S$19*(1+Чувствительность!$D$20)*IFERROR(LOOKUP(Предпосылки!$H$203,$C$13:$C$15,S$13:S$15),1)</f>
        <v>0</v>
      </c>
      <c s="125">
        <f>Предпосылки!S$230*Предпосылки!$F261*Продажи!T26*T$19*(1+Чувствительность!$D$20)*IFERROR(LOOKUP(Предпосылки!$H$203,$C$13:$C$15,T$13:T$15),1)</f>
        <v>0</v>
      </c>
      <c s="125">
        <f>Предпосылки!T$230*Предпосылки!$F261*Продажи!U26*U$19*(1+Чувствительность!$D$20)*IFERROR(LOOKUP(Предпосылки!$H$203,$C$13:$C$15,U$13:U$15),1)</f>
        <v>0</v>
      </c>
      <c s="125">
        <f>Предпосылки!U$230*Предпосылки!$F261*Продажи!V26*V$19*(1+Чувствительность!$D$20)*IFERROR(LOOKUP(Предпосылки!$H$203,$C$13:$C$15,V$13:V$15),1)</f>
        <v>0</v>
      </c>
      <c s="125">
        <f>Предпосылки!V$230*Предпосылки!$F261*Продажи!W26*W$19*(1+Чувствительность!$D$20)*IFERROR(LOOKUP(Предпосылки!$H$203,$C$13:$C$15,W$13:W$15),1)</f>
        <v>0</v>
      </c>
      <c s="125">
        <f>Предпосылки!W$230*Предпосылки!$F261*Продажи!X26*X$19*(1+Чувствительность!$D$20)*IFERROR(LOOKUP(Предпосылки!$H$203,$C$13:$C$15,X$13:X$15),1)</f>
        <v>0</v>
      </c>
      <c s="125">
        <f>Предпосылки!X$230*Предпосылки!$F261*Продажи!Y26*Y$19*(1+Чувствительность!$D$20)*IFERROR(LOOKUP(Предпосылки!$H$203,$C$13:$C$15,Y$13:Y$15),1)</f>
        <v>0</v>
      </c>
      <c s="125">
        <f>Предпосылки!Y$230*Предпосылки!$F261*Продажи!Z26*Z$19*(1+Чувствительность!$D$20)*IFERROR(LOOKUP(Предпосылки!$H$203,$C$13:$C$15,Z$13:Z$15),1)</f>
        <v>0</v>
      </c>
      <c s="125">
        <f>Предпосылки!Z$230*Предпосылки!$F261*Продажи!AA26*AA$19*(1+Чувствительность!$D$20)*IFERROR(LOOKUP(Предпосылки!$H$203,$C$13:$C$15,AA$13:AA$15),1)</f>
        <v>0</v>
      </c>
      <c s="125">
        <f>Предпосылки!AA$230*Предпосылки!$F261*Продажи!AB26*AB$19*(1+Чувствительность!$D$20)*IFERROR(LOOKUP(Предпосылки!$H$203,$C$13:$C$15,AB$13:AB$15),1)</f>
        <v>0</v>
      </c>
      <c s="125">
        <f>Предпосылки!AB$230*Предпосылки!$F261*Продажи!AC26*AC$19*(1+Чувствительность!$D$20)*IFERROR(LOOKUP(Предпосылки!$H$203,$C$13:$C$15,AC$13:AC$15),1)</f>
        <v>0</v>
      </c>
      <c s="125">
        <f>Предпосылки!AC$230*Предпосылки!$F261*Продажи!AD26*AD$19*(1+Чувствительность!$D$20)*IFERROR(LOOKUP(Предпосылки!$H$203,$C$13:$C$15,AD$13:AD$15),1)</f>
        <v>0</v>
      </c>
      <c s="125">
        <f>Предпосылки!AD$230*Предпосылки!$F261*Продажи!AE26*AE$19*(1+Чувствительность!$D$20)*IFERROR(LOOKUP(Предпосылки!$H$203,$C$13:$C$15,AE$13:AE$15),1)</f>
        <v>0</v>
      </c>
      <c s="125">
        <f>Предпосылки!AE$230*Предпосылки!$F261*Продажи!AF26*AF$19*(1+Чувствительность!$D$20)*IFERROR(LOOKUP(Предпосылки!$H$203,$C$13:$C$15,AF$13:AF$15),1)</f>
        <v>0</v>
      </c>
      <c s="125">
        <f>Предпосылки!AF$230*Предпосылки!$F261*Продажи!AG26*AG$19*(1+Чувствительность!$D$20)*IFERROR(LOOKUP(Предпосылки!$H$203,$C$13:$C$15,AG$13:AG$15),1)</f>
        <v>0</v>
      </c>
      <c s="125">
        <f>Предпосылки!AG$230*Предпосылки!$F261*Продажи!AH26*AH$19*(1+Чувствительность!$D$20)*IFERROR(LOOKUP(Предпосылки!$H$203,$C$13:$C$15,AH$13:AH$15),1)</f>
        <v>0</v>
      </c>
      <c s="125">
        <f>Предпосылки!AH$230*Предпосылки!$F261*Продажи!AI26*AI$19*(1+Чувствительность!$D$20)*IFERROR(LOOKUP(Предпосылки!$H$203,$C$13:$C$15,AI$13:AI$15),1)</f>
        <v>0</v>
      </c>
      <c s="125">
        <f>Предпосылки!AI$230*Предпосылки!$F261*Продажи!AJ26*AJ$19*(1+Чувствительность!$D$20)*IFERROR(LOOKUP(Предпосылки!$H$203,$C$13:$C$15,AJ$13:AJ$15),1)</f>
        <v>0</v>
      </c>
      <c s="125">
        <f>Предпосылки!AJ$230*Предпосылки!$F261*Продажи!AK26*AK$19*(1+Чувствительность!$D$20)*IFERROR(LOOKUP(Предпосылки!$H$203,$C$13:$C$15,AK$13:AK$15),1)</f>
        <v>0</v>
      </c>
      <c s="125">
        <f>Предпосылки!AK$230*Предпосылки!$F261*Продажи!AL26*AL$19*(1+Чувствительность!$D$20)*IFERROR(LOOKUP(Предпосылки!$H$203,$C$13:$C$15,AL$13:AL$15),1)</f>
        <v>0</v>
      </c>
      <c s="125">
        <f>Предпосылки!AL$230*Предпосылки!$F261*Продажи!AM26*AM$19*(1+Чувствительность!$D$20)*IFERROR(LOOKUP(Предпосылки!$H$203,$C$13:$C$15,AM$13:AM$15),1)</f>
        <v>0</v>
      </c>
      <c s="125">
        <f>Предпосылки!AM$230*Предпосылки!$F261*Продажи!AN26*AN$19*(1+Чувствительность!$D$20)*IFERROR(LOOKUP(Предпосылки!$H$203,$C$13:$C$15,AN$13:AN$15),1)</f>
        <v>0</v>
      </c>
      <c s="125">
        <f>Предпосылки!AN$230*Предпосылки!$F261*Продажи!AO26*AO$19*(1+Чувствительность!$D$20)*IFERROR(LOOKUP(Предпосылки!$H$203,$C$13:$C$15,AO$13:AO$15),1)</f>
        <v>0</v>
      </c>
      <c s="125">
        <f>Предпосылки!AO$230*Предпосылки!$F261*Продажи!AP26*AP$19*(1+Чувствительность!$D$20)*IFERROR(LOOKUP(Предпосылки!$H$203,$C$13:$C$15,AP$13:AP$15),1)</f>
        <v>0</v>
      </c>
      <c s="125">
        <f>Предпосылки!AP$230*Предпосылки!$F261*Продажи!AQ26*AQ$19*(1+Чувствительность!$D$20)*IFERROR(LOOKUP(Предпосылки!$H$203,$C$13:$C$15,AQ$13:AQ$15),1)</f>
        <v>0</v>
      </c>
      <c s="125">
        <f>Предпосылки!AQ$230*Предпосылки!$F261*Продажи!AR26*AR$19*(1+Чувствительность!$D$20)*IFERROR(LOOKUP(Предпосылки!$H$203,$C$13:$C$15,AR$13:AR$15),1)</f>
        <v>0</v>
      </c>
      <c s="125">
        <f>Предпосылки!AR$230*Предпосылки!$F261*Продажи!AS26*AS$19*(1+Чувствительность!$D$20)*IFERROR(LOOKUP(Предпосылки!$H$203,$C$13:$C$15,AS$13:AS$15),1)</f>
        <v>0</v>
      </c>
      <c s="125">
        <f>Предпосылки!AS$230*Предпосылки!$F261*Продажи!AT26*AT$19*(1+Чувствительность!$D$20)*IFERROR(LOOKUP(Предпосылки!$H$203,$C$13:$C$15,AT$13:AT$15),1)</f>
        <v>0</v>
      </c>
      <c s="125">
        <f>Предпосылки!AT$230*Предпосылки!$F261*Продажи!AU26*AU$19*(1+Чувствительность!$D$20)*IFERROR(LOOKUP(Предпосылки!$H$203,$C$13:$C$15,AU$13:AU$15),1)</f>
        <v>0</v>
      </c>
      <c s="125">
        <f>Предпосылки!AU$230*Предпосылки!$F261*Продажи!AV26*AV$19*(1+Чувствительность!$D$20)*IFERROR(LOOKUP(Предпосылки!$H$203,$C$13:$C$15,AV$13:AV$15),1)</f>
        <v>0</v>
      </c>
      <c s="125">
        <f>Предпосылки!AV$230*Предпосылки!$F261*Продажи!AW26*AW$19*(1+Чувствительность!$D$20)*IFERROR(LOOKUP(Предпосылки!$H$203,$C$13:$C$15,AW$13:AW$15),1)</f>
        <v>0</v>
      </c>
      <c s="125">
        <f>Предпосылки!AW$230*Предпосылки!$F261*Продажи!AX26*AX$19*(1+Чувствительность!$D$20)*IFERROR(LOOKUP(Предпосылки!$H$203,$C$13:$C$15,AX$13:AX$15),1)</f>
        <v>0</v>
      </c>
      <c s="125">
        <f>Предпосылки!AX$230*Предпосылки!$F261*Продажи!AY26*AY$19*(1+Чувствительность!$D$20)*IFERROR(LOOKUP(Предпосылки!$H$203,$C$13:$C$15,AY$13:AY$15),1)</f>
        <v>0</v>
      </c>
      <c s="125">
        <f>Предпосылки!AY$230*Предпосылки!$F261*Продажи!AZ26*AZ$19*(1+Чувствительность!$D$20)*IFERROR(LOOKUP(Предпосылки!$H$203,$C$13:$C$15,AZ$13:AZ$15),1)</f>
        <v>0</v>
      </c>
      <c s="125">
        <f>Предпосылки!AZ$230*Предпосылки!$F261*Продажи!BA26*BA$19*(1+Чувствительность!$D$20)*IFERROR(LOOKUP(Предпосылки!$H$203,$C$13:$C$15,BA$13:BA$15),1)</f>
        <v>0</v>
      </c>
      <c s="125">
        <f>Предпосылки!BA$230*Предпосылки!$F261*Продажи!BB26*BB$19*(1+Чувствительность!$D$20)*IFERROR(LOOKUP(Предпосылки!$H$203,$C$13:$C$15,BB$13:BB$15),1)</f>
        <v>0</v>
      </c>
      <c s="125">
        <f>Предпосылки!BB$230*Предпосылки!$F261*Продажи!BC26*BC$19*(1+Чувствительность!$D$20)*IFERROR(LOOKUP(Предпосылки!$H$203,$C$13:$C$15,BC$13:BC$15),1)</f>
        <v>0</v>
      </c>
      <c s="125">
        <f>Предпосылки!BC$230*Предпосылки!$F261*Продажи!BD26*BD$19*(1+Чувствительность!$D$20)*IFERROR(LOOKUP(Предпосылки!$H$203,$C$13:$C$15,BD$13:BD$15),1)</f>
        <v>0</v>
      </c>
      <c s="125">
        <f>Предпосылки!BD$230*Предпосылки!$F261*Продажи!BE26*BE$19*(1+Чувствительность!$D$20)*IFERROR(LOOKUP(Предпосылки!$H$203,$C$13:$C$15,BE$13:BE$15),1)</f>
        <v>0</v>
      </c>
      <c s="125">
        <f>Предпосылки!BE$230*Предпосылки!$F261*Продажи!BF26*BF$19*(1+Чувствительность!$D$20)*IFERROR(LOOKUP(Предпосылки!$H$203,$C$13:$C$15,BF$13:BF$15),1)</f>
        <v>0</v>
      </c>
      <c s="125">
        <f>Предпосылки!BF$230*Предпосылки!$F261*Продажи!BG26*BG$19*(1+Чувствительность!$D$20)*IFERROR(LOOKUP(Предпосылки!$H$203,$C$13:$C$15,BG$13:BG$15),1)</f>
        <v>0</v>
      </c>
      <c s="125">
        <f>Предпосылки!BG$230*Предпосылки!$F261*Продажи!BH26*BH$19*(1+Чувствительность!$D$20)*IFERROR(LOOKUP(Предпосылки!$H$203,$C$13:$C$15,BH$13:BH$15),1)</f>
        <v>0</v>
      </c>
      <c s="125">
        <f>Предпосылки!BH$230*Предпосылки!$F261*Продажи!BI26*BI$19*(1+Чувствительность!$D$20)*IFERROR(LOOKUP(Предпосылки!$H$203,$C$13:$C$15,BI$13:BI$15),1)</f>
        <v>0</v>
      </c>
      <c s="125">
        <f>Предпосылки!BI$230*Предпосылки!$F261*Продажи!BJ26*BJ$19*(1+Чувствительность!$D$20)*IFERROR(LOOKUP(Предпосылки!$H$203,$C$13:$C$15,BJ$13:BJ$15),1)</f>
        <v>0</v>
      </c>
      <c s="125">
        <f>Предпосылки!BJ$230*Предпосылки!$F261*Продажи!BK26*BK$19*(1+Чувствительность!$D$20)*IFERROR(LOOKUP(Предпосылки!$H$203,$C$13:$C$15,BK$13:BK$15),1)</f>
        <v>0</v>
      </c>
      <c s="125">
        <f>Предпосылки!BK$230*Предпосылки!$F261*Продажи!BL26*BL$19*(1+Чувствительность!$D$20)*IFERROR(LOOKUP(Предпосылки!$H$203,$C$13:$C$15,BL$13:BL$15),1)</f>
        <v>0</v>
      </c>
      <c s="125">
        <f>Предпосылки!BL$230*Предпосылки!$F261*Продажи!BM26*BM$19*(1+Чувствительность!$D$20)*IFERROR(LOOKUP(Предпосылки!$H$203,$C$13:$C$15,BM$13:BM$15),1)</f>
        <v>0</v>
      </c>
    </row>
    <row r="78" spans="2:65" ht="15" customHeight="1">
      <c r="B78" s="12" t="str">
        <f t="shared" si="71"/>
        <v>Продукт 10</v>
      </c>
      <c s="124" t="str">
        <f t="shared" si="70"/>
        <v>тыс. руб.</v>
      </c>
      <c s="276">
        <f t="shared" si="72"/>
        <v>0</v>
      </c>
      <c s="125">
        <f>Предпосылки!D$230*Предпосылки!$F262*Продажи!E27*E$19*(1+Чувствительность!$D$20)*IFERROR(LOOKUP(Предпосылки!$H$203,$C$13:$C$15,E$13:E$15),1)</f>
        <v>0</v>
      </c>
      <c s="125">
        <f>Предпосылки!E$230*Предпосылки!$F262*Продажи!F27*F$19*(1+Чувствительность!$D$20)*IFERROR(LOOKUP(Предпосылки!$H$203,$C$13:$C$15,F$13:F$15),1)</f>
        <v>0</v>
      </c>
      <c s="125">
        <f>Предпосылки!F$230*Предпосылки!$F262*Продажи!G27*G$19*(1+Чувствительность!$D$20)*IFERROR(LOOKUP(Предпосылки!$H$203,$C$13:$C$15,G$13:G$15),1)</f>
        <v>0</v>
      </c>
      <c s="125">
        <f>Предпосылки!G$230*Предпосылки!$F262*Продажи!H27*H$19*(1+Чувствительность!$D$20)*IFERROR(LOOKUP(Предпосылки!$H$203,$C$13:$C$15,H$13:H$15),1)</f>
        <v>0</v>
      </c>
      <c s="125">
        <f>Предпосылки!H$230*Предпосылки!$F262*Продажи!I27*I$19*(1+Чувствительность!$D$20)*IFERROR(LOOKUP(Предпосылки!$H$203,$C$13:$C$15,I$13:I$15),1)</f>
        <v>0</v>
      </c>
      <c s="125">
        <f>Предпосылки!I$230*Предпосылки!$F262*Продажи!J27*J$19*(1+Чувствительность!$D$20)*IFERROR(LOOKUP(Предпосылки!$H$203,$C$13:$C$15,J$13:J$15),1)</f>
        <v>0</v>
      </c>
      <c s="125">
        <f>Предпосылки!J$230*Предпосылки!$F262*Продажи!K27*K$19*(1+Чувствительность!$D$20)*IFERROR(LOOKUP(Предпосылки!$H$203,$C$13:$C$15,K$13:K$15),1)</f>
        <v>0</v>
      </c>
      <c s="125">
        <f>Предпосылки!K$230*Предпосылки!$F262*Продажи!L27*L$19*(1+Чувствительность!$D$20)*IFERROR(LOOKUP(Предпосылки!$H$203,$C$13:$C$15,L$13:L$15),1)</f>
        <v>0</v>
      </c>
      <c s="125">
        <f>Предпосылки!L$230*Предпосылки!$F262*Продажи!M27*M$19*(1+Чувствительность!$D$20)*IFERROR(LOOKUP(Предпосылки!$H$203,$C$13:$C$15,M$13:M$15),1)</f>
        <v>0</v>
      </c>
      <c s="125">
        <f>Предпосылки!M$230*Предпосылки!$F262*Продажи!N27*N$19*(1+Чувствительность!$D$20)*IFERROR(LOOKUP(Предпосылки!$H$203,$C$13:$C$15,N$13:N$15),1)</f>
        <v>0</v>
      </c>
      <c s="125">
        <f>Предпосылки!N$230*Предпосылки!$F262*Продажи!O27*O$19*(1+Чувствительность!$D$20)*IFERROR(LOOKUP(Предпосылки!$H$203,$C$13:$C$15,O$13:O$15),1)</f>
        <v>0</v>
      </c>
      <c s="125">
        <f>Предпосылки!O$230*Предпосылки!$F262*Продажи!P27*P$19*(1+Чувствительность!$D$20)*IFERROR(LOOKUP(Предпосылки!$H$203,$C$13:$C$15,P$13:P$15),1)</f>
        <v>0</v>
      </c>
      <c s="125">
        <f>Предпосылки!P$230*Предпосылки!$F262*Продажи!Q27*Q$19*(1+Чувствительность!$D$20)*IFERROR(LOOKUP(Предпосылки!$H$203,$C$13:$C$15,Q$13:Q$15),1)</f>
        <v>0</v>
      </c>
      <c s="125">
        <f>Предпосылки!Q$230*Предпосылки!$F262*Продажи!R27*R$19*(1+Чувствительность!$D$20)*IFERROR(LOOKUP(Предпосылки!$H$203,$C$13:$C$15,R$13:R$15),1)</f>
        <v>0</v>
      </c>
      <c s="125">
        <f>Предпосылки!R$230*Предпосылки!$F262*Продажи!S27*S$19*(1+Чувствительность!$D$20)*IFERROR(LOOKUP(Предпосылки!$H$203,$C$13:$C$15,S$13:S$15),1)</f>
        <v>0</v>
      </c>
      <c s="125">
        <f>Предпосылки!S$230*Предпосылки!$F262*Продажи!T27*T$19*(1+Чувствительность!$D$20)*IFERROR(LOOKUP(Предпосылки!$H$203,$C$13:$C$15,T$13:T$15),1)</f>
        <v>0</v>
      </c>
      <c s="125">
        <f>Предпосылки!T$230*Предпосылки!$F262*Продажи!U27*U$19*(1+Чувствительность!$D$20)*IFERROR(LOOKUP(Предпосылки!$H$203,$C$13:$C$15,U$13:U$15),1)</f>
        <v>0</v>
      </c>
      <c s="125">
        <f>Предпосылки!U$230*Предпосылки!$F262*Продажи!V27*V$19*(1+Чувствительность!$D$20)*IFERROR(LOOKUP(Предпосылки!$H$203,$C$13:$C$15,V$13:V$15),1)</f>
        <v>0</v>
      </c>
      <c s="125">
        <f>Предпосылки!V$230*Предпосылки!$F262*Продажи!W27*W$19*(1+Чувствительность!$D$20)*IFERROR(LOOKUP(Предпосылки!$H$203,$C$13:$C$15,W$13:W$15),1)</f>
        <v>0</v>
      </c>
      <c s="125">
        <f>Предпосылки!W$230*Предпосылки!$F262*Продажи!X27*X$19*(1+Чувствительность!$D$20)*IFERROR(LOOKUP(Предпосылки!$H$203,$C$13:$C$15,X$13:X$15),1)</f>
        <v>0</v>
      </c>
      <c s="125">
        <f>Предпосылки!X$230*Предпосылки!$F262*Продажи!Y27*Y$19*(1+Чувствительность!$D$20)*IFERROR(LOOKUP(Предпосылки!$H$203,$C$13:$C$15,Y$13:Y$15),1)</f>
        <v>0</v>
      </c>
      <c s="125">
        <f>Предпосылки!Y$230*Предпосылки!$F262*Продажи!Z27*Z$19*(1+Чувствительность!$D$20)*IFERROR(LOOKUP(Предпосылки!$H$203,$C$13:$C$15,Z$13:Z$15),1)</f>
        <v>0</v>
      </c>
      <c s="125">
        <f>Предпосылки!Z$230*Предпосылки!$F262*Продажи!AA27*AA$19*(1+Чувствительность!$D$20)*IFERROR(LOOKUP(Предпосылки!$H$203,$C$13:$C$15,AA$13:AA$15),1)</f>
        <v>0</v>
      </c>
      <c s="125">
        <f>Предпосылки!AA$230*Предпосылки!$F262*Продажи!AB27*AB$19*(1+Чувствительность!$D$20)*IFERROR(LOOKUP(Предпосылки!$H$203,$C$13:$C$15,AB$13:AB$15),1)</f>
        <v>0</v>
      </c>
      <c s="125">
        <f>Предпосылки!AB$230*Предпосылки!$F262*Продажи!AC27*AC$19*(1+Чувствительность!$D$20)*IFERROR(LOOKUP(Предпосылки!$H$203,$C$13:$C$15,AC$13:AC$15),1)</f>
        <v>0</v>
      </c>
      <c s="125">
        <f>Предпосылки!AC$230*Предпосылки!$F262*Продажи!AD27*AD$19*(1+Чувствительность!$D$20)*IFERROR(LOOKUP(Предпосылки!$H$203,$C$13:$C$15,AD$13:AD$15),1)</f>
        <v>0</v>
      </c>
      <c s="125">
        <f>Предпосылки!AD$230*Предпосылки!$F262*Продажи!AE27*AE$19*(1+Чувствительность!$D$20)*IFERROR(LOOKUP(Предпосылки!$H$203,$C$13:$C$15,AE$13:AE$15),1)</f>
        <v>0</v>
      </c>
      <c s="125">
        <f>Предпосылки!AE$230*Предпосылки!$F262*Продажи!AF27*AF$19*(1+Чувствительность!$D$20)*IFERROR(LOOKUP(Предпосылки!$H$203,$C$13:$C$15,AF$13:AF$15),1)</f>
        <v>0</v>
      </c>
      <c s="125">
        <f>Предпосылки!AF$230*Предпосылки!$F262*Продажи!AG27*AG$19*(1+Чувствительность!$D$20)*IFERROR(LOOKUP(Предпосылки!$H$203,$C$13:$C$15,AG$13:AG$15),1)</f>
        <v>0</v>
      </c>
      <c s="125">
        <f>Предпосылки!AG$230*Предпосылки!$F262*Продажи!AH27*AH$19*(1+Чувствительность!$D$20)*IFERROR(LOOKUP(Предпосылки!$H$203,$C$13:$C$15,AH$13:AH$15),1)</f>
        <v>0</v>
      </c>
      <c s="125">
        <f>Предпосылки!AH$230*Предпосылки!$F262*Продажи!AI27*AI$19*(1+Чувствительность!$D$20)*IFERROR(LOOKUP(Предпосылки!$H$203,$C$13:$C$15,AI$13:AI$15),1)</f>
        <v>0</v>
      </c>
      <c s="125">
        <f>Предпосылки!AI$230*Предпосылки!$F262*Продажи!AJ27*AJ$19*(1+Чувствительность!$D$20)*IFERROR(LOOKUP(Предпосылки!$H$203,$C$13:$C$15,AJ$13:AJ$15),1)</f>
        <v>0</v>
      </c>
      <c s="125">
        <f>Предпосылки!AJ$230*Предпосылки!$F262*Продажи!AK27*AK$19*(1+Чувствительность!$D$20)*IFERROR(LOOKUP(Предпосылки!$H$203,$C$13:$C$15,AK$13:AK$15),1)</f>
        <v>0</v>
      </c>
      <c s="125">
        <f>Предпосылки!AK$230*Предпосылки!$F262*Продажи!AL27*AL$19*(1+Чувствительность!$D$20)*IFERROR(LOOKUP(Предпосылки!$H$203,$C$13:$C$15,AL$13:AL$15),1)</f>
        <v>0</v>
      </c>
      <c s="125">
        <f>Предпосылки!AL$230*Предпосылки!$F262*Продажи!AM27*AM$19*(1+Чувствительность!$D$20)*IFERROR(LOOKUP(Предпосылки!$H$203,$C$13:$C$15,AM$13:AM$15),1)</f>
        <v>0</v>
      </c>
      <c s="125">
        <f>Предпосылки!AM$230*Предпосылки!$F262*Продажи!AN27*AN$19*(1+Чувствительность!$D$20)*IFERROR(LOOKUP(Предпосылки!$H$203,$C$13:$C$15,AN$13:AN$15),1)</f>
        <v>0</v>
      </c>
      <c s="125">
        <f>Предпосылки!AN$230*Предпосылки!$F262*Продажи!AO27*AO$19*(1+Чувствительность!$D$20)*IFERROR(LOOKUP(Предпосылки!$H$203,$C$13:$C$15,AO$13:AO$15),1)</f>
        <v>0</v>
      </c>
      <c s="125">
        <f>Предпосылки!AO$230*Предпосылки!$F262*Продажи!AP27*AP$19*(1+Чувствительность!$D$20)*IFERROR(LOOKUP(Предпосылки!$H$203,$C$13:$C$15,AP$13:AP$15),1)</f>
        <v>0</v>
      </c>
      <c s="125">
        <f>Предпосылки!AP$230*Предпосылки!$F262*Продажи!AQ27*AQ$19*(1+Чувствительность!$D$20)*IFERROR(LOOKUP(Предпосылки!$H$203,$C$13:$C$15,AQ$13:AQ$15),1)</f>
        <v>0</v>
      </c>
      <c s="125">
        <f>Предпосылки!AQ$230*Предпосылки!$F262*Продажи!AR27*AR$19*(1+Чувствительность!$D$20)*IFERROR(LOOKUP(Предпосылки!$H$203,$C$13:$C$15,AR$13:AR$15),1)</f>
        <v>0</v>
      </c>
      <c s="125">
        <f>Предпосылки!AR$230*Предпосылки!$F262*Продажи!AS27*AS$19*(1+Чувствительность!$D$20)*IFERROR(LOOKUP(Предпосылки!$H$203,$C$13:$C$15,AS$13:AS$15),1)</f>
        <v>0</v>
      </c>
      <c s="125">
        <f>Предпосылки!AS$230*Предпосылки!$F262*Продажи!AT27*AT$19*(1+Чувствительность!$D$20)*IFERROR(LOOKUP(Предпосылки!$H$203,$C$13:$C$15,AT$13:AT$15),1)</f>
        <v>0</v>
      </c>
      <c s="125">
        <f>Предпосылки!AT$230*Предпосылки!$F262*Продажи!AU27*AU$19*(1+Чувствительность!$D$20)*IFERROR(LOOKUP(Предпосылки!$H$203,$C$13:$C$15,AU$13:AU$15),1)</f>
        <v>0</v>
      </c>
      <c s="125">
        <f>Предпосылки!AU$230*Предпосылки!$F262*Продажи!AV27*AV$19*(1+Чувствительность!$D$20)*IFERROR(LOOKUP(Предпосылки!$H$203,$C$13:$C$15,AV$13:AV$15),1)</f>
        <v>0</v>
      </c>
      <c s="125">
        <f>Предпосылки!AV$230*Предпосылки!$F262*Продажи!AW27*AW$19*(1+Чувствительность!$D$20)*IFERROR(LOOKUP(Предпосылки!$H$203,$C$13:$C$15,AW$13:AW$15),1)</f>
        <v>0</v>
      </c>
      <c s="125">
        <f>Предпосылки!AW$230*Предпосылки!$F262*Продажи!AX27*AX$19*(1+Чувствительность!$D$20)*IFERROR(LOOKUP(Предпосылки!$H$203,$C$13:$C$15,AX$13:AX$15),1)</f>
        <v>0</v>
      </c>
      <c s="125">
        <f>Предпосылки!AX$230*Предпосылки!$F262*Продажи!AY27*AY$19*(1+Чувствительность!$D$20)*IFERROR(LOOKUP(Предпосылки!$H$203,$C$13:$C$15,AY$13:AY$15),1)</f>
        <v>0</v>
      </c>
      <c s="125">
        <f>Предпосылки!AY$230*Предпосылки!$F262*Продажи!AZ27*AZ$19*(1+Чувствительность!$D$20)*IFERROR(LOOKUP(Предпосылки!$H$203,$C$13:$C$15,AZ$13:AZ$15),1)</f>
        <v>0</v>
      </c>
      <c s="125">
        <f>Предпосылки!AZ$230*Предпосылки!$F262*Продажи!BA27*BA$19*(1+Чувствительность!$D$20)*IFERROR(LOOKUP(Предпосылки!$H$203,$C$13:$C$15,BA$13:BA$15),1)</f>
        <v>0</v>
      </c>
      <c s="125">
        <f>Предпосылки!BA$230*Предпосылки!$F262*Продажи!BB27*BB$19*(1+Чувствительность!$D$20)*IFERROR(LOOKUP(Предпосылки!$H$203,$C$13:$C$15,BB$13:BB$15),1)</f>
        <v>0</v>
      </c>
      <c s="125">
        <f>Предпосылки!BB$230*Предпосылки!$F262*Продажи!BC27*BC$19*(1+Чувствительность!$D$20)*IFERROR(LOOKUP(Предпосылки!$H$203,$C$13:$C$15,BC$13:BC$15),1)</f>
        <v>0</v>
      </c>
      <c s="125">
        <f>Предпосылки!BC$230*Предпосылки!$F262*Продажи!BD27*BD$19*(1+Чувствительность!$D$20)*IFERROR(LOOKUP(Предпосылки!$H$203,$C$13:$C$15,BD$13:BD$15),1)</f>
        <v>0</v>
      </c>
      <c s="125">
        <f>Предпосылки!BD$230*Предпосылки!$F262*Продажи!BE27*BE$19*(1+Чувствительность!$D$20)*IFERROR(LOOKUP(Предпосылки!$H$203,$C$13:$C$15,BE$13:BE$15),1)</f>
        <v>0</v>
      </c>
      <c s="125">
        <f>Предпосылки!BE$230*Предпосылки!$F262*Продажи!BF27*BF$19*(1+Чувствительность!$D$20)*IFERROR(LOOKUP(Предпосылки!$H$203,$C$13:$C$15,BF$13:BF$15),1)</f>
        <v>0</v>
      </c>
      <c s="125">
        <f>Предпосылки!BF$230*Предпосылки!$F262*Продажи!BG27*BG$19*(1+Чувствительность!$D$20)*IFERROR(LOOKUP(Предпосылки!$H$203,$C$13:$C$15,BG$13:BG$15),1)</f>
        <v>0</v>
      </c>
      <c s="125">
        <f>Предпосылки!BG$230*Предпосылки!$F262*Продажи!BH27*BH$19*(1+Чувствительность!$D$20)*IFERROR(LOOKUP(Предпосылки!$H$203,$C$13:$C$15,BH$13:BH$15),1)</f>
        <v>0</v>
      </c>
      <c s="125">
        <f>Предпосылки!BH$230*Предпосылки!$F262*Продажи!BI27*BI$19*(1+Чувствительность!$D$20)*IFERROR(LOOKUP(Предпосылки!$H$203,$C$13:$C$15,BI$13:BI$15),1)</f>
        <v>0</v>
      </c>
      <c s="125">
        <f>Предпосылки!BI$230*Предпосылки!$F262*Продажи!BJ27*BJ$19*(1+Чувствительность!$D$20)*IFERROR(LOOKUP(Предпосылки!$H$203,$C$13:$C$15,BJ$13:BJ$15),1)</f>
        <v>0</v>
      </c>
      <c s="125">
        <f>Предпосылки!BJ$230*Предпосылки!$F262*Продажи!BK27*BK$19*(1+Чувствительность!$D$20)*IFERROR(LOOKUP(Предпосылки!$H$203,$C$13:$C$15,BK$13:BK$15),1)</f>
        <v>0</v>
      </c>
      <c s="125">
        <f>Предпосылки!BK$230*Предпосылки!$F262*Продажи!BL27*BL$19*(1+Чувствительность!$D$20)*IFERROR(LOOKUP(Предпосылки!$H$203,$C$13:$C$15,BL$13:BL$15),1)</f>
        <v>0</v>
      </c>
      <c s="125">
        <f>Предпосылки!BL$230*Предпосылки!$F262*Продажи!BM27*BM$19*(1+Чувствительность!$D$20)*IFERROR(LOOKUP(Предпосылки!$H$203,$C$13:$C$15,BM$13:BM$15),1)</f>
        <v>0</v>
      </c>
    </row>
    <row r="79" spans="2:65" ht="15" customHeight="1">
      <c r="B79" s="12" t="str">
        <f t="shared" si="71"/>
        <v>Продукт 11</v>
      </c>
      <c s="124" t="str">
        <f t="shared" si="70"/>
        <v>тыс. руб.</v>
      </c>
      <c s="276">
        <f t="shared" si="72"/>
        <v>0</v>
      </c>
      <c s="125">
        <f>Предпосылки!D$230*Предпосылки!$F263*Продажи!E28*E$19*(1+Чувствительность!$D$20)*IFERROR(LOOKUP(Предпосылки!$H$203,$C$13:$C$15,E$13:E$15),1)</f>
        <v>0</v>
      </c>
      <c s="125">
        <f>Предпосылки!E$230*Предпосылки!$F263*Продажи!F28*F$19*(1+Чувствительность!$D$20)*IFERROR(LOOKUP(Предпосылки!$H$203,$C$13:$C$15,F$13:F$15),1)</f>
        <v>0</v>
      </c>
      <c s="125">
        <f>Предпосылки!F$230*Предпосылки!$F263*Продажи!G28*G$19*(1+Чувствительность!$D$20)*IFERROR(LOOKUP(Предпосылки!$H$203,$C$13:$C$15,G$13:G$15),1)</f>
        <v>0</v>
      </c>
      <c s="125">
        <f>Предпосылки!G$230*Предпосылки!$F263*Продажи!H28*H$19*(1+Чувствительность!$D$20)*IFERROR(LOOKUP(Предпосылки!$H$203,$C$13:$C$15,H$13:H$15),1)</f>
        <v>0</v>
      </c>
      <c s="125">
        <f>Предпосылки!H$230*Предпосылки!$F263*Продажи!I28*I$19*(1+Чувствительность!$D$20)*IFERROR(LOOKUP(Предпосылки!$H$203,$C$13:$C$15,I$13:I$15),1)</f>
        <v>0</v>
      </c>
      <c s="125">
        <f>Предпосылки!I$230*Предпосылки!$F263*Продажи!J28*J$19*(1+Чувствительность!$D$20)*IFERROR(LOOKUP(Предпосылки!$H$203,$C$13:$C$15,J$13:J$15),1)</f>
        <v>0</v>
      </c>
      <c s="125">
        <f>Предпосылки!J$230*Предпосылки!$F263*Продажи!K28*K$19*(1+Чувствительность!$D$20)*IFERROR(LOOKUP(Предпосылки!$H$203,$C$13:$C$15,K$13:K$15),1)</f>
        <v>0</v>
      </c>
      <c s="125">
        <f>Предпосылки!K$230*Предпосылки!$F263*Продажи!L28*L$19*(1+Чувствительность!$D$20)*IFERROR(LOOKUP(Предпосылки!$H$203,$C$13:$C$15,L$13:L$15),1)</f>
        <v>0</v>
      </c>
      <c s="125">
        <f>Предпосылки!L$230*Предпосылки!$F263*Продажи!M28*M$19*(1+Чувствительность!$D$20)*IFERROR(LOOKUP(Предпосылки!$H$203,$C$13:$C$15,M$13:M$15),1)</f>
        <v>0</v>
      </c>
      <c s="125">
        <f>Предпосылки!M$230*Предпосылки!$F263*Продажи!N28*N$19*(1+Чувствительность!$D$20)*IFERROR(LOOKUP(Предпосылки!$H$203,$C$13:$C$15,N$13:N$15),1)</f>
        <v>0</v>
      </c>
      <c s="125">
        <f>Предпосылки!N$230*Предпосылки!$F263*Продажи!O28*O$19*(1+Чувствительность!$D$20)*IFERROR(LOOKUP(Предпосылки!$H$203,$C$13:$C$15,O$13:O$15),1)</f>
        <v>0</v>
      </c>
      <c s="125">
        <f>Предпосылки!O$230*Предпосылки!$F263*Продажи!P28*P$19*(1+Чувствительность!$D$20)*IFERROR(LOOKUP(Предпосылки!$H$203,$C$13:$C$15,P$13:P$15),1)</f>
        <v>0</v>
      </c>
      <c s="125">
        <f>Предпосылки!P$230*Предпосылки!$F263*Продажи!Q28*Q$19*(1+Чувствительность!$D$20)*IFERROR(LOOKUP(Предпосылки!$H$203,$C$13:$C$15,Q$13:Q$15),1)</f>
        <v>0</v>
      </c>
      <c s="125">
        <f>Предпосылки!Q$230*Предпосылки!$F263*Продажи!R28*R$19*(1+Чувствительность!$D$20)*IFERROR(LOOKUP(Предпосылки!$H$203,$C$13:$C$15,R$13:R$15),1)</f>
        <v>0</v>
      </c>
      <c s="125">
        <f>Предпосылки!R$230*Предпосылки!$F263*Продажи!S28*S$19*(1+Чувствительность!$D$20)*IFERROR(LOOKUP(Предпосылки!$H$203,$C$13:$C$15,S$13:S$15),1)</f>
        <v>0</v>
      </c>
      <c s="125">
        <f>Предпосылки!S$230*Предпосылки!$F263*Продажи!T28*T$19*(1+Чувствительность!$D$20)*IFERROR(LOOKUP(Предпосылки!$H$203,$C$13:$C$15,T$13:T$15),1)</f>
        <v>0</v>
      </c>
      <c s="125">
        <f>Предпосылки!T$230*Предпосылки!$F263*Продажи!U28*U$19*(1+Чувствительность!$D$20)*IFERROR(LOOKUP(Предпосылки!$H$203,$C$13:$C$15,U$13:U$15),1)</f>
        <v>0</v>
      </c>
      <c s="125">
        <f>Предпосылки!U$230*Предпосылки!$F263*Продажи!V28*V$19*(1+Чувствительность!$D$20)*IFERROR(LOOKUP(Предпосылки!$H$203,$C$13:$C$15,V$13:V$15),1)</f>
        <v>0</v>
      </c>
      <c s="125">
        <f>Предпосылки!V$230*Предпосылки!$F263*Продажи!W28*W$19*(1+Чувствительность!$D$20)*IFERROR(LOOKUP(Предпосылки!$H$203,$C$13:$C$15,W$13:W$15),1)</f>
        <v>0</v>
      </c>
      <c s="125">
        <f>Предпосылки!W$230*Предпосылки!$F263*Продажи!X28*X$19*(1+Чувствительность!$D$20)*IFERROR(LOOKUP(Предпосылки!$H$203,$C$13:$C$15,X$13:X$15),1)</f>
        <v>0</v>
      </c>
      <c s="125">
        <f>Предпосылки!X$230*Предпосылки!$F263*Продажи!Y28*Y$19*(1+Чувствительность!$D$20)*IFERROR(LOOKUP(Предпосылки!$H$203,$C$13:$C$15,Y$13:Y$15),1)</f>
        <v>0</v>
      </c>
      <c s="125">
        <f>Предпосылки!Y$230*Предпосылки!$F263*Продажи!Z28*Z$19*(1+Чувствительность!$D$20)*IFERROR(LOOKUP(Предпосылки!$H$203,$C$13:$C$15,Z$13:Z$15),1)</f>
        <v>0</v>
      </c>
      <c s="125">
        <f>Предпосылки!Z$230*Предпосылки!$F263*Продажи!AA28*AA$19*(1+Чувствительность!$D$20)*IFERROR(LOOKUP(Предпосылки!$H$203,$C$13:$C$15,AA$13:AA$15),1)</f>
        <v>0</v>
      </c>
      <c s="125">
        <f>Предпосылки!AA$230*Предпосылки!$F263*Продажи!AB28*AB$19*(1+Чувствительность!$D$20)*IFERROR(LOOKUP(Предпосылки!$H$203,$C$13:$C$15,AB$13:AB$15),1)</f>
        <v>0</v>
      </c>
      <c s="125">
        <f>Предпосылки!AB$230*Предпосылки!$F263*Продажи!AC28*AC$19*(1+Чувствительность!$D$20)*IFERROR(LOOKUP(Предпосылки!$H$203,$C$13:$C$15,AC$13:AC$15),1)</f>
        <v>0</v>
      </c>
      <c s="125">
        <f>Предпосылки!AC$230*Предпосылки!$F263*Продажи!AD28*AD$19*(1+Чувствительность!$D$20)*IFERROR(LOOKUP(Предпосылки!$H$203,$C$13:$C$15,AD$13:AD$15),1)</f>
        <v>0</v>
      </c>
      <c s="125">
        <f>Предпосылки!AD$230*Предпосылки!$F263*Продажи!AE28*AE$19*(1+Чувствительность!$D$20)*IFERROR(LOOKUP(Предпосылки!$H$203,$C$13:$C$15,AE$13:AE$15),1)</f>
        <v>0</v>
      </c>
      <c s="125">
        <f>Предпосылки!AE$230*Предпосылки!$F263*Продажи!AF28*AF$19*(1+Чувствительность!$D$20)*IFERROR(LOOKUP(Предпосылки!$H$203,$C$13:$C$15,AF$13:AF$15),1)</f>
        <v>0</v>
      </c>
      <c s="125">
        <f>Предпосылки!AF$230*Предпосылки!$F263*Продажи!AG28*AG$19*(1+Чувствительность!$D$20)*IFERROR(LOOKUP(Предпосылки!$H$203,$C$13:$C$15,AG$13:AG$15),1)</f>
        <v>0</v>
      </c>
      <c s="125">
        <f>Предпосылки!AG$230*Предпосылки!$F263*Продажи!AH28*AH$19*(1+Чувствительность!$D$20)*IFERROR(LOOKUP(Предпосылки!$H$203,$C$13:$C$15,AH$13:AH$15),1)</f>
        <v>0</v>
      </c>
      <c s="125">
        <f>Предпосылки!AH$230*Предпосылки!$F263*Продажи!AI28*AI$19*(1+Чувствительность!$D$20)*IFERROR(LOOKUP(Предпосылки!$H$203,$C$13:$C$15,AI$13:AI$15),1)</f>
        <v>0</v>
      </c>
      <c s="125">
        <f>Предпосылки!AI$230*Предпосылки!$F263*Продажи!AJ28*AJ$19*(1+Чувствительность!$D$20)*IFERROR(LOOKUP(Предпосылки!$H$203,$C$13:$C$15,AJ$13:AJ$15),1)</f>
        <v>0</v>
      </c>
      <c s="125">
        <f>Предпосылки!AJ$230*Предпосылки!$F263*Продажи!AK28*AK$19*(1+Чувствительность!$D$20)*IFERROR(LOOKUP(Предпосылки!$H$203,$C$13:$C$15,AK$13:AK$15),1)</f>
        <v>0</v>
      </c>
      <c s="125">
        <f>Предпосылки!AK$230*Предпосылки!$F263*Продажи!AL28*AL$19*(1+Чувствительность!$D$20)*IFERROR(LOOKUP(Предпосылки!$H$203,$C$13:$C$15,AL$13:AL$15),1)</f>
        <v>0</v>
      </c>
      <c s="125">
        <f>Предпосылки!AL$230*Предпосылки!$F263*Продажи!AM28*AM$19*(1+Чувствительность!$D$20)*IFERROR(LOOKUP(Предпосылки!$H$203,$C$13:$C$15,AM$13:AM$15),1)</f>
        <v>0</v>
      </c>
      <c s="125">
        <f>Предпосылки!AM$230*Предпосылки!$F263*Продажи!AN28*AN$19*(1+Чувствительность!$D$20)*IFERROR(LOOKUP(Предпосылки!$H$203,$C$13:$C$15,AN$13:AN$15),1)</f>
        <v>0</v>
      </c>
      <c s="125">
        <f>Предпосылки!AN$230*Предпосылки!$F263*Продажи!AO28*AO$19*(1+Чувствительность!$D$20)*IFERROR(LOOKUP(Предпосылки!$H$203,$C$13:$C$15,AO$13:AO$15),1)</f>
        <v>0</v>
      </c>
      <c s="125">
        <f>Предпосылки!AO$230*Предпосылки!$F263*Продажи!AP28*AP$19*(1+Чувствительность!$D$20)*IFERROR(LOOKUP(Предпосылки!$H$203,$C$13:$C$15,AP$13:AP$15),1)</f>
        <v>0</v>
      </c>
      <c s="125">
        <f>Предпосылки!AP$230*Предпосылки!$F263*Продажи!AQ28*AQ$19*(1+Чувствительность!$D$20)*IFERROR(LOOKUP(Предпосылки!$H$203,$C$13:$C$15,AQ$13:AQ$15),1)</f>
        <v>0</v>
      </c>
      <c s="125">
        <f>Предпосылки!AQ$230*Предпосылки!$F263*Продажи!AR28*AR$19*(1+Чувствительность!$D$20)*IFERROR(LOOKUP(Предпосылки!$H$203,$C$13:$C$15,AR$13:AR$15),1)</f>
        <v>0</v>
      </c>
      <c s="125">
        <f>Предпосылки!AR$230*Предпосылки!$F263*Продажи!AS28*AS$19*(1+Чувствительность!$D$20)*IFERROR(LOOKUP(Предпосылки!$H$203,$C$13:$C$15,AS$13:AS$15),1)</f>
        <v>0</v>
      </c>
      <c s="125">
        <f>Предпосылки!AS$230*Предпосылки!$F263*Продажи!AT28*AT$19*(1+Чувствительность!$D$20)*IFERROR(LOOKUP(Предпосылки!$H$203,$C$13:$C$15,AT$13:AT$15),1)</f>
        <v>0</v>
      </c>
      <c s="125">
        <f>Предпосылки!AT$230*Предпосылки!$F263*Продажи!AU28*AU$19*(1+Чувствительность!$D$20)*IFERROR(LOOKUP(Предпосылки!$H$203,$C$13:$C$15,AU$13:AU$15),1)</f>
        <v>0</v>
      </c>
      <c s="125">
        <f>Предпосылки!AU$230*Предпосылки!$F263*Продажи!AV28*AV$19*(1+Чувствительность!$D$20)*IFERROR(LOOKUP(Предпосылки!$H$203,$C$13:$C$15,AV$13:AV$15),1)</f>
        <v>0</v>
      </c>
      <c s="125">
        <f>Предпосылки!AV$230*Предпосылки!$F263*Продажи!AW28*AW$19*(1+Чувствительность!$D$20)*IFERROR(LOOKUP(Предпосылки!$H$203,$C$13:$C$15,AW$13:AW$15),1)</f>
        <v>0</v>
      </c>
      <c s="125">
        <f>Предпосылки!AW$230*Предпосылки!$F263*Продажи!AX28*AX$19*(1+Чувствительность!$D$20)*IFERROR(LOOKUP(Предпосылки!$H$203,$C$13:$C$15,AX$13:AX$15),1)</f>
        <v>0</v>
      </c>
      <c s="125">
        <f>Предпосылки!AX$230*Предпосылки!$F263*Продажи!AY28*AY$19*(1+Чувствительность!$D$20)*IFERROR(LOOKUP(Предпосылки!$H$203,$C$13:$C$15,AY$13:AY$15),1)</f>
        <v>0</v>
      </c>
      <c s="125">
        <f>Предпосылки!AY$230*Предпосылки!$F263*Продажи!AZ28*AZ$19*(1+Чувствительность!$D$20)*IFERROR(LOOKUP(Предпосылки!$H$203,$C$13:$C$15,AZ$13:AZ$15),1)</f>
        <v>0</v>
      </c>
      <c s="125">
        <f>Предпосылки!AZ$230*Предпосылки!$F263*Продажи!BA28*BA$19*(1+Чувствительность!$D$20)*IFERROR(LOOKUP(Предпосылки!$H$203,$C$13:$C$15,BA$13:BA$15),1)</f>
        <v>0</v>
      </c>
      <c s="125">
        <f>Предпосылки!BA$230*Предпосылки!$F263*Продажи!BB28*BB$19*(1+Чувствительность!$D$20)*IFERROR(LOOKUP(Предпосылки!$H$203,$C$13:$C$15,BB$13:BB$15),1)</f>
        <v>0</v>
      </c>
      <c s="125">
        <f>Предпосылки!BB$230*Предпосылки!$F263*Продажи!BC28*BC$19*(1+Чувствительность!$D$20)*IFERROR(LOOKUP(Предпосылки!$H$203,$C$13:$C$15,BC$13:BC$15),1)</f>
        <v>0</v>
      </c>
      <c s="125">
        <f>Предпосылки!BC$230*Предпосылки!$F263*Продажи!BD28*BD$19*(1+Чувствительность!$D$20)*IFERROR(LOOKUP(Предпосылки!$H$203,$C$13:$C$15,BD$13:BD$15),1)</f>
        <v>0</v>
      </c>
      <c s="125">
        <f>Предпосылки!BD$230*Предпосылки!$F263*Продажи!BE28*BE$19*(1+Чувствительность!$D$20)*IFERROR(LOOKUP(Предпосылки!$H$203,$C$13:$C$15,BE$13:BE$15),1)</f>
        <v>0</v>
      </c>
      <c s="125">
        <f>Предпосылки!BE$230*Предпосылки!$F263*Продажи!BF28*BF$19*(1+Чувствительность!$D$20)*IFERROR(LOOKUP(Предпосылки!$H$203,$C$13:$C$15,BF$13:BF$15),1)</f>
        <v>0</v>
      </c>
      <c s="125">
        <f>Предпосылки!BF$230*Предпосылки!$F263*Продажи!BG28*BG$19*(1+Чувствительность!$D$20)*IFERROR(LOOKUP(Предпосылки!$H$203,$C$13:$C$15,BG$13:BG$15),1)</f>
        <v>0</v>
      </c>
      <c s="125">
        <f>Предпосылки!BG$230*Предпосылки!$F263*Продажи!BH28*BH$19*(1+Чувствительность!$D$20)*IFERROR(LOOKUP(Предпосылки!$H$203,$C$13:$C$15,BH$13:BH$15),1)</f>
        <v>0</v>
      </c>
      <c s="125">
        <f>Предпосылки!BH$230*Предпосылки!$F263*Продажи!BI28*BI$19*(1+Чувствительность!$D$20)*IFERROR(LOOKUP(Предпосылки!$H$203,$C$13:$C$15,BI$13:BI$15),1)</f>
        <v>0</v>
      </c>
      <c s="125">
        <f>Предпосылки!BI$230*Предпосылки!$F263*Продажи!BJ28*BJ$19*(1+Чувствительность!$D$20)*IFERROR(LOOKUP(Предпосылки!$H$203,$C$13:$C$15,BJ$13:BJ$15),1)</f>
        <v>0</v>
      </c>
      <c s="125">
        <f>Предпосылки!BJ$230*Предпосылки!$F263*Продажи!BK28*BK$19*(1+Чувствительность!$D$20)*IFERROR(LOOKUP(Предпосылки!$H$203,$C$13:$C$15,BK$13:BK$15),1)</f>
        <v>0</v>
      </c>
      <c s="125">
        <f>Предпосылки!BK$230*Предпосылки!$F263*Продажи!BL28*BL$19*(1+Чувствительность!$D$20)*IFERROR(LOOKUP(Предпосылки!$H$203,$C$13:$C$15,BL$13:BL$15),1)</f>
        <v>0</v>
      </c>
      <c s="125">
        <f>Предпосылки!BL$230*Предпосылки!$F263*Продажи!BM28*BM$19*(1+Чувствительность!$D$20)*IFERROR(LOOKUP(Предпосылки!$H$203,$C$13:$C$15,BM$13:BM$15),1)</f>
        <v>0</v>
      </c>
    </row>
    <row r="80" spans="2:65" ht="15" customHeight="1">
      <c r="B80" s="12" t="str">
        <f t="shared" si="71"/>
        <v>Продукт 12</v>
      </c>
      <c s="124" t="str">
        <f t="shared" si="70"/>
        <v>тыс. руб.</v>
      </c>
      <c s="276">
        <f t="shared" si="72"/>
        <v>0</v>
      </c>
      <c s="125">
        <f>Предпосылки!D$230*Предпосылки!$F264*Продажи!E29*E$19*(1+Чувствительность!$D$20)*IFERROR(LOOKUP(Предпосылки!$H$203,$C$13:$C$15,E$13:E$15),1)</f>
        <v>0</v>
      </c>
      <c s="125">
        <f>Предпосылки!E$230*Предпосылки!$F264*Продажи!F29*F$19*(1+Чувствительность!$D$20)*IFERROR(LOOKUP(Предпосылки!$H$203,$C$13:$C$15,F$13:F$15),1)</f>
        <v>0</v>
      </c>
      <c s="125">
        <f>Предпосылки!F$230*Предпосылки!$F264*Продажи!G29*G$19*(1+Чувствительность!$D$20)*IFERROR(LOOKUP(Предпосылки!$H$203,$C$13:$C$15,G$13:G$15),1)</f>
        <v>0</v>
      </c>
      <c s="125">
        <f>Предпосылки!G$230*Предпосылки!$F264*Продажи!H29*H$19*(1+Чувствительность!$D$20)*IFERROR(LOOKUP(Предпосылки!$H$203,$C$13:$C$15,H$13:H$15),1)</f>
        <v>0</v>
      </c>
      <c s="125">
        <f>Предпосылки!H$230*Предпосылки!$F264*Продажи!I29*I$19*(1+Чувствительность!$D$20)*IFERROR(LOOKUP(Предпосылки!$H$203,$C$13:$C$15,I$13:I$15),1)</f>
        <v>0</v>
      </c>
      <c s="125">
        <f>Предпосылки!I$230*Предпосылки!$F264*Продажи!J29*J$19*(1+Чувствительность!$D$20)*IFERROR(LOOKUP(Предпосылки!$H$203,$C$13:$C$15,J$13:J$15),1)</f>
        <v>0</v>
      </c>
      <c s="125">
        <f>Предпосылки!J$230*Предпосылки!$F264*Продажи!K29*K$19*(1+Чувствительность!$D$20)*IFERROR(LOOKUP(Предпосылки!$H$203,$C$13:$C$15,K$13:K$15),1)</f>
        <v>0</v>
      </c>
      <c s="125">
        <f>Предпосылки!K$230*Предпосылки!$F264*Продажи!L29*L$19*(1+Чувствительность!$D$20)*IFERROR(LOOKUP(Предпосылки!$H$203,$C$13:$C$15,L$13:L$15),1)</f>
        <v>0</v>
      </c>
      <c s="125">
        <f>Предпосылки!L$230*Предпосылки!$F264*Продажи!M29*M$19*(1+Чувствительность!$D$20)*IFERROR(LOOKUP(Предпосылки!$H$203,$C$13:$C$15,M$13:M$15),1)</f>
        <v>0</v>
      </c>
      <c s="125">
        <f>Предпосылки!M$230*Предпосылки!$F264*Продажи!N29*N$19*(1+Чувствительность!$D$20)*IFERROR(LOOKUP(Предпосылки!$H$203,$C$13:$C$15,N$13:N$15),1)</f>
        <v>0</v>
      </c>
      <c s="125">
        <f>Предпосылки!N$230*Предпосылки!$F264*Продажи!O29*O$19*(1+Чувствительность!$D$20)*IFERROR(LOOKUP(Предпосылки!$H$203,$C$13:$C$15,O$13:O$15),1)</f>
        <v>0</v>
      </c>
      <c s="125">
        <f>Предпосылки!O$230*Предпосылки!$F264*Продажи!P29*P$19*(1+Чувствительность!$D$20)*IFERROR(LOOKUP(Предпосылки!$H$203,$C$13:$C$15,P$13:P$15),1)</f>
        <v>0</v>
      </c>
      <c s="125">
        <f>Предпосылки!P$230*Предпосылки!$F264*Продажи!Q29*Q$19*(1+Чувствительность!$D$20)*IFERROR(LOOKUP(Предпосылки!$H$203,$C$13:$C$15,Q$13:Q$15),1)</f>
        <v>0</v>
      </c>
      <c s="125">
        <f>Предпосылки!Q$230*Предпосылки!$F264*Продажи!R29*R$19*(1+Чувствительность!$D$20)*IFERROR(LOOKUP(Предпосылки!$H$203,$C$13:$C$15,R$13:R$15),1)</f>
        <v>0</v>
      </c>
      <c s="125">
        <f>Предпосылки!R$230*Предпосылки!$F264*Продажи!S29*S$19*(1+Чувствительность!$D$20)*IFERROR(LOOKUP(Предпосылки!$H$203,$C$13:$C$15,S$13:S$15),1)</f>
        <v>0</v>
      </c>
      <c s="125">
        <f>Предпосылки!S$230*Предпосылки!$F264*Продажи!T29*T$19*(1+Чувствительность!$D$20)*IFERROR(LOOKUP(Предпосылки!$H$203,$C$13:$C$15,T$13:T$15),1)</f>
        <v>0</v>
      </c>
      <c s="125">
        <f>Предпосылки!T$230*Предпосылки!$F264*Продажи!U29*U$19*(1+Чувствительность!$D$20)*IFERROR(LOOKUP(Предпосылки!$H$203,$C$13:$C$15,U$13:U$15),1)</f>
        <v>0</v>
      </c>
      <c s="125">
        <f>Предпосылки!U$230*Предпосылки!$F264*Продажи!V29*V$19*(1+Чувствительность!$D$20)*IFERROR(LOOKUP(Предпосылки!$H$203,$C$13:$C$15,V$13:V$15),1)</f>
        <v>0</v>
      </c>
      <c s="125">
        <f>Предпосылки!V$230*Предпосылки!$F264*Продажи!W29*W$19*(1+Чувствительность!$D$20)*IFERROR(LOOKUP(Предпосылки!$H$203,$C$13:$C$15,W$13:W$15),1)</f>
        <v>0</v>
      </c>
      <c s="125">
        <f>Предпосылки!W$230*Предпосылки!$F264*Продажи!X29*X$19*(1+Чувствительность!$D$20)*IFERROR(LOOKUP(Предпосылки!$H$203,$C$13:$C$15,X$13:X$15),1)</f>
        <v>0</v>
      </c>
      <c s="125">
        <f>Предпосылки!X$230*Предпосылки!$F264*Продажи!Y29*Y$19*(1+Чувствительность!$D$20)*IFERROR(LOOKUP(Предпосылки!$H$203,$C$13:$C$15,Y$13:Y$15),1)</f>
        <v>0</v>
      </c>
      <c s="125">
        <f>Предпосылки!Y$230*Предпосылки!$F264*Продажи!Z29*Z$19*(1+Чувствительность!$D$20)*IFERROR(LOOKUP(Предпосылки!$H$203,$C$13:$C$15,Z$13:Z$15),1)</f>
        <v>0</v>
      </c>
      <c s="125">
        <f>Предпосылки!Z$230*Предпосылки!$F264*Продажи!AA29*AA$19*(1+Чувствительность!$D$20)*IFERROR(LOOKUP(Предпосылки!$H$203,$C$13:$C$15,AA$13:AA$15),1)</f>
        <v>0</v>
      </c>
      <c s="125">
        <f>Предпосылки!AA$230*Предпосылки!$F264*Продажи!AB29*AB$19*(1+Чувствительность!$D$20)*IFERROR(LOOKUP(Предпосылки!$H$203,$C$13:$C$15,AB$13:AB$15),1)</f>
        <v>0</v>
      </c>
      <c s="125">
        <f>Предпосылки!AB$230*Предпосылки!$F264*Продажи!AC29*AC$19*(1+Чувствительность!$D$20)*IFERROR(LOOKUP(Предпосылки!$H$203,$C$13:$C$15,AC$13:AC$15),1)</f>
        <v>0</v>
      </c>
      <c s="125">
        <f>Предпосылки!AC$230*Предпосылки!$F264*Продажи!AD29*AD$19*(1+Чувствительность!$D$20)*IFERROR(LOOKUP(Предпосылки!$H$203,$C$13:$C$15,AD$13:AD$15),1)</f>
        <v>0</v>
      </c>
      <c s="125">
        <f>Предпосылки!AD$230*Предпосылки!$F264*Продажи!AE29*AE$19*(1+Чувствительность!$D$20)*IFERROR(LOOKUP(Предпосылки!$H$203,$C$13:$C$15,AE$13:AE$15),1)</f>
        <v>0</v>
      </c>
      <c s="125">
        <f>Предпосылки!AE$230*Предпосылки!$F264*Продажи!AF29*AF$19*(1+Чувствительность!$D$20)*IFERROR(LOOKUP(Предпосылки!$H$203,$C$13:$C$15,AF$13:AF$15),1)</f>
        <v>0</v>
      </c>
      <c s="125">
        <f>Предпосылки!AF$230*Предпосылки!$F264*Продажи!AG29*AG$19*(1+Чувствительность!$D$20)*IFERROR(LOOKUP(Предпосылки!$H$203,$C$13:$C$15,AG$13:AG$15),1)</f>
        <v>0</v>
      </c>
      <c s="125">
        <f>Предпосылки!AG$230*Предпосылки!$F264*Продажи!AH29*AH$19*(1+Чувствительность!$D$20)*IFERROR(LOOKUP(Предпосылки!$H$203,$C$13:$C$15,AH$13:AH$15),1)</f>
        <v>0</v>
      </c>
      <c s="125">
        <f>Предпосылки!AH$230*Предпосылки!$F264*Продажи!AI29*AI$19*(1+Чувствительность!$D$20)*IFERROR(LOOKUP(Предпосылки!$H$203,$C$13:$C$15,AI$13:AI$15),1)</f>
        <v>0</v>
      </c>
      <c s="125">
        <f>Предпосылки!AI$230*Предпосылки!$F264*Продажи!AJ29*AJ$19*(1+Чувствительность!$D$20)*IFERROR(LOOKUP(Предпосылки!$H$203,$C$13:$C$15,AJ$13:AJ$15),1)</f>
        <v>0</v>
      </c>
      <c s="125">
        <f>Предпосылки!AJ$230*Предпосылки!$F264*Продажи!AK29*AK$19*(1+Чувствительность!$D$20)*IFERROR(LOOKUP(Предпосылки!$H$203,$C$13:$C$15,AK$13:AK$15),1)</f>
        <v>0</v>
      </c>
      <c s="125">
        <f>Предпосылки!AK$230*Предпосылки!$F264*Продажи!AL29*AL$19*(1+Чувствительность!$D$20)*IFERROR(LOOKUP(Предпосылки!$H$203,$C$13:$C$15,AL$13:AL$15),1)</f>
        <v>0</v>
      </c>
      <c s="125">
        <f>Предпосылки!AL$230*Предпосылки!$F264*Продажи!AM29*AM$19*(1+Чувствительность!$D$20)*IFERROR(LOOKUP(Предпосылки!$H$203,$C$13:$C$15,AM$13:AM$15),1)</f>
        <v>0</v>
      </c>
      <c s="125">
        <f>Предпосылки!AM$230*Предпосылки!$F264*Продажи!AN29*AN$19*(1+Чувствительность!$D$20)*IFERROR(LOOKUP(Предпосылки!$H$203,$C$13:$C$15,AN$13:AN$15),1)</f>
        <v>0</v>
      </c>
      <c s="125">
        <f>Предпосылки!AN$230*Предпосылки!$F264*Продажи!AO29*AO$19*(1+Чувствительность!$D$20)*IFERROR(LOOKUP(Предпосылки!$H$203,$C$13:$C$15,AO$13:AO$15),1)</f>
        <v>0</v>
      </c>
      <c s="125">
        <f>Предпосылки!AO$230*Предпосылки!$F264*Продажи!AP29*AP$19*(1+Чувствительность!$D$20)*IFERROR(LOOKUP(Предпосылки!$H$203,$C$13:$C$15,AP$13:AP$15),1)</f>
        <v>0</v>
      </c>
      <c s="125">
        <f>Предпосылки!AP$230*Предпосылки!$F264*Продажи!AQ29*AQ$19*(1+Чувствительность!$D$20)*IFERROR(LOOKUP(Предпосылки!$H$203,$C$13:$C$15,AQ$13:AQ$15),1)</f>
        <v>0</v>
      </c>
      <c s="125">
        <f>Предпосылки!AQ$230*Предпосылки!$F264*Продажи!AR29*AR$19*(1+Чувствительность!$D$20)*IFERROR(LOOKUP(Предпосылки!$H$203,$C$13:$C$15,AR$13:AR$15),1)</f>
        <v>0</v>
      </c>
      <c s="125">
        <f>Предпосылки!AR$230*Предпосылки!$F264*Продажи!AS29*AS$19*(1+Чувствительность!$D$20)*IFERROR(LOOKUP(Предпосылки!$H$203,$C$13:$C$15,AS$13:AS$15),1)</f>
        <v>0</v>
      </c>
      <c s="125">
        <f>Предпосылки!AS$230*Предпосылки!$F264*Продажи!AT29*AT$19*(1+Чувствительность!$D$20)*IFERROR(LOOKUP(Предпосылки!$H$203,$C$13:$C$15,AT$13:AT$15),1)</f>
        <v>0</v>
      </c>
      <c s="125">
        <f>Предпосылки!AT$230*Предпосылки!$F264*Продажи!AU29*AU$19*(1+Чувствительность!$D$20)*IFERROR(LOOKUP(Предпосылки!$H$203,$C$13:$C$15,AU$13:AU$15),1)</f>
        <v>0</v>
      </c>
      <c s="125">
        <f>Предпосылки!AU$230*Предпосылки!$F264*Продажи!AV29*AV$19*(1+Чувствительность!$D$20)*IFERROR(LOOKUP(Предпосылки!$H$203,$C$13:$C$15,AV$13:AV$15),1)</f>
        <v>0</v>
      </c>
      <c s="125">
        <f>Предпосылки!AV$230*Предпосылки!$F264*Продажи!AW29*AW$19*(1+Чувствительность!$D$20)*IFERROR(LOOKUP(Предпосылки!$H$203,$C$13:$C$15,AW$13:AW$15),1)</f>
        <v>0</v>
      </c>
      <c s="125">
        <f>Предпосылки!AW$230*Предпосылки!$F264*Продажи!AX29*AX$19*(1+Чувствительность!$D$20)*IFERROR(LOOKUP(Предпосылки!$H$203,$C$13:$C$15,AX$13:AX$15),1)</f>
        <v>0</v>
      </c>
      <c s="125">
        <f>Предпосылки!AX$230*Предпосылки!$F264*Продажи!AY29*AY$19*(1+Чувствительность!$D$20)*IFERROR(LOOKUP(Предпосылки!$H$203,$C$13:$C$15,AY$13:AY$15),1)</f>
        <v>0</v>
      </c>
      <c s="125">
        <f>Предпосылки!AY$230*Предпосылки!$F264*Продажи!AZ29*AZ$19*(1+Чувствительность!$D$20)*IFERROR(LOOKUP(Предпосылки!$H$203,$C$13:$C$15,AZ$13:AZ$15),1)</f>
        <v>0</v>
      </c>
      <c s="125">
        <f>Предпосылки!AZ$230*Предпосылки!$F264*Продажи!BA29*BA$19*(1+Чувствительность!$D$20)*IFERROR(LOOKUP(Предпосылки!$H$203,$C$13:$C$15,BA$13:BA$15),1)</f>
        <v>0</v>
      </c>
      <c s="125">
        <f>Предпосылки!BA$230*Предпосылки!$F264*Продажи!BB29*BB$19*(1+Чувствительность!$D$20)*IFERROR(LOOKUP(Предпосылки!$H$203,$C$13:$C$15,BB$13:BB$15),1)</f>
        <v>0</v>
      </c>
      <c s="125">
        <f>Предпосылки!BB$230*Предпосылки!$F264*Продажи!BC29*BC$19*(1+Чувствительность!$D$20)*IFERROR(LOOKUP(Предпосылки!$H$203,$C$13:$C$15,BC$13:BC$15),1)</f>
        <v>0</v>
      </c>
      <c s="125">
        <f>Предпосылки!BC$230*Предпосылки!$F264*Продажи!BD29*BD$19*(1+Чувствительность!$D$20)*IFERROR(LOOKUP(Предпосылки!$H$203,$C$13:$C$15,BD$13:BD$15),1)</f>
        <v>0</v>
      </c>
      <c s="125">
        <f>Предпосылки!BD$230*Предпосылки!$F264*Продажи!BE29*BE$19*(1+Чувствительность!$D$20)*IFERROR(LOOKUP(Предпосылки!$H$203,$C$13:$C$15,BE$13:BE$15),1)</f>
        <v>0</v>
      </c>
      <c s="125">
        <f>Предпосылки!BE$230*Предпосылки!$F264*Продажи!BF29*BF$19*(1+Чувствительность!$D$20)*IFERROR(LOOKUP(Предпосылки!$H$203,$C$13:$C$15,BF$13:BF$15),1)</f>
        <v>0</v>
      </c>
      <c s="125">
        <f>Предпосылки!BF$230*Предпосылки!$F264*Продажи!BG29*BG$19*(1+Чувствительность!$D$20)*IFERROR(LOOKUP(Предпосылки!$H$203,$C$13:$C$15,BG$13:BG$15),1)</f>
        <v>0</v>
      </c>
      <c s="125">
        <f>Предпосылки!BG$230*Предпосылки!$F264*Продажи!BH29*BH$19*(1+Чувствительность!$D$20)*IFERROR(LOOKUP(Предпосылки!$H$203,$C$13:$C$15,BH$13:BH$15),1)</f>
        <v>0</v>
      </c>
      <c s="125">
        <f>Предпосылки!BH$230*Предпосылки!$F264*Продажи!BI29*BI$19*(1+Чувствительность!$D$20)*IFERROR(LOOKUP(Предпосылки!$H$203,$C$13:$C$15,BI$13:BI$15),1)</f>
        <v>0</v>
      </c>
      <c s="125">
        <f>Предпосылки!BI$230*Предпосылки!$F264*Продажи!BJ29*BJ$19*(1+Чувствительность!$D$20)*IFERROR(LOOKUP(Предпосылки!$H$203,$C$13:$C$15,BJ$13:BJ$15),1)</f>
        <v>0</v>
      </c>
      <c s="125">
        <f>Предпосылки!BJ$230*Предпосылки!$F264*Продажи!BK29*BK$19*(1+Чувствительность!$D$20)*IFERROR(LOOKUP(Предпосылки!$H$203,$C$13:$C$15,BK$13:BK$15),1)</f>
        <v>0</v>
      </c>
      <c s="125">
        <f>Предпосылки!BK$230*Предпосылки!$F264*Продажи!BL29*BL$19*(1+Чувствительность!$D$20)*IFERROR(LOOKUP(Предпосылки!$H$203,$C$13:$C$15,BL$13:BL$15),1)</f>
        <v>0</v>
      </c>
      <c s="125">
        <f>Предпосылки!BL$230*Предпосылки!$F264*Продажи!BM29*BM$19*(1+Чувствительность!$D$20)*IFERROR(LOOKUP(Предпосылки!$H$203,$C$13:$C$15,BM$13:BM$15),1)</f>
        <v>0</v>
      </c>
    </row>
    <row r="81" spans="2:65" ht="15" customHeight="1">
      <c r="B81" s="12" t="str">
        <f t="shared" si="71"/>
        <v>Продукт 13</v>
      </c>
      <c s="124" t="str">
        <f t="shared" si="70"/>
        <v>тыс. руб.</v>
      </c>
      <c s="276">
        <f t="shared" si="72"/>
        <v>0</v>
      </c>
      <c s="125">
        <f>Предпосылки!D$230*Предпосылки!$F265*Продажи!E30*E$19*(1+Чувствительность!$D$20)*IFERROR(LOOKUP(Предпосылки!$H$203,$C$13:$C$15,E$13:E$15),1)</f>
        <v>0</v>
      </c>
      <c s="125">
        <f>Предпосылки!E$230*Предпосылки!$F265*Продажи!F30*F$19*(1+Чувствительность!$D$20)*IFERROR(LOOKUP(Предпосылки!$H$203,$C$13:$C$15,F$13:F$15),1)</f>
        <v>0</v>
      </c>
      <c s="125">
        <f>Предпосылки!F$230*Предпосылки!$F265*Продажи!G30*G$19*(1+Чувствительность!$D$20)*IFERROR(LOOKUP(Предпосылки!$H$203,$C$13:$C$15,G$13:G$15),1)</f>
        <v>0</v>
      </c>
      <c s="125">
        <f>Предпосылки!G$230*Предпосылки!$F265*Продажи!H30*H$19*(1+Чувствительность!$D$20)*IFERROR(LOOKUP(Предпосылки!$H$203,$C$13:$C$15,H$13:H$15),1)</f>
        <v>0</v>
      </c>
      <c s="125">
        <f>Предпосылки!H$230*Предпосылки!$F265*Продажи!I30*I$19*(1+Чувствительность!$D$20)*IFERROR(LOOKUP(Предпосылки!$H$203,$C$13:$C$15,I$13:I$15),1)</f>
        <v>0</v>
      </c>
      <c s="125">
        <f>Предпосылки!I$230*Предпосылки!$F265*Продажи!J30*J$19*(1+Чувствительность!$D$20)*IFERROR(LOOKUP(Предпосылки!$H$203,$C$13:$C$15,J$13:J$15),1)</f>
        <v>0</v>
      </c>
      <c s="125">
        <f>Предпосылки!J$230*Предпосылки!$F265*Продажи!K30*K$19*(1+Чувствительность!$D$20)*IFERROR(LOOKUP(Предпосылки!$H$203,$C$13:$C$15,K$13:K$15),1)</f>
        <v>0</v>
      </c>
      <c s="125">
        <f>Предпосылки!K$230*Предпосылки!$F265*Продажи!L30*L$19*(1+Чувствительность!$D$20)*IFERROR(LOOKUP(Предпосылки!$H$203,$C$13:$C$15,L$13:L$15),1)</f>
        <v>0</v>
      </c>
      <c s="125">
        <f>Предпосылки!L$230*Предпосылки!$F265*Продажи!M30*M$19*(1+Чувствительность!$D$20)*IFERROR(LOOKUP(Предпосылки!$H$203,$C$13:$C$15,M$13:M$15),1)</f>
        <v>0</v>
      </c>
      <c s="125">
        <f>Предпосылки!M$230*Предпосылки!$F265*Продажи!N30*N$19*(1+Чувствительность!$D$20)*IFERROR(LOOKUP(Предпосылки!$H$203,$C$13:$C$15,N$13:N$15),1)</f>
        <v>0</v>
      </c>
      <c s="125">
        <f>Предпосылки!N$230*Предпосылки!$F265*Продажи!O30*O$19*(1+Чувствительность!$D$20)*IFERROR(LOOKUP(Предпосылки!$H$203,$C$13:$C$15,O$13:O$15),1)</f>
        <v>0</v>
      </c>
      <c s="125">
        <f>Предпосылки!O$230*Предпосылки!$F265*Продажи!P30*P$19*(1+Чувствительность!$D$20)*IFERROR(LOOKUP(Предпосылки!$H$203,$C$13:$C$15,P$13:P$15),1)</f>
        <v>0</v>
      </c>
      <c s="125">
        <f>Предпосылки!P$230*Предпосылки!$F265*Продажи!Q30*Q$19*(1+Чувствительность!$D$20)*IFERROR(LOOKUP(Предпосылки!$H$203,$C$13:$C$15,Q$13:Q$15),1)</f>
        <v>0</v>
      </c>
      <c s="125">
        <f>Предпосылки!Q$230*Предпосылки!$F265*Продажи!R30*R$19*(1+Чувствительность!$D$20)*IFERROR(LOOKUP(Предпосылки!$H$203,$C$13:$C$15,R$13:R$15),1)</f>
        <v>0</v>
      </c>
      <c s="125">
        <f>Предпосылки!R$230*Предпосылки!$F265*Продажи!S30*S$19*(1+Чувствительность!$D$20)*IFERROR(LOOKUP(Предпосылки!$H$203,$C$13:$C$15,S$13:S$15),1)</f>
        <v>0</v>
      </c>
      <c s="125">
        <f>Предпосылки!S$230*Предпосылки!$F265*Продажи!T30*T$19*(1+Чувствительность!$D$20)*IFERROR(LOOKUP(Предпосылки!$H$203,$C$13:$C$15,T$13:T$15),1)</f>
        <v>0</v>
      </c>
      <c s="125">
        <f>Предпосылки!T$230*Предпосылки!$F265*Продажи!U30*U$19*(1+Чувствительность!$D$20)*IFERROR(LOOKUP(Предпосылки!$H$203,$C$13:$C$15,U$13:U$15),1)</f>
        <v>0</v>
      </c>
      <c s="125">
        <f>Предпосылки!U$230*Предпосылки!$F265*Продажи!V30*V$19*(1+Чувствительность!$D$20)*IFERROR(LOOKUP(Предпосылки!$H$203,$C$13:$C$15,V$13:V$15),1)</f>
        <v>0</v>
      </c>
      <c s="125">
        <f>Предпосылки!V$230*Предпосылки!$F265*Продажи!W30*W$19*(1+Чувствительность!$D$20)*IFERROR(LOOKUP(Предпосылки!$H$203,$C$13:$C$15,W$13:W$15),1)</f>
        <v>0</v>
      </c>
      <c s="125">
        <f>Предпосылки!W$230*Предпосылки!$F265*Продажи!X30*X$19*(1+Чувствительность!$D$20)*IFERROR(LOOKUP(Предпосылки!$H$203,$C$13:$C$15,X$13:X$15),1)</f>
        <v>0</v>
      </c>
      <c s="125">
        <f>Предпосылки!X$230*Предпосылки!$F265*Продажи!Y30*Y$19*(1+Чувствительность!$D$20)*IFERROR(LOOKUP(Предпосылки!$H$203,$C$13:$C$15,Y$13:Y$15),1)</f>
        <v>0</v>
      </c>
      <c s="125">
        <f>Предпосылки!Y$230*Предпосылки!$F265*Продажи!Z30*Z$19*(1+Чувствительность!$D$20)*IFERROR(LOOKUP(Предпосылки!$H$203,$C$13:$C$15,Z$13:Z$15),1)</f>
        <v>0</v>
      </c>
      <c s="125">
        <f>Предпосылки!Z$230*Предпосылки!$F265*Продажи!AA30*AA$19*(1+Чувствительность!$D$20)*IFERROR(LOOKUP(Предпосылки!$H$203,$C$13:$C$15,AA$13:AA$15),1)</f>
        <v>0</v>
      </c>
      <c s="125">
        <f>Предпосылки!AA$230*Предпосылки!$F265*Продажи!AB30*AB$19*(1+Чувствительность!$D$20)*IFERROR(LOOKUP(Предпосылки!$H$203,$C$13:$C$15,AB$13:AB$15),1)</f>
        <v>0</v>
      </c>
      <c s="125">
        <f>Предпосылки!AB$230*Предпосылки!$F265*Продажи!AC30*AC$19*(1+Чувствительность!$D$20)*IFERROR(LOOKUP(Предпосылки!$H$203,$C$13:$C$15,AC$13:AC$15),1)</f>
        <v>0</v>
      </c>
      <c s="125">
        <f>Предпосылки!AC$230*Предпосылки!$F265*Продажи!AD30*AD$19*(1+Чувствительность!$D$20)*IFERROR(LOOKUP(Предпосылки!$H$203,$C$13:$C$15,AD$13:AD$15),1)</f>
        <v>0</v>
      </c>
      <c s="125">
        <f>Предпосылки!AD$230*Предпосылки!$F265*Продажи!AE30*AE$19*(1+Чувствительность!$D$20)*IFERROR(LOOKUP(Предпосылки!$H$203,$C$13:$C$15,AE$13:AE$15),1)</f>
        <v>0</v>
      </c>
      <c s="125">
        <f>Предпосылки!AE$230*Предпосылки!$F265*Продажи!AF30*AF$19*(1+Чувствительность!$D$20)*IFERROR(LOOKUP(Предпосылки!$H$203,$C$13:$C$15,AF$13:AF$15),1)</f>
        <v>0</v>
      </c>
      <c s="125">
        <f>Предпосылки!AF$230*Предпосылки!$F265*Продажи!AG30*AG$19*(1+Чувствительность!$D$20)*IFERROR(LOOKUP(Предпосылки!$H$203,$C$13:$C$15,AG$13:AG$15),1)</f>
        <v>0</v>
      </c>
      <c s="125">
        <f>Предпосылки!AG$230*Предпосылки!$F265*Продажи!AH30*AH$19*(1+Чувствительность!$D$20)*IFERROR(LOOKUP(Предпосылки!$H$203,$C$13:$C$15,AH$13:AH$15),1)</f>
        <v>0</v>
      </c>
      <c s="125">
        <f>Предпосылки!AH$230*Предпосылки!$F265*Продажи!AI30*AI$19*(1+Чувствительность!$D$20)*IFERROR(LOOKUP(Предпосылки!$H$203,$C$13:$C$15,AI$13:AI$15),1)</f>
        <v>0</v>
      </c>
      <c s="125">
        <f>Предпосылки!AI$230*Предпосылки!$F265*Продажи!AJ30*AJ$19*(1+Чувствительность!$D$20)*IFERROR(LOOKUP(Предпосылки!$H$203,$C$13:$C$15,AJ$13:AJ$15),1)</f>
        <v>0</v>
      </c>
      <c s="125">
        <f>Предпосылки!AJ$230*Предпосылки!$F265*Продажи!AK30*AK$19*(1+Чувствительность!$D$20)*IFERROR(LOOKUP(Предпосылки!$H$203,$C$13:$C$15,AK$13:AK$15),1)</f>
        <v>0</v>
      </c>
      <c s="125">
        <f>Предпосылки!AK$230*Предпосылки!$F265*Продажи!AL30*AL$19*(1+Чувствительность!$D$20)*IFERROR(LOOKUP(Предпосылки!$H$203,$C$13:$C$15,AL$13:AL$15),1)</f>
        <v>0</v>
      </c>
      <c s="125">
        <f>Предпосылки!AL$230*Предпосылки!$F265*Продажи!AM30*AM$19*(1+Чувствительность!$D$20)*IFERROR(LOOKUP(Предпосылки!$H$203,$C$13:$C$15,AM$13:AM$15),1)</f>
        <v>0</v>
      </c>
      <c s="125">
        <f>Предпосылки!AM$230*Предпосылки!$F265*Продажи!AN30*AN$19*(1+Чувствительность!$D$20)*IFERROR(LOOKUP(Предпосылки!$H$203,$C$13:$C$15,AN$13:AN$15),1)</f>
        <v>0</v>
      </c>
      <c s="125">
        <f>Предпосылки!AN$230*Предпосылки!$F265*Продажи!AO30*AO$19*(1+Чувствительность!$D$20)*IFERROR(LOOKUP(Предпосылки!$H$203,$C$13:$C$15,AO$13:AO$15),1)</f>
        <v>0</v>
      </c>
      <c s="125">
        <f>Предпосылки!AO$230*Предпосылки!$F265*Продажи!AP30*AP$19*(1+Чувствительность!$D$20)*IFERROR(LOOKUP(Предпосылки!$H$203,$C$13:$C$15,AP$13:AP$15),1)</f>
        <v>0</v>
      </c>
      <c s="125">
        <f>Предпосылки!AP$230*Предпосылки!$F265*Продажи!AQ30*AQ$19*(1+Чувствительность!$D$20)*IFERROR(LOOKUP(Предпосылки!$H$203,$C$13:$C$15,AQ$13:AQ$15),1)</f>
        <v>0</v>
      </c>
      <c s="125">
        <f>Предпосылки!AQ$230*Предпосылки!$F265*Продажи!AR30*AR$19*(1+Чувствительность!$D$20)*IFERROR(LOOKUP(Предпосылки!$H$203,$C$13:$C$15,AR$13:AR$15),1)</f>
        <v>0</v>
      </c>
      <c s="125">
        <f>Предпосылки!AR$230*Предпосылки!$F265*Продажи!AS30*AS$19*(1+Чувствительность!$D$20)*IFERROR(LOOKUP(Предпосылки!$H$203,$C$13:$C$15,AS$13:AS$15),1)</f>
        <v>0</v>
      </c>
      <c s="125">
        <f>Предпосылки!AS$230*Предпосылки!$F265*Продажи!AT30*AT$19*(1+Чувствительность!$D$20)*IFERROR(LOOKUP(Предпосылки!$H$203,$C$13:$C$15,AT$13:AT$15),1)</f>
        <v>0</v>
      </c>
      <c s="125">
        <f>Предпосылки!AT$230*Предпосылки!$F265*Продажи!AU30*AU$19*(1+Чувствительность!$D$20)*IFERROR(LOOKUP(Предпосылки!$H$203,$C$13:$C$15,AU$13:AU$15),1)</f>
        <v>0</v>
      </c>
      <c s="125">
        <f>Предпосылки!AU$230*Предпосылки!$F265*Продажи!AV30*AV$19*(1+Чувствительность!$D$20)*IFERROR(LOOKUP(Предпосылки!$H$203,$C$13:$C$15,AV$13:AV$15),1)</f>
        <v>0</v>
      </c>
      <c s="125">
        <f>Предпосылки!AV$230*Предпосылки!$F265*Продажи!AW30*AW$19*(1+Чувствительность!$D$20)*IFERROR(LOOKUP(Предпосылки!$H$203,$C$13:$C$15,AW$13:AW$15),1)</f>
        <v>0</v>
      </c>
      <c s="125">
        <f>Предпосылки!AW$230*Предпосылки!$F265*Продажи!AX30*AX$19*(1+Чувствительность!$D$20)*IFERROR(LOOKUP(Предпосылки!$H$203,$C$13:$C$15,AX$13:AX$15),1)</f>
        <v>0</v>
      </c>
      <c s="125">
        <f>Предпосылки!AX$230*Предпосылки!$F265*Продажи!AY30*AY$19*(1+Чувствительность!$D$20)*IFERROR(LOOKUP(Предпосылки!$H$203,$C$13:$C$15,AY$13:AY$15),1)</f>
        <v>0</v>
      </c>
      <c s="125">
        <f>Предпосылки!AY$230*Предпосылки!$F265*Продажи!AZ30*AZ$19*(1+Чувствительность!$D$20)*IFERROR(LOOKUP(Предпосылки!$H$203,$C$13:$C$15,AZ$13:AZ$15),1)</f>
        <v>0</v>
      </c>
      <c s="125">
        <f>Предпосылки!AZ$230*Предпосылки!$F265*Продажи!BA30*BA$19*(1+Чувствительность!$D$20)*IFERROR(LOOKUP(Предпосылки!$H$203,$C$13:$C$15,BA$13:BA$15),1)</f>
        <v>0</v>
      </c>
      <c s="125">
        <f>Предпосылки!BA$230*Предпосылки!$F265*Продажи!BB30*BB$19*(1+Чувствительность!$D$20)*IFERROR(LOOKUP(Предпосылки!$H$203,$C$13:$C$15,BB$13:BB$15),1)</f>
        <v>0</v>
      </c>
      <c s="125">
        <f>Предпосылки!BB$230*Предпосылки!$F265*Продажи!BC30*BC$19*(1+Чувствительность!$D$20)*IFERROR(LOOKUP(Предпосылки!$H$203,$C$13:$C$15,BC$13:BC$15),1)</f>
        <v>0</v>
      </c>
      <c s="125">
        <f>Предпосылки!BC$230*Предпосылки!$F265*Продажи!BD30*BD$19*(1+Чувствительность!$D$20)*IFERROR(LOOKUP(Предпосылки!$H$203,$C$13:$C$15,BD$13:BD$15),1)</f>
        <v>0</v>
      </c>
      <c s="125">
        <f>Предпосылки!BD$230*Предпосылки!$F265*Продажи!BE30*BE$19*(1+Чувствительность!$D$20)*IFERROR(LOOKUP(Предпосылки!$H$203,$C$13:$C$15,BE$13:BE$15),1)</f>
        <v>0</v>
      </c>
      <c s="125">
        <f>Предпосылки!BE$230*Предпосылки!$F265*Продажи!BF30*BF$19*(1+Чувствительность!$D$20)*IFERROR(LOOKUP(Предпосылки!$H$203,$C$13:$C$15,BF$13:BF$15),1)</f>
        <v>0</v>
      </c>
      <c s="125">
        <f>Предпосылки!BF$230*Предпосылки!$F265*Продажи!BG30*BG$19*(1+Чувствительность!$D$20)*IFERROR(LOOKUP(Предпосылки!$H$203,$C$13:$C$15,BG$13:BG$15),1)</f>
        <v>0</v>
      </c>
      <c s="125">
        <f>Предпосылки!BG$230*Предпосылки!$F265*Продажи!BH30*BH$19*(1+Чувствительность!$D$20)*IFERROR(LOOKUP(Предпосылки!$H$203,$C$13:$C$15,BH$13:BH$15),1)</f>
        <v>0</v>
      </c>
      <c s="125">
        <f>Предпосылки!BH$230*Предпосылки!$F265*Продажи!BI30*BI$19*(1+Чувствительность!$D$20)*IFERROR(LOOKUP(Предпосылки!$H$203,$C$13:$C$15,BI$13:BI$15),1)</f>
        <v>0</v>
      </c>
      <c s="125">
        <f>Предпосылки!BI$230*Предпосылки!$F265*Продажи!BJ30*BJ$19*(1+Чувствительность!$D$20)*IFERROR(LOOKUP(Предпосылки!$H$203,$C$13:$C$15,BJ$13:BJ$15),1)</f>
        <v>0</v>
      </c>
      <c s="125">
        <f>Предпосылки!BJ$230*Предпосылки!$F265*Продажи!BK30*BK$19*(1+Чувствительность!$D$20)*IFERROR(LOOKUP(Предпосылки!$H$203,$C$13:$C$15,BK$13:BK$15),1)</f>
        <v>0</v>
      </c>
      <c s="125">
        <f>Предпосылки!BK$230*Предпосылки!$F265*Продажи!BL30*BL$19*(1+Чувствительность!$D$20)*IFERROR(LOOKUP(Предпосылки!$H$203,$C$13:$C$15,BL$13:BL$15),1)</f>
        <v>0</v>
      </c>
      <c s="125">
        <f>Предпосылки!BL$230*Предпосылки!$F265*Продажи!BM30*BM$19*(1+Чувствительность!$D$20)*IFERROR(LOOKUP(Предпосылки!$H$203,$C$13:$C$15,BM$13:BM$15),1)</f>
        <v>0</v>
      </c>
    </row>
    <row r="82" spans="2:65" ht="15" customHeight="1">
      <c r="B82" s="12" t="str">
        <f t="shared" si="71"/>
        <v>Продукт 14</v>
      </c>
      <c s="124" t="str">
        <f t="shared" si="70"/>
        <v>тыс. руб.</v>
      </c>
      <c s="276">
        <f t="shared" si="72"/>
        <v>0</v>
      </c>
      <c s="125">
        <f>Предпосылки!D$230*Предпосылки!$F266*Продажи!E31*E$19*(1+Чувствительность!$D$20)*IFERROR(LOOKUP(Предпосылки!$H$203,$C$13:$C$15,E$13:E$15),1)</f>
        <v>0</v>
      </c>
      <c s="125">
        <f>Предпосылки!E$230*Предпосылки!$F266*Продажи!F31*F$19*(1+Чувствительность!$D$20)*IFERROR(LOOKUP(Предпосылки!$H$203,$C$13:$C$15,F$13:F$15),1)</f>
        <v>0</v>
      </c>
      <c s="125">
        <f>Предпосылки!F$230*Предпосылки!$F266*Продажи!G31*G$19*(1+Чувствительность!$D$20)*IFERROR(LOOKUP(Предпосылки!$H$203,$C$13:$C$15,G$13:G$15),1)</f>
        <v>0</v>
      </c>
      <c s="125">
        <f>Предпосылки!G$230*Предпосылки!$F266*Продажи!H31*H$19*(1+Чувствительность!$D$20)*IFERROR(LOOKUP(Предпосылки!$H$203,$C$13:$C$15,H$13:H$15),1)</f>
        <v>0</v>
      </c>
      <c s="125">
        <f>Предпосылки!H$230*Предпосылки!$F266*Продажи!I31*I$19*(1+Чувствительность!$D$20)*IFERROR(LOOKUP(Предпосылки!$H$203,$C$13:$C$15,I$13:I$15),1)</f>
        <v>0</v>
      </c>
      <c s="125">
        <f>Предпосылки!I$230*Предпосылки!$F266*Продажи!J31*J$19*(1+Чувствительность!$D$20)*IFERROR(LOOKUP(Предпосылки!$H$203,$C$13:$C$15,J$13:J$15),1)</f>
        <v>0</v>
      </c>
      <c s="125">
        <f>Предпосылки!J$230*Предпосылки!$F266*Продажи!K31*K$19*(1+Чувствительность!$D$20)*IFERROR(LOOKUP(Предпосылки!$H$203,$C$13:$C$15,K$13:K$15),1)</f>
        <v>0</v>
      </c>
      <c s="125">
        <f>Предпосылки!K$230*Предпосылки!$F266*Продажи!L31*L$19*(1+Чувствительность!$D$20)*IFERROR(LOOKUP(Предпосылки!$H$203,$C$13:$C$15,L$13:L$15),1)</f>
        <v>0</v>
      </c>
      <c s="125">
        <f>Предпосылки!L$230*Предпосылки!$F266*Продажи!M31*M$19*(1+Чувствительность!$D$20)*IFERROR(LOOKUP(Предпосылки!$H$203,$C$13:$C$15,M$13:M$15),1)</f>
        <v>0</v>
      </c>
      <c s="125">
        <f>Предпосылки!M$230*Предпосылки!$F266*Продажи!N31*N$19*(1+Чувствительность!$D$20)*IFERROR(LOOKUP(Предпосылки!$H$203,$C$13:$C$15,N$13:N$15),1)</f>
        <v>0</v>
      </c>
      <c s="125">
        <f>Предпосылки!N$230*Предпосылки!$F266*Продажи!O31*O$19*(1+Чувствительность!$D$20)*IFERROR(LOOKUP(Предпосылки!$H$203,$C$13:$C$15,O$13:O$15),1)</f>
        <v>0</v>
      </c>
      <c s="125">
        <f>Предпосылки!O$230*Предпосылки!$F266*Продажи!P31*P$19*(1+Чувствительность!$D$20)*IFERROR(LOOKUP(Предпосылки!$H$203,$C$13:$C$15,P$13:P$15),1)</f>
        <v>0</v>
      </c>
      <c s="125">
        <f>Предпосылки!P$230*Предпосылки!$F266*Продажи!Q31*Q$19*(1+Чувствительность!$D$20)*IFERROR(LOOKUP(Предпосылки!$H$203,$C$13:$C$15,Q$13:Q$15),1)</f>
        <v>0</v>
      </c>
      <c s="125">
        <f>Предпосылки!Q$230*Предпосылки!$F266*Продажи!R31*R$19*(1+Чувствительность!$D$20)*IFERROR(LOOKUP(Предпосылки!$H$203,$C$13:$C$15,R$13:R$15),1)</f>
        <v>0</v>
      </c>
      <c s="125">
        <f>Предпосылки!R$230*Предпосылки!$F266*Продажи!S31*S$19*(1+Чувствительность!$D$20)*IFERROR(LOOKUP(Предпосылки!$H$203,$C$13:$C$15,S$13:S$15),1)</f>
        <v>0</v>
      </c>
      <c s="125">
        <f>Предпосылки!S$230*Предпосылки!$F266*Продажи!T31*T$19*(1+Чувствительность!$D$20)*IFERROR(LOOKUP(Предпосылки!$H$203,$C$13:$C$15,T$13:T$15),1)</f>
        <v>0</v>
      </c>
      <c s="125">
        <f>Предпосылки!T$230*Предпосылки!$F266*Продажи!U31*U$19*(1+Чувствительность!$D$20)*IFERROR(LOOKUP(Предпосылки!$H$203,$C$13:$C$15,U$13:U$15),1)</f>
        <v>0</v>
      </c>
      <c s="125">
        <f>Предпосылки!U$230*Предпосылки!$F266*Продажи!V31*V$19*(1+Чувствительность!$D$20)*IFERROR(LOOKUP(Предпосылки!$H$203,$C$13:$C$15,V$13:V$15),1)</f>
        <v>0</v>
      </c>
      <c s="125">
        <f>Предпосылки!V$230*Предпосылки!$F266*Продажи!W31*W$19*(1+Чувствительность!$D$20)*IFERROR(LOOKUP(Предпосылки!$H$203,$C$13:$C$15,W$13:W$15),1)</f>
        <v>0</v>
      </c>
      <c s="125">
        <f>Предпосылки!W$230*Предпосылки!$F266*Продажи!X31*X$19*(1+Чувствительность!$D$20)*IFERROR(LOOKUP(Предпосылки!$H$203,$C$13:$C$15,X$13:X$15),1)</f>
        <v>0</v>
      </c>
      <c s="125">
        <f>Предпосылки!X$230*Предпосылки!$F266*Продажи!Y31*Y$19*(1+Чувствительность!$D$20)*IFERROR(LOOKUP(Предпосылки!$H$203,$C$13:$C$15,Y$13:Y$15),1)</f>
        <v>0</v>
      </c>
      <c s="125">
        <f>Предпосылки!Y$230*Предпосылки!$F266*Продажи!Z31*Z$19*(1+Чувствительность!$D$20)*IFERROR(LOOKUP(Предпосылки!$H$203,$C$13:$C$15,Z$13:Z$15),1)</f>
        <v>0</v>
      </c>
      <c s="125">
        <f>Предпосылки!Z$230*Предпосылки!$F266*Продажи!AA31*AA$19*(1+Чувствительность!$D$20)*IFERROR(LOOKUP(Предпосылки!$H$203,$C$13:$C$15,AA$13:AA$15),1)</f>
        <v>0</v>
      </c>
      <c s="125">
        <f>Предпосылки!AA$230*Предпосылки!$F266*Продажи!AB31*AB$19*(1+Чувствительность!$D$20)*IFERROR(LOOKUP(Предпосылки!$H$203,$C$13:$C$15,AB$13:AB$15),1)</f>
        <v>0</v>
      </c>
      <c s="125">
        <f>Предпосылки!AB$230*Предпосылки!$F266*Продажи!AC31*AC$19*(1+Чувствительность!$D$20)*IFERROR(LOOKUP(Предпосылки!$H$203,$C$13:$C$15,AC$13:AC$15),1)</f>
        <v>0</v>
      </c>
      <c s="125">
        <f>Предпосылки!AC$230*Предпосылки!$F266*Продажи!AD31*AD$19*(1+Чувствительность!$D$20)*IFERROR(LOOKUP(Предпосылки!$H$203,$C$13:$C$15,AD$13:AD$15),1)</f>
        <v>0</v>
      </c>
      <c s="125">
        <f>Предпосылки!AD$230*Предпосылки!$F266*Продажи!AE31*AE$19*(1+Чувствительность!$D$20)*IFERROR(LOOKUP(Предпосылки!$H$203,$C$13:$C$15,AE$13:AE$15),1)</f>
        <v>0</v>
      </c>
      <c s="125">
        <f>Предпосылки!AE$230*Предпосылки!$F266*Продажи!AF31*AF$19*(1+Чувствительность!$D$20)*IFERROR(LOOKUP(Предпосылки!$H$203,$C$13:$C$15,AF$13:AF$15),1)</f>
        <v>0</v>
      </c>
      <c s="125">
        <f>Предпосылки!AF$230*Предпосылки!$F266*Продажи!AG31*AG$19*(1+Чувствительность!$D$20)*IFERROR(LOOKUP(Предпосылки!$H$203,$C$13:$C$15,AG$13:AG$15),1)</f>
        <v>0</v>
      </c>
      <c s="125">
        <f>Предпосылки!AG$230*Предпосылки!$F266*Продажи!AH31*AH$19*(1+Чувствительность!$D$20)*IFERROR(LOOKUP(Предпосылки!$H$203,$C$13:$C$15,AH$13:AH$15),1)</f>
        <v>0</v>
      </c>
      <c s="125">
        <f>Предпосылки!AH$230*Предпосылки!$F266*Продажи!AI31*AI$19*(1+Чувствительность!$D$20)*IFERROR(LOOKUP(Предпосылки!$H$203,$C$13:$C$15,AI$13:AI$15),1)</f>
        <v>0</v>
      </c>
      <c s="125">
        <f>Предпосылки!AI$230*Предпосылки!$F266*Продажи!AJ31*AJ$19*(1+Чувствительность!$D$20)*IFERROR(LOOKUP(Предпосылки!$H$203,$C$13:$C$15,AJ$13:AJ$15),1)</f>
        <v>0</v>
      </c>
      <c s="125">
        <f>Предпосылки!AJ$230*Предпосылки!$F266*Продажи!AK31*AK$19*(1+Чувствительность!$D$20)*IFERROR(LOOKUP(Предпосылки!$H$203,$C$13:$C$15,AK$13:AK$15),1)</f>
        <v>0</v>
      </c>
      <c s="125">
        <f>Предпосылки!AK$230*Предпосылки!$F266*Продажи!AL31*AL$19*(1+Чувствительность!$D$20)*IFERROR(LOOKUP(Предпосылки!$H$203,$C$13:$C$15,AL$13:AL$15),1)</f>
        <v>0</v>
      </c>
      <c s="125">
        <f>Предпосылки!AL$230*Предпосылки!$F266*Продажи!AM31*AM$19*(1+Чувствительность!$D$20)*IFERROR(LOOKUP(Предпосылки!$H$203,$C$13:$C$15,AM$13:AM$15),1)</f>
        <v>0</v>
      </c>
      <c s="125">
        <f>Предпосылки!AM$230*Предпосылки!$F266*Продажи!AN31*AN$19*(1+Чувствительность!$D$20)*IFERROR(LOOKUP(Предпосылки!$H$203,$C$13:$C$15,AN$13:AN$15),1)</f>
        <v>0</v>
      </c>
      <c s="125">
        <f>Предпосылки!AN$230*Предпосылки!$F266*Продажи!AO31*AO$19*(1+Чувствительность!$D$20)*IFERROR(LOOKUP(Предпосылки!$H$203,$C$13:$C$15,AO$13:AO$15),1)</f>
        <v>0</v>
      </c>
      <c s="125">
        <f>Предпосылки!AO$230*Предпосылки!$F266*Продажи!AP31*AP$19*(1+Чувствительность!$D$20)*IFERROR(LOOKUP(Предпосылки!$H$203,$C$13:$C$15,AP$13:AP$15),1)</f>
        <v>0</v>
      </c>
      <c s="125">
        <f>Предпосылки!AP$230*Предпосылки!$F266*Продажи!AQ31*AQ$19*(1+Чувствительность!$D$20)*IFERROR(LOOKUP(Предпосылки!$H$203,$C$13:$C$15,AQ$13:AQ$15),1)</f>
        <v>0</v>
      </c>
      <c s="125">
        <f>Предпосылки!AQ$230*Предпосылки!$F266*Продажи!AR31*AR$19*(1+Чувствительность!$D$20)*IFERROR(LOOKUP(Предпосылки!$H$203,$C$13:$C$15,AR$13:AR$15),1)</f>
        <v>0</v>
      </c>
      <c s="125">
        <f>Предпосылки!AR$230*Предпосылки!$F266*Продажи!AS31*AS$19*(1+Чувствительность!$D$20)*IFERROR(LOOKUP(Предпосылки!$H$203,$C$13:$C$15,AS$13:AS$15),1)</f>
        <v>0</v>
      </c>
      <c s="125">
        <f>Предпосылки!AS$230*Предпосылки!$F266*Продажи!AT31*AT$19*(1+Чувствительность!$D$20)*IFERROR(LOOKUP(Предпосылки!$H$203,$C$13:$C$15,AT$13:AT$15),1)</f>
        <v>0</v>
      </c>
      <c s="125">
        <f>Предпосылки!AT$230*Предпосылки!$F266*Продажи!AU31*AU$19*(1+Чувствительность!$D$20)*IFERROR(LOOKUP(Предпосылки!$H$203,$C$13:$C$15,AU$13:AU$15),1)</f>
        <v>0</v>
      </c>
      <c s="125">
        <f>Предпосылки!AU$230*Предпосылки!$F266*Продажи!AV31*AV$19*(1+Чувствительность!$D$20)*IFERROR(LOOKUP(Предпосылки!$H$203,$C$13:$C$15,AV$13:AV$15),1)</f>
        <v>0</v>
      </c>
      <c s="125">
        <f>Предпосылки!AV$230*Предпосылки!$F266*Продажи!AW31*AW$19*(1+Чувствительность!$D$20)*IFERROR(LOOKUP(Предпосылки!$H$203,$C$13:$C$15,AW$13:AW$15),1)</f>
        <v>0</v>
      </c>
      <c s="125">
        <f>Предпосылки!AW$230*Предпосылки!$F266*Продажи!AX31*AX$19*(1+Чувствительность!$D$20)*IFERROR(LOOKUP(Предпосылки!$H$203,$C$13:$C$15,AX$13:AX$15),1)</f>
        <v>0</v>
      </c>
      <c s="125">
        <f>Предпосылки!AX$230*Предпосылки!$F266*Продажи!AY31*AY$19*(1+Чувствительность!$D$20)*IFERROR(LOOKUP(Предпосылки!$H$203,$C$13:$C$15,AY$13:AY$15),1)</f>
        <v>0</v>
      </c>
      <c s="125">
        <f>Предпосылки!AY$230*Предпосылки!$F266*Продажи!AZ31*AZ$19*(1+Чувствительность!$D$20)*IFERROR(LOOKUP(Предпосылки!$H$203,$C$13:$C$15,AZ$13:AZ$15),1)</f>
        <v>0</v>
      </c>
      <c s="125">
        <f>Предпосылки!AZ$230*Предпосылки!$F266*Продажи!BA31*BA$19*(1+Чувствительность!$D$20)*IFERROR(LOOKUP(Предпосылки!$H$203,$C$13:$C$15,BA$13:BA$15),1)</f>
        <v>0</v>
      </c>
      <c s="125">
        <f>Предпосылки!BA$230*Предпосылки!$F266*Продажи!BB31*BB$19*(1+Чувствительность!$D$20)*IFERROR(LOOKUP(Предпосылки!$H$203,$C$13:$C$15,BB$13:BB$15),1)</f>
        <v>0</v>
      </c>
      <c s="125">
        <f>Предпосылки!BB$230*Предпосылки!$F266*Продажи!BC31*BC$19*(1+Чувствительность!$D$20)*IFERROR(LOOKUP(Предпосылки!$H$203,$C$13:$C$15,BC$13:BC$15),1)</f>
        <v>0</v>
      </c>
      <c s="125">
        <f>Предпосылки!BC$230*Предпосылки!$F266*Продажи!BD31*BD$19*(1+Чувствительность!$D$20)*IFERROR(LOOKUP(Предпосылки!$H$203,$C$13:$C$15,BD$13:BD$15),1)</f>
        <v>0</v>
      </c>
      <c s="125">
        <f>Предпосылки!BD$230*Предпосылки!$F266*Продажи!BE31*BE$19*(1+Чувствительность!$D$20)*IFERROR(LOOKUP(Предпосылки!$H$203,$C$13:$C$15,BE$13:BE$15),1)</f>
        <v>0</v>
      </c>
      <c s="125">
        <f>Предпосылки!BE$230*Предпосылки!$F266*Продажи!BF31*BF$19*(1+Чувствительность!$D$20)*IFERROR(LOOKUP(Предпосылки!$H$203,$C$13:$C$15,BF$13:BF$15),1)</f>
        <v>0</v>
      </c>
      <c s="125">
        <f>Предпосылки!BF$230*Предпосылки!$F266*Продажи!BG31*BG$19*(1+Чувствительность!$D$20)*IFERROR(LOOKUP(Предпосылки!$H$203,$C$13:$C$15,BG$13:BG$15),1)</f>
        <v>0</v>
      </c>
      <c s="125">
        <f>Предпосылки!BG$230*Предпосылки!$F266*Продажи!BH31*BH$19*(1+Чувствительность!$D$20)*IFERROR(LOOKUP(Предпосылки!$H$203,$C$13:$C$15,BH$13:BH$15),1)</f>
        <v>0</v>
      </c>
      <c s="125">
        <f>Предпосылки!BH$230*Предпосылки!$F266*Продажи!BI31*BI$19*(1+Чувствительность!$D$20)*IFERROR(LOOKUP(Предпосылки!$H$203,$C$13:$C$15,BI$13:BI$15),1)</f>
        <v>0</v>
      </c>
      <c s="125">
        <f>Предпосылки!BI$230*Предпосылки!$F266*Продажи!BJ31*BJ$19*(1+Чувствительность!$D$20)*IFERROR(LOOKUP(Предпосылки!$H$203,$C$13:$C$15,BJ$13:BJ$15),1)</f>
        <v>0</v>
      </c>
      <c s="125">
        <f>Предпосылки!BJ$230*Предпосылки!$F266*Продажи!BK31*BK$19*(1+Чувствительность!$D$20)*IFERROR(LOOKUP(Предпосылки!$H$203,$C$13:$C$15,BK$13:BK$15),1)</f>
        <v>0</v>
      </c>
      <c s="125">
        <f>Предпосылки!BK$230*Предпосылки!$F266*Продажи!BL31*BL$19*(1+Чувствительность!$D$20)*IFERROR(LOOKUP(Предпосылки!$H$203,$C$13:$C$15,BL$13:BL$15),1)</f>
        <v>0</v>
      </c>
      <c s="125">
        <f>Предпосылки!BL$230*Предпосылки!$F266*Продажи!BM31*BM$19*(1+Чувствительность!$D$20)*IFERROR(LOOKUP(Предпосылки!$H$203,$C$13:$C$15,BM$13:BM$15),1)</f>
        <v>0</v>
      </c>
    </row>
    <row r="83" spans="2:65" ht="15" customHeight="1">
      <c r="B83" s="12" t="str">
        <f t="shared" si="71"/>
        <v>Продукт 15</v>
      </c>
      <c s="124" t="str">
        <f t="shared" si="70"/>
        <v>тыс. руб.</v>
      </c>
      <c s="276">
        <f t="shared" si="72"/>
        <v>0</v>
      </c>
      <c s="125">
        <f>Предпосылки!D$230*Предпосылки!$F267*Продажи!E32*E$19*(1+Чувствительность!$D$20)*IFERROR(LOOKUP(Предпосылки!$H$203,$C$13:$C$15,E$13:E$15),1)</f>
        <v>0</v>
      </c>
      <c s="125">
        <f>Предпосылки!E$230*Предпосылки!$F267*Продажи!F32*F$19*(1+Чувствительность!$D$20)*IFERROR(LOOKUP(Предпосылки!$H$203,$C$13:$C$15,F$13:F$15),1)</f>
        <v>0</v>
      </c>
      <c s="125">
        <f>Предпосылки!F$230*Предпосылки!$F267*Продажи!G32*G$19*(1+Чувствительность!$D$20)*IFERROR(LOOKUP(Предпосылки!$H$203,$C$13:$C$15,G$13:G$15),1)</f>
        <v>0</v>
      </c>
      <c s="125">
        <f>Предпосылки!G$230*Предпосылки!$F267*Продажи!H32*H$19*(1+Чувствительность!$D$20)*IFERROR(LOOKUP(Предпосылки!$H$203,$C$13:$C$15,H$13:H$15),1)</f>
        <v>0</v>
      </c>
      <c s="125">
        <f>Предпосылки!H$230*Предпосылки!$F267*Продажи!I32*I$19*(1+Чувствительность!$D$20)*IFERROR(LOOKUP(Предпосылки!$H$203,$C$13:$C$15,I$13:I$15),1)</f>
        <v>0</v>
      </c>
      <c s="125">
        <f>Предпосылки!I$230*Предпосылки!$F267*Продажи!J32*J$19*(1+Чувствительность!$D$20)*IFERROR(LOOKUP(Предпосылки!$H$203,$C$13:$C$15,J$13:J$15),1)</f>
        <v>0</v>
      </c>
      <c s="125">
        <f>Предпосылки!J$230*Предпосылки!$F267*Продажи!K32*K$19*(1+Чувствительность!$D$20)*IFERROR(LOOKUP(Предпосылки!$H$203,$C$13:$C$15,K$13:K$15),1)</f>
        <v>0</v>
      </c>
      <c s="125">
        <f>Предпосылки!K$230*Предпосылки!$F267*Продажи!L32*L$19*(1+Чувствительность!$D$20)*IFERROR(LOOKUP(Предпосылки!$H$203,$C$13:$C$15,L$13:L$15),1)</f>
        <v>0</v>
      </c>
      <c s="125">
        <f>Предпосылки!L$230*Предпосылки!$F267*Продажи!M32*M$19*(1+Чувствительность!$D$20)*IFERROR(LOOKUP(Предпосылки!$H$203,$C$13:$C$15,M$13:M$15),1)</f>
        <v>0</v>
      </c>
      <c s="125">
        <f>Предпосылки!M$230*Предпосылки!$F267*Продажи!N32*N$19*(1+Чувствительность!$D$20)*IFERROR(LOOKUP(Предпосылки!$H$203,$C$13:$C$15,N$13:N$15),1)</f>
        <v>0</v>
      </c>
      <c s="125">
        <f>Предпосылки!N$230*Предпосылки!$F267*Продажи!O32*O$19*(1+Чувствительность!$D$20)*IFERROR(LOOKUP(Предпосылки!$H$203,$C$13:$C$15,O$13:O$15),1)</f>
        <v>0</v>
      </c>
      <c s="125">
        <f>Предпосылки!O$230*Предпосылки!$F267*Продажи!P32*P$19*(1+Чувствительность!$D$20)*IFERROR(LOOKUP(Предпосылки!$H$203,$C$13:$C$15,P$13:P$15),1)</f>
        <v>0</v>
      </c>
      <c s="125">
        <f>Предпосылки!P$230*Предпосылки!$F267*Продажи!Q32*Q$19*(1+Чувствительность!$D$20)*IFERROR(LOOKUP(Предпосылки!$H$203,$C$13:$C$15,Q$13:Q$15),1)</f>
        <v>0</v>
      </c>
      <c s="125">
        <f>Предпосылки!Q$230*Предпосылки!$F267*Продажи!R32*R$19*(1+Чувствительность!$D$20)*IFERROR(LOOKUP(Предпосылки!$H$203,$C$13:$C$15,R$13:R$15),1)</f>
        <v>0</v>
      </c>
      <c s="125">
        <f>Предпосылки!R$230*Предпосылки!$F267*Продажи!S32*S$19*(1+Чувствительность!$D$20)*IFERROR(LOOKUP(Предпосылки!$H$203,$C$13:$C$15,S$13:S$15),1)</f>
        <v>0</v>
      </c>
      <c s="125">
        <f>Предпосылки!S$230*Предпосылки!$F267*Продажи!T32*T$19*(1+Чувствительность!$D$20)*IFERROR(LOOKUP(Предпосылки!$H$203,$C$13:$C$15,T$13:T$15),1)</f>
        <v>0</v>
      </c>
      <c s="125">
        <f>Предпосылки!T$230*Предпосылки!$F267*Продажи!U32*U$19*(1+Чувствительность!$D$20)*IFERROR(LOOKUP(Предпосылки!$H$203,$C$13:$C$15,U$13:U$15),1)</f>
        <v>0</v>
      </c>
      <c s="125">
        <f>Предпосылки!U$230*Предпосылки!$F267*Продажи!V32*V$19*(1+Чувствительность!$D$20)*IFERROR(LOOKUP(Предпосылки!$H$203,$C$13:$C$15,V$13:V$15),1)</f>
        <v>0</v>
      </c>
      <c s="125">
        <f>Предпосылки!V$230*Предпосылки!$F267*Продажи!W32*W$19*(1+Чувствительность!$D$20)*IFERROR(LOOKUP(Предпосылки!$H$203,$C$13:$C$15,W$13:W$15),1)</f>
        <v>0</v>
      </c>
      <c s="125">
        <f>Предпосылки!W$230*Предпосылки!$F267*Продажи!X32*X$19*(1+Чувствительность!$D$20)*IFERROR(LOOKUP(Предпосылки!$H$203,$C$13:$C$15,X$13:X$15),1)</f>
        <v>0</v>
      </c>
      <c s="125">
        <f>Предпосылки!X$230*Предпосылки!$F267*Продажи!Y32*Y$19*(1+Чувствительность!$D$20)*IFERROR(LOOKUP(Предпосылки!$H$203,$C$13:$C$15,Y$13:Y$15),1)</f>
        <v>0</v>
      </c>
      <c s="125">
        <f>Предпосылки!Y$230*Предпосылки!$F267*Продажи!Z32*Z$19*(1+Чувствительность!$D$20)*IFERROR(LOOKUP(Предпосылки!$H$203,$C$13:$C$15,Z$13:Z$15),1)</f>
        <v>0</v>
      </c>
      <c s="125">
        <f>Предпосылки!Z$230*Предпосылки!$F267*Продажи!AA32*AA$19*(1+Чувствительность!$D$20)*IFERROR(LOOKUP(Предпосылки!$H$203,$C$13:$C$15,AA$13:AA$15),1)</f>
        <v>0</v>
      </c>
      <c s="125">
        <f>Предпосылки!AA$230*Предпосылки!$F267*Продажи!AB32*AB$19*(1+Чувствительность!$D$20)*IFERROR(LOOKUP(Предпосылки!$H$203,$C$13:$C$15,AB$13:AB$15),1)</f>
        <v>0</v>
      </c>
      <c s="125">
        <f>Предпосылки!AB$230*Предпосылки!$F267*Продажи!AC32*AC$19*(1+Чувствительность!$D$20)*IFERROR(LOOKUP(Предпосылки!$H$203,$C$13:$C$15,AC$13:AC$15),1)</f>
        <v>0</v>
      </c>
      <c s="125">
        <f>Предпосылки!AC$230*Предпосылки!$F267*Продажи!AD32*AD$19*(1+Чувствительность!$D$20)*IFERROR(LOOKUP(Предпосылки!$H$203,$C$13:$C$15,AD$13:AD$15),1)</f>
        <v>0</v>
      </c>
      <c s="125">
        <f>Предпосылки!AD$230*Предпосылки!$F267*Продажи!AE32*AE$19*(1+Чувствительность!$D$20)*IFERROR(LOOKUP(Предпосылки!$H$203,$C$13:$C$15,AE$13:AE$15),1)</f>
        <v>0</v>
      </c>
      <c s="125">
        <f>Предпосылки!AE$230*Предпосылки!$F267*Продажи!AF32*AF$19*(1+Чувствительность!$D$20)*IFERROR(LOOKUP(Предпосылки!$H$203,$C$13:$C$15,AF$13:AF$15),1)</f>
        <v>0</v>
      </c>
      <c s="125">
        <f>Предпосылки!AF$230*Предпосылки!$F267*Продажи!AG32*AG$19*(1+Чувствительность!$D$20)*IFERROR(LOOKUP(Предпосылки!$H$203,$C$13:$C$15,AG$13:AG$15),1)</f>
        <v>0</v>
      </c>
      <c s="125">
        <f>Предпосылки!AG$230*Предпосылки!$F267*Продажи!AH32*AH$19*(1+Чувствительность!$D$20)*IFERROR(LOOKUP(Предпосылки!$H$203,$C$13:$C$15,AH$13:AH$15),1)</f>
        <v>0</v>
      </c>
      <c s="125">
        <f>Предпосылки!AH$230*Предпосылки!$F267*Продажи!AI32*AI$19*(1+Чувствительность!$D$20)*IFERROR(LOOKUP(Предпосылки!$H$203,$C$13:$C$15,AI$13:AI$15),1)</f>
        <v>0</v>
      </c>
      <c s="125">
        <f>Предпосылки!AI$230*Предпосылки!$F267*Продажи!AJ32*AJ$19*(1+Чувствительность!$D$20)*IFERROR(LOOKUP(Предпосылки!$H$203,$C$13:$C$15,AJ$13:AJ$15),1)</f>
        <v>0</v>
      </c>
      <c s="125">
        <f>Предпосылки!AJ$230*Предпосылки!$F267*Продажи!AK32*AK$19*(1+Чувствительность!$D$20)*IFERROR(LOOKUP(Предпосылки!$H$203,$C$13:$C$15,AK$13:AK$15),1)</f>
        <v>0</v>
      </c>
      <c s="125">
        <f>Предпосылки!AK$230*Предпосылки!$F267*Продажи!AL32*AL$19*(1+Чувствительность!$D$20)*IFERROR(LOOKUP(Предпосылки!$H$203,$C$13:$C$15,AL$13:AL$15),1)</f>
        <v>0</v>
      </c>
      <c s="125">
        <f>Предпосылки!AL$230*Предпосылки!$F267*Продажи!AM32*AM$19*(1+Чувствительность!$D$20)*IFERROR(LOOKUP(Предпосылки!$H$203,$C$13:$C$15,AM$13:AM$15),1)</f>
        <v>0</v>
      </c>
      <c s="125">
        <f>Предпосылки!AM$230*Предпосылки!$F267*Продажи!AN32*AN$19*(1+Чувствительность!$D$20)*IFERROR(LOOKUP(Предпосылки!$H$203,$C$13:$C$15,AN$13:AN$15),1)</f>
        <v>0</v>
      </c>
      <c s="125">
        <f>Предпосылки!AN$230*Предпосылки!$F267*Продажи!AO32*AO$19*(1+Чувствительность!$D$20)*IFERROR(LOOKUP(Предпосылки!$H$203,$C$13:$C$15,AO$13:AO$15),1)</f>
        <v>0</v>
      </c>
      <c s="125">
        <f>Предпосылки!AO$230*Предпосылки!$F267*Продажи!AP32*AP$19*(1+Чувствительность!$D$20)*IFERROR(LOOKUP(Предпосылки!$H$203,$C$13:$C$15,AP$13:AP$15),1)</f>
        <v>0</v>
      </c>
      <c s="125">
        <f>Предпосылки!AP$230*Предпосылки!$F267*Продажи!AQ32*AQ$19*(1+Чувствительность!$D$20)*IFERROR(LOOKUP(Предпосылки!$H$203,$C$13:$C$15,AQ$13:AQ$15),1)</f>
        <v>0</v>
      </c>
      <c s="125">
        <f>Предпосылки!AQ$230*Предпосылки!$F267*Продажи!AR32*AR$19*(1+Чувствительность!$D$20)*IFERROR(LOOKUP(Предпосылки!$H$203,$C$13:$C$15,AR$13:AR$15),1)</f>
        <v>0</v>
      </c>
      <c s="125">
        <f>Предпосылки!AR$230*Предпосылки!$F267*Продажи!AS32*AS$19*(1+Чувствительность!$D$20)*IFERROR(LOOKUP(Предпосылки!$H$203,$C$13:$C$15,AS$13:AS$15),1)</f>
        <v>0</v>
      </c>
      <c s="125">
        <f>Предпосылки!AS$230*Предпосылки!$F267*Продажи!AT32*AT$19*(1+Чувствительность!$D$20)*IFERROR(LOOKUP(Предпосылки!$H$203,$C$13:$C$15,AT$13:AT$15),1)</f>
        <v>0</v>
      </c>
      <c s="125">
        <f>Предпосылки!AT$230*Предпосылки!$F267*Продажи!AU32*AU$19*(1+Чувствительность!$D$20)*IFERROR(LOOKUP(Предпосылки!$H$203,$C$13:$C$15,AU$13:AU$15),1)</f>
        <v>0</v>
      </c>
      <c s="125">
        <f>Предпосылки!AU$230*Предпосылки!$F267*Продажи!AV32*AV$19*(1+Чувствительность!$D$20)*IFERROR(LOOKUP(Предпосылки!$H$203,$C$13:$C$15,AV$13:AV$15),1)</f>
        <v>0</v>
      </c>
      <c s="125">
        <f>Предпосылки!AV$230*Предпосылки!$F267*Продажи!AW32*AW$19*(1+Чувствительность!$D$20)*IFERROR(LOOKUP(Предпосылки!$H$203,$C$13:$C$15,AW$13:AW$15),1)</f>
        <v>0</v>
      </c>
      <c s="125">
        <f>Предпосылки!AW$230*Предпосылки!$F267*Продажи!AX32*AX$19*(1+Чувствительность!$D$20)*IFERROR(LOOKUP(Предпосылки!$H$203,$C$13:$C$15,AX$13:AX$15),1)</f>
        <v>0</v>
      </c>
      <c s="125">
        <f>Предпосылки!AX$230*Предпосылки!$F267*Продажи!AY32*AY$19*(1+Чувствительность!$D$20)*IFERROR(LOOKUP(Предпосылки!$H$203,$C$13:$C$15,AY$13:AY$15),1)</f>
        <v>0</v>
      </c>
      <c s="125">
        <f>Предпосылки!AY$230*Предпосылки!$F267*Продажи!AZ32*AZ$19*(1+Чувствительность!$D$20)*IFERROR(LOOKUP(Предпосылки!$H$203,$C$13:$C$15,AZ$13:AZ$15),1)</f>
        <v>0</v>
      </c>
      <c s="125">
        <f>Предпосылки!AZ$230*Предпосылки!$F267*Продажи!BA32*BA$19*(1+Чувствительность!$D$20)*IFERROR(LOOKUP(Предпосылки!$H$203,$C$13:$C$15,BA$13:BA$15),1)</f>
        <v>0</v>
      </c>
      <c s="125">
        <f>Предпосылки!BA$230*Предпосылки!$F267*Продажи!BB32*BB$19*(1+Чувствительность!$D$20)*IFERROR(LOOKUP(Предпосылки!$H$203,$C$13:$C$15,BB$13:BB$15),1)</f>
        <v>0</v>
      </c>
      <c s="125">
        <f>Предпосылки!BB$230*Предпосылки!$F267*Продажи!BC32*BC$19*(1+Чувствительность!$D$20)*IFERROR(LOOKUP(Предпосылки!$H$203,$C$13:$C$15,BC$13:BC$15),1)</f>
        <v>0</v>
      </c>
      <c s="125">
        <f>Предпосылки!BC$230*Предпосылки!$F267*Продажи!BD32*BD$19*(1+Чувствительность!$D$20)*IFERROR(LOOKUP(Предпосылки!$H$203,$C$13:$C$15,BD$13:BD$15),1)</f>
        <v>0</v>
      </c>
      <c s="125">
        <f>Предпосылки!BD$230*Предпосылки!$F267*Продажи!BE32*BE$19*(1+Чувствительность!$D$20)*IFERROR(LOOKUP(Предпосылки!$H$203,$C$13:$C$15,BE$13:BE$15),1)</f>
        <v>0</v>
      </c>
      <c s="125">
        <f>Предпосылки!BE$230*Предпосылки!$F267*Продажи!BF32*BF$19*(1+Чувствительность!$D$20)*IFERROR(LOOKUP(Предпосылки!$H$203,$C$13:$C$15,BF$13:BF$15),1)</f>
        <v>0</v>
      </c>
      <c s="125">
        <f>Предпосылки!BF$230*Предпосылки!$F267*Продажи!BG32*BG$19*(1+Чувствительность!$D$20)*IFERROR(LOOKUP(Предпосылки!$H$203,$C$13:$C$15,BG$13:BG$15),1)</f>
        <v>0</v>
      </c>
      <c s="125">
        <f>Предпосылки!BG$230*Предпосылки!$F267*Продажи!BH32*BH$19*(1+Чувствительность!$D$20)*IFERROR(LOOKUP(Предпосылки!$H$203,$C$13:$C$15,BH$13:BH$15),1)</f>
        <v>0</v>
      </c>
      <c s="125">
        <f>Предпосылки!BH$230*Предпосылки!$F267*Продажи!BI32*BI$19*(1+Чувствительность!$D$20)*IFERROR(LOOKUP(Предпосылки!$H$203,$C$13:$C$15,BI$13:BI$15),1)</f>
        <v>0</v>
      </c>
      <c s="125">
        <f>Предпосылки!BI$230*Предпосылки!$F267*Продажи!BJ32*BJ$19*(1+Чувствительность!$D$20)*IFERROR(LOOKUP(Предпосылки!$H$203,$C$13:$C$15,BJ$13:BJ$15),1)</f>
        <v>0</v>
      </c>
      <c s="125">
        <f>Предпосылки!BJ$230*Предпосылки!$F267*Продажи!BK32*BK$19*(1+Чувствительность!$D$20)*IFERROR(LOOKUP(Предпосылки!$H$203,$C$13:$C$15,BK$13:BK$15),1)</f>
        <v>0</v>
      </c>
      <c s="125">
        <f>Предпосылки!BK$230*Предпосылки!$F267*Продажи!BL32*BL$19*(1+Чувствительность!$D$20)*IFERROR(LOOKUP(Предпосылки!$H$203,$C$13:$C$15,BL$13:BL$15),1)</f>
        <v>0</v>
      </c>
      <c s="125">
        <f>Предпосылки!BL$230*Предпосылки!$F267*Продажи!BM32*BM$19*(1+Чувствительность!$D$20)*IFERROR(LOOKUP(Предпосылки!$H$203,$C$13:$C$15,BM$13:BM$15),1)</f>
        <v>0</v>
      </c>
    </row>
    <row r="84" spans="2:65" ht="15" customHeight="1">
      <c r="B84" s="12" t="str">
        <f t="shared" si="71"/>
        <v>Продукт 16</v>
      </c>
      <c s="124" t="str">
        <f t="shared" si="70"/>
        <v>тыс. руб.</v>
      </c>
      <c s="276">
        <f t="shared" si="72"/>
        <v>0</v>
      </c>
      <c s="125">
        <f>Предпосылки!D$230*Предпосылки!$F268*Продажи!E33*E$19*(1+Чувствительность!$D$20)*IFERROR(LOOKUP(Предпосылки!$H$203,$C$13:$C$15,E$13:E$15),1)</f>
        <v>0</v>
      </c>
      <c s="125">
        <f>Предпосылки!E$230*Предпосылки!$F268*Продажи!F33*F$19*(1+Чувствительность!$D$20)*IFERROR(LOOKUP(Предпосылки!$H$203,$C$13:$C$15,F$13:F$15),1)</f>
        <v>0</v>
      </c>
      <c s="125">
        <f>Предпосылки!F$230*Предпосылки!$F268*Продажи!G33*G$19*(1+Чувствительность!$D$20)*IFERROR(LOOKUP(Предпосылки!$H$203,$C$13:$C$15,G$13:G$15),1)</f>
        <v>0</v>
      </c>
      <c s="125">
        <f>Предпосылки!G$230*Предпосылки!$F268*Продажи!H33*H$19*(1+Чувствительность!$D$20)*IFERROR(LOOKUP(Предпосылки!$H$203,$C$13:$C$15,H$13:H$15),1)</f>
        <v>0</v>
      </c>
      <c s="125">
        <f>Предпосылки!H$230*Предпосылки!$F268*Продажи!I33*I$19*(1+Чувствительность!$D$20)*IFERROR(LOOKUP(Предпосылки!$H$203,$C$13:$C$15,I$13:I$15),1)</f>
        <v>0</v>
      </c>
      <c s="125">
        <f>Предпосылки!I$230*Предпосылки!$F268*Продажи!J33*J$19*(1+Чувствительность!$D$20)*IFERROR(LOOKUP(Предпосылки!$H$203,$C$13:$C$15,J$13:J$15),1)</f>
        <v>0</v>
      </c>
      <c s="125">
        <f>Предпосылки!J$230*Предпосылки!$F268*Продажи!K33*K$19*(1+Чувствительность!$D$20)*IFERROR(LOOKUP(Предпосылки!$H$203,$C$13:$C$15,K$13:K$15),1)</f>
        <v>0</v>
      </c>
      <c s="125">
        <f>Предпосылки!K$230*Предпосылки!$F268*Продажи!L33*L$19*(1+Чувствительность!$D$20)*IFERROR(LOOKUP(Предпосылки!$H$203,$C$13:$C$15,L$13:L$15),1)</f>
        <v>0</v>
      </c>
      <c s="125">
        <f>Предпосылки!L$230*Предпосылки!$F268*Продажи!M33*M$19*(1+Чувствительность!$D$20)*IFERROR(LOOKUP(Предпосылки!$H$203,$C$13:$C$15,M$13:M$15),1)</f>
        <v>0</v>
      </c>
      <c s="125">
        <f>Предпосылки!M$230*Предпосылки!$F268*Продажи!N33*N$19*(1+Чувствительность!$D$20)*IFERROR(LOOKUP(Предпосылки!$H$203,$C$13:$C$15,N$13:N$15),1)</f>
        <v>0</v>
      </c>
      <c s="125">
        <f>Предпосылки!N$230*Предпосылки!$F268*Продажи!O33*O$19*(1+Чувствительность!$D$20)*IFERROR(LOOKUP(Предпосылки!$H$203,$C$13:$C$15,O$13:O$15),1)</f>
        <v>0</v>
      </c>
      <c s="125">
        <f>Предпосылки!O$230*Предпосылки!$F268*Продажи!P33*P$19*(1+Чувствительность!$D$20)*IFERROR(LOOKUP(Предпосылки!$H$203,$C$13:$C$15,P$13:P$15),1)</f>
        <v>0</v>
      </c>
      <c s="125">
        <f>Предпосылки!P$230*Предпосылки!$F268*Продажи!Q33*Q$19*(1+Чувствительность!$D$20)*IFERROR(LOOKUP(Предпосылки!$H$203,$C$13:$C$15,Q$13:Q$15),1)</f>
        <v>0</v>
      </c>
      <c s="125">
        <f>Предпосылки!Q$230*Предпосылки!$F268*Продажи!R33*R$19*(1+Чувствительность!$D$20)*IFERROR(LOOKUP(Предпосылки!$H$203,$C$13:$C$15,R$13:R$15),1)</f>
        <v>0</v>
      </c>
      <c s="125">
        <f>Предпосылки!R$230*Предпосылки!$F268*Продажи!S33*S$19*(1+Чувствительность!$D$20)*IFERROR(LOOKUP(Предпосылки!$H$203,$C$13:$C$15,S$13:S$15),1)</f>
        <v>0</v>
      </c>
      <c s="125">
        <f>Предпосылки!S$230*Предпосылки!$F268*Продажи!T33*T$19*(1+Чувствительность!$D$20)*IFERROR(LOOKUP(Предпосылки!$H$203,$C$13:$C$15,T$13:T$15),1)</f>
        <v>0</v>
      </c>
      <c s="125">
        <f>Предпосылки!T$230*Предпосылки!$F268*Продажи!U33*U$19*(1+Чувствительность!$D$20)*IFERROR(LOOKUP(Предпосылки!$H$203,$C$13:$C$15,U$13:U$15),1)</f>
        <v>0</v>
      </c>
      <c s="125">
        <f>Предпосылки!U$230*Предпосылки!$F268*Продажи!V33*V$19*(1+Чувствительность!$D$20)*IFERROR(LOOKUP(Предпосылки!$H$203,$C$13:$C$15,V$13:V$15),1)</f>
        <v>0</v>
      </c>
      <c s="125">
        <f>Предпосылки!V$230*Предпосылки!$F268*Продажи!W33*W$19*(1+Чувствительность!$D$20)*IFERROR(LOOKUP(Предпосылки!$H$203,$C$13:$C$15,W$13:W$15),1)</f>
        <v>0</v>
      </c>
      <c s="125">
        <f>Предпосылки!W$230*Предпосылки!$F268*Продажи!X33*X$19*(1+Чувствительность!$D$20)*IFERROR(LOOKUP(Предпосылки!$H$203,$C$13:$C$15,X$13:X$15),1)</f>
        <v>0</v>
      </c>
      <c s="125">
        <f>Предпосылки!X$230*Предпосылки!$F268*Продажи!Y33*Y$19*(1+Чувствительность!$D$20)*IFERROR(LOOKUP(Предпосылки!$H$203,$C$13:$C$15,Y$13:Y$15),1)</f>
        <v>0</v>
      </c>
      <c s="125">
        <f>Предпосылки!Y$230*Предпосылки!$F268*Продажи!Z33*Z$19*(1+Чувствительность!$D$20)*IFERROR(LOOKUP(Предпосылки!$H$203,$C$13:$C$15,Z$13:Z$15),1)</f>
        <v>0</v>
      </c>
      <c s="125">
        <f>Предпосылки!Z$230*Предпосылки!$F268*Продажи!AA33*AA$19*(1+Чувствительность!$D$20)*IFERROR(LOOKUP(Предпосылки!$H$203,$C$13:$C$15,AA$13:AA$15),1)</f>
        <v>0</v>
      </c>
      <c s="125">
        <f>Предпосылки!AA$230*Предпосылки!$F268*Продажи!AB33*AB$19*(1+Чувствительность!$D$20)*IFERROR(LOOKUP(Предпосылки!$H$203,$C$13:$C$15,AB$13:AB$15),1)</f>
        <v>0</v>
      </c>
      <c s="125">
        <f>Предпосылки!AB$230*Предпосылки!$F268*Продажи!AC33*AC$19*(1+Чувствительность!$D$20)*IFERROR(LOOKUP(Предпосылки!$H$203,$C$13:$C$15,AC$13:AC$15),1)</f>
        <v>0</v>
      </c>
      <c s="125">
        <f>Предпосылки!AC$230*Предпосылки!$F268*Продажи!AD33*AD$19*(1+Чувствительность!$D$20)*IFERROR(LOOKUP(Предпосылки!$H$203,$C$13:$C$15,AD$13:AD$15),1)</f>
        <v>0</v>
      </c>
      <c s="125">
        <f>Предпосылки!AD$230*Предпосылки!$F268*Продажи!AE33*AE$19*(1+Чувствительность!$D$20)*IFERROR(LOOKUP(Предпосылки!$H$203,$C$13:$C$15,AE$13:AE$15),1)</f>
        <v>0</v>
      </c>
      <c s="125">
        <f>Предпосылки!AE$230*Предпосылки!$F268*Продажи!AF33*AF$19*(1+Чувствительность!$D$20)*IFERROR(LOOKUP(Предпосылки!$H$203,$C$13:$C$15,AF$13:AF$15),1)</f>
        <v>0</v>
      </c>
      <c s="125">
        <f>Предпосылки!AF$230*Предпосылки!$F268*Продажи!AG33*AG$19*(1+Чувствительность!$D$20)*IFERROR(LOOKUP(Предпосылки!$H$203,$C$13:$C$15,AG$13:AG$15),1)</f>
        <v>0</v>
      </c>
      <c s="125">
        <f>Предпосылки!AG$230*Предпосылки!$F268*Продажи!AH33*AH$19*(1+Чувствительность!$D$20)*IFERROR(LOOKUP(Предпосылки!$H$203,$C$13:$C$15,AH$13:AH$15),1)</f>
        <v>0</v>
      </c>
      <c s="125">
        <f>Предпосылки!AH$230*Предпосылки!$F268*Продажи!AI33*AI$19*(1+Чувствительность!$D$20)*IFERROR(LOOKUP(Предпосылки!$H$203,$C$13:$C$15,AI$13:AI$15),1)</f>
        <v>0</v>
      </c>
      <c s="125">
        <f>Предпосылки!AI$230*Предпосылки!$F268*Продажи!AJ33*AJ$19*(1+Чувствительность!$D$20)*IFERROR(LOOKUP(Предпосылки!$H$203,$C$13:$C$15,AJ$13:AJ$15),1)</f>
        <v>0</v>
      </c>
      <c s="125">
        <f>Предпосылки!AJ$230*Предпосылки!$F268*Продажи!AK33*AK$19*(1+Чувствительность!$D$20)*IFERROR(LOOKUP(Предпосылки!$H$203,$C$13:$C$15,AK$13:AK$15),1)</f>
        <v>0</v>
      </c>
      <c s="125">
        <f>Предпосылки!AK$230*Предпосылки!$F268*Продажи!AL33*AL$19*(1+Чувствительность!$D$20)*IFERROR(LOOKUP(Предпосылки!$H$203,$C$13:$C$15,AL$13:AL$15),1)</f>
        <v>0</v>
      </c>
      <c s="125">
        <f>Предпосылки!AL$230*Предпосылки!$F268*Продажи!AM33*AM$19*(1+Чувствительность!$D$20)*IFERROR(LOOKUP(Предпосылки!$H$203,$C$13:$C$15,AM$13:AM$15),1)</f>
        <v>0</v>
      </c>
      <c s="125">
        <f>Предпосылки!AM$230*Предпосылки!$F268*Продажи!AN33*AN$19*(1+Чувствительность!$D$20)*IFERROR(LOOKUP(Предпосылки!$H$203,$C$13:$C$15,AN$13:AN$15),1)</f>
        <v>0</v>
      </c>
      <c s="125">
        <f>Предпосылки!AN$230*Предпосылки!$F268*Продажи!AO33*AO$19*(1+Чувствительность!$D$20)*IFERROR(LOOKUP(Предпосылки!$H$203,$C$13:$C$15,AO$13:AO$15),1)</f>
        <v>0</v>
      </c>
      <c s="125">
        <f>Предпосылки!AO$230*Предпосылки!$F268*Продажи!AP33*AP$19*(1+Чувствительность!$D$20)*IFERROR(LOOKUP(Предпосылки!$H$203,$C$13:$C$15,AP$13:AP$15),1)</f>
        <v>0</v>
      </c>
      <c s="125">
        <f>Предпосылки!AP$230*Предпосылки!$F268*Продажи!AQ33*AQ$19*(1+Чувствительность!$D$20)*IFERROR(LOOKUP(Предпосылки!$H$203,$C$13:$C$15,AQ$13:AQ$15),1)</f>
        <v>0</v>
      </c>
      <c s="125">
        <f>Предпосылки!AQ$230*Предпосылки!$F268*Продажи!AR33*AR$19*(1+Чувствительность!$D$20)*IFERROR(LOOKUP(Предпосылки!$H$203,$C$13:$C$15,AR$13:AR$15),1)</f>
        <v>0</v>
      </c>
      <c s="125">
        <f>Предпосылки!AR$230*Предпосылки!$F268*Продажи!AS33*AS$19*(1+Чувствительность!$D$20)*IFERROR(LOOKUP(Предпосылки!$H$203,$C$13:$C$15,AS$13:AS$15),1)</f>
        <v>0</v>
      </c>
      <c s="125">
        <f>Предпосылки!AS$230*Предпосылки!$F268*Продажи!AT33*AT$19*(1+Чувствительность!$D$20)*IFERROR(LOOKUP(Предпосылки!$H$203,$C$13:$C$15,AT$13:AT$15),1)</f>
        <v>0</v>
      </c>
      <c s="125">
        <f>Предпосылки!AT$230*Предпосылки!$F268*Продажи!AU33*AU$19*(1+Чувствительность!$D$20)*IFERROR(LOOKUP(Предпосылки!$H$203,$C$13:$C$15,AU$13:AU$15),1)</f>
        <v>0</v>
      </c>
      <c s="125">
        <f>Предпосылки!AU$230*Предпосылки!$F268*Продажи!AV33*AV$19*(1+Чувствительность!$D$20)*IFERROR(LOOKUP(Предпосылки!$H$203,$C$13:$C$15,AV$13:AV$15),1)</f>
        <v>0</v>
      </c>
      <c s="125">
        <f>Предпосылки!AV$230*Предпосылки!$F268*Продажи!AW33*AW$19*(1+Чувствительность!$D$20)*IFERROR(LOOKUP(Предпосылки!$H$203,$C$13:$C$15,AW$13:AW$15),1)</f>
        <v>0</v>
      </c>
      <c s="125">
        <f>Предпосылки!AW$230*Предпосылки!$F268*Продажи!AX33*AX$19*(1+Чувствительность!$D$20)*IFERROR(LOOKUP(Предпосылки!$H$203,$C$13:$C$15,AX$13:AX$15),1)</f>
        <v>0</v>
      </c>
      <c s="125">
        <f>Предпосылки!AX$230*Предпосылки!$F268*Продажи!AY33*AY$19*(1+Чувствительность!$D$20)*IFERROR(LOOKUP(Предпосылки!$H$203,$C$13:$C$15,AY$13:AY$15),1)</f>
        <v>0</v>
      </c>
      <c s="125">
        <f>Предпосылки!AY$230*Предпосылки!$F268*Продажи!AZ33*AZ$19*(1+Чувствительность!$D$20)*IFERROR(LOOKUP(Предпосылки!$H$203,$C$13:$C$15,AZ$13:AZ$15),1)</f>
        <v>0</v>
      </c>
      <c s="125">
        <f>Предпосылки!AZ$230*Предпосылки!$F268*Продажи!BA33*BA$19*(1+Чувствительность!$D$20)*IFERROR(LOOKUP(Предпосылки!$H$203,$C$13:$C$15,BA$13:BA$15),1)</f>
        <v>0</v>
      </c>
      <c s="125">
        <f>Предпосылки!BA$230*Предпосылки!$F268*Продажи!BB33*BB$19*(1+Чувствительность!$D$20)*IFERROR(LOOKUP(Предпосылки!$H$203,$C$13:$C$15,BB$13:BB$15),1)</f>
        <v>0</v>
      </c>
      <c s="125">
        <f>Предпосылки!BB$230*Предпосылки!$F268*Продажи!BC33*BC$19*(1+Чувствительность!$D$20)*IFERROR(LOOKUP(Предпосылки!$H$203,$C$13:$C$15,BC$13:BC$15),1)</f>
        <v>0</v>
      </c>
      <c s="125">
        <f>Предпосылки!BC$230*Предпосылки!$F268*Продажи!BD33*BD$19*(1+Чувствительность!$D$20)*IFERROR(LOOKUP(Предпосылки!$H$203,$C$13:$C$15,BD$13:BD$15),1)</f>
        <v>0</v>
      </c>
      <c s="125">
        <f>Предпосылки!BD$230*Предпосылки!$F268*Продажи!BE33*BE$19*(1+Чувствительность!$D$20)*IFERROR(LOOKUP(Предпосылки!$H$203,$C$13:$C$15,BE$13:BE$15),1)</f>
        <v>0</v>
      </c>
      <c s="125">
        <f>Предпосылки!BE$230*Предпосылки!$F268*Продажи!BF33*BF$19*(1+Чувствительность!$D$20)*IFERROR(LOOKUP(Предпосылки!$H$203,$C$13:$C$15,BF$13:BF$15),1)</f>
        <v>0</v>
      </c>
      <c s="125">
        <f>Предпосылки!BF$230*Предпосылки!$F268*Продажи!BG33*BG$19*(1+Чувствительность!$D$20)*IFERROR(LOOKUP(Предпосылки!$H$203,$C$13:$C$15,BG$13:BG$15),1)</f>
        <v>0</v>
      </c>
      <c s="125">
        <f>Предпосылки!BG$230*Предпосылки!$F268*Продажи!BH33*BH$19*(1+Чувствительность!$D$20)*IFERROR(LOOKUP(Предпосылки!$H$203,$C$13:$C$15,BH$13:BH$15),1)</f>
        <v>0</v>
      </c>
      <c s="125">
        <f>Предпосылки!BH$230*Предпосылки!$F268*Продажи!BI33*BI$19*(1+Чувствительность!$D$20)*IFERROR(LOOKUP(Предпосылки!$H$203,$C$13:$C$15,BI$13:BI$15),1)</f>
        <v>0</v>
      </c>
      <c s="125">
        <f>Предпосылки!BI$230*Предпосылки!$F268*Продажи!BJ33*BJ$19*(1+Чувствительность!$D$20)*IFERROR(LOOKUP(Предпосылки!$H$203,$C$13:$C$15,BJ$13:BJ$15),1)</f>
        <v>0</v>
      </c>
      <c s="125">
        <f>Предпосылки!BJ$230*Предпосылки!$F268*Продажи!BK33*BK$19*(1+Чувствительность!$D$20)*IFERROR(LOOKUP(Предпосылки!$H$203,$C$13:$C$15,BK$13:BK$15),1)</f>
        <v>0</v>
      </c>
      <c s="125">
        <f>Предпосылки!BK$230*Предпосылки!$F268*Продажи!BL33*BL$19*(1+Чувствительность!$D$20)*IFERROR(LOOKUP(Предпосылки!$H$203,$C$13:$C$15,BL$13:BL$15),1)</f>
        <v>0</v>
      </c>
      <c s="125">
        <f>Предпосылки!BL$230*Предпосылки!$F268*Продажи!BM33*BM$19*(1+Чувствительность!$D$20)*IFERROR(LOOKUP(Предпосылки!$H$203,$C$13:$C$15,BM$13:BM$15),1)</f>
        <v>0</v>
      </c>
    </row>
    <row r="85" spans="2:65" ht="15" customHeight="1">
      <c r="B85" s="12" t="str">
        <f t="shared" si="71"/>
        <v>Продукт 17</v>
      </c>
      <c s="124" t="str">
        <f t="shared" si="70"/>
        <v>тыс. руб.</v>
      </c>
      <c s="276">
        <f t="shared" si="72"/>
        <v>0</v>
      </c>
      <c s="125">
        <f>Предпосылки!D$230*Предпосылки!$F269*Продажи!E34*E$19*(1+Чувствительность!$D$20)*IFERROR(LOOKUP(Предпосылки!$H$203,$C$13:$C$15,E$13:E$15),1)</f>
        <v>0</v>
      </c>
      <c s="125">
        <f>Предпосылки!E$230*Предпосылки!$F269*Продажи!F34*F$19*(1+Чувствительность!$D$20)*IFERROR(LOOKUP(Предпосылки!$H$203,$C$13:$C$15,F$13:F$15),1)</f>
        <v>0</v>
      </c>
      <c s="125">
        <f>Предпосылки!F$230*Предпосылки!$F269*Продажи!G34*G$19*(1+Чувствительность!$D$20)*IFERROR(LOOKUP(Предпосылки!$H$203,$C$13:$C$15,G$13:G$15),1)</f>
        <v>0</v>
      </c>
      <c s="125">
        <f>Предпосылки!G$230*Предпосылки!$F269*Продажи!H34*H$19*(1+Чувствительность!$D$20)*IFERROR(LOOKUP(Предпосылки!$H$203,$C$13:$C$15,H$13:H$15),1)</f>
        <v>0</v>
      </c>
      <c s="125">
        <f>Предпосылки!H$230*Предпосылки!$F269*Продажи!I34*I$19*(1+Чувствительность!$D$20)*IFERROR(LOOKUP(Предпосылки!$H$203,$C$13:$C$15,I$13:I$15),1)</f>
        <v>0</v>
      </c>
      <c s="125">
        <f>Предпосылки!I$230*Предпосылки!$F269*Продажи!J34*J$19*(1+Чувствительность!$D$20)*IFERROR(LOOKUP(Предпосылки!$H$203,$C$13:$C$15,J$13:J$15),1)</f>
        <v>0</v>
      </c>
      <c s="125">
        <f>Предпосылки!J$230*Предпосылки!$F269*Продажи!K34*K$19*(1+Чувствительность!$D$20)*IFERROR(LOOKUP(Предпосылки!$H$203,$C$13:$C$15,K$13:K$15),1)</f>
        <v>0</v>
      </c>
      <c s="125">
        <f>Предпосылки!K$230*Предпосылки!$F269*Продажи!L34*L$19*(1+Чувствительность!$D$20)*IFERROR(LOOKUP(Предпосылки!$H$203,$C$13:$C$15,L$13:L$15),1)</f>
        <v>0</v>
      </c>
      <c s="125">
        <f>Предпосылки!L$230*Предпосылки!$F269*Продажи!M34*M$19*(1+Чувствительность!$D$20)*IFERROR(LOOKUP(Предпосылки!$H$203,$C$13:$C$15,M$13:M$15),1)</f>
        <v>0</v>
      </c>
      <c s="125">
        <f>Предпосылки!M$230*Предпосылки!$F269*Продажи!N34*N$19*(1+Чувствительность!$D$20)*IFERROR(LOOKUP(Предпосылки!$H$203,$C$13:$C$15,N$13:N$15),1)</f>
        <v>0</v>
      </c>
      <c s="125">
        <f>Предпосылки!N$230*Предпосылки!$F269*Продажи!O34*O$19*(1+Чувствительность!$D$20)*IFERROR(LOOKUP(Предпосылки!$H$203,$C$13:$C$15,O$13:O$15),1)</f>
        <v>0</v>
      </c>
      <c s="125">
        <f>Предпосылки!O$230*Предпосылки!$F269*Продажи!P34*P$19*(1+Чувствительность!$D$20)*IFERROR(LOOKUP(Предпосылки!$H$203,$C$13:$C$15,P$13:P$15),1)</f>
        <v>0</v>
      </c>
      <c s="125">
        <f>Предпосылки!P$230*Предпосылки!$F269*Продажи!Q34*Q$19*(1+Чувствительность!$D$20)*IFERROR(LOOKUP(Предпосылки!$H$203,$C$13:$C$15,Q$13:Q$15),1)</f>
        <v>0</v>
      </c>
      <c s="125">
        <f>Предпосылки!Q$230*Предпосылки!$F269*Продажи!R34*R$19*(1+Чувствительность!$D$20)*IFERROR(LOOKUP(Предпосылки!$H$203,$C$13:$C$15,R$13:R$15),1)</f>
        <v>0</v>
      </c>
      <c s="125">
        <f>Предпосылки!R$230*Предпосылки!$F269*Продажи!S34*S$19*(1+Чувствительность!$D$20)*IFERROR(LOOKUP(Предпосылки!$H$203,$C$13:$C$15,S$13:S$15),1)</f>
        <v>0</v>
      </c>
      <c s="125">
        <f>Предпосылки!S$230*Предпосылки!$F269*Продажи!T34*T$19*(1+Чувствительность!$D$20)*IFERROR(LOOKUP(Предпосылки!$H$203,$C$13:$C$15,T$13:T$15),1)</f>
        <v>0</v>
      </c>
      <c s="125">
        <f>Предпосылки!T$230*Предпосылки!$F269*Продажи!U34*U$19*(1+Чувствительность!$D$20)*IFERROR(LOOKUP(Предпосылки!$H$203,$C$13:$C$15,U$13:U$15),1)</f>
        <v>0</v>
      </c>
      <c s="125">
        <f>Предпосылки!U$230*Предпосылки!$F269*Продажи!V34*V$19*(1+Чувствительность!$D$20)*IFERROR(LOOKUP(Предпосылки!$H$203,$C$13:$C$15,V$13:V$15),1)</f>
        <v>0</v>
      </c>
      <c s="125">
        <f>Предпосылки!V$230*Предпосылки!$F269*Продажи!W34*W$19*(1+Чувствительность!$D$20)*IFERROR(LOOKUP(Предпосылки!$H$203,$C$13:$C$15,W$13:W$15),1)</f>
        <v>0</v>
      </c>
      <c s="125">
        <f>Предпосылки!W$230*Предпосылки!$F269*Продажи!X34*X$19*(1+Чувствительность!$D$20)*IFERROR(LOOKUP(Предпосылки!$H$203,$C$13:$C$15,X$13:X$15),1)</f>
        <v>0</v>
      </c>
      <c s="125">
        <f>Предпосылки!X$230*Предпосылки!$F269*Продажи!Y34*Y$19*(1+Чувствительность!$D$20)*IFERROR(LOOKUP(Предпосылки!$H$203,$C$13:$C$15,Y$13:Y$15),1)</f>
        <v>0</v>
      </c>
      <c s="125">
        <f>Предпосылки!Y$230*Предпосылки!$F269*Продажи!Z34*Z$19*(1+Чувствительность!$D$20)*IFERROR(LOOKUP(Предпосылки!$H$203,$C$13:$C$15,Z$13:Z$15),1)</f>
        <v>0</v>
      </c>
      <c s="125">
        <f>Предпосылки!Z$230*Предпосылки!$F269*Продажи!AA34*AA$19*(1+Чувствительность!$D$20)*IFERROR(LOOKUP(Предпосылки!$H$203,$C$13:$C$15,AA$13:AA$15),1)</f>
        <v>0</v>
      </c>
      <c s="125">
        <f>Предпосылки!AA$230*Предпосылки!$F269*Продажи!AB34*AB$19*(1+Чувствительность!$D$20)*IFERROR(LOOKUP(Предпосылки!$H$203,$C$13:$C$15,AB$13:AB$15),1)</f>
        <v>0</v>
      </c>
      <c s="125">
        <f>Предпосылки!AB$230*Предпосылки!$F269*Продажи!AC34*AC$19*(1+Чувствительность!$D$20)*IFERROR(LOOKUP(Предпосылки!$H$203,$C$13:$C$15,AC$13:AC$15),1)</f>
        <v>0</v>
      </c>
      <c s="125">
        <f>Предпосылки!AC$230*Предпосылки!$F269*Продажи!AD34*AD$19*(1+Чувствительность!$D$20)*IFERROR(LOOKUP(Предпосылки!$H$203,$C$13:$C$15,AD$13:AD$15),1)</f>
        <v>0</v>
      </c>
      <c s="125">
        <f>Предпосылки!AD$230*Предпосылки!$F269*Продажи!AE34*AE$19*(1+Чувствительность!$D$20)*IFERROR(LOOKUP(Предпосылки!$H$203,$C$13:$C$15,AE$13:AE$15),1)</f>
        <v>0</v>
      </c>
      <c s="125">
        <f>Предпосылки!AE$230*Предпосылки!$F269*Продажи!AF34*AF$19*(1+Чувствительность!$D$20)*IFERROR(LOOKUP(Предпосылки!$H$203,$C$13:$C$15,AF$13:AF$15),1)</f>
        <v>0</v>
      </c>
      <c s="125">
        <f>Предпосылки!AF$230*Предпосылки!$F269*Продажи!AG34*AG$19*(1+Чувствительность!$D$20)*IFERROR(LOOKUP(Предпосылки!$H$203,$C$13:$C$15,AG$13:AG$15),1)</f>
        <v>0</v>
      </c>
      <c s="125">
        <f>Предпосылки!AG$230*Предпосылки!$F269*Продажи!AH34*AH$19*(1+Чувствительность!$D$20)*IFERROR(LOOKUP(Предпосылки!$H$203,$C$13:$C$15,AH$13:AH$15),1)</f>
        <v>0</v>
      </c>
      <c s="125">
        <f>Предпосылки!AH$230*Предпосылки!$F269*Продажи!AI34*AI$19*(1+Чувствительность!$D$20)*IFERROR(LOOKUP(Предпосылки!$H$203,$C$13:$C$15,AI$13:AI$15),1)</f>
        <v>0</v>
      </c>
      <c s="125">
        <f>Предпосылки!AI$230*Предпосылки!$F269*Продажи!AJ34*AJ$19*(1+Чувствительность!$D$20)*IFERROR(LOOKUP(Предпосылки!$H$203,$C$13:$C$15,AJ$13:AJ$15),1)</f>
        <v>0</v>
      </c>
      <c s="125">
        <f>Предпосылки!AJ$230*Предпосылки!$F269*Продажи!AK34*AK$19*(1+Чувствительность!$D$20)*IFERROR(LOOKUP(Предпосылки!$H$203,$C$13:$C$15,AK$13:AK$15),1)</f>
        <v>0</v>
      </c>
      <c s="125">
        <f>Предпосылки!AK$230*Предпосылки!$F269*Продажи!AL34*AL$19*(1+Чувствительность!$D$20)*IFERROR(LOOKUP(Предпосылки!$H$203,$C$13:$C$15,AL$13:AL$15),1)</f>
        <v>0</v>
      </c>
      <c s="125">
        <f>Предпосылки!AL$230*Предпосылки!$F269*Продажи!AM34*AM$19*(1+Чувствительность!$D$20)*IFERROR(LOOKUP(Предпосылки!$H$203,$C$13:$C$15,AM$13:AM$15),1)</f>
        <v>0</v>
      </c>
      <c s="125">
        <f>Предпосылки!AM$230*Предпосылки!$F269*Продажи!AN34*AN$19*(1+Чувствительность!$D$20)*IFERROR(LOOKUP(Предпосылки!$H$203,$C$13:$C$15,AN$13:AN$15),1)</f>
        <v>0</v>
      </c>
      <c s="125">
        <f>Предпосылки!AN$230*Предпосылки!$F269*Продажи!AO34*AO$19*(1+Чувствительность!$D$20)*IFERROR(LOOKUP(Предпосылки!$H$203,$C$13:$C$15,AO$13:AO$15),1)</f>
        <v>0</v>
      </c>
      <c s="125">
        <f>Предпосылки!AO$230*Предпосылки!$F269*Продажи!AP34*AP$19*(1+Чувствительность!$D$20)*IFERROR(LOOKUP(Предпосылки!$H$203,$C$13:$C$15,AP$13:AP$15),1)</f>
        <v>0</v>
      </c>
      <c s="125">
        <f>Предпосылки!AP$230*Предпосылки!$F269*Продажи!AQ34*AQ$19*(1+Чувствительность!$D$20)*IFERROR(LOOKUP(Предпосылки!$H$203,$C$13:$C$15,AQ$13:AQ$15),1)</f>
        <v>0</v>
      </c>
      <c s="125">
        <f>Предпосылки!AQ$230*Предпосылки!$F269*Продажи!AR34*AR$19*(1+Чувствительность!$D$20)*IFERROR(LOOKUP(Предпосылки!$H$203,$C$13:$C$15,AR$13:AR$15),1)</f>
        <v>0</v>
      </c>
      <c s="125">
        <f>Предпосылки!AR$230*Предпосылки!$F269*Продажи!AS34*AS$19*(1+Чувствительность!$D$20)*IFERROR(LOOKUP(Предпосылки!$H$203,$C$13:$C$15,AS$13:AS$15),1)</f>
        <v>0</v>
      </c>
      <c s="125">
        <f>Предпосылки!AS$230*Предпосылки!$F269*Продажи!AT34*AT$19*(1+Чувствительность!$D$20)*IFERROR(LOOKUP(Предпосылки!$H$203,$C$13:$C$15,AT$13:AT$15),1)</f>
        <v>0</v>
      </c>
      <c s="125">
        <f>Предпосылки!AT$230*Предпосылки!$F269*Продажи!AU34*AU$19*(1+Чувствительность!$D$20)*IFERROR(LOOKUP(Предпосылки!$H$203,$C$13:$C$15,AU$13:AU$15),1)</f>
        <v>0</v>
      </c>
      <c s="125">
        <f>Предпосылки!AU$230*Предпосылки!$F269*Продажи!AV34*AV$19*(1+Чувствительность!$D$20)*IFERROR(LOOKUP(Предпосылки!$H$203,$C$13:$C$15,AV$13:AV$15),1)</f>
        <v>0</v>
      </c>
      <c s="125">
        <f>Предпосылки!AV$230*Предпосылки!$F269*Продажи!AW34*AW$19*(1+Чувствительность!$D$20)*IFERROR(LOOKUP(Предпосылки!$H$203,$C$13:$C$15,AW$13:AW$15),1)</f>
        <v>0</v>
      </c>
      <c s="125">
        <f>Предпосылки!AW$230*Предпосылки!$F269*Продажи!AX34*AX$19*(1+Чувствительность!$D$20)*IFERROR(LOOKUP(Предпосылки!$H$203,$C$13:$C$15,AX$13:AX$15),1)</f>
        <v>0</v>
      </c>
      <c s="125">
        <f>Предпосылки!AX$230*Предпосылки!$F269*Продажи!AY34*AY$19*(1+Чувствительность!$D$20)*IFERROR(LOOKUP(Предпосылки!$H$203,$C$13:$C$15,AY$13:AY$15),1)</f>
        <v>0</v>
      </c>
      <c s="125">
        <f>Предпосылки!AY$230*Предпосылки!$F269*Продажи!AZ34*AZ$19*(1+Чувствительность!$D$20)*IFERROR(LOOKUP(Предпосылки!$H$203,$C$13:$C$15,AZ$13:AZ$15),1)</f>
        <v>0</v>
      </c>
      <c s="125">
        <f>Предпосылки!AZ$230*Предпосылки!$F269*Продажи!BA34*BA$19*(1+Чувствительность!$D$20)*IFERROR(LOOKUP(Предпосылки!$H$203,$C$13:$C$15,BA$13:BA$15),1)</f>
        <v>0</v>
      </c>
      <c s="125">
        <f>Предпосылки!BA$230*Предпосылки!$F269*Продажи!BB34*BB$19*(1+Чувствительность!$D$20)*IFERROR(LOOKUP(Предпосылки!$H$203,$C$13:$C$15,BB$13:BB$15),1)</f>
        <v>0</v>
      </c>
      <c s="125">
        <f>Предпосылки!BB$230*Предпосылки!$F269*Продажи!BC34*BC$19*(1+Чувствительность!$D$20)*IFERROR(LOOKUP(Предпосылки!$H$203,$C$13:$C$15,BC$13:BC$15),1)</f>
        <v>0</v>
      </c>
      <c s="125">
        <f>Предпосылки!BC$230*Предпосылки!$F269*Продажи!BD34*BD$19*(1+Чувствительность!$D$20)*IFERROR(LOOKUP(Предпосылки!$H$203,$C$13:$C$15,BD$13:BD$15),1)</f>
        <v>0</v>
      </c>
      <c s="125">
        <f>Предпосылки!BD$230*Предпосылки!$F269*Продажи!BE34*BE$19*(1+Чувствительность!$D$20)*IFERROR(LOOKUP(Предпосылки!$H$203,$C$13:$C$15,BE$13:BE$15),1)</f>
        <v>0</v>
      </c>
      <c s="125">
        <f>Предпосылки!BE$230*Предпосылки!$F269*Продажи!BF34*BF$19*(1+Чувствительность!$D$20)*IFERROR(LOOKUP(Предпосылки!$H$203,$C$13:$C$15,BF$13:BF$15),1)</f>
        <v>0</v>
      </c>
      <c s="125">
        <f>Предпосылки!BF$230*Предпосылки!$F269*Продажи!BG34*BG$19*(1+Чувствительность!$D$20)*IFERROR(LOOKUP(Предпосылки!$H$203,$C$13:$C$15,BG$13:BG$15),1)</f>
        <v>0</v>
      </c>
      <c s="125">
        <f>Предпосылки!BG$230*Предпосылки!$F269*Продажи!BH34*BH$19*(1+Чувствительность!$D$20)*IFERROR(LOOKUP(Предпосылки!$H$203,$C$13:$C$15,BH$13:BH$15),1)</f>
        <v>0</v>
      </c>
      <c s="125">
        <f>Предпосылки!BH$230*Предпосылки!$F269*Продажи!BI34*BI$19*(1+Чувствительность!$D$20)*IFERROR(LOOKUP(Предпосылки!$H$203,$C$13:$C$15,BI$13:BI$15),1)</f>
        <v>0</v>
      </c>
      <c s="125">
        <f>Предпосылки!BI$230*Предпосылки!$F269*Продажи!BJ34*BJ$19*(1+Чувствительность!$D$20)*IFERROR(LOOKUP(Предпосылки!$H$203,$C$13:$C$15,BJ$13:BJ$15),1)</f>
        <v>0</v>
      </c>
      <c s="125">
        <f>Предпосылки!BJ$230*Предпосылки!$F269*Продажи!BK34*BK$19*(1+Чувствительность!$D$20)*IFERROR(LOOKUP(Предпосылки!$H$203,$C$13:$C$15,BK$13:BK$15),1)</f>
        <v>0</v>
      </c>
      <c s="125">
        <f>Предпосылки!BK$230*Предпосылки!$F269*Продажи!BL34*BL$19*(1+Чувствительность!$D$20)*IFERROR(LOOKUP(Предпосылки!$H$203,$C$13:$C$15,BL$13:BL$15),1)</f>
        <v>0</v>
      </c>
      <c s="125">
        <f>Предпосылки!BL$230*Предпосылки!$F269*Продажи!BM34*BM$19*(1+Чувствительность!$D$20)*IFERROR(LOOKUP(Предпосылки!$H$203,$C$13:$C$15,BM$13:BM$15),1)</f>
        <v>0</v>
      </c>
    </row>
    <row r="86" spans="2:65" ht="15" customHeight="1">
      <c r="B86" s="12" t="str">
        <f t="shared" si="71"/>
        <v>Продукт 18</v>
      </c>
      <c s="124" t="str">
        <f t="shared" si="70"/>
        <v>тыс. руб.</v>
      </c>
      <c s="276">
        <f t="shared" si="72"/>
        <v>0</v>
      </c>
      <c s="125">
        <f>Предпосылки!D$230*Предпосылки!$F270*Продажи!E35*E$19*(1+Чувствительность!$D$20)*IFERROR(LOOKUP(Предпосылки!$H$203,$C$13:$C$15,E$13:E$15),1)</f>
        <v>0</v>
      </c>
      <c s="125">
        <f>Предпосылки!E$230*Предпосылки!$F270*Продажи!F35*F$19*(1+Чувствительность!$D$20)*IFERROR(LOOKUP(Предпосылки!$H$203,$C$13:$C$15,F$13:F$15),1)</f>
        <v>0</v>
      </c>
      <c s="125">
        <f>Предпосылки!F$230*Предпосылки!$F270*Продажи!G35*G$19*(1+Чувствительность!$D$20)*IFERROR(LOOKUP(Предпосылки!$H$203,$C$13:$C$15,G$13:G$15),1)</f>
        <v>0</v>
      </c>
      <c s="125">
        <f>Предпосылки!G$230*Предпосылки!$F270*Продажи!H35*H$19*(1+Чувствительность!$D$20)*IFERROR(LOOKUP(Предпосылки!$H$203,$C$13:$C$15,H$13:H$15),1)</f>
        <v>0</v>
      </c>
      <c s="125">
        <f>Предпосылки!H$230*Предпосылки!$F270*Продажи!I35*I$19*(1+Чувствительность!$D$20)*IFERROR(LOOKUP(Предпосылки!$H$203,$C$13:$C$15,I$13:I$15),1)</f>
        <v>0</v>
      </c>
      <c s="125">
        <f>Предпосылки!I$230*Предпосылки!$F270*Продажи!J35*J$19*(1+Чувствительность!$D$20)*IFERROR(LOOKUP(Предпосылки!$H$203,$C$13:$C$15,J$13:J$15),1)</f>
        <v>0</v>
      </c>
      <c s="125">
        <f>Предпосылки!J$230*Предпосылки!$F270*Продажи!K35*K$19*(1+Чувствительность!$D$20)*IFERROR(LOOKUP(Предпосылки!$H$203,$C$13:$C$15,K$13:K$15),1)</f>
        <v>0</v>
      </c>
      <c s="125">
        <f>Предпосылки!K$230*Предпосылки!$F270*Продажи!L35*L$19*(1+Чувствительность!$D$20)*IFERROR(LOOKUP(Предпосылки!$H$203,$C$13:$C$15,L$13:L$15),1)</f>
        <v>0</v>
      </c>
      <c s="125">
        <f>Предпосылки!L$230*Предпосылки!$F270*Продажи!M35*M$19*(1+Чувствительность!$D$20)*IFERROR(LOOKUP(Предпосылки!$H$203,$C$13:$C$15,M$13:M$15),1)</f>
        <v>0</v>
      </c>
      <c s="125">
        <f>Предпосылки!M$230*Предпосылки!$F270*Продажи!N35*N$19*(1+Чувствительность!$D$20)*IFERROR(LOOKUP(Предпосылки!$H$203,$C$13:$C$15,N$13:N$15),1)</f>
        <v>0</v>
      </c>
      <c s="125">
        <f>Предпосылки!N$230*Предпосылки!$F270*Продажи!O35*O$19*(1+Чувствительность!$D$20)*IFERROR(LOOKUP(Предпосылки!$H$203,$C$13:$C$15,O$13:O$15),1)</f>
        <v>0</v>
      </c>
      <c s="125">
        <f>Предпосылки!O$230*Предпосылки!$F270*Продажи!P35*P$19*(1+Чувствительность!$D$20)*IFERROR(LOOKUP(Предпосылки!$H$203,$C$13:$C$15,P$13:P$15),1)</f>
        <v>0</v>
      </c>
      <c s="125">
        <f>Предпосылки!P$230*Предпосылки!$F270*Продажи!Q35*Q$19*(1+Чувствительность!$D$20)*IFERROR(LOOKUP(Предпосылки!$H$203,$C$13:$C$15,Q$13:Q$15),1)</f>
        <v>0</v>
      </c>
      <c s="125">
        <f>Предпосылки!Q$230*Предпосылки!$F270*Продажи!R35*R$19*(1+Чувствительность!$D$20)*IFERROR(LOOKUP(Предпосылки!$H$203,$C$13:$C$15,R$13:R$15),1)</f>
        <v>0</v>
      </c>
      <c s="125">
        <f>Предпосылки!R$230*Предпосылки!$F270*Продажи!S35*S$19*(1+Чувствительность!$D$20)*IFERROR(LOOKUP(Предпосылки!$H$203,$C$13:$C$15,S$13:S$15),1)</f>
        <v>0</v>
      </c>
      <c s="125">
        <f>Предпосылки!S$230*Предпосылки!$F270*Продажи!T35*T$19*(1+Чувствительность!$D$20)*IFERROR(LOOKUP(Предпосылки!$H$203,$C$13:$C$15,T$13:T$15),1)</f>
        <v>0</v>
      </c>
      <c s="125">
        <f>Предпосылки!T$230*Предпосылки!$F270*Продажи!U35*U$19*(1+Чувствительность!$D$20)*IFERROR(LOOKUP(Предпосылки!$H$203,$C$13:$C$15,U$13:U$15),1)</f>
        <v>0</v>
      </c>
      <c s="125">
        <f>Предпосылки!U$230*Предпосылки!$F270*Продажи!V35*V$19*(1+Чувствительность!$D$20)*IFERROR(LOOKUP(Предпосылки!$H$203,$C$13:$C$15,V$13:V$15),1)</f>
        <v>0</v>
      </c>
      <c s="125">
        <f>Предпосылки!V$230*Предпосылки!$F270*Продажи!W35*W$19*(1+Чувствительность!$D$20)*IFERROR(LOOKUP(Предпосылки!$H$203,$C$13:$C$15,W$13:W$15),1)</f>
        <v>0</v>
      </c>
      <c s="125">
        <f>Предпосылки!W$230*Предпосылки!$F270*Продажи!X35*X$19*(1+Чувствительность!$D$20)*IFERROR(LOOKUP(Предпосылки!$H$203,$C$13:$C$15,X$13:X$15),1)</f>
        <v>0</v>
      </c>
      <c s="125">
        <f>Предпосылки!X$230*Предпосылки!$F270*Продажи!Y35*Y$19*(1+Чувствительность!$D$20)*IFERROR(LOOKUP(Предпосылки!$H$203,$C$13:$C$15,Y$13:Y$15),1)</f>
        <v>0</v>
      </c>
      <c s="125">
        <f>Предпосылки!Y$230*Предпосылки!$F270*Продажи!Z35*Z$19*(1+Чувствительность!$D$20)*IFERROR(LOOKUP(Предпосылки!$H$203,$C$13:$C$15,Z$13:Z$15),1)</f>
        <v>0</v>
      </c>
      <c s="125">
        <f>Предпосылки!Z$230*Предпосылки!$F270*Продажи!AA35*AA$19*(1+Чувствительность!$D$20)*IFERROR(LOOKUP(Предпосылки!$H$203,$C$13:$C$15,AA$13:AA$15),1)</f>
        <v>0</v>
      </c>
      <c s="125">
        <f>Предпосылки!AA$230*Предпосылки!$F270*Продажи!AB35*AB$19*(1+Чувствительность!$D$20)*IFERROR(LOOKUP(Предпосылки!$H$203,$C$13:$C$15,AB$13:AB$15),1)</f>
        <v>0</v>
      </c>
      <c s="125">
        <f>Предпосылки!AB$230*Предпосылки!$F270*Продажи!AC35*AC$19*(1+Чувствительность!$D$20)*IFERROR(LOOKUP(Предпосылки!$H$203,$C$13:$C$15,AC$13:AC$15),1)</f>
        <v>0</v>
      </c>
      <c s="125">
        <f>Предпосылки!AC$230*Предпосылки!$F270*Продажи!AD35*AD$19*(1+Чувствительность!$D$20)*IFERROR(LOOKUP(Предпосылки!$H$203,$C$13:$C$15,AD$13:AD$15),1)</f>
        <v>0</v>
      </c>
      <c s="125">
        <f>Предпосылки!AD$230*Предпосылки!$F270*Продажи!AE35*AE$19*(1+Чувствительность!$D$20)*IFERROR(LOOKUP(Предпосылки!$H$203,$C$13:$C$15,AE$13:AE$15),1)</f>
        <v>0</v>
      </c>
      <c s="125">
        <f>Предпосылки!AE$230*Предпосылки!$F270*Продажи!AF35*AF$19*(1+Чувствительность!$D$20)*IFERROR(LOOKUP(Предпосылки!$H$203,$C$13:$C$15,AF$13:AF$15),1)</f>
        <v>0</v>
      </c>
      <c s="125">
        <f>Предпосылки!AF$230*Предпосылки!$F270*Продажи!AG35*AG$19*(1+Чувствительность!$D$20)*IFERROR(LOOKUP(Предпосылки!$H$203,$C$13:$C$15,AG$13:AG$15),1)</f>
        <v>0</v>
      </c>
      <c s="125">
        <f>Предпосылки!AG$230*Предпосылки!$F270*Продажи!AH35*AH$19*(1+Чувствительность!$D$20)*IFERROR(LOOKUP(Предпосылки!$H$203,$C$13:$C$15,AH$13:AH$15),1)</f>
        <v>0</v>
      </c>
      <c s="125">
        <f>Предпосылки!AH$230*Предпосылки!$F270*Продажи!AI35*AI$19*(1+Чувствительность!$D$20)*IFERROR(LOOKUP(Предпосылки!$H$203,$C$13:$C$15,AI$13:AI$15),1)</f>
        <v>0</v>
      </c>
      <c s="125">
        <f>Предпосылки!AI$230*Предпосылки!$F270*Продажи!AJ35*AJ$19*(1+Чувствительность!$D$20)*IFERROR(LOOKUP(Предпосылки!$H$203,$C$13:$C$15,AJ$13:AJ$15),1)</f>
        <v>0</v>
      </c>
      <c s="125">
        <f>Предпосылки!AJ$230*Предпосылки!$F270*Продажи!AK35*AK$19*(1+Чувствительность!$D$20)*IFERROR(LOOKUP(Предпосылки!$H$203,$C$13:$C$15,AK$13:AK$15),1)</f>
        <v>0</v>
      </c>
      <c s="125">
        <f>Предпосылки!AK$230*Предпосылки!$F270*Продажи!AL35*AL$19*(1+Чувствительность!$D$20)*IFERROR(LOOKUP(Предпосылки!$H$203,$C$13:$C$15,AL$13:AL$15),1)</f>
        <v>0</v>
      </c>
      <c s="125">
        <f>Предпосылки!AL$230*Предпосылки!$F270*Продажи!AM35*AM$19*(1+Чувствительность!$D$20)*IFERROR(LOOKUP(Предпосылки!$H$203,$C$13:$C$15,AM$13:AM$15),1)</f>
        <v>0</v>
      </c>
      <c s="125">
        <f>Предпосылки!AM$230*Предпосылки!$F270*Продажи!AN35*AN$19*(1+Чувствительность!$D$20)*IFERROR(LOOKUP(Предпосылки!$H$203,$C$13:$C$15,AN$13:AN$15),1)</f>
        <v>0</v>
      </c>
      <c s="125">
        <f>Предпосылки!AN$230*Предпосылки!$F270*Продажи!AO35*AO$19*(1+Чувствительность!$D$20)*IFERROR(LOOKUP(Предпосылки!$H$203,$C$13:$C$15,AO$13:AO$15),1)</f>
        <v>0</v>
      </c>
      <c s="125">
        <f>Предпосылки!AO$230*Предпосылки!$F270*Продажи!AP35*AP$19*(1+Чувствительность!$D$20)*IFERROR(LOOKUP(Предпосылки!$H$203,$C$13:$C$15,AP$13:AP$15),1)</f>
        <v>0</v>
      </c>
      <c s="125">
        <f>Предпосылки!AP$230*Предпосылки!$F270*Продажи!AQ35*AQ$19*(1+Чувствительность!$D$20)*IFERROR(LOOKUP(Предпосылки!$H$203,$C$13:$C$15,AQ$13:AQ$15),1)</f>
        <v>0</v>
      </c>
      <c s="125">
        <f>Предпосылки!AQ$230*Предпосылки!$F270*Продажи!AR35*AR$19*(1+Чувствительность!$D$20)*IFERROR(LOOKUP(Предпосылки!$H$203,$C$13:$C$15,AR$13:AR$15),1)</f>
        <v>0</v>
      </c>
      <c s="125">
        <f>Предпосылки!AR$230*Предпосылки!$F270*Продажи!AS35*AS$19*(1+Чувствительность!$D$20)*IFERROR(LOOKUP(Предпосылки!$H$203,$C$13:$C$15,AS$13:AS$15),1)</f>
        <v>0</v>
      </c>
      <c s="125">
        <f>Предпосылки!AS$230*Предпосылки!$F270*Продажи!AT35*AT$19*(1+Чувствительность!$D$20)*IFERROR(LOOKUP(Предпосылки!$H$203,$C$13:$C$15,AT$13:AT$15),1)</f>
        <v>0</v>
      </c>
      <c s="125">
        <f>Предпосылки!AT$230*Предпосылки!$F270*Продажи!AU35*AU$19*(1+Чувствительность!$D$20)*IFERROR(LOOKUP(Предпосылки!$H$203,$C$13:$C$15,AU$13:AU$15),1)</f>
        <v>0</v>
      </c>
      <c s="125">
        <f>Предпосылки!AU$230*Предпосылки!$F270*Продажи!AV35*AV$19*(1+Чувствительность!$D$20)*IFERROR(LOOKUP(Предпосылки!$H$203,$C$13:$C$15,AV$13:AV$15),1)</f>
        <v>0</v>
      </c>
      <c s="125">
        <f>Предпосылки!AV$230*Предпосылки!$F270*Продажи!AW35*AW$19*(1+Чувствительность!$D$20)*IFERROR(LOOKUP(Предпосылки!$H$203,$C$13:$C$15,AW$13:AW$15),1)</f>
        <v>0</v>
      </c>
      <c s="125">
        <f>Предпосылки!AW$230*Предпосылки!$F270*Продажи!AX35*AX$19*(1+Чувствительность!$D$20)*IFERROR(LOOKUP(Предпосылки!$H$203,$C$13:$C$15,AX$13:AX$15),1)</f>
        <v>0</v>
      </c>
      <c s="125">
        <f>Предпосылки!AX$230*Предпосылки!$F270*Продажи!AY35*AY$19*(1+Чувствительность!$D$20)*IFERROR(LOOKUP(Предпосылки!$H$203,$C$13:$C$15,AY$13:AY$15),1)</f>
        <v>0</v>
      </c>
      <c s="125">
        <f>Предпосылки!AY$230*Предпосылки!$F270*Продажи!AZ35*AZ$19*(1+Чувствительность!$D$20)*IFERROR(LOOKUP(Предпосылки!$H$203,$C$13:$C$15,AZ$13:AZ$15),1)</f>
        <v>0</v>
      </c>
      <c s="125">
        <f>Предпосылки!AZ$230*Предпосылки!$F270*Продажи!BA35*BA$19*(1+Чувствительность!$D$20)*IFERROR(LOOKUP(Предпосылки!$H$203,$C$13:$C$15,BA$13:BA$15),1)</f>
        <v>0</v>
      </c>
      <c s="125">
        <f>Предпосылки!BA$230*Предпосылки!$F270*Продажи!BB35*BB$19*(1+Чувствительность!$D$20)*IFERROR(LOOKUP(Предпосылки!$H$203,$C$13:$C$15,BB$13:BB$15),1)</f>
        <v>0</v>
      </c>
      <c s="125">
        <f>Предпосылки!BB$230*Предпосылки!$F270*Продажи!BC35*BC$19*(1+Чувствительность!$D$20)*IFERROR(LOOKUP(Предпосылки!$H$203,$C$13:$C$15,BC$13:BC$15),1)</f>
        <v>0</v>
      </c>
      <c s="125">
        <f>Предпосылки!BC$230*Предпосылки!$F270*Продажи!BD35*BD$19*(1+Чувствительность!$D$20)*IFERROR(LOOKUP(Предпосылки!$H$203,$C$13:$C$15,BD$13:BD$15),1)</f>
        <v>0</v>
      </c>
      <c s="125">
        <f>Предпосылки!BD$230*Предпосылки!$F270*Продажи!BE35*BE$19*(1+Чувствительность!$D$20)*IFERROR(LOOKUP(Предпосылки!$H$203,$C$13:$C$15,BE$13:BE$15),1)</f>
        <v>0</v>
      </c>
      <c s="125">
        <f>Предпосылки!BE$230*Предпосылки!$F270*Продажи!BF35*BF$19*(1+Чувствительность!$D$20)*IFERROR(LOOKUP(Предпосылки!$H$203,$C$13:$C$15,BF$13:BF$15),1)</f>
        <v>0</v>
      </c>
      <c s="125">
        <f>Предпосылки!BF$230*Предпосылки!$F270*Продажи!BG35*BG$19*(1+Чувствительность!$D$20)*IFERROR(LOOKUP(Предпосылки!$H$203,$C$13:$C$15,BG$13:BG$15),1)</f>
        <v>0</v>
      </c>
      <c s="125">
        <f>Предпосылки!BG$230*Предпосылки!$F270*Продажи!BH35*BH$19*(1+Чувствительность!$D$20)*IFERROR(LOOKUP(Предпосылки!$H$203,$C$13:$C$15,BH$13:BH$15),1)</f>
        <v>0</v>
      </c>
      <c s="125">
        <f>Предпосылки!BH$230*Предпосылки!$F270*Продажи!BI35*BI$19*(1+Чувствительность!$D$20)*IFERROR(LOOKUP(Предпосылки!$H$203,$C$13:$C$15,BI$13:BI$15),1)</f>
        <v>0</v>
      </c>
      <c s="125">
        <f>Предпосылки!BI$230*Предпосылки!$F270*Продажи!BJ35*BJ$19*(1+Чувствительность!$D$20)*IFERROR(LOOKUP(Предпосылки!$H$203,$C$13:$C$15,BJ$13:BJ$15),1)</f>
        <v>0</v>
      </c>
      <c s="125">
        <f>Предпосылки!BJ$230*Предпосылки!$F270*Продажи!BK35*BK$19*(1+Чувствительность!$D$20)*IFERROR(LOOKUP(Предпосылки!$H$203,$C$13:$C$15,BK$13:BK$15),1)</f>
        <v>0</v>
      </c>
      <c s="125">
        <f>Предпосылки!BK$230*Предпосылки!$F270*Продажи!BL35*BL$19*(1+Чувствительность!$D$20)*IFERROR(LOOKUP(Предпосылки!$H$203,$C$13:$C$15,BL$13:BL$15),1)</f>
        <v>0</v>
      </c>
      <c s="125">
        <f>Предпосылки!BL$230*Предпосылки!$F270*Продажи!BM35*BM$19*(1+Чувствительность!$D$20)*IFERROR(LOOKUP(Предпосылки!$H$203,$C$13:$C$15,BM$13:BM$15),1)</f>
        <v>0</v>
      </c>
    </row>
    <row r="87" spans="2:65" ht="15" customHeight="1">
      <c r="B87" s="12" t="str">
        <f t="shared" si="71"/>
        <v>Продукт 19</v>
      </c>
      <c s="124" t="str">
        <f t="shared" si="70"/>
        <v>тыс. руб.</v>
      </c>
      <c s="276">
        <f t="shared" si="72"/>
        <v>0</v>
      </c>
      <c s="125">
        <f>Предпосылки!D$230*Предпосылки!$F271*Продажи!E36*E$19*(1+Чувствительность!$D$20)*IFERROR(LOOKUP(Предпосылки!$H$203,$C$13:$C$15,E$13:E$15),1)</f>
        <v>0</v>
      </c>
      <c s="125">
        <f>Предпосылки!E$230*Предпосылки!$F271*Продажи!F36*F$19*(1+Чувствительность!$D$20)*IFERROR(LOOKUP(Предпосылки!$H$203,$C$13:$C$15,F$13:F$15),1)</f>
        <v>0</v>
      </c>
      <c s="125">
        <f>Предпосылки!F$230*Предпосылки!$F271*Продажи!G36*G$19*(1+Чувствительность!$D$20)*IFERROR(LOOKUP(Предпосылки!$H$203,$C$13:$C$15,G$13:G$15),1)</f>
        <v>0</v>
      </c>
      <c s="125">
        <f>Предпосылки!G$230*Предпосылки!$F271*Продажи!H36*H$19*(1+Чувствительность!$D$20)*IFERROR(LOOKUP(Предпосылки!$H$203,$C$13:$C$15,H$13:H$15),1)</f>
        <v>0</v>
      </c>
      <c s="125">
        <f>Предпосылки!H$230*Предпосылки!$F271*Продажи!I36*I$19*(1+Чувствительность!$D$20)*IFERROR(LOOKUP(Предпосылки!$H$203,$C$13:$C$15,I$13:I$15),1)</f>
        <v>0</v>
      </c>
      <c s="125">
        <f>Предпосылки!I$230*Предпосылки!$F271*Продажи!J36*J$19*(1+Чувствительность!$D$20)*IFERROR(LOOKUP(Предпосылки!$H$203,$C$13:$C$15,J$13:J$15),1)</f>
        <v>0</v>
      </c>
      <c s="125">
        <f>Предпосылки!J$230*Предпосылки!$F271*Продажи!K36*K$19*(1+Чувствительность!$D$20)*IFERROR(LOOKUP(Предпосылки!$H$203,$C$13:$C$15,K$13:K$15),1)</f>
        <v>0</v>
      </c>
      <c s="125">
        <f>Предпосылки!K$230*Предпосылки!$F271*Продажи!L36*L$19*(1+Чувствительность!$D$20)*IFERROR(LOOKUP(Предпосылки!$H$203,$C$13:$C$15,L$13:L$15),1)</f>
        <v>0</v>
      </c>
      <c s="125">
        <f>Предпосылки!L$230*Предпосылки!$F271*Продажи!M36*M$19*(1+Чувствительность!$D$20)*IFERROR(LOOKUP(Предпосылки!$H$203,$C$13:$C$15,M$13:M$15),1)</f>
        <v>0</v>
      </c>
      <c s="125">
        <f>Предпосылки!M$230*Предпосылки!$F271*Продажи!N36*N$19*(1+Чувствительность!$D$20)*IFERROR(LOOKUP(Предпосылки!$H$203,$C$13:$C$15,N$13:N$15),1)</f>
        <v>0</v>
      </c>
      <c s="125">
        <f>Предпосылки!N$230*Предпосылки!$F271*Продажи!O36*O$19*(1+Чувствительность!$D$20)*IFERROR(LOOKUP(Предпосылки!$H$203,$C$13:$C$15,O$13:O$15),1)</f>
        <v>0</v>
      </c>
      <c s="125">
        <f>Предпосылки!O$230*Предпосылки!$F271*Продажи!P36*P$19*(1+Чувствительность!$D$20)*IFERROR(LOOKUP(Предпосылки!$H$203,$C$13:$C$15,P$13:P$15),1)</f>
        <v>0</v>
      </c>
      <c s="125">
        <f>Предпосылки!P$230*Предпосылки!$F271*Продажи!Q36*Q$19*(1+Чувствительность!$D$20)*IFERROR(LOOKUP(Предпосылки!$H$203,$C$13:$C$15,Q$13:Q$15),1)</f>
        <v>0</v>
      </c>
      <c s="125">
        <f>Предпосылки!Q$230*Предпосылки!$F271*Продажи!R36*R$19*(1+Чувствительность!$D$20)*IFERROR(LOOKUP(Предпосылки!$H$203,$C$13:$C$15,R$13:R$15),1)</f>
        <v>0</v>
      </c>
      <c s="125">
        <f>Предпосылки!R$230*Предпосылки!$F271*Продажи!S36*S$19*(1+Чувствительность!$D$20)*IFERROR(LOOKUP(Предпосылки!$H$203,$C$13:$C$15,S$13:S$15),1)</f>
        <v>0</v>
      </c>
      <c s="125">
        <f>Предпосылки!S$230*Предпосылки!$F271*Продажи!T36*T$19*(1+Чувствительность!$D$20)*IFERROR(LOOKUP(Предпосылки!$H$203,$C$13:$C$15,T$13:T$15),1)</f>
        <v>0</v>
      </c>
      <c s="125">
        <f>Предпосылки!T$230*Предпосылки!$F271*Продажи!U36*U$19*(1+Чувствительность!$D$20)*IFERROR(LOOKUP(Предпосылки!$H$203,$C$13:$C$15,U$13:U$15),1)</f>
        <v>0</v>
      </c>
      <c s="125">
        <f>Предпосылки!U$230*Предпосылки!$F271*Продажи!V36*V$19*(1+Чувствительность!$D$20)*IFERROR(LOOKUP(Предпосылки!$H$203,$C$13:$C$15,V$13:V$15),1)</f>
        <v>0</v>
      </c>
      <c s="125">
        <f>Предпосылки!V$230*Предпосылки!$F271*Продажи!W36*W$19*(1+Чувствительность!$D$20)*IFERROR(LOOKUP(Предпосылки!$H$203,$C$13:$C$15,W$13:W$15),1)</f>
        <v>0</v>
      </c>
      <c s="125">
        <f>Предпосылки!W$230*Предпосылки!$F271*Продажи!X36*X$19*(1+Чувствительность!$D$20)*IFERROR(LOOKUP(Предпосылки!$H$203,$C$13:$C$15,X$13:X$15),1)</f>
        <v>0</v>
      </c>
      <c s="125">
        <f>Предпосылки!X$230*Предпосылки!$F271*Продажи!Y36*Y$19*(1+Чувствительность!$D$20)*IFERROR(LOOKUP(Предпосылки!$H$203,$C$13:$C$15,Y$13:Y$15),1)</f>
        <v>0</v>
      </c>
      <c s="125">
        <f>Предпосылки!Y$230*Предпосылки!$F271*Продажи!Z36*Z$19*(1+Чувствительность!$D$20)*IFERROR(LOOKUP(Предпосылки!$H$203,$C$13:$C$15,Z$13:Z$15),1)</f>
        <v>0</v>
      </c>
      <c s="125">
        <f>Предпосылки!Z$230*Предпосылки!$F271*Продажи!AA36*AA$19*(1+Чувствительность!$D$20)*IFERROR(LOOKUP(Предпосылки!$H$203,$C$13:$C$15,AA$13:AA$15),1)</f>
        <v>0</v>
      </c>
      <c s="125">
        <f>Предпосылки!AA$230*Предпосылки!$F271*Продажи!AB36*AB$19*(1+Чувствительность!$D$20)*IFERROR(LOOKUP(Предпосылки!$H$203,$C$13:$C$15,AB$13:AB$15),1)</f>
        <v>0</v>
      </c>
      <c s="125">
        <f>Предпосылки!AB$230*Предпосылки!$F271*Продажи!AC36*AC$19*(1+Чувствительность!$D$20)*IFERROR(LOOKUP(Предпосылки!$H$203,$C$13:$C$15,AC$13:AC$15),1)</f>
        <v>0</v>
      </c>
      <c s="125">
        <f>Предпосылки!AC$230*Предпосылки!$F271*Продажи!AD36*AD$19*(1+Чувствительность!$D$20)*IFERROR(LOOKUP(Предпосылки!$H$203,$C$13:$C$15,AD$13:AD$15),1)</f>
        <v>0</v>
      </c>
      <c s="125">
        <f>Предпосылки!AD$230*Предпосылки!$F271*Продажи!AE36*AE$19*(1+Чувствительность!$D$20)*IFERROR(LOOKUP(Предпосылки!$H$203,$C$13:$C$15,AE$13:AE$15),1)</f>
        <v>0</v>
      </c>
      <c s="125">
        <f>Предпосылки!AE$230*Предпосылки!$F271*Продажи!AF36*AF$19*(1+Чувствительность!$D$20)*IFERROR(LOOKUP(Предпосылки!$H$203,$C$13:$C$15,AF$13:AF$15),1)</f>
        <v>0</v>
      </c>
      <c s="125">
        <f>Предпосылки!AF$230*Предпосылки!$F271*Продажи!AG36*AG$19*(1+Чувствительность!$D$20)*IFERROR(LOOKUP(Предпосылки!$H$203,$C$13:$C$15,AG$13:AG$15),1)</f>
        <v>0</v>
      </c>
      <c s="125">
        <f>Предпосылки!AG$230*Предпосылки!$F271*Продажи!AH36*AH$19*(1+Чувствительность!$D$20)*IFERROR(LOOKUP(Предпосылки!$H$203,$C$13:$C$15,AH$13:AH$15),1)</f>
        <v>0</v>
      </c>
      <c s="125">
        <f>Предпосылки!AH$230*Предпосылки!$F271*Продажи!AI36*AI$19*(1+Чувствительность!$D$20)*IFERROR(LOOKUP(Предпосылки!$H$203,$C$13:$C$15,AI$13:AI$15),1)</f>
        <v>0</v>
      </c>
      <c s="125">
        <f>Предпосылки!AI$230*Предпосылки!$F271*Продажи!AJ36*AJ$19*(1+Чувствительность!$D$20)*IFERROR(LOOKUP(Предпосылки!$H$203,$C$13:$C$15,AJ$13:AJ$15),1)</f>
        <v>0</v>
      </c>
      <c s="125">
        <f>Предпосылки!AJ$230*Предпосылки!$F271*Продажи!AK36*AK$19*(1+Чувствительность!$D$20)*IFERROR(LOOKUP(Предпосылки!$H$203,$C$13:$C$15,AK$13:AK$15),1)</f>
        <v>0</v>
      </c>
      <c s="125">
        <f>Предпосылки!AK$230*Предпосылки!$F271*Продажи!AL36*AL$19*(1+Чувствительность!$D$20)*IFERROR(LOOKUP(Предпосылки!$H$203,$C$13:$C$15,AL$13:AL$15),1)</f>
        <v>0</v>
      </c>
      <c s="125">
        <f>Предпосылки!AL$230*Предпосылки!$F271*Продажи!AM36*AM$19*(1+Чувствительность!$D$20)*IFERROR(LOOKUP(Предпосылки!$H$203,$C$13:$C$15,AM$13:AM$15),1)</f>
        <v>0</v>
      </c>
      <c s="125">
        <f>Предпосылки!AM$230*Предпосылки!$F271*Продажи!AN36*AN$19*(1+Чувствительность!$D$20)*IFERROR(LOOKUP(Предпосылки!$H$203,$C$13:$C$15,AN$13:AN$15),1)</f>
        <v>0</v>
      </c>
      <c s="125">
        <f>Предпосылки!AN$230*Предпосылки!$F271*Продажи!AO36*AO$19*(1+Чувствительность!$D$20)*IFERROR(LOOKUP(Предпосылки!$H$203,$C$13:$C$15,AO$13:AO$15),1)</f>
        <v>0</v>
      </c>
      <c s="125">
        <f>Предпосылки!AO$230*Предпосылки!$F271*Продажи!AP36*AP$19*(1+Чувствительность!$D$20)*IFERROR(LOOKUP(Предпосылки!$H$203,$C$13:$C$15,AP$13:AP$15),1)</f>
        <v>0</v>
      </c>
      <c s="125">
        <f>Предпосылки!AP$230*Предпосылки!$F271*Продажи!AQ36*AQ$19*(1+Чувствительность!$D$20)*IFERROR(LOOKUP(Предпосылки!$H$203,$C$13:$C$15,AQ$13:AQ$15),1)</f>
        <v>0</v>
      </c>
      <c s="125">
        <f>Предпосылки!AQ$230*Предпосылки!$F271*Продажи!AR36*AR$19*(1+Чувствительность!$D$20)*IFERROR(LOOKUP(Предпосылки!$H$203,$C$13:$C$15,AR$13:AR$15),1)</f>
        <v>0</v>
      </c>
      <c s="125">
        <f>Предпосылки!AR$230*Предпосылки!$F271*Продажи!AS36*AS$19*(1+Чувствительность!$D$20)*IFERROR(LOOKUP(Предпосылки!$H$203,$C$13:$C$15,AS$13:AS$15),1)</f>
        <v>0</v>
      </c>
      <c s="125">
        <f>Предпосылки!AS$230*Предпосылки!$F271*Продажи!AT36*AT$19*(1+Чувствительность!$D$20)*IFERROR(LOOKUP(Предпосылки!$H$203,$C$13:$C$15,AT$13:AT$15),1)</f>
        <v>0</v>
      </c>
      <c s="125">
        <f>Предпосылки!AT$230*Предпосылки!$F271*Продажи!AU36*AU$19*(1+Чувствительность!$D$20)*IFERROR(LOOKUP(Предпосылки!$H$203,$C$13:$C$15,AU$13:AU$15),1)</f>
        <v>0</v>
      </c>
      <c s="125">
        <f>Предпосылки!AU$230*Предпосылки!$F271*Продажи!AV36*AV$19*(1+Чувствительность!$D$20)*IFERROR(LOOKUP(Предпосылки!$H$203,$C$13:$C$15,AV$13:AV$15),1)</f>
        <v>0</v>
      </c>
      <c s="125">
        <f>Предпосылки!AV$230*Предпосылки!$F271*Продажи!AW36*AW$19*(1+Чувствительность!$D$20)*IFERROR(LOOKUP(Предпосылки!$H$203,$C$13:$C$15,AW$13:AW$15),1)</f>
        <v>0</v>
      </c>
      <c s="125">
        <f>Предпосылки!AW$230*Предпосылки!$F271*Продажи!AX36*AX$19*(1+Чувствительность!$D$20)*IFERROR(LOOKUP(Предпосылки!$H$203,$C$13:$C$15,AX$13:AX$15),1)</f>
        <v>0</v>
      </c>
      <c s="125">
        <f>Предпосылки!AX$230*Предпосылки!$F271*Продажи!AY36*AY$19*(1+Чувствительность!$D$20)*IFERROR(LOOKUP(Предпосылки!$H$203,$C$13:$C$15,AY$13:AY$15),1)</f>
        <v>0</v>
      </c>
      <c s="125">
        <f>Предпосылки!AY$230*Предпосылки!$F271*Продажи!AZ36*AZ$19*(1+Чувствительность!$D$20)*IFERROR(LOOKUP(Предпосылки!$H$203,$C$13:$C$15,AZ$13:AZ$15),1)</f>
        <v>0</v>
      </c>
      <c s="125">
        <f>Предпосылки!AZ$230*Предпосылки!$F271*Продажи!BA36*BA$19*(1+Чувствительность!$D$20)*IFERROR(LOOKUP(Предпосылки!$H$203,$C$13:$C$15,BA$13:BA$15),1)</f>
        <v>0</v>
      </c>
      <c s="125">
        <f>Предпосылки!BA$230*Предпосылки!$F271*Продажи!BB36*BB$19*(1+Чувствительность!$D$20)*IFERROR(LOOKUP(Предпосылки!$H$203,$C$13:$C$15,BB$13:BB$15),1)</f>
        <v>0</v>
      </c>
      <c s="125">
        <f>Предпосылки!BB$230*Предпосылки!$F271*Продажи!BC36*BC$19*(1+Чувствительность!$D$20)*IFERROR(LOOKUP(Предпосылки!$H$203,$C$13:$C$15,BC$13:BC$15),1)</f>
        <v>0</v>
      </c>
      <c s="125">
        <f>Предпосылки!BC$230*Предпосылки!$F271*Продажи!BD36*BD$19*(1+Чувствительность!$D$20)*IFERROR(LOOKUP(Предпосылки!$H$203,$C$13:$C$15,BD$13:BD$15),1)</f>
        <v>0</v>
      </c>
      <c s="125">
        <f>Предпосылки!BD$230*Предпосылки!$F271*Продажи!BE36*BE$19*(1+Чувствительность!$D$20)*IFERROR(LOOKUP(Предпосылки!$H$203,$C$13:$C$15,BE$13:BE$15),1)</f>
        <v>0</v>
      </c>
      <c s="125">
        <f>Предпосылки!BE$230*Предпосылки!$F271*Продажи!BF36*BF$19*(1+Чувствительность!$D$20)*IFERROR(LOOKUP(Предпосылки!$H$203,$C$13:$C$15,BF$13:BF$15),1)</f>
        <v>0</v>
      </c>
      <c s="125">
        <f>Предпосылки!BF$230*Предпосылки!$F271*Продажи!BG36*BG$19*(1+Чувствительность!$D$20)*IFERROR(LOOKUP(Предпосылки!$H$203,$C$13:$C$15,BG$13:BG$15),1)</f>
        <v>0</v>
      </c>
      <c s="125">
        <f>Предпосылки!BG$230*Предпосылки!$F271*Продажи!BH36*BH$19*(1+Чувствительность!$D$20)*IFERROR(LOOKUP(Предпосылки!$H$203,$C$13:$C$15,BH$13:BH$15),1)</f>
        <v>0</v>
      </c>
      <c s="125">
        <f>Предпосылки!BH$230*Предпосылки!$F271*Продажи!BI36*BI$19*(1+Чувствительность!$D$20)*IFERROR(LOOKUP(Предпосылки!$H$203,$C$13:$C$15,BI$13:BI$15),1)</f>
        <v>0</v>
      </c>
      <c s="125">
        <f>Предпосылки!BI$230*Предпосылки!$F271*Продажи!BJ36*BJ$19*(1+Чувствительность!$D$20)*IFERROR(LOOKUP(Предпосылки!$H$203,$C$13:$C$15,BJ$13:BJ$15),1)</f>
        <v>0</v>
      </c>
      <c s="125">
        <f>Предпосылки!BJ$230*Предпосылки!$F271*Продажи!BK36*BK$19*(1+Чувствительность!$D$20)*IFERROR(LOOKUP(Предпосылки!$H$203,$C$13:$C$15,BK$13:BK$15),1)</f>
        <v>0</v>
      </c>
      <c s="125">
        <f>Предпосылки!BK$230*Предпосылки!$F271*Продажи!BL36*BL$19*(1+Чувствительность!$D$20)*IFERROR(LOOKUP(Предпосылки!$H$203,$C$13:$C$15,BL$13:BL$15),1)</f>
        <v>0</v>
      </c>
      <c s="125">
        <f>Предпосылки!BL$230*Предпосылки!$F271*Продажи!BM36*BM$19*(1+Чувствительность!$D$20)*IFERROR(LOOKUP(Предпосылки!$H$203,$C$13:$C$15,BM$13:BM$15),1)</f>
        <v>0</v>
      </c>
    </row>
    <row r="88" spans="2:65" ht="15" customHeight="1">
      <c r="B88" s="12" t="str">
        <f t="shared" si="71"/>
        <v>Продукт 20</v>
      </c>
      <c s="124" t="str">
        <f t="shared" si="70"/>
        <v>тыс. руб.</v>
      </c>
      <c s="276">
        <f t="shared" si="72"/>
        <v>0</v>
      </c>
      <c s="125">
        <f>Предпосылки!D$230*Предпосылки!$F272*Продажи!E37*E$19*(1+Чувствительность!$D$20)*IFERROR(LOOKUP(Предпосылки!$H$203,$C$13:$C$15,E$13:E$15),1)</f>
        <v>0</v>
      </c>
      <c s="125">
        <f>Предпосылки!E$230*Предпосылки!$F272*Продажи!F37*F$19*(1+Чувствительность!$D$20)*IFERROR(LOOKUP(Предпосылки!$H$203,$C$13:$C$15,F$13:F$15),1)</f>
        <v>0</v>
      </c>
      <c s="125">
        <f>Предпосылки!F$230*Предпосылки!$F272*Продажи!G37*G$19*(1+Чувствительность!$D$20)*IFERROR(LOOKUP(Предпосылки!$H$203,$C$13:$C$15,G$13:G$15),1)</f>
        <v>0</v>
      </c>
      <c s="125">
        <f>Предпосылки!G$230*Предпосылки!$F272*Продажи!H37*H$19*(1+Чувствительность!$D$20)*IFERROR(LOOKUP(Предпосылки!$H$203,$C$13:$C$15,H$13:H$15),1)</f>
        <v>0</v>
      </c>
      <c s="125">
        <f>Предпосылки!H$230*Предпосылки!$F272*Продажи!I37*I$19*(1+Чувствительность!$D$20)*IFERROR(LOOKUP(Предпосылки!$H$203,$C$13:$C$15,I$13:I$15),1)</f>
        <v>0</v>
      </c>
      <c s="125">
        <f>Предпосылки!I$230*Предпосылки!$F272*Продажи!J37*J$19*(1+Чувствительность!$D$20)*IFERROR(LOOKUP(Предпосылки!$H$203,$C$13:$C$15,J$13:J$15),1)</f>
        <v>0</v>
      </c>
      <c s="125">
        <f>Предпосылки!J$230*Предпосылки!$F272*Продажи!K37*K$19*(1+Чувствительность!$D$20)*IFERROR(LOOKUP(Предпосылки!$H$203,$C$13:$C$15,K$13:K$15),1)</f>
        <v>0</v>
      </c>
      <c s="125">
        <f>Предпосылки!K$230*Предпосылки!$F272*Продажи!L37*L$19*(1+Чувствительность!$D$20)*IFERROR(LOOKUP(Предпосылки!$H$203,$C$13:$C$15,L$13:L$15),1)</f>
        <v>0</v>
      </c>
      <c s="125">
        <f>Предпосылки!L$230*Предпосылки!$F272*Продажи!M37*M$19*(1+Чувствительность!$D$20)*IFERROR(LOOKUP(Предпосылки!$H$203,$C$13:$C$15,M$13:M$15),1)</f>
        <v>0</v>
      </c>
      <c s="125">
        <f>Предпосылки!M$230*Предпосылки!$F272*Продажи!N37*N$19*(1+Чувствительность!$D$20)*IFERROR(LOOKUP(Предпосылки!$H$203,$C$13:$C$15,N$13:N$15),1)</f>
        <v>0</v>
      </c>
      <c s="125">
        <f>Предпосылки!N$230*Предпосылки!$F272*Продажи!O37*O$19*(1+Чувствительность!$D$20)*IFERROR(LOOKUP(Предпосылки!$H$203,$C$13:$C$15,O$13:O$15),1)</f>
        <v>0</v>
      </c>
      <c s="125">
        <f>Предпосылки!O$230*Предпосылки!$F272*Продажи!P37*P$19*(1+Чувствительность!$D$20)*IFERROR(LOOKUP(Предпосылки!$H$203,$C$13:$C$15,P$13:P$15),1)</f>
        <v>0</v>
      </c>
      <c s="125">
        <f>Предпосылки!P$230*Предпосылки!$F272*Продажи!Q37*Q$19*(1+Чувствительность!$D$20)*IFERROR(LOOKUP(Предпосылки!$H$203,$C$13:$C$15,Q$13:Q$15),1)</f>
        <v>0</v>
      </c>
      <c s="125">
        <f>Предпосылки!Q$230*Предпосылки!$F272*Продажи!R37*R$19*(1+Чувствительность!$D$20)*IFERROR(LOOKUP(Предпосылки!$H$203,$C$13:$C$15,R$13:R$15),1)</f>
        <v>0</v>
      </c>
      <c s="125">
        <f>Предпосылки!R$230*Предпосылки!$F272*Продажи!S37*S$19*(1+Чувствительность!$D$20)*IFERROR(LOOKUP(Предпосылки!$H$203,$C$13:$C$15,S$13:S$15),1)</f>
        <v>0</v>
      </c>
      <c s="125">
        <f>Предпосылки!S$230*Предпосылки!$F272*Продажи!T37*T$19*(1+Чувствительность!$D$20)*IFERROR(LOOKUP(Предпосылки!$H$203,$C$13:$C$15,T$13:T$15),1)</f>
        <v>0</v>
      </c>
      <c s="125">
        <f>Предпосылки!T$230*Предпосылки!$F272*Продажи!U37*U$19*(1+Чувствительность!$D$20)*IFERROR(LOOKUP(Предпосылки!$H$203,$C$13:$C$15,U$13:U$15),1)</f>
        <v>0</v>
      </c>
      <c s="125">
        <f>Предпосылки!U$230*Предпосылки!$F272*Продажи!V37*V$19*(1+Чувствительность!$D$20)*IFERROR(LOOKUP(Предпосылки!$H$203,$C$13:$C$15,V$13:V$15),1)</f>
        <v>0</v>
      </c>
      <c s="125">
        <f>Предпосылки!V$230*Предпосылки!$F272*Продажи!W37*W$19*(1+Чувствительность!$D$20)*IFERROR(LOOKUP(Предпосылки!$H$203,$C$13:$C$15,W$13:W$15),1)</f>
        <v>0</v>
      </c>
      <c s="125">
        <f>Предпосылки!W$230*Предпосылки!$F272*Продажи!X37*X$19*(1+Чувствительность!$D$20)*IFERROR(LOOKUP(Предпосылки!$H$203,$C$13:$C$15,X$13:X$15),1)</f>
        <v>0</v>
      </c>
      <c s="125">
        <f>Предпосылки!X$230*Предпосылки!$F272*Продажи!Y37*Y$19*(1+Чувствительность!$D$20)*IFERROR(LOOKUP(Предпосылки!$H$203,$C$13:$C$15,Y$13:Y$15),1)</f>
        <v>0</v>
      </c>
      <c s="125">
        <f>Предпосылки!Y$230*Предпосылки!$F272*Продажи!Z37*Z$19*(1+Чувствительность!$D$20)*IFERROR(LOOKUP(Предпосылки!$H$203,$C$13:$C$15,Z$13:Z$15),1)</f>
        <v>0</v>
      </c>
      <c s="125">
        <f>Предпосылки!Z$230*Предпосылки!$F272*Продажи!AA37*AA$19*(1+Чувствительность!$D$20)*IFERROR(LOOKUP(Предпосылки!$H$203,$C$13:$C$15,AA$13:AA$15),1)</f>
        <v>0</v>
      </c>
      <c s="125">
        <f>Предпосылки!AA$230*Предпосылки!$F272*Продажи!AB37*AB$19*(1+Чувствительность!$D$20)*IFERROR(LOOKUP(Предпосылки!$H$203,$C$13:$C$15,AB$13:AB$15),1)</f>
        <v>0</v>
      </c>
      <c s="125">
        <f>Предпосылки!AB$230*Предпосылки!$F272*Продажи!AC37*AC$19*(1+Чувствительность!$D$20)*IFERROR(LOOKUP(Предпосылки!$H$203,$C$13:$C$15,AC$13:AC$15),1)</f>
        <v>0</v>
      </c>
      <c s="125">
        <f>Предпосылки!AC$230*Предпосылки!$F272*Продажи!AD37*AD$19*(1+Чувствительность!$D$20)*IFERROR(LOOKUP(Предпосылки!$H$203,$C$13:$C$15,AD$13:AD$15),1)</f>
        <v>0</v>
      </c>
      <c s="125">
        <f>Предпосылки!AD$230*Предпосылки!$F272*Продажи!AE37*AE$19*(1+Чувствительность!$D$20)*IFERROR(LOOKUP(Предпосылки!$H$203,$C$13:$C$15,AE$13:AE$15),1)</f>
        <v>0</v>
      </c>
      <c s="125">
        <f>Предпосылки!AE$230*Предпосылки!$F272*Продажи!AF37*AF$19*(1+Чувствительность!$D$20)*IFERROR(LOOKUP(Предпосылки!$H$203,$C$13:$C$15,AF$13:AF$15),1)</f>
        <v>0</v>
      </c>
      <c s="125">
        <f>Предпосылки!AF$230*Предпосылки!$F272*Продажи!AG37*AG$19*(1+Чувствительность!$D$20)*IFERROR(LOOKUP(Предпосылки!$H$203,$C$13:$C$15,AG$13:AG$15),1)</f>
        <v>0</v>
      </c>
      <c s="125">
        <f>Предпосылки!AG$230*Предпосылки!$F272*Продажи!AH37*AH$19*(1+Чувствительность!$D$20)*IFERROR(LOOKUP(Предпосылки!$H$203,$C$13:$C$15,AH$13:AH$15),1)</f>
        <v>0</v>
      </c>
      <c s="125">
        <f>Предпосылки!AH$230*Предпосылки!$F272*Продажи!AI37*AI$19*(1+Чувствительность!$D$20)*IFERROR(LOOKUP(Предпосылки!$H$203,$C$13:$C$15,AI$13:AI$15),1)</f>
        <v>0</v>
      </c>
      <c s="125">
        <f>Предпосылки!AI$230*Предпосылки!$F272*Продажи!AJ37*AJ$19*(1+Чувствительность!$D$20)*IFERROR(LOOKUP(Предпосылки!$H$203,$C$13:$C$15,AJ$13:AJ$15),1)</f>
        <v>0</v>
      </c>
      <c s="125">
        <f>Предпосылки!AJ$230*Предпосылки!$F272*Продажи!AK37*AK$19*(1+Чувствительность!$D$20)*IFERROR(LOOKUP(Предпосылки!$H$203,$C$13:$C$15,AK$13:AK$15),1)</f>
        <v>0</v>
      </c>
      <c s="125">
        <f>Предпосылки!AK$230*Предпосылки!$F272*Продажи!AL37*AL$19*(1+Чувствительность!$D$20)*IFERROR(LOOKUP(Предпосылки!$H$203,$C$13:$C$15,AL$13:AL$15),1)</f>
        <v>0</v>
      </c>
      <c s="125">
        <f>Предпосылки!AL$230*Предпосылки!$F272*Продажи!AM37*AM$19*(1+Чувствительность!$D$20)*IFERROR(LOOKUP(Предпосылки!$H$203,$C$13:$C$15,AM$13:AM$15),1)</f>
        <v>0</v>
      </c>
      <c s="125">
        <f>Предпосылки!AM$230*Предпосылки!$F272*Продажи!AN37*AN$19*(1+Чувствительность!$D$20)*IFERROR(LOOKUP(Предпосылки!$H$203,$C$13:$C$15,AN$13:AN$15),1)</f>
        <v>0</v>
      </c>
      <c s="125">
        <f>Предпосылки!AN$230*Предпосылки!$F272*Продажи!AO37*AO$19*(1+Чувствительность!$D$20)*IFERROR(LOOKUP(Предпосылки!$H$203,$C$13:$C$15,AO$13:AO$15),1)</f>
        <v>0</v>
      </c>
      <c s="125">
        <f>Предпосылки!AO$230*Предпосылки!$F272*Продажи!AP37*AP$19*(1+Чувствительность!$D$20)*IFERROR(LOOKUP(Предпосылки!$H$203,$C$13:$C$15,AP$13:AP$15),1)</f>
        <v>0</v>
      </c>
      <c s="125">
        <f>Предпосылки!AP$230*Предпосылки!$F272*Продажи!AQ37*AQ$19*(1+Чувствительность!$D$20)*IFERROR(LOOKUP(Предпосылки!$H$203,$C$13:$C$15,AQ$13:AQ$15),1)</f>
        <v>0</v>
      </c>
      <c s="125">
        <f>Предпосылки!AQ$230*Предпосылки!$F272*Продажи!AR37*AR$19*(1+Чувствительность!$D$20)*IFERROR(LOOKUP(Предпосылки!$H$203,$C$13:$C$15,AR$13:AR$15),1)</f>
        <v>0</v>
      </c>
      <c s="125">
        <f>Предпосылки!AR$230*Предпосылки!$F272*Продажи!AS37*AS$19*(1+Чувствительность!$D$20)*IFERROR(LOOKUP(Предпосылки!$H$203,$C$13:$C$15,AS$13:AS$15),1)</f>
        <v>0</v>
      </c>
      <c s="125">
        <f>Предпосылки!AS$230*Предпосылки!$F272*Продажи!AT37*AT$19*(1+Чувствительность!$D$20)*IFERROR(LOOKUP(Предпосылки!$H$203,$C$13:$C$15,AT$13:AT$15),1)</f>
        <v>0</v>
      </c>
      <c s="125">
        <f>Предпосылки!AT$230*Предпосылки!$F272*Продажи!AU37*AU$19*(1+Чувствительность!$D$20)*IFERROR(LOOKUP(Предпосылки!$H$203,$C$13:$C$15,AU$13:AU$15),1)</f>
        <v>0</v>
      </c>
      <c s="125">
        <f>Предпосылки!AU$230*Предпосылки!$F272*Продажи!AV37*AV$19*(1+Чувствительность!$D$20)*IFERROR(LOOKUP(Предпосылки!$H$203,$C$13:$C$15,AV$13:AV$15),1)</f>
        <v>0</v>
      </c>
      <c s="125">
        <f>Предпосылки!AV$230*Предпосылки!$F272*Продажи!AW37*AW$19*(1+Чувствительность!$D$20)*IFERROR(LOOKUP(Предпосылки!$H$203,$C$13:$C$15,AW$13:AW$15),1)</f>
        <v>0</v>
      </c>
      <c s="125">
        <f>Предпосылки!AW$230*Предпосылки!$F272*Продажи!AX37*AX$19*(1+Чувствительность!$D$20)*IFERROR(LOOKUP(Предпосылки!$H$203,$C$13:$C$15,AX$13:AX$15),1)</f>
        <v>0</v>
      </c>
      <c s="125">
        <f>Предпосылки!AX$230*Предпосылки!$F272*Продажи!AY37*AY$19*(1+Чувствительность!$D$20)*IFERROR(LOOKUP(Предпосылки!$H$203,$C$13:$C$15,AY$13:AY$15),1)</f>
        <v>0</v>
      </c>
      <c s="125">
        <f>Предпосылки!AY$230*Предпосылки!$F272*Продажи!AZ37*AZ$19*(1+Чувствительность!$D$20)*IFERROR(LOOKUP(Предпосылки!$H$203,$C$13:$C$15,AZ$13:AZ$15),1)</f>
        <v>0</v>
      </c>
      <c s="125">
        <f>Предпосылки!AZ$230*Предпосылки!$F272*Продажи!BA37*BA$19*(1+Чувствительность!$D$20)*IFERROR(LOOKUP(Предпосылки!$H$203,$C$13:$C$15,BA$13:BA$15),1)</f>
        <v>0</v>
      </c>
      <c s="125">
        <f>Предпосылки!BA$230*Предпосылки!$F272*Продажи!BB37*BB$19*(1+Чувствительность!$D$20)*IFERROR(LOOKUP(Предпосылки!$H$203,$C$13:$C$15,BB$13:BB$15),1)</f>
        <v>0</v>
      </c>
      <c s="125">
        <f>Предпосылки!BB$230*Предпосылки!$F272*Продажи!BC37*BC$19*(1+Чувствительность!$D$20)*IFERROR(LOOKUP(Предпосылки!$H$203,$C$13:$C$15,BC$13:BC$15),1)</f>
        <v>0</v>
      </c>
      <c s="125">
        <f>Предпосылки!BC$230*Предпосылки!$F272*Продажи!BD37*BD$19*(1+Чувствительность!$D$20)*IFERROR(LOOKUP(Предпосылки!$H$203,$C$13:$C$15,BD$13:BD$15),1)</f>
        <v>0</v>
      </c>
      <c s="125">
        <f>Предпосылки!BD$230*Предпосылки!$F272*Продажи!BE37*BE$19*(1+Чувствительность!$D$20)*IFERROR(LOOKUP(Предпосылки!$H$203,$C$13:$C$15,BE$13:BE$15),1)</f>
        <v>0</v>
      </c>
      <c s="125">
        <f>Предпосылки!BE$230*Предпосылки!$F272*Продажи!BF37*BF$19*(1+Чувствительность!$D$20)*IFERROR(LOOKUP(Предпосылки!$H$203,$C$13:$C$15,BF$13:BF$15),1)</f>
        <v>0</v>
      </c>
      <c s="125">
        <f>Предпосылки!BF$230*Предпосылки!$F272*Продажи!BG37*BG$19*(1+Чувствительность!$D$20)*IFERROR(LOOKUP(Предпосылки!$H$203,$C$13:$C$15,BG$13:BG$15),1)</f>
        <v>0</v>
      </c>
      <c s="125">
        <f>Предпосылки!BG$230*Предпосылки!$F272*Продажи!BH37*BH$19*(1+Чувствительность!$D$20)*IFERROR(LOOKUP(Предпосылки!$H$203,$C$13:$C$15,BH$13:BH$15),1)</f>
        <v>0</v>
      </c>
      <c s="125">
        <f>Предпосылки!BH$230*Предпосылки!$F272*Продажи!BI37*BI$19*(1+Чувствительность!$D$20)*IFERROR(LOOKUP(Предпосылки!$H$203,$C$13:$C$15,BI$13:BI$15),1)</f>
        <v>0</v>
      </c>
      <c s="125">
        <f>Предпосылки!BI$230*Предпосылки!$F272*Продажи!BJ37*BJ$19*(1+Чувствительность!$D$20)*IFERROR(LOOKUP(Предпосылки!$H$203,$C$13:$C$15,BJ$13:BJ$15),1)</f>
        <v>0</v>
      </c>
      <c s="125">
        <f>Предпосылки!BJ$230*Предпосылки!$F272*Продажи!BK37*BK$19*(1+Чувствительность!$D$20)*IFERROR(LOOKUP(Предпосылки!$H$203,$C$13:$C$15,BK$13:BK$15),1)</f>
        <v>0</v>
      </c>
      <c s="125">
        <f>Предпосылки!BK$230*Предпосылки!$F272*Продажи!BL37*BL$19*(1+Чувствительность!$D$20)*IFERROR(LOOKUP(Предпосылки!$H$203,$C$13:$C$15,BL$13:BL$15),1)</f>
        <v>0</v>
      </c>
      <c s="125">
        <f>Предпосылки!BL$230*Предпосылки!$F272*Продажи!BM37*BM$19*(1+Чувствительность!$D$20)*IFERROR(LOOKUP(Предпосылки!$H$203,$C$13:$C$15,BM$13:BM$15),1)</f>
        <v>0</v>
      </c>
    </row>
    <row r="89" spans="2:65" ht="15" customHeight="1">
      <c r="B89" s="289" t="s">
        <v>454</v>
      </c>
      <c s="290" t="str">
        <f>Единица_измерения</f>
        <v>тыс. руб.</v>
      </c>
      <c s="291">
        <f>SUM(D69:D88)</f>
        <v>0</v>
      </c>
      <c s="276">
        <f>SUM(E69:E88)</f>
        <v>0</v>
      </c>
      <c s="276">
        <f t="shared" si="73" ref="F89:AG89">SUM(F69:F88)</f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4" ref="AH89:BM89">SUM(AH69:AH88)</f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</row>
    <row r="90" ht="15" customHeight="1"/>
    <row r="91" spans="2:69" ht="14.45">
      <c r="B91" s="25" t="str">
        <f>Предпосылки!B231</f>
        <v>Операционные затраты 4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2" spans="2:65" ht="15" customHeight="1">
      <c r="B92" s="12" t="str">
        <f>B69</f>
        <v>Продукт 1</v>
      </c>
      <c s="124" t="str">
        <f t="shared" si="75" ref="C92:C111">Единица_измерения</f>
        <v>тыс. руб.</v>
      </c>
      <c s="276">
        <f>SUM(E92:BM92)</f>
        <v>0</v>
      </c>
      <c s="125">
        <f>Предпосылки!D$231*Предпосылки!$G253*Продажи!E18*E$19*(1+Чувствительность!$D$20)*IFERROR(LOOKUP(Предпосылки!$H$204,$C$13:$C$15,E$13:E$15),1)</f>
        <v>0</v>
      </c>
      <c s="125">
        <f>Предпосылки!E$231*Предпосылки!$G253*Продажи!F18*F$19*(1+Чувствительность!$D$20)*IFERROR(LOOKUP(Предпосылки!$H$204,$C$13:$C$15,F$13:F$15),1)</f>
        <v>0</v>
      </c>
      <c s="125">
        <f>Предпосылки!F$231*Предпосылки!$G253*Продажи!G18*G$19*(1+Чувствительность!$D$20)*IFERROR(LOOKUP(Предпосылки!$H$204,$C$13:$C$15,G$13:G$15),1)</f>
        <v>0</v>
      </c>
      <c s="125">
        <f>Предпосылки!G$231*Предпосылки!$G253*Продажи!H18*H$19*(1+Чувствительность!$D$20)*IFERROR(LOOKUP(Предпосылки!$H$204,$C$13:$C$15,H$13:H$15),1)</f>
        <v>0</v>
      </c>
      <c s="125">
        <f>Предпосылки!H$231*Предпосылки!$G253*Продажи!I18*I$19*(1+Чувствительность!$D$20)*IFERROR(LOOKUP(Предпосылки!$H$204,$C$13:$C$15,I$13:I$15),1)</f>
        <v>0</v>
      </c>
      <c s="125">
        <f>Предпосылки!I$231*Предпосылки!$G253*Продажи!J18*J$19*(1+Чувствительность!$D$20)*IFERROR(LOOKUP(Предпосылки!$H$204,$C$13:$C$15,J$13:J$15),1)</f>
        <v>0</v>
      </c>
      <c s="125">
        <f>Предпосылки!J$231*Предпосылки!$G253*Продажи!K18*K$19*(1+Чувствительность!$D$20)*IFERROR(LOOKUP(Предпосылки!$H$204,$C$13:$C$15,K$13:K$15),1)</f>
        <v>0</v>
      </c>
      <c s="125">
        <f>Предпосылки!K$231*Предпосылки!$G253*Продажи!L18*L$19*(1+Чувствительность!$D$20)*IFERROR(LOOKUP(Предпосылки!$H$204,$C$13:$C$15,L$13:L$15),1)</f>
        <v>0</v>
      </c>
      <c s="125">
        <f>Предпосылки!L$231*Предпосылки!$G253*Продажи!M18*M$19*(1+Чувствительность!$D$20)*IFERROR(LOOKUP(Предпосылки!$H$204,$C$13:$C$15,M$13:M$15),1)</f>
        <v>0</v>
      </c>
      <c s="125">
        <f>Предпосылки!M$231*Предпосылки!$G253*Продажи!N18*N$19*(1+Чувствительность!$D$20)*IFERROR(LOOKUP(Предпосылки!$H$204,$C$13:$C$15,N$13:N$15),1)</f>
        <v>0</v>
      </c>
      <c s="125">
        <f>Предпосылки!N$231*Предпосылки!$G253*Продажи!O18*O$19*(1+Чувствительность!$D$20)*IFERROR(LOOKUP(Предпосылки!$H$204,$C$13:$C$15,O$13:O$15),1)</f>
        <v>0</v>
      </c>
      <c s="125">
        <f>Предпосылки!O$231*Предпосылки!$G253*Продажи!P18*P$19*(1+Чувствительность!$D$20)*IFERROR(LOOKUP(Предпосылки!$H$204,$C$13:$C$15,P$13:P$15),1)</f>
        <v>0</v>
      </c>
      <c s="125">
        <f>Предпосылки!P$231*Предпосылки!$G253*Продажи!Q18*Q$19*(1+Чувствительность!$D$20)*IFERROR(LOOKUP(Предпосылки!$H$204,$C$13:$C$15,Q$13:Q$15),1)</f>
        <v>0</v>
      </c>
      <c s="125">
        <f>Предпосылки!Q$231*Предпосылки!$G253*Продажи!R18*R$19*(1+Чувствительность!$D$20)*IFERROR(LOOKUP(Предпосылки!$H$204,$C$13:$C$15,R$13:R$15),1)</f>
        <v>0</v>
      </c>
      <c s="125">
        <f>Предпосылки!R$231*Предпосылки!$G253*Продажи!S18*S$19*(1+Чувствительность!$D$20)*IFERROR(LOOKUP(Предпосылки!$H$204,$C$13:$C$15,S$13:S$15),1)</f>
        <v>0</v>
      </c>
      <c s="125">
        <f>Предпосылки!S$231*Предпосылки!$G253*Продажи!T18*T$19*(1+Чувствительность!$D$20)*IFERROR(LOOKUP(Предпосылки!$H$204,$C$13:$C$15,T$13:T$15),1)</f>
        <v>0</v>
      </c>
      <c s="125">
        <f>Предпосылки!T$231*Предпосылки!$G253*Продажи!U18*U$19*(1+Чувствительность!$D$20)*IFERROR(LOOKUP(Предпосылки!$H$204,$C$13:$C$15,U$13:U$15),1)</f>
        <v>0</v>
      </c>
      <c s="125">
        <f>Предпосылки!U$231*Предпосылки!$G253*Продажи!V18*V$19*(1+Чувствительность!$D$20)*IFERROR(LOOKUP(Предпосылки!$H$204,$C$13:$C$15,V$13:V$15),1)</f>
        <v>0</v>
      </c>
      <c s="125">
        <f>Предпосылки!V$231*Предпосылки!$G253*Продажи!W18*W$19*(1+Чувствительность!$D$20)*IFERROR(LOOKUP(Предпосылки!$H$204,$C$13:$C$15,W$13:W$15),1)</f>
        <v>0</v>
      </c>
      <c s="125">
        <f>Предпосылки!W$231*Предпосылки!$G253*Продажи!X18*X$19*(1+Чувствительность!$D$20)*IFERROR(LOOKUP(Предпосылки!$H$204,$C$13:$C$15,X$13:X$15),1)</f>
        <v>0</v>
      </c>
      <c s="125">
        <f>Предпосылки!X$231*Предпосылки!$G253*Продажи!Y18*Y$19*(1+Чувствительность!$D$20)*IFERROR(LOOKUP(Предпосылки!$H$204,$C$13:$C$15,Y$13:Y$15),1)</f>
        <v>0</v>
      </c>
      <c s="125">
        <f>Предпосылки!Y$231*Предпосылки!$G253*Продажи!Z18*Z$19*(1+Чувствительность!$D$20)*IFERROR(LOOKUP(Предпосылки!$H$204,$C$13:$C$15,Z$13:Z$15),1)</f>
        <v>0</v>
      </c>
      <c s="125">
        <f>Предпосылки!Z$231*Предпосылки!$G253*Продажи!AA18*AA$19*(1+Чувствительность!$D$20)*IFERROR(LOOKUP(Предпосылки!$H$204,$C$13:$C$15,AA$13:AA$15),1)</f>
        <v>0</v>
      </c>
      <c s="125">
        <f>Предпосылки!AA$231*Предпосылки!$G253*Продажи!AB18*AB$19*(1+Чувствительность!$D$20)*IFERROR(LOOKUP(Предпосылки!$H$204,$C$13:$C$15,AB$13:AB$15),1)</f>
        <v>0</v>
      </c>
      <c s="125">
        <f>Предпосылки!AB$231*Предпосылки!$G253*Продажи!AC18*AC$19*(1+Чувствительность!$D$20)*IFERROR(LOOKUP(Предпосылки!$H$204,$C$13:$C$15,AC$13:AC$15),1)</f>
        <v>0</v>
      </c>
      <c s="125">
        <f>Предпосылки!AC$231*Предпосылки!$G253*Продажи!AD18*AD$19*(1+Чувствительность!$D$20)*IFERROR(LOOKUP(Предпосылки!$H$204,$C$13:$C$15,AD$13:AD$15),1)</f>
        <v>0</v>
      </c>
      <c s="125">
        <f>Предпосылки!AD$231*Предпосылки!$G253*Продажи!AE18*AE$19*(1+Чувствительность!$D$20)*IFERROR(LOOKUP(Предпосылки!$H$204,$C$13:$C$15,AE$13:AE$15),1)</f>
        <v>0</v>
      </c>
      <c s="125">
        <f>Предпосылки!AE$231*Предпосылки!$G253*Продажи!AF18*AF$19*(1+Чувствительность!$D$20)*IFERROR(LOOKUP(Предпосылки!$H$204,$C$13:$C$15,AF$13:AF$15),1)</f>
        <v>0</v>
      </c>
      <c s="125">
        <f>Предпосылки!AF$231*Предпосылки!$G253*Продажи!AG18*AG$19*(1+Чувствительность!$D$20)*IFERROR(LOOKUP(Предпосылки!$H$204,$C$13:$C$15,AG$13:AG$15),1)</f>
        <v>0</v>
      </c>
      <c s="125">
        <f>Предпосылки!AG$231*Предпосылки!$G253*Продажи!AH18*AH$19*(1+Чувствительность!$D$20)*IFERROR(LOOKUP(Предпосылки!$H$204,$C$13:$C$15,AH$13:AH$15),1)</f>
        <v>0</v>
      </c>
      <c s="125">
        <f>Предпосылки!AH$231*Предпосылки!$G253*Продажи!AI18*AI$19*(1+Чувствительность!$D$20)*IFERROR(LOOKUP(Предпосылки!$H$204,$C$13:$C$15,AI$13:AI$15),1)</f>
        <v>0</v>
      </c>
      <c s="125">
        <f>Предпосылки!AI$231*Предпосылки!$G253*Продажи!AJ18*AJ$19*(1+Чувствительность!$D$20)*IFERROR(LOOKUP(Предпосылки!$H$204,$C$13:$C$15,AJ$13:AJ$15),1)</f>
        <v>0</v>
      </c>
      <c s="125">
        <f>Предпосылки!AJ$231*Предпосылки!$G253*Продажи!AK18*AK$19*(1+Чувствительность!$D$20)*IFERROR(LOOKUP(Предпосылки!$H$204,$C$13:$C$15,AK$13:AK$15),1)</f>
        <v>0</v>
      </c>
      <c s="125">
        <f>Предпосылки!AK$231*Предпосылки!$G253*Продажи!AL18*AL$19*(1+Чувствительность!$D$20)*IFERROR(LOOKUP(Предпосылки!$H$204,$C$13:$C$15,AL$13:AL$15),1)</f>
        <v>0</v>
      </c>
      <c s="125">
        <f>Предпосылки!AL$231*Предпосылки!$G253*Продажи!AM18*AM$19*(1+Чувствительность!$D$20)*IFERROR(LOOKUP(Предпосылки!$H$204,$C$13:$C$15,AM$13:AM$15),1)</f>
        <v>0</v>
      </c>
      <c s="125">
        <f>Предпосылки!AM$231*Предпосылки!$G253*Продажи!AN18*AN$19*(1+Чувствительность!$D$20)*IFERROR(LOOKUP(Предпосылки!$H$204,$C$13:$C$15,AN$13:AN$15),1)</f>
        <v>0</v>
      </c>
      <c s="125">
        <f>Предпосылки!AN$231*Предпосылки!$G253*Продажи!AO18*AO$19*(1+Чувствительность!$D$20)*IFERROR(LOOKUP(Предпосылки!$H$204,$C$13:$C$15,AO$13:AO$15),1)</f>
        <v>0</v>
      </c>
      <c s="125">
        <f>Предпосылки!AO$231*Предпосылки!$G253*Продажи!AP18*AP$19*(1+Чувствительность!$D$20)*IFERROR(LOOKUP(Предпосылки!$H$204,$C$13:$C$15,AP$13:AP$15),1)</f>
        <v>0</v>
      </c>
      <c s="125">
        <f>Предпосылки!AP$231*Предпосылки!$G253*Продажи!AQ18*AQ$19*(1+Чувствительность!$D$20)*IFERROR(LOOKUP(Предпосылки!$H$204,$C$13:$C$15,AQ$13:AQ$15),1)</f>
        <v>0</v>
      </c>
      <c s="125">
        <f>Предпосылки!AQ$231*Предпосылки!$G253*Продажи!AR18*AR$19*(1+Чувствительность!$D$20)*IFERROR(LOOKUP(Предпосылки!$H$204,$C$13:$C$15,AR$13:AR$15),1)</f>
        <v>0</v>
      </c>
      <c s="125">
        <f>Предпосылки!AR$231*Предпосылки!$G253*Продажи!AS18*AS$19*(1+Чувствительность!$D$20)*IFERROR(LOOKUP(Предпосылки!$H$204,$C$13:$C$15,AS$13:AS$15),1)</f>
        <v>0</v>
      </c>
      <c s="125">
        <f>Предпосылки!AS$231*Предпосылки!$G253*Продажи!AT18*AT$19*(1+Чувствительность!$D$20)*IFERROR(LOOKUP(Предпосылки!$H$204,$C$13:$C$15,AT$13:AT$15),1)</f>
        <v>0</v>
      </c>
      <c s="125">
        <f>Предпосылки!AT$231*Предпосылки!$G253*Продажи!AU18*AU$19*(1+Чувствительность!$D$20)*IFERROR(LOOKUP(Предпосылки!$H$204,$C$13:$C$15,AU$13:AU$15),1)</f>
        <v>0</v>
      </c>
      <c s="125">
        <f>Предпосылки!AU$231*Предпосылки!$G253*Продажи!AV18*AV$19*(1+Чувствительность!$D$20)*IFERROR(LOOKUP(Предпосылки!$H$204,$C$13:$C$15,AV$13:AV$15),1)</f>
        <v>0</v>
      </c>
      <c s="125">
        <f>Предпосылки!AV$231*Предпосылки!$G253*Продажи!AW18*AW$19*(1+Чувствительность!$D$20)*IFERROR(LOOKUP(Предпосылки!$H$204,$C$13:$C$15,AW$13:AW$15),1)</f>
        <v>0</v>
      </c>
      <c s="125">
        <f>Предпосылки!AW$231*Предпосылки!$G253*Продажи!AX18*AX$19*(1+Чувствительность!$D$20)*IFERROR(LOOKUP(Предпосылки!$H$204,$C$13:$C$15,AX$13:AX$15),1)</f>
        <v>0</v>
      </c>
      <c s="125">
        <f>Предпосылки!AX$231*Предпосылки!$G253*Продажи!AY18*AY$19*(1+Чувствительность!$D$20)*IFERROR(LOOKUP(Предпосылки!$H$204,$C$13:$C$15,AY$13:AY$15),1)</f>
        <v>0</v>
      </c>
      <c s="125">
        <f>Предпосылки!AY$231*Предпосылки!$G253*Продажи!AZ18*AZ$19*(1+Чувствительность!$D$20)*IFERROR(LOOKUP(Предпосылки!$H$204,$C$13:$C$15,AZ$13:AZ$15),1)</f>
        <v>0</v>
      </c>
      <c s="125">
        <f>Предпосылки!AZ$231*Предпосылки!$G253*Продажи!BA18*BA$19*(1+Чувствительность!$D$20)*IFERROR(LOOKUP(Предпосылки!$H$204,$C$13:$C$15,BA$13:BA$15),1)</f>
        <v>0</v>
      </c>
      <c s="125">
        <f>Предпосылки!BA$231*Предпосылки!$G253*Продажи!BB18*BB$19*(1+Чувствительность!$D$20)*IFERROR(LOOKUP(Предпосылки!$H$204,$C$13:$C$15,BB$13:BB$15),1)</f>
        <v>0</v>
      </c>
      <c s="125">
        <f>Предпосылки!BB$231*Предпосылки!$G253*Продажи!BC18*BC$19*(1+Чувствительность!$D$20)*IFERROR(LOOKUP(Предпосылки!$H$204,$C$13:$C$15,BC$13:BC$15),1)</f>
        <v>0</v>
      </c>
      <c s="125">
        <f>Предпосылки!BC$231*Предпосылки!$G253*Продажи!BD18*BD$19*(1+Чувствительность!$D$20)*IFERROR(LOOKUP(Предпосылки!$H$204,$C$13:$C$15,BD$13:BD$15),1)</f>
        <v>0</v>
      </c>
      <c s="125">
        <f>Предпосылки!BD$231*Предпосылки!$G253*Продажи!BE18*BE$19*(1+Чувствительность!$D$20)*IFERROR(LOOKUP(Предпосылки!$H$204,$C$13:$C$15,BE$13:BE$15),1)</f>
        <v>0</v>
      </c>
      <c s="125">
        <f>Предпосылки!BE$231*Предпосылки!$G253*Продажи!BF18*BF$19*(1+Чувствительность!$D$20)*IFERROR(LOOKUP(Предпосылки!$H$204,$C$13:$C$15,BF$13:BF$15),1)</f>
        <v>0</v>
      </c>
      <c s="125">
        <f>Предпосылки!BF$231*Предпосылки!$G253*Продажи!BG18*BG$19*(1+Чувствительность!$D$20)*IFERROR(LOOKUP(Предпосылки!$H$204,$C$13:$C$15,BG$13:BG$15),1)</f>
        <v>0</v>
      </c>
      <c s="125">
        <f>Предпосылки!BG$231*Предпосылки!$G253*Продажи!BH18*BH$19*(1+Чувствительность!$D$20)*IFERROR(LOOKUP(Предпосылки!$H$204,$C$13:$C$15,BH$13:BH$15),1)</f>
        <v>0</v>
      </c>
      <c s="125">
        <f>Предпосылки!BH$231*Предпосылки!$G253*Продажи!BI18*BI$19*(1+Чувствительность!$D$20)*IFERROR(LOOKUP(Предпосылки!$H$204,$C$13:$C$15,BI$13:BI$15),1)</f>
        <v>0</v>
      </c>
      <c s="125">
        <f>Предпосылки!BI$231*Предпосылки!$G253*Продажи!BJ18*BJ$19*(1+Чувствительность!$D$20)*IFERROR(LOOKUP(Предпосылки!$H$204,$C$13:$C$15,BJ$13:BJ$15),1)</f>
        <v>0</v>
      </c>
      <c s="125">
        <f>Предпосылки!BJ$231*Предпосылки!$G253*Продажи!BK18*BK$19*(1+Чувствительность!$D$20)*IFERROR(LOOKUP(Предпосылки!$H$204,$C$13:$C$15,BK$13:BK$15),1)</f>
        <v>0</v>
      </c>
      <c s="125">
        <f>Предпосылки!BK$231*Предпосылки!$G253*Продажи!BL18*BL$19*(1+Чувствительность!$D$20)*IFERROR(LOOKUP(Предпосылки!$H$204,$C$13:$C$15,BL$13:BL$15),1)</f>
        <v>0</v>
      </c>
      <c s="125">
        <f>Предпосылки!BL$231*Предпосылки!$G253*Продажи!BM18*BM$19*(1+Чувствительность!$D$20)*IFERROR(LOOKUP(Предпосылки!$H$204,$C$13:$C$15,BM$13:BM$15),1)</f>
        <v>0</v>
      </c>
    </row>
    <row r="93" spans="2:65" ht="15" customHeight="1">
      <c r="B93" s="12" t="str">
        <f t="shared" si="76" ref="B93:B111">B70</f>
        <v>Продукт 2</v>
      </c>
      <c s="124" t="str">
        <f t="shared" si="75"/>
        <v>тыс. руб.</v>
      </c>
      <c s="276">
        <f t="shared" si="77" ref="D93:D111">SUM(E93:BM93)</f>
        <v>0</v>
      </c>
      <c s="125">
        <f>Предпосылки!D$231*Предпосылки!$G254*Продажи!E19*E$19*(1+Чувствительность!$D$20)*IFERROR(LOOKUP(Предпосылки!$H$204,$C$13:$C$15,E$13:E$15),1)</f>
        <v>0</v>
      </c>
      <c s="125">
        <f>Предпосылки!E$231*Предпосылки!$G254*Продажи!F19*F$19*(1+Чувствительность!$D$20)*IFERROR(LOOKUP(Предпосылки!$H$204,$C$13:$C$15,F$13:F$15),1)</f>
        <v>0</v>
      </c>
      <c s="125">
        <f>Предпосылки!F$231*Предпосылки!$G254*Продажи!G19*G$19*(1+Чувствительность!$D$20)*IFERROR(LOOKUP(Предпосылки!$H$204,$C$13:$C$15,G$13:G$15),1)</f>
        <v>0</v>
      </c>
      <c s="125">
        <f>Предпосылки!G$231*Предпосылки!$G254*Продажи!H19*H$19*(1+Чувствительность!$D$20)*IFERROR(LOOKUP(Предпосылки!$H$204,$C$13:$C$15,H$13:H$15),1)</f>
        <v>0</v>
      </c>
      <c s="125">
        <f>Предпосылки!H$231*Предпосылки!$G254*Продажи!I19*I$19*(1+Чувствительность!$D$20)*IFERROR(LOOKUP(Предпосылки!$H$204,$C$13:$C$15,I$13:I$15),1)</f>
        <v>0</v>
      </c>
      <c s="125">
        <f>Предпосылки!I$231*Предпосылки!$G254*Продажи!J19*J$19*(1+Чувствительность!$D$20)*IFERROR(LOOKUP(Предпосылки!$H$204,$C$13:$C$15,J$13:J$15),1)</f>
        <v>0</v>
      </c>
      <c s="125">
        <f>Предпосылки!J$231*Предпосылки!$G254*Продажи!K19*K$19*(1+Чувствительность!$D$20)*IFERROR(LOOKUP(Предпосылки!$H$204,$C$13:$C$15,K$13:K$15),1)</f>
        <v>0</v>
      </c>
      <c s="125">
        <f>Предпосылки!K$231*Предпосылки!$G254*Продажи!L19*L$19*(1+Чувствительность!$D$20)*IFERROR(LOOKUP(Предпосылки!$H$204,$C$13:$C$15,L$13:L$15),1)</f>
        <v>0</v>
      </c>
      <c s="125">
        <f>Предпосылки!L$231*Предпосылки!$G254*Продажи!M19*M$19*(1+Чувствительность!$D$20)*IFERROR(LOOKUP(Предпосылки!$H$204,$C$13:$C$15,M$13:M$15),1)</f>
        <v>0</v>
      </c>
      <c s="125">
        <f>Предпосылки!M$231*Предпосылки!$G254*Продажи!N19*N$19*(1+Чувствительность!$D$20)*IFERROR(LOOKUP(Предпосылки!$H$204,$C$13:$C$15,N$13:N$15),1)</f>
        <v>0</v>
      </c>
      <c s="125">
        <f>Предпосылки!N$231*Предпосылки!$G254*Продажи!O19*O$19*(1+Чувствительность!$D$20)*IFERROR(LOOKUP(Предпосылки!$H$204,$C$13:$C$15,O$13:O$15),1)</f>
        <v>0</v>
      </c>
      <c s="125">
        <f>Предпосылки!O$231*Предпосылки!$G254*Продажи!P19*P$19*(1+Чувствительность!$D$20)*IFERROR(LOOKUP(Предпосылки!$H$204,$C$13:$C$15,P$13:P$15),1)</f>
        <v>0</v>
      </c>
      <c s="125">
        <f>Предпосылки!P$231*Предпосылки!$G254*Продажи!Q19*Q$19*(1+Чувствительность!$D$20)*IFERROR(LOOKUP(Предпосылки!$H$204,$C$13:$C$15,Q$13:Q$15),1)</f>
        <v>0</v>
      </c>
      <c s="125">
        <f>Предпосылки!Q$231*Предпосылки!$G254*Продажи!R19*R$19*(1+Чувствительность!$D$20)*IFERROR(LOOKUP(Предпосылки!$H$204,$C$13:$C$15,R$13:R$15),1)</f>
        <v>0</v>
      </c>
      <c s="125">
        <f>Предпосылки!R$231*Предпосылки!$G254*Продажи!S19*S$19*(1+Чувствительность!$D$20)*IFERROR(LOOKUP(Предпосылки!$H$204,$C$13:$C$15,S$13:S$15),1)</f>
        <v>0</v>
      </c>
      <c s="125">
        <f>Предпосылки!S$231*Предпосылки!$G254*Продажи!T19*T$19*(1+Чувствительность!$D$20)*IFERROR(LOOKUP(Предпосылки!$H$204,$C$13:$C$15,T$13:T$15),1)</f>
        <v>0</v>
      </c>
      <c s="125">
        <f>Предпосылки!T$231*Предпосылки!$G254*Продажи!U19*U$19*(1+Чувствительность!$D$20)*IFERROR(LOOKUP(Предпосылки!$H$204,$C$13:$C$15,U$13:U$15),1)</f>
        <v>0</v>
      </c>
      <c s="125">
        <f>Предпосылки!U$231*Предпосылки!$G254*Продажи!V19*V$19*(1+Чувствительность!$D$20)*IFERROR(LOOKUP(Предпосылки!$H$204,$C$13:$C$15,V$13:V$15),1)</f>
        <v>0</v>
      </c>
      <c s="125">
        <f>Предпосылки!V$231*Предпосылки!$G254*Продажи!W19*W$19*(1+Чувствительность!$D$20)*IFERROR(LOOKUP(Предпосылки!$H$204,$C$13:$C$15,W$13:W$15),1)</f>
        <v>0</v>
      </c>
      <c s="125">
        <f>Предпосылки!W$231*Предпосылки!$G254*Продажи!X19*X$19*(1+Чувствительность!$D$20)*IFERROR(LOOKUP(Предпосылки!$H$204,$C$13:$C$15,X$13:X$15),1)</f>
        <v>0</v>
      </c>
      <c s="125">
        <f>Предпосылки!X$231*Предпосылки!$G254*Продажи!Y19*Y$19*(1+Чувствительность!$D$20)*IFERROR(LOOKUP(Предпосылки!$H$204,$C$13:$C$15,Y$13:Y$15),1)</f>
        <v>0</v>
      </c>
      <c s="125">
        <f>Предпосылки!Y$231*Предпосылки!$G254*Продажи!Z19*Z$19*(1+Чувствительность!$D$20)*IFERROR(LOOKUP(Предпосылки!$H$204,$C$13:$C$15,Z$13:Z$15),1)</f>
        <v>0</v>
      </c>
      <c s="125">
        <f>Предпосылки!Z$231*Предпосылки!$G254*Продажи!AA19*AA$19*(1+Чувствительность!$D$20)*IFERROR(LOOKUP(Предпосылки!$H$204,$C$13:$C$15,AA$13:AA$15),1)</f>
        <v>0</v>
      </c>
      <c s="125">
        <f>Предпосылки!AA$231*Предпосылки!$G254*Продажи!AB19*AB$19*(1+Чувствительность!$D$20)*IFERROR(LOOKUP(Предпосылки!$H$204,$C$13:$C$15,AB$13:AB$15),1)</f>
        <v>0</v>
      </c>
      <c s="125">
        <f>Предпосылки!AB$231*Предпосылки!$G254*Продажи!AC19*AC$19*(1+Чувствительность!$D$20)*IFERROR(LOOKUP(Предпосылки!$H$204,$C$13:$C$15,AC$13:AC$15),1)</f>
        <v>0</v>
      </c>
      <c s="125">
        <f>Предпосылки!AC$231*Предпосылки!$G254*Продажи!AD19*AD$19*(1+Чувствительность!$D$20)*IFERROR(LOOKUP(Предпосылки!$H$204,$C$13:$C$15,AD$13:AD$15),1)</f>
        <v>0</v>
      </c>
      <c s="125">
        <f>Предпосылки!AD$231*Предпосылки!$G254*Продажи!AE19*AE$19*(1+Чувствительность!$D$20)*IFERROR(LOOKUP(Предпосылки!$H$204,$C$13:$C$15,AE$13:AE$15),1)</f>
        <v>0</v>
      </c>
      <c s="125">
        <f>Предпосылки!AE$231*Предпосылки!$G254*Продажи!AF19*AF$19*(1+Чувствительность!$D$20)*IFERROR(LOOKUP(Предпосылки!$H$204,$C$13:$C$15,AF$13:AF$15),1)</f>
        <v>0</v>
      </c>
      <c s="125">
        <f>Предпосылки!AF$231*Предпосылки!$G254*Продажи!AG19*AG$19*(1+Чувствительность!$D$20)*IFERROR(LOOKUP(Предпосылки!$H$204,$C$13:$C$15,AG$13:AG$15),1)</f>
        <v>0</v>
      </c>
      <c s="125">
        <f>Предпосылки!AG$231*Предпосылки!$G254*Продажи!AH19*AH$19*(1+Чувствительность!$D$20)*IFERROR(LOOKUP(Предпосылки!$H$204,$C$13:$C$15,AH$13:AH$15),1)</f>
        <v>0</v>
      </c>
      <c s="125">
        <f>Предпосылки!AH$231*Предпосылки!$G254*Продажи!AI19*AI$19*(1+Чувствительность!$D$20)*IFERROR(LOOKUP(Предпосылки!$H$204,$C$13:$C$15,AI$13:AI$15),1)</f>
        <v>0</v>
      </c>
      <c s="125">
        <f>Предпосылки!AI$231*Предпосылки!$G254*Продажи!AJ19*AJ$19*(1+Чувствительность!$D$20)*IFERROR(LOOKUP(Предпосылки!$H$204,$C$13:$C$15,AJ$13:AJ$15),1)</f>
        <v>0</v>
      </c>
      <c s="125">
        <f>Предпосылки!AJ$231*Предпосылки!$G254*Продажи!AK19*AK$19*(1+Чувствительность!$D$20)*IFERROR(LOOKUP(Предпосылки!$H$204,$C$13:$C$15,AK$13:AK$15),1)</f>
        <v>0</v>
      </c>
      <c s="125">
        <f>Предпосылки!AK$231*Предпосылки!$G254*Продажи!AL19*AL$19*(1+Чувствительность!$D$20)*IFERROR(LOOKUP(Предпосылки!$H$204,$C$13:$C$15,AL$13:AL$15),1)</f>
        <v>0</v>
      </c>
      <c s="125">
        <f>Предпосылки!AL$231*Предпосылки!$G254*Продажи!AM19*AM$19*(1+Чувствительность!$D$20)*IFERROR(LOOKUP(Предпосылки!$H$204,$C$13:$C$15,AM$13:AM$15),1)</f>
        <v>0</v>
      </c>
      <c s="125">
        <f>Предпосылки!AM$231*Предпосылки!$G254*Продажи!AN19*AN$19*(1+Чувствительность!$D$20)*IFERROR(LOOKUP(Предпосылки!$H$204,$C$13:$C$15,AN$13:AN$15),1)</f>
        <v>0</v>
      </c>
      <c s="125">
        <f>Предпосылки!AN$231*Предпосылки!$G254*Продажи!AO19*AO$19*(1+Чувствительность!$D$20)*IFERROR(LOOKUP(Предпосылки!$H$204,$C$13:$C$15,AO$13:AO$15),1)</f>
        <v>0</v>
      </c>
      <c s="125">
        <f>Предпосылки!AO$231*Предпосылки!$G254*Продажи!AP19*AP$19*(1+Чувствительность!$D$20)*IFERROR(LOOKUP(Предпосылки!$H$204,$C$13:$C$15,AP$13:AP$15),1)</f>
        <v>0</v>
      </c>
      <c s="125">
        <f>Предпосылки!AP$231*Предпосылки!$G254*Продажи!AQ19*AQ$19*(1+Чувствительность!$D$20)*IFERROR(LOOKUP(Предпосылки!$H$204,$C$13:$C$15,AQ$13:AQ$15),1)</f>
        <v>0</v>
      </c>
      <c s="125">
        <f>Предпосылки!AQ$231*Предпосылки!$G254*Продажи!AR19*AR$19*(1+Чувствительность!$D$20)*IFERROR(LOOKUP(Предпосылки!$H$204,$C$13:$C$15,AR$13:AR$15),1)</f>
        <v>0</v>
      </c>
      <c s="125">
        <f>Предпосылки!AR$231*Предпосылки!$G254*Продажи!AS19*AS$19*(1+Чувствительность!$D$20)*IFERROR(LOOKUP(Предпосылки!$H$204,$C$13:$C$15,AS$13:AS$15),1)</f>
        <v>0</v>
      </c>
      <c s="125">
        <f>Предпосылки!AS$231*Предпосылки!$G254*Продажи!AT19*AT$19*(1+Чувствительность!$D$20)*IFERROR(LOOKUP(Предпосылки!$H$204,$C$13:$C$15,AT$13:AT$15),1)</f>
        <v>0</v>
      </c>
      <c s="125">
        <f>Предпосылки!AT$231*Предпосылки!$G254*Продажи!AU19*AU$19*(1+Чувствительность!$D$20)*IFERROR(LOOKUP(Предпосылки!$H$204,$C$13:$C$15,AU$13:AU$15),1)</f>
        <v>0</v>
      </c>
      <c s="125">
        <f>Предпосылки!AU$231*Предпосылки!$G254*Продажи!AV19*AV$19*(1+Чувствительность!$D$20)*IFERROR(LOOKUP(Предпосылки!$H$204,$C$13:$C$15,AV$13:AV$15),1)</f>
        <v>0</v>
      </c>
      <c s="125">
        <f>Предпосылки!AV$231*Предпосылки!$G254*Продажи!AW19*AW$19*(1+Чувствительность!$D$20)*IFERROR(LOOKUP(Предпосылки!$H$204,$C$13:$C$15,AW$13:AW$15),1)</f>
        <v>0</v>
      </c>
      <c s="125">
        <f>Предпосылки!AW$231*Предпосылки!$G254*Продажи!AX19*AX$19*(1+Чувствительность!$D$20)*IFERROR(LOOKUP(Предпосылки!$H$204,$C$13:$C$15,AX$13:AX$15),1)</f>
        <v>0</v>
      </c>
      <c s="125">
        <f>Предпосылки!AX$231*Предпосылки!$G254*Продажи!AY19*AY$19*(1+Чувствительность!$D$20)*IFERROR(LOOKUP(Предпосылки!$H$204,$C$13:$C$15,AY$13:AY$15),1)</f>
        <v>0</v>
      </c>
      <c s="125">
        <f>Предпосылки!AY$231*Предпосылки!$G254*Продажи!AZ19*AZ$19*(1+Чувствительность!$D$20)*IFERROR(LOOKUP(Предпосылки!$H$204,$C$13:$C$15,AZ$13:AZ$15),1)</f>
        <v>0</v>
      </c>
      <c s="125">
        <f>Предпосылки!AZ$231*Предпосылки!$G254*Продажи!BA19*BA$19*(1+Чувствительность!$D$20)*IFERROR(LOOKUP(Предпосылки!$H$204,$C$13:$C$15,BA$13:BA$15),1)</f>
        <v>0</v>
      </c>
      <c s="125">
        <f>Предпосылки!BA$231*Предпосылки!$G254*Продажи!BB19*BB$19*(1+Чувствительность!$D$20)*IFERROR(LOOKUP(Предпосылки!$H$204,$C$13:$C$15,BB$13:BB$15),1)</f>
        <v>0</v>
      </c>
      <c s="125">
        <f>Предпосылки!BB$231*Предпосылки!$G254*Продажи!BC19*BC$19*(1+Чувствительность!$D$20)*IFERROR(LOOKUP(Предпосылки!$H$204,$C$13:$C$15,BC$13:BC$15),1)</f>
        <v>0</v>
      </c>
      <c s="125">
        <f>Предпосылки!BC$231*Предпосылки!$G254*Продажи!BD19*BD$19*(1+Чувствительность!$D$20)*IFERROR(LOOKUP(Предпосылки!$H$204,$C$13:$C$15,BD$13:BD$15),1)</f>
        <v>0</v>
      </c>
      <c s="125">
        <f>Предпосылки!BD$231*Предпосылки!$G254*Продажи!BE19*BE$19*(1+Чувствительность!$D$20)*IFERROR(LOOKUP(Предпосылки!$H$204,$C$13:$C$15,BE$13:BE$15),1)</f>
        <v>0</v>
      </c>
      <c s="125">
        <f>Предпосылки!BE$231*Предпосылки!$G254*Продажи!BF19*BF$19*(1+Чувствительность!$D$20)*IFERROR(LOOKUP(Предпосылки!$H$204,$C$13:$C$15,BF$13:BF$15),1)</f>
        <v>0</v>
      </c>
      <c s="125">
        <f>Предпосылки!BF$231*Предпосылки!$G254*Продажи!BG19*BG$19*(1+Чувствительность!$D$20)*IFERROR(LOOKUP(Предпосылки!$H$204,$C$13:$C$15,BG$13:BG$15),1)</f>
        <v>0</v>
      </c>
      <c s="125">
        <f>Предпосылки!BG$231*Предпосылки!$G254*Продажи!BH19*BH$19*(1+Чувствительность!$D$20)*IFERROR(LOOKUP(Предпосылки!$H$204,$C$13:$C$15,BH$13:BH$15),1)</f>
        <v>0</v>
      </c>
      <c s="125">
        <f>Предпосылки!BH$231*Предпосылки!$G254*Продажи!BI19*BI$19*(1+Чувствительность!$D$20)*IFERROR(LOOKUP(Предпосылки!$H$204,$C$13:$C$15,BI$13:BI$15),1)</f>
        <v>0</v>
      </c>
      <c s="125">
        <f>Предпосылки!BI$231*Предпосылки!$G254*Продажи!BJ19*BJ$19*(1+Чувствительность!$D$20)*IFERROR(LOOKUP(Предпосылки!$H$204,$C$13:$C$15,BJ$13:BJ$15),1)</f>
        <v>0</v>
      </c>
      <c s="125">
        <f>Предпосылки!BJ$231*Предпосылки!$G254*Продажи!BK19*BK$19*(1+Чувствительность!$D$20)*IFERROR(LOOKUP(Предпосылки!$H$204,$C$13:$C$15,BK$13:BK$15),1)</f>
        <v>0</v>
      </c>
      <c s="125">
        <f>Предпосылки!BK$231*Предпосылки!$G254*Продажи!BL19*BL$19*(1+Чувствительность!$D$20)*IFERROR(LOOKUP(Предпосылки!$H$204,$C$13:$C$15,BL$13:BL$15),1)</f>
        <v>0</v>
      </c>
      <c s="125">
        <f>Предпосылки!BL$231*Предпосылки!$G254*Продажи!BM19*BM$19*(1+Чувствительность!$D$20)*IFERROR(LOOKUP(Предпосылки!$H$204,$C$13:$C$15,BM$13:BM$15),1)</f>
        <v>0</v>
      </c>
    </row>
    <row r="94" spans="2:65" ht="15" customHeight="1">
      <c r="B94" s="12" t="str">
        <f t="shared" si="76"/>
        <v>Продукт 3</v>
      </c>
      <c s="124" t="str">
        <f t="shared" si="75"/>
        <v>тыс. руб.</v>
      </c>
      <c s="276">
        <f t="shared" si="77"/>
        <v>0</v>
      </c>
      <c s="125">
        <f>Предпосылки!D$231*Предпосылки!$G255*Продажи!E20*E$19*(1+Чувствительность!$D$20)*IFERROR(LOOKUP(Предпосылки!$H$204,$C$13:$C$15,E$13:E$15),1)</f>
        <v>0</v>
      </c>
      <c s="125">
        <f>Предпосылки!E$231*Предпосылки!$G255*Продажи!F20*F$19*(1+Чувствительность!$D$20)*IFERROR(LOOKUP(Предпосылки!$H$204,$C$13:$C$15,F$13:F$15),1)</f>
        <v>0</v>
      </c>
      <c s="125">
        <f>Предпосылки!F$231*Предпосылки!$G255*Продажи!G20*G$19*(1+Чувствительность!$D$20)*IFERROR(LOOKUP(Предпосылки!$H$204,$C$13:$C$15,G$13:G$15),1)</f>
        <v>0</v>
      </c>
      <c s="125">
        <f>Предпосылки!G$231*Предпосылки!$G255*Продажи!H20*H$19*(1+Чувствительность!$D$20)*IFERROR(LOOKUP(Предпосылки!$H$204,$C$13:$C$15,H$13:H$15),1)</f>
        <v>0</v>
      </c>
      <c s="125">
        <f>Предпосылки!H$231*Предпосылки!$G255*Продажи!I20*I$19*(1+Чувствительность!$D$20)*IFERROR(LOOKUP(Предпосылки!$H$204,$C$13:$C$15,I$13:I$15),1)</f>
        <v>0</v>
      </c>
      <c s="125">
        <f>Предпосылки!I$231*Предпосылки!$G255*Продажи!J20*J$19*(1+Чувствительность!$D$20)*IFERROR(LOOKUP(Предпосылки!$H$204,$C$13:$C$15,J$13:J$15),1)</f>
        <v>0</v>
      </c>
      <c s="125">
        <f>Предпосылки!J$231*Предпосылки!$G255*Продажи!K20*K$19*(1+Чувствительность!$D$20)*IFERROR(LOOKUP(Предпосылки!$H$204,$C$13:$C$15,K$13:K$15),1)</f>
        <v>0</v>
      </c>
      <c s="125">
        <f>Предпосылки!K$231*Предпосылки!$G255*Продажи!L20*L$19*(1+Чувствительность!$D$20)*IFERROR(LOOKUP(Предпосылки!$H$204,$C$13:$C$15,L$13:L$15),1)</f>
        <v>0</v>
      </c>
      <c s="125">
        <f>Предпосылки!L$231*Предпосылки!$G255*Продажи!M20*M$19*(1+Чувствительность!$D$20)*IFERROR(LOOKUP(Предпосылки!$H$204,$C$13:$C$15,M$13:M$15),1)</f>
        <v>0</v>
      </c>
      <c s="125">
        <f>Предпосылки!M$231*Предпосылки!$G255*Продажи!N20*N$19*(1+Чувствительность!$D$20)*IFERROR(LOOKUP(Предпосылки!$H$204,$C$13:$C$15,N$13:N$15),1)</f>
        <v>0</v>
      </c>
      <c s="125">
        <f>Предпосылки!N$231*Предпосылки!$G255*Продажи!O20*O$19*(1+Чувствительность!$D$20)*IFERROR(LOOKUP(Предпосылки!$H$204,$C$13:$C$15,O$13:O$15),1)</f>
        <v>0</v>
      </c>
      <c s="125">
        <f>Предпосылки!O$231*Предпосылки!$G255*Продажи!P20*P$19*(1+Чувствительность!$D$20)*IFERROR(LOOKUP(Предпосылки!$H$204,$C$13:$C$15,P$13:P$15),1)</f>
        <v>0</v>
      </c>
      <c s="125">
        <f>Предпосылки!P$231*Предпосылки!$G255*Продажи!Q20*Q$19*(1+Чувствительность!$D$20)*IFERROR(LOOKUP(Предпосылки!$H$204,$C$13:$C$15,Q$13:Q$15),1)</f>
        <v>0</v>
      </c>
      <c s="125">
        <f>Предпосылки!Q$231*Предпосылки!$G255*Продажи!R20*R$19*(1+Чувствительность!$D$20)*IFERROR(LOOKUP(Предпосылки!$H$204,$C$13:$C$15,R$13:R$15),1)</f>
        <v>0</v>
      </c>
      <c s="125">
        <f>Предпосылки!R$231*Предпосылки!$G255*Продажи!S20*S$19*(1+Чувствительность!$D$20)*IFERROR(LOOKUP(Предпосылки!$H$204,$C$13:$C$15,S$13:S$15),1)</f>
        <v>0</v>
      </c>
      <c s="125">
        <f>Предпосылки!S$231*Предпосылки!$G255*Продажи!T20*T$19*(1+Чувствительность!$D$20)*IFERROR(LOOKUP(Предпосылки!$H$204,$C$13:$C$15,T$13:T$15),1)</f>
        <v>0</v>
      </c>
      <c s="125">
        <f>Предпосылки!T$231*Предпосылки!$G255*Продажи!U20*U$19*(1+Чувствительность!$D$20)*IFERROR(LOOKUP(Предпосылки!$H$204,$C$13:$C$15,U$13:U$15),1)</f>
        <v>0</v>
      </c>
      <c s="125">
        <f>Предпосылки!U$231*Предпосылки!$G255*Продажи!V20*V$19*(1+Чувствительность!$D$20)*IFERROR(LOOKUP(Предпосылки!$H$204,$C$13:$C$15,V$13:V$15),1)</f>
        <v>0</v>
      </c>
      <c s="125">
        <f>Предпосылки!V$231*Предпосылки!$G255*Продажи!W20*W$19*(1+Чувствительность!$D$20)*IFERROR(LOOKUP(Предпосылки!$H$204,$C$13:$C$15,W$13:W$15),1)</f>
        <v>0</v>
      </c>
      <c s="125">
        <f>Предпосылки!W$231*Предпосылки!$G255*Продажи!X20*X$19*(1+Чувствительность!$D$20)*IFERROR(LOOKUP(Предпосылки!$H$204,$C$13:$C$15,X$13:X$15),1)</f>
        <v>0</v>
      </c>
      <c s="125">
        <f>Предпосылки!X$231*Предпосылки!$G255*Продажи!Y20*Y$19*(1+Чувствительность!$D$20)*IFERROR(LOOKUP(Предпосылки!$H$204,$C$13:$C$15,Y$13:Y$15),1)</f>
        <v>0</v>
      </c>
      <c s="125">
        <f>Предпосылки!Y$231*Предпосылки!$G255*Продажи!Z20*Z$19*(1+Чувствительность!$D$20)*IFERROR(LOOKUP(Предпосылки!$H$204,$C$13:$C$15,Z$13:Z$15),1)</f>
        <v>0</v>
      </c>
      <c s="125">
        <f>Предпосылки!Z$231*Предпосылки!$G255*Продажи!AA20*AA$19*(1+Чувствительность!$D$20)*IFERROR(LOOKUP(Предпосылки!$H$204,$C$13:$C$15,AA$13:AA$15),1)</f>
        <v>0</v>
      </c>
      <c s="125">
        <f>Предпосылки!AA$231*Предпосылки!$G255*Продажи!AB20*AB$19*(1+Чувствительность!$D$20)*IFERROR(LOOKUP(Предпосылки!$H$204,$C$13:$C$15,AB$13:AB$15),1)</f>
        <v>0</v>
      </c>
      <c s="125">
        <f>Предпосылки!AB$231*Предпосылки!$G255*Продажи!AC20*AC$19*(1+Чувствительность!$D$20)*IFERROR(LOOKUP(Предпосылки!$H$204,$C$13:$C$15,AC$13:AC$15),1)</f>
        <v>0</v>
      </c>
      <c s="125">
        <f>Предпосылки!AC$231*Предпосылки!$G255*Продажи!AD20*AD$19*(1+Чувствительность!$D$20)*IFERROR(LOOKUP(Предпосылки!$H$204,$C$13:$C$15,AD$13:AD$15),1)</f>
        <v>0</v>
      </c>
      <c s="125">
        <f>Предпосылки!AD$231*Предпосылки!$G255*Продажи!AE20*AE$19*(1+Чувствительность!$D$20)*IFERROR(LOOKUP(Предпосылки!$H$204,$C$13:$C$15,AE$13:AE$15),1)</f>
        <v>0</v>
      </c>
      <c s="125">
        <f>Предпосылки!AE$231*Предпосылки!$G255*Продажи!AF20*AF$19*(1+Чувствительность!$D$20)*IFERROR(LOOKUP(Предпосылки!$H$204,$C$13:$C$15,AF$13:AF$15),1)</f>
        <v>0</v>
      </c>
      <c s="125">
        <f>Предпосылки!AF$231*Предпосылки!$G255*Продажи!AG20*AG$19*(1+Чувствительность!$D$20)*IFERROR(LOOKUP(Предпосылки!$H$204,$C$13:$C$15,AG$13:AG$15),1)</f>
        <v>0</v>
      </c>
      <c s="125">
        <f>Предпосылки!AG$231*Предпосылки!$G255*Продажи!AH20*AH$19*(1+Чувствительность!$D$20)*IFERROR(LOOKUP(Предпосылки!$H$204,$C$13:$C$15,AH$13:AH$15),1)</f>
        <v>0</v>
      </c>
      <c s="125">
        <f>Предпосылки!AH$231*Предпосылки!$G255*Продажи!AI20*AI$19*(1+Чувствительность!$D$20)*IFERROR(LOOKUP(Предпосылки!$H$204,$C$13:$C$15,AI$13:AI$15),1)</f>
        <v>0</v>
      </c>
      <c s="125">
        <f>Предпосылки!AI$231*Предпосылки!$G255*Продажи!AJ20*AJ$19*(1+Чувствительность!$D$20)*IFERROR(LOOKUP(Предпосылки!$H$204,$C$13:$C$15,AJ$13:AJ$15),1)</f>
        <v>0</v>
      </c>
      <c s="125">
        <f>Предпосылки!AJ$231*Предпосылки!$G255*Продажи!AK20*AK$19*(1+Чувствительность!$D$20)*IFERROR(LOOKUP(Предпосылки!$H$204,$C$13:$C$15,AK$13:AK$15),1)</f>
        <v>0</v>
      </c>
      <c s="125">
        <f>Предпосылки!AK$231*Предпосылки!$G255*Продажи!AL20*AL$19*(1+Чувствительность!$D$20)*IFERROR(LOOKUP(Предпосылки!$H$204,$C$13:$C$15,AL$13:AL$15),1)</f>
        <v>0</v>
      </c>
      <c s="125">
        <f>Предпосылки!AL$231*Предпосылки!$G255*Продажи!AM20*AM$19*(1+Чувствительность!$D$20)*IFERROR(LOOKUP(Предпосылки!$H$204,$C$13:$C$15,AM$13:AM$15),1)</f>
        <v>0</v>
      </c>
      <c s="125">
        <f>Предпосылки!AM$231*Предпосылки!$G255*Продажи!AN20*AN$19*(1+Чувствительность!$D$20)*IFERROR(LOOKUP(Предпосылки!$H$204,$C$13:$C$15,AN$13:AN$15),1)</f>
        <v>0</v>
      </c>
      <c s="125">
        <f>Предпосылки!AN$231*Предпосылки!$G255*Продажи!AO20*AO$19*(1+Чувствительность!$D$20)*IFERROR(LOOKUP(Предпосылки!$H$204,$C$13:$C$15,AO$13:AO$15),1)</f>
        <v>0</v>
      </c>
      <c s="125">
        <f>Предпосылки!AO$231*Предпосылки!$G255*Продажи!AP20*AP$19*(1+Чувствительность!$D$20)*IFERROR(LOOKUP(Предпосылки!$H$204,$C$13:$C$15,AP$13:AP$15),1)</f>
        <v>0</v>
      </c>
      <c s="125">
        <f>Предпосылки!AP$231*Предпосылки!$G255*Продажи!AQ20*AQ$19*(1+Чувствительность!$D$20)*IFERROR(LOOKUP(Предпосылки!$H$204,$C$13:$C$15,AQ$13:AQ$15),1)</f>
        <v>0</v>
      </c>
      <c s="125">
        <f>Предпосылки!AQ$231*Предпосылки!$G255*Продажи!AR20*AR$19*(1+Чувствительность!$D$20)*IFERROR(LOOKUP(Предпосылки!$H$204,$C$13:$C$15,AR$13:AR$15),1)</f>
        <v>0</v>
      </c>
      <c s="125">
        <f>Предпосылки!AR$231*Предпосылки!$G255*Продажи!AS20*AS$19*(1+Чувствительность!$D$20)*IFERROR(LOOKUP(Предпосылки!$H$204,$C$13:$C$15,AS$13:AS$15),1)</f>
        <v>0</v>
      </c>
      <c s="125">
        <f>Предпосылки!AS$231*Предпосылки!$G255*Продажи!AT20*AT$19*(1+Чувствительность!$D$20)*IFERROR(LOOKUP(Предпосылки!$H$204,$C$13:$C$15,AT$13:AT$15),1)</f>
        <v>0</v>
      </c>
      <c s="125">
        <f>Предпосылки!AT$231*Предпосылки!$G255*Продажи!AU20*AU$19*(1+Чувствительность!$D$20)*IFERROR(LOOKUP(Предпосылки!$H$204,$C$13:$C$15,AU$13:AU$15),1)</f>
        <v>0</v>
      </c>
      <c s="125">
        <f>Предпосылки!AU$231*Предпосылки!$G255*Продажи!AV20*AV$19*(1+Чувствительность!$D$20)*IFERROR(LOOKUP(Предпосылки!$H$204,$C$13:$C$15,AV$13:AV$15),1)</f>
        <v>0</v>
      </c>
      <c s="125">
        <f>Предпосылки!AV$231*Предпосылки!$G255*Продажи!AW20*AW$19*(1+Чувствительность!$D$20)*IFERROR(LOOKUP(Предпосылки!$H$204,$C$13:$C$15,AW$13:AW$15),1)</f>
        <v>0</v>
      </c>
      <c s="125">
        <f>Предпосылки!AW$231*Предпосылки!$G255*Продажи!AX20*AX$19*(1+Чувствительность!$D$20)*IFERROR(LOOKUP(Предпосылки!$H$204,$C$13:$C$15,AX$13:AX$15),1)</f>
        <v>0</v>
      </c>
      <c s="125">
        <f>Предпосылки!AX$231*Предпосылки!$G255*Продажи!AY20*AY$19*(1+Чувствительность!$D$20)*IFERROR(LOOKUP(Предпосылки!$H$204,$C$13:$C$15,AY$13:AY$15),1)</f>
        <v>0</v>
      </c>
      <c s="125">
        <f>Предпосылки!AY$231*Предпосылки!$G255*Продажи!AZ20*AZ$19*(1+Чувствительность!$D$20)*IFERROR(LOOKUP(Предпосылки!$H$204,$C$13:$C$15,AZ$13:AZ$15),1)</f>
        <v>0</v>
      </c>
      <c s="125">
        <f>Предпосылки!AZ$231*Предпосылки!$G255*Продажи!BA20*BA$19*(1+Чувствительность!$D$20)*IFERROR(LOOKUP(Предпосылки!$H$204,$C$13:$C$15,BA$13:BA$15),1)</f>
        <v>0</v>
      </c>
      <c s="125">
        <f>Предпосылки!BA$231*Предпосылки!$G255*Продажи!BB20*BB$19*(1+Чувствительность!$D$20)*IFERROR(LOOKUP(Предпосылки!$H$204,$C$13:$C$15,BB$13:BB$15),1)</f>
        <v>0</v>
      </c>
      <c s="125">
        <f>Предпосылки!BB$231*Предпосылки!$G255*Продажи!BC20*BC$19*(1+Чувствительность!$D$20)*IFERROR(LOOKUP(Предпосылки!$H$204,$C$13:$C$15,BC$13:BC$15),1)</f>
        <v>0</v>
      </c>
      <c s="125">
        <f>Предпосылки!BC$231*Предпосылки!$G255*Продажи!BD20*BD$19*(1+Чувствительность!$D$20)*IFERROR(LOOKUP(Предпосылки!$H$204,$C$13:$C$15,BD$13:BD$15),1)</f>
        <v>0</v>
      </c>
      <c s="125">
        <f>Предпосылки!BD$231*Предпосылки!$G255*Продажи!BE20*BE$19*(1+Чувствительность!$D$20)*IFERROR(LOOKUP(Предпосылки!$H$204,$C$13:$C$15,BE$13:BE$15),1)</f>
        <v>0</v>
      </c>
      <c s="125">
        <f>Предпосылки!BE$231*Предпосылки!$G255*Продажи!BF20*BF$19*(1+Чувствительность!$D$20)*IFERROR(LOOKUP(Предпосылки!$H$204,$C$13:$C$15,BF$13:BF$15),1)</f>
        <v>0</v>
      </c>
      <c s="125">
        <f>Предпосылки!BF$231*Предпосылки!$G255*Продажи!BG20*BG$19*(1+Чувствительность!$D$20)*IFERROR(LOOKUP(Предпосылки!$H$204,$C$13:$C$15,BG$13:BG$15),1)</f>
        <v>0</v>
      </c>
      <c s="125">
        <f>Предпосылки!BG$231*Предпосылки!$G255*Продажи!BH20*BH$19*(1+Чувствительность!$D$20)*IFERROR(LOOKUP(Предпосылки!$H$204,$C$13:$C$15,BH$13:BH$15),1)</f>
        <v>0</v>
      </c>
      <c s="125">
        <f>Предпосылки!BH$231*Предпосылки!$G255*Продажи!BI20*BI$19*(1+Чувствительность!$D$20)*IFERROR(LOOKUP(Предпосылки!$H$204,$C$13:$C$15,BI$13:BI$15),1)</f>
        <v>0</v>
      </c>
      <c s="125">
        <f>Предпосылки!BI$231*Предпосылки!$G255*Продажи!BJ20*BJ$19*(1+Чувствительность!$D$20)*IFERROR(LOOKUP(Предпосылки!$H$204,$C$13:$C$15,BJ$13:BJ$15),1)</f>
        <v>0</v>
      </c>
      <c s="125">
        <f>Предпосылки!BJ$231*Предпосылки!$G255*Продажи!BK20*BK$19*(1+Чувствительность!$D$20)*IFERROR(LOOKUP(Предпосылки!$H$204,$C$13:$C$15,BK$13:BK$15),1)</f>
        <v>0</v>
      </c>
      <c s="125">
        <f>Предпосылки!BK$231*Предпосылки!$G255*Продажи!BL20*BL$19*(1+Чувствительность!$D$20)*IFERROR(LOOKUP(Предпосылки!$H$204,$C$13:$C$15,BL$13:BL$15),1)</f>
        <v>0</v>
      </c>
      <c s="125">
        <f>Предпосылки!BL$231*Предпосылки!$G255*Продажи!BM20*BM$19*(1+Чувствительность!$D$20)*IFERROR(LOOKUP(Предпосылки!$H$204,$C$13:$C$15,BM$13:BM$15),1)</f>
        <v>0</v>
      </c>
    </row>
    <row r="95" spans="2:65" ht="15" customHeight="1">
      <c r="B95" s="12" t="str">
        <f t="shared" si="76"/>
        <v>Продукт 4</v>
      </c>
      <c s="124" t="str">
        <f t="shared" si="75"/>
        <v>тыс. руб.</v>
      </c>
      <c s="276">
        <f t="shared" si="77"/>
        <v>0</v>
      </c>
      <c s="125">
        <f>Предпосылки!D$231*Предпосылки!$G256*Продажи!E21*E$19*(1+Чувствительность!$D$20)*IFERROR(LOOKUP(Предпосылки!$H$204,$C$13:$C$15,E$13:E$15),1)</f>
        <v>0</v>
      </c>
      <c s="125">
        <f>Предпосылки!E$231*Предпосылки!$G256*Продажи!F21*F$19*(1+Чувствительность!$D$20)*IFERROR(LOOKUP(Предпосылки!$H$204,$C$13:$C$15,F$13:F$15),1)</f>
        <v>0</v>
      </c>
      <c s="125">
        <f>Предпосылки!F$231*Предпосылки!$G256*Продажи!G21*G$19*(1+Чувствительность!$D$20)*IFERROR(LOOKUP(Предпосылки!$H$204,$C$13:$C$15,G$13:G$15),1)</f>
        <v>0</v>
      </c>
      <c s="125">
        <f>Предпосылки!G$231*Предпосылки!$G256*Продажи!H21*H$19*(1+Чувствительность!$D$20)*IFERROR(LOOKUP(Предпосылки!$H$204,$C$13:$C$15,H$13:H$15),1)</f>
        <v>0</v>
      </c>
      <c s="125">
        <f>Предпосылки!H$231*Предпосылки!$G256*Продажи!I21*I$19*(1+Чувствительность!$D$20)*IFERROR(LOOKUP(Предпосылки!$H$204,$C$13:$C$15,I$13:I$15),1)</f>
        <v>0</v>
      </c>
      <c s="125">
        <f>Предпосылки!I$231*Предпосылки!$G256*Продажи!J21*J$19*(1+Чувствительность!$D$20)*IFERROR(LOOKUP(Предпосылки!$H$204,$C$13:$C$15,J$13:J$15),1)</f>
        <v>0</v>
      </c>
      <c s="125">
        <f>Предпосылки!J$231*Предпосылки!$G256*Продажи!K21*K$19*(1+Чувствительность!$D$20)*IFERROR(LOOKUP(Предпосылки!$H$204,$C$13:$C$15,K$13:K$15),1)</f>
        <v>0</v>
      </c>
      <c s="125">
        <f>Предпосылки!K$231*Предпосылки!$G256*Продажи!L21*L$19*(1+Чувствительность!$D$20)*IFERROR(LOOKUP(Предпосылки!$H$204,$C$13:$C$15,L$13:L$15),1)</f>
        <v>0</v>
      </c>
      <c s="125">
        <f>Предпосылки!L$231*Предпосылки!$G256*Продажи!M21*M$19*(1+Чувствительность!$D$20)*IFERROR(LOOKUP(Предпосылки!$H$204,$C$13:$C$15,M$13:M$15),1)</f>
        <v>0</v>
      </c>
      <c s="125">
        <f>Предпосылки!M$231*Предпосылки!$G256*Продажи!N21*N$19*(1+Чувствительность!$D$20)*IFERROR(LOOKUP(Предпосылки!$H$204,$C$13:$C$15,N$13:N$15),1)</f>
        <v>0</v>
      </c>
      <c s="125">
        <f>Предпосылки!N$231*Предпосылки!$G256*Продажи!O21*O$19*(1+Чувствительность!$D$20)*IFERROR(LOOKUP(Предпосылки!$H$204,$C$13:$C$15,O$13:O$15),1)</f>
        <v>0</v>
      </c>
      <c s="125">
        <f>Предпосылки!O$231*Предпосылки!$G256*Продажи!P21*P$19*(1+Чувствительность!$D$20)*IFERROR(LOOKUP(Предпосылки!$H$204,$C$13:$C$15,P$13:P$15),1)</f>
        <v>0</v>
      </c>
      <c s="125">
        <f>Предпосылки!P$231*Предпосылки!$G256*Продажи!Q21*Q$19*(1+Чувствительность!$D$20)*IFERROR(LOOKUP(Предпосылки!$H$204,$C$13:$C$15,Q$13:Q$15),1)</f>
        <v>0</v>
      </c>
      <c s="125">
        <f>Предпосылки!Q$231*Предпосылки!$G256*Продажи!R21*R$19*(1+Чувствительность!$D$20)*IFERROR(LOOKUP(Предпосылки!$H$204,$C$13:$C$15,R$13:R$15),1)</f>
        <v>0</v>
      </c>
      <c s="125">
        <f>Предпосылки!R$231*Предпосылки!$G256*Продажи!S21*S$19*(1+Чувствительность!$D$20)*IFERROR(LOOKUP(Предпосылки!$H$204,$C$13:$C$15,S$13:S$15),1)</f>
        <v>0</v>
      </c>
      <c s="125">
        <f>Предпосылки!S$231*Предпосылки!$G256*Продажи!T21*T$19*(1+Чувствительность!$D$20)*IFERROR(LOOKUP(Предпосылки!$H$204,$C$13:$C$15,T$13:T$15),1)</f>
        <v>0</v>
      </c>
      <c s="125">
        <f>Предпосылки!T$231*Предпосылки!$G256*Продажи!U21*U$19*(1+Чувствительность!$D$20)*IFERROR(LOOKUP(Предпосылки!$H$204,$C$13:$C$15,U$13:U$15),1)</f>
        <v>0</v>
      </c>
      <c s="125">
        <f>Предпосылки!U$231*Предпосылки!$G256*Продажи!V21*V$19*(1+Чувствительность!$D$20)*IFERROR(LOOKUP(Предпосылки!$H$204,$C$13:$C$15,V$13:V$15),1)</f>
        <v>0</v>
      </c>
      <c s="125">
        <f>Предпосылки!V$231*Предпосылки!$G256*Продажи!W21*W$19*(1+Чувствительность!$D$20)*IFERROR(LOOKUP(Предпосылки!$H$204,$C$13:$C$15,W$13:W$15),1)</f>
        <v>0</v>
      </c>
      <c s="125">
        <f>Предпосылки!W$231*Предпосылки!$G256*Продажи!X21*X$19*(1+Чувствительность!$D$20)*IFERROR(LOOKUP(Предпосылки!$H$204,$C$13:$C$15,X$13:X$15),1)</f>
        <v>0</v>
      </c>
      <c s="125">
        <f>Предпосылки!X$231*Предпосылки!$G256*Продажи!Y21*Y$19*(1+Чувствительность!$D$20)*IFERROR(LOOKUP(Предпосылки!$H$204,$C$13:$C$15,Y$13:Y$15),1)</f>
        <v>0</v>
      </c>
      <c s="125">
        <f>Предпосылки!Y$231*Предпосылки!$G256*Продажи!Z21*Z$19*(1+Чувствительность!$D$20)*IFERROR(LOOKUP(Предпосылки!$H$204,$C$13:$C$15,Z$13:Z$15),1)</f>
        <v>0</v>
      </c>
      <c s="125">
        <f>Предпосылки!Z$231*Предпосылки!$G256*Продажи!AA21*AA$19*(1+Чувствительность!$D$20)*IFERROR(LOOKUP(Предпосылки!$H$204,$C$13:$C$15,AA$13:AA$15),1)</f>
        <v>0</v>
      </c>
      <c s="125">
        <f>Предпосылки!AA$231*Предпосылки!$G256*Продажи!AB21*AB$19*(1+Чувствительность!$D$20)*IFERROR(LOOKUP(Предпосылки!$H$204,$C$13:$C$15,AB$13:AB$15),1)</f>
        <v>0</v>
      </c>
      <c s="125">
        <f>Предпосылки!AB$231*Предпосылки!$G256*Продажи!AC21*AC$19*(1+Чувствительность!$D$20)*IFERROR(LOOKUP(Предпосылки!$H$204,$C$13:$C$15,AC$13:AC$15),1)</f>
        <v>0</v>
      </c>
      <c s="125">
        <f>Предпосылки!AC$231*Предпосылки!$G256*Продажи!AD21*AD$19*(1+Чувствительность!$D$20)*IFERROR(LOOKUP(Предпосылки!$H$204,$C$13:$C$15,AD$13:AD$15),1)</f>
        <v>0</v>
      </c>
      <c s="125">
        <f>Предпосылки!AD$231*Предпосылки!$G256*Продажи!AE21*AE$19*(1+Чувствительность!$D$20)*IFERROR(LOOKUP(Предпосылки!$H$204,$C$13:$C$15,AE$13:AE$15),1)</f>
        <v>0</v>
      </c>
      <c s="125">
        <f>Предпосылки!AE$231*Предпосылки!$G256*Продажи!AF21*AF$19*(1+Чувствительность!$D$20)*IFERROR(LOOKUP(Предпосылки!$H$204,$C$13:$C$15,AF$13:AF$15),1)</f>
        <v>0</v>
      </c>
      <c s="125">
        <f>Предпосылки!AF$231*Предпосылки!$G256*Продажи!AG21*AG$19*(1+Чувствительность!$D$20)*IFERROR(LOOKUP(Предпосылки!$H$204,$C$13:$C$15,AG$13:AG$15),1)</f>
        <v>0</v>
      </c>
      <c s="125">
        <f>Предпосылки!AG$231*Предпосылки!$G256*Продажи!AH21*AH$19*(1+Чувствительность!$D$20)*IFERROR(LOOKUP(Предпосылки!$H$204,$C$13:$C$15,AH$13:AH$15),1)</f>
        <v>0</v>
      </c>
      <c s="125">
        <f>Предпосылки!AH$231*Предпосылки!$G256*Продажи!AI21*AI$19*(1+Чувствительность!$D$20)*IFERROR(LOOKUP(Предпосылки!$H$204,$C$13:$C$15,AI$13:AI$15),1)</f>
        <v>0</v>
      </c>
      <c s="125">
        <f>Предпосылки!AI$231*Предпосылки!$G256*Продажи!AJ21*AJ$19*(1+Чувствительность!$D$20)*IFERROR(LOOKUP(Предпосылки!$H$204,$C$13:$C$15,AJ$13:AJ$15),1)</f>
        <v>0</v>
      </c>
      <c s="125">
        <f>Предпосылки!AJ$231*Предпосылки!$G256*Продажи!AK21*AK$19*(1+Чувствительность!$D$20)*IFERROR(LOOKUP(Предпосылки!$H$204,$C$13:$C$15,AK$13:AK$15),1)</f>
        <v>0</v>
      </c>
      <c s="125">
        <f>Предпосылки!AK$231*Предпосылки!$G256*Продажи!AL21*AL$19*(1+Чувствительность!$D$20)*IFERROR(LOOKUP(Предпосылки!$H$204,$C$13:$C$15,AL$13:AL$15),1)</f>
        <v>0</v>
      </c>
      <c s="125">
        <f>Предпосылки!AL$231*Предпосылки!$G256*Продажи!AM21*AM$19*(1+Чувствительность!$D$20)*IFERROR(LOOKUP(Предпосылки!$H$204,$C$13:$C$15,AM$13:AM$15),1)</f>
        <v>0</v>
      </c>
      <c s="125">
        <f>Предпосылки!AM$231*Предпосылки!$G256*Продажи!AN21*AN$19*(1+Чувствительность!$D$20)*IFERROR(LOOKUP(Предпосылки!$H$204,$C$13:$C$15,AN$13:AN$15),1)</f>
        <v>0</v>
      </c>
      <c s="125">
        <f>Предпосылки!AN$231*Предпосылки!$G256*Продажи!AO21*AO$19*(1+Чувствительность!$D$20)*IFERROR(LOOKUP(Предпосылки!$H$204,$C$13:$C$15,AO$13:AO$15),1)</f>
        <v>0</v>
      </c>
      <c s="125">
        <f>Предпосылки!AO$231*Предпосылки!$G256*Продажи!AP21*AP$19*(1+Чувствительность!$D$20)*IFERROR(LOOKUP(Предпосылки!$H$204,$C$13:$C$15,AP$13:AP$15),1)</f>
        <v>0</v>
      </c>
      <c s="125">
        <f>Предпосылки!AP$231*Предпосылки!$G256*Продажи!AQ21*AQ$19*(1+Чувствительность!$D$20)*IFERROR(LOOKUP(Предпосылки!$H$204,$C$13:$C$15,AQ$13:AQ$15),1)</f>
        <v>0</v>
      </c>
      <c s="125">
        <f>Предпосылки!AQ$231*Предпосылки!$G256*Продажи!AR21*AR$19*(1+Чувствительность!$D$20)*IFERROR(LOOKUP(Предпосылки!$H$204,$C$13:$C$15,AR$13:AR$15),1)</f>
        <v>0</v>
      </c>
      <c s="125">
        <f>Предпосылки!AR$231*Предпосылки!$G256*Продажи!AS21*AS$19*(1+Чувствительность!$D$20)*IFERROR(LOOKUP(Предпосылки!$H$204,$C$13:$C$15,AS$13:AS$15),1)</f>
        <v>0</v>
      </c>
      <c s="125">
        <f>Предпосылки!AS$231*Предпосылки!$G256*Продажи!AT21*AT$19*(1+Чувствительность!$D$20)*IFERROR(LOOKUP(Предпосылки!$H$204,$C$13:$C$15,AT$13:AT$15),1)</f>
        <v>0</v>
      </c>
      <c s="125">
        <f>Предпосылки!AT$231*Предпосылки!$G256*Продажи!AU21*AU$19*(1+Чувствительность!$D$20)*IFERROR(LOOKUP(Предпосылки!$H$204,$C$13:$C$15,AU$13:AU$15),1)</f>
        <v>0</v>
      </c>
      <c s="125">
        <f>Предпосылки!AU$231*Предпосылки!$G256*Продажи!AV21*AV$19*(1+Чувствительность!$D$20)*IFERROR(LOOKUP(Предпосылки!$H$204,$C$13:$C$15,AV$13:AV$15),1)</f>
        <v>0</v>
      </c>
      <c s="125">
        <f>Предпосылки!AV$231*Предпосылки!$G256*Продажи!AW21*AW$19*(1+Чувствительность!$D$20)*IFERROR(LOOKUP(Предпосылки!$H$204,$C$13:$C$15,AW$13:AW$15),1)</f>
        <v>0</v>
      </c>
      <c s="125">
        <f>Предпосылки!AW$231*Предпосылки!$G256*Продажи!AX21*AX$19*(1+Чувствительность!$D$20)*IFERROR(LOOKUP(Предпосылки!$H$204,$C$13:$C$15,AX$13:AX$15),1)</f>
        <v>0</v>
      </c>
      <c s="125">
        <f>Предпосылки!AX$231*Предпосылки!$G256*Продажи!AY21*AY$19*(1+Чувствительность!$D$20)*IFERROR(LOOKUP(Предпосылки!$H$204,$C$13:$C$15,AY$13:AY$15),1)</f>
        <v>0</v>
      </c>
      <c s="125">
        <f>Предпосылки!AY$231*Предпосылки!$G256*Продажи!AZ21*AZ$19*(1+Чувствительность!$D$20)*IFERROR(LOOKUP(Предпосылки!$H$204,$C$13:$C$15,AZ$13:AZ$15),1)</f>
        <v>0</v>
      </c>
      <c s="125">
        <f>Предпосылки!AZ$231*Предпосылки!$G256*Продажи!BA21*BA$19*(1+Чувствительность!$D$20)*IFERROR(LOOKUP(Предпосылки!$H$204,$C$13:$C$15,BA$13:BA$15),1)</f>
        <v>0</v>
      </c>
      <c s="125">
        <f>Предпосылки!BA$231*Предпосылки!$G256*Продажи!BB21*BB$19*(1+Чувствительность!$D$20)*IFERROR(LOOKUP(Предпосылки!$H$204,$C$13:$C$15,BB$13:BB$15),1)</f>
        <v>0</v>
      </c>
      <c s="125">
        <f>Предпосылки!BB$231*Предпосылки!$G256*Продажи!BC21*BC$19*(1+Чувствительность!$D$20)*IFERROR(LOOKUP(Предпосылки!$H$204,$C$13:$C$15,BC$13:BC$15),1)</f>
        <v>0</v>
      </c>
      <c s="125">
        <f>Предпосылки!BC$231*Предпосылки!$G256*Продажи!BD21*BD$19*(1+Чувствительность!$D$20)*IFERROR(LOOKUP(Предпосылки!$H$204,$C$13:$C$15,BD$13:BD$15),1)</f>
        <v>0</v>
      </c>
      <c s="125">
        <f>Предпосылки!BD$231*Предпосылки!$G256*Продажи!BE21*BE$19*(1+Чувствительность!$D$20)*IFERROR(LOOKUP(Предпосылки!$H$204,$C$13:$C$15,BE$13:BE$15),1)</f>
        <v>0</v>
      </c>
      <c s="125">
        <f>Предпосылки!BE$231*Предпосылки!$G256*Продажи!BF21*BF$19*(1+Чувствительность!$D$20)*IFERROR(LOOKUP(Предпосылки!$H$204,$C$13:$C$15,BF$13:BF$15),1)</f>
        <v>0</v>
      </c>
      <c s="125">
        <f>Предпосылки!BF$231*Предпосылки!$G256*Продажи!BG21*BG$19*(1+Чувствительность!$D$20)*IFERROR(LOOKUP(Предпосылки!$H$204,$C$13:$C$15,BG$13:BG$15),1)</f>
        <v>0</v>
      </c>
      <c s="125">
        <f>Предпосылки!BG$231*Предпосылки!$G256*Продажи!BH21*BH$19*(1+Чувствительность!$D$20)*IFERROR(LOOKUP(Предпосылки!$H$204,$C$13:$C$15,BH$13:BH$15),1)</f>
        <v>0</v>
      </c>
      <c s="125">
        <f>Предпосылки!BH$231*Предпосылки!$G256*Продажи!BI21*BI$19*(1+Чувствительность!$D$20)*IFERROR(LOOKUP(Предпосылки!$H$204,$C$13:$C$15,BI$13:BI$15),1)</f>
        <v>0</v>
      </c>
      <c s="125">
        <f>Предпосылки!BI$231*Предпосылки!$G256*Продажи!BJ21*BJ$19*(1+Чувствительность!$D$20)*IFERROR(LOOKUP(Предпосылки!$H$204,$C$13:$C$15,BJ$13:BJ$15),1)</f>
        <v>0</v>
      </c>
      <c s="125">
        <f>Предпосылки!BJ$231*Предпосылки!$G256*Продажи!BK21*BK$19*(1+Чувствительность!$D$20)*IFERROR(LOOKUP(Предпосылки!$H$204,$C$13:$C$15,BK$13:BK$15),1)</f>
        <v>0</v>
      </c>
      <c s="125">
        <f>Предпосылки!BK$231*Предпосылки!$G256*Продажи!BL21*BL$19*(1+Чувствительность!$D$20)*IFERROR(LOOKUP(Предпосылки!$H$204,$C$13:$C$15,BL$13:BL$15),1)</f>
        <v>0</v>
      </c>
      <c s="125">
        <f>Предпосылки!BL$231*Предпосылки!$G256*Продажи!BM21*BM$19*(1+Чувствительность!$D$20)*IFERROR(LOOKUP(Предпосылки!$H$204,$C$13:$C$15,BM$13:BM$15),1)</f>
        <v>0</v>
      </c>
    </row>
    <row r="96" spans="2:65" ht="15" customHeight="1">
      <c r="B96" s="12" t="str">
        <f t="shared" si="76"/>
        <v>Продукт 5</v>
      </c>
      <c s="124" t="str">
        <f t="shared" si="75"/>
        <v>тыс. руб.</v>
      </c>
      <c s="276">
        <f t="shared" si="77"/>
        <v>0</v>
      </c>
      <c s="125">
        <f>Предпосылки!D$231*Предпосылки!$G257*Продажи!E22*E$19*(1+Чувствительность!$D$20)*IFERROR(LOOKUP(Предпосылки!$H$204,$C$13:$C$15,E$13:E$15),1)</f>
        <v>0</v>
      </c>
      <c s="125">
        <f>Предпосылки!E$231*Предпосылки!$G257*Продажи!F22*F$19*(1+Чувствительность!$D$20)*IFERROR(LOOKUP(Предпосылки!$H$204,$C$13:$C$15,F$13:F$15),1)</f>
        <v>0</v>
      </c>
      <c s="125">
        <f>Предпосылки!F$231*Предпосылки!$G257*Продажи!G22*G$19*(1+Чувствительность!$D$20)*IFERROR(LOOKUP(Предпосылки!$H$204,$C$13:$C$15,G$13:G$15),1)</f>
        <v>0</v>
      </c>
      <c s="125">
        <f>Предпосылки!G$231*Предпосылки!$G257*Продажи!H22*H$19*(1+Чувствительность!$D$20)*IFERROR(LOOKUP(Предпосылки!$H$204,$C$13:$C$15,H$13:H$15),1)</f>
        <v>0</v>
      </c>
      <c s="125">
        <f>Предпосылки!H$231*Предпосылки!$G257*Продажи!I22*I$19*(1+Чувствительность!$D$20)*IFERROR(LOOKUP(Предпосылки!$H$204,$C$13:$C$15,I$13:I$15),1)</f>
        <v>0</v>
      </c>
      <c s="125">
        <f>Предпосылки!I$231*Предпосылки!$G257*Продажи!J22*J$19*(1+Чувствительность!$D$20)*IFERROR(LOOKUP(Предпосылки!$H$204,$C$13:$C$15,J$13:J$15),1)</f>
        <v>0</v>
      </c>
      <c s="125">
        <f>Предпосылки!J$231*Предпосылки!$G257*Продажи!K22*K$19*(1+Чувствительность!$D$20)*IFERROR(LOOKUP(Предпосылки!$H$204,$C$13:$C$15,K$13:K$15),1)</f>
        <v>0</v>
      </c>
      <c s="125">
        <f>Предпосылки!K$231*Предпосылки!$G257*Продажи!L22*L$19*(1+Чувствительность!$D$20)*IFERROR(LOOKUP(Предпосылки!$H$204,$C$13:$C$15,L$13:L$15),1)</f>
        <v>0</v>
      </c>
      <c s="125">
        <f>Предпосылки!L$231*Предпосылки!$G257*Продажи!M22*M$19*(1+Чувствительность!$D$20)*IFERROR(LOOKUP(Предпосылки!$H$204,$C$13:$C$15,M$13:M$15),1)</f>
        <v>0</v>
      </c>
      <c s="125">
        <f>Предпосылки!M$231*Предпосылки!$G257*Продажи!N22*N$19*(1+Чувствительность!$D$20)*IFERROR(LOOKUP(Предпосылки!$H$204,$C$13:$C$15,N$13:N$15),1)</f>
        <v>0</v>
      </c>
      <c s="125">
        <f>Предпосылки!N$231*Предпосылки!$G257*Продажи!O22*O$19*(1+Чувствительность!$D$20)*IFERROR(LOOKUP(Предпосылки!$H$204,$C$13:$C$15,O$13:O$15),1)</f>
        <v>0</v>
      </c>
      <c s="125">
        <f>Предпосылки!O$231*Предпосылки!$G257*Продажи!P22*P$19*(1+Чувствительность!$D$20)*IFERROR(LOOKUP(Предпосылки!$H$204,$C$13:$C$15,P$13:P$15),1)</f>
        <v>0</v>
      </c>
      <c s="125">
        <f>Предпосылки!P$231*Предпосылки!$G257*Продажи!Q22*Q$19*(1+Чувствительность!$D$20)*IFERROR(LOOKUP(Предпосылки!$H$204,$C$13:$C$15,Q$13:Q$15),1)</f>
        <v>0</v>
      </c>
      <c s="125">
        <f>Предпосылки!Q$231*Предпосылки!$G257*Продажи!R22*R$19*(1+Чувствительность!$D$20)*IFERROR(LOOKUP(Предпосылки!$H$204,$C$13:$C$15,R$13:R$15),1)</f>
        <v>0</v>
      </c>
      <c s="125">
        <f>Предпосылки!R$231*Предпосылки!$G257*Продажи!S22*S$19*(1+Чувствительность!$D$20)*IFERROR(LOOKUP(Предпосылки!$H$204,$C$13:$C$15,S$13:S$15),1)</f>
        <v>0</v>
      </c>
      <c s="125">
        <f>Предпосылки!S$231*Предпосылки!$G257*Продажи!T22*T$19*(1+Чувствительность!$D$20)*IFERROR(LOOKUP(Предпосылки!$H$204,$C$13:$C$15,T$13:T$15),1)</f>
        <v>0</v>
      </c>
      <c s="125">
        <f>Предпосылки!T$231*Предпосылки!$G257*Продажи!U22*U$19*(1+Чувствительность!$D$20)*IFERROR(LOOKUP(Предпосылки!$H$204,$C$13:$C$15,U$13:U$15),1)</f>
        <v>0</v>
      </c>
      <c s="125">
        <f>Предпосылки!U$231*Предпосылки!$G257*Продажи!V22*V$19*(1+Чувствительность!$D$20)*IFERROR(LOOKUP(Предпосылки!$H$204,$C$13:$C$15,V$13:V$15),1)</f>
        <v>0</v>
      </c>
      <c s="125">
        <f>Предпосылки!V$231*Предпосылки!$G257*Продажи!W22*W$19*(1+Чувствительность!$D$20)*IFERROR(LOOKUP(Предпосылки!$H$204,$C$13:$C$15,W$13:W$15),1)</f>
        <v>0</v>
      </c>
      <c s="125">
        <f>Предпосылки!W$231*Предпосылки!$G257*Продажи!X22*X$19*(1+Чувствительность!$D$20)*IFERROR(LOOKUP(Предпосылки!$H$204,$C$13:$C$15,X$13:X$15),1)</f>
        <v>0</v>
      </c>
      <c s="125">
        <f>Предпосылки!X$231*Предпосылки!$G257*Продажи!Y22*Y$19*(1+Чувствительность!$D$20)*IFERROR(LOOKUP(Предпосылки!$H$204,$C$13:$C$15,Y$13:Y$15),1)</f>
        <v>0</v>
      </c>
      <c s="125">
        <f>Предпосылки!Y$231*Предпосылки!$G257*Продажи!Z22*Z$19*(1+Чувствительность!$D$20)*IFERROR(LOOKUP(Предпосылки!$H$204,$C$13:$C$15,Z$13:Z$15),1)</f>
        <v>0</v>
      </c>
      <c s="125">
        <f>Предпосылки!Z$231*Предпосылки!$G257*Продажи!AA22*AA$19*(1+Чувствительность!$D$20)*IFERROR(LOOKUP(Предпосылки!$H$204,$C$13:$C$15,AA$13:AA$15),1)</f>
        <v>0</v>
      </c>
      <c s="125">
        <f>Предпосылки!AA$231*Предпосылки!$G257*Продажи!AB22*AB$19*(1+Чувствительность!$D$20)*IFERROR(LOOKUP(Предпосылки!$H$204,$C$13:$C$15,AB$13:AB$15),1)</f>
        <v>0</v>
      </c>
      <c s="125">
        <f>Предпосылки!AB$231*Предпосылки!$G257*Продажи!AC22*AC$19*(1+Чувствительность!$D$20)*IFERROR(LOOKUP(Предпосылки!$H$204,$C$13:$C$15,AC$13:AC$15),1)</f>
        <v>0</v>
      </c>
      <c s="125">
        <f>Предпосылки!AC$231*Предпосылки!$G257*Продажи!AD22*AD$19*(1+Чувствительность!$D$20)*IFERROR(LOOKUP(Предпосылки!$H$204,$C$13:$C$15,AD$13:AD$15),1)</f>
        <v>0</v>
      </c>
      <c s="125">
        <f>Предпосылки!AD$231*Предпосылки!$G257*Продажи!AE22*AE$19*(1+Чувствительность!$D$20)*IFERROR(LOOKUP(Предпосылки!$H$204,$C$13:$C$15,AE$13:AE$15),1)</f>
        <v>0</v>
      </c>
      <c s="125">
        <f>Предпосылки!AE$231*Предпосылки!$G257*Продажи!AF22*AF$19*(1+Чувствительность!$D$20)*IFERROR(LOOKUP(Предпосылки!$H$204,$C$13:$C$15,AF$13:AF$15),1)</f>
        <v>0</v>
      </c>
      <c s="125">
        <f>Предпосылки!AF$231*Предпосылки!$G257*Продажи!AG22*AG$19*(1+Чувствительность!$D$20)*IFERROR(LOOKUP(Предпосылки!$H$204,$C$13:$C$15,AG$13:AG$15),1)</f>
        <v>0</v>
      </c>
      <c s="125">
        <f>Предпосылки!AG$231*Предпосылки!$G257*Продажи!AH22*AH$19*(1+Чувствительность!$D$20)*IFERROR(LOOKUP(Предпосылки!$H$204,$C$13:$C$15,AH$13:AH$15),1)</f>
        <v>0</v>
      </c>
      <c s="125">
        <f>Предпосылки!AH$231*Предпосылки!$G257*Продажи!AI22*AI$19*(1+Чувствительность!$D$20)*IFERROR(LOOKUP(Предпосылки!$H$204,$C$13:$C$15,AI$13:AI$15),1)</f>
        <v>0</v>
      </c>
      <c s="125">
        <f>Предпосылки!AI$231*Предпосылки!$G257*Продажи!AJ22*AJ$19*(1+Чувствительность!$D$20)*IFERROR(LOOKUP(Предпосылки!$H$204,$C$13:$C$15,AJ$13:AJ$15),1)</f>
        <v>0</v>
      </c>
      <c s="125">
        <f>Предпосылки!AJ$231*Предпосылки!$G257*Продажи!AK22*AK$19*(1+Чувствительность!$D$20)*IFERROR(LOOKUP(Предпосылки!$H$204,$C$13:$C$15,AK$13:AK$15),1)</f>
        <v>0</v>
      </c>
      <c s="125">
        <f>Предпосылки!AK$231*Предпосылки!$G257*Продажи!AL22*AL$19*(1+Чувствительность!$D$20)*IFERROR(LOOKUP(Предпосылки!$H$204,$C$13:$C$15,AL$13:AL$15),1)</f>
        <v>0</v>
      </c>
      <c s="125">
        <f>Предпосылки!AL$231*Предпосылки!$G257*Продажи!AM22*AM$19*(1+Чувствительность!$D$20)*IFERROR(LOOKUP(Предпосылки!$H$204,$C$13:$C$15,AM$13:AM$15),1)</f>
        <v>0</v>
      </c>
      <c s="125">
        <f>Предпосылки!AM$231*Предпосылки!$G257*Продажи!AN22*AN$19*(1+Чувствительность!$D$20)*IFERROR(LOOKUP(Предпосылки!$H$204,$C$13:$C$15,AN$13:AN$15),1)</f>
        <v>0</v>
      </c>
      <c s="125">
        <f>Предпосылки!AN$231*Предпосылки!$G257*Продажи!AO22*AO$19*(1+Чувствительность!$D$20)*IFERROR(LOOKUP(Предпосылки!$H$204,$C$13:$C$15,AO$13:AO$15),1)</f>
        <v>0</v>
      </c>
      <c s="125">
        <f>Предпосылки!AO$231*Предпосылки!$G257*Продажи!AP22*AP$19*(1+Чувствительность!$D$20)*IFERROR(LOOKUP(Предпосылки!$H$204,$C$13:$C$15,AP$13:AP$15),1)</f>
        <v>0</v>
      </c>
      <c s="125">
        <f>Предпосылки!AP$231*Предпосылки!$G257*Продажи!AQ22*AQ$19*(1+Чувствительность!$D$20)*IFERROR(LOOKUP(Предпосылки!$H$204,$C$13:$C$15,AQ$13:AQ$15),1)</f>
        <v>0</v>
      </c>
      <c s="125">
        <f>Предпосылки!AQ$231*Предпосылки!$G257*Продажи!AR22*AR$19*(1+Чувствительность!$D$20)*IFERROR(LOOKUP(Предпосылки!$H$204,$C$13:$C$15,AR$13:AR$15),1)</f>
        <v>0</v>
      </c>
      <c s="125">
        <f>Предпосылки!AR$231*Предпосылки!$G257*Продажи!AS22*AS$19*(1+Чувствительность!$D$20)*IFERROR(LOOKUP(Предпосылки!$H$204,$C$13:$C$15,AS$13:AS$15),1)</f>
        <v>0</v>
      </c>
      <c s="125">
        <f>Предпосылки!AS$231*Предпосылки!$G257*Продажи!AT22*AT$19*(1+Чувствительность!$D$20)*IFERROR(LOOKUP(Предпосылки!$H$204,$C$13:$C$15,AT$13:AT$15),1)</f>
        <v>0</v>
      </c>
      <c s="125">
        <f>Предпосылки!AT$231*Предпосылки!$G257*Продажи!AU22*AU$19*(1+Чувствительность!$D$20)*IFERROR(LOOKUP(Предпосылки!$H$204,$C$13:$C$15,AU$13:AU$15),1)</f>
        <v>0</v>
      </c>
      <c s="125">
        <f>Предпосылки!AU$231*Предпосылки!$G257*Продажи!AV22*AV$19*(1+Чувствительность!$D$20)*IFERROR(LOOKUP(Предпосылки!$H$204,$C$13:$C$15,AV$13:AV$15),1)</f>
        <v>0</v>
      </c>
      <c s="125">
        <f>Предпосылки!AV$231*Предпосылки!$G257*Продажи!AW22*AW$19*(1+Чувствительность!$D$20)*IFERROR(LOOKUP(Предпосылки!$H$204,$C$13:$C$15,AW$13:AW$15),1)</f>
        <v>0</v>
      </c>
      <c s="125">
        <f>Предпосылки!AW$231*Предпосылки!$G257*Продажи!AX22*AX$19*(1+Чувствительность!$D$20)*IFERROR(LOOKUP(Предпосылки!$H$204,$C$13:$C$15,AX$13:AX$15),1)</f>
        <v>0</v>
      </c>
      <c s="125">
        <f>Предпосылки!AX$231*Предпосылки!$G257*Продажи!AY22*AY$19*(1+Чувствительность!$D$20)*IFERROR(LOOKUP(Предпосылки!$H$204,$C$13:$C$15,AY$13:AY$15),1)</f>
        <v>0</v>
      </c>
      <c s="125">
        <f>Предпосылки!AY$231*Предпосылки!$G257*Продажи!AZ22*AZ$19*(1+Чувствительность!$D$20)*IFERROR(LOOKUP(Предпосылки!$H$204,$C$13:$C$15,AZ$13:AZ$15),1)</f>
        <v>0</v>
      </c>
      <c s="125">
        <f>Предпосылки!AZ$231*Предпосылки!$G257*Продажи!BA22*BA$19*(1+Чувствительность!$D$20)*IFERROR(LOOKUP(Предпосылки!$H$204,$C$13:$C$15,BA$13:BA$15),1)</f>
        <v>0</v>
      </c>
      <c s="125">
        <f>Предпосылки!BA$231*Предпосылки!$G257*Продажи!BB22*BB$19*(1+Чувствительность!$D$20)*IFERROR(LOOKUP(Предпосылки!$H$204,$C$13:$C$15,BB$13:BB$15),1)</f>
        <v>0</v>
      </c>
      <c s="125">
        <f>Предпосылки!BB$231*Предпосылки!$G257*Продажи!BC22*BC$19*(1+Чувствительность!$D$20)*IFERROR(LOOKUP(Предпосылки!$H$204,$C$13:$C$15,BC$13:BC$15),1)</f>
        <v>0</v>
      </c>
      <c s="125">
        <f>Предпосылки!BC$231*Предпосылки!$G257*Продажи!BD22*BD$19*(1+Чувствительность!$D$20)*IFERROR(LOOKUP(Предпосылки!$H$204,$C$13:$C$15,BD$13:BD$15),1)</f>
        <v>0</v>
      </c>
      <c s="125">
        <f>Предпосылки!BD$231*Предпосылки!$G257*Продажи!BE22*BE$19*(1+Чувствительность!$D$20)*IFERROR(LOOKUP(Предпосылки!$H$204,$C$13:$C$15,BE$13:BE$15),1)</f>
        <v>0</v>
      </c>
      <c s="125">
        <f>Предпосылки!BE$231*Предпосылки!$G257*Продажи!BF22*BF$19*(1+Чувствительность!$D$20)*IFERROR(LOOKUP(Предпосылки!$H$204,$C$13:$C$15,BF$13:BF$15),1)</f>
        <v>0</v>
      </c>
      <c s="125">
        <f>Предпосылки!BF$231*Предпосылки!$G257*Продажи!BG22*BG$19*(1+Чувствительность!$D$20)*IFERROR(LOOKUP(Предпосылки!$H$204,$C$13:$C$15,BG$13:BG$15),1)</f>
        <v>0</v>
      </c>
      <c s="125">
        <f>Предпосылки!BG$231*Предпосылки!$G257*Продажи!BH22*BH$19*(1+Чувствительность!$D$20)*IFERROR(LOOKUP(Предпосылки!$H$204,$C$13:$C$15,BH$13:BH$15),1)</f>
        <v>0</v>
      </c>
      <c s="125">
        <f>Предпосылки!BH$231*Предпосылки!$G257*Продажи!BI22*BI$19*(1+Чувствительность!$D$20)*IFERROR(LOOKUP(Предпосылки!$H$204,$C$13:$C$15,BI$13:BI$15),1)</f>
        <v>0</v>
      </c>
      <c s="125">
        <f>Предпосылки!BI$231*Предпосылки!$G257*Продажи!BJ22*BJ$19*(1+Чувствительность!$D$20)*IFERROR(LOOKUP(Предпосылки!$H$204,$C$13:$C$15,BJ$13:BJ$15),1)</f>
        <v>0</v>
      </c>
      <c s="125">
        <f>Предпосылки!BJ$231*Предпосылки!$G257*Продажи!BK22*BK$19*(1+Чувствительность!$D$20)*IFERROR(LOOKUP(Предпосылки!$H$204,$C$13:$C$15,BK$13:BK$15),1)</f>
        <v>0</v>
      </c>
      <c s="125">
        <f>Предпосылки!BK$231*Предпосылки!$G257*Продажи!BL22*BL$19*(1+Чувствительность!$D$20)*IFERROR(LOOKUP(Предпосылки!$H$204,$C$13:$C$15,BL$13:BL$15),1)</f>
        <v>0</v>
      </c>
      <c s="125">
        <f>Предпосылки!BL$231*Предпосылки!$G257*Продажи!BM22*BM$19*(1+Чувствительность!$D$20)*IFERROR(LOOKUP(Предпосылки!$H$204,$C$13:$C$15,BM$13:BM$15),1)</f>
        <v>0</v>
      </c>
    </row>
    <row r="97" spans="2:65" ht="15" customHeight="1">
      <c r="B97" s="12" t="str">
        <f t="shared" si="76"/>
        <v>Продукт 6</v>
      </c>
      <c s="124" t="str">
        <f t="shared" si="75"/>
        <v>тыс. руб.</v>
      </c>
      <c s="276">
        <f t="shared" si="77"/>
        <v>0</v>
      </c>
      <c s="125">
        <f>Предпосылки!D$231*Предпосылки!$G258*Продажи!E23*E$19*(1+Чувствительность!$D$20)*IFERROR(LOOKUP(Предпосылки!$H$204,$C$13:$C$15,E$13:E$15),1)</f>
        <v>0</v>
      </c>
      <c s="125">
        <f>Предпосылки!E$231*Предпосылки!$G258*Продажи!F23*F$19*(1+Чувствительность!$D$20)*IFERROR(LOOKUP(Предпосылки!$H$204,$C$13:$C$15,F$13:F$15),1)</f>
        <v>0</v>
      </c>
      <c s="125">
        <f>Предпосылки!F$231*Предпосылки!$G258*Продажи!G23*G$19*(1+Чувствительность!$D$20)*IFERROR(LOOKUP(Предпосылки!$H$204,$C$13:$C$15,G$13:G$15),1)</f>
        <v>0</v>
      </c>
      <c s="125">
        <f>Предпосылки!G$231*Предпосылки!$G258*Продажи!H23*H$19*(1+Чувствительность!$D$20)*IFERROR(LOOKUP(Предпосылки!$H$204,$C$13:$C$15,H$13:H$15),1)</f>
        <v>0</v>
      </c>
      <c s="125">
        <f>Предпосылки!H$231*Предпосылки!$G258*Продажи!I23*I$19*(1+Чувствительность!$D$20)*IFERROR(LOOKUP(Предпосылки!$H$204,$C$13:$C$15,I$13:I$15),1)</f>
        <v>0</v>
      </c>
      <c s="125">
        <f>Предпосылки!I$231*Предпосылки!$G258*Продажи!J23*J$19*(1+Чувствительность!$D$20)*IFERROR(LOOKUP(Предпосылки!$H$204,$C$13:$C$15,J$13:J$15),1)</f>
        <v>0</v>
      </c>
      <c s="125">
        <f>Предпосылки!J$231*Предпосылки!$G258*Продажи!K23*K$19*(1+Чувствительность!$D$20)*IFERROR(LOOKUP(Предпосылки!$H$204,$C$13:$C$15,K$13:K$15),1)</f>
        <v>0</v>
      </c>
      <c s="125">
        <f>Предпосылки!K$231*Предпосылки!$G258*Продажи!L23*L$19*(1+Чувствительность!$D$20)*IFERROR(LOOKUP(Предпосылки!$H$204,$C$13:$C$15,L$13:L$15),1)</f>
        <v>0</v>
      </c>
      <c s="125">
        <f>Предпосылки!L$231*Предпосылки!$G258*Продажи!M23*M$19*(1+Чувствительность!$D$20)*IFERROR(LOOKUP(Предпосылки!$H$204,$C$13:$C$15,M$13:M$15),1)</f>
        <v>0</v>
      </c>
      <c s="125">
        <f>Предпосылки!M$231*Предпосылки!$G258*Продажи!N23*N$19*(1+Чувствительность!$D$20)*IFERROR(LOOKUP(Предпосылки!$H$204,$C$13:$C$15,N$13:N$15),1)</f>
        <v>0</v>
      </c>
      <c s="125">
        <f>Предпосылки!N$231*Предпосылки!$G258*Продажи!O23*O$19*(1+Чувствительность!$D$20)*IFERROR(LOOKUP(Предпосылки!$H$204,$C$13:$C$15,O$13:O$15),1)</f>
        <v>0</v>
      </c>
      <c s="125">
        <f>Предпосылки!O$231*Предпосылки!$G258*Продажи!P23*P$19*(1+Чувствительность!$D$20)*IFERROR(LOOKUP(Предпосылки!$H$204,$C$13:$C$15,P$13:P$15),1)</f>
        <v>0</v>
      </c>
      <c s="125">
        <f>Предпосылки!P$231*Предпосылки!$G258*Продажи!Q23*Q$19*(1+Чувствительность!$D$20)*IFERROR(LOOKUP(Предпосылки!$H$204,$C$13:$C$15,Q$13:Q$15),1)</f>
        <v>0</v>
      </c>
      <c s="125">
        <f>Предпосылки!Q$231*Предпосылки!$G258*Продажи!R23*R$19*(1+Чувствительность!$D$20)*IFERROR(LOOKUP(Предпосылки!$H$204,$C$13:$C$15,R$13:R$15),1)</f>
        <v>0</v>
      </c>
      <c s="125">
        <f>Предпосылки!R$231*Предпосылки!$G258*Продажи!S23*S$19*(1+Чувствительность!$D$20)*IFERROR(LOOKUP(Предпосылки!$H$204,$C$13:$C$15,S$13:S$15),1)</f>
        <v>0</v>
      </c>
      <c s="125">
        <f>Предпосылки!S$231*Предпосылки!$G258*Продажи!T23*T$19*(1+Чувствительность!$D$20)*IFERROR(LOOKUP(Предпосылки!$H$204,$C$13:$C$15,T$13:T$15),1)</f>
        <v>0</v>
      </c>
      <c s="125">
        <f>Предпосылки!T$231*Предпосылки!$G258*Продажи!U23*U$19*(1+Чувствительность!$D$20)*IFERROR(LOOKUP(Предпосылки!$H$204,$C$13:$C$15,U$13:U$15),1)</f>
        <v>0</v>
      </c>
      <c s="125">
        <f>Предпосылки!U$231*Предпосылки!$G258*Продажи!V23*V$19*(1+Чувствительность!$D$20)*IFERROR(LOOKUP(Предпосылки!$H$204,$C$13:$C$15,V$13:V$15),1)</f>
        <v>0</v>
      </c>
      <c s="125">
        <f>Предпосылки!V$231*Предпосылки!$G258*Продажи!W23*W$19*(1+Чувствительность!$D$20)*IFERROR(LOOKUP(Предпосылки!$H$204,$C$13:$C$15,W$13:W$15),1)</f>
        <v>0</v>
      </c>
      <c s="125">
        <f>Предпосылки!W$231*Предпосылки!$G258*Продажи!X23*X$19*(1+Чувствительность!$D$20)*IFERROR(LOOKUP(Предпосылки!$H$204,$C$13:$C$15,X$13:X$15),1)</f>
        <v>0</v>
      </c>
      <c s="125">
        <f>Предпосылки!X$231*Предпосылки!$G258*Продажи!Y23*Y$19*(1+Чувствительность!$D$20)*IFERROR(LOOKUP(Предпосылки!$H$204,$C$13:$C$15,Y$13:Y$15),1)</f>
        <v>0</v>
      </c>
      <c s="125">
        <f>Предпосылки!Y$231*Предпосылки!$G258*Продажи!Z23*Z$19*(1+Чувствительность!$D$20)*IFERROR(LOOKUP(Предпосылки!$H$204,$C$13:$C$15,Z$13:Z$15),1)</f>
        <v>0</v>
      </c>
      <c s="125">
        <f>Предпосылки!Z$231*Предпосылки!$G258*Продажи!AA23*AA$19*(1+Чувствительность!$D$20)*IFERROR(LOOKUP(Предпосылки!$H$204,$C$13:$C$15,AA$13:AA$15),1)</f>
        <v>0</v>
      </c>
      <c s="125">
        <f>Предпосылки!AA$231*Предпосылки!$G258*Продажи!AB23*AB$19*(1+Чувствительность!$D$20)*IFERROR(LOOKUP(Предпосылки!$H$204,$C$13:$C$15,AB$13:AB$15),1)</f>
        <v>0</v>
      </c>
      <c s="125">
        <f>Предпосылки!AB$231*Предпосылки!$G258*Продажи!AC23*AC$19*(1+Чувствительность!$D$20)*IFERROR(LOOKUP(Предпосылки!$H$204,$C$13:$C$15,AC$13:AC$15),1)</f>
        <v>0</v>
      </c>
      <c s="125">
        <f>Предпосылки!AC$231*Предпосылки!$G258*Продажи!AD23*AD$19*(1+Чувствительность!$D$20)*IFERROR(LOOKUP(Предпосылки!$H$204,$C$13:$C$15,AD$13:AD$15),1)</f>
        <v>0</v>
      </c>
      <c s="125">
        <f>Предпосылки!AD$231*Предпосылки!$G258*Продажи!AE23*AE$19*(1+Чувствительность!$D$20)*IFERROR(LOOKUP(Предпосылки!$H$204,$C$13:$C$15,AE$13:AE$15),1)</f>
        <v>0</v>
      </c>
      <c s="125">
        <f>Предпосылки!AE$231*Предпосылки!$G258*Продажи!AF23*AF$19*(1+Чувствительность!$D$20)*IFERROR(LOOKUP(Предпосылки!$H$204,$C$13:$C$15,AF$13:AF$15),1)</f>
        <v>0</v>
      </c>
      <c s="125">
        <f>Предпосылки!AF$231*Предпосылки!$G258*Продажи!AG23*AG$19*(1+Чувствительность!$D$20)*IFERROR(LOOKUP(Предпосылки!$H$204,$C$13:$C$15,AG$13:AG$15),1)</f>
        <v>0</v>
      </c>
      <c s="125">
        <f>Предпосылки!AG$231*Предпосылки!$G258*Продажи!AH23*AH$19*(1+Чувствительность!$D$20)*IFERROR(LOOKUP(Предпосылки!$H$204,$C$13:$C$15,AH$13:AH$15),1)</f>
        <v>0</v>
      </c>
      <c s="125">
        <f>Предпосылки!AH$231*Предпосылки!$G258*Продажи!AI23*AI$19*(1+Чувствительность!$D$20)*IFERROR(LOOKUP(Предпосылки!$H$204,$C$13:$C$15,AI$13:AI$15),1)</f>
        <v>0</v>
      </c>
      <c s="125">
        <f>Предпосылки!AI$231*Предпосылки!$G258*Продажи!AJ23*AJ$19*(1+Чувствительность!$D$20)*IFERROR(LOOKUP(Предпосылки!$H$204,$C$13:$C$15,AJ$13:AJ$15),1)</f>
        <v>0</v>
      </c>
      <c s="125">
        <f>Предпосылки!AJ$231*Предпосылки!$G258*Продажи!AK23*AK$19*(1+Чувствительность!$D$20)*IFERROR(LOOKUP(Предпосылки!$H$204,$C$13:$C$15,AK$13:AK$15),1)</f>
        <v>0</v>
      </c>
      <c s="125">
        <f>Предпосылки!AK$231*Предпосылки!$G258*Продажи!AL23*AL$19*(1+Чувствительность!$D$20)*IFERROR(LOOKUP(Предпосылки!$H$204,$C$13:$C$15,AL$13:AL$15),1)</f>
        <v>0</v>
      </c>
      <c s="125">
        <f>Предпосылки!AL$231*Предпосылки!$G258*Продажи!AM23*AM$19*(1+Чувствительность!$D$20)*IFERROR(LOOKUP(Предпосылки!$H$204,$C$13:$C$15,AM$13:AM$15),1)</f>
        <v>0</v>
      </c>
      <c s="125">
        <f>Предпосылки!AM$231*Предпосылки!$G258*Продажи!AN23*AN$19*(1+Чувствительность!$D$20)*IFERROR(LOOKUP(Предпосылки!$H$204,$C$13:$C$15,AN$13:AN$15),1)</f>
        <v>0</v>
      </c>
      <c s="125">
        <f>Предпосылки!AN$231*Предпосылки!$G258*Продажи!AO23*AO$19*(1+Чувствительность!$D$20)*IFERROR(LOOKUP(Предпосылки!$H$204,$C$13:$C$15,AO$13:AO$15),1)</f>
        <v>0</v>
      </c>
      <c s="125">
        <f>Предпосылки!AO$231*Предпосылки!$G258*Продажи!AP23*AP$19*(1+Чувствительность!$D$20)*IFERROR(LOOKUP(Предпосылки!$H$204,$C$13:$C$15,AP$13:AP$15),1)</f>
        <v>0</v>
      </c>
      <c s="125">
        <f>Предпосылки!AP$231*Предпосылки!$G258*Продажи!AQ23*AQ$19*(1+Чувствительность!$D$20)*IFERROR(LOOKUP(Предпосылки!$H$204,$C$13:$C$15,AQ$13:AQ$15),1)</f>
        <v>0</v>
      </c>
      <c s="125">
        <f>Предпосылки!AQ$231*Предпосылки!$G258*Продажи!AR23*AR$19*(1+Чувствительность!$D$20)*IFERROR(LOOKUP(Предпосылки!$H$204,$C$13:$C$15,AR$13:AR$15),1)</f>
        <v>0</v>
      </c>
      <c s="125">
        <f>Предпосылки!AR$231*Предпосылки!$G258*Продажи!AS23*AS$19*(1+Чувствительность!$D$20)*IFERROR(LOOKUP(Предпосылки!$H$204,$C$13:$C$15,AS$13:AS$15),1)</f>
        <v>0</v>
      </c>
      <c s="125">
        <f>Предпосылки!AS$231*Предпосылки!$G258*Продажи!AT23*AT$19*(1+Чувствительность!$D$20)*IFERROR(LOOKUP(Предпосылки!$H$204,$C$13:$C$15,AT$13:AT$15),1)</f>
        <v>0</v>
      </c>
      <c s="125">
        <f>Предпосылки!AT$231*Предпосылки!$G258*Продажи!AU23*AU$19*(1+Чувствительность!$D$20)*IFERROR(LOOKUP(Предпосылки!$H$204,$C$13:$C$15,AU$13:AU$15),1)</f>
        <v>0</v>
      </c>
      <c s="125">
        <f>Предпосылки!AU$231*Предпосылки!$G258*Продажи!AV23*AV$19*(1+Чувствительность!$D$20)*IFERROR(LOOKUP(Предпосылки!$H$204,$C$13:$C$15,AV$13:AV$15),1)</f>
        <v>0</v>
      </c>
      <c s="125">
        <f>Предпосылки!AV$231*Предпосылки!$G258*Продажи!AW23*AW$19*(1+Чувствительность!$D$20)*IFERROR(LOOKUP(Предпосылки!$H$204,$C$13:$C$15,AW$13:AW$15),1)</f>
        <v>0</v>
      </c>
      <c s="125">
        <f>Предпосылки!AW$231*Предпосылки!$G258*Продажи!AX23*AX$19*(1+Чувствительность!$D$20)*IFERROR(LOOKUP(Предпосылки!$H$204,$C$13:$C$15,AX$13:AX$15),1)</f>
        <v>0</v>
      </c>
      <c s="125">
        <f>Предпосылки!AX$231*Предпосылки!$G258*Продажи!AY23*AY$19*(1+Чувствительность!$D$20)*IFERROR(LOOKUP(Предпосылки!$H$204,$C$13:$C$15,AY$13:AY$15),1)</f>
        <v>0</v>
      </c>
      <c s="125">
        <f>Предпосылки!AY$231*Предпосылки!$G258*Продажи!AZ23*AZ$19*(1+Чувствительность!$D$20)*IFERROR(LOOKUP(Предпосылки!$H$204,$C$13:$C$15,AZ$13:AZ$15),1)</f>
        <v>0</v>
      </c>
      <c s="125">
        <f>Предпосылки!AZ$231*Предпосылки!$G258*Продажи!BA23*BA$19*(1+Чувствительность!$D$20)*IFERROR(LOOKUP(Предпосылки!$H$204,$C$13:$C$15,BA$13:BA$15),1)</f>
        <v>0</v>
      </c>
      <c s="125">
        <f>Предпосылки!BA$231*Предпосылки!$G258*Продажи!BB23*BB$19*(1+Чувствительность!$D$20)*IFERROR(LOOKUP(Предпосылки!$H$204,$C$13:$C$15,BB$13:BB$15),1)</f>
        <v>0</v>
      </c>
      <c s="125">
        <f>Предпосылки!BB$231*Предпосылки!$G258*Продажи!BC23*BC$19*(1+Чувствительность!$D$20)*IFERROR(LOOKUP(Предпосылки!$H$204,$C$13:$C$15,BC$13:BC$15),1)</f>
        <v>0</v>
      </c>
      <c s="125">
        <f>Предпосылки!BC$231*Предпосылки!$G258*Продажи!BD23*BD$19*(1+Чувствительность!$D$20)*IFERROR(LOOKUP(Предпосылки!$H$204,$C$13:$C$15,BD$13:BD$15),1)</f>
        <v>0</v>
      </c>
      <c s="125">
        <f>Предпосылки!BD$231*Предпосылки!$G258*Продажи!BE23*BE$19*(1+Чувствительность!$D$20)*IFERROR(LOOKUP(Предпосылки!$H$204,$C$13:$C$15,BE$13:BE$15),1)</f>
        <v>0</v>
      </c>
      <c s="125">
        <f>Предпосылки!BE$231*Предпосылки!$G258*Продажи!BF23*BF$19*(1+Чувствительность!$D$20)*IFERROR(LOOKUP(Предпосылки!$H$204,$C$13:$C$15,BF$13:BF$15),1)</f>
        <v>0</v>
      </c>
      <c s="125">
        <f>Предпосылки!BF$231*Предпосылки!$G258*Продажи!BG23*BG$19*(1+Чувствительность!$D$20)*IFERROR(LOOKUP(Предпосылки!$H$204,$C$13:$C$15,BG$13:BG$15),1)</f>
        <v>0</v>
      </c>
      <c s="125">
        <f>Предпосылки!BG$231*Предпосылки!$G258*Продажи!BH23*BH$19*(1+Чувствительность!$D$20)*IFERROR(LOOKUP(Предпосылки!$H$204,$C$13:$C$15,BH$13:BH$15),1)</f>
        <v>0</v>
      </c>
      <c s="125">
        <f>Предпосылки!BH$231*Предпосылки!$G258*Продажи!BI23*BI$19*(1+Чувствительность!$D$20)*IFERROR(LOOKUP(Предпосылки!$H$204,$C$13:$C$15,BI$13:BI$15),1)</f>
        <v>0</v>
      </c>
      <c s="125">
        <f>Предпосылки!BI$231*Предпосылки!$G258*Продажи!BJ23*BJ$19*(1+Чувствительность!$D$20)*IFERROR(LOOKUP(Предпосылки!$H$204,$C$13:$C$15,BJ$13:BJ$15),1)</f>
        <v>0</v>
      </c>
      <c s="125">
        <f>Предпосылки!BJ$231*Предпосылки!$G258*Продажи!BK23*BK$19*(1+Чувствительность!$D$20)*IFERROR(LOOKUP(Предпосылки!$H$204,$C$13:$C$15,BK$13:BK$15),1)</f>
        <v>0</v>
      </c>
      <c s="125">
        <f>Предпосылки!BK$231*Предпосылки!$G258*Продажи!BL23*BL$19*(1+Чувствительность!$D$20)*IFERROR(LOOKUP(Предпосылки!$H$204,$C$13:$C$15,BL$13:BL$15),1)</f>
        <v>0</v>
      </c>
      <c s="125">
        <f>Предпосылки!BL$231*Предпосылки!$G258*Продажи!BM23*BM$19*(1+Чувствительность!$D$20)*IFERROR(LOOKUP(Предпосылки!$H$204,$C$13:$C$15,BM$13:BM$15),1)</f>
        <v>0</v>
      </c>
    </row>
    <row r="98" spans="2:65" ht="15" customHeight="1">
      <c r="B98" s="12" t="str">
        <f t="shared" si="76"/>
        <v>Продукт 7</v>
      </c>
      <c s="124" t="str">
        <f t="shared" si="75"/>
        <v>тыс. руб.</v>
      </c>
      <c s="276">
        <f t="shared" si="77"/>
        <v>0</v>
      </c>
      <c s="125">
        <f>Предпосылки!D$231*Предпосылки!$G259*Продажи!E24*E$19*(1+Чувствительность!$D$20)*IFERROR(LOOKUP(Предпосылки!$H$204,$C$13:$C$15,E$13:E$15),1)</f>
        <v>0</v>
      </c>
      <c s="125">
        <f>Предпосылки!E$231*Предпосылки!$G259*Продажи!F24*F$19*(1+Чувствительность!$D$20)*IFERROR(LOOKUP(Предпосылки!$H$204,$C$13:$C$15,F$13:F$15),1)</f>
        <v>0</v>
      </c>
      <c s="125">
        <f>Предпосылки!F$231*Предпосылки!$G259*Продажи!G24*G$19*(1+Чувствительность!$D$20)*IFERROR(LOOKUP(Предпосылки!$H$204,$C$13:$C$15,G$13:G$15),1)</f>
        <v>0</v>
      </c>
      <c s="125">
        <f>Предпосылки!G$231*Предпосылки!$G259*Продажи!H24*H$19*(1+Чувствительность!$D$20)*IFERROR(LOOKUP(Предпосылки!$H$204,$C$13:$C$15,H$13:H$15),1)</f>
        <v>0</v>
      </c>
      <c s="125">
        <f>Предпосылки!H$231*Предпосылки!$G259*Продажи!I24*I$19*(1+Чувствительность!$D$20)*IFERROR(LOOKUP(Предпосылки!$H$204,$C$13:$C$15,I$13:I$15),1)</f>
        <v>0</v>
      </c>
      <c s="125">
        <f>Предпосылки!I$231*Предпосылки!$G259*Продажи!J24*J$19*(1+Чувствительность!$D$20)*IFERROR(LOOKUP(Предпосылки!$H$204,$C$13:$C$15,J$13:J$15),1)</f>
        <v>0</v>
      </c>
      <c s="125">
        <f>Предпосылки!J$231*Предпосылки!$G259*Продажи!K24*K$19*(1+Чувствительность!$D$20)*IFERROR(LOOKUP(Предпосылки!$H$204,$C$13:$C$15,K$13:K$15),1)</f>
        <v>0</v>
      </c>
      <c s="125">
        <f>Предпосылки!K$231*Предпосылки!$G259*Продажи!L24*L$19*(1+Чувствительность!$D$20)*IFERROR(LOOKUP(Предпосылки!$H$204,$C$13:$C$15,L$13:L$15),1)</f>
        <v>0</v>
      </c>
      <c s="125">
        <f>Предпосылки!L$231*Предпосылки!$G259*Продажи!M24*M$19*(1+Чувствительность!$D$20)*IFERROR(LOOKUP(Предпосылки!$H$204,$C$13:$C$15,M$13:M$15),1)</f>
        <v>0</v>
      </c>
      <c s="125">
        <f>Предпосылки!M$231*Предпосылки!$G259*Продажи!N24*N$19*(1+Чувствительность!$D$20)*IFERROR(LOOKUP(Предпосылки!$H$204,$C$13:$C$15,N$13:N$15),1)</f>
        <v>0</v>
      </c>
      <c s="125">
        <f>Предпосылки!N$231*Предпосылки!$G259*Продажи!O24*O$19*(1+Чувствительность!$D$20)*IFERROR(LOOKUP(Предпосылки!$H$204,$C$13:$C$15,O$13:O$15),1)</f>
        <v>0</v>
      </c>
      <c s="125">
        <f>Предпосылки!O$231*Предпосылки!$G259*Продажи!P24*P$19*(1+Чувствительность!$D$20)*IFERROR(LOOKUP(Предпосылки!$H$204,$C$13:$C$15,P$13:P$15),1)</f>
        <v>0</v>
      </c>
      <c s="125">
        <f>Предпосылки!P$231*Предпосылки!$G259*Продажи!Q24*Q$19*(1+Чувствительность!$D$20)*IFERROR(LOOKUP(Предпосылки!$H$204,$C$13:$C$15,Q$13:Q$15),1)</f>
        <v>0</v>
      </c>
      <c s="125">
        <f>Предпосылки!Q$231*Предпосылки!$G259*Продажи!R24*R$19*(1+Чувствительность!$D$20)*IFERROR(LOOKUP(Предпосылки!$H$204,$C$13:$C$15,R$13:R$15),1)</f>
        <v>0</v>
      </c>
      <c s="125">
        <f>Предпосылки!R$231*Предпосылки!$G259*Продажи!S24*S$19*(1+Чувствительность!$D$20)*IFERROR(LOOKUP(Предпосылки!$H$204,$C$13:$C$15,S$13:S$15),1)</f>
        <v>0</v>
      </c>
      <c s="125">
        <f>Предпосылки!S$231*Предпосылки!$G259*Продажи!T24*T$19*(1+Чувствительность!$D$20)*IFERROR(LOOKUP(Предпосылки!$H$204,$C$13:$C$15,T$13:T$15),1)</f>
        <v>0</v>
      </c>
      <c s="125">
        <f>Предпосылки!T$231*Предпосылки!$G259*Продажи!U24*U$19*(1+Чувствительность!$D$20)*IFERROR(LOOKUP(Предпосылки!$H$204,$C$13:$C$15,U$13:U$15),1)</f>
        <v>0</v>
      </c>
      <c s="125">
        <f>Предпосылки!U$231*Предпосылки!$G259*Продажи!V24*V$19*(1+Чувствительность!$D$20)*IFERROR(LOOKUP(Предпосылки!$H$204,$C$13:$C$15,V$13:V$15),1)</f>
        <v>0</v>
      </c>
      <c s="125">
        <f>Предпосылки!V$231*Предпосылки!$G259*Продажи!W24*W$19*(1+Чувствительность!$D$20)*IFERROR(LOOKUP(Предпосылки!$H$204,$C$13:$C$15,W$13:W$15),1)</f>
        <v>0</v>
      </c>
      <c s="125">
        <f>Предпосылки!W$231*Предпосылки!$G259*Продажи!X24*X$19*(1+Чувствительность!$D$20)*IFERROR(LOOKUP(Предпосылки!$H$204,$C$13:$C$15,X$13:X$15),1)</f>
        <v>0</v>
      </c>
      <c s="125">
        <f>Предпосылки!X$231*Предпосылки!$G259*Продажи!Y24*Y$19*(1+Чувствительность!$D$20)*IFERROR(LOOKUP(Предпосылки!$H$204,$C$13:$C$15,Y$13:Y$15),1)</f>
        <v>0</v>
      </c>
      <c s="125">
        <f>Предпосылки!Y$231*Предпосылки!$G259*Продажи!Z24*Z$19*(1+Чувствительность!$D$20)*IFERROR(LOOKUP(Предпосылки!$H$204,$C$13:$C$15,Z$13:Z$15),1)</f>
        <v>0</v>
      </c>
      <c s="125">
        <f>Предпосылки!Z$231*Предпосылки!$G259*Продажи!AA24*AA$19*(1+Чувствительность!$D$20)*IFERROR(LOOKUP(Предпосылки!$H$204,$C$13:$C$15,AA$13:AA$15),1)</f>
        <v>0</v>
      </c>
      <c s="125">
        <f>Предпосылки!AA$231*Предпосылки!$G259*Продажи!AB24*AB$19*(1+Чувствительность!$D$20)*IFERROR(LOOKUP(Предпосылки!$H$204,$C$13:$C$15,AB$13:AB$15),1)</f>
        <v>0</v>
      </c>
      <c s="125">
        <f>Предпосылки!AB$231*Предпосылки!$G259*Продажи!AC24*AC$19*(1+Чувствительность!$D$20)*IFERROR(LOOKUP(Предпосылки!$H$204,$C$13:$C$15,AC$13:AC$15),1)</f>
        <v>0</v>
      </c>
      <c s="125">
        <f>Предпосылки!AC$231*Предпосылки!$G259*Продажи!AD24*AD$19*(1+Чувствительность!$D$20)*IFERROR(LOOKUP(Предпосылки!$H$204,$C$13:$C$15,AD$13:AD$15),1)</f>
        <v>0</v>
      </c>
      <c s="125">
        <f>Предпосылки!AD$231*Предпосылки!$G259*Продажи!AE24*AE$19*(1+Чувствительность!$D$20)*IFERROR(LOOKUP(Предпосылки!$H$204,$C$13:$C$15,AE$13:AE$15),1)</f>
        <v>0</v>
      </c>
      <c s="125">
        <f>Предпосылки!AE$231*Предпосылки!$G259*Продажи!AF24*AF$19*(1+Чувствительность!$D$20)*IFERROR(LOOKUP(Предпосылки!$H$204,$C$13:$C$15,AF$13:AF$15),1)</f>
        <v>0</v>
      </c>
      <c s="125">
        <f>Предпосылки!AF$231*Предпосылки!$G259*Продажи!AG24*AG$19*(1+Чувствительность!$D$20)*IFERROR(LOOKUP(Предпосылки!$H$204,$C$13:$C$15,AG$13:AG$15),1)</f>
        <v>0</v>
      </c>
      <c s="125">
        <f>Предпосылки!AG$231*Предпосылки!$G259*Продажи!AH24*AH$19*(1+Чувствительность!$D$20)*IFERROR(LOOKUP(Предпосылки!$H$204,$C$13:$C$15,AH$13:AH$15),1)</f>
        <v>0</v>
      </c>
      <c s="125">
        <f>Предпосылки!AH$231*Предпосылки!$G259*Продажи!AI24*AI$19*(1+Чувствительность!$D$20)*IFERROR(LOOKUP(Предпосылки!$H$204,$C$13:$C$15,AI$13:AI$15),1)</f>
        <v>0</v>
      </c>
      <c s="125">
        <f>Предпосылки!AI$231*Предпосылки!$G259*Продажи!AJ24*AJ$19*(1+Чувствительность!$D$20)*IFERROR(LOOKUP(Предпосылки!$H$204,$C$13:$C$15,AJ$13:AJ$15),1)</f>
        <v>0</v>
      </c>
      <c s="125">
        <f>Предпосылки!AJ$231*Предпосылки!$G259*Продажи!AK24*AK$19*(1+Чувствительность!$D$20)*IFERROR(LOOKUP(Предпосылки!$H$204,$C$13:$C$15,AK$13:AK$15),1)</f>
        <v>0</v>
      </c>
      <c s="125">
        <f>Предпосылки!AK$231*Предпосылки!$G259*Продажи!AL24*AL$19*(1+Чувствительность!$D$20)*IFERROR(LOOKUP(Предпосылки!$H$204,$C$13:$C$15,AL$13:AL$15),1)</f>
        <v>0</v>
      </c>
      <c s="125">
        <f>Предпосылки!AL$231*Предпосылки!$G259*Продажи!AM24*AM$19*(1+Чувствительность!$D$20)*IFERROR(LOOKUP(Предпосылки!$H$204,$C$13:$C$15,AM$13:AM$15),1)</f>
        <v>0</v>
      </c>
      <c s="125">
        <f>Предпосылки!AM$231*Предпосылки!$G259*Продажи!AN24*AN$19*(1+Чувствительность!$D$20)*IFERROR(LOOKUP(Предпосылки!$H$204,$C$13:$C$15,AN$13:AN$15),1)</f>
        <v>0</v>
      </c>
      <c s="125">
        <f>Предпосылки!AN$231*Предпосылки!$G259*Продажи!AO24*AO$19*(1+Чувствительность!$D$20)*IFERROR(LOOKUP(Предпосылки!$H$204,$C$13:$C$15,AO$13:AO$15),1)</f>
        <v>0</v>
      </c>
      <c s="125">
        <f>Предпосылки!AO$231*Предпосылки!$G259*Продажи!AP24*AP$19*(1+Чувствительность!$D$20)*IFERROR(LOOKUP(Предпосылки!$H$204,$C$13:$C$15,AP$13:AP$15),1)</f>
        <v>0</v>
      </c>
      <c s="125">
        <f>Предпосылки!AP$231*Предпосылки!$G259*Продажи!AQ24*AQ$19*(1+Чувствительность!$D$20)*IFERROR(LOOKUP(Предпосылки!$H$204,$C$13:$C$15,AQ$13:AQ$15),1)</f>
        <v>0</v>
      </c>
      <c s="125">
        <f>Предпосылки!AQ$231*Предпосылки!$G259*Продажи!AR24*AR$19*(1+Чувствительность!$D$20)*IFERROR(LOOKUP(Предпосылки!$H$204,$C$13:$C$15,AR$13:AR$15),1)</f>
        <v>0</v>
      </c>
      <c s="125">
        <f>Предпосылки!AR$231*Предпосылки!$G259*Продажи!AS24*AS$19*(1+Чувствительность!$D$20)*IFERROR(LOOKUP(Предпосылки!$H$204,$C$13:$C$15,AS$13:AS$15),1)</f>
        <v>0</v>
      </c>
      <c s="125">
        <f>Предпосылки!AS$231*Предпосылки!$G259*Продажи!AT24*AT$19*(1+Чувствительность!$D$20)*IFERROR(LOOKUP(Предпосылки!$H$204,$C$13:$C$15,AT$13:AT$15),1)</f>
        <v>0</v>
      </c>
      <c s="125">
        <f>Предпосылки!AT$231*Предпосылки!$G259*Продажи!AU24*AU$19*(1+Чувствительность!$D$20)*IFERROR(LOOKUP(Предпосылки!$H$204,$C$13:$C$15,AU$13:AU$15),1)</f>
        <v>0</v>
      </c>
      <c s="125">
        <f>Предпосылки!AU$231*Предпосылки!$G259*Продажи!AV24*AV$19*(1+Чувствительность!$D$20)*IFERROR(LOOKUP(Предпосылки!$H$204,$C$13:$C$15,AV$13:AV$15),1)</f>
        <v>0</v>
      </c>
      <c s="125">
        <f>Предпосылки!AV$231*Предпосылки!$G259*Продажи!AW24*AW$19*(1+Чувствительность!$D$20)*IFERROR(LOOKUP(Предпосылки!$H$204,$C$13:$C$15,AW$13:AW$15),1)</f>
        <v>0</v>
      </c>
      <c s="125">
        <f>Предпосылки!AW$231*Предпосылки!$G259*Продажи!AX24*AX$19*(1+Чувствительность!$D$20)*IFERROR(LOOKUP(Предпосылки!$H$204,$C$13:$C$15,AX$13:AX$15),1)</f>
        <v>0</v>
      </c>
      <c s="125">
        <f>Предпосылки!AX$231*Предпосылки!$G259*Продажи!AY24*AY$19*(1+Чувствительность!$D$20)*IFERROR(LOOKUP(Предпосылки!$H$204,$C$13:$C$15,AY$13:AY$15),1)</f>
        <v>0</v>
      </c>
      <c s="125">
        <f>Предпосылки!AY$231*Предпосылки!$G259*Продажи!AZ24*AZ$19*(1+Чувствительность!$D$20)*IFERROR(LOOKUP(Предпосылки!$H$204,$C$13:$C$15,AZ$13:AZ$15),1)</f>
        <v>0</v>
      </c>
      <c s="125">
        <f>Предпосылки!AZ$231*Предпосылки!$G259*Продажи!BA24*BA$19*(1+Чувствительность!$D$20)*IFERROR(LOOKUP(Предпосылки!$H$204,$C$13:$C$15,BA$13:BA$15),1)</f>
        <v>0</v>
      </c>
      <c s="125">
        <f>Предпосылки!BA$231*Предпосылки!$G259*Продажи!BB24*BB$19*(1+Чувствительность!$D$20)*IFERROR(LOOKUP(Предпосылки!$H$204,$C$13:$C$15,BB$13:BB$15),1)</f>
        <v>0</v>
      </c>
      <c s="125">
        <f>Предпосылки!BB$231*Предпосылки!$G259*Продажи!BC24*BC$19*(1+Чувствительность!$D$20)*IFERROR(LOOKUP(Предпосылки!$H$204,$C$13:$C$15,BC$13:BC$15),1)</f>
        <v>0</v>
      </c>
      <c s="125">
        <f>Предпосылки!BC$231*Предпосылки!$G259*Продажи!BD24*BD$19*(1+Чувствительность!$D$20)*IFERROR(LOOKUP(Предпосылки!$H$204,$C$13:$C$15,BD$13:BD$15),1)</f>
        <v>0</v>
      </c>
      <c s="125">
        <f>Предпосылки!BD$231*Предпосылки!$G259*Продажи!BE24*BE$19*(1+Чувствительность!$D$20)*IFERROR(LOOKUP(Предпосылки!$H$204,$C$13:$C$15,BE$13:BE$15),1)</f>
        <v>0</v>
      </c>
      <c s="125">
        <f>Предпосылки!BE$231*Предпосылки!$G259*Продажи!BF24*BF$19*(1+Чувствительность!$D$20)*IFERROR(LOOKUP(Предпосылки!$H$204,$C$13:$C$15,BF$13:BF$15),1)</f>
        <v>0</v>
      </c>
      <c s="125">
        <f>Предпосылки!BF$231*Предпосылки!$G259*Продажи!BG24*BG$19*(1+Чувствительность!$D$20)*IFERROR(LOOKUP(Предпосылки!$H$204,$C$13:$C$15,BG$13:BG$15),1)</f>
        <v>0</v>
      </c>
      <c s="125">
        <f>Предпосылки!BG$231*Предпосылки!$G259*Продажи!BH24*BH$19*(1+Чувствительность!$D$20)*IFERROR(LOOKUP(Предпосылки!$H$204,$C$13:$C$15,BH$13:BH$15),1)</f>
        <v>0</v>
      </c>
      <c s="125">
        <f>Предпосылки!BH$231*Предпосылки!$G259*Продажи!BI24*BI$19*(1+Чувствительность!$D$20)*IFERROR(LOOKUP(Предпосылки!$H$204,$C$13:$C$15,BI$13:BI$15),1)</f>
        <v>0</v>
      </c>
      <c s="125">
        <f>Предпосылки!BI$231*Предпосылки!$G259*Продажи!BJ24*BJ$19*(1+Чувствительность!$D$20)*IFERROR(LOOKUP(Предпосылки!$H$204,$C$13:$C$15,BJ$13:BJ$15),1)</f>
        <v>0</v>
      </c>
      <c s="125">
        <f>Предпосылки!BJ$231*Предпосылки!$G259*Продажи!BK24*BK$19*(1+Чувствительность!$D$20)*IFERROR(LOOKUP(Предпосылки!$H$204,$C$13:$C$15,BK$13:BK$15),1)</f>
        <v>0</v>
      </c>
      <c s="125">
        <f>Предпосылки!BK$231*Предпосылки!$G259*Продажи!BL24*BL$19*(1+Чувствительность!$D$20)*IFERROR(LOOKUP(Предпосылки!$H$204,$C$13:$C$15,BL$13:BL$15),1)</f>
        <v>0</v>
      </c>
      <c s="125">
        <f>Предпосылки!BL$231*Предпосылки!$G259*Продажи!BM24*BM$19*(1+Чувствительность!$D$20)*IFERROR(LOOKUP(Предпосылки!$H$204,$C$13:$C$15,BM$13:BM$15),1)</f>
        <v>0</v>
      </c>
    </row>
    <row r="99" spans="2:65" ht="15" customHeight="1">
      <c r="B99" s="12" t="str">
        <f t="shared" si="76"/>
        <v>Продукт 8</v>
      </c>
      <c s="124" t="str">
        <f t="shared" si="75"/>
        <v>тыс. руб.</v>
      </c>
      <c s="276">
        <f t="shared" si="77"/>
        <v>0</v>
      </c>
      <c s="125">
        <f>Предпосылки!D$231*Предпосылки!$G260*Продажи!E25*E$19*(1+Чувствительность!$D$20)*IFERROR(LOOKUP(Предпосылки!$H$204,$C$13:$C$15,E$13:E$15),1)</f>
        <v>0</v>
      </c>
      <c s="125">
        <f>Предпосылки!E$231*Предпосылки!$G260*Продажи!F25*F$19*(1+Чувствительность!$D$20)*IFERROR(LOOKUP(Предпосылки!$H$204,$C$13:$C$15,F$13:F$15),1)</f>
        <v>0</v>
      </c>
      <c s="125">
        <f>Предпосылки!F$231*Предпосылки!$G260*Продажи!G25*G$19*(1+Чувствительность!$D$20)*IFERROR(LOOKUP(Предпосылки!$H$204,$C$13:$C$15,G$13:G$15),1)</f>
        <v>0</v>
      </c>
      <c s="125">
        <f>Предпосылки!G$231*Предпосылки!$G260*Продажи!H25*H$19*(1+Чувствительность!$D$20)*IFERROR(LOOKUP(Предпосылки!$H$204,$C$13:$C$15,H$13:H$15),1)</f>
        <v>0</v>
      </c>
      <c s="125">
        <f>Предпосылки!H$231*Предпосылки!$G260*Продажи!I25*I$19*(1+Чувствительность!$D$20)*IFERROR(LOOKUP(Предпосылки!$H$204,$C$13:$C$15,I$13:I$15),1)</f>
        <v>0</v>
      </c>
      <c s="125">
        <f>Предпосылки!I$231*Предпосылки!$G260*Продажи!J25*J$19*(1+Чувствительность!$D$20)*IFERROR(LOOKUP(Предпосылки!$H$204,$C$13:$C$15,J$13:J$15),1)</f>
        <v>0</v>
      </c>
      <c s="125">
        <f>Предпосылки!J$231*Предпосылки!$G260*Продажи!K25*K$19*(1+Чувствительность!$D$20)*IFERROR(LOOKUP(Предпосылки!$H$204,$C$13:$C$15,K$13:K$15),1)</f>
        <v>0</v>
      </c>
      <c s="125">
        <f>Предпосылки!K$231*Предпосылки!$G260*Продажи!L25*L$19*(1+Чувствительность!$D$20)*IFERROR(LOOKUP(Предпосылки!$H$204,$C$13:$C$15,L$13:L$15),1)</f>
        <v>0</v>
      </c>
      <c s="125">
        <f>Предпосылки!L$231*Предпосылки!$G260*Продажи!M25*M$19*(1+Чувствительность!$D$20)*IFERROR(LOOKUP(Предпосылки!$H$204,$C$13:$C$15,M$13:M$15),1)</f>
        <v>0</v>
      </c>
      <c s="125">
        <f>Предпосылки!M$231*Предпосылки!$G260*Продажи!N25*N$19*(1+Чувствительность!$D$20)*IFERROR(LOOKUP(Предпосылки!$H$204,$C$13:$C$15,N$13:N$15),1)</f>
        <v>0</v>
      </c>
      <c s="125">
        <f>Предпосылки!N$231*Предпосылки!$G260*Продажи!O25*O$19*(1+Чувствительность!$D$20)*IFERROR(LOOKUP(Предпосылки!$H$204,$C$13:$C$15,O$13:O$15),1)</f>
        <v>0</v>
      </c>
      <c s="125">
        <f>Предпосылки!O$231*Предпосылки!$G260*Продажи!P25*P$19*(1+Чувствительность!$D$20)*IFERROR(LOOKUP(Предпосылки!$H$204,$C$13:$C$15,P$13:P$15),1)</f>
        <v>0</v>
      </c>
      <c s="125">
        <f>Предпосылки!P$231*Предпосылки!$G260*Продажи!Q25*Q$19*(1+Чувствительность!$D$20)*IFERROR(LOOKUP(Предпосылки!$H$204,$C$13:$C$15,Q$13:Q$15),1)</f>
        <v>0</v>
      </c>
      <c s="125">
        <f>Предпосылки!Q$231*Предпосылки!$G260*Продажи!R25*R$19*(1+Чувствительность!$D$20)*IFERROR(LOOKUP(Предпосылки!$H$204,$C$13:$C$15,R$13:R$15),1)</f>
        <v>0</v>
      </c>
      <c s="125">
        <f>Предпосылки!R$231*Предпосылки!$G260*Продажи!S25*S$19*(1+Чувствительность!$D$20)*IFERROR(LOOKUP(Предпосылки!$H$204,$C$13:$C$15,S$13:S$15),1)</f>
        <v>0</v>
      </c>
      <c s="125">
        <f>Предпосылки!S$231*Предпосылки!$G260*Продажи!T25*T$19*(1+Чувствительность!$D$20)*IFERROR(LOOKUP(Предпосылки!$H$204,$C$13:$C$15,T$13:T$15),1)</f>
        <v>0</v>
      </c>
      <c s="125">
        <f>Предпосылки!T$231*Предпосылки!$G260*Продажи!U25*U$19*(1+Чувствительность!$D$20)*IFERROR(LOOKUP(Предпосылки!$H$204,$C$13:$C$15,U$13:U$15),1)</f>
        <v>0</v>
      </c>
      <c s="125">
        <f>Предпосылки!U$231*Предпосылки!$G260*Продажи!V25*V$19*(1+Чувствительность!$D$20)*IFERROR(LOOKUP(Предпосылки!$H$204,$C$13:$C$15,V$13:V$15),1)</f>
        <v>0</v>
      </c>
      <c s="125">
        <f>Предпосылки!V$231*Предпосылки!$G260*Продажи!W25*W$19*(1+Чувствительность!$D$20)*IFERROR(LOOKUP(Предпосылки!$H$204,$C$13:$C$15,W$13:W$15),1)</f>
        <v>0</v>
      </c>
      <c s="125">
        <f>Предпосылки!W$231*Предпосылки!$G260*Продажи!X25*X$19*(1+Чувствительность!$D$20)*IFERROR(LOOKUP(Предпосылки!$H$204,$C$13:$C$15,X$13:X$15),1)</f>
        <v>0</v>
      </c>
      <c s="125">
        <f>Предпосылки!X$231*Предпосылки!$G260*Продажи!Y25*Y$19*(1+Чувствительность!$D$20)*IFERROR(LOOKUP(Предпосылки!$H$204,$C$13:$C$15,Y$13:Y$15),1)</f>
        <v>0</v>
      </c>
      <c s="125">
        <f>Предпосылки!Y$231*Предпосылки!$G260*Продажи!Z25*Z$19*(1+Чувствительность!$D$20)*IFERROR(LOOKUP(Предпосылки!$H$204,$C$13:$C$15,Z$13:Z$15),1)</f>
        <v>0</v>
      </c>
      <c s="125">
        <f>Предпосылки!Z$231*Предпосылки!$G260*Продажи!AA25*AA$19*(1+Чувствительность!$D$20)*IFERROR(LOOKUP(Предпосылки!$H$204,$C$13:$C$15,AA$13:AA$15),1)</f>
        <v>0</v>
      </c>
      <c s="125">
        <f>Предпосылки!AA$231*Предпосылки!$G260*Продажи!AB25*AB$19*(1+Чувствительность!$D$20)*IFERROR(LOOKUP(Предпосылки!$H$204,$C$13:$C$15,AB$13:AB$15),1)</f>
        <v>0</v>
      </c>
      <c s="125">
        <f>Предпосылки!AB$231*Предпосылки!$G260*Продажи!AC25*AC$19*(1+Чувствительность!$D$20)*IFERROR(LOOKUP(Предпосылки!$H$204,$C$13:$C$15,AC$13:AC$15),1)</f>
        <v>0</v>
      </c>
      <c s="125">
        <f>Предпосылки!AC$231*Предпосылки!$G260*Продажи!AD25*AD$19*(1+Чувствительность!$D$20)*IFERROR(LOOKUP(Предпосылки!$H$204,$C$13:$C$15,AD$13:AD$15),1)</f>
        <v>0</v>
      </c>
      <c s="125">
        <f>Предпосылки!AD$231*Предпосылки!$G260*Продажи!AE25*AE$19*(1+Чувствительность!$D$20)*IFERROR(LOOKUP(Предпосылки!$H$204,$C$13:$C$15,AE$13:AE$15),1)</f>
        <v>0</v>
      </c>
      <c s="125">
        <f>Предпосылки!AE$231*Предпосылки!$G260*Продажи!AF25*AF$19*(1+Чувствительность!$D$20)*IFERROR(LOOKUP(Предпосылки!$H$204,$C$13:$C$15,AF$13:AF$15),1)</f>
        <v>0</v>
      </c>
      <c s="125">
        <f>Предпосылки!AF$231*Предпосылки!$G260*Продажи!AG25*AG$19*(1+Чувствительность!$D$20)*IFERROR(LOOKUP(Предпосылки!$H$204,$C$13:$C$15,AG$13:AG$15),1)</f>
        <v>0</v>
      </c>
      <c s="125">
        <f>Предпосылки!AG$231*Предпосылки!$G260*Продажи!AH25*AH$19*(1+Чувствительность!$D$20)*IFERROR(LOOKUP(Предпосылки!$H$204,$C$13:$C$15,AH$13:AH$15),1)</f>
        <v>0</v>
      </c>
      <c s="125">
        <f>Предпосылки!AH$231*Предпосылки!$G260*Продажи!AI25*AI$19*(1+Чувствительность!$D$20)*IFERROR(LOOKUP(Предпосылки!$H$204,$C$13:$C$15,AI$13:AI$15),1)</f>
        <v>0</v>
      </c>
      <c s="125">
        <f>Предпосылки!AI$231*Предпосылки!$G260*Продажи!AJ25*AJ$19*(1+Чувствительность!$D$20)*IFERROR(LOOKUP(Предпосылки!$H$204,$C$13:$C$15,AJ$13:AJ$15),1)</f>
        <v>0</v>
      </c>
      <c s="125">
        <f>Предпосылки!AJ$231*Предпосылки!$G260*Продажи!AK25*AK$19*(1+Чувствительность!$D$20)*IFERROR(LOOKUP(Предпосылки!$H$204,$C$13:$C$15,AK$13:AK$15),1)</f>
        <v>0</v>
      </c>
      <c s="125">
        <f>Предпосылки!AK$231*Предпосылки!$G260*Продажи!AL25*AL$19*(1+Чувствительность!$D$20)*IFERROR(LOOKUP(Предпосылки!$H$204,$C$13:$C$15,AL$13:AL$15),1)</f>
        <v>0</v>
      </c>
      <c s="125">
        <f>Предпосылки!AL$231*Предпосылки!$G260*Продажи!AM25*AM$19*(1+Чувствительность!$D$20)*IFERROR(LOOKUP(Предпосылки!$H$204,$C$13:$C$15,AM$13:AM$15),1)</f>
        <v>0</v>
      </c>
      <c s="125">
        <f>Предпосылки!AM$231*Предпосылки!$G260*Продажи!AN25*AN$19*(1+Чувствительность!$D$20)*IFERROR(LOOKUP(Предпосылки!$H$204,$C$13:$C$15,AN$13:AN$15),1)</f>
        <v>0</v>
      </c>
      <c s="125">
        <f>Предпосылки!AN$231*Предпосылки!$G260*Продажи!AO25*AO$19*(1+Чувствительность!$D$20)*IFERROR(LOOKUP(Предпосылки!$H$204,$C$13:$C$15,AO$13:AO$15),1)</f>
        <v>0</v>
      </c>
      <c s="125">
        <f>Предпосылки!AO$231*Предпосылки!$G260*Продажи!AP25*AP$19*(1+Чувствительность!$D$20)*IFERROR(LOOKUP(Предпосылки!$H$204,$C$13:$C$15,AP$13:AP$15),1)</f>
        <v>0</v>
      </c>
      <c s="125">
        <f>Предпосылки!AP$231*Предпосылки!$G260*Продажи!AQ25*AQ$19*(1+Чувствительность!$D$20)*IFERROR(LOOKUP(Предпосылки!$H$204,$C$13:$C$15,AQ$13:AQ$15),1)</f>
        <v>0</v>
      </c>
      <c s="125">
        <f>Предпосылки!AQ$231*Предпосылки!$G260*Продажи!AR25*AR$19*(1+Чувствительность!$D$20)*IFERROR(LOOKUP(Предпосылки!$H$204,$C$13:$C$15,AR$13:AR$15),1)</f>
        <v>0</v>
      </c>
      <c s="125">
        <f>Предпосылки!AR$231*Предпосылки!$G260*Продажи!AS25*AS$19*(1+Чувствительность!$D$20)*IFERROR(LOOKUP(Предпосылки!$H$204,$C$13:$C$15,AS$13:AS$15),1)</f>
        <v>0</v>
      </c>
      <c s="125">
        <f>Предпосылки!AS$231*Предпосылки!$G260*Продажи!AT25*AT$19*(1+Чувствительность!$D$20)*IFERROR(LOOKUP(Предпосылки!$H$204,$C$13:$C$15,AT$13:AT$15),1)</f>
        <v>0</v>
      </c>
      <c s="125">
        <f>Предпосылки!AT$231*Предпосылки!$G260*Продажи!AU25*AU$19*(1+Чувствительность!$D$20)*IFERROR(LOOKUP(Предпосылки!$H$204,$C$13:$C$15,AU$13:AU$15),1)</f>
        <v>0</v>
      </c>
      <c s="125">
        <f>Предпосылки!AU$231*Предпосылки!$G260*Продажи!AV25*AV$19*(1+Чувствительность!$D$20)*IFERROR(LOOKUP(Предпосылки!$H$204,$C$13:$C$15,AV$13:AV$15),1)</f>
        <v>0</v>
      </c>
      <c s="125">
        <f>Предпосылки!AV$231*Предпосылки!$G260*Продажи!AW25*AW$19*(1+Чувствительность!$D$20)*IFERROR(LOOKUP(Предпосылки!$H$204,$C$13:$C$15,AW$13:AW$15),1)</f>
        <v>0</v>
      </c>
      <c s="125">
        <f>Предпосылки!AW$231*Предпосылки!$G260*Продажи!AX25*AX$19*(1+Чувствительность!$D$20)*IFERROR(LOOKUP(Предпосылки!$H$204,$C$13:$C$15,AX$13:AX$15),1)</f>
        <v>0</v>
      </c>
      <c s="125">
        <f>Предпосылки!AX$231*Предпосылки!$G260*Продажи!AY25*AY$19*(1+Чувствительность!$D$20)*IFERROR(LOOKUP(Предпосылки!$H$204,$C$13:$C$15,AY$13:AY$15),1)</f>
        <v>0</v>
      </c>
      <c s="125">
        <f>Предпосылки!AY$231*Предпосылки!$G260*Продажи!AZ25*AZ$19*(1+Чувствительность!$D$20)*IFERROR(LOOKUP(Предпосылки!$H$204,$C$13:$C$15,AZ$13:AZ$15),1)</f>
        <v>0</v>
      </c>
      <c s="125">
        <f>Предпосылки!AZ$231*Предпосылки!$G260*Продажи!BA25*BA$19*(1+Чувствительность!$D$20)*IFERROR(LOOKUP(Предпосылки!$H$204,$C$13:$C$15,BA$13:BA$15),1)</f>
        <v>0</v>
      </c>
      <c s="125">
        <f>Предпосылки!BA$231*Предпосылки!$G260*Продажи!BB25*BB$19*(1+Чувствительность!$D$20)*IFERROR(LOOKUP(Предпосылки!$H$204,$C$13:$C$15,BB$13:BB$15),1)</f>
        <v>0</v>
      </c>
      <c s="125">
        <f>Предпосылки!BB$231*Предпосылки!$G260*Продажи!BC25*BC$19*(1+Чувствительность!$D$20)*IFERROR(LOOKUP(Предпосылки!$H$204,$C$13:$C$15,BC$13:BC$15),1)</f>
        <v>0</v>
      </c>
      <c s="125">
        <f>Предпосылки!BC$231*Предпосылки!$G260*Продажи!BD25*BD$19*(1+Чувствительность!$D$20)*IFERROR(LOOKUP(Предпосылки!$H$204,$C$13:$C$15,BD$13:BD$15),1)</f>
        <v>0</v>
      </c>
      <c s="125">
        <f>Предпосылки!BD$231*Предпосылки!$G260*Продажи!BE25*BE$19*(1+Чувствительность!$D$20)*IFERROR(LOOKUP(Предпосылки!$H$204,$C$13:$C$15,BE$13:BE$15),1)</f>
        <v>0</v>
      </c>
      <c s="125">
        <f>Предпосылки!BE$231*Предпосылки!$G260*Продажи!BF25*BF$19*(1+Чувствительность!$D$20)*IFERROR(LOOKUP(Предпосылки!$H$204,$C$13:$C$15,BF$13:BF$15),1)</f>
        <v>0</v>
      </c>
      <c s="125">
        <f>Предпосылки!BF$231*Предпосылки!$G260*Продажи!BG25*BG$19*(1+Чувствительность!$D$20)*IFERROR(LOOKUP(Предпосылки!$H$204,$C$13:$C$15,BG$13:BG$15),1)</f>
        <v>0</v>
      </c>
      <c s="125">
        <f>Предпосылки!BG$231*Предпосылки!$G260*Продажи!BH25*BH$19*(1+Чувствительность!$D$20)*IFERROR(LOOKUP(Предпосылки!$H$204,$C$13:$C$15,BH$13:BH$15),1)</f>
        <v>0</v>
      </c>
      <c s="125">
        <f>Предпосылки!BH$231*Предпосылки!$G260*Продажи!BI25*BI$19*(1+Чувствительность!$D$20)*IFERROR(LOOKUP(Предпосылки!$H$204,$C$13:$C$15,BI$13:BI$15),1)</f>
        <v>0</v>
      </c>
      <c s="125">
        <f>Предпосылки!BI$231*Предпосылки!$G260*Продажи!BJ25*BJ$19*(1+Чувствительность!$D$20)*IFERROR(LOOKUP(Предпосылки!$H$204,$C$13:$C$15,BJ$13:BJ$15),1)</f>
        <v>0</v>
      </c>
      <c s="125">
        <f>Предпосылки!BJ$231*Предпосылки!$G260*Продажи!BK25*BK$19*(1+Чувствительность!$D$20)*IFERROR(LOOKUP(Предпосылки!$H$204,$C$13:$C$15,BK$13:BK$15),1)</f>
        <v>0</v>
      </c>
      <c s="125">
        <f>Предпосылки!BK$231*Предпосылки!$G260*Продажи!BL25*BL$19*(1+Чувствительность!$D$20)*IFERROR(LOOKUP(Предпосылки!$H$204,$C$13:$C$15,BL$13:BL$15),1)</f>
        <v>0</v>
      </c>
      <c s="125">
        <f>Предпосылки!BL$231*Предпосылки!$G260*Продажи!BM25*BM$19*(1+Чувствительность!$D$20)*IFERROR(LOOKUP(Предпосылки!$H$204,$C$13:$C$15,BM$13:BM$15),1)</f>
        <v>0</v>
      </c>
    </row>
    <row r="100" spans="2:65" ht="15" customHeight="1">
      <c r="B100" s="12" t="str">
        <f t="shared" si="76"/>
        <v>Продукт 9</v>
      </c>
      <c s="124" t="str">
        <f t="shared" si="75"/>
        <v>тыс. руб.</v>
      </c>
      <c s="276">
        <f t="shared" si="77"/>
        <v>0</v>
      </c>
      <c s="125">
        <f>Предпосылки!D$231*Предпосылки!$G261*Продажи!E26*E$19*(1+Чувствительность!$D$20)*IFERROR(LOOKUP(Предпосылки!$H$204,$C$13:$C$15,E$13:E$15),1)</f>
        <v>0</v>
      </c>
      <c s="125">
        <f>Предпосылки!E$231*Предпосылки!$G261*Продажи!F26*F$19*(1+Чувствительность!$D$20)*IFERROR(LOOKUP(Предпосылки!$H$204,$C$13:$C$15,F$13:F$15),1)</f>
        <v>0</v>
      </c>
      <c s="125">
        <f>Предпосылки!F$231*Предпосылки!$G261*Продажи!G26*G$19*(1+Чувствительность!$D$20)*IFERROR(LOOKUP(Предпосылки!$H$204,$C$13:$C$15,G$13:G$15),1)</f>
        <v>0</v>
      </c>
      <c s="125">
        <f>Предпосылки!G$231*Предпосылки!$G261*Продажи!H26*H$19*(1+Чувствительность!$D$20)*IFERROR(LOOKUP(Предпосылки!$H$204,$C$13:$C$15,H$13:H$15),1)</f>
        <v>0</v>
      </c>
      <c s="125">
        <f>Предпосылки!H$231*Предпосылки!$G261*Продажи!I26*I$19*(1+Чувствительность!$D$20)*IFERROR(LOOKUP(Предпосылки!$H$204,$C$13:$C$15,I$13:I$15),1)</f>
        <v>0</v>
      </c>
      <c s="125">
        <f>Предпосылки!I$231*Предпосылки!$G261*Продажи!J26*J$19*(1+Чувствительность!$D$20)*IFERROR(LOOKUP(Предпосылки!$H$204,$C$13:$C$15,J$13:J$15),1)</f>
        <v>0</v>
      </c>
      <c s="125">
        <f>Предпосылки!J$231*Предпосылки!$G261*Продажи!K26*K$19*(1+Чувствительность!$D$20)*IFERROR(LOOKUP(Предпосылки!$H$204,$C$13:$C$15,K$13:K$15),1)</f>
        <v>0</v>
      </c>
      <c s="125">
        <f>Предпосылки!K$231*Предпосылки!$G261*Продажи!L26*L$19*(1+Чувствительность!$D$20)*IFERROR(LOOKUP(Предпосылки!$H$204,$C$13:$C$15,L$13:L$15),1)</f>
        <v>0</v>
      </c>
      <c s="125">
        <f>Предпосылки!L$231*Предпосылки!$G261*Продажи!M26*M$19*(1+Чувствительность!$D$20)*IFERROR(LOOKUP(Предпосылки!$H$204,$C$13:$C$15,M$13:M$15),1)</f>
        <v>0</v>
      </c>
      <c s="125">
        <f>Предпосылки!M$231*Предпосылки!$G261*Продажи!N26*N$19*(1+Чувствительность!$D$20)*IFERROR(LOOKUP(Предпосылки!$H$204,$C$13:$C$15,N$13:N$15),1)</f>
        <v>0</v>
      </c>
      <c s="125">
        <f>Предпосылки!N$231*Предпосылки!$G261*Продажи!O26*O$19*(1+Чувствительность!$D$20)*IFERROR(LOOKUP(Предпосылки!$H$204,$C$13:$C$15,O$13:O$15),1)</f>
        <v>0</v>
      </c>
      <c s="125">
        <f>Предпосылки!O$231*Предпосылки!$G261*Продажи!P26*P$19*(1+Чувствительность!$D$20)*IFERROR(LOOKUP(Предпосылки!$H$204,$C$13:$C$15,P$13:P$15),1)</f>
        <v>0</v>
      </c>
      <c s="125">
        <f>Предпосылки!P$231*Предпосылки!$G261*Продажи!Q26*Q$19*(1+Чувствительность!$D$20)*IFERROR(LOOKUP(Предпосылки!$H$204,$C$13:$C$15,Q$13:Q$15),1)</f>
        <v>0</v>
      </c>
      <c s="125">
        <f>Предпосылки!Q$231*Предпосылки!$G261*Продажи!R26*R$19*(1+Чувствительность!$D$20)*IFERROR(LOOKUP(Предпосылки!$H$204,$C$13:$C$15,R$13:R$15),1)</f>
        <v>0</v>
      </c>
      <c s="125">
        <f>Предпосылки!R$231*Предпосылки!$G261*Продажи!S26*S$19*(1+Чувствительность!$D$20)*IFERROR(LOOKUP(Предпосылки!$H$204,$C$13:$C$15,S$13:S$15),1)</f>
        <v>0</v>
      </c>
      <c s="125">
        <f>Предпосылки!S$231*Предпосылки!$G261*Продажи!T26*T$19*(1+Чувствительность!$D$20)*IFERROR(LOOKUP(Предпосылки!$H$204,$C$13:$C$15,T$13:T$15),1)</f>
        <v>0</v>
      </c>
      <c s="125">
        <f>Предпосылки!T$231*Предпосылки!$G261*Продажи!U26*U$19*(1+Чувствительность!$D$20)*IFERROR(LOOKUP(Предпосылки!$H$204,$C$13:$C$15,U$13:U$15),1)</f>
        <v>0</v>
      </c>
      <c s="125">
        <f>Предпосылки!U$231*Предпосылки!$G261*Продажи!V26*V$19*(1+Чувствительность!$D$20)*IFERROR(LOOKUP(Предпосылки!$H$204,$C$13:$C$15,V$13:V$15),1)</f>
        <v>0</v>
      </c>
      <c s="125">
        <f>Предпосылки!V$231*Предпосылки!$G261*Продажи!W26*W$19*(1+Чувствительность!$D$20)*IFERROR(LOOKUP(Предпосылки!$H$204,$C$13:$C$15,W$13:W$15),1)</f>
        <v>0</v>
      </c>
      <c s="125">
        <f>Предпосылки!W$231*Предпосылки!$G261*Продажи!X26*X$19*(1+Чувствительность!$D$20)*IFERROR(LOOKUP(Предпосылки!$H$204,$C$13:$C$15,X$13:X$15),1)</f>
        <v>0</v>
      </c>
      <c s="125">
        <f>Предпосылки!X$231*Предпосылки!$G261*Продажи!Y26*Y$19*(1+Чувствительность!$D$20)*IFERROR(LOOKUP(Предпосылки!$H$204,$C$13:$C$15,Y$13:Y$15),1)</f>
        <v>0</v>
      </c>
      <c s="125">
        <f>Предпосылки!Y$231*Предпосылки!$G261*Продажи!Z26*Z$19*(1+Чувствительность!$D$20)*IFERROR(LOOKUP(Предпосылки!$H$204,$C$13:$C$15,Z$13:Z$15),1)</f>
        <v>0</v>
      </c>
      <c s="125">
        <f>Предпосылки!Z$231*Предпосылки!$G261*Продажи!AA26*AA$19*(1+Чувствительность!$D$20)*IFERROR(LOOKUP(Предпосылки!$H$204,$C$13:$C$15,AA$13:AA$15),1)</f>
        <v>0</v>
      </c>
      <c s="125">
        <f>Предпосылки!AA$231*Предпосылки!$G261*Продажи!AB26*AB$19*(1+Чувствительность!$D$20)*IFERROR(LOOKUP(Предпосылки!$H$204,$C$13:$C$15,AB$13:AB$15),1)</f>
        <v>0</v>
      </c>
      <c s="125">
        <f>Предпосылки!AB$231*Предпосылки!$G261*Продажи!AC26*AC$19*(1+Чувствительность!$D$20)*IFERROR(LOOKUP(Предпосылки!$H$204,$C$13:$C$15,AC$13:AC$15),1)</f>
        <v>0</v>
      </c>
      <c s="125">
        <f>Предпосылки!AC$231*Предпосылки!$G261*Продажи!AD26*AD$19*(1+Чувствительность!$D$20)*IFERROR(LOOKUP(Предпосылки!$H$204,$C$13:$C$15,AD$13:AD$15),1)</f>
        <v>0</v>
      </c>
      <c s="125">
        <f>Предпосылки!AD$231*Предпосылки!$G261*Продажи!AE26*AE$19*(1+Чувствительность!$D$20)*IFERROR(LOOKUP(Предпосылки!$H$204,$C$13:$C$15,AE$13:AE$15),1)</f>
        <v>0</v>
      </c>
      <c s="125">
        <f>Предпосылки!AE$231*Предпосылки!$G261*Продажи!AF26*AF$19*(1+Чувствительность!$D$20)*IFERROR(LOOKUP(Предпосылки!$H$204,$C$13:$C$15,AF$13:AF$15),1)</f>
        <v>0</v>
      </c>
      <c s="125">
        <f>Предпосылки!AF$231*Предпосылки!$G261*Продажи!AG26*AG$19*(1+Чувствительность!$D$20)*IFERROR(LOOKUP(Предпосылки!$H$204,$C$13:$C$15,AG$13:AG$15),1)</f>
        <v>0</v>
      </c>
      <c s="125">
        <f>Предпосылки!AG$231*Предпосылки!$G261*Продажи!AH26*AH$19*(1+Чувствительность!$D$20)*IFERROR(LOOKUP(Предпосылки!$H$204,$C$13:$C$15,AH$13:AH$15),1)</f>
        <v>0</v>
      </c>
      <c s="125">
        <f>Предпосылки!AH$231*Предпосылки!$G261*Продажи!AI26*AI$19*(1+Чувствительность!$D$20)*IFERROR(LOOKUP(Предпосылки!$H$204,$C$13:$C$15,AI$13:AI$15),1)</f>
        <v>0</v>
      </c>
      <c s="125">
        <f>Предпосылки!AI$231*Предпосылки!$G261*Продажи!AJ26*AJ$19*(1+Чувствительность!$D$20)*IFERROR(LOOKUP(Предпосылки!$H$204,$C$13:$C$15,AJ$13:AJ$15),1)</f>
        <v>0</v>
      </c>
      <c s="125">
        <f>Предпосылки!AJ$231*Предпосылки!$G261*Продажи!AK26*AK$19*(1+Чувствительность!$D$20)*IFERROR(LOOKUP(Предпосылки!$H$204,$C$13:$C$15,AK$13:AK$15),1)</f>
        <v>0</v>
      </c>
      <c s="125">
        <f>Предпосылки!AK$231*Предпосылки!$G261*Продажи!AL26*AL$19*(1+Чувствительность!$D$20)*IFERROR(LOOKUP(Предпосылки!$H$204,$C$13:$C$15,AL$13:AL$15),1)</f>
        <v>0</v>
      </c>
      <c s="125">
        <f>Предпосылки!AL$231*Предпосылки!$G261*Продажи!AM26*AM$19*(1+Чувствительность!$D$20)*IFERROR(LOOKUP(Предпосылки!$H$204,$C$13:$C$15,AM$13:AM$15),1)</f>
        <v>0</v>
      </c>
      <c s="125">
        <f>Предпосылки!AM$231*Предпосылки!$G261*Продажи!AN26*AN$19*(1+Чувствительность!$D$20)*IFERROR(LOOKUP(Предпосылки!$H$204,$C$13:$C$15,AN$13:AN$15),1)</f>
        <v>0</v>
      </c>
      <c s="125">
        <f>Предпосылки!AN$231*Предпосылки!$G261*Продажи!AO26*AO$19*(1+Чувствительность!$D$20)*IFERROR(LOOKUP(Предпосылки!$H$204,$C$13:$C$15,AO$13:AO$15),1)</f>
        <v>0</v>
      </c>
      <c s="125">
        <f>Предпосылки!AO$231*Предпосылки!$G261*Продажи!AP26*AP$19*(1+Чувствительность!$D$20)*IFERROR(LOOKUP(Предпосылки!$H$204,$C$13:$C$15,AP$13:AP$15),1)</f>
        <v>0</v>
      </c>
      <c s="125">
        <f>Предпосылки!AP$231*Предпосылки!$G261*Продажи!AQ26*AQ$19*(1+Чувствительность!$D$20)*IFERROR(LOOKUP(Предпосылки!$H$204,$C$13:$C$15,AQ$13:AQ$15),1)</f>
        <v>0</v>
      </c>
      <c s="125">
        <f>Предпосылки!AQ$231*Предпосылки!$G261*Продажи!AR26*AR$19*(1+Чувствительность!$D$20)*IFERROR(LOOKUP(Предпосылки!$H$204,$C$13:$C$15,AR$13:AR$15),1)</f>
        <v>0</v>
      </c>
      <c s="125">
        <f>Предпосылки!AR$231*Предпосылки!$G261*Продажи!AS26*AS$19*(1+Чувствительность!$D$20)*IFERROR(LOOKUP(Предпосылки!$H$204,$C$13:$C$15,AS$13:AS$15),1)</f>
        <v>0</v>
      </c>
      <c s="125">
        <f>Предпосылки!AS$231*Предпосылки!$G261*Продажи!AT26*AT$19*(1+Чувствительность!$D$20)*IFERROR(LOOKUP(Предпосылки!$H$204,$C$13:$C$15,AT$13:AT$15),1)</f>
        <v>0</v>
      </c>
      <c s="125">
        <f>Предпосылки!AT$231*Предпосылки!$G261*Продажи!AU26*AU$19*(1+Чувствительность!$D$20)*IFERROR(LOOKUP(Предпосылки!$H$204,$C$13:$C$15,AU$13:AU$15),1)</f>
        <v>0</v>
      </c>
      <c s="125">
        <f>Предпосылки!AU$231*Предпосылки!$G261*Продажи!AV26*AV$19*(1+Чувствительность!$D$20)*IFERROR(LOOKUP(Предпосылки!$H$204,$C$13:$C$15,AV$13:AV$15),1)</f>
        <v>0</v>
      </c>
      <c s="125">
        <f>Предпосылки!AV$231*Предпосылки!$G261*Продажи!AW26*AW$19*(1+Чувствительность!$D$20)*IFERROR(LOOKUP(Предпосылки!$H$204,$C$13:$C$15,AW$13:AW$15),1)</f>
        <v>0</v>
      </c>
      <c s="125">
        <f>Предпосылки!AW$231*Предпосылки!$G261*Продажи!AX26*AX$19*(1+Чувствительность!$D$20)*IFERROR(LOOKUP(Предпосылки!$H$204,$C$13:$C$15,AX$13:AX$15),1)</f>
        <v>0</v>
      </c>
      <c s="125">
        <f>Предпосылки!AX$231*Предпосылки!$G261*Продажи!AY26*AY$19*(1+Чувствительность!$D$20)*IFERROR(LOOKUP(Предпосылки!$H$204,$C$13:$C$15,AY$13:AY$15),1)</f>
        <v>0</v>
      </c>
      <c s="125">
        <f>Предпосылки!AY$231*Предпосылки!$G261*Продажи!AZ26*AZ$19*(1+Чувствительность!$D$20)*IFERROR(LOOKUP(Предпосылки!$H$204,$C$13:$C$15,AZ$13:AZ$15),1)</f>
        <v>0</v>
      </c>
      <c s="125">
        <f>Предпосылки!AZ$231*Предпосылки!$G261*Продажи!BA26*BA$19*(1+Чувствительность!$D$20)*IFERROR(LOOKUP(Предпосылки!$H$204,$C$13:$C$15,BA$13:BA$15),1)</f>
        <v>0</v>
      </c>
      <c s="125">
        <f>Предпосылки!BA$231*Предпосылки!$G261*Продажи!BB26*BB$19*(1+Чувствительность!$D$20)*IFERROR(LOOKUP(Предпосылки!$H$204,$C$13:$C$15,BB$13:BB$15),1)</f>
        <v>0</v>
      </c>
      <c s="125">
        <f>Предпосылки!BB$231*Предпосылки!$G261*Продажи!BC26*BC$19*(1+Чувствительность!$D$20)*IFERROR(LOOKUP(Предпосылки!$H$204,$C$13:$C$15,BC$13:BC$15),1)</f>
        <v>0</v>
      </c>
      <c s="125">
        <f>Предпосылки!BC$231*Предпосылки!$G261*Продажи!BD26*BD$19*(1+Чувствительность!$D$20)*IFERROR(LOOKUP(Предпосылки!$H$204,$C$13:$C$15,BD$13:BD$15),1)</f>
        <v>0</v>
      </c>
      <c s="125">
        <f>Предпосылки!BD$231*Предпосылки!$G261*Продажи!BE26*BE$19*(1+Чувствительность!$D$20)*IFERROR(LOOKUP(Предпосылки!$H$204,$C$13:$C$15,BE$13:BE$15),1)</f>
        <v>0</v>
      </c>
      <c s="125">
        <f>Предпосылки!BE$231*Предпосылки!$G261*Продажи!BF26*BF$19*(1+Чувствительность!$D$20)*IFERROR(LOOKUP(Предпосылки!$H$204,$C$13:$C$15,BF$13:BF$15),1)</f>
        <v>0</v>
      </c>
      <c s="125">
        <f>Предпосылки!BF$231*Предпосылки!$G261*Продажи!BG26*BG$19*(1+Чувствительность!$D$20)*IFERROR(LOOKUP(Предпосылки!$H$204,$C$13:$C$15,BG$13:BG$15),1)</f>
        <v>0</v>
      </c>
      <c s="125">
        <f>Предпосылки!BG$231*Предпосылки!$G261*Продажи!BH26*BH$19*(1+Чувствительность!$D$20)*IFERROR(LOOKUP(Предпосылки!$H$204,$C$13:$C$15,BH$13:BH$15),1)</f>
        <v>0</v>
      </c>
      <c s="125">
        <f>Предпосылки!BH$231*Предпосылки!$G261*Продажи!BI26*BI$19*(1+Чувствительность!$D$20)*IFERROR(LOOKUP(Предпосылки!$H$204,$C$13:$C$15,BI$13:BI$15),1)</f>
        <v>0</v>
      </c>
      <c s="125">
        <f>Предпосылки!BI$231*Предпосылки!$G261*Продажи!BJ26*BJ$19*(1+Чувствительность!$D$20)*IFERROR(LOOKUP(Предпосылки!$H$204,$C$13:$C$15,BJ$13:BJ$15),1)</f>
        <v>0</v>
      </c>
      <c s="125">
        <f>Предпосылки!BJ$231*Предпосылки!$G261*Продажи!BK26*BK$19*(1+Чувствительность!$D$20)*IFERROR(LOOKUP(Предпосылки!$H$204,$C$13:$C$15,BK$13:BK$15),1)</f>
        <v>0</v>
      </c>
      <c s="125">
        <f>Предпосылки!BK$231*Предпосылки!$G261*Продажи!BL26*BL$19*(1+Чувствительность!$D$20)*IFERROR(LOOKUP(Предпосылки!$H$204,$C$13:$C$15,BL$13:BL$15),1)</f>
        <v>0</v>
      </c>
      <c s="125">
        <f>Предпосылки!BL$231*Предпосылки!$G261*Продажи!BM26*BM$19*(1+Чувствительность!$D$20)*IFERROR(LOOKUP(Предпосылки!$H$204,$C$13:$C$15,BM$13:BM$15),1)</f>
        <v>0</v>
      </c>
    </row>
    <row r="101" spans="2:65" ht="15" customHeight="1">
      <c r="B101" s="12" t="str">
        <f t="shared" si="76"/>
        <v>Продукт 10</v>
      </c>
      <c s="124" t="str">
        <f t="shared" si="75"/>
        <v>тыс. руб.</v>
      </c>
      <c s="276">
        <f t="shared" si="77"/>
        <v>0</v>
      </c>
      <c s="125">
        <f>Предпосылки!D$231*Предпосылки!$G262*Продажи!E27*E$19*(1+Чувствительность!$D$20)*IFERROR(LOOKUP(Предпосылки!$H$204,$C$13:$C$15,E$13:E$15),1)</f>
        <v>0</v>
      </c>
      <c s="125">
        <f>Предпосылки!E$231*Предпосылки!$G262*Продажи!F27*F$19*(1+Чувствительность!$D$20)*IFERROR(LOOKUP(Предпосылки!$H$204,$C$13:$C$15,F$13:F$15),1)</f>
        <v>0</v>
      </c>
      <c s="125">
        <f>Предпосылки!F$231*Предпосылки!$G262*Продажи!G27*G$19*(1+Чувствительность!$D$20)*IFERROR(LOOKUP(Предпосылки!$H$204,$C$13:$C$15,G$13:G$15),1)</f>
        <v>0</v>
      </c>
      <c s="125">
        <f>Предпосылки!G$231*Предпосылки!$G262*Продажи!H27*H$19*(1+Чувствительность!$D$20)*IFERROR(LOOKUP(Предпосылки!$H$204,$C$13:$C$15,H$13:H$15),1)</f>
        <v>0</v>
      </c>
      <c s="125">
        <f>Предпосылки!H$231*Предпосылки!$G262*Продажи!I27*I$19*(1+Чувствительность!$D$20)*IFERROR(LOOKUP(Предпосылки!$H$204,$C$13:$C$15,I$13:I$15),1)</f>
        <v>0</v>
      </c>
      <c s="125">
        <f>Предпосылки!I$231*Предпосылки!$G262*Продажи!J27*J$19*(1+Чувствительность!$D$20)*IFERROR(LOOKUP(Предпосылки!$H$204,$C$13:$C$15,J$13:J$15),1)</f>
        <v>0</v>
      </c>
      <c s="125">
        <f>Предпосылки!J$231*Предпосылки!$G262*Продажи!K27*K$19*(1+Чувствительность!$D$20)*IFERROR(LOOKUP(Предпосылки!$H$204,$C$13:$C$15,K$13:K$15),1)</f>
        <v>0</v>
      </c>
      <c s="125">
        <f>Предпосылки!K$231*Предпосылки!$G262*Продажи!L27*L$19*(1+Чувствительность!$D$20)*IFERROR(LOOKUP(Предпосылки!$H$204,$C$13:$C$15,L$13:L$15),1)</f>
        <v>0</v>
      </c>
      <c s="125">
        <f>Предпосылки!L$231*Предпосылки!$G262*Продажи!M27*M$19*(1+Чувствительность!$D$20)*IFERROR(LOOKUP(Предпосылки!$H$204,$C$13:$C$15,M$13:M$15),1)</f>
        <v>0</v>
      </c>
      <c s="125">
        <f>Предпосылки!M$231*Предпосылки!$G262*Продажи!N27*N$19*(1+Чувствительность!$D$20)*IFERROR(LOOKUP(Предпосылки!$H$204,$C$13:$C$15,N$13:N$15),1)</f>
        <v>0</v>
      </c>
      <c s="125">
        <f>Предпосылки!N$231*Предпосылки!$G262*Продажи!O27*O$19*(1+Чувствительность!$D$20)*IFERROR(LOOKUP(Предпосылки!$H$204,$C$13:$C$15,O$13:O$15),1)</f>
        <v>0</v>
      </c>
      <c s="125">
        <f>Предпосылки!O$231*Предпосылки!$G262*Продажи!P27*P$19*(1+Чувствительность!$D$20)*IFERROR(LOOKUP(Предпосылки!$H$204,$C$13:$C$15,P$13:P$15),1)</f>
        <v>0</v>
      </c>
      <c s="125">
        <f>Предпосылки!P$231*Предпосылки!$G262*Продажи!Q27*Q$19*(1+Чувствительность!$D$20)*IFERROR(LOOKUP(Предпосылки!$H$204,$C$13:$C$15,Q$13:Q$15),1)</f>
        <v>0</v>
      </c>
      <c s="125">
        <f>Предпосылки!Q$231*Предпосылки!$G262*Продажи!R27*R$19*(1+Чувствительность!$D$20)*IFERROR(LOOKUP(Предпосылки!$H$204,$C$13:$C$15,R$13:R$15),1)</f>
        <v>0</v>
      </c>
      <c s="125">
        <f>Предпосылки!R$231*Предпосылки!$G262*Продажи!S27*S$19*(1+Чувствительность!$D$20)*IFERROR(LOOKUP(Предпосылки!$H$204,$C$13:$C$15,S$13:S$15),1)</f>
        <v>0</v>
      </c>
      <c s="125">
        <f>Предпосылки!S$231*Предпосылки!$G262*Продажи!T27*T$19*(1+Чувствительность!$D$20)*IFERROR(LOOKUP(Предпосылки!$H$204,$C$13:$C$15,T$13:T$15),1)</f>
        <v>0</v>
      </c>
      <c s="125">
        <f>Предпосылки!T$231*Предпосылки!$G262*Продажи!U27*U$19*(1+Чувствительность!$D$20)*IFERROR(LOOKUP(Предпосылки!$H$204,$C$13:$C$15,U$13:U$15),1)</f>
        <v>0</v>
      </c>
      <c s="125">
        <f>Предпосылки!U$231*Предпосылки!$G262*Продажи!V27*V$19*(1+Чувствительность!$D$20)*IFERROR(LOOKUP(Предпосылки!$H$204,$C$13:$C$15,V$13:V$15),1)</f>
        <v>0</v>
      </c>
      <c s="125">
        <f>Предпосылки!V$231*Предпосылки!$G262*Продажи!W27*W$19*(1+Чувствительность!$D$20)*IFERROR(LOOKUP(Предпосылки!$H$204,$C$13:$C$15,W$13:W$15),1)</f>
        <v>0</v>
      </c>
      <c s="125">
        <f>Предпосылки!W$231*Предпосылки!$G262*Продажи!X27*X$19*(1+Чувствительность!$D$20)*IFERROR(LOOKUP(Предпосылки!$H$204,$C$13:$C$15,X$13:X$15),1)</f>
        <v>0</v>
      </c>
      <c s="125">
        <f>Предпосылки!X$231*Предпосылки!$G262*Продажи!Y27*Y$19*(1+Чувствительность!$D$20)*IFERROR(LOOKUP(Предпосылки!$H$204,$C$13:$C$15,Y$13:Y$15),1)</f>
        <v>0</v>
      </c>
      <c s="125">
        <f>Предпосылки!Y$231*Предпосылки!$G262*Продажи!Z27*Z$19*(1+Чувствительность!$D$20)*IFERROR(LOOKUP(Предпосылки!$H$204,$C$13:$C$15,Z$13:Z$15),1)</f>
        <v>0</v>
      </c>
      <c s="125">
        <f>Предпосылки!Z$231*Предпосылки!$G262*Продажи!AA27*AA$19*(1+Чувствительность!$D$20)*IFERROR(LOOKUP(Предпосылки!$H$204,$C$13:$C$15,AA$13:AA$15),1)</f>
        <v>0</v>
      </c>
      <c s="125">
        <f>Предпосылки!AA$231*Предпосылки!$G262*Продажи!AB27*AB$19*(1+Чувствительность!$D$20)*IFERROR(LOOKUP(Предпосылки!$H$204,$C$13:$C$15,AB$13:AB$15),1)</f>
        <v>0</v>
      </c>
      <c s="125">
        <f>Предпосылки!AB$231*Предпосылки!$G262*Продажи!AC27*AC$19*(1+Чувствительность!$D$20)*IFERROR(LOOKUP(Предпосылки!$H$204,$C$13:$C$15,AC$13:AC$15),1)</f>
        <v>0</v>
      </c>
      <c s="125">
        <f>Предпосылки!AC$231*Предпосылки!$G262*Продажи!AD27*AD$19*(1+Чувствительность!$D$20)*IFERROR(LOOKUP(Предпосылки!$H$204,$C$13:$C$15,AD$13:AD$15),1)</f>
        <v>0</v>
      </c>
      <c s="125">
        <f>Предпосылки!AD$231*Предпосылки!$G262*Продажи!AE27*AE$19*(1+Чувствительность!$D$20)*IFERROR(LOOKUP(Предпосылки!$H$204,$C$13:$C$15,AE$13:AE$15),1)</f>
        <v>0</v>
      </c>
      <c s="125">
        <f>Предпосылки!AE$231*Предпосылки!$G262*Продажи!AF27*AF$19*(1+Чувствительность!$D$20)*IFERROR(LOOKUP(Предпосылки!$H$204,$C$13:$C$15,AF$13:AF$15),1)</f>
        <v>0</v>
      </c>
      <c s="125">
        <f>Предпосылки!AF$231*Предпосылки!$G262*Продажи!AG27*AG$19*(1+Чувствительность!$D$20)*IFERROR(LOOKUP(Предпосылки!$H$204,$C$13:$C$15,AG$13:AG$15),1)</f>
        <v>0</v>
      </c>
      <c s="125">
        <f>Предпосылки!AG$231*Предпосылки!$G262*Продажи!AH27*AH$19*(1+Чувствительность!$D$20)*IFERROR(LOOKUP(Предпосылки!$H$204,$C$13:$C$15,AH$13:AH$15),1)</f>
        <v>0</v>
      </c>
      <c s="125">
        <f>Предпосылки!AH$231*Предпосылки!$G262*Продажи!AI27*AI$19*(1+Чувствительность!$D$20)*IFERROR(LOOKUP(Предпосылки!$H$204,$C$13:$C$15,AI$13:AI$15),1)</f>
        <v>0</v>
      </c>
      <c s="125">
        <f>Предпосылки!AI$231*Предпосылки!$G262*Продажи!AJ27*AJ$19*(1+Чувствительность!$D$20)*IFERROR(LOOKUP(Предпосылки!$H$204,$C$13:$C$15,AJ$13:AJ$15),1)</f>
        <v>0</v>
      </c>
      <c s="125">
        <f>Предпосылки!AJ$231*Предпосылки!$G262*Продажи!AK27*AK$19*(1+Чувствительность!$D$20)*IFERROR(LOOKUP(Предпосылки!$H$204,$C$13:$C$15,AK$13:AK$15),1)</f>
        <v>0</v>
      </c>
      <c s="125">
        <f>Предпосылки!AK$231*Предпосылки!$G262*Продажи!AL27*AL$19*(1+Чувствительность!$D$20)*IFERROR(LOOKUP(Предпосылки!$H$204,$C$13:$C$15,AL$13:AL$15),1)</f>
        <v>0</v>
      </c>
      <c s="125">
        <f>Предпосылки!AL$231*Предпосылки!$G262*Продажи!AM27*AM$19*(1+Чувствительность!$D$20)*IFERROR(LOOKUP(Предпосылки!$H$204,$C$13:$C$15,AM$13:AM$15),1)</f>
        <v>0</v>
      </c>
      <c s="125">
        <f>Предпосылки!AM$231*Предпосылки!$G262*Продажи!AN27*AN$19*(1+Чувствительность!$D$20)*IFERROR(LOOKUP(Предпосылки!$H$204,$C$13:$C$15,AN$13:AN$15),1)</f>
        <v>0</v>
      </c>
      <c s="125">
        <f>Предпосылки!AN$231*Предпосылки!$G262*Продажи!AO27*AO$19*(1+Чувствительность!$D$20)*IFERROR(LOOKUP(Предпосылки!$H$204,$C$13:$C$15,AO$13:AO$15),1)</f>
        <v>0</v>
      </c>
      <c s="125">
        <f>Предпосылки!AO$231*Предпосылки!$G262*Продажи!AP27*AP$19*(1+Чувствительность!$D$20)*IFERROR(LOOKUP(Предпосылки!$H$204,$C$13:$C$15,AP$13:AP$15),1)</f>
        <v>0</v>
      </c>
      <c s="125">
        <f>Предпосылки!AP$231*Предпосылки!$G262*Продажи!AQ27*AQ$19*(1+Чувствительность!$D$20)*IFERROR(LOOKUP(Предпосылки!$H$204,$C$13:$C$15,AQ$13:AQ$15),1)</f>
        <v>0</v>
      </c>
      <c s="125">
        <f>Предпосылки!AQ$231*Предпосылки!$G262*Продажи!AR27*AR$19*(1+Чувствительность!$D$20)*IFERROR(LOOKUP(Предпосылки!$H$204,$C$13:$C$15,AR$13:AR$15),1)</f>
        <v>0</v>
      </c>
      <c s="125">
        <f>Предпосылки!AR$231*Предпосылки!$G262*Продажи!AS27*AS$19*(1+Чувствительность!$D$20)*IFERROR(LOOKUP(Предпосылки!$H$204,$C$13:$C$15,AS$13:AS$15),1)</f>
        <v>0</v>
      </c>
      <c s="125">
        <f>Предпосылки!AS$231*Предпосылки!$G262*Продажи!AT27*AT$19*(1+Чувствительность!$D$20)*IFERROR(LOOKUP(Предпосылки!$H$204,$C$13:$C$15,AT$13:AT$15),1)</f>
        <v>0</v>
      </c>
      <c s="125">
        <f>Предпосылки!AT$231*Предпосылки!$G262*Продажи!AU27*AU$19*(1+Чувствительность!$D$20)*IFERROR(LOOKUP(Предпосылки!$H$204,$C$13:$C$15,AU$13:AU$15),1)</f>
        <v>0</v>
      </c>
      <c s="125">
        <f>Предпосылки!AU$231*Предпосылки!$G262*Продажи!AV27*AV$19*(1+Чувствительность!$D$20)*IFERROR(LOOKUP(Предпосылки!$H$204,$C$13:$C$15,AV$13:AV$15),1)</f>
        <v>0</v>
      </c>
      <c s="125">
        <f>Предпосылки!AV$231*Предпосылки!$G262*Продажи!AW27*AW$19*(1+Чувствительность!$D$20)*IFERROR(LOOKUP(Предпосылки!$H$204,$C$13:$C$15,AW$13:AW$15),1)</f>
        <v>0</v>
      </c>
      <c s="125">
        <f>Предпосылки!AW$231*Предпосылки!$G262*Продажи!AX27*AX$19*(1+Чувствительность!$D$20)*IFERROR(LOOKUP(Предпосылки!$H$204,$C$13:$C$15,AX$13:AX$15),1)</f>
        <v>0</v>
      </c>
      <c s="125">
        <f>Предпосылки!AX$231*Предпосылки!$G262*Продажи!AY27*AY$19*(1+Чувствительность!$D$20)*IFERROR(LOOKUP(Предпосылки!$H$204,$C$13:$C$15,AY$13:AY$15),1)</f>
        <v>0</v>
      </c>
      <c s="125">
        <f>Предпосылки!AY$231*Предпосылки!$G262*Продажи!AZ27*AZ$19*(1+Чувствительность!$D$20)*IFERROR(LOOKUP(Предпосылки!$H$204,$C$13:$C$15,AZ$13:AZ$15),1)</f>
        <v>0</v>
      </c>
      <c s="125">
        <f>Предпосылки!AZ$231*Предпосылки!$G262*Продажи!BA27*BA$19*(1+Чувствительность!$D$20)*IFERROR(LOOKUP(Предпосылки!$H$204,$C$13:$C$15,BA$13:BA$15),1)</f>
        <v>0</v>
      </c>
      <c s="125">
        <f>Предпосылки!BA$231*Предпосылки!$G262*Продажи!BB27*BB$19*(1+Чувствительность!$D$20)*IFERROR(LOOKUP(Предпосылки!$H$204,$C$13:$C$15,BB$13:BB$15),1)</f>
        <v>0</v>
      </c>
      <c s="125">
        <f>Предпосылки!BB$231*Предпосылки!$G262*Продажи!BC27*BC$19*(1+Чувствительность!$D$20)*IFERROR(LOOKUP(Предпосылки!$H$204,$C$13:$C$15,BC$13:BC$15),1)</f>
        <v>0</v>
      </c>
      <c s="125">
        <f>Предпосылки!BC$231*Предпосылки!$G262*Продажи!BD27*BD$19*(1+Чувствительность!$D$20)*IFERROR(LOOKUP(Предпосылки!$H$204,$C$13:$C$15,BD$13:BD$15),1)</f>
        <v>0</v>
      </c>
      <c s="125">
        <f>Предпосылки!BD$231*Предпосылки!$G262*Продажи!BE27*BE$19*(1+Чувствительность!$D$20)*IFERROR(LOOKUP(Предпосылки!$H$204,$C$13:$C$15,BE$13:BE$15),1)</f>
        <v>0</v>
      </c>
      <c s="125">
        <f>Предпосылки!BE$231*Предпосылки!$G262*Продажи!BF27*BF$19*(1+Чувствительность!$D$20)*IFERROR(LOOKUP(Предпосылки!$H$204,$C$13:$C$15,BF$13:BF$15),1)</f>
        <v>0</v>
      </c>
      <c s="125">
        <f>Предпосылки!BF$231*Предпосылки!$G262*Продажи!BG27*BG$19*(1+Чувствительность!$D$20)*IFERROR(LOOKUP(Предпосылки!$H$204,$C$13:$C$15,BG$13:BG$15),1)</f>
        <v>0</v>
      </c>
      <c s="125">
        <f>Предпосылки!BG$231*Предпосылки!$G262*Продажи!BH27*BH$19*(1+Чувствительность!$D$20)*IFERROR(LOOKUP(Предпосылки!$H$204,$C$13:$C$15,BH$13:BH$15),1)</f>
        <v>0</v>
      </c>
      <c s="125">
        <f>Предпосылки!BH$231*Предпосылки!$G262*Продажи!BI27*BI$19*(1+Чувствительность!$D$20)*IFERROR(LOOKUP(Предпосылки!$H$204,$C$13:$C$15,BI$13:BI$15),1)</f>
        <v>0</v>
      </c>
      <c s="125">
        <f>Предпосылки!BI$231*Предпосылки!$G262*Продажи!BJ27*BJ$19*(1+Чувствительность!$D$20)*IFERROR(LOOKUP(Предпосылки!$H$204,$C$13:$C$15,BJ$13:BJ$15),1)</f>
        <v>0</v>
      </c>
      <c s="125">
        <f>Предпосылки!BJ$231*Предпосылки!$G262*Продажи!BK27*BK$19*(1+Чувствительность!$D$20)*IFERROR(LOOKUP(Предпосылки!$H$204,$C$13:$C$15,BK$13:BK$15),1)</f>
        <v>0</v>
      </c>
      <c s="125">
        <f>Предпосылки!BK$231*Предпосылки!$G262*Продажи!BL27*BL$19*(1+Чувствительность!$D$20)*IFERROR(LOOKUP(Предпосылки!$H$204,$C$13:$C$15,BL$13:BL$15),1)</f>
        <v>0</v>
      </c>
      <c s="125">
        <f>Предпосылки!BL$231*Предпосылки!$G262*Продажи!BM27*BM$19*(1+Чувствительность!$D$20)*IFERROR(LOOKUP(Предпосылки!$H$204,$C$13:$C$15,BM$13:BM$15),1)</f>
        <v>0</v>
      </c>
    </row>
    <row r="102" spans="2:65" ht="15" customHeight="1">
      <c r="B102" s="12" t="str">
        <f t="shared" si="76"/>
        <v>Продукт 11</v>
      </c>
      <c s="124" t="str">
        <f t="shared" si="75"/>
        <v>тыс. руб.</v>
      </c>
      <c s="276">
        <f t="shared" si="77"/>
        <v>0</v>
      </c>
      <c s="125">
        <f>Предпосылки!D$231*Предпосылки!$G263*Продажи!E28*E$19*(1+Чувствительность!$D$20)*IFERROR(LOOKUP(Предпосылки!$H$204,$C$13:$C$15,E$13:E$15),1)</f>
        <v>0</v>
      </c>
      <c s="125">
        <f>Предпосылки!E$231*Предпосылки!$G263*Продажи!F28*F$19*(1+Чувствительность!$D$20)*IFERROR(LOOKUP(Предпосылки!$H$204,$C$13:$C$15,F$13:F$15),1)</f>
        <v>0</v>
      </c>
      <c s="125">
        <f>Предпосылки!F$231*Предпосылки!$G263*Продажи!G28*G$19*(1+Чувствительность!$D$20)*IFERROR(LOOKUP(Предпосылки!$H$204,$C$13:$C$15,G$13:G$15),1)</f>
        <v>0</v>
      </c>
      <c s="125">
        <f>Предпосылки!G$231*Предпосылки!$G263*Продажи!H28*H$19*(1+Чувствительность!$D$20)*IFERROR(LOOKUP(Предпосылки!$H$204,$C$13:$C$15,H$13:H$15),1)</f>
        <v>0</v>
      </c>
      <c s="125">
        <f>Предпосылки!H$231*Предпосылки!$G263*Продажи!I28*I$19*(1+Чувствительность!$D$20)*IFERROR(LOOKUP(Предпосылки!$H$204,$C$13:$C$15,I$13:I$15),1)</f>
        <v>0</v>
      </c>
      <c s="125">
        <f>Предпосылки!I$231*Предпосылки!$G263*Продажи!J28*J$19*(1+Чувствительность!$D$20)*IFERROR(LOOKUP(Предпосылки!$H$204,$C$13:$C$15,J$13:J$15),1)</f>
        <v>0</v>
      </c>
      <c s="125">
        <f>Предпосылки!J$231*Предпосылки!$G263*Продажи!K28*K$19*(1+Чувствительность!$D$20)*IFERROR(LOOKUP(Предпосылки!$H$204,$C$13:$C$15,K$13:K$15),1)</f>
        <v>0</v>
      </c>
      <c s="125">
        <f>Предпосылки!K$231*Предпосылки!$G263*Продажи!L28*L$19*(1+Чувствительность!$D$20)*IFERROR(LOOKUP(Предпосылки!$H$204,$C$13:$C$15,L$13:L$15),1)</f>
        <v>0</v>
      </c>
      <c s="125">
        <f>Предпосылки!L$231*Предпосылки!$G263*Продажи!M28*M$19*(1+Чувствительность!$D$20)*IFERROR(LOOKUP(Предпосылки!$H$204,$C$13:$C$15,M$13:M$15),1)</f>
        <v>0</v>
      </c>
      <c s="125">
        <f>Предпосылки!M$231*Предпосылки!$G263*Продажи!N28*N$19*(1+Чувствительность!$D$20)*IFERROR(LOOKUP(Предпосылки!$H$204,$C$13:$C$15,N$13:N$15),1)</f>
        <v>0</v>
      </c>
      <c s="125">
        <f>Предпосылки!N$231*Предпосылки!$G263*Продажи!O28*O$19*(1+Чувствительность!$D$20)*IFERROR(LOOKUP(Предпосылки!$H$204,$C$13:$C$15,O$13:O$15),1)</f>
        <v>0</v>
      </c>
      <c s="125">
        <f>Предпосылки!O$231*Предпосылки!$G263*Продажи!P28*P$19*(1+Чувствительность!$D$20)*IFERROR(LOOKUP(Предпосылки!$H$204,$C$13:$C$15,P$13:P$15),1)</f>
        <v>0</v>
      </c>
      <c s="125">
        <f>Предпосылки!P$231*Предпосылки!$G263*Продажи!Q28*Q$19*(1+Чувствительность!$D$20)*IFERROR(LOOKUP(Предпосылки!$H$204,$C$13:$C$15,Q$13:Q$15),1)</f>
        <v>0</v>
      </c>
      <c s="125">
        <f>Предпосылки!Q$231*Предпосылки!$G263*Продажи!R28*R$19*(1+Чувствительность!$D$20)*IFERROR(LOOKUP(Предпосылки!$H$204,$C$13:$C$15,R$13:R$15),1)</f>
        <v>0</v>
      </c>
      <c s="125">
        <f>Предпосылки!R$231*Предпосылки!$G263*Продажи!S28*S$19*(1+Чувствительность!$D$20)*IFERROR(LOOKUP(Предпосылки!$H$204,$C$13:$C$15,S$13:S$15),1)</f>
        <v>0</v>
      </c>
      <c s="125">
        <f>Предпосылки!S$231*Предпосылки!$G263*Продажи!T28*T$19*(1+Чувствительность!$D$20)*IFERROR(LOOKUP(Предпосылки!$H$204,$C$13:$C$15,T$13:T$15),1)</f>
        <v>0</v>
      </c>
      <c s="125">
        <f>Предпосылки!T$231*Предпосылки!$G263*Продажи!U28*U$19*(1+Чувствительность!$D$20)*IFERROR(LOOKUP(Предпосылки!$H$204,$C$13:$C$15,U$13:U$15),1)</f>
        <v>0</v>
      </c>
      <c s="125">
        <f>Предпосылки!U$231*Предпосылки!$G263*Продажи!V28*V$19*(1+Чувствительность!$D$20)*IFERROR(LOOKUP(Предпосылки!$H$204,$C$13:$C$15,V$13:V$15),1)</f>
        <v>0</v>
      </c>
      <c s="125">
        <f>Предпосылки!V$231*Предпосылки!$G263*Продажи!W28*W$19*(1+Чувствительность!$D$20)*IFERROR(LOOKUP(Предпосылки!$H$204,$C$13:$C$15,W$13:W$15),1)</f>
        <v>0</v>
      </c>
      <c s="125">
        <f>Предпосылки!W$231*Предпосылки!$G263*Продажи!X28*X$19*(1+Чувствительность!$D$20)*IFERROR(LOOKUP(Предпосылки!$H$204,$C$13:$C$15,X$13:X$15),1)</f>
        <v>0</v>
      </c>
      <c s="125">
        <f>Предпосылки!X$231*Предпосылки!$G263*Продажи!Y28*Y$19*(1+Чувствительность!$D$20)*IFERROR(LOOKUP(Предпосылки!$H$204,$C$13:$C$15,Y$13:Y$15),1)</f>
        <v>0</v>
      </c>
      <c s="125">
        <f>Предпосылки!Y$231*Предпосылки!$G263*Продажи!Z28*Z$19*(1+Чувствительность!$D$20)*IFERROR(LOOKUP(Предпосылки!$H$204,$C$13:$C$15,Z$13:Z$15),1)</f>
        <v>0</v>
      </c>
      <c s="125">
        <f>Предпосылки!Z$231*Предпосылки!$G263*Продажи!AA28*AA$19*(1+Чувствительность!$D$20)*IFERROR(LOOKUP(Предпосылки!$H$204,$C$13:$C$15,AA$13:AA$15),1)</f>
        <v>0</v>
      </c>
      <c s="125">
        <f>Предпосылки!AA$231*Предпосылки!$G263*Продажи!AB28*AB$19*(1+Чувствительность!$D$20)*IFERROR(LOOKUP(Предпосылки!$H$204,$C$13:$C$15,AB$13:AB$15),1)</f>
        <v>0</v>
      </c>
      <c s="125">
        <f>Предпосылки!AB$231*Предпосылки!$G263*Продажи!AC28*AC$19*(1+Чувствительность!$D$20)*IFERROR(LOOKUP(Предпосылки!$H$204,$C$13:$C$15,AC$13:AC$15),1)</f>
        <v>0</v>
      </c>
      <c s="125">
        <f>Предпосылки!AC$231*Предпосылки!$G263*Продажи!AD28*AD$19*(1+Чувствительность!$D$20)*IFERROR(LOOKUP(Предпосылки!$H$204,$C$13:$C$15,AD$13:AD$15),1)</f>
        <v>0</v>
      </c>
      <c s="125">
        <f>Предпосылки!AD$231*Предпосылки!$G263*Продажи!AE28*AE$19*(1+Чувствительность!$D$20)*IFERROR(LOOKUP(Предпосылки!$H$204,$C$13:$C$15,AE$13:AE$15),1)</f>
        <v>0</v>
      </c>
      <c s="125">
        <f>Предпосылки!AE$231*Предпосылки!$G263*Продажи!AF28*AF$19*(1+Чувствительность!$D$20)*IFERROR(LOOKUP(Предпосылки!$H$204,$C$13:$C$15,AF$13:AF$15),1)</f>
        <v>0</v>
      </c>
      <c s="125">
        <f>Предпосылки!AF$231*Предпосылки!$G263*Продажи!AG28*AG$19*(1+Чувствительность!$D$20)*IFERROR(LOOKUP(Предпосылки!$H$204,$C$13:$C$15,AG$13:AG$15),1)</f>
        <v>0</v>
      </c>
      <c s="125">
        <f>Предпосылки!AG$231*Предпосылки!$G263*Продажи!AH28*AH$19*(1+Чувствительность!$D$20)*IFERROR(LOOKUP(Предпосылки!$H$204,$C$13:$C$15,AH$13:AH$15),1)</f>
        <v>0</v>
      </c>
      <c s="125">
        <f>Предпосылки!AH$231*Предпосылки!$G263*Продажи!AI28*AI$19*(1+Чувствительность!$D$20)*IFERROR(LOOKUP(Предпосылки!$H$204,$C$13:$C$15,AI$13:AI$15),1)</f>
        <v>0</v>
      </c>
      <c s="125">
        <f>Предпосылки!AI$231*Предпосылки!$G263*Продажи!AJ28*AJ$19*(1+Чувствительность!$D$20)*IFERROR(LOOKUP(Предпосылки!$H$204,$C$13:$C$15,AJ$13:AJ$15),1)</f>
        <v>0</v>
      </c>
      <c s="125">
        <f>Предпосылки!AJ$231*Предпосылки!$G263*Продажи!AK28*AK$19*(1+Чувствительность!$D$20)*IFERROR(LOOKUP(Предпосылки!$H$204,$C$13:$C$15,AK$13:AK$15),1)</f>
        <v>0</v>
      </c>
      <c s="125">
        <f>Предпосылки!AK$231*Предпосылки!$G263*Продажи!AL28*AL$19*(1+Чувствительность!$D$20)*IFERROR(LOOKUP(Предпосылки!$H$204,$C$13:$C$15,AL$13:AL$15),1)</f>
        <v>0</v>
      </c>
      <c s="125">
        <f>Предпосылки!AL$231*Предпосылки!$G263*Продажи!AM28*AM$19*(1+Чувствительность!$D$20)*IFERROR(LOOKUP(Предпосылки!$H$204,$C$13:$C$15,AM$13:AM$15),1)</f>
        <v>0</v>
      </c>
      <c s="125">
        <f>Предпосылки!AM$231*Предпосылки!$G263*Продажи!AN28*AN$19*(1+Чувствительность!$D$20)*IFERROR(LOOKUP(Предпосылки!$H$204,$C$13:$C$15,AN$13:AN$15),1)</f>
        <v>0</v>
      </c>
      <c s="125">
        <f>Предпосылки!AN$231*Предпосылки!$G263*Продажи!AO28*AO$19*(1+Чувствительность!$D$20)*IFERROR(LOOKUP(Предпосылки!$H$204,$C$13:$C$15,AO$13:AO$15),1)</f>
        <v>0</v>
      </c>
      <c s="125">
        <f>Предпосылки!AO$231*Предпосылки!$G263*Продажи!AP28*AP$19*(1+Чувствительность!$D$20)*IFERROR(LOOKUP(Предпосылки!$H$204,$C$13:$C$15,AP$13:AP$15),1)</f>
        <v>0</v>
      </c>
      <c s="125">
        <f>Предпосылки!AP$231*Предпосылки!$G263*Продажи!AQ28*AQ$19*(1+Чувствительность!$D$20)*IFERROR(LOOKUP(Предпосылки!$H$204,$C$13:$C$15,AQ$13:AQ$15),1)</f>
        <v>0</v>
      </c>
      <c s="125">
        <f>Предпосылки!AQ$231*Предпосылки!$G263*Продажи!AR28*AR$19*(1+Чувствительность!$D$20)*IFERROR(LOOKUP(Предпосылки!$H$204,$C$13:$C$15,AR$13:AR$15),1)</f>
        <v>0</v>
      </c>
      <c s="125">
        <f>Предпосылки!AR$231*Предпосылки!$G263*Продажи!AS28*AS$19*(1+Чувствительность!$D$20)*IFERROR(LOOKUP(Предпосылки!$H$204,$C$13:$C$15,AS$13:AS$15),1)</f>
        <v>0</v>
      </c>
      <c s="125">
        <f>Предпосылки!AS$231*Предпосылки!$G263*Продажи!AT28*AT$19*(1+Чувствительность!$D$20)*IFERROR(LOOKUP(Предпосылки!$H$204,$C$13:$C$15,AT$13:AT$15),1)</f>
        <v>0</v>
      </c>
      <c s="125">
        <f>Предпосылки!AT$231*Предпосылки!$G263*Продажи!AU28*AU$19*(1+Чувствительность!$D$20)*IFERROR(LOOKUP(Предпосылки!$H$204,$C$13:$C$15,AU$13:AU$15),1)</f>
        <v>0</v>
      </c>
      <c s="125">
        <f>Предпосылки!AU$231*Предпосылки!$G263*Продажи!AV28*AV$19*(1+Чувствительность!$D$20)*IFERROR(LOOKUP(Предпосылки!$H$204,$C$13:$C$15,AV$13:AV$15),1)</f>
        <v>0</v>
      </c>
      <c s="125">
        <f>Предпосылки!AV$231*Предпосылки!$G263*Продажи!AW28*AW$19*(1+Чувствительность!$D$20)*IFERROR(LOOKUP(Предпосылки!$H$204,$C$13:$C$15,AW$13:AW$15),1)</f>
        <v>0</v>
      </c>
      <c s="125">
        <f>Предпосылки!AW$231*Предпосылки!$G263*Продажи!AX28*AX$19*(1+Чувствительность!$D$20)*IFERROR(LOOKUP(Предпосылки!$H$204,$C$13:$C$15,AX$13:AX$15),1)</f>
        <v>0</v>
      </c>
      <c s="125">
        <f>Предпосылки!AX$231*Предпосылки!$G263*Продажи!AY28*AY$19*(1+Чувствительность!$D$20)*IFERROR(LOOKUP(Предпосылки!$H$204,$C$13:$C$15,AY$13:AY$15),1)</f>
        <v>0</v>
      </c>
      <c s="125">
        <f>Предпосылки!AY$231*Предпосылки!$G263*Продажи!AZ28*AZ$19*(1+Чувствительность!$D$20)*IFERROR(LOOKUP(Предпосылки!$H$204,$C$13:$C$15,AZ$13:AZ$15),1)</f>
        <v>0</v>
      </c>
      <c s="125">
        <f>Предпосылки!AZ$231*Предпосылки!$G263*Продажи!BA28*BA$19*(1+Чувствительность!$D$20)*IFERROR(LOOKUP(Предпосылки!$H$204,$C$13:$C$15,BA$13:BA$15),1)</f>
        <v>0</v>
      </c>
      <c s="125">
        <f>Предпосылки!BA$231*Предпосылки!$G263*Продажи!BB28*BB$19*(1+Чувствительность!$D$20)*IFERROR(LOOKUP(Предпосылки!$H$204,$C$13:$C$15,BB$13:BB$15),1)</f>
        <v>0</v>
      </c>
      <c s="125">
        <f>Предпосылки!BB$231*Предпосылки!$G263*Продажи!BC28*BC$19*(1+Чувствительность!$D$20)*IFERROR(LOOKUP(Предпосылки!$H$204,$C$13:$C$15,BC$13:BC$15),1)</f>
        <v>0</v>
      </c>
      <c s="125">
        <f>Предпосылки!BC$231*Предпосылки!$G263*Продажи!BD28*BD$19*(1+Чувствительность!$D$20)*IFERROR(LOOKUP(Предпосылки!$H$204,$C$13:$C$15,BD$13:BD$15),1)</f>
        <v>0</v>
      </c>
      <c s="125">
        <f>Предпосылки!BD$231*Предпосылки!$G263*Продажи!BE28*BE$19*(1+Чувствительность!$D$20)*IFERROR(LOOKUP(Предпосылки!$H$204,$C$13:$C$15,BE$13:BE$15),1)</f>
        <v>0</v>
      </c>
      <c s="125">
        <f>Предпосылки!BE$231*Предпосылки!$G263*Продажи!BF28*BF$19*(1+Чувствительность!$D$20)*IFERROR(LOOKUP(Предпосылки!$H$204,$C$13:$C$15,BF$13:BF$15),1)</f>
        <v>0</v>
      </c>
      <c s="125">
        <f>Предпосылки!BF$231*Предпосылки!$G263*Продажи!BG28*BG$19*(1+Чувствительность!$D$20)*IFERROR(LOOKUP(Предпосылки!$H$204,$C$13:$C$15,BG$13:BG$15),1)</f>
        <v>0</v>
      </c>
      <c s="125">
        <f>Предпосылки!BG$231*Предпосылки!$G263*Продажи!BH28*BH$19*(1+Чувствительность!$D$20)*IFERROR(LOOKUP(Предпосылки!$H$204,$C$13:$C$15,BH$13:BH$15),1)</f>
        <v>0</v>
      </c>
      <c s="125">
        <f>Предпосылки!BH$231*Предпосылки!$G263*Продажи!BI28*BI$19*(1+Чувствительность!$D$20)*IFERROR(LOOKUP(Предпосылки!$H$204,$C$13:$C$15,BI$13:BI$15),1)</f>
        <v>0</v>
      </c>
      <c s="125">
        <f>Предпосылки!BI$231*Предпосылки!$G263*Продажи!BJ28*BJ$19*(1+Чувствительность!$D$20)*IFERROR(LOOKUP(Предпосылки!$H$204,$C$13:$C$15,BJ$13:BJ$15),1)</f>
        <v>0</v>
      </c>
      <c s="125">
        <f>Предпосылки!BJ$231*Предпосылки!$G263*Продажи!BK28*BK$19*(1+Чувствительность!$D$20)*IFERROR(LOOKUP(Предпосылки!$H$204,$C$13:$C$15,BK$13:BK$15),1)</f>
        <v>0</v>
      </c>
      <c s="125">
        <f>Предпосылки!BK$231*Предпосылки!$G263*Продажи!BL28*BL$19*(1+Чувствительность!$D$20)*IFERROR(LOOKUP(Предпосылки!$H$204,$C$13:$C$15,BL$13:BL$15),1)</f>
        <v>0</v>
      </c>
      <c s="125">
        <f>Предпосылки!BL$231*Предпосылки!$G263*Продажи!BM28*BM$19*(1+Чувствительность!$D$20)*IFERROR(LOOKUP(Предпосылки!$H$204,$C$13:$C$15,BM$13:BM$15),1)</f>
        <v>0</v>
      </c>
    </row>
    <row r="103" spans="2:65" ht="15" customHeight="1">
      <c r="B103" s="12" t="str">
        <f t="shared" si="76"/>
        <v>Продукт 12</v>
      </c>
      <c s="124" t="str">
        <f t="shared" si="75"/>
        <v>тыс. руб.</v>
      </c>
      <c s="276">
        <f t="shared" si="77"/>
        <v>0</v>
      </c>
      <c s="125">
        <f>Предпосылки!D$231*Предпосылки!$G264*Продажи!E29*E$19*(1+Чувствительность!$D$20)*IFERROR(LOOKUP(Предпосылки!$H$204,$C$13:$C$15,E$13:E$15),1)</f>
        <v>0</v>
      </c>
      <c s="125">
        <f>Предпосылки!E$231*Предпосылки!$G264*Продажи!F29*F$19*(1+Чувствительность!$D$20)*IFERROR(LOOKUP(Предпосылки!$H$204,$C$13:$C$15,F$13:F$15),1)</f>
        <v>0</v>
      </c>
      <c s="125">
        <f>Предпосылки!F$231*Предпосылки!$G264*Продажи!G29*G$19*(1+Чувствительность!$D$20)*IFERROR(LOOKUP(Предпосылки!$H$204,$C$13:$C$15,G$13:G$15),1)</f>
        <v>0</v>
      </c>
      <c s="125">
        <f>Предпосылки!G$231*Предпосылки!$G264*Продажи!H29*H$19*(1+Чувствительность!$D$20)*IFERROR(LOOKUP(Предпосылки!$H$204,$C$13:$C$15,H$13:H$15),1)</f>
        <v>0</v>
      </c>
      <c s="125">
        <f>Предпосылки!H$231*Предпосылки!$G264*Продажи!I29*I$19*(1+Чувствительность!$D$20)*IFERROR(LOOKUP(Предпосылки!$H$204,$C$13:$C$15,I$13:I$15),1)</f>
        <v>0</v>
      </c>
      <c s="125">
        <f>Предпосылки!I$231*Предпосылки!$G264*Продажи!J29*J$19*(1+Чувствительность!$D$20)*IFERROR(LOOKUP(Предпосылки!$H$204,$C$13:$C$15,J$13:J$15),1)</f>
        <v>0</v>
      </c>
      <c s="125">
        <f>Предпосылки!J$231*Предпосылки!$G264*Продажи!K29*K$19*(1+Чувствительность!$D$20)*IFERROR(LOOKUP(Предпосылки!$H$204,$C$13:$C$15,K$13:K$15),1)</f>
        <v>0</v>
      </c>
      <c s="125">
        <f>Предпосылки!K$231*Предпосылки!$G264*Продажи!L29*L$19*(1+Чувствительность!$D$20)*IFERROR(LOOKUP(Предпосылки!$H$204,$C$13:$C$15,L$13:L$15),1)</f>
        <v>0</v>
      </c>
      <c s="125">
        <f>Предпосылки!L$231*Предпосылки!$G264*Продажи!M29*M$19*(1+Чувствительность!$D$20)*IFERROR(LOOKUP(Предпосылки!$H$204,$C$13:$C$15,M$13:M$15),1)</f>
        <v>0</v>
      </c>
      <c s="125">
        <f>Предпосылки!M$231*Предпосылки!$G264*Продажи!N29*N$19*(1+Чувствительность!$D$20)*IFERROR(LOOKUP(Предпосылки!$H$204,$C$13:$C$15,N$13:N$15),1)</f>
        <v>0</v>
      </c>
      <c s="125">
        <f>Предпосылки!N$231*Предпосылки!$G264*Продажи!O29*O$19*(1+Чувствительность!$D$20)*IFERROR(LOOKUP(Предпосылки!$H$204,$C$13:$C$15,O$13:O$15),1)</f>
        <v>0</v>
      </c>
      <c s="125">
        <f>Предпосылки!O$231*Предпосылки!$G264*Продажи!P29*P$19*(1+Чувствительность!$D$20)*IFERROR(LOOKUP(Предпосылки!$H$204,$C$13:$C$15,P$13:P$15),1)</f>
        <v>0</v>
      </c>
      <c s="125">
        <f>Предпосылки!P$231*Предпосылки!$G264*Продажи!Q29*Q$19*(1+Чувствительность!$D$20)*IFERROR(LOOKUP(Предпосылки!$H$204,$C$13:$C$15,Q$13:Q$15),1)</f>
        <v>0</v>
      </c>
      <c s="125">
        <f>Предпосылки!Q$231*Предпосылки!$G264*Продажи!R29*R$19*(1+Чувствительность!$D$20)*IFERROR(LOOKUP(Предпосылки!$H$204,$C$13:$C$15,R$13:R$15),1)</f>
        <v>0</v>
      </c>
      <c s="125">
        <f>Предпосылки!R$231*Предпосылки!$G264*Продажи!S29*S$19*(1+Чувствительность!$D$20)*IFERROR(LOOKUP(Предпосылки!$H$204,$C$13:$C$15,S$13:S$15),1)</f>
        <v>0</v>
      </c>
      <c s="125">
        <f>Предпосылки!S$231*Предпосылки!$G264*Продажи!T29*T$19*(1+Чувствительность!$D$20)*IFERROR(LOOKUP(Предпосылки!$H$204,$C$13:$C$15,T$13:T$15),1)</f>
        <v>0</v>
      </c>
      <c s="125">
        <f>Предпосылки!T$231*Предпосылки!$G264*Продажи!U29*U$19*(1+Чувствительность!$D$20)*IFERROR(LOOKUP(Предпосылки!$H$204,$C$13:$C$15,U$13:U$15),1)</f>
        <v>0</v>
      </c>
      <c s="125">
        <f>Предпосылки!U$231*Предпосылки!$G264*Продажи!V29*V$19*(1+Чувствительность!$D$20)*IFERROR(LOOKUP(Предпосылки!$H$204,$C$13:$C$15,V$13:V$15),1)</f>
        <v>0</v>
      </c>
      <c s="125">
        <f>Предпосылки!V$231*Предпосылки!$G264*Продажи!W29*W$19*(1+Чувствительность!$D$20)*IFERROR(LOOKUP(Предпосылки!$H$204,$C$13:$C$15,W$13:W$15),1)</f>
        <v>0</v>
      </c>
      <c s="125">
        <f>Предпосылки!W$231*Предпосылки!$G264*Продажи!X29*X$19*(1+Чувствительность!$D$20)*IFERROR(LOOKUP(Предпосылки!$H$204,$C$13:$C$15,X$13:X$15),1)</f>
        <v>0</v>
      </c>
      <c s="125">
        <f>Предпосылки!X$231*Предпосылки!$G264*Продажи!Y29*Y$19*(1+Чувствительность!$D$20)*IFERROR(LOOKUP(Предпосылки!$H$204,$C$13:$C$15,Y$13:Y$15),1)</f>
        <v>0</v>
      </c>
      <c s="125">
        <f>Предпосылки!Y$231*Предпосылки!$G264*Продажи!Z29*Z$19*(1+Чувствительность!$D$20)*IFERROR(LOOKUP(Предпосылки!$H$204,$C$13:$C$15,Z$13:Z$15),1)</f>
        <v>0</v>
      </c>
      <c s="125">
        <f>Предпосылки!Z$231*Предпосылки!$G264*Продажи!AA29*AA$19*(1+Чувствительность!$D$20)*IFERROR(LOOKUP(Предпосылки!$H$204,$C$13:$C$15,AA$13:AA$15),1)</f>
        <v>0</v>
      </c>
      <c s="125">
        <f>Предпосылки!AA$231*Предпосылки!$G264*Продажи!AB29*AB$19*(1+Чувствительность!$D$20)*IFERROR(LOOKUP(Предпосылки!$H$204,$C$13:$C$15,AB$13:AB$15),1)</f>
        <v>0</v>
      </c>
      <c s="125">
        <f>Предпосылки!AB$231*Предпосылки!$G264*Продажи!AC29*AC$19*(1+Чувствительность!$D$20)*IFERROR(LOOKUP(Предпосылки!$H$204,$C$13:$C$15,AC$13:AC$15),1)</f>
        <v>0</v>
      </c>
      <c s="125">
        <f>Предпосылки!AC$231*Предпосылки!$G264*Продажи!AD29*AD$19*(1+Чувствительность!$D$20)*IFERROR(LOOKUP(Предпосылки!$H$204,$C$13:$C$15,AD$13:AD$15),1)</f>
        <v>0</v>
      </c>
      <c s="125">
        <f>Предпосылки!AD$231*Предпосылки!$G264*Продажи!AE29*AE$19*(1+Чувствительность!$D$20)*IFERROR(LOOKUP(Предпосылки!$H$204,$C$13:$C$15,AE$13:AE$15),1)</f>
        <v>0</v>
      </c>
      <c s="125">
        <f>Предпосылки!AE$231*Предпосылки!$G264*Продажи!AF29*AF$19*(1+Чувствительность!$D$20)*IFERROR(LOOKUP(Предпосылки!$H$204,$C$13:$C$15,AF$13:AF$15),1)</f>
        <v>0</v>
      </c>
      <c s="125">
        <f>Предпосылки!AF$231*Предпосылки!$G264*Продажи!AG29*AG$19*(1+Чувствительность!$D$20)*IFERROR(LOOKUP(Предпосылки!$H$204,$C$13:$C$15,AG$13:AG$15),1)</f>
        <v>0</v>
      </c>
      <c s="125">
        <f>Предпосылки!AG$231*Предпосылки!$G264*Продажи!AH29*AH$19*(1+Чувствительность!$D$20)*IFERROR(LOOKUP(Предпосылки!$H$204,$C$13:$C$15,AH$13:AH$15),1)</f>
        <v>0</v>
      </c>
      <c s="125">
        <f>Предпосылки!AH$231*Предпосылки!$G264*Продажи!AI29*AI$19*(1+Чувствительность!$D$20)*IFERROR(LOOKUP(Предпосылки!$H$204,$C$13:$C$15,AI$13:AI$15),1)</f>
        <v>0</v>
      </c>
      <c s="125">
        <f>Предпосылки!AI$231*Предпосылки!$G264*Продажи!AJ29*AJ$19*(1+Чувствительность!$D$20)*IFERROR(LOOKUP(Предпосылки!$H$204,$C$13:$C$15,AJ$13:AJ$15),1)</f>
        <v>0</v>
      </c>
      <c s="125">
        <f>Предпосылки!AJ$231*Предпосылки!$G264*Продажи!AK29*AK$19*(1+Чувствительность!$D$20)*IFERROR(LOOKUP(Предпосылки!$H$204,$C$13:$C$15,AK$13:AK$15),1)</f>
        <v>0</v>
      </c>
      <c s="125">
        <f>Предпосылки!AK$231*Предпосылки!$G264*Продажи!AL29*AL$19*(1+Чувствительность!$D$20)*IFERROR(LOOKUP(Предпосылки!$H$204,$C$13:$C$15,AL$13:AL$15),1)</f>
        <v>0</v>
      </c>
      <c s="125">
        <f>Предпосылки!AL$231*Предпосылки!$G264*Продажи!AM29*AM$19*(1+Чувствительность!$D$20)*IFERROR(LOOKUP(Предпосылки!$H$204,$C$13:$C$15,AM$13:AM$15),1)</f>
        <v>0</v>
      </c>
      <c s="125">
        <f>Предпосылки!AM$231*Предпосылки!$G264*Продажи!AN29*AN$19*(1+Чувствительность!$D$20)*IFERROR(LOOKUP(Предпосылки!$H$204,$C$13:$C$15,AN$13:AN$15),1)</f>
        <v>0</v>
      </c>
      <c s="125">
        <f>Предпосылки!AN$231*Предпосылки!$G264*Продажи!AO29*AO$19*(1+Чувствительность!$D$20)*IFERROR(LOOKUP(Предпосылки!$H$204,$C$13:$C$15,AO$13:AO$15),1)</f>
        <v>0</v>
      </c>
      <c s="125">
        <f>Предпосылки!AO$231*Предпосылки!$G264*Продажи!AP29*AP$19*(1+Чувствительность!$D$20)*IFERROR(LOOKUP(Предпосылки!$H$204,$C$13:$C$15,AP$13:AP$15),1)</f>
        <v>0</v>
      </c>
      <c s="125">
        <f>Предпосылки!AP$231*Предпосылки!$G264*Продажи!AQ29*AQ$19*(1+Чувствительность!$D$20)*IFERROR(LOOKUP(Предпосылки!$H$204,$C$13:$C$15,AQ$13:AQ$15),1)</f>
        <v>0</v>
      </c>
      <c s="125">
        <f>Предпосылки!AQ$231*Предпосылки!$G264*Продажи!AR29*AR$19*(1+Чувствительность!$D$20)*IFERROR(LOOKUP(Предпосылки!$H$204,$C$13:$C$15,AR$13:AR$15),1)</f>
        <v>0</v>
      </c>
      <c s="125">
        <f>Предпосылки!AR$231*Предпосылки!$G264*Продажи!AS29*AS$19*(1+Чувствительность!$D$20)*IFERROR(LOOKUP(Предпосылки!$H$204,$C$13:$C$15,AS$13:AS$15),1)</f>
        <v>0</v>
      </c>
      <c s="125">
        <f>Предпосылки!AS$231*Предпосылки!$G264*Продажи!AT29*AT$19*(1+Чувствительность!$D$20)*IFERROR(LOOKUP(Предпосылки!$H$204,$C$13:$C$15,AT$13:AT$15),1)</f>
        <v>0</v>
      </c>
      <c s="125">
        <f>Предпосылки!AT$231*Предпосылки!$G264*Продажи!AU29*AU$19*(1+Чувствительность!$D$20)*IFERROR(LOOKUP(Предпосылки!$H$204,$C$13:$C$15,AU$13:AU$15),1)</f>
        <v>0</v>
      </c>
      <c s="125">
        <f>Предпосылки!AU$231*Предпосылки!$G264*Продажи!AV29*AV$19*(1+Чувствительность!$D$20)*IFERROR(LOOKUP(Предпосылки!$H$204,$C$13:$C$15,AV$13:AV$15),1)</f>
        <v>0</v>
      </c>
      <c s="125">
        <f>Предпосылки!AV$231*Предпосылки!$G264*Продажи!AW29*AW$19*(1+Чувствительность!$D$20)*IFERROR(LOOKUP(Предпосылки!$H$204,$C$13:$C$15,AW$13:AW$15),1)</f>
        <v>0</v>
      </c>
      <c s="125">
        <f>Предпосылки!AW$231*Предпосылки!$G264*Продажи!AX29*AX$19*(1+Чувствительность!$D$20)*IFERROR(LOOKUP(Предпосылки!$H$204,$C$13:$C$15,AX$13:AX$15),1)</f>
        <v>0</v>
      </c>
      <c s="125">
        <f>Предпосылки!AX$231*Предпосылки!$G264*Продажи!AY29*AY$19*(1+Чувствительность!$D$20)*IFERROR(LOOKUP(Предпосылки!$H$204,$C$13:$C$15,AY$13:AY$15),1)</f>
        <v>0</v>
      </c>
      <c s="125">
        <f>Предпосылки!AY$231*Предпосылки!$G264*Продажи!AZ29*AZ$19*(1+Чувствительность!$D$20)*IFERROR(LOOKUP(Предпосылки!$H$204,$C$13:$C$15,AZ$13:AZ$15),1)</f>
        <v>0</v>
      </c>
      <c s="125">
        <f>Предпосылки!AZ$231*Предпосылки!$G264*Продажи!BA29*BA$19*(1+Чувствительность!$D$20)*IFERROR(LOOKUP(Предпосылки!$H$204,$C$13:$C$15,BA$13:BA$15),1)</f>
        <v>0</v>
      </c>
      <c s="125">
        <f>Предпосылки!BA$231*Предпосылки!$G264*Продажи!BB29*BB$19*(1+Чувствительность!$D$20)*IFERROR(LOOKUP(Предпосылки!$H$204,$C$13:$C$15,BB$13:BB$15),1)</f>
        <v>0</v>
      </c>
      <c s="125">
        <f>Предпосылки!BB$231*Предпосылки!$G264*Продажи!BC29*BC$19*(1+Чувствительность!$D$20)*IFERROR(LOOKUP(Предпосылки!$H$204,$C$13:$C$15,BC$13:BC$15),1)</f>
        <v>0</v>
      </c>
      <c s="125">
        <f>Предпосылки!BC$231*Предпосылки!$G264*Продажи!BD29*BD$19*(1+Чувствительность!$D$20)*IFERROR(LOOKUP(Предпосылки!$H$204,$C$13:$C$15,BD$13:BD$15),1)</f>
        <v>0</v>
      </c>
      <c s="125">
        <f>Предпосылки!BD$231*Предпосылки!$G264*Продажи!BE29*BE$19*(1+Чувствительность!$D$20)*IFERROR(LOOKUP(Предпосылки!$H$204,$C$13:$C$15,BE$13:BE$15),1)</f>
        <v>0</v>
      </c>
      <c s="125">
        <f>Предпосылки!BE$231*Предпосылки!$G264*Продажи!BF29*BF$19*(1+Чувствительность!$D$20)*IFERROR(LOOKUP(Предпосылки!$H$204,$C$13:$C$15,BF$13:BF$15),1)</f>
        <v>0</v>
      </c>
      <c s="125">
        <f>Предпосылки!BF$231*Предпосылки!$G264*Продажи!BG29*BG$19*(1+Чувствительность!$D$20)*IFERROR(LOOKUP(Предпосылки!$H$204,$C$13:$C$15,BG$13:BG$15),1)</f>
        <v>0</v>
      </c>
      <c s="125">
        <f>Предпосылки!BG$231*Предпосылки!$G264*Продажи!BH29*BH$19*(1+Чувствительность!$D$20)*IFERROR(LOOKUP(Предпосылки!$H$204,$C$13:$C$15,BH$13:BH$15),1)</f>
        <v>0</v>
      </c>
      <c s="125">
        <f>Предпосылки!BH$231*Предпосылки!$G264*Продажи!BI29*BI$19*(1+Чувствительность!$D$20)*IFERROR(LOOKUP(Предпосылки!$H$204,$C$13:$C$15,BI$13:BI$15),1)</f>
        <v>0</v>
      </c>
      <c s="125">
        <f>Предпосылки!BI$231*Предпосылки!$G264*Продажи!BJ29*BJ$19*(1+Чувствительность!$D$20)*IFERROR(LOOKUP(Предпосылки!$H$204,$C$13:$C$15,BJ$13:BJ$15),1)</f>
        <v>0</v>
      </c>
      <c s="125">
        <f>Предпосылки!BJ$231*Предпосылки!$G264*Продажи!BK29*BK$19*(1+Чувствительность!$D$20)*IFERROR(LOOKUP(Предпосылки!$H$204,$C$13:$C$15,BK$13:BK$15),1)</f>
        <v>0</v>
      </c>
      <c s="125">
        <f>Предпосылки!BK$231*Предпосылки!$G264*Продажи!BL29*BL$19*(1+Чувствительность!$D$20)*IFERROR(LOOKUP(Предпосылки!$H$204,$C$13:$C$15,BL$13:BL$15),1)</f>
        <v>0</v>
      </c>
      <c s="125">
        <f>Предпосылки!BL$231*Предпосылки!$G264*Продажи!BM29*BM$19*(1+Чувствительность!$D$20)*IFERROR(LOOKUP(Предпосылки!$H$204,$C$13:$C$15,BM$13:BM$15),1)</f>
        <v>0</v>
      </c>
    </row>
    <row r="104" spans="2:65" ht="15" customHeight="1">
      <c r="B104" s="12" t="str">
        <f t="shared" si="76"/>
        <v>Продукт 13</v>
      </c>
      <c s="124" t="str">
        <f t="shared" si="75"/>
        <v>тыс. руб.</v>
      </c>
      <c s="276">
        <f t="shared" si="77"/>
        <v>0</v>
      </c>
      <c s="125">
        <f>Предпосылки!D$231*Предпосылки!$G265*Продажи!E30*E$19*(1+Чувствительность!$D$20)*IFERROR(LOOKUP(Предпосылки!$H$204,$C$13:$C$15,E$13:E$15),1)</f>
        <v>0</v>
      </c>
      <c s="125">
        <f>Предпосылки!E$231*Предпосылки!$G265*Продажи!F30*F$19*(1+Чувствительность!$D$20)*IFERROR(LOOKUP(Предпосылки!$H$204,$C$13:$C$15,F$13:F$15),1)</f>
        <v>0</v>
      </c>
      <c s="125">
        <f>Предпосылки!F$231*Предпосылки!$G265*Продажи!G30*G$19*(1+Чувствительность!$D$20)*IFERROR(LOOKUP(Предпосылки!$H$204,$C$13:$C$15,G$13:G$15),1)</f>
        <v>0</v>
      </c>
      <c s="125">
        <f>Предпосылки!G$231*Предпосылки!$G265*Продажи!H30*H$19*(1+Чувствительность!$D$20)*IFERROR(LOOKUP(Предпосылки!$H$204,$C$13:$C$15,H$13:H$15),1)</f>
        <v>0</v>
      </c>
      <c s="125">
        <f>Предпосылки!H$231*Предпосылки!$G265*Продажи!I30*I$19*(1+Чувствительность!$D$20)*IFERROR(LOOKUP(Предпосылки!$H$204,$C$13:$C$15,I$13:I$15),1)</f>
        <v>0</v>
      </c>
      <c s="125">
        <f>Предпосылки!I$231*Предпосылки!$G265*Продажи!J30*J$19*(1+Чувствительность!$D$20)*IFERROR(LOOKUP(Предпосылки!$H$204,$C$13:$C$15,J$13:J$15),1)</f>
        <v>0</v>
      </c>
      <c s="125">
        <f>Предпосылки!J$231*Предпосылки!$G265*Продажи!K30*K$19*(1+Чувствительность!$D$20)*IFERROR(LOOKUP(Предпосылки!$H$204,$C$13:$C$15,K$13:K$15),1)</f>
        <v>0</v>
      </c>
      <c s="125">
        <f>Предпосылки!K$231*Предпосылки!$G265*Продажи!L30*L$19*(1+Чувствительность!$D$20)*IFERROR(LOOKUP(Предпосылки!$H$204,$C$13:$C$15,L$13:L$15),1)</f>
        <v>0</v>
      </c>
      <c s="125">
        <f>Предпосылки!L$231*Предпосылки!$G265*Продажи!M30*M$19*(1+Чувствительность!$D$20)*IFERROR(LOOKUP(Предпосылки!$H$204,$C$13:$C$15,M$13:M$15),1)</f>
        <v>0</v>
      </c>
      <c s="125">
        <f>Предпосылки!M$231*Предпосылки!$G265*Продажи!N30*N$19*(1+Чувствительность!$D$20)*IFERROR(LOOKUP(Предпосылки!$H$204,$C$13:$C$15,N$13:N$15),1)</f>
        <v>0</v>
      </c>
      <c s="125">
        <f>Предпосылки!N$231*Предпосылки!$G265*Продажи!O30*O$19*(1+Чувствительность!$D$20)*IFERROR(LOOKUP(Предпосылки!$H$204,$C$13:$C$15,O$13:O$15),1)</f>
        <v>0</v>
      </c>
      <c s="125">
        <f>Предпосылки!O$231*Предпосылки!$G265*Продажи!P30*P$19*(1+Чувствительность!$D$20)*IFERROR(LOOKUP(Предпосылки!$H$204,$C$13:$C$15,P$13:P$15),1)</f>
        <v>0</v>
      </c>
      <c s="125">
        <f>Предпосылки!P$231*Предпосылки!$G265*Продажи!Q30*Q$19*(1+Чувствительность!$D$20)*IFERROR(LOOKUP(Предпосылки!$H$204,$C$13:$C$15,Q$13:Q$15),1)</f>
        <v>0</v>
      </c>
      <c s="125">
        <f>Предпосылки!Q$231*Предпосылки!$G265*Продажи!R30*R$19*(1+Чувствительность!$D$20)*IFERROR(LOOKUP(Предпосылки!$H$204,$C$13:$C$15,R$13:R$15),1)</f>
        <v>0</v>
      </c>
      <c s="125">
        <f>Предпосылки!R$231*Предпосылки!$G265*Продажи!S30*S$19*(1+Чувствительность!$D$20)*IFERROR(LOOKUP(Предпосылки!$H$204,$C$13:$C$15,S$13:S$15),1)</f>
        <v>0</v>
      </c>
      <c s="125">
        <f>Предпосылки!S$231*Предпосылки!$G265*Продажи!T30*T$19*(1+Чувствительность!$D$20)*IFERROR(LOOKUP(Предпосылки!$H$204,$C$13:$C$15,T$13:T$15),1)</f>
        <v>0</v>
      </c>
      <c s="125">
        <f>Предпосылки!T$231*Предпосылки!$G265*Продажи!U30*U$19*(1+Чувствительность!$D$20)*IFERROR(LOOKUP(Предпосылки!$H$204,$C$13:$C$15,U$13:U$15),1)</f>
        <v>0</v>
      </c>
      <c s="125">
        <f>Предпосылки!U$231*Предпосылки!$G265*Продажи!V30*V$19*(1+Чувствительность!$D$20)*IFERROR(LOOKUP(Предпосылки!$H$204,$C$13:$C$15,V$13:V$15),1)</f>
        <v>0</v>
      </c>
      <c s="125">
        <f>Предпосылки!V$231*Предпосылки!$G265*Продажи!W30*W$19*(1+Чувствительность!$D$20)*IFERROR(LOOKUP(Предпосылки!$H$204,$C$13:$C$15,W$13:W$15),1)</f>
        <v>0</v>
      </c>
      <c s="125">
        <f>Предпосылки!W$231*Предпосылки!$G265*Продажи!X30*X$19*(1+Чувствительность!$D$20)*IFERROR(LOOKUP(Предпосылки!$H$204,$C$13:$C$15,X$13:X$15),1)</f>
        <v>0</v>
      </c>
      <c s="125">
        <f>Предпосылки!X$231*Предпосылки!$G265*Продажи!Y30*Y$19*(1+Чувствительность!$D$20)*IFERROR(LOOKUP(Предпосылки!$H$204,$C$13:$C$15,Y$13:Y$15),1)</f>
        <v>0</v>
      </c>
      <c s="125">
        <f>Предпосылки!Y$231*Предпосылки!$G265*Продажи!Z30*Z$19*(1+Чувствительность!$D$20)*IFERROR(LOOKUP(Предпосылки!$H$204,$C$13:$C$15,Z$13:Z$15),1)</f>
        <v>0</v>
      </c>
      <c s="125">
        <f>Предпосылки!Z$231*Предпосылки!$G265*Продажи!AA30*AA$19*(1+Чувствительность!$D$20)*IFERROR(LOOKUP(Предпосылки!$H$204,$C$13:$C$15,AA$13:AA$15),1)</f>
        <v>0</v>
      </c>
      <c s="125">
        <f>Предпосылки!AA$231*Предпосылки!$G265*Продажи!AB30*AB$19*(1+Чувствительность!$D$20)*IFERROR(LOOKUP(Предпосылки!$H$204,$C$13:$C$15,AB$13:AB$15),1)</f>
        <v>0</v>
      </c>
      <c s="125">
        <f>Предпосылки!AB$231*Предпосылки!$G265*Продажи!AC30*AC$19*(1+Чувствительность!$D$20)*IFERROR(LOOKUP(Предпосылки!$H$204,$C$13:$C$15,AC$13:AC$15),1)</f>
        <v>0</v>
      </c>
      <c s="125">
        <f>Предпосылки!AC$231*Предпосылки!$G265*Продажи!AD30*AD$19*(1+Чувствительность!$D$20)*IFERROR(LOOKUP(Предпосылки!$H$204,$C$13:$C$15,AD$13:AD$15),1)</f>
        <v>0</v>
      </c>
      <c s="125">
        <f>Предпосылки!AD$231*Предпосылки!$G265*Продажи!AE30*AE$19*(1+Чувствительность!$D$20)*IFERROR(LOOKUP(Предпосылки!$H$204,$C$13:$C$15,AE$13:AE$15),1)</f>
        <v>0</v>
      </c>
      <c s="125">
        <f>Предпосылки!AE$231*Предпосылки!$G265*Продажи!AF30*AF$19*(1+Чувствительность!$D$20)*IFERROR(LOOKUP(Предпосылки!$H$204,$C$13:$C$15,AF$13:AF$15),1)</f>
        <v>0</v>
      </c>
      <c s="125">
        <f>Предпосылки!AF$231*Предпосылки!$G265*Продажи!AG30*AG$19*(1+Чувствительность!$D$20)*IFERROR(LOOKUP(Предпосылки!$H$204,$C$13:$C$15,AG$13:AG$15),1)</f>
        <v>0</v>
      </c>
      <c s="125">
        <f>Предпосылки!AG$231*Предпосылки!$G265*Продажи!AH30*AH$19*(1+Чувствительность!$D$20)*IFERROR(LOOKUP(Предпосылки!$H$204,$C$13:$C$15,AH$13:AH$15),1)</f>
        <v>0</v>
      </c>
      <c s="125">
        <f>Предпосылки!AH$231*Предпосылки!$G265*Продажи!AI30*AI$19*(1+Чувствительность!$D$20)*IFERROR(LOOKUP(Предпосылки!$H$204,$C$13:$C$15,AI$13:AI$15),1)</f>
        <v>0</v>
      </c>
      <c s="125">
        <f>Предпосылки!AI$231*Предпосылки!$G265*Продажи!AJ30*AJ$19*(1+Чувствительность!$D$20)*IFERROR(LOOKUP(Предпосылки!$H$204,$C$13:$C$15,AJ$13:AJ$15),1)</f>
        <v>0</v>
      </c>
      <c s="125">
        <f>Предпосылки!AJ$231*Предпосылки!$G265*Продажи!AK30*AK$19*(1+Чувствительность!$D$20)*IFERROR(LOOKUP(Предпосылки!$H$204,$C$13:$C$15,AK$13:AK$15),1)</f>
        <v>0</v>
      </c>
      <c s="125">
        <f>Предпосылки!AK$231*Предпосылки!$G265*Продажи!AL30*AL$19*(1+Чувствительность!$D$20)*IFERROR(LOOKUP(Предпосылки!$H$204,$C$13:$C$15,AL$13:AL$15),1)</f>
        <v>0</v>
      </c>
      <c s="125">
        <f>Предпосылки!AL$231*Предпосылки!$G265*Продажи!AM30*AM$19*(1+Чувствительность!$D$20)*IFERROR(LOOKUP(Предпосылки!$H$204,$C$13:$C$15,AM$13:AM$15),1)</f>
        <v>0</v>
      </c>
      <c s="125">
        <f>Предпосылки!AM$231*Предпосылки!$G265*Продажи!AN30*AN$19*(1+Чувствительность!$D$20)*IFERROR(LOOKUP(Предпосылки!$H$204,$C$13:$C$15,AN$13:AN$15),1)</f>
        <v>0</v>
      </c>
      <c s="125">
        <f>Предпосылки!AN$231*Предпосылки!$G265*Продажи!AO30*AO$19*(1+Чувствительность!$D$20)*IFERROR(LOOKUP(Предпосылки!$H$204,$C$13:$C$15,AO$13:AO$15),1)</f>
        <v>0</v>
      </c>
      <c s="125">
        <f>Предпосылки!AO$231*Предпосылки!$G265*Продажи!AP30*AP$19*(1+Чувствительность!$D$20)*IFERROR(LOOKUP(Предпосылки!$H$204,$C$13:$C$15,AP$13:AP$15),1)</f>
        <v>0</v>
      </c>
      <c s="125">
        <f>Предпосылки!AP$231*Предпосылки!$G265*Продажи!AQ30*AQ$19*(1+Чувствительность!$D$20)*IFERROR(LOOKUP(Предпосылки!$H$204,$C$13:$C$15,AQ$13:AQ$15),1)</f>
        <v>0</v>
      </c>
      <c s="125">
        <f>Предпосылки!AQ$231*Предпосылки!$G265*Продажи!AR30*AR$19*(1+Чувствительность!$D$20)*IFERROR(LOOKUP(Предпосылки!$H$204,$C$13:$C$15,AR$13:AR$15),1)</f>
        <v>0</v>
      </c>
      <c s="125">
        <f>Предпосылки!AR$231*Предпосылки!$G265*Продажи!AS30*AS$19*(1+Чувствительность!$D$20)*IFERROR(LOOKUP(Предпосылки!$H$204,$C$13:$C$15,AS$13:AS$15),1)</f>
        <v>0</v>
      </c>
      <c s="125">
        <f>Предпосылки!AS$231*Предпосылки!$G265*Продажи!AT30*AT$19*(1+Чувствительность!$D$20)*IFERROR(LOOKUP(Предпосылки!$H$204,$C$13:$C$15,AT$13:AT$15),1)</f>
        <v>0</v>
      </c>
      <c s="125">
        <f>Предпосылки!AT$231*Предпосылки!$G265*Продажи!AU30*AU$19*(1+Чувствительность!$D$20)*IFERROR(LOOKUP(Предпосылки!$H$204,$C$13:$C$15,AU$13:AU$15),1)</f>
        <v>0</v>
      </c>
      <c s="125">
        <f>Предпосылки!AU$231*Предпосылки!$G265*Продажи!AV30*AV$19*(1+Чувствительность!$D$20)*IFERROR(LOOKUP(Предпосылки!$H$204,$C$13:$C$15,AV$13:AV$15),1)</f>
        <v>0</v>
      </c>
      <c s="125">
        <f>Предпосылки!AV$231*Предпосылки!$G265*Продажи!AW30*AW$19*(1+Чувствительность!$D$20)*IFERROR(LOOKUP(Предпосылки!$H$204,$C$13:$C$15,AW$13:AW$15),1)</f>
        <v>0</v>
      </c>
      <c s="125">
        <f>Предпосылки!AW$231*Предпосылки!$G265*Продажи!AX30*AX$19*(1+Чувствительность!$D$20)*IFERROR(LOOKUP(Предпосылки!$H$204,$C$13:$C$15,AX$13:AX$15),1)</f>
        <v>0</v>
      </c>
      <c s="125">
        <f>Предпосылки!AX$231*Предпосылки!$G265*Продажи!AY30*AY$19*(1+Чувствительность!$D$20)*IFERROR(LOOKUP(Предпосылки!$H$204,$C$13:$C$15,AY$13:AY$15),1)</f>
        <v>0</v>
      </c>
      <c s="125">
        <f>Предпосылки!AY$231*Предпосылки!$G265*Продажи!AZ30*AZ$19*(1+Чувствительность!$D$20)*IFERROR(LOOKUP(Предпосылки!$H$204,$C$13:$C$15,AZ$13:AZ$15),1)</f>
        <v>0</v>
      </c>
      <c s="125">
        <f>Предпосылки!AZ$231*Предпосылки!$G265*Продажи!BA30*BA$19*(1+Чувствительность!$D$20)*IFERROR(LOOKUP(Предпосылки!$H$204,$C$13:$C$15,BA$13:BA$15),1)</f>
        <v>0</v>
      </c>
      <c s="125">
        <f>Предпосылки!BA$231*Предпосылки!$G265*Продажи!BB30*BB$19*(1+Чувствительность!$D$20)*IFERROR(LOOKUP(Предпосылки!$H$204,$C$13:$C$15,BB$13:BB$15),1)</f>
        <v>0</v>
      </c>
      <c s="125">
        <f>Предпосылки!BB$231*Предпосылки!$G265*Продажи!BC30*BC$19*(1+Чувствительность!$D$20)*IFERROR(LOOKUP(Предпосылки!$H$204,$C$13:$C$15,BC$13:BC$15),1)</f>
        <v>0</v>
      </c>
      <c s="125">
        <f>Предпосылки!BC$231*Предпосылки!$G265*Продажи!BD30*BD$19*(1+Чувствительность!$D$20)*IFERROR(LOOKUP(Предпосылки!$H$204,$C$13:$C$15,BD$13:BD$15),1)</f>
        <v>0</v>
      </c>
      <c s="125">
        <f>Предпосылки!BD$231*Предпосылки!$G265*Продажи!BE30*BE$19*(1+Чувствительность!$D$20)*IFERROR(LOOKUP(Предпосылки!$H$204,$C$13:$C$15,BE$13:BE$15),1)</f>
        <v>0</v>
      </c>
      <c s="125">
        <f>Предпосылки!BE$231*Предпосылки!$G265*Продажи!BF30*BF$19*(1+Чувствительность!$D$20)*IFERROR(LOOKUP(Предпосылки!$H$204,$C$13:$C$15,BF$13:BF$15),1)</f>
        <v>0</v>
      </c>
      <c s="125">
        <f>Предпосылки!BF$231*Предпосылки!$G265*Продажи!BG30*BG$19*(1+Чувствительность!$D$20)*IFERROR(LOOKUP(Предпосылки!$H$204,$C$13:$C$15,BG$13:BG$15),1)</f>
        <v>0</v>
      </c>
      <c s="125">
        <f>Предпосылки!BG$231*Предпосылки!$G265*Продажи!BH30*BH$19*(1+Чувствительность!$D$20)*IFERROR(LOOKUP(Предпосылки!$H$204,$C$13:$C$15,BH$13:BH$15),1)</f>
        <v>0</v>
      </c>
      <c s="125">
        <f>Предпосылки!BH$231*Предпосылки!$G265*Продажи!BI30*BI$19*(1+Чувствительность!$D$20)*IFERROR(LOOKUP(Предпосылки!$H$204,$C$13:$C$15,BI$13:BI$15),1)</f>
        <v>0</v>
      </c>
      <c s="125">
        <f>Предпосылки!BI$231*Предпосылки!$G265*Продажи!BJ30*BJ$19*(1+Чувствительность!$D$20)*IFERROR(LOOKUP(Предпосылки!$H$204,$C$13:$C$15,BJ$13:BJ$15),1)</f>
        <v>0</v>
      </c>
      <c s="125">
        <f>Предпосылки!BJ$231*Предпосылки!$G265*Продажи!BK30*BK$19*(1+Чувствительность!$D$20)*IFERROR(LOOKUP(Предпосылки!$H$204,$C$13:$C$15,BK$13:BK$15),1)</f>
        <v>0</v>
      </c>
      <c s="125">
        <f>Предпосылки!BK$231*Предпосылки!$G265*Продажи!BL30*BL$19*(1+Чувствительность!$D$20)*IFERROR(LOOKUP(Предпосылки!$H$204,$C$13:$C$15,BL$13:BL$15),1)</f>
        <v>0</v>
      </c>
      <c s="125">
        <f>Предпосылки!BL$231*Предпосылки!$G265*Продажи!BM30*BM$19*(1+Чувствительность!$D$20)*IFERROR(LOOKUP(Предпосылки!$H$204,$C$13:$C$15,BM$13:BM$15),1)</f>
        <v>0</v>
      </c>
    </row>
    <row r="105" spans="2:65" ht="15" customHeight="1">
      <c r="B105" s="12" t="str">
        <f t="shared" si="76"/>
        <v>Продукт 14</v>
      </c>
      <c s="124" t="str">
        <f t="shared" si="75"/>
        <v>тыс. руб.</v>
      </c>
      <c s="276">
        <f t="shared" si="77"/>
        <v>0</v>
      </c>
      <c s="125">
        <f>Предпосылки!D$231*Предпосылки!$G266*Продажи!E31*E$19*(1+Чувствительность!$D$20)*IFERROR(LOOKUP(Предпосылки!$H$204,$C$13:$C$15,E$13:E$15),1)</f>
        <v>0</v>
      </c>
      <c s="125">
        <f>Предпосылки!E$231*Предпосылки!$G266*Продажи!F31*F$19*(1+Чувствительность!$D$20)*IFERROR(LOOKUP(Предпосылки!$H$204,$C$13:$C$15,F$13:F$15),1)</f>
        <v>0</v>
      </c>
      <c s="125">
        <f>Предпосылки!F$231*Предпосылки!$G266*Продажи!G31*G$19*(1+Чувствительность!$D$20)*IFERROR(LOOKUP(Предпосылки!$H$204,$C$13:$C$15,G$13:G$15),1)</f>
        <v>0</v>
      </c>
      <c s="125">
        <f>Предпосылки!G$231*Предпосылки!$G266*Продажи!H31*H$19*(1+Чувствительность!$D$20)*IFERROR(LOOKUP(Предпосылки!$H$204,$C$13:$C$15,H$13:H$15),1)</f>
        <v>0</v>
      </c>
      <c s="125">
        <f>Предпосылки!H$231*Предпосылки!$G266*Продажи!I31*I$19*(1+Чувствительность!$D$20)*IFERROR(LOOKUP(Предпосылки!$H$204,$C$13:$C$15,I$13:I$15),1)</f>
        <v>0</v>
      </c>
      <c s="125">
        <f>Предпосылки!I$231*Предпосылки!$G266*Продажи!J31*J$19*(1+Чувствительность!$D$20)*IFERROR(LOOKUP(Предпосылки!$H$204,$C$13:$C$15,J$13:J$15),1)</f>
        <v>0</v>
      </c>
      <c s="125">
        <f>Предпосылки!J$231*Предпосылки!$G266*Продажи!K31*K$19*(1+Чувствительность!$D$20)*IFERROR(LOOKUP(Предпосылки!$H$204,$C$13:$C$15,K$13:K$15),1)</f>
        <v>0</v>
      </c>
      <c s="125">
        <f>Предпосылки!K$231*Предпосылки!$G266*Продажи!L31*L$19*(1+Чувствительность!$D$20)*IFERROR(LOOKUP(Предпосылки!$H$204,$C$13:$C$15,L$13:L$15),1)</f>
        <v>0</v>
      </c>
      <c s="125">
        <f>Предпосылки!L$231*Предпосылки!$G266*Продажи!M31*M$19*(1+Чувствительность!$D$20)*IFERROR(LOOKUP(Предпосылки!$H$204,$C$13:$C$15,M$13:M$15),1)</f>
        <v>0</v>
      </c>
      <c s="125">
        <f>Предпосылки!M$231*Предпосылки!$G266*Продажи!N31*N$19*(1+Чувствительность!$D$20)*IFERROR(LOOKUP(Предпосылки!$H$204,$C$13:$C$15,N$13:N$15),1)</f>
        <v>0</v>
      </c>
      <c s="125">
        <f>Предпосылки!N$231*Предпосылки!$G266*Продажи!O31*O$19*(1+Чувствительность!$D$20)*IFERROR(LOOKUP(Предпосылки!$H$204,$C$13:$C$15,O$13:O$15),1)</f>
        <v>0</v>
      </c>
      <c s="125">
        <f>Предпосылки!O$231*Предпосылки!$G266*Продажи!P31*P$19*(1+Чувствительность!$D$20)*IFERROR(LOOKUP(Предпосылки!$H$204,$C$13:$C$15,P$13:P$15),1)</f>
        <v>0</v>
      </c>
      <c s="125">
        <f>Предпосылки!P$231*Предпосылки!$G266*Продажи!Q31*Q$19*(1+Чувствительность!$D$20)*IFERROR(LOOKUP(Предпосылки!$H$204,$C$13:$C$15,Q$13:Q$15),1)</f>
        <v>0</v>
      </c>
      <c s="125">
        <f>Предпосылки!Q$231*Предпосылки!$G266*Продажи!R31*R$19*(1+Чувствительность!$D$20)*IFERROR(LOOKUP(Предпосылки!$H$204,$C$13:$C$15,R$13:R$15),1)</f>
        <v>0</v>
      </c>
      <c s="125">
        <f>Предпосылки!R$231*Предпосылки!$G266*Продажи!S31*S$19*(1+Чувствительность!$D$20)*IFERROR(LOOKUP(Предпосылки!$H$204,$C$13:$C$15,S$13:S$15),1)</f>
        <v>0</v>
      </c>
      <c s="125">
        <f>Предпосылки!S$231*Предпосылки!$G266*Продажи!T31*T$19*(1+Чувствительность!$D$20)*IFERROR(LOOKUP(Предпосылки!$H$204,$C$13:$C$15,T$13:T$15),1)</f>
        <v>0</v>
      </c>
      <c s="125">
        <f>Предпосылки!T$231*Предпосылки!$G266*Продажи!U31*U$19*(1+Чувствительность!$D$20)*IFERROR(LOOKUP(Предпосылки!$H$204,$C$13:$C$15,U$13:U$15),1)</f>
        <v>0</v>
      </c>
      <c s="125">
        <f>Предпосылки!U$231*Предпосылки!$G266*Продажи!V31*V$19*(1+Чувствительность!$D$20)*IFERROR(LOOKUP(Предпосылки!$H$204,$C$13:$C$15,V$13:V$15),1)</f>
        <v>0</v>
      </c>
      <c s="125">
        <f>Предпосылки!V$231*Предпосылки!$G266*Продажи!W31*W$19*(1+Чувствительность!$D$20)*IFERROR(LOOKUP(Предпосылки!$H$204,$C$13:$C$15,W$13:W$15),1)</f>
        <v>0</v>
      </c>
      <c s="125">
        <f>Предпосылки!W$231*Предпосылки!$G266*Продажи!X31*X$19*(1+Чувствительность!$D$20)*IFERROR(LOOKUP(Предпосылки!$H$204,$C$13:$C$15,X$13:X$15),1)</f>
        <v>0</v>
      </c>
      <c s="125">
        <f>Предпосылки!X$231*Предпосылки!$G266*Продажи!Y31*Y$19*(1+Чувствительность!$D$20)*IFERROR(LOOKUP(Предпосылки!$H$204,$C$13:$C$15,Y$13:Y$15),1)</f>
        <v>0</v>
      </c>
      <c s="125">
        <f>Предпосылки!Y$231*Предпосылки!$G266*Продажи!Z31*Z$19*(1+Чувствительность!$D$20)*IFERROR(LOOKUP(Предпосылки!$H$204,$C$13:$C$15,Z$13:Z$15),1)</f>
        <v>0</v>
      </c>
      <c s="125">
        <f>Предпосылки!Z$231*Предпосылки!$G266*Продажи!AA31*AA$19*(1+Чувствительность!$D$20)*IFERROR(LOOKUP(Предпосылки!$H$204,$C$13:$C$15,AA$13:AA$15),1)</f>
        <v>0</v>
      </c>
      <c s="125">
        <f>Предпосылки!AA$231*Предпосылки!$G266*Продажи!AB31*AB$19*(1+Чувствительность!$D$20)*IFERROR(LOOKUP(Предпосылки!$H$204,$C$13:$C$15,AB$13:AB$15),1)</f>
        <v>0</v>
      </c>
      <c s="125">
        <f>Предпосылки!AB$231*Предпосылки!$G266*Продажи!AC31*AC$19*(1+Чувствительность!$D$20)*IFERROR(LOOKUP(Предпосылки!$H$204,$C$13:$C$15,AC$13:AC$15),1)</f>
        <v>0</v>
      </c>
      <c s="125">
        <f>Предпосылки!AC$231*Предпосылки!$G266*Продажи!AD31*AD$19*(1+Чувствительность!$D$20)*IFERROR(LOOKUP(Предпосылки!$H$204,$C$13:$C$15,AD$13:AD$15),1)</f>
        <v>0</v>
      </c>
      <c s="125">
        <f>Предпосылки!AD$231*Предпосылки!$G266*Продажи!AE31*AE$19*(1+Чувствительность!$D$20)*IFERROR(LOOKUP(Предпосылки!$H$204,$C$13:$C$15,AE$13:AE$15),1)</f>
        <v>0</v>
      </c>
      <c s="125">
        <f>Предпосылки!AE$231*Предпосылки!$G266*Продажи!AF31*AF$19*(1+Чувствительность!$D$20)*IFERROR(LOOKUP(Предпосылки!$H$204,$C$13:$C$15,AF$13:AF$15),1)</f>
        <v>0</v>
      </c>
      <c s="125">
        <f>Предпосылки!AF$231*Предпосылки!$G266*Продажи!AG31*AG$19*(1+Чувствительность!$D$20)*IFERROR(LOOKUP(Предпосылки!$H$204,$C$13:$C$15,AG$13:AG$15),1)</f>
        <v>0</v>
      </c>
      <c s="125">
        <f>Предпосылки!AG$231*Предпосылки!$G266*Продажи!AH31*AH$19*(1+Чувствительность!$D$20)*IFERROR(LOOKUP(Предпосылки!$H$204,$C$13:$C$15,AH$13:AH$15),1)</f>
        <v>0</v>
      </c>
      <c s="125">
        <f>Предпосылки!AH$231*Предпосылки!$G266*Продажи!AI31*AI$19*(1+Чувствительность!$D$20)*IFERROR(LOOKUP(Предпосылки!$H$204,$C$13:$C$15,AI$13:AI$15),1)</f>
        <v>0</v>
      </c>
      <c s="125">
        <f>Предпосылки!AI$231*Предпосылки!$G266*Продажи!AJ31*AJ$19*(1+Чувствительность!$D$20)*IFERROR(LOOKUP(Предпосылки!$H$204,$C$13:$C$15,AJ$13:AJ$15),1)</f>
        <v>0</v>
      </c>
      <c s="125">
        <f>Предпосылки!AJ$231*Предпосылки!$G266*Продажи!AK31*AK$19*(1+Чувствительность!$D$20)*IFERROR(LOOKUP(Предпосылки!$H$204,$C$13:$C$15,AK$13:AK$15),1)</f>
        <v>0</v>
      </c>
      <c s="125">
        <f>Предпосылки!AK$231*Предпосылки!$G266*Продажи!AL31*AL$19*(1+Чувствительность!$D$20)*IFERROR(LOOKUP(Предпосылки!$H$204,$C$13:$C$15,AL$13:AL$15),1)</f>
        <v>0</v>
      </c>
      <c s="125">
        <f>Предпосылки!AL$231*Предпосылки!$G266*Продажи!AM31*AM$19*(1+Чувствительность!$D$20)*IFERROR(LOOKUP(Предпосылки!$H$204,$C$13:$C$15,AM$13:AM$15),1)</f>
        <v>0</v>
      </c>
      <c s="125">
        <f>Предпосылки!AM$231*Предпосылки!$G266*Продажи!AN31*AN$19*(1+Чувствительность!$D$20)*IFERROR(LOOKUP(Предпосылки!$H$204,$C$13:$C$15,AN$13:AN$15),1)</f>
        <v>0</v>
      </c>
      <c s="125">
        <f>Предпосылки!AN$231*Предпосылки!$G266*Продажи!AO31*AO$19*(1+Чувствительность!$D$20)*IFERROR(LOOKUP(Предпосылки!$H$204,$C$13:$C$15,AO$13:AO$15),1)</f>
        <v>0</v>
      </c>
      <c s="125">
        <f>Предпосылки!AO$231*Предпосылки!$G266*Продажи!AP31*AP$19*(1+Чувствительность!$D$20)*IFERROR(LOOKUP(Предпосылки!$H$204,$C$13:$C$15,AP$13:AP$15),1)</f>
        <v>0</v>
      </c>
      <c s="125">
        <f>Предпосылки!AP$231*Предпосылки!$G266*Продажи!AQ31*AQ$19*(1+Чувствительность!$D$20)*IFERROR(LOOKUP(Предпосылки!$H$204,$C$13:$C$15,AQ$13:AQ$15),1)</f>
        <v>0</v>
      </c>
      <c s="125">
        <f>Предпосылки!AQ$231*Предпосылки!$G266*Продажи!AR31*AR$19*(1+Чувствительность!$D$20)*IFERROR(LOOKUP(Предпосылки!$H$204,$C$13:$C$15,AR$13:AR$15),1)</f>
        <v>0</v>
      </c>
      <c s="125">
        <f>Предпосылки!AR$231*Предпосылки!$G266*Продажи!AS31*AS$19*(1+Чувствительность!$D$20)*IFERROR(LOOKUP(Предпосылки!$H$204,$C$13:$C$15,AS$13:AS$15),1)</f>
        <v>0</v>
      </c>
      <c s="125">
        <f>Предпосылки!AS$231*Предпосылки!$G266*Продажи!AT31*AT$19*(1+Чувствительность!$D$20)*IFERROR(LOOKUP(Предпосылки!$H$204,$C$13:$C$15,AT$13:AT$15),1)</f>
        <v>0</v>
      </c>
      <c s="125">
        <f>Предпосылки!AT$231*Предпосылки!$G266*Продажи!AU31*AU$19*(1+Чувствительность!$D$20)*IFERROR(LOOKUP(Предпосылки!$H$204,$C$13:$C$15,AU$13:AU$15),1)</f>
        <v>0</v>
      </c>
      <c s="125">
        <f>Предпосылки!AU$231*Предпосылки!$G266*Продажи!AV31*AV$19*(1+Чувствительность!$D$20)*IFERROR(LOOKUP(Предпосылки!$H$204,$C$13:$C$15,AV$13:AV$15),1)</f>
        <v>0</v>
      </c>
      <c s="125">
        <f>Предпосылки!AV$231*Предпосылки!$G266*Продажи!AW31*AW$19*(1+Чувствительность!$D$20)*IFERROR(LOOKUP(Предпосылки!$H$204,$C$13:$C$15,AW$13:AW$15),1)</f>
        <v>0</v>
      </c>
      <c s="125">
        <f>Предпосылки!AW$231*Предпосылки!$G266*Продажи!AX31*AX$19*(1+Чувствительность!$D$20)*IFERROR(LOOKUP(Предпосылки!$H$204,$C$13:$C$15,AX$13:AX$15),1)</f>
        <v>0</v>
      </c>
      <c s="125">
        <f>Предпосылки!AX$231*Предпосылки!$G266*Продажи!AY31*AY$19*(1+Чувствительность!$D$20)*IFERROR(LOOKUP(Предпосылки!$H$204,$C$13:$C$15,AY$13:AY$15),1)</f>
        <v>0</v>
      </c>
      <c s="125">
        <f>Предпосылки!AY$231*Предпосылки!$G266*Продажи!AZ31*AZ$19*(1+Чувствительность!$D$20)*IFERROR(LOOKUP(Предпосылки!$H$204,$C$13:$C$15,AZ$13:AZ$15),1)</f>
        <v>0</v>
      </c>
      <c s="125">
        <f>Предпосылки!AZ$231*Предпосылки!$G266*Продажи!BA31*BA$19*(1+Чувствительность!$D$20)*IFERROR(LOOKUP(Предпосылки!$H$204,$C$13:$C$15,BA$13:BA$15),1)</f>
        <v>0</v>
      </c>
      <c s="125">
        <f>Предпосылки!BA$231*Предпосылки!$G266*Продажи!BB31*BB$19*(1+Чувствительность!$D$20)*IFERROR(LOOKUP(Предпосылки!$H$204,$C$13:$C$15,BB$13:BB$15),1)</f>
        <v>0</v>
      </c>
      <c s="125">
        <f>Предпосылки!BB$231*Предпосылки!$G266*Продажи!BC31*BC$19*(1+Чувствительность!$D$20)*IFERROR(LOOKUP(Предпосылки!$H$204,$C$13:$C$15,BC$13:BC$15),1)</f>
        <v>0</v>
      </c>
      <c s="125">
        <f>Предпосылки!BC$231*Предпосылки!$G266*Продажи!BD31*BD$19*(1+Чувствительность!$D$20)*IFERROR(LOOKUP(Предпосылки!$H$204,$C$13:$C$15,BD$13:BD$15),1)</f>
        <v>0</v>
      </c>
      <c s="125">
        <f>Предпосылки!BD$231*Предпосылки!$G266*Продажи!BE31*BE$19*(1+Чувствительность!$D$20)*IFERROR(LOOKUP(Предпосылки!$H$204,$C$13:$C$15,BE$13:BE$15),1)</f>
        <v>0</v>
      </c>
      <c s="125">
        <f>Предпосылки!BE$231*Предпосылки!$G266*Продажи!BF31*BF$19*(1+Чувствительность!$D$20)*IFERROR(LOOKUP(Предпосылки!$H$204,$C$13:$C$15,BF$13:BF$15),1)</f>
        <v>0</v>
      </c>
      <c s="125">
        <f>Предпосылки!BF$231*Предпосылки!$G266*Продажи!BG31*BG$19*(1+Чувствительность!$D$20)*IFERROR(LOOKUP(Предпосылки!$H$204,$C$13:$C$15,BG$13:BG$15),1)</f>
        <v>0</v>
      </c>
      <c s="125">
        <f>Предпосылки!BG$231*Предпосылки!$G266*Продажи!BH31*BH$19*(1+Чувствительность!$D$20)*IFERROR(LOOKUP(Предпосылки!$H$204,$C$13:$C$15,BH$13:BH$15),1)</f>
        <v>0</v>
      </c>
      <c s="125">
        <f>Предпосылки!BH$231*Предпосылки!$G266*Продажи!BI31*BI$19*(1+Чувствительность!$D$20)*IFERROR(LOOKUP(Предпосылки!$H$204,$C$13:$C$15,BI$13:BI$15),1)</f>
        <v>0</v>
      </c>
      <c s="125">
        <f>Предпосылки!BI$231*Предпосылки!$G266*Продажи!BJ31*BJ$19*(1+Чувствительность!$D$20)*IFERROR(LOOKUP(Предпосылки!$H$204,$C$13:$C$15,BJ$13:BJ$15),1)</f>
        <v>0</v>
      </c>
      <c s="125">
        <f>Предпосылки!BJ$231*Предпосылки!$G266*Продажи!BK31*BK$19*(1+Чувствительность!$D$20)*IFERROR(LOOKUP(Предпосылки!$H$204,$C$13:$C$15,BK$13:BK$15),1)</f>
        <v>0</v>
      </c>
      <c s="125">
        <f>Предпосылки!BK$231*Предпосылки!$G266*Продажи!BL31*BL$19*(1+Чувствительность!$D$20)*IFERROR(LOOKUP(Предпосылки!$H$204,$C$13:$C$15,BL$13:BL$15),1)</f>
        <v>0</v>
      </c>
      <c s="125">
        <f>Предпосылки!BL$231*Предпосылки!$G266*Продажи!BM31*BM$19*(1+Чувствительность!$D$20)*IFERROR(LOOKUP(Предпосылки!$H$204,$C$13:$C$15,BM$13:BM$15),1)</f>
        <v>0</v>
      </c>
    </row>
    <row r="106" spans="2:65" ht="15" customHeight="1">
      <c r="B106" s="12" t="str">
        <f t="shared" si="76"/>
        <v>Продукт 15</v>
      </c>
      <c s="124" t="str">
        <f t="shared" si="75"/>
        <v>тыс. руб.</v>
      </c>
      <c s="276">
        <f t="shared" si="77"/>
        <v>0</v>
      </c>
      <c s="125">
        <f>Предпосылки!D$231*Предпосылки!$G267*Продажи!E32*E$19*(1+Чувствительность!$D$20)*IFERROR(LOOKUP(Предпосылки!$H$204,$C$13:$C$15,E$13:E$15),1)</f>
        <v>0</v>
      </c>
      <c s="125">
        <f>Предпосылки!E$231*Предпосылки!$G267*Продажи!F32*F$19*(1+Чувствительность!$D$20)*IFERROR(LOOKUP(Предпосылки!$H$204,$C$13:$C$15,F$13:F$15),1)</f>
        <v>0</v>
      </c>
      <c s="125">
        <f>Предпосылки!F$231*Предпосылки!$G267*Продажи!G32*G$19*(1+Чувствительность!$D$20)*IFERROR(LOOKUP(Предпосылки!$H$204,$C$13:$C$15,G$13:G$15),1)</f>
        <v>0</v>
      </c>
      <c s="125">
        <f>Предпосылки!G$231*Предпосылки!$G267*Продажи!H32*H$19*(1+Чувствительность!$D$20)*IFERROR(LOOKUP(Предпосылки!$H$204,$C$13:$C$15,H$13:H$15),1)</f>
        <v>0</v>
      </c>
      <c s="125">
        <f>Предпосылки!H$231*Предпосылки!$G267*Продажи!I32*I$19*(1+Чувствительность!$D$20)*IFERROR(LOOKUP(Предпосылки!$H$204,$C$13:$C$15,I$13:I$15),1)</f>
        <v>0</v>
      </c>
      <c s="125">
        <f>Предпосылки!I$231*Предпосылки!$G267*Продажи!J32*J$19*(1+Чувствительность!$D$20)*IFERROR(LOOKUP(Предпосылки!$H$204,$C$13:$C$15,J$13:J$15),1)</f>
        <v>0</v>
      </c>
      <c s="125">
        <f>Предпосылки!J$231*Предпосылки!$G267*Продажи!K32*K$19*(1+Чувствительность!$D$20)*IFERROR(LOOKUP(Предпосылки!$H$204,$C$13:$C$15,K$13:K$15),1)</f>
        <v>0</v>
      </c>
      <c s="125">
        <f>Предпосылки!K$231*Предпосылки!$G267*Продажи!L32*L$19*(1+Чувствительность!$D$20)*IFERROR(LOOKUP(Предпосылки!$H$204,$C$13:$C$15,L$13:L$15),1)</f>
        <v>0</v>
      </c>
      <c s="125">
        <f>Предпосылки!L$231*Предпосылки!$G267*Продажи!M32*M$19*(1+Чувствительность!$D$20)*IFERROR(LOOKUP(Предпосылки!$H$204,$C$13:$C$15,M$13:M$15),1)</f>
        <v>0</v>
      </c>
      <c s="125">
        <f>Предпосылки!M$231*Предпосылки!$G267*Продажи!N32*N$19*(1+Чувствительность!$D$20)*IFERROR(LOOKUP(Предпосылки!$H$204,$C$13:$C$15,N$13:N$15),1)</f>
        <v>0</v>
      </c>
      <c s="125">
        <f>Предпосылки!N$231*Предпосылки!$G267*Продажи!O32*O$19*(1+Чувствительность!$D$20)*IFERROR(LOOKUP(Предпосылки!$H$204,$C$13:$C$15,O$13:O$15),1)</f>
        <v>0</v>
      </c>
      <c s="125">
        <f>Предпосылки!O$231*Предпосылки!$G267*Продажи!P32*P$19*(1+Чувствительность!$D$20)*IFERROR(LOOKUP(Предпосылки!$H$204,$C$13:$C$15,P$13:P$15),1)</f>
        <v>0</v>
      </c>
      <c s="125">
        <f>Предпосылки!P$231*Предпосылки!$G267*Продажи!Q32*Q$19*(1+Чувствительность!$D$20)*IFERROR(LOOKUP(Предпосылки!$H$204,$C$13:$C$15,Q$13:Q$15),1)</f>
        <v>0</v>
      </c>
      <c s="125">
        <f>Предпосылки!Q$231*Предпосылки!$G267*Продажи!R32*R$19*(1+Чувствительность!$D$20)*IFERROR(LOOKUP(Предпосылки!$H$204,$C$13:$C$15,R$13:R$15),1)</f>
        <v>0</v>
      </c>
      <c s="125">
        <f>Предпосылки!R$231*Предпосылки!$G267*Продажи!S32*S$19*(1+Чувствительность!$D$20)*IFERROR(LOOKUP(Предпосылки!$H$204,$C$13:$C$15,S$13:S$15),1)</f>
        <v>0</v>
      </c>
      <c s="125">
        <f>Предпосылки!S$231*Предпосылки!$G267*Продажи!T32*T$19*(1+Чувствительность!$D$20)*IFERROR(LOOKUP(Предпосылки!$H$204,$C$13:$C$15,T$13:T$15),1)</f>
        <v>0</v>
      </c>
      <c s="125">
        <f>Предпосылки!T$231*Предпосылки!$G267*Продажи!U32*U$19*(1+Чувствительность!$D$20)*IFERROR(LOOKUP(Предпосылки!$H$204,$C$13:$C$15,U$13:U$15),1)</f>
        <v>0</v>
      </c>
      <c s="125">
        <f>Предпосылки!U$231*Предпосылки!$G267*Продажи!V32*V$19*(1+Чувствительность!$D$20)*IFERROR(LOOKUP(Предпосылки!$H$204,$C$13:$C$15,V$13:V$15),1)</f>
        <v>0</v>
      </c>
      <c s="125">
        <f>Предпосылки!V$231*Предпосылки!$G267*Продажи!W32*W$19*(1+Чувствительность!$D$20)*IFERROR(LOOKUP(Предпосылки!$H$204,$C$13:$C$15,W$13:W$15),1)</f>
        <v>0</v>
      </c>
      <c s="125">
        <f>Предпосылки!W$231*Предпосылки!$G267*Продажи!X32*X$19*(1+Чувствительность!$D$20)*IFERROR(LOOKUP(Предпосылки!$H$204,$C$13:$C$15,X$13:X$15),1)</f>
        <v>0</v>
      </c>
      <c s="125">
        <f>Предпосылки!X$231*Предпосылки!$G267*Продажи!Y32*Y$19*(1+Чувствительность!$D$20)*IFERROR(LOOKUP(Предпосылки!$H$204,$C$13:$C$15,Y$13:Y$15),1)</f>
        <v>0</v>
      </c>
      <c s="125">
        <f>Предпосылки!Y$231*Предпосылки!$G267*Продажи!Z32*Z$19*(1+Чувствительность!$D$20)*IFERROR(LOOKUP(Предпосылки!$H$204,$C$13:$C$15,Z$13:Z$15),1)</f>
        <v>0</v>
      </c>
      <c s="125">
        <f>Предпосылки!Z$231*Предпосылки!$G267*Продажи!AA32*AA$19*(1+Чувствительность!$D$20)*IFERROR(LOOKUP(Предпосылки!$H$204,$C$13:$C$15,AA$13:AA$15),1)</f>
        <v>0</v>
      </c>
      <c s="125">
        <f>Предпосылки!AA$231*Предпосылки!$G267*Продажи!AB32*AB$19*(1+Чувствительность!$D$20)*IFERROR(LOOKUP(Предпосылки!$H$204,$C$13:$C$15,AB$13:AB$15),1)</f>
        <v>0</v>
      </c>
      <c s="125">
        <f>Предпосылки!AB$231*Предпосылки!$G267*Продажи!AC32*AC$19*(1+Чувствительность!$D$20)*IFERROR(LOOKUP(Предпосылки!$H$204,$C$13:$C$15,AC$13:AC$15),1)</f>
        <v>0</v>
      </c>
      <c s="125">
        <f>Предпосылки!AC$231*Предпосылки!$G267*Продажи!AD32*AD$19*(1+Чувствительность!$D$20)*IFERROR(LOOKUP(Предпосылки!$H$204,$C$13:$C$15,AD$13:AD$15),1)</f>
        <v>0</v>
      </c>
      <c s="125">
        <f>Предпосылки!AD$231*Предпосылки!$G267*Продажи!AE32*AE$19*(1+Чувствительность!$D$20)*IFERROR(LOOKUP(Предпосылки!$H$204,$C$13:$C$15,AE$13:AE$15),1)</f>
        <v>0</v>
      </c>
      <c s="125">
        <f>Предпосылки!AE$231*Предпосылки!$G267*Продажи!AF32*AF$19*(1+Чувствительность!$D$20)*IFERROR(LOOKUP(Предпосылки!$H$204,$C$13:$C$15,AF$13:AF$15),1)</f>
        <v>0</v>
      </c>
      <c s="125">
        <f>Предпосылки!AF$231*Предпосылки!$G267*Продажи!AG32*AG$19*(1+Чувствительность!$D$20)*IFERROR(LOOKUP(Предпосылки!$H$204,$C$13:$C$15,AG$13:AG$15),1)</f>
        <v>0</v>
      </c>
      <c s="125">
        <f>Предпосылки!AG$231*Предпосылки!$G267*Продажи!AH32*AH$19*(1+Чувствительность!$D$20)*IFERROR(LOOKUP(Предпосылки!$H$204,$C$13:$C$15,AH$13:AH$15),1)</f>
        <v>0</v>
      </c>
      <c s="125">
        <f>Предпосылки!AH$231*Предпосылки!$G267*Продажи!AI32*AI$19*(1+Чувствительность!$D$20)*IFERROR(LOOKUP(Предпосылки!$H$204,$C$13:$C$15,AI$13:AI$15),1)</f>
        <v>0</v>
      </c>
      <c s="125">
        <f>Предпосылки!AI$231*Предпосылки!$G267*Продажи!AJ32*AJ$19*(1+Чувствительность!$D$20)*IFERROR(LOOKUP(Предпосылки!$H$204,$C$13:$C$15,AJ$13:AJ$15),1)</f>
        <v>0</v>
      </c>
      <c s="125">
        <f>Предпосылки!AJ$231*Предпосылки!$G267*Продажи!AK32*AK$19*(1+Чувствительность!$D$20)*IFERROR(LOOKUP(Предпосылки!$H$204,$C$13:$C$15,AK$13:AK$15),1)</f>
        <v>0</v>
      </c>
      <c s="125">
        <f>Предпосылки!AK$231*Предпосылки!$G267*Продажи!AL32*AL$19*(1+Чувствительность!$D$20)*IFERROR(LOOKUP(Предпосылки!$H$204,$C$13:$C$15,AL$13:AL$15),1)</f>
        <v>0</v>
      </c>
      <c s="125">
        <f>Предпосылки!AL$231*Предпосылки!$G267*Продажи!AM32*AM$19*(1+Чувствительность!$D$20)*IFERROR(LOOKUP(Предпосылки!$H$204,$C$13:$C$15,AM$13:AM$15),1)</f>
        <v>0</v>
      </c>
      <c s="125">
        <f>Предпосылки!AM$231*Предпосылки!$G267*Продажи!AN32*AN$19*(1+Чувствительность!$D$20)*IFERROR(LOOKUP(Предпосылки!$H$204,$C$13:$C$15,AN$13:AN$15),1)</f>
        <v>0</v>
      </c>
      <c s="125">
        <f>Предпосылки!AN$231*Предпосылки!$G267*Продажи!AO32*AO$19*(1+Чувствительность!$D$20)*IFERROR(LOOKUP(Предпосылки!$H$204,$C$13:$C$15,AO$13:AO$15),1)</f>
        <v>0</v>
      </c>
      <c s="125">
        <f>Предпосылки!AO$231*Предпосылки!$G267*Продажи!AP32*AP$19*(1+Чувствительность!$D$20)*IFERROR(LOOKUP(Предпосылки!$H$204,$C$13:$C$15,AP$13:AP$15),1)</f>
        <v>0</v>
      </c>
      <c s="125">
        <f>Предпосылки!AP$231*Предпосылки!$G267*Продажи!AQ32*AQ$19*(1+Чувствительность!$D$20)*IFERROR(LOOKUP(Предпосылки!$H$204,$C$13:$C$15,AQ$13:AQ$15),1)</f>
        <v>0</v>
      </c>
      <c s="125">
        <f>Предпосылки!AQ$231*Предпосылки!$G267*Продажи!AR32*AR$19*(1+Чувствительность!$D$20)*IFERROR(LOOKUP(Предпосылки!$H$204,$C$13:$C$15,AR$13:AR$15),1)</f>
        <v>0</v>
      </c>
      <c s="125">
        <f>Предпосылки!AR$231*Предпосылки!$G267*Продажи!AS32*AS$19*(1+Чувствительность!$D$20)*IFERROR(LOOKUP(Предпосылки!$H$204,$C$13:$C$15,AS$13:AS$15),1)</f>
        <v>0</v>
      </c>
      <c s="125">
        <f>Предпосылки!AS$231*Предпосылки!$G267*Продажи!AT32*AT$19*(1+Чувствительность!$D$20)*IFERROR(LOOKUP(Предпосылки!$H$204,$C$13:$C$15,AT$13:AT$15),1)</f>
        <v>0</v>
      </c>
      <c s="125">
        <f>Предпосылки!AT$231*Предпосылки!$G267*Продажи!AU32*AU$19*(1+Чувствительность!$D$20)*IFERROR(LOOKUP(Предпосылки!$H$204,$C$13:$C$15,AU$13:AU$15),1)</f>
        <v>0</v>
      </c>
      <c s="125">
        <f>Предпосылки!AU$231*Предпосылки!$G267*Продажи!AV32*AV$19*(1+Чувствительность!$D$20)*IFERROR(LOOKUP(Предпосылки!$H$204,$C$13:$C$15,AV$13:AV$15),1)</f>
        <v>0</v>
      </c>
      <c s="125">
        <f>Предпосылки!AV$231*Предпосылки!$G267*Продажи!AW32*AW$19*(1+Чувствительность!$D$20)*IFERROR(LOOKUP(Предпосылки!$H$204,$C$13:$C$15,AW$13:AW$15),1)</f>
        <v>0</v>
      </c>
      <c s="125">
        <f>Предпосылки!AW$231*Предпосылки!$G267*Продажи!AX32*AX$19*(1+Чувствительность!$D$20)*IFERROR(LOOKUP(Предпосылки!$H$204,$C$13:$C$15,AX$13:AX$15),1)</f>
        <v>0</v>
      </c>
      <c s="125">
        <f>Предпосылки!AX$231*Предпосылки!$G267*Продажи!AY32*AY$19*(1+Чувствительность!$D$20)*IFERROR(LOOKUP(Предпосылки!$H$204,$C$13:$C$15,AY$13:AY$15),1)</f>
        <v>0</v>
      </c>
      <c s="125">
        <f>Предпосылки!AY$231*Предпосылки!$G267*Продажи!AZ32*AZ$19*(1+Чувствительность!$D$20)*IFERROR(LOOKUP(Предпосылки!$H$204,$C$13:$C$15,AZ$13:AZ$15),1)</f>
        <v>0</v>
      </c>
      <c s="125">
        <f>Предпосылки!AZ$231*Предпосылки!$G267*Продажи!BA32*BA$19*(1+Чувствительность!$D$20)*IFERROR(LOOKUP(Предпосылки!$H$204,$C$13:$C$15,BA$13:BA$15),1)</f>
        <v>0</v>
      </c>
      <c s="125">
        <f>Предпосылки!BA$231*Предпосылки!$G267*Продажи!BB32*BB$19*(1+Чувствительность!$D$20)*IFERROR(LOOKUP(Предпосылки!$H$204,$C$13:$C$15,BB$13:BB$15),1)</f>
        <v>0</v>
      </c>
      <c s="125">
        <f>Предпосылки!BB$231*Предпосылки!$G267*Продажи!BC32*BC$19*(1+Чувствительность!$D$20)*IFERROR(LOOKUP(Предпосылки!$H$204,$C$13:$C$15,BC$13:BC$15),1)</f>
        <v>0</v>
      </c>
      <c s="125">
        <f>Предпосылки!BC$231*Предпосылки!$G267*Продажи!BD32*BD$19*(1+Чувствительность!$D$20)*IFERROR(LOOKUP(Предпосылки!$H$204,$C$13:$C$15,BD$13:BD$15),1)</f>
        <v>0</v>
      </c>
      <c s="125">
        <f>Предпосылки!BD$231*Предпосылки!$G267*Продажи!BE32*BE$19*(1+Чувствительность!$D$20)*IFERROR(LOOKUP(Предпосылки!$H$204,$C$13:$C$15,BE$13:BE$15),1)</f>
        <v>0</v>
      </c>
      <c s="125">
        <f>Предпосылки!BE$231*Предпосылки!$G267*Продажи!BF32*BF$19*(1+Чувствительность!$D$20)*IFERROR(LOOKUP(Предпосылки!$H$204,$C$13:$C$15,BF$13:BF$15),1)</f>
        <v>0</v>
      </c>
      <c s="125">
        <f>Предпосылки!BF$231*Предпосылки!$G267*Продажи!BG32*BG$19*(1+Чувствительность!$D$20)*IFERROR(LOOKUP(Предпосылки!$H$204,$C$13:$C$15,BG$13:BG$15),1)</f>
        <v>0</v>
      </c>
      <c s="125">
        <f>Предпосылки!BG$231*Предпосылки!$G267*Продажи!BH32*BH$19*(1+Чувствительность!$D$20)*IFERROR(LOOKUP(Предпосылки!$H$204,$C$13:$C$15,BH$13:BH$15),1)</f>
        <v>0</v>
      </c>
      <c s="125">
        <f>Предпосылки!BH$231*Предпосылки!$G267*Продажи!BI32*BI$19*(1+Чувствительность!$D$20)*IFERROR(LOOKUP(Предпосылки!$H$204,$C$13:$C$15,BI$13:BI$15),1)</f>
        <v>0</v>
      </c>
      <c s="125">
        <f>Предпосылки!BI$231*Предпосылки!$G267*Продажи!BJ32*BJ$19*(1+Чувствительность!$D$20)*IFERROR(LOOKUP(Предпосылки!$H$204,$C$13:$C$15,BJ$13:BJ$15),1)</f>
        <v>0</v>
      </c>
      <c s="125">
        <f>Предпосылки!BJ$231*Предпосылки!$G267*Продажи!BK32*BK$19*(1+Чувствительность!$D$20)*IFERROR(LOOKUP(Предпосылки!$H$204,$C$13:$C$15,BK$13:BK$15),1)</f>
        <v>0</v>
      </c>
      <c s="125">
        <f>Предпосылки!BK$231*Предпосылки!$G267*Продажи!BL32*BL$19*(1+Чувствительность!$D$20)*IFERROR(LOOKUP(Предпосылки!$H$204,$C$13:$C$15,BL$13:BL$15),1)</f>
        <v>0</v>
      </c>
      <c s="125">
        <f>Предпосылки!BL$231*Предпосылки!$G267*Продажи!BM32*BM$19*(1+Чувствительность!$D$20)*IFERROR(LOOKUP(Предпосылки!$H$204,$C$13:$C$15,BM$13:BM$15),1)</f>
        <v>0</v>
      </c>
    </row>
    <row r="107" spans="2:65" ht="15" customHeight="1">
      <c r="B107" s="12" t="str">
        <f t="shared" si="76"/>
        <v>Продукт 16</v>
      </c>
      <c s="124" t="str">
        <f t="shared" si="75"/>
        <v>тыс. руб.</v>
      </c>
      <c s="276">
        <f t="shared" si="77"/>
        <v>0</v>
      </c>
      <c s="125">
        <f>Предпосылки!D$231*Предпосылки!$G268*Продажи!E33*E$19*(1+Чувствительность!$D$20)*IFERROR(LOOKUP(Предпосылки!$H$204,$C$13:$C$15,E$13:E$15),1)</f>
        <v>0</v>
      </c>
      <c s="125">
        <f>Предпосылки!E$231*Предпосылки!$G268*Продажи!F33*F$19*(1+Чувствительность!$D$20)*IFERROR(LOOKUP(Предпосылки!$H$204,$C$13:$C$15,F$13:F$15),1)</f>
        <v>0</v>
      </c>
      <c s="125">
        <f>Предпосылки!F$231*Предпосылки!$G268*Продажи!G33*G$19*(1+Чувствительность!$D$20)*IFERROR(LOOKUP(Предпосылки!$H$204,$C$13:$C$15,G$13:G$15),1)</f>
        <v>0</v>
      </c>
      <c s="125">
        <f>Предпосылки!G$231*Предпосылки!$G268*Продажи!H33*H$19*(1+Чувствительность!$D$20)*IFERROR(LOOKUP(Предпосылки!$H$204,$C$13:$C$15,H$13:H$15),1)</f>
        <v>0</v>
      </c>
      <c s="125">
        <f>Предпосылки!H$231*Предпосылки!$G268*Продажи!I33*I$19*(1+Чувствительность!$D$20)*IFERROR(LOOKUP(Предпосылки!$H$204,$C$13:$C$15,I$13:I$15),1)</f>
        <v>0</v>
      </c>
      <c s="125">
        <f>Предпосылки!I$231*Предпосылки!$G268*Продажи!J33*J$19*(1+Чувствительность!$D$20)*IFERROR(LOOKUP(Предпосылки!$H$204,$C$13:$C$15,J$13:J$15),1)</f>
        <v>0</v>
      </c>
      <c s="125">
        <f>Предпосылки!J$231*Предпосылки!$G268*Продажи!K33*K$19*(1+Чувствительность!$D$20)*IFERROR(LOOKUP(Предпосылки!$H$204,$C$13:$C$15,K$13:K$15),1)</f>
        <v>0</v>
      </c>
      <c s="125">
        <f>Предпосылки!K$231*Предпосылки!$G268*Продажи!L33*L$19*(1+Чувствительность!$D$20)*IFERROR(LOOKUP(Предпосылки!$H$204,$C$13:$C$15,L$13:L$15),1)</f>
        <v>0</v>
      </c>
      <c s="125">
        <f>Предпосылки!L$231*Предпосылки!$G268*Продажи!M33*M$19*(1+Чувствительность!$D$20)*IFERROR(LOOKUP(Предпосылки!$H$204,$C$13:$C$15,M$13:M$15),1)</f>
        <v>0</v>
      </c>
      <c s="125">
        <f>Предпосылки!M$231*Предпосылки!$G268*Продажи!N33*N$19*(1+Чувствительность!$D$20)*IFERROR(LOOKUP(Предпосылки!$H$204,$C$13:$C$15,N$13:N$15),1)</f>
        <v>0</v>
      </c>
      <c s="125">
        <f>Предпосылки!N$231*Предпосылки!$G268*Продажи!O33*O$19*(1+Чувствительность!$D$20)*IFERROR(LOOKUP(Предпосылки!$H$204,$C$13:$C$15,O$13:O$15),1)</f>
        <v>0</v>
      </c>
      <c s="125">
        <f>Предпосылки!O$231*Предпосылки!$G268*Продажи!P33*P$19*(1+Чувствительность!$D$20)*IFERROR(LOOKUP(Предпосылки!$H$204,$C$13:$C$15,P$13:P$15),1)</f>
        <v>0</v>
      </c>
      <c s="125">
        <f>Предпосылки!P$231*Предпосылки!$G268*Продажи!Q33*Q$19*(1+Чувствительность!$D$20)*IFERROR(LOOKUP(Предпосылки!$H$204,$C$13:$C$15,Q$13:Q$15),1)</f>
        <v>0</v>
      </c>
      <c s="125">
        <f>Предпосылки!Q$231*Предпосылки!$G268*Продажи!R33*R$19*(1+Чувствительность!$D$20)*IFERROR(LOOKUP(Предпосылки!$H$204,$C$13:$C$15,R$13:R$15),1)</f>
        <v>0</v>
      </c>
      <c s="125">
        <f>Предпосылки!R$231*Предпосылки!$G268*Продажи!S33*S$19*(1+Чувствительность!$D$20)*IFERROR(LOOKUP(Предпосылки!$H$204,$C$13:$C$15,S$13:S$15),1)</f>
        <v>0</v>
      </c>
      <c s="125">
        <f>Предпосылки!S$231*Предпосылки!$G268*Продажи!T33*T$19*(1+Чувствительность!$D$20)*IFERROR(LOOKUP(Предпосылки!$H$204,$C$13:$C$15,T$13:T$15),1)</f>
        <v>0</v>
      </c>
      <c s="125">
        <f>Предпосылки!T$231*Предпосылки!$G268*Продажи!U33*U$19*(1+Чувствительность!$D$20)*IFERROR(LOOKUP(Предпосылки!$H$204,$C$13:$C$15,U$13:U$15),1)</f>
        <v>0</v>
      </c>
      <c s="125">
        <f>Предпосылки!U$231*Предпосылки!$G268*Продажи!V33*V$19*(1+Чувствительность!$D$20)*IFERROR(LOOKUP(Предпосылки!$H$204,$C$13:$C$15,V$13:V$15),1)</f>
        <v>0</v>
      </c>
      <c s="125">
        <f>Предпосылки!V$231*Предпосылки!$G268*Продажи!W33*W$19*(1+Чувствительность!$D$20)*IFERROR(LOOKUP(Предпосылки!$H$204,$C$13:$C$15,W$13:W$15),1)</f>
        <v>0</v>
      </c>
      <c s="125">
        <f>Предпосылки!W$231*Предпосылки!$G268*Продажи!X33*X$19*(1+Чувствительность!$D$20)*IFERROR(LOOKUP(Предпосылки!$H$204,$C$13:$C$15,X$13:X$15),1)</f>
        <v>0</v>
      </c>
      <c s="125">
        <f>Предпосылки!X$231*Предпосылки!$G268*Продажи!Y33*Y$19*(1+Чувствительность!$D$20)*IFERROR(LOOKUP(Предпосылки!$H$204,$C$13:$C$15,Y$13:Y$15),1)</f>
        <v>0</v>
      </c>
      <c s="125">
        <f>Предпосылки!Y$231*Предпосылки!$G268*Продажи!Z33*Z$19*(1+Чувствительность!$D$20)*IFERROR(LOOKUP(Предпосылки!$H$204,$C$13:$C$15,Z$13:Z$15),1)</f>
        <v>0</v>
      </c>
      <c s="125">
        <f>Предпосылки!Z$231*Предпосылки!$G268*Продажи!AA33*AA$19*(1+Чувствительность!$D$20)*IFERROR(LOOKUP(Предпосылки!$H$204,$C$13:$C$15,AA$13:AA$15),1)</f>
        <v>0</v>
      </c>
      <c s="125">
        <f>Предпосылки!AA$231*Предпосылки!$G268*Продажи!AB33*AB$19*(1+Чувствительность!$D$20)*IFERROR(LOOKUP(Предпосылки!$H$204,$C$13:$C$15,AB$13:AB$15),1)</f>
        <v>0</v>
      </c>
      <c s="125">
        <f>Предпосылки!AB$231*Предпосылки!$G268*Продажи!AC33*AC$19*(1+Чувствительность!$D$20)*IFERROR(LOOKUP(Предпосылки!$H$204,$C$13:$C$15,AC$13:AC$15),1)</f>
        <v>0</v>
      </c>
      <c s="125">
        <f>Предпосылки!AC$231*Предпосылки!$G268*Продажи!AD33*AD$19*(1+Чувствительность!$D$20)*IFERROR(LOOKUP(Предпосылки!$H$204,$C$13:$C$15,AD$13:AD$15),1)</f>
        <v>0</v>
      </c>
      <c s="125">
        <f>Предпосылки!AD$231*Предпосылки!$G268*Продажи!AE33*AE$19*(1+Чувствительность!$D$20)*IFERROR(LOOKUP(Предпосылки!$H$204,$C$13:$C$15,AE$13:AE$15),1)</f>
        <v>0</v>
      </c>
      <c s="125">
        <f>Предпосылки!AE$231*Предпосылки!$G268*Продажи!AF33*AF$19*(1+Чувствительность!$D$20)*IFERROR(LOOKUP(Предпосылки!$H$204,$C$13:$C$15,AF$13:AF$15),1)</f>
        <v>0</v>
      </c>
      <c s="125">
        <f>Предпосылки!AF$231*Предпосылки!$G268*Продажи!AG33*AG$19*(1+Чувствительность!$D$20)*IFERROR(LOOKUP(Предпосылки!$H$204,$C$13:$C$15,AG$13:AG$15),1)</f>
        <v>0</v>
      </c>
      <c s="125">
        <f>Предпосылки!AG$231*Предпосылки!$G268*Продажи!AH33*AH$19*(1+Чувствительность!$D$20)*IFERROR(LOOKUP(Предпосылки!$H$204,$C$13:$C$15,AH$13:AH$15),1)</f>
        <v>0</v>
      </c>
      <c s="125">
        <f>Предпосылки!AH$231*Предпосылки!$G268*Продажи!AI33*AI$19*(1+Чувствительность!$D$20)*IFERROR(LOOKUP(Предпосылки!$H$204,$C$13:$C$15,AI$13:AI$15),1)</f>
        <v>0</v>
      </c>
      <c s="125">
        <f>Предпосылки!AI$231*Предпосылки!$G268*Продажи!AJ33*AJ$19*(1+Чувствительность!$D$20)*IFERROR(LOOKUP(Предпосылки!$H$204,$C$13:$C$15,AJ$13:AJ$15),1)</f>
        <v>0</v>
      </c>
      <c s="125">
        <f>Предпосылки!AJ$231*Предпосылки!$G268*Продажи!AK33*AK$19*(1+Чувствительность!$D$20)*IFERROR(LOOKUP(Предпосылки!$H$204,$C$13:$C$15,AK$13:AK$15),1)</f>
        <v>0</v>
      </c>
      <c s="125">
        <f>Предпосылки!AK$231*Предпосылки!$G268*Продажи!AL33*AL$19*(1+Чувствительность!$D$20)*IFERROR(LOOKUP(Предпосылки!$H$204,$C$13:$C$15,AL$13:AL$15),1)</f>
        <v>0</v>
      </c>
      <c s="125">
        <f>Предпосылки!AL$231*Предпосылки!$G268*Продажи!AM33*AM$19*(1+Чувствительность!$D$20)*IFERROR(LOOKUP(Предпосылки!$H$204,$C$13:$C$15,AM$13:AM$15),1)</f>
        <v>0</v>
      </c>
      <c s="125">
        <f>Предпосылки!AM$231*Предпосылки!$G268*Продажи!AN33*AN$19*(1+Чувствительность!$D$20)*IFERROR(LOOKUP(Предпосылки!$H$204,$C$13:$C$15,AN$13:AN$15),1)</f>
        <v>0</v>
      </c>
      <c s="125">
        <f>Предпосылки!AN$231*Предпосылки!$G268*Продажи!AO33*AO$19*(1+Чувствительность!$D$20)*IFERROR(LOOKUP(Предпосылки!$H$204,$C$13:$C$15,AO$13:AO$15),1)</f>
        <v>0</v>
      </c>
      <c s="125">
        <f>Предпосылки!AO$231*Предпосылки!$G268*Продажи!AP33*AP$19*(1+Чувствительность!$D$20)*IFERROR(LOOKUP(Предпосылки!$H$204,$C$13:$C$15,AP$13:AP$15),1)</f>
        <v>0</v>
      </c>
      <c s="125">
        <f>Предпосылки!AP$231*Предпосылки!$G268*Продажи!AQ33*AQ$19*(1+Чувствительность!$D$20)*IFERROR(LOOKUP(Предпосылки!$H$204,$C$13:$C$15,AQ$13:AQ$15),1)</f>
        <v>0</v>
      </c>
      <c s="125">
        <f>Предпосылки!AQ$231*Предпосылки!$G268*Продажи!AR33*AR$19*(1+Чувствительность!$D$20)*IFERROR(LOOKUP(Предпосылки!$H$204,$C$13:$C$15,AR$13:AR$15),1)</f>
        <v>0</v>
      </c>
      <c s="125">
        <f>Предпосылки!AR$231*Предпосылки!$G268*Продажи!AS33*AS$19*(1+Чувствительность!$D$20)*IFERROR(LOOKUP(Предпосылки!$H$204,$C$13:$C$15,AS$13:AS$15),1)</f>
        <v>0</v>
      </c>
      <c s="125">
        <f>Предпосылки!AS$231*Предпосылки!$G268*Продажи!AT33*AT$19*(1+Чувствительность!$D$20)*IFERROR(LOOKUP(Предпосылки!$H$204,$C$13:$C$15,AT$13:AT$15),1)</f>
        <v>0</v>
      </c>
      <c s="125">
        <f>Предпосылки!AT$231*Предпосылки!$G268*Продажи!AU33*AU$19*(1+Чувствительность!$D$20)*IFERROR(LOOKUP(Предпосылки!$H$204,$C$13:$C$15,AU$13:AU$15),1)</f>
        <v>0</v>
      </c>
      <c s="125">
        <f>Предпосылки!AU$231*Предпосылки!$G268*Продажи!AV33*AV$19*(1+Чувствительность!$D$20)*IFERROR(LOOKUP(Предпосылки!$H$204,$C$13:$C$15,AV$13:AV$15),1)</f>
        <v>0</v>
      </c>
      <c s="125">
        <f>Предпосылки!AV$231*Предпосылки!$G268*Продажи!AW33*AW$19*(1+Чувствительность!$D$20)*IFERROR(LOOKUP(Предпосылки!$H$204,$C$13:$C$15,AW$13:AW$15),1)</f>
        <v>0</v>
      </c>
      <c s="125">
        <f>Предпосылки!AW$231*Предпосылки!$G268*Продажи!AX33*AX$19*(1+Чувствительность!$D$20)*IFERROR(LOOKUP(Предпосылки!$H$204,$C$13:$C$15,AX$13:AX$15),1)</f>
        <v>0</v>
      </c>
      <c s="125">
        <f>Предпосылки!AX$231*Предпосылки!$G268*Продажи!AY33*AY$19*(1+Чувствительность!$D$20)*IFERROR(LOOKUP(Предпосылки!$H$204,$C$13:$C$15,AY$13:AY$15),1)</f>
        <v>0</v>
      </c>
      <c s="125">
        <f>Предпосылки!AY$231*Предпосылки!$G268*Продажи!AZ33*AZ$19*(1+Чувствительность!$D$20)*IFERROR(LOOKUP(Предпосылки!$H$204,$C$13:$C$15,AZ$13:AZ$15),1)</f>
        <v>0</v>
      </c>
      <c s="125">
        <f>Предпосылки!AZ$231*Предпосылки!$G268*Продажи!BA33*BA$19*(1+Чувствительность!$D$20)*IFERROR(LOOKUP(Предпосылки!$H$204,$C$13:$C$15,BA$13:BA$15),1)</f>
        <v>0</v>
      </c>
      <c s="125">
        <f>Предпосылки!BA$231*Предпосылки!$G268*Продажи!BB33*BB$19*(1+Чувствительность!$D$20)*IFERROR(LOOKUP(Предпосылки!$H$204,$C$13:$C$15,BB$13:BB$15),1)</f>
        <v>0</v>
      </c>
      <c s="125">
        <f>Предпосылки!BB$231*Предпосылки!$G268*Продажи!BC33*BC$19*(1+Чувствительность!$D$20)*IFERROR(LOOKUP(Предпосылки!$H$204,$C$13:$C$15,BC$13:BC$15),1)</f>
        <v>0</v>
      </c>
      <c s="125">
        <f>Предпосылки!BC$231*Предпосылки!$G268*Продажи!BD33*BD$19*(1+Чувствительность!$D$20)*IFERROR(LOOKUP(Предпосылки!$H$204,$C$13:$C$15,BD$13:BD$15),1)</f>
        <v>0</v>
      </c>
      <c s="125">
        <f>Предпосылки!BD$231*Предпосылки!$G268*Продажи!BE33*BE$19*(1+Чувствительность!$D$20)*IFERROR(LOOKUP(Предпосылки!$H$204,$C$13:$C$15,BE$13:BE$15),1)</f>
        <v>0</v>
      </c>
      <c s="125">
        <f>Предпосылки!BE$231*Предпосылки!$G268*Продажи!BF33*BF$19*(1+Чувствительность!$D$20)*IFERROR(LOOKUP(Предпосылки!$H$204,$C$13:$C$15,BF$13:BF$15),1)</f>
        <v>0</v>
      </c>
      <c s="125">
        <f>Предпосылки!BF$231*Предпосылки!$G268*Продажи!BG33*BG$19*(1+Чувствительность!$D$20)*IFERROR(LOOKUP(Предпосылки!$H$204,$C$13:$C$15,BG$13:BG$15),1)</f>
        <v>0</v>
      </c>
      <c s="125">
        <f>Предпосылки!BG$231*Предпосылки!$G268*Продажи!BH33*BH$19*(1+Чувствительность!$D$20)*IFERROR(LOOKUP(Предпосылки!$H$204,$C$13:$C$15,BH$13:BH$15),1)</f>
        <v>0</v>
      </c>
      <c s="125">
        <f>Предпосылки!BH$231*Предпосылки!$G268*Продажи!BI33*BI$19*(1+Чувствительность!$D$20)*IFERROR(LOOKUP(Предпосылки!$H$204,$C$13:$C$15,BI$13:BI$15),1)</f>
        <v>0</v>
      </c>
      <c s="125">
        <f>Предпосылки!BI$231*Предпосылки!$G268*Продажи!BJ33*BJ$19*(1+Чувствительность!$D$20)*IFERROR(LOOKUP(Предпосылки!$H$204,$C$13:$C$15,BJ$13:BJ$15),1)</f>
        <v>0</v>
      </c>
      <c s="125">
        <f>Предпосылки!BJ$231*Предпосылки!$G268*Продажи!BK33*BK$19*(1+Чувствительность!$D$20)*IFERROR(LOOKUP(Предпосылки!$H$204,$C$13:$C$15,BK$13:BK$15),1)</f>
        <v>0</v>
      </c>
      <c s="125">
        <f>Предпосылки!BK$231*Предпосылки!$G268*Продажи!BL33*BL$19*(1+Чувствительность!$D$20)*IFERROR(LOOKUP(Предпосылки!$H$204,$C$13:$C$15,BL$13:BL$15),1)</f>
        <v>0</v>
      </c>
      <c s="125">
        <f>Предпосылки!BL$231*Предпосылки!$G268*Продажи!BM33*BM$19*(1+Чувствительность!$D$20)*IFERROR(LOOKUP(Предпосылки!$H$204,$C$13:$C$15,BM$13:BM$15),1)</f>
        <v>0</v>
      </c>
    </row>
    <row r="108" spans="2:65" ht="15" customHeight="1">
      <c r="B108" s="12" t="str">
        <f t="shared" si="76"/>
        <v>Продукт 17</v>
      </c>
      <c s="124" t="str">
        <f t="shared" si="75"/>
        <v>тыс. руб.</v>
      </c>
      <c s="276">
        <f t="shared" si="77"/>
        <v>0</v>
      </c>
      <c s="125">
        <f>Предпосылки!D$231*Предпосылки!$G269*Продажи!E34*E$19*(1+Чувствительность!$D$20)*IFERROR(LOOKUP(Предпосылки!$H$204,$C$13:$C$15,E$13:E$15),1)</f>
        <v>0</v>
      </c>
      <c s="125">
        <f>Предпосылки!E$231*Предпосылки!$G269*Продажи!F34*F$19*(1+Чувствительность!$D$20)*IFERROR(LOOKUP(Предпосылки!$H$204,$C$13:$C$15,F$13:F$15),1)</f>
        <v>0</v>
      </c>
      <c s="125">
        <f>Предпосылки!F$231*Предпосылки!$G269*Продажи!G34*G$19*(1+Чувствительность!$D$20)*IFERROR(LOOKUP(Предпосылки!$H$204,$C$13:$C$15,G$13:G$15),1)</f>
        <v>0</v>
      </c>
      <c s="125">
        <f>Предпосылки!G$231*Предпосылки!$G269*Продажи!H34*H$19*(1+Чувствительность!$D$20)*IFERROR(LOOKUP(Предпосылки!$H$204,$C$13:$C$15,H$13:H$15),1)</f>
        <v>0</v>
      </c>
      <c s="125">
        <f>Предпосылки!H$231*Предпосылки!$G269*Продажи!I34*I$19*(1+Чувствительность!$D$20)*IFERROR(LOOKUP(Предпосылки!$H$204,$C$13:$C$15,I$13:I$15),1)</f>
        <v>0</v>
      </c>
      <c s="125">
        <f>Предпосылки!I$231*Предпосылки!$G269*Продажи!J34*J$19*(1+Чувствительность!$D$20)*IFERROR(LOOKUP(Предпосылки!$H$204,$C$13:$C$15,J$13:J$15),1)</f>
        <v>0</v>
      </c>
      <c s="125">
        <f>Предпосылки!J$231*Предпосылки!$G269*Продажи!K34*K$19*(1+Чувствительность!$D$20)*IFERROR(LOOKUP(Предпосылки!$H$204,$C$13:$C$15,K$13:K$15),1)</f>
        <v>0</v>
      </c>
      <c s="125">
        <f>Предпосылки!K$231*Предпосылки!$G269*Продажи!L34*L$19*(1+Чувствительность!$D$20)*IFERROR(LOOKUP(Предпосылки!$H$204,$C$13:$C$15,L$13:L$15),1)</f>
        <v>0</v>
      </c>
      <c s="125">
        <f>Предпосылки!L$231*Предпосылки!$G269*Продажи!M34*M$19*(1+Чувствительность!$D$20)*IFERROR(LOOKUP(Предпосылки!$H$204,$C$13:$C$15,M$13:M$15),1)</f>
        <v>0</v>
      </c>
      <c s="125">
        <f>Предпосылки!M$231*Предпосылки!$G269*Продажи!N34*N$19*(1+Чувствительность!$D$20)*IFERROR(LOOKUP(Предпосылки!$H$204,$C$13:$C$15,N$13:N$15),1)</f>
        <v>0</v>
      </c>
      <c s="125">
        <f>Предпосылки!N$231*Предпосылки!$G269*Продажи!O34*O$19*(1+Чувствительность!$D$20)*IFERROR(LOOKUP(Предпосылки!$H$204,$C$13:$C$15,O$13:O$15),1)</f>
        <v>0</v>
      </c>
      <c s="125">
        <f>Предпосылки!O$231*Предпосылки!$G269*Продажи!P34*P$19*(1+Чувствительность!$D$20)*IFERROR(LOOKUP(Предпосылки!$H$204,$C$13:$C$15,P$13:P$15),1)</f>
        <v>0</v>
      </c>
      <c s="125">
        <f>Предпосылки!P$231*Предпосылки!$G269*Продажи!Q34*Q$19*(1+Чувствительность!$D$20)*IFERROR(LOOKUP(Предпосылки!$H$204,$C$13:$C$15,Q$13:Q$15),1)</f>
        <v>0</v>
      </c>
      <c s="125">
        <f>Предпосылки!Q$231*Предпосылки!$G269*Продажи!R34*R$19*(1+Чувствительность!$D$20)*IFERROR(LOOKUP(Предпосылки!$H$204,$C$13:$C$15,R$13:R$15),1)</f>
        <v>0</v>
      </c>
      <c s="125">
        <f>Предпосылки!R$231*Предпосылки!$G269*Продажи!S34*S$19*(1+Чувствительность!$D$20)*IFERROR(LOOKUP(Предпосылки!$H$204,$C$13:$C$15,S$13:S$15),1)</f>
        <v>0</v>
      </c>
      <c s="125">
        <f>Предпосылки!S$231*Предпосылки!$G269*Продажи!T34*T$19*(1+Чувствительность!$D$20)*IFERROR(LOOKUP(Предпосылки!$H$204,$C$13:$C$15,T$13:T$15),1)</f>
        <v>0</v>
      </c>
      <c s="125">
        <f>Предпосылки!T$231*Предпосылки!$G269*Продажи!U34*U$19*(1+Чувствительность!$D$20)*IFERROR(LOOKUP(Предпосылки!$H$204,$C$13:$C$15,U$13:U$15),1)</f>
        <v>0</v>
      </c>
      <c s="125">
        <f>Предпосылки!U$231*Предпосылки!$G269*Продажи!V34*V$19*(1+Чувствительность!$D$20)*IFERROR(LOOKUP(Предпосылки!$H$204,$C$13:$C$15,V$13:V$15),1)</f>
        <v>0</v>
      </c>
      <c s="125">
        <f>Предпосылки!V$231*Предпосылки!$G269*Продажи!W34*W$19*(1+Чувствительность!$D$20)*IFERROR(LOOKUP(Предпосылки!$H$204,$C$13:$C$15,W$13:W$15),1)</f>
        <v>0</v>
      </c>
      <c s="125">
        <f>Предпосылки!W$231*Предпосылки!$G269*Продажи!X34*X$19*(1+Чувствительность!$D$20)*IFERROR(LOOKUP(Предпосылки!$H$204,$C$13:$C$15,X$13:X$15),1)</f>
        <v>0</v>
      </c>
      <c s="125">
        <f>Предпосылки!X$231*Предпосылки!$G269*Продажи!Y34*Y$19*(1+Чувствительность!$D$20)*IFERROR(LOOKUP(Предпосылки!$H$204,$C$13:$C$15,Y$13:Y$15),1)</f>
        <v>0</v>
      </c>
      <c s="125">
        <f>Предпосылки!Y$231*Предпосылки!$G269*Продажи!Z34*Z$19*(1+Чувствительность!$D$20)*IFERROR(LOOKUP(Предпосылки!$H$204,$C$13:$C$15,Z$13:Z$15),1)</f>
        <v>0</v>
      </c>
      <c s="125">
        <f>Предпосылки!Z$231*Предпосылки!$G269*Продажи!AA34*AA$19*(1+Чувствительность!$D$20)*IFERROR(LOOKUP(Предпосылки!$H$204,$C$13:$C$15,AA$13:AA$15),1)</f>
        <v>0</v>
      </c>
      <c s="125">
        <f>Предпосылки!AA$231*Предпосылки!$G269*Продажи!AB34*AB$19*(1+Чувствительность!$D$20)*IFERROR(LOOKUP(Предпосылки!$H$204,$C$13:$C$15,AB$13:AB$15),1)</f>
        <v>0</v>
      </c>
      <c s="125">
        <f>Предпосылки!AB$231*Предпосылки!$G269*Продажи!AC34*AC$19*(1+Чувствительность!$D$20)*IFERROR(LOOKUP(Предпосылки!$H$204,$C$13:$C$15,AC$13:AC$15),1)</f>
        <v>0</v>
      </c>
      <c s="125">
        <f>Предпосылки!AC$231*Предпосылки!$G269*Продажи!AD34*AD$19*(1+Чувствительность!$D$20)*IFERROR(LOOKUP(Предпосылки!$H$204,$C$13:$C$15,AD$13:AD$15),1)</f>
        <v>0</v>
      </c>
      <c s="125">
        <f>Предпосылки!AD$231*Предпосылки!$G269*Продажи!AE34*AE$19*(1+Чувствительность!$D$20)*IFERROR(LOOKUP(Предпосылки!$H$204,$C$13:$C$15,AE$13:AE$15),1)</f>
        <v>0</v>
      </c>
      <c s="125">
        <f>Предпосылки!AE$231*Предпосылки!$G269*Продажи!AF34*AF$19*(1+Чувствительность!$D$20)*IFERROR(LOOKUP(Предпосылки!$H$204,$C$13:$C$15,AF$13:AF$15),1)</f>
        <v>0</v>
      </c>
      <c s="125">
        <f>Предпосылки!AF$231*Предпосылки!$G269*Продажи!AG34*AG$19*(1+Чувствительность!$D$20)*IFERROR(LOOKUP(Предпосылки!$H$204,$C$13:$C$15,AG$13:AG$15),1)</f>
        <v>0</v>
      </c>
      <c s="125">
        <f>Предпосылки!AG$231*Предпосылки!$G269*Продажи!AH34*AH$19*(1+Чувствительность!$D$20)*IFERROR(LOOKUP(Предпосылки!$H$204,$C$13:$C$15,AH$13:AH$15),1)</f>
        <v>0</v>
      </c>
      <c s="125">
        <f>Предпосылки!AH$231*Предпосылки!$G269*Продажи!AI34*AI$19*(1+Чувствительность!$D$20)*IFERROR(LOOKUP(Предпосылки!$H$204,$C$13:$C$15,AI$13:AI$15),1)</f>
        <v>0</v>
      </c>
      <c s="125">
        <f>Предпосылки!AI$231*Предпосылки!$G269*Продажи!AJ34*AJ$19*(1+Чувствительность!$D$20)*IFERROR(LOOKUP(Предпосылки!$H$204,$C$13:$C$15,AJ$13:AJ$15),1)</f>
        <v>0</v>
      </c>
      <c s="125">
        <f>Предпосылки!AJ$231*Предпосылки!$G269*Продажи!AK34*AK$19*(1+Чувствительность!$D$20)*IFERROR(LOOKUP(Предпосылки!$H$204,$C$13:$C$15,AK$13:AK$15),1)</f>
        <v>0</v>
      </c>
      <c s="125">
        <f>Предпосылки!AK$231*Предпосылки!$G269*Продажи!AL34*AL$19*(1+Чувствительность!$D$20)*IFERROR(LOOKUP(Предпосылки!$H$204,$C$13:$C$15,AL$13:AL$15),1)</f>
        <v>0</v>
      </c>
      <c s="125">
        <f>Предпосылки!AL$231*Предпосылки!$G269*Продажи!AM34*AM$19*(1+Чувствительность!$D$20)*IFERROR(LOOKUP(Предпосылки!$H$204,$C$13:$C$15,AM$13:AM$15),1)</f>
        <v>0</v>
      </c>
      <c s="125">
        <f>Предпосылки!AM$231*Предпосылки!$G269*Продажи!AN34*AN$19*(1+Чувствительность!$D$20)*IFERROR(LOOKUP(Предпосылки!$H$204,$C$13:$C$15,AN$13:AN$15),1)</f>
        <v>0</v>
      </c>
      <c s="125">
        <f>Предпосылки!AN$231*Предпосылки!$G269*Продажи!AO34*AO$19*(1+Чувствительность!$D$20)*IFERROR(LOOKUP(Предпосылки!$H$204,$C$13:$C$15,AO$13:AO$15),1)</f>
        <v>0</v>
      </c>
      <c s="125">
        <f>Предпосылки!AO$231*Предпосылки!$G269*Продажи!AP34*AP$19*(1+Чувствительность!$D$20)*IFERROR(LOOKUP(Предпосылки!$H$204,$C$13:$C$15,AP$13:AP$15),1)</f>
        <v>0</v>
      </c>
      <c s="125">
        <f>Предпосылки!AP$231*Предпосылки!$G269*Продажи!AQ34*AQ$19*(1+Чувствительность!$D$20)*IFERROR(LOOKUP(Предпосылки!$H$204,$C$13:$C$15,AQ$13:AQ$15),1)</f>
        <v>0</v>
      </c>
      <c s="125">
        <f>Предпосылки!AQ$231*Предпосылки!$G269*Продажи!AR34*AR$19*(1+Чувствительность!$D$20)*IFERROR(LOOKUP(Предпосылки!$H$204,$C$13:$C$15,AR$13:AR$15),1)</f>
        <v>0</v>
      </c>
      <c s="125">
        <f>Предпосылки!AR$231*Предпосылки!$G269*Продажи!AS34*AS$19*(1+Чувствительность!$D$20)*IFERROR(LOOKUP(Предпосылки!$H$204,$C$13:$C$15,AS$13:AS$15),1)</f>
        <v>0</v>
      </c>
      <c s="125">
        <f>Предпосылки!AS$231*Предпосылки!$G269*Продажи!AT34*AT$19*(1+Чувствительность!$D$20)*IFERROR(LOOKUP(Предпосылки!$H$204,$C$13:$C$15,AT$13:AT$15),1)</f>
        <v>0</v>
      </c>
      <c s="125">
        <f>Предпосылки!AT$231*Предпосылки!$G269*Продажи!AU34*AU$19*(1+Чувствительность!$D$20)*IFERROR(LOOKUP(Предпосылки!$H$204,$C$13:$C$15,AU$13:AU$15),1)</f>
        <v>0</v>
      </c>
      <c s="125">
        <f>Предпосылки!AU$231*Предпосылки!$G269*Продажи!AV34*AV$19*(1+Чувствительность!$D$20)*IFERROR(LOOKUP(Предпосылки!$H$204,$C$13:$C$15,AV$13:AV$15),1)</f>
        <v>0</v>
      </c>
      <c s="125">
        <f>Предпосылки!AV$231*Предпосылки!$G269*Продажи!AW34*AW$19*(1+Чувствительность!$D$20)*IFERROR(LOOKUP(Предпосылки!$H$204,$C$13:$C$15,AW$13:AW$15),1)</f>
        <v>0</v>
      </c>
      <c s="125">
        <f>Предпосылки!AW$231*Предпосылки!$G269*Продажи!AX34*AX$19*(1+Чувствительность!$D$20)*IFERROR(LOOKUP(Предпосылки!$H$204,$C$13:$C$15,AX$13:AX$15),1)</f>
        <v>0</v>
      </c>
      <c s="125">
        <f>Предпосылки!AX$231*Предпосылки!$G269*Продажи!AY34*AY$19*(1+Чувствительность!$D$20)*IFERROR(LOOKUP(Предпосылки!$H$204,$C$13:$C$15,AY$13:AY$15),1)</f>
        <v>0</v>
      </c>
      <c s="125">
        <f>Предпосылки!AY$231*Предпосылки!$G269*Продажи!AZ34*AZ$19*(1+Чувствительность!$D$20)*IFERROR(LOOKUP(Предпосылки!$H$204,$C$13:$C$15,AZ$13:AZ$15),1)</f>
        <v>0</v>
      </c>
      <c s="125">
        <f>Предпосылки!AZ$231*Предпосылки!$G269*Продажи!BA34*BA$19*(1+Чувствительность!$D$20)*IFERROR(LOOKUP(Предпосылки!$H$204,$C$13:$C$15,BA$13:BA$15),1)</f>
        <v>0</v>
      </c>
      <c s="125">
        <f>Предпосылки!BA$231*Предпосылки!$G269*Продажи!BB34*BB$19*(1+Чувствительность!$D$20)*IFERROR(LOOKUP(Предпосылки!$H$204,$C$13:$C$15,BB$13:BB$15),1)</f>
        <v>0</v>
      </c>
      <c s="125">
        <f>Предпосылки!BB$231*Предпосылки!$G269*Продажи!BC34*BC$19*(1+Чувствительность!$D$20)*IFERROR(LOOKUP(Предпосылки!$H$204,$C$13:$C$15,BC$13:BC$15),1)</f>
        <v>0</v>
      </c>
      <c s="125">
        <f>Предпосылки!BC$231*Предпосылки!$G269*Продажи!BD34*BD$19*(1+Чувствительность!$D$20)*IFERROR(LOOKUP(Предпосылки!$H$204,$C$13:$C$15,BD$13:BD$15),1)</f>
        <v>0</v>
      </c>
      <c s="125">
        <f>Предпосылки!BD$231*Предпосылки!$G269*Продажи!BE34*BE$19*(1+Чувствительность!$D$20)*IFERROR(LOOKUP(Предпосылки!$H$204,$C$13:$C$15,BE$13:BE$15),1)</f>
        <v>0</v>
      </c>
      <c s="125">
        <f>Предпосылки!BE$231*Предпосылки!$G269*Продажи!BF34*BF$19*(1+Чувствительность!$D$20)*IFERROR(LOOKUP(Предпосылки!$H$204,$C$13:$C$15,BF$13:BF$15),1)</f>
        <v>0</v>
      </c>
      <c s="125">
        <f>Предпосылки!BF$231*Предпосылки!$G269*Продажи!BG34*BG$19*(1+Чувствительность!$D$20)*IFERROR(LOOKUP(Предпосылки!$H$204,$C$13:$C$15,BG$13:BG$15),1)</f>
        <v>0</v>
      </c>
      <c s="125">
        <f>Предпосылки!BG$231*Предпосылки!$G269*Продажи!BH34*BH$19*(1+Чувствительность!$D$20)*IFERROR(LOOKUP(Предпосылки!$H$204,$C$13:$C$15,BH$13:BH$15),1)</f>
        <v>0</v>
      </c>
      <c s="125">
        <f>Предпосылки!BH$231*Предпосылки!$G269*Продажи!BI34*BI$19*(1+Чувствительность!$D$20)*IFERROR(LOOKUP(Предпосылки!$H$204,$C$13:$C$15,BI$13:BI$15),1)</f>
        <v>0</v>
      </c>
      <c s="125">
        <f>Предпосылки!BI$231*Предпосылки!$G269*Продажи!BJ34*BJ$19*(1+Чувствительность!$D$20)*IFERROR(LOOKUP(Предпосылки!$H$204,$C$13:$C$15,BJ$13:BJ$15),1)</f>
        <v>0</v>
      </c>
      <c s="125">
        <f>Предпосылки!BJ$231*Предпосылки!$G269*Продажи!BK34*BK$19*(1+Чувствительность!$D$20)*IFERROR(LOOKUP(Предпосылки!$H$204,$C$13:$C$15,BK$13:BK$15),1)</f>
        <v>0</v>
      </c>
      <c s="125">
        <f>Предпосылки!BK$231*Предпосылки!$G269*Продажи!BL34*BL$19*(1+Чувствительность!$D$20)*IFERROR(LOOKUP(Предпосылки!$H$204,$C$13:$C$15,BL$13:BL$15),1)</f>
        <v>0</v>
      </c>
      <c s="125">
        <f>Предпосылки!BL$231*Предпосылки!$G269*Продажи!BM34*BM$19*(1+Чувствительность!$D$20)*IFERROR(LOOKUP(Предпосылки!$H$204,$C$13:$C$15,BM$13:BM$15),1)</f>
        <v>0</v>
      </c>
    </row>
    <row r="109" spans="2:65" ht="15" customHeight="1">
      <c r="B109" s="12" t="str">
        <f t="shared" si="76"/>
        <v>Продукт 18</v>
      </c>
      <c s="124" t="str">
        <f t="shared" si="75"/>
        <v>тыс. руб.</v>
      </c>
      <c s="276">
        <f t="shared" si="77"/>
        <v>0</v>
      </c>
      <c s="125">
        <f>Предпосылки!D$231*Предпосылки!$G270*Продажи!E35*E$19*(1+Чувствительность!$D$20)*IFERROR(LOOKUP(Предпосылки!$H$204,$C$13:$C$15,E$13:E$15),1)</f>
        <v>0</v>
      </c>
      <c s="125">
        <f>Предпосылки!E$231*Предпосылки!$G270*Продажи!F35*F$19*(1+Чувствительность!$D$20)*IFERROR(LOOKUP(Предпосылки!$H$204,$C$13:$C$15,F$13:F$15),1)</f>
        <v>0</v>
      </c>
      <c s="125">
        <f>Предпосылки!F$231*Предпосылки!$G270*Продажи!G35*G$19*(1+Чувствительность!$D$20)*IFERROR(LOOKUP(Предпосылки!$H$204,$C$13:$C$15,G$13:G$15),1)</f>
        <v>0</v>
      </c>
      <c s="125">
        <f>Предпосылки!G$231*Предпосылки!$G270*Продажи!H35*H$19*(1+Чувствительность!$D$20)*IFERROR(LOOKUP(Предпосылки!$H$204,$C$13:$C$15,H$13:H$15),1)</f>
        <v>0</v>
      </c>
      <c s="125">
        <f>Предпосылки!H$231*Предпосылки!$G270*Продажи!I35*I$19*(1+Чувствительность!$D$20)*IFERROR(LOOKUP(Предпосылки!$H$204,$C$13:$C$15,I$13:I$15),1)</f>
        <v>0</v>
      </c>
      <c s="125">
        <f>Предпосылки!I$231*Предпосылки!$G270*Продажи!J35*J$19*(1+Чувствительность!$D$20)*IFERROR(LOOKUP(Предпосылки!$H$204,$C$13:$C$15,J$13:J$15),1)</f>
        <v>0</v>
      </c>
      <c s="125">
        <f>Предпосылки!J$231*Предпосылки!$G270*Продажи!K35*K$19*(1+Чувствительность!$D$20)*IFERROR(LOOKUP(Предпосылки!$H$204,$C$13:$C$15,K$13:K$15),1)</f>
        <v>0</v>
      </c>
      <c s="125">
        <f>Предпосылки!K$231*Предпосылки!$G270*Продажи!L35*L$19*(1+Чувствительность!$D$20)*IFERROR(LOOKUP(Предпосылки!$H$204,$C$13:$C$15,L$13:L$15),1)</f>
        <v>0</v>
      </c>
      <c s="125">
        <f>Предпосылки!L$231*Предпосылки!$G270*Продажи!M35*M$19*(1+Чувствительность!$D$20)*IFERROR(LOOKUP(Предпосылки!$H$204,$C$13:$C$15,M$13:M$15),1)</f>
        <v>0</v>
      </c>
      <c s="125">
        <f>Предпосылки!M$231*Предпосылки!$G270*Продажи!N35*N$19*(1+Чувствительность!$D$20)*IFERROR(LOOKUP(Предпосылки!$H$204,$C$13:$C$15,N$13:N$15),1)</f>
        <v>0</v>
      </c>
      <c s="125">
        <f>Предпосылки!N$231*Предпосылки!$G270*Продажи!O35*O$19*(1+Чувствительность!$D$20)*IFERROR(LOOKUP(Предпосылки!$H$204,$C$13:$C$15,O$13:O$15),1)</f>
        <v>0</v>
      </c>
      <c s="125">
        <f>Предпосылки!O$231*Предпосылки!$G270*Продажи!P35*P$19*(1+Чувствительность!$D$20)*IFERROR(LOOKUP(Предпосылки!$H$204,$C$13:$C$15,P$13:P$15),1)</f>
        <v>0</v>
      </c>
      <c s="125">
        <f>Предпосылки!P$231*Предпосылки!$G270*Продажи!Q35*Q$19*(1+Чувствительность!$D$20)*IFERROR(LOOKUP(Предпосылки!$H$204,$C$13:$C$15,Q$13:Q$15),1)</f>
        <v>0</v>
      </c>
      <c s="125">
        <f>Предпосылки!Q$231*Предпосылки!$G270*Продажи!R35*R$19*(1+Чувствительность!$D$20)*IFERROR(LOOKUP(Предпосылки!$H$204,$C$13:$C$15,R$13:R$15),1)</f>
        <v>0</v>
      </c>
      <c s="125">
        <f>Предпосылки!R$231*Предпосылки!$G270*Продажи!S35*S$19*(1+Чувствительность!$D$20)*IFERROR(LOOKUP(Предпосылки!$H$204,$C$13:$C$15,S$13:S$15),1)</f>
        <v>0</v>
      </c>
      <c s="125">
        <f>Предпосылки!S$231*Предпосылки!$G270*Продажи!T35*T$19*(1+Чувствительность!$D$20)*IFERROR(LOOKUP(Предпосылки!$H$204,$C$13:$C$15,T$13:T$15),1)</f>
        <v>0</v>
      </c>
      <c s="125">
        <f>Предпосылки!T$231*Предпосылки!$G270*Продажи!U35*U$19*(1+Чувствительность!$D$20)*IFERROR(LOOKUP(Предпосылки!$H$204,$C$13:$C$15,U$13:U$15),1)</f>
        <v>0</v>
      </c>
      <c s="125">
        <f>Предпосылки!U$231*Предпосылки!$G270*Продажи!V35*V$19*(1+Чувствительность!$D$20)*IFERROR(LOOKUP(Предпосылки!$H$204,$C$13:$C$15,V$13:V$15),1)</f>
        <v>0</v>
      </c>
      <c s="125">
        <f>Предпосылки!V$231*Предпосылки!$G270*Продажи!W35*W$19*(1+Чувствительность!$D$20)*IFERROR(LOOKUP(Предпосылки!$H$204,$C$13:$C$15,W$13:W$15),1)</f>
        <v>0</v>
      </c>
      <c s="125">
        <f>Предпосылки!W$231*Предпосылки!$G270*Продажи!X35*X$19*(1+Чувствительность!$D$20)*IFERROR(LOOKUP(Предпосылки!$H$204,$C$13:$C$15,X$13:X$15),1)</f>
        <v>0</v>
      </c>
      <c s="125">
        <f>Предпосылки!X$231*Предпосылки!$G270*Продажи!Y35*Y$19*(1+Чувствительность!$D$20)*IFERROR(LOOKUP(Предпосылки!$H$204,$C$13:$C$15,Y$13:Y$15),1)</f>
        <v>0</v>
      </c>
      <c s="125">
        <f>Предпосылки!Y$231*Предпосылки!$G270*Продажи!Z35*Z$19*(1+Чувствительность!$D$20)*IFERROR(LOOKUP(Предпосылки!$H$204,$C$13:$C$15,Z$13:Z$15),1)</f>
        <v>0</v>
      </c>
      <c s="125">
        <f>Предпосылки!Z$231*Предпосылки!$G270*Продажи!AA35*AA$19*(1+Чувствительность!$D$20)*IFERROR(LOOKUP(Предпосылки!$H$204,$C$13:$C$15,AA$13:AA$15),1)</f>
        <v>0</v>
      </c>
      <c s="125">
        <f>Предпосылки!AA$231*Предпосылки!$G270*Продажи!AB35*AB$19*(1+Чувствительность!$D$20)*IFERROR(LOOKUP(Предпосылки!$H$204,$C$13:$C$15,AB$13:AB$15),1)</f>
        <v>0</v>
      </c>
      <c s="125">
        <f>Предпосылки!AB$231*Предпосылки!$G270*Продажи!AC35*AC$19*(1+Чувствительность!$D$20)*IFERROR(LOOKUP(Предпосылки!$H$204,$C$13:$C$15,AC$13:AC$15),1)</f>
        <v>0</v>
      </c>
      <c s="125">
        <f>Предпосылки!AC$231*Предпосылки!$G270*Продажи!AD35*AD$19*(1+Чувствительность!$D$20)*IFERROR(LOOKUP(Предпосылки!$H$204,$C$13:$C$15,AD$13:AD$15),1)</f>
        <v>0</v>
      </c>
      <c s="125">
        <f>Предпосылки!AD$231*Предпосылки!$G270*Продажи!AE35*AE$19*(1+Чувствительность!$D$20)*IFERROR(LOOKUP(Предпосылки!$H$204,$C$13:$C$15,AE$13:AE$15),1)</f>
        <v>0</v>
      </c>
      <c s="125">
        <f>Предпосылки!AE$231*Предпосылки!$G270*Продажи!AF35*AF$19*(1+Чувствительность!$D$20)*IFERROR(LOOKUP(Предпосылки!$H$204,$C$13:$C$15,AF$13:AF$15),1)</f>
        <v>0</v>
      </c>
      <c s="125">
        <f>Предпосылки!AF$231*Предпосылки!$G270*Продажи!AG35*AG$19*(1+Чувствительность!$D$20)*IFERROR(LOOKUP(Предпосылки!$H$204,$C$13:$C$15,AG$13:AG$15),1)</f>
        <v>0</v>
      </c>
      <c s="125">
        <f>Предпосылки!AG$231*Предпосылки!$G270*Продажи!AH35*AH$19*(1+Чувствительность!$D$20)*IFERROR(LOOKUP(Предпосылки!$H$204,$C$13:$C$15,AH$13:AH$15),1)</f>
        <v>0</v>
      </c>
      <c s="125">
        <f>Предпосылки!AH$231*Предпосылки!$G270*Продажи!AI35*AI$19*(1+Чувствительность!$D$20)*IFERROR(LOOKUP(Предпосылки!$H$204,$C$13:$C$15,AI$13:AI$15),1)</f>
        <v>0</v>
      </c>
      <c s="125">
        <f>Предпосылки!AI$231*Предпосылки!$G270*Продажи!AJ35*AJ$19*(1+Чувствительность!$D$20)*IFERROR(LOOKUP(Предпосылки!$H$204,$C$13:$C$15,AJ$13:AJ$15),1)</f>
        <v>0</v>
      </c>
      <c s="125">
        <f>Предпосылки!AJ$231*Предпосылки!$G270*Продажи!AK35*AK$19*(1+Чувствительность!$D$20)*IFERROR(LOOKUP(Предпосылки!$H$204,$C$13:$C$15,AK$13:AK$15),1)</f>
        <v>0</v>
      </c>
      <c s="125">
        <f>Предпосылки!AK$231*Предпосылки!$G270*Продажи!AL35*AL$19*(1+Чувствительность!$D$20)*IFERROR(LOOKUP(Предпосылки!$H$204,$C$13:$C$15,AL$13:AL$15),1)</f>
        <v>0</v>
      </c>
      <c s="125">
        <f>Предпосылки!AL$231*Предпосылки!$G270*Продажи!AM35*AM$19*(1+Чувствительность!$D$20)*IFERROR(LOOKUP(Предпосылки!$H$204,$C$13:$C$15,AM$13:AM$15),1)</f>
        <v>0</v>
      </c>
      <c s="125">
        <f>Предпосылки!AM$231*Предпосылки!$G270*Продажи!AN35*AN$19*(1+Чувствительность!$D$20)*IFERROR(LOOKUP(Предпосылки!$H$204,$C$13:$C$15,AN$13:AN$15),1)</f>
        <v>0</v>
      </c>
      <c s="125">
        <f>Предпосылки!AN$231*Предпосылки!$G270*Продажи!AO35*AO$19*(1+Чувствительность!$D$20)*IFERROR(LOOKUP(Предпосылки!$H$204,$C$13:$C$15,AO$13:AO$15),1)</f>
        <v>0</v>
      </c>
      <c s="125">
        <f>Предпосылки!AO$231*Предпосылки!$G270*Продажи!AP35*AP$19*(1+Чувствительность!$D$20)*IFERROR(LOOKUP(Предпосылки!$H$204,$C$13:$C$15,AP$13:AP$15),1)</f>
        <v>0</v>
      </c>
      <c s="125">
        <f>Предпосылки!AP$231*Предпосылки!$G270*Продажи!AQ35*AQ$19*(1+Чувствительность!$D$20)*IFERROR(LOOKUP(Предпосылки!$H$204,$C$13:$C$15,AQ$13:AQ$15),1)</f>
        <v>0</v>
      </c>
      <c s="125">
        <f>Предпосылки!AQ$231*Предпосылки!$G270*Продажи!AR35*AR$19*(1+Чувствительность!$D$20)*IFERROR(LOOKUP(Предпосылки!$H$204,$C$13:$C$15,AR$13:AR$15),1)</f>
        <v>0</v>
      </c>
      <c s="125">
        <f>Предпосылки!AR$231*Предпосылки!$G270*Продажи!AS35*AS$19*(1+Чувствительность!$D$20)*IFERROR(LOOKUP(Предпосылки!$H$204,$C$13:$C$15,AS$13:AS$15),1)</f>
        <v>0</v>
      </c>
      <c s="125">
        <f>Предпосылки!AS$231*Предпосылки!$G270*Продажи!AT35*AT$19*(1+Чувствительность!$D$20)*IFERROR(LOOKUP(Предпосылки!$H$204,$C$13:$C$15,AT$13:AT$15),1)</f>
        <v>0</v>
      </c>
      <c s="125">
        <f>Предпосылки!AT$231*Предпосылки!$G270*Продажи!AU35*AU$19*(1+Чувствительность!$D$20)*IFERROR(LOOKUP(Предпосылки!$H$204,$C$13:$C$15,AU$13:AU$15),1)</f>
        <v>0</v>
      </c>
      <c s="125">
        <f>Предпосылки!AU$231*Предпосылки!$G270*Продажи!AV35*AV$19*(1+Чувствительность!$D$20)*IFERROR(LOOKUP(Предпосылки!$H$204,$C$13:$C$15,AV$13:AV$15),1)</f>
        <v>0</v>
      </c>
      <c s="125">
        <f>Предпосылки!AV$231*Предпосылки!$G270*Продажи!AW35*AW$19*(1+Чувствительность!$D$20)*IFERROR(LOOKUP(Предпосылки!$H$204,$C$13:$C$15,AW$13:AW$15),1)</f>
        <v>0</v>
      </c>
      <c s="125">
        <f>Предпосылки!AW$231*Предпосылки!$G270*Продажи!AX35*AX$19*(1+Чувствительность!$D$20)*IFERROR(LOOKUP(Предпосылки!$H$204,$C$13:$C$15,AX$13:AX$15),1)</f>
        <v>0</v>
      </c>
      <c s="125">
        <f>Предпосылки!AX$231*Предпосылки!$G270*Продажи!AY35*AY$19*(1+Чувствительность!$D$20)*IFERROR(LOOKUP(Предпосылки!$H$204,$C$13:$C$15,AY$13:AY$15),1)</f>
        <v>0</v>
      </c>
      <c s="125">
        <f>Предпосылки!AY$231*Предпосылки!$G270*Продажи!AZ35*AZ$19*(1+Чувствительность!$D$20)*IFERROR(LOOKUP(Предпосылки!$H$204,$C$13:$C$15,AZ$13:AZ$15),1)</f>
        <v>0</v>
      </c>
      <c s="125">
        <f>Предпосылки!AZ$231*Предпосылки!$G270*Продажи!BA35*BA$19*(1+Чувствительность!$D$20)*IFERROR(LOOKUP(Предпосылки!$H$204,$C$13:$C$15,BA$13:BA$15),1)</f>
        <v>0</v>
      </c>
      <c s="125">
        <f>Предпосылки!BA$231*Предпосылки!$G270*Продажи!BB35*BB$19*(1+Чувствительность!$D$20)*IFERROR(LOOKUP(Предпосылки!$H$204,$C$13:$C$15,BB$13:BB$15),1)</f>
        <v>0</v>
      </c>
      <c s="125">
        <f>Предпосылки!BB$231*Предпосылки!$G270*Продажи!BC35*BC$19*(1+Чувствительность!$D$20)*IFERROR(LOOKUP(Предпосылки!$H$204,$C$13:$C$15,BC$13:BC$15),1)</f>
        <v>0</v>
      </c>
      <c s="125">
        <f>Предпосылки!BC$231*Предпосылки!$G270*Продажи!BD35*BD$19*(1+Чувствительность!$D$20)*IFERROR(LOOKUP(Предпосылки!$H$204,$C$13:$C$15,BD$13:BD$15),1)</f>
        <v>0</v>
      </c>
      <c s="125">
        <f>Предпосылки!BD$231*Предпосылки!$G270*Продажи!BE35*BE$19*(1+Чувствительность!$D$20)*IFERROR(LOOKUP(Предпосылки!$H$204,$C$13:$C$15,BE$13:BE$15),1)</f>
        <v>0</v>
      </c>
      <c s="125">
        <f>Предпосылки!BE$231*Предпосылки!$G270*Продажи!BF35*BF$19*(1+Чувствительность!$D$20)*IFERROR(LOOKUP(Предпосылки!$H$204,$C$13:$C$15,BF$13:BF$15),1)</f>
        <v>0</v>
      </c>
      <c s="125">
        <f>Предпосылки!BF$231*Предпосылки!$G270*Продажи!BG35*BG$19*(1+Чувствительность!$D$20)*IFERROR(LOOKUP(Предпосылки!$H$204,$C$13:$C$15,BG$13:BG$15),1)</f>
        <v>0</v>
      </c>
      <c s="125">
        <f>Предпосылки!BG$231*Предпосылки!$G270*Продажи!BH35*BH$19*(1+Чувствительность!$D$20)*IFERROR(LOOKUP(Предпосылки!$H$204,$C$13:$C$15,BH$13:BH$15),1)</f>
        <v>0</v>
      </c>
      <c s="125">
        <f>Предпосылки!BH$231*Предпосылки!$G270*Продажи!BI35*BI$19*(1+Чувствительность!$D$20)*IFERROR(LOOKUP(Предпосылки!$H$204,$C$13:$C$15,BI$13:BI$15),1)</f>
        <v>0</v>
      </c>
      <c s="125">
        <f>Предпосылки!BI$231*Предпосылки!$G270*Продажи!BJ35*BJ$19*(1+Чувствительность!$D$20)*IFERROR(LOOKUP(Предпосылки!$H$204,$C$13:$C$15,BJ$13:BJ$15),1)</f>
        <v>0</v>
      </c>
      <c s="125">
        <f>Предпосылки!BJ$231*Предпосылки!$G270*Продажи!BK35*BK$19*(1+Чувствительность!$D$20)*IFERROR(LOOKUP(Предпосылки!$H$204,$C$13:$C$15,BK$13:BK$15),1)</f>
        <v>0</v>
      </c>
      <c s="125">
        <f>Предпосылки!BK$231*Предпосылки!$G270*Продажи!BL35*BL$19*(1+Чувствительность!$D$20)*IFERROR(LOOKUP(Предпосылки!$H$204,$C$13:$C$15,BL$13:BL$15),1)</f>
        <v>0</v>
      </c>
      <c s="125">
        <f>Предпосылки!BL$231*Предпосылки!$G270*Продажи!BM35*BM$19*(1+Чувствительность!$D$20)*IFERROR(LOOKUP(Предпосылки!$H$204,$C$13:$C$15,BM$13:BM$15),1)</f>
        <v>0</v>
      </c>
    </row>
    <row r="110" spans="2:65" ht="15" customHeight="1">
      <c r="B110" s="12" t="str">
        <f t="shared" si="76"/>
        <v>Продукт 19</v>
      </c>
      <c s="124" t="str">
        <f t="shared" si="75"/>
        <v>тыс. руб.</v>
      </c>
      <c s="276">
        <f t="shared" si="77"/>
        <v>0</v>
      </c>
      <c s="125">
        <f>Предпосылки!D$231*Предпосылки!$G271*Продажи!E36*E$19*(1+Чувствительность!$D$20)*IFERROR(LOOKUP(Предпосылки!$H$204,$C$13:$C$15,E$13:E$15),1)</f>
        <v>0</v>
      </c>
      <c s="125">
        <f>Предпосылки!E$231*Предпосылки!$G271*Продажи!F36*F$19*(1+Чувствительность!$D$20)*IFERROR(LOOKUP(Предпосылки!$H$204,$C$13:$C$15,F$13:F$15),1)</f>
        <v>0</v>
      </c>
      <c s="125">
        <f>Предпосылки!F$231*Предпосылки!$G271*Продажи!G36*G$19*(1+Чувствительность!$D$20)*IFERROR(LOOKUP(Предпосылки!$H$204,$C$13:$C$15,G$13:G$15),1)</f>
        <v>0</v>
      </c>
      <c s="125">
        <f>Предпосылки!G$231*Предпосылки!$G271*Продажи!H36*H$19*(1+Чувствительность!$D$20)*IFERROR(LOOKUP(Предпосылки!$H$204,$C$13:$C$15,H$13:H$15),1)</f>
        <v>0</v>
      </c>
      <c s="125">
        <f>Предпосылки!H$231*Предпосылки!$G271*Продажи!I36*I$19*(1+Чувствительность!$D$20)*IFERROR(LOOKUP(Предпосылки!$H$204,$C$13:$C$15,I$13:I$15),1)</f>
        <v>0</v>
      </c>
      <c s="125">
        <f>Предпосылки!I$231*Предпосылки!$G271*Продажи!J36*J$19*(1+Чувствительность!$D$20)*IFERROR(LOOKUP(Предпосылки!$H$204,$C$13:$C$15,J$13:J$15),1)</f>
        <v>0</v>
      </c>
      <c s="125">
        <f>Предпосылки!J$231*Предпосылки!$G271*Продажи!K36*K$19*(1+Чувствительность!$D$20)*IFERROR(LOOKUP(Предпосылки!$H$204,$C$13:$C$15,K$13:K$15),1)</f>
        <v>0</v>
      </c>
      <c s="125">
        <f>Предпосылки!K$231*Предпосылки!$G271*Продажи!L36*L$19*(1+Чувствительность!$D$20)*IFERROR(LOOKUP(Предпосылки!$H$204,$C$13:$C$15,L$13:L$15),1)</f>
        <v>0</v>
      </c>
      <c s="125">
        <f>Предпосылки!L$231*Предпосылки!$G271*Продажи!M36*M$19*(1+Чувствительность!$D$20)*IFERROR(LOOKUP(Предпосылки!$H$204,$C$13:$C$15,M$13:M$15),1)</f>
        <v>0</v>
      </c>
      <c s="125">
        <f>Предпосылки!M$231*Предпосылки!$G271*Продажи!N36*N$19*(1+Чувствительность!$D$20)*IFERROR(LOOKUP(Предпосылки!$H$204,$C$13:$C$15,N$13:N$15),1)</f>
        <v>0</v>
      </c>
      <c s="125">
        <f>Предпосылки!N$231*Предпосылки!$G271*Продажи!O36*O$19*(1+Чувствительность!$D$20)*IFERROR(LOOKUP(Предпосылки!$H$204,$C$13:$C$15,O$13:O$15),1)</f>
        <v>0</v>
      </c>
      <c s="125">
        <f>Предпосылки!O$231*Предпосылки!$G271*Продажи!P36*P$19*(1+Чувствительность!$D$20)*IFERROR(LOOKUP(Предпосылки!$H$204,$C$13:$C$15,P$13:P$15),1)</f>
        <v>0</v>
      </c>
      <c s="125">
        <f>Предпосылки!P$231*Предпосылки!$G271*Продажи!Q36*Q$19*(1+Чувствительность!$D$20)*IFERROR(LOOKUP(Предпосылки!$H$204,$C$13:$C$15,Q$13:Q$15),1)</f>
        <v>0</v>
      </c>
      <c s="125">
        <f>Предпосылки!Q$231*Предпосылки!$G271*Продажи!R36*R$19*(1+Чувствительность!$D$20)*IFERROR(LOOKUP(Предпосылки!$H$204,$C$13:$C$15,R$13:R$15),1)</f>
        <v>0</v>
      </c>
      <c s="125">
        <f>Предпосылки!R$231*Предпосылки!$G271*Продажи!S36*S$19*(1+Чувствительность!$D$20)*IFERROR(LOOKUP(Предпосылки!$H$204,$C$13:$C$15,S$13:S$15),1)</f>
        <v>0</v>
      </c>
      <c s="125">
        <f>Предпосылки!S$231*Предпосылки!$G271*Продажи!T36*T$19*(1+Чувствительность!$D$20)*IFERROR(LOOKUP(Предпосылки!$H$204,$C$13:$C$15,T$13:T$15),1)</f>
        <v>0</v>
      </c>
      <c s="125">
        <f>Предпосылки!T$231*Предпосылки!$G271*Продажи!U36*U$19*(1+Чувствительность!$D$20)*IFERROR(LOOKUP(Предпосылки!$H$204,$C$13:$C$15,U$13:U$15),1)</f>
        <v>0</v>
      </c>
      <c s="125">
        <f>Предпосылки!U$231*Предпосылки!$G271*Продажи!V36*V$19*(1+Чувствительность!$D$20)*IFERROR(LOOKUP(Предпосылки!$H$204,$C$13:$C$15,V$13:V$15),1)</f>
        <v>0</v>
      </c>
      <c s="125">
        <f>Предпосылки!V$231*Предпосылки!$G271*Продажи!W36*W$19*(1+Чувствительность!$D$20)*IFERROR(LOOKUP(Предпосылки!$H$204,$C$13:$C$15,W$13:W$15),1)</f>
        <v>0</v>
      </c>
      <c s="125">
        <f>Предпосылки!W$231*Предпосылки!$G271*Продажи!X36*X$19*(1+Чувствительность!$D$20)*IFERROR(LOOKUP(Предпосылки!$H$204,$C$13:$C$15,X$13:X$15),1)</f>
        <v>0</v>
      </c>
      <c s="125">
        <f>Предпосылки!X$231*Предпосылки!$G271*Продажи!Y36*Y$19*(1+Чувствительность!$D$20)*IFERROR(LOOKUP(Предпосылки!$H$204,$C$13:$C$15,Y$13:Y$15),1)</f>
        <v>0</v>
      </c>
      <c s="125">
        <f>Предпосылки!Y$231*Предпосылки!$G271*Продажи!Z36*Z$19*(1+Чувствительность!$D$20)*IFERROR(LOOKUP(Предпосылки!$H$204,$C$13:$C$15,Z$13:Z$15),1)</f>
        <v>0</v>
      </c>
      <c s="125">
        <f>Предпосылки!Z$231*Предпосылки!$G271*Продажи!AA36*AA$19*(1+Чувствительность!$D$20)*IFERROR(LOOKUP(Предпосылки!$H$204,$C$13:$C$15,AA$13:AA$15),1)</f>
        <v>0</v>
      </c>
      <c s="125">
        <f>Предпосылки!AA$231*Предпосылки!$G271*Продажи!AB36*AB$19*(1+Чувствительность!$D$20)*IFERROR(LOOKUP(Предпосылки!$H$204,$C$13:$C$15,AB$13:AB$15),1)</f>
        <v>0</v>
      </c>
      <c s="125">
        <f>Предпосылки!AB$231*Предпосылки!$G271*Продажи!AC36*AC$19*(1+Чувствительность!$D$20)*IFERROR(LOOKUP(Предпосылки!$H$204,$C$13:$C$15,AC$13:AC$15),1)</f>
        <v>0</v>
      </c>
      <c s="125">
        <f>Предпосылки!AC$231*Предпосылки!$G271*Продажи!AD36*AD$19*(1+Чувствительность!$D$20)*IFERROR(LOOKUP(Предпосылки!$H$204,$C$13:$C$15,AD$13:AD$15),1)</f>
        <v>0</v>
      </c>
      <c s="125">
        <f>Предпосылки!AD$231*Предпосылки!$G271*Продажи!AE36*AE$19*(1+Чувствительность!$D$20)*IFERROR(LOOKUP(Предпосылки!$H$204,$C$13:$C$15,AE$13:AE$15),1)</f>
        <v>0</v>
      </c>
      <c s="125">
        <f>Предпосылки!AE$231*Предпосылки!$G271*Продажи!AF36*AF$19*(1+Чувствительность!$D$20)*IFERROR(LOOKUP(Предпосылки!$H$204,$C$13:$C$15,AF$13:AF$15),1)</f>
        <v>0</v>
      </c>
      <c s="125">
        <f>Предпосылки!AF$231*Предпосылки!$G271*Продажи!AG36*AG$19*(1+Чувствительность!$D$20)*IFERROR(LOOKUP(Предпосылки!$H$204,$C$13:$C$15,AG$13:AG$15),1)</f>
        <v>0</v>
      </c>
      <c s="125">
        <f>Предпосылки!AG$231*Предпосылки!$G271*Продажи!AH36*AH$19*(1+Чувствительность!$D$20)*IFERROR(LOOKUP(Предпосылки!$H$204,$C$13:$C$15,AH$13:AH$15),1)</f>
        <v>0</v>
      </c>
      <c s="125">
        <f>Предпосылки!AH$231*Предпосылки!$G271*Продажи!AI36*AI$19*(1+Чувствительность!$D$20)*IFERROR(LOOKUP(Предпосылки!$H$204,$C$13:$C$15,AI$13:AI$15),1)</f>
        <v>0</v>
      </c>
      <c s="125">
        <f>Предпосылки!AI$231*Предпосылки!$G271*Продажи!AJ36*AJ$19*(1+Чувствительность!$D$20)*IFERROR(LOOKUP(Предпосылки!$H$204,$C$13:$C$15,AJ$13:AJ$15),1)</f>
        <v>0</v>
      </c>
      <c s="125">
        <f>Предпосылки!AJ$231*Предпосылки!$G271*Продажи!AK36*AK$19*(1+Чувствительность!$D$20)*IFERROR(LOOKUP(Предпосылки!$H$204,$C$13:$C$15,AK$13:AK$15),1)</f>
        <v>0</v>
      </c>
      <c s="125">
        <f>Предпосылки!AK$231*Предпосылки!$G271*Продажи!AL36*AL$19*(1+Чувствительность!$D$20)*IFERROR(LOOKUP(Предпосылки!$H$204,$C$13:$C$15,AL$13:AL$15),1)</f>
        <v>0</v>
      </c>
      <c s="125">
        <f>Предпосылки!AL$231*Предпосылки!$G271*Продажи!AM36*AM$19*(1+Чувствительность!$D$20)*IFERROR(LOOKUP(Предпосылки!$H$204,$C$13:$C$15,AM$13:AM$15),1)</f>
        <v>0</v>
      </c>
      <c s="125">
        <f>Предпосылки!AM$231*Предпосылки!$G271*Продажи!AN36*AN$19*(1+Чувствительность!$D$20)*IFERROR(LOOKUP(Предпосылки!$H$204,$C$13:$C$15,AN$13:AN$15),1)</f>
        <v>0</v>
      </c>
      <c s="125">
        <f>Предпосылки!AN$231*Предпосылки!$G271*Продажи!AO36*AO$19*(1+Чувствительность!$D$20)*IFERROR(LOOKUP(Предпосылки!$H$204,$C$13:$C$15,AO$13:AO$15),1)</f>
        <v>0</v>
      </c>
      <c s="125">
        <f>Предпосылки!AO$231*Предпосылки!$G271*Продажи!AP36*AP$19*(1+Чувствительность!$D$20)*IFERROR(LOOKUP(Предпосылки!$H$204,$C$13:$C$15,AP$13:AP$15),1)</f>
        <v>0</v>
      </c>
      <c s="125">
        <f>Предпосылки!AP$231*Предпосылки!$G271*Продажи!AQ36*AQ$19*(1+Чувствительность!$D$20)*IFERROR(LOOKUP(Предпосылки!$H$204,$C$13:$C$15,AQ$13:AQ$15),1)</f>
        <v>0</v>
      </c>
      <c s="125">
        <f>Предпосылки!AQ$231*Предпосылки!$G271*Продажи!AR36*AR$19*(1+Чувствительность!$D$20)*IFERROR(LOOKUP(Предпосылки!$H$204,$C$13:$C$15,AR$13:AR$15),1)</f>
        <v>0</v>
      </c>
      <c s="125">
        <f>Предпосылки!AR$231*Предпосылки!$G271*Продажи!AS36*AS$19*(1+Чувствительность!$D$20)*IFERROR(LOOKUP(Предпосылки!$H$204,$C$13:$C$15,AS$13:AS$15),1)</f>
        <v>0</v>
      </c>
      <c s="125">
        <f>Предпосылки!AS$231*Предпосылки!$G271*Продажи!AT36*AT$19*(1+Чувствительность!$D$20)*IFERROR(LOOKUP(Предпосылки!$H$204,$C$13:$C$15,AT$13:AT$15),1)</f>
        <v>0</v>
      </c>
      <c s="125">
        <f>Предпосылки!AT$231*Предпосылки!$G271*Продажи!AU36*AU$19*(1+Чувствительность!$D$20)*IFERROR(LOOKUP(Предпосылки!$H$204,$C$13:$C$15,AU$13:AU$15),1)</f>
        <v>0</v>
      </c>
      <c s="125">
        <f>Предпосылки!AU$231*Предпосылки!$G271*Продажи!AV36*AV$19*(1+Чувствительность!$D$20)*IFERROR(LOOKUP(Предпосылки!$H$204,$C$13:$C$15,AV$13:AV$15),1)</f>
        <v>0</v>
      </c>
      <c s="125">
        <f>Предпосылки!AV$231*Предпосылки!$G271*Продажи!AW36*AW$19*(1+Чувствительность!$D$20)*IFERROR(LOOKUP(Предпосылки!$H$204,$C$13:$C$15,AW$13:AW$15),1)</f>
        <v>0</v>
      </c>
      <c s="125">
        <f>Предпосылки!AW$231*Предпосылки!$G271*Продажи!AX36*AX$19*(1+Чувствительность!$D$20)*IFERROR(LOOKUP(Предпосылки!$H$204,$C$13:$C$15,AX$13:AX$15),1)</f>
        <v>0</v>
      </c>
      <c s="125">
        <f>Предпосылки!AX$231*Предпосылки!$G271*Продажи!AY36*AY$19*(1+Чувствительность!$D$20)*IFERROR(LOOKUP(Предпосылки!$H$204,$C$13:$C$15,AY$13:AY$15),1)</f>
        <v>0</v>
      </c>
      <c s="125">
        <f>Предпосылки!AY$231*Предпосылки!$G271*Продажи!AZ36*AZ$19*(1+Чувствительность!$D$20)*IFERROR(LOOKUP(Предпосылки!$H$204,$C$13:$C$15,AZ$13:AZ$15),1)</f>
        <v>0</v>
      </c>
      <c s="125">
        <f>Предпосылки!AZ$231*Предпосылки!$G271*Продажи!BA36*BA$19*(1+Чувствительность!$D$20)*IFERROR(LOOKUP(Предпосылки!$H$204,$C$13:$C$15,BA$13:BA$15),1)</f>
        <v>0</v>
      </c>
      <c s="125">
        <f>Предпосылки!BA$231*Предпосылки!$G271*Продажи!BB36*BB$19*(1+Чувствительность!$D$20)*IFERROR(LOOKUP(Предпосылки!$H$204,$C$13:$C$15,BB$13:BB$15),1)</f>
        <v>0</v>
      </c>
      <c s="125">
        <f>Предпосылки!BB$231*Предпосылки!$G271*Продажи!BC36*BC$19*(1+Чувствительность!$D$20)*IFERROR(LOOKUP(Предпосылки!$H$204,$C$13:$C$15,BC$13:BC$15),1)</f>
        <v>0</v>
      </c>
      <c s="125">
        <f>Предпосылки!BC$231*Предпосылки!$G271*Продажи!BD36*BD$19*(1+Чувствительность!$D$20)*IFERROR(LOOKUP(Предпосылки!$H$204,$C$13:$C$15,BD$13:BD$15),1)</f>
        <v>0</v>
      </c>
      <c s="125">
        <f>Предпосылки!BD$231*Предпосылки!$G271*Продажи!BE36*BE$19*(1+Чувствительность!$D$20)*IFERROR(LOOKUP(Предпосылки!$H$204,$C$13:$C$15,BE$13:BE$15),1)</f>
        <v>0</v>
      </c>
      <c s="125">
        <f>Предпосылки!BE$231*Предпосылки!$G271*Продажи!BF36*BF$19*(1+Чувствительность!$D$20)*IFERROR(LOOKUP(Предпосылки!$H$204,$C$13:$C$15,BF$13:BF$15),1)</f>
        <v>0</v>
      </c>
      <c s="125">
        <f>Предпосылки!BF$231*Предпосылки!$G271*Продажи!BG36*BG$19*(1+Чувствительность!$D$20)*IFERROR(LOOKUP(Предпосылки!$H$204,$C$13:$C$15,BG$13:BG$15),1)</f>
        <v>0</v>
      </c>
      <c s="125">
        <f>Предпосылки!BG$231*Предпосылки!$G271*Продажи!BH36*BH$19*(1+Чувствительность!$D$20)*IFERROR(LOOKUP(Предпосылки!$H$204,$C$13:$C$15,BH$13:BH$15),1)</f>
        <v>0</v>
      </c>
      <c s="125">
        <f>Предпосылки!BH$231*Предпосылки!$G271*Продажи!BI36*BI$19*(1+Чувствительность!$D$20)*IFERROR(LOOKUP(Предпосылки!$H$204,$C$13:$C$15,BI$13:BI$15),1)</f>
        <v>0</v>
      </c>
      <c s="125">
        <f>Предпосылки!BI$231*Предпосылки!$G271*Продажи!BJ36*BJ$19*(1+Чувствительность!$D$20)*IFERROR(LOOKUP(Предпосылки!$H$204,$C$13:$C$15,BJ$13:BJ$15),1)</f>
        <v>0</v>
      </c>
      <c s="125">
        <f>Предпосылки!BJ$231*Предпосылки!$G271*Продажи!BK36*BK$19*(1+Чувствительность!$D$20)*IFERROR(LOOKUP(Предпосылки!$H$204,$C$13:$C$15,BK$13:BK$15),1)</f>
        <v>0</v>
      </c>
      <c s="125">
        <f>Предпосылки!BK$231*Предпосылки!$G271*Продажи!BL36*BL$19*(1+Чувствительность!$D$20)*IFERROR(LOOKUP(Предпосылки!$H$204,$C$13:$C$15,BL$13:BL$15),1)</f>
        <v>0</v>
      </c>
      <c s="125">
        <f>Предпосылки!BL$231*Предпосылки!$G271*Продажи!BM36*BM$19*(1+Чувствительность!$D$20)*IFERROR(LOOKUP(Предпосылки!$H$204,$C$13:$C$15,BM$13:BM$15),1)</f>
        <v>0</v>
      </c>
    </row>
    <row r="111" spans="2:65" ht="15" customHeight="1">
      <c r="B111" s="12" t="str">
        <f t="shared" si="76"/>
        <v>Продукт 20</v>
      </c>
      <c s="124" t="str">
        <f t="shared" si="75"/>
        <v>тыс. руб.</v>
      </c>
      <c s="276">
        <f t="shared" si="77"/>
        <v>0</v>
      </c>
      <c s="125">
        <f>Предпосылки!D$231*Предпосылки!$G272*Продажи!E37*E$19*(1+Чувствительность!$D$20)*IFERROR(LOOKUP(Предпосылки!$H$204,$C$13:$C$15,E$13:E$15),1)</f>
        <v>0</v>
      </c>
      <c s="125">
        <f>Предпосылки!E$231*Предпосылки!$G272*Продажи!F37*F$19*(1+Чувствительность!$D$20)*IFERROR(LOOKUP(Предпосылки!$H$204,$C$13:$C$15,F$13:F$15),1)</f>
        <v>0</v>
      </c>
      <c s="125">
        <f>Предпосылки!F$231*Предпосылки!$G272*Продажи!G37*G$19*(1+Чувствительность!$D$20)*IFERROR(LOOKUP(Предпосылки!$H$204,$C$13:$C$15,G$13:G$15),1)</f>
        <v>0</v>
      </c>
      <c s="125">
        <f>Предпосылки!G$231*Предпосылки!$G272*Продажи!H37*H$19*(1+Чувствительность!$D$20)*IFERROR(LOOKUP(Предпосылки!$H$204,$C$13:$C$15,H$13:H$15),1)</f>
        <v>0</v>
      </c>
      <c s="125">
        <f>Предпосылки!H$231*Предпосылки!$G272*Продажи!I37*I$19*(1+Чувствительность!$D$20)*IFERROR(LOOKUP(Предпосылки!$H$204,$C$13:$C$15,I$13:I$15),1)</f>
        <v>0</v>
      </c>
      <c s="125">
        <f>Предпосылки!I$231*Предпосылки!$G272*Продажи!J37*J$19*(1+Чувствительность!$D$20)*IFERROR(LOOKUP(Предпосылки!$H$204,$C$13:$C$15,J$13:J$15),1)</f>
        <v>0</v>
      </c>
      <c s="125">
        <f>Предпосылки!J$231*Предпосылки!$G272*Продажи!K37*K$19*(1+Чувствительность!$D$20)*IFERROR(LOOKUP(Предпосылки!$H$204,$C$13:$C$15,K$13:K$15),1)</f>
        <v>0</v>
      </c>
      <c s="125">
        <f>Предпосылки!K$231*Предпосылки!$G272*Продажи!L37*L$19*(1+Чувствительность!$D$20)*IFERROR(LOOKUP(Предпосылки!$H$204,$C$13:$C$15,L$13:L$15),1)</f>
        <v>0</v>
      </c>
      <c s="125">
        <f>Предпосылки!L$231*Предпосылки!$G272*Продажи!M37*M$19*(1+Чувствительность!$D$20)*IFERROR(LOOKUP(Предпосылки!$H$204,$C$13:$C$15,M$13:M$15),1)</f>
        <v>0</v>
      </c>
      <c s="125">
        <f>Предпосылки!M$231*Предпосылки!$G272*Продажи!N37*N$19*(1+Чувствительность!$D$20)*IFERROR(LOOKUP(Предпосылки!$H$204,$C$13:$C$15,N$13:N$15),1)</f>
        <v>0</v>
      </c>
      <c s="125">
        <f>Предпосылки!N$231*Предпосылки!$G272*Продажи!O37*O$19*(1+Чувствительность!$D$20)*IFERROR(LOOKUP(Предпосылки!$H$204,$C$13:$C$15,O$13:O$15),1)</f>
        <v>0</v>
      </c>
      <c s="125">
        <f>Предпосылки!O$231*Предпосылки!$G272*Продажи!P37*P$19*(1+Чувствительность!$D$20)*IFERROR(LOOKUP(Предпосылки!$H$204,$C$13:$C$15,P$13:P$15),1)</f>
        <v>0</v>
      </c>
      <c s="125">
        <f>Предпосылки!P$231*Предпосылки!$G272*Продажи!Q37*Q$19*(1+Чувствительность!$D$20)*IFERROR(LOOKUP(Предпосылки!$H$204,$C$13:$C$15,Q$13:Q$15),1)</f>
        <v>0</v>
      </c>
      <c s="125">
        <f>Предпосылки!Q$231*Предпосылки!$G272*Продажи!R37*R$19*(1+Чувствительность!$D$20)*IFERROR(LOOKUP(Предпосылки!$H$204,$C$13:$C$15,R$13:R$15),1)</f>
        <v>0</v>
      </c>
      <c s="125">
        <f>Предпосылки!R$231*Предпосылки!$G272*Продажи!S37*S$19*(1+Чувствительность!$D$20)*IFERROR(LOOKUP(Предпосылки!$H$204,$C$13:$C$15,S$13:S$15),1)</f>
        <v>0</v>
      </c>
      <c s="125">
        <f>Предпосылки!S$231*Предпосылки!$G272*Продажи!T37*T$19*(1+Чувствительность!$D$20)*IFERROR(LOOKUP(Предпосылки!$H$204,$C$13:$C$15,T$13:T$15),1)</f>
        <v>0</v>
      </c>
      <c s="125">
        <f>Предпосылки!T$231*Предпосылки!$G272*Продажи!U37*U$19*(1+Чувствительность!$D$20)*IFERROR(LOOKUP(Предпосылки!$H$204,$C$13:$C$15,U$13:U$15),1)</f>
        <v>0</v>
      </c>
      <c s="125">
        <f>Предпосылки!U$231*Предпосылки!$G272*Продажи!V37*V$19*(1+Чувствительность!$D$20)*IFERROR(LOOKUP(Предпосылки!$H$204,$C$13:$C$15,V$13:V$15),1)</f>
        <v>0</v>
      </c>
      <c s="125">
        <f>Предпосылки!V$231*Предпосылки!$G272*Продажи!W37*W$19*(1+Чувствительность!$D$20)*IFERROR(LOOKUP(Предпосылки!$H$204,$C$13:$C$15,W$13:W$15),1)</f>
        <v>0</v>
      </c>
      <c s="125">
        <f>Предпосылки!W$231*Предпосылки!$G272*Продажи!X37*X$19*(1+Чувствительность!$D$20)*IFERROR(LOOKUP(Предпосылки!$H$204,$C$13:$C$15,X$13:X$15),1)</f>
        <v>0</v>
      </c>
      <c s="125">
        <f>Предпосылки!X$231*Предпосылки!$G272*Продажи!Y37*Y$19*(1+Чувствительность!$D$20)*IFERROR(LOOKUP(Предпосылки!$H$204,$C$13:$C$15,Y$13:Y$15),1)</f>
        <v>0</v>
      </c>
      <c s="125">
        <f>Предпосылки!Y$231*Предпосылки!$G272*Продажи!Z37*Z$19*(1+Чувствительность!$D$20)*IFERROR(LOOKUP(Предпосылки!$H$204,$C$13:$C$15,Z$13:Z$15),1)</f>
        <v>0</v>
      </c>
      <c s="125">
        <f>Предпосылки!Z$231*Предпосылки!$G272*Продажи!AA37*AA$19*(1+Чувствительность!$D$20)*IFERROR(LOOKUP(Предпосылки!$H$204,$C$13:$C$15,AA$13:AA$15),1)</f>
        <v>0</v>
      </c>
      <c s="125">
        <f>Предпосылки!AA$231*Предпосылки!$G272*Продажи!AB37*AB$19*(1+Чувствительность!$D$20)*IFERROR(LOOKUP(Предпосылки!$H$204,$C$13:$C$15,AB$13:AB$15),1)</f>
        <v>0</v>
      </c>
      <c s="125">
        <f>Предпосылки!AB$231*Предпосылки!$G272*Продажи!AC37*AC$19*(1+Чувствительность!$D$20)*IFERROR(LOOKUP(Предпосылки!$H$204,$C$13:$C$15,AC$13:AC$15),1)</f>
        <v>0</v>
      </c>
      <c s="125">
        <f>Предпосылки!AC$231*Предпосылки!$G272*Продажи!AD37*AD$19*(1+Чувствительность!$D$20)*IFERROR(LOOKUP(Предпосылки!$H$204,$C$13:$C$15,AD$13:AD$15),1)</f>
        <v>0</v>
      </c>
      <c s="125">
        <f>Предпосылки!AD$231*Предпосылки!$G272*Продажи!AE37*AE$19*(1+Чувствительность!$D$20)*IFERROR(LOOKUP(Предпосылки!$H$204,$C$13:$C$15,AE$13:AE$15),1)</f>
        <v>0</v>
      </c>
      <c s="125">
        <f>Предпосылки!AE$231*Предпосылки!$G272*Продажи!AF37*AF$19*(1+Чувствительность!$D$20)*IFERROR(LOOKUP(Предпосылки!$H$204,$C$13:$C$15,AF$13:AF$15),1)</f>
        <v>0</v>
      </c>
      <c s="125">
        <f>Предпосылки!AF$231*Предпосылки!$G272*Продажи!AG37*AG$19*(1+Чувствительность!$D$20)*IFERROR(LOOKUP(Предпосылки!$H$204,$C$13:$C$15,AG$13:AG$15),1)</f>
        <v>0</v>
      </c>
      <c s="125">
        <f>Предпосылки!AG$231*Предпосылки!$G272*Продажи!AH37*AH$19*(1+Чувствительность!$D$20)*IFERROR(LOOKUP(Предпосылки!$H$204,$C$13:$C$15,AH$13:AH$15),1)</f>
        <v>0</v>
      </c>
      <c s="125">
        <f>Предпосылки!AH$231*Предпосылки!$G272*Продажи!AI37*AI$19*(1+Чувствительность!$D$20)*IFERROR(LOOKUP(Предпосылки!$H$204,$C$13:$C$15,AI$13:AI$15),1)</f>
        <v>0</v>
      </c>
      <c s="125">
        <f>Предпосылки!AI$231*Предпосылки!$G272*Продажи!AJ37*AJ$19*(1+Чувствительность!$D$20)*IFERROR(LOOKUP(Предпосылки!$H$204,$C$13:$C$15,AJ$13:AJ$15),1)</f>
        <v>0</v>
      </c>
      <c s="125">
        <f>Предпосылки!AJ$231*Предпосылки!$G272*Продажи!AK37*AK$19*(1+Чувствительность!$D$20)*IFERROR(LOOKUP(Предпосылки!$H$204,$C$13:$C$15,AK$13:AK$15),1)</f>
        <v>0</v>
      </c>
      <c s="125">
        <f>Предпосылки!AK$231*Предпосылки!$G272*Продажи!AL37*AL$19*(1+Чувствительность!$D$20)*IFERROR(LOOKUP(Предпосылки!$H$204,$C$13:$C$15,AL$13:AL$15),1)</f>
        <v>0</v>
      </c>
      <c s="125">
        <f>Предпосылки!AL$231*Предпосылки!$G272*Продажи!AM37*AM$19*(1+Чувствительность!$D$20)*IFERROR(LOOKUP(Предпосылки!$H$204,$C$13:$C$15,AM$13:AM$15),1)</f>
        <v>0</v>
      </c>
      <c s="125">
        <f>Предпосылки!AM$231*Предпосылки!$G272*Продажи!AN37*AN$19*(1+Чувствительность!$D$20)*IFERROR(LOOKUP(Предпосылки!$H$204,$C$13:$C$15,AN$13:AN$15),1)</f>
        <v>0</v>
      </c>
      <c s="125">
        <f>Предпосылки!AN$231*Предпосылки!$G272*Продажи!AO37*AO$19*(1+Чувствительность!$D$20)*IFERROR(LOOKUP(Предпосылки!$H$204,$C$13:$C$15,AO$13:AO$15),1)</f>
        <v>0</v>
      </c>
      <c s="125">
        <f>Предпосылки!AO$231*Предпосылки!$G272*Продажи!AP37*AP$19*(1+Чувствительность!$D$20)*IFERROR(LOOKUP(Предпосылки!$H$204,$C$13:$C$15,AP$13:AP$15),1)</f>
        <v>0</v>
      </c>
      <c s="125">
        <f>Предпосылки!AP$231*Предпосылки!$G272*Продажи!AQ37*AQ$19*(1+Чувствительность!$D$20)*IFERROR(LOOKUP(Предпосылки!$H$204,$C$13:$C$15,AQ$13:AQ$15),1)</f>
        <v>0</v>
      </c>
      <c s="125">
        <f>Предпосылки!AQ$231*Предпосылки!$G272*Продажи!AR37*AR$19*(1+Чувствительность!$D$20)*IFERROR(LOOKUP(Предпосылки!$H$204,$C$13:$C$15,AR$13:AR$15),1)</f>
        <v>0</v>
      </c>
      <c s="125">
        <f>Предпосылки!AR$231*Предпосылки!$G272*Продажи!AS37*AS$19*(1+Чувствительность!$D$20)*IFERROR(LOOKUP(Предпосылки!$H$204,$C$13:$C$15,AS$13:AS$15),1)</f>
        <v>0</v>
      </c>
      <c s="125">
        <f>Предпосылки!AS$231*Предпосылки!$G272*Продажи!AT37*AT$19*(1+Чувствительность!$D$20)*IFERROR(LOOKUP(Предпосылки!$H$204,$C$13:$C$15,AT$13:AT$15),1)</f>
        <v>0</v>
      </c>
      <c s="125">
        <f>Предпосылки!AT$231*Предпосылки!$G272*Продажи!AU37*AU$19*(1+Чувствительность!$D$20)*IFERROR(LOOKUP(Предпосылки!$H$204,$C$13:$C$15,AU$13:AU$15),1)</f>
        <v>0</v>
      </c>
      <c s="125">
        <f>Предпосылки!AU$231*Предпосылки!$G272*Продажи!AV37*AV$19*(1+Чувствительность!$D$20)*IFERROR(LOOKUP(Предпосылки!$H$204,$C$13:$C$15,AV$13:AV$15),1)</f>
        <v>0</v>
      </c>
      <c s="125">
        <f>Предпосылки!AV$231*Предпосылки!$G272*Продажи!AW37*AW$19*(1+Чувствительность!$D$20)*IFERROR(LOOKUP(Предпосылки!$H$204,$C$13:$C$15,AW$13:AW$15),1)</f>
        <v>0</v>
      </c>
      <c s="125">
        <f>Предпосылки!AW$231*Предпосылки!$G272*Продажи!AX37*AX$19*(1+Чувствительность!$D$20)*IFERROR(LOOKUP(Предпосылки!$H$204,$C$13:$C$15,AX$13:AX$15),1)</f>
        <v>0</v>
      </c>
      <c s="125">
        <f>Предпосылки!AX$231*Предпосылки!$G272*Продажи!AY37*AY$19*(1+Чувствительность!$D$20)*IFERROR(LOOKUP(Предпосылки!$H$204,$C$13:$C$15,AY$13:AY$15),1)</f>
        <v>0</v>
      </c>
      <c s="125">
        <f>Предпосылки!AY$231*Предпосылки!$G272*Продажи!AZ37*AZ$19*(1+Чувствительность!$D$20)*IFERROR(LOOKUP(Предпосылки!$H$204,$C$13:$C$15,AZ$13:AZ$15),1)</f>
        <v>0</v>
      </c>
      <c s="125">
        <f>Предпосылки!AZ$231*Предпосылки!$G272*Продажи!BA37*BA$19*(1+Чувствительность!$D$20)*IFERROR(LOOKUP(Предпосылки!$H$204,$C$13:$C$15,BA$13:BA$15),1)</f>
        <v>0</v>
      </c>
      <c s="125">
        <f>Предпосылки!BA$231*Предпосылки!$G272*Продажи!BB37*BB$19*(1+Чувствительность!$D$20)*IFERROR(LOOKUP(Предпосылки!$H$204,$C$13:$C$15,BB$13:BB$15),1)</f>
        <v>0</v>
      </c>
      <c s="125">
        <f>Предпосылки!BB$231*Предпосылки!$G272*Продажи!BC37*BC$19*(1+Чувствительность!$D$20)*IFERROR(LOOKUP(Предпосылки!$H$204,$C$13:$C$15,BC$13:BC$15),1)</f>
        <v>0</v>
      </c>
      <c s="125">
        <f>Предпосылки!BC$231*Предпосылки!$G272*Продажи!BD37*BD$19*(1+Чувствительность!$D$20)*IFERROR(LOOKUP(Предпосылки!$H$204,$C$13:$C$15,BD$13:BD$15),1)</f>
        <v>0</v>
      </c>
      <c s="125">
        <f>Предпосылки!BD$231*Предпосылки!$G272*Продажи!BE37*BE$19*(1+Чувствительность!$D$20)*IFERROR(LOOKUP(Предпосылки!$H$204,$C$13:$C$15,BE$13:BE$15),1)</f>
        <v>0</v>
      </c>
      <c s="125">
        <f>Предпосылки!BE$231*Предпосылки!$G272*Продажи!BF37*BF$19*(1+Чувствительность!$D$20)*IFERROR(LOOKUP(Предпосылки!$H$204,$C$13:$C$15,BF$13:BF$15),1)</f>
        <v>0</v>
      </c>
      <c s="125">
        <f>Предпосылки!BF$231*Предпосылки!$G272*Продажи!BG37*BG$19*(1+Чувствительность!$D$20)*IFERROR(LOOKUP(Предпосылки!$H$204,$C$13:$C$15,BG$13:BG$15),1)</f>
        <v>0</v>
      </c>
      <c s="125">
        <f>Предпосылки!BG$231*Предпосылки!$G272*Продажи!BH37*BH$19*(1+Чувствительность!$D$20)*IFERROR(LOOKUP(Предпосылки!$H$204,$C$13:$C$15,BH$13:BH$15),1)</f>
        <v>0</v>
      </c>
      <c s="125">
        <f>Предпосылки!BH$231*Предпосылки!$G272*Продажи!BI37*BI$19*(1+Чувствительность!$D$20)*IFERROR(LOOKUP(Предпосылки!$H$204,$C$13:$C$15,BI$13:BI$15),1)</f>
        <v>0</v>
      </c>
      <c s="125">
        <f>Предпосылки!BI$231*Предпосылки!$G272*Продажи!BJ37*BJ$19*(1+Чувствительность!$D$20)*IFERROR(LOOKUP(Предпосылки!$H$204,$C$13:$C$15,BJ$13:BJ$15),1)</f>
        <v>0</v>
      </c>
      <c s="125">
        <f>Предпосылки!BJ$231*Предпосылки!$G272*Продажи!BK37*BK$19*(1+Чувствительность!$D$20)*IFERROR(LOOKUP(Предпосылки!$H$204,$C$13:$C$15,BK$13:BK$15),1)</f>
        <v>0</v>
      </c>
      <c s="125">
        <f>Предпосылки!BK$231*Предпосылки!$G272*Продажи!BL37*BL$19*(1+Чувствительность!$D$20)*IFERROR(LOOKUP(Предпосылки!$H$204,$C$13:$C$15,BL$13:BL$15),1)</f>
        <v>0</v>
      </c>
      <c s="125">
        <f>Предпосылки!BL$231*Предпосылки!$G272*Продажи!BM37*BM$19*(1+Чувствительность!$D$20)*IFERROR(LOOKUP(Предпосылки!$H$204,$C$13:$C$15,BM$13:BM$15),1)</f>
        <v>0</v>
      </c>
    </row>
    <row r="112" spans="2:65" ht="15" customHeight="1">
      <c r="B112" s="289" t="s">
        <v>454</v>
      </c>
      <c s="290" t="str">
        <f>Единица_измерения</f>
        <v>тыс. руб.</v>
      </c>
      <c s="291">
        <f>SUM(D92:D111)</f>
        <v>0</v>
      </c>
      <c s="276">
        <f>SUM(E92:E111)</f>
        <v>0</v>
      </c>
      <c s="276">
        <f t="shared" si="78" ref="F112:AG112">SUM(F92:F111)</f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8"/>
        <v>0</v>
      </c>
      <c s="276">
        <f t="shared" si="79" ref="AH112:BM112">SUM(AH92:AH111)</f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  <c s="276">
        <f t="shared" si="79"/>
        <v>0</v>
      </c>
    </row>
    <row r="113" ht="15" customHeight="1"/>
    <row r="114" spans="2:69" ht="14.45">
      <c r="B114" s="25" t="str">
        <f>Предпосылки!B232</f>
        <v>Операционные затраты 5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5" spans="2:65" ht="15" customHeight="1">
      <c r="B115" s="12" t="str">
        <f>B92</f>
        <v>Продукт 1</v>
      </c>
      <c s="124" t="str">
        <f t="shared" si="80" ref="C115:C134">Единица_измерения</f>
        <v>тыс. руб.</v>
      </c>
      <c s="276">
        <f>SUM(E115:BM115)</f>
        <v>0</v>
      </c>
      <c s="125">
        <f>Предпосылки!D$232*Предпосылки!$H253*Продажи!E18*E$19*(1+Чувствительность!$D$20)*IFERROR(LOOKUP(Предпосылки!$H$205,$C$13:$C$15,E$13:E$15),1)</f>
        <v>0</v>
      </c>
      <c s="125">
        <f>Предпосылки!E$232*Предпосылки!$H253*Продажи!F18*F$19*(1+Чувствительность!$D$20)*IFERROR(LOOKUP(Предпосылки!$H$205,$C$13:$C$15,F$13:F$15),1)</f>
        <v>0</v>
      </c>
      <c s="125">
        <f>Предпосылки!F$232*Предпосылки!$H253*Продажи!G18*G$19*(1+Чувствительность!$D$20)*IFERROR(LOOKUP(Предпосылки!$H$205,$C$13:$C$15,G$13:G$15),1)</f>
        <v>0</v>
      </c>
      <c s="125">
        <f>Предпосылки!G$232*Предпосылки!$H253*Продажи!H18*H$19*(1+Чувствительность!$D$20)*IFERROR(LOOKUP(Предпосылки!$H$205,$C$13:$C$15,H$13:H$15),1)</f>
        <v>0</v>
      </c>
      <c s="125">
        <f>Предпосылки!H$232*Предпосылки!$H253*Продажи!I18*I$19*(1+Чувствительность!$D$20)*IFERROR(LOOKUP(Предпосылки!$H$205,$C$13:$C$15,I$13:I$15),1)</f>
        <v>0</v>
      </c>
      <c s="125">
        <f>Предпосылки!I$232*Предпосылки!$H253*Продажи!J18*J$19*(1+Чувствительность!$D$20)*IFERROR(LOOKUP(Предпосылки!$H$205,$C$13:$C$15,J$13:J$15),1)</f>
        <v>0</v>
      </c>
      <c s="125">
        <f>Предпосылки!J$232*Предпосылки!$H253*Продажи!K18*K$19*(1+Чувствительность!$D$20)*IFERROR(LOOKUP(Предпосылки!$H$205,$C$13:$C$15,K$13:K$15),1)</f>
        <v>0</v>
      </c>
      <c s="125">
        <f>Предпосылки!K$232*Предпосылки!$H253*Продажи!L18*L$19*(1+Чувствительность!$D$20)*IFERROR(LOOKUP(Предпосылки!$H$205,$C$13:$C$15,L$13:L$15),1)</f>
        <v>0</v>
      </c>
      <c s="125">
        <f>Предпосылки!L$232*Предпосылки!$H253*Продажи!M18*M$19*(1+Чувствительность!$D$20)*IFERROR(LOOKUP(Предпосылки!$H$205,$C$13:$C$15,M$13:M$15),1)</f>
        <v>0</v>
      </c>
      <c s="125">
        <f>Предпосылки!M$232*Предпосылки!$H253*Продажи!N18*N$19*(1+Чувствительность!$D$20)*IFERROR(LOOKUP(Предпосылки!$H$205,$C$13:$C$15,N$13:N$15),1)</f>
        <v>0</v>
      </c>
      <c s="125">
        <f>Предпосылки!N$232*Предпосылки!$H253*Продажи!O18*O$19*(1+Чувствительность!$D$20)*IFERROR(LOOKUP(Предпосылки!$H$205,$C$13:$C$15,O$13:O$15),1)</f>
        <v>0</v>
      </c>
      <c s="125">
        <f>Предпосылки!O$232*Предпосылки!$H253*Продажи!P18*P$19*(1+Чувствительность!$D$20)*IFERROR(LOOKUP(Предпосылки!$H$205,$C$13:$C$15,P$13:P$15),1)</f>
        <v>0</v>
      </c>
      <c s="125">
        <f>Предпосылки!P$232*Предпосылки!$H253*Продажи!Q18*Q$19*(1+Чувствительность!$D$20)*IFERROR(LOOKUP(Предпосылки!$H$205,$C$13:$C$15,Q$13:Q$15),1)</f>
        <v>0</v>
      </c>
      <c s="125">
        <f>Предпосылки!Q$232*Предпосылки!$H253*Продажи!R18*R$19*(1+Чувствительность!$D$20)*IFERROR(LOOKUP(Предпосылки!$H$205,$C$13:$C$15,R$13:R$15),1)</f>
        <v>0</v>
      </c>
      <c s="125">
        <f>Предпосылки!R$232*Предпосылки!$H253*Продажи!S18*S$19*(1+Чувствительность!$D$20)*IFERROR(LOOKUP(Предпосылки!$H$205,$C$13:$C$15,S$13:S$15),1)</f>
        <v>0</v>
      </c>
      <c s="125">
        <f>Предпосылки!S$232*Предпосылки!$H253*Продажи!T18*T$19*(1+Чувствительность!$D$20)*IFERROR(LOOKUP(Предпосылки!$H$205,$C$13:$C$15,T$13:T$15),1)</f>
        <v>0</v>
      </c>
      <c s="125">
        <f>Предпосылки!T$232*Предпосылки!$H253*Продажи!U18*U$19*(1+Чувствительность!$D$20)*IFERROR(LOOKUP(Предпосылки!$H$205,$C$13:$C$15,U$13:U$15),1)</f>
        <v>0</v>
      </c>
      <c s="125">
        <f>Предпосылки!U$232*Предпосылки!$H253*Продажи!V18*V$19*(1+Чувствительность!$D$20)*IFERROR(LOOKUP(Предпосылки!$H$205,$C$13:$C$15,V$13:V$15),1)</f>
        <v>0</v>
      </c>
      <c s="125">
        <f>Предпосылки!V$232*Предпосылки!$H253*Продажи!W18*W$19*(1+Чувствительность!$D$20)*IFERROR(LOOKUP(Предпосылки!$H$205,$C$13:$C$15,W$13:W$15),1)</f>
        <v>0</v>
      </c>
      <c s="125">
        <f>Предпосылки!W$232*Предпосылки!$H253*Продажи!X18*X$19*(1+Чувствительность!$D$20)*IFERROR(LOOKUP(Предпосылки!$H$205,$C$13:$C$15,X$13:X$15),1)</f>
        <v>0</v>
      </c>
      <c s="125">
        <f>Предпосылки!X$232*Предпосылки!$H253*Продажи!Y18*Y$19*(1+Чувствительность!$D$20)*IFERROR(LOOKUP(Предпосылки!$H$205,$C$13:$C$15,Y$13:Y$15),1)</f>
        <v>0</v>
      </c>
      <c s="125">
        <f>Предпосылки!Y$232*Предпосылки!$H253*Продажи!Z18*Z$19*(1+Чувствительность!$D$20)*IFERROR(LOOKUP(Предпосылки!$H$205,$C$13:$C$15,Z$13:Z$15),1)</f>
        <v>0</v>
      </c>
      <c s="125">
        <f>Предпосылки!Z$232*Предпосылки!$H253*Продажи!AA18*AA$19*(1+Чувствительность!$D$20)*IFERROR(LOOKUP(Предпосылки!$H$205,$C$13:$C$15,AA$13:AA$15),1)</f>
        <v>0</v>
      </c>
      <c s="125">
        <f>Предпосылки!AA$232*Предпосылки!$H253*Продажи!AB18*AB$19*(1+Чувствительность!$D$20)*IFERROR(LOOKUP(Предпосылки!$H$205,$C$13:$C$15,AB$13:AB$15),1)</f>
        <v>0</v>
      </c>
      <c s="125">
        <f>Предпосылки!AB$232*Предпосылки!$H253*Продажи!AC18*AC$19*(1+Чувствительность!$D$20)*IFERROR(LOOKUP(Предпосылки!$H$205,$C$13:$C$15,AC$13:AC$15),1)</f>
        <v>0</v>
      </c>
      <c s="125">
        <f>Предпосылки!AC$232*Предпосылки!$H253*Продажи!AD18*AD$19*(1+Чувствительность!$D$20)*IFERROR(LOOKUP(Предпосылки!$H$205,$C$13:$C$15,AD$13:AD$15),1)</f>
        <v>0</v>
      </c>
      <c s="125">
        <f>Предпосылки!AD$232*Предпосылки!$H253*Продажи!AE18*AE$19*(1+Чувствительность!$D$20)*IFERROR(LOOKUP(Предпосылки!$H$205,$C$13:$C$15,AE$13:AE$15),1)</f>
        <v>0</v>
      </c>
      <c s="125">
        <f>Предпосылки!AE$232*Предпосылки!$H253*Продажи!AF18*AF$19*(1+Чувствительность!$D$20)*IFERROR(LOOKUP(Предпосылки!$H$205,$C$13:$C$15,AF$13:AF$15),1)</f>
        <v>0</v>
      </c>
      <c s="125">
        <f>Предпосылки!AF$232*Предпосылки!$H253*Продажи!AG18*AG$19*(1+Чувствительность!$D$20)*IFERROR(LOOKUP(Предпосылки!$H$205,$C$13:$C$15,AG$13:AG$15),1)</f>
        <v>0</v>
      </c>
      <c s="125">
        <f>Предпосылки!AG$232*Предпосылки!$H253*Продажи!AH18*AH$19*(1+Чувствительность!$D$20)*IFERROR(LOOKUP(Предпосылки!$H$205,$C$13:$C$15,AH$13:AH$15),1)</f>
        <v>0</v>
      </c>
      <c s="125">
        <f>Предпосылки!AH$232*Предпосылки!$H253*Продажи!AI18*AI$19*(1+Чувствительность!$D$20)*IFERROR(LOOKUP(Предпосылки!$H$205,$C$13:$C$15,AI$13:AI$15),1)</f>
        <v>0</v>
      </c>
      <c s="125">
        <f>Предпосылки!AI$232*Предпосылки!$H253*Продажи!AJ18*AJ$19*(1+Чувствительность!$D$20)*IFERROR(LOOKUP(Предпосылки!$H$205,$C$13:$C$15,AJ$13:AJ$15),1)</f>
        <v>0</v>
      </c>
      <c s="125">
        <f>Предпосылки!AJ$232*Предпосылки!$H253*Продажи!AK18*AK$19*(1+Чувствительность!$D$20)*IFERROR(LOOKUP(Предпосылки!$H$205,$C$13:$C$15,AK$13:AK$15),1)</f>
        <v>0</v>
      </c>
      <c s="125">
        <f>Предпосылки!AK$232*Предпосылки!$H253*Продажи!AL18*AL$19*(1+Чувствительность!$D$20)*IFERROR(LOOKUP(Предпосылки!$H$205,$C$13:$C$15,AL$13:AL$15),1)</f>
        <v>0</v>
      </c>
      <c s="125">
        <f>Предпосылки!AL$232*Предпосылки!$H253*Продажи!AM18*AM$19*(1+Чувствительность!$D$20)*IFERROR(LOOKUP(Предпосылки!$H$205,$C$13:$C$15,AM$13:AM$15),1)</f>
        <v>0</v>
      </c>
      <c s="125">
        <f>Предпосылки!AM$232*Предпосылки!$H253*Продажи!AN18*AN$19*(1+Чувствительность!$D$20)*IFERROR(LOOKUP(Предпосылки!$H$205,$C$13:$C$15,AN$13:AN$15),1)</f>
        <v>0</v>
      </c>
      <c s="125">
        <f>Предпосылки!AN$232*Предпосылки!$H253*Продажи!AO18*AO$19*(1+Чувствительность!$D$20)*IFERROR(LOOKUP(Предпосылки!$H$205,$C$13:$C$15,AO$13:AO$15),1)</f>
        <v>0</v>
      </c>
      <c s="125">
        <f>Предпосылки!AO$232*Предпосылки!$H253*Продажи!AP18*AP$19*(1+Чувствительность!$D$20)*IFERROR(LOOKUP(Предпосылки!$H$205,$C$13:$C$15,AP$13:AP$15),1)</f>
        <v>0</v>
      </c>
      <c s="125">
        <f>Предпосылки!AP$232*Предпосылки!$H253*Продажи!AQ18*AQ$19*(1+Чувствительность!$D$20)*IFERROR(LOOKUP(Предпосылки!$H$205,$C$13:$C$15,AQ$13:AQ$15),1)</f>
        <v>0</v>
      </c>
      <c s="125">
        <f>Предпосылки!AQ$232*Предпосылки!$H253*Продажи!AR18*AR$19*(1+Чувствительность!$D$20)*IFERROR(LOOKUP(Предпосылки!$H$205,$C$13:$C$15,AR$13:AR$15),1)</f>
        <v>0</v>
      </c>
      <c s="125">
        <f>Предпосылки!AR$232*Предпосылки!$H253*Продажи!AS18*AS$19*(1+Чувствительность!$D$20)*IFERROR(LOOKUP(Предпосылки!$H$205,$C$13:$C$15,AS$13:AS$15),1)</f>
        <v>0</v>
      </c>
      <c s="125">
        <f>Предпосылки!AS$232*Предпосылки!$H253*Продажи!AT18*AT$19*(1+Чувствительность!$D$20)*IFERROR(LOOKUP(Предпосылки!$H$205,$C$13:$C$15,AT$13:AT$15),1)</f>
        <v>0</v>
      </c>
      <c s="125">
        <f>Предпосылки!AT$232*Предпосылки!$H253*Продажи!AU18*AU$19*(1+Чувствительность!$D$20)*IFERROR(LOOKUP(Предпосылки!$H$205,$C$13:$C$15,AU$13:AU$15),1)</f>
        <v>0</v>
      </c>
      <c s="125">
        <f>Предпосылки!AU$232*Предпосылки!$H253*Продажи!AV18*AV$19*(1+Чувствительность!$D$20)*IFERROR(LOOKUP(Предпосылки!$H$205,$C$13:$C$15,AV$13:AV$15),1)</f>
        <v>0</v>
      </c>
      <c s="125">
        <f>Предпосылки!AV$232*Предпосылки!$H253*Продажи!AW18*AW$19*(1+Чувствительность!$D$20)*IFERROR(LOOKUP(Предпосылки!$H$205,$C$13:$C$15,AW$13:AW$15),1)</f>
        <v>0</v>
      </c>
      <c s="125">
        <f>Предпосылки!AW$232*Предпосылки!$H253*Продажи!AX18*AX$19*(1+Чувствительность!$D$20)*IFERROR(LOOKUP(Предпосылки!$H$205,$C$13:$C$15,AX$13:AX$15),1)</f>
        <v>0</v>
      </c>
      <c s="125">
        <f>Предпосылки!AX$232*Предпосылки!$H253*Продажи!AY18*AY$19*(1+Чувствительность!$D$20)*IFERROR(LOOKUP(Предпосылки!$H$205,$C$13:$C$15,AY$13:AY$15),1)</f>
        <v>0</v>
      </c>
      <c s="125">
        <f>Предпосылки!AY$232*Предпосылки!$H253*Продажи!AZ18*AZ$19*(1+Чувствительность!$D$20)*IFERROR(LOOKUP(Предпосылки!$H$205,$C$13:$C$15,AZ$13:AZ$15),1)</f>
        <v>0</v>
      </c>
      <c s="125">
        <f>Предпосылки!AZ$232*Предпосылки!$H253*Продажи!BA18*BA$19*(1+Чувствительность!$D$20)*IFERROR(LOOKUP(Предпосылки!$H$205,$C$13:$C$15,BA$13:BA$15),1)</f>
        <v>0</v>
      </c>
      <c s="125">
        <f>Предпосылки!BA$232*Предпосылки!$H253*Продажи!BB18*BB$19*(1+Чувствительность!$D$20)*IFERROR(LOOKUP(Предпосылки!$H$205,$C$13:$C$15,BB$13:BB$15),1)</f>
        <v>0</v>
      </c>
      <c s="125">
        <f>Предпосылки!BB$232*Предпосылки!$H253*Продажи!BC18*BC$19*(1+Чувствительность!$D$20)*IFERROR(LOOKUP(Предпосылки!$H$205,$C$13:$C$15,BC$13:BC$15),1)</f>
        <v>0</v>
      </c>
      <c s="125">
        <f>Предпосылки!BC$232*Предпосылки!$H253*Продажи!BD18*BD$19*(1+Чувствительность!$D$20)*IFERROR(LOOKUP(Предпосылки!$H$205,$C$13:$C$15,BD$13:BD$15),1)</f>
        <v>0</v>
      </c>
      <c s="125">
        <f>Предпосылки!BD$232*Предпосылки!$H253*Продажи!BE18*BE$19*(1+Чувствительность!$D$20)*IFERROR(LOOKUP(Предпосылки!$H$205,$C$13:$C$15,BE$13:BE$15),1)</f>
        <v>0</v>
      </c>
      <c s="125">
        <f>Предпосылки!BE$232*Предпосылки!$H253*Продажи!BF18*BF$19*(1+Чувствительность!$D$20)*IFERROR(LOOKUP(Предпосылки!$H$205,$C$13:$C$15,BF$13:BF$15),1)</f>
        <v>0</v>
      </c>
      <c s="125">
        <f>Предпосылки!BF$232*Предпосылки!$H253*Продажи!BG18*BG$19*(1+Чувствительность!$D$20)*IFERROR(LOOKUP(Предпосылки!$H$205,$C$13:$C$15,BG$13:BG$15),1)</f>
        <v>0</v>
      </c>
      <c s="125">
        <f>Предпосылки!BG$232*Предпосылки!$H253*Продажи!BH18*BH$19*(1+Чувствительность!$D$20)*IFERROR(LOOKUP(Предпосылки!$H$205,$C$13:$C$15,BH$13:BH$15),1)</f>
        <v>0</v>
      </c>
      <c s="125">
        <f>Предпосылки!BH$232*Предпосылки!$H253*Продажи!BI18*BI$19*(1+Чувствительность!$D$20)*IFERROR(LOOKUP(Предпосылки!$H$205,$C$13:$C$15,BI$13:BI$15),1)</f>
        <v>0</v>
      </c>
      <c s="125">
        <f>Предпосылки!BI$232*Предпосылки!$H253*Продажи!BJ18*BJ$19*(1+Чувствительность!$D$20)*IFERROR(LOOKUP(Предпосылки!$H$205,$C$13:$C$15,BJ$13:BJ$15),1)</f>
        <v>0</v>
      </c>
      <c s="125">
        <f>Предпосылки!BJ$232*Предпосылки!$H253*Продажи!BK18*BK$19*(1+Чувствительность!$D$20)*IFERROR(LOOKUP(Предпосылки!$H$205,$C$13:$C$15,BK$13:BK$15),1)</f>
        <v>0</v>
      </c>
      <c s="125">
        <f>Предпосылки!BK$232*Предпосылки!$H253*Продажи!BL18*BL$19*(1+Чувствительность!$D$20)*IFERROR(LOOKUP(Предпосылки!$H$205,$C$13:$C$15,BL$13:BL$15),1)</f>
        <v>0</v>
      </c>
      <c s="125">
        <f>Предпосылки!BL$232*Предпосылки!$H253*Продажи!BM18*BM$19*(1+Чувствительность!$D$20)*IFERROR(LOOKUP(Предпосылки!$H$205,$C$13:$C$15,BM$13:BM$15),1)</f>
        <v>0</v>
      </c>
    </row>
    <row r="116" spans="2:65" ht="15" customHeight="1">
      <c r="B116" s="12" t="str">
        <f t="shared" si="81" ref="B116:B134">B93</f>
        <v>Продукт 2</v>
      </c>
      <c s="124" t="str">
        <f t="shared" si="80"/>
        <v>тыс. руб.</v>
      </c>
      <c s="276">
        <f t="shared" si="82" ref="D116:D134">SUM(E116:BM116)</f>
        <v>0</v>
      </c>
      <c s="125">
        <f>Предпосылки!D$232*Предпосылки!$H254*Продажи!E19*E$19*(1+Чувствительность!$D$20)*IFERROR(LOOKUP(Предпосылки!$H$205,$C$13:$C$15,E$13:E$15),1)</f>
        <v>0</v>
      </c>
      <c s="125">
        <f>Предпосылки!E$232*Предпосылки!$H254*Продажи!F19*F$19*(1+Чувствительность!$D$20)*IFERROR(LOOKUP(Предпосылки!$H$205,$C$13:$C$15,F$13:F$15),1)</f>
        <v>0</v>
      </c>
      <c s="125">
        <f>Предпосылки!F$232*Предпосылки!$H254*Продажи!G19*G$19*(1+Чувствительность!$D$20)*IFERROR(LOOKUP(Предпосылки!$H$205,$C$13:$C$15,G$13:G$15),1)</f>
        <v>0</v>
      </c>
      <c s="125">
        <f>Предпосылки!G$232*Предпосылки!$H254*Продажи!H19*H$19*(1+Чувствительность!$D$20)*IFERROR(LOOKUP(Предпосылки!$H$205,$C$13:$C$15,H$13:H$15),1)</f>
        <v>0</v>
      </c>
      <c s="125">
        <f>Предпосылки!H$232*Предпосылки!$H254*Продажи!I19*I$19*(1+Чувствительность!$D$20)*IFERROR(LOOKUP(Предпосылки!$H$205,$C$13:$C$15,I$13:I$15),1)</f>
        <v>0</v>
      </c>
      <c s="125">
        <f>Предпосылки!I$232*Предпосылки!$H254*Продажи!J19*J$19*(1+Чувствительность!$D$20)*IFERROR(LOOKUP(Предпосылки!$H$205,$C$13:$C$15,J$13:J$15),1)</f>
        <v>0</v>
      </c>
      <c s="125">
        <f>Предпосылки!J$232*Предпосылки!$H254*Продажи!K19*K$19*(1+Чувствительность!$D$20)*IFERROR(LOOKUP(Предпосылки!$H$205,$C$13:$C$15,K$13:K$15),1)</f>
        <v>0</v>
      </c>
      <c s="125">
        <f>Предпосылки!K$232*Предпосылки!$H254*Продажи!L19*L$19*(1+Чувствительность!$D$20)*IFERROR(LOOKUP(Предпосылки!$H$205,$C$13:$C$15,L$13:L$15),1)</f>
        <v>0</v>
      </c>
      <c s="125">
        <f>Предпосылки!L$232*Предпосылки!$H254*Продажи!M19*M$19*(1+Чувствительность!$D$20)*IFERROR(LOOKUP(Предпосылки!$H$205,$C$13:$C$15,M$13:M$15),1)</f>
        <v>0</v>
      </c>
      <c s="125">
        <f>Предпосылки!M$232*Предпосылки!$H254*Продажи!N19*N$19*(1+Чувствительность!$D$20)*IFERROR(LOOKUP(Предпосылки!$H$205,$C$13:$C$15,N$13:N$15),1)</f>
        <v>0</v>
      </c>
      <c s="125">
        <f>Предпосылки!N$232*Предпосылки!$H254*Продажи!O19*O$19*(1+Чувствительность!$D$20)*IFERROR(LOOKUP(Предпосылки!$H$205,$C$13:$C$15,O$13:O$15),1)</f>
        <v>0</v>
      </c>
      <c s="125">
        <f>Предпосылки!O$232*Предпосылки!$H254*Продажи!P19*P$19*(1+Чувствительность!$D$20)*IFERROR(LOOKUP(Предпосылки!$H$205,$C$13:$C$15,P$13:P$15),1)</f>
        <v>0</v>
      </c>
      <c s="125">
        <f>Предпосылки!P$232*Предпосылки!$H254*Продажи!Q19*Q$19*(1+Чувствительность!$D$20)*IFERROR(LOOKUP(Предпосылки!$H$205,$C$13:$C$15,Q$13:Q$15),1)</f>
        <v>0</v>
      </c>
      <c s="125">
        <f>Предпосылки!Q$232*Предпосылки!$H254*Продажи!R19*R$19*(1+Чувствительность!$D$20)*IFERROR(LOOKUP(Предпосылки!$H$205,$C$13:$C$15,R$13:R$15),1)</f>
        <v>0</v>
      </c>
      <c s="125">
        <f>Предпосылки!R$232*Предпосылки!$H254*Продажи!S19*S$19*(1+Чувствительность!$D$20)*IFERROR(LOOKUP(Предпосылки!$H$205,$C$13:$C$15,S$13:S$15),1)</f>
        <v>0</v>
      </c>
      <c s="125">
        <f>Предпосылки!S$232*Предпосылки!$H254*Продажи!T19*T$19*(1+Чувствительность!$D$20)*IFERROR(LOOKUP(Предпосылки!$H$205,$C$13:$C$15,T$13:T$15),1)</f>
        <v>0</v>
      </c>
      <c s="125">
        <f>Предпосылки!T$232*Предпосылки!$H254*Продажи!U19*U$19*(1+Чувствительность!$D$20)*IFERROR(LOOKUP(Предпосылки!$H$205,$C$13:$C$15,U$13:U$15),1)</f>
        <v>0</v>
      </c>
      <c s="125">
        <f>Предпосылки!U$232*Предпосылки!$H254*Продажи!V19*V$19*(1+Чувствительность!$D$20)*IFERROR(LOOKUP(Предпосылки!$H$205,$C$13:$C$15,V$13:V$15),1)</f>
        <v>0</v>
      </c>
      <c s="125">
        <f>Предпосылки!V$232*Предпосылки!$H254*Продажи!W19*W$19*(1+Чувствительность!$D$20)*IFERROR(LOOKUP(Предпосылки!$H$205,$C$13:$C$15,W$13:W$15),1)</f>
        <v>0</v>
      </c>
      <c s="125">
        <f>Предпосылки!W$232*Предпосылки!$H254*Продажи!X19*X$19*(1+Чувствительность!$D$20)*IFERROR(LOOKUP(Предпосылки!$H$205,$C$13:$C$15,X$13:X$15),1)</f>
        <v>0</v>
      </c>
      <c s="125">
        <f>Предпосылки!X$232*Предпосылки!$H254*Продажи!Y19*Y$19*(1+Чувствительность!$D$20)*IFERROR(LOOKUP(Предпосылки!$H$205,$C$13:$C$15,Y$13:Y$15),1)</f>
        <v>0</v>
      </c>
      <c s="125">
        <f>Предпосылки!Y$232*Предпосылки!$H254*Продажи!Z19*Z$19*(1+Чувствительность!$D$20)*IFERROR(LOOKUP(Предпосылки!$H$205,$C$13:$C$15,Z$13:Z$15),1)</f>
        <v>0</v>
      </c>
      <c s="125">
        <f>Предпосылки!Z$232*Предпосылки!$H254*Продажи!AA19*AA$19*(1+Чувствительность!$D$20)*IFERROR(LOOKUP(Предпосылки!$H$205,$C$13:$C$15,AA$13:AA$15),1)</f>
        <v>0</v>
      </c>
      <c s="125">
        <f>Предпосылки!AA$232*Предпосылки!$H254*Продажи!AB19*AB$19*(1+Чувствительность!$D$20)*IFERROR(LOOKUP(Предпосылки!$H$205,$C$13:$C$15,AB$13:AB$15),1)</f>
        <v>0</v>
      </c>
      <c s="125">
        <f>Предпосылки!AB$232*Предпосылки!$H254*Продажи!AC19*AC$19*(1+Чувствительность!$D$20)*IFERROR(LOOKUP(Предпосылки!$H$205,$C$13:$C$15,AC$13:AC$15),1)</f>
        <v>0</v>
      </c>
      <c s="125">
        <f>Предпосылки!AC$232*Предпосылки!$H254*Продажи!AD19*AD$19*(1+Чувствительность!$D$20)*IFERROR(LOOKUP(Предпосылки!$H$205,$C$13:$C$15,AD$13:AD$15),1)</f>
        <v>0</v>
      </c>
      <c s="125">
        <f>Предпосылки!AD$232*Предпосылки!$H254*Продажи!AE19*AE$19*(1+Чувствительность!$D$20)*IFERROR(LOOKUP(Предпосылки!$H$205,$C$13:$C$15,AE$13:AE$15),1)</f>
        <v>0</v>
      </c>
      <c s="125">
        <f>Предпосылки!AE$232*Предпосылки!$H254*Продажи!AF19*AF$19*(1+Чувствительность!$D$20)*IFERROR(LOOKUP(Предпосылки!$H$205,$C$13:$C$15,AF$13:AF$15),1)</f>
        <v>0</v>
      </c>
      <c s="125">
        <f>Предпосылки!AF$232*Предпосылки!$H254*Продажи!AG19*AG$19*(1+Чувствительность!$D$20)*IFERROR(LOOKUP(Предпосылки!$H$205,$C$13:$C$15,AG$13:AG$15),1)</f>
        <v>0</v>
      </c>
      <c s="125">
        <f>Предпосылки!AG$232*Предпосылки!$H254*Продажи!AH19*AH$19*(1+Чувствительность!$D$20)*IFERROR(LOOKUP(Предпосылки!$H$205,$C$13:$C$15,AH$13:AH$15),1)</f>
        <v>0</v>
      </c>
      <c s="125">
        <f>Предпосылки!AH$232*Предпосылки!$H254*Продажи!AI19*AI$19*(1+Чувствительность!$D$20)*IFERROR(LOOKUP(Предпосылки!$H$205,$C$13:$C$15,AI$13:AI$15),1)</f>
        <v>0</v>
      </c>
      <c s="125">
        <f>Предпосылки!AI$232*Предпосылки!$H254*Продажи!AJ19*AJ$19*(1+Чувствительность!$D$20)*IFERROR(LOOKUP(Предпосылки!$H$205,$C$13:$C$15,AJ$13:AJ$15),1)</f>
        <v>0</v>
      </c>
      <c s="125">
        <f>Предпосылки!AJ$232*Предпосылки!$H254*Продажи!AK19*AK$19*(1+Чувствительность!$D$20)*IFERROR(LOOKUP(Предпосылки!$H$205,$C$13:$C$15,AK$13:AK$15),1)</f>
        <v>0</v>
      </c>
      <c s="125">
        <f>Предпосылки!AK$232*Предпосылки!$H254*Продажи!AL19*AL$19*(1+Чувствительность!$D$20)*IFERROR(LOOKUP(Предпосылки!$H$205,$C$13:$C$15,AL$13:AL$15),1)</f>
        <v>0</v>
      </c>
      <c s="125">
        <f>Предпосылки!AL$232*Предпосылки!$H254*Продажи!AM19*AM$19*(1+Чувствительность!$D$20)*IFERROR(LOOKUP(Предпосылки!$H$205,$C$13:$C$15,AM$13:AM$15),1)</f>
        <v>0</v>
      </c>
      <c s="125">
        <f>Предпосылки!AM$232*Предпосылки!$H254*Продажи!AN19*AN$19*(1+Чувствительность!$D$20)*IFERROR(LOOKUP(Предпосылки!$H$205,$C$13:$C$15,AN$13:AN$15),1)</f>
        <v>0</v>
      </c>
      <c s="125">
        <f>Предпосылки!AN$232*Предпосылки!$H254*Продажи!AO19*AO$19*(1+Чувствительность!$D$20)*IFERROR(LOOKUP(Предпосылки!$H$205,$C$13:$C$15,AO$13:AO$15),1)</f>
        <v>0</v>
      </c>
      <c s="125">
        <f>Предпосылки!AO$232*Предпосылки!$H254*Продажи!AP19*AP$19*(1+Чувствительность!$D$20)*IFERROR(LOOKUP(Предпосылки!$H$205,$C$13:$C$15,AP$13:AP$15),1)</f>
        <v>0</v>
      </c>
      <c s="125">
        <f>Предпосылки!AP$232*Предпосылки!$H254*Продажи!AQ19*AQ$19*(1+Чувствительность!$D$20)*IFERROR(LOOKUP(Предпосылки!$H$205,$C$13:$C$15,AQ$13:AQ$15),1)</f>
        <v>0</v>
      </c>
      <c s="125">
        <f>Предпосылки!AQ$232*Предпосылки!$H254*Продажи!AR19*AR$19*(1+Чувствительность!$D$20)*IFERROR(LOOKUP(Предпосылки!$H$205,$C$13:$C$15,AR$13:AR$15),1)</f>
        <v>0</v>
      </c>
      <c s="125">
        <f>Предпосылки!AR$232*Предпосылки!$H254*Продажи!AS19*AS$19*(1+Чувствительность!$D$20)*IFERROR(LOOKUP(Предпосылки!$H$205,$C$13:$C$15,AS$13:AS$15),1)</f>
        <v>0</v>
      </c>
      <c s="125">
        <f>Предпосылки!AS$232*Предпосылки!$H254*Продажи!AT19*AT$19*(1+Чувствительность!$D$20)*IFERROR(LOOKUP(Предпосылки!$H$205,$C$13:$C$15,AT$13:AT$15),1)</f>
        <v>0</v>
      </c>
      <c s="125">
        <f>Предпосылки!AT$232*Предпосылки!$H254*Продажи!AU19*AU$19*(1+Чувствительность!$D$20)*IFERROR(LOOKUP(Предпосылки!$H$205,$C$13:$C$15,AU$13:AU$15),1)</f>
        <v>0</v>
      </c>
      <c s="125">
        <f>Предпосылки!AU$232*Предпосылки!$H254*Продажи!AV19*AV$19*(1+Чувствительность!$D$20)*IFERROR(LOOKUP(Предпосылки!$H$205,$C$13:$C$15,AV$13:AV$15),1)</f>
        <v>0</v>
      </c>
      <c s="125">
        <f>Предпосылки!AV$232*Предпосылки!$H254*Продажи!AW19*AW$19*(1+Чувствительность!$D$20)*IFERROR(LOOKUP(Предпосылки!$H$205,$C$13:$C$15,AW$13:AW$15),1)</f>
        <v>0</v>
      </c>
      <c s="125">
        <f>Предпосылки!AW$232*Предпосылки!$H254*Продажи!AX19*AX$19*(1+Чувствительность!$D$20)*IFERROR(LOOKUP(Предпосылки!$H$205,$C$13:$C$15,AX$13:AX$15),1)</f>
        <v>0</v>
      </c>
      <c s="125">
        <f>Предпосылки!AX$232*Предпосылки!$H254*Продажи!AY19*AY$19*(1+Чувствительность!$D$20)*IFERROR(LOOKUP(Предпосылки!$H$205,$C$13:$C$15,AY$13:AY$15),1)</f>
        <v>0</v>
      </c>
      <c s="125">
        <f>Предпосылки!AY$232*Предпосылки!$H254*Продажи!AZ19*AZ$19*(1+Чувствительность!$D$20)*IFERROR(LOOKUP(Предпосылки!$H$205,$C$13:$C$15,AZ$13:AZ$15),1)</f>
        <v>0</v>
      </c>
      <c s="125">
        <f>Предпосылки!AZ$232*Предпосылки!$H254*Продажи!BA19*BA$19*(1+Чувствительность!$D$20)*IFERROR(LOOKUP(Предпосылки!$H$205,$C$13:$C$15,BA$13:BA$15),1)</f>
        <v>0</v>
      </c>
      <c s="125">
        <f>Предпосылки!BA$232*Предпосылки!$H254*Продажи!BB19*BB$19*(1+Чувствительность!$D$20)*IFERROR(LOOKUP(Предпосылки!$H$205,$C$13:$C$15,BB$13:BB$15),1)</f>
        <v>0</v>
      </c>
      <c s="125">
        <f>Предпосылки!BB$232*Предпосылки!$H254*Продажи!BC19*BC$19*(1+Чувствительность!$D$20)*IFERROR(LOOKUP(Предпосылки!$H$205,$C$13:$C$15,BC$13:BC$15),1)</f>
        <v>0</v>
      </c>
      <c s="125">
        <f>Предпосылки!BC$232*Предпосылки!$H254*Продажи!BD19*BD$19*(1+Чувствительность!$D$20)*IFERROR(LOOKUP(Предпосылки!$H$205,$C$13:$C$15,BD$13:BD$15),1)</f>
        <v>0</v>
      </c>
      <c s="125">
        <f>Предпосылки!BD$232*Предпосылки!$H254*Продажи!BE19*BE$19*(1+Чувствительность!$D$20)*IFERROR(LOOKUP(Предпосылки!$H$205,$C$13:$C$15,BE$13:BE$15),1)</f>
        <v>0</v>
      </c>
      <c s="125">
        <f>Предпосылки!BE$232*Предпосылки!$H254*Продажи!BF19*BF$19*(1+Чувствительность!$D$20)*IFERROR(LOOKUP(Предпосылки!$H$205,$C$13:$C$15,BF$13:BF$15),1)</f>
        <v>0</v>
      </c>
      <c s="125">
        <f>Предпосылки!BF$232*Предпосылки!$H254*Продажи!BG19*BG$19*(1+Чувствительность!$D$20)*IFERROR(LOOKUP(Предпосылки!$H$205,$C$13:$C$15,BG$13:BG$15),1)</f>
        <v>0</v>
      </c>
      <c s="125">
        <f>Предпосылки!BG$232*Предпосылки!$H254*Продажи!BH19*BH$19*(1+Чувствительность!$D$20)*IFERROR(LOOKUP(Предпосылки!$H$205,$C$13:$C$15,BH$13:BH$15),1)</f>
        <v>0</v>
      </c>
      <c s="125">
        <f>Предпосылки!BH$232*Предпосылки!$H254*Продажи!BI19*BI$19*(1+Чувствительность!$D$20)*IFERROR(LOOKUP(Предпосылки!$H$205,$C$13:$C$15,BI$13:BI$15),1)</f>
        <v>0</v>
      </c>
      <c s="125">
        <f>Предпосылки!BI$232*Предпосылки!$H254*Продажи!BJ19*BJ$19*(1+Чувствительность!$D$20)*IFERROR(LOOKUP(Предпосылки!$H$205,$C$13:$C$15,BJ$13:BJ$15),1)</f>
        <v>0</v>
      </c>
      <c s="125">
        <f>Предпосылки!BJ$232*Предпосылки!$H254*Продажи!BK19*BK$19*(1+Чувствительность!$D$20)*IFERROR(LOOKUP(Предпосылки!$H$205,$C$13:$C$15,BK$13:BK$15),1)</f>
        <v>0</v>
      </c>
      <c s="125">
        <f>Предпосылки!BK$232*Предпосылки!$H254*Продажи!BL19*BL$19*(1+Чувствительность!$D$20)*IFERROR(LOOKUP(Предпосылки!$H$205,$C$13:$C$15,BL$13:BL$15),1)</f>
        <v>0</v>
      </c>
      <c s="125">
        <f>Предпосылки!BL$232*Предпосылки!$H254*Продажи!BM19*BM$19*(1+Чувствительность!$D$20)*IFERROR(LOOKUP(Предпосылки!$H$205,$C$13:$C$15,BM$13:BM$15),1)</f>
        <v>0</v>
      </c>
    </row>
    <row r="117" spans="2:65" ht="15" customHeight="1">
      <c r="B117" s="12" t="str">
        <f t="shared" si="81"/>
        <v>Продукт 3</v>
      </c>
      <c s="124" t="str">
        <f t="shared" si="80"/>
        <v>тыс. руб.</v>
      </c>
      <c s="276">
        <f t="shared" si="82"/>
        <v>0</v>
      </c>
      <c s="125">
        <f>Предпосылки!D$232*Предпосылки!$H255*Продажи!E20*E$19*(1+Чувствительность!$D$20)*IFERROR(LOOKUP(Предпосылки!$H$205,$C$13:$C$15,E$13:E$15),1)</f>
        <v>0</v>
      </c>
      <c s="125">
        <f>Предпосылки!E$232*Предпосылки!$H255*Продажи!F20*F$19*(1+Чувствительность!$D$20)*IFERROR(LOOKUP(Предпосылки!$H$205,$C$13:$C$15,F$13:F$15),1)</f>
        <v>0</v>
      </c>
      <c s="125">
        <f>Предпосылки!F$232*Предпосылки!$H255*Продажи!G20*G$19*(1+Чувствительность!$D$20)*IFERROR(LOOKUP(Предпосылки!$H$205,$C$13:$C$15,G$13:G$15),1)</f>
        <v>0</v>
      </c>
      <c s="125">
        <f>Предпосылки!G$232*Предпосылки!$H255*Продажи!H20*H$19*(1+Чувствительность!$D$20)*IFERROR(LOOKUP(Предпосылки!$H$205,$C$13:$C$15,H$13:H$15),1)</f>
        <v>0</v>
      </c>
      <c s="125">
        <f>Предпосылки!H$232*Предпосылки!$H255*Продажи!I20*I$19*(1+Чувствительность!$D$20)*IFERROR(LOOKUP(Предпосылки!$H$205,$C$13:$C$15,I$13:I$15),1)</f>
        <v>0</v>
      </c>
      <c s="125">
        <f>Предпосылки!I$232*Предпосылки!$H255*Продажи!J20*J$19*(1+Чувствительность!$D$20)*IFERROR(LOOKUP(Предпосылки!$H$205,$C$13:$C$15,J$13:J$15),1)</f>
        <v>0</v>
      </c>
      <c s="125">
        <f>Предпосылки!J$232*Предпосылки!$H255*Продажи!K20*K$19*(1+Чувствительность!$D$20)*IFERROR(LOOKUP(Предпосылки!$H$205,$C$13:$C$15,K$13:K$15),1)</f>
        <v>0</v>
      </c>
      <c s="125">
        <f>Предпосылки!K$232*Предпосылки!$H255*Продажи!L20*L$19*(1+Чувствительность!$D$20)*IFERROR(LOOKUP(Предпосылки!$H$205,$C$13:$C$15,L$13:L$15),1)</f>
        <v>0</v>
      </c>
      <c s="125">
        <f>Предпосылки!L$232*Предпосылки!$H255*Продажи!M20*M$19*(1+Чувствительность!$D$20)*IFERROR(LOOKUP(Предпосылки!$H$205,$C$13:$C$15,M$13:M$15),1)</f>
        <v>0</v>
      </c>
      <c s="125">
        <f>Предпосылки!M$232*Предпосылки!$H255*Продажи!N20*N$19*(1+Чувствительность!$D$20)*IFERROR(LOOKUP(Предпосылки!$H$205,$C$13:$C$15,N$13:N$15),1)</f>
        <v>0</v>
      </c>
      <c s="125">
        <f>Предпосылки!N$232*Предпосылки!$H255*Продажи!O20*O$19*(1+Чувствительность!$D$20)*IFERROR(LOOKUP(Предпосылки!$H$205,$C$13:$C$15,O$13:O$15),1)</f>
        <v>0</v>
      </c>
      <c s="125">
        <f>Предпосылки!O$232*Предпосылки!$H255*Продажи!P20*P$19*(1+Чувствительность!$D$20)*IFERROR(LOOKUP(Предпосылки!$H$205,$C$13:$C$15,P$13:P$15),1)</f>
        <v>0</v>
      </c>
      <c s="125">
        <f>Предпосылки!P$232*Предпосылки!$H255*Продажи!Q20*Q$19*(1+Чувствительность!$D$20)*IFERROR(LOOKUP(Предпосылки!$H$205,$C$13:$C$15,Q$13:Q$15),1)</f>
        <v>0</v>
      </c>
      <c s="125">
        <f>Предпосылки!Q$232*Предпосылки!$H255*Продажи!R20*R$19*(1+Чувствительность!$D$20)*IFERROR(LOOKUP(Предпосылки!$H$205,$C$13:$C$15,R$13:R$15),1)</f>
        <v>0</v>
      </c>
      <c s="125">
        <f>Предпосылки!R$232*Предпосылки!$H255*Продажи!S20*S$19*(1+Чувствительность!$D$20)*IFERROR(LOOKUP(Предпосылки!$H$205,$C$13:$C$15,S$13:S$15),1)</f>
        <v>0</v>
      </c>
      <c s="125">
        <f>Предпосылки!S$232*Предпосылки!$H255*Продажи!T20*T$19*(1+Чувствительность!$D$20)*IFERROR(LOOKUP(Предпосылки!$H$205,$C$13:$C$15,T$13:T$15),1)</f>
        <v>0</v>
      </c>
      <c s="125">
        <f>Предпосылки!T$232*Предпосылки!$H255*Продажи!U20*U$19*(1+Чувствительность!$D$20)*IFERROR(LOOKUP(Предпосылки!$H$205,$C$13:$C$15,U$13:U$15),1)</f>
        <v>0</v>
      </c>
      <c s="125">
        <f>Предпосылки!U$232*Предпосылки!$H255*Продажи!V20*V$19*(1+Чувствительность!$D$20)*IFERROR(LOOKUP(Предпосылки!$H$205,$C$13:$C$15,V$13:V$15),1)</f>
        <v>0</v>
      </c>
      <c s="125">
        <f>Предпосылки!V$232*Предпосылки!$H255*Продажи!W20*W$19*(1+Чувствительность!$D$20)*IFERROR(LOOKUP(Предпосылки!$H$205,$C$13:$C$15,W$13:W$15),1)</f>
        <v>0</v>
      </c>
      <c s="125">
        <f>Предпосылки!W$232*Предпосылки!$H255*Продажи!X20*X$19*(1+Чувствительность!$D$20)*IFERROR(LOOKUP(Предпосылки!$H$205,$C$13:$C$15,X$13:X$15),1)</f>
        <v>0</v>
      </c>
      <c s="125">
        <f>Предпосылки!X$232*Предпосылки!$H255*Продажи!Y20*Y$19*(1+Чувствительность!$D$20)*IFERROR(LOOKUP(Предпосылки!$H$205,$C$13:$C$15,Y$13:Y$15),1)</f>
        <v>0</v>
      </c>
      <c s="125">
        <f>Предпосылки!Y$232*Предпосылки!$H255*Продажи!Z20*Z$19*(1+Чувствительность!$D$20)*IFERROR(LOOKUP(Предпосылки!$H$205,$C$13:$C$15,Z$13:Z$15),1)</f>
        <v>0</v>
      </c>
      <c s="125">
        <f>Предпосылки!Z$232*Предпосылки!$H255*Продажи!AA20*AA$19*(1+Чувствительность!$D$20)*IFERROR(LOOKUP(Предпосылки!$H$205,$C$13:$C$15,AA$13:AA$15),1)</f>
        <v>0</v>
      </c>
      <c s="125">
        <f>Предпосылки!AA$232*Предпосылки!$H255*Продажи!AB20*AB$19*(1+Чувствительность!$D$20)*IFERROR(LOOKUP(Предпосылки!$H$205,$C$13:$C$15,AB$13:AB$15),1)</f>
        <v>0</v>
      </c>
      <c s="125">
        <f>Предпосылки!AB$232*Предпосылки!$H255*Продажи!AC20*AC$19*(1+Чувствительность!$D$20)*IFERROR(LOOKUP(Предпосылки!$H$205,$C$13:$C$15,AC$13:AC$15),1)</f>
        <v>0</v>
      </c>
      <c s="125">
        <f>Предпосылки!AC$232*Предпосылки!$H255*Продажи!AD20*AD$19*(1+Чувствительность!$D$20)*IFERROR(LOOKUP(Предпосылки!$H$205,$C$13:$C$15,AD$13:AD$15),1)</f>
        <v>0</v>
      </c>
      <c s="125">
        <f>Предпосылки!AD$232*Предпосылки!$H255*Продажи!AE20*AE$19*(1+Чувствительность!$D$20)*IFERROR(LOOKUP(Предпосылки!$H$205,$C$13:$C$15,AE$13:AE$15),1)</f>
        <v>0</v>
      </c>
      <c s="125">
        <f>Предпосылки!AE$232*Предпосылки!$H255*Продажи!AF20*AF$19*(1+Чувствительность!$D$20)*IFERROR(LOOKUP(Предпосылки!$H$205,$C$13:$C$15,AF$13:AF$15),1)</f>
        <v>0</v>
      </c>
      <c s="125">
        <f>Предпосылки!AF$232*Предпосылки!$H255*Продажи!AG20*AG$19*(1+Чувствительность!$D$20)*IFERROR(LOOKUP(Предпосылки!$H$205,$C$13:$C$15,AG$13:AG$15),1)</f>
        <v>0</v>
      </c>
      <c s="125">
        <f>Предпосылки!AG$232*Предпосылки!$H255*Продажи!AH20*AH$19*(1+Чувствительность!$D$20)*IFERROR(LOOKUP(Предпосылки!$H$205,$C$13:$C$15,AH$13:AH$15),1)</f>
        <v>0</v>
      </c>
      <c s="125">
        <f>Предпосылки!AH$232*Предпосылки!$H255*Продажи!AI20*AI$19*(1+Чувствительность!$D$20)*IFERROR(LOOKUP(Предпосылки!$H$205,$C$13:$C$15,AI$13:AI$15),1)</f>
        <v>0</v>
      </c>
      <c s="125">
        <f>Предпосылки!AI$232*Предпосылки!$H255*Продажи!AJ20*AJ$19*(1+Чувствительность!$D$20)*IFERROR(LOOKUP(Предпосылки!$H$205,$C$13:$C$15,AJ$13:AJ$15),1)</f>
        <v>0</v>
      </c>
      <c s="125">
        <f>Предпосылки!AJ$232*Предпосылки!$H255*Продажи!AK20*AK$19*(1+Чувствительность!$D$20)*IFERROR(LOOKUP(Предпосылки!$H$205,$C$13:$C$15,AK$13:AK$15),1)</f>
        <v>0</v>
      </c>
      <c s="125">
        <f>Предпосылки!AK$232*Предпосылки!$H255*Продажи!AL20*AL$19*(1+Чувствительность!$D$20)*IFERROR(LOOKUP(Предпосылки!$H$205,$C$13:$C$15,AL$13:AL$15),1)</f>
        <v>0</v>
      </c>
      <c s="125">
        <f>Предпосылки!AL$232*Предпосылки!$H255*Продажи!AM20*AM$19*(1+Чувствительность!$D$20)*IFERROR(LOOKUP(Предпосылки!$H$205,$C$13:$C$15,AM$13:AM$15),1)</f>
        <v>0</v>
      </c>
      <c s="125">
        <f>Предпосылки!AM$232*Предпосылки!$H255*Продажи!AN20*AN$19*(1+Чувствительность!$D$20)*IFERROR(LOOKUP(Предпосылки!$H$205,$C$13:$C$15,AN$13:AN$15),1)</f>
        <v>0</v>
      </c>
      <c s="125">
        <f>Предпосылки!AN$232*Предпосылки!$H255*Продажи!AO20*AO$19*(1+Чувствительность!$D$20)*IFERROR(LOOKUP(Предпосылки!$H$205,$C$13:$C$15,AO$13:AO$15),1)</f>
        <v>0</v>
      </c>
      <c s="125">
        <f>Предпосылки!AO$232*Предпосылки!$H255*Продажи!AP20*AP$19*(1+Чувствительность!$D$20)*IFERROR(LOOKUP(Предпосылки!$H$205,$C$13:$C$15,AP$13:AP$15),1)</f>
        <v>0</v>
      </c>
      <c s="125">
        <f>Предпосылки!AP$232*Предпосылки!$H255*Продажи!AQ20*AQ$19*(1+Чувствительность!$D$20)*IFERROR(LOOKUP(Предпосылки!$H$205,$C$13:$C$15,AQ$13:AQ$15),1)</f>
        <v>0</v>
      </c>
      <c s="125">
        <f>Предпосылки!AQ$232*Предпосылки!$H255*Продажи!AR20*AR$19*(1+Чувствительность!$D$20)*IFERROR(LOOKUP(Предпосылки!$H$205,$C$13:$C$15,AR$13:AR$15),1)</f>
        <v>0</v>
      </c>
      <c s="125">
        <f>Предпосылки!AR$232*Предпосылки!$H255*Продажи!AS20*AS$19*(1+Чувствительность!$D$20)*IFERROR(LOOKUP(Предпосылки!$H$205,$C$13:$C$15,AS$13:AS$15),1)</f>
        <v>0</v>
      </c>
      <c s="125">
        <f>Предпосылки!AS$232*Предпосылки!$H255*Продажи!AT20*AT$19*(1+Чувствительность!$D$20)*IFERROR(LOOKUP(Предпосылки!$H$205,$C$13:$C$15,AT$13:AT$15),1)</f>
        <v>0</v>
      </c>
      <c s="125">
        <f>Предпосылки!AT$232*Предпосылки!$H255*Продажи!AU20*AU$19*(1+Чувствительность!$D$20)*IFERROR(LOOKUP(Предпосылки!$H$205,$C$13:$C$15,AU$13:AU$15),1)</f>
        <v>0</v>
      </c>
      <c s="125">
        <f>Предпосылки!AU$232*Предпосылки!$H255*Продажи!AV20*AV$19*(1+Чувствительность!$D$20)*IFERROR(LOOKUP(Предпосылки!$H$205,$C$13:$C$15,AV$13:AV$15),1)</f>
        <v>0</v>
      </c>
      <c s="125">
        <f>Предпосылки!AV$232*Предпосылки!$H255*Продажи!AW20*AW$19*(1+Чувствительность!$D$20)*IFERROR(LOOKUP(Предпосылки!$H$205,$C$13:$C$15,AW$13:AW$15),1)</f>
        <v>0</v>
      </c>
      <c s="125">
        <f>Предпосылки!AW$232*Предпосылки!$H255*Продажи!AX20*AX$19*(1+Чувствительность!$D$20)*IFERROR(LOOKUP(Предпосылки!$H$205,$C$13:$C$15,AX$13:AX$15),1)</f>
        <v>0</v>
      </c>
      <c s="125">
        <f>Предпосылки!AX$232*Предпосылки!$H255*Продажи!AY20*AY$19*(1+Чувствительность!$D$20)*IFERROR(LOOKUP(Предпосылки!$H$205,$C$13:$C$15,AY$13:AY$15),1)</f>
        <v>0</v>
      </c>
      <c s="125">
        <f>Предпосылки!AY$232*Предпосылки!$H255*Продажи!AZ20*AZ$19*(1+Чувствительность!$D$20)*IFERROR(LOOKUP(Предпосылки!$H$205,$C$13:$C$15,AZ$13:AZ$15),1)</f>
        <v>0</v>
      </c>
      <c s="125">
        <f>Предпосылки!AZ$232*Предпосылки!$H255*Продажи!BA20*BA$19*(1+Чувствительность!$D$20)*IFERROR(LOOKUP(Предпосылки!$H$205,$C$13:$C$15,BA$13:BA$15),1)</f>
        <v>0</v>
      </c>
      <c s="125">
        <f>Предпосылки!BA$232*Предпосылки!$H255*Продажи!BB20*BB$19*(1+Чувствительность!$D$20)*IFERROR(LOOKUP(Предпосылки!$H$205,$C$13:$C$15,BB$13:BB$15),1)</f>
        <v>0</v>
      </c>
      <c s="125">
        <f>Предпосылки!BB$232*Предпосылки!$H255*Продажи!BC20*BC$19*(1+Чувствительность!$D$20)*IFERROR(LOOKUP(Предпосылки!$H$205,$C$13:$C$15,BC$13:BC$15),1)</f>
        <v>0</v>
      </c>
      <c s="125">
        <f>Предпосылки!BC$232*Предпосылки!$H255*Продажи!BD20*BD$19*(1+Чувствительность!$D$20)*IFERROR(LOOKUP(Предпосылки!$H$205,$C$13:$C$15,BD$13:BD$15),1)</f>
        <v>0</v>
      </c>
      <c s="125">
        <f>Предпосылки!BD$232*Предпосылки!$H255*Продажи!BE20*BE$19*(1+Чувствительность!$D$20)*IFERROR(LOOKUP(Предпосылки!$H$205,$C$13:$C$15,BE$13:BE$15),1)</f>
        <v>0</v>
      </c>
      <c s="125">
        <f>Предпосылки!BE$232*Предпосылки!$H255*Продажи!BF20*BF$19*(1+Чувствительность!$D$20)*IFERROR(LOOKUP(Предпосылки!$H$205,$C$13:$C$15,BF$13:BF$15),1)</f>
        <v>0</v>
      </c>
      <c s="125">
        <f>Предпосылки!BF$232*Предпосылки!$H255*Продажи!BG20*BG$19*(1+Чувствительность!$D$20)*IFERROR(LOOKUP(Предпосылки!$H$205,$C$13:$C$15,BG$13:BG$15),1)</f>
        <v>0</v>
      </c>
      <c s="125">
        <f>Предпосылки!BG$232*Предпосылки!$H255*Продажи!BH20*BH$19*(1+Чувствительность!$D$20)*IFERROR(LOOKUP(Предпосылки!$H$205,$C$13:$C$15,BH$13:BH$15),1)</f>
        <v>0</v>
      </c>
      <c s="125">
        <f>Предпосылки!BH$232*Предпосылки!$H255*Продажи!BI20*BI$19*(1+Чувствительность!$D$20)*IFERROR(LOOKUP(Предпосылки!$H$205,$C$13:$C$15,BI$13:BI$15),1)</f>
        <v>0</v>
      </c>
      <c s="125">
        <f>Предпосылки!BI$232*Предпосылки!$H255*Продажи!BJ20*BJ$19*(1+Чувствительность!$D$20)*IFERROR(LOOKUP(Предпосылки!$H$205,$C$13:$C$15,BJ$13:BJ$15),1)</f>
        <v>0</v>
      </c>
      <c s="125">
        <f>Предпосылки!BJ$232*Предпосылки!$H255*Продажи!BK20*BK$19*(1+Чувствительность!$D$20)*IFERROR(LOOKUP(Предпосылки!$H$205,$C$13:$C$15,BK$13:BK$15),1)</f>
        <v>0</v>
      </c>
      <c s="125">
        <f>Предпосылки!BK$232*Предпосылки!$H255*Продажи!BL20*BL$19*(1+Чувствительность!$D$20)*IFERROR(LOOKUP(Предпосылки!$H$205,$C$13:$C$15,BL$13:BL$15),1)</f>
        <v>0</v>
      </c>
      <c s="125">
        <f>Предпосылки!BL$232*Предпосылки!$H255*Продажи!BM20*BM$19*(1+Чувствительность!$D$20)*IFERROR(LOOKUP(Предпосылки!$H$205,$C$13:$C$15,BM$13:BM$15),1)</f>
        <v>0</v>
      </c>
    </row>
    <row r="118" spans="2:65" ht="15" customHeight="1">
      <c r="B118" s="12" t="str">
        <f t="shared" si="81"/>
        <v>Продукт 4</v>
      </c>
      <c s="124" t="str">
        <f t="shared" si="80"/>
        <v>тыс. руб.</v>
      </c>
      <c s="276">
        <f t="shared" si="82"/>
        <v>0</v>
      </c>
      <c s="125">
        <f>Предпосылки!D$232*Предпосылки!$H256*Продажи!E21*E$19*(1+Чувствительность!$D$20)*IFERROR(LOOKUP(Предпосылки!$H$205,$C$13:$C$15,E$13:E$15),1)</f>
        <v>0</v>
      </c>
      <c s="125">
        <f>Предпосылки!E$232*Предпосылки!$H256*Продажи!F21*F$19*(1+Чувствительность!$D$20)*IFERROR(LOOKUP(Предпосылки!$H$205,$C$13:$C$15,F$13:F$15),1)</f>
        <v>0</v>
      </c>
      <c s="125">
        <f>Предпосылки!F$232*Предпосылки!$H256*Продажи!G21*G$19*(1+Чувствительность!$D$20)*IFERROR(LOOKUP(Предпосылки!$H$205,$C$13:$C$15,G$13:G$15),1)</f>
        <v>0</v>
      </c>
      <c s="125">
        <f>Предпосылки!G$232*Предпосылки!$H256*Продажи!H21*H$19*(1+Чувствительность!$D$20)*IFERROR(LOOKUP(Предпосылки!$H$205,$C$13:$C$15,H$13:H$15),1)</f>
        <v>0</v>
      </c>
      <c s="125">
        <f>Предпосылки!H$232*Предпосылки!$H256*Продажи!I21*I$19*(1+Чувствительность!$D$20)*IFERROR(LOOKUP(Предпосылки!$H$205,$C$13:$C$15,I$13:I$15),1)</f>
        <v>0</v>
      </c>
      <c s="125">
        <f>Предпосылки!I$232*Предпосылки!$H256*Продажи!J21*J$19*(1+Чувствительность!$D$20)*IFERROR(LOOKUP(Предпосылки!$H$205,$C$13:$C$15,J$13:J$15),1)</f>
        <v>0</v>
      </c>
      <c s="125">
        <f>Предпосылки!J$232*Предпосылки!$H256*Продажи!K21*K$19*(1+Чувствительность!$D$20)*IFERROR(LOOKUP(Предпосылки!$H$205,$C$13:$C$15,K$13:K$15),1)</f>
        <v>0</v>
      </c>
      <c s="125">
        <f>Предпосылки!K$232*Предпосылки!$H256*Продажи!L21*L$19*(1+Чувствительность!$D$20)*IFERROR(LOOKUP(Предпосылки!$H$205,$C$13:$C$15,L$13:L$15),1)</f>
        <v>0</v>
      </c>
      <c s="125">
        <f>Предпосылки!L$232*Предпосылки!$H256*Продажи!M21*M$19*(1+Чувствительность!$D$20)*IFERROR(LOOKUP(Предпосылки!$H$205,$C$13:$C$15,M$13:M$15),1)</f>
        <v>0</v>
      </c>
      <c s="125">
        <f>Предпосылки!M$232*Предпосылки!$H256*Продажи!N21*N$19*(1+Чувствительность!$D$20)*IFERROR(LOOKUP(Предпосылки!$H$205,$C$13:$C$15,N$13:N$15),1)</f>
        <v>0</v>
      </c>
      <c s="125">
        <f>Предпосылки!N$232*Предпосылки!$H256*Продажи!O21*O$19*(1+Чувствительность!$D$20)*IFERROR(LOOKUP(Предпосылки!$H$205,$C$13:$C$15,O$13:O$15),1)</f>
        <v>0</v>
      </c>
      <c s="125">
        <f>Предпосылки!O$232*Предпосылки!$H256*Продажи!P21*P$19*(1+Чувствительность!$D$20)*IFERROR(LOOKUP(Предпосылки!$H$205,$C$13:$C$15,P$13:P$15),1)</f>
        <v>0</v>
      </c>
      <c s="125">
        <f>Предпосылки!P$232*Предпосылки!$H256*Продажи!Q21*Q$19*(1+Чувствительность!$D$20)*IFERROR(LOOKUP(Предпосылки!$H$205,$C$13:$C$15,Q$13:Q$15),1)</f>
        <v>0</v>
      </c>
      <c s="125">
        <f>Предпосылки!Q$232*Предпосылки!$H256*Продажи!R21*R$19*(1+Чувствительность!$D$20)*IFERROR(LOOKUP(Предпосылки!$H$205,$C$13:$C$15,R$13:R$15),1)</f>
        <v>0</v>
      </c>
      <c s="125">
        <f>Предпосылки!R$232*Предпосылки!$H256*Продажи!S21*S$19*(1+Чувствительность!$D$20)*IFERROR(LOOKUP(Предпосылки!$H$205,$C$13:$C$15,S$13:S$15),1)</f>
        <v>0</v>
      </c>
      <c s="125">
        <f>Предпосылки!S$232*Предпосылки!$H256*Продажи!T21*T$19*(1+Чувствительность!$D$20)*IFERROR(LOOKUP(Предпосылки!$H$205,$C$13:$C$15,T$13:T$15),1)</f>
        <v>0</v>
      </c>
      <c s="125">
        <f>Предпосылки!T$232*Предпосылки!$H256*Продажи!U21*U$19*(1+Чувствительность!$D$20)*IFERROR(LOOKUP(Предпосылки!$H$205,$C$13:$C$15,U$13:U$15),1)</f>
        <v>0</v>
      </c>
      <c s="125">
        <f>Предпосылки!U$232*Предпосылки!$H256*Продажи!V21*V$19*(1+Чувствительность!$D$20)*IFERROR(LOOKUP(Предпосылки!$H$205,$C$13:$C$15,V$13:V$15),1)</f>
        <v>0</v>
      </c>
      <c s="125">
        <f>Предпосылки!V$232*Предпосылки!$H256*Продажи!W21*W$19*(1+Чувствительность!$D$20)*IFERROR(LOOKUP(Предпосылки!$H$205,$C$13:$C$15,W$13:W$15),1)</f>
        <v>0</v>
      </c>
      <c s="125">
        <f>Предпосылки!W$232*Предпосылки!$H256*Продажи!X21*X$19*(1+Чувствительность!$D$20)*IFERROR(LOOKUP(Предпосылки!$H$205,$C$13:$C$15,X$13:X$15),1)</f>
        <v>0</v>
      </c>
      <c s="125">
        <f>Предпосылки!X$232*Предпосылки!$H256*Продажи!Y21*Y$19*(1+Чувствительность!$D$20)*IFERROR(LOOKUP(Предпосылки!$H$205,$C$13:$C$15,Y$13:Y$15),1)</f>
        <v>0</v>
      </c>
      <c s="125">
        <f>Предпосылки!Y$232*Предпосылки!$H256*Продажи!Z21*Z$19*(1+Чувствительность!$D$20)*IFERROR(LOOKUP(Предпосылки!$H$205,$C$13:$C$15,Z$13:Z$15),1)</f>
        <v>0</v>
      </c>
      <c s="125">
        <f>Предпосылки!Z$232*Предпосылки!$H256*Продажи!AA21*AA$19*(1+Чувствительность!$D$20)*IFERROR(LOOKUP(Предпосылки!$H$205,$C$13:$C$15,AA$13:AA$15),1)</f>
        <v>0</v>
      </c>
      <c s="125">
        <f>Предпосылки!AA$232*Предпосылки!$H256*Продажи!AB21*AB$19*(1+Чувствительность!$D$20)*IFERROR(LOOKUP(Предпосылки!$H$205,$C$13:$C$15,AB$13:AB$15),1)</f>
        <v>0</v>
      </c>
      <c s="125">
        <f>Предпосылки!AB$232*Предпосылки!$H256*Продажи!AC21*AC$19*(1+Чувствительность!$D$20)*IFERROR(LOOKUP(Предпосылки!$H$205,$C$13:$C$15,AC$13:AC$15),1)</f>
        <v>0</v>
      </c>
      <c s="125">
        <f>Предпосылки!AC$232*Предпосылки!$H256*Продажи!AD21*AD$19*(1+Чувствительность!$D$20)*IFERROR(LOOKUP(Предпосылки!$H$205,$C$13:$C$15,AD$13:AD$15),1)</f>
        <v>0</v>
      </c>
      <c s="125">
        <f>Предпосылки!AD$232*Предпосылки!$H256*Продажи!AE21*AE$19*(1+Чувствительность!$D$20)*IFERROR(LOOKUP(Предпосылки!$H$205,$C$13:$C$15,AE$13:AE$15),1)</f>
        <v>0</v>
      </c>
      <c s="125">
        <f>Предпосылки!AE$232*Предпосылки!$H256*Продажи!AF21*AF$19*(1+Чувствительность!$D$20)*IFERROR(LOOKUP(Предпосылки!$H$205,$C$13:$C$15,AF$13:AF$15),1)</f>
        <v>0</v>
      </c>
      <c s="125">
        <f>Предпосылки!AF$232*Предпосылки!$H256*Продажи!AG21*AG$19*(1+Чувствительность!$D$20)*IFERROR(LOOKUP(Предпосылки!$H$205,$C$13:$C$15,AG$13:AG$15),1)</f>
        <v>0</v>
      </c>
      <c s="125">
        <f>Предпосылки!AG$232*Предпосылки!$H256*Продажи!AH21*AH$19*(1+Чувствительность!$D$20)*IFERROR(LOOKUP(Предпосылки!$H$205,$C$13:$C$15,AH$13:AH$15),1)</f>
        <v>0</v>
      </c>
      <c s="125">
        <f>Предпосылки!AH$232*Предпосылки!$H256*Продажи!AI21*AI$19*(1+Чувствительность!$D$20)*IFERROR(LOOKUP(Предпосылки!$H$205,$C$13:$C$15,AI$13:AI$15),1)</f>
        <v>0</v>
      </c>
      <c s="125">
        <f>Предпосылки!AI$232*Предпосылки!$H256*Продажи!AJ21*AJ$19*(1+Чувствительность!$D$20)*IFERROR(LOOKUP(Предпосылки!$H$205,$C$13:$C$15,AJ$13:AJ$15),1)</f>
        <v>0</v>
      </c>
      <c s="125">
        <f>Предпосылки!AJ$232*Предпосылки!$H256*Продажи!AK21*AK$19*(1+Чувствительность!$D$20)*IFERROR(LOOKUP(Предпосылки!$H$205,$C$13:$C$15,AK$13:AK$15),1)</f>
        <v>0</v>
      </c>
      <c s="125">
        <f>Предпосылки!AK$232*Предпосылки!$H256*Продажи!AL21*AL$19*(1+Чувствительность!$D$20)*IFERROR(LOOKUP(Предпосылки!$H$205,$C$13:$C$15,AL$13:AL$15),1)</f>
        <v>0</v>
      </c>
      <c s="125">
        <f>Предпосылки!AL$232*Предпосылки!$H256*Продажи!AM21*AM$19*(1+Чувствительность!$D$20)*IFERROR(LOOKUP(Предпосылки!$H$205,$C$13:$C$15,AM$13:AM$15),1)</f>
        <v>0</v>
      </c>
      <c s="125">
        <f>Предпосылки!AM$232*Предпосылки!$H256*Продажи!AN21*AN$19*(1+Чувствительность!$D$20)*IFERROR(LOOKUP(Предпосылки!$H$205,$C$13:$C$15,AN$13:AN$15),1)</f>
        <v>0</v>
      </c>
      <c s="125">
        <f>Предпосылки!AN$232*Предпосылки!$H256*Продажи!AO21*AO$19*(1+Чувствительность!$D$20)*IFERROR(LOOKUP(Предпосылки!$H$205,$C$13:$C$15,AO$13:AO$15),1)</f>
        <v>0</v>
      </c>
      <c s="125">
        <f>Предпосылки!AO$232*Предпосылки!$H256*Продажи!AP21*AP$19*(1+Чувствительность!$D$20)*IFERROR(LOOKUP(Предпосылки!$H$205,$C$13:$C$15,AP$13:AP$15),1)</f>
        <v>0</v>
      </c>
      <c s="125">
        <f>Предпосылки!AP$232*Предпосылки!$H256*Продажи!AQ21*AQ$19*(1+Чувствительность!$D$20)*IFERROR(LOOKUP(Предпосылки!$H$205,$C$13:$C$15,AQ$13:AQ$15),1)</f>
        <v>0</v>
      </c>
      <c s="125">
        <f>Предпосылки!AQ$232*Предпосылки!$H256*Продажи!AR21*AR$19*(1+Чувствительность!$D$20)*IFERROR(LOOKUP(Предпосылки!$H$205,$C$13:$C$15,AR$13:AR$15),1)</f>
        <v>0</v>
      </c>
      <c s="125">
        <f>Предпосылки!AR$232*Предпосылки!$H256*Продажи!AS21*AS$19*(1+Чувствительность!$D$20)*IFERROR(LOOKUP(Предпосылки!$H$205,$C$13:$C$15,AS$13:AS$15),1)</f>
        <v>0</v>
      </c>
      <c s="125">
        <f>Предпосылки!AS$232*Предпосылки!$H256*Продажи!AT21*AT$19*(1+Чувствительность!$D$20)*IFERROR(LOOKUP(Предпосылки!$H$205,$C$13:$C$15,AT$13:AT$15),1)</f>
        <v>0</v>
      </c>
      <c s="125">
        <f>Предпосылки!AT$232*Предпосылки!$H256*Продажи!AU21*AU$19*(1+Чувствительность!$D$20)*IFERROR(LOOKUP(Предпосылки!$H$205,$C$13:$C$15,AU$13:AU$15),1)</f>
        <v>0</v>
      </c>
      <c s="125">
        <f>Предпосылки!AU$232*Предпосылки!$H256*Продажи!AV21*AV$19*(1+Чувствительность!$D$20)*IFERROR(LOOKUP(Предпосылки!$H$205,$C$13:$C$15,AV$13:AV$15),1)</f>
        <v>0</v>
      </c>
      <c s="125">
        <f>Предпосылки!AV$232*Предпосылки!$H256*Продажи!AW21*AW$19*(1+Чувствительность!$D$20)*IFERROR(LOOKUP(Предпосылки!$H$205,$C$13:$C$15,AW$13:AW$15),1)</f>
        <v>0</v>
      </c>
      <c s="125">
        <f>Предпосылки!AW$232*Предпосылки!$H256*Продажи!AX21*AX$19*(1+Чувствительность!$D$20)*IFERROR(LOOKUP(Предпосылки!$H$205,$C$13:$C$15,AX$13:AX$15),1)</f>
        <v>0</v>
      </c>
      <c s="125">
        <f>Предпосылки!AX$232*Предпосылки!$H256*Продажи!AY21*AY$19*(1+Чувствительность!$D$20)*IFERROR(LOOKUP(Предпосылки!$H$205,$C$13:$C$15,AY$13:AY$15),1)</f>
        <v>0</v>
      </c>
      <c s="125">
        <f>Предпосылки!AY$232*Предпосылки!$H256*Продажи!AZ21*AZ$19*(1+Чувствительность!$D$20)*IFERROR(LOOKUP(Предпосылки!$H$205,$C$13:$C$15,AZ$13:AZ$15),1)</f>
        <v>0</v>
      </c>
      <c s="125">
        <f>Предпосылки!AZ$232*Предпосылки!$H256*Продажи!BA21*BA$19*(1+Чувствительность!$D$20)*IFERROR(LOOKUP(Предпосылки!$H$205,$C$13:$C$15,BA$13:BA$15),1)</f>
        <v>0</v>
      </c>
      <c s="125">
        <f>Предпосылки!BA$232*Предпосылки!$H256*Продажи!BB21*BB$19*(1+Чувствительность!$D$20)*IFERROR(LOOKUP(Предпосылки!$H$205,$C$13:$C$15,BB$13:BB$15),1)</f>
        <v>0</v>
      </c>
      <c s="125">
        <f>Предпосылки!BB$232*Предпосылки!$H256*Продажи!BC21*BC$19*(1+Чувствительность!$D$20)*IFERROR(LOOKUP(Предпосылки!$H$205,$C$13:$C$15,BC$13:BC$15),1)</f>
        <v>0</v>
      </c>
      <c s="125">
        <f>Предпосылки!BC$232*Предпосылки!$H256*Продажи!BD21*BD$19*(1+Чувствительность!$D$20)*IFERROR(LOOKUP(Предпосылки!$H$205,$C$13:$C$15,BD$13:BD$15),1)</f>
        <v>0</v>
      </c>
      <c s="125">
        <f>Предпосылки!BD$232*Предпосылки!$H256*Продажи!BE21*BE$19*(1+Чувствительность!$D$20)*IFERROR(LOOKUP(Предпосылки!$H$205,$C$13:$C$15,BE$13:BE$15),1)</f>
        <v>0</v>
      </c>
      <c s="125">
        <f>Предпосылки!BE$232*Предпосылки!$H256*Продажи!BF21*BF$19*(1+Чувствительность!$D$20)*IFERROR(LOOKUP(Предпосылки!$H$205,$C$13:$C$15,BF$13:BF$15),1)</f>
        <v>0</v>
      </c>
      <c s="125">
        <f>Предпосылки!BF$232*Предпосылки!$H256*Продажи!BG21*BG$19*(1+Чувствительность!$D$20)*IFERROR(LOOKUP(Предпосылки!$H$205,$C$13:$C$15,BG$13:BG$15),1)</f>
        <v>0</v>
      </c>
      <c s="125">
        <f>Предпосылки!BG$232*Предпосылки!$H256*Продажи!BH21*BH$19*(1+Чувствительность!$D$20)*IFERROR(LOOKUP(Предпосылки!$H$205,$C$13:$C$15,BH$13:BH$15),1)</f>
        <v>0</v>
      </c>
      <c s="125">
        <f>Предпосылки!BH$232*Предпосылки!$H256*Продажи!BI21*BI$19*(1+Чувствительность!$D$20)*IFERROR(LOOKUP(Предпосылки!$H$205,$C$13:$C$15,BI$13:BI$15),1)</f>
        <v>0</v>
      </c>
      <c s="125">
        <f>Предпосылки!BI$232*Предпосылки!$H256*Продажи!BJ21*BJ$19*(1+Чувствительность!$D$20)*IFERROR(LOOKUP(Предпосылки!$H$205,$C$13:$C$15,BJ$13:BJ$15),1)</f>
        <v>0</v>
      </c>
      <c s="125">
        <f>Предпосылки!BJ$232*Предпосылки!$H256*Продажи!BK21*BK$19*(1+Чувствительность!$D$20)*IFERROR(LOOKUP(Предпосылки!$H$205,$C$13:$C$15,BK$13:BK$15),1)</f>
        <v>0</v>
      </c>
      <c s="125">
        <f>Предпосылки!BK$232*Предпосылки!$H256*Продажи!BL21*BL$19*(1+Чувствительность!$D$20)*IFERROR(LOOKUP(Предпосылки!$H$205,$C$13:$C$15,BL$13:BL$15),1)</f>
        <v>0</v>
      </c>
      <c s="125">
        <f>Предпосылки!BL$232*Предпосылки!$H256*Продажи!BM21*BM$19*(1+Чувствительность!$D$20)*IFERROR(LOOKUP(Предпосылки!$H$205,$C$13:$C$15,BM$13:BM$15),1)</f>
        <v>0</v>
      </c>
    </row>
    <row r="119" spans="2:65" ht="15" customHeight="1">
      <c r="B119" s="12" t="str">
        <f t="shared" si="81"/>
        <v>Продукт 5</v>
      </c>
      <c s="124" t="str">
        <f t="shared" si="80"/>
        <v>тыс. руб.</v>
      </c>
      <c s="276">
        <f t="shared" si="82"/>
        <v>0</v>
      </c>
      <c s="125">
        <f>Предпосылки!D$232*Предпосылки!$H257*Продажи!E22*E$19*(1+Чувствительность!$D$20)*IFERROR(LOOKUP(Предпосылки!$H$205,$C$13:$C$15,E$13:E$15),1)</f>
        <v>0</v>
      </c>
      <c s="125">
        <f>Предпосылки!E$232*Предпосылки!$H257*Продажи!F22*F$19*(1+Чувствительность!$D$20)*IFERROR(LOOKUP(Предпосылки!$H$205,$C$13:$C$15,F$13:F$15),1)</f>
        <v>0</v>
      </c>
      <c s="125">
        <f>Предпосылки!F$232*Предпосылки!$H257*Продажи!G22*G$19*(1+Чувствительность!$D$20)*IFERROR(LOOKUP(Предпосылки!$H$205,$C$13:$C$15,G$13:G$15),1)</f>
        <v>0</v>
      </c>
      <c s="125">
        <f>Предпосылки!G$232*Предпосылки!$H257*Продажи!H22*H$19*(1+Чувствительность!$D$20)*IFERROR(LOOKUP(Предпосылки!$H$205,$C$13:$C$15,H$13:H$15),1)</f>
        <v>0</v>
      </c>
      <c s="125">
        <f>Предпосылки!H$232*Предпосылки!$H257*Продажи!I22*I$19*(1+Чувствительность!$D$20)*IFERROR(LOOKUP(Предпосылки!$H$205,$C$13:$C$15,I$13:I$15),1)</f>
        <v>0</v>
      </c>
      <c s="125">
        <f>Предпосылки!I$232*Предпосылки!$H257*Продажи!J22*J$19*(1+Чувствительность!$D$20)*IFERROR(LOOKUP(Предпосылки!$H$205,$C$13:$C$15,J$13:J$15),1)</f>
        <v>0</v>
      </c>
      <c s="125">
        <f>Предпосылки!J$232*Предпосылки!$H257*Продажи!K22*K$19*(1+Чувствительность!$D$20)*IFERROR(LOOKUP(Предпосылки!$H$205,$C$13:$C$15,K$13:K$15),1)</f>
        <v>0</v>
      </c>
      <c s="125">
        <f>Предпосылки!K$232*Предпосылки!$H257*Продажи!L22*L$19*(1+Чувствительность!$D$20)*IFERROR(LOOKUP(Предпосылки!$H$205,$C$13:$C$15,L$13:L$15),1)</f>
        <v>0</v>
      </c>
      <c s="125">
        <f>Предпосылки!L$232*Предпосылки!$H257*Продажи!M22*M$19*(1+Чувствительность!$D$20)*IFERROR(LOOKUP(Предпосылки!$H$205,$C$13:$C$15,M$13:M$15),1)</f>
        <v>0</v>
      </c>
      <c s="125">
        <f>Предпосылки!M$232*Предпосылки!$H257*Продажи!N22*N$19*(1+Чувствительность!$D$20)*IFERROR(LOOKUP(Предпосылки!$H$205,$C$13:$C$15,N$13:N$15),1)</f>
        <v>0</v>
      </c>
      <c s="125">
        <f>Предпосылки!N$232*Предпосылки!$H257*Продажи!O22*O$19*(1+Чувствительность!$D$20)*IFERROR(LOOKUP(Предпосылки!$H$205,$C$13:$C$15,O$13:O$15),1)</f>
        <v>0</v>
      </c>
      <c s="125">
        <f>Предпосылки!O$232*Предпосылки!$H257*Продажи!P22*P$19*(1+Чувствительность!$D$20)*IFERROR(LOOKUP(Предпосылки!$H$205,$C$13:$C$15,P$13:P$15),1)</f>
        <v>0</v>
      </c>
      <c s="125">
        <f>Предпосылки!P$232*Предпосылки!$H257*Продажи!Q22*Q$19*(1+Чувствительность!$D$20)*IFERROR(LOOKUP(Предпосылки!$H$205,$C$13:$C$15,Q$13:Q$15),1)</f>
        <v>0</v>
      </c>
      <c s="125">
        <f>Предпосылки!Q$232*Предпосылки!$H257*Продажи!R22*R$19*(1+Чувствительность!$D$20)*IFERROR(LOOKUP(Предпосылки!$H$205,$C$13:$C$15,R$13:R$15),1)</f>
        <v>0</v>
      </c>
      <c s="125">
        <f>Предпосылки!R$232*Предпосылки!$H257*Продажи!S22*S$19*(1+Чувствительность!$D$20)*IFERROR(LOOKUP(Предпосылки!$H$205,$C$13:$C$15,S$13:S$15),1)</f>
        <v>0</v>
      </c>
      <c s="125">
        <f>Предпосылки!S$232*Предпосылки!$H257*Продажи!T22*T$19*(1+Чувствительность!$D$20)*IFERROR(LOOKUP(Предпосылки!$H$205,$C$13:$C$15,T$13:T$15),1)</f>
        <v>0</v>
      </c>
      <c s="125">
        <f>Предпосылки!T$232*Предпосылки!$H257*Продажи!U22*U$19*(1+Чувствительность!$D$20)*IFERROR(LOOKUP(Предпосылки!$H$205,$C$13:$C$15,U$13:U$15),1)</f>
        <v>0</v>
      </c>
      <c s="125">
        <f>Предпосылки!U$232*Предпосылки!$H257*Продажи!V22*V$19*(1+Чувствительность!$D$20)*IFERROR(LOOKUP(Предпосылки!$H$205,$C$13:$C$15,V$13:V$15),1)</f>
        <v>0</v>
      </c>
      <c s="125">
        <f>Предпосылки!V$232*Предпосылки!$H257*Продажи!W22*W$19*(1+Чувствительность!$D$20)*IFERROR(LOOKUP(Предпосылки!$H$205,$C$13:$C$15,W$13:W$15),1)</f>
        <v>0</v>
      </c>
      <c s="125">
        <f>Предпосылки!W$232*Предпосылки!$H257*Продажи!X22*X$19*(1+Чувствительность!$D$20)*IFERROR(LOOKUP(Предпосылки!$H$205,$C$13:$C$15,X$13:X$15),1)</f>
        <v>0</v>
      </c>
      <c s="125">
        <f>Предпосылки!X$232*Предпосылки!$H257*Продажи!Y22*Y$19*(1+Чувствительность!$D$20)*IFERROR(LOOKUP(Предпосылки!$H$205,$C$13:$C$15,Y$13:Y$15),1)</f>
        <v>0</v>
      </c>
      <c s="125">
        <f>Предпосылки!Y$232*Предпосылки!$H257*Продажи!Z22*Z$19*(1+Чувствительность!$D$20)*IFERROR(LOOKUP(Предпосылки!$H$205,$C$13:$C$15,Z$13:Z$15),1)</f>
        <v>0</v>
      </c>
      <c s="125">
        <f>Предпосылки!Z$232*Предпосылки!$H257*Продажи!AA22*AA$19*(1+Чувствительность!$D$20)*IFERROR(LOOKUP(Предпосылки!$H$205,$C$13:$C$15,AA$13:AA$15),1)</f>
        <v>0</v>
      </c>
      <c s="125">
        <f>Предпосылки!AA$232*Предпосылки!$H257*Продажи!AB22*AB$19*(1+Чувствительность!$D$20)*IFERROR(LOOKUP(Предпосылки!$H$205,$C$13:$C$15,AB$13:AB$15),1)</f>
        <v>0</v>
      </c>
      <c s="125">
        <f>Предпосылки!AB$232*Предпосылки!$H257*Продажи!AC22*AC$19*(1+Чувствительность!$D$20)*IFERROR(LOOKUP(Предпосылки!$H$205,$C$13:$C$15,AC$13:AC$15),1)</f>
        <v>0</v>
      </c>
      <c s="125">
        <f>Предпосылки!AC$232*Предпосылки!$H257*Продажи!AD22*AD$19*(1+Чувствительность!$D$20)*IFERROR(LOOKUP(Предпосылки!$H$205,$C$13:$C$15,AD$13:AD$15),1)</f>
        <v>0</v>
      </c>
      <c s="125">
        <f>Предпосылки!AD$232*Предпосылки!$H257*Продажи!AE22*AE$19*(1+Чувствительность!$D$20)*IFERROR(LOOKUP(Предпосылки!$H$205,$C$13:$C$15,AE$13:AE$15),1)</f>
        <v>0</v>
      </c>
      <c s="125">
        <f>Предпосылки!AE$232*Предпосылки!$H257*Продажи!AF22*AF$19*(1+Чувствительность!$D$20)*IFERROR(LOOKUP(Предпосылки!$H$205,$C$13:$C$15,AF$13:AF$15),1)</f>
        <v>0</v>
      </c>
      <c s="125">
        <f>Предпосылки!AF$232*Предпосылки!$H257*Продажи!AG22*AG$19*(1+Чувствительность!$D$20)*IFERROR(LOOKUP(Предпосылки!$H$205,$C$13:$C$15,AG$13:AG$15),1)</f>
        <v>0</v>
      </c>
      <c s="125">
        <f>Предпосылки!AG$232*Предпосылки!$H257*Продажи!AH22*AH$19*(1+Чувствительность!$D$20)*IFERROR(LOOKUP(Предпосылки!$H$205,$C$13:$C$15,AH$13:AH$15),1)</f>
        <v>0</v>
      </c>
      <c s="125">
        <f>Предпосылки!AH$232*Предпосылки!$H257*Продажи!AI22*AI$19*(1+Чувствительность!$D$20)*IFERROR(LOOKUP(Предпосылки!$H$205,$C$13:$C$15,AI$13:AI$15),1)</f>
        <v>0</v>
      </c>
      <c s="125">
        <f>Предпосылки!AI$232*Предпосылки!$H257*Продажи!AJ22*AJ$19*(1+Чувствительность!$D$20)*IFERROR(LOOKUP(Предпосылки!$H$205,$C$13:$C$15,AJ$13:AJ$15),1)</f>
        <v>0</v>
      </c>
      <c s="125">
        <f>Предпосылки!AJ$232*Предпосылки!$H257*Продажи!AK22*AK$19*(1+Чувствительность!$D$20)*IFERROR(LOOKUP(Предпосылки!$H$205,$C$13:$C$15,AK$13:AK$15),1)</f>
        <v>0</v>
      </c>
      <c s="125">
        <f>Предпосылки!AK$232*Предпосылки!$H257*Продажи!AL22*AL$19*(1+Чувствительность!$D$20)*IFERROR(LOOKUP(Предпосылки!$H$205,$C$13:$C$15,AL$13:AL$15),1)</f>
        <v>0</v>
      </c>
      <c s="125">
        <f>Предпосылки!AL$232*Предпосылки!$H257*Продажи!AM22*AM$19*(1+Чувствительность!$D$20)*IFERROR(LOOKUP(Предпосылки!$H$205,$C$13:$C$15,AM$13:AM$15),1)</f>
        <v>0</v>
      </c>
      <c s="125">
        <f>Предпосылки!AM$232*Предпосылки!$H257*Продажи!AN22*AN$19*(1+Чувствительность!$D$20)*IFERROR(LOOKUP(Предпосылки!$H$205,$C$13:$C$15,AN$13:AN$15),1)</f>
        <v>0</v>
      </c>
      <c s="125">
        <f>Предпосылки!AN$232*Предпосылки!$H257*Продажи!AO22*AO$19*(1+Чувствительность!$D$20)*IFERROR(LOOKUP(Предпосылки!$H$205,$C$13:$C$15,AO$13:AO$15),1)</f>
        <v>0</v>
      </c>
      <c s="125">
        <f>Предпосылки!AO$232*Предпосылки!$H257*Продажи!AP22*AP$19*(1+Чувствительность!$D$20)*IFERROR(LOOKUP(Предпосылки!$H$205,$C$13:$C$15,AP$13:AP$15),1)</f>
        <v>0</v>
      </c>
      <c s="125">
        <f>Предпосылки!AP$232*Предпосылки!$H257*Продажи!AQ22*AQ$19*(1+Чувствительность!$D$20)*IFERROR(LOOKUP(Предпосылки!$H$205,$C$13:$C$15,AQ$13:AQ$15),1)</f>
        <v>0</v>
      </c>
      <c s="125">
        <f>Предпосылки!AQ$232*Предпосылки!$H257*Продажи!AR22*AR$19*(1+Чувствительность!$D$20)*IFERROR(LOOKUP(Предпосылки!$H$205,$C$13:$C$15,AR$13:AR$15),1)</f>
        <v>0</v>
      </c>
      <c s="125">
        <f>Предпосылки!AR$232*Предпосылки!$H257*Продажи!AS22*AS$19*(1+Чувствительность!$D$20)*IFERROR(LOOKUP(Предпосылки!$H$205,$C$13:$C$15,AS$13:AS$15),1)</f>
        <v>0</v>
      </c>
      <c s="125">
        <f>Предпосылки!AS$232*Предпосылки!$H257*Продажи!AT22*AT$19*(1+Чувствительность!$D$20)*IFERROR(LOOKUP(Предпосылки!$H$205,$C$13:$C$15,AT$13:AT$15),1)</f>
        <v>0</v>
      </c>
      <c s="125">
        <f>Предпосылки!AT$232*Предпосылки!$H257*Продажи!AU22*AU$19*(1+Чувствительность!$D$20)*IFERROR(LOOKUP(Предпосылки!$H$205,$C$13:$C$15,AU$13:AU$15),1)</f>
        <v>0</v>
      </c>
      <c s="125">
        <f>Предпосылки!AU$232*Предпосылки!$H257*Продажи!AV22*AV$19*(1+Чувствительность!$D$20)*IFERROR(LOOKUP(Предпосылки!$H$205,$C$13:$C$15,AV$13:AV$15),1)</f>
        <v>0</v>
      </c>
      <c s="125">
        <f>Предпосылки!AV$232*Предпосылки!$H257*Продажи!AW22*AW$19*(1+Чувствительность!$D$20)*IFERROR(LOOKUP(Предпосылки!$H$205,$C$13:$C$15,AW$13:AW$15),1)</f>
        <v>0</v>
      </c>
      <c s="125">
        <f>Предпосылки!AW$232*Предпосылки!$H257*Продажи!AX22*AX$19*(1+Чувствительность!$D$20)*IFERROR(LOOKUP(Предпосылки!$H$205,$C$13:$C$15,AX$13:AX$15),1)</f>
        <v>0</v>
      </c>
      <c s="125">
        <f>Предпосылки!AX$232*Предпосылки!$H257*Продажи!AY22*AY$19*(1+Чувствительность!$D$20)*IFERROR(LOOKUP(Предпосылки!$H$205,$C$13:$C$15,AY$13:AY$15),1)</f>
        <v>0</v>
      </c>
      <c s="125">
        <f>Предпосылки!AY$232*Предпосылки!$H257*Продажи!AZ22*AZ$19*(1+Чувствительность!$D$20)*IFERROR(LOOKUP(Предпосылки!$H$205,$C$13:$C$15,AZ$13:AZ$15),1)</f>
        <v>0</v>
      </c>
      <c s="125">
        <f>Предпосылки!AZ$232*Предпосылки!$H257*Продажи!BA22*BA$19*(1+Чувствительность!$D$20)*IFERROR(LOOKUP(Предпосылки!$H$205,$C$13:$C$15,BA$13:BA$15),1)</f>
        <v>0</v>
      </c>
      <c s="125">
        <f>Предпосылки!BA$232*Предпосылки!$H257*Продажи!BB22*BB$19*(1+Чувствительность!$D$20)*IFERROR(LOOKUP(Предпосылки!$H$205,$C$13:$C$15,BB$13:BB$15),1)</f>
        <v>0</v>
      </c>
      <c s="125">
        <f>Предпосылки!BB$232*Предпосылки!$H257*Продажи!BC22*BC$19*(1+Чувствительность!$D$20)*IFERROR(LOOKUP(Предпосылки!$H$205,$C$13:$C$15,BC$13:BC$15),1)</f>
        <v>0</v>
      </c>
      <c s="125">
        <f>Предпосылки!BC$232*Предпосылки!$H257*Продажи!BD22*BD$19*(1+Чувствительность!$D$20)*IFERROR(LOOKUP(Предпосылки!$H$205,$C$13:$C$15,BD$13:BD$15),1)</f>
        <v>0</v>
      </c>
      <c s="125">
        <f>Предпосылки!BD$232*Предпосылки!$H257*Продажи!BE22*BE$19*(1+Чувствительность!$D$20)*IFERROR(LOOKUP(Предпосылки!$H$205,$C$13:$C$15,BE$13:BE$15),1)</f>
        <v>0</v>
      </c>
      <c s="125">
        <f>Предпосылки!BE$232*Предпосылки!$H257*Продажи!BF22*BF$19*(1+Чувствительность!$D$20)*IFERROR(LOOKUP(Предпосылки!$H$205,$C$13:$C$15,BF$13:BF$15),1)</f>
        <v>0</v>
      </c>
      <c s="125">
        <f>Предпосылки!BF$232*Предпосылки!$H257*Продажи!BG22*BG$19*(1+Чувствительность!$D$20)*IFERROR(LOOKUP(Предпосылки!$H$205,$C$13:$C$15,BG$13:BG$15),1)</f>
        <v>0</v>
      </c>
      <c s="125">
        <f>Предпосылки!BG$232*Предпосылки!$H257*Продажи!BH22*BH$19*(1+Чувствительность!$D$20)*IFERROR(LOOKUP(Предпосылки!$H$205,$C$13:$C$15,BH$13:BH$15),1)</f>
        <v>0</v>
      </c>
      <c s="125">
        <f>Предпосылки!BH$232*Предпосылки!$H257*Продажи!BI22*BI$19*(1+Чувствительность!$D$20)*IFERROR(LOOKUP(Предпосылки!$H$205,$C$13:$C$15,BI$13:BI$15),1)</f>
        <v>0</v>
      </c>
      <c s="125">
        <f>Предпосылки!BI$232*Предпосылки!$H257*Продажи!BJ22*BJ$19*(1+Чувствительность!$D$20)*IFERROR(LOOKUP(Предпосылки!$H$205,$C$13:$C$15,BJ$13:BJ$15),1)</f>
        <v>0</v>
      </c>
      <c s="125">
        <f>Предпосылки!BJ$232*Предпосылки!$H257*Продажи!BK22*BK$19*(1+Чувствительность!$D$20)*IFERROR(LOOKUP(Предпосылки!$H$205,$C$13:$C$15,BK$13:BK$15),1)</f>
        <v>0</v>
      </c>
      <c s="125">
        <f>Предпосылки!BK$232*Предпосылки!$H257*Продажи!BL22*BL$19*(1+Чувствительность!$D$20)*IFERROR(LOOKUP(Предпосылки!$H$205,$C$13:$C$15,BL$13:BL$15),1)</f>
        <v>0</v>
      </c>
      <c s="125">
        <f>Предпосылки!BL$232*Предпосылки!$H257*Продажи!BM22*BM$19*(1+Чувствительность!$D$20)*IFERROR(LOOKUP(Предпосылки!$H$205,$C$13:$C$15,BM$13:BM$15),1)</f>
        <v>0</v>
      </c>
    </row>
    <row r="120" spans="2:65" ht="15" customHeight="1">
      <c r="B120" s="12" t="str">
        <f t="shared" si="81"/>
        <v>Продукт 6</v>
      </c>
      <c s="124" t="str">
        <f t="shared" si="80"/>
        <v>тыс. руб.</v>
      </c>
      <c s="276">
        <f t="shared" si="82"/>
        <v>0</v>
      </c>
      <c s="125">
        <f>Предпосылки!D$232*Предпосылки!$H258*Продажи!E23*E$19*(1+Чувствительность!$D$20)*IFERROR(LOOKUP(Предпосылки!$H$205,$C$13:$C$15,E$13:E$15),1)</f>
        <v>0</v>
      </c>
      <c s="125">
        <f>Предпосылки!E$232*Предпосылки!$H258*Продажи!F23*F$19*(1+Чувствительность!$D$20)*IFERROR(LOOKUP(Предпосылки!$H$205,$C$13:$C$15,F$13:F$15),1)</f>
        <v>0</v>
      </c>
      <c s="125">
        <f>Предпосылки!F$232*Предпосылки!$H258*Продажи!G23*G$19*(1+Чувствительность!$D$20)*IFERROR(LOOKUP(Предпосылки!$H$205,$C$13:$C$15,G$13:G$15),1)</f>
        <v>0</v>
      </c>
      <c s="125">
        <f>Предпосылки!G$232*Предпосылки!$H258*Продажи!H23*H$19*(1+Чувствительность!$D$20)*IFERROR(LOOKUP(Предпосылки!$H$205,$C$13:$C$15,H$13:H$15),1)</f>
        <v>0</v>
      </c>
      <c s="125">
        <f>Предпосылки!H$232*Предпосылки!$H258*Продажи!I23*I$19*(1+Чувствительность!$D$20)*IFERROR(LOOKUP(Предпосылки!$H$205,$C$13:$C$15,I$13:I$15),1)</f>
        <v>0</v>
      </c>
      <c s="125">
        <f>Предпосылки!I$232*Предпосылки!$H258*Продажи!J23*J$19*(1+Чувствительность!$D$20)*IFERROR(LOOKUP(Предпосылки!$H$205,$C$13:$C$15,J$13:J$15),1)</f>
        <v>0</v>
      </c>
      <c s="125">
        <f>Предпосылки!J$232*Предпосылки!$H258*Продажи!K23*K$19*(1+Чувствительность!$D$20)*IFERROR(LOOKUP(Предпосылки!$H$205,$C$13:$C$15,K$13:K$15),1)</f>
        <v>0</v>
      </c>
      <c s="125">
        <f>Предпосылки!K$232*Предпосылки!$H258*Продажи!L23*L$19*(1+Чувствительность!$D$20)*IFERROR(LOOKUP(Предпосылки!$H$205,$C$13:$C$15,L$13:L$15),1)</f>
        <v>0</v>
      </c>
      <c s="125">
        <f>Предпосылки!L$232*Предпосылки!$H258*Продажи!M23*M$19*(1+Чувствительность!$D$20)*IFERROR(LOOKUP(Предпосылки!$H$205,$C$13:$C$15,M$13:M$15),1)</f>
        <v>0</v>
      </c>
      <c s="125">
        <f>Предпосылки!M$232*Предпосылки!$H258*Продажи!N23*N$19*(1+Чувствительность!$D$20)*IFERROR(LOOKUP(Предпосылки!$H$205,$C$13:$C$15,N$13:N$15),1)</f>
        <v>0</v>
      </c>
      <c s="125">
        <f>Предпосылки!N$232*Предпосылки!$H258*Продажи!O23*O$19*(1+Чувствительность!$D$20)*IFERROR(LOOKUP(Предпосылки!$H$205,$C$13:$C$15,O$13:O$15),1)</f>
        <v>0</v>
      </c>
      <c s="125">
        <f>Предпосылки!O$232*Предпосылки!$H258*Продажи!P23*P$19*(1+Чувствительность!$D$20)*IFERROR(LOOKUP(Предпосылки!$H$205,$C$13:$C$15,P$13:P$15),1)</f>
        <v>0</v>
      </c>
      <c s="125">
        <f>Предпосылки!P$232*Предпосылки!$H258*Продажи!Q23*Q$19*(1+Чувствительность!$D$20)*IFERROR(LOOKUP(Предпосылки!$H$205,$C$13:$C$15,Q$13:Q$15),1)</f>
        <v>0</v>
      </c>
      <c s="125">
        <f>Предпосылки!Q$232*Предпосылки!$H258*Продажи!R23*R$19*(1+Чувствительность!$D$20)*IFERROR(LOOKUP(Предпосылки!$H$205,$C$13:$C$15,R$13:R$15),1)</f>
        <v>0</v>
      </c>
      <c s="125">
        <f>Предпосылки!R$232*Предпосылки!$H258*Продажи!S23*S$19*(1+Чувствительность!$D$20)*IFERROR(LOOKUP(Предпосылки!$H$205,$C$13:$C$15,S$13:S$15),1)</f>
        <v>0</v>
      </c>
      <c s="125">
        <f>Предпосылки!S$232*Предпосылки!$H258*Продажи!T23*T$19*(1+Чувствительность!$D$20)*IFERROR(LOOKUP(Предпосылки!$H$205,$C$13:$C$15,T$13:T$15),1)</f>
        <v>0</v>
      </c>
      <c s="125">
        <f>Предпосылки!T$232*Предпосылки!$H258*Продажи!U23*U$19*(1+Чувствительность!$D$20)*IFERROR(LOOKUP(Предпосылки!$H$205,$C$13:$C$15,U$13:U$15),1)</f>
        <v>0</v>
      </c>
      <c s="125">
        <f>Предпосылки!U$232*Предпосылки!$H258*Продажи!V23*V$19*(1+Чувствительность!$D$20)*IFERROR(LOOKUP(Предпосылки!$H$205,$C$13:$C$15,V$13:V$15),1)</f>
        <v>0</v>
      </c>
      <c s="125">
        <f>Предпосылки!V$232*Предпосылки!$H258*Продажи!W23*W$19*(1+Чувствительность!$D$20)*IFERROR(LOOKUP(Предпосылки!$H$205,$C$13:$C$15,W$13:W$15),1)</f>
        <v>0</v>
      </c>
      <c s="125">
        <f>Предпосылки!W$232*Предпосылки!$H258*Продажи!X23*X$19*(1+Чувствительность!$D$20)*IFERROR(LOOKUP(Предпосылки!$H$205,$C$13:$C$15,X$13:X$15),1)</f>
        <v>0</v>
      </c>
      <c s="125">
        <f>Предпосылки!X$232*Предпосылки!$H258*Продажи!Y23*Y$19*(1+Чувствительность!$D$20)*IFERROR(LOOKUP(Предпосылки!$H$205,$C$13:$C$15,Y$13:Y$15),1)</f>
        <v>0</v>
      </c>
      <c s="125">
        <f>Предпосылки!Y$232*Предпосылки!$H258*Продажи!Z23*Z$19*(1+Чувствительность!$D$20)*IFERROR(LOOKUP(Предпосылки!$H$205,$C$13:$C$15,Z$13:Z$15),1)</f>
        <v>0</v>
      </c>
      <c s="125">
        <f>Предпосылки!Z$232*Предпосылки!$H258*Продажи!AA23*AA$19*(1+Чувствительность!$D$20)*IFERROR(LOOKUP(Предпосылки!$H$205,$C$13:$C$15,AA$13:AA$15),1)</f>
        <v>0</v>
      </c>
      <c s="125">
        <f>Предпосылки!AA$232*Предпосылки!$H258*Продажи!AB23*AB$19*(1+Чувствительность!$D$20)*IFERROR(LOOKUP(Предпосылки!$H$205,$C$13:$C$15,AB$13:AB$15),1)</f>
        <v>0</v>
      </c>
      <c s="125">
        <f>Предпосылки!AB$232*Предпосылки!$H258*Продажи!AC23*AC$19*(1+Чувствительность!$D$20)*IFERROR(LOOKUP(Предпосылки!$H$205,$C$13:$C$15,AC$13:AC$15),1)</f>
        <v>0</v>
      </c>
      <c s="125">
        <f>Предпосылки!AC$232*Предпосылки!$H258*Продажи!AD23*AD$19*(1+Чувствительность!$D$20)*IFERROR(LOOKUP(Предпосылки!$H$205,$C$13:$C$15,AD$13:AD$15),1)</f>
        <v>0</v>
      </c>
      <c s="125">
        <f>Предпосылки!AD$232*Предпосылки!$H258*Продажи!AE23*AE$19*(1+Чувствительность!$D$20)*IFERROR(LOOKUP(Предпосылки!$H$205,$C$13:$C$15,AE$13:AE$15),1)</f>
        <v>0</v>
      </c>
      <c s="125">
        <f>Предпосылки!AE$232*Предпосылки!$H258*Продажи!AF23*AF$19*(1+Чувствительность!$D$20)*IFERROR(LOOKUP(Предпосылки!$H$205,$C$13:$C$15,AF$13:AF$15),1)</f>
        <v>0</v>
      </c>
      <c s="125">
        <f>Предпосылки!AF$232*Предпосылки!$H258*Продажи!AG23*AG$19*(1+Чувствительность!$D$20)*IFERROR(LOOKUP(Предпосылки!$H$205,$C$13:$C$15,AG$13:AG$15),1)</f>
        <v>0</v>
      </c>
      <c s="125">
        <f>Предпосылки!AG$232*Предпосылки!$H258*Продажи!AH23*AH$19*(1+Чувствительность!$D$20)*IFERROR(LOOKUP(Предпосылки!$H$205,$C$13:$C$15,AH$13:AH$15),1)</f>
        <v>0</v>
      </c>
      <c s="125">
        <f>Предпосылки!AH$232*Предпосылки!$H258*Продажи!AI23*AI$19*(1+Чувствительность!$D$20)*IFERROR(LOOKUP(Предпосылки!$H$205,$C$13:$C$15,AI$13:AI$15),1)</f>
        <v>0</v>
      </c>
      <c s="125">
        <f>Предпосылки!AI$232*Предпосылки!$H258*Продажи!AJ23*AJ$19*(1+Чувствительность!$D$20)*IFERROR(LOOKUP(Предпосылки!$H$205,$C$13:$C$15,AJ$13:AJ$15),1)</f>
        <v>0</v>
      </c>
      <c s="125">
        <f>Предпосылки!AJ$232*Предпосылки!$H258*Продажи!AK23*AK$19*(1+Чувствительность!$D$20)*IFERROR(LOOKUP(Предпосылки!$H$205,$C$13:$C$15,AK$13:AK$15),1)</f>
        <v>0</v>
      </c>
      <c s="125">
        <f>Предпосылки!AK$232*Предпосылки!$H258*Продажи!AL23*AL$19*(1+Чувствительность!$D$20)*IFERROR(LOOKUP(Предпосылки!$H$205,$C$13:$C$15,AL$13:AL$15),1)</f>
        <v>0</v>
      </c>
      <c s="125">
        <f>Предпосылки!AL$232*Предпосылки!$H258*Продажи!AM23*AM$19*(1+Чувствительность!$D$20)*IFERROR(LOOKUP(Предпосылки!$H$205,$C$13:$C$15,AM$13:AM$15),1)</f>
        <v>0</v>
      </c>
      <c s="125">
        <f>Предпосылки!AM$232*Предпосылки!$H258*Продажи!AN23*AN$19*(1+Чувствительность!$D$20)*IFERROR(LOOKUP(Предпосылки!$H$205,$C$13:$C$15,AN$13:AN$15),1)</f>
        <v>0</v>
      </c>
      <c s="125">
        <f>Предпосылки!AN$232*Предпосылки!$H258*Продажи!AO23*AO$19*(1+Чувствительность!$D$20)*IFERROR(LOOKUP(Предпосылки!$H$205,$C$13:$C$15,AO$13:AO$15),1)</f>
        <v>0</v>
      </c>
      <c s="125">
        <f>Предпосылки!AO$232*Предпосылки!$H258*Продажи!AP23*AP$19*(1+Чувствительность!$D$20)*IFERROR(LOOKUP(Предпосылки!$H$205,$C$13:$C$15,AP$13:AP$15),1)</f>
        <v>0</v>
      </c>
      <c s="125">
        <f>Предпосылки!AP$232*Предпосылки!$H258*Продажи!AQ23*AQ$19*(1+Чувствительность!$D$20)*IFERROR(LOOKUP(Предпосылки!$H$205,$C$13:$C$15,AQ$13:AQ$15),1)</f>
        <v>0</v>
      </c>
      <c s="125">
        <f>Предпосылки!AQ$232*Предпосылки!$H258*Продажи!AR23*AR$19*(1+Чувствительность!$D$20)*IFERROR(LOOKUP(Предпосылки!$H$205,$C$13:$C$15,AR$13:AR$15),1)</f>
        <v>0</v>
      </c>
      <c s="125">
        <f>Предпосылки!AR$232*Предпосылки!$H258*Продажи!AS23*AS$19*(1+Чувствительность!$D$20)*IFERROR(LOOKUP(Предпосылки!$H$205,$C$13:$C$15,AS$13:AS$15),1)</f>
        <v>0</v>
      </c>
      <c s="125">
        <f>Предпосылки!AS$232*Предпосылки!$H258*Продажи!AT23*AT$19*(1+Чувствительность!$D$20)*IFERROR(LOOKUP(Предпосылки!$H$205,$C$13:$C$15,AT$13:AT$15),1)</f>
        <v>0</v>
      </c>
      <c s="125">
        <f>Предпосылки!AT$232*Предпосылки!$H258*Продажи!AU23*AU$19*(1+Чувствительность!$D$20)*IFERROR(LOOKUP(Предпосылки!$H$205,$C$13:$C$15,AU$13:AU$15),1)</f>
        <v>0</v>
      </c>
      <c s="125">
        <f>Предпосылки!AU$232*Предпосылки!$H258*Продажи!AV23*AV$19*(1+Чувствительность!$D$20)*IFERROR(LOOKUP(Предпосылки!$H$205,$C$13:$C$15,AV$13:AV$15),1)</f>
        <v>0</v>
      </c>
      <c s="125">
        <f>Предпосылки!AV$232*Предпосылки!$H258*Продажи!AW23*AW$19*(1+Чувствительность!$D$20)*IFERROR(LOOKUP(Предпосылки!$H$205,$C$13:$C$15,AW$13:AW$15),1)</f>
        <v>0</v>
      </c>
      <c s="125">
        <f>Предпосылки!AW$232*Предпосылки!$H258*Продажи!AX23*AX$19*(1+Чувствительность!$D$20)*IFERROR(LOOKUP(Предпосылки!$H$205,$C$13:$C$15,AX$13:AX$15),1)</f>
        <v>0</v>
      </c>
      <c s="125">
        <f>Предпосылки!AX$232*Предпосылки!$H258*Продажи!AY23*AY$19*(1+Чувствительность!$D$20)*IFERROR(LOOKUP(Предпосылки!$H$205,$C$13:$C$15,AY$13:AY$15),1)</f>
        <v>0</v>
      </c>
      <c s="125">
        <f>Предпосылки!AY$232*Предпосылки!$H258*Продажи!AZ23*AZ$19*(1+Чувствительность!$D$20)*IFERROR(LOOKUP(Предпосылки!$H$205,$C$13:$C$15,AZ$13:AZ$15),1)</f>
        <v>0</v>
      </c>
      <c s="125">
        <f>Предпосылки!AZ$232*Предпосылки!$H258*Продажи!BA23*BA$19*(1+Чувствительность!$D$20)*IFERROR(LOOKUP(Предпосылки!$H$205,$C$13:$C$15,BA$13:BA$15),1)</f>
        <v>0</v>
      </c>
      <c s="125">
        <f>Предпосылки!BA$232*Предпосылки!$H258*Продажи!BB23*BB$19*(1+Чувствительность!$D$20)*IFERROR(LOOKUP(Предпосылки!$H$205,$C$13:$C$15,BB$13:BB$15),1)</f>
        <v>0</v>
      </c>
      <c s="125">
        <f>Предпосылки!BB$232*Предпосылки!$H258*Продажи!BC23*BC$19*(1+Чувствительность!$D$20)*IFERROR(LOOKUP(Предпосылки!$H$205,$C$13:$C$15,BC$13:BC$15),1)</f>
        <v>0</v>
      </c>
      <c s="125">
        <f>Предпосылки!BC$232*Предпосылки!$H258*Продажи!BD23*BD$19*(1+Чувствительность!$D$20)*IFERROR(LOOKUP(Предпосылки!$H$205,$C$13:$C$15,BD$13:BD$15),1)</f>
        <v>0</v>
      </c>
      <c s="125">
        <f>Предпосылки!BD$232*Предпосылки!$H258*Продажи!BE23*BE$19*(1+Чувствительность!$D$20)*IFERROR(LOOKUP(Предпосылки!$H$205,$C$13:$C$15,BE$13:BE$15),1)</f>
        <v>0</v>
      </c>
      <c s="125">
        <f>Предпосылки!BE$232*Предпосылки!$H258*Продажи!BF23*BF$19*(1+Чувствительность!$D$20)*IFERROR(LOOKUP(Предпосылки!$H$205,$C$13:$C$15,BF$13:BF$15),1)</f>
        <v>0</v>
      </c>
      <c s="125">
        <f>Предпосылки!BF$232*Предпосылки!$H258*Продажи!BG23*BG$19*(1+Чувствительность!$D$20)*IFERROR(LOOKUP(Предпосылки!$H$205,$C$13:$C$15,BG$13:BG$15),1)</f>
        <v>0</v>
      </c>
      <c s="125">
        <f>Предпосылки!BG$232*Предпосылки!$H258*Продажи!BH23*BH$19*(1+Чувствительность!$D$20)*IFERROR(LOOKUP(Предпосылки!$H$205,$C$13:$C$15,BH$13:BH$15),1)</f>
        <v>0</v>
      </c>
      <c s="125">
        <f>Предпосылки!BH$232*Предпосылки!$H258*Продажи!BI23*BI$19*(1+Чувствительность!$D$20)*IFERROR(LOOKUP(Предпосылки!$H$205,$C$13:$C$15,BI$13:BI$15),1)</f>
        <v>0</v>
      </c>
      <c s="125">
        <f>Предпосылки!BI$232*Предпосылки!$H258*Продажи!BJ23*BJ$19*(1+Чувствительность!$D$20)*IFERROR(LOOKUP(Предпосылки!$H$205,$C$13:$C$15,BJ$13:BJ$15),1)</f>
        <v>0</v>
      </c>
      <c s="125">
        <f>Предпосылки!BJ$232*Предпосылки!$H258*Продажи!BK23*BK$19*(1+Чувствительность!$D$20)*IFERROR(LOOKUP(Предпосылки!$H$205,$C$13:$C$15,BK$13:BK$15),1)</f>
        <v>0</v>
      </c>
      <c s="125">
        <f>Предпосылки!BK$232*Предпосылки!$H258*Продажи!BL23*BL$19*(1+Чувствительность!$D$20)*IFERROR(LOOKUP(Предпосылки!$H$205,$C$13:$C$15,BL$13:BL$15),1)</f>
        <v>0</v>
      </c>
      <c s="125">
        <f>Предпосылки!BL$232*Предпосылки!$H258*Продажи!BM23*BM$19*(1+Чувствительность!$D$20)*IFERROR(LOOKUP(Предпосылки!$H$205,$C$13:$C$15,BM$13:BM$15),1)</f>
        <v>0</v>
      </c>
    </row>
    <row r="121" spans="2:65" ht="15" customHeight="1">
      <c r="B121" s="12" t="str">
        <f t="shared" si="81"/>
        <v>Продукт 7</v>
      </c>
      <c s="124" t="str">
        <f t="shared" si="80"/>
        <v>тыс. руб.</v>
      </c>
      <c s="276">
        <f t="shared" si="82"/>
        <v>0</v>
      </c>
      <c s="125">
        <f>Предпосылки!D$232*Предпосылки!$H259*Продажи!E24*E$19*(1+Чувствительность!$D$20)*IFERROR(LOOKUP(Предпосылки!$H$205,$C$13:$C$15,E$13:E$15),1)</f>
        <v>0</v>
      </c>
      <c s="125">
        <f>Предпосылки!E$232*Предпосылки!$H259*Продажи!F24*F$19*(1+Чувствительность!$D$20)*IFERROR(LOOKUP(Предпосылки!$H$205,$C$13:$C$15,F$13:F$15),1)</f>
        <v>0</v>
      </c>
      <c s="125">
        <f>Предпосылки!F$232*Предпосылки!$H259*Продажи!G24*G$19*(1+Чувствительность!$D$20)*IFERROR(LOOKUP(Предпосылки!$H$205,$C$13:$C$15,G$13:G$15),1)</f>
        <v>0</v>
      </c>
      <c s="125">
        <f>Предпосылки!G$232*Предпосылки!$H259*Продажи!H24*H$19*(1+Чувствительность!$D$20)*IFERROR(LOOKUP(Предпосылки!$H$205,$C$13:$C$15,H$13:H$15),1)</f>
        <v>0</v>
      </c>
      <c s="125">
        <f>Предпосылки!H$232*Предпосылки!$H259*Продажи!I24*I$19*(1+Чувствительность!$D$20)*IFERROR(LOOKUP(Предпосылки!$H$205,$C$13:$C$15,I$13:I$15),1)</f>
        <v>0</v>
      </c>
      <c s="125">
        <f>Предпосылки!I$232*Предпосылки!$H259*Продажи!J24*J$19*(1+Чувствительность!$D$20)*IFERROR(LOOKUP(Предпосылки!$H$205,$C$13:$C$15,J$13:J$15),1)</f>
        <v>0</v>
      </c>
      <c s="125">
        <f>Предпосылки!J$232*Предпосылки!$H259*Продажи!K24*K$19*(1+Чувствительность!$D$20)*IFERROR(LOOKUP(Предпосылки!$H$205,$C$13:$C$15,K$13:K$15),1)</f>
        <v>0</v>
      </c>
      <c s="125">
        <f>Предпосылки!K$232*Предпосылки!$H259*Продажи!L24*L$19*(1+Чувствительность!$D$20)*IFERROR(LOOKUP(Предпосылки!$H$205,$C$13:$C$15,L$13:L$15),1)</f>
        <v>0</v>
      </c>
      <c s="125">
        <f>Предпосылки!L$232*Предпосылки!$H259*Продажи!M24*M$19*(1+Чувствительность!$D$20)*IFERROR(LOOKUP(Предпосылки!$H$205,$C$13:$C$15,M$13:M$15),1)</f>
        <v>0</v>
      </c>
      <c s="125">
        <f>Предпосылки!M$232*Предпосылки!$H259*Продажи!N24*N$19*(1+Чувствительность!$D$20)*IFERROR(LOOKUP(Предпосылки!$H$205,$C$13:$C$15,N$13:N$15),1)</f>
        <v>0</v>
      </c>
      <c s="125">
        <f>Предпосылки!N$232*Предпосылки!$H259*Продажи!O24*O$19*(1+Чувствительность!$D$20)*IFERROR(LOOKUP(Предпосылки!$H$205,$C$13:$C$15,O$13:O$15),1)</f>
        <v>0</v>
      </c>
      <c s="125">
        <f>Предпосылки!O$232*Предпосылки!$H259*Продажи!P24*P$19*(1+Чувствительность!$D$20)*IFERROR(LOOKUP(Предпосылки!$H$205,$C$13:$C$15,P$13:P$15),1)</f>
        <v>0</v>
      </c>
      <c s="125">
        <f>Предпосылки!P$232*Предпосылки!$H259*Продажи!Q24*Q$19*(1+Чувствительность!$D$20)*IFERROR(LOOKUP(Предпосылки!$H$205,$C$13:$C$15,Q$13:Q$15),1)</f>
        <v>0</v>
      </c>
      <c s="125">
        <f>Предпосылки!Q$232*Предпосылки!$H259*Продажи!R24*R$19*(1+Чувствительность!$D$20)*IFERROR(LOOKUP(Предпосылки!$H$205,$C$13:$C$15,R$13:R$15),1)</f>
        <v>0</v>
      </c>
      <c s="125">
        <f>Предпосылки!R$232*Предпосылки!$H259*Продажи!S24*S$19*(1+Чувствительность!$D$20)*IFERROR(LOOKUP(Предпосылки!$H$205,$C$13:$C$15,S$13:S$15),1)</f>
        <v>0</v>
      </c>
      <c s="125">
        <f>Предпосылки!S$232*Предпосылки!$H259*Продажи!T24*T$19*(1+Чувствительность!$D$20)*IFERROR(LOOKUP(Предпосылки!$H$205,$C$13:$C$15,T$13:T$15),1)</f>
        <v>0</v>
      </c>
      <c s="125">
        <f>Предпосылки!T$232*Предпосылки!$H259*Продажи!U24*U$19*(1+Чувствительность!$D$20)*IFERROR(LOOKUP(Предпосылки!$H$205,$C$13:$C$15,U$13:U$15),1)</f>
        <v>0</v>
      </c>
      <c s="125">
        <f>Предпосылки!U$232*Предпосылки!$H259*Продажи!V24*V$19*(1+Чувствительность!$D$20)*IFERROR(LOOKUP(Предпосылки!$H$205,$C$13:$C$15,V$13:V$15),1)</f>
        <v>0</v>
      </c>
      <c s="125">
        <f>Предпосылки!V$232*Предпосылки!$H259*Продажи!W24*W$19*(1+Чувствительность!$D$20)*IFERROR(LOOKUP(Предпосылки!$H$205,$C$13:$C$15,W$13:W$15),1)</f>
        <v>0</v>
      </c>
      <c s="125">
        <f>Предпосылки!W$232*Предпосылки!$H259*Продажи!X24*X$19*(1+Чувствительность!$D$20)*IFERROR(LOOKUP(Предпосылки!$H$205,$C$13:$C$15,X$13:X$15),1)</f>
        <v>0</v>
      </c>
      <c s="125">
        <f>Предпосылки!X$232*Предпосылки!$H259*Продажи!Y24*Y$19*(1+Чувствительность!$D$20)*IFERROR(LOOKUP(Предпосылки!$H$205,$C$13:$C$15,Y$13:Y$15),1)</f>
        <v>0</v>
      </c>
      <c s="125">
        <f>Предпосылки!Y$232*Предпосылки!$H259*Продажи!Z24*Z$19*(1+Чувствительность!$D$20)*IFERROR(LOOKUP(Предпосылки!$H$205,$C$13:$C$15,Z$13:Z$15),1)</f>
        <v>0</v>
      </c>
      <c s="125">
        <f>Предпосылки!Z$232*Предпосылки!$H259*Продажи!AA24*AA$19*(1+Чувствительность!$D$20)*IFERROR(LOOKUP(Предпосылки!$H$205,$C$13:$C$15,AA$13:AA$15),1)</f>
        <v>0</v>
      </c>
      <c s="125">
        <f>Предпосылки!AA$232*Предпосылки!$H259*Продажи!AB24*AB$19*(1+Чувствительность!$D$20)*IFERROR(LOOKUP(Предпосылки!$H$205,$C$13:$C$15,AB$13:AB$15),1)</f>
        <v>0</v>
      </c>
      <c s="125">
        <f>Предпосылки!AB$232*Предпосылки!$H259*Продажи!AC24*AC$19*(1+Чувствительность!$D$20)*IFERROR(LOOKUP(Предпосылки!$H$205,$C$13:$C$15,AC$13:AC$15),1)</f>
        <v>0</v>
      </c>
      <c s="125">
        <f>Предпосылки!AC$232*Предпосылки!$H259*Продажи!AD24*AD$19*(1+Чувствительность!$D$20)*IFERROR(LOOKUP(Предпосылки!$H$205,$C$13:$C$15,AD$13:AD$15),1)</f>
        <v>0</v>
      </c>
      <c s="125">
        <f>Предпосылки!AD$232*Предпосылки!$H259*Продажи!AE24*AE$19*(1+Чувствительность!$D$20)*IFERROR(LOOKUP(Предпосылки!$H$205,$C$13:$C$15,AE$13:AE$15),1)</f>
        <v>0</v>
      </c>
      <c s="125">
        <f>Предпосылки!AE$232*Предпосылки!$H259*Продажи!AF24*AF$19*(1+Чувствительность!$D$20)*IFERROR(LOOKUP(Предпосылки!$H$205,$C$13:$C$15,AF$13:AF$15),1)</f>
        <v>0</v>
      </c>
      <c s="125">
        <f>Предпосылки!AF$232*Предпосылки!$H259*Продажи!AG24*AG$19*(1+Чувствительность!$D$20)*IFERROR(LOOKUP(Предпосылки!$H$205,$C$13:$C$15,AG$13:AG$15),1)</f>
        <v>0</v>
      </c>
      <c s="125">
        <f>Предпосылки!AG$232*Предпосылки!$H259*Продажи!AH24*AH$19*(1+Чувствительность!$D$20)*IFERROR(LOOKUP(Предпосылки!$H$205,$C$13:$C$15,AH$13:AH$15),1)</f>
        <v>0</v>
      </c>
      <c s="125">
        <f>Предпосылки!AH$232*Предпосылки!$H259*Продажи!AI24*AI$19*(1+Чувствительность!$D$20)*IFERROR(LOOKUP(Предпосылки!$H$205,$C$13:$C$15,AI$13:AI$15),1)</f>
        <v>0</v>
      </c>
      <c s="125">
        <f>Предпосылки!AI$232*Предпосылки!$H259*Продажи!AJ24*AJ$19*(1+Чувствительность!$D$20)*IFERROR(LOOKUP(Предпосылки!$H$205,$C$13:$C$15,AJ$13:AJ$15),1)</f>
        <v>0</v>
      </c>
      <c s="125">
        <f>Предпосылки!AJ$232*Предпосылки!$H259*Продажи!AK24*AK$19*(1+Чувствительность!$D$20)*IFERROR(LOOKUP(Предпосылки!$H$205,$C$13:$C$15,AK$13:AK$15),1)</f>
        <v>0</v>
      </c>
      <c s="125">
        <f>Предпосылки!AK$232*Предпосылки!$H259*Продажи!AL24*AL$19*(1+Чувствительность!$D$20)*IFERROR(LOOKUP(Предпосылки!$H$205,$C$13:$C$15,AL$13:AL$15),1)</f>
        <v>0</v>
      </c>
      <c s="125">
        <f>Предпосылки!AL$232*Предпосылки!$H259*Продажи!AM24*AM$19*(1+Чувствительность!$D$20)*IFERROR(LOOKUP(Предпосылки!$H$205,$C$13:$C$15,AM$13:AM$15),1)</f>
        <v>0</v>
      </c>
      <c s="125">
        <f>Предпосылки!AM$232*Предпосылки!$H259*Продажи!AN24*AN$19*(1+Чувствительность!$D$20)*IFERROR(LOOKUP(Предпосылки!$H$205,$C$13:$C$15,AN$13:AN$15),1)</f>
        <v>0</v>
      </c>
      <c s="125">
        <f>Предпосылки!AN$232*Предпосылки!$H259*Продажи!AO24*AO$19*(1+Чувствительность!$D$20)*IFERROR(LOOKUP(Предпосылки!$H$205,$C$13:$C$15,AO$13:AO$15),1)</f>
        <v>0</v>
      </c>
      <c s="125">
        <f>Предпосылки!AO$232*Предпосылки!$H259*Продажи!AP24*AP$19*(1+Чувствительность!$D$20)*IFERROR(LOOKUP(Предпосылки!$H$205,$C$13:$C$15,AP$13:AP$15),1)</f>
        <v>0</v>
      </c>
      <c s="125">
        <f>Предпосылки!AP$232*Предпосылки!$H259*Продажи!AQ24*AQ$19*(1+Чувствительность!$D$20)*IFERROR(LOOKUP(Предпосылки!$H$205,$C$13:$C$15,AQ$13:AQ$15),1)</f>
        <v>0</v>
      </c>
      <c s="125">
        <f>Предпосылки!AQ$232*Предпосылки!$H259*Продажи!AR24*AR$19*(1+Чувствительность!$D$20)*IFERROR(LOOKUP(Предпосылки!$H$205,$C$13:$C$15,AR$13:AR$15),1)</f>
        <v>0</v>
      </c>
      <c s="125">
        <f>Предпосылки!AR$232*Предпосылки!$H259*Продажи!AS24*AS$19*(1+Чувствительность!$D$20)*IFERROR(LOOKUP(Предпосылки!$H$205,$C$13:$C$15,AS$13:AS$15),1)</f>
        <v>0</v>
      </c>
      <c s="125">
        <f>Предпосылки!AS$232*Предпосылки!$H259*Продажи!AT24*AT$19*(1+Чувствительность!$D$20)*IFERROR(LOOKUP(Предпосылки!$H$205,$C$13:$C$15,AT$13:AT$15),1)</f>
        <v>0</v>
      </c>
      <c s="125">
        <f>Предпосылки!AT$232*Предпосылки!$H259*Продажи!AU24*AU$19*(1+Чувствительность!$D$20)*IFERROR(LOOKUP(Предпосылки!$H$205,$C$13:$C$15,AU$13:AU$15),1)</f>
        <v>0</v>
      </c>
      <c s="125">
        <f>Предпосылки!AU$232*Предпосылки!$H259*Продажи!AV24*AV$19*(1+Чувствительность!$D$20)*IFERROR(LOOKUP(Предпосылки!$H$205,$C$13:$C$15,AV$13:AV$15),1)</f>
        <v>0</v>
      </c>
      <c s="125">
        <f>Предпосылки!AV$232*Предпосылки!$H259*Продажи!AW24*AW$19*(1+Чувствительность!$D$20)*IFERROR(LOOKUP(Предпосылки!$H$205,$C$13:$C$15,AW$13:AW$15),1)</f>
        <v>0</v>
      </c>
      <c s="125">
        <f>Предпосылки!AW$232*Предпосылки!$H259*Продажи!AX24*AX$19*(1+Чувствительность!$D$20)*IFERROR(LOOKUP(Предпосылки!$H$205,$C$13:$C$15,AX$13:AX$15),1)</f>
        <v>0</v>
      </c>
      <c s="125">
        <f>Предпосылки!AX$232*Предпосылки!$H259*Продажи!AY24*AY$19*(1+Чувствительность!$D$20)*IFERROR(LOOKUP(Предпосылки!$H$205,$C$13:$C$15,AY$13:AY$15),1)</f>
        <v>0</v>
      </c>
      <c s="125">
        <f>Предпосылки!AY$232*Предпосылки!$H259*Продажи!AZ24*AZ$19*(1+Чувствительность!$D$20)*IFERROR(LOOKUP(Предпосылки!$H$205,$C$13:$C$15,AZ$13:AZ$15),1)</f>
        <v>0</v>
      </c>
      <c s="125">
        <f>Предпосылки!AZ$232*Предпосылки!$H259*Продажи!BA24*BA$19*(1+Чувствительность!$D$20)*IFERROR(LOOKUP(Предпосылки!$H$205,$C$13:$C$15,BA$13:BA$15),1)</f>
        <v>0</v>
      </c>
      <c s="125">
        <f>Предпосылки!BA$232*Предпосылки!$H259*Продажи!BB24*BB$19*(1+Чувствительность!$D$20)*IFERROR(LOOKUP(Предпосылки!$H$205,$C$13:$C$15,BB$13:BB$15),1)</f>
        <v>0</v>
      </c>
      <c s="125">
        <f>Предпосылки!BB$232*Предпосылки!$H259*Продажи!BC24*BC$19*(1+Чувствительность!$D$20)*IFERROR(LOOKUP(Предпосылки!$H$205,$C$13:$C$15,BC$13:BC$15),1)</f>
        <v>0</v>
      </c>
      <c s="125">
        <f>Предпосылки!BC$232*Предпосылки!$H259*Продажи!BD24*BD$19*(1+Чувствительность!$D$20)*IFERROR(LOOKUP(Предпосылки!$H$205,$C$13:$C$15,BD$13:BD$15),1)</f>
        <v>0</v>
      </c>
      <c s="125">
        <f>Предпосылки!BD$232*Предпосылки!$H259*Продажи!BE24*BE$19*(1+Чувствительность!$D$20)*IFERROR(LOOKUP(Предпосылки!$H$205,$C$13:$C$15,BE$13:BE$15),1)</f>
        <v>0</v>
      </c>
      <c s="125">
        <f>Предпосылки!BE$232*Предпосылки!$H259*Продажи!BF24*BF$19*(1+Чувствительность!$D$20)*IFERROR(LOOKUP(Предпосылки!$H$205,$C$13:$C$15,BF$13:BF$15),1)</f>
        <v>0</v>
      </c>
      <c s="125">
        <f>Предпосылки!BF$232*Предпосылки!$H259*Продажи!BG24*BG$19*(1+Чувствительность!$D$20)*IFERROR(LOOKUP(Предпосылки!$H$205,$C$13:$C$15,BG$13:BG$15),1)</f>
        <v>0</v>
      </c>
      <c s="125">
        <f>Предпосылки!BG$232*Предпосылки!$H259*Продажи!BH24*BH$19*(1+Чувствительность!$D$20)*IFERROR(LOOKUP(Предпосылки!$H$205,$C$13:$C$15,BH$13:BH$15),1)</f>
        <v>0</v>
      </c>
      <c s="125">
        <f>Предпосылки!BH$232*Предпосылки!$H259*Продажи!BI24*BI$19*(1+Чувствительность!$D$20)*IFERROR(LOOKUP(Предпосылки!$H$205,$C$13:$C$15,BI$13:BI$15),1)</f>
        <v>0</v>
      </c>
      <c s="125">
        <f>Предпосылки!BI$232*Предпосылки!$H259*Продажи!BJ24*BJ$19*(1+Чувствительность!$D$20)*IFERROR(LOOKUP(Предпосылки!$H$205,$C$13:$C$15,BJ$13:BJ$15),1)</f>
        <v>0</v>
      </c>
      <c s="125">
        <f>Предпосылки!BJ$232*Предпосылки!$H259*Продажи!BK24*BK$19*(1+Чувствительность!$D$20)*IFERROR(LOOKUP(Предпосылки!$H$205,$C$13:$C$15,BK$13:BK$15),1)</f>
        <v>0</v>
      </c>
      <c s="125">
        <f>Предпосылки!BK$232*Предпосылки!$H259*Продажи!BL24*BL$19*(1+Чувствительность!$D$20)*IFERROR(LOOKUP(Предпосылки!$H$205,$C$13:$C$15,BL$13:BL$15),1)</f>
        <v>0</v>
      </c>
      <c s="125">
        <f>Предпосылки!BL$232*Предпосылки!$H259*Продажи!BM24*BM$19*(1+Чувствительность!$D$20)*IFERROR(LOOKUP(Предпосылки!$H$205,$C$13:$C$15,BM$13:BM$15),1)</f>
        <v>0</v>
      </c>
    </row>
    <row r="122" spans="2:65" ht="15" customHeight="1">
      <c r="B122" s="12" t="str">
        <f t="shared" si="81"/>
        <v>Продукт 8</v>
      </c>
      <c s="124" t="str">
        <f t="shared" si="80"/>
        <v>тыс. руб.</v>
      </c>
      <c s="276">
        <f t="shared" si="82"/>
        <v>0</v>
      </c>
      <c s="125">
        <f>Предпосылки!D$232*Предпосылки!$H260*Продажи!E25*E$19*(1+Чувствительность!$D$20)*IFERROR(LOOKUP(Предпосылки!$H$205,$C$13:$C$15,E$13:E$15),1)</f>
        <v>0</v>
      </c>
      <c s="125">
        <f>Предпосылки!E$232*Предпосылки!$H260*Продажи!F25*F$19*(1+Чувствительность!$D$20)*IFERROR(LOOKUP(Предпосылки!$H$205,$C$13:$C$15,F$13:F$15),1)</f>
        <v>0</v>
      </c>
      <c s="125">
        <f>Предпосылки!F$232*Предпосылки!$H260*Продажи!G25*G$19*(1+Чувствительность!$D$20)*IFERROR(LOOKUP(Предпосылки!$H$205,$C$13:$C$15,G$13:G$15),1)</f>
        <v>0</v>
      </c>
      <c s="125">
        <f>Предпосылки!G$232*Предпосылки!$H260*Продажи!H25*H$19*(1+Чувствительность!$D$20)*IFERROR(LOOKUP(Предпосылки!$H$205,$C$13:$C$15,H$13:H$15),1)</f>
        <v>0</v>
      </c>
      <c s="125">
        <f>Предпосылки!H$232*Предпосылки!$H260*Продажи!I25*I$19*(1+Чувствительность!$D$20)*IFERROR(LOOKUP(Предпосылки!$H$205,$C$13:$C$15,I$13:I$15),1)</f>
        <v>0</v>
      </c>
      <c s="125">
        <f>Предпосылки!I$232*Предпосылки!$H260*Продажи!J25*J$19*(1+Чувствительность!$D$20)*IFERROR(LOOKUP(Предпосылки!$H$205,$C$13:$C$15,J$13:J$15),1)</f>
        <v>0</v>
      </c>
      <c s="125">
        <f>Предпосылки!J$232*Предпосылки!$H260*Продажи!K25*K$19*(1+Чувствительность!$D$20)*IFERROR(LOOKUP(Предпосылки!$H$205,$C$13:$C$15,K$13:K$15),1)</f>
        <v>0</v>
      </c>
      <c s="125">
        <f>Предпосылки!K$232*Предпосылки!$H260*Продажи!L25*L$19*(1+Чувствительность!$D$20)*IFERROR(LOOKUP(Предпосылки!$H$205,$C$13:$C$15,L$13:L$15),1)</f>
        <v>0</v>
      </c>
      <c s="125">
        <f>Предпосылки!L$232*Предпосылки!$H260*Продажи!M25*M$19*(1+Чувствительность!$D$20)*IFERROR(LOOKUP(Предпосылки!$H$205,$C$13:$C$15,M$13:M$15),1)</f>
        <v>0</v>
      </c>
      <c s="125">
        <f>Предпосылки!M$232*Предпосылки!$H260*Продажи!N25*N$19*(1+Чувствительность!$D$20)*IFERROR(LOOKUP(Предпосылки!$H$205,$C$13:$C$15,N$13:N$15),1)</f>
        <v>0</v>
      </c>
      <c s="125">
        <f>Предпосылки!N$232*Предпосылки!$H260*Продажи!O25*O$19*(1+Чувствительность!$D$20)*IFERROR(LOOKUP(Предпосылки!$H$205,$C$13:$C$15,O$13:O$15),1)</f>
        <v>0</v>
      </c>
      <c s="125">
        <f>Предпосылки!O$232*Предпосылки!$H260*Продажи!P25*P$19*(1+Чувствительность!$D$20)*IFERROR(LOOKUP(Предпосылки!$H$205,$C$13:$C$15,P$13:P$15),1)</f>
        <v>0</v>
      </c>
      <c s="125">
        <f>Предпосылки!P$232*Предпосылки!$H260*Продажи!Q25*Q$19*(1+Чувствительность!$D$20)*IFERROR(LOOKUP(Предпосылки!$H$205,$C$13:$C$15,Q$13:Q$15),1)</f>
        <v>0</v>
      </c>
      <c s="125">
        <f>Предпосылки!Q$232*Предпосылки!$H260*Продажи!R25*R$19*(1+Чувствительность!$D$20)*IFERROR(LOOKUP(Предпосылки!$H$205,$C$13:$C$15,R$13:R$15),1)</f>
        <v>0</v>
      </c>
      <c s="125">
        <f>Предпосылки!R$232*Предпосылки!$H260*Продажи!S25*S$19*(1+Чувствительность!$D$20)*IFERROR(LOOKUP(Предпосылки!$H$205,$C$13:$C$15,S$13:S$15),1)</f>
        <v>0</v>
      </c>
      <c s="125">
        <f>Предпосылки!S$232*Предпосылки!$H260*Продажи!T25*T$19*(1+Чувствительность!$D$20)*IFERROR(LOOKUP(Предпосылки!$H$205,$C$13:$C$15,T$13:T$15),1)</f>
        <v>0</v>
      </c>
      <c s="125">
        <f>Предпосылки!T$232*Предпосылки!$H260*Продажи!U25*U$19*(1+Чувствительность!$D$20)*IFERROR(LOOKUP(Предпосылки!$H$205,$C$13:$C$15,U$13:U$15),1)</f>
        <v>0</v>
      </c>
      <c s="125">
        <f>Предпосылки!U$232*Предпосылки!$H260*Продажи!V25*V$19*(1+Чувствительность!$D$20)*IFERROR(LOOKUP(Предпосылки!$H$205,$C$13:$C$15,V$13:V$15),1)</f>
        <v>0</v>
      </c>
      <c s="125">
        <f>Предпосылки!V$232*Предпосылки!$H260*Продажи!W25*W$19*(1+Чувствительность!$D$20)*IFERROR(LOOKUP(Предпосылки!$H$205,$C$13:$C$15,W$13:W$15),1)</f>
        <v>0</v>
      </c>
      <c s="125">
        <f>Предпосылки!W$232*Предпосылки!$H260*Продажи!X25*X$19*(1+Чувствительность!$D$20)*IFERROR(LOOKUP(Предпосылки!$H$205,$C$13:$C$15,X$13:X$15),1)</f>
        <v>0</v>
      </c>
      <c s="125">
        <f>Предпосылки!X$232*Предпосылки!$H260*Продажи!Y25*Y$19*(1+Чувствительность!$D$20)*IFERROR(LOOKUP(Предпосылки!$H$205,$C$13:$C$15,Y$13:Y$15),1)</f>
        <v>0</v>
      </c>
      <c s="125">
        <f>Предпосылки!Y$232*Предпосылки!$H260*Продажи!Z25*Z$19*(1+Чувствительность!$D$20)*IFERROR(LOOKUP(Предпосылки!$H$205,$C$13:$C$15,Z$13:Z$15),1)</f>
        <v>0</v>
      </c>
      <c s="125">
        <f>Предпосылки!Z$232*Предпосылки!$H260*Продажи!AA25*AA$19*(1+Чувствительность!$D$20)*IFERROR(LOOKUP(Предпосылки!$H$205,$C$13:$C$15,AA$13:AA$15),1)</f>
        <v>0</v>
      </c>
      <c s="125">
        <f>Предпосылки!AA$232*Предпосылки!$H260*Продажи!AB25*AB$19*(1+Чувствительность!$D$20)*IFERROR(LOOKUP(Предпосылки!$H$205,$C$13:$C$15,AB$13:AB$15),1)</f>
        <v>0</v>
      </c>
      <c s="125">
        <f>Предпосылки!AB$232*Предпосылки!$H260*Продажи!AC25*AC$19*(1+Чувствительность!$D$20)*IFERROR(LOOKUP(Предпосылки!$H$205,$C$13:$C$15,AC$13:AC$15),1)</f>
        <v>0</v>
      </c>
      <c s="125">
        <f>Предпосылки!AC$232*Предпосылки!$H260*Продажи!AD25*AD$19*(1+Чувствительность!$D$20)*IFERROR(LOOKUP(Предпосылки!$H$205,$C$13:$C$15,AD$13:AD$15),1)</f>
        <v>0</v>
      </c>
      <c s="125">
        <f>Предпосылки!AD$232*Предпосылки!$H260*Продажи!AE25*AE$19*(1+Чувствительность!$D$20)*IFERROR(LOOKUP(Предпосылки!$H$205,$C$13:$C$15,AE$13:AE$15),1)</f>
        <v>0</v>
      </c>
      <c s="125">
        <f>Предпосылки!AE$232*Предпосылки!$H260*Продажи!AF25*AF$19*(1+Чувствительность!$D$20)*IFERROR(LOOKUP(Предпосылки!$H$205,$C$13:$C$15,AF$13:AF$15),1)</f>
        <v>0</v>
      </c>
      <c s="125">
        <f>Предпосылки!AF$232*Предпосылки!$H260*Продажи!AG25*AG$19*(1+Чувствительность!$D$20)*IFERROR(LOOKUP(Предпосылки!$H$205,$C$13:$C$15,AG$13:AG$15),1)</f>
        <v>0</v>
      </c>
      <c s="125">
        <f>Предпосылки!AG$232*Предпосылки!$H260*Продажи!AH25*AH$19*(1+Чувствительность!$D$20)*IFERROR(LOOKUP(Предпосылки!$H$205,$C$13:$C$15,AH$13:AH$15),1)</f>
        <v>0</v>
      </c>
      <c s="125">
        <f>Предпосылки!AH$232*Предпосылки!$H260*Продажи!AI25*AI$19*(1+Чувствительность!$D$20)*IFERROR(LOOKUP(Предпосылки!$H$205,$C$13:$C$15,AI$13:AI$15),1)</f>
        <v>0</v>
      </c>
      <c s="125">
        <f>Предпосылки!AI$232*Предпосылки!$H260*Продажи!AJ25*AJ$19*(1+Чувствительность!$D$20)*IFERROR(LOOKUP(Предпосылки!$H$205,$C$13:$C$15,AJ$13:AJ$15),1)</f>
        <v>0</v>
      </c>
      <c s="125">
        <f>Предпосылки!AJ$232*Предпосылки!$H260*Продажи!AK25*AK$19*(1+Чувствительность!$D$20)*IFERROR(LOOKUP(Предпосылки!$H$205,$C$13:$C$15,AK$13:AK$15),1)</f>
        <v>0</v>
      </c>
      <c s="125">
        <f>Предпосылки!AK$232*Предпосылки!$H260*Продажи!AL25*AL$19*(1+Чувствительность!$D$20)*IFERROR(LOOKUP(Предпосылки!$H$205,$C$13:$C$15,AL$13:AL$15),1)</f>
        <v>0</v>
      </c>
      <c s="125">
        <f>Предпосылки!AL$232*Предпосылки!$H260*Продажи!AM25*AM$19*(1+Чувствительность!$D$20)*IFERROR(LOOKUP(Предпосылки!$H$205,$C$13:$C$15,AM$13:AM$15),1)</f>
        <v>0</v>
      </c>
      <c s="125">
        <f>Предпосылки!AM$232*Предпосылки!$H260*Продажи!AN25*AN$19*(1+Чувствительность!$D$20)*IFERROR(LOOKUP(Предпосылки!$H$205,$C$13:$C$15,AN$13:AN$15),1)</f>
        <v>0</v>
      </c>
      <c s="125">
        <f>Предпосылки!AN$232*Предпосылки!$H260*Продажи!AO25*AO$19*(1+Чувствительность!$D$20)*IFERROR(LOOKUP(Предпосылки!$H$205,$C$13:$C$15,AO$13:AO$15),1)</f>
        <v>0</v>
      </c>
      <c s="125">
        <f>Предпосылки!AO$232*Предпосылки!$H260*Продажи!AP25*AP$19*(1+Чувствительность!$D$20)*IFERROR(LOOKUP(Предпосылки!$H$205,$C$13:$C$15,AP$13:AP$15),1)</f>
        <v>0</v>
      </c>
      <c s="125">
        <f>Предпосылки!AP$232*Предпосылки!$H260*Продажи!AQ25*AQ$19*(1+Чувствительность!$D$20)*IFERROR(LOOKUP(Предпосылки!$H$205,$C$13:$C$15,AQ$13:AQ$15),1)</f>
        <v>0</v>
      </c>
      <c s="125">
        <f>Предпосылки!AQ$232*Предпосылки!$H260*Продажи!AR25*AR$19*(1+Чувствительность!$D$20)*IFERROR(LOOKUP(Предпосылки!$H$205,$C$13:$C$15,AR$13:AR$15),1)</f>
        <v>0</v>
      </c>
      <c s="125">
        <f>Предпосылки!AR$232*Предпосылки!$H260*Продажи!AS25*AS$19*(1+Чувствительность!$D$20)*IFERROR(LOOKUP(Предпосылки!$H$205,$C$13:$C$15,AS$13:AS$15),1)</f>
        <v>0</v>
      </c>
      <c s="125">
        <f>Предпосылки!AS$232*Предпосылки!$H260*Продажи!AT25*AT$19*(1+Чувствительность!$D$20)*IFERROR(LOOKUP(Предпосылки!$H$205,$C$13:$C$15,AT$13:AT$15),1)</f>
        <v>0</v>
      </c>
      <c s="125">
        <f>Предпосылки!AT$232*Предпосылки!$H260*Продажи!AU25*AU$19*(1+Чувствительность!$D$20)*IFERROR(LOOKUP(Предпосылки!$H$205,$C$13:$C$15,AU$13:AU$15),1)</f>
        <v>0</v>
      </c>
      <c s="125">
        <f>Предпосылки!AU$232*Предпосылки!$H260*Продажи!AV25*AV$19*(1+Чувствительность!$D$20)*IFERROR(LOOKUP(Предпосылки!$H$205,$C$13:$C$15,AV$13:AV$15),1)</f>
        <v>0</v>
      </c>
      <c s="125">
        <f>Предпосылки!AV$232*Предпосылки!$H260*Продажи!AW25*AW$19*(1+Чувствительность!$D$20)*IFERROR(LOOKUP(Предпосылки!$H$205,$C$13:$C$15,AW$13:AW$15),1)</f>
        <v>0</v>
      </c>
      <c s="125">
        <f>Предпосылки!AW$232*Предпосылки!$H260*Продажи!AX25*AX$19*(1+Чувствительность!$D$20)*IFERROR(LOOKUP(Предпосылки!$H$205,$C$13:$C$15,AX$13:AX$15),1)</f>
        <v>0</v>
      </c>
      <c s="125">
        <f>Предпосылки!AX$232*Предпосылки!$H260*Продажи!AY25*AY$19*(1+Чувствительность!$D$20)*IFERROR(LOOKUP(Предпосылки!$H$205,$C$13:$C$15,AY$13:AY$15),1)</f>
        <v>0</v>
      </c>
      <c s="125">
        <f>Предпосылки!AY$232*Предпосылки!$H260*Продажи!AZ25*AZ$19*(1+Чувствительность!$D$20)*IFERROR(LOOKUP(Предпосылки!$H$205,$C$13:$C$15,AZ$13:AZ$15),1)</f>
        <v>0</v>
      </c>
      <c s="125">
        <f>Предпосылки!AZ$232*Предпосылки!$H260*Продажи!BA25*BA$19*(1+Чувствительность!$D$20)*IFERROR(LOOKUP(Предпосылки!$H$205,$C$13:$C$15,BA$13:BA$15),1)</f>
        <v>0</v>
      </c>
      <c s="125">
        <f>Предпосылки!BA$232*Предпосылки!$H260*Продажи!BB25*BB$19*(1+Чувствительность!$D$20)*IFERROR(LOOKUP(Предпосылки!$H$205,$C$13:$C$15,BB$13:BB$15),1)</f>
        <v>0</v>
      </c>
      <c s="125">
        <f>Предпосылки!BB$232*Предпосылки!$H260*Продажи!BC25*BC$19*(1+Чувствительность!$D$20)*IFERROR(LOOKUP(Предпосылки!$H$205,$C$13:$C$15,BC$13:BC$15),1)</f>
        <v>0</v>
      </c>
      <c s="125">
        <f>Предпосылки!BC$232*Предпосылки!$H260*Продажи!BD25*BD$19*(1+Чувствительность!$D$20)*IFERROR(LOOKUP(Предпосылки!$H$205,$C$13:$C$15,BD$13:BD$15),1)</f>
        <v>0</v>
      </c>
      <c s="125">
        <f>Предпосылки!BD$232*Предпосылки!$H260*Продажи!BE25*BE$19*(1+Чувствительность!$D$20)*IFERROR(LOOKUP(Предпосылки!$H$205,$C$13:$C$15,BE$13:BE$15),1)</f>
        <v>0</v>
      </c>
      <c s="125">
        <f>Предпосылки!BE$232*Предпосылки!$H260*Продажи!BF25*BF$19*(1+Чувствительность!$D$20)*IFERROR(LOOKUP(Предпосылки!$H$205,$C$13:$C$15,BF$13:BF$15),1)</f>
        <v>0</v>
      </c>
      <c s="125">
        <f>Предпосылки!BF$232*Предпосылки!$H260*Продажи!BG25*BG$19*(1+Чувствительность!$D$20)*IFERROR(LOOKUP(Предпосылки!$H$205,$C$13:$C$15,BG$13:BG$15),1)</f>
        <v>0</v>
      </c>
      <c s="125">
        <f>Предпосылки!BG$232*Предпосылки!$H260*Продажи!BH25*BH$19*(1+Чувствительность!$D$20)*IFERROR(LOOKUP(Предпосылки!$H$205,$C$13:$C$15,BH$13:BH$15),1)</f>
        <v>0</v>
      </c>
      <c s="125">
        <f>Предпосылки!BH$232*Предпосылки!$H260*Продажи!BI25*BI$19*(1+Чувствительность!$D$20)*IFERROR(LOOKUP(Предпосылки!$H$205,$C$13:$C$15,BI$13:BI$15),1)</f>
        <v>0</v>
      </c>
      <c s="125">
        <f>Предпосылки!BI$232*Предпосылки!$H260*Продажи!BJ25*BJ$19*(1+Чувствительность!$D$20)*IFERROR(LOOKUP(Предпосылки!$H$205,$C$13:$C$15,BJ$13:BJ$15),1)</f>
        <v>0</v>
      </c>
      <c s="125">
        <f>Предпосылки!BJ$232*Предпосылки!$H260*Продажи!BK25*BK$19*(1+Чувствительность!$D$20)*IFERROR(LOOKUP(Предпосылки!$H$205,$C$13:$C$15,BK$13:BK$15),1)</f>
        <v>0</v>
      </c>
      <c s="125">
        <f>Предпосылки!BK$232*Предпосылки!$H260*Продажи!BL25*BL$19*(1+Чувствительность!$D$20)*IFERROR(LOOKUP(Предпосылки!$H$205,$C$13:$C$15,BL$13:BL$15),1)</f>
        <v>0</v>
      </c>
      <c s="125">
        <f>Предпосылки!BL$232*Предпосылки!$H260*Продажи!BM25*BM$19*(1+Чувствительность!$D$20)*IFERROR(LOOKUP(Предпосылки!$H$205,$C$13:$C$15,BM$13:BM$15),1)</f>
        <v>0</v>
      </c>
    </row>
    <row r="123" spans="2:65" ht="15" customHeight="1">
      <c r="B123" s="12" t="str">
        <f t="shared" si="81"/>
        <v>Продукт 9</v>
      </c>
      <c s="124" t="str">
        <f t="shared" si="80"/>
        <v>тыс. руб.</v>
      </c>
      <c s="276">
        <f t="shared" si="82"/>
        <v>0</v>
      </c>
      <c s="125">
        <f>Предпосылки!D$232*Предпосылки!$H261*Продажи!E26*E$19*(1+Чувствительность!$D$20)*IFERROR(LOOKUP(Предпосылки!$H$205,$C$13:$C$15,E$13:E$15),1)</f>
        <v>0</v>
      </c>
      <c s="125">
        <f>Предпосылки!E$232*Предпосылки!$H261*Продажи!F26*F$19*(1+Чувствительность!$D$20)*IFERROR(LOOKUP(Предпосылки!$H$205,$C$13:$C$15,F$13:F$15),1)</f>
        <v>0</v>
      </c>
      <c s="125">
        <f>Предпосылки!F$232*Предпосылки!$H261*Продажи!G26*G$19*(1+Чувствительность!$D$20)*IFERROR(LOOKUP(Предпосылки!$H$205,$C$13:$C$15,G$13:G$15),1)</f>
        <v>0</v>
      </c>
      <c s="125">
        <f>Предпосылки!G$232*Предпосылки!$H261*Продажи!H26*H$19*(1+Чувствительность!$D$20)*IFERROR(LOOKUP(Предпосылки!$H$205,$C$13:$C$15,H$13:H$15),1)</f>
        <v>0</v>
      </c>
      <c s="125">
        <f>Предпосылки!H$232*Предпосылки!$H261*Продажи!I26*I$19*(1+Чувствительность!$D$20)*IFERROR(LOOKUP(Предпосылки!$H$205,$C$13:$C$15,I$13:I$15),1)</f>
        <v>0</v>
      </c>
      <c s="125">
        <f>Предпосылки!I$232*Предпосылки!$H261*Продажи!J26*J$19*(1+Чувствительность!$D$20)*IFERROR(LOOKUP(Предпосылки!$H$205,$C$13:$C$15,J$13:J$15),1)</f>
        <v>0</v>
      </c>
      <c s="125">
        <f>Предпосылки!J$232*Предпосылки!$H261*Продажи!K26*K$19*(1+Чувствительность!$D$20)*IFERROR(LOOKUP(Предпосылки!$H$205,$C$13:$C$15,K$13:K$15),1)</f>
        <v>0</v>
      </c>
      <c s="125">
        <f>Предпосылки!K$232*Предпосылки!$H261*Продажи!L26*L$19*(1+Чувствительность!$D$20)*IFERROR(LOOKUP(Предпосылки!$H$205,$C$13:$C$15,L$13:L$15),1)</f>
        <v>0</v>
      </c>
      <c s="125">
        <f>Предпосылки!L$232*Предпосылки!$H261*Продажи!M26*M$19*(1+Чувствительность!$D$20)*IFERROR(LOOKUP(Предпосылки!$H$205,$C$13:$C$15,M$13:M$15),1)</f>
        <v>0</v>
      </c>
      <c s="125">
        <f>Предпосылки!M$232*Предпосылки!$H261*Продажи!N26*N$19*(1+Чувствительность!$D$20)*IFERROR(LOOKUP(Предпосылки!$H$205,$C$13:$C$15,N$13:N$15),1)</f>
        <v>0</v>
      </c>
      <c s="125">
        <f>Предпосылки!N$232*Предпосылки!$H261*Продажи!O26*O$19*(1+Чувствительность!$D$20)*IFERROR(LOOKUP(Предпосылки!$H$205,$C$13:$C$15,O$13:O$15),1)</f>
        <v>0</v>
      </c>
      <c s="125">
        <f>Предпосылки!O$232*Предпосылки!$H261*Продажи!P26*P$19*(1+Чувствительность!$D$20)*IFERROR(LOOKUP(Предпосылки!$H$205,$C$13:$C$15,P$13:P$15),1)</f>
        <v>0</v>
      </c>
      <c s="125">
        <f>Предпосылки!P$232*Предпосылки!$H261*Продажи!Q26*Q$19*(1+Чувствительность!$D$20)*IFERROR(LOOKUP(Предпосылки!$H$205,$C$13:$C$15,Q$13:Q$15),1)</f>
        <v>0</v>
      </c>
      <c s="125">
        <f>Предпосылки!Q$232*Предпосылки!$H261*Продажи!R26*R$19*(1+Чувствительность!$D$20)*IFERROR(LOOKUP(Предпосылки!$H$205,$C$13:$C$15,R$13:R$15),1)</f>
        <v>0</v>
      </c>
      <c s="125">
        <f>Предпосылки!R$232*Предпосылки!$H261*Продажи!S26*S$19*(1+Чувствительность!$D$20)*IFERROR(LOOKUP(Предпосылки!$H$205,$C$13:$C$15,S$13:S$15),1)</f>
        <v>0</v>
      </c>
      <c s="125">
        <f>Предпосылки!S$232*Предпосылки!$H261*Продажи!T26*T$19*(1+Чувствительность!$D$20)*IFERROR(LOOKUP(Предпосылки!$H$205,$C$13:$C$15,T$13:T$15),1)</f>
        <v>0</v>
      </c>
      <c s="125">
        <f>Предпосылки!T$232*Предпосылки!$H261*Продажи!U26*U$19*(1+Чувствительность!$D$20)*IFERROR(LOOKUP(Предпосылки!$H$205,$C$13:$C$15,U$13:U$15),1)</f>
        <v>0</v>
      </c>
      <c s="125">
        <f>Предпосылки!U$232*Предпосылки!$H261*Продажи!V26*V$19*(1+Чувствительность!$D$20)*IFERROR(LOOKUP(Предпосылки!$H$205,$C$13:$C$15,V$13:V$15),1)</f>
        <v>0</v>
      </c>
      <c s="125">
        <f>Предпосылки!V$232*Предпосылки!$H261*Продажи!W26*W$19*(1+Чувствительность!$D$20)*IFERROR(LOOKUP(Предпосылки!$H$205,$C$13:$C$15,W$13:W$15),1)</f>
        <v>0</v>
      </c>
      <c s="125">
        <f>Предпосылки!W$232*Предпосылки!$H261*Продажи!X26*X$19*(1+Чувствительность!$D$20)*IFERROR(LOOKUP(Предпосылки!$H$205,$C$13:$C$15,X$13:X$15),1)</f>
        <v>0</v>
      </c>
      <c s="125">
        <f>Предпосылки!X$232*Предпосылки!$H261*Продажи!Y26*Y$19*(1+Чувствительность!$D$20)*IFERROR(LOOKUP(Предпосылки!$H$205,$C$13:$C$15,Y$13:Y$15),1)</f>
        <v>0</v>
      </c>
      <c s="125">
        <f>Предпосылки!Y$232*Предпосылки!$H261*Продажи!Z26*Z$19*(1+Чувствительность!$D$20)*IFERROR(LOOKUP(Предпосылки!$H$205,$C$13:$C$15,Z$13:Z$15),1)</f>
        <v>0</v>
      </c>
      <c s="125">
        <f>Предпосылки!Z$232*Предпосылки!$H261*Продажи!AA26*AA$19*(1+Чувствительность!$D$20)*IFERROR(LOOKUP(Предпосылки!$H$205,$C$13:$C$15,AA$13:AA$15),1)</f>
        <v>0</v>
      </c>
      <c s="125">
        <f>Предпосылки!AA$232*Предпосылки!$H261*Продажи!AB26*AB$19*(1+Чувствительность!$D$20)*IFERROR(LOOKUP(Предпосылки!$H$205,$C$13:$C$15,AB$13:AB$15),1)</f>
        <v>0</v>
      </c>
      <c s="125">
        <f>Предпосылки!AB$232*Предпосылки!$H261*Продажи!AC26*AC$19*(1+Чувствительность!$D$20)*IFERROR(LOOKUP(Предпосылки!$H$205,$C$13:$C$15,AC$13:AC$15),1)</f>
        <v>0</v>
      </c>
      <c s="125">
        <f>Предпосылки!AC$232*Предпосылки!$H261*Продажи!AD26*AD$19*(1+Чувствительность!$D$20)*IFERROR(LOOKUP(Предпосылки!$H$205,$C$13:$C$15,AD$13:AD$15),1)</f>
        <v>0</v>
      </c>
      <c s="125">
        <f>Предпосылки!AD$232*Предпосылки!$H261*Продажи!AE26*AE$19*(1+Чувствительность!$D$20)*IFERROR(LOOKUP(Предпосылки!$H$205,$C$13:$C$15,AE$13:AE$15),1)</f>
        <v>0</v>
      </c>
      <c s="125">
        <f>Предпосылки!AE$232*Предпосылки!$H261*Продажи!AF26*AF$19*(1+Чувствительность!$D$20)*IFERROR(LOOKUP(Предпосылки!$H$205,$C$13:$C$15,AF$13:AF$15),1)</f>
        <v>0</v>
      </c>
      <c s="125">
        <f>Предпосылки!AF$232*Предпосылки!$H261*Продажи!AG26*AG$19*(1+Чувствительность!$D$20)*IFERROR(LOOKUP(Предпосылки!$H$205,$C$13:$C$15,AG$13:AG$15),1)</f>
        <v>0</v>
      </c>
      <c s="125">
        <f>Предпосылки!AG$232*Предпосылки!$H261*Продажи!AH26*AH$19*(1+Чувствительность!$D$20)*IFERROR(LOOKUP(Предпосылки!$H$205,$C$13:$C$15,AH$13:AH$15),1)</f>
        <v>0</v>
      </c>
      <c s="125">
        <f>Предпосылки!AH$232*Предпосылки!$H261*Продажи!AI26*AI$19*(1+Чувствительность!$D$20)*IFERROR(LOOKUP(Предпосылки!$H$205,$C$13:$C$15,AI$13:AI$15),1)</f>
        <v>0</v>
      </c>
      <c s="125">
        <f>Предпосылки!AI$232*Предпосылки!$H261*Продажи!AJ26*AJ$19*(1+Чувствительность!$D$20)*IFERROR(LOOKUP(Предпосылки!$H$205,$C$13:$C$15,AJ$13:AJ$15),1)</f>
        <v>0</v>
      </c>
      <c s="125">
        <f>Предпосылки!AJ$232*Предпосылки!$H261*Продажи!AK26*AK$19*(1+Чувствительность!$D$20)*IFERROR(LOOKUP(Предпосылки!$H$205,$C$13:$C$15,AK$13:AK$15),1)</f>
        <v>0</v>
      </c>
      <c s="125">
        <f>Предпосылки!AK$232*Предпосылки!$H261*Продажи!AL26*AL$19*(1+Чувствительность!$D$20)*IFERROR(LOOKUP(Предпосылки!$H$205,$C$13:$C$15,AL$13:AL$15),1)</f>
        <v>0</v>
      </c>
      <c s="125">
        <f>Предпосылки!AL$232*Предпосылки!$H261*Продажи!AM26*AM$19*(1+Чувствительность!$D$20)*IFERROR(LOOKUP(Предпосылки!$H$205,$C$13:$C$15,AM$13:AM$15),1)</f>
        <v>0</v>
      </c>
      <c s="125">
        <f>Предпосылки!AM$232*Предпосылки!$H261*Продажи!AN26*AN$19*(1+Чувствительность!$D$20)*IFERROR(LOOKUP(Предпосылки!$H$205,$C$13:$C$15,AN$13:AN$15),1)</f>
        <v>0</v>
      </c>
      <c s="125">
        <f>Предпосылки!AN$232*Предпосылки!$H261*Продажи!AO26*AO$19*(1+Чувствительность!$D$20)*IFERROR(LOOKUP(Предпосылки!$H$205,$C$13:$C$15,AO$13:AO$15),1)</f>
        <v>0</v>
      </c>
      <c s="125">
        <f>Предпосылки!AO$232*Предпосылки!$H261*Продажи!AP26*AP$19*(1+Чувствительность!$D$20)*IFERROR(LOOKUP(Предпосылки!$H$205,$C$13:$C$15,AP$13:AP$15),1)</f>
        <v>0</v>
      </c>
      <c s="125">
        <f>Предпосылки!AP$232*Предпосылки!$H261*Продажи!AQ26*AQ$19*(1+Чувствительность!$D$20)*IFERROR(LOOKUP(Предпосылки!$H$205,$C$13:$C$15,AQ$13:AQ$15),1)</f>
        <v>0</v>
      </c>
      <c s="125">
        <f>Предпосылки!AQ$232*Предпосылки!$H261*Продажи!AR26*AR$19*(1+Чувствительность!$D$20)*IFERROR(LOOKUP(Предпосылки!$H$205,$C$13:$C$15,AR$13:AR$15),1)</f>
        <v>0</v>
      </c>
      <c s="125">
        <f>Предпосылки!AR$232*Предпосылки!$H261*Продажи!AS26*AS$19*(1+Чувствительность!$D$20)*IFERROR(LOOKUP(Предпосылки!$H$205,$C$13:$C$15,AS$13:AS$15),1)</f>
        <v>0</v>
      </c>
      <c s="125">
        <f>Предпосылки!AS$232*Предпосылки!$H261*Продажи!AT26*AT$19*(1+Чувствительность!$D$20)*IFERROR(LOOKUP(Предпосылки!$H$205,$C$13:$C$15,AT$13:AT$15),1)</f>
        <v>0</v>
      </c>
      <c s="125">
        <f>Предпосылки!AT$232*Предпосылки!$H261*Продажи!AU26*AU$19*(1+Чувствительность!$D$20)*IFERROR(LOOKUP(Предпосылки!$H$205,$C$13:$C$15,AU$13:AU$15),1)</f>
        <v>0</v>
      </c>
      <c s="125">
        <f>Предпосылки!AU$232*Предпосылки!$H261*Продажи!AV26*AV$19*(1+Чувствительность!$D$20)*IFERROR(LOOKUP(Предпосылки!$H$205,$C$13:$C$15,AV$13:AV$15),1)</f>
        <v>0</v>
      </c>
      <c s="125">
        <f>Предпосылки!AV$232*Предпосылки!$H261*Продажи!AW26*AW$19*(1+Чувствительность!$D$20)*IFERROR(LOOKUP(Предпосылки!$H$205,$C$13:$C$15,AW$13:AW$15),1)</f>
        <v>0</v>
      </c>
      <c s="125">
        <f>Предпосылки!AW$232*Предпосылки!$H261*Продажи!AX26*AX$19*(1+Чувствительность!$D$20)*IFERROR(LOOKUP(Предпосылки!$H$205,$C$13:$C$15,AX$13:AX$15),1)</f>
        <v>0</v>
      </c>
      <c s="125">
        <f>Предпосылки!AX$232*Предпосылки!$H261*Продажи!AY26*AY$19*(1+Чувствительность!$D$20)*IFERROR(LOOKUP(Предпосылки!$H$205,$C$13:$C$15,AY$13:AY$15),1)</f>
        <v>0</v>
      </c>
      <c s="125">
        <f>Предпосылки!AY$232*Предпосылки!$H261*Продажи!AZ26*AZ$19*(1+Чувствительность!$D$20)*IFERROR(LOOKUP(Предпосылки!$H$205,$C$13:$C$15,AZ$13:AZ$15),1)</f>
        <v>0</v>
      </c>
      <c s="125">
        <f>Предпосылки!AZ$232*Предпосылки!$H261*Продажи!BA26*BA$19*(1+Чувствительность!$D$20)*IFERROR(LOOKUP(Предпосылки!$H$205,$C$13:$C$15,BA$13:BA$15),1)</f>
        <v>0</v>
      </c>
      <c s="125">
        <f>Предпосылки!BA$232*Предпосылки!$H261*Продажи!BB26*BB$19*(1+Чувствительность!$D$20)*IFERROR(LOOKUP(Предпосылки!$H$205,$C$13:$C$15,BB$13:BB$15),1)</f>
        <v>0</v>
      </c>
      <c s="125">
        <f>Предпосылки!BB$232*Предпосылки!$H261*Продажи!BC26*BC$19*(1+Чувствительность!$D$20)*IFERROR(LOOKUP(Предпосылки!$H$205,$C$13:$C$15,BC$13:BC$15),1)</f>
        <v>0</v>
      </c>
      <c s="125">
        <f>Предпосылки!BC$232*Предпосылки!$H261*Продажи!BD26*BD$19*(1+Чувствительность!$D$20)*IFERROR(LOOKUP(Предпосылки!$H$205,$C$13:$C$15,BD$13:BD$15),1)</f>
        <v>0</v>
      </c>
      <c s="125">
        <f>Предпосылки!BD$232*Предпосылки!$H261*Продажи!BE26*BE$19*(1+Чувствительность!$D$20)*IFERROR(LOOKUP(Предпосылки!$H$205,$C$13:$C$15,BE$13:BE$15),1)</f>
        <v>0</v>
      </c>
      <c s="125">
        <f>Предпосылки!BE$232*Предпосылки!$H261*Продажи!BF26*BF$19*(1+Чувствительность!$D$20)*IFERROR(LOOKUP(Предпосылки!$H$205,$C$13:$C$15,BF$13:BF$15),1)</f>
        <v>0</v>
      </c>
      <c s="125">
        <f>Предпосылки!BF$232*Предпосылки!$H261*Продажи!BG26*BG$19*(1+Чувствительность!$D$20)*IFERROR(LOOKUP(Предпосылки!$H$205,$C$13:$C$15,BG$13:BG$15),1)</f>
        <v>0</v>
      </c>
      <c s="125">
        <f>Предпосылки!BG$232*Предпосылки!$H261*Продажи!BH26*BH$19*(1+Чувствительность!$D$20)*IFERROR(LOOKUP(Предпосылки!$H$205,$C$13:$C$15,BH$13:BH$15),1)</f>
        <v>0</v>
      </c>
      <c s="125">
        <f>Предпосылки!BH$232*Предпосылки!$H261*Продажи!BI26*BI$19*(1+Чувствительность!$D$20)*IFERROR(LOOKUP(Предпосылки!$H$205,$C$13:$C$15,BI$13:BI$15),1)</f>
        <v>0</v>
      </c>
      <c s="125">
        <f>Предпосылки!BI$232*Предпосылки!$H261*Продажи!BJ26*BJ$19*(1+Чувствительность!$D$20)*IFERROR(LOOKUP(Предпосылки!$H$205,$C$13:$C$15,BJ$13:BJ$15),1)</f>
        <v>0</v>
      </c>
      <c s="125">
        <f>Предпосылки!BJ$232*Предпосылки!$H261*Продажи!BK26*BK$19*(1+Чувствительность!$D$20)*IFERROR(LOOKUP(Предпосылки!$H$205,$C$13:$C$15,BK$13:BK$15),1)</f>
        <v>0</v>
      </c>
      <c s="125">
        <f>Предпосылки!BK$232*Предпосылки!$H261*Продажи!BL26*BL$19*(1+Чувствительность!$D$20)*IFERROR(LOOKUP(Предпосылки!$H$205,$C$13:$C$15,BL$13:BL$15),1)</f>
        <v>0</v>
      </c>
      <c s="125">
        <f>Предпосылки!BL$232*Предпосылки!$H261*Продажи!BM26*BM$19*(1+Чувствительность!$D$20)*IFERROR(LOOKUP(Предпосылки!$H$205,$C$13:$C$15,BM$13:BM$15),1)</f>
        <v>0</v>
      </c>
    </row>
    <row r="124" spans="2:65" ht="15" customHeight="1">
      <c r="B124" s="12" t="str">
        <f t="shared" si="81"/>
        <v>Продукт 10</v>
      </c>
      <c s="124" t="str">
        <f t="shared" si="80"/>
        <v>тыс. руб.</v>
      </c>
      <c s="276">
        <f t="shared" si="82"/>
        <v>0</v>
      </c>
      <c s="125">
        <f>Предпосылки!D$232*Предпосылки!$H262*Продажи!E27*E$19*(1+Чувствительность!$D$20)*IFERROR(LOOKUP(Предпосылки!$H$205,$C$13:$C$15,E$13:E$15),1)</f>
        <v>0</v>
      </c>
      <c s="125">
        <f>Предпосылки!E$232*Предпосылки!$H262*Продажи!F27*F$19*(1+Чувствительность!$D$20)*IFERROR(LOOKUP(Предпосылки!$H$205,$C$13:$C$15,F$13:F$15),1)</f>
        <v>0</v>
      </c>
      <c s="125">
        <f>Предпосылки!F$232*Предпосылки!$H262*Продажи!G27*G$19*(1+Чувствительность!$D$20)*IFERROR(LOOKUP(Предпосылки!$H$205,$C$13:$C$15,G$13:G$15),1)</f>
        <v>0</v>
      </c>
      <c s="125">
        <f>Предпосылки!G$232*Предпосылки!$H262*Продажи!H27*H$19*(1+Чувствительность!$D$20)*IFERROR(LOOKUP(Предпосылки!$H$205,$C$13:$C$15,H$13:H$15),1)</f>
        <v>0</v>
      </c>
      <c s="125">
        <f>Предпосылки!H$232*Предпосылки!$H262*Продажи!I27*I$19*(1+Чувствительность!$D$20)*IFERROR(LOOKUP(Предпосылки!$H$205,$C$13:$C$15,I$13:I$15),1)</f>
        <v>0</v>
      </c>
      <c s="125">
        <f>Предпосылки!I$232*Предпосылки!$H262*Продажи!J27*J$19*(1+Чувствительность!$D$20)*IFERROR(LOOKUP(Предпосылки!$H$205,$C$13:$C$15,J$13:J$15),1)</f>
        <v>0</v>
      </c>
      <c s="125">
        <f>Предпосылки!J$232*Предпосылки!$H262*Продажи!K27*K$19*(1+Чувствительность!$D$20)*IFERROR(LOOKUP(Предпосылки!$H$205,$C$13:$C$15,K$13:K$15),1)</f>
        <v>0</v>
      </c>
      <c s="125">
        <f>Предпосылки!K$232*Предпосылки!$H262*Продажи!L27*L$19*(1+Чувствительность!$D$20)*IFERROR(LOOKUP(Предпосылки!$H$205,$C$13:$C$15,L$13:L$15),1)</f>
        <v>0</v>
      </c>
      <c s="125">
        <f>Предпосылки!L$232*Предпосылки!$H262*Продажи!M27*M$19*(1+Чувствительность!$D$20)*IFERROR(LOOKUP(Предпосылки!$H$205,$C$13:$C$15,M$13:M$15),1)</f>
        <v>0</v>
      </c>
      <c s="125">
        <f>Предпосылки!M$232*Предпосылки!$H262*Продажи!N27*N$19*(1+Чувствительность!$D$20)*IFERROR(LOOKUP(Предпосылки!$H$205,$C$13:$C$15,N$13:N$15),1)</f>
        <v>0</v>
      </c>
      <c s="125">
        <f>Предпосылки!N$232*Предпосылки!$H262*Продажи!O27*O$19*(1+Чувствительность!$D$20)*IFERROR(LOOKUP(Предпосылки!$H$205,$C$13:$C$15,O$13:O$15),1)</f>
        <v>0</v>
      </c>
      <c s="125">
        <f>Предпосылки!O$232*Предпосылки!$H262*Продажи!P27*P$19*(1+Чувствительность!$D$20)*IFERROR(LOOKUP(Предпосылки!$H$205,$C$13:$C$15,P$13:P$15),1)</f>
        <v>0</v>
      </c>
      <c s="125">
        <f>Предпосылки!P$232*Предпосылки!$H262*Продажи!Q27*Q$19*(1+Чувствительность!$D$20)*IFERROR(LOOKUP(Предпосылки!$H$205,$C$13:$C$15,Q$13:Q$15),1)</f>
        <v>0</v>
      </c>
      <c s="125">
        <f>Предпосылки!Q$232*Предпосылки!$H262*Продажи!R27*R$19*(1+Чувствительность!$D$20)*IFERROR(LOOKUP(Предпосылки!$H$205,$C$13:$C$15,R$13:R$15),1)</f>
        <v>0</v>
      </c>
      <c s="125">
        <f>Предпосылки!R$232*Предпосылки!$H262*Продажи!S27*S$19*(1+Чувствительность!$D$20)*IFERROR(LOOKUP(Предпосылки!$H$205,$C$13:$C$15,S$13:S$15),1)</f>
        <v>0</v>
      </c>
      <c s="125">
        <f>Предпосылки!S$232*Предпосылки!$H262*Продажи!T27*T$19*(1+Чувствительность!$D$20)*IFERROR(LOOKUP(Предпосылки!$H$205,$C$13:$C$15,T$13:T$15),1)</f>
        <v>0</v>
      </c>
      <c s="125">
        <f>Предпосылки!T$232*Предпосылки!$H262*Продажи!U27*U$19*(1+Чувствительность!$D$20)*IFERROR(LOOKUP(Предпосылки!$H$205,$C$13:$C$15,U$13:U$15),1)</f>
        <v>0</v>
      </c>
      <c s="125">
        <f>Предпосылки!U$232*Предпосылки!$H262*Продажи!V27*V$19*(1+Чувствительность!$D$20)*IFERROR(LOOKUP(Предпосылки!$H$205,$C$13:$C$15,V$13:V$15),1)</f>
        <v>0</v>
      </c>
      <c s="125">
        <f>Предпосылки!V$232*Предпосылки!$H262*Продажи!W27*W$19*(1+Чувствительность!$D$20)*IFERROR(LOOKUP(Предпосылки!$H$205,$C$13:$C$15,W$13:W$15),1)</f>
        <v>0</v>
      </c>
      <c s="125">
        <f>Предпосылки!W$232*Предпосылки!$H262*Продажи!X27*X$19*(1+Чувствительность!$D$20)*IFERROR(LOOKUP(Предпосылки!$H$205,$C$13:$C$15,X$13:X$15),1)</f>
        <v>0</v>
      </c>
      <c s="125">
        <f>Предпосылки!X$232*Предпосылки!$H262*Продажи!Y27*Y$19*(1+Чувствительность!$D$20)*IFERROR(LOOKUP(Предпосылки!$H$205,$C$13:$C$15,Y$13:Y$15),1)</f>
        <v>0</v>
      </c>
      <c s="125">
        <f>Предпосылки!Y$232*Предпосылки!$H262*Продажи!Z27*Z$19*(1+Чувствительность!$D$20)*IFERROR(LOOKUP(Предпосылки!$H$205,$C$13:$C$15,Z$13:Z$15),1)</f>
        <v>0</v>
      </c>
      <c s="125">
        <f>Предпосылки!Z$232*Предпосылки!$H262*Продажи!AA27*AA$19*(1+Чувствительность!$D$20)*IFERROR(LOOKUP(Предпосылки!$H$205,$C$13:$C$15,AA$13:AA$15),1)</f>
        <v>0</v>
      </c>
      <c s="125">
        <f>Предпосылки!AA$232*Предпосылки!$H262*Продажи!AB27*AB$19*(1+Чувствительность!$D$20)*IFERROR(LOOKUP(Предпосылки!$H$205,$C$13:$C$15,AB$13:AB$15),1)</f>
        <v>0</v>
      </c>
      <c s="125">
        <f>Предпосылки!AB$232*Предпосылки!$H262*Продажи!AC27*AC$19*(1+Чувствительность!$D$20)*IFERROR(LOOKUP(Предпосылки!$H$205,$C$13:$C$15,AC$13:AC$15),1)</f>
        <v>0</v>
      </c>
      <c s="125">
        <f>Предпосылки!AC$232*Предпосылки!$H262*Продажи!AD27*AD$19*(1+Чувствительность!$D$20)*IFERROR(LOOKUP(Предпосылки!$H$205,$C$13:$C$15,AD$13:AD$15),1)</f>
        <v>0</v>
      </c>
      <c s="125">
        <f>Предпосылки!AD$232*Предпосылки!$H262*Продажи!AE27*AE$19*(1+Чувствительность!$D$20)*IFERROR(LOOKUP(Предпосылки!$H$205,$C$13:$C$15,AE$13:AE$15),1)</f>
        <v>0</v>
      </c>
      <c s="125">
        <f>Предпосылки!AE$232*Предпосылки!$H262*Продажи!AF27*AF$19*(1+Чувствительность!$D$20)*IFERROR(LOOKUP(Предпосылки!$H$205,$C$13:$C$15,AF$13:AF$15),1)</f>
        <v>0</v>
      </c>
      <c s="125">
        <f>Предпосылки!AF$232*Предпосылки!$H262*Продажи!AG27*AG$19*(1+Чувствительность!$D$20)*IFERROR(LOOKUP(Предпосылки!$H$205,$C$13:$C$15,AG$13:AG$15),1)</f>
        <v>0</v>
      </c>
      <c s="125">
        <f>Предпосылки!AG$232*Предпосылки!$H262*Продажи!AH27*AH$19*(1+Чувствительность!$D$20)*IFERROR(LOOKUP(Предпосылки!$H$205,$C$13:$C$15,AH$13:AH$15),1)</f>
        <v>0</v>
      </c>
      <c s="125">
        <f>Предпосылки!AH$232*Предпосылки!$H262*Продажи!AI27*AI$19*(1+Чувствительность!$D$20)*IFERROR(LOOKUP(Предпосылки!$H$205,$C$13:$C$15,AI$13:AI$15),1)</f>
        <v>0</v>
      </c>
      <c s="125">
        <f>Предпосылки!AI$232*Предпосылки!$H262*Продажи!AJ27*AJ$19*(1+Чувствительность!$D$20)*IFERROR(LOOKUP(Предпосылки!$H$205,$C$13:$C$15,AJ$13:AJ$15),1)</f>
        <v>0</v>
      </c>
      <c s="125">
        <f>Предпосылки!AJ$232*Предпосылки!$H262*Продажи!AK27*AK$19*(1+Чувствительность!$D$20)*IFERROR(LOOKUP(Предпосылки!$H$205,$C$13:$C$15,AK$13:AK$15),1)</f>
        <v>0</v>
      </c>
      <c s="125">
        <f>Предпосылки!AK$232*Предпосылки!$H262*Продажи!AL27*AL$19*(1+Чувствительность!$D$20)*IFERROR(LOOKUP(Предпосылки!$H$205,$C$13:$C$15,AL$13:AL$15),1)</f>
        <v>0</v>
      </c>
      <c s="125">
        <f>Предпосылки!AL$232*Предпосылки!$H262*Продажи!AM27*AM$19*(1+Чувствительность!$D$20)*IFERROR(LOOKUP(Предпосылки!$H$205,$C$13:$C$15,AM$13:AM$15),1)</f>
        <v>0</v>
      </c>
      <c s="125">
        <f>Предпосылки!AM$232*Предпосылки!$H262*Продажи!AN27*AN$19*(1+Чувствительность!$D$20)*IFERROR(LOOKUP(Предпосылки!$H$205,$C$13:$C$15,AN$13:AN$15),1)</f>
        <v>0</v>
      </c>
      <c s="125">
        <f>Предпосылки!AN$232*Предпосылки!$H262*Продажи!AO27*AO$19*(1+Чувствительность!$D$20)*IFERROR(LOOKUP(Предпосылки!$H$205,$C$13:$C$15,AO$13:AO$15),1)</f>
        <v>0</v>
      </c>
      <c s="125">
        <f>Предпосылки!AO$232*Предпосылки!$H262*Продажи!AP27*AP$19*(1+Чувствительность!$D$20)*IFERROR(LOOKUP(Предпосылки!$H$205,$C$13:$C$15,AP$13:AP$15),1)</f>
        <v>0</v>
      </c>
      <c s="125">
        <f>Предпосылки!AP$232*Предпосылки!$H262*Продажи!AQ27*AQ$19*(1+Чувствительность!$D$20)*IFERROR(LOOKUP(Предпосылки!$H$205,$C$13:$C$15,AQ$13:AQ$15),1)</f>
        <v>0</v>
      </c>
      <c s="125">
        <f>Предпосылки!AQ$232*Предпосылки!$H262*Продажи!AR27*AR$19*(1+Чувствительность!$D$20)*IFERROR(LOOKUP(Предпосылки!$H$205,$C$13:$C$15,AR$13:AR$15),1)</f>
        <v>0</v>
      </c>
      <c s="125">
        <f>Предпосылки!AR$232*Предпосылки!$H262*Продажи!AS27*AS$19*(1+Чувствительность!$D$20)*IFERROR(LOOKUP(Предпосылки!$H$205,$C$13:$C$15,AS$13:AS$15),1)</f>
        <v>0</v>
      </c>
      <c s="125">
        <f>Предпосылки!AS$232*Предпосылки!$H262*Продажи!AT27*AT$19*(1+Чувствительность!$D$20)*IFERROR(LOOKUP(Предпосылки!$H$205,$C$13:$C$15,AT$13:AT$15),1)</f>
        <v>0</v>
      </c>
      <c s="125">
        <f>Предпосылки!AT$232*Предпосылки!$H262*Продажи!AU27*AU$19*(1+Чувствительность!$D$20)*IFERROR(LOOKUP(Предпосылки!$H$205,$C$13:$C$15,AU$13:AU$15),1)</f>
        <v>0</v>
      </c>
      <c s="125">
        <f>Предпосылки!AU$232*Предпосылки!$H262*Продажи!AV27*AV$19*(1+Чувствительность!$D$20)*IFERROR(LOOKUP(Предпосылки!$H$205,$C$13:$C$15,AV$13:AV$15),1)</f>
        <v>0</v>
      </c>
      <c s="125">
        <f>Предпосылки!AV$232*Предпосылки!$H262*Продажи!AW27*AW$19*(1+Чувствительность!$D$20)*IFERROR(LOOKUP(Предпосылки!$H$205,$C$13:$C$15,AW$13:AW$15),1)</f>
        <v>0</v>
      </c>
      <c s="125">
        <f>Предпосылки!AW$232*Предпосылки!$H262*Продажи!AX27*AX$19*(1+Чувствительность!$D$20)*IFERROR(LOOKUP(Предпосылки!$H$205,$C$13:$C$15,AX$13:AX$15),1)</f>
        <v>0</v>
      </c>
      <c s="125">
        <f>Предпосылки!AX$232*Предпосылки!$H262*Продажи!AY27*AY$19*(1+Чувствительность!$D$20)*IFERROR(LOOKUP(Предпосылки!$H$205,$C$13:$C$15,AY$13:AY$15),1)</f>
        <v>0</v>
      </c>
      <c s="125">
        <f>Предпосылки!AY$232*Предпосылки!$H262*Продажи!AZ27*AZ$19*(1+Чувствительность!$D$20)*IFERROR(LOOKUP(Предпосылки!$H$205,$C$13:$C$15,AZ$13:AZ$15),1)</f>
        <v>0</v>
      </c>
      <c s="125">
        <f>Предпосылки!AZ$232*Предпосылки!$H262*Продажи!BA27*BA$19*(1+Чувствительность!$D$20)*IFERROR(LOOKUP(Предпосылки!$H$205,$C$13:$C$15,BA$13:BA$15),1)</f>
        <v>0</v>
      </c>
      <c s="125">
        <f>Предпосылки!BA$232*Предпосылки!$H262*Продажи!BB27*BB$19*(1+Чувствительность!$D$20)*IFERROR(LOOKUP(Предпосылки!$H$205,$C$13:$C$15,BB$13:BB$15),1)</f>
        <v>0</v>
      </c>
      <c s="125">
        <f>Предпосылки!BB$232*Предпосылки!$H262*Продажи!BC27*BC$19*(1+Чувствительность!$D$20)*IFERROR(LOOKUP(Предпосылки!$H$205,$C$13:$C$15,BC$13:BC$15),1)</f>
        <v>0</v>
      </c>
      <c s="125">
        <f>Предпосылки!BC$232*Предпосылки!$H262*Продажи!BD27*BD$19*(1+Чувствительность!$D$20)*IFERROR(LOOKUP(Предпосылки!$H$205,$C$13:$C$15,BD$13:BD$15),1)</f>
        <v>0</v>
      </c>
      <c s="125">
        <f>Предпосылки!BD$232*Предпосылки!$H262*Продажи!BE27*BE$19*(1+Чувствительность!$D$20)*IFERROR(LOOKUP(Предпосылки!$H$205,$C$13:$C$15,BE$13:BE$15),1)</f>
        <v>0</v>
      </c>
      <c s="125">
        <f>Предпосылки!BE$232*Предпосылки!$H262*Продажи!BF27*BF$19*(1+Чувствительность!$D$20)*IFERROR(LOOKUP(Предпосылки!$H$205,$C$13:$C$15,BF$13:BF$15),1)</f>
        <v>0</v>
      </c>
      <c s="125">
        <f>Предпосылки!BF$232*Предпосылки!$H262*Продажи!BG27*BG$19*(1+Чувствительность!$D$20)*IFERROR(LOOKUP(Предпосылки!$H$205,$C$13:$C$15,BG$13:BG$15),1)</f>
        <v>0</v>
      </c>
      <c s="125">
        <f>Предпосылки!BG$232*Предпосылки!$H262*Продажи!BH27*BH$19*(1+Чувствительность!$D$20)*IFERROR(LOOKUP(Предпосылки!$H$205,$C$13:$C$15,BH$13:BH$15),1)</f>
        <v>0</v>
      </c>
      <c s="125">
        <f>Предпосылки!BH$232*Предпосылки!$H262*Продажи!BI27*BI$19*(1+Чувствительность!$D$20)*IFERROR(LOOKUP(Предпосылки!$H$205,$C$13:$C$15,BI$13:BI$15),1)</f>
        <v>0</v>
      </c>
      <c s="125">
        <f>Предпосылки!BI$232*Предпосылки!$H262*Продажи!BJ27*BJ$19*(1+Чувствительность!$D$20)*IFERROR(LOOKUP(Предпосылки!$H$205,$C$13:$C$15,BJ$13:BJ$15),1)</f>
        <v>0</v>
      </c>
      <c s="125">
        <f>Предпосылки!BJ$232*Предпосылки!$H262*Продажи!BK27*BK$19*(1+Чувствительность!$D$20)*IFERROR(LOOKUP(Предпосылки!$H$205,$C$13:$C$15,BK$13:BK$15),1)</f>
        <v>0</v>
      </c>
      <c s="125">
        <f>Предпосылки!BK$232*Предпосылки!$H262*Продажи!BL27*BL$19*(1+Чувствительность!$D$20)*IFERROR(LOOKUP(Предпосылки!$H$205,$C$13:$C$15,BL$13:BL$15),1)</f>
        <v>0</v>
      </c>
      <c s="125">
        <f>Предпосылки!BL$232*Предпосылки!$H262*Продажи!BM27*BM$19*(1+Чувствительность!$D$20)*IFERROR(LOOKUP(Предпосылки!$H$205,$C$13:$C$15,BM$13:BM$15),1)</f>
        <v>0</v>
      </c>
    </row>
    <row r="125" spans="2:65" ht="15" customHeight="1">
      <c r="B125" s="12" t="str">
        <f t="shared" si="81"/>
        <v>Продукт 11</v>
      </c>
      <c s="124" t="str">
        <f t="shared" si="80"/>
        <v>тыс. руб.</v>
      </c>
      <c s="276">
        <f t="shared" si="82"/>
        <v>0</v>
      </c>
      <c s="125">
        <f>Предпосылки!D$232*Предпосылки!$H263*Продажи!E28*E$19*(1+Чувствительность!$D$20)*IFERROR(LOOKUP(Предпосылки!$H$205,$C$13:$C$15,E$13:E$15),1)</f>
        <v>0</v>
      </c>
      <c s="125">
        <f>Предпосылки!E$232*Предпосылки!$H263*Продажи!F28*F$19*(1+Чувствительность!$D$20)*IFERROR(LOOKUP(Предпосылки!$H$205,$C$13:$C$15,F$13:F$15),1)</f>
        <v>0</v>
      </c>
      <c s="125">
        <f>Предпосылки!F$232*Предпосылки!$H263*Продажи!G28*G$19*(1+Чувствительность!$D$20)*IFERROR(LOOKUP(Предпосылки!$H$205,$C$13:$C$15,G$13:G$15),1)</f>
        <v>0</v>
      </c>
      <c s="125">
        <f>Предпосылки!G$232*Предпосылки!$H263*Продажи!H28*H$19*(1+Чувствительность!$D$20)*IFERROR(LOOKUP(Предпосылки!$H$205,$C$13:$C$15,H$13:H$15),1)</f>
        <v>0</v>
      </c>
      <c s="125">
        <f>Предпосылки!H$232*Предпосылки!$H263*Продажи!I28*I$19*(1+Чувствительность!$D$20)*IFERROR(LOOKUP(Предпосылки!$H$205,$C$13:$C$15,I$13:I$15),1)</f>
        <v>0</v>
      </c>
      <c s="125">
        <f>Предпосылки!I$232*Предпосылки!$H263*Продажи!J28*J$19*(1+Чувствительность!$D$20)*IFERROR(LOOKUP(Предпосылки!$H$205,$C$13:$C$15,J$13:J$15),1)</f>
        <v>0</v>
      </c>
      <c s="125">
        <f>Предпосылки!J$232*Предпосылки!$H263*Продажи!K28*K$19*(1+Чувствительность!$D$20)*IFERROR(LOOKUP(Предпосылки!$H$205,$C$13:$C$15,K$13:K$15),1)</f>
        <v>0</v>
      </c>
      <c s="125">
        <f>Предпосылки!K$232*Предпосылки!$H263*Продажи!L28*L$19*(1+Чувствительность!$D$20)*IFERROR(LOOKUP(Предпосылки!$H$205,$C$13:$C$15,L$13:L$15),1)</f>
        <v>0</v>
      </c>
      <c s="125">
        <f>Предпосылки!L$232*Предпосылки!$H263*Продажи!M28*M$19*(1+Чувствительность!$D$20)*IFERROR(LOOKUP(Предпосылки!$H$205,$C$13:$C$15,M$13:M$15),1)</f>
        <v>0</v>
      </c>
      <c s="125">
        <f>Предпосылки!M$232*Предпосылки!$H263*Продажи!N28*N$19*(1+Чувствительность!$D$20)*IFERROR(LOOKUP(Предпосылки!$H$205,$C$13:$C$15,N$13:N$15),1)</f>
        <v>0</v>
      </c>
      <c s="125">
        <f>Предпосылки!N$232*Предпосылки!$H263*Продажи!O28*O$19*(1+Чувствительность!$D$20)*IFERROR(LOOKUP(Предпосылки!$H$205,$C$13:$C$15,O$13:O$15),1)</f>
        <v>0</v>
      </c>
      <c s="125">
        <f>Предпосылки!O$232*Предпосылки!$H263*Продажи!P28*P$19*(1+Чувствительность!$D$20)*IFERROR(LOOKUP(Предпосылки!$H$205,$C$13:$C$15,P$13:P$15),1)</f>
        <v>0</v>
      </c>
      <c s="125">
        <f>Предпосылки!P$232*Предпосылки!$H263*Продажи!Q28*Q$19*(1+Чувствительность!$D$20)*IFERROR(LOOKUP(Предпосылки!$H$205,$C$13:$C$15,Q$13:Q$15),1)</f>
        <v>0</v>
      </c>
      <c s="125">
        <f>Предпосылки!Q$232*Предпосылки!$H263*Продажи!R28*R$19*(1+Чувствительность!$D$20)*IFERROR(LOOKUP(Предпосылки!$H$205,$C$13:$C$15,R$13:R$15),1)</f>
        <v>0</v>
      </c>
      <c s="125">
        <f>Предпосылки!R$232*Предпосылки!$H263*Продажи!S28*S$19*(1+Чувствительность!$D$20)*IFERROR(LOOKUP(Предпосылки!$H$205,$C$13:$C$15,S$13:S$15),1)</f>
        <v>0</v>
      </c>
      <c s="125">
        <f>Предпосылки!S$232*Предпосылки!$H263*Продажи!T28*T$19*(1+Чувствительность!$D$20)*IFERROR(LOOKUP(Предпосылки!$H$205,$C$13:$C$15,T$13:T$15),1)</f>
        <v>0</v>
      </c>
      <c s="125">
        <f>Предпосылки!T$232*Предпосылки!$H263*Продажи!U28*U$19*(1+Чувствительность!$D$20)*IFERROR(LOOKUP(Предпосылки!$H$205,$C$13:$C$15,U$13:U$15),1)</f>
        <v>0</v>
      </c>
      <c s="125">
        <f>Предпосылки!U$232*Предпосылки!$H263*Продажи!V28*V$19*(1+Чувствительность!$D$20)*IFERROR(LOOKUP(Предпосылки!$H$205,$C$13:$C$15,V$13:V$15),1)</f>
        <v>0</v>
      </c>
      <c s="125">
        <f>Предпосылки!V$232*Предпосылки!$H263*Продажи!W28*W$19*(1+Чувствительность!$D$20)*IFERROR(LOOKUP(Предпосылки!$H$205,$C$13:$C$15,W$13:W$15),1)</f>
        <v>0</v>
      </c>
      <c s="125">
        <f>Предпосылки!W$232*Предпосылки!$H263*Продажи!X28*X$19*(1+Чувствительность!$D$20)*IFERROR(LOOKUP(Предпосылки!$H$205,$C$13:$C$15,X$13:X$15),1)</f>
        <v>0</v>
      </c>
      <c s="125">
        <f>Предпосылки!X$232*Предпосылки!$H263*Продажи!Y28*Y$19*(1+Чувствительность!$D$20)*IFERROR(LOOKUP(Предпосылки!$H$205,$C$13:$C$15,Y$13:Y$15),1)</f>
        <v>0</v>
      </c>
      <c s="125">
        <f>Предпосылки!Y$232*Предпосылки!$H263*Продажи!Z28*Z$19*(1+Чувствительность!$D$20)*IFERROR(LOOKUP(Предпосылки!$H$205,$C$13:$C$15,Z$13:Z$15),1)</f>
        <v>0</v>
      </c>
      <c s="125">
        <f>Предпосылки!Z$232*Предпосылки!$H263*Продажи!AA28*AA$19*(1+Чувствительность!$D$20)*IFERROR(LOOKUP(Предпосылки!$H$205,$C$13:$C$15,AA$13:AA$15),1)</f>
        <v>0</v>
      </c>
      <c s="125">
        <f>Предпосылки!AA$232*Предпосылки!$H263*Продажи!AB28*AB$19*(1+Чувствительность!$D$20)*IFERROR(LOOKUP(Предпосылки!$H$205,$C$13:$C$15,AB$13:AB$15),1)</f>
        <v>0</v>
      </c>
      <c s="125">
        <f>Предпосылки!AB$232*Предпосылки!$H263*Продажи!AC28*AC$19*(1+Чувствительность!$D$20)*IFERROR(LOOKUP(Предпосылки!$H$205,$C$13:$C$15,AC$13:AC$15),1)</f>
        <v>0</v>
      </c>
      <c s="125">
        <f>Предпосылки!AC$232*Предпосылки!$H263*Продажи!AD28*AD$19*(1+Чувствительность!$D$20)*IFERROR(LOOKUP(Предпосылки!$H$205,$C$13:$C$15,AD$13:AD$15),1)</f>
        <v>0</v>
      </c>
      <c s="125">
        <f>Предпосылки!AD$232*Предпосылки!$H263*Продажи!AE28*AE$19*(1+Чувствительность!$D$20)*IFERROR(LOOKUP(Предпосылки!$H$205,$C$13:$C$15,AE$13:AE$15),1)</f>
        <v>0</v>
      </c>
      <c s="125">
        <f>Предпосылки!AE$232*Предпосылки!$H263*Продажи!AF28*AF$19*(1+Чувствительность!$D$20)*IFERROR(LOOKUP(Предпосылки!$H$205,$C$13:$C$15,AF$13:AF$15),1)</f>
        <v>0</v>
      </c>
      <c s="125">
        <f>Предпосылки!AF$232*Предпосылки!$H263*Продажи!AG28*AG$19*(1+Чувствительность!$D$20)*IFERROR(LOOKUP(Предпосылки!$H$205,$C$13:$C$15,AG$13:AG$15),1)</f>
        <v>0</v>
      </c>
      <c s="125">
        <f>Предпосылки!AG$232*Предпосылки!$H263*Продажи!AH28*AH$19*(1+Чувствительность!$D$20)*IFERROR(LOOKUP(Предпосылки!$H$205,$C$13:$C$15,AH$13:AH$15),1)</f>
        <v>0</v>
      </c>
      <c s="125">
        <f>Предпосылки!AH$232*Предпосылки!$H263*Продажи!AI28*AI$19*(1+Чувствительность!$D$20)*IFERROR(LOOKUP(Предпосылки!$H$205,$C$13:$C$15,AI$13:AI$15),1)</f>
        <v>0</v>
      </c>
      <c s="125">
        <f>Предпосылки!AI$232*Предпосылки!$H263*Продажи!AJ28*AJ$19*(1+Чувствительность!$D$20)*IFERROR(LOOKUP(Предпосылки!$H$205,$C$13:$C$15,AJ$13:AJ$15),1)</f>
        <v>0</v>
      </c>
      <c s="125">
        <f>Предпосылки!AJ$232*Предпосылки!$H263*Продажи!AK28*AK$19*(1+Чувствительность!$D$20)*IFERROR(LOOKUP(Предпосылки!$H$205,$C$13:$C$15,AK$13:AK$15),1)</f>
        <v>0</v>
      </c>
      <c s="125">
        <f>Предпосылки!AK$232*Предпосылки!$H263*Продажи!AL28*AL$19*(1+Чувствительность!$D$20)*IFERROR(LOOKUP(Предпосылки!$H$205,$C$13:$C$15,AL$13:AL$15),1)</f>
        <v>0</v>
      </c>
      <c s="125">
        <f>Предпосылки!AL$232*Предпосылки!$H263*Продажи!AM28*AM$19*(1+Чувствительность!$D$20)*IFERROR(LOOKUP(Предпосылки!$H$205,$C$13:$C$15,AM$13:AM$15),1)</f>
        <v>0</v>
      </c>
      <c s="125">
        <f>Предпосылки!AM$232*Предпосылки!$H263*Продажи!AN28*AN$19*(1+Чувствительность!$D$20)*IFERROR(LOOKUP(Предпосылки!$H$205,$C$13:$C$15,AN$13:AN$15),1)</f>
        <v>0</v>
      </c>
      <c s="125">
        <f>Предпосылки!AN$232*Предпосылки!$H263*Продажи!AO28*AO$19*(1+Чувствительность!$D$20)*IFERROR(LOOKUP(Предпосылки!$H$205,$C$13:$C$15,AO$13:AO$15),1)</f>
        <v>0</v>
      </c>
      <c s="125">
        <f>Предпосылки!AO$232*Предпосылки!$H263*Продажи!AP28*AP$19*(1+Чувствительность!$D$20)*IFERROR(LOOKUP(Предпосылки!$H$205,$C$13:$C$15,AP$13:AP$15),1)</f>
        <v>0</v>
      </c>
      <c s="125">
        <f>Предпосылки!AP$232*Предпосылки!$H263*Продажи!AQ28*AQ$19*(1+Чувствительность!$D$20)*IFERROR(LOOKUP(Предпосылки!$H$205,$C$13:$C$15,AQ$13:AQ$15),1)</f>
        <v>0</v>
      </c>
      <c s="125">
        <f>Предпосылки!AQ$232*Предпосылки!$H263*Продажи!AR28*AR$19*(1+Чувствительность!$D$20)*IFERROR(LOOKUP(Предпосылки!$H$205,$C$13:$C$15,AR$13:AR$15),1)</f>
        <v>0</v>
      </c>
      <c s="125">
        <f>Предпосылки!AR$232*Предпосылки!$H263*Продажи!AS28*AS$19*(1+Чувствительность!$D$20)*IFERROR(LOOKUP(Предпосылки!$H$205,$C$13:$C$15,AS$13:AS$15),1)</f>
        <v>0</v>
      </c>
      <c s="125">
        <f>Предпосылки!AS$232*Предпосылки!$H263*Продажи!AT28*AT$19*(1+Чувствительность!$D$20)*IFERROR(LOOKUP(Предпосылки!$H$205,$C$13:$C$15,AT$13:AT$15),1)</f>
        <v>0</v>
      </c>
      <c s="125">
        <f>Предпосылки!AT$232*Предпосылки!$H263*Продажи!AU28*AU$19*(1+Чувствительность!$D$20)*IFERROR(LOOKUP(Предпосылки!$H$205,$C$13:$C$15,AU$13:AU$15),1)</f>
        <v>0</v>
      </c>
      <c s="125">
        <f>Предпосылки!AU$232*Предпосылки!$H263*Продажи!AV28*AV$19*(1+Чувствительность!$D$20)*IFERROR(LOOKUP(Предпосылки!$H$205,$C$13:$C$15,AV$13:AV$15),1)</f>
        <v>0</v>
      </c>
      <c s="125">
        <f>Предпосылки!AV$232*Предпосылки!$H263*Продажи!AW28*AW$19*(1+Чувствительность!$D$20)*IFERROR(LOOKUP(Предпосылки!$H$205,$C$13:$C$15,AW$13:AW$15),1)</f>
        <v>0</v>
      </c>
      <c s="125">
        <f>Предпосылки!AW$232*Предпосылки!$H263*Продажи!AX28*AX$19*(1+Чувствительность!$D$20)*IFERROR(LOOKUP(Предпосылки!$H$205,$C$13:$C$15,AX$13:AX$15),1)</f>
        <v>0</v>
      </c>
      <c s="125">
        <f>Предпосылки!AX$232*Предпосылки!$H263*Продажи!AY28*AY$19*(1+Чувствительность!$D$20)*IFERROR(LOOKUP(Предпосылки!$H$205,$C$13:$C$15,AY$13:AY$15),1)</f>
        <v>0</v>
      </c>
      <c s="125">
        <f>Предпосылки!AY$232*Предпосылки!$H263*Продажи!AZ28*AZ$19*(1+Чувствительность!$D$20)*IFERROR(LOOKUP(Предпосылки!$H$205,$C$13:$C$15,AZ$13:AZ$15),1)</f>
        <v>0</v>
      </c>
      <c s="125">
        <f>Предпосылки!AZ$232*Предпосылки!$H263*Продажи!BA28*BA$19*(1+Чувствительность!$D$20)*IFERROR(LOOKUP(Предпосылки!$H$205,$C$13:$C$15,BA$13:BA$15),1)</f>
        <v>0</v>
      </c>
      <c s="125">
        <f>Предпосылки!BA$232*Предпосылки!$H263*Продажи!BB28*BB$19*(1+Чувствительность!$D$20)*IFERROR(LOOKUP(Предпосылки!$H$205,$C$13:$C$15,BB$13:BB$15),1)</f>
        <v>0</v>
      </c>
      <c s="125">
        <f>Предпосылки!BB$232*Предпосылки!$H263*Продажи!BC28*BC$19*(1+Чувствительность!$D$20)*IFERROR(LOOKUP(Предпосылки!$H$205,$C$13:$C$15,BC$13:BC$15),1)</f>
        <v>0</v>
      </c>
      <c s="125">
        <f>Предпосылки!BC$232*Предпосылки!$H263*Продажи!BD28*BD$19*(1+Чувствительность!$D$20)*IFERROR(LOOKUP(Предпосылки!$H$205,$C$13:$C$15,BD$13:BD$15),1)</f>
        <v>0</v>
      </c>
      <c s="125">
        <f>Предпосылки!BD$232*Предпосылки!$H263*Продажи!BE28*BE$19*(1+Чувствительность!$D$20)*IFERROR(LOOKUP(Предпосылки!$H$205,$C$13:$C$15,BE$13:BE$15),1)</f>
        <v>0</v>
      </c>
      <c s="125">
        <f>Предпосылки!BE$232*Предпосылки!$H263*Продажи!BF28*BF$19*(1+Чувствительность!$D$20)*IFERROR(LOOKUP(Предпосылки!$H$205,$C$13:$C$15,BF$13:BF$15),1)</f>
        <v>0</v>
      </c>
      <c s="125">
        <f>Предпосылки!BF$232*Предпосылки!$H263*Продажи!BG28*BG$19*(1+Чувствительность!$D$20)*IFERROR(LOOKUP(Предпосылки!$H$205,$C$13:$C$15,BG$13:BG$15),1)</f>
        <v>0</v>
      </c>
      <c s="125">
        <f>Предпосылки!BG$232*Предпосылки!$H263*Продажи!BH28*BH$19*(1+Чувствительность!$D$20)*IFERROR(LOOKUP(Предпосылки!$H$205,$C$13:$C$15,BH$13:BH$15),1)</f>
        <v>0</v>
      </c>
      <c s="125">
        <f>Предпосылки!BH$232*Предпосылки!$H263*Продажи!BI28*BI$19*(1+Чувствительность!$D$20)*IFERROR(LOOKUP(Предпосылки!$H$205,$C$13:$C$15,BI$13:BI$15),1)</f>
        <v>0</v>
      </c>
      <c s="125">
        <f>Предпосылки!BI$232*Предпосылки!$H263*Продажи!BJ28*BJ$19*(1+Чувствительность!$D$20)*IFERROR(LOOKUP(Предпосылки!$H$205,$C$13:$C$15,BJ$13:BJ$15),1)</f>
        <v>0</v>
      </c>
      <c s="125">
        <f>Предпосылки!BJ$232*Предпосылки!$H263*Продажи!BK28*BK$19*(1+Чувствительность!$D$20)*IFERROR(LOOKUP(Предпосылки!$H$205,$C$13:$C$15,BK$13:BK$15),1)</f>
        <v>0</v>
      </c>
      <c s="125">
        <f>Предпосылки!BK$232*Предпосылки!$H263*Продажи!BL28*BL$19*(1+Чувствительность!$D$20)*IFERROR(LOOKUP(Предпосылки!$H$205,$C$13:$C$15,BL$13:BL$15),1)</f>
        <v>0</v>
      </c>
      <c s="125">
        <f>Предпосылки!BL$232*Предпосылки!$H263*Продажи!BM28*BM$19*(1+Чувствительность!$D$20)*IFERROR(LOOKUP(Предпосылки!$H$205,$C$13:$C$15,BM$13:BM$15),1)</f>
        <v>0</v>
      </c>
    </row>
    <row r="126" spans="2:65" ht="15" customHeight="1">
      <c r="B126" s="12" t="str">
        <f t="shared" si="81"/>
        <v>Продукт 12</v>
      </c>
      <c s="124" t="str">
        <f t="shared" si="80"/>
        <v>тыс. руб.</v>
      </c>
      <c s="276">
        <f t="shared" si="82"/>
        <v>0</v>
      </c>
      <c s="125">
        <f>Предпосылки!D$232*Предпосылки!$H264*Продажи!E29*E$19*(1+Чувствительность!$D$20)*IFERROR(LOOKUP(Предпосылки!$H$205,$C$13:$C$15,E$13:E$15),1)</f>
        <v>0</v>
      </c>
      <c s="125">
        <f>Предпосылки!E$232*Предпосылки!$H264*Продажи!F29*F$19*(1+Чувствительность!$D$20)*IFERROR(LOOKUP(Предпосылки!$H$205,$C$13:$C$15,F$13:F$15),1)</f>
        <v>0</v>
      </c>
      <c s="125">
        <f>Предпосылки!F$232*Предпосылки!$H264*Продажи!G29*G$19*(1+Чувствительность!$D$20)*IFERROR(LOOKUP(Предпосылки!$H$205,$C$13:$C$15,G$13:G$15),1)</f>
        <v>0</v>
      </c>
      <c s="125">
        <f>Предпосылки!G$232*Предпосылки!$H264*Продажи!H29*H$19*(1+Чувствительность!$D$20)*IFERROR(LOOKUP(Предпосылки!$H$205,$C$13:$C$15,H$13:H$15),1)</f>
        <v>0</v>
      </c>
      <c s="125">
        <f>Предпосылки!H$232*Предпосылки!$H264*Продажи!I29*I$19*(1+Чувствительность!$D$20)*IFERROR(LOOKUP(Предпосылки!$H$205,$C$13:$C$15,I$13:I$15),1)</f>
        <v>0</v>
      </c>
      <c s="125">
        <f>Предпосылки!I$232*Предпосылки!$H264*Продажи!J29*J$19*(1+Чувствительность!$D$20)*IFERROR(LOOKUP(Предпосылки!$H$205,$C$13:$C$15,J$13:J$15),1)</f>
        <v>0</v>
      </c>
      <c s="125">
        <f>Предпосылки!J$232*Предпосылки!$H264*Продажи!K29*K$19*(1+Чувствительность!$D$20)*IFERROR(LOOKUP(Предпосылки!$H$205,$C$13:$C$15,K$13:K$15),1)</f>
        <v>0</v>
      </c>
      <c s="125">
        <f>Предпосылки!K$232*Предпосылки!$H264*Продажи!L29*L$19*(1+Чувствительность!$D$20)*IFERROR(LOOKUP(Предпосылки!$H$205,$C$13:$C$15,L$13:L$15),1)</f>
        <v>0</v>
      </c>
      <c s="125">
        <f>Предпосылки!L$232*Предпосылки!$H264*Продажи!M29*M$19*(1+Чувствительность!$D$20)*IFERROR(LOOKUP(Предпосылки!$H$205,$C$13:$C$15,M$13:M$15),1)</f>
        <v>0</v>
      </c>
      <c s="125">
        <f>Предпосылки!M$232*Предпосылки!$H264*Продажи!N29*N$19*(1+Чувствительность!$D$20)*IFERROR(LOOKUP(Предпосылки!$H$205,$C$13:$C$15,N$13:N$15),1)</f>
        <v>0</v>
      </c>
      <c s="125">
        <f>Предпосылки!N$232*Предпосылки!$H264*Продажи!O29*O$19*(1+Чувствительность!$D$20)*IFERROR(LOOKUP(Предпосылки!$H$205,$C$13:$C$15,O$13:O$15),1)</f>
        <v>0</v>
      </c>
      <c s="125">
        <f>Предпосылки!O$232*Предпосылки!$H264*Продажи!P29*P$19*(1+Чувствительность!$D$20)*IFERROR(LOOKUP(Предпосылки!$H$205,$C$13:$C$15,P$13:P$15),1)</f>
        <v>0</v>
      </c>
      <c s="125">
        <f>Предпосылки!P$232*Предпосылки!$H264*Продажи!Q29*Q$19*(1+Чувствительность!$D$20)*IFERROR(LOOKUP(Предпосылки!$H$205,$C$13:$C$15,Q$13:Q$15),1)</f>
        <v>0</v>
      </c>
      <c s="125">
        <f>Предпосылки!Q$232*Предпосылки!$H264*Продажи!R29*R$19*(1+Чувствительность!$D$20)*IFERROR(LOOKUP(Предпосылки!$H$205,$C$13:$C$15,R$13:R$15),1)</f>
        <v>0</v>
      </c>
      <c s="125">
        <f>Предпосылки!R$232*Предпосылки!$H264*Продажи!S29*S$19*(1+Чувствительность!$D$20)*IFERROR(LOOKUP(Предпосылки!$H$205,$C$13:$C$15,S$13:S$15),1)</f>
        <v>0</v>
      </c>
      <c s="125">
        <f>Предпосылки!S$232*Предпосылки!$H264*Продажи!T29*T$19*(1+Чувствительность!$D$20)*IFERROR(LOOKUP(Предпосылки!$H$205,$C$13:$C$15,T$13:T$15),1)</f>
        <v>0</v>
      </c>
      <c s="125">
        <f>Предпосылки!T$232*Предпосылки!$H264*Продажи!U29*U$19*(1+Чувствительность!$D$20)*IFERROR(LOOKUP(Предпосылки!$H$205,$C$13:$C$15,U$13:U$15),1)</f>
        <v>0</v>
      </c>
      <c s="125">
        <f>Предпосылки!U$232*Предпосылки!$H264*Продажи!V29*V$19*(1+Чувствительность!$D$20)*IFERROR(LOOKUP(Предпосылки!$H$205,$C$13:$C$15,V$13:V$15),1)</f>
        <v>0</v>
      </c>
      <c s="125">
        <f>Предпосылки!V$232*Предпосылки!$H264*Продажи!W29*W$19*(1+Чувствительность!$D$20)*IFERROR(LOOKUP(Предпосылки!$H$205,$C$13:$C$15,W$13:W$15),1)</f>
        <v>0</v>
      </c>
      <c s="125">
        <f>Предпосылки!W$232*Предпосылки!$H264*Продажи!X29*X$19*(1+Чувствительность!$D$20)*IFERROR(LOOKUP(Предпосылки!$H$205,$C$13:$C$15,X$13:X$15),1)</f>
        <v>0</v>
      </c>
      <c s="125">
        <f>Предпосылки!X$232*Предпосылки!$H264*Продажи!Y29*Y$19*(1+Чувствительность!$D$20)*IFERROR(LOOKUP(Предпосылки!$H$205,$C$13:$C$15,Y$13:Y$15),1)</f>
        <v>0</v>
      </c>
      <c s="125">
        <f>Предпосылки!Y$232*Предпосылки!$H264*Продажи!Z29*Z$19*(1+Чувствительность!$D$20)*IFERROR(LOOKUP(Предпосылки!$H$205,$C$13:$C$15,Z$13:Z$15),1)</f>
        <v>0</v>
      </c>
      <c s="125">
        <f>Предпосылки!Z$232*Предпосылки!$H264*Продажи!AA29*AA$19*(1+Чувствительность!$D$20)*IFERROR(LOOKUP(Предпосылки!$H$205,$C$13:$C$15,AA$13:AA$15),1)</f>
        <v>0</v>
      </c>
      <c s="125">
        <f>Предпосылки!AA$232*Предпосылки!$H264*Продажи!AB29*AB$19*(1+Чувствительность!$D$20)*IFERROR(LOOKUP(Предпосылки!$H$205,$C$13:$C$15,AB$13:AB$15),1)</f>
        <v>0</v>
      </c>
      <c s="125">
        <f>Предпосылки!AB$232*Предпосылки!$H264*Продажи!AC29*AC$19*(1+Чувствительность!$D$20)*IFERROR(LOOKUP(Предпосылки!$H$205,$C$13:$C$15,AC$13:AC$15),1)</f>
        <v>0</v>
      </c>
      <c s="125">
        <f>Предпосылки!AC$232*Предпосылки!$H264*Продажи!AD29*AD$19*(1+Чувствительность!$D$20)*IFERROR(LOOKUP(Предпосылки!$H$205,$C$13:$C$15,AD$13:AD$15),1)</f>
        <v>0</v>
      </c>
      <c s="125">
        <f>Предпосылки!AD$232*Предпосылки!$H264*Продажи!AE29*AE$19*(1+Чувствительность!$D$20)*IFERROR(LOOKUP(Предпосылки!$H$205,$C$13:$C$15,AE$13:AE$15),1)</f>
        <v>0</v>
      </c>
      <c s="125">
        <f>Предпосылки!AE$232*Предпосылки!$H264*Продажи!AF29*AF$19*(1+Чувствительность!$D$20)*IFERROR(LOOKUP(Предпосылки!$H$205,$C$13:$C$15,AF$13:AF$15),1)</f>
        <v>0</v>
      </c>
      <c s="125">
        <f>Предпосылки!AF$232*Предпосылки!$H264*Продажи!AG29*AG$19*(1+Чувствительность!$D$20)*IFERROR(LOOKUP(Предпосылки!$H$205,$C$13:$C$15,AG$13:AG$15),1)</f>
        <v>0</v>
      </c>
      <c s="125">
        <f>Предпосылки!AG$232*Предпосылки!$H264*Продажи!AH29*AH$19*(1+Чувствительность!$D$20)*IFERROR(LOOKUP(Предпосылки!$H$205,$C$13:$C$15,AH$13:AH$15),1)</f>
        <v>0</v>
      </c>
      <c s="125">
        <f>Предпосылки!AH$232*Предпосылки!$H264*Продажи!AI29*AI$19*(1+Чувствительность!$D$20)*IFERROR(LOOKUP(Предпосылки!$H$205,$C$13:$C$15,AI$13:AI$15),1)</f>
        <v>0</v>
      </c>
      <c s="125">
        <f>Предпосылки!AI$232*Предпосылки!$H264*Продажи!AJ29*AJ$19*(1+Чувствительность!$D$20)*IFERROR(LOOKUP(Предпосылки!$H$205,$C$13:$C$15,AJ$13:AJ$15),1)</f>
        <v>0</v>
      </c>
      <c s="125">
        <f>Предпосылки!AJ$232*Предпосылки!$H264*Продажи!AK29*AK$19*(1+Чувствительность!$D$20)*IFERROR(LOOKUP(Предпосылки!$H$205,$C$13:$C$15,AK$13:AK$15),1)</f>
        <v>0</v>
      </c>
      <c s="125">
        <f>Предпосылки!AK$232*Предпосылки!$H264*Продажи!AL29*AL$19*(1+Чувствительность!$D$20)*IFERROR(LOOKUP(Предпосылки!$H$205,$C$13:$C$15,AL$13:AL$15),1)</f>
        <v>0</v>
      </c>
      <c s="125">
        <f>Предпосылки!AL$232*Предпосылки!$H264*Продажи!AM29*AM$19*(1+Чувствительность!$D$20)*IFERROR(LOOKUP(Предпосылки!$H$205,$C$13:$C$15,AM$13:AM$15),1)</f>
        <v>0</v>
      </c>
      <c s="125">
        <f>Предпосылки!AM$232*Предпосылки!$H264*Продажи!AN29*AN$19*(1+Чувствительность!$D$20)*IFERROR(LOOKUP(Предпосылки!$H$205,$C$13:$C$15,AN$13:AN$15),1)</f>
        <v>0</v>
      </c>
      <c s="125">
        <f>Предпосылки!AN$232*Предпосылки!$H264*Продажи!AO29*AO$19*(1+Чувствительность!$D$20)*IFERROR(LOOKUP(Предпосылки!$H$205,$C$13:$C$15,AO$13:AO$15),1)</f>
        <v>0</v>
      </c>
      <c s="125">
        <f>Предпосылки!AO$232*Предпосылки!$H264*Продажи!AP29*AP$19*(1+Чувствительность!$D$20)*IFERROR(LOOKUP(Предпосылки!$H$205,$C$13:$C$15,AP$13:AP$15),1)</f>
        <v>0</v>
      </c>
      <c s="125">
        <f>Предпосылки!AP$232*Предпосылки!$H264*Продажи!AQ29*AQ$19*(1+Чувствительность!$D$20)*IFERROR(LOOKUP(Предпосылки!$H$205,$C$13:$C$15,AQ$13:AQ$15),1)</f>
        <v>0</v>
      </c>
      <c s="125">
        <f>Предпосылки!AQ$232*Предпосылки!$H264*Продажи!AR29*AR$19*(1+Чувствительность!$D$20)*IFERROR(LOOKUP(Предпосылки!$H$205,$C$13:$C$15,AR$13:AR$15),1)</f>
        <v>0</v>
      </c>
      <c s="125">
        <f>Предпосылки!AR$232*Предпосылки!$H264*Продажи!AS29*AS$19*(1+Чувствительность!$D$20)*IFERROR(LOOKUP(Предпосылки!$H$205,$C$13:$C$15,AS$13:AS$15),1)</f>
        <v>0</v>
      </c>
      <c s="125">
        <f>Предпосылки!AS$232*Предпосылки!$H264*Продажи!AT29*AT$19*(1+Чувствительность!$D$20)*IFERROR(LOOKUP(Предпосылки!$H$205,$C$13:$C$15,AT$13:AT$15),1)</f>
        <v>0</v>
      </c>
      <c s="125">
        <f>Предпосылки!AT$232*Предпосылки!$H264*Продажи!AU29*AU$19*(1+Чувствительность!$D$20)*IFERROR(LOOKUP(Предпосылки!$H$205,$C$13:$C$15,AU$13:AU$15),1)</f>
        <v>0</v>
      </c>
      <c s="125">
        <f>Предпосылки!AU$232*Предпосылки!$H264*Продажи!AV29*AV$19*(1+Чувствительность!$D$20)*IFERROR(LOOKUP(Предпосылки!$H$205,$C$13:$C$15,AV$13:AV$15),1)</f>
        <v>0</v>
      </c>
      <c s="125">
        <f>Предпосылки!AV$232*Предпосылки!$H264*Продажи!AW29*AW$19*(1+Чувствительность!$D$20)*IFERROR(LOOKUP(Предпосылки!$H$205,$C$13:$C$15,AW$13:AW$15),1)</f>
        <v>0</v>
      </c>
      <c s="125">
        <f>Предпосылки!AW$232*Предпосылки!$H264*Продажи!AX29*AX$19*(1+Чувствительность!$D$20)*IFERROR(LOOKUP(Предпосылки!$H$205,$C$13:$C$15,AX$13:AX$15),1)</f>
        <v>0</v>
      </c>
      <c s="125">
        <f>Предпосылки!AX$232*Предпосылки!$H264*Продажи!AY29*AY$19*(1+Чувствительность!$D$20)*IFERROR(LOOKUP(Предпосылки!$H$205,$C$13:$C$15,AY$13:AY$15),1)</f>
        <v>0</v>
      </c>
      <c s="125">
        <f>Предпосылки!AY$232*Предпосылки!$H264*Продажи!AZ29*AZ$19*(1+Чувствительность!$D$20)*IFERROR(LOOKUP(Предпосылки!$H$205,$C$13:$C$15,AZ$13:AZ$15),1)</f>
        <v>0</v>
      </c>
      <c s="125">
        <f>Предпосылки!AZ$232*Предпосылки!$H264*Продажи!BA29*BA$19*(1+Чувствительность!$D$20)*IFERROR(LOOKUP(Предпосылки!$H$205,$C$13:$C$15,BA$13:BA$15),1)</f>
        <v>0</v>
      </c>
      <c s="125">
        <f>Предпосылки!BA$232*Предпосылки!$H264*Продажи!BB29*BB$19*(1+Чувствительность!$D$20)*IFERROR(LOOKUP(Предпосылки!$H$205,$C$13:$C$15,BB$13:BB$15),1)</f>
        <v>0</v>
      </c>
      <c s="125">
        <f>Предпосылки!BB$232*Предпосылки!$H264*Продажи!BC29*BC$19*(1+Чувствительность!$D$20)*IFERROR(LOOKUP(Предпосылки!$H$205,$C$13:$C$15,BC$13:BC$15),1)</f>
        <v>0</v>
      </c>
      <c s="125">
        <f>Предпосылки!BC$232*Предпосылки!$H264*Продажи!BD29*BD$19*(1+Чувствительность!$D$20)*IFERROR(LOOKUP(Предпосылки!$H$205,$C$13:$C$15,BD$13:BD$15),1)</f>
        <v>0</v>
      </c>
      <c s="125">
        <f>Предпосылки!BD$232*Предпосылки!$H264*Продажи!BE29*BE$19*(1+Чувствительность!$D$20)*IFERROR(LOOKUP(Предпосылки!$H$205,$C$13:$C$15,BE$13:BE$15),1)</f>
        <v>0</v>
      </c>
      <c s="125">
        <f>Предпосылки!BE$232*Предпосылки!$H264*Продажи!BF29*BF$19*(1+Чувствительность!$D$20)*IFERROR(LOOKUP(Предпосылки!$H$205,$C$13:$C$15,BF$13:BF$15),1)</f>
        <v>0</v>
      </c>
      <c s="125">
        <f>Предпосылки!BF$232*Предпосылки!$H264*Продажи!BG29*BG$19*(1+Чувствительность!$D$20)*IFERROR(LOOKUP(Предпосылки!$H$205,$C$13:$C$15,BG$13:BG$15),1)</f>
        <v>0</v>
      </c>
      <c s="125">
        <f>Предпосылки!BG$232*Предпосылки!$H264*Продажи!BH29*BH$19*(1+Чувствительность!$D$20)*IFERROR(LOOKUP(Предпосылки!$H$205,$C$13:$C$15,BH$13:BH$15),1)</f>
        <v>0</v>
      </c>
      <c s="125">
        <f>Предпосылки!BH$232*Предпосылки!$H264*Продажи!BI29*BI$19*(1+Чувствительность!$D$20)*IFERROR(LOOKUP(Предпосылки!$H$205,$C$13:$C$15,BI$13:BI$15),1)</f>
        <v>0</v>
      </c>
      <c s="125">
        <f>Предпосылки!BI$232*Предпосылки!$H264*Продажи!BJ29*BJ$19*(1+Чувствительность!$D$20)*IFERROR(LOOKUP(Предпосылки!$H$205,$C$13:$C$15,BJ$13:BJ$15),1)</f>
        <v>0</v>
      </c>
      <c s="125">
        <f>Предпосылки!BJ$232*Предпосылки!$H264*Продажи!BK29*BK$19*(1+Чувствительность!$D$20)*IFERROR(LOOKUP(Предпосылки!$H$205,$C$13:$C$15,BK$13:BK$15),1)</f>
        <v>0</v>
      </c>
      <c s="125">
        <f>Предпосылки!BK$232*Предпосылки!$H264*Продажи!BL29*BL$19*(1+Чувствительность!$D$20)*IFERROR(LOOKUP(Предпосылки!$H$205,$C$13:$C$15,BL$13:BL$15),1)</f>
        <v>0</v>
      </c>
      <c s="125">
        <f>Предпосылки!BL$232*Предпосылки!$H264*Продажи!BM29*BM$19*(1+Чувствительность!$D$20)*IFERROR(LOOKUP(Предпосылки!$H$205,$C$13:$C$15,BM$13:BM$15),1)</f>
        <v>0</v>
      </c>
    </row>
    <row r="127" spans="2:65" ht="15" customHeight="1">
      <c r="B127" s="12" t="str">
        <f t="shared" si="81"/>
        <v>Продукт 13</v>
      </c>
      <c s="124" t="str">
        <f t="shared" si="80"/>
        <v>тыс. руб.</v>
      </c>
      <c s="276">
        <f t="shared" si="82"/>
        <v>0</v>
      </c>
      <c s="125">
        <f>Предпосылки!D$232*Предпосылки!$H265*Продажи!E30*E$19*(1+Чувствительность!$D$20)*IFERROR(LOOKUP(Предпосылки!$H$205,$C$13:$C$15,E$13:E$15),1)</f>
        <v>0</v>
      </c>
      <c s="125">
        <f>Предпосылки!E$232*Предпосылки!$H265*Продажи!F30*F$19*(1+Чувствительность!$D$20)*IFERROR(LOOKUP(Предпосылки!$H$205,$C$13:$C$15,F$13:F$15),1)</f>
        <v>0</v>
      </c>
      <c s="125">
        <f>Предпосылки!F$232*Предпосылки!$H265*Продажи!G30*G$19*(1+Чувствительность!$D$20)*IFERROR(LOOKUP(Предпосылки!$H$205,$C$13:$C$15,G$13:G$15),1)</f>
        <v>0</v>
      </c>
      <c s="125">
        <f>Предпосылки!G$232*Предпосылки!$H265*Продажи!H30*H$19*(1+Чувствительность!$D$20)*IFERROR(LOOKUP(Предпосылки!$H$205,$C$13:$C$15,H$13:H$15),1)</f>
        <v>0</v>
      </c>
      <c s="125">
        <f>Предпосылки!H$232*Предпосылки!$H265*Продажи!I30*I$19*(1+Чувствительность!$D$20)*IFERROR(LOOKUP(Предпосылки!$H$205,$C$13:$C$15,I$13:I$15),1)</f>
        <v>0</v>
      </c>
      <c s="125">
        <f>Предпосылки!I$232*Предпосылки!$H265*Продажи!J30*J$19*(1+Чувствительность!$D$20)*IFERROR(LOOKUP(Предпосылки!$H$205,$C$13:$C$15,J$13:J$15),1)</f>
        <v>0</v>
      </c>
      <c s="125">
        <f>Предпосылки!J$232*Предпосылки!$H265*Продажи!K30*K$19*(1+Чувствительность!$D$20)*IFERROR(LOOKUP(Предпосылки!$H$205,$C$13:$C$15,K$13:K$15),1)</f>
        <v>0</v>
      </c>
      <c s="125">
        <f>Предпосылки!K$232*Предпосылки!$H265*Продажи!L30*L$19*(1+Чувствительность!$D$20)*IFERROR(LOOKUP(Предпосылки!$H$205,$C$13:$C$15,L$13:L$15),1)</f>
        <v>0</v>
      </c>
      <c s="125">
        <f>Предпосылки!L$232*Предпосылки!$H265*Продажи!M30*M$19*(1+Чувствительность!$D$20)*IFERROR(LOOKUP(Предпосылки!$H$205,$C$13:$C$15,M$13:M$15),1)</f>
        <v>0</v>
      </c>
      <c s="125">
        <f>Предпосылки!M$232*Предпосылки!$H265*Продажи!N30*N$19*(1+Чувствительность!$D$20)*IFERROR(LOOKUP(Предпосылки!$H$205,$C$13:$C$15,N$13:N$15),1)</f>
        <v>0</v>
      </c>
      <c s="125">
        <f>Предпосылки!N$232*Предпосылки!$H265*Продажи!O30*O$19*(1+Чувствительность!$D$20)*IFERROR(LOOKUP(Предпосылки!$H$205,$C$13:$C$15,O$13:O$15),1)</f>
        <v>0</v>
      </c>
      <c s="125">
        <f>Предпосылки!O$232*Предпосылки!$H265*Продажи!P30*P$19*(1+Чувствительность!$D$20)*IFERROR(LOOKUP(Предпосылки!$H$205,$C$13:$C$15,P$13:P$15),1)</f>
        <v>0</v>
      </c>
      <c s="125">
        <f>Предпосылки!P$232*Предпосылки!$H265*Продажи!Q30*Q$19*(1+Чувствительность!$D$20)*IFERROR(LOOKUP(Предпосылки!$H$205,$C$13:$C$15,Q$13:Q$15),1)</f>
        <v>0</v>
      </c>
      <c s="125">
        <f>Предпосылки!Q$232*Предпосылки!$H265*Продажи!R30*R$19*(1+Чувствительность!$D$20)*IFERROR(LOOKUP(Предпосылки!$H$205,$C$13:$C$15,R$13:R$15),1)</f>
        <v>0</v>
      </c>
      <c s="125">
        <f>Предпосылки!R$232*Предпосылки!$H265*Продажи!S30*S$19*(1+Чувствительность!$D$20)*IFERROR(LOOKUP(Предпосылки!$H$205,$C$13:$C$15,S$13:S$15),1)</f>
        <v>0</v>
      </c>
      <c s="125">
        <f>Предпосылки!S$232*Предпосылки!$H265*Продажи!T30*T$19*(1+Чувствительность!$D$20)*IFERROR(LOOKUP(Предпосылки!$H$205,$C$13:$C$15,T$13:T$15),1)</f>
        <v>0</v>
      </c>
      <c s="125">
        <f>Предпосылки!T$232*Предпосылки!$H265*Продажи!U30*U$19*(1+Чувствительность!$D$20)*IFERROR(LOOKUP(Предпосылки!$H$205,$C$13:$C$15,U$13:U$15),1)</f>
        <v>0</v>
      </c>
      <c s="125">
        <f>Предпосылки!U$232*Предпосылки!$H265*Продажи!V30*V$19*(1+Чувствительность!$D$20)*IFERROR(LOOKUP(Предпосылки!$H$205,$C$13:$C$15,V$13:V$15),1)</f>
        <v>0</v>
      </c>
      <c s="125">
        <f>Предпосылки!V$232*Предпосылки!$H265*Продажи!W30*W$19*(1+Чувствительность!$D$20)*IFERROR(LOOKUP(Предпосылки!$H$205,$C$13:$C$15,W$13:W$15),1)</f>
        <v>0</v>
      </c>
      <c s="125">
        <f>Предпосылки!W$232*Предпосылки!$H265*Продажи!X30*X$19*(1+Чувствительность!$D$20)*IFERROR(LOOKUP(Предпосылки!$H$205,$C$13:$C$15,X$13:X$15),1)</f>
        <v>0</v>
      </c>
      <c s="125">
        <f>Предпосылки!X$232*Предпосылки!$H265*Продажи!Y30*Y$19*(1+Чувствительность!$D$20)*IFERROR(LOOKUP(Предпосылки!$H$205,$C$13:$C$15,Y$13:Y$15),1)</f>
        <v>0</v>
      </c>
      <c s="125">
        <f>Предпосылки!Y$232*Предпосылки!$H265*Продажи!Z30*Z$19*(1+Чувствительность!$D$20)*IFERROR(LOOKUP(Предпосылки!$H$205,$C$13:$C$15,Z$13:Z$15),1)</f>
        <v>0</v>
      </c>
      <c s="125">
        <f>Предпосылки!Z$232*Предпосылки!$H265*Продажи!AA30*AA$19*(1+Чувствительность!$D$20)*IFERROR(LOOKUP(Предпосылки!$H$205,$C$13:$C$15,AA$13:AA$15),1)</f>
        <v>0</v>
      </c>
      <c s="125">
        <f>Предпосылки!AA$232*Предпосылки!$H265*Продажи!AB30*AB$19*(1+Чувствительность!$D$20)*IFERROR(LOOKUP(Предпосылки!$H$205,$C$13:$C$15,AB$13:AB$15),1)</f>
        <v>0</v>
      </c>
      <c s="125">
        <f>Предпосылки!AB$232*Предпосылки!$H265*Продажи!AC30*AC$19*(1+Чувствительность!$D$20)*IFERROR(LOOKUP(Предпосылки!$H$205,$C$13:$C$15,AC$13:AC$15),1)</f>
        <v>0</v>
      </c>
      <c s="125">
        <f>Предпосылки!AC$232*Предпосылки!$H265*Продажи!AD30*AD$19*(1+Чувствительность!$D$20)*IFERROR(LOOKUP(Предпосылки!$H$205,$C$13:$C$15,AD$13:AD$15),1)</f>
        <v>0</v>
      </c>
      <c s="125">
        <f>Предпосылки!AD$232*Предпосылки!$H265*Продажи!AE30*AE$19*(1+Чувствительность!$D$20)*IFERROR(LOOKUP(Предпосылки!$H$205,$C$13:$C$15,AE$13:AE$15),1)</f>
        <v>0</v>
      </c>
      <c s="125">
        <f>Предпосылки!AE$232*Предпосылки!$H265*Продажи!AF30*AF$19*(1+Чувствительность!$D$20)*IFERROR(LOOKUP(Предпосылки!$H$205,$C$13:$C$15,AF$13:AF$15),1)</f>
        <v>0</v>
      </c>
      <c s="125">
        <f>Предпосылки!AF$232*Предпосылки!$H265*Продажи!AG30*AG$19*(1+Чувствительность!$D$20)*IFERROR(LOOKUP(Предпосылки!$H$205,$C$13:$C$15,AG$13:AG$15),1)</f>
        <v>0</v>
      </c>
      <c s="125">
        <f>Предпосылки!AG$232*Предпосылки!$H265*Продажи!AH30*AH$19*(1+Чувствительность!$D$20)*IFERROR(LOOKUP(Предпосылки!$H$205,$C$13:$C$15,AH$13:AH$15),1)</f>
        <v>0</v>
      </c>
      <c s="125">
        <f>Предпосылки!AH$232*Предпосылки!$H265*Продажи!AI30*AI$19*(1+Чувствительность!$D$20)*IFERROR(LOOKUP(Предпосылки!$H$205,$C$13:$C$15,AI$13:AI$15),1)</f>
        <v>0</v>
      </c>
      <c s="125">
        <f>Предпосылки!AI$232*Предпосылки!$H265*Продажи!AJ30*AJ$19*(1+Чувствительность!$D$20)*IFERROR(LOOKUP(Предпосылки!$H$205,$C$13:$C$15,AJ$13:AJ$15),1)</f>
        <v>0</v>
      </c>
      <c s="125">
        <f>Предпосылки!AJ$232*Предпосылки!$H265*Продажи!AK30*AK$19*(1+Чувствительность!$D$20)*IFERROR(LOOKUP(Предпосылки!$H$205,$C$13:$C$15,AK$13:AK$15),1)</f>
        <v>0</v>
      </c>
      <c s="125">
        <f>Предпосылки!AK$232*Предпосылки!$H265*Продажи!AL30*AL$19*(1+Чувствительность!$D$20)*IFERROR(LOOKUP(Предпосылки!$H$205,$C$13:$C$15,AL$13:AL$15),1)</f>
        <v>0</v>
      </c>
      <c s="125">
        <f>Предпосылки!AL$232*Предпосылки!$H265*Продажи!AM30*AM$19*(1+Чувствительность!$D$20)*IFERROR(LOOKUP(Предпосылки!$H$205,$C$13:$C$15,AM$13:AM$15),1)</f>
        <v>0</v>
      </c>
      <c s="125">
        <f>Предпосылки!AM$232*Предпосылки!$H265*Продажи!AN30*AN$19*(1+Чувствительность!$D$20)*IFERROR(LOOKUP(Предпосылки!$H$205,$C$13:$C$15,AN$13:AN$15),1)</f>
        <v>0</v>
      </c>
      <c s="125">
        <f>Предпосылки!AN$232*Предпосылки!$H265*Продажи!AO30*AO$19*(1+Чувствительность!$D$20)*IFERROR(LOOKUP(Предпосылки!$H$205,$C$13:$C$15,AO$13:AO$15),1)</f>
        <v>0</v>
      </c>
      <c s="125">
        <f>Предпосылки!AO$232*Предпосылки!$H265*Продажи!AP30*AP$19*(1+Чувствительность!$D$20)*IFERROR(LOOKUP(Предпосылки!$H$205,$C$13:$C$15,AP$13:AP$15),1)</f>
        <v>0</v>
      </c>
      <c s="125">
        <f>Предпосылки!AP$232*Предпосылки!$H265*Продажи!AQ30*AQ$19*(1+Чувствительность!$D$20)*IFERROR(LOOKUP(Предпосылки!$H$205,$C$13:$C$15,AQ$13:AQ$15),1)</f>
        <v>0</v>
      </c>
      <c s="125">
        <f>Предпосылки!AQ$232*Предпосылки!$H265*Продажи!AR30*AR$19*(1+Чувствительность!$D$20)*IFERROR(LOOKUP(Предпосылки!$H$205,$C$13:$C$15,AR$13:AR$15),1)</f>
        <v>0</v>
      </c>
      <c s="125">
        <f>Предпосылки!AR$232*Предпосылки!$H265*Продажи!AS30*AS$19*(1+Чувствительность!$D$20)*IFERROR(LOOKUP(Предпосылки!$H$205,$C$13:$C$15,AS$13:AS$15),1)</f>
        <v>0</v>
      </c>
      <c s="125">
        <f>Предпосылки!AS$232*Предпосылки!$H265*Продажи!AT30*AT$19*(1+Чувствительность!$D$20)*IFERROR(LOOKUP(Предпосылки!$H$205,$C$13:$C$15,AT$13:AT$15),1)</f>
        <v>0</v>
      </c>
      <c s="125">
        <f>Предпосылки!AT$232*Предпосылки!$H265*Продажи!AU30*AU$19*(1+Чувствительность!$D$20)*IFERROR(LOOKUP(Предпосылки!$H$205,$C$13:$C$15,AU$13:AU$15),1)</f>
        <v>0</v>
      </c>
      <c s="125">
        <f>Предпосылки!AU$232*Предпосылки!$H265*Продажи!AV30*AV$19*(1+Чувствительность!$D$20)*IFERROR(LOOKUP(Предпосылки!$H$205,$C$13:$C$15,AV$13:AV$15),1)</f>
        <v>0</v>
      </c>
      <c s="125">
        <f>Предпосылки!AV$232*Предпосылки!$H265*Продажи!AW30*AW$19*(1+Чувствительность!$D$20)*IFERROR(LOOKUP(Предпосылки!$H$205,$C$13:$C$15,AW$13:AW$15),1)</f>
        <v>0</v>
      </c>
      <c s="125">
        <f>Предпосылки!AW$232*Предпосылки!$H265*Продажи!AX30*AX$19*(1+Чувствительность!$D$20)*IFERROR(LOOKUP(Предпосылки!$H$205,$C$13:$C$15,AX$13:AX$15),1)</f>
        <v>0</v>
      </c>
      <c s="125">
        <f>Предпосылки!AX$232*Предпосылки!$H265*Продажи!AY30*AY$19*(1+Чувствительность!$D$20)*IFERROR(LOOKUP(Предпосылки!$H$205,$C$13:$C$15,AY$13:AY$15),1)</f>
        <v>0</v>
      </c>
      <c s="125">
        <f>Предпосылки!AY$232*Предпосылки!$H265*Продажи!AZ30*AZ$19*(1+Чувствительность!$D$20)*IFERROR(LOOKUP(Предпосылки!$H$205,$C$13:$C$15,AZ$13:AZ$15),1)</f>
        <v>0</v>
      </c>
      <c s="125">
        <f>Предпосылки!AZ$232*Предпосылки!$H265*Продажи!BA30*BA$19*(1+Чувствительность!$D$20)*IFERROR(LOOKUP(Предпосылки!$H$205,$C$13:$C$15,BA$13:BA$15),1)</f>
        <v>0</v>
      </c>
      <c s="125">
        <f>Предпосылки!BA$232*Предпосылки!$H265*Продажи!BB30*BB$19*(1+Чувствительность!$D$20)*IFERROR(LOOKUP(Предпосылки!$H$205,$C$13:$C$15,BB$13:BB$15),1)</f>
        <v>0</v>
      </c>
      <c s="125">
        <f>Предпосылки!BB$232*Предпосылки!$H265*Продажи!BC30*BC$19*(1+Чувствительность!$D$20)*IFERROR(LOOKUP(Предпосылки!$H$205,$C$13:$C$15,BC$13:BC$15),1)</f>
        <v>0</v>
      </c>
      <c s="125">
        <f>Предпосылки!BC$232*Предпосылки!$H265*Продажи!BD30*BD$19*(1+Чувствительность!$D$20)*IFERROR(LOOKUP(Предпосылки!$H$205,$C$13:$C$15,BD$13:BD$15),1)</f>
        <v>0</v>
      </c>
      <c s="125">
        <f>Предпосылки!BD$232*Предпосылки!$H265*Продажи!BE30*BE$19*(1+Чувствительность!$D$20)*IFERROR(LOOKUP(Предпосылки!$H$205,$C$13:$C$15,BE$13:BE$15),1)</f>
        <v>0</v>
      </c>
      <c s="125">
        <f>Предпосылки!BE$232*Предпосылки!$H265*Продажи!BF30*BF$19*(1+Чувствительность!$D$20)*IFERROR(LOOKUP(Предпосылки!$H$205,$C$13:$C$15,BF$13:BF$15),1)</f>
        <v>0</v>
      </c>
      <c s="125">
        <f>Предпосылки!BF$232*Предпосылки!$H265*Продажи!BG30*BG$19*(1+Чувствительность!$D$20)*IFERROR(LOOKUP(Предпосылки!$H$205,$C$13:$C$15,BG$13:BG$15),1)</f>
        <v>0</v>
      </c>
      <c s="125">
        <f>Предпосылки!BG$232*Предпосылки!$H265*Продажи!BH30*BH$19*(1+Чувствительность!$D$20)*IFERROR(LOOKUP(Предпосылки!$H$205,$C$13:$C$15,BH$13:BH$15),1)</f>
        <v>0</v>
      </c>
      <c s="125">
        <f>Предпосылки!BH$232*Предпосылки!$H265*Продажи!BI30*BI$19*(1+Чувствительность!$D$20)*IFERROR(LOOKUP(Предпосылки!$H$205,$C$13:$C$15,BI$13:BI$15),1)</f>
        <v>0</v>
      </c>
      <c s="125">
        <f>Предпосылки!BI$232*Предпосылки!$H265*Продажи!BJ30*BJ$19*(1+Чувствительность!$D$20)*IFERROR(LOOKUP(Предпосылки!$H$205,$C$13:$C$15,BJ$13:BJ$15),1)</f>
        <v>0</v>
      </c>
      <c s="125">
        <f>Предпосылки!BJ$232*Предпосылки!$H265*Продажи!BK30*BK$19*(1+Чувствительность!$D$20)*IFERROR(LOOKUP(Предпосылки!$H$205,$C$13:$C$15,BK$13:BK$15),1)</f>
        <v>0</v>
      </c>
      <c s="125">
        <f>Предпосылки!BK$232*Предпосылки!$H265*Продажи!BL30*BL$19*(1+Чувствительность!$D$20)*IFERROR(LOOKUP(Предпосылки!$H$205,$C$13:$C$15,BL$13:BL$15),1)</f>
        <v>0</v>
      </c>
      <c s="125">
        <f>Предпосылки!BL$232*Предпосылки!$H265*Продажи!BM30*BM$19*(1+Чувствительность!$D$20)*IFERROR(LOOKUP(Предпосылки!$H$205,$C$13:$C$15,BM$13:BM$15),1)</f>
        <v>0</v>
      </c>
    </row>
    <row r="128" spans="2:65" ht="15" customHeight="1">
      <c r="B128" s="12" t="str">
        <f t="shared" si="81"/>
        <v>Продукт 14</v>
      </c>
      <c s="124" t="str">
        <f t="shared" si="80"/>
        <v>тыс. руб.</v>
      </c>
      <c s="276">
        <f t="shared" si="82"/>
        <v>0</v>
      </c>
      <c s="125">
        <f>Предпосылки!D$232*Предпосылки!$H266*Продажи!E31*E$19*(1+Чувствительность!$D$20)*IFERROR(LOOKUP(Предпосылки!$H$205,$C$13:$C$15,E$13:E$15),1)</f>
        <v>0</v>
      </c>
      <c s="125">
        <f>Предпосылки!E$232*Предпосылки!$H266*Продажи!F31*F$19*(1+Чувствительность!$D$20)*IFERROR(LOOKUP(Предпосылки!$H$205,$C$13:$C$15,F$13:F$15),1)</f>
        <v>0</v>
      </c>
      <c s="125">
        <f>Предпосылки!F$232*Предпосылки!$H266*Продажи!G31*G$19*(1+Чувствительность!$D$20)*IFERROR(LOOKUP(Предпосылки!$H$205,$C$13:$C$15,G$13:G$15),1)</f>
        <v>0</v>
      </c>
      <c s="125">
        <f>Предпосылки!G$232*Предпосылки!$H266*Продажи!H31*H$19*(1+Чувствительность!$D$20)*IFERROR(LOOKUP(Предпосылки!$H$205,$C$13:$C$15,H$13:H$15),1)</f>
        <v>0</v>
      </c>
      <c s="125">
        <f>Предпосылки!H$232*Предпосылки!$H266*Продажи!I31*I$19*(1+Чувствительность!$D$20)*IFERROR(LOOKUP(Предпосылки!$H$205,$C$13:$C$15,I$13:I$15),1)</f>
        <v>0</v>
      </c>
      <c s="125">
        <f>Предпосылки!I$232*Предпосылки!$H266*Продажи!J31*J$19*(1+Чувствительность!$D$20)*IFERROR(LOOKUP(Предпосылки!$H$205,$C$13:$C$15,J$13:J$15),1)</f>
        <v>0</v>
      </c>
      <c s="125">
        <f>Предпосылки!J$232*Предпосылки!$H266*Продажи!K31*K$19*(1+Чувствительность!$D$20)*IFERROR(LOOKUP(Предпосылки!$H$205,$C$13:$C$15,K$13:K$15),1)</f>
        <v>0</v>
      </c>
      <c s="125">
        <f>Предпосылки!K$232*Предпосылки!$H266*Продажи!L31*L$19*(1+Чувствительность!$D$20)*IFERROR(LOOKUP(Предпосылки!$H$205,$C$13:$C$15,L$13:L$15),1)</f>
        <v>0</v>
      </c>
      <c s="125">
        <f>Предпосылки!L$232*Предпосылки!$H266*Продажи!M31*M$19*(1+Чувствительность!$D$20)*IFERROR(LOOKUP(Предпосылки!$H$205,$C$13:$C$15,M$13:M$15),1)</f>
        <v>0</v>
      </c>
      <c s="125">
        <f>Предпосылки!M$232*Предпосылки!$H266*Продажи!N31*N$19*(1+Чувствительность!$D$20)*IFERROR(LOOKUP(Предпосылки!$H$205,$C$13:$C$15,N$13:N$15),1)</f>
        <v>0</v>
      </c>
      <c s="125">
        <f>Предпосылки!N$232*Предпосылки!$H266*Продажи!O31*O$19*(1+Чувствительность!$D$20)*IFERROR(LOOKUP(Предпосылки!$H$205,$C$13:$C$15,O$13:O$15),1)</f>
        <v>0</v>
      </c>
      <c s="125">
        <f>Предпосылки!O$232*Предпосылки!$H266*Продажи!P31*P$19*(1+Чувствительность!$D$20)*IFERROR(LOOKUP(Предпосылки!$H$205,$C$13:$C$15,P$13:P$15),1)</f>
        <v>0</v>
      </c>
      <c s="125">
        <f>Предпосылки!P$232*Предпосылки!$H266*Продажи!Q31*Q$19*(1+Чувствительность!$D$20)*IFERROR(LOOKUP(Предпосылки!$H$205,$C$13:$C$15,Q$13:Q$15),1)</f>
        <v>0</v>
      </c>
      <c s="125">
        <f>Предпосылки!Q$232*Предпосылки!$H266*Продажи!R31*R$19*(1+Чувствительность!$D$20)*IFERROR(LOOKUP(Предпосылки!$H$205,$C$13:$C$15,R$13:R$15),1)</f>
        <v>0</v>
      </c>
      <c s="125">
        <f>Предпосылки!R$232*Предпосылки!$H266*Продажи!S31*S$19*(1+Чувствительность!$D$20)*IFERROR(LOOKUP(Предпосылки!$H$205,$C$13:$C$15,S$13:S$15),1)</f>
        <v>0</v>
      </c>
      <c s="125">
        <f>Предпосылки!S$232*Предпосылки!$H266*Продажи!T31*T$19*(1+Чувствительность!$D$20)*IFERROR(LOOKUP(Предпосылки!$H$205,$C$13:$C$15,T$13:T$15),1)</f>
        <v>0</v>
      </c>
      <c s="125">
        <f>Предпосылки!T$232*Предпосылки!$H266*Продажи!U31*U$19*(1+Чувствительность!$D$20)*IFERROR(LOOKUP(Предпосылки!$H$205,$C$13:$C$15,U$13:U$15),1)</f>
        <v>0</v>
      </c>
      <c s="125">
        <f>Предпосылки!U$232*Предпосылки!$H266*Продажи!V31*V$19*(1+Чувствительность!$D$20)*IFERROR(LOOKUP(Предпосылки!$H$205,$C$13:$C$15,V$13:V$15),1)</f>
        <v>0</v>
      </c>
      <c s="125">
        <f>Предпосылки!V$232*Предпосылки!$H266*Продажи!W31*W$19*(1+Чувствительность!$D$20)*IFERROR(LOOKUP(Предпосылки!$H$205,$C$13:$C$15,W$13:W$15),1)</f>
        <v>0</v>
      </c>
      <c s="125">
        <f>Предпосылки!W$232*Предпосылки!$H266*Продажи!X31*X$19*(1+Чувствительность!$D$20)*IFERROR(LOOKUP(Предпосылки!$H$205,$C$13:$C$15,X$13:X$15),1)</f>
        <v>0</v>
      </c>
      <c s="125">
        <f>Предпосылки!X$232*Предпосылки!$H266*Продажи!Y31*Y$19*(1+Чувствительность!$D$20)*IFERROR(LOOKUP(Предпосылки!$H$205,$C$13:$C$15,Y$13:Y$15),1)</f>
        <v>0</v>
      </c>
      <c s="125">
        <f>Предпосылки!Y$232*Предпосылки!$H266*Продажи!Z31*Z$19*(1+Чувствительность!$D$20)*IFERROR(LOOKUP(Предпосылки!$H$205,$C$13:$C$15,Z$13:Z$15),1)</f>
        <v>0</v>
      </c>
      <c s="125">
        <f>Предпосылки!Z$232*Предпосылки!$H266*Продажи!AA31*AA$19*(1+Чувствительность!$D$20)*IFERROR(LOOKUP(Предпосылки!$H$205,$C$13:$C$15,AA$13:AA$15),1)</f>
        <v>0</v>
      </c>
      <c s="125">
        <f>Предпосылки!AA$232*Предпосылки!$H266*Продажи!AB31*AB$19*(1+Чувствительность!$D$20)*IFERROR(LOOKUP(Предпосылки!$H$205,$C$13:$C$15,AB$13:AB$15),1)</f>
        <v>0</v>
      </c>
      <c s="125">
        <f>Предпосылки!AB$232*Предпосылки!$H266*Продажи!AC31*AC$19*(1+Чувствительность!$D$20)*IFERROR(LOOKUP(Предпосылки!$H$205,$C$13:$C$15,AC$13:AC$15),1)</f>
        <v>0</v>
      </c>
      <c s="125">
        <f>Предпосылки!AC$232*Предпосылки!$H266*Продажи!AD31*AD$19*(1+Чувствительность!$D$20)*IFERROR(LOOKUP(Предпосылки!$H$205,$C$13:$C$15,AD$13:AD$15),1)</f>
        <v>0</v>
      </c>
      <c s="125">
        <f>Предпосылки!AD$232*Предпосылки!$H266*Продажи!AE31*AE$19*(1+Чувствительность!$D$20)*IFERROR(LOOKUP(Предпосылки!$H$205,$C$13:$C$15,AE$13:AE$15),1)</f>
        <v>0</v>
      </c>
      <c s="125">
        <f>Предпосылки!AE$232*Предпосылки!$H266*Продажи!AF31*AF$19*(1+Чувствительность!$D$20)*IFERROR(LOOKUP(Предпосылки!$H$205,$C$13:$C$15,AF$13:AF$15),1)</f>
        <v>0</v>
      </c>
      <c s="125">
        <f>Предпосылки!AF$232*Предпосылки!$H266*Продажи!AG31*AG$19*(1+Чувствительность!$D$20)*IFERROR(LOOKUP(Предпосылки!$H$205,$C$13:$C$15,AG$13:AG$15),1)</f>
        <v>0</v>
      </c>
      <c s="125">
        <f>Предпосылки!AG$232*Предпосылки!$H266*Продажи!AH31*AH$19*(1+Чувствительность!$D$20)*IFERROR(LOOKUP(Предпосылки!$H$205,$C$13:$C$15,AH$13:AH$15),1)</f>
        <v>0</v>
      </c>
      <c s="125">
        <f>Предпосылки!AH$232*Предпосылки!$H266*Продажи!AI31*AI$19*(1+Чувствительность!$D$20)*IFERROR(LOOKUP(Предпосылки!$H$205,$C$13:$C$15,AI$13:AI$15),1)</f>
        <v>0</v>
      </c>
      <c s="125">
        <f>Предпосылки!AI$232*Предпосылки!$H266*Продажи!AJ31*AJ$19*(1+Чувствительность!$D$20)*IFERROR(LOOKUP(Предпосылки!$H$205,$C$13:$C$15,AJ$13:AJ$15),1)</f>
        <v>0</v>
      </c>
      <c s="125">
        <f>Предпосылки!AJ$232*Предпосылки!$H266*Продажи!AK31*AK$19*(1+Чувствительность!$D$20)*IFERROR(LOOKUP(Предпосылки!$H$205,$C$13:$C$15,AK$13:AK$15),1)</f>
        <v>0</v>
      </c>
      <c s="125">
        <f>Предпосылки!AK$232*Предпосылки!$H266*Продажи!AL31*AL$19*(1+Чувствительность!$D$20)*IFERROR(LOOKUP(Предпосылки!$H$205,$C$13:$C$15,AL$13:AL$15),1)</f>
        <v>0</v>
      </c>
      <c s="125">
        <f>Предпосылки!AL$232*Предпосылки!$H266*Продажи!AM31*AM$19*(1+Чувствительность!$D$20)*IFERROR(LOOKUP(Предпосылки!$H$205,$C$13:$C$15,AM$13:AM$15),1)</f>
        <v>0</v>
      </c>
      <c s="125">
        <f>Предпосылки!AM$232*Предпосылки!$H266*Продажи!AN31*AN$19*(1+Чувствительность!$D$20)*IFERROR(LOOKUP(Предпосылки!$H$205,$C$13:$C$15,AN$13:AN$15),1)</f>
        <v>0</v>
      </c>
      <c s="125">
        <f>Предпосылки!AN$232*Предпосылки!$H266*Продажи!AO31*AO$19*(1+Чувствительность!$D$20)*IFERROR(LOOKUP(Предпосылки!$H$205,$C$13:$C$15,AO$13:AO$15),1)</f>
        <v>0</v>
      </c>
      <c s="125">
        <f>Предпосылки!AO$232*Предпосылки!$H266*Продажи!AP31*AP$19*(1+Чувствительность!$D$20)*IFERROR(LOOKUP(Предпосылки!$H$205,$C$13:$C$15,AP$13:AP$15),1)</f>
        <v>0</v>
      </c>
      <c s="125">
        <f>Предпосылки!AP$232*Предпосылки!$H266*Продажи!AQ31*AQ$19*(1+Чувствительность!$D$20)*IFERROR(LOOKUP(Предпосылки!$H$205,$C$13:$C$15,AQ$13:AQ$15),1)</f>
        <v>0</v>
      </c>
      <c s="125">
        <f>Предпосылки!AQ$232*Предпосылки!$H266*Продажи!AR31*AR$19*(1+Чувствительность!$D$20)*IFERROR(LOOKUP(Предпосылки!$H$205,$C$13:$C$15,AR$13:AR$15),1)</f>
        <v>0</v>
      </c>
      <c s="125">
        <f>Предпосылки!AR$232*Предпосылки!$H266*Продажи!AS31*AS$19*(1+Чувствительность!$D$20)*IFERROR(LOOKUP(Предпосылки!$H$205,$C$13:$C$15,AS$13:AS$15),1)</f>
        <v>0</v>
      </c>
      <c s="125">
        <f>Предпосылки!AS$232*Предпосылки!$H266*Продажи!AT31*AT$19*(1+Чувствительность!$D$20)*IFERROR(LOOKUP(Предпосылки!$H$205,$C$13:$C$15,AT$13:AT$15),1)</f>
        <v>0</v>
      </c>
      <c s="125">
        <f>Предпосылки!AT$232*Предпосылки!$H266*Продажи!AU31*AU$19*(1+Чувствительность!$D$20)*IFERROR(LOOKUP(Предпосылки!$H$205,$C$13:$C$15,AU$13:AU$15),1)</f>
        <v>0</v>
      </c>
      <c s="125">
        <f>Предпосылки!AU$232*Предпосылки!$H266*Продажи!AV31*AV$19*(1+Чувствительность!$D$20)*IFERROR(LOOKUP(Предпосылки!$H$205,$C$13:$C$15,AV$13:AV$15),1)</f>
        <v>0</v>
      </c>
      <c s="125">
        <f>Предпосылки!AV$232*Предпосылки!$H266*Продажи!AW31*AW$19*(1+Чувствительность!$D$20)*IFERROR(LOOKUP(Предпосылки!$H$205,$C$13:$C$15,AW$13:AW$15),1)</f>
        <v>0</v>
      </c>
      <c s="125">
        <f>Предпосылки!AW$232*Предпосылки!$H266*Продажи!AX31*AX$19*(1+Чувствительность!$D$20)*IFERROR(LOOKUP(Предпосылки!$H$205,$C$13:$C$15,AX$13:AX$15),1)</f>
        <v>0</v>
      </c>
      <c s="125">
        <f>Предпосылки!AX$232*Предпосылки!$H266*Продажи!AY31*AY$19*(1+Чувствительность!$D$20)*IFERROR(LOOKUP(Предпосылки!$H$205,$C$13:$C$15,AY$13:AY$15),1)</f>
        <v>0</v>
      </c>
      <c s="125">
        <f>Предпосылки!AY$232*Предпосылки!$H266*Продажи!AZ31*AZ$19*(1+Чувствительность!$D$20)*IFERROR(LOOKUP(Предпосылки!$H$205,$C$13:$C$15,AZ$13:AZ$15),1)</f>
        <v>0</v>
      </c>
      <c s="125">
        <f>Предпосылки!AZ$232*Предпосылки!$H266*Продажи!BA31*BA$19*(1+Чувствительность!$D$20)*IFERROR(LOOKUP(Предпосылки!$H$205,$C$13:$C$15,BA$13:BA$15),1)</f>
        <v>0</v>
      </c>
      <c s="125">
        <f>Предпосылки!BA$232*Предпосылки!$H266*Продажи!BB31*BB$19*(1+Чувствительность!$D$20)*IFERROR(LOOKUP(Предпосылки!$H$205,$C$13:$C$15,BB$13:BB$15),1)</f>
        <v>0</v>
      </c>
      <c s="125">
        <f>Предпосылки!BB$232*Предпосылки!$H266*Продажи!BC31*BC$19*(1+Чувствительность!$D$20)*IFERROR(LOOKUP(Предпосылки!$H$205,$C$13:$C$15,BC$13:BC$15),1)</f>
        <v>0</v>
      </c>
      <c s="125">
        <f>Предпосылки!BC$232*Предпосылки!$H266*Продажи!BD31*BD$19*(1+Чувствительность!$D$20)*IFERROR(LOOKUP(Предпосылки!$H$205,$C$13:$C$15,BD$13:BD$15),1)</f>
        <v>0</v>
      </c>
      <c s="125">
        <f>Предпосылки!BD$232*Предпосылки!$H266*Продажи!BE31*BE$19*(1+Чувствительность!$D$20)*IFERROR(LOOKUP(Предпосылки!$H$205,$C$13:$C$15,BE$13:BE$15),1)</f>
        <v>0</v>
      </c>
      <c s="125">
        <f>Предпосылки!BE$232*Предпосылки!$H266*Продажи!BF31*BF$19*(1+Чувствительность!$D$20)*IFERROR(LOOKUP(Предпосылки!$H$205,$C$13:$C$15,BF$13:BF$15),1)</f>
        <v>0</v>
      </c>
      <c s="125">
        <f>Предпосылки!BF$232*Предпосылки!$H266*Продажи!BG31*BG$19*(1+Чувствительность!$D$20)*IFERROR(LOOKUP(Предпосылки!$H$205,$C$13:$C$15,BG$13:BG$15),1)</f>
        <v>0</v>
      </c>
      <c s="125">
        <f>Предпосылки!BG$232*Предпосылки!$H266*Продажи!BH31*BH$19*(1+Чувствительность!$D$20)*IFERROR(LOOKUP(Предпосылки!$H$205,$C$13:$C$15,BH$13:BH$15),1)</f>
        <v>0</v>
      </c>
      <c s="125">
        <f>Предпосылки!BH$232*Предпосылки!$H266*Продажи!BI31*BI$19*(1+Чувствительность!$D$20)*IFERROR(LOOKUP(Предпосылки!$H$205,$C$13:$C$15,BI$13:BI$15),1)</f>
        <v>0</v>
      </c>
      <c s="125">
        <f>Предпосылки!BI$232*Предпосылки!$H266*Продажи!BJ31*BJ$19*(1+Чувствительность!$D$20)*IFERROR(LOOKUP(Предпосылки!$H$205,$C$13:$C$15,BJ$13:BJ$15),1)</f>
        <v>0</v>
      </c>
      <c s="125">
        <f>Предпосылки!BJ$232*Предпосылки!$H266*Продажи!BK31*BK$19*(1+Чувствительность!$D$20)*IFERROR(LOOKUP(Предпосылки!$H$205,$C$13:$C$15,BK$13:BK$15),1)</f>
        <v>0</v>
      </c>
      <c s="125">
        <f>Предпосылки!BK$232*Предпосылки!$H266*Продажи!BL31*BL$19*(1+Чувствительность!$D$20)*IFERROR(LOOKUP(Предпосылки!$H$205,$C$13:$C$15,BL$13:BL$15),1)</f>
        <v>0</v>
      </c>
      <c s="125">
        <f>Предпосылки!BL$232*Предпосылки!$H266*Продажи!BM31*BM$19*(1+Чувствительность!$D$20)*IFERROR(LOOKUP(Предпосылки!$H$205,$C$13:$C$15,BM$13:BM$15),1)</f>
        <v>0</v>
      </c>
    </row>
    <row r="129" spans="2:65" ht="15" customHeight="1">
      <c r="B129" s="12" t="str">
        <f t="shared" si="81"/>
        <v>Продукт 15</v>
      </c>
      <c s="124" t="str">
        <f t="shared" si="80"/>
        <v>тыс. руб.</v>
      </c>
      <c s="276">
        <f t="shared" si="82"/>
        <v>0</v>
      </c>
      <c s="125">
        <f>Предпосылки!D$232*Предпосылки!$H267*Продажи!E32*E$19*(1+Чувствительность!$D$20)*IFERROR(LOOKUP(Предпосылки!$H$205,$C$13:$C$15,E$13:E$15),1)</f>
        <v>0</v>
      </c>
      <c s="125">
        <f>Предпосылки!E$232*Предпосылки!$H267*Продажи!F32*F$19*(1+Чувствительность!$D$20)*IFERROR(LOOKUP(Предпосылки!$H$205,$C$13:$C$15,F$13:F$15),1)</f>
        <v>0</v>
      </c>
      <c s="125">
        <f>Предпосылки!F$232*Предпосылки!$H267*Продажи!G32*G$19*(1+Чувствительность!$D$20)*IFERROR(LOOKUP(Предпосылки!$H$205,$C$13:$C$15,G$13:G$15),1)</f>
        <v>0</v>
      </c>
      <c s="125">
        <f>Предпосылки!G$232*Предпосылки!$H267*Продажи!H32*H$19*(1+Чувствительность!$D$20)*IFERROR(LOOKUP(Предпосылки!$H$205,$C$13:$C$15,H$13:H$15),1)</f>
        <v>0</v>
      </c>
      <c s="125">
        <f>Предпосылки!H$232*Предпосылки!$H267*Продажи!I32*I$19*(1+Чувствительность!$D$20)*IFERROR(LOOKUP(Предпосылки!$H$205,$C$13:$C$15,I$13:I$15),1)</f>
        <v>0</v>
      </c>
      <c s="125">
        <f>Предпосылки!I$232*Предпосылки!$H267*Продажи!J32*J$19*(1+Чувствительность!$D$20)*IFERROR(LOOKUP(Предпосылки!$H$205,$C$13:$C$15,J$13:J$15),1)</f>
        <v>0</v>
      </c>
      <c s="125">
        <f>Предпосылки!J$232*Предпосылки!$H267*Продажи!K32*K$19*(1+Чувствительность!$D$20)*IFERROR(LOOKUP(Предпосылки!$H$205,$C$13:$C$15,K$13:K$15),1)</f>
        <v>0</v>
      </c>
      <c s="125">
        <f>Предпосылки!K$232*Предпосылки!$H267*Продажи!L32*L$19*(1+Чувствительность!$D$20)*IFERROR(LOOKUP(Предпосылки!$H$205,$C$13:$C$15,L$13:L$15),1)</f>
        <v>0</v>
      </c>
      <c s="125">
        <f>Предпосылки!L$232*Предпосылки!$H267*Продажи!M32*M$19*(1+Чувствительность!$D$20)*IFERROR(LOOKUP(Предпосылки!$H$205,$C$13:$C$15,M$13:M$15),1)</f>
        <v>0</v>
      </c>
      <c s="125">
        <f>Предпосылки!M$232*Предпосылки!$H267*Продажи!N32*N$19*(1+Чувствительность!$D$20)*IFERROR(LOOKUP(Предпосылки!$H$205,$C$13:$C$15,N$13:N$15),1)</f>
        <v>0</v>
      </c>
      <c s="125">
        <f>Предпосылки!N$232*Предпосылки!$H267*Продажи!O32*O$19*(1+Чувствительность!$D$20)*IFERROR(LOOKUP(Предпосылки!$H$205,$C$13:$C$15,O$13:O$15),1)</f>
        <v>0</v>
      </c>
      <c s="125">
        <f>Предпосылки!O$232*Предпосылки!$H267*Продажи!P32*P$19*(1+Чувствительность!$D$20)*IFERROR(LOOKUP(Предпосылки!$H$205,$C$13:$C$15,P$13:P$15),1)</f>
        <v>0</v>
      </c>
      <c s="125">
        <f>Предпосылки!P$232*Предпосылки!$H267*Продажи!Q32*Q$19*(1+Чувствительность!$D$20)*IFERROR(LOOKUP(Предпосылки!$H$205,$C$13:$C$15,Q$13:Q$15),1)</f>
        <v>0</v>
      </c>
      <c s="125">
        <f>Предпосылки!Q$232*Предпосылки!$H267*Продажи!R32*R$19*(1+Чувствительность!$D$20)*IFERROR(LOOKUP(Предпосылки!$H$205,$C$13:$C$15,R$13:R$15),1)</f>
        <v>0</v>
      </c>
      <c s="125">
        <f>Предпосылки!R$232*Предпосылки!$H267*Продажи!S32*S$19*(1+Чувствительность!$D$20)*IFERROR(LOOKUP(Предпосылки!$H$205,$C$13:$C$15,S$13:S$15),1)</f>
        <v>0</v>
      </c>
      <c s="125">
        <f>Предпосылки!S$232*Предпосылки!$H267*Продажи!T32*T$19*(1+Чувствительность!$D$20)*IFERROR(LOOKUP(Предпосылки!$H$205,$C$13:$C$15,T$13:T$15),1)</f>
        <v>0</v>
      </c>
      <c s="125">
        <f>Предпосылки!T$232*Предпосылки!$H267*Продажи!U32*U$19*(1+Чувствительность!$D$20)*IFERROR(LOOKUP(Предпосылки!$H$205,$C$13:$C$15,U$13:U$15),1)</f>
        <v>0</v>
      </c>
      <c s="125">
        <f>Предпосылки!U$232*Предпосылки!$H267*Продажи!V32*V$19*(1+Чувствительность!$D$20)*IFERROR(LOOKUP(Предпосылки!$H$205,$C$13:$C$15,V$13:V$15),1)</f>
        <v>0</v>
      </c>
      <c s="125">
        <f>Предпосылки!V$232*Предпосылки!$H267*Продажи!W32*W$19*(1+Чувствительность!$D$20)*IFERROR(LOOKUP(Предпосылки!$H$205,$C$13:$C$15,W$13:W$15),1)</f>
        <v>0</v>
      </c>
      <c s="125">
        <f>Предпосылки!W$232*Предпосылки!$H267*Продажи!X32*X$19*(1+Чувствительность!$D$20)*IFERROR(LOOKUP(Предпосылки!$H$205,$C$13:$C$15,X$13:X$15),1)</f>
        <v>0</v>
      </c>
      <c s="125">
        <f>Предпосылки!X$232*Предпосылки!$H267*Продажи!Y32*Y$19*(1+Чувствительность!$D$20)*IFERROR(LOOKUP(Предпосылки!$H$205,$C$13:$C$15,Y$13:Y$15),1)</f>
        <v>0</v>
      </c>
      <c s="125">
        <f>Предпосылки!Y$232*Предпосылки!$H267*Продажи!Z32*Z$19*(1+Чувствительность!$D$20)*IFERROR(LOOKUP(Предпосылки!$H$205,$C$13:$C$15,Z$13:Z$15),1)</f>
        <v>0</v>
      </c>
      <c s="125">
        <f>Предпосылки!Z$232*Предпосылки!$H267*Продажи!AA32*AA$19*(1+Чувствительность!$D$20)*IFERROR(LOOKUP(Предпосылки!$H$205,$C$13:$C$15,AA$13:AA$15),1)</f>
        <v>0</v>
      </c>
      <c s="125">
        <f>Предпосылки!AA$232*Предпосылки!$H267*Продажи!AB32*AB$19*(1+Чувствительность!$D$20)*IFERROR(LOOKUP(Предпосылки!$H$205,$C$13:$C$15,AB$13:AB$15),1)</f>
        <v>0</v>
      </c>
      <c s="125">
        <f>Предпосылки!AB$232*Предпосылки!$H267*Продажи!AC32*AC$19*(1+Чувствительность!$D$20)*IFERROR(LOOKUP(Предпосылки!$H$205,$C$13:$C$15,AC$13:AC$15),1)</f>
        <v>0</v>
      </c>
      <c s="125">
        <f>Предпосылки!AC$232*Предпосылки!$H267*Продажи!AD32*AD$19*(1+Чувствительность!$D$20)*IFERROR(LOOKUP(Предпосылки!$H$205,$C$13:$C$15,AD$13:AD$15),1)</f>
        <v>0</v>
      </c>
      <c s="125">
        <f>Предпосылки!AD$232*Предпосылки!$H267*Продажи!AE32*AE$19*(1+Чувствительность!$D$20)*IFERROR(LOOKUP(Предпосылки!$H$205,$C$13:$C$15,AE$13:AE$15),1)</f>
        <v>0</v>
      </c>
      <c s="125">
        <f>Предпосылки!AE$232*Предпосылки!$H267*Продажи!AF32*AF$19*(1+Чувствительность!$D$20)*IFERROR(LOOKUP(Предпосылки!$H$205,$C$13:$C$15,AF$13:AF$15),1)</f>
        <v>0</v>
      </c>
      <c s="125">
        <f>Предпосылки!AF$232*Предпосылки!$H267*Продажи!AG32*AG$19*(1+Чувствительность!$D$20)*IFERROR(LOOKUP(Предпосылки!$H$205,$C$13:$C$15,AG$13:AG$15),1)</f>
        <v>0</v>
      </c>
      <c s="125">
        <f>Предпосылки!AG$232*Предпосылки!$H267*Продажи!AH32*AH$19*(1+Чувствительность!$D$20)*IFERROR(LOOKUP(Предпосылки!$H$205,$C$13:$C$15,AH$13:AH$15),1)</f>
        <v>0</v>
      </c>
      <c s="125">
        <f>Предпосылки!AH$232*Предпосылки!$H267*Продажи!AI32*AI$19*(1+Чувствительность!$D$20)*IFERROR(LOOKUP(Предпосылки!$H$205,$C$13:$C$15,AI$13:AI$15),1)</f>
        <v>0</v>
      </c>
      <c s="125">
        <f>Предпосылки!AI$232*Предпосылки!$H267*Продажи!AJ32*AJ$19*(1+Чувствительность!$D$20)*IFERROR(LOOKUP(Предпосылки!$H$205,$C$13:$C$15,AJ$13:AJ$15),1)</f>
        <v>0</v>
      </c>
      <c s="125">
        <f>Предпосылки!AJ$232*Предпосылки!$H267*Продажи!AK32*AK$19*(1+Чувствительность!$D$20)*IFERROR(LOOKUP(Предпосылки!$H$205,$C$13:$C$15,AK$13:AK$15),1)</f>
        <v>0</v>
      </c>
      <c s="125">
        <f>Предпосылки!AK$232*Предпосылки!$H267*Продажи!AL32*AL$19*(1+Чувствительность!$D$20)*IFERROR(LOOKUP(Предпосылки!$H$205,$C$13:$C$15,AL$13:AL$15),1)</f>
        <v>0</v>
      </c>
      <c s="125">
        <f>Предпосылки!AL$232*Предпосылки!$H267*Продажи!AM32*AM$19*(1+Чувствительность!$D$20)*IFERROR(LOOKUP(Предпосылки!$H$205,$C$13:$C$15,AM$13:AM$15),1)</f>
        <v>0</v>
      </c>
      <c s="125">
        <f>Предпосылки!AM$232*Предпосылки!$H267*Продажи!AN32*AN$19*(1+Чувствительность!$D$20)*IFERROR(LOOKUP(Предпосылки!$H$205,$C$13:$C$15,AN$13:AN$15),1)</f>
        <v>0</v>
      </c>
      <c s="125">
        <f>Предпосылки!AN$232*Предпосылки!$H267*Продажи!AO32*AO$19*(1+Чувствительность!$D$20)*IFERROR(LOOKUP(Предпосылки!$H$205,$C$13:$C$15,AO$13:AO$15),1)</f>
        <v>0</v>
      </c>
      <c s="125">
        <f>Предпосылки!AO$232*Предпосылки!$H267*Продажи!AP32*AP$19*(1+Чувствительность!$D$20)*IFERROR(LOOKUP(Предпосылки!$H$205,$C$13:$C$15,AP$13:AP$15),1)</f>
        <v>0</v>
      </c>
      <c s="125">
        <f>Предпосылки!AP$232*Предпосылки!$H267*Продажи!AQ32*AQ$19*(1+Чувствительность!$D$20)*IFERROR(LOOKUP(Предпосылки!$H$205,$C$13:$C$15,AQ$13:AQ$15),1)</f>
        <v>0</v>
      </c>
      <c s="125">
        <f>Предпосылки!AQ$232*Предпосылки!$H267*Продажи!AR32*AR$19*(1+Чувствительность!$D$20)*IFERROR(LOOKUP(Предпосылки!$H$205,$C$13:$C$15,AR$13:AR$15),1)</f>
        <v>0</v>
      </c>
      <c s="125">
        <f>Предпосылки!AR$232*Предпосылки!$H267*Продажи!AS32*AS$19*(1+Чувствительность!$D$20)*IFERROR(LOOKUP(Предпосылки!$H$205,$C$13:$C$15,AS$13:AS$15),1)</f>
        <v>0</v>
      </c>
      <c s="125">
        <f>Предпосылки!AS$232*Предпосылки!$H267*Продажи!AT32*AT$19*(1+Чувствительность!$D$20)*IFERROR(LOOKUP(Предпосылки!$H$205,$C$13:$C$15,AT$13:AT$15),1)</f>
        <v>0</v>
      </c>
      <c s="125">
        <f>Предпосылки!AT$232*Предпосылки!$H267*Продажи!AU32*AU$19*(1+Чувствительность!$D$20)*IFERROR(LOOKUP(Предпосылки!$H$205,$C$13:$C$15,AU$13:AU$15),1)</f>
        <v>0</v>
      </c>
      <c s="125">
        <f>Предпосылки!AU$232*Предпосылки!$H267*Продажи!AV32*AV$19*(1+Чувствительность!$D$20)*IFERROR(LOOKUP(Предпосылки!$H$205,$C$13:$C$15,AV$13:AV$15),1)</f>
        <v>0</v>
      </c>
      <c s="125">
        <f>Предпосылки!AV$232*Предпосылки!$H267*Продажи!AW32*AW$19*(1+Чувствительность!$D$20)*IFERROR(LOOKUP(Предпосылки!$H$205,$C$13:$C$15,AW$13:AW$15),1)</f>
        <v>0</v>
      </c>
      <c s="125">
        <f>Предпосылки!AW$232*Предпосылки!$H267*Продажи!AX32*AX$19*(1+Чувствительность!$D$20)*IFERROR(LOOKUP(Предпосылки!$H$205,$C$13:$C$15,AX$13:AX$15),1)</f>
        <v>0</v>
      </c>
      <c s="125">
        <f>Предпосылки!AX$232*Предпосылки!$H267*Продажи!AY32*AY$19*(1+Чувствительность!$D$20)*IFERROR(LOOKUP(Предпосылки!$H$205,$C$13:$C$15,AY$13:AY$15),1)</f>
        <v>0</v>
      </c>
      <c s="125">
        <f>Предпосылки!AY$232*Предпосылки!$H267*Продажи!AZ32*AZ$19*(1+Чувствительность!$D$20)*IFERROR(LOOKUP(Предпосылки!$H$205,$C$13:$C$15,AZ$13:AZ$15),1)</f>
        <v>0</v>
      </c>
      <c s="125">
        <f>Предпосылки!AZ$232*Предпосылки!$H267*Продажи!BA32*BA$19*(1+Чувствительность!$D$20)*IFERROR(LOOKUP(Предпосылки!$H$205,$C$13:$C$15,BA$13:BA$15),1)</f>
        <v>0</v>
      </c>
      <c s="125">
        <f>Предпосылки!BA$232*Предпосылки!$H267*Продажи!BB32*BB$19*(1+Чувствительность!$D$20)*IFERROR(LOOKUP(Предпосылки!$H$205,$C$13:$C$15,BB$13:BB$15),1)</f>
        <v>0</v>
      </c>
      <c s="125">
        <f>Предпосылки!BB$232*Предпосылки!$H267*Продажи!BC32*BC$19*(1+Чувствительность!$D$20)*IFERROR(LOOKUP(Предпосылки!$H$205,$C$13:$C$15,BC$13:BC$15),1)</f>
        <v>0</v>
      </c>
      <c s="125">
        <f>Предпосылки!BC$232*Предпосылки!$H267*Продажи!BD32*BD$19*(1+Чувствительность!$D$20)*IFERROR(LOOKUP(Предпосылки!$H$205,$C$13:$C$15,BD$13:BD$15),1)</f>
        <v>0</v>
      </c>
      <c s="125">
        <f>Предпосылки!BD$232*Предпосылки!$H267*Продажи!BE32*BE$19*(1+Чувствительность!$D$20)*IFERROR(LOOKUP(Предпосылки!$H$205,$C$13:$C$15,BE$13:BE$15),1)</f>
        <v>0</v>
      </c>
      <c s="125">
        <f>Предпосылки!BE$232*Предпосылки!$H267*Продажи!BF32*BF$19*(1+Чувствительность!$D$20)*IFERROR(LOOKUP(Предпосылки!$H$205,$C$13:$C$15,BF$13:BF$15),1)</f>
        <v>0</v>
      </c>
      <c s="125">
        <f>Предпосылки!BF$232*Предпосылки!$H267*Продажи!BG32*BG$19*(1+Чувствительность!$D$20)*IFERROR(LOOKUP(Предпосылки!$H$205,$C$13:$C$15,BG$13:BG$15),1)</f>
        <v>0</v>
      </c>
      <c s="125">
        <f>Предпосылки!BG$232*Предпосылки!$H267*Продажи!BH32*BH$19*(1+Чувствительность!$D$20)*IFERROR(LOOKUP(Предпосылки!$H$205,$C$13:$C$15,BH$13:BH$15),1)</f>
        <v>0</v>
      </c>
      <c s="125">
        <f>Предпосылки!BH$232*Предпосылки!$H267*Продажи!BI32*BI$19*(1+Чувствительность!$D$20)*IFERROR(LOOKUP(Предпосылки!$H$205,$C$13:$C$15,BI$13:BI$15),1)</f>
        <v>0</v>
      </c>
      <c s="125">
        <f>Предпосылки!BI$232*Предпосылки!$H267*Продажи!BJ32*BJ$19*(1+Чувствительность!$D$20)*IFERROR(LOOKUP(Предпосылки!$H$205,$C$13:$C$15,BJ$13:BJ$15),1)</f>
        <v>0</v>
      </c>
      <c s="125">
        <f>Предпосылки!BJ$232*Предпосылки!$H267*Продажи!BK32*BK$19*(1+Чувствительность!$D$20)*IFERROR(LOOKUP(Предпосылки!$H$205,$C$13:$C$15,BK$13:BK$15),1)</f>
        <v>0</v>
      </c>
      <c s="125">
        <f>Предпосылки!BK$232*Предпосылки!$H267*Продажи!BL32*BL$19*(1+Чувствительность!$D$20)*IFERROR(LOOKUP(Предпосылки!$H$205,$C$13:$C$15,BL$13:BL$15),1)</f>
        <v>0</v>
      </c>
      <c s="125">
        <f>Предпосылки!BL$232*Предпосылки!$H267*Продажи!BM32*BM$19*(1+Чувствительность!$D$20)*IFERROR(LOOKUP(Предпосылки!$H$205,$C$13:$C$15,BM$13:BM$15),1)</f>
        <v>0</v>
      </c>
    </row>
    <row r="130" spans="2:65" ht="15" customHeight="1">
      <c r="B130" s="12" t="str">
        <f t="shared" si="81"/>
        <v>Продукт 16</v>
      </c>
      <c s="124" t="str">
        <f t="shared" si="80"/>
        <v>тыс. руб.</v>
      </c>
      <c s="276">
        <f t="shared" si="82"/>
        <v>0</v>
      </c>
      <c s="125">
        <f>Предпосылки!D$232*Предпосылки!$H268*Продажи!E33*E$19*(1+Чувствительность!$D$20)*IFERROR(LOOKUP(Предпосылки!$H$205,$C$13:$C$15,E$13:E$15),1)</f>
        <v>0</v>
      </c>
      <c s="125">
        <f>Предпосылки!E$232*Предпосылки!$H268*Продажи!F33*F$19*(1+Чувствительность!$D$20)*IFERROR(LOOKUP(Предпосылки!$H$205,$C$13:$C$15,F$13:F$15),1)</f>
        <v>0</v>
      </c>
      <c s="125">
        <f>Предпосылки!F$232*Предпосылки!$H268*Продажи!G33*G$19*(1+Чувствительность!$D$20)*IFERROR(LOOKUP(Предпосылки!$H$205,$C$13:$C$15,G$13:G$15),1)</f>
        <v>0</v>
      </c>
      <c s="125">
        <f>Предпосылки!G$232*Предпосылки!$H268*Продажи!H33*H$19*(1+Чувствительность!$D$20)*IFERROR(LOOKUP(Предпосылки!$H$205,$C$13:$C$15,H$13:H$15),1)</f>
        <v>0</v>
      </c>
      <c s="125">
        <f>Предпосылки!H$232*Предпосылки!$H268*Продажи!I33*I$19*(1+Чувствительность!$D$20)*IFERROR(LOOKUP(Предпосылки!$H$205,$C$13:$C$15,I$13:I$15),1)</f>
        <v>0</v>
      </c>
      <c s="125">
        <f>Предпосылки!I$232*Предпосылки!$H268*Продажи!J33*J$19*(1+Чувствительность!$D$20)*IFERROR(LOOKUP(Предпосылки!$H$205,$C$13:$C$15,J$13:J$15),1)</f>
        <v>0</v>
      </c>
      <c s="125">
        <f>Предпосылки!J$232*Предпосылки!$H268*Продажи!K33*K$19*(1+Чувствительность!$D$20)*IFERROR(LOOKUP(Предпосылки!$H$205,$C$13:$C$15,K$13:K$15),1)</f>
        <v>0</v>
      </c>
      <c s="125">
        <f>Предпосылки!K$232*Предпосылки!$H268*Продажи!L33*L$19*(1+Чувствительность!$D$20)*IFERROR(LOOKUP(Предпосылки!$H$205,$C$13:$C$15,L$13:L$15),1)</f>
        <v>0</v>
      </c>
      <c s="125">
        <f>Предпосылки!L$232*Предпосылки!$H268*Продажи!M33*M$19*(1+Чувствительность!$D$20)*IFERROR(LOOKUP(Предпосылки!$H$205,$C$13:$C$15,M$13:M$15),1)</f>
        <v>0</v>
      </c>
      <c s="125">
        <f>Предпосылки!M$232*Предпосылки!$H268*Продажи!N33*N$19*(1+Чувствительность!$D$20)*IFERROR(LOOKUP(Предпосылки!$H$205,$C$13:$C$15,N$13:N$15),1)</f>
        <v>0</v>
      </c>
      <c s="125">
        <f>Предпосылки!N$232*Предпосылки!$H268*Продажи!O33*O$19*(1+Чувствительность!$D$20)*IFERROR(LOOKUP(Предпосылки!$H$205,$C$13:$C$15,O$13:O$15),1)</f>
        <v>0</v>
      </c>
      <c s="125">
        <f>Предпосылки!O$232*Предпосылки!$H268*Продажи!P33*P$19*(1+Чувствительность!$D$20)*IFERROR(LOOKUP(Предпосылки!$H$205,$C$13:$C$15,P$13:P$15),1)</f>
        <v>0</v>
      </c>
      <c s="125">
        <f>Предпосылки!P$232*Предпосылки!$H268*Продажи!Q33*Q$19*(1+Чувствительность!$D$20)*IFERROR(LOOKUP(Предпосылки!$H$205,$C$13:$C$15,Q$13:Q$15),1)</f>
        <v>0</v>
      </c>
      <c s="125">
        <f>Предпосылки!Q$232*Предпосылки!$H268*Продажи!R33*R$19*(1+Чувствительность!$D$20)*IFERROR(LOOKUP(Предпосылки!$H$205,$C$13:$C$15,R$13:R$15),1)</f>
        <v>0</v>
      </c>
      <c s="125">
        <f>Предпосылки!R$232*Предпосылки!$H268*Продажи!S33*S$19*(1+Чувствительность!$D$20)*IFERROR(LOOKUP(Предпосылки!$H$205,$C$13:$C$15,S$13:S$15),1)</f>
        <v>0</v>
      </c>
      <c s="125">
        <f>Предпосылки!S$232*Предпосылки!$H268*Продажи!T33*T$19*(1+Чувствительность!$D$20)*IFERROR(LOOKUP(Предпосылки!$H$205,$C$13:$C$15,T$13:T$15),1)</f>
        <v>0</v>
      </c>
      <c s="125">
        <f>Предпосылки!T$232*Предпосылки!$H268*Продажи!U33*U$19*(1+Чувствительность!$D$20)*IFERROR(LOOKUP(Предпосылки!$H$205,$C$13:$C$15,U$13:U$15),1)</f>
        <v>0</v>
      </c>
      <c s="125">
        <f>Предпосылки!U$232*Предпосылки!$H268*Продажи!V33*V$19*(1+Чувствительность!$D$20)*IFERROR(LOOKUP(Предпосылки!$H$205,$C$13:$C$15,V$13:V$15),1)</f>
        <v>0</v>
      </c>
      <c s="125">
        <f>Предпосылки!V$232*Предпосылки!$H268*Продажи!W33*W$19*(1+Чувствительность!$D$20)*IFERROR(LOOKUP(Предпосылки!$H$205,$C$13:$C$15,W$13:W$15),1)</f>
        <v>0</v>
      </c>
      <c s="125">
        <f>Предпосылки!W$232*Предпосылки!$H268*Продажи!X33*X$19*(1+Чувствительность!$D$20)*IFERROR(LOOKUP(Предпосылки!$H$205,$C$13:$C$15,X$13:X$15),1)</f>
        <v>0</v>
      </c>
      <c s="125">
        <f>Предпосылки!X$232*Предпосылки!$H268*Продажи!Y33*Y$19*(1+Чувствительность!$D$20)*IFERROR(LOOKUP(Предпосылки!$H$205,$C$13:$C$15,Y$13:Y$15),1)</f>
        <v>0</v>
      </c>
      <c s="125">
        <f>Предпосылки!Y$232*Предпосылки!$H268*Продажи!Z33*Z$19*(1+Чувствительность!$D$20)*IFERROR(LOOKUP(Предпосылки!$H$205,$C$13:$C$15,Z$13:Z$15),1)</f>
        <v>0</v>
      </c>
      <c s="125">
        <f>Предпосылки!Z$232*Предпосылки!$H268*Продажи!AA33*AA$19*(1+Чувствительность!$D$20)*IFERROR(LOOKUP(Предпосылки!$H$205,$C$13:$C$15,AA$13:AA$15),1)</f>
        <v>0</v>
      </c>
      <c s="125">
        <f>Предпосылки!AA$232*Предпосылки!$H268*Продажи!AB33*AB$19*(1+Чувствительность!$D$20)*IFERROR(LOOKUP(Предпосылки!$H$205,$C$13:$C$15,AB$13:AB$15),1)</f>
        <v>0</v>
      </c>
      <c s="125">
        <f>Предпосылки!AB$232*Предпосылки!$H268*Продажи!AC33*AC$19*(1+Чувствительность!$D$20)*IFERROR(LOOKUP(Предпосылки!$H$205,$C$13:$C$15,AC$13:AC$15),1)</f>
        <v>0</v>
      </c>
      <c s="125">
        <f>Предпосылки!AC$232*Предпосылки!$H268*Продажи!AD33*AD$19*(1+Чувствительность!$D$20)*IFERROR(LOOKUP(Предпосылки!$H$205,$C$13:$C$15,AD$13:AD$15),1)</f>
        <v>0</v>
      </c>
      <c s="125">
        <f>Предпосылки!AD$232*Предпосылки!$H268*Продажи!AE33*AE$19*(1+Чувствительность!$D$20)*IFERROR(LOOKUP(Предпосылки!$H$205,$C$13:$C$15,AE$13:AE$15),1)</f>
        <v>0</v>
      </c>
      <c s="125">
        <f>Предпосылки!AE$232*Предпосылки!$H268*Продажи!AF33*AF$19*(1+Чувствительность!$D$20)*IFERROR(LOOKUP(Предпосылки!$H$205,$C$13:$C$15,AF$13:AF$15),1)</f>
        <v>0</v>
      </c>
      <c s="125">
        <f>Предпосылки!AF$232*Предпосылки!$H268*Продажи!AG33*AG$19*(1+Чувствительность!$D$20)*IFERROR(LOOKUP(Предпосылки!$H$205,$C$13:$C$15,AG$13:AG$15),1)</f>
        <v>0</v>
      </c>
      <c s="125">
        <f>Предпосылки!AG$232*Предпосылки!$H268*Продажи!AH33*AH$19*(1+Чувствительность!$D$20)*IFERROR(LOOKUP(Предпосылки!$H$205,$C$13:$C$15,AH$13:AH$15),1)</f>
        <v>0</v>
      </c>
      <c s="125">
        <f>Предпосылки!AH$232*Предпосылки!$H268*Продажи!AI33*AI$19*(1+Чувствительность!$D$20)*IFERROR(LOOKUP(Предпосылки!$H$205,$C$13:$C$15,AI$13:AI$15),1)</f>
        <v>0</v>
      </c>
      <c s="125">
        <f>Предпосылки!AI$232*Предпосылки!$H268*Продажи!AJ33*AJ$19*(1+Чувствительность!$D$20)*IFERROR(LOOKUP(Предпосылки!$H$205,$C$13:$C$15,AJ$13:AJ$15),1)</f>
        <v>0</v>
      </c>
      <c s="125">
        <f>Предпосылки!AJ$232*Предпосылки!$H268*Продажи!AK33*AK$19*(1+Чувствительность!$D$20)*IFERROR(LOOKUP(Предпосылки!$H$205,$C$13:$C$15,AK$13:AK$15),1)</f>
        <v>0</v>
      </c>
      <c s="125">
        <f>Предпосылки!AK$232*Предпосылки!$H268*Продажи!AL33*AL$19*(1+Чувствительность!$D$20)*IFERROR(LOOKUP(Предпосылки!$H$205,$C$13:$C$15,AL$13:AL$15),1)</f>
        <v>0</v>
      </c>
      <c s="125">
        <f>Предпосылки!AL$232*Предпосылки!$H268*Продажи!AM33*AM$19*(1+Чувствительность!$D$20)*IFERROR(LOOKUP(Предпосылки!$H$205,$C$13:$C$15,AM$13:AM$15),1)</f>
        <v>0</v>
      </c>
      <c s="125">
        <f>Предпосылки!AM$232*Предпосылки!$H268*Продажи!AN33*AN$19*(1+Чувствительность!$D$20)*IFERROR(LOOKUP(Предпосылки!$H$205,$C$13:$C$15,AN$13:AN$15),1)</f>
        <v>0</v>
      </c>
      <c s="125">
        <f>Предпосылки!AN$232*Предпосылки!$H268*Продажи!AO33*AO$19*(1+Чувствительность!$D$20)*IFERROR(LOOKUP(Предпосылки!$H$205,$C$13:$C$15,AO$13:AO$15),1)</f>
        <v>0</v>
      </c>
      <c s="125">
        <f>Предпосылки!AO$232*Предпосылки!$H268*Продажи!AP33*AP$19*(1+Чувствительность!$D$20)*IFERROR(LOOKUP(Предпосылки!$H$205,$C$13:$C$15,AP$13:AP$15),1)</f>
        <v>0</v>
      </c>
      <c s="125">
        <f>Предпосылки!AP$232*Предпосылки!$H268*Продажи!AQ33*AQ$19*(1+Чувствительность!$D$20)*IFERROR(LOOKUP(Предпосылки!$H$205,$C$13:$C$15,AQ$13:AQ$15),1)</f>
        <v>0</v>
      </c>
      <c s="125">
        <f>Предпосылки!AQ$232*Предпосылки!$H268*Продажи!AR33*AR$19*(1+Чувствительность!$D$20)*IFERROR(LOOKUP(Предпосылки!$H$205,$C$13:$C$15,AR$13:AR$15),1)</f>
        <v>0</v>
      </c>
      <c s="125">
        <f>Предпосылки!AR$232*Предпосылки!$H268*Продажи!AS33*AS$19*(1+Чувствительность!$D$20)*IFERROR(LOOKUP(Предпосылки!$H$205,$C$13:$C$15,AS$13:AS$15),1)</f>
        <v>0</v>
      </c>
      <c s="125">
        <f>Предпосылки!AS$232*Предпосылки!$H268*Продажи!AT33*AT$19*(1+Чувствительность!$D$20)*IFERROR(LOOKUP(Предпосылки!$H$205,$C$13:$C$15,AT$13:AT$15),1)</f>
        <v>0</v>
      </c>
      <c s="125">
        <f>Предпосылки!AT$232*Предпосылки!$H268*Продажи!AU33*AU$19*(1+Чувствительность!$D$20)*IFERROR(LOOKUP(Предпосылки!$H$205,$C$13:$C$15,AU$13:AU$15),1)</f>
        <v>0</v>
      </c>
      <c s="125">
        <f>Предпосылки!AU$232*Предпосылки!$H268*Продажи!AV33*AV$19*(1+Чувствительность!$D$20)*IFERROR(LOOKUP(Предпосылки!$H$205,$C$13:$C$15,AV$13:AV$15),1)</f>
        <v>0</v>
      </c>
      <c s="125">
        <f>Предпосылки!AV$232*Предпосылки!$H268*Продажи!AW33*AW$19*(1+Чувствительность!$D$20)*IFERROR(LOOKUP(Предпосылки!$H$205,$C$13:$C$15,AW$13:AW$15),1)</f>
        <v>0</v>
      </c>
      <c s="125">
        <f>Предпосылки!AW$232*Предпосылки!$H268*Продажи!AX33*AX$19*(1+Чувствительность!$D$20)*IFERROR(LOOKUP(Предпосылки!$H$205,$C$13:$C$15,AX$13:AX$15),1)</f>
        <v>0</v>
      </c>
      <c s="125">
        <f>Предпосылки!AX$232*Предпосылки!$H268*Продажи!AY33*AY$19*(1+Чувствительность!$D$20)*IFERROR(LOOKUP(Предпосылки!$H$205,$C$13:$C$15,AY$13:AY$15),1)</f>
        <v>0</v>
      </c>
      <c s="125">
        <f>Предпосылки!AY$232*Предпосылки!$H268*Продажи!AZ33*AZ$19*(1+Чувствительность!$D$20)*IFERROR(LOOKUP(Предпосылки!$H$205,$C$13:$C$15,AZ$13:AZ$15),1)</f>
        <v>0</v>
      </c>
      <c s="125">
        <f>Предпосылки!AZ$232*Предпосылки!$H268*Продажи!BA33*BA$19*(1+Чувствительность!$D$20)*IFERROR(LOOKUP(Предпосылки!$H$205,$C$13:$C$15,BA$13:BA$15),1)</f>
        <v>0</v>
      </c>
      <c s="125">
        <f>Предпосылки!BA$232*Предпосылки!$H268*Продажи!BB33*BB$19*(1+Чувствительность!$D$20)*IFERROR(LOOKUP(Предпосылки!$H$205,$C$13:$C$15,BB$13:BB$15),1)</f>
        <v>0</v>
      </c>
      <c s="125">
        <f>Предпосылки!BB$232*Предпосылки!$H268*Продажи!BC33*BC$19*(1+Чувствительность!$D$20)*IFERROR(LOOKUP(Предпосылки!$H$205,$C$13:$C$15,BC$13:BC$15),1)</f>
        <v>0</v>
      </c>
      <c s="125">
        <f>Предпосылки!BC$232*Предпосылки!$H268*Продажи!BD33*BD$19*(1+Чувствительность!$D$20)*IFERROR(LOOKUP(Предпосылки!$H$205,$C$13:$C$15,BD$13:BD$15),1)</f>
        <v>0</v>
      </c>
      <c s="125">
        <f>Предпосылки!BD$232*Предпосылки!$H268*Продажи!BE33*BE$19*(1+Чувствительность!$D$20)*IFERROR(LOOKUP(Предпосылки!$H$205,$C$13:$C$15,BE$13:BE$15),1)</f>
        <v>0</v>
      </c>
      <c s="125">
        <f>Предпосылки!BE$232*Предпосылки!$H268*Продажи!BF33*BF$19*(1+Чувствительность!$D$20)*IFERROR(LOOKUP(Предпосылки!$H$205,$C$13:$C$15,BF$13:BF$15),1)</f>
        <v>0</v>
      </c>
      <c s="125">
        <f>Предпосылки!BF$232*Предпосылки!$H268*Продажи!BG33*BG$19*(1+Чувствительность!$D$20)*IFERROR(LOOKUP(Предпосылки!$H$205,$C$13:$C$15,BG$13:BG$15),1)</f>
        <v>0</v>
      </c>
      <c s="125">
        <f>Предпосылки!BG$232*Предпосылки!$H268*Продажи!BH33*BH$19*(1+Чувствительность!$D$20)*IFERROR(LOOKUP(Предпосылки!$H$205,$C$13:$C$15,BH$13:BH$15),1)</f>
        <v>0</v>
      </c>
      <c s="125">
        <f>Предпосылки!BH$232*Предпосылки!$H268*Продажи!BI33*BI$19*(1+Чувствительность!$D$20)*IFERROR(LOOKUP(Предпосылки!$H$205,$C$13:$C$15,BI$13:BI$15),1)</f>
        <v>0</v>
      </c>
      <c s="125">
        <f>Предпосылки!BI$232*Предпосылки!$H268*Продажи!BJ33*BJ$19*(1+Чувствительность!$D$20)*IFERROR(LOOKUP(Предпосылки!$H$205,$C$13:$C$15,BJ$13:BJ$15),1)</f>
        <v>0</v>
      </c>
      <c s="125">
        <f>Предпосылки!BJ$232*Предпосылки!$H268*Продажи!BK33*BK$19*(1+Чувствительность!$D$20)*IFERROR(LOOKUP(Предпосылки!$H$205,$C$13:$C$15,BK$13:BK$15),1)</f>
        <v>0</v>
      </c>
      <c s="125">
        <f>Предпосылки!BK$232*Предпосылки!$H268*Продажи!BL33*BL$19*(1+Чувствительность!$D$20)*IFERROR(LOOKUP(Предпосылки!$H$205,$C$13:$C$15,BL$13:BL$15),1)</f>
        <v>0</v>
      </c>
      <c s="125">
        <f>Предпосылки!BL$232*Предпосылки!$H268*Продажи!BM33*BM$19*(1+Чувствительность!$D$20)*IFERROR(LOOKUP(Предпосылки!$H$205,$C$13:$C$15,BM$13:BM$15),1)</f>
        <v>0</v>
      </c>
    </row>
    <row r="131" spans="2:65" ht="15" customHeight="1">
      <c r="B131" s="12" t="str">
        <f t="shared" si="81"/>
        <v>Продукт 17</v>
      </c>
      <c s="124" t="str">
        <f t="shared" si="80"/>
        <v>тыс. руб.</v>
      </c>
      <c s="276">
        <f t="shared" si="82"/>
        <v>0</v>
      </c>
      <c s="125">
        <f>Предпосылки!D$232*Предпосылки!$H269*Продажи!E34*E$19*(1+Чувствительность!$D$20)*IFERROR(LOOKUP(Предпосылки!$H$205,$C$13:$C$15,E$13:E$15),1)</f>
        <v>0</v>
      </c>
      <c s="125">
        <f>Предпосылки!E$232*Предпосылки!$H269*Продажи!F34*F$19*(1+Чувствительность!$D$20)*IFERROR(LOOKUP(Предпосылки!$H$205,$C$13:$C$15,F$13:F$15),1)</f>
        <v>0</v>
      </c>
      <c s="125">
        <f>Предпосылки!F$232*Предпосылки!$H269*Продажи!G34*G$19*(1+Чувствительность!$D$20)*IFERROR(LOOKUP(Предпосылки!$H$205,$C$13:$C$15,G$13:G$15),1)</f>
        <v>0</v>
      </c>
      <c s="125">
        <f>Предпосылки!G$232*Предпосылки!$H269*Продажи!H34*H$19*(1+Чувствительность!$D$20)*IFERROR(LOOKUP(Предпосылки!$H$205,$C$13:$C$15,H$13:H$15),1)</f>
        <v>0</v>
      </c>
      <c s="125">
        <f>Предпосылки!H$232*Предпосылки!$H269*Продажи!I34*I$19*(1+Чувствительность!$D$20)*IFERROR(LOOKUP(Предпосылки!$H$205,$C$13:$C$15,I$13:I$15),1)</f>
        <v>0</v>
      </c>
      <c s="125">
        <f>Предпосылки!I$232*Предпосылки!$H269*Продажи!J34*J$19*(1+Чувствительность!$D$20)*IFERROR(LOOKUP(Предпосылки!$H$205,$C$13:$C$15,J$13:J$15),1)</f>
        <v>0</v>
      </c>
      <c s="125">
        <f>Предпосылки!J$232*Предпосылки!$H269*Продажи!K34*K$19*(1+Чувствительность!$D$20)*IFERROR(LOOKUP(Предпосылки!$H$205,$C$13:$C$15,K$13:K$15),1)</f>
        <v>0</v>
      </c>
      <c s="125">
        <f>Предпосылки!K$232*Предпосылки!$H269*Продажи!L34*L$19*(1+Чувствительность!$D$20)*IFERROR(LOOKUP(Предпосылки!$H$205,$C$13:$C$15,L$13:L$15),1)</f>
        <v>0</v>
      </c>
      <c s="125">
        <f>Предпосылки!L$232*Предпосылки!$H269*Продажи!M34*M$19*(1+Чувствительность!$D$20)*IFERROR(LOOKUP(Предпосылки!$H$205,$C$13:$C$15,M$13:M$15),1)</f>
        <v>0</v>
      </c>
      <c s="125">
        <f>Предпосылки!M$232*Предпосылки!$H269*Продажи!N34*N$19*(1+Чувствительность!$D$20)*IFERROR(LOOKUP(Предпосылки!$H$205,$C$13:$C$15,N$13:N$15),1)</f>
        <v>0</v>
      </c>
      <c s="125">
        <f>Предпосылки!N$232*Предпосылки!$H269*Продажи!O34*O$19*(1+Чувствительность!$D$20)*IFERROR(LOOKUP(Предпосылки!$H$205,$C$13:$C$15,O$13:O$15),1)</f>
        <v>0</v>
      </c>
      <c s="125">
        <f>Предпосылки!O$232*Предпосылки!$H269*Продажи!P34*P$19*(1+Чувствительность!$D$20)*IFERROR(LOOKUP(Предпосылки!$H$205,$C$13:$C$15,P$13:P$15),1)</f>
        <v>0</v>
      </c>
      <c s="125">
        <f>Предпосылки!P$232*Предпосылки!$H269*Продажи!Q34*Q$19*(1+Чувствительность!$D$20)*IFERROR(LOOKUP(Предпосылки!$H$205,$C$13:$C$15,Q$13:Q$15),1)</f>
        <v>0</v>
      </c>
      <c s="125">
        <f>Предпосылки!Q$232*Предпосылки!$H269*Продажи!R34*R$19*(1+Чувствительность!$D$20)*IFERROR(LOOKUP(Предпосылки!$H$205,$C$13:$C$15,R$13:R$15),1)</f>
        <v>0</v>
      </c>
      <c s="125">
        <f>Предпосылки!R$232*Предпосылки!$H269*Продажи!S34*S$19*(1+Чувствительность!$D$20)*IFERROR(LOOKUP(Предпосылки!$H$205,$C$13:$C$15,S$13:S$15),1)</f>
        <v>0</v>
      </c>
      <c s="125">
        <f>Предпосылки!S$232*Предпосылки!$H269*Продажи!T34*T$19*(1+Чувствительность!$D$20)*IFERROR(LOOKUP(Предпосылки!$H$205,$C$13:$C$15,T$13:T$15),1)</f>
        <v>0</v>
      </c>
      <c s="125">
        <f>Предпосылки!T$232*Предпосылки!$H269*Продажи!U34*U$19*(1+Чувствительность!$D$20)*IFERROR(LOOKUP(Предпосылки!$H$205,$C$13:$C$15,U$13:U$15),1)</f>
        <v>0</v>
      </c>
      <c s="125">
        <f>Предпосылки!U$232*Предпосылки!$H269*Продажи!V34*V$19*(1+Чувствительность!$D$20)*IFERROR(LOOKUP(Предпосылки!$H$205,$C$13:$C$15,V$13:V$15),1)</f>
        <v>0</v>
      </c>
      <c s="125">
        <f>Предпосылки!V$232*Предпосылки!$H269*Продажи!W34*W$19*(1+Чувствительность!$D$20)*IFERROR(LOOKUP(Предпосылки!$H$205,$C$13:$C$15,W$13:W$15),1)</f>
        <v>0</v>
      </c>
      <c s="125">
        <f>Предпосылки!W$232*Предпосылки!$H269*Продажи!X34*X$19*(1+Чувствительность!$D$20)*IFERROR(LOOKUP(Предпосылки!$H$205,$C$13:$C$15,X$13:X$15),1)</f>
        <v>0</v>
      </c>
      <c s="125">
        <f>Предпосылки!X$232*Предпосылки!$H269*Продажи!Y34*Y$19*(1+Чувствительность!$D$20)*IFERROR(LOOKUP(Предпосылки!$H$205,$C$13:$C$15,Y$13:Y$15),1)</f>
        <v>0</v>
      </c>
      <c s="125">
        <f>Предпосылки!Y$232*Предпосылки!$H269*Продажи!Z34*Z$19*(1+Чувствительность!$D$20)*IFERROR(LOOKUP(Предпосылки!$H$205,$C$13:$C$15,Z$13:Z$15),1)</f>
        <v>0</v>
      </c>
      <c s="125">
        <f>Предпосылки!Z$232*Предпосылки!$H269*Продажи!AA34*AA$19*(1+Чувствительность!$D$20)*IFERROR(LOOKUP(Предпосылки!$H$205,$C$13:$C$15,AA$13:AA$15),1)</f>
        <v>0</v>
      </c>
      <c s="125">
        <f>Предпосылки!AA$232*Предпосылки!$H269*Продажи!AB34*AB$19*(1+Чувствительность!$D$20)*IFERROR(LOOKUP(Предпосылки!$H$205,$C$13:$C$15,AB$13:AB$15),1)</f>
        <v>0</v>
      </c>
      <c s="125">
        <f>Предпосылки!AB$232*Предпосылки!$H269*Продажи!AC34*AC$19*(1+Чувствительность!$D$20)*IFERROR(LOOKUP(Предпосылки!$H$205,$C$13:$C$15,AC$13:AC$15),1)</f>
        <v>0</v>
      </c>
      <c s="125">
        <f>Предпосылки!AC$232*Предпосылки!$H269*Продажи!AD34*AD$19*(1+Чувствительность!$D$20)*IFERROR(LOOKUP(Предпосылки!$H$205,$C$13:$C$15,AD$13:AD$15),1)</f>
        <v>0</v>
      </c>
      <c s="125">
        <f>Предпосылки!AD$232*Предпосылки!$H269*Продажи!AE34*AE$19*(1+Чувствительность!$D$20)*IFERROR(LOOKUP(Предпосылки!$H$205,$C$13:$C$15,AE$13:AE$15),1)</f>
        <v>0</v>
      </c>
      <c s="125">
        <f>Предпосылки!AE$232*Предпосылки!$H269*Продажи!AF34*AF$19*(1+Чувствительность!$D$20)*IFERROR(LOOKUP(Предпосылки!$H$205,$C$13:$C$15,AF$13:AF$15),1)</f>
        <v>0</v>
      </c>
      <c s="125">
        <f>Предпосылки!AF$232*Предпосылки!$H269*Продажи!AG34*AG$19*(1+Чувствительность!$D$20)*IFERROR(LOOKUP(Предпосылки!$H$205,$C$13:$C$15,AG$13:AG$15),1)</f>
        <v>0</v>
      </c>
      <c s="125">
        <f>Предпосылки!AG$232*Предпосылки!$H269*Продажи!AH34*AH$19*(1+Чувствительность!$D$20)*IFERROR(LOOKUP(Предпосылки!$H$205,$C$13:$C$15,AH$13:AH$15),1)</f>
        <v>0</v>
      </c>
      <c s="125">
        <f>Предпосылки!AH$232*Предпосылки!$H269*Продажи!AI34*AI$19*(1+Чувствительность!$D$20)*IFERROR(LOOKUP(Предпосылки!$H$205,$C$13:$C$15,AI$13:AI$15),1)</f>
        <v>0</v>
      </c>
      <c s="125">
        <f>Предпосылки!AI$232*Предпосылки!$H269*Продажи!AJ34*AJ$19*(1+Чувствительность!$D$20)*IFERROR(LOOKUP(Предпосылки!$H$205,$C$13:$C$15,AJ$13:AJ$15),1)</f>
        <v>0</v>
      </c>
      <c s="125">
        <f>Предпосылки!AJ$232*Предпосылки!$H269*Продажи!AK34*AK$19*(1+Чувствительность!$D$20)*IFERROR(LOOKUP(Предпосылки!$H$205,$C$13:$C$15,AK$13:AK$15),1)</f>
        <v>0</v>
      </c>
      <c s="125">
        <f>Предпосылки!AK$232*Предпосылки!$H269*Продажи!AL34*AL$19*(1+Чувствительность!$D$20)*IFERROR(LOOKUP(Предпосылки!$H$205,$C$13:$C$15,AL$13:AL$15),1)</f>
        <v>0</v>
      </c>
      <c s="125">
        <f>Предпосылки!AL$232*Предпосылки!$H269*Продажи!AM34*AM$19*(1+Чувствительность!$D$20)*IFERROR(LOOKUP(Предпосылки!$H$205,$C$13:$C$15,AM$13:AM$15),1)</f>
        <v>0</v>
      </c>
      <c s="125">
        <f>Предпосылки!AM$232*Предпосылки!$H269*Продажи!AN34*AN$19*(1+Чувствительность!$D$20)*IFERROR(LOOKUP(Предпосылки!$H$205,$C$13:$C$15,AN$13:AN$15),1)</f>
        <v>0</v>
      </c>
      <c s="125">
        <f>Предпосылки!AN$232*Предпосылки!$H269*Продажи!AO34*AO$19*(1+Чувствительность!$D$20)*IFERROR(LOOKUP(Предпосылки!$H$205,$C$13:$C$15,AO$13:AO$15),1)</f>
        <v>0</v>
      </c>
      <c s="125">
        <f>Предпосылки!AO$232*Предпосылки!$H269*Продажи!AP34*AP$19*(1+Чувствительность!$D$20)*IFERROR(LOOKUP(Предпосылки!$H$205,$C$13:$C$15,AP$13:AP$15),1)</f>
        <v>0</v>
      </c>
      <c s="125">
        <f>Предпосылки!AP$232*Предпосылки!$H269*Продажи!AQ34*AQ$19*(1+Чувствительность!$D$20)*IFERROR(LOOKUP(Предпосылки!$H$205,$C$13:$C$15,AQ$13:AQ$15),1)</f>
        <v>0</v>
      </c>
      <c s="125">
        <f>Предпосылки!AQ$232*Предпосылки!$H269*Продажи!AR34*AR$19*(1+Чувствительность!$D$20)*IFERROR(LOOKUP(Предпосылки!$H$205,$C$13:$C$15,AR$13:AR$15),1)</f>
        <v>0</v>
      </c>
      <c s="125">
        <f>Предпосылки!AR$232*Предпосылки!$H269*Продажи!AS34*AS$19*(1+Чувствительность!$D$20)*IFERROR(LOOKUP(Предпосылки!$H$205,$C$13:$C$15,AS$13:AS$15),1)</f>
        <v>0</v>
      </c>
      <c s="125">
        <f>Предпосылки!AS$232*Предпосылки!$H269*Продажи!AT34*AT$19*(1+Чувствительность!$D$20)*IFERROR(LOOKUP(Предпосылки!$H$205,$C$13:$C$15,AT$13:AT$15),1)</f>
        <v>0</v>
      </c>
      <c s="125">
        <f>Предпосылки!AT$232*Предпосылки!$H269*Продажи!AU34*AU$19*(1+Чувствительность!$D$20)*IFERROR(LOOKUP(Предпосылки!$H$205,$C$13:$C$15,AU$13:AU$15),1)</f>
        <v>0</v>
      </c>
      <c s="125">
        <f>Предпосылки!AU$232*Предпосылки!$H269*Продажи!AV34*AV$19*(1+Чувствительность!$D$20)*IFERROR(LOOKUP(Предпосылки!$H$205,$C$13:$C$15,AV$13:AV$15),1)</f>
        <v>0</v>
      </c>
      <c s="125">
        <f>Предпосылки!AV$232*Предпосылки!$H269*Продажи!AW34*AW$19*(1+Чувствительность!$D$20)*IFERROR(LOOKUP(Предпосылки!$H$205,$C$13:$C$15,AW$13:AW$15),1)</f>
        <v>0</v>
      </c>
      <c s="125">
        <f>Предпосылки!AW$232*Предпосылки!$H269*Продажи!AX34*AX$19*(1+Чувствительность!$D$20)*IFERROR(LOOKUP(Предпосылки!$H$205,$C$13:$C$15,AX$13:AX$15),1)</f>
        <v>0</v>
      </c>
      <c s="125">
        <f>Предпосылки!AX$232*Предпосылки!$H269*Продажи!AY34*AY$19*(1+Чувствительность!$D$20)*IFERROR(LOOKUP(Предпосылки!$H$205,$C$13:$C$15,AY$13:AY$15),1)</f>
        <v>0</v>
      </c>
      <c s="125">
        <f>Предпосылки!AY$232*Предпосылки!$H269*Продажи!AZ34*AZ$19*(1+Чувствительность!$D$20)*IFERROR(LOOKUP(Предпосылки!$H$205,$C$13:$C$15,AZ$13:AZ$15),1)</f>
        <v>0</v>
      </c>
      <c s="125">
        <f>Предпосылки!AZ$232*Предпосылки!$H269*Продажи!BA34*BA$19*(1+Чувствительность!$D$20)*IFERROR(LOOKUP(Предпосылки!$H$205,$C$13:$C$15,BA$13:BA$15),1)</f>
        <v>0</v>
      </c>
      <c s="125">
        <f>Предпосылки!BA$232*Предпосылки!$H269*Продажи!BB34*BB$19*(1+Чувствительность!$D$20)*IFERROR(LOOKUP(Предпосылки!$H$205,$C$13:$C$15,BB$13:BB$15),1)</f>
        <v>0</v>
      </c>
      <c s="125">
        <f>Предпосылки!BB$232*Предпосылки!$H269*Продажи!BC34*BC$19*(1+Чувствительность!$D$20)*IFERROR(LOOKUP(Предпосылки!$H$205,$C$13:$C$15,BC$13:BC$15),1)</f>
        <v>0</v>
      </c>
      <c s="125">
        <f>Предпосылки!BC$232*Предпосылки!$H269*Продажи!BD34*BD$19*(1+Чувствительность!$D$20)*IFERROR(LOOKUP(Предпосылки!$H$205,$C$13:$C$15,BD$13:BD$15),1)</f>
        <v>0</v>
      </c>
      <c s="125">
        <f>Предпосылки!BD$232*Предпосылки!$H269*Продажи!BE34*BE$19*(1+Чувствительность!$D$20)*IFERROR(LOOKUP(Предпосылки!$H$205,$C$13:$C$15,BE$13:BE$15),1)</f>
        <v>0</v>
      </c>
      <c s="125">
        <f>Предпосылки!BE$232*Предпосылки!$H269*Продажи!BF34*BF$19*(1+Чувствительность!$D$20)*IFERROR(LOOKUP(Предпосылки!$H$205,$C$13:$C$15,BF$13:BF$15),1)</f>
        <v>0</v>
      </c>
      <c s="125">
        <f>Предпосылки!BF$232*Предпосылки!$H269*Продажи!BG34*BG$19*(1+Чувствительность!$D$20)*IFERROR(LOOKUP(Предпосылки!$H$205,$C$13:$C$15,BG$13:BG$15),1)</f>
        <v>0</v>
      </c>
      <c s="125">
        <f>Предпосылки!BG$232*Предпосылки!$H269*Продажи!BH34*BH$19*(1+Чувствительность!$D$20)*IFERROR(LOOKUP(Предпосылки!$H$205,$C$13:$C$15,BH$13:BH$15),1)</f>
        <v>0</v>
      </c>
      <c s="125">
        <f>Предпосылки!BH$232*Предпосылки!$H269*Продажи!BI34*BI$19*(1+Чувствительность!$D$20)*IFERROR(LOOKUP(Предпосылки!$H$205,$C$13:$C$15,BI$13:BI$15),1)</f>
        <v>0</v>
      </c>
      <c s="125">
        <f>Предпосылки!BI$232*Предпосылки!$H269*Продажи!BJ34*BJ$19*(1+Чувствительность!$D$20)*IFERROR(LOOKUP(Предпосылки!$H$205,$C$13:$C$15,BJ$13:BJ$15),1)</f>
        <v>0</v>
      </c>
      <c s="125">
        <f>Предпосылки!BJ$232*Предпосылки!$H269*Продажи!BK34*BK$19*(1+Чувствительность!$D$20)*IFERROR(LOOKUP(Предпосылки!$H$205,$C$13:$C$15,BK$13:BK$15),1)</f>
        <v>0</v>
      </c>
      <c s="125">
        <f>Предпосылки!BK$232*Предпосылки!$H269*Продажи!BL34*BL$19*(1+Чувствительность!$D$20)*IFERROR(LOOKUP(Предпосылки!$H$205,$C$13:$C$15,BL$13:BL$15),1)</f>
        <v>0</v>
      </c>
      <c s="125">
        <f>Предпосылки!BL$232*Предпосылки!$H269*Продажи!BM34*BM$19*(1+Чувствительность!$D$20)*IFERROR(LOOKUP(Предпосылки!$H$205,$C$13:$C$15,BM$13:BM$15),1)</f>
        <v>0</v>
      </c>
    </row>
    <row r="132" spans="2:65" ht="15" customHeight="1">
      <c r="B132" s="12" t="str">
        <f t="shared" si="81"/>
        <v>Продукт 18</v>
      </c>
      <c s="124" t="str">
        <f t="shared" si="80"/>
        <v>тыс. руб.</v>
      </c>
      <c s="276">
        <f t="shared" si="82"/>
        <v>0</v>
      </c>
      <c s="125">
        <f>Предпосылки!D$232*Предпосылки!$H270*Продажи!E35*E$19*(1+Чувствительность!$D$20)*IFERROR(LOOKUP(Предпосылки!$H$205,$C$13:$C$15,E$13:E$15),1)</f>
        <v>0</v>
      </c>
      <c s="125">
        <f>Предпосылки!E$232*Предпосылки!$H270*Продажи!F35*F$19*(1+Чувствительность!$D$20)*IFERROR(LOOKUP(Предпосылки!$H$205,$C$13:$C$15,F$13:F$15),1)</f>
        <v>0</v>
      </c>
      <c s="125">
        <f>Предпосылки!F$232*Предпосылки!$H270*Продажи!G35*G$19*(1+Чувствительность!$D$20)*IFERROR(LOOKUP(Предпосылки!$H$205,$C$13:$C$15,G$13:G$15),1)</f>
        <v>0</v>
      </c>
      <c s="125">
        <f>Предпосылки!G$232*Предпосылки!$H270*Продажи!H35*H$19*(1+Чувствительность!$D$20)*IFERROR(LOOKUP(Предпосылки!$H$205,$C$13:$C$15,H$13:H$15),1)</f>
        <v>0</v>
      </c>
      <c s="125">
        <f>Предпосылки!H$232*Предпосылки!$H270*Продажи!I35*I$19*(1+Чувствительность!$D$20)*IFERROR(LOOKUP(Предпосылки!$H$205,$C$13:$C$15,I$13:I$15),1)</f>
        <v>0</v>
      </c>
      <c s="125">
        <f>Предпосылки!I$232*Предпосылки!$H270*Продажи!J35*J$19*(1+Чувствительность!$D$20)*IFERROR(LOOKUP(Предпосылки!$H$205,$C$13:$C$15,J$13:J$15),1)</f>
        <v>0</v>
      </c>
      <c s="125">
        <f>Предпосылки!J$232*Предпосылки!$H270*Продажи!K35*K$19*(1+Чувствительность!$D$20)*IFERROR(LOOKUP(Предпосылки!$H$205,$C$13:$C$15,K$13:K$15),1)</f>
        <v>0</v>
      </c>
      <c s="125">
        <f>Предпосылки!K$232*Предпосылки!$H270*Продажи!L35*L$19*(1+Чувствительность!$D$20)*IFERROR(LOOKUP(Предпосылки!$H$205,$C$13:$C$15,L$13:L$15),1)</f>
        <v>0</v>
      </c>
      <c s="125">
        <f>Предпосылки!L$232*Предпосылки!$H270*Продажи!M35*M$19*(1+Чувствительность!$D$20)*IFERROR(LOOKUP(Предпосылки!$H$205,$C$13:$C$15,M$13:M$15),1)</f>
        <v>0</v>
      </c>
      <c s="125">
        <f>Предпосылки!M$232*Предпосылки!$H270*Продажи!N35*N$19*(1+Чувствительность!$D$20)*IFERROR(LOOKUP(Предпосылки!$H$205,$C$13:$C$15,N$13:N$15),1)</f>
        <v>0</v>
      </c>
      <c s="125">
        <f>Предпосылки!N$232*Предпосылки!$H270*Продажи!O35*O$19*(1+Чувствительность!$D$20)*IFERROR(LOOKUP(Предпосылки!$H$205,$C$13:$C$15,O$13:O$15),1)</f>
        <v>0</v>
      </c>
      <c s="125">
        <f>Предпосылки!O$232*Предпосылки!$H270*Продажи!P35*P$19*(1+Чувствительность!$D$20)*IFERROR(LOOKUP(Предпосылки!$H$205,$C$13:$C$15,P$13:P$15),1)</f>
        <v>0</v>
      </c>
      <c s="125">
        <f>Предпосылки!P$232*Предпосылки!$H270*Продажи!Q35*Q$19*(1+Чувствительность!$D$20)*IFERROR(LOOKUP(Предпосылки!$H$205,$C$13:$C$15,Q$13:Q$15),1)</f>
        <v>0</v>
      </c>
      <c s="125">
        <f>Предпосылки!Q$232*Предпосылки!$H270*Продажи!R35*R$19*(1+Чувствительность!$D$20)*IFERROR(LOOKUP(Предпосылки!$H$205,$C$13:$C$15,R$13:R$15),1)</f>
        <v>0</v>
      </c>
      <c s="125">
        <f>Предпосылки!R$232*Предпосылки!$H270*Продажи!S35*S$19*(1+Чувствительность!$D$20)*IFERROR(LOOKUP(Предпосылки!$H$205,$C$13:$C$15,S$13:S$15),1)</f>
        <v>0</v>
      </c>
      <c s="125">
        <f>Предпосылки!S$232*Предпосылки!$H270*Продажи!T35*T$19*(1+Чувствительность!$D$20)*IFERROR(LOOKUP(Предпосылки!$H$205,$C$13:$C$15,T$13:T$15),1)</f>
        <v>0</v>
      </c>
      <c s="125">
        <f>Предпосылки!T$232*Предпосылки!$H270*Продажи!U35*U$19*(1+Чувствительность!$D$20)*IFERROR(LOOKUP(Предпосылки!$H$205,$C$13:$C$15,U$13:U$15),1)</f>
        <v>0</v>
      </c>
      <c s="125">
        <f>Предпосылки!U$232*Предпосылки!$H270*Продажи!V35*V$19*(1+Чувствительность!$D$20)*IFERROR(LOOKUP(Предпосылки!$H$205,$C$13:$C$15,V$13:V$15),1)</f>
        <v>0</v>
      </c>
      <c s="125">
        <f>Предпосылки!V$232*Предпосылки!$H270*Продажи!W35*W$19*(1+Чувствительность!$D$20)*IFERROR(LOOKUP(Предпосылки!$H$205,$C$13:$C$15,W$13:W$15),1)</f>
        <v>0</v>
      </c>
      <c s="125">
        <f>Предпосылки!W$232*Предпосылки!$H270*Продажи!X35*X$19*(1+Чувствительность!$D$20)*IFERROR(LOOKUP(Предпосылки!$H$205,$C$13:$C$15,X$13:X$15),1)</f>
        <v>0</v>
      </c>
      <c s="125">
        <f>Предпосылки!X$232*Предпосылки!$H270*Продажи!Y35*Y$19*(1+Чувствительность!$D$20)*IFERROR(LOOKUP(Предпосылки!$H$205,$C$13:$C$15,Y$13:Y$15),1)</f>
        <v>0</v>
      </c>
      <c s="125">
        <f>Предпосылки!Y$232*Предпосылки!$H270*Продажи!Z35*Z$19*(1+Чувствительность!$D$20)*IFERROR(LOOKUP(Предпосылки!$H$205,$C$13:$C$15,Z$13:Z$15),1)</f>
        <v>0</v>
      </c>
      <c s="125">
        <f>Предпосылки!Z$232*Предпосылки!$H270*Продажи!AA35*AA$19*(1+Чувствительность!$D$20)*IFERROR(LOOKUP(Предпосылки!$H$205,$C$13:$C$15,AA$13:AA$15),1)</f>
        <v>0</v>
      </c>
      <c s="125">
        <f>Предпосылки!AA$232*Предпосылки!$H270*Продажи!AB35*AB$19*(1+Чувствительность!$D$20)*IFERROR(LOOKUP(Предпосылки!$H$205,$C$13:$C$15,AB$13:AB$15),1)</f>
        <v>0</v>
      </c>
      <c s="125">
        <f>Предпосылки!AB$232*Предпосылки!$H270*Продажи!AC35*AC$19*(1+Чувствительность!$D$20)*IFERROR(LOOKUP(Предпосылки!$H$205,$C$13:$C$15,AC$13:AC$15),1)</f>
        <v>0</v>
      </c>
      <c s="125">
        <f>Предпосылки!AC$232*Предпосылки!$H270*Продажи!AD35*AD$19*(1+Чувствительность!$D$20)*IFERROR(LOOKUP(Предпосылки!$H$205,$C$13:$C$15,AD$13:AD$15),1)</f>
        <v>0</v>
      </c>
      <c s="125">
        <f>Предпосылки!AD$232*Предпосылки!$H270*Продажи!AE35*AE$19*(1+Чувствительность!$D$20)*IFERROR(LOOKUP(Предпосылки!$H$205,$C$13:$C$15,AE$13:AE$15),1)</f>
        <v>0</v>
      </c>
      <c s="125">
        <f>Предпосылки!AE$232*Предпосылки!$H270*Продажи!AF35*AF$19*(1+Чувствительность!$D$20)*IFERROR(LOOKUP(Предпосылки!$H$205,$C$13:$C$15,AF$13:AF$15),1)</f>
        <v>0</v>
      </c>
      <c s="125">
        <f>Предпосылки!AF$232*Предпосылки!$H270*Продажи!AG35*AG$19*(1+Чувствительность!$D$20)*IFERROR(LOOKUP(Предпосылки!$H$205,$C$13:$C$15,AG$13:AG$15),1)</f>
        <v>0</v>
      </c>
      <c s="125">
        <f>Предпосылки!AG$232*Предпосылки!$H270*Продажи!AH35*AH$19*(1+Чувствительность!$D$20)*IFERROR(LOOKUP(Предпосылки!$H$205,$C$13:$C$15,AH$13:AH$15),1)</f>
        <v>0</v>
      </c>
      <c s="125">
        <f>Предпосылки!AH$232*Предпосылки!$H270*Продажи!AI35*AI$19*(1+Чувствительность!$D$20)*IFERROR(LOOKUP(Предпосылки!$H$205,$C$13:$C$15,AI$13:AI$15),1)</f>
        <v>0</v>
      </c>
      <c s="125">
        <f>Предпосылки!AI$232*Предпосылки!$H270*Продажи!AJ35*AJ$19*(1+Чувствительность!$D$20)*IFERROR(LOOKUP(Предпосылки!$H$205,$C$13:$C$15,AJ$13:AJ$15),1)</f>
        <v>0</v>
      </c>
      <c s="125">
        <f>Предпосылки!AJ$232*Предпосылки!$H270*Продажи!AK35*AK$19*(1+Чувствительность!$D$20)*IFERROR(LOOKUP(Предпосылки!$H$205,$C$13:$C$15,AK$13:AK$15),1)</f>
        <v>0</v>
      </c>
      <c s="125">
        <f>Предпосылки!AK$232*Предпосылки!$H270*Продажи!AL35*AL$19*(1+Чувствительность!$D$20)*IFERROR(LOOKUP(Предпосылки!$H$205,$C$13:$C$15,AL$13:AL$15),1)</f>
        <v>0</v>
      </c>
      <c s="125">
        <f>Предпосылки!AL$232*Предпосылки!$H270*Продажи!AM35*AM$19*(1+Чувствительность!$D$20)*IFERROR(LOOKUP(Предпосылки!$H$205,$C$13:$C$15,AM$13:AM$15),1)</f>
        <v>0</v>
      </c>
      <c s="125">
        <f>Предпосылки!AM$232*Предпосылки!$H270*Продажи!AN35*AN$19*(1+Чувствительность!$D$20)*IFERROR(LOOKUP(Предпосылки!$H$205,$C$13:$C$15,AN$13:AN$15),1)</f>
        <v>0</v>
      </c>
      <c s="125">
        <f>Предпосылки!AN$232*Предпосылки!$H270*Продажи!AO35*AO$19*(1+Чувствительность!$D$20)*IFERROR(LOOKUP(Предпосылки!$H$205,$C$13:$C$15,AO$13:AO$15),1)</f>
        <v>0</v>
      </c>
      <c s="125">
        <f>Предпосылки!AO$232*Предпосылки!$H270*Продажи!AP35*AP$19*(1+Чувствительность!$D$20)*IFERROR(LOOKUP(Предпосылки!$H$205,$C$13:$C$15,AP$13:AP$15),1)</f>
        <v>0</v>
      </c>
      <c s="125">
        <f>Предпосылки!AP$232*Предпосылки!$H270*Продажи!AQ35*AQ$19*(1+Чувствительность!$D$20)*IFERROR(LOOKUP(Предпосылки!$H$205,$C$13:$C$15,AQ$13:AQ$15),1)</f>
        <v>0</v>
      </c>
      <c s="125">
        <f>Предпосылки!AQ$232*Предпосылки!$H270*Продажи!AR35*AR$19*(1+Чувствительность!$D$20)*IFERROR(LOOKUP(Предпосылки!$H$205,$C$13:$C$15,AR$13:AR$15),1)</f>
        <v>0</v>
      </c>
      <c s="125">
        <f>Предпосылки!AR$232*Предпосылки!$H270*Продажи!AS35*AS$19*(1+Чувствительность!$D$20)*IFERROR(LOOKUP(Предпосылки!$H$205,$C$13:$C$15,AS$13:AS$15),1)</f>
        <v>0</v>
      </c>
      <c s="125">
        <f>Предпосылки!AS$232*Предпосылки!$H270*Продажи!AT35*AT$19*(1+Чувствительность!$D$20)*IFERROR(LOOKUP(Предпосылки!$H$205,$C$13:$C$15,AT$13:AT$15),1)</f>
        <v>0</v>
      </c>
      <c s="125">
        <f>Предпосылки!AT$232*Предпосылки!$H270*Продажи!AU35*AU$19*(1+Чувствительность!$D$20)*IFERROR(LOOKUP(Предпосылки!$H$205,$C$13:$C$15,AU$13:AU$15),1)</f>
        <v>0</v>
      </c>
      <c s="125">
        <f>Предпосылки!AU$232*Предпосылки!$H270*Продажи!AV35*AV$19*(1+Чувствительность!$D$20)*IFERROR(LOOKUP(Предпосылки!$H$205,$C$13:$C$15,AV$13:AV$15),1)</f>
        <v>0</v>
      </c>
      <c s="125">
        <f>Предпосылки!AV$232*Предпосылки!$H270*Продажи!AW35*AW$19*(1+Чувствительность!$D$20)*IFERROR(LOOKUP(Предпосылки!$H$205,$C$13:$C$15,AW$13:AW$15),1)</f>
        <v>0</v>
      </c>
      <c s="125">
        <f>Предпосылки!AW$232*Предпосылки!$H270*Продажи!AX35*AX$19*(1+Чувствительность!$D$20)*IFERROR(LOOKUP(Предпосылки!$H$205,$C$13:$C$15,AX$13:AX$15),1)</f>
        <v>0</v>
      </c>
      <c s="125">
        <f>Предпосылки!AX$232*Предпосылки!$H270*Продажи!AY35*AY$19*(1+Чувствительность!$D$20)*IFERROR(LOOKUP(Предпосылки!$H$205,$C$13:$C$15,AY$13:AY$15),1)</f>
        <v>0</v>
      </c>
      <c s="125">
        <f>Предпосылки!AY$232*Предпосылки!$H270*Продажи!AZ35*AZ$19*(1+Чувствительность!$D$20)*IFERROR(LOOKUP(Предпосылки!$H$205,$C$13:$C$15,AZ$13:AZ$15),1)</f>
        <v>0</v>
      </c>
      <c s="125">
        <f>Предпосылки!AZ$232*Предпосылки!$H270*Продажи!BA35*BA$19*(1+Чувствительность!$D$20)*IFERROR(LOOKUP(Предпосылки!$H$205,$C$13:$C$15,BA$13:BA$15),1)</f>
        <v>0</v>
      </c>
      <c s="125">
        <f>Предпосылки!BA$232*Предпосылки!$H270*Продажи!BB35*BB$19*(1+Чувствительность!$D$20)*IFERROR(LOOKUP(Предпосылки!$H$205,$C$13:$C$15,BB$13:BB$15),1)</f>
        <v>0</v>
      </c>
      <c s="125">
        <f>Предпосылки!BB$232*Предпосылки!$H270*Продажи!BC35*BC$19*(1+Чувствительность!$D$20)*IFERROR(LOOKUP(Предпосылки!$H$205,$C$13:$C$15,BC$13:BC$15),1)</f>
        <v>0</v>
      </c>
      <c s="125">
        <f>Предпосылки!BC$232*Предпосылки!$H270*Продажи!BD35*BD$19*(1+Чувствительность!$D$20)*IFERROR(LOOKUP(Предпосылки!$H$205,$C$13:$C$15,BD$13:BD$15),1)</f>
        <v>0</v>
      </c>
      <c s="125">
        <f>Предпосылки!BD$232*Предпосылки!$H270*Продажи!BE35*BE$19*(1+Чувствительность!$D$20)*IFERROR(LOOKUP(Предпосылки!$H$205,$C$13:$C$15,BE$13:BE$15),1)</f>
        <v>0</v>
      </c>
      <c s="125">
        <f>Предпосылки!BE$232*Предпосылки!$H270*Продажи!BF35*BF$19*(1+Чувствительность!$D$20)*IFERROR(LOOKUP(Предпосылки!$H$205,$C$13:$C$15,BF$13:BF$15),1)</f>
        <v>0</v>
      </c>
      <c s="125">
        <f>Предпосылки!BF$232*Предпосылки!$H270*Продажи!BG35*BG$19*(1+Чувствительность!$D$20)*IFERROR(LOOKUP(Предпосылки!$H$205,$C$13:$C$15,BG$13:BG$15),1)</f>
        <v>0</v>
      </c>
      <c s="125">
        <f>Предпосылки!BG$232*Предпосылки!$H270*Продажи!BH35*BH$19*(1+Чувствительность!$D$20)*IFERROR(LOOKUP(Предпосылки!$H$205,$C$13:$C$15,BH$13:BH$15),1)</f>
        <v>0</v>
      </c>
      <c s="125">
        <f>Предпосылки!BH$232*Предпосылки!$H270*Продажи!BI35*BI$19*(1+Чувствительность!$D$20)*IFERROR(LOOKUP(Предпосылки!$H$205,$C$13:$C$15,BI$13:BI$15),1)</f>
        <v>0</v>
      </c>
      <c s="125">
        <f>Предпосылки!BI$232*Предпосылки!$H270*Продажи!BJ35*BJ$19*(1+Чувствительность!$D$20)*IFERROR(LOOKUP(Предпосылки!$H$205,$C$13:$C$15,BJ$13:BJ$15),1)</f>
        <v>0</v>
      </c>
      <c s="125">
        <f>Предпосылки!BJ$232*Предпосылки!$H270*Продажи!BK35*BK$19*(1+Чувствительность!$D$20)*IFERROR(LOOKUP(Предпосылки!$H$205,$C$13:$C$15,BK$13:BK$15),1)</f>
        <v>0</v>
      </c>
      <c s="125">
        <f>Предпосылки!BK$232*Предпосылки!$H270*Продажи!BL35*BL$19*(1+Чувствительность!$D$20)*IFERROR(LOOKUP(Предпосылки!$H$205,$C$13:$C$15,BL$13:BL$15),1)</f>
        <v>0</v>
      </c>
      <c s="125">
        <f>Предпосылки!BL$232*Предпосылки!$H270*Продажи!BM35*BM$19*(1+Чувствительность!$D$20)*IFERROR(LOOKUP(Предпосылки!$H$205,$C$13:$C$15,BM$13:BM$15),1)</f>
        <v>0</v>
      </c>
    </row>
    <row r="133" spans="2:65" ht="15" customHeight="1">
      <c r="B133" s="12" t="str">
        <f t="shared" si="81"/>
        <v>Продукт 19</v>
      </c>
      <c s="124" t="str">
        <f t="shared" si="80"/>
        <v>тыс. руб.</v>
      </c>
      <c s="276">
        <f t="shared" si="82"/>
        <v>0</v>
      </c>
      <c s="125">
        <f>Предпосылки!D$232*Предпосылки!$H271*Продажи!E36*E$19*(1+Чувствительность!$D$20)*IFERROR(LOOKUP(Предпосылки!$H$205,$C$13:$C$15,E$13:E$15),1)</f>
        <v>0</v>
      </c>
      <c s="125">
        <f>Предпосылки!E$232*Предпосылки!$H271*Продажи!F36*F$19*(1+Чувствительность!$D$20)*IFERROR(LOOKUP(Предпосылки!$H$205,$C$13:$C$15,F$13:F$15),1)</f>
        <v>0</v>
      </c>
      <c s="125">
        <f>Предпосылки!F$232*Предпосылки!$H271*Продажи!G36*G$19*(1+Чувствительность!$D$20)*IFERROR(LOOKUP(Предпосылки!$H$205,$C$13:$C$15,G$13:G$15),1)</f>
        <v>0</v>
      </c>
      <c s="125">
        <f>Предпосылки!G$232*Предпосылки!$H271*Продажи!H36*H$19*(1+Чувствительность!$D$20)*IFERROR(LOOKUP(Предпосылки!$H$205,$C$13:$C$15,H$13:H$15),1)</f>
        <v>0</v>
      </c>
      <c s="125">
        <f>Предпосылки!H$232*Предпосылки!$H271*Продажи!I36*I$19*(1+Чувствительность!$D$20)*IFERROR(LOOKUP(Предпосылки!$H$205,$C$13:$C$15,I$13:I$15),1)</f>
        <v>0</v>
      </c>
      <c s="125">
        <f>Предпосылки!I$232*Предпосылки!$H271*Продажи!J36*J$19*(1+Чувствительность!$D$20)*IFERROR(LOOKUP(Предпосылки!$H$205,$C$13:$C$15,J$13:J$15),1)</f>
        <v>0</v>
      </c>
      <c s="125">
        <f>Предпосылки!J$232*Предпосылки!$H271*Продажи!K36*K$19*(1+Чувствительность!$D$20)*IFERROR(LOOKUP(Предпосылки!$H$205,$C$13:$C$15,K$13:K$15),1)</f>
        <v>0</v>
      </c>
      <c s="125">
        <f>Предпосылки!K$232*Предпосылки!$H271*Продажи!L36*L$19*(1+Чувствительность!$D$20)*IFERROR(LOOKUP(Предпосылки!$H$205,$C$13:$C$15,L$13:L$15),1)</f>
        <v>0</v>
      </c>
      <c s="125">
        <f>Предпосылки!L$232*Предпосылки!$H271*Продажи!M36*M$19*(1+Чувствительность!$D$20)*IFERROR(LOOKUP(Предпосылки!$H$205,$C$13:$C$15,M$13:M$15),1)</f>
        <v>0</v>
      </c>
      <c s="125">
        <f>Предпосылки!M$232*Предпосылки!$H271*Продажи!N36*N$19*(1+Чувствительность!$D$20)*IFERROR(LOOKUP(Предпосылки!$H$205,$C$13:$C$15,N$13:N$15),1)</f>
        <v>0</v>
      </c>
      <c s="125">
        <f>Предпосылки!N$232*Предпосылки!$H271*Продажи!O36*O$19*(1+Чувствительность!$D$20)*IFERROR(LOOKUP(Предпосылки!$H$205,$C$13:$C$15,O$13:O$15),1)</f>
        <v>0</v>
      </c>
      <c s="125">
        <f>Предпосылки!O$232*Предпосылки!$H271*Продажи!P36*P$19*(1+Чувствительность!$D$20)*IFERROR(LOOKUP(Предпосылки!$H$205,$C$13:$C$15,P$13:P$15),1)</f>
        <v>0</v>
      </c>
      <c s="125">
        <f>Предпосылки!P$232*Предпосылки!$H271*Продажи!Q36*Q$19*(1+Чувствительность!$D$20)*IFERROR(LOOKUP(Предпосылки!$H$205,$C$13:$C$15,Q$13:Q$15),1)</f>
        <v>0</v>
      </c>
      <c s="125">
        <f>Предпосылки!Q$232*Предпосылки!$H271*Продажи!R36*R$19*(1+Чувствительность!$D$20)*IFERROR(LOOKUP(Предпосылки!$H$205,$C$13:$C$15,R$13:R$15),1)</f>
        <v>0</v>
      </c>
      <c s="125">
        <f>Предпосылки!R$232*Предпосылки!$H271*Продажи!S36*S$19*(1+Чувствительность!$D$20)*IFERROR(LOOKUP(Предпосылки!$H$205,$C$13:$C$15,S$13:S$15),1)</f>
        <v>0</v>
      </c>
      <c s="125">
        <f>Предпосылки!S$232*Предпосылки!$H271*Продажи!T36*T$19*(1+Чувствительность!$D$20)*IFERROR(LOOKUP(Предпосылки!$H$205,$C$13:$C$15,T$13:T$15),1)</f>
        <v>0</v>
      </c>
      <c s="125">
        <f>Предпосылки!T$232*Предпосылки!$H271*Продажи!U36*U$19*(1+Чувствительность!$D$20)*IFERROR(LOOKUP(Предпосылки!$H$205,$C$13:$C$15,U$13:U$15),1)</f>
        <v>0</v>
      </c>
      <c s="125">
        <f>Предпосылки!U$232*Предпосылки!$H271*Продажи!V36*V$19*(1+Чувствительность!$D$20)*IFERROR(LOOKUP(Предпосылки!$H$205,$C$13:$C$15,V$13:V$15),1)</f>
        <v>0</v>
      </c>
      <c s="125">
        <f>Предпосылки!V$232*Предпосылки!$H271*Продажи!W36*W$19*(1+Чувствительность!$D$20)*IFERROR(LOOKUP(Предпосылки!$H$205,$C$13:$C$15,W$13:W$15),1)</f>
        <v>0</v>
      </c>
      <c s="125">
        <f>Предпосылки!W$232*Предпосылки!$H271*Продажи!X36*X$19*(1+Чувствительность!$D$20)*IFERROR(LOOKUP(Предпосылки!$H$205,$C$13:$C$15,X$13:X$15),1)</f>
        <v>0</v>
      </c>
      <c s="125">
        <f>Предпосылки!X$232*Предпосылки!$H271*Продажи!Y36*Y$19*(1+Чувствительность!$D$20)*IFERROR(LOOKUP(Предпосылки!$H$205,$C$13:$C$15,Y$13:Y$15),1)</f>
        <v>0</v>
      </c>
      <c s="125">
        <f>Предпосылки!Y$232*Предпосылки!$H271*Продажи!Z36*Z$19*(1+Чувствительность!$D$20)*IFERROR(LOOKUP(Предпосылки!$H$205,$C$13:$C$15,Z$13:Z$15),1)</f>
        <v>0</v>
      </c>
      <c s="125">
        <f>Предпосылки!Z$232*Предпосылки!$H271*Продажи!AA36*AA$19*(1+Чувствительность!$D$20)*IFERROR(LOOKUP(Предпосылки!$H$205,$C$13:$C$15,AA$13:AA$15),1)</f>
        <v>0</v>
      </c>
      <c s="125">
        <f>Предпосылки!AA$232*Предпосылки!$H271*Продажи!AB36*AB$19*(1+Чувствительность!$D$20)*IFERROR(LOOKUP(Предпосылки!$H$205,$C$13:$C$15,AB$13:AB$15),1)</f>
        <v>0</v>
      </c>
      <c s="125">
        <f>Предпосылки!AB$232*Предпосылки!$H271*Продажи!AC36*AC$19*(1+Чувствительность!$D$20)*IFERROR(LOOKUP(Предпосылки!$H$205,$C$13:$C$15,AC$13:AC$15),1)</f>
        <v>0</v>
      </c>
      <c s="125">
        <f>Предпосылки!AC$232*Предпосылки!$H271*Продажи!AD36*AD$19*(1+Чувствительность!$D$20)*IFERROR(LOOKUP(Предпосылки!$H$205,$C$13:$C$15,AD$13:AD$15),1)</f>
        <v>0</v>
      </c>
      <c s="125">
        <f>Предпосылки!AD$232*Предпосылки!$H271*Продажи!AE36*AE$19*(1+Чувствительность!$D$20)*IFERROR(LOOKUP(Предпосылки!$H$205,$C$13:$C$15,AE$13:AE$15),1)</f>
        <v>0</v>
      </c>
      <c s="125">
        <f>Предпосылки!AE$232*Предпосылки!$H271*Продажи!AF36*AF$19*(1+Чувствительность!$D$20)*IFERROR(LOOKUP(Предпосылки!$H$205,$C$13:$C$15,AF$13:AF$15),1)</f>
        <v>0</v>
      </c>
      <c s="125">
        <f>Предпосылки!AF$232*Предпосылки!$H271*Продажи!AG36*AG$19*(1+Чувствительность!$D$20)*IFERROR(LOOKUP(Предпосылки!$H$205,$C$13:$C$15,AG$13:AG$15),1)</f>
        <v>0</v>
      </c>
      <c s="125">
        <f>Предпосылки!AG$232*Предпосылки!$H271*Продажи!AH36*AH$19*(1+Чувствительность!$D$20)*IFERROR(LOOKUP(Предпосылки!$H$205,$C$13:$C$15,AH$13:AH$15),1)</f>
        <v>0</v>
      </c>
      <c s="125">
        <f>Предпосылки!AH$232*Предпосылки!$H271*Продажи!AI36*AI$19*(1+Чувствительность!$D$20)*IFERROR(LOOKUP(Предпосылки!$H$205,$C$13:$C$15,AI$13:AI$15),1)</f>
        <v>0</v>
      </c>
      <c s="125">
        <f>Предпосылки!AI$232*Предпосылки!$H271*Продажи!AJ36*AJ$19*(1+Чувствительность!$D$20)*IFERROR(LOOKUP(Предпосылки!$H$205,$C$13:$C$15,AJ$13:AJ$15),1)</f>
        <v>0</v>
      </c>
      <c s="125">
        <f>Предпосылки!AJ$232*Предпосылки!$H271*Продажи!AK36*AK$19*(1+Чувствительность!$D$20)*IFERROR(LOOKUP(Предпосылки!$H$205,$C$13:$C$15,AK$13:AK$15),1)</f>
        <v>0</v>
      </c>
      <c s="125">
        <f>Предпосылки!AK$232*Предпосылки!$H271*Продажи!AL36*AL$19*(1+Чувствительность!$D$20)*IFERROR(LOOKUP(Предпосылки!$H$205,$C$13:$C$15,AL$13:AL$15),1)</f>
        <v>0</v>
      </c>
      <c s="125">
        <f>Предпосылки!AL$232*Предпосылки!$H271*Продажи!AM36*AM$19*(1+Чувствительность!$D$20)*IFERROR(LOOKUP(Предпосылки!$H$205,$C$13:$C$15,AM$13:AM$15),1)</f>
        <v>0</v>
      </c>
      <c s="125">
        <f>Предпосылки!AM$232*Предпосылки!$H271*Продажи!AN36*AN$19*(1+Чувствительность!$D$20)*IFERROR(LOOKUP(Предпосылки!$H$205,$C$13:$C$15,AN$13:AN$15),1)</f>
        <v>0</v>
      </c>
      <c s="125">
        <f>Предпосылки!AN$232*Предпосылки!$H271*Продажи!AO36*AO$19*(1+Чувствительность!$D$20)*IFERROR(LOOKUP(Предпосылки!$H$205,$C$13:$C$15,AO$13:AO$15),1)</f>
        <v>0</v>
      </c>
      <c s="125">
        <f>Предпосылки!AO$232*Предпосылки!$H271*Продажи!AP36*AP$19*(1+Чувствительность!$D$20)*IFERROR(LOOKUP(Предпосылки!$H$205,$C$13:$C$15,AP$13:AP$15),1)</f>
        <v>0</v>
      </c>
      <c s="125">
        <f>Предпосылки!AP$232*Предпосылки!$H271*Продажи!AQ36*AQ$19*(1+Чувствительность!$D$20)*IFERROR(LOOKUP(Предпосылки!$H$205,$C$13:$C$15,AQ$13:AQ$15),1)</f>
        <v>0</v>
      </c>
      <c s="125">
        <f>Предпосылки!AQ$232*Предпосылки!$H271*Продажи!AR36*AR$19*(1+Чувствительность!$D$20)*IFERROR(LOOKUP(Предпосылки!$H$205,$C$13:$C$15,AR$13:AR$15),1)</f>
        <v>0</v>
      </c>
      <c s="125">
        <f>Предпосылки!AR$232*Предпосылки!$H271*Продажи!AS36*AS$19*(1+Чувствительность!$D$20)*IFERROR(LOOKUP(Предпосылки!$H$205,$C$13:$C$15,AS$13:AS$15),1)</f>
        <v>0</v>
      </c>
      <c s="125">
        <f>Предпосылки!AS$232*Предпосылки!$H271*Продажи!AT36*AT$19*(1+Чувствительность!$D$20)*IFERROR(LOOKUP(Предпосылки!$H$205,$C$13:$C$15,AT$13:AT$15),1)</f>
        <v>0</v>
      </c>
      <c s="125">
        <f>Предпосылки!AT$232*Предпосылки!$H271*Продажи!AU36*AU$19*(1+Чувствительность!$D$20)*IFERROR(LOOKUP(Предпосылки!$H$205,$C$13:$C$15,AU$13:AU$15),1)</f>
        <v>0</v>
      </c>
      <c s="125">
        <f>Предпосылки!AU$232*Предпосылки!$H271*Продажи!AV36*AV$19*(1+Чувствительность!$D$20)*IFERROR(LOOKUP(Предпосылки!$H$205,$C$13:$C$15,AV$13:AV$15),1)</f>
        <v>0</v>
      </c>
      <c s="125">
        <f>Предпосылки!AV$232*Предпосылки!$H271*Продажи!AW36*AW$19*(1+Чувствительность!$D$20)*IFERROR(LOOKUP(Предпосылки!$H$205,$C$13:$C$15,AW$13:AW$15),1)</f>
        <v>0</v>
      </c>
      <c s="125">
        <f>Предпосылки!AW$232*Предпосылки!$H271*Продажи!AX36*AX$19*(1+Чувствительность!$D$20)*IFERROR(LOOKUP(Предпосылки!$H$205,$C$13:$C$15,AX$13:AX$15),1)</f>
        <v>0</v>
      </c>
      <c s="125">
        <f>Предпосылки!AX$232*Предпосылки!$H271*Продажи!AY36*AY$19*(1+Чувствительность!$D$20)*IFERROR(LOOKUP(Предпосылки!$H$205,$C$13:$C$15,AY$13:AY$15),1)</f>
        <v>0</v>
      </c>
      <c s="125">
        <f>Предпосылки!AY$232*Предпосылки!$H271*Продажи!AZ36*AZ$19*(1+Чувствительность!$D$20)*IFERROR(LOOKUP(Предпосылки!$H$205,$C$13:$C$15,AZ$13:AZ$15),1)</f>
        <v>0</v>
      </c>
      <c s="125">
        <f>Предпосылки!AZ$232*Предпосылки!$H271*Продажи!BA36*BA$19*(1+Чувствительность!$D$20)*IFERROR(LOOKUP(Предпосылки!$H$205,$C$13:$C$15,BA$13:BA$15),1)</f>
        <v>0</v>
      </c>
      <c s="125">
        <f>Предпосылки!BA$232*Предпосылки!$H271*Продажи!BB36*BB$19*(1+Чувствительность!$D$20)*IFERROR(LOOKUP(Предпосылки!$H$205,$C$13:$C$15,BB$13:BB$15),1)</f>
        <v>0</v>
      </c>
      <c s="125">
        <f>Предпосылки!BB$232*Предпосылки!$H271*Продажи!BC36*BC$19*(1+Чувствительность!$D$20)*IFERROR(LOOKUP(Предпосылки!$H$205,$C$13:$C$15,BC$13:BC$15),1)</f>
        <v>0</v>
      </c>
      <c s="125">
        <f>Предпосылки!BC$232*Предпосылки!$H271*Продажи!BD36*BD$19*(1+Чувствительность!$D$20)*IFERROR(LOOKUP(Предпосылки!$H$205,$C$13:$C$15,BD$13:BD$15),1)</f>
        <v>0</v>
      </c>
      <c s="125">
        <f>Предпосылки!BD$232*Предпосылки!$H271*Продажи!BE36*BE$19*(1+Чувствительность!$D$20)*IFERROR(LOOKUP(Предпосылки!$H$205,$C$13:$C$15,BE$13:BE$15),1)</f>
        <v>0</v>
      </c>
      <c s="125">
        <f>Предпосылки!BE$232*Предпосылки!$H271*Продажи!BF36*BF$19*(1+Чувствительность!$D$20)*IFERROR(LOOKUP(Предпосылки!$H$205,$C$13:$C$15,BF$13:BF$15),1)</f>
        <v>0</v>
      </c>
      <c s="125">
        <f>Предпосылки!BF$232*Предпосылки!$H271*Продажи!BG36*BG$19*(1+Чувствительность!$D$20)*IFERROR(LOOKUP(Предпосылки!$H$205,$C$13:$C$15,BG$13:BG$15),1)</f>
        <v>0</v>
      </c>
      <c s="125">
        <f>Предпосылки!BG$232*Предпосылки!$H271*Продажи!BH36*BH$19*(1+Чувствительность!$D$20)*IFERROR(LOOKUP(Предпосылки!$H$205,$C$13:$C$15,BH$13:BH$15),1)</f>
        <v>0</v>
      </c>
      <c s="125">
        <f>Предпосылки!BH$232*Предпосылки!$H271*Продажи!BI36*BI$19*(1+Чувствительность!$D$20)*IFERROR(LOOKUP(Предпосылки!$H$205,$C$13:$C$15,BI$13:BI$15),1)</f>
        <v>0</v>
      </c>
      <c s="125">
        <f>Предпосылки!BI$232*Предпосылки!$H271*Продажи!BJ36*BJ$19*(1+Чувствительность!$D$20)*IFERROR(LOOKUP(Предпосылки!$H$205,$C$13:$C$15,BJ$13:BJ$15),1)</f>
        <v>0</v>
      </c>
      <c s="125">
        <f>Предпосылки!BJ$232*Предпосылки!$H271*Продажи!BK36*BK$19*(1+Чувствительность!$D$20)*IFERROR(LOOKUP(Предпосылки!$H$205,$C$13:$C$15,BK$13:BK$15),1)</f>
        <v>0</v>
      </c>
      <c s="125">
        <f>Предпосылки!BK$232*Предпосылки!$H271*Продажи!BL36*BL$19*(1+Чувствительность!$D$20)*IFERROR(LOOKUP(Предпосылки!$H$205,$C$13:$C$15,BL$13:BL$15),1)</f>
        <v>0</v>
      </c>
      <c s="125">
        <f>Предпосылки!BL$232*Предпосылки!$H271*Продажи!BM36*BM$19*(1+Чувствительность!$D$20)*IFERROR(LOOKUP(Предпосылки!$H$205,$C$13:$C$15,BM$13:BM$15),1)</f>
        <v>0</v>
      </c>
    </row>
    <row r="134" spans="2:65" ht="15" customHeight="1">
      <c r="B134" s="12" t="str">
        <f t="shared" si="81"/>
        <v>Продукт 20</v>
      </c>
      <c s="124" t="str">
        <f t="shared" si="80"/>
        <v>тыс. руб.</v>
      </c>
      <c s="276">
        <f t="shared" si="82"/>
        <v>0</v>
      </c>
      <c s="125">
        <f>Предпосылки!D$232*Предпосылки!$H272*Продажи!E37*E$19*(1+Чувствительность!$D$20)*IFERROR(LOOKUP(Предпосылки!$H$205,$C$13:$C$15,E$13:E$15),1)</f>
        <v>0</v>
      </c>
      <c s="125">
        <f>Предпосылки!E$232*Предпосылки!$H272*Продажи!F37*F$19*(1+Чувствительность!$D$20)*IFERROR(LOOKUP(Предпосылки!$H$205,$C$13:$C$15,F$13:F$15),1)</f>
        <v>0</v>
      </c>
      <c s="125">
        <f>Предпосылки!F$232*Предпосылки!$H272*Продажи!G37*G$19*(1+Чувствительность!$D$20)*IFERROR(LOOKUP(Предпосылки!$H$205,$C$13:$C$15,G$13:G$15),1)</f>
        <v>0</v>
      </c>
      <c s="125">
        <f>Предпосылки!G$232*Предпосылки!$H272*Продажи!H37*H$19*(1+Чувствительность!$D$20)*IFERROR(LOOKUP(Предпосылки!$H$205,$C$13:$C$15,H$13:H$15),1)</f>
        <v>0</v>
      </c>
      <c s="125">
        <f>Предпосылки!H$232*Предпосылки!$H272*Продажи!I37*I$19*(1+Чувствительность!$D$20)*IFERROR(LOOKUP(Предпосылки!$H$205,$C$13:$C$15,I$13:I$15),1)</f>
        <v>0</v>
      </c>
      <c s="125">
        <f>Предпосылки!I$232*Предпосылки!$H272*Продажи!J37*J$19*(1+Чувствительность!$D$20)*IFERROR(LOOKUP(Предпосылки!$H$205,$C$13:$C$15,J$13:J$15),1)</f>
        <v>0</v>
      </c>
      <c s="125">
        <f>Предпосылки!J$232*Предпосылки!$H272*Продажи!K37*K$19*(1+Чувствительность!$D$20)*IFERROR(LOOKUP(Предпосылки!$H$205,$C$13:$C$15,K$13:K$15),1)</f>
        <v>0</v>
      </c>
      <c s="125">
        <f>Предпосылки!K$232*Предпосылки!$H272*Продажи!L37*L$19*(1+Чувствительность!$D$20)*IFERROR(LOOKUP(Предпосылки!$H$205,$C$13:$C$15,L$13:L$15),1)</f>
        <v>0</v>
      </c>
      <c s="125">
        <f>Предпосылки!L$232*Предпосылки!$H272*Продажи!M37*M$19*(1+Чувствительность!$D$20)*IFERROR(LOOKUP(Предпосылки!$H$205,$C$13:$C$15,M$13:M$15),1)</f>
        <v>0</v>
      </c>
      <c s="125">
        <f>Предпосылки!M$232*Предпосылки!$H272*Продажи!N37*N$19*(1+Чувствительность!$D$20)*IFERROR(LOOKUP(Предпосылки!$H$205,$C$13:$C$15,N$13:N$15),1)</f>
        <v>0</v>
      </c>
      <c s="125">
        <f>Предпосылки!N$232*Предпосылки!$H272*Продажи!O37*O$19*(1+Чувствительность!$D$20)*IFERROR(LOOKUP(Предпосылки!$H$205,$C$13:$C$15,O$13:O$15),1)</f>
        <v>0</v>
      </c>
      <c s="125">
        <f>Предпосылки!O$232*Предпосылки!$H272*Продажи!P37*P$19*(1+Чувствительность!$D$20)*IFERROR(LOOKUP(Предпосылки!$H$205,$C$13:$C$15,P$13:P$15),1)</f>
        <v>0</v>
      </c>
      <c s="125">
        <f>Предпосылки!P$232*Предпосылки!$H272*Продажи!Q37*Q$19*(1+Чувствительность!$D$20)*IFERROR(LOOKUP(Предпосылки!$H$205,$C$13:$C$15,Q$13:Q$15),1)</f>
        <v>0</v>
      </c>
      <c s="125">
        <f>Предпосылки!Q$232*Предпосылки!$H272*Продажи!R37*R$19*(1+Чувствительность!$D$20)*IFERROR(LOOKUP(Предпосылки!$H$205,$C$13:$C$15,R$13:R$15),1)</f>
        <v>0</v>
      </c>
      <c s="125">
        <f>Предпосылки!R$232*Предпосылки!$H272*Продажи!S37*S$19*(1+Чувствительность!$D$20)*IFERROR(LOOKUP(Предпосылки!$H$205,$C$13:$C$15,S$13:S$15),1)</f>
        <v>0</v>
      </c>
      <c s="125">
        <f>Предпосылки!S$232*Предпосылки!$H272*Продажи!T37*T$19*(1+Чувствительность!$D$20)*IFERROR(LOOKUP(Предпосылки!$H$205,$C$13:$C$15,T$13:T$15),1)</f>
        <v>0</v>
      </c>
      <c s="125">
        <f>Предпосылки!T$232*Предпосылки!$H272*Продажи!U37*U$19*(1+Чувствительность!$D$20)*IFERROR(LOOKUP(Предпосылки!$H$205,$C$13:$C$15,U$13:U$15),1)</f>
        <v>0</v>
      </c>
      <c s="125">
        <f>Предпосылки!U$232*Предпосылки!$H272*Продажи!V37*V$19*(1+Чувствительность!$D$20)*IFERROR(LOOKUP(Предпосылки!$H$205,$C$13:$C$15,V$13:V$15),1)</f>
        <v>0</v>
      </c>
      <c s="125">
        <f>Предпосылки!V$232*Предпосылки!$H272*Продажи!W37*W$19*(1+Чувствительность!$D$20)*IFERROR(LOOKUP(Предпосылки!$H$205,$C$13:$C$15,W$13:W$15),1)</f>
        <v>0</v>
      </c>
      <c s="125">
        <f>Предпосылки!W$232*Предпосылки!$H272*Продажи!X37*X$19*(1+Чувствительность!$D$20)*IFERROR(LOOKUP(Предпосылки!$H$205,$C$13:$C$15,X$13:X$15),1)</f>
        <v>0</v>
      </c>
      <c s="125">
        <f>Предпосылки!X$232*Предпосылки!$H272*Продажи!Y37*Y$19*(1+Чувствительность!$D$20)*IFERROR(LOOKUP(Предпосылки!$H$205,$C$13:$C$15,Y$13:Y$15),1)</f>
        <v>0</v>
      </c>
      <c s="125">
        <f>Предпосылки!Y$232*Предпосылки!$H272*Продажи!Z37*Z$19*(1+Чувствительность!$D$20)*IFERROR(LOOKUP(Предпосылки!$H$205,$C$13:$C$15,Z$13:Z$15),1)</f>
        <v>0</v>
      </c>
      <c s="125">
        <f>Предпосылки!Z$232*Предпосылки!$H272*Продажи!AA37*AA$19*(1+Чувствительность!$D$20)*IFERROR(LOOKUP(Предпосылки!$H$205,$C$13:$C$15,AA$13:AA$15),1)</f>
        <v>0</v>
      </c>
      <c s="125">
        <f>Предпосылки!AA$232*Предпосылки!$H272*Продажи!AB37*AB$19*(1+Чувствительность!$D$20)*IFERROR(LOOKUP(Предпосылки!$H$205,$C$13:$C$15,AB$13:AB$15),1)</f>
        <v>0</v>
      </c>
      <c s="125">
        <f>Предпосылки!AB$232*Предпосылки!$H272*Продажи!AC37*AC$19*(1+Чувствительность!$D$20)*IFERROR(LOOKUP(Предпосылки!$H$205,$C$13:$C$15,AC$13:AC$15),1)</f>
        <v>0</v>
      </c>
      <c s="125">
        <f>Предпосылки!AC$232*Предпосылки!$H272*Продажи!AD37*AD$19*(1+Чувствительность!$D$20)*IFERROR(LOOKUP(Предпосылки!$H$205,$C$13:$C$15,AD$13:AD$15),1)</f>
        <v>0</v>
      </c>
      <c s="125">
        <f>Предпосылки!AD$232*Предпосылки!$H272*Продажи!AE37*AE$19*(1+Чувствительность!$D$20)*IFERROR(LOOKUP(Предпосылки!$H$205,$C$13:$C$15,AE$13:AE$15),1)</f>
        <v>0</v>
      </c>
      <c s="125">
        <f>Предпосылки!AE$232*Предпосылки!$H272*Продажи!AF37*AF$19*(1+Чувствительность!$D$20)*IFERROR(LOOKUP(Предпосылки!$H$205,$C$13:$C$15,AF$13:AF$15),1)</f>
        <v>0</v>
      </c>
      <c s="125">
        <f>Предпосылки!AF$232*Предпосылки!$H272*Продажи!AG37*AG$19*(1+Чувствительность!$D$20)*IFERROR(LOOKUP(Предпосылки!$H$205,$C$13:$C$15,AG$13:AG$15),1)</f>
        <v>0</v>
      </c>
      <c s="125">
        <f>Предпосылки!AG$232*Предпосылки!$H272*Продажи!AH37*AH$19*(1+Чувствительность!$D$20)*IFERROR(LOOKUP(Предпосылки!$H$205,$C$13:$C$15,AH$13:AH$15),1)</f>
        <v>0</v>
      </c>
      <c s="125">
        <f>Предпосылки!AH$232*Предпосылки!$H272*Продажи!AI37*AI$19*(1+Чувствительность!$D$20)*IFERROR(LOOKUP(Предпосылки!$H$205,$C$13:$C$15,AI$13:AI$15),1)</f>
        <v>0</v>
      </c>
      <c s="125">
        <f>Предпосылки!AI$232*Предпосылки!$H272*Продажи!AJ37*AJ$19*(1+Чувствительность!$D$20)*IFERROR(LOOKUP(Предпосылки!$H$205,$C$13:$C$15,AJ$13:AJ$15),1)</f>
        <v>0</v>
      </c>
      <c s="125">
        <f>Предпосылки!AJ$232*Предпосылки!$H272*Продажи!AK37*AK$19*(1+Чувствительность!$D$20)*IFERROR(LOOKUP(Предпосылки!$H$205,$C$13:$C$15,AK$13:AK$15),1)</f>
        <v>0</v>
      </c>
      <c s="125">
        <f>Предпосылки!AK$232*Предпосылки!$H272*Продажи!AL37*AL$19*(1+Чувствительность!$D$20)*IFERROR(LOOKUP(Предпосылки!$H$205,$C$13:$C$15,AL$13:AL$15),1)</f>
        <v>0</v>
      </c>
      <c s="125">
        <f>Предпосылки!AL$232*Предпосылки!$H272*Продажи!AM37*AM$19*(1+Чувствительность!$D$20)*IFERROR(LOOKUP(Предпосылки!$H$205,$C$13:$C$15,AM$13:AM$15),1)</f>
        <v>0</v>
      </c>
      <c s="125">
        <f>Предпосылки!AM$232*Предпосылки!$H272*Продажи!AN37*AN$19*(1+Чувствительность!$D$20)*IFERROR(LOOKUP(Предпосылки!$H$205,$C$13:$C$15,AN$13:AN$15),1)</f>
        <v>0</v>
      </c>
      <c s="125">
        <f>Предпосылки!AN$232*Предпосылки!$H272*Продажи!AO37*AO$19*(1+Чувствительность!$D$20)*IFERROR(LOOKUP(Предпосылки!$H$205,$C$13:$C$15,AO$13:AO$15),1)</f>
        <v>0</v>
      </c>
      <c s="125">
        <f>Предпосылки!AO$232*Предпосылки!$H272*Продажи!AP37*AP$19*(1+Чувствительность!$D$20)*IFERROR(LOOKUP(Предпосылки!$H$205,$C$13:$C$15,AP$13:AP$15),1)</f>
        <v>0</v>
      </c>
      <c s="125">
        <f>Предпосылки!AP$232*Предпосылки!$H272*Продажи!AQ37*AQ$19*(1+Чувствительность!$D$20)*IFERROR(LOOKUP(Предпосылки!$H$205,$C$13:$C$15,AQ$13:AQ$15),1)</f>
        <v>0</v>
      </c>
      <c s="125">
        <f>Предпосылки!AQ$232*Предпосылки!$H272*Продажи!AR37*AR$19*(1+Чувствительность!$D$20)*IFERROR(LOOKUP(Предпосылки!$H$205,$C$13:$C$15,AR$13:AR$15),1)</f>
        <v>0</v>
      </c>
      <c s="125">
        <f>Предпосылки!AR$232*Предпосылки!$H272*Продажи!AS37*AS$19*(1+Чувствительность!$D$20)*IFERROR(LOOKUP(Предпосылки!$H$205,$C$13:$C$15,AS$13:AS$15),1)</f>
        <v>0</v>
      </c>
      <c s="125">
        <f>Предпосылки!AS$232*Предпосылки!$H272*Продажи!AT37*AT$19*(1+Чувствительность!$D$20)*IFERROR(LOOKUP(Предпосылки!$H$205,$C$13:$C$15,AT$13:AT$15),1)</f>
        <v>0</v>
      </c>
      <c s="125">
        <f>Предпосылки!AT$232*Предпосылки!$H272*Продажи!AU37*AU$19*(1+Чувствительность!$D$20)*IFERROR(LOOKUP(Предпосылки!$H$205,$C$13:$C$15,AU$13:AU$15),1)</f>
        <v>0</v>
      </c>
      <c s="125">
        <f>Предпосылки!AU$232*Предпосылки!$H272*Продажи!AV37*AV$19*(1+Чувствительность!$D$20)*IFERROR(LOOKUP(Предпосылки!$H$205,$C$13:$C$15,AV$13:AV$15),1)</f>
        <v>0</v>
      </c>
      <c s="125">
        <f>Предпосылки!AV$232*Предпосылки!$H272*Продажи!AW37*AW$19*(1+Чувствительность!$D$20)*IFERROR(LOOKUP(Предпосылки!$H$205,$C$13:$C$15,AW$13:AW$15),1)</f>
        <v>0</v>
      </c>
      <c s="125">
        <f>Предпосылки!AW$232*Предпосылки!$H272*Продажи!AX37*AX$19*(1+Чувствительность!$D$20)*IFERROR(LOOKUP(Предпосылки!$H$205,$C$13:$C$15,AX$13:AX$15),1)</f>
        <v>0</v>
      </c>
      <c s="125">
        <f>Предпосылки!AX$232*Предпосылки!$H272*Продажи!AY37*AY$19*(1+Чувствительность!$D$20)*IFERROR(LOOKUP(Предпосылки!$H$205,$C$13:$C$15,AY$13:AY$15),1)</f>
        <v>0</v>
      </c>
      <c s="125">
        <f>Предпосылки!AY$232*Предпосылки!$H272*Продажи!AZ37*AZ$19*(1+Чувствительность!$D$20)*IFERROR(LOOKUP(Предпосылки!$H$205,$C$13:$C$15,AZ$13:AZ$15),1)</f>
        <v>0</v>
      </c>
      <c s="125">
        <f>Предпосылки!AZ$232*Предпосылки!$H272*Продажи!BA37*BA$19*(1+Чувствительность!$D$20)*IFERROR(LOOKUP(Предпосылки!$H$205,$C$13:$C$15,BA$13:BA$15),1)</f>
        <v>0</v>
      </c>
      <c s="125">
        <f>Предпосылки!BA$232*Предпосылки!$H272*Продажи!BB37*BB$19*(1+Чувствительность!$D$20)*IFERROR(LOOKUP(Предпосылки!$H$205,$C$13:$C$15,BB$13:BB$15),1)</f>
        <v>0</v>
      </c>
      <c s="125">
        <f>Предпосылки!BB$232*Предпосылки!$H272*Продажи!BC37*BC$19*(1+Чувствительность!$D$20)*IFERROR(LOOKUP(Предпосылки!$H$205,$C$13:$C$15,BC$13:BC$15),1)</f>
        <v>0</v>
      </c>
      <c s="125">
        <f>Предпосылки!BC$232*Предпосылки!$H272*Продажи!BD37*BD$19*(1+Чувствительность!$D$20)*IFERROR(LOOKUP(Предпосылки!$H$205,$C$13:$C$15,BD$13:BD$15),1)</f>
        <v>0</v>
      </c>
      <c s="125">
        <f>Предпосылки!BD$232*Предпосылки!$H272*Продажи!BE37*BE$19*(1+Чувствительность!$D$20)*IFERROR(LOOKUP(Предпосылки!$H$205,$C$13:$C$15,BE$13:BE$15),1)</f>
        <v>0</v>
      </c>
      <c s="125">
        <f>Предпосылки!BE$232*Предпосылки!$H272*Продажи!BF37*BF$19*(1+Чувствительность!$D$20)*IFERROR(LOOKUP(Предпосылки!$H$205,$C$13:$C$15,BF$13:BF$15),1)</f>
        <v>0</v>
      </c>
      <c s="125">
        <f>Предпосылки!BF$232*Предпосылки!$H272*Продажи!BG37*BG$19*(1+Чувствительность!$D$20)*IFERROR(LOOKUP(Предпосылки!$H$205,$C$13:$C$15,BG$13:BG$15),1)</f>
        <v>0</v>
      </c>
      <c s="125">
        <f>Предпосылки!BG$232*Предпосылки!$H272*Продажи!BH37*BH$19*(1+Чувствительность!$D$20)*IFERROR(LOOKUP(Предпосылки!$H$205,$C$13:$C$15,BH$13:BH$15),1)</f>
        <v>0</v>
      </c>
      <c s="125">
        <f>Предпосылки!BH$232*Предпосылки!$H272*Продажи!BI37*BI$19*(1+Чувствительность!$D$20)*IFERROR(LOOKUP(Предпосылки!$H$205,$C$13:$C$15,BI$13:BI$15),1)</f>
        <v>0</v>
      </c>
      <c s="125">
        <f>Предпосылки!BI$232*Предпосылки!$H272*Продажи!BJ37*BJ$19*(1+Чувствительность!$D$20)*IFERROR(LOOKUP(Предпосылки!$H$205,$C$13:$C$15,BJ$13:BJ$15),1)</f>
        <v>0</v>
      </c>
      <c s="125">
        <f>Предпосылки!BJ$232*Предпосылки!$H272*Продажи!BK37*BK$19*(1+Чувствительность!$D$20)*IFERROR(LOOKUP(Предпосылки!$H$205,$C$13:$C$15,BK$13:BK$15),1)</f>
        <v>0</v>
      </c>
      <c s="125">
        <f>Предпосылки!BK$232*Предпосылки!$H272*Продажи!BL37*BL$19*(1+Чувствительность!$D$20)*IFERROR(LOOKUP(Предпосылки!$H$205,$C$13:$C$15,BL$13:BL$15),1)</f>
        <v>0</v>
      </c>
      <c s="125">
        <f>Предпосылки!BL$232*Предпосылки!$H272*Продажи!BM37*BM$19*(1+Чувствительность!$D$20)*IFERROR(LOOKUP(Предпосылки!$H$205,$C$13:$C$15,BM$13:BM$15),1)</f>
        <v>0</v>
      </c>
    </row>
    <row r="135" spans="2:65" ht="15" customHeight="1">
      <c r="B135" s="289" t="s">
        <v>454</v>
      </c>
      <c s="290" t="str">
        <f>Единица_измерения</f>
        <v>тыс. руб.</v>
      </c>
      <c s="291">
        <f>SUM(D115:D134)</f>
        <v>0</v>
      </c>
      <c s="276">
        <f>SUM(E115:E134)</f>
        <v>0</v>
      </c>
      <c s="276">
        <f t="shared" si="83" ref="F135:AG135">SUM(F115:F134)</f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3"/>
        <v>0</v>
      </c>
      <c s="276">
        <f t="shared" si="84" ref="AH135:BM135">SUM(AH115:AH134)</f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  <c s="276">
        <f t="shared" si="84"/>
        <v>0</v>
      </c>
    </row>
    <row r="136" ht="15" customHeight="1"/>
    <row r="137" spans="2:69" ht="14.45">
      <c r="B137" s="25" t="str">
        <f>Предпосылки!B233</f>
        <v>Операционные затраты 6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8" spans="2:65" ht="15" customHeight="1">
      <c r="B138" s="12" t="str">
        <f>B115</f>
        <v>Продукт 1</v>
      </c>
      <c s="124" t="str">
        <f t="shared" si="85" ref="C138:C157">Единица_измерения</f>
        <v>тыс. руб.</v>
      </c>
      <c s="276">
        <f>SUM(E138:BM138)</f>
        <v>0</v>
      </c>
      <c s="125">
        <f>Предпосылки!D$233*Предпосылки!$I253*Продажи!E18*E$19*(1+Чувствительность!$D$20)*IFERROR(LOOKUP(Предпосылки!$H$206,$C$13:$C$15,E$13:E$15),1)</f>
        <v>0</v>
      </c>
      <c s="125">
        <f>Предпосылки!E$233*Предпосылки!$I253*Продажи!F18*F$19*(1+Чувствительность!$D$20)*IFERROR(LOOKUP(Предпосылки!$H$206,$C$13:$C$15,F$13:F$15),1)</f>
        <v>0</v>
      </c>
      <c s="125">
        <f>Предпосылки!F$233*Предпосылки!$I253*Продажи!G18*G$19*(1+Чувствительность!$D$20)*IFERROR(LOOKUP(Предпосылки!$H$206,$C$13:$C$15,G$13:G$15),1)</f>
        <v>0</v>
      </c>
      <c s="125">
        <f>Предпосылки!G$233*Предпосылки!$I253*Продажи!H18*H$19*(1+Чувствительность!$D$20)*IFERROR(LOOKUP(Предпосылки!$H$206,$C$13:$C$15,H$13:H$15),1)</f>
        <v>0</v>
      </c>
      <c s="125">
        <f>Предпосылки!H$233*Предпосылки!$I253*Продажи!I18*I$19*(1+Чувствительность!$D$20)*IFERROR(LOOKUP(Предпосылки!$H$206,$C$13:$C$15,I$13:I$15),1)</f>
        <v>0</v>
      </c>
      <c s="125">
        <f>Предпосылки!I$233*Предпосылки!$I253*Продажи!J18*J$19*(1+Чувствительность!$D$20)*IFERROR(LOOKUP(Предпосылки!$H$206,$C$13:$C$15,J$13:J$15),1)</f>
        <v>0</v>
      </c>
      <c s="125">
        <f>Предпосылки!J$233*Предпосылки!$I253*Продажи!K18*K$19*(1+Чувствительность!$D$20)*IFERROR(LOOKUP(Предпосылки!$H$206,$C$13:$C$15,K$13:K$15),1)</f>
        <v>0</v>
      </c>
      <c s="125">
        <f>Предпосылки!K$233*Предпосылки!$I253*Продажи!L18*L$19*(1+Чувствительность!$D$20)*IFERROR(LOOKUP(Предпосылки!$H$206,$C$13:$C$15,L$13:L$15),1)</f>
        <v>0</v>
      </c>
      <c s="125">
        <f>Предпосылки!L$233*Предпосылки!$I253*Продажи!M18*M$19*(1+Чувствительность!$D$20)*IFERROR(LOOKUP(Предпосылки!$H$206,$C$13:$C$15,M$13:M$15),1)</f>
        <v>0</v>
      </c>
      <c s="125">
        <f>Предпосылки!M$233*Предпосылки!$I253*Продажи!N18*N$19*(1+Чувствительность!$D$20)*IFERROR(LOOKUP(Предпосылки!$H$206,$C$13:$C$15,N$13:N$15),1)</f>
        <v>0</v>
      </c>
      <c s="125">
        <f>Предпосылки!N$233*Предпосылки!$I253*Продажи!O18*O$19*(1+Чувствительность!$D$20)*IFERROR(LOOKUP(Предпосылки!$H$206,$C$13:$C$15,O$13:O$15),1)</f>
        <v>0</v>
      </c>
      <c s="125">
        <f>Предпосылки!O$233*Предпосылки!$I253*Продажи!P18*P$19*(1+Чувствительность!$D$20)*IFERROR(LOOKUP(Предпосылки!$H$206,$C$13:$C$15,P$13:P$15),1)</f>
        <v>0</v>
      </c>
      <c s="125">
        <f>Предпосылки!P$233*Предпосылки!$I253*Продажи!Q18*Q$19*(1+Чувствительность!$D$20)*IFERROR(LOOKUP(Предпосылки!$H$206,$C$13:$C$15,Q$13:Q$15),1)</f>
        <v>0</v>
      </c>
      <c s="125">
        <f>Предпосылки!Q$233*Предпосылки!$I253*Продажи!R18*R$19*(1+Чувствительность!$D$20)*IFERROR(LOOKUP(Предпосылки!$H$206,$C$13:$C$15,R$13:R$15),1)</f>
        <v>0</v>
      </c>
      <c s="125">
        <f>Предпосылки!R$233*Предпосылки!$I253*Продажи!S18*S$19*(1+Чувствительность!$D$20)*IFERROR(LOOKUP(Предпосылки!$H$206,$C$13:$C$15,S$13:S$15),1)</f>
        <v>0</v>
      </c>
      <c s="125">
        <f>Предпосылки!S$233*Предпосылки!$I253*Продажи!T18*T$19*(1+Чувствительность!$D$20)*IFERROR(LOOKUP(Предпосылки!$H$206,$C$13:$C$15,T$13:T$15),1)</f>
        <v>0</v>
      </c>
      <c s="125">
        <f>Предпосылки!T$233*Предпосылки!$I253*Продажи!U18*U$19*(1+Чувствительность!$D$20)*IFERROR(LOOKUP(Предпосылки!$H$206,$C$13:$C$15,U$13:U$15),1)</f>
        <v>0</v>
      </c>
      <c s="125">
        <f>Предпосылки!U$233*Предпосылки!$I253*Продажи!V18*V$19*(1+Чувствительность!$D$20)*IFERROR(LOOKUP(Предпосылки!$H$206,$C$13:$C$15,V$13:V$15),1)</f>
        <v>0</v>
      </c>
      <c s="125">
        <f>Предпосылки!V$233*Предпосылки!$I253*Продажи!W18*W$19*(1+Чувствительность!$D$20)*IFERROR(LOOKUP(Предпосылки!$H$206,$C$13:$C$15,W$13:W$15),1)</f>
        <v>0</v>
      </c>
      <c s="125">
        <f>Предпосылки!W$233*Предпосылки!$I253*Продажи!X18*X$19*(1+Чувствительность!$D$20)*IFERROR(LOOKUP(Предпосылки!$H$206,$C$13:$C$15,X$13:X$15),1)</f>
        <v>0</v>
      </c>
      <c s="125">
        <f>Предпосылки!X$233*Предпосылки!$I253*Продажи!Y18*Y$19*(1+Чувствительность!$D$20)*IFERROR(LOOKUP(Предпосылки!$H$206,$C$13:$C$15,Y$13:Y$15),1)</f>
        <v>0</v>
      </c>
      <c s="125">
        <f>Предпосылки!Y$233*Предпосылки!$I253*Продажи!Z18*Z$19*(1+Чувствительность!$D$20)*IFERROR(LOOKUP(Предпосылки!$H$206,$C$13:$C$15,Z$13:Z$15),1)</f>
        <v>0</v>
      </c>
      <c s="125">
        <f>Предпосылки!Z$233*Предпосылки!$I253*Продажи!AA18*AA$19*(1+Чувствительность!$D$20)*IFERROR(LOOKUP(Предпосылки!$H$206,$C$13:$C$15,AA$13:AA$15),1)</f>
        <v>0</v>
      </c>
      <c s="125">
        <f>Предпосылки!AA$233*Предпосылки!$I253*Продажи!AB18*AB$19*(1+Чувствительность!$D$20)*IFERROR(LOOKUP(Предпосылки!$H$206,$C$13:$C$15,AB$13:AB$15),1)</f>
        <v>0</v>
      </c>
      <c s="125">
        <f>Предпосылки!AB$233*Предпосылки!$I253*Продажи!AC18*AC$19*(1+Чувствительность!$D$20)*IFERROR(LOOKUP(Предпосылки!$H$206,$C$13:$C$15,AC$13:AC$15),1)</f>
        <v>0</v>
      </c>
      <c s="125">
        <f>Предпосылки!AC$233*Предпосылки!$I253*Продажи!AD18*AD$19*(1+Чувствительность!$D$20)*IFERROR(LOOKUP(Предпосылки!$H$206,$C$13:$C$15,AD$13:AD$15),1)</f>
        <v>0</v>
      </c>
      <c s="125">
        <f>Предпосылки!AD$233*Предпосылки!$I253*Продажи!AE18*AE$19*(1+Чувствительность!$D$20)*IFERROR(LOOKUP(Предпосылки!$H$206,$C$13:$C$15,AE$13:AE$15),1)</f>
        <v>0</v>
      </c>
      <c s="125">
        <f>Предпосылки!AE$233*Предпосылки!$I253*Продажи!AF18*AF$19*(1+Чувствительность!$D$20)*IFERROR(LOOKUP(Предпосылки!$H$206,$C$13:$C$15,AF$13:AF$15),1)</f>
        <v>0</v>
      </c>
      <c s="125">
        <f>Предпосылки!AF$233*Предпосылки!$I253*Продажи!AG18*AG$19*(1+Чувствительность!$D$20)*IFERROR(LOOKUP(Предпосылки!$H$206,$C$13:$C$15,AG$13:AG$15),1)</f>
        <v>0</v>
      </c>
      <c s="125">
        <f>Предпосылки!AG$233*Предпосылки!$I253*Продажи!AH18*AH$19*(1+Чувствительность!$D$20)*IFERROR(LOOKUP(Предпосылки!$H$206,$C$13:$C$15,AH$13:AH$15),1)</f>
        <v>0</v>
      </c>
      <c s="125">
        <f>Предпосылки!AH$233*Предпосылки!$I253*Продажи!AI18*AI$19*(1+Чувствительность!$D$20)*IFERROR(LOOKUP(Предпосылки!$H$206,$C$13:$C$15,AI$13:AI$15),1)</f>
        <v>0</v>
      </c>
      <c s="125">
        <f>Предпосылки!AI$233*Предпосылки!$I253*Продажи!AJ18*AJ$19*(1+Чувствительность!$D$20)*IFERROR(LOOKUP(Предпосылки!$H$206,$C$13:$C$15,AJ$13:AJ$15),1)</f>
        <v>0</v>
      </c>
      <c s="125">
        <f>Предпосылки!AJ$233*Предпосылки!$I253*Продажи!AK18*AK$19*(1+Чувствительность!$D$20)*IFERROR(LOOKUP(Предпосылки!$H$206,$C$13:$C$15,AK$13:AK$15),1)</f>
        <v>0</v>
      </c>
      <c s="125">
        <f>Предпосылки!AK$233*Предпосылки!$I253*Продажи!AL18*AL$19*(1+Чувствительность!$D$20)*IFERROR(LOOKUP(Предпосылки!$H$206,$C$13:$C$15,AL$13:AL$15),1)</f>
        <v>0</v>
      </c>
      <c s="125">
        <f>Предпосылки!AL$233*Предпосылки!$I253*Продажи!AM18*AM$19*(1+Чувствительность!$D$20)*IFERROR(LOOKUP(Предпосылки!$H$206,$C$13:$C$15,AM$13:AM$15),1)</f>
        <v>0</v>
      </c>
      <c s="125">
        <f>Предпосылки!AM$233*Предпосылки!$I253*Продажи!AN18*AN$19*(1+Чувствительность!$D$20)*IFERROR(LOOKUP(Предпосылки!$H$206,$C$13:$C$15,AN$13:AN$15),1)</f>
        <v>0</v>
      </c>
      <c s="125">
        <f>Предпосылки!AN$233*Предпосылки!$I253*Продажи!AO18*AO$19*(1+Чувствительность!$D$20)*IFERROR(LOOKUP(Предпосылки!$H$206,$C$13:$C$15,AO$13:AO$15),1)</f>
        <v>0</v>
      </c>
      <c s="125">
        <f>Предпосылки!AO$233*Предпосылки!$I253*Продажи!AP18*AP$19*(1+Чувствительность!$D$20)*IFERROR(LOOKUP(Предпосылки!$H$206,$C$13:$C$15,AP$13:AP$15),1)</f>
        <v>0</v>
      </c>
      <c s="125">
        <f>Предпосылки!AP$233*Предпосылки!$I253*Продажи!AQ18*AQ$19*(1+Чувствительность!$D$20)*IFERROR(LOOKUP(Предпосылки!$H$206,$C$13:$C$15,AQ$13:AQ$15),1)</f>
        <v>0</v>
      </c>
      <c s="125">
        <f>Предпосылки!AQ$233*Предпосылки!$I253*Продажи!AR18*AR$19*(1+Чувствительность!$D$20)*IFERROR(LOOKUP(Предпосылки!$H$206,$C$13:$C$15,AR$13:AR$15),1)</f>
        <v>0</v>
      </c>
      <c s="125">
        <f>Предпосылки!AR$233*Предпосылки!$I253*Продажи!AS18*AS$19*(1+Чувствительность!$D$20)*IFERROR(LOOKUP(Предпосылки!$H$206,$C$13:$C$15,AS$13:AS$15),1)</f>
        <v>0</v>
      </c>
      <c s="125">
        <f>Предпосылки!AS$233*Предпосылки!$I253*Продажи!AT18*AT$19*(1+Чувствительность!$D$20)*IFERROR(LOOKUP(Предпосылки!$H$206,$C$13:$C$15,AT$13:AT$15),1)</f>
        <v>0</v>
      </c>
      <c s="125">
        <f>Предпосылки!AT$233*Предпосылки!$I253*Продажи!AU18*AU$19*(1+Чувствительность!$D$20)*IFERROR(LOOKUP(Предпосылки!$H$206,$C$13:$C$15,AU$13:AU$15),1)</f>
        <v>0</v>
      </c>
      <c s="125">
        <f>Предпосылки!AU$233*Предпосылки!$I253*Продажи!AV18*AV$19*(1+Чувствительность!$D$20)*IFERROR(LOOKUP(Предпосылки!$H$206,$C$13:$C$15,AV$13:AV$15),1)</f>
        <v>0</v>
      </c>
      <c s="125">
        <f>Предпосылки!AV$233*Предпосылки!$I253*Продажи!AW18*AW$19*(1+Чувствительность!$D$20)*IFERROR(LOOKUP(Предпосылки!$H$206,$C$13:$C$15,AW$13:AW$15),1)</f>
        <v>0</v>
      </c>
      <c s="125">
        <f>Предпосылки!AW$233*Предпосылки!$I253*Продажи!AX18*AX$19*(1+Чувствительность!$D$20)*IFERROR(LOOKUP(Предпосылки!$H$206,$C$13:$C$15,AX$13:AX$15),1)</f>
        <v>0</v>
      </c>
      <c s="125">
        <f>Предпосылки!AX$233*Предпосылки!$I253*Продажи!AY18*AY$19*(1+Чувствительность!$D$20)*IFERROR(LOOKUP(Предпосылки!$H$206,$C$13:$C$15,AY$13:AY$15),1)</f>
        <v>0</v>
      </c>
      <c s="125">
        <f>Предпосылки!AY$233*Предпосылки!$I253*Продажи!AZ18*AZ$19*(1+Чувствительность!$D$20)*IFERROR(LOOKUP(Предпосылки!$H$206,$C$13:$C$15,AZ$13:AZ$15),1)</f>
        <v>0</v>
      </c>
      <c s="125">
        <f>Предпосылки!AZ$233*Предпосылки!$I253*Продажи!BA18*BA$19*(1+Чувствительность!$D$20)*IFERROR(LOOKUP(Предпосылки!$H$206,$C$13:$C$15,BA$13:BA$15),1)</f>
        <v>0</v>
      </c>
      <c s="125">
        <f>Предпосылки!BA$233*Предпосылки!$I253*Продажи!BB18*BB$19*(1+Чувствительность!$D$20)*IFERROR(LOOKUP(Предпосылки!$H$206,$C$13:$C$15,BB$13:BB$15),1)</f>
        <v>0</v>
      </c>
      <c s="125">
        <f>Предпосылки!BB$233*Предпосылки!$I253*Продажи!BC18*BC$19*(1+Чувствительность!$D$20)*IFERROR(LOOKUP(Предпосылки!$H$206,$C$13:$C$15,BC$13:BC$15),1)</f>
        <v>0</v>
      </c>
      <c s="125">
        <f>Предпосылки!BC$233*Предпосылки!$I253*Продажи!BD18*BD$19*(1+Чувствительность!$D$20)*IFERROR(LOOKUP(Предпосылки!$H$206,$C$13:$C$15,BD$13:BD$15),1)</f>
        <v>0</v>
      </c>
      <c s="125">
        <f>Предпосылки!BD$233*Предпосылки!$I253*Продажи!BE18*BE$19*(1+Чувствительность!$D$20)*IFERROR(LOOKUP(Предпосылки!$H$206,$C$13:$C$15,BE$13:BE$15),1)</f>
        <v>0</v>
      </c>
      <c s="125">
        <f>Предпосылки!BE$233*Предпосылки!$I253*Продажи!BF18*BF$19*(1+Чувствительность!$D$20)*IFERROR(LOOKUP(Предпосылки!$H$206,$C$13:$C$15,BF$13:BF$15),1)</f>
        <v>0</v>
      </c>
      <c s="125">
        <f>Предпосылки!BF$233*Предпосылки!$I253*Продажи!BG18*BG$19*(1+Чувствительность!$D$20)*IFERROR(LOOKUP(Предпосылки!$H$206,$C$13:$C$15,BG$13:BG$15),1)</f>
        <v>0</v>
      </c>
      <c s="125">
        <f>Предпосылки!BG$233*Предпосылки!$I253*Продажи!BH18*BH$19*(1+Чувствительность!$D$20)*IFERROR(LOOKUP(Предпосылки!$H$206,$C$13:$C$15,BH$13:BH$15),1)</f>
        <v>0</v>
      </c>
      <c s="125">
        <f>Предпосылки!BH$233*Предпосылки!$I253*Продажи!BI18*BI$19*(1+Чувствительность!$D$20)*IFERROR(LOOKUP(Предпосылки!$H$206,$C$13:$C$15,BI$13:BI$15),1)</f>
        <v>0</v>
      </c>
      <c s="125">
        <f>Предпосылки!BI$233*Предпосылки!$I253*Продажи!BJ18*BJ$19*(1+Чувствительность!$D$20)*IFERROR(LOOKUP(Предпосылки!$H$206,$C$13:$C$15,BJ$13:BJ$15),1)</f>
        <v>0</v>
      </c>
      <c s="125">
        <f>Предпосылки!BJ$233*Предпосылки!$I253*Продажи!BK18*BK$19*(1+Чувствительность!$D$20)*IFERROR(LOOKUP(Предпосылки!$H$206,$C$13:$C$15,BK$13:BK$15),1)</f>
        <v>0</v>
      </c>
      <c s="125">
        <f>Предпосылки!BK$233*Предпосылки!$I253*Продажи!BL18*BL$19*(1+Чувствительность!$D$20)*IFERROR(LOOKUP(Предпосылки!$H$206,$C$13:$C$15,BL$13:BL$15),1)</f>
        <v>0</v>
      </c>
      <c s="125">
        <f>Предпосылки!BL$233*Предпосылки!$I253*Продажи!BM18*BM$19*(1+Чувствительность!$D$20)*IFERROR(LOOKUP(Предпосылки!$H$206,$C$13:$C$15,BM$13:BM$15),1)</f>
        <v>0</v>
      </c>
    </row>
    <row r="139" spans="2:65" ht="15" customHeight="1">
      <c r="B139" s="12" t="str">
        <f t="shared" si="86" ref="B139:B157">B116</f>
        <v>Продукт 2</v>
      </c>
      <c s="124" t="str">
        <f t="shared" si="85"/>
        <v>тыс. руб.</v>
      </c>
      <c s="276">
        <f t="shared" si="87" ref="D139:D157">SUM(E139:BM139)</f>
        <v>0</v>
      </c>
      <c s="125">
        <f>Предпосылки!D$233*Предпосылки!$I254*Продажи!E19*E$19*(1+Чувствительность!$D$20)*IFERROR(LOOKUP(Предпосылки!$H$206,$C$13:$C$15,E$13:E$15),1)</f>
        <v>0</v>
      </c>
      <c s="125">
        <f>Предпосылки!E$233*Предпосылки!$I254*Продажи!F19*F$19*(1+Чувствительность!$D$20)*IFERROR(LOOKUP(Предпосылки!$H$206,$C$13:$C$15,F$13:F$15),1)</f>
        <v>0</v>
      </c>
      <c s="125">
        <f>Предпосылки!F$233*Предпосылки!$I254*Продажи!G19*G$19*(1+Чувствительность!$D$20)*IFERROR(LOOKUP(Предпосылки!$H$206,$C$13:$C$15,G$13:G$15),1)</f>
        <v>0</v>
      </c>
      <c s="125">
        <f>Предпосылки!G$233*Предпосылки!$I254*Продажи!H19*H$19*(1+Чувствительность!$D$20)*IFERROR(LOOKUP(Предпосылки!$H$206,$C$13:$C$15,H$13:H$15),1)</f>
        <v>0</v>
      </c>
      <c s="125">
        <f>Предпосылки!H$233*Предпосылки!$I254*Продажи!I19*I$19*(1+Чувствительность!$D$20)*IFERROR(LOOKUP(Предпосылки!$H$206,$C$13:$C$15,I$13:I$15),1)</f>
        <v>0</v>
      </c>
      <c s="125">
        <f>Предпосылки!I$233*Предпосылки!$I254*Продажи!J19*J$19*(1+Чувствительность!$D$20)*IFERROR(LOOKUP(Предпосылки!$H$206,$C$13:$C$15,J$13:J$15),1)</f>
        <v>0</v>
      </c>
      <c s="125">
        <f>Предпосылки!J$233*Предпосылки!$I254*Продажи!K19*K$19*(1+Чувствительность!$D$20)*IFERROR(LOOKUP(Предпосылки!$H$206,$C$13:$C$15,K$13:K$15),1)</f>
        <v>0</v>
      </c>
      <c s="125">
        <f>Предпосылки!K$233*Предпосылки!$I254*Продажи!L19*L$19*(1+Чувствительность!$D$20)*IFERROR(LOOKUP(Предпосылки!$H$206,$C$13:$C$15,L$13:L$15),1)</f>
        <v>0</v>
      </c>
      <c s="125">
        <f>Предпосылки!L$233*Предпосылки!$I254*Продажи!M19*M$19*(1+Чувствительность!$D$20)*IFERROR(LOOKUP(Предпосылки!$H$206,$C$13:$C$15,M$13:M$15),1)</f>
        <v>0</v>
      </c>
      <c s="125">
        <f>Предпосылки!M$233*Предпосылки!$I254*Продажи!N19*N$19*(1+Чувствительность!$D$20)*IFERROR(LOOKUP(Предпосылки!$H$206,$C$13:$C$15,N$13:N$15),1)</f>
        <v>0</v>
      </c>
      <c s="125">
        <f>Предпосылки!N$233*Предпосылки!$I254*Продажи!O19*O$19*(1+Чувствительность!$D$20)*IFERROR(LOOKUP(Предпосылки!$H$206,$C$13:$C$15,O$13:O$15),1)</f>
        <v>0</v>
      </c>
      <c s="125">
        <f>Предпосылки!O$233*Предпосылки!$I254*Продажи!P19*P$19*(1+Чувствительность!$D$20)*IFERROR(LOOKUP(Предпосылки!$H$206,$C$13:$C$15,P$13:P$15),1)</f>
        <v>0</v>
      </c>
      <c s="125">
        <f>Предпосылки!P$233*Предпосылки!$I254*Продажи!Q19*Q$19*(1+Чувствительность!$D$20)*IFERROR(LOOKUP(Предпосылки!$H$206,$C$13:$C$15,Q$13:Q$15),1)</f>
        <v>0</v>
      </c>
      <c s="125">
        <f>Предпосылки!Q$233*Предпосылки!$I254*Продажи!R19*R$19*(1+Чувствительность!$D$20)*IFERROR(LOOKUP(Предпосылки!$H$206,$C$13:$C$15,R$13:R$15),1)</f>
        <v>0</v>
      </c>
      <c s="125">
        <f>Предпосылки!R$233*Предпосылки!$I254*Продажи!S19*S$19*(1+Чувствительность!$D$20)*IFERROR(LOOKUP(Предпосылки!$H$206,$C$13:$C$15,S$13:S$15),1)</f>
        <v>0</v>
      </c>
      <c s="125">
        <f>Предпосылки!S$233*Предпосылки!$I254*Продажи!T19*T$19*(1+Чувствительность!$D$20)*IFERROR(LOOKUP(Предпосылки!$H$206,$C$13:$C$15,T$13:T$15),1)</f>
        <v>0</v>
      </c>
      <c s="125">
        <f>Предпосылки!T$233*Предпосылки!$I254*Продажи!U19*U$19*(1+Чувствительность!$D$20)*IFERROR(LOOKUP(Предпосылки!$H$206,$C$13:$C$15,U$13:U$15),1)</f>
        <v>0</v>
      </c>
      <c s="125">
        <f>Предпосылки!U$233*Предпосылки!$I254*Продажи!V19*V$19*(1+Чувствительность!$D$20)*IFERROR(LOOKUP(Предпосылки!$H$206,$C$13:$C$15,V$13:V$15),1)</f>
        <v>0</v>
      </c>
      <c s="125">
        <f>Предпосылки!V$233*Предпосылки!$I254*Продажи!W19*W$19*(1+Чувствительность!$D$20)*IFERROR(LOOKUP(Предпосылки!$H$206,$C$13:$C$15,W$13:W$15),1)</f>
        <v>0</v>
      </c>
      <c s="125">
        <f>Предпосылки!W$233*Предпосылки!$I254*Продажи!X19*X$19*(1+Чувствительность!$D$20)*IFERROR(LOOKUP(Предпосылки!$H$206,$C$13:$C$15,X$13:X$15),1)</f>
        <v>0</v>
      </c>
      <c s="125">
        <f>Предпосылки!X$233*Предпосылки!$I254*Продажи!Y19*Y$19*(1+Чувствительность!$D$20)*IFERROR(LOOKUP(Предпосылки!$H$206,$C$13:$C$15,Y$13:Y$15),1)</f>
        <v>0</v>
      </c>
      <c s="125">
        <f>Предпосылки!Y$233*Предпосылки!$I254*Продажи!Z19*Z$19*(1+Чувствительность!$D$20)*IFERROR(LOOKUP(Предпосылки!$H$206,$C$13:$C$15,Z$13:Z$15),1)</f>
        <v>0</v>
      </c>
      <c s="125">
        <f>Предпосылки!Z$233*Предпосылки!$I254*Продажи!AA19*AA$19*(1+Чувствительность!$D$20)*IFERROR(LOOKUP(Предпосылки!$H$206,$C$13:$C$15,AA$13:AA$15),1)</f>
        <v>0</v>
      </c>
      <c s="125">
        <f>Предпосылки!AA$233*Предпосылки!$I254*Продажи!AB19*AB$19*(1+Чувствительность!$D$20)*IFERROR(LOOKUP(Предпосылки!$H$206,$C$13:$C$15,AB$13:AB$15),1)</f>
        <v>0</v>
      </c>
      <c s="125">
        <f>Предпосылки!AB$233*Предпосылки!$I254*Продажи!AC19*AC$19*(1+Чувствительность!$D$20)*IFERROR(LOOKUP(Предпосылки!$H$206,$C$13:$C$15,AC$13:AC$15),1)</f>
        <v>0</v>
      </c>
      <c s="125">
        <f>Предпосылки!AC$233*Предпосылки!$I254*Продажи!AD19*AD$19*(1+Чувствительность!$D$20)*IFERROR(LOOKUP(Предпосылки!$H$206,$C$13:$C$15,AD$13:AD$15),1)</f>
        <v>0</v>
      </c>
      <c s="125">
        <f>Предпосылки!AD$233*Предпосылки!$I254*Продажи!AE19*AE$19*(1+Чувствительность!$D$20)*IFERROR(LOOKUP(Предпосылки!$H$206,$C$13:$C$15,AE$13:AE$15),1)</f>
        <v>0</v>
      </c>
      <c s="125">
        <f>Предпосылки!AE$233*Предпосылки!$I254*Продажи!AF19*AF$19*(1+Чувствительность!$D$20)*IFERROR(LOOKUP(Предпосылки!$H$206,$C$13:$C$15,AF$13:AF$15),1)</f>
        <v>0</v>
      </c>
      <c s="125">
        <f>Предпосылки!AF$233*Предпосылки!$I254*Продажи!AG19*AG$19*(1+Чувствительность!$D$20)*IFERROR(LOOKUP(Предпосылки!$H$206,$C$13:$C$15,AG$13:AG$15),1)</f>
        <v>0</v>
      </c>
      <c s="125">
        <f>Предпосылки!AG$233*Предпосылки!$I254*Продажи!AH19*AH$19*(1+Чувствительность!$D$20)*IFERROR(LOOKUP(Предпосылки!$H$206,$C$13:$C$15,AH$13:AH$15),1)</f>
        <v>0</v>
      </c>
      <c s="125">
        <f>Предпосылки!AH$233*Предпосылки!$I254*Продажи!AI19*AI$19*(1+Чувствительность!$D$20)*IFERROR(LOOKUP(Предпосылки!$H$206,$C$13:$C$15,AI$13:AI$15),1)</f>
        <v>0</v>
      </c>
      <c s="125">
        <f>Предпосылки!AI$233*Предпосылки!$I254*Продажи!AJ19*AJ$19*(1+Чувствительность!$D$20)*IFERROR(LOOKUP(Предпосылки!$H$206,$C$13:$C$15,AJ$13:AJ$15),1)</f>
        <v>0</v>
      </c>
      <c s="125">
        <f>Предпосылки!AJ$233*Предпосылки!$I254*Продажи!AK19*AK$19*(1+Чувствительность!$D$20)*IFERROR(LOOKUP(Предпосылки!$H$206,$C$13:$C$15,AK$13:AK$15),1)</f>
        <v>0</v>
      </c>
      <c s="125">
        <f>Предпосылки!AK$233*Предпосылки!$I254*Продажи!AL19*AL$19*(1+Чувствительность!$D$20)*IFERROR(LOOKUP(Предпосылки!$H$206,$C$13:$C$15,AL$13:AL$15),1)</f>
        <v>0</v>
      </c>
      <c s="125">
        <f>Предпосылки!AL$233*Предпосылки!$I254*Продажи!AM19*AM$19*(1+Чувствительность!$D$20)*IFERROR(LOOKUP(Предпосылки!$H$206,$C$13:$C$15,AM$13:AM$15),1)</f>
        <v>0</v>
      </c>
      <c s="125">
        <f>Предпосылки!AM$233*Предпосылки!$I254*Продажи!AN19*AN$19*(1+Чувствительность!$D$20)*IFERROR(LOOKUP(Предпосылки!$H$206,$C$13:$C$15,AN$13:AN$15),1)</f>
        <v>0</v>
      </c>
      <c s="125">
        <f>Предпосылки!AN$233*Предпосылки!$I254*Продажи!AO19*AO$19*(1+Чувствительность!$D$20)*IFERROR(LOOKUP(Предпосылки!$H$206,$C$13:$C$15,AO$13:AO$15),1)</f>
        <v>0</v>
      </c>
      <c s="125">
        <f>Предпосылки!AO$233*Предпосылки!$I254*Продажи!AP19*AP$19*(1+Чувствительность!$D$20)*IFERROR(LOOKUP(Предпосылки!$H$206,$C$13:$C$15,AP$13:AP$15),1)</f>
        <v>0</v>
      </c>
      <c s="125">
        <f>Предпосылки!AP$233*Предпосылки!$I254*Продажи!AQ19*AQ$19*(1+Чувствительность!$D$20)*IFERROR(LOOKUP(Предпосылки!$H$206,$C$13:$C$15,AQ$13:AQ$15),1)</f>
        <v>0</v>
      </c>
      <c s="125">
        <f>Предпосылки!AQ$233*Предпосылки!$I254*Продажи!AR19*AR$19*(1+Чувствительность!$D$20)*IFERROR(LOOKUP(Предпосылки!$H$206,$C$13:$C$15,AR$13:AR$15),1)</f>
        <v>0</v>
      </c>
      <c s="125">
        <f>Предпосылки!AR$233*Предпосылки!$I254*Продажи!AS19*AS$19*(1+Чувствительность!$D$20)*IFERROR(LOOKUP(Предпосылки!$H$206,$C$13:$C$15,AS$13:AS$15),1)</f>
        <v>0</v>
      </c>
      <c s="125">
        <f>Предпосылки!AS$233*Предпосылки!$I254*Продажи!AT19*AT$19*(1+Чувствительность!$D$20)*IFERROR(LOOKUP(Предпосылки!$H$206,$C$13:$C$15,AT$13:AT$15),1)</f>
        <v>0</v>
      </c>
      <c s="125">
        <f>Предпосылки!AT$233*Предпосылки!$I254*Продажи!AU19*AU$19*(1+Чувствительность!$D$20)*IFERROR(LOOKUP(Предпосылки!$H$206,$C$13:$C$15,AU$13:AU$15),1)</f>
        <v>0</v>
      </c>
      <c s="125">
        <f>Предпосылки!AU$233*Предпосылки!$I254*Продажи!AV19*AV$19*(1+Чувствительность!$D$20)*IFERROR(LOOKUP(Предпосылки!$H$206,$C$13:$C$15,AV$13:AV$15),1)</f>
        <v>0</v>
      </c>
      <c s="125">
        <f>Предпосылки!AV$233*Предпосылки!$I254*Продажи!AW19*AW$19*(1+Чувствительность!$D$20)*IFERROR(LOOKUP(Предпосылки!$H$206,$C$13:$C$15,AW$13:AW$15),1)</f>
        <v>0</v>
      </c>
      <c s="125">
        <f>Предпосылки!AW$233*Предпосылки!$I254*Продажи!AX19*AX$19*(1+Чувствительность!$D$20)*IFERROR(LOOKUP(Предпосылки!$H$206,$C$13:$C$15,AX$13:AX$15),1)</f>
        <v>0</v>
      </c>
      <c s="125">
        <f>Предпосылки!AX$233*Предпосылки!$I254*Продажи!AY19*AY$19*(1+Чувствительность!$D$20)*IFERROR(LOOKUP(Предпосылки!$H$206,$C$13:$C$15,AY$13:AY$15),1)</f>
        <v>0</v>
      </c>
      <c s="125">
        <f>Предпосылки!AY$233*Предпосылки!$I254*Продажи!AZ19*AZ$19*(1+Чувствительность!$D$20)*IFERROR(LOOKUP(Предпосылки!$H$206,$C$13:$C$15,AZ$13:AZ$15),1)</f>
        <v>0</v>
      </c>
      <c s="125">
        <f>Предпосылки!AZ$233*Предпосылки!$I254*Продажи!BA19*BA$19*(1+Чувствительность!$D$20)*IFERROR(LOOKUP(Предпосылки!$H$206,$C$13:$C$15,BA$13:BA$15),1)</f>
        <v>0</v>
      </c>
      <c s="125">
        <f>Предпосылки!BA$233*Предпосылки!$I254*Продажи!BB19*BB$19*(1+Чувствительность!$D$20)*IFERROR(LOOKUP(Предпосылки!$H$206,$C$13:$C$15,BB$13:BB$15),1)</f>
        <v>0</v>
      </c>
      <c s="125">
        <f>Предпосылки!BB$233*Предпосылки!$I254*Продажи!BC19*BC$19*(1+Чувствительность!$D$20)*IFERROR(LOOKUP(Предпосылки!$H$206,$C$13:$C$15,BC$13:BC$15),1)</f>
        <v>0</v>
      </c>
      <c s="125">
        <f>Предпосылки!BC$233*Предпосылки!$I254*Продажи!BD19*BD$19*(1+Чувствительность!$D$20)*IFERROR(LOOKUP(Предпосылки!$H$206,$C$13:$C$15,BD$13:BD$15),1)</f>
        <v>0</v>
      </c>
      <c s="125">
        <f>Предпосылки!BD$233*Предпосылки!$I254*Продажи!BE19*BE$19*(1+Чувствительность!$D$20)*IFERROR(LOOKUP(Предпосылки!$H$206,$C$13:$C$15,BE$13:BE$15),1)</f>
        <v>0</v>
      </c>
      <c s="125">
        <f>Предпосылки!BE$233*Предпосылки!$I254*Продажи!BF19*BF$19*(1+Чувствительность!$D$20)*IFERROR(LOOKUP(Предпосылки!$H$206,$C$13:$C$15,BF$13:BF$15),1)</f>
        <v>0</v>
      </c>
      <c s="125">
        <f>Предпосылки!BF$233*Предпосылки!$I254*Продажи!BG19*BG$19*(1+Чувствительность!$D$20)*IFERROR(LOOKUP(Предпосылки!$H$206,$C$13:$C$15,BG$13:BG$15),1)</f>
        <v>0</v>
      </c>
      <c s="125">
        <f>Предпосылки!BG$233*Предпосылки!$I254*Продажи!BH19*BH$19*(1+Чувствительность!$D$20)*IFERROR(LOOKUP(Предпосылки!$H$206,$C$13:$C$15,BH$13:BH$15),1)</f>
        <v>0</v>
      </c>
      <c s="125">
        <f>Предпосылки!BH$233*Предпосылки!$I254*Продажи!BI19*BI$19*(1+Чувствительность!$D$20)*IFERROR(LOOKUP(Предпосылки!$H$206,$C$13:$C$15,BI$13:BI$15),1)</f>
        <v>0</v>
      </c>
      <c s="125">
        <f>Предпосылки!BI$233*Предпосылки!$I254*Продажи!BJ19*BJ$19*(1+Чувствительность!$D$20)*IFERROR(LOOKUP(Предпосылки!$H$206,$C$13:$C$15,BJ$13:BJ$15),1)</f>
        <v>0</v>
      </c>
      <c s="125">
        <f>Предпосылки!BJ$233*Предпосылки!$I254*Продажи!BK19*BK$19*(1+Чувствительность!$D$20)*IFERROR(LOOKUP(Предпосылки!$H$206,$C$13:$C$15,BK$13:BK$15),1)</f>
        <v>0</v>
      </c>
      <c s="125">
        <f>Предпосылки!BK$233*Предпосылки!$I254*Продажи!BL19*BL$19*(1+Чувствительность!$D$20)*IFERROR(LOOKUP(Предпосылки!$H$206,$C$13:$C$15,BL$13:BL$15),1)</f>
        <v>0</v>
      </c>
      <c s="125">
        <f>Предпосылки!BL$233*Предпосылки!$I254*Продажи!BM19*BM$19*(1+Чувствительность!$D$20)*IFERROR(LOOKUP(Предпосылки!$H$206,$C$13:$C$15,BM$13:BM$15),1)</f>
        <v>0</v>
      </c>
    </row>
    <row r="140" spans="2:65" ht="15" customHeight="1">
      <c r="B140" s="12" t="str">
        <f t="shared" si="86"/>
        <v>Продукт 3</v>
      </c>
      <c s="124" t="str">
        <f t="shared" si="85"/>
        <v>тыс. руб.</v>
      </c>
      <c s="276">
        <f t="shared" si="87"/>
        <v>0</v>
      </c>
      <c s="125">
        <f>Предпосылки!D$233*Предпосылки!$I255*Продажи!E20*E$19*(1+Чувствительность!$D$20)*IFERROR(LOOKUP(Предпосылки!$H$206,$C$13:$C$15,E$13:E$15),1)</f>
        <v>0</v>
      </c>
      <c s="125">
        <f>Предпосылки!E$233*Предпосылки!$I255*Продажи!F20*F$19*(1+Чувствительность!$D$20)*IFERROR(LOOKUP(Предпосылки!$H$206,$C$13:$C$15,F$13:F$15),1)</f>
        <v>0</v>
      </c>
      <c s="125">
        <f>Предпосылки!F$233*Предпосылки!$I255*Продажи!G20*G$19*(1+Чувствительность!$D$20)*IFERROR(LOOKUP(Предпосылки!$H$206,$C$13:$C$15,G$13:G$15),1)</f>
        <v>0</v>
      </c>
      <c s="125">
        <f>Предпосылки!G$233*Предпосылки!$I255*Продажи!H20*H$19*(1+Чувствительность!$D$20)*IFERROR(LOOKUP(Предпосылки!$H$206,$C$13:$C$15,H$13:H$15),1)</f>
        <v>0</v>
      </c>
      <c s="125">
        <f>Предпосылки!H$233*Предпосылки!$I255*Продажи!I20*I$19*(1+Чувствительность!$D$20)*IFERROR(LOOKUP(Предпосылки!$H$206,$C$13:$C$15,I$13:I$15),1)</f>
        <v>0</v>
      </c>
      <c s="125">
        <f>Предпосылки!I$233*Предпосылки!$I255*Продажи!J20*J$19*(1+Чувствительность!$D$20)*IFERROR(LOOKUP(Предпосылки!$H$206,$C$13:$C$15,J$13:J$15),1)</f>
        <v>0</v>
      </c>
      <c s="125">
        <f>Предпосылки!J$233*Предпосылки!$I255*Продажи!K20*K$19*(1+Чувствительность!$D$20)*IFERROR(LOOKUP(Предпосылки!$H$206,$C$13:$C$15,K$13:K$15),1)</f>
        <v>0</v>
      </c>
      <c s="125">
        <f>Предпосылки!K$233*Предпосылки!$I255*Продажи!L20*L$19*(1+Чувствительность!$D$20)*IFERROR(LOOKUP(Предпосылки!$H$206,$C$13:$C$15,L$13:L$15),1)</f>
        <v>0</v>
      </c>
      <c s="125">
        <f>Предпосылки!L$233*Предпосылки!$I255*Продажи!M20*M$19*(1+Чувствительность!$D$20)*IFERROR(LOOKUP(Предпосылки!$H$206,$C$13:$C$15,M$13:M$15),1)</f>
        <v>0</v>
      </c>
      <c s="125">
        <f>Предпосылки!M$233*Предпосылки!$I255*Продажи!N20*N$19*(1+Чувствительность!$D$20)*IFERROR(LOOKUP(Предпосылки!$H$206,$C$13:$C$15,N$13:N$15),1)</f>
        <v>0</v>
      </c>
      <c s="125">
        <f>Предпосылки!N$233*Предпосылки!$I255*Продажи!O20*O$19*(1+Чувствительность!$D$20)*IFERROR(LOOKUP(Предпосылки!$H$206,$C$13:$C$15,O$13:O$15),1)</f>
        <v>0</v>
      </c>
      <c s="125">
        <f>Предпосылки!O$233*Предпосылки!$I255*Продажи!P20*P$19*(1+Чувствительность!$D$20)*IFERROR(LOOKUP(Предпосылки!$H$206,$C$13:$C$15,P$13:P$15),1)</f>
        <v>0</v>
      </c>
      <c s="125">
        <f>Предпосылки!P$233*Предпосылки!$I255*Продажи!Q20*Q$19*(1+Чувствительность!$D$20)*IFERROR(LOOKUP(Предпосылки!$H$206,$C$13:$C$15,Q$13:Q$15),1)</f>
        <v>0</v>
      </c>
      <c s="125">
        <f>Предпосылки!Q$233*Предпосылки!$I255*Продажи!R20*R$19*(1+Чувствительность!$D$20)*IFERROR(LOOKUP(Предпосылки!$H$206,$C$13:$C$15,R$13:R$15),1)</f>
        <v>0</v>
      </c>
      <c s="125">
        <f>Предпосылки!R$233*Предпосылки!$I255*Продажи!S20*S$19*(1+Чувствительность!$D$20)*IFERROR(LOOKUP(Предпосылки!$H$206,$C$13:$C$15,S$13:S$15),1)</f>
        <v>0</v>
      </c>
      <c s="125">
        <f>Предпосылки!S$233*Предпосылки!$I255*Продажи!T20*T$19*(1+Чувствительность!$D$20)*IFERROR(LOOKUP(Предпосылки!$H$206,$C$13:$C$15,T$13:T$15),1)</f>
        <v>0</v>
      </c>
      <c s="125">
        <f>Предпосылки!T$233*Предпосылки!$I255*Продажи!U20*U$19*(1+Чувствительность!$D$20)*IFERROR(LOOKUP(Предпосылки!$H$206,$C$13:$C$15,U$13:U$15),1)</f>
        <v>0</v>
      </c>
      <c s="125">
        <f>Предпосылки!U$233*Предпосылки!$I255*Продажи!V20*V$19*(1+Чувствительность!$D$20)*IFERROR(LOOKUP(Предпосылки!$H$206,$C$13:$C$15,V$13:V$15),1)</f>
        <v>0</v>
      </c>
      <c s="125">
        <f>Предпосылки!V$233*Предпосылки!$I255*Продажи!W20*W$19*(1+Чувствительность!$D$20)*IFERROR(LOOKUP(Предпосылки!$H$206,$C$13:$C$15,W$13:W$15),1)</f>
        <v>0</v>
      </c>
      <c s="125">
        <f>Предпосылки!W$233*Предпосылки!$I255*Продажи!X20*X$19*(1+Чувствительность!$D$20)*IFERROR(LOOKUP(Предпосылки!$H$206,$C$13:$C$15,X$13:X$15),1)</f>
        <v>0</v>
      </c>
      <c s="125">
        <f>Предпосылки!X$233*Предпосылки!$I255*Продажи!Y20*Y$19*(1+Чувствительность!$D$20)*IFERROR(LOOKUP(Предпосылки!$H$206,$C$13:$C$15,Y$13:Y$15),1)</f>
        <v>0</v>
      </c>
      <c s="125">
        <f>Предпосылки!Y$233*Предпосылки!$I255*Продажи!Z20*Z$19*(1+Чувствительность!$D$20)*IFERROR(LOOKUP(Предпосылки!$H$206,$C$13:$C$15,Z$13:Z$15),1)</f>
        <v>0</v>
      </c>
      <c s="125">
        <f>Предпосылки!Z$233*Предпосылки!$I255*Продажи!AA20*AA$19*(1+Чувствительность!$D$20)*IFERROR(LOOKUP(Предпосылки!$H$206,$C$13:$C$15,AA$13:AA$15),1)</f>
        <v>0</v>
      </c>
      <c s="125">
        <f>Предпосылки!AA$233*Предпосылки!$I255*Продажи!AB20*AB$19*(1+Чувствительность!$D$20)*IFERROR(LOOKUP(Предпосылки!$H$206,$C$13:$C$15,AB$13:AB$15),1)</f>
        <v>0</v>
      </c>
      <c s="125">
        <f>Предпосылки!AB$233*Предпосылки!$I255*Продажи!AC20*AC$19*(1+Чувствительность!$D$20)*IFERROR(LOOKUP(Предпосылки!$H$206,$C$13:$C$15,AC$13:AC$15),1)</f>
        <v>0</v>
      </c>
      <c s="125">
        <f>Предпосылки!AC$233*Предпосылки!$I255*Продажи!AD20*AD$19*(1+Чувствительность!$D$20)*IFERROR(LOOKUP(Предпосылки!$H$206,$C$13:$C$15,AD$13:AD$15),1)</f>
        <v>0</v>
      </c>
      <c s="125">
        <f>Предпосылки!AD$233*Предпосылки!$I255*Продажи!AE20*AE$19*(1+Чувствительность!$D$20)*IFERROR(LOOKUP(Предпосылки!$H$206,$C$13:$C$15,AE$13:AE$15),1)</f>
        <v>0</v>
      </c>
      <c s="125">
        <f>Предпосылки!AE$233*Предпосылки!$I255*Продажи!AF20*AF$19*(1+Чувствительность!$D$20)*IFERROR(LOOKUP(Предпосылки!$H$206,$C$13:$C$15,AF$13:AF$15),1)</f>
        <v>0</v>
      </c>
      <c s="125">
        <f>Предпосылки!AF$233*Предпосылки!$I255*Продажи!AG20*AG$19*(1+Чувствительность!$D$20)*IFERROR(LOOKUP(Предпосылки!$H$206,$C$13:$C$15,AG$13:AG$15),1)</f>
        <v>0</v>
      </c>
      <c s="125">
        <f>Предпосылки!AG$233*Предпосылки!$I255*Продажи!AH20*AH$19*(1+Чувствительность!$D$20)*IFERROR(LOOKUP(Предпосылки!$H$206,$C$13:$C$15,AH$13:AH$15),1)</f>
        <v>0</v>
      </c>
      <c s="125">
        <f>Предпосылки!AH$233*Предпосылки!$I255*Продажи!AI20*AI$19*(1+Чувствительность!$D$20)*IFERROR(LOOKUP(Предпосылки!$H$206,$C$13:$C$15,AI$13:AI$15),1)</f>
        <v>0</v>
      </c>
      <c s="125">
        <f>Предпосылки!AI$233*Предпосылки!$I255*Продажи!AJ20*AJ$19*(1+Чувствительность!$D$20)*IFERROR(LOOKUP(Предпосылки!$H$206,$C$13:$C$15,AJ$13:AJ$15),1)</f>
        <v>0</v>
      </c>
      <c s="125">
        <f>Предпосылки!AJ$233*Предпосылки!$I255*Продажи!AK20*AK$19*(1+Чувствительность!$D$20)*IFERROR(LOOKUP(Предпосылки!$H$206,$C$13:$C$15,AK$13:AK$15),1)</f>
        <v>0</v>
      </c>
      <c s="125">
        <f>Предпосылки!AK$233*Предпосылки!$I255*Продажи!AL20*AL$19*(1+Чувствительность!$D$20)*IFERROR(LOOKUP(Предпосылки!$H$206,$C$13:$C$15,AL$13:AL$15),1)</f>
        <v>0</v>
      </c>
      <c s="125">
        <f>Предпосылки!AL$233*Предпосылки!$I255*Продажи!AM20*AM$19*(1+Чувствительность!$D$20)*IFERROR(LOOKUP(Предпосылки!$H$206,$C$13:$C$15,AM$13:AM$15),1)</f>
        <v>0</v>
      </c>
      <c s="125">
        <f>Предпосылки!AM$233*Предпосылки!$I255*Продажи!AN20*AN$19*(1+Чувствительность!$D$20)*IFERROR(LOOKUP(Предпосылки!$H$206,$C$13:$C$15,AN$13:AN$15),1)</f>
        <v>0</v>
      </c>
      <c s="125">
        <f>Предпосылки!AN$233*Предпосылки!$I255*Продажи!AO20*AO$19*(1+Чувствительность!$D$20)*IFERROR(LOOKUP(Предпосылки!$H$206,$C$13:$C$15,AO$13:AO$15),1)</f>
        <v>0</v>
      </c>
      <c s="125">
        <f>Предпосылки!AO$233*Предпосылки!$I255*Продажи!AP20*AP$19*(1+Чувствительность!$D$20)*IFERROR(LOOKUP(Предпосылки!$H$206,$C$13:$C$15,AP$13:AP$15),1)</f>
        <v>0</v>
      </c>
      <c s="125">
        <f>Предпосылки!AP$233*Предпосылки!$I255*Продажи!AQ20*AQ$19*(1+Чувствительность!$D$20)*IFERROR(LOOKUP(Предпосылки!$H$206,$C$13:$C$15,AQ$13:AQ$15),1)</f>
        <v>0</v>
      </c>
      <c s="125">
        <f>Предпосылки!AQ$233*Предпосылки!$I255*Продажи!AR20*AR$19*(1+Чувствительность!$D$20)*IFERROR(LOOKUP(Предпосылки!$H$206,$C$13:$C$15,AR$13:AR$15),1)</f>
        <v>0</v>
      </c>
      <c s="125">
        <f>Предпосылки!AR$233*Предпосылки!$I255*Продажи!AS20*AS$19*(1+Чувствительность!$D$20)*IFERROR(LOOKUP(Предпосылки!$H$206,$C$13:$C$15,AS$13:AS$15),1)</f>
        <v>0</v>
      </c>
      <c s="125">
        <f>Предпосылки!AS$233*Предпосылки!$I255*Продажи!AT20*AT$19*(1+Чувствительность!$D$20)*IFERROR(LOOKUP(Предпосылки!$H$206,$C$13:$C$15,AT$13:AT$15),1)</f>
        <v>0</v>
      </c>
      <c s="125">
        <f>Предпосылки!AT$233*Предпосылки!$I255*Продажи!AU20*AU$19*(1+Чувствительность!$D$20)*IFERROR(LOOKUP(Предпосылки!$H$206,$C$13:$C$15,AU$13:AU$15),1)</f>
        <v>0</v>
      </c>
      <c s="125">
        <f>Предпосылки!AU$233*Предпосылки!$I255*Продажи!AV20*AV$19*(1+Чувствительность!$D$20)*IFERROR(LOOKUP(Предпосылки!$H$206,$C$13:$C$15,AV$13:AV$15),1)</f>
        <v>0</v>
      </c>
      <c s="125">
        <f>Предпосылки!AV$233*Предпосылки!$I255*Продажи!AW20*AW$19*(1+Чувствительность!$D$20)*IFERROR(LOOKUP(Предпосылки!$H$206,$C$13:$C$15,AW$13:AW$15),1)</f>
        <v>0</v>
      </c>
      <c s="125">
        <f>Предпосылки!AW$233*Предпосылки!$I255*Продажи!AX20*AX$19*(1+Чувствительность!$D$20)*IFERROR(LOOKUP(Предпосылки!$H$206,$C$13:$C$15,AX$13:AX$15),1)</f>
        <v>0</v>
      </c>
      <c s="125">
        <f>Предпосылки!AX$233*Предпосылки!$I255*Продажи!AY20*AY$19*(1+Чувствительность!$D$20)*IFERROR(LOOKUP(Предпосылки!$H$206,$C$13:$C$15,AY$13:AY$15),1)</f>
        <v>0</v>
      </c>
      <c s="125">
        <f>Предпосылки!AY$233*Предпосылки!$I255*Продажи!AZ20*AZ$19*(1+Чувствительность!$D$20)*IFERROR(LOOKUP(Предпосылки!$H$206,$C$13:$C$15,AZ$13:AZ$15),1)</f>
        <v>0</v>
      </c>
      <c s="125">
        <f>Предпосылки!AZ$233*Предпосылки!$I255*Продажи!BA20*BA$19*(1+Чувствительность!$D$20)*IFERROR(LOOKUP(Предпосылки!$H$206,$C$13:$C$15,BA$13:BA$15),1)</f>
        <v>0</v>
      </c>
      <c s="125">
        <f>Предпосылки!BA$233*Предпосылки!$I255*Продажи!BB20*BB$19*(1+Чувствительность!$D$20)*IFERROR(LOOKUP(Предпосылки!$H$206,$C$13:$C$15,BB$13:BB$15),1)</f>
        <v>0</v>
      </c>
      <c s="125">
        <f>Предпосылки!BB$233*Предпосылки!$I255*Продажи!BC20*BC$19*(1+Чувствительность!$D$20)*IFERROR(LOOKUP(Предпосылки!$H$206,$C$13:$C$15,BC$13:BC$15),1)</f>
        <v>0</v>
      </c>
      <c s="125">
        <f>Предпосылки!BC$233*Предпосылки!$I255*Продажи!BD20*BD$19*(1+Чувствительность!$D$20)*IFERROR(LOOKUP(Предпосылки!$H$206,$C$13:$C$15,BD$13:BD$15),1)</f>
        <v>0</v>
      </c>
      <c s="125">
        <f>Предпосылки!BD$233*Предпосылки!$I255*Продажи!BE20*BE$19*(1+Чувствительность!$D$20)*IFERROR(LOOKUP(Предпосылки!$H$206,$C$13:$C$15,BE$13:BE$15),1)</f>
        <v>0</v>
      </c>
      <c s="125">
        <f>Предпосылки!BE$233*Предпосылки!$I255*Продажи!BF20*BF$19*(1+Чувствительность!$D$20)*IFERROR(LOOKUP(Предпосылки!$H$206,$C$13:$C$15,BF$13:BF$15),1)</f>
        <v>0</v>
      </c>
      <c s="125">
        <f>Предпосылки!BF$233*Предпосылки!$I255*Продажи!BG20*BG$19*(1+Чувствительность!$D$20)*IFERROR(LOOKUP(Предпосылки!$H$206,$C$13:$C$15,BG$13:BG$15),1)</f>
        <v>0</v>
      </c>
      <c s="125">
        <f>Предпосылки!BG$233*Предпосылки!$I255*Продажи!BH20*BH$19*(1+Чувствительность!$D$20)*IFERROR(LOOKUP(Предпосылки!$H$206,$C$13:$C$15,BH$13:BH$15),1)</f>
        <v>0</v>
      </c>
      <c s="125">
        <f>Предпосылки!BH$233*Предпосылки!$I255*Продажи!BI20*BI$19*(1+Чувствительность!$D$20)*IFERROR(LOOKUP(Предпосылки!$H$206,$C$13:$C$15,BI$13:BI$15),1)</f>
        <v>0</v>
      </c>
      <c s="125">
        <f>Предпосылки!BI$233*Предпосылки!$I255*Продажи!BJ20*BJ$19*(1+Чувствительность!$D$20)*IFERROR(LOOKUP(Предпосылки!$H$206,$C$13:$C$15,BJ$13:BJ$15),1)</f>
        <v>0</v>
      </c>
      <c s="125">
        <f>Предпосылки!BJ$233*Предпосылки!$I255*Продажи!BK20*BK$19*(1+Чувствительность!$D$20)*IFERROR(LOOKUP(Предпосылки!$H$206,$C$13:$C$15,BK$13:BK$15),1)</f>
        <v>0</v>
      </c>
      <c s="125">
        <f>Предпосылки!BK$233*Предпосылки!$I255*Продажи!BL20*BL$19*(1+Чувствительность!$D$20)*IFERROR(LOOKUP(Предпосылки!$H$206,$C$13:$C$15,BL$13:BL$15),1)</f>
        <v>0</v>
      </c>
      <c s="125">
        <f>Предпосылки!BL$233*Предпосылки!$I255*Продажи!BM20*BM$19*(1+Чувствительность!$D$20)*IFERROR(LOOKUP(Предпосылки!$H$206,$C$13:$C$15,BM$13:BM$15),1)</f>
        <v>0</v>
      </c>
    </row>
    <row r="141" spans="2:65" ht="15" customHeight="1">
      <c r="B141" s="12" t="str">
        <f t="shared" si="86"/>
        <v>Продукт 4</v>
      </c>
      <c s="124" t="str">
        <f t="shared" si="85"/>
        <v>тыс. руб.</v>
      </c>
      <c s="276">
        <f t="shared" si="87"/>
        <v>0</v>
      </c>
      <c s="125">
        <f>Предпосылки!D$233*Предпосылки!$I256*Продажи!E21*E$19*(1+Чувствительность!$D$20)*IFERROR(LOOKUP(Предпосылки!$H$206,$C$13:$C$15,E$13:E$15),1)</f>
        <v>0</v>
      </c>
      <c s="125">
        <f>Предпосылки!E$233*Предпосылки!$I256*Продажи!F21*F$19*(1+Чувствительность!$D$20)*IFERROR(LOOKUP(Предпосылки!$H$206,$C$13:$C$15,F$13:F$15),1)</f>
        <v>0</v>
      </c>
      <c s="125">
        <f>Предпосылки!F$233*Предпосылки!$I256*Продажи!G21*G$19*(1+Чувствительность!$D$20)*IFERROR(LOOKUP(Предпосылки!$H$206,$C$13:$C$15,G$13:G$15),1)</f>
        <v>0</v>
      </c>
      <c s="125">
        <f>Предпосылки!G$233*Предпосылки!$I256*Продажи!H21*H$19*(1+Чувствительность!$D$20)*IFERROR(LOOKUP(Предпосылки!$H$206,$C$13:$C$15,H$13:H$15),1)</f>
        <v>0</v>
      </c>
      <c s="125">
        <f>Предпосылки!H$233*Предпосылки!$I256*Продажи!I21*I$19*(1+Чувствительность!$D$20)*IFERROR(LOOKUP(Предпосылки!$H$206,$C$13:$C$15,I$13:I$15),1)</f>
        <v>0</v>
      </c>
      <c s="125">
        <f>Предпосылки!I$233*Предпосылки!$I256*Продажи!J21*J$19*(1+Чувствительность!$D$20)*IFERROR(LOOKUP(Предпосылки!$H$206,$C$13:$C$15,J$13:J$15),1)</f>
        <v>0</v>
      </c>
      <c s="125">
        <f>Предпосылки!J$233*Предпосылки!$I256*Продажи!K21*K$19*(1+Чувствительность!$D$20)*IFERROR(LOOKUP(Предпосылки!$H$206,$C$13:$C$15,K$13:K$15),1)</f>
        <v>0</v>
      </c>
      <c s="125">
        <f>Предпосылки!K$233*Предпосылки!$I256*Продажи!L21*L$19*(1+Чувствительность!$D$20)*IFERROR(LOOKUP(Предпосылки!$H$206,$C$13:$C$15,L$13:L$15),1)</f>
        <v>0</v>
      </c>
      <c s="125">
        <f>Предпосылки!L$233*Предпосылки!$I256*Продажи!M21*M$19*(1+Чувствительность!$D$20)*IFERROR(LOOKUP(Предпосылки!$H$206,$C$13:$C$15,M$13:M$15),1)</f>
        <v>0</v>
      </c>
      <c s="125">
        <f>Предпосылки!M$233*Предпосылки!$I256*Продажи!N21*N$19*(1+Чувствительность!$D$20)*IFERROR(LOOKUP(Предпосылки!$H$206,$C$13:$C$15,N$13:N$15),1)</f>
        <v>0</v>
      </c>
      <c s="125">
        <f>Предпосылки!N$233*Предпосылки!$I256*Продажи!O21*O$19*(1+Чувствительность!$D$20)*IFERROR(LOOKUP(Предпосылки!$H$206,$C$13:$C$15,O$13:O$15),1)</f>
        <v>0</v>
      </c>
      <c s="125">
        <f>Предпосылки!O$233*Предпосылки!$I256*Продажи!P21*P$19*(1+Чувствительность!$D$20)*IFERROR(LOOKUP(Предпосылки!$H$206,$C$13:$C$15,P$13:P$15),1)</f>
        <v>0</v>
      </c>
      <c s="125">
        <f>Предпосылки!P$233*Предпосылки!$I256*Продажи!Q21*Q$19*(1+Чувствительность!$D$20)*IFERROR(LOOKUP(Предпосылки!$H$206,$C$13:$C$15,Q$13:Q$15),1)</f>
        <v>0</v>
      </c>
      <c s="125">
        <f>Предпосылки!Q$233*Предпосылки!$I256*Продажи!R21*R$19*(1+Чувствительность!$D$20)*IFERROR(LOOKUP(Предпосылки!$H$206,$C$13:$C$15,R$13:R$15),1)</f>
        <v>0</v>
      </c>
      <c s="125">
        <f>Предпосылки!R$233*Предпосылки!$I256*Продажи!S21*S$19*(1+Чувствительность!$D$20)*IFERROR(LOOKUP(Предпосылки!$H$206,$C$13:$C$15,S$13:S$15),1)</f>
        <v>0</v>
      </c>
      <c s="125">
        <f>Предпосылки!S$233*Предпосылки!$I256*Продажи!T21*T$19*(1+Чувствительность!$D$20)*IFERROR(LOOKUP(Предпосылки!$H$206,$C$13:$C$15,T$13:T$15),1)</f>
        <v>0</v>
      </c>
      <c s="125">
        <f>Предпосылки!T$233*Предпосылки!$I256*Продажи!U21*U$19*(1+Чувствительность!$D$20)*IFERROR(LOOKUP(Предпосылки!$H$206,$C$13:$C$15,U$13:U$15),1)</f>
        <v>0</v>
      </c>
      <c s="125">
        <f>Предпосылки!U$233*Предпосылки!$I256*Продажи!V21*V$19*(1+Чувствительность!$D$20)*IFERROR(LOOKUP(Предпосылки!$H$206,$C$13:$C$15,V$13:V$15),1)</f>
        <v>0</v>
      </c>
      <c s="125">
        <f>Предпосылки!V$233*Предпосылки!$I256*Продажи!W21*W$19*(1+Чувствительность!$D$20)*IFERROR(LOOKUP(Предпосылки!$H$206,$C$13:$C$15,W$13:W$15),1)</f>
        <v>0</v>
      </c>
      <c s="125">
        <f>Предпосылки!W$233*Предпосылки!$I256*Продажи!X21*X$19*(1+Чувствительность!$D$20)*IFERROR(LOOKUP(Предпосылки!$H$206,$C$13:$C$15,X$13:X$15),1)</f>
        <v>0</v>
      </c>
      <c s="125">
        <f>Предпосылки!X$233*Предпосылки!$I256*Продажи!Y21*Y$19*(1+Чувствительность!$D$20)*IFERROR(LOOKUP(Предпосылки!$H$206,$C$13:$C$15,Y$13:Y$15),1)</f>
        <v>0</v>
      </c>
      <c s="125">
        <f>Предпосылки!Y$233*Предпосылки!$I256*Продажи!Z21*Z$19*(1+Чувствительность!$D$20)*IFERROR(LOOKUP(Предпосылки!$H$206,$C$13:$C$15,Z$13:Z$15),1)</f>
        <v>0</v>
      </c>
      <c s="125">
        <f>Предпосылки!Z$233*Предпосылки!$I256*Продажи!AA21*AA$19*(1+Чувствительность!$D$20)*IFERROR(LOOKUP(Предпосылки!$H$206,$C$13:$C$15,AA$13:AA$15),1)</f>
        <v>0</v>
      </c>
      <c s="125">
        <f>Предпосылки!AA$233*Предпосылки!$I256*Продажи!AB21*AB$19*(1+Чувствительность!$D$20)*IFERROR(LOOKUP(Предпосылки!$H$206,$C$13:$C$15,AB$13:AB$15),1)</f>
        <v>0</v>
      </c>
      <c s="125">
        <f>Предпосылки!AB$233*Предпосылки!$I256*Продажи!AC21*AC$19*(1+Чувствительность!$D$20)*IFERROR(LOOKUP(Предпосылки!$H$206,$C$13:$C$15,AC$13:AC$15),1)</f>
        <v>0</v>
      </c>
      <c s="125">
        <f>Предпосылки!AC$233*Предпосылки!$I256*Продажи!AD21*AD$19*(1+Чувствительность!$D$20)*IFERROR(LOOKUP(Предпосылки!$H$206,$C$13:$C$15,AD$13:AD$15),1)</f>
        <v>0</v>
      </c>
      <c s="125">
        <f>Предпосылки!AD$233*Предпосылки!$I256*Продажи!AE21*AE$19*(1+Чувствительность!$D$20)*IFERROR(LOOKUP(Предпосылки!$H$206,$C$13:$C$15,AE$13:AE$15),1)</f>
        <v>0</v>
      </c>
      <c s="125">
        <f>Предпосылки!AE$233*Предпосылки!$I256*Продажи!AF21*AF$19*(1+Чувствительность!$D$20)*IFERROR(LOOKUP(Предпосылки!$H$206,$C$13:$C$15,AF$13:AF$15),1)</f>
        <v>0</v>
      </c>
      <c s="125">
        <f>Предпосылки!AF$233*Предпосылки!$I256*Продажи!AG21*AG$19*(1+Чувствительность!$D$20)*IFERROR(LOOKUP(Предпосылки!$H$206,$C$13:$C$15,AG$13:AG$15),1)</f>
        <v>0</v>
      </c>
      <c s="125">
        <f>Предпосылки!AG$233*Предпосылки!$I256*Продажи!AH21*AH$19*(1+Чувствительность!$D$20)*IFERROR(LOOKUP(Предпосылки!$H$206,$C$13:$C$15,AH$13:AH$15),1)</f>
        <v>0</v>
      </c>
      <c s="125">
        <f>Предпосылки!AH$233*Предпосылки!$I256*Продажи!AI21*AI$19*(1+Чувствительность!$D$20)*IFERROR(LOOKUP(Предпосылки!$H$206,$C$13:$C$15,AI$13:AI$15),1)</f>
        <v>0</v>
      </c>
      <c s="125">
        <f>Предпосылки!AI$233*Предпосылки!$I256*Продажи!AJ21*AJ$19*(1+Чувствительность!$D$20)*IFERROR(LOOKUP(Предпосылки!$H$206,$C$13:$C$15,AJ$13:AJ$15),1)</f>
        <v>0</v>
      </c>
      <c s="125">
        <f>Предпосылки!AJ$233*Предпосылки!$I256*Продажи!AK21*AK$19*(1+Чувствительность!$D$20)*IFERROR(LOOKUP(Предпосылки!$H$206,$C$13:$C$15,AK$13:AK$15),1)</f>
        <v>0</v>
      </c>
      <c s="125">
        <f>Предпосылки!AK$233*Предпосылки!$I256*Продажи!AL21*AL$19*(1+Чувствительность!$D$20)*IFERROR(LOOKUP(Предпосылки!$H$206,$C$13:$C$15,AL$13:AL$15),1)</f>
        <v>0</v>
      </c>
      <c s="125">
        <f>Предпосылки!AL$233*Предпосылки!$I256*Продажи!AM21*AM$19*(1+Чувствительность!$D$20)*IFERROR(LOOKUP(Предпосылки!$H$206,$C$13:$C$15,AM$13:AM$15),1)</f>
        <v>0</v>
      </c>
      <c s="125">
        <f>Предпосылки!AM$233*Предпосылки!$I256*Продажи!AN21*AN$19*(1+Чувствительность!$D$20)*IFERROR(LOOKUP(Предпосылки!$H$206,$C$13:$C$15,AN$13:AN$15),1)</f>
        <v>0</v>
      </c>
      <c s="125">
        <f>Предпосылки!AN$233*Предпосылки!$I256*Продажи!AO21*AO$19*(1+Чувствительность!$D$20)*IFERROR(LOOKUP(Предпосылки!$H$206,$C$13:$C$15,AO$13:AO$15),1)</f>
        <v>0</v>
      </c>
      <c s="125">
        <f>Предпосылки!AO$233*Предпосылки!$I256*Продажи!AP21*AP$19*(1+Чувствительность!$D$20)*IFERROR(LOOKUP(Предпосылки!$H$206,$C$13:$C$15,AP$13:AP$15),1)</f>
        <v>0</v>
      </c>
      <c s="125">
        <f>Предпосылки!AP$233*Предпосылки!$I256*Продажи!AQ21*AQ$19*(1+Чувствительность!$D$20)*IFERROR(LOOKUP(Предпосылки!$H$206,$C$13:$C$15,AQ$13:AQ$15),1)</f>
        <v>0</v>
      </c>
      <c s="125">
        <f>Предпосылки!AQ$233*Предпосылки!$I256*Продажи!AR21*AR$19*(1+Чувствительность!$D$20)*IFERROR(LOOKUP(Предпосылки!$H$206,$C$13:$C$15,AR$13:AR$15),1)</f>
        <v>0</v>
      </c>
      <c s="125">
        <f>Предпосылки!AR$233*Предпосылки!$I256*Продажи!AS21*AS$19*(1+Чувствительность!$D$20)*IFERROR(LOOKUP(Предпосылки!$H$206,$C$13:$C$15,AS$13:AS$15),1)</f>
        <v>0</v>
      </c>
      <c s="125">
        <f>Предпосылки!AS$233*Предпосылки!$I256*Продажи!AT21*AT$19*(1+Чувствительность!$D$20)*IFERROR(LOOKUP(Предпосылки!$H$206,$C$13:$C$15,AT$13:AT$15),1)</f>
        <v>0</v>
      </c>
      <c s="125">
        <f>Предпосылки!AT$233*Предпосылки!$I256*Продажи!AU21*AU$19*(1+Чувствительность!$D$20)*IFERROR(LOOKUP(Предпосылки!$H$206,$C$13:$C$15,AU$13:AU$15),1)</f>
        <v>0</v>
      </c>
      <c s="125">
        <f>Предпосылки!AU$233*Предпосылки!$I256*Продажи!AV21*AV$19*(1+Чувствительность!$D$20)*IFERROR(LOOKUP(Предпосылки!$H$206,$C$13:$C$15,AV$13:AV$15),1)</f>
        <v>0</v>
      </c>
      <c s="125">
        <f>Предпосылки!AV$233*Предпосылки!$I256*Продажи!AW21*AW$19*(1+Чувствительность!$D$20)*IFERROR(LOOKUP(Предпосылки!$H$206,$C$13:$C$15,AW$13:AW$15),1)</f>
        <v>0</v>
      </c>
      <c s="125">
        <f>Предпосылки!AW$233*Предпосылки!$I256*Продажи!AX21*AX$19*(1+Чувствительность!$D$20)*IFERROR(LOOKUP(Предпосылки!$H$206,$C$13:$C$15,AX$13:AX$15),1)</f>
        <v>0</v>
      </c>
      <c s="125">
        <f>Предпосылки!AX$233*Предпосылки!$I256*Продажи!AY21*AY$19*(1+Чувствительность!$D$20)*IFERROR(LOOKUP(Предпосылки!$H$206,$C$13:$C$15,AY$13:AY$15),1)</f>
        <v>0</v>
      </c>
      <c s="125">
        <f>Предпосылки!AY$233*Предпосылки!$I256*Продажи!AZ21*AZ$19*(1+Чувствительность!$D$20)*IFERROR(LOOKUP(Предпосылки!$H$206,$C$13:$C$15,AZ$13:AZ$15),1)</f>
        <v>0</v>
      </c>
      <c s="125">
        <f>Предпосылки!AZ$233*Предпосылки!$I256*Продажи!BA21*BA$19*(1+Чувствительность!$D$20)*IFERROR(LOOKUP(Предпосылки!$H$206,$C$13:$C$15,BA$13:BA$15),1)</f>
        <v>0</v>
      </c>
      <c s="125">
        <f>Предпосылки!BA$233*Предпосылки!$I256*Продажи!BB21*BB$19*(1+Чувствительность!$D$20)*IFERROR(LOOKUP(Предпосылки!$H$206,$C$13:$C$15,BB$13:BB$15),1)</f>
        <v>0</v>
      </c>
      <c s="125">
        <f>Предпосылки!BB$233*Предпосылки!$I256*Продажи!BC21*BC$19*(1+Чувствительность!$D$20)*IFERROR(LOOKUP(Предпосылки!$H$206,$C$13:$C$15,BC$13:BC$15),1)</f>
        <v>0</v>
      </c>
      <c s="125">
        <f>Предпосылки!BC$233*Предпосылки!$I256*Продажи!BD21*BD$19*(1+Чувствительность!$D$20)*IFERROR(LOOKUP(Предпосылки!$H$206,$C$13:$C$15,BD$13:BD$15),1)</f>
        <v>0</v>
      </c>
      <c s="125">
        <f>Предпосылки!BD$233*Предпосылки!$I256*Продажи!BE21*BE$19*(1+Чувствительность!$D$20)*IFERROR(LOOKUP(Предпосылки!$H$206,$C$13:$C$15,BE$13:BE$15),1)</f>
        <v>0</v>
      </c>
      <c s="125">
        <f>Предпосылки!BE$233*Предпосылки!$I256*Продажи!BF21*BF$19*(1+Чувствительность!$D$20)*IFERROR(LOOKUP(Предпосылки!$H$206,$C$13:$C$15,BF$13:BF$15),1)</f>
        <v>0</v>
      </c>
      <c s="125">
        <f>Предпосылки!BF$233*Предпосылки!$I256*Продажи!BG21*BG$19*(1+Чувствительность!$D$20)*IFERROR(LOOKUP(Предпосылки!$H$206,$C$13:$C$15,BG$13:BG$15),1)</f>
        <v>0</v>
      </c>
      <c s="125">
        <f>Предпосылки!BG$233*Предпосылки!$I256*Продажи!BH21*BH$19*(1+Чувствительность!$D$20)*IFERROR(LOOKUP(Предпосылки!$H$206,$C$13:$C$15,BH$13:BH$15),1)</f>
        <v>0</v>
      </c>
      <c s="125">
        <f>Предпосылки!BH$233*Предпосылки!$I256*Продажи!BI21*BI$19*(1+Чувствительность!$D$20)*IFERROR(LOOKUP(Предпосылки!$H$206,$C$13:$C$15,BI$13:BI$15),1)</f>
        <v>0</v>
      </c>
      <c s="125">
        <f>Предпосылки!BI$233*Предпосылки!$I256*Продажи!BJ21*BJ$19*(1+Чувствительность!$D$20)*IFERROR(LOOKUP(Предпосылки!$H$206,$C$13:$C$15,BJ$13:BJ$15),1)</f>
        <v>0</v>
      </c>
      <c s="125">
        <f>Предпосылки!BJ$233*Предпосылки!$I256*Продажи!BK21*BK$19*(1+Чувствительность!$D$20)*IFERROR(LOOKUP(Предпосылки!$H$206,$C$13:$C$15,BK$13:BK$15),1)</f>
        <v>0</v>
      </c>
      <c s="125">
        <f>Предпосылки!BK$233*Предпосылки!$I256*Продажи!BL21*BL$19*(1+Чувствительность!$D$20)*IFERROR(LOOKUP(Предпосылки!$H$206,$C$13:$C$15,BL$13:BL$15),1)</f>
        <v>0</v>
      </c>
      <c s="125">
        <f>Предпосылки!BL$233*Предпосылки!$I256*Продажи!BM21*BM$19*(1+Чувствительность!$D$20)*IFERROR(LOOKUP(Предпосылки!$H$206,$C$13:$C$15,BM$13:BM$15),1)</f>
        <v>0</v>
      </c>
    </row>
    <row r="142" spans="2:65" ht="15" customHeight="1">
      <c r="B142" s="12" t="str">
        <f t="shared" si="86"/>
        <v>Продукт 5</v>
      </c>
      <c s="124" t="str">
        <f t="shared" si="85"/>
        <v>тыс. руб.</v>
      </c>
      <c s="276">
        <f t="shared" si="87"/>
        <v>0</v>
      </c>
      <c s="125">
        <f>Предпосылки!D$233*Предпосылки!$I257*Продажи!E22*E$19*(1+Чувствительность!$D$20)*IFERROR(LOOKUP(Предпосылки!$H$206,$C$13:$C$15,E$13:E$15),1)</f>
        <v>0</v>
      </c>
      <c s="125">
        <f>Предпосылки!E$233*Предпосылки!$I257*Продажи!F22*F$19*(1+Чувствительность!$D$20)*IFERROR(LOOKUP(Предпосылки!$H$206,$C$13:$C$15,F$13:F$15),1)</f>
        <v>0</v>
      </c>
      <c s="125">
        <f>Предпосылки!F$233*Предпосылки!$I257*Продажи!G22*G$19*(1+Чувствительность!$D$20)*IFERROR(LOOKUP(Предпосылки!$H$206,$C$13:$C$15,G$13:G$15),1)</f>
        <v>0</v>
      </c>
      <c s="125">
        <f>Предпосылки!G$233*Предпосылки!$I257*Продажи!H22*H$19*(1+Чувствительность!$D$20)*IFERROR(LOOKUP(Предпосылки!$H$206,$C$13:$C$15,H$13:H$15),1)</f>
        <v>0</v>
      </c>
      <c s="125">
        <f>Предпосылки!H$233*Предпосылки!$I257*Продажи!I22*I$19*(1+Чувствительность!$D$20)*IFERROR(LOOKUP(Предпосылки!$H$206,$C$13:$C$15,I$13:I$15),1)</f>
        <v>0</v>
      </c>
      <c s="125">
        <f>Предпосылки!I$233*Предпосылки!$I257*Продажи!J22*J$19*(1+Чувствительность!$D$20)*IFERROR(LOOKUP(Предпосылки!$H$206,$C$13:$C$15,J$13:J$15),1)</f>
        <v>0</v>
      </c>
      <c s="125">
        <f>Предпосылки!J$233*Предпосылки!$I257*Продажи!K22*K$19*(1+Чувствительность!$D$20)*IFERROR(LOOKUP(Предпосылки!$H$206,$C$13:$C$15,K$13:K$15),1)</f>
        <v>0</v>
      </c>
      <c s="125">
        <f>Предпосылки!K$233*Предпосылки!$I257*Продажи!L22*L$19*(1+Чувствительность!$D$20)*IFERROR(LOOKUP(Предпосылки!$H$206,$C$13:$C$15,L$13:L$15),1)</f>
        <v>0</v>
      </c>
      <c s="125">
        <f>Предпосылки!L$233*Предпосылки!$I257*Продажи!M22*M$19*(1+Чувствительность!$D$20)*IFERROR(LOOKUP(Предпосылки!$H$206,$C$13:$C$15,M$13:M$15),1)</f>
        <v>0</v>
      </c>
      <c s="125">
        <f>Предпосылки!M$233*Предпосылки!$I257*Продажи!N22*N$19*(1+Чувствительность!$D$20)*IFERROR(LOOKUP(Предпосылки!$H$206,$C$13:$C$15,N$13:N$15),1)</f>
        <v>0</v>
      </c>
      <c s="125">
        <f>Предпосылки!N$233*Предпосылки!$I257*Продажи!O22*O$19*(1+Чувствительность!$D$20)*IFERROR(LOOKUP(Предпосылки!$H$206,$C$13:$C$15,O$13:O$15),1)</f>
        <v>0</v>
      </c>
      <c s="125">
        <f>Предпосылки!O$233*Предпосылки!$I257*Продажи!P22*P$19*(1+Чувствительность!$D$20)*IFERROR(LOOKUP(Предпосылки!$H$206,$C$13:$C$15,P$13:P$15),1)</f>
        <v>0</v>
      </c>
      <c s="125">
        <f>Предпосылки!P$233*Предпосылки!$I257*Продажи!Q22*Q$19*(1+Чувствительность!$D$20)*IFERROR(LOOKUP(Предпосылки!$H$206,$C$13:$C$15,Q$13:Q$15),1)</f>
        <v>0</v>
      </c>
      <c s="125">
        <f>Предпосылки!Q$233*Предпосылки!$I257*Продажи!R22*R$19*(1+Чувствительность!$D$20)*IFERROR(LOOKUP(Предпосылки!$H$206,$C$13:$C$15,R$13:R$15),1)</f>
        <v>0</v>
      </c>
      <c s="125">
        <f>Предпосылки!R$233*Предпосылки!$I257*Продажи!S22*S$19*(1+Чувствительность!$D$20)*IFERROR(LOOKUP(Предпосылки!$H$206,$C$13:$C$15,S$13:S$15),1)</f>
        <v>0</v>
      </c>
      <c s="125">
        <f>Предпосылки!S$233*Предпосылки!$I257*Продажи!T22*T$19*(1+Чувствительность!$D$20)*IFERROR(LOOKUP(Предпосылки!$H$206,$C$13:$C$15,T$13:T$15),1)</f>
        <v>0</v>
      </c>
      <c s="125">
        <f>Предпосылки!T$233*Предпосылки!$I257*Продажи!U22*U$19*(1+Чувствительность!$D$20)*IFERROR(LOOKUP(Предпосылки!$H$206,$C$13:$C$15,U$13:U$15),1)</f>
        <v>0</v>
      </c>
      <c s="125">
        <f>Предпосылки!U$233*Предпосылки!$I257*Продажи!V22*V$19*(1+Чувствительность!$D$20)*IFERROR(LOOKUP(Предпосылки!$H$206,$C$13:$C$15,V$13:V$15),1)</f>
        <v>0</v>
      </c>
      <c s="125">
        <f>Предпосылки!V$233*Предпосылки!$I257*Продажи!W22*W$19*(1+Чувствительность!$D$20)*IFERROR(LOOKUP(Предпосылки!$H$206,$C$13:$C$15,W$13:W$15),1)</f>
        <v>0</v>
      </c>
      <c s="125">
        <f>Предпосылки!W$233*Предпосылки!$I257*Продажи!X22*X$19*(1+Чувствительность!$D$20)*IFERROR(LOOKUP(Предпосылки!$H$206,$C$13:$C$15,X$13:X$15),1)</f>
        <v>0</v>
      </c>
      <c s="125">
        <f>Предпосылки!X$233*Предпосылки!$I257*Продажи!Y22*Y$19*(1+Чувствительность!$D$20)*IFERROR(LOOKUP(Предпосылки!$H$206,$C$13:$C$15,Y$13:Y$15),1)</f>
        <v>0</v>
      </c>
      <c s="125">
        <f>Предпосылки!Y$233*Предпосылки!$I257*Продажи!Z22*Z$19*(1+Чувствительность!$D$20)*IFERROR(LOOKUP(Предпосылки!$H$206,$C$13:$C$15,Z$13:Z$15),1)</f>
        <v>0</v>
      </c>
      <c s="125">
        <f>Предпосылки!Z$233*Предпосылки!$I257*Продажи!AA22*AA$19*(1+Чувствительность!$D$20)*IFERROR(LOOKUP(Предпосылки!$H$206,$C$13:$C$15,AA$13:AA$15),1)</f>
        <v>0</v>
      </c>
      <c s="125">
        <f>Предпосылки!AA$233*Предпосылки!$I257*Продажи!AB22*AB$19*(1+Чувствительность!$D$20)*IFERROR(LOOKUP(Предпосылки!$H$206,$C$13:$C$15,AB$13:AB$15),1)</f>
        <v>0</v>
      </c>
      <c s="125">
        <f>Предпосылки!AB$233*Предпосылки!$I257*Продажи!AC22*AC$19*(1+Чувствительность!$D$20)*IFERROR(LOOKUP(Предпосылки!$H$206,$C$13:$C$15,AC$13:AC$15),1)</f>
        <v>0</v>
      </c>
      <c s="125">
        <f>Предпосылки!AC$233*Предпосылки!$I257*Продажи!AD22*AD$19*(1+Чувствительность!$D$20)*IFERROR(LOOKUP(Предпосылки!$H$206,$C$13:$C$15,AD$13:AD$15),1)</f>
        <v>0</v>
      </c>
      <c s="125">
        <f>Предпосылки!AD$233*Предпосылки!$I257*Продажи!AE22*AE$19*(1+Чувствительность!$D$20)*IFERROR(LOOKUP(Предпосылки!$H$206,$C$13:$C$15,AE$13:AE$15),1)</f>
        <v>0</v>
      </c>
      <c s="125">
        <f>Предпосылки!AE$233*Предпосылки!$I257*Продажи!AF22*AF$19*(1+Чувствительность!$D$20)*IFERROR(LOOKUP(Предпосылки!$H$206,$C$13:$C$15,AF$13:AF$15),1)</f>
        <v>0</v>
      </c>
      <c s="125">
        <f>Предпосылки!AF$233*Предпосылки!$I257*Продажи!AG22*AG$19*(1+Чувствительность!$D$20)*IFERROR(LOOKUP(Предпосылки!$H$206,$C$13:$C$15,AG$13:AG$15),1)</f>
        <v>0</v>
      </c>
      <c s="125">
        <f>Предпосылки!AG$233*Предпосылки!$I257*Продажи!AH22*AH$19*(1+Чувствительность!$D$20)*IFERROR(LOOKUP(Предпосылки!$H$206,$C$13:$C$15,AH$13:AH$15),1)</f>
        <v>0</v>
      </c>
      <c s="125">
        <f>Предпосылки!AH$233*Предпосылки!$I257*Продажи!AI22*AI$19*(1+Чувствительность!$D$20)*IFERROR(LOOKUP(Предпосылки!$H$206,$C$13:$C$15,AI$13:AI$15),1)</f>
        <v>0</v>
      </c>
      <c s="125">
        <f>Предпосылки!AI$233*Предпосылки!$I257*Продажи!AJ22*AJ$19*(1+Чувствительность!$D$20)*IFERROR(LOOKUP(Предпосылки!$H$206,$C$13:$C$15,AJ$13:AJ$15),1)</f>
        <v>0</v>
      </c>
      <c s="125">
        <f>Предпосылки!AJ$233*Предпосылки!$I257*Продажи!AK22*AK$19*(1+Чувствительность!$D$20)*IFERROR(LOOKUP(Предпосылки!$H$206,$C$13:$C$15,AK$13:AK$15),1)</f>
        <v>0</v>
      </c>
      <c s="125">
        <f>Предпосылки!AK$233*Предпосылки!$I257*Продажи!AL22*AL$19*(1+Чувствительность!$D$20)*IFERROR(LOOKUP(Предпосылки!$H$206,$C$13:$C$15,AL$13:AL$15),1)</f>
        <v>0</v>
      </c>
      <c s="125">
        <f>Предпосылки!AL$233*Предпосылки!$I257*Продажи!AM22*AM$19*(1+Чувствительность!$D$20)*IFERROR(LOOKUP(Предпосылки!$H$206,$C$13:$C$15,AM$13:AM$15),1)</f>
        <v>0</v>
      </c>
      <c s="125">
        <f>Предпосылки!AM$233*Предпосылки!$I257*Продажи!AN22*AN$19*(1+Чувствительность!$D$20)*IFERROR(LOOKUP(Предпосылки!$H$206,$C$13:$C$15,AN$13:AN$15),1)</f>
        <v>0</v>
      </c>
      <c s="125">
        <f>Предпосылки!AN$233*Предпосылки!$I257*Продажи!AO22*AO$19*(1+Чувствительность!$D$20)*IFERROR(LOOKUP(Предпосылки!$H$206,$C$13:$C$15,AO$13:AO$15),1)</f>
        <v>0</v>
      </c>
      <c s="125">
        <f>Предпосылки!AO$233*Предпосылки!$I257*Продажи!AP22*AP$19*(1+Чувствительность!$D$20)*IFERROR(LOOKUP(Предпосылки!$H$206,$C$13:$C$15,AP$13:AP$15),1)</f>
        <v>0</v>
      </c>
      <c s="125">
        <f>Предпосылки!AP$233*Предпосылки!$I257*Продажи!AQ22*AQ$19*(1+Чувствительность!$D$20)*IFERROR(LOOKUP(Предпосылки!$H$206,$C$13:$C$15,AQ$13:AQ$15),1)</f>
        <v>0</v>
      </c>
      <c s="125">
        <f>Предпосылки!AQ$233*Предпосылки!$I257*Продажи!AR22*AR$19*(1+Чувствительность!$D$20)*IFERROR(LOOKUP(Предпосылки!$H$206,$C$13:$C$15,AR$13:AR$15),1)</f>
        <v>0</v>
      </c>
      <c s="125">
        <f>Предпосылки!AR$233*Предпосылки!$I257*Продажи!AS22*AS$19*(1+Чувствительность!$D$20)*IFERROR(LOOKUP(Предпосылки!$H$206,$C$13:$C$15,AS$13:AS$15),1)</f>
        <v>0</v>
      </c>
      <c s="125">
        <f>Предпосылки!AS$233*Предпосылки!$I257*Продажи!AT22*AT$19*(1+Чувствительность!$D$20)*IFERROR(LOOKUP(Предпосылки!$H$206,$C$13:$C$15,AT$13:AT$15),1)</f>
        <v>0</v>
      </c>
      <c s="125">
        <f>Предпосылки!AT$233*Предпосылки!$I257*Продажи!AU22*AU$19*(1+Чувствительность!$D$20)*IFERROR(LOOKUP(Предпосылки!$H$206,$C$13:$C$15,AU$13:AU$15),1)</f>
        <v>0</v>
      </c>
      <c s="125">
        <f>Предпосылки!AU$233*Предпосылки!$I257*Продажи!AV22*AV$19*(1+Чувствительность!$D$20)*IFERROR(LOOKUP(Предпосылки!$H$206,$C$13:$C$15,AV$13:AV$15),1)</f>
        <v>0</v>
      </c>
      <c s="125">
        <f>Предпосылки!AV$233*Предпосылки!$I257*Продажи!AW22*AW$19*(1+Чувствительность!$D$20)*IFERROR(LOOKUP(Предпосылки!$H$206,$C$13:$C$15,AW$13:AW$15),1)</f>
        <v>0</v>
      </c>
      <c s="125">
        <f>Предпосылки!AW$233*Предпосылки!$I257*Продажи!AX22*AX$19*(1+Чувствительность!$D$20)*IFERROR(LOOKUP(Предпосылки!$H$206,$C$13:$C$15,AX$13:AX$15),1)</f>
        <v>0</v>
      </c>
      <c s="125">
        <f>Предпосылки!AX$233*Предпосылки!$I257*Продажи!AY22*AY$19*(1+Чувствительность!$D$20)*IFERROR(LOOKUP(Предпосылки!$H$206,$C$13:$C$15,AY$13:AY$15),1)</f>
        <v>0</v>
      </c>
      <c s="125">
        <f>Предпосылки!AY$233*Предпосылки!$I257*Продажи!AZ22*AZ$19*(1+Чувствительность!$D$20)*IFERROR(LOOKUP(Предпосылки!$H$206,$C$13:$C$15,AZ$13:AZ$15),1)</f>
        <v>0</v>
      </c>
      <c s="125">
        <f>Предпосылки!AZ$233*Предпосылки!$I257*Продажи!BA22*BA$19*(1+Чувствительность!$D$20)*IFERROR(LOOKUP(Предпосылки!$H$206,$C$13:$C$15,BA$13:BA$15),1)</f>
        <v>0</v>
      </c>
      <c s="125">
        <f>Предпосылки!BA$233*Предпосылки!$I257*Продажи!BB22*BB$19*(1+Чувствительность!$D$20)*IFERROR(LOOKUP(Предпосылки!$H$206,$C$13:$C$15,BB$13:BB$15),1)</f>
        <v>0</v>
      </c>
      <c s="125">
        <f>Предпосылки!BB$233*Предпосылки!$I257*Продажи!BC22*BC$19*(1+Чувствительность!$D$20)*IFERROR(LOOKUP(Предпосылки!$H$206,$C$13:$C$15,BC$13:BC$15),1)</f>
        <v>0</v>
      </c>
      <c s="125">
        <f>Предпосылки!BC$233*Предпосылки!$I257*Продажи!BD22*BD$19*(1+Чувствительность!$D$20)*IFERROR(LOOKUP(Предпосылки!$H$206,$C$13:$C$15,BD$13:BD$15),1)</f>
        <v>0</v>
      </c>
      <c s="125">
        <f>Предпосылки!BD$233*Предпосылки!$I257*Продажи!BE22*BE$19*(1+Чувствительность!$D$20)*IFERROR(LOOKUP(Предпосылки!$H$206,$C$13:$C$15,BE$13:BE$15),1)</f>
        <v>0</v>
      </c>
      <c s="125">
        <f>Предпосылки!BE$233*Предпосылки!$I257*Продажи!BF22*BF$19*(1+Чувствительность!$D$20)*IFERROR(LOOKUP(Предпосылки!$H$206,$C$13:$C$15,BF$13:BF$15),1)</f>
        <v>0</v>
      </c>
      <c s="125">
        <f>Предпосылки!BF$233*Предпосылки!$I257*Продажи!BG22*BG$19*(1+Чувствительность!$D$20)*IFERROR(LOOKUP(Предпосылки!$H$206,$C$13:$C$15,BG$13:BG$15),1)</f>
        <v>0</v>
      </c>
      <c s="125">
        <f>Предпосылки!BG$233*Предпосылки!$I257*Продажи!BH22*BH$19*(1+Чувствительность!$D$20)*IFERROR(LOOKUP(Предпосылки!$H$206,$C$13:$C$15,BH$13:BH$15),1)</f>
        <v>0</v>
      </c>
      <c s="125">
        <f>Предпосылки!BH$233*Предпосылки!$I257*Продажи!BI22*BI$19*(1+Чувствительность!$D$20)*IFERROR(LOOKUP(Предпосылки!$H$206,$C$13:$C$15,BI$13:BI$15),1)</f>
        <v>0</v>
      </c>
      <c s="125">
        <f>Предпосылки!BI$233*Предпосылки!$I257*Продажи!BJ22*BJ$19*(1+Чувствительность!$D$20)*IFERROR(LOOKUP(Предпосылки!$H$206,$C$13:$C$15,BJ$13:BJ$15),1)</f>
        <v>0</v>
      </c>
      <c s="125">
        <f>Предпосылки!BJ$233*Предпосылки!$I257*Продажи!BK22*BK$19*(1+Чувствительность!$D$20)*IFERROR(LOOKUP(Предпосылки!$H$206,$C$13:$C$15,BK$13:BK$15),1)</f>
        <v>0</v>
      </c>
      <c s="125">
        <f>Предпосылки!BK$233*Предпосылки!$I257*Продажи!BL22*BL$19*(1+Чувствительность!$D$20)*IFERROR(LOOKUP(Предпосылки!$H$206,$C$13:$C$15,BL$13:BL$15),1)</f>
        <v>0</v>
      </c>
      <c s="125">
        <f>Предпосылки!BL$233*Предпосылки!$I257*Продажи!BM22*BM$19*(1+Чувствительность!$D$20)*IFERROR(LOOKUP(Предпосылки!$H$206,$C$13:$C$15,BM$13:BM$15),1)</f>
        <v>0</v>
      </c>
    </row>
    <row r="143" spans="2:65" ht="15" customHeight="1">
      <c r="B143" s="12" t="str">
        <f t="shared" si="86"/>
        <v>Продукт 6</v>
      </c>
      <c s="124" t="str">
        <f t="shared" si="85"/>
        <v>тыс. руб.</v>
      </c>
      <c s="276">
        <f t="shared" si="87"/>
        <v>0</v>
      </c>
      <c s="125">
        <f>Предпосылки!D$233*Предпосылки!$I258*Продажи!E23*E$19*(1+Чувствительность!$D$20)*IFERROR(LOOKUP(Предпосылки!$H$206,$C$13:$C$15,E$13:E$15),1)</f>
        <v>0</v>
      </c>
      <c s="125">
        <f>Предпосылки!E$233*Предпосылки!$I258*Продажи!F23*F$19*(1+Чувствительность!$D$20)*IFERROR(LOOKUP(Предпосылки!$H$206,$C$13:$C$15,F$13:F$15),1)</f>
        <v>0</v>
      </c>
      <c s="125">
        <f>Предпосылки!F$233*Предпосылки!$I258*Продажи!G23*G$19*(1+Чувствительность!$D$20)*IFERROR(LOOKUP(Предпосылки!$H$206,$C$13:$C$15,G$13:G$15),1)</f>
        <v>0</v>
      </c>
      <c s="125">
        <f>Предпосылки!G$233*Предпосылки!$I258*Продажи!H23*H$19*(1+Чувствительность!$D$20)*IFERROR(LOOKUP(Предпосылки!$H$206,$C$13:$C$15,H$13:H$15),1)</f>
        <v>0</v>
      </c>
      <c s="125">
        <f>Предпосылки!H$233*Предпосылки!$I258*Продажи!I23*I$19*(1+Чувствительность!$D$20)*IFERROR(LOOKUP(Предпосылки!$H$206,$C$13:$C$15,I$13:I$15),1)</f>
        <v>0</v>
      </c>
      <c s="125">
        <f>Предпосылки!I$233*Предпосылки!$I258*Продажи!J23*J$19*(1+Чувствительность!$D$20)*IFERROR(LOOKUP(Предпосылки!$H$206,$C$13:$C$15,J$13:J$15),1)</f>
        <v>0</v>
      </c>
      <c s="125">
        <f>Предпосылки!J$233*Предпосылки!$I258*Продажи!K23*K$19*(1+Чувствительность!$D$20)*IFERROR(LOOKUP(Предпосылки!$H$206,$C$13:$C$15,K$13:K$15),1)</f>
        <v>0</v>
      </c>
      <c s="125">
        <f>Предпосылки!K$233*Предпосылки!$I258*Продажи!L23*L$19*(1+Чувствительность!$D$20)*IFERROR(LOOKUP(Предпосылки!$H$206,$C$13:$C$15,L$13:L$15),1)</f>
        <v>0</v>
      </c>
      <c s="125">
        <f>Предпосылки!L$233*Предпосылки!$I258*Продажи!M23*M$19*(1+Чувствительность!$D$20)*IFERROR(LOOKUP(Предпосылки!$H$206,$C$13:$C$15,M$13:M$15),1)</f>
        <v>0</v>
      </c>
      <c s="125">
        <f>Предпосылки!M$233*Предпосылки!$I258*Продажи!N23*N$19*(1+Чувствительность!$D$20)*IFERROR(LOOKUP(Предпосылки!$H$206,$C$13:$C$15,N$13:N$15),1)</f>
        <v>0</v>
      </c>
      <c s="125">
        <f>Предпосылки!N$233*Предпосылки!$I258*Продажи!O23*O$19*(1+Чувствительность!$D$20)*IFERROR(LOOKUP(Предпосылки!$H$206,$C$13:$C$15,O$13:O$15),1)</f>
        <v>0</v>
      </c>
      <c s="125">
        <f>Предпосылки!O$233*Предпосылки!$I258*Продажи!P23*P$19*(1+Чувствительность!$D$20)*IFERROR(LOOKUP(Предпосылки!$H$206,$C$13:$C$15,P$13:P$15),1)</f>
        <v>0</v>
      </c>
      <c s="125">
        <f>Предпосылки!P$233*Предпосылки!$I258*Продажи!Q23*Q$19*(1+Чувствительность!$D$20)*IFERROR(LOOKUP(Предпосылки!$H$206,$C$13:$C$15,Q$13:Q$15),1)</f>
        <v>0</v>
      </c>
      <c s="125">
        <f>Предпосылки!Q$233*Предпосылки!$I258*Продажи!R23*R$19*(1+Чувствительность!$D$20)*IFERROR(LOOKUP(Предпосылки!$H$206,$C$13:$C$15,R$13:R$15),1)</f>
        <v>0</v>
      </c>
      <c s="125">
        <f>Предпосылки!R$233*Предпосылки!$I258*Продажи!S23*S$19*(1+Чувствительность!$D$20)*IFERROR(LOOKUP(Предпосылки!$H$206,$C$13:$C$15,S$13:S$15),1)</f>
        <v>0</v>
      </c>
      <c s="125">
        <f>Предпосылки!S$233*Предпосылки!$I258*Продажи!T23*T$19*(1+Чувствительность!$D$20)*IFERROR(LOOKUP(Предпосылки!$H$206,$C$13:$C$15,T$13:T$15),1)</f>
        <v>0</v>
      </c>
      <c s="125">
        <f>Предпосылки!T$233*Предпосылки!$I258*Продажи!U23*U$19*(1+Чувствительность!$D$20)*IFERROR(LOOKUP(Предпосылки!$H$206,$C$13:$C$15,U$13:U$15),1)</f>
        <v>0</v>
      </c>
      <c s="125">
        <f>Предпосылки!U$233*Предпосылки!$I258*Продажи!V23*V$19*(1+Чувствительность!$D$20)*IFERROR(LOOKUP(Предпосылки!$H$206,$C$13:$C$15,V$13:V$15),1)</f>
        <v>0</v>
      </c>
      <c s="125">
        <f>Предпосылки!V$233*Предпосылки!$I258*Продажи!W23*W$19*(1+Чувствительность!$D$20)*IFERROR(LOOKUP(Предпосылки!$H$206,$C$13:$C$15,W$13:W$15),1)</f>
        <v>0</v>
      </c>
      <c s="125">
        <f>Предпосылки!W$233*Предпосылки!$I258*Продажи!X23*X$19*(1+Чувствительность!$D$20)*IFERROR(LOOKUP(Предпосылки!$H$206,$C$13:$C$15,X$13:X$15),1)</f>
        <v>0</v>
      </c>
      <c s="125">
        <f>Предпосылки!X$233*Предпосылки!$I258*Продажи!Y23*Y$19*(1+Чувствительность!$D$20)*IFERROR(LOOKUP(Предпосылки!$H$206,$C$13:$C$15,Y$13:Y$15),1)</f>
        <v>0</v>
      </c>
      <c s="125">
        <f>Предпосылки!Y$233*Предпосылки!$I258*Продажи!Z23*Z$19*(1+Чувствительность!$D$20)*IFERROR(LOOKUP(Предпосылки!$H$206,$C$13:$C$15,Z$13:Z$15),1)</f>
        <v>0</v>
      </c>
      <c s="125">
        <f>Предпосылки!Z$233*Предпосылки!$I258*Продажи!AA23*AA$19*(1+Чувствительность!$D$20)*IFERROR(LOOKUP(Предпосылки!$H$206,$C$13:$C$15,AA$13:AA$15),1)</f>
        <v>0</v>
      </c>
      <c s="125">
        <f>Предпосылки!AA$233*Предпосылки!$I258*Продажи!AB23*AB$19*(1+Чувствительность!$D$20)*IFERROR(LOOKUP(Предпосылки!$H$206,$C$13:$C$15,AB$13:AB$15),1)</f>
        <v>0</v>
      </c>
      <c s="125">
        <f>Предпосылки!AB$233*Предпосылки!$I258*Продажи!AC23*AC$19*(1+Чувствительность!$D$20)*IFERROR(LOOKUP(Предпосылки!$H$206,$C$13:$C$15,AC$13:AC$15),1)</f>
        <v>0</v>
      </c>
      <c s="125">
        <f>Предпосылки!AC$233*Предпосылки!$I258*Продажи!AD23*AD$19*(1+Чувствительность!$D$20)*IFERROR(LOOKUP(Предпосылки!$H$206,$C$13:$C$15,AD$13:AD$15),1)</f>
        <v>0</v>
      </c>
      <c s="125">
        <f>Предпосылки!AD$233*Предпосылки!$I258*Продажи!AE23*AE$19*(1+Чувствительность!$D$20)*IFERROR(LOOKUP(Предпосылки!$H$206,$C$13:$C$15,AE$13:AE$15),1)</f>
        <v>0</v>
      </c>
      <c s="125">
        <f>Предпосылки!AE$233*Предпосылки!$I258*Продажи!AF23*AF$19*(1+Чувствительность!$D$20)*IFERROR(LOOKUP(Предпосылки!$H$206,$C$13:$C$15,AF$13:AF$15),1)</f>
        <v>0</v>
      </c>
      <c s="125">
        <f>Предпосылки!AF$233*Предпосылки!$I258*Продажи!AG23*AG$19*(1+Чувствительность!$D$20)*IFERROR(LOOKUP(Предпосылки!$H$206,$C$13:$C$15,AG$13:AG$15),1)</f>
        <v>0</v>
      </c>
      <c s="125">
        <f>Предпосылки!AG$233*Предпосылки!$I258*Продажи!AH23*AH$19*(1+Чувствительность!$D$20)*IFERROR(LOOKUP(Предпосылки!$H$206,$C$13:$C$15,AH$13:AH$15),1)</f>
        <v>0</v>
      </c>
      <c s="125">
        <f>Предпосылки!AH$233*Предпосылки!$I258*Продажи!AI23*AI$19*(1+Чувствительность!$D$20)*IFERROR(LOOKUP(Предпосылки!$H$206,$C$13:$C$15,AI$13:AI$15),1)</f>
        <v>0</v>
      </c>
      <c s="125">
        <f>Предпосылки!AI$233*Предпосылки!$I258*Продажи!AJ23*AJ$19*(1+Чувствительность!$D$20)*IFERROR(LOOKUP(Предпосылки!$H$206,$C$13:$C$15,AJ$13:AJ$15),1)</f>
        <v>0</v>
      </c>
      <c s="125">
        <f>Предпосылки!AJ$233*Предпосылки!$I258*Продажи!AK23*AK$19*(1+Чувствительность!$D$20)*IFERROR(LOOKUP(Предпосылки!$H$206,$C$13:$C$15,AK$13:AK$15),1)</f>
        <v>0</v>
      </c>
      <c s="125">
        <f>Предпосылки!AK$233*Предпосылки!$I258*Продажи!AL23*AL$19*(1+Чувствительность!$D$20)*IFERROR(LOOKUP(Предпосылки!$H$206,$C$13:$C$15,AL$13:AL$15),1)</f>
        <v>0</v>
      </c>
      <c s="125">
        <f>Предпосылки!AL$233*Предпосылки!$I258*Продажи!AM23*AM$19*(1+Чувствительность!$D$20)*IFERROR(LOOKUP(Предпосылки!$H$206,$C$13:$C$15,AM$13:AM$15),1)</f>
        <v>0</v>
      </c>
      <c s="125">
        <f>Предпосылки!AM$233*Предпосылки!$I258*Продажи!AN23*AN$19*(1+Чувствительность!$D$20)*IFERROR(LOOKUP(Предпосылки!$H$206,$C$13:$C$15,AN$13:AN$15),1)</f>
        <v>0</v>
      </c>
      <c s="125">
        <f>Предпосылки!AN$233*Предпосылки!$I258*Продажи!AO23*AO$19*(1+Чувствительность!$D$20)*IFERROR(LOOKUP(Предпосылки!$H$206,$C$13:$C$15,AO$13:AO$15),1)</f>
        <v>0</v>
      </c>
      <c s="125">
        <f>Предпосылки!AO$233*Предпосылки!$I258*Продажи!AP23*AP$19*(1+Чувствительность!$D$20)*IFERROR(LOOKUP(Предпосылки!$H$206,$C$13:$C$15,AP$13:AP$15),1)</f>
        <v>0</v>
      </c>
      <c s="125">
        <f>Предпосылки!AP$233*Предпосылки!$I258*Продажи!AQ23*AQ$19*(1+Чувствительность!$D$20)*IFERROR(LOOKUP(Предпосылки!$H$206,$C$13:$C$15,AQ$13:AQ$15),1)</f>
        <v>0</v>
      </c>
      <c s="125">
        <f>Предпосылки!AQ$233*Предпосылки!$I258*Продажи!AR23*AR$19*(1+Чувствительность!$D$20)*IFERROR(LOOKUP(Предпосылки!$H$206,$C$13:$C$15,AR$13:AR$15),1)</f>
        <v>0</v>
      </c>
      <c s="125">
        <f>Предпосылки!AR$233*Предпосылки!$I258*Продажи!AS23*AS$19*(1+Чувствительность!$D$20)*IFERROR(LOOKUP(Предпосылки!$H$206,$C$13:$C$15,AS$13:AS$15),1)</f>
        <v>0</v>
      </c>
      <c s="125">
        <f>Предпосылки!AS$233*Предпосылки!$I258*Продажи!AT23*AT$19*(1+Чувствительность!$D$20)*IFERROR(LOOKUP(Предпосылки!$H$206,$C$13:$C$15,AT$13:AT$15),1)</f>
        <v>0</v>
      </c>
      <c s="125">
        <f>Предпосылки!AT$233*Предпосылки!$I258*Продажи!AU23*AU$19*(1+Чувствительность!$D$20)*IFERROR(LOOKUP(Предпосылки!$H$206,$C$13:$C$15,AU$13:AU$15),1)</f>
        <v>0</v>
      </c>
      <c s="125">
        <f>Предпосылки!AU$233*Предпосылки!$I258*Продажи!AV23*AV$19*(1+Чувствительность!$D$20)*IFERROR(LOOKUP(Предпосылки!$H$206,$C$13:$C$15,AV$13:AV$15),1)</f>
        <v>0</v>
      </c>
      <c s="125">
        <f>Предпосылки!AV$233*Предпосылки!$I258*Продажи!AW23*AW$19*(1+Чувствительность!$D$20)*IFERROR(LOOKUP(Предпосылки!$H$206,$C$13:$C$15,AW$13:AW$15),1)</f>
        <v>0</v>
      </c>
      <c s="125">
        <f>Предпосылки!AW$233*Предпосылки!$I258*Продажи!AX23*AX$19*(1+Чувствительность!$D$20)*IFERROR(LOOKUP(Предпосылки!$H$206,$C$13:$C$15,AX$13:AX$15),1)</f>
        <v>0</v>
      </c>
      <c s="125">
        <f>Предпосылки!AX$233*Предпосылки!$I258*Продажи!AY23*AY$19*(1+Чувствительность!$D$20)*IFERROR(LOOKUP(Предпосылки!$H$206,$C$13:$C$15,AY$13:AY$15),1)</f>
        <v>0</v>
      </c>
      <c s="125">
        <f>Предпосылки!AY$233*Предпосылки!$I258*Продажи!AZ23*AZ$19*(1+Чувствительность!$D$20)*IFERROR(LOOKUP(Предпосылки!$H$206,$C$13:$C$15,AZ$13:AZ$15),1)</f>
        <v>0</v>
      </c>
      <c s="125">
        <f>Предпосылки!AZ$233*Предпосылки!$I258*Продажи!BA23*BA$19*(1+Чувствительность!$D$20)*IFERROR(LOOKUP(Предпосылки!$H$206,$C$13:$C$15,BA$13:BA$15),1)</f>
        <v>0</v>
      </c>
      <c s="125">
        <f>Предпосылки!BA$233*Предпосылки!$I258*Продажи!BB23*BB$19*(1+Чувствительность!$D$20)*IFERROR(LOOKUP(Предпосылки!$H$206,$C$13:$C$15,BB$13:BB$15),1)</f>
        <v>0</v>
      </c>
      <c s="125">
        <f>Предпосылки!BB$233*Предпосылки!$I258*Продажи!BC23*BC$19*(1+Чувствительность!$D$20)*IFERROR(LOOKUP(Предпосылки!$H$206,$C$13:$C$15,BC$13:BC$15),1)</f>
        <v>0</v>
      </c>
      <c s="125">
        <f>Предпосылки!BC$233*Предпосылки!$I258*Продажи!BD23*BD$19*(1+Чувствительность!$D$20)*IFERROR(LOOKUP(Предпосылки!$H$206,$C$13:$C$15,BD$13:BD$15),1)</f>
        <v>0</v>
      </c>
      <c s="125">
        <f>Предпосылки!BD$233*Предпосылки!$I258*Продажи!BE23*BE$19*(1+Чувствительность!$D$20)*IFERROR(LOOKUP(Предпосылки!$H$206,$C$13:$C$15,BE$13:BE$15),1)</f>
        <v>0</v>
      </c>
      <c s="125">
        <f>Предпосылки!BE$233*Предпосылки!$I258*Продажи!BF23*BF$19*(1+Чувствительность!$D$20)*IFERROR(LOOKUP(Предпосылки!$H$206,$C$13:$C$15,BF$13:BF$15),1)</f>
        <v>0</v>
      </c>
      <c s="125">
        <f>Предпосылки!BF$233*Предпосылки!$I258*Продажи!BG23*BG$19*(1+Чувствительность!$D$20)*IFERROR(LOOKUP(Предпосылки!$H$206,$C$13:$C$15,BG$13:BG$15),1)</f>
        <v>0</v>
      </c>
      <c s="125">
        <f>Предпосылки!BG$233*Предпосылки!$I258*Продажи!BH23*BH$19*(1+Чувствительность!$D$20)*IFERROR(LOOKUP(Предпосылки!$H$206,$C$13:$C$15,BH$13:BH$15),1)</f>
        <v>0</v>
      </c>
      <c s="125">
        <f>Предпосылки!BH$233*Предпосылки!$I258*Продажи!BI23*BI$19*(1+Чувствительность!$D$20)*IFERROR(LOOKUP(Предпосылки!$H$206,$C$13:$C$15,BI$13:BI$15),1)</f>
        <v>0</v>
      </c>
      <c s="125">
        <f>Предпосылки!BI$233*Предпосылки!$I258*Продажи!BJ23*BJ$19*(1+Чувствительность!$D$20)*IFERROR(LOOKUP(Предпосылки!$H$206,$C$13:$C$15,BJ$13:BJ$15),1)</f>
        <v>0</v>
      </c>
      <c s="125">
        <f>Предпосылки!BJ$233*Предпосылки!$I258*Продажи!BK23*BK$19*(1+Чувствительность!$D$20)*IFERROR(LOOKUP(Предпосылки!$H$206,$C$13:$C$15,BK$13:BK$15),1)</f>
        <v>0</v>
      </c>
      <c s="125">
        <f>Предпосылки!BK$233*Предпосылки!$I258*Продажи!BL23*BL$19*(1+Чувствительность!$D$20)*IFERROR(LOOKUP(Предпосылки!$H$206,$C$13:$C$15,BL$13:BL$15),1)</f>
        <v>0</v>
      </c>
      <c s="125">
        <f>Предпосылки!BL$233*Предпосылки!$I258*Продажи!BM23*BM$19*(1+Чувствительность!$D$20)*IFERROR(LOOKUP(Предпосылки!$H$206,$C$13:$C$15,BM$13:BM$15),1)</f>
        <v>0</v>
      </c>
    </row>
    <row r="144" spans="2:65" ht="15" customHeight="1">
      <c r="B144" s="12" t="str">
        <f t="shared" si="86"/>
        <v>Продукт 7</v>
      </c>
      <c s="124" t="str">
        <f t="shared" si="85"/>
        <v>тыс. руб.</v>
      </c>
      <c s="276">
        <f t="shared" si="87"/>
        <v>0</v>
      </c>
      <c s="125">
        <f>Предпосылки!D$233*Предпосылки!$I259*Продажи!E24*E$19*(1+Чувствительность!$D$20)*IFERROR(LOOKUP(Предпосылки!$H$206,$C$13:$C$15,E$13:E$15),1)</f>
        <v>0</v>
      </c>
      <c s="125">
        <f>Предпосылки!E$233*Предпосылки!$I259*Продажи!F24*F$19*(1+Чувствительность!$D$20)*IFERROR(LOOKUP(Предпосылки!$H$206,$C$13:$C$15,F$13:F$15),1)</f>
        <v>0</v>
      </c>
      <c s="125">
        <f>Предпосылки!F$233*Предпосылки!$I259*Продажи!G24*G$19*(1+Чувствительность!$D$20)*IFERROR(LOOKUP(Предпосылки!$H$206,$C$13:$C$15,G$13:G$15),1)</f>
        <v>0</v>
      </c>
      <c s="125">
        <f>Предпосылки!G$233*Предпосылки!$I259*Продажи!H24*H$19*(1+Чувствительность!$D$20)*IFERROR(LOOKUP(Предпосылки!$H$206,$C$13:$C$15,H$13:H$15),1)</f>
        <v>0</v>
      </c>
      <c s="125">
        <f>Предпосылки!H$233*Предпосылки!$I259*Продажи!I24*I$19*(1+Чувствительность!$D$20)*IFERROR(LOOKUP(Предпосылки!$H$206,$C$13:$C$15,I$13:I$15),1)</f>
        <v>0</v>
      </c>
      <c s="125">
        <f>Предпосылки!I$233*Предпосылки!$I259*Продажи!J24*J$19*(1+Чувствительность!$D$20)*IFERROR(LOOKUP(Предпосылки!$H$206,$C$13:$C$15,J$13:J$15),1)</f>
        <v>0</v>
      </c>
      <c s="125">
        <f>Предпосылки!J$233*Предпосылки!$I259*Продажи!K24*K$19*(1+Чувствительность!$D$20)*IFERROR(LOOKUP(Предпосылки!$H$206,$C$13:$C$15,K$13:K$15),1)</f>
        <v>0</v>
      </c>
      <c s="125">
        <f>Предпосылки!K$233*Предпосылки!$I259*Продажи!L24*L$19*(1+Чувствительность!$D$20)*IFERROR(LOOKUP(Предпосылки!$H$206,$C$13:$C$15,L$13:L$15),1)</f>
        <v>0</v>
      </c>
      <c s="125">
        <f>Предпосылки!L$233*Предпосылки!$I259*Продажи!M24*M$19*(1+Чувствительность!$D$20)*IFERROR(LOOKUP(Предпосылки!$H$206,$C$13:$C$15,M$13:M$15),1)</f>
        <v>0</v>
      </c>
      <c s="125">
        <f>Предпосылки!M$233*Предпосылки!$I259*Продажи!N24*N$19*(1+Чувствительность!$D$20)*IFERROR(LOOKUP(Предпосылки!$H$206,$C$13:$C$15,N$13:N$15),1)</f>
        <v>0</v>
      </c>
      <c s="125">
        <f>Предпосылки!N$233*Предпосылки!$I259*Продажи!O24*O$19*(1+Чувствительность!$D$20)*IFERROR(LOOKUP(Предпосылки!$H$206,$C$13:$C$15,O$13:O$15),1)</f>
        <v>0</v>
      </c>
      <c s="125">
        <f>Предпосылки!O$233*Предпосылки!$I259*Продажи!P24*P$19*(1+Чувствительность!$D$20)*IFERROR(LOOKUP(Предпосылки!$H$206,$C$13:$C$15,P$13:P$15),1)</f>
        <v>0</v>
      </c>
      <c s="125">
        <f>Предпосылки!P$233*Предпосылки!$I259*Продажи!Q24*Q$19*(1+Чувствительность!$D$20)*IFERROR(LOOKUP(Предпосылки!$H$206,$C$13:$C$15,Q$13:Q$15),1)</f>
        <v>0</v>
      </c>
      <c s="125">
        <f>Предпосылки!Q$233*Предпосылки!$I259*Продажи!R24*R$19*(1+Чувствительность!$D$20)*IFERROR(LOOKUP(Предпосылки!$H$206,$C$13:$C$15,R$13:R$15),1)</f>
        <v>0</v>
      </c>
      <c s="125">
        <f>Предпосылки!R$233*Предпосылки!$I259*Продажи!S24*S$19*(1+Чувствительность!$D$20)*IFERROR(LOOKUP(Предпосылки!$H$206,$C$13:$C$15,S$13:S$15),1)</f>
        <v>0</v>
      </c>
      <c s="125">
        <f>Предпосылки!S$233*Предпосылки!$I259*Продажи!T24*T$19*(1+Чувствительность!$D$20)*IFERROR(LOOKUP(Предпосылки!$H$206,$C$13:$C$15,T$13:T$15),1)</f>
        <v>0</v>
      </c>
      <c s="125">
        <f>Предпосылки!T$233*Предпосылки!$I259*Продажи!U24*U$19*(1+Чувствительность!$D$20)*IFERROR(LOOKUP(Предпосылки!$H$206,$C$13:$C$15,U$13:U$15),1)</f>
        <v>0</v>
      </c>
      <c s="125">
        <f>Предпосылки!U$233*Предпосылки!$I259*Продажи!V24*V$19*(1+Чувствительность!$D$20)*IFERROR(LOOKUP(Предпосылки!$H$206,$C$13:$C$15,V$13:V$15),1)</f>
        <v>0</v>
      </c>
      <c s="125">
        <f>Предпосылки!V$233*Предпосылки!$I259*Продажи!W24*W$19*(1+Чувствительность!$D$20)*IFERROR(LOOKUP(Предпосылки!$H$206,$C$13:$C$15,W$13:W$15),1)</f>
        <v>0</v>
      </c>
      <c s="125">
        <f>Предпосылки!W$233*Предпосылки!$I259*Продажи!X24*X$19*(1+Чувствительность!$D$20)*IFERROR(LOOKUP(Предпосылки!$H$206,$C$13:$C$15,X$13:X$15),1)</f>
        <v>0</v>
      </c>
      <c s="125">
        <f>Предпосылки!X$233*Предпосылки!$I259*Продажи!Y24*Y$19*(1+Чувствительность!$D$20)*IFERROR(LOOKUP(Предпосылки!$H$206,$C$13:$C$15,Y$13:Y$15),1)</f>
        <v>0</v>
      </c>
      <c s="125">
        <f>Предпосылки!Y$233*Предпосылки!$I259*Продажи!Z24*Z$19*(1+Чувствительность!$D$20)*IFERROR(LOOKUP(Предпосылки!$H$206,$C$13:$C$15,Z$13:Z$15),1)</f>
        <v>0</v>
      </c>
      <c s="125">
        <f>Предпосылки!Z$233*Предпосылки!$I259*Продажи!AA24*AA$19*(1+Чувствительность!$D$20)*IFERROR(LOOKUP(Предпосылки!$H$206,$C$13:$C$15,AA$13:AA$15),1)</f>
        <v>0</v>
      </c>
      <c s="125">
        <f>Предпосылки!AA$233*Предпосылки!$I259*Продажи!AB24*AB$19*(1+Чувствительность!$D$20)*IFERROR(LOOKUP(Предпосылки!$H$206,$C$13:$C$15,AB$13:AB$15),1)</f>
        <v>0</v>
      </c>
      <c s="125">
        <f>Предпосылки!AB$233*Предпосылки!$I259*Продажи!AC24*AC$19*(1+Чувствительность!$D$20)*IFERROR(LOOKUP(Предпосылки!$H$206,$C$13:$C$15,AC$13:AC$15),1)</f>
        <v>0</v>
      </c>
      <c s="125">
        <f>Предпосылки!AC$233*Предпосылки!$I259*Продажи!AD24*AD$19*(1+Чувствительность!$D$20)*IFERROR(LOOKUP(Предпосылки!$H$206,$C$13:$C$15,AD$13:AD$15),1)</f>
        <v>0</v>
      </c>
      <c s="125">
        <f>Предпосылки!AD$233*Предпосылки!$I259*Продажи!AE24*AE$19*(1+Чувствительность!$D$20)*IFERROR(LOOKUP(Предпосылки!$H$206,$C$13:$C$15,AE$13:AE$15),1)</f>
        <v>0</v>
      </c>
      <c s="125">
        <f>Предпосылки!AE$233*Предпосылки!$I259*Продажи!AF24*AF$19*(1+Чувствительность!$D$20)*IFERROR(LOOKUP(Предпосылки!$H$206,$C$13:$C$15,AF$13:AF$15),1)</f>
        <v>0</v>
      </c>
      <c s="125">
        <f>Предпосылки!AF$233*Предпосылки!$I259*Продажи!AG24*AG$19*(1+Чувствительность!$D$20)*IFERROR(LOOKUP(Предпосылки!$H$206,$C$13:$C$15,AG$13:AG$15),1)</f>
        <v>0</v>
      </c>
      <c s="125">
        <f>Предпосылки!AG$233*Предпосылки!$I259*Продажи!AH24*AH$19*(1+Чувствительность!$D$20)*IFERROR(LOOKUP(Предпосылки!$H$206,$C$13:$C$15,AH$13:AH$15),1)</f>
        <v>0</v>
      </c>
      <c s="125">
        <f>Предпосылки!AH$233*Предпосылки!$I259*Продажи!AI24*AI$19*(1+Чувствительность!$D$20)*IFERROR(LOOKUP(Предпосылки!$H$206,$C$13:$C$15,AI$13:AI$15),1)</f>
        <v>0</v>
      </c>
      <c s="125">
        <f>Предпосылки!AI$233*Предпосылки!$I259*Продажи!AJ24*AJ$19*(1+Чувствительность!$D$20)*IFERROR(LOOKUP(Предпосылки!$H$206,$C$13:$C$15,AJ$13:AJ$15),1)</f>
        <v>0</v>
      </c>
      <c s="125">
        <f>Предпосылки!AJ$233*Предпосылки!$I259*Продажи!AK24*AK$19*(1+Чувствительность!$D$20)*IFERROR(LOOKUP(Предпосылки!$H$206,$C$13:$C$15,AK$13:AK$15),1)</f>
        <v>0</v>
      </c>
      <c s="125">
        <f>Предпосылки!AK$233*Предпосылки!$I259*Продажи!AL24*AL$19*(1+Чувствительность!$D$20)*IFERROR(LOOKUP(Предпосылки!$H$206,$C$13:$C$15,AL$13:AL$15),1)</f>
        <v>0</v>
      </c>
      <c s="125">
        <f>Предпосылки!AL$233*Предпосылки!$I259*Продажи!AM24*AM$19*(1+Чувствительность!$D$20)*IFERROR(LOOKUP(Предпосылки!$H$206,$C$13:$C$15,AM$13:AM$15),1)</f>
        <v>0</v>
      </c>
      <c s="125">
        <f>Предпосылки!AM$233*Предпосылки!$I259*Продажи!AN24*AN$19*(1+Чувствительность!$D$20)*IFERROR(LOOKUP(Предпосылки!$H$206,$C$13:$C$15,AN$13:AN$15),1)</f>
        <v>0</v>
      </c>
      <c s="125">
        <f>Предпосылки!AN$233*Предпосылки!$I259*Продажи!AO24*AO$19*(1+Чувствительность!$D$20)*IFERROR(LOOKUP(Предпосылки!$H$206,$C$13:$C$15,AO$13:AO$15),1)</f>
        <v>0</v>
      </c>
      <c s="125">
        <f>Предпосылки!AO$233*Предпосылки!$I259*Продажи!AP24*AP$19*(1+Чувствительность!$D$20)*IFERROR(LOOKUP(Предпосылки!$H$206,$C$13:$C$15,AP$13:AP$15),1)</f>
        <v>0</v>
      </c>
      <c s="125">
        <f>Предпосылки!AP$233*Предпосылки!$I259*Продажи!AQ24*AQ$19*(1+Чувствительность!$D$20)*IFERROR(LOOKUP(Предпосылки!$H$206,$C$13:$C$15,AQ$13:AQ$15),1)</f>
        <v>0</v>
      </c>
      <c s="125">
        <f>Предпосылки!AQ$233*Предпосылки!$I259*Продажи!AR24*AR$19*(1+Чувствительность!$D$20)*IFERROR(LOOKUP(Предпосылки!$H$206,$C$13:$C$15,AR$13:AR$15),1)</f>
        <v>0</v>
      </c>
      <c s="125">
        <f>Предпосылки!AR$233*Предпосылки!$I259*Продажи!AS24*AS$19*(1+Чувствительность!$D$20)*IFERROR(LOOKUP(Предпосылки!$H$206,$C$13:$C$15,AS$13:AS$15),1)</f>
        <v>0</v>
      </c>
      <c s="125">
        <f>Предпосылки!AS$233*Предпосылки!$I259*Продажи!AT24*AT$19*(1+Чувствительность!$D$20)*IFERROR(LOOKUP(Предпосылки!$H$206,$C$13:$C$15,AT$13:AT$15),1)</f>
        <v>0</v>
      </c>
      <c s="125">
        <f>Предпосылки!AT$233*Предпосылки!$I259*Продажи!AU24*AU$19*(1+Чувствительность!$D$20)*IFERROR(LOOKUP(Предпосылки!$H$206,$C$13:$C$15,AU$13:AU$15),1)</f>
        <v>0</v>
      </c>
      <c s="125">
        <f>Предпосылки!AU$233*Предпосылки!$I259*Продажи!AV24*AV$19*(1+Чувствительность!$D$20)*IFERROR(LOOKUP(Предпосылки!$H$206,$C$13:$C$15,AV$13:AV$15),1)</f>
        <v>0</v>
      </c>
      <c s="125">
        <f>Предпосылки!AV$233*Предпосылки!$I259*Продажи!AW24*AW$19*(1+Чувствительность!$D$20)*IFERROR(LOOKUP(Предпосылки!$H$206,$C$13:$C$15,AW$13:AW$15),1)</f>
        <v>0</v>
      </c>
      <c s="125">
        <f>Предпосылки!AW$233*Предпосылки!$I259*Продажи!AX24*AX$19*(1+Чувствительность!$D$20)*IFERROR(LOOKUP(Предпосылки!$H$206,$C$13:$C$15,AX$13:AX$15),1)</f>
        <v>0</v>
      </c>
      <c s="125">
        <f>Предпосылки!AX$233*Предпосылки!$I259*Продажи!AY24*AY$19*(1+Чувствительность!$D$20)*IFERROR(LOOKUP(Предпосылки!$H$206,$C$13:$C$15,AY$13:AY$15),1)</f>
        <v>0</v>
      </c>
      <c s="125">
        <f>Предпосылки!AY$233*Предпосылки!$I259*Продажи!AZ24*AZ$19*(1+Чувствительность!$D$20)*IFERROR(LOOKUP(Предпосылки!$H$206,$C$13:$C$15,AZ$13:AZ$15),1)</f>
        <v>0</v>
      </c>
      <c s="125">
        <f>Предпосылки!AZ$233*Предпосылки!$I259*Продажи!BA24*BA$19*(1+Чувствительность!$D$20)*IFERROR(LOOKUP(Предпосылки!$H$206,$C$13:$C$15,BA$13:BA$15),1)</f>
        <v>0</v>
      </c>
      <c s="125">
        <f>Предпосылки!BA$233*Предпосылки!$I259*Продажи!BB24*BB$19*(1+Чувствительность!$D$20)*IFERROR(LOOKUP(Предпосылки!$H$206,$C$13:$C$15,BB$13:BB$15),1)</f>
        <v>0</v>
      </c>
      <c s="125">
        <f>Предпосылки!BB$233*Предпосылки!$I259*Продажи!BC24*BC$19*(1+Чувствительность!$D$20)*IFERROR(LOOKUP(Предпосылки!$H$206,$C$13:$C$15,BC$13:BC$15),1)</f>
        <v>0</v>
      </c>
      <c s="125">
        <f>Предпосылки!BC$233*Предпосылки!$I259*Продажи!BD24*BD$19*(1+Чувствительность!$D$20)*IFERROR(LOOKUP(Предпосылки!$H$206,$C$13:$C$15,BD$13:BD$15),1)</f>
        <v>0</v>
      </c>
      <c s="125">
        <f>Предпосылки!BD$233*Предпосылки!$I259*Продажи!BE24*BE$19*(1+Чувствительность!$D$20)*IFERROR(LOOKUP(Предпосылки!$H$206,$C$13:$C$15,BE$13:BE$15),1)</f>
        <v>0</v>
      </c>
      <c s="125">
        <f>Предпосылки!BE$233*Предпосылки!$I259*Продажи!BF24*BF$19*(1+Чувствительность!$D$20)*IFERROR(LOOKUP(Предпосылки!$H$206,$C$13:$C$15,BF$13:BF$15),1)</f>
        <v>0</v>
      </c>
      <c s="125">
        <f>Предпосылки!BF$233*Предпосылки!$I259*Продажи!BG24*BG$19*(1+Чувствительность!$D$20)*IFERROR(LOOKUP(Предпосылки!$H$206,$C$13:$C$15,BG$13:BG$15),1)</f>
        <v>0</v>
      </c>
      <c s="125">
        <f>Предпосылки!BG$233*Предпосылки!$I259*Продажи!BH24*BH$19*(1+Чувствительность!$D$20)*IFERROR(LOOKUP(Предпосылки!$H$206,$C$13:$C$15,BH$13:BH$15),1)</f>
        <v>0</v>
      </c>
      <c s="125">
        <f>Предпосылки!BH$233*Предпосылки!$I259*Продажи!BI24*BI$19*(1+Чувствительность!$D$20)*IFERROR(LOOKUP(Предпосылки!$H$206,$C$13:$C$15,BI$13:BI$15),1)</f>
        <v>0</v>
      </c>
      <c s="125">
        <f>Предпосылки!BI$233*Предпосылки!$I259*Продажи!BJ24*BJ$19*(1+Чувствительность!$D$20)*IFERROR(LOOKUP(Предпосылки!$H$206,$C$13:$C$15,BJ$13:BJ$15),1)</f>
        <v>0</v>
      </c>
      <c s="125">
        <f>Предпосылки!BJ$233*Предпосылки!$I259*Продажи!BK24*BK$19*(1+Чувствительность!$D$20)*IFERROR(LOOKUP(Предпосылки!$H$206,$C$13:$C$15,BK$13:BK$15),1)</f>
        <v>0</v>
      </c>
      <c s="125">
        <f>Предпосылки!BK$233*Предпосылки!$I259*Продажи!BL24*BL$19*(1+Чувствительность!$D$20)*IFERROR(LOOKUP(Предпосылки!$H$206,$C$13:$C$15,BL$13:BL$15),1)</f>
        <v>0</v>
      </c>
      <c s="125">
        <f>Предпосылки!BL$233*Предпосылки!$I259*Продажи!BM24*BM$19*(1+Чувствительность!$D$20)*IFERROR(LOOKUP(Предпосылки!$H$206,$C$13:$C$15,BM$13:BM$15),1)</f>
        <v>0</v>
      </c>
    </row>
    <row r="145" spans="2:65" ht="15" customHeight="1">
      <c r="B145" s="12" t="str">
        <f t="shared" si="86"/>
        <v>Продукт 8</v>
      </c>
      <c s="124" t="str">
        <f t="shared" si="85"/>
        <v>тыс. руб.</v>
      </c>
      <c s="276">
        <f t="shared" si="87"/>
        <v>0</v>
      </c>
      <c s="125">
        <f>Предпосылки!D$233*Предпосылки!$I260*Продажи!E25*E$19*(1+Чувствительность!$D$20)*IFERROR(LOOKUP(Предпосылки!$H$206,$C$13:$C$15,E$13:E$15),1)</f>
        <v>0</v>
      </c>
      <c s="125">
        <f>Предпосылки!E$233*Предпосылки!$I260*Продажи!F25*F$19*(1+Чувствительность!$D$20)*IFERROR(LOOKUP(Предпосылки!$H$206,$C$13:$C$15,F$13:F$15),1)</f>
        <v>0</v>
      </c>
      <c s="125">
        <f>Предпосылки!F$233*Предпосылки!$I260*Продажи!G25*G$19*(1+Чувствительность!$D$20)*IFERROR(LOOKUP(Предпосылки!$H$206,$C$13:$C$15,G$13:G$15),1)</f>
        <v>0</v>
      </c>
      <c s="125">
        <f>Предпосылки!G$233*Предпосылки!$I260*Продажи!H25*H$19*(1+Чувствительность!$D$20)*IFERROR(LOOKUP(Предпосылки!$H$206,$C$13:$C$15,H$13:H$15),1)</f>
        <v>0</v>
      </c>
      <c s="125">
        <f>Предпосылки!H$233*Предпосылки!$I260*Продажи!I25*I$19*(1+Чувствительность!$D$20)*IFERROR(LOOKUP(Предпосылки!$H$206,$C$13:$C$15,I$13:I$15),1)</f>
        <v>0</v>
      </c>
      <c s="125">
        <f>Предпосылки!I$233*Предпосылки!$I260*Продажи!J25*J$19*(1+Чувствительность!$D$20)*IFERROR(LOOKUP(Предпосылки!$H$206,$C$13:$C$15,J$13:J$15),1)</f>
        <v>0</v>
      </c>
      <c s="125">
        <f>Предпосылки!J$233*Предпосылки!$I260*Продажи!K25*K$19*(1+Чувствительность!$D$20)*IFERROR(LOOKUP(Предпосылки!$H$206,$C$13:$C$15,K$13:K$15),1)</f>
        <v>0</v>
      </c>
      <c s="125">
        <f>Предпосылки!K$233*Предпосылки!$I260*Продажи!L25*L$19*(1+Чувствительность!$D$20)*IFERROR(LOOKUP(Предпосылки!$H$206,$C$13:$C$15,L$13:L$15),1)</f>
        <v>0</v>
      </c>
      <c s="125">
        <f>Предпосылки!L$233*Предпосылки!$I260*Продажи!M25*M$19*(1+Чувствительность!$D$20)*IFERROR(LOOKUP(Предпосылки!$H$206,$C$13:$C$15,M$13:M$15),1)</f>
        <v>0</v>
      </c>
      <c s="125">
        <f>Предпосылки!M$233*Предпосылки!$I260*Продажи!N25*N$19*(1+Чувствительность!$D$20)*IFERROR(LOOKUP(Предпосылки!$H$206,$C$13:$C$15,N$13:N$15),1)</f>
        <v>0</v>
      </c>
      <c s="125">
        <f>Предпосылки!N$233*Предпосылки!$I260*Продажи!O25*O$19*(1+Чувствительность!$D$20)*IFERROR(LOOKUP(Предпосылки!$H$206,$C$13:$C$15,O$13:O$15),1)</f>
        <v>0</v>
      </c>
      <c s="125">
        <f>Предпосылки!O$233*Предпосылки!$I260*Продажи!P25*P$19*(1+Чувствительность!$D$20)*IFERROR(LOOKUP(Предпосылки!$H$206,$C$13:$C$15,P$13:P$15),1)</f>
        <v>0</v>
      </c>
      <c s="125">
        <f>Предпосылки!P$233*Предпосылки!$I260*Продажи!Q25*Q$19*(1+Чувствительность!$D$20)*IFERROR(LOOKUP(Предпосылки!$H$206,$C$13:$C$15,Q$13:Q$15),1)</f>
        <v>0</v>
      </c>
      <c s="125">
        <f>Предпосылки!Q$233*Предпосылки!$I260*Продажи!R25*R$19*(1+Чувствительность!$D$20)*IFERROR(LOOKUP(Предпосылки!$H$206,$C$13:$C$15,R$13:R$15),1)</f>
        <v>0</v>
      </c>
      <c s="125">
        <f>Предпосылки!R$233*Предпосылки!$I260*Продажи!S25*S$19*(1+Чувствительность!$D$20)*IFERROR(LOOKUP(Предпосылки!$H$206,$C$13:$C$15,S$13:S$15),1)</f>
        <v>0</v>
      </c>
      <c s="125">
        <f>Предпосылки!S$233*Предпосылки!$I260*Продажи!T25*T$19*(1+Чувствительность!$D$20)*IFERROR(LOOKUP(Предпосылки!$H$206,$C$13:$C$15,T$13:T$15),1)</f>
        <v>0</v>
      </c>
      <c s="125">
        <f>Предпосылки!T$233*Предпосылки!$I260*Продажи!U25*U$19*(1+Чувствительность!$D$20)*IFERROR(LOOKUP(Предпосылки!$H$206,$C$13:$C$15,U$13:U$15),1)</f>
        <v>0</v>
      </c>
      <c s="125">
        <f>Предпосылки!U$233*Предпосылки!$I260*Продажи!V25*V$19*(1+Чувствительность!$D$20)*IFERROR(LOOKUP(Предпосылки!$H$206,$C$13:$C$15,V$13:V$15),1)</f>
        <v>0</v>
      </c>
      <c s="125">
        <f>Предпосылки!V$233*Предпосылки!$I260*Продажи!W25*W$19*(1+Чувствительность!$D$20)*IFERROR(LOOKUP(Предпосылки!$H$206,$C$13:$C$15,W$13:W$15),1)</f>
        <v>0</v>
      </c>
      <c s="125">
        <f>Предпосылки!W$233*Предпосылки!$I260*Продажи!X25*X$19*(1+Чувствительность!$D$20)*IFERROR(LOOKUP(Предпосылки!$H$206,$C$13:$C$15,X$13:X$15),1)</f>
        <v>0</v>
      </c>
      <c s="125">
        <f>Предпосылки!X$233*Предпосылки!$I260*Продажи!Y25*Y$19*(1+Чувствительность!$D$20)*IFERROR(LOOKUP(Предпосылки!$H$206,$C$13:$C$15,Y$13:Y$15),1)</f>
        <v>0</v>
      </c>
      <c s="125">
        <f>Предпосылки!Y$233*Предпосылки!$I260*Продажи!Z25*Z$19*(1+Чувствительность!$D$20)*IFERROR(LOOKUP(Предпосылки!$H$206,$C$13:$C$15,Z$13:Z$15),1)</f>
        <v>0</v>
      </c>
      <c s="125">
        <f>Предпосылки!Z$233*Предпосылки!$I260*Продажи!AA25*AA$19*(1+Чувствительность!$D$20)*IFERROR(LOOKUP(Предпосылки!$H$206,$C$13:$C$15,AA$13:AA$15),1)</f>
        <v>0</v>
      </c>
      <c s="125">
        <f>Предпосылки!AA$233*Предпосылки!$I260*Продажи!AB25*AB$19*(1+Чувствительность!$D$20)*IFERROR(LOOKUP(Предпосылки!$H$206,$C$13:$C$15,AB$13:AB$15),1)</f>
        <v>0</v>
      </c>
      <c s="125">
        <f>Предпосылки!AB$233*Предпосылки!$I260*Продажи!AC25*AC$19*(1+Чувствительность!$D$20)*IFERROR(LOOKUP(Предпосылки!$H$206,$C$13:$C$15,AC$13:AC$15),1)</f>
        <v>0</v>
      </c>
      <c s="125">
        <f>Предпосылки!AC$233*Предпосылки!$I260*Продажи!AD25*AD$19*(1+Чувствительность!$D$20)*IFERROR(LOOKUP(Предпосылки!$H$206,$C$13:$C$15,AD$13:AD$15),1)</f>
        <v>0</v>
      </c>
      <c s="125">
        <f>Предпосылки!AD$233*Предпосылки!$I260*Продажи!AE25*AE$19*(1+Чувствительность!$D$20)*IFERROR(LOOKUP(Предпосылки!$H$206,$C$13:$C$15,AE$13:AE$15),1)</f>
        <v>0</v>
      </c>
      <c s="125">
        <f>Предпосылки!AE$233*Предпосылки!$I260*Продажи!AF25*AF$19*(1+Чувствительность!$D$20)*IFERROR(LOOKUP(Предпосылки!$H$206,$C$13:$C$15,AF$13:AF$15),1)</f>
        <v>0</v>
      </c>
      <c s="125">
        <f>Предпосылки!AF$233*Предпосылки!$I260*Продажи!AG25*AG$19*(1+Чувствительность!$D$20)*IFERROR(LOOKUP(Предпосылки!$H$206,$C$13:$C$15,AG$13:AG$15),1)</f>
        <v>0</v>
      </c>
      <c s="125">
        <f>Предпосылки!AG$233*Предпосылки!$I260*Продажи!AH25*AH$19*(1+Чувствительность!$D$20)*IFERROR(LOOKUP(Предпосылки!$H$206,$C$13:$C$15,AH$13:AH$15),1)</f>
        <v>0</v>
      </c>
      <c s="125">
        <f>Предпосылки!AH$233*Предпосылки!$I260*Продажи!AI25*AI$19*(1+Чувствительность!$D$20)*IFERROR(LOOKUP(Предпосылки!$H$206,$C$13:$C$15,AI$13:AI$15),1)</f>
        <v>0</v>
      </c>
      <c s="125">
        <f>Предпосылки!AI$233*Предпосылки!$I260*Продажи!AJ25*AJ$19*(1+Чувствительность!$D$20)*IFERROR(LOOKUP(Предпосылки!$H$206,$C$13:$C$15,AJ$13:AJ$15),1)</f>
        <v>0</v>
      </c>
      <c s="125">
        <f>Предпосылки!AJ$233*Предпосылки!$I260*Продажи!AK25*AK$19*(1+Чувствительность!$D$20)*IFERROR(LOOKUP(Предпосылки!$H$206,$C$13:$C$15,AK$13:AK$15),1)</f>
        <v>0</v>
      </c>
      <c s="125">
        <f>Предпосылки!AK$233*Предпосылки!$I260*Продажи!AL25*AL$19*(1+Чувствительность!$D$20)*IFERROR(LOOKUP(Предпосылки!$H$206,$C$13:$C$15,AL$13:AL$15),1)</f>
        <v>0</v>
      </c>
      <c s="125">
        <f>Предпосылки!AL$233*Предпосылки!$I260*Продажи!AM25*AM$19*(1+Чувствительность!$D$20)*IFERROR(LOOKUP(Предпосылки!$H$206,$C$13:$C$15,AM$13:AM$15),1)</f>
        <v>0</v>
      </c>
      <c s="125">
        <f>Предпосылки!AM$233*Предпосылки!$I260*Продажи!AN25*AN$19*(1+Чувствительность!$D$20)*IFERROR(LOOKUP(Предпосылки!$H$206,$C$13:$C$15,AN$13:AN$15),1)</f>
        <v>0</v>
      </c>
      <c s="125">
        <f>Предпосылки!AN$233*Предпосылки!$I260*Продажи!AO25*AO$19*(1+Чувствительность!$D$20)*IFERROR(LOOKUP(Предпосылки!$H$206,$C$13:$C$15,AO$13:AO$15),1)</f>
        <v>0</v>
      </c>
      <c s="125">
        <f>Предпосылки!AO$233*Предпосылки!$I260*Продажи!AP25*AP$19*(1+Чувствительность!$D$20)*IFERROR(LOOKUP(Предпосылки!$H$206,$C$13:$C$15,AP$13:AP$15),1)</f>
        <v>0</v>
      </c>
      <c s="125">
        <f>Предпосылки!AP$233*Предпосылки!$I260*Продажи!AQ25*AQ$19*(1+Чувствительность!$D$20)*IFERROR(LOOKUP(Предпосылки!$H$206,$C$13:$C$15,AQ$13:AQ$15),1)</f>
        <v>0</v>
      </c>
      <c s="125">
        <f>Предпосылки!AQ$233*Предпосылки!$I260*Продажи!AR25*AR$19*(1+Чувствительность!$D$20)*IFERROR(LOOKUP(Предпосылки!$H$206,$C$13:$C$15,AR$13:AR$15),1)</f>
        <v>0</v>
      </c>
      <c s="125">
        <f>Предпосылки!AR$233*Предпосылки!$I260*Продажи!AS25*AS$19*(1+Чувствительность!$D$20)*IFERROR(LOOKUP(Предпосылки!$H$206,$C$13:$C$15,AS$13:AS$15),1)</f>
        <v>0</v>
      </c>
      <c s="125">
        <f>Предпосылки!AS$233*Предпосылки!$I260*Продажи!AT25*AT$19*(1+Чувствительность!$D$20)*IFERROR(LOOKUP(Предпосылки!$H$206,$C$13:$C$15,AT$13:AT$15),1)</f>
        <v>0</v>
      </c>
      <c s="125">
        <f>Предпосылки!AT$233*Предпосылки!$I260*Продажи!AU25*AU$19*(1+Чувствительность!$D$20)*IFERROR(LOOKUP(Предпосылки!$H$206,$C$13:$C$15,AU$13:AU$15),1)</f>
        <v>0</v>
      </c>
      <c s="125">
        <f>Предпосылки!AU$233*Предпосылки!$I260*Продажи!AV25*AV$19*(1+Чувствительность!$D$20)*IFERROR(LOOKUP(Предпосылки!$H$206,$C$13:$C$15,AV$13:AV$15),1)</f>
        <v>0</v>
      </c>
      <c s="125">
        <f>Предпосылки!AV$233*Предпосылки!$I260*Продажи!AW25*AW$19*(1+Чувствительность!$D$20)*IFERROR(LOOKUP(Предпосылки!$H$206,$C$13:$C$15,AW$13:AW$15),1)</f>
        <v>0</v>
      </c>
      <c s="125">
        <f>Предпосылки!AW$233*Предпосылки!$I260*Продажи!AX25*AX$19*(1+Чувствительность!$D$20)*IFERROR(LOOKUP(Предпосылки!$H$206,$C$13:$C$15,AX$13:AX$15),1)</f>
        <v>0</v>
      </c>
      <c s="125">
        <f>Предпосылки!AX$233*Предпосылки!$I260*Продажи!AY25*AY$19*(1+Чувствительность!$D$20)*IFERROR(LOOKUP(Предпосылки!$H$206,$C$13:$C$15,AY$13:AY$15),1)</f>
        <v>0</v>
      </c>
      <c s="125">
        <f>Предпосылки!AY$233*Предпосылки!$I260*Продажи!AZ25*AZ$19*(1+Чувствительность!$D$20)*IFERROR(LOOKUP(Предпосылки!$H$206,$C$13:$C$15,AZ$13:AZ$15),1)</f>
        <v>0</v>
      </c>
      <c s="125">
        <f>Предпосылки!AZ$233*Предпосылки!$I260*Продажи!BA25*BA$19*(1+Чувствительность!$D$20)*IFERROR(LOOKUP(Предпосылки!$H$206,$C$13:$C$15,BA$13:BA$15),1)</f>
        <v>0</v>
      </c>
      <c s="125">
        <f>Предпосылки!BA$233*Предпосылки!$I260*Продажи!BB25*BB$19*(1+Чувствительность!$D$20)*IFERROR(LOOKUP(Предпосылки!$H$206,$C$13:$C$15,BB$13:BB$15),1)</f>
        <v>0</v>
      </c>
      <c s="125">
        <f>Предпосылки!BB$233*Предпосылки!$I260*Продажи!BC25*BC$19*(1+Чувствительность!$D$20)*IFERROR(LOOKUP(Предпосылки!$H$206,$C$13:$C$15,BC$13:BC$15),1)</f>
        <v>0</v>
      </c>
      <c s="125">
        <f>Предпосылки!BC$233*Предпосылки!$I260*Продажи!BD25*BD$19*(1+Чувствительность!$D$20)*IFERROR(LOOKUP(Предпосылки!$H$206,$C$13:$C$15,BD$13:BD$15),1)</f>
        <v>0</v>
      </c>
      <c s="125">
        <f>Предпосылки!BD$233*Предпосылки!$I260*Продажи!BE25*BE$19*(1+Чувствительность!$D$20)*IFERROR(LOOKUP(Предпосылки!$H$206,$C$13:$C$15,BE$13:BE$15),1)</f>
        <v>0</v>
      </c>
      <c s="125">
        <f>Предпосылки!BE$233*Предпосылки!$I260*Продажи!BF25*BF$19*(1+Чувствительность!$D$20)*IFERROR(LOOKUP(Предпосылки!$H$206,$C$13:$C$15,BF$13:BF$15),1)</f>
        <v>0</v>
      </c>
      <c s="125">
        <f>Предпосылки!BF$233*Предпосылки!$I260*Продажи!BG25*BG$19*(1+Чувствительность!$D$20)*IFERROR(LOOKUP(Предпосылки!$H$206,$C$13:$C$15,BG$13:BG$15),1)</f>
        <v>0</v>
      </c>
      <c s="125">
        <f>Предпосылки!BG$233*Предпосылки!$I260*Продажи!BH25*BH$19*(1+Чувствительность!$D$20)*IFERROR(LOOKUP(Предпосылки!$H$206,$C$13:$C$15,BH$13:BH$15),1)</f>
        <v>0</v>
      </c>
      <c s="125">
        <f>Предпосылки!BH$233*Предпосылки!$I260*Продажи!BI25*BI$19*(1+Чувствительность!$D$20)*IFERROR(LOOKUP(Предпосылки!$H$206,$C$13:$C$15,BI$13:BI$15),1)</f>
        <v>0</v>
      </c>
      <c s="125">
        <f>Предпосылки!BI$233*Предпосылки!$I260*Продажи!BJ25*BJ$19*(1+Чувствительность!$D$20)*IFERROR(LOOKUP(Предпосылки!$H$206,$C$13:$C$15,BJ$13:BJ$15),1)</f>
        <v>0</v>
      </c>
      <c s="125">
        <f>Предпосылки!BJ$233*Предпосылки!$I260*Продажи!BK25*BK$19*(1+Чувствительность!$D$20)*IFERROR(LOOKUP(Предпосылки!$H$206,$C$13:$C$15,BK$13:BK$15),1)</f>
        <v>0</v>
      </c>
      <c s="125">
        <f>Предпосылки!BK$233*Предпосылки!$I260*Продажи!BL25*BL$19*(1+Чувствительность!$D$20)*IFERROR(LOOKUP(Предпосылки!$H$206,$C$13:$C$15,BL$13:BL$15),1)</f>
        <v>0</v>
      </c>
      <c s="125">
        <f>Предпосылки!BL$233*Предпосылки!$I260*Продажи!BM25*BM$19*(1+Чувствительность!$D$20)*IFERROR(LOOKUP(Предпосылки!$H$206,$C$13:$C$15,BM$13:BM$15),1)</f>
        <v>0</v>
      </c>
    </row>
    <row r="146" spans="2:65" ht="15" customHeight="1">
      <c r="B146" s="12" t="str">
        <f t="shared" si="86"/>
        <v>Продукт 9</v>
      </c>
      <c s="124" t="str">
        <f t="shared" si="85"/>
        <v>тыс. руб.</v>
      </c>
      <c s="276">
        <f t="shared" si="87"/>
        <v>0</v>
      </c>
      <c s="125">
        <f>Предпосылки!D$233*Предпосылки!$I261*Продажи!E26*E$19*(1+Чувствительность!$D$20)*IFERROR(LOOKUP(Предпосылки!$H$206,$C$13:$C$15,E$13:E$15),1)</f>
        <v>0</v>
      </c>
      <c s="125">
        <f>Предпосылки!E$233*Предпосылки!$I261*Продажи!F26*F$19*(1+Чувствительность!$D$20)*IFERROR(LOOKUP(Предпосылки!$H$206,$C$13:$C$15,F$13:F$15),1)</f>
        <v>0</v>
      </c>
      <c s="125">
        <f>Предпосылки!F$233*Предпосылки!$I261*Продажи!G26*G$19*(1+Чувствительность!$D$20)*IFERROR(LOOKUP(Предпосылки!$H$206,$C$13:$C$15,G$13:G$15),1)</f>
        <v>0</v>
      </c>
      <c s="125">
        <f>Предпосылки!G$233*Предпосылки!$I261*Продажи!H26*H$19*(1+Чувствительность!$D$20)*IFERROR(LOOKUP(Предпосылки!$H$206,$C$13:$C$15,H$13:H$15),1)</f>
        <v>0</v>
      </c>
      <c s="125">
        <f>Предпосылки!H$233*Предпосылки!$I261*Продажи!I26*I$19*(1+Чувствительность!$D$20)*IFERROR(LOOKUP(Предпосылки!$H$206,$C$13:$C$15,I$13:I$15),1)</f>
        <v>0</v>
      </c>
      <c s="125">
        <f>Предпосылки!I$233*Предпосылки!$I261*Продажи!J26*J$19*(1+Чувствительность!$D$20)*IFERROR(LOOKUP(Предпосылки!$H$206,$C$13:$C$15,J$13:J$15),1)</f>
        <v>0</v>
      </c>
      <c s="125">
        <f>Предпосылки!J$233*Предпосылки!$I261*Продажи!K26*K$19*(1+Чувствительность!$D$20)*IFERROR(LOOKUP(Предпосылки!$H$206,$C$13:$C$15,K$13:K$15),1)</f>
        <v>0</v>
      </c>
      <c s="125">
        <f>Предпосылки!K$233*Предпосылки!$I261*Продажи!L26*L$19*(1+Чувствительность!$D$20)*IFERROR(LOOKUP(Предпосылки!$H$206,$C$13:$C$15,L$13:L$15),1)</f>
        <v>0</v>
      </c>
      <c s="125">
        <f>Предпосылки!L$233*Предпосылки!$I261*Продажи!M26*M$19*(1+Чувствительность!$D$20)*IFERROR(LOOKUP(Предпосылки!$H$206,$C$13:$C$15,M$13:M$15),1)</f>
        <v>0</v>
      </c>
      <c s="125">
        <f>Предпосылки!M$233*Предпосылки!$I261*Продажи!N26*N$19*(1+Чувствительность!$D$20)*IFERROR(LOOKUP(Предпосылки!$H$206,$C$13:$C$15,N$13:N$15),1)</f>
        <v>0</v>
      </c>
      <c s="125">
        <f>Предпосылки!N$233*Предпосылки!$I261*Продажи!O26*O$19*(1+Чувствительность!$D$20)*IFERROR(LOOKUP(Предпосылки!$H$206,$C$13:$C$15,O$13:O$15),1)</f>
        <v>0</v>
      </c>
      <c s="125">
        <f>Предпосылки!O$233*Предпосылки!$I261*Продажи!P26*P$19*(1+Чувствительность!$D$20)*IFERROR(LOOKUP(Предпосылки!$H$206,$C$13:$C$15,P$13:P$15),1)</f>
        <v>0</v>
      </c>
      <c s="125">
        <f>Предпосылки!P$233*Предпосылки!$I261*Продажи!Q26*Q$19*(1+Чувствительность!$D$20)*IFERROR(LOOKUP(Предпосылки!$H$206,$C$13:$C$15,Q$13:Q$15),1)</f>
        <v>0</v>
      </c>
      <c s="125">
        <f>Предпосылки!Q$233*Предпосылки!$I261*Продажи!R26*R$19*(1+Чувствительность!$D$20)*IFERROR(LOOKUP(Предпосылки!$H$206,$C$13:$C$15,R$13:R$15),1)</f>
        <v>0</v>
      </c>
      <c s="125">
        <f>Предпосылки!R$233*Предпосылки!$I261*Продажи!S26*S$19*(1+Чувствительность!$D$20)*IFERROR(LOOKUP(Предпосылки!$H$206,$C$13:$C$15,S$13:S$15),1)</f>
        <v>0</v>
      </c>
      <c s="125">
        <f>Предпосылки!S$233*Предпосылки!$I261*Продажи!T26*T$19*(1+Чувствительность!$D$20)*IFERROR(LOOKUP(Предпосылки!$H$206,$C$13:$C$15,T$13:T$15),1)</f>
        <v>0</v>
      </c>
      <c s="125">
        <f>Предпосылки!T$233*Предпосылки!$I261*Продажи!U26*U$19*(1+Чувствительность!$D$20)*IFERROR(LOOKUP(Предпосылки!$H$206,$C$13:$C$15,U$13:U$15),1)</f>
        <v>0</v>
      </c>
      <c s="125">
        <f>Предпосылки!U$233*Предпосылки!$I261*Продажи!V26*V$19*(1+Чувствительность!$D$20)*IFERROR(LOOKUP(Предпосылки!$H$206,$C$13:$C$15,V$13:V$15),1)</f>
        <v>0</v>
      </c>
      <c s="125">
        <f>Предпосылки!V$233*Предпосылки!$I261*Продажи!W26*W$19*(1+Чувствительность!$D$20)*IFERROR(LOOKUP(Предпосылки!$H$206,$C$13:$C$15,W$13:W$15),1)</f>
        <v>0</v>
      </c>
      <c s="125">
        <f>Предпосылки!W$233*Предпосылки!$I261*Продажи!X26*X$19*(1+Чувствительность!$D$20)*IFERROR(LOOKUP(Предпосылки!$H$206,$C$13:$C$15,X$13:X$15),1)</f>
        <v>0</v>
      </c>
      <c s="125">
        <f>Предпосылки!X$233*Предпосылки!$I261*Продажи!Y26*Y$19*(1+Чувствительность!$D$20)*IFERROR(LOOKUP(Предпосылки!$H$206,$C$13:$C$15,Y$13:Y$15),1)</f>
        <v>0</v>
      </c>
      <c s="125">
        <f>Предпосылки!Y$233*Предпосылки!$I261*Продажи!Z26*Z$19*(1+Чувствительность!$D$20)*IFERROR(LOOKUP(Предпосылки!$H$206,$C$13:$C$15,Z$13:Z$15),1)</f>
        <v>0</v>
      </c>
      <c s="125">
        <f>Предпосылки!Z$233*Предпосылки!$I261*Продажи!AA26*AA$19*(1+Чувствительность!$D$20)*IFERROR(LOOKUP(Предпосылки!$H$206,$C$13:$C$15,AA$13:AA$15),1)</f>
        <v>0</v>
      </c>
      <c s="125">
        <f>Предпосылки!AA$233*Предпосылки!$I261*Продажи!AB26*AB$19*(1+Чувствительность!$D$20)*IFERROR(LOOKUP(Предпосылки!$H$206,$C$13:$C$15,AB$13:AB$15),1)</f>
        <v>0</v>
      </c>
      <c s="125">
        <f>Предпосылки!AB$233*Предпосылки!$I261*Продажи!AC26*AC$19*(1+Чувствительность!$D$20)*IFERROR(LOOKUP(Предпосылки!$H$206,$C$13:$C$15,AC$13:AC$15),1)</f>
        <v>0</v>
      </c>
      <c s="125">
        <f>Предпосылки!AC$233*Предпосылки!$I261*Продажи!AD26*AD$19*(1+Чувствительность!$D$20)*IFERROR(LOOKUP(Предпосылки!$H$206,$C$13:$C$15,AD$13:AD$15),1)</f>
        <v>0</v>
      </c>
      <c s="125">
        <f>Предпосылки!AD$233*Предпосылки!$I261*Продажи!AE26*AE$19*(1+Чувствительность!$D$20)*IFERROR(LOOKUP(Предпосылки!$H$206,$C$13:$C$15,AE$13:AE$15),1)</f>
        <v>0</v>
      </c>
      <c s="125">
        <f>Предпосылки!AE$233*Предпосылки!$I261*Продажи!AF26*AF$19*(1+Чувствительность!$D$20)*IFERROR(LOOKUP(Предпосылки!$H$206,$C$13:$C$15,AF$13:AF$15),1)</f>
        <v>0</v>
      </c>
      <c s="125">
        <f>Предпосылки!AF$233*Предпосылки!$I261*Продажи!AG26*AG$19*(1+Чувствительность!$D$20)*IFERROR(LOOKUP(Предпосылки!$H$206,$C$13:$C$15,AG$13:AG$15),1)</f>
        <v>0</v>
      </c>
      <c s="125">
        <f>Предпосылки!AG$233*Предпосылки!$I261*Продажи!AH26*AH$19*(1+Чувствительность!$D$20)*IFERROR(LOOKUP(Предпосылки!$H$206,$C$13:$C$15,AH$13:AH$15),1)</f>
        <v>0</v>
      </c>
      <c s="125">
        <f>Предпосылки!AH$233*Предпосылки!$I261*Продажи!AI26*AI$19*(1+Чувствительность!$D$20)*IFERROR(LOOKUP(Предпосылки!$H$206,$C$13:$C$15,AI$13:AI$15),1)</f>
        <v>0</v>
      </c>
      <c s="125">
        <f>Предпосылки!AI$233*Предпосылки!$I261*Продажи!AJ26*AJ$19*(1+Чувствительность!$D$20)*IFERROR(LOOKUP(Предпосылки!$H$206,$C$13:$C$15,AJ$13:AJ$15),1)</f>
        <v>0</v>
      </c>
      <c s="125">
        <f>Предпосылки!AJ$233*Предпосылки!$I261*Продажи!AK26*AK$19*(1+Чувствительность!$D$20)*IFERROR(LOOKUP(Предпосылки!$H$206,$C$13:$C$15,AK$13:AK$15),1)</f>
        <v>0</v>
      </c>
      <c s="125">
        <f>Предпосылки!AK$233*Предпосылки!$I261*Продажи!AL26*AL$19*(1+Чувствительность!$D$20)*IFERROR(LOOKUP(Предпосылки!$H$206,$C$13:$C$15,AL$13:AL$15),1)</f>
        <v>0</v>
      </c>
      <c s="125">
        <f>Предпосылки!AL$233*Предпосылки!$I261*Продажи!AM26*AM$19*(1+Чувствительность!$D$20)*IFERROR(LOOKUP(Предпосылки!$H$206,$C$13:$C$15,AM$13:AM$15),1)</f>
        <v>0</v>
      </c>
      <c s="125">
        <f>Предпосылки!AM$233*Предпосылки!$I261*Продажи!AN26*AN$19*(1+Чувствительность!$D$20)*IFERROR(LOOKUP(Предпосылки!$H$206,$C$13:$C$15,AN$13:AN$15),1)</f>
        <v>0</v>
      </c>
      <c s="125">
        <f>Предпосылки!AN$233*Предпосылки!$I261*Продажи!AO26*AO$19*(1+Чувствительность!$D$20)*IFERROR(LOOKUP(Предпосылки!$H$206,$C$13:$C$15,AO$13:AO$15),1)</f>
        <v>0</v>
      </c>
      <c s="125">
        <f>Предпосылки!AO$233*Предпосылки!$I261*Продажи!AP26*AP$19*(1+Чувствительность!$D$20)*IFERROR(LOOKUP(Предпосылки!$H$206,$C$13:$C$15,AP$13:AP$15),1)</f>
        <v>0</v>
      </c>
      <c s="125">
        <f>Предпосылки!AP$233*Предпосылки!$I261*Продажи!AQ26*AQ$19*(1+Чувствительность!$D$20)*IFERROR(LOOKUP(Предпосылки!$H$206,$C$13:$C$15,AQ$13:AQ$15),1)</f>
        <v>0</v>
      </c>
      <c s="125">
        <f>Предпосылки!AQ$233*Предпосылки!$I261*Продажи!AR26*AR$19*(1+Чувствительность!$D$20)*IFERROR(LOOKUP(Предпосылки!$H$206,$C$13:$C$15,AR$13:AR$15),1)</f>
        <v>0</v>
      </c>
      <c s="125">
        <f>Предпосылки!AR$233*Предпосылки!$I261*Продажи!AS26*AS$19*(1+Чувствительность!$D$20)*IFERROR(LOOKUP(Предпосылки!$H$206,$C$13:$C$15,AS$13:AS$15),1)</f>
        <v>0</v>
      </c>
      <c s="125">
        <f>Предпосылки!AS$233*Предпосылки!$I261*Продажи!AT26*AT$19*(1+Чувствительность!$D$20)*IFERROR(LOOKUP(Предпосылки!$H$206,$C$13:$C$15,AT$13:AT$15),1)</f>
        <v>0</v>
      </c>
      <c s="125">
        <f>Предпосылки!AT$233*Предпосылки!$I261*Продажи!AU26*AU$19*(1+Чувствительность!$D$20)*IFERROR(LOOKUP(Предпосылки!$H$206,$C$13:$C$15,AU$13:AU$15),1)</f>
        <v>0</v>
      </c>
      <c s="125">
        <f>Предпосылки!AU$233*Предпосылки!$I261*Продажи!AV26*AV$19*(1+Чувствительность!$D$20)*IFERROR(LOOKUP(Предпосылки!$H$206,$C$13:$C$15,AV$13:AV$15),1)</f>
        <v>0</v>
      </c>
      <c s="125">
        <f>Предпосылки!AV$233*Предпосылки!$I261*Продажи!AW26*AW$19*(1+Чувствительность!$D$20)*IFERROR(LOOKUP(Предпосылки!$H$206,$C$13:$C$15,AW$13:AW$15),1)</f>
        <v>0</v>
      </c>
      <c s="125">
        <f>Предпосылки!AW$233*Предпосылки!$I261*Продажи!AX26*AX$19*(1+Чувствительность!$D$20)*IFERROR(LOOKUP(Предпосылки!$H$206,$C$13:$C$15,AX$13:AX$15),1)</f>
        <v>0</v>
      </c>
      <c s="125">
        <f>Предпосылки!AX$233*Предпосылки!$I261*Продажи!AY26*AY$19*(1+Чувствительность!$D$20)*IFERROR(LOOKUP(Предпосылки!$H$206,$C$13:$C$15,AY$13:AY$15),1)</f>
        <v>0</v>
      </c>
      <c s="125">
        <f>Предпосылки!AY$233*Предпосылки!$I261*Продажи!AZ26*AZ$19*(1+Чувствительность!$D$20)*IFERROR(LOOKUP(Предпосылки!$H$206,$C$13:$C$15,AZ$13:AZ$15),1)</f>
        <v>0</v>
      </c>
      <c s="125">
        <f>Предпосылки!AZ$233*Предпосылки!$I261*Продажи!BA26*BA$19*(1+Чувствительность!$D$20)*IFERROR(LOOKUP(Предпосылки!$H$206,$C$13:$C$15,BA$13:BA$15),1)</f>
        <v>0</v>
      </c>
      <c s="125">
        <f>Предпосылки!BA$233*Предпосылки!$I261*Продажи!BB26*BB$19*(1+Чувствительность!$D$20)*IFERROR(LOOKUP(Предпосылки!$H$206,$C$13:$C$15,BB$13:BB$15),1)</f>
        <v>0</v>
      </c>
      <c s="125">
        <f>Предпосылки!BB$233*Предпосылки!$I261*Продажи!BC26*BC$19*(1+Чувствительность!$D$20)*IFERROR(LOOKUP(Предпосылки!$H$206,$C$13:$C$15,BC$13:BC$15),1)</f>
        <v>0</v>
      </c>
      <c s="125">
        <f>Предпосылки!BC$233*Предпосылки!$I261*Продажи!BD26*BD$19*(1+Чувствительность!$D$20)*IFERROR(LOOKUP(Предпосылки!$H$206,$C$13:$C$15,BD$13:BD$15),1)</f>
        <v>0</v>
      </c>
      <c s="125">
        <f>Предпосылки!BD$233*Предпосылки!$I261*Продажи!BE26*BE$19*(1+Чувствительность!$D$20)*IFERROR(LOOKUP(Предпосылки!$H$206,$C$13:$C$15,BE$13:BE$15),1)</f>
        <v>0</v>
      </c>
      <c s="125">
        <f>Предпосылки!BE$233*Предпосылки!$I261*Продажи!BF26*BF$19*(1+Чувствительность!$D$20)*IFERROR(LOOKUP(Предпосылки!$H$206,$C$13:$C$15,BF$13:BF$15),1)</f>
        <v>0</v>
      </c>
      <c s="125">
        <f>Предпосылки!BF$233*Предпосылки!$I261*Продажи!BG26*BG$19*(1+Чувствительность!$D$20)*IFERROR(LOOKUP(Предпосылки!$H$206,$C$13:$C$15,BG$13:BG$15),1)</f>
        <v>0</v>
      </c>
      <c s="125">
        <f>Предпосылки!BG$233*Предпосылки!$I261*Продажи!BH26*BH$19*(1+Чувствительность!$D$20)*IFERROR(LOOKUP(Предпосылки!$H$206,$C$13:$C$15,BH$13:BH$15),1)</f>
        <v>0</v>
      </c>
      <c s="125">
        <f>Предпосылки!BH$233*Предпосылки!$I261*Продажи!BI26*BI$19*(1+Чувствительность!$D$20)*IFERROR(LOOKUP(Предпосылки!$H$206,$C$13:$C$15,BI$13:BI$15),1)</f>
        <v>0</v>
      </c>
      <c s="125">
        <f>Предпосылки!BI$233*Предпосылки!$I261*Продажи!BJ26*BJ$19*(1+Чувствительность!$D$20)*IFERROR(LOOKUP(Предпосылки!$H$206,$C$13:$C$15,BJ$13:BJ$15),1)</f>
        <v>0</v>
      </c>
      <c s="125">
        <f>Предпосылки!BJ$233*Предпосылки!$I261*Продажи!BK26*BK$19*(1+Чувствительность!$D$20)*IFERROR(LOOKUP(Предпосылки!$H$206,$C$13:$C$15,BK$13:BK$15),1)</f>
        <v>0</v>
      </c>
      <c s="125">
        <f>Предпосылки!BK$233*Предпосылки!$I261*Продажи!BL26*BL$19*(1+Чувствительность!$D$20)*IFERROR(LOOKUP(Предпосылки!$H$206,$C$13:$C$15,BL$13:BL$15),1)</f>
        <v>0</v>
      </c>
      <c s="125">
        <f>Предпосылки!BL$233*Предпосылки!$I261*Продажи!BM26*BM$19*(1+Чувствительность!$D$20)*IFERROR(LOOKUP(Предпосылки!$H$206,$C$13:$C$15,BM$13:BM$15),1)</f>
        <v>0</v>
      </c>
    </row>
    <row r="147" spans="2:65" ht="15" customHeight="1">
      <c r="B147" s="12" t="str">
        <f t="shared" si="86"/>
        <v>Продукт 10</v>
      </c>
      <c s="124" t="str">
        <f t="shared" si="85"/>
        <v>тыс. руб.</v>
      </c>
      <c s="276">
        <f t="shared" si="87"/>
        <v>0</v>
      </c>
      <c s="125">
        <f>Предпосылки!D$233*Предпосылки!$I262*Продажи!E27*E$19*(1+Чувствительность!$D$20)*IFERROR(LOOKUP(Предпосылки!$H$206,$C$13:$C$15,E$13:E$15),1)</f>
        <v>0</v>
      </c>
      <c s="125">
        <f>Предпосылки!E$233*Предпосылки!$I262*Продажи!F27*F$19*(1+Чувствительность!$D$20)*IFERROR(LOOKUP(Предпосылки!$H$206,$C$13:$C$15,F$13:F$15),1)</f>
        <v>0</v>
      </c>
      <c s="125">
        <f>Предпосылки!F$233*Предпосылки!$I262*Продажи!G27*G$19*(1+Чувствительность!$D$20)*IFERROR(LOOKUP(Предпосылки!$H$206,$C$13:$C$15,G$13:G$15),1)</f>
        <v>0</v>
      </c>
      <c s="125">
        <f>Предпосылки!G$233*Предпосылки!$I262*Продажи!H27*H$19*(1+Чувствительность!$D$20)*IFERROR(LOOKUP(Предпосылки!$H$206,$C$13:$C$15,H$13:H$15),1)</f>
        <v>0</v>
      </c>
      <c s="125">
        <f>Предпосылки!H$233*Предпосылки!$I262*Продажи!I27*I$19*(1+Чувствительность!$D$20)*IFERROR(LOOKUP(Предпосылки!$H$206,$C$13:$C$15,I$13:I$15),1)</f>
        <v>0</v>
      </c>
      <c s="125">
        <f>Предпосылки!I$233*Предпосылки!$I262*Продажи!J27*J$19*(1+Чувствительность!$D$20)*IFERROR(LOOKUP(Предпосылки!$H$206,$C$13:$C$15,J$13:J$15),1)</f>
        <v>0</v>
      </c>
      <c s="125">
        <f>Предпосылки!J$233*Предпосылки!$I262*Продажи!K27*K$19*(1+Чувствительность!$D$20)*IFERROR(LOOKUP(Предпосылки!$H$206,$C$13:$C$15,K$13:K$15),1)</f>
        <v>0</v>
      </c>
      <c s="125">
        <f>Предпосылки!K$233*Предпосылки!$I262*Продажи!L27*L$19*(1+Чувствительность!$D$20)*IFERROR(LOOKUP(Предпосылки!$H$206,$C$13:$C$15,L$13:L$15),1)</f>
        <v>0</v>
      </c>
      <c s="125">
        <f>Предпосылки!L$233*Предпосылки!$I262*Продажи!M27*M$19*(1+Чувствительность!$D$20)*IFERROR(LOOKUP(Предпосылки!$H$206,$C$13:$C$15,M$13:M$15),1)</f>
        <v>0</v>
      </c>
      <c s="125">
        <f>Предпосылки!M$233*Предпосылки!$I262*Продажи!N27*N$19*(1+Чувствительность!$D$20)*IFERROR(LOOKUP(Предпосылки!$H$206,$C$13:$C$15,N$13:N$15),1)</f>
        <v>0</v>
      </c>
      <c s="125">
        <f>Предпосылки!N$233*Предпосылки!$I262*Продажи!O27*O$19*(1+Чувствительность!$D$20)*IFERROR(LOOKUP(Предпосылки!$H$206,$C$13:$C$15,O$13:O$15),1)</f>
        <v>0</v>
      </c>
      <c s="125">
        <f>Предпосылки!O$233*Предпосылки!$I262*Продажи!P27*P$19*(1+Чувствительность!$D$20)*IFERROR(LOOKUP(Предпосылки!$H$206,$C$13:$C$15,P$13:P$15),1)</f>
        <v>0</v>
      </c>
      <c s="125">
        <f>Предпосылки!P$233*Предпосылки!$I262*Продажи!Q27*Q$19*(1+Чувствительность!$D$20)*IFERROR(LOOKUP(Предпосылки!$H$206,$C$13:$C$15,Q$13:Q$15),1)</f>
        <v>0</v>
      </c>
      <c s="125">
        <f>Предпосылки!Q$233*Предпосылки!$I262*Продажи!R27*R$19*(1+Чувствительность!$D$20)*IFERROR(LOOKUP(Предпосылки!$H$206,$C$13:$C$15,R$13:R$15),1)</f>
        <v>0</v>
      </c>
      <c s="125">
        <f>Предпосылки!R$233*Предпосылки!$I262*Продажи!S27*S$19*(1+Чувствительность!$D$20)*IFERROR(LOOKUP(Предпосылки!$H$206,$C$13:$C$15,S$13:S$15),1)</f>
        <v>0</v>
      </c>
      <c s="125">
        <f>Предпосылки!S$233*Предпосылки!$I262*Продажи!T27*T$19*(1+Чувствительность!$D$20)*IFERROR(LOOKUP(Предпосылки!$H$206,$C$13:$C$15,T$13:T$15),1)</f>
        <v>0</v>
      </c>
      <c s="125">
        <f>Предпосылки!T$233*Предпосылки!$I262*Продажи!U27*U$19*(1+Чувствительность!$D$20)*IFERROR(LOOKUP(Предпосылки!$H$206,$C$13:$C$15,U$13:U$15),1)</f>
        <v>0</v>
      </c>
      <c s="125">
        <f>Предпосылки!U$233*Предпосылки!$I262*Продажи!V27*V$19*(1+Чувствительность!$D$20)*IFERROR(LOOKUP(Предпосылки!$H$206,$C$13:$C$15,V$13:V$15),1)</f>
        <v>0</v>
      </c>
      <c s="125">
        <f>Предпосылки!V$233*Предпосылки!$I262*Продажи!W27*W$19*(1+Чувствительность!$D$20)*IFERROR(LOOKUP(Предпосылки!$H$206,$C$13:$C$15,W$13:W$15),1)</f>
        <v>0</v>
      </c>
      <c s="125">
        <f>Предпосылки!W$233*Предпосылки!$I262*Продажи!X27*X$19*(1+Чувствительность!$D$20)*IFERROR(LOOKUP(Предпосылки!$H$206,$C$13:$C$15,X$13:X$15),1)</f>
        <v>0</v>
      </c>
      <c s="125">
        <f>Предпосылки!X$233*Предпосылки!$I262*Продажи!Y27*Y$19*(1+Чувствительность!$D$20)*IFERROR(LOOKUP(Предпосылки!$H$206,$C$13:$C$15,Y$13:Y$15),1)</f>
        <v>0</v>
      </c>
      <c s="125">
        <f>Предпосылки!Y$233*Предпосылки!$I262*Продажи!Z27*Z$19*(1+Чувствительность!$D$20)*IFERROR(LOOKUP(Предпосылки!$H$206,$C$13:$C$15,Z$13:Z$15),1)</f>
        <v>0</v>
      </c>
      <c s="125">
        <f>Предпосылки!Z$233*Предпосылки!$I262*Продажи!AA27*AA$19*(1+Чувствительность!$D$20)*IFERROR(LOOKUP(Предпосылки!$H$206,$C$13:$C$15,AA$13:AA$15),1)</f>
        <v>0</v>
      </c>
      <c s="125">
        <f>Предпосылки!AA$233*Предпосылки!$I262*Продажи!AB27*AB$19*(1+Чувствительность!$D$20)*IFERROR(LOOKUP(Предпосылки!$H$206,$C$13:$C$15,AB$13:AB$15),1)</f>
        <v>0</v>
      </c>
      <c s="125">
        <f>Предпосылки!AB$233*Предпосылки!$I262*Продажи!AC27*AC$19*(1+Чувствительность!$D$20)*IFERROR(LOOKUP(Предпосылки!$H$206,$C$13:$C$15,AC$13:AC$15),1)</f>
        <v>0</v>
      </c>
      <c s="125">
        <f>Предпосылки!AC$233*Предпосылки!$I262*Продажи!AD27*AD$19*(1+Чувствительность!$D$20)*IFERROR(LOOKUP(Предпосылки!$H$206,$C$13:$C$15,AD$13:AD$15),1)</f>
        <v>0</v>
      </c>
      <c s="125">
        <f>Предпосылки!AD$233*Предпосылки!$I262*Продажи!AE27*AE$19*(1+Чувствительность!$D$20)*IFERROR(LOOKUP(Предпосылки!$H$206,$C$13:$C$15,AE$13:AE$15),1)</f>
        <v>0</v>
      </c>
      <c s="125">
        <f>Предпосылки!AE$233*Предпосылки!$I262*Продажи!AF27*AF$19*(1+Чувствительность!$D$20)*IFERROR(LOOKUP(Предпосылки!$H$206,$C$13:$C$15,AF$13:AF$15),1)</f>
        <v>0</v>
      </c>
      <c s="125">
        <f>Предпосылки!AF$233*Предпосылки!$I262*Продажи!AG27*AG$19*(1+Чувствительность!$D$20)*IFERROR(LOOKUP(Предпосылки!$H$206,$C$13:$C$15,AG$13:AG$15),1)</f>
        <v>0</v>
      </c>
      <c s="125">
        <f>Предпосылки!AG$233*Предпосылки!$I262*Продажи!AH27*AH$19*(1+Чувствительность!$D$20)*IFERROR(LOOKUP(Предпосылки!$H$206,$C$13:$C$15,AH$13:AH$15),1)</f>
        <v>0</v>
      </c>
      <c s="125">
        <f>Предпосылки!AH$233*Предпосылки!$I262*Продажи!AI27*AI$19*(1+Чувствительность!$D$20)*IFERROR(LOOKUP(Предпосылки!$H$206,$C$13:$C$15,AI$13:AI$15),1)</f>
        <v>0</v>
      </c>
      <c s="125">
        <f>Предпосылки!AI$233*Предпосылки!$I262*Продажи!AJ27*AJ$19*(1+Чувствительность!$D$20)*IFERROR(LOOKUP(Предпосылки!$H$206,$C$13:$C$15,AJ$13:AJ$15),1)</f>
        <v>0</v>
      </c>
      <c s="125">
        <f>Предпосылки!AJ$233*Предпосылки!$I262*Продажи!AK27*AK$19*(1+Чувствительность!$D$20)*IFERROR(LOOKUP(Предпосылки!$H$206,$C$13:$C$15,AK$13:AK$15),1)</f>
        <v>0</v>
      </c>
      <c s="125">
        <f>Предпосылки!AK$233*Предпосылки!$I262*Продажи!AL27*AL$19*(1+Чувствительность!$D$20)*IFERROR(LOOKUP(Предпосылки!$H$206,$C$13:$C$15,AL$13:AL$15),1)</f>
        <v>0</v>
      </c>
      <c s="125">
        <f>Предпосылки!AL$233*Предпосылки!$I262*Продажи!AM27*AM$19*(1+Чувствительность!$D$20)*IFERROR(LOOKUP(Предпосылки!$H$206,$C$13:$C$15,AM$13:AM$15),1)</f>
        <v>0</v>
      </c>
      <c s="125">
        <f>Предпосылки!AM$233*Предпосылки!$I262*Продажи!AN27*AN$19*(1+Чувствительность!$D$20)*IFERROR(LOOKUP(Предпосылки!$H$206,$C$13:$C$15,AN$13:AN$15),1)</f>
        <v>0</v>
      </c>
      <c s="125">
        <f>Предпосылки!AN$233*Предпосылки!$I262*Продажи!AO27*AO$19*(1+Чувствительность!$D$20)*IFERROR(LOOKUP(Предпосылки!$H$206,$C$13:$C$15,AO$13:AO$15),1)</f>
        <v>0</v>
      </c>
      <c s="125">
        <f>Предпосылки!AO$233*Предпосылки!$I262*Продажи!AP27*AP$19*(1+Чувствительность!$D$20)*IFERROR(LOOKUP(Предпосылки!$H$206,$C$13:$C$15,AP$13:AP$15),1)</f>
        <v>0</v>
      </c>
      <c s="125">
        <f>Предпосылки!AP$233*Предпосылки!$I262*Продажи!AQ27*AQ$19*(1+Чувствительность!$D$20)*IFERROR(LOOKUP(Предпосылки!$H$206,$C$13:$C$15,AQ$13:AQ$15),1)</f>
        <v>0</v>
      </c>
      <c s="125">
        <f>Предпосылки!AQ$233*Предпосылки!$I262*Продажи!AR27*AR$19*(1+Чувствительность!$D$20)*IFERROR(LOOKUP(Предпосылки!$H$206,$C$13:$C$15,AR$13:AR$15),1)</f>
        <v>0</v>
      </c>
      <c s="125">
        <f>Предпосылки!AR$233*Предпосылки!$I262*Продажи!AS27*AS$19*(1+Чувствительность!$D$20)*IFERROR(LOOKUP(Предпосылки!$H$206,$C$13:$C$15,AS$13:AS$15),1)</f>
        <v>0</v>
      </c>
      <c s="125">
        <f>Предпосылки!AS$233*Предпосылки!$I262*Продажи!AT27*AT$19*(1+Чувствительность!$D$20)*IFERROR(LOOKUP(Предпосылки!$H$206,$C$13:$C$15,AT$13:AT$15),1)</f>
        <v>0</v>
      </c>
      <c s="125">
        <f>Предпосылки!AT$233*Предпосылки!$I262*Продажи!AU27*AU$19*(1+Чувствительность!$D$20)*IFERROR(LOOKUP(Предпосылки!$H$206,$C$13:$C$15,AU$13:AU$15),1)</f>
        <v>0</v>
      </c>
      <c s="125">
        <f>Предпосылки!AU$233*Предпосылки!$I262*Продажи!AV27*AV$19*(1+Чувствительность!$D$20)*IFERROR(LOOKUP(Предпосылки!$H$206,$C$13:$C$15,AV$13:AV$15),1)</f>
        <v>0</v>
      </c>
      <c s="125">
        <f>Предпосылки!AV$233*Предпосылки!$I262*Продажи!AW27*AW$19*(1+Чувствительность!$D$20)*IFERROR(LOOKUP(Предпосылки!$H$206,$C$13:$C$15,AW$13:AW$15),1)</f>
        <v>0</v>
      </c>
      <c s="125">
        <f>Предпосылки!AW$233*Предпосылки!$I262*Продажи!AX27*AX$19*(1+Чувствительность!$D$20)*IFERROR(LOOKUP(Предпосылки!$H$206,$C$13:$C$15,AX$13:AX$15),1)</f>
        <v>0</v>
      </c>
      <c s="125">
        <f>Предпосылки!AX$233*Предпосылки!$I262*Продажи!AY27*AY$19*(1+Чувствительность!$D$20)*IFERROR(LOOKUP(Предпосылки!$H$206,$C$13:$C$15,AY$13:AY$15),1)</f>
        <v>0</v>
      </c>
      <c s="125">
        <f>Предпосылки!AY$233*Предпосылки!$I262*Продажи!AZ27*AZ$19*(1+Чувствительность!$D$20)*IFERROR(LOOKUP(Предпосылки!$H$206,$C$13:$C$15,AZ$13:AZ$15),1)</f>
        <v>0</v>
      </c>
      <c s="125">
        <f>Предпосылки!AZ$233*Предпосылки!$I262*Продажи!BA27*BA$19*(1+Чувствительность!$D$20)*IFERROR(LOOKUP(Предпосылки!$H$206,$C$13:$C$15,BA$13:BA$15),1)</f>
        <v>0</v>
      </c>
      <c s="125">
        <f>Предпосылки!BA$233*Предпосылки!$I262*Продажи!BB27*BB$19*(1+Чувствительность!$D$20)*IFERROR(LOOKUP(Предпосылки!$H$206,$C$13:$C$15,BB$13:BB$15),1)</f>
        <v>0</v>
      </c>
      <c s="125">
        <f>Предпосылки!BB$233*Предпосылки!$I262*Продажи!BC27*BC$19*(1+Чувствительность!$D$20)*IFERROR(LOOKUP(Предпосылки!$H$206,$C$13:$C$15,BC$13:BC$15),1)</f>
        <v>0</v>
      </c>
      <c s="125">
        <f>Предпосылки!BC$233*Предпосылки!$I262*Продажи!BD27*BD$19*(1+Чувствительность!$D$20)*IFERROR(LOOKUP(Предпосылки!$H$206,$C$13:$C$15,BD$13:BD$15),1)</f>
        <v>0</v>
      </c>
      <c s="125">
        <f>Предпосылки!BD$233*Предпосылки!$I262*Продажи!BE27*BE$19*(1+Чувствительность!$D$20)*IFERROR(LOOKUP(Предпосылки!$H$206,$C$13:$C$15,BE$13:BE$15),1)</f>
        <v>0</v>
      </c>
      <c s="125">
        <f>Предпосылки!BE$233*Предпосылки!$I262*Продажи!BF27*BF$19*(1+Чувствительность!$D$20)*IFERROR(LOOKUP(Предпосылки!$H$206,$C$13:$C$15,BF$13:BF$15),1)</f>
        <v>0</v>
      </c>
      <c s="125">
        <f>Предпосылки!BF$233*Предпосылки!$I262*Продажи!BG27*BG$19*(1+Чувствительность!$D$20)*IFERROR(LOOKUP(Предпосылки!$H$206,$C$13:$C$15,BG$13:BG$15),1)</f>
        <v>0</v>
      </c>
      <c s="125">
        <f>Предпосылки!BG$233*Предпосылки!$I262*Продажи!BH27*BH$19*(1+Чувствительность!$D$20)*IFERROR(LOOKUP(Предпосылки!$H$206,$C$13:$C$15,BH$13:BH$15),1)</f>
        <v>0</v>
      </c>
      <c s="125">
        <f>Предпосылки!BH$233*Предпосылки!$I262*Продажи!BI27*BI$19*(1+Чувствительность!$D$20)*IFERROR(LOOKUP(Предпосылки!$H$206,$C$13:$C$15,BI$13:BI$15),1)</f>
        <v>0</v>
      </c>
      <c s="125">
        <f>Предпосылки!BI$233*Предпосылки!$I262*Продажи!BJ27*BJ$19*(1+Чувствительность!$D$20)*IFERROR(LOOKUP(Предпосылки!$H$206,$C$13:$C$15,BJ$13:BJ$15),1)</f>
        <v>0</v>
      </c>
      <c s="125">
        <f>Предпосылки!BJ$233*Предпосылки!$I262*Продажи!BK27*BK$19*(1+Чувствительность!$D$20)*IFERROR(LOOKUP(Предпосылки!$H$206,$C$13:$C$15,BK$13:BK$15),1)</f>
        <v>0</v>
      </c>
      <c s="125">
        <f>Предпосылки!BK$233*Предпосылки!$I262*Продажи!BL27*BL$19*(1+Чувствительность!$D$20)*IFERROR(LOOKUP(Предпосылки!$H$206,$C$13:$C$15,BL$13:BL$15),1)</f>
        <v>0</v>
      </c>
      <c s="125">
        <f>Предпосылки!BL$233*Предпосылки!$I262*Продажи!BM27*BM$19*(1+Чувствительность!$D$20)*IFERROR(LOOKUP(Предпосылки!$H$206,$C$13:$C$15,BM$13:BM$15),1)</f>
        <v>0</v>
      </c>
    </row>
    <row r="148" spans="2:65" ht="15" customHeight="1">
      <c r="B148" s="12" t="str">
        <f t="shared" si="86"/>
        <v>Продукт 11</v>
      </c>
      <c s="124" t="str">
        <f t="shared" si="85"/>
        <v>тыс. руб.</v>
      </c>
      <c s="276">
        <f t="shared" si="87"/>
        <v>0</v>
      </c>
      <c s="125">
        <f>Предпосылки!D$233*Предпосылки!$I263*Продажи!E28*E$19*(1+Чувствительность!$D$20)*IFERROR(LOOKUP(Предпосылки!$H$206,$C$13:$C$15,E$13:E$15),1)</f>
        <v>0</v>
      </c>
      <c s="125">
        <f>Предпосылки!E$233*Предпосылки!$I263*Продажи!F28*F$19*(1+Чувствительность!$D$20)*IFERROR(LOOKUP(Предпосылки!$H$206,$C$13:$C$15,F$13:F$15),1)</f>
        <v>0</v>
      </c>
      <c s="125">
        <f>Предпосылки!F$233*Предпосылки!$I263*Продажи!G28*G$19*(1+Чувствительность!$D$20)*IFERROR(LOOKUP(Предпосылки!$H$206,$C$13:$C$15,G$13:G$15),1)</f>
        <v>0</v>
      </c>
      <c s="125">
        <f>Предпосылки!G$233*Предпосылки!$I263*Продажи!H28*H$19*(1+Чувствительность!$D$20)*IFERROR(LOOKUP(Предпосылки!$H$206,$C$13:$C$15,H$13:H$15),1)</f>
        <v>0</v>
      </c>
      <c s="125">
        <f>Предпосылки!H$233*Предпосылки!$I263*Продажи!I28*I$19*(1+Чувствительность!$D$20)*IFERROR(LOOKUP(Предпосылки!$H$206,$C$13:$C$15,I$13:I$15),1)</f>
        <v>0</v>
      </c>
      <c s="125">
        <f>Предпосылки!I$233*Предпосылки!$I263*Продажи!J28*J$19*(1+Чувствительность!$D$20)*IFERROR(LOOKUP(Предпосылки!$H$206,$C$13:$C$15,J$13:J$15),1)</f>
        <v>0</v>
      </c>
      <c s="125">
        <f>Предпосылки!J$233*Предпосылки!$I263*Продажи!K28*K$19*(1+Чувствительность!$D$20)*IFERROR(LOOKUP(Предпосылки!$H$206,$C$13:$C$15,K$13:K$15),1)</f>
        <v>0</v>
      </c>
      <c s="125">
        <f>Предпосылки!K$233*Предпосылки!$I263*Продажи!L28*L$19*(1+Чувствительность!$D$20)*IFERROR(LOOKUP(Предпосылки!$H$206,$C$13:$C$15,L$13:L$15),1)</f>
        <v>0</v>
      </c>
      <c s="125">
        <f>Предпосылки!L$233*Предпосылки!$I263*Продажи!M28*M$19*(1+Чувствительность!$D$20)*IFERROR(LOOKUP(Предпосылки!$H$206,$C$13:$C$15,M$13:M$15),1)</f>
        <v>0</v>
      </c>
      <c s="125">
        <f>Предпосылки!M$233*Предпосылки!$I263*Продажи!N28*N$19*(1+Чувствительность!$D$20)*IFERROR(LOOKUP(Предпосылки!$H$206,$C$13:$C$15,N$13:N$15),1)</f>
        <v>0</v>
      </c>
      <c s="125">
        <f>Предпосылки!N$233*Предпосылки!$I263*Продажи!O28*O$19*(1+Чувствительность!$D$20)*IFERROR(LOOKUP(Предпосылки!$H$206,$C$13:$C$15,O$13:O$15),1)</f>
        <v>0</v>
      </c>
      <c s="125">
        <f>Предпосылки!O$233*Предпосылки!$I263*Продажи!P28*P$19*(1+Чувствительность!$D$20)*IFERROR(LOOKUP(Предпосылки!$H$206,$C$13:$C$15,P$13:P$15),1)</f>
        <v>0</v>
      </c>
      <c s="125">
        <f>Предпосылки!P$233*Предпосылки!$I263*Продажи!Q28*Q$19*(1+Чувствительность!$D$20)*IFERROR(LOOKUP(Предпосылки!$H$206,$C$13:$C$15,Q$13:Q$15),1)</f>
        <v>0</v>
      </c>
      <c s="125">
        <f>Предпосылки!Q$233*Предпосылки!$I263*Продажи!R28*R$19*(1+Чувствительность!$D$20)*IFERROR(LOOKUP(Предпосылки!$H$206,$C$13:$C$15,R$13:R$15),1)</f>
        <v>0</v>
      </c>
      <c s="125">
        <f>Предпосылки!R$233*Предпосылки!$I263*Продажи!S28*S$19*(1+Чувствительность!$D$20)*IFERROR(LOOKUP(Предпосылки!$H$206,$C$13:$C$15,S$13:S$15),1)</f>
        <v>0</v>
      </c>
      <c s="125">
        <f>Предпосылки!S$233*Предпосылки!$I263*Продажи!T28*T$19*(1+Чувствительность!$D$20)*IFERROR(LOOKUP(Предпосылки!$H$206,$C$13:$C$15,T$13:T$15),1)</f>
        <v>0</v>
      </c>
      <c s="125">
        <f>Предпосылки!T$233*Предпосылки!$I263*Продажи!U28*U$19*(1+Чувствительность!$D$20)*IFERROR(LOOKUP(Предпосылки!$H$206,$C$13:$C$15,U$13:U$15),1)</f>
        <v>0</v>
      </c>
      <c s="125">
        <f>Предпосылки!U$233*Предпосылки!$I263*Продажи!V28*V$19*(1+Чувствительность!$D$20)*IFERROR(LOOKUP(Предпосылки!$H$206,$C$13:$C$15,V$13:V$15),1)</f>
        <v>0</v>
      </c>
      <c s="125">
        <f>Предпосылки!V$233*Предпосылки!$I263*Продажи!W28*W$19*(1+Чувствительность!$D$20)*IFERROR(LOOKUP(Предпосылки!$H$206,$C$13:$C$15,W$13:W$15),1)</f>
        <v>0</v>
      </c>
      <c s="125">
        <f>Предпосылки!W$233*Предпосылки!$I263*Продажи!X28*X$19*(1+Чувствительность!$D$20)*IFERROR(LOOKUP(Предпосылки!$H$206,$C$13:$C$15,X$13:X$15),1)</f>
        <v>0</v>
      </c>
      <c s="125">
        <f>Предпосылки!X$233*Предпосылки!$I263*Продажи!Y28*Y$19*(1+Чувствительность!$D$20)*IFERROR(LOOKUP(Предпосылки!$H$206,$C$13:$C$15,Y$13:Y$15),1)</f>
        <v>0</v>
      </c>
      <c s="125">
        <f>Предпосылки!Y$233*Предпосылки!$I263*Продажи!Z28*Z$19*(1+Чувствительность!$D$20)*IFERROR(LOOKUP(Предпосылки!$H$206,$C$13:$C$15,Z$13:Z$15),1)</f>
        <v>0</v>
      </c>
      <c s="125">
        <f>Предпосылки!Z$233*Предпосылки!$I263*Продажи!AA28*AA$19*(1+Чувствительность!$D$20)*IFERROR(LOOKUP(Предпосылки!$H$206,$C$13:$C$15,AA$13:AA$15),1)</f>
        <v>0</v>
      </c>
      <c s="125">
        <f>Предпосылки!AA$233*Предпосылки!$I263*Продажи!AB28*AB$19*(1+Чувствительность!$D$20)*IFERROR(LOOKUP(Предпосылки!$H$206,$C$13:$C$15,AB$13:AB$15),1)</f>
        <v>0</v>
      </c>
      <c s="125">
        <f>Предпосылки!AB$233*Предпосылки!$I263*Продажи!AC28*AC$19*(1+Чувствительность!$D$20)*IFERROR(LOOKUP(Предпосылки!$H$206,$C$13:$C$15,AC$13:AC$15),1)</f>
        <v>0</v>
      </c>
      <c s="125">
        <f>Предпосылки!AC$233*Предпосылки!$I263*Продажи!AD28*AD$19*(1+Чувствительность!$D$20)*IFERROR(LOOKUP(Предпосылки!$H$206,$C$13:$C$15,AD$13:AD$15),1)</f>
        <v>0</v>
      </c>
      <c s="125">
        <f>Предпосылки!AD$233*Предпосылки!$I263*Продажи!AE28*AE$19*(1+Чувствительность!$D$20)*IFERROR(LOOKUP(Предпосылки!$H$206,$C$13:$C$15,AE$13:AE$15),1)</f>
        <v>0</v>
      </c>
      <c s="125">
        <f>Предпосылки!AE$233*Предпосылки!$I263*Продажи!AF28*AF$19*(1+Чувствительность!$D$20)*IFERROR(LOOKUP(Предпосылки!$H$206,$C$13:$C$15,AF$13:AF$15),1)</f>
        <v>0</v>
      </c>
      <c s="125">
        <f>Предпосылки!AF$233*Предпосылки!$I263*Продажи!AG28*AG$19*(1+Чувствительность!$D$20)*IFERROR(LOOKUP(Предпосылки!$H$206,$C$13:$C$15,AG$13:AG$15),1)</f>
        <v>0</v>
      </c>
      <c s="125">
        <f>Предпосылки!AG$233*Предпосылки!$I263*Продажи!AH28*AH$19*(1+Чувствительность!$D$20)*IFERROR(LOOKUP(Предпосылки!$H$206,$C$13:$C$15,AH$13:AH$15),1)</f>
        <v>0</v>
      </c>
      <c s="125">
        <f>Предпосылки!AH$233*Предпосылки!$I263*Продажи!AI28*AI$19*(1+Чувствительность!$D$20)*IFERROR(LOOKUP(Предпосылки!$H$206,$C$13:$C$15,AI$13:AI$15),1)</f>
        <v>0</v>
      </c>
      <c s="125">
        <f>Предпосылки!AI$233*Предпосылки!$I263*Продажи!AJ28*AJ$19*(1+Чувствительность!$D$20)*IFERROR(LOOKUP(Предпосылки!$H$206,$C$13:$C$15,AJ$13:AJ$15),1)</f>
        <v>0</v>
      </c>
      <c s="125">
        <f>Предпосылки!AJ$233*Предпосылки!$I263*Продажи!AK28*AK$19*(1+Чувствительность!$D$20)*IFERROR(LOOKUP(Предпосылки!$H$206,$C$13:$C$15,AK$13:AK$15),1)</f>
        <v>0</v>
      </c>
      <c s="125">
        <f>Предпосылки!AK$233*Предпосылки!$I263*Продажи!AL28*AL$19*(1+Чувствительность!$D$20)*IFERROR(LOOKUP(Предпосылки!$H$206,$C$13:$C$15,AL$13:AL$15),1)</f>
        <v>0</v>
      </c>
      <c s="125">
        <f>Предпосылки!AL$233*Предпосылки!$I263*Продажи!AM28*AM$19*(1+Чувствительность!$D$20)*IFERROR(LOOKUP(Предпосылки!$H$206,$C$13:$C$15,AM$13:AM$15),1)</f>
        <v>0</v>
      </c>
      <c s="125">
        <f>Предпосылки!AM$233*Предпосылки!$I263*Продажи!AN28*AN$19*(1+Чувствительность!$D$20)*IFERROR(LOOKUP(Предпосылки!$H$206,$C$13:$C$15,AN$13:AN$15),1)</f>
        <v>0</v>
      </c>
      <c s="125">
        <f>Предпосылки!AN$233*Предпосылки!$I263*Продажи!AO28*AO$19*(1+Чувствительность!$D$20)*IFERROR(LOOKUP(Предпосылки!$H$206,$C$13:$C$15,AO$13:AO$15),1)</f>
        <v>0</v>
      </c>
      <c s="125">
        <f>Предпосылки!AO$233*Предпосылки!$I263*Продажи!AP28*AP$19*(1+Чувствительность!$D$20)*IFERROR(LOOKUP(Предпосылки!$H$206,$C$13:$C$15,AP$13:AP$15),1)</f>
        <v>0</v>
      </c>
      <c s="125">
        <f>Предпосылки!AP$233*Предпосылки!$I263*Продажи!AQ28*AQ$19*(1+Чувствительность!$D$20)*IFERROR(LOOKUP(Предпосылки!$H$206,$C$13:$C$15,AQ$13:AQ$15),1)</f>
        <v>0</v>
      </c>
      <c s="125">
        <f>Предпосылки!AQ$233*Предпосылки!$I263*Продажи!AR28*AR$19*(1+Чувствительность!$D$20)*IFERROR(LOOKUP(Предпосылки!$H$206,$C$13:$C$15,AR$13:AR$15),1)</f>
        <v>0</v>
      </c>
      <c s="125">
        <f>Предпосылки!AR$233*Предпосылки!$I263*Продажи!AS28*AS$19*(1+Чувствительность!$D$20)*IFERROR(LOOKUP(Предпосылки!$H$206,$C$13:$C$15,AS$13:AS$15),1)</f>
        <v>0</v>
      </c>
      <c s="125">
        <f>Предпосылки!AS$233*Предпосылки!$I263*Продажи!AT28*AT$19*(1+Чувствительность!$D$20)*IFERROR(LOOKUP(Предпосылки!$H$206,$C$13:$C$15,AT$13:AT$15),1)</f>
        <v>0</v>
      </c>
      <c s="125">
        <f>Предпосылки!AT$233*Предпосылки!$I263*Продажи!AU28*AU$19*(1+Чувствительность!$D$20)*IFERROR(LOOKUP(Предпосылки!$H$206,$C$13:$C$15,AU$13:AU$15),1)</f>
        <v>0</v>
      </c>
      <c s="125">
        <f>Предпосылки!AU$233*Предпосылки!$I263*Продажи!AV28*AV$19*(1+Чувствительность!$D$20)*IFERROR(LOOKUP(Предпосылки!$H$206,$C$13:$C$15,AV$13:AV$15),1)</f>
        <v>0</v>
      </c>
      <c s="125">
        <f>Предпосылки!AV$233*Предпосылки!$I263*Продажи!AW28*AW$19*(1+Чувствительность!$D$20)*IFERROR(LOOKUP(Предпосылки!$H$206,$C$13:$C$15,AW$13:AW$15),1)</f>
        <v>0</v>
      </c>
      <c s="125">
        <f>Предпосылки!AW$233*Предпосылки!$I263*Продажи!AX28*AX$19*(1+Чувствительность!$D$20)*IFERROR(LOOKUP(Предпосылки!$H$206,$C$13:$C$15,AX$13:AX$15),1)</f>
        <v>0</v>
      </c>
      <c s="125">
        <f>Предпосылки!AX$233*Предпосылки!$I263*Продажи!AY28*AY$19*(1+Чувствительность!$D$20)*IFERROR(LOOKUP(Предпосылки!$H$206,$C$13:$C$15,AY$13:AY$15),1)</f>
        <v>0</v>
      </c>
      <c s="125">
        <f>Предпосылки!AY$233*Предпосылки!$I263*Продажи!AZ28*AZ$19*(1+Чувствительность!$D$20)*IFERROR(LOOKUP(Предпосылки!$H$206,$C$13:$C$15,AZ$13:AZ$15),1)</f>
        <v>0</v>
      </c>
      <c s="125">
        <f>Предпосылки!AZ$233*Предпосылки!$I263*Продажи!BA28*BA$19*(1+Чувствительность!$D$20)*IFERROR(LOOKUP(Предпосылки!$H$206,$C$13:$C$15,BA$13:BA$15),1)</f>
        <v>0</v>
      </c>
      <c s="125">
        <f>Предпосылки!BA$233*Предпосылки!$I263*Продажи!BB28*BB$19*(1+Чувствительность!$D$20)*IFERROR(LOOKUP(Предпосылки!$H$206,$C$13:$C$15,BB$13:BB$15),1)</f>
        <v>0</v>
      </c>
      <c s="125">
        <f>Предпосылки!BB$233*Предпосылки!$I263*Продажи!BC28*BC$19*(1+Чувствительность!$D$20)*IFERROR(LOOKUP(Предпосылки!$H$206,$C$13:$C$15,BC$13:BC$15),1)</f>
        <v>0</v>
      </c>
      <c s="125">
        <f>Предпосылки!BC$233*Предпосылки!$I263*Продажи!BD28*BD$19*(1+Чувствительность!$D$20)*IFERROR(LOOKUP(Предпосылки!$H$206,$C$13:$C$15,BD$13:BD$15),1)</f>
        <v>0</v>
      </c>
      <c s="125">
        <f>Предпосылки!BD$233*Предпосылки!$I263*Продажи!BE28*BE$19*(1+Чувствительность!$D$20)*IFERROR(LOOKUP(Предпосылки!$H$206,$C$13:$C$15,BE$13:BE$15),1)</f>
        <v>0</v>
      </c>
      <c s="125">
        <f>Предпосылки!BE$233*Предпосылки!$I263*Продажи!BF28*BF$19*(1+Чувствительность!$D$20)*IFERROR(LOOKUP(Предпосылки!$H$206,$C$13:$C$15,BF$13:BF$15),1)</f>
        <v>0</v>
      </c>
      <c s="125">
        <f>Предпосылки!BF$233*Предпосылки!$I263*Продажи!BG28*BG$19*(1+Чувствительность!$D$20)*IFERROR(LOOKUP(Предпосылки!$H$206,$C$13:$C$15,BG$13:BG$15),1)</f>
        <v>0</v>
      </c>
      <c s="125">
        <f>Предпосылки!BG$233*Предпосылки!$I263*Продажи!BH28*BH$19*(1+Чувствительность!$D$20)*IFERROR(LOOKUP(Предпосылки!$H$206,$C$13:$C$15,BH$13:BH$15),1)</f>
        <v>0</v>
      </c>
      <c s="125">
        <f>Предпосылки!BH$233*Предпосылки!$I263*Продажи!BI28*BI$19*(1+Чувствительность!$D$20)*IFERROR(LOOKUP(Предпосылки!$H$206,$C$13:$C$15,BI$13:BI$15),1)</f>
        <v>0</v>
      </c>
      <c s="125">
        <f>Предпосылки!BI$233*Предпосылки!$I263*Продажи!BJ28*BJ$19*(1+Чувствительность!$D$20)*IFERROR(LOOKUP(Предпосылки!$H$206,$C$13:$C$15,BJ$13:BJ$15),1)</f>
        <v>0</v>
      </c>
      <c s="125">
        <f>Предпосылки!BJ$233*Предпосылки!$I263*Продажи!BK28*BK$19*(1+Чувствительность!$D$20)*IFERROR(LOOKUP(Предпосылки!$H$206,$C$13:$C$15,BK$13:BK$15),1)</f>
        <v>0</v>
      </c>
      <c s="125">
        <f>Предпосылки!BK$233*Предпосылки!$I263*Продажи!BL28*BL$19*(1+Чувствительность!$D$20)*IFERROR(LOOKUP(Предпосылки!$H$206,$C$13:$C$15,BL$13:BL$15),1)</f>
        <v>0</v>
      </c>
      <c s="125">
        <f>Предпосылки!BL$233*Предпосылки!$I263*Продажи!BM28*BM$19*(1+Чувствительность!$D$20)*IFERROR(LOOKUP(Предпосылки!$H$206,$C$13:$C$15,BM$13:BM$15),1)</f>
        <v>0</v>
      </c>
    </row>
    <row r="149" spans="2:65" ht="15" customHeight="1">
      <c r="B149" s="12" t="str">
        <f t="shared" si="86"/>
        <v>Продукт 12</v>
      </c>
      <c s="124" t="str">
        <f t="shared" si="85"/>
        <v>тыс. руб.</v>
      </c>
      <c s="276">
        <f t="shared" si="87"/>
        <v>0</v>
      </c>
      <c s="125">
        <f>Предпосылки!D$233*Предпосылки!$I264*Продажи!E29*E$19*(1+Чувствительность!$D$20)*IFERROR(LOOKUP(Предпосылки!$H$206,$C$13:$C$15,E$13:E$15),1)</f>
        <v>0</v>
      </c>
      <c s="125">
        <f>Предпосылки!E$233*Предпосылки!$I264*Продажи!F29*F$19*(1+Чувствительность!$D$20)*IFERROR(LOOKUP(Предпосылки!$H$206,$C$13:$C$15,F$13:F$15),1)</f>
        <v>0</v>
      </c>
      <c s="125">
        <f>Предпосылки!F$233*Предпосылки!$I264*Продажи!G29*G$19*(1+Чувствительность!$D$20)*IFERROR(LOOKUP(Предпосылки!$H$206,$C$13:$C$15,G$13:G$15),1)</f>
        <v>0</v>
      </c>
      <c s="125">
        <f>Предпосылки!G$233*Предпосылки!$I264*Продажи!H29*H$19*(1+Чувствительность!$D$20)*IFERROR(LOOKUP(Предпосылки!$H$206,$C$13:$C$15,H$13:H$15),1)</f>
        <v>0</v>
      </c>
      <c s="125">
        <f>Предпосылки!H$233*Предпосылки!$I264*Продажи!I29*I$19*(1+Чувствительность!$D$20)*IFERROR(LOOKUP(Предпосылки!$H$206,$C$13:$C$15,I$13:I$15),1)</f>
        <v>0</v>
      </c>
      <c s="125">
        <f>Предпосылки!I$233*Предпосылки!$I264*Продажи!J29*J$19*(1+Чувствительность!$D$20)*IFERROR(LOOKUP(Предпосылки!$H$206,$C$13:$C$15,J$13:J$15),1)</f>
        <v>0</v>
      </c>
      <c s="125">
        <f>Предпосылки!J$233*Предпосылки!$I264*Продажи!K29*K$19*(1+Чувствительность!$D$20)*IFERROR(LOOKUP(Предпосылки!$H$206,$C$13:$C$15,K$13:K$15),1)</f>
        <v>0</v>
      </c>
      <c s="125">
        <f>Предпосылки!K$233*Предпосылки!$I264*Продажи!L29*L$19*(1+Чувствительность!$D$20)*IFERROR(LOOKUP(Предпосылки!$H$206,$C$13:$C$15,L$13:L$15),1)</f>
        <v>0</v>
      </c>
      <c s="125">
        <f>Предпосылки!L$233*Предпосылки!$I264*Продажи!M29*M$19*(1+Чувствительность!$D$20)*IFERROR(LOOKUP(Предпосылки!$H$206,$C$13:$C$15,M$13:M$15),1)</f>
        <v>0</v>
      </c>
      <c s="125">
        <f>Предпосылки!M$233*Предпосылки!$I264*Продажи!N29*N$19*(1+Чувствительность!$D$20)*IFERROR(LOOKUP(Предпосылки!$H$206,$C$13:$C$15,N$13:N$15),1)</f>
        <v>0</v>
      </c>
      <c s="125">
        <f>Предпосылки!N$233*Предпосылки!$I264*Продажи!O29*O$19*(1+Чувствительность!$D$20)*IFERROR(LOOKUP(Предпосылки!$H$206,$C$13:$C$15,O$13:O$15),1)</f>
        <v>0</v>
      </c>
      <c s="125">
        <f>Предпосылки!O$233*Предпосылки!$I264*Продажи!P29*P$19*(1+Чувствительность!$D$20)*IFERROR(LOOKUP(Предпосылки!$H$206,$C$13:$C$15,P$13:P$15),1)</f>
        <v>0</v>
      </c>
      <c s="125">
        <f>Предпосылки!P$233*Предпосылки!$I264*Продажи!Q29*Q$19*(1+Чувствительность!$D$20)*IFERROR(LOOKUP(Предпосылки!$H$206,$C$13:$C$15,Q$13:Q$15),1)</f>
        <v>0</v>
      </c>
      <c s="125">
        <f>Предпосылки!Q$233*Предпосылки!$I264*Продажи!R29*R$19*(1+Чувствительность!$D$20)*IFERROR(LOOKUP(Предпосылки!$H$206,$C$13:$C$15,R$13:R$15),1)</f>
        <v>0</v>
      </c>
      <c s="125">
        <f>Предпосылки!R$233*Предпосылки!$I264*Продажи!S29*S$19*(1+Чувствительность!$D$20)*IFERROR(LOOKUP(Предпосылки!$H$206,$C$13:$C$15,S$13:S$15),1)</f>
        <v>0</v>
      </c>
      <c s="125">
        <f>Предпосылки!S$233*Предпосылки!$I264*Продажи!T29*T$19*(1+Чувствительность!$D$20)*IFERROR(LOOKUP(Предпосылки!$H$206,$C$13:$C$15,T$13:T$15),1)</f>
        <v>0</v>
      </c>
      <c s="125">
        <f>Предпосылки!T$233*Предпосылки!$I264*Продажи!U29*U$19*(1+Чувствительность!$D$20)*IFERROR(LOOKUP(Предпосылки!$H$206,$C$13:$C$15,U$13:U$15),1)</f>
        <v>0</v>
      </c>
      <c s="125">
        <f>Предпосылки!U$233*Предпосылки!$I264*Продажи!V29*V$19*(1+Чувствительность!$D$20)*IFERROR(LOOKUP(Предпосылки!$H$206,$C$13:$C$15,V$13:V$15),1)</f>
        <v>0</v>
      </c>
      <c s="125">
        <f>Предпосылки!V$233*Предпосылки!$I264*Продажи!W29*W$19*(1+Чувствительность!$D$20)*IFERROR(LOOKUP(Предпосылки!$H$206,$C$13:$C$15,W$13:W$15),1)</f>
        <v>0</v>
      </c>
      <c s="125">
        <f>Предпосылки!W$233*Предпосылки!$I264*Продажи!X29*X$19*(1+Чувствительность!$D$20)*IFERROR(LOOKUP(Предпосылки!$H$206,$C$13:$C$15,X$13:X$15),1)</f>
        <v>0</v>
      </c>
      <c s="125">
        <f>Предпосылки!X$233*Предпосылки!$I264*Продажи!Y29*Y$19*(1+Чувствительность!$D$20)*IFERROR(LOOKUP(Предпосылки!$H$206,$C$13:$C$15,Y$13:Y$15),1)</f>
        <v>0</v>
      </c>
      <c s="125">
        <f>Предпосылки!Y$233*Предпосылки!$I264*Продажи!Z29*Z$19*(1+Чувствительность!$D$20)*IFERROR(LOOKUP(Предпосылки!$H$206,$C$13:$C$15,Z$13:Z$15),1)</f>
        <v>0</v>
      </c>
      <c s="125">
        <f>Предпосылки!Z$233*Предпосылки!$I264*Продажи!AA29*AA$19*(1+Чувствительность!$D$20)*IFERROR(LOOKUP(Предпосылки!$H$206,$C$13:$C$15,AA$13:AA$15),1)</f>
        <v>0</v>
      </c>
      <c s="125">
        <f>Предпосылки!AA$233*Предпосылки!$I264*Продажи!AB29*AB$19*(1+Чувствительность!$D$20)*IFERROR(LOOKUP(Предпосылки!$H$206,$C$13:$C$15,AB$13:AB$15),1)</f>
        <v>0</v>
      </c>
      <c s="125">
        <f>Предпосылки!AB$233*Предпосылки!$I264*Продажи!AC29*AC$19*(1+Чувствительность!$D$20)*IFERROR(LOOKUP(Предпосылки!$H$206,$C$13:$C$15,AC$13:AC$15),1)</f>
        <v>0</v>
      </c>
      <c s="125">
        <f>Предпосылки!AC$233*Предпосылки!$I264*Продажи!AD29*AD$19*(1+Чувствительность!$D$20)*IFERROR(LOOKUP(Предпосылки!$H$206,$C$13:$C$15,AD$13:AD$15),1)</f>
        <v>0</v>
      </c>
      <c s="125">
        <f>Предпосылки!AD$233*Предпосылки!$I264*Продажи!AE29*AE$19*(1+Чувствительность!$D$20)*IFERROR(LOOKUP(Предпосылки!$H$206,$C$13:$C$15,AE$13:AE$15),1)</f>
        <v>0</v>
      </c>
      <c s="125">
        <f>Предпосылки!AE$233*Предпосылки!$I264*Продажи!AF29*AF$19*(1+Чувствительность!$D$20)*IFERROR(LOOKUP(Предпосылки!$H$206,$C$13:$C$15,AF$13:AF$15),1)</f>
        <v>0</v>
      </c>
      <c s="125">
        <f>Предпосылки!AF$233*Предпосылки!$I264*Продажи!AG29*AG$19*(1+Чувствительность!$D$20)*IFERROR(LOOKUP(Предпосылки!$H$206,$C$13:$C$15,AG$13:AG$15),1)</f>
        <v>0</v>
      </c>
      <c s="125">
        <f>Предпосылки!AG$233*Предпосылки!$I264*Продажи!AH29*AH$19*(1+Чувствительность!$D$20)*IFERROR(LOOKUP(Предпосылки!$H$206,$C$13:$C$15,AH$13:AH$15),1)</f>
        <v>0</v>
      </c>
      <c s="125">
        <f>Предпосылки!AH$233*Предпосылки!$I264*Продажи!AI29*AI$19*(1+Чувствительность!$D$20)*IFERROR(LOOKUP(Предпосылки!$H$206,$C$13:$C$15,AI$13:AI$15),1)</f>
        <v>0</v>
      </c>
      <c s="125">
        <f>Предпосылки!AI$233*Предпосылки!$I264*Продажи!AJ29*AJ$19*(1+Чувствительность!$D$20)*IFERROR(LOOKUP(Предпосылки!$H$206,$C$13:$C$15,AJ$13:AJ$15),1)</f>
        <v>0</v>
      </c>
      <c s="125">
        <f>Предпосылки!AJ$233*Предпосылки!$I264*Продажи!AK29*AK$19*(1+Чувствительность!$D$20)*IFERROR(LOOKUP(Предпосылки!$H$206,$C$13:$C$15,AK$13:AK$15),1)</f>
        <v>0</v>
      </c>
      <c s="125">
        <f>Предпосылки!AK$233*Предпосылки!$I264*Продажи!AL29*AL$19*(1+Чувствительность!$D$20)*IFERROR(LOOKUP(Предпосылки!$H$206,$C$13:$C$15,AL$13:AL$15),1)</f>
        <v>0</v>
      </c>
      <c s="125">
        <f>Предпосылки!AL$233*Предпосылки!$I264*Продажи!AM29*AM$19*(1+Чувствительность!$D$20)*IFERROR(LOOKUP(Предпосылки!$H$206,$C$13:$C$15,AM$13:AM$15),1)</f>
        <v>0</v>
      </c>
      <c s="125">
        <f>Предпосылки!AM$233*Предпосылки!$I264*Продажи!AN29*AN$19*(1+Чувствительность!$D$20)*IFERROR(LOOKUP(Предпосылки!$H$206,$C$13:$C$15,AN$13:AN$15),1)</f>
        <v>0</v>
      </c>
      <c s="125">
        <f>Предпосылки!AN$233*Предпосылки!$I264*Продажи!AO29*AO$19*(1+Чувствительность!$D$20)*IFERROR(LOOKUP(Предпосылки!$H$206,$C$13:$C$15,AO$13:AO$15),1)</f>
        <v>0</v>
      </c>
      <c s="125">
        <f>Предпосылки!AO$233*Предпосылки!$I264*Продажи!AP29*AP$19*(1+Чувствительность!$D$20)*IFERROR(LOOKUP(Предпосылки!$H$206,$C$13:$C$15,AP$13:AP$15),1)</f>
        <v>0</v>
      </c>
      <c s="125">
        <f>Предпосылки!AP$233*Предпосылки!$I264*Продажи!AQ29*AQ$19*(1+Чувствительность!$D$20)*IFERROR(LOOKUP(Предпосылки!$H$206,$C$13:$C$15,AQ$13:AQ$15),1)</f>
        <v>0</v>
      </c>
      <c s="125">
        <f>Предпосылки!AQ$233*Предпосылки!$I264*Продажи!AR29*AR$19*(1+Чувствительность!$D$20)*IFERROR(LOOKUP(Предпосылки!$H$206,$C$13:$C$15,AR$13:AR$15),1)</f>
        <v>0</v>
      </c>
      <c s="125">
        <f>Предпосылки!AR$233*Предпосылки!$I264*Продажи!AS29*AS$19*(1+Чувствительность!$D$20)*IFERROR(LOOKUP(Предпосылки!$H$206,$C$13:$C$15,AS$13:AS$15),1)</f>
        <v>0</v>
      </c>
      <c s="125">
        <f>Предпосылки!AS$233*Предпосылки!$I264*Продажи!AT29*AT$19*(1+Чувствительность!$D$20)*IFERROR(LOOKUP(Предпосылки!$H$206,$C$13:$C$15,AT$13:AT$15),1)</f>
        <v>0</v>
      </c>
      <c s="125">
        <f>Предпосылки!AT$233*Предпосылки!$I264*Продажи!AU29*AU$19*(1+Чувствительность!$D$20)*IFERROR(LOOKUP(Предпосылки!$H$206,$C$13:$C$15,AU$13:AU$15),1)</f>
        <v>0</v>
      </c>
      <c s="125">
        <f>Предпосылки!AU$233*Предпосылки!$I264*Продажи!AV29*AV$19*(1+Чувствительность!$D$20)*IFERROR(LOOKUP(Предпосылки!$H$206,$C$13:$C$15,AV$13:AV$15),1)</f>
        <v>0</v>
      </c>
      <c s="125">
        <f>Предпосылки!AV$233*Предпосылки!$I264*Продажи!AW29*AW$19*(1+Чувствительность!$D$20)*IFERROR(LOOKUP(Предпосылки!$H$206,$C$13:$C$15,AW$13:AW$15),1)</f>
        <v>0</v>
      </c>
      <c s="125">
        <f>Предпосылки!AW$233*Предпосылки!$I264*Продажи!AX29*AX$19*(1+Чувствительность!$D$20)*IFERROR(LOOKUP(Предпосылки!$H$206,$C$13:$C$15,AX$13:AX$15),1)</f>
        <v>0</v>
      </c>
      <c s="125">
        <f>Предпосылки!AX$233*Предпосылки!$I264*Продажи!AY29*AY$19*(1+Чувствительность!$D$20)*IFERROR(LOOKUP(Предпосылки!$H$206,$C$13:$C$15,AY$13:AY$15),1)</f>
        <v>0</v>
      </c>
      <c s="125">
        <f>Предпосылки!AY$233*Предпосылки!$I264*Продажи!AZ29*AZ$19*(1+Чувствительность!$D$20)*IFERROR(LOOKUP(Предпосылки!$H$206,$C$13:$C$15,AZ$13:AZ$15),1)</f>
        <v>0</v>
      </c>
      <c s="125">
        <f>Предпосылки!AZ$233*Предпосылки!$I264*Продажи!BA29*BA$19*(1+Чувствительность!$D$20)*IFERROR(LOOKUP(Предпосылки!$H$206,$C$13:$C$15,BA$13:BA$15),1)</f>
        <v>0</v>
      </c>
      <c s="125">
        <f>Предпосылки!BA$233*Предпосылки!$I264*Продажи!BB29*BB$19*(1+Чувствительность!$D$20)*IFERROR(LOOKUP(Предпосылки!$H$206,$C$13:$C$15,BB$13:BB$15),1)</f>
        <v>0</v>
      </c>
      <c s="125">
        <f>Предпосылки!BB$233*Предпосылки!$I264*Продажи!BC29*BC$19*(1+Чувствительность!$D$20)*IFERROR(LOOKUP(Предпосылки!$H$206,$C$13:$C$15,BC$13:BC$15),1)</f>
        <v>0</v>
      </c>
      <c s="125">
        <f>Предпосылки!BC$233*Предпосылки!$I264*Продажи!BD29*BD$19*(1+Чувствительность!$D$20)*IFERROR(LOOKUP(Предпосылки!$H$206,$C$13:$C$15,BD$13:BD$15),1)</f>
        <v>0</v>
      </c>
      <c s="125">
        <f>Предпосылки!BD$233*Предпосылки!$I264*Продажи!BE29*BE$19*(1+Чувствительность!$D$20)*IFERROR(LOOKUP(Предпосылки!$H$206,$C$13:$C$15,BE$13:BE$15),1)</f>
        <v>0</v>
      </c>
      <c s="125">
        <f>Предпосылки!BE$233*Предпосылки!$I264*Продажи!BF29*BF$19*(1+Чувствительность!$D$20)*IFERROR(LOOKUP(Предпосылки!$H$206,$C$13:$C$15,BF$13:BF$15),1)</f>
        <v>0</v>
      </c>
      <c s="125">
        <f>Предпосылки!BF$233*Предпосылки!$I264*Продажи!BG29*BG$19*(1+Чувствительность!$D$20)*IFERROR(LOOKUP(Предпосылки!$H$206,$C$13:$C$15,BG$13:BG$15),1)</f>
        <v>0</v>
      </c>
      <c s="125">
        <f>Предпосылки!BG$233*Предпосылки!$I264*Продажи!BH29*BH$19*(1+Чувствительность!$D$20)*IFERROR(LOOKUP(Предпосылки!$H$206,$C$13:$C$15,BH$13:BH$15),1)</f>
        <v>0</v>
      </c>
      <c s="125">
        <f>Предпосылки!BH$233*Предпосылки!$I264*Продажи!BI29*BI$19*(1+Чувствительность!$D$20)*IFERROR(LOOKUP(Предпосылки!$H$206,$C$13:$C$15,BI$13:BI$15),1)</f>
        <v>0</v>
      </c>
      <c s="125">
        <f>Предпосылки!BI$233*Предпосылки!$I264*Продажи!BJ29*BJ$19*(1+Чувствительность!$D$20)*IFERROR(LOOKUP(Предпосылки!$H$206,$C$13:$C$15,BJ$13:BJ$15),1)</f>
        <v>0</v>
      </c>
      <c s="125">
        <f>Предпосылки!BJ$233*Предпосылки!$I264*Продажи!BK29*BK$19*(1+Чувствительность!$D$20)*IFERROR(LOOKUP(Предпосылки!$H$206,$C$13:$C$15,BK$13:BK$15),1)</f>
        <v>0</v>
      </c>
      <c s="125">
        <f>Предпосылки!BK$233*Предпосылки!$I264*Продажи!BL29*BL$19*(1+Чувствительность!$D$20)*IFERROR(LOOKUP(Предпосылки!$H$206,$C$13:$C$15,BL$13:BL$15),1)</f>
        <v>0</v>
      </c>
      <c s="125">
        <f>Предпосылки!BL$233*Предпосылки!$I264*Продажи!BM29*BM$19*(1+Чувствительность!$D$20)*IFERROR(LOOKUP(Предпосылки!$H$206,$C$13:$C$15,BM$13:BM$15),1)</f>
        <v>0</v>
      </c>
    </row>
    <row r="150" spans="2:65" ht="15" customHeight="1">
      <c r="B150" s="12" t="str">
        <f t="shared" si="86"/>
        <v>Продукт 13</v>
      </c>
      <c s="124" t="str">
        <f t="shared" si="85"/>
        <v>тыс. руб.</v>
      </c>
      <c s="276">
        <f t="shared" si="87"/>
        <v>0</v>
      </c>
      <c s="125">
        <f>Предпосылки!D$233*Предпосылки!$I265*Продажи!E30*E$19*(1+Чувствительность!$D$20)*IFERROR(LOOKUP(Предпосылки!$H$206,$C$13:$C$15,E$13:E$15),1)</f>
        <v>0</v>
      </c>
      <c s="125">
        <f>Предпосылки!E$233*Предпосылки!$I265*Продажи!F30*F$19*(1+Чувствительность!$D$20)*IFERROR(LOOKUP(Предпосылки!$H$206,$C$13:$C$15,F$13:F$15),1)</f>
        <v>0</v>
      </c>
      <c s="125">
        <f>Предпосылки!F$233*Предпосылки!$I265*Продажи!G30*G$19*(1+Чувствительность!$D$20)*IFERROR(LOOKUP(Предпосылки!$H$206,$C$13:$C$15,G$13:G$15),1)</f>
        <v>0</v>
      </c>
      <c s="125">
        <f>Предпосылки!G$233*Предпосылки!$I265*Продажи!H30*H$19*(1+Чувствительность!$D$20)*IFERROR(LOOKUP(Предпосылки!$H$206,$C$13:$C$15,H$13:H$15),1)</f>
        <v>0</v>
      </c>
      <c s="125">
        <f>Предпосылки!H$233*Предпосылки!$I265*Продажи!I30*I$19*(1+Чувствительность!$D$20)*IFERROR(LOOKUP(Предпосылки!$H$206,$C$13:$C$15,I$13:I$15),1)</f>
        <v>0</v>
      </c>
      <c s="125">
        <f>Предпосылки!I$233*Предпосылки!$I265*Продажи!J30*J$19*(1+Чувствительность!$D$20)*IFERROR(LOOKUP(Предпосылки!$H$206,$C$13:$C$15,J$13:J$15),1)</f>
        <v>0</v>
      </c>
      <c s="125">
        <f>Предпосылки!J$233*Предпосылки!$I265*Продажи!K30*K$19*(1+Чувствительность!$D$20)*IFERROR(LOOKUP(Предпосылки!$H$206,$C$13:$C$15,K$13:K$15),1)</f>
        <v>0</v>
      </c>
      <c s="125">
        <f>Предпосылки!K$233*Предпосылки!$I265*Продажи!L30*L$19*(1+Чувствительность!$D$20)*IFERROR(LOOKUP(Предпосылки!$H$206,$C$13:$C$15,L$13:L$15),1)</f>
        <v>0</v>
      </c>
      <c s="125">
        <f>Предпосылки!L$233*Предпосылки!$I265*Продажи!M30*M$19*(1+Чувствительность!$D$20)*IFERROR(LOOKUP(Предпосылки!$H$206,$C$13:$C$15,M$13:M$15),1)</f>
        <v>0</v>
      </c>
      <c s="125">
        <f>Предпосылки!M$233*Предпосылки!$I265*Продажи!N30*N$19*(1+Чувствительность!$D$20)*IFERROR(LOOKUP(Предпосылки!$H$206,$C$13:$C$15,N$13:N$15),1)</f>
        <v>0</v>
      </c>
      <c s="125">
        <f>Предпосылки!N$233*Предпосылки!$I265*Продажи!O30*O$19*(1+Чувствительность!$D$20)*IFERROR(LOOKUP(Предпосылки!$H$206,$C$13:$C$15,O$13:O$15),1)</f>
        <v>0</v>
      </c>
      <c s="125">
        <f>Предпосылки!O$233*Предпосылки!$I265*Продажи!P30*P$19*(1+Чувствительность!$D$20)*IFERROR(LOOKUP(Предпосылки!$H$206,$C$13:$C$15,P$13:P$15),1)</f>
        <v>0</v>
      </c>
      <c s="125">
        <f>Предпосылки!P$233*Предпосылки!$I265*Продажи!Q30*Q$19*(1+Чувствительность!$D$20)*IFERROR(LOOKUP(Предпосылки!$H$206,$C$13:$C$15,Q$13:Q$15),1)</f>
        <v>0</v>
      </c>
      <c s="125">
        <f>Предпосылки!Q$233*Предпосылки!$I265*Продажи!R30*R$19*(1+Чувствительность!$D$20)*IFERROR(LOOKUP(Предпосылки!$H$206,$C$13:$C$15,R$13:R$15),1)</f>
        <v>0</v>
      </c>
      <c s="125">
        <f>Предпосылки!R$233*Предпосылки!$I265*Продажи!S30*S$19*(1+Чувствительность!$D$20)*IFERROR(LOOKUP(Предпосылки!$H$206,$C$13:$C$15,S$13:S$15),1)</f>
        <v>0</v>
      </c>
      <c s="125">
        <f>Предпосылки!S$233*Предпосылки!$I265*Продажи!T30*T$19*(1+Чувствительность!$D$20)*IFERROR(LOOKUP(Предпосылки!$H$206,$C$13:$C$15,T$13:T$15),1)</f>
        <v>0</v>
      </c>
      <c s="125">
        <f>Предпосылки!T$233*Предпосылки!$I265*Продажи!U30*U$19*(1+Чувствительность!$D$20)*IFERROR(LOOKUP(Предпосылки!$H$206,$C$13:$C$15,U$13:U$15),1)</f>
        <v>0</v>
      </c>
      <c s="125">
        <f>Предпосылки!U$233*Предпосылки!$I265*Продажи!V30*V$19*(1+Чувствительность!$D$20)*IFERROR(LOOKUP(Предпосылки!$H$206,$C$13:$C$15,V$13:V$15),1)</f>
        <v>0</v>
      </c>
      <c s="125">
        <f>Предпосылки!V$233*Предпосылки!$I265*Продажи!W30*W$19*(1+Чувствительность!$D$20)*IFERROR(LOOKUP(Предпосылки!$H$206,$C$13:$C$15,W$13:W$15),1)</f>
        <v>0</v>
      </c>
      <c s="125">
        <f>Предпосылки!W$233*Предпосылки!$I265*Продажи!X30*X$19*(1+Чувствительность!$D$20)*IFERROR(LOOKUP(Предпосылки!$H$206,$C$13:$C$15,X$13:X$15),1)</f>
        <v>0</v>
      </c>
      <c s="125">
        <f>Предпосылки!X$233*Предпосылки!$I265*Продажи!Y30*Y$19*(1+Чувствительность!$D$20)*IFERROR(LOOKUP(Предпосылки!$H$206,$C$13:$C$15,Y$13:Y$15),1)</f>
        <v>0</v>
      </c>
      <c s="125">
        <f>Предпосылки!Y$233*Предпосылки!$I265*Продажи!Z30*Z$19*(1+Чувствительность!$D$20)*IFERROR(LOOKUP(Предпосылки!$H$206,$C$13:$C$15,Z$13:Z$15),1)</f>
        <v>0</v>
      </c>
      <c s="125">
        <f>Предпосылки!Z$233*Предпосылки!$I265*Продажи!AA30*AA$19*(1+Чувствительность!$D$20)*IFERROR(LOOKUP(Предпосылки!$H$206,$C$13:$C$15,AA$13:AA$15),1)</f>
        <v>0</v>
      </c>
      <c s="125">
        <f>Предпосылки!AA$233*Предпосылки!$I265*Продажи!AB30*AB$19*(1+Чувствительность!$D$20)*IFERROR(LOOKUP(Предпосылки!$H$206,$C$13:$C$15,AB$13:AB$15),1)</f>
        <v>0</v>
      </c>
      <c s="125">
        <f>Предпосылки!AB$233*Предпосылки!$I265*Продажи!AC30*AC$19*(1+Чувствительность!$D$20)*IFERROR(LOOKUP(Предпосылки!$H$206,$C$13:$C$15,AC$13:AC$15),1)</f>
        <v>0</v>
      </c>
      <c s="125">
        <f>Предпосылки!AC$233*Предпосылки!$I265*Продажи!AD30*AD$19*(1+Чувствительность!$D$20)*IFERROR(LOOKUP(Предпосылки!$H$206,$C$13:$C$15,AD$13:AD$15),1)</f>
        <v>0</v>
      </c>
      <c s="125">
        <f>Предпосылки!AD$233*Предпосылки!$I265*Продажи!AE30*AE$19*(1+Чувствительность!$D$20)*IFERROR(LOOKUP(Предпосылки!$H$206,$C$13:$C$15,AE$13:AE$15),1)</f>
        <v>0</v>
      </c>
      <c s="125">
        <f>Предпосылки!AE$233*Предпосылки!$I265*Продажи!AF30*AF$19*(1+Чувствительность!$D$20)*IFERROR(LOOKUP(Предпосылки!$H$206,$C$13:$C$15,AF$13:AF$15),1)</f>
        <v>0</v>
      </c>
      <c s="125">
        <f>Предпосылки!AF$233*Предпосылки!$I265*Продажи!AG30*AG$19*(1+Чувствительность!$D$20)*IFERROR(LOOKUP(Предпосылки!$H$206,$C$13:$C$15,AG$13:AG$15),1)</f>
        <v>0</v>
      </c>
      <c s="125">
        <f>Предпосылки!AG$233*Предпосылки!$I265*Продажи!AH30*AH$19*(1+Чувствительность!$D$20)*IFERROR(LOOKUP(Предпосылки!$H$206,$C$13:$C$15,AH$13:AH$15),1)</f>
        <v>0</v>
      </c>
      <c s="125">
        <f>Предпосылки!AH$233*Предпосылки!$I265*Продажи!AI30*AI$19*(1+Чувствительность!$D$20)*IFERROR(LOOKUP(Предпосылки!$H$206,$C$13:$C$15,AI$13:AI$15),1)</f>
        <v>0</v>
      </c>
      <c s="125">
        <f>Предпосылки!AI$233*Предпосылки!$I265*Продажи!AJ30*AJ$19*(1+Чувствительность!$D$20)*IFERROR(LOOKUP(Предпосылки!$H$206,$C$13:$C$15,AJ$13:AJ$15),1)</f>
        <v>0</v>
      </c>
      <c s="125">
        <f>Предпосылки!AJ$233*Предпосылки!$I265*Продажи!AK30*AK$19*(1+Чувствительность!$D$20)*IFERROR(LOOKUP(Предпосылки!$H$206,$C$13:$C$15,AK$13:AK$15),1)</f>
        <v>0</v>
      </c>
      <c s="125">
        <f>Предпосылки!AK$233*Предпосылки!$I265*Продажи!AL30*AL$19*(1+Чувствительность!$D$20)*IFERROR(LOOKUP(Предпосылки!$H$206,$C$13:$C$15,AL$13:AL$15),1)</f>
        <v>0</v>
      </c>
      <c s="125">
        <f>Предпосылки!AL$233*Предпосылки!$I265*Продажи!AM30*AM$19*(1+Чувствительность!$D$20)*IFERROR(LOOKUP(Предпосылки!$H$206,$C$13:$C$15,AM$13:AM$15),1)</f>
        <v>0</v>
      </c>
      <c s="125">
        <f>Предпосылки!AM$233*Предпосылки!$I265*Продажи!AN30*AN$19*(1+Чувствительность!$D$20)*IFERROR(LOOKUP(Предпосылки!$H$206,$C$13:$C$15,AN$13:AN$15),1)</f>
        <v>0</v>
      </c>
      <c s="125">
        <f>Предпосылки!AN$233*Предпосылки!$I265*Продажи!AO30*AO$19*(1+Чувствительность!$D$20)*IFERROR(LOOKUP(Предпосылки!$H$206,$C$13:$C$15,AO$13:AO$15),1)</f>
        <v>0</v>
      </c>
      <c s="125">
        <f>Предпосылки!AO$233*Предпосылки!$I265*Продажи!AP30*AP$19*(1+Чувствительность!$D$20)*IFERROR(LOOKUP(Предпосылки!$H$206,$C$13:$C$15,AP$13:AP$15),1)</f>
        <v>0</v>
      </c>
      <c s="125">
        <f>Предпосылки!AP$233*Предпосылки!$I265*Продажи!AQ30*AQ$19*(1+Чувствительность!$D$20)*IFERROR(LOOKUP(Предпосылки!$H$206,$C$13:$C$15,AQ$13:AQ$15),1)</f>
        <v>0</v>
      </c>
      <c s="125">
        <f>Предпосылки!AQ$233*Предпосылки!$I265*Продажи!AR30*AR$19*(1+Чувствительность!$D$20)*IFERROR(LOOKUP(Предпосылки!$H$206,$C$13:$C$15,AR$13:AR$15),1)</f>
        <v>0</v>
      </c>
      <c s="125">
        <f>Предпосылки!AR$233*Предпосылки!$I265*Продажи!AS30*AS$19*(1+Чувствительность!$D$20)*IFERROR(LOOKUP(Предпосылки!$H$206,$C$13:$C$15,AS$13:AS$15),1)</f>
        <v>0</v>
      </c>
      <c s="125">
        <f>Предпосылки!AS$233*Предпосылки!$I265*Продажи!AT30*AT$19*(1+Чувствительность!$D$20)*IFERROR(LOOKUP(Предпосылки!$H$206,$C$13:$C$15,AT$13:AT$15),1)</f>
        <v>0</v>
      </c>
      <c s="125">
        <f>Предпосылки!AT$233*Предпосылки!$I265*Продажи!AU30*AU$19*(1+Чувствительность!$D$20)*IFERROR(LOOKUP(Предпосылки!$H$206,$C$13:$C$15,AU$13:AU$15),1)</f>
        <v>0</v>
      </c>
      <c s="125">
        <f>Предпосылки!AU$233*Предпосылки!$I265*Продажи!AV30*AV$19*(1+Чувствительность!$D$20)*IFERROR(LOOKUP(Предпосылки!$H$206,$C$13:$C$15,AV$13:AV$15),1)</f>
        <v>0</v>
      </c>
      <c s="125">
        <f>Предпосылки!AV$233*Предпосылки!$I265*Продажи!AW30*AW$19*(1+Чувствительность!$D$20)*IFERROR(LOOKUP(Предпосылки!$H$206,$C$13:$C$15,AW$13:AW$15),1)</f>
        <v>0</v>
      </c>
      <c s="125">
        <f>Предпосылки!AW$233*Предпосылки!$I265*Продажи!AX30*AX$19*(1+Чувствительность!$D$20)*IFERROR(LOOKUP(Предпосылки!$H$206,$C$13:$C$15,AX$13:AX$15),1)</f>
        <v>0</v>
      </c>
      <c s="125">
        <f>Предпосылки!AX$233*Предпосылки!$I265*Продажи!AY30*AY$19*(1+Чувствительность!$D$20)*IFERROR(LOOKUP(Предпосылки!$H$206,$C$13:$C$15,AY$13:AY$15),1)</f>
        <v>0</v>
      </c>
      <c s="125">
        <f>Предпосылки!AY$233*Предпосылки!$I265*Продажи!AZ30*AZ$19*(1+Чувствительность!$D$20)*IFERROR(LOOKUP(Предпосылки!$H$206,$C$13:$C$15,AZ$13:AZ$15),1)</f>
        <v>0</v>
      </c>
      <c s="125">
        <f>Предпосылки!AZ$233*Предпосылки!$I265*Продажи!BA30*BA$19*(1+Чувствительность!$D$20)*IFERROR(LOOKUP(Предпосылки!$H$206,$C$13:$C$15,BA$13:BA$15),1)</f>
        <v>0</v>
      </c>
      <c s="125">
        <f>Предпосылки!BA$233*Предпосылки!$I265*Продажи!BB30*BB$19*(1+Чувствительность!$D$20)*IFERROR(LOOKUP(Предпосылки!$H$206,$C$13:$C$15,BB$13:BB$15),1)</f>
        <v>0</v>
      </c>
      <c s="125">
        <f>Предпосылки!BB$233*Предпосылки!$I265*Продажи!BC30*BC$19*(1+Чувствительность!$D$20)*IFERROR(LOOKUP(Предпосылки!$H$206,$C$13:$C$15,BC$13:BC$15),1)</f>
        <v>0</v>
      </c>
      <c s="125">
        <f>Предпосылки!BC$233*Предпосылки!$I265*Продажи!BD30*BD$19*(1+Чувствительность!$D$20)*IFERROR(LOOKUP(Предпосылки!$H$206,$C$13:$C$15,BD$13:BD$15),1)</f>
        <v>0</v>
      </c>
      <c s="125">
        <f>Предпосылки!BD$233*Предпосылки!$I265*Продажи!BE30*BE$19*(1+Чувствительность!$D$20)*IFERROR(LOOKUP(Предпосылки!$H$206,$C$13:$C$15,BE$13:BE$15),1)</f>
        <v>0</v>
      </c>
      <c s="125">
        <f>Предпосылки!BE$233*Предпосылки!$I265*Продажи!BF30*BF$19*(1+Чувствительность!$D$20)*IFERROR(LOOKUP(Предпосылки!$H$206,$C$13:$C$15,BF$13:BF$15),1)</f>
        <v>0</v>
      </c>
      <c s="125">
        <f>Предпосылки!BF$233*Предпосылки!$I265*Продажи!BG30*BG$19*(1+Чувствительность!$D$20)*IFERROR(LOOKUP(Предпосылки!$H$206,$C$13:$C$15,BG$13:BG$15),1)</f>
        <v>0</v>
      </c>
      <c s="125">
        <f>Предпосылки!BG$233*Предпосылки!$I265*Продажи!BH30*BH$19*(1+Чувствительность!$D$20)*IFERROR(LOOKUP(Предпосылки!$H$206,$C$13:$C$15,BH$13:BH$15),1)</f>
        <v>0</v>
      </c>
      <c s="125">
        <f>Предпосылки!BH$233*Предпосылки!$I265*Продажи!BI30*BI$19*(1+Чувствительность!$D$20)*IFERROR(LOOKUP(Предпосылки!$H$206,$C$13:$C$15,BI$13:BI$15),1)</f>
        <v>0</v>
      </c>
      <c s="125">
        <f>Предпосылки!BI$233*Предпосылки!$I265*Продажи!BJ30*BJ$19*(1+Чувствительность!$D$20)*IFERROR(LOOKUP(Предпосылки!$H$206,$C$13:$C$15,BJ$13:BJ$15),1)</f>
        <v>0</v>
      </c>
      <c s="125">
        <f>Предпосылки!BJ$233*Предпосылки!$I265*Продажи!BK30*BK$19*(1+Чувствительность!$D$20)*IFERROR(LOOKUP(Предпосылки!$H$206,$C$13:$C$15,BK$13:BK$15),1)</f>
        <v>0</v>
      </c>
      <c s="125">
        <f>Предпосылки!BK$233*Предпосылки!$I265*Продажи!BL30*BL$19*(1+Чувствительность!$D$20)*IFERROR(LOOKUP(Предпосылки!$H$206,$C$13:$C$15,BL$13:BL$15),1)</f>
        <v>0</v>
      </c>
      <c s="125">
        <f>Предпосылки!BL$233*Предпосылки!$I265*Продажи!BM30*BM$19*(1+Чувствительность!$D$20)*IFERROR(LOOKUP(Предпосылки!$H$206,$C$13:$C$15,BM$13:BM$15),1)</f>
        <v>0</v>
      </c>
    </row>
    <row r="151" spans="2:65" ht="15" customHeight="1">
      <c r="B151" s="12" t="str">
        <f t="shared" si="86"/>
        <v>Продукт 14</v>
      </c>
      <c s="124" t="str">
        <f t="shared" si="85"/>
        <v>тыс. руб.</v>
      </c>
      <c s="276">
        <f t="shared" si="87"/>
        <v>0</v>
      </c>
      <c s="125">
        <f>Предпосылки!D$233*Предпосылки!$I266*Продажи!E31*E$19*(1+Чувствительность!$D$20)*IFERROR(LOOKUP(Предпосылки!$H$206,$C$13:$C$15,E$13:E$15),1)</f>
        <v>0</v>
      </c>
      <c s="125">
        <f>Предпосылки!E$233*Предпосылки!$I266*Продажи!F31*F$19*(1+Чувствительность!$D$20)*IFERROR(LOOKUP(Предпосылки!$H$206,$C$13:$C$15,F$13:F$15),1)</f>
        <v>0</v>
      </c>
      <c s="125">
        <f>Предпосылки!F$233*Предпосылки!$I266*Продажи!G31*G$19*(1+Чувствительность!$D$20)*IFERROR(LOOKUP(Предпосылки!$H$206,$C$13:$C$15,G$13:G$15),1)</f>
        <v>0</v>
      </c>
      <c s="125">
        <f>Предпосылки!G$233*Предпосылки!$I266*Продажи!H31*H$19*(1+Чувствительность!$D$20)*IFERROR(LOOKUP(Предпосылки!$H$206,$C$13:$C$15,H$13:H$15),1)</f>
        <v>0</v>
      </c>
      <c s="125">
        <f>Предпосылки!H$233*Предпосылки!$I266*Продажи!I31*I$19*(1+Чувствительность!$D$20)*IFERROR(LOOKUP(Предпосылки!$H$206,$C$13:$C$15,I$13:I$15),1)</f>
        <v>0</v>
      </c>
      <c s="125">
        <f>Предпосылки!I$233*Предпосылки!$I266*Продажи!J31*J$19*(1+Чувствительность!$D$20)*IFERROR(LOOKUP(Предпосылки!$H$206,$C$13:$C$15,J$13:J$15),1)</f>
        <v>0</v>
      </c>
      <c s="125">
        <f>Предпосылки!J$233*Предпосылки!$I266*Продажи!K31*K$19*(1+Чувствительность!$D$20)*IFERROR(LOOKUP(Предпосылки!$H$206,$C$13:$C$15,K$13:K$15),1)</f>
        <v>0</v>
      </c>
      <c s="125">
        <f>Предпосылки!K$233*Предпосылки!$I266*Продажи!L31*L$19*(1+Чувствительность!$D$20)*IFERROR(LOOKUP(Предпосылки!$H$206,$C$13:$C$15,L$13:L$15),1)</f>
        <v>0</v>
      </c>
      <c s="125">
        <f>Предпосылки!L$233*Предпосылки!$I266*Продажи!M31*M$19*(1+Чувствительность!$D$20)*IFERROR(LOOKUP(Предпосылки!$H$206,$C$13:$C$15,M$13:M$15),1)</f>
        <v>0</v>
      </c>
      <c s="125">
        <f>Предпосылки!M$233*Предпосылки!$I266*Продажи!N31*N$19*(1+Чувствительность!$D$20)*IFERROR(LOOKUP(Предпосылки!$H$206,$C$13:$C$15,N$13:N$15),1)</f>
        <v>0</v>
      </c>
      <c s="125">
        <f>Предпосылки!N$233*Предпосылки!$I266*Продажи!O31*O$19*(1+Чувствительность!$D$20)*IFERROR(LOOKUP(Предпосылки!$H$206,$C$13:$C$15,O$13:O$15),1)</f>
        <v>0</v>
      </c>
      <c s="125">
        <f>Предпосылки!O$233*Предпосылки!$I266*Продажи!P31*P$19*(1+Чувствительность!$D$20)*IFERROR(LOOKUP(Предпосылки!$H$206,$C$13:$C$15,P$13:P$15),1)</f>
        <v>0</v>
      </c>
      <c s="125">
        <f>Предпосылки!P$233*Предпосылки!$I266*Продажи!Q31*Q$19*(1+Чувствительность!$D$20)*IFERROR(LOOKUP(Предпосылки!$H$206,$C$13:$C$15,Q$13:Q$15),1)</f>
        <v>0</v>
      </c>
      <c s="125">
        <f>Предпосылки!Q$233*Предпосылки!$I266*Продажи!R31*R$19*(1+Чувствительность!$D$20)*IFERROR(LOOKUP(Предпосылки!$H$206,$C$13:$C$15,R$13:R$15),1)</f>
        <v>0</v>
      </c>
      <c s="125">
        <f>Предпосылки!R$233*Предпосылки!$I266*Продажи!S31*S$19*(1+Чувствительность!$D$20)*IFERROR(LOOKUP(Предпосылки!$H$206,$C$13:$C$15,S$13:S$15),1)</f>
        <v>0</v>
      </c>
      <c s="125">
        <f>Предпосылки!S$233*Предпосылки!$I266*Продажи!T31*T$19*(1+Чувствительность!$D$20)*IFERROR(LOOKUP(Предпосылки!$H$206,$C$13:$C$15,T$13:T$15),1)</f>
        <v>0</v>
      </c>
      <c s="125">
        <f>Предпосылки!T$233*Предпосылки!$I266*Продажи!U31*U$19*(1+Чувствительность!$D$20)*IFERROR(LOOKUP(Предпосылки!$H$206,$C$13:$C$15,U$13:U$15),1)</f>
        <v>0</v>
      </c>
      <c s="125">
        <f>Предпосылки!U$233*Предпосылки!$I266*Продажи!V31*V$19*(1+Чувствительность!$D$20)*IFERROR(LOOKUP(Предпосылки!$H$206,$C$13:$C$15,V$13:V$15),1)</f>
        <v>0</v>
      </c>
      <c s="125">
        <f>Предпосылки!V$233*Предпосылки!$I266*Продажи!W31*W$19*(1+Чувствительность!$D$20)*IFERROR(LOOKUP(Предпосылки!$H$206,$C$13:$C$15,W$13:W$15),1)</f>
        <v>0</v>
      </c>
      <c s="125">
        <f>Предпосылки!W$233*Предпосылки!$I266*Продажи!X31*X$19*(1+Чувствительность!$D$20)*IFERROR(LOOKUP(Предпосылки!$H$206,$C$13:$C$15,X$13:X$15),1)</f>
        <v>0</v>
      </c>
      <c s="125">
        <f>Предпосылки!X$233*Предпосылки!$I266*Продажи!Y31*Y$19*(1+Чувствительность!$D$20)*IFERROR(LOOKUP(Предпосылки!$H$206,$C$13:$C$15,Y$13:Y$15),1)</f>
        <v>0</v>
      </c>
      <c s="125">
        <f>Предпосылки!Y$233*Предпосылки!$I266*Продажи!Z31*Z$19*(1+Чувствительность!$D$20)*IFERROR(LOOKUP(Предпосылки!$H$206,$C$13:$C$15,Z$13:Z$15),1)</f>
        <v>0</v>
      </c>
      <c s="125">
        <f>Предпосылки!Z$233*Предпосылки!$I266*Продажи!AA31*AA$19*(1+Чувствительность!$D$20)*IFERROR(LOOKUP(Предпосылки!$H$206,$C$13:$C$15,AA$13:AA$15),1)</f>
        <v>0</v>
      </c>
      <c s="125">
        <f>Предпосылки!AA$233*Предпосылки!$I266*Продажи!AB31*AB$19*(1+Чувствительность!$D$20)*IFERROR(LOOKUP(Предпосылки!$H$206,$C$13:$C$15,AB$13:AB$15),1)</f>
        <v>0</v>
      </c>
      <c s="125">
        <f>Предпосылки!AB$233*Предпосылки!$I266*Продажи!AC31*AC$19*(1+Чувствительность!$D$20)*IFERROR(LOOKUP(Предпосылки!$H$206,$C$13:$C$15,AC$13:AC$15),1)</f>
        <v>0</v>
      </c>
      <c s="125">
        <f>Предпосылки!AC$233*Предпосылки!$I266*Продажи!AD31*AD$19*(1+Чувствительность!$D$20)*IFERROR(LOOKUP(Предпосылки!$H$206,$C$13:$C$15,AD$13:AD$15),1)</f>
        <v>0</v>
      </c>
      <c s="125">
        <f>Предпосылки!AD$233*Предпосылки!$I266*Продажи!AE31*AE$19*(1+Чувствительность!$D$20)*IFERROR(LOOKUP(Предпосылки!$H$206,$C$13:$C$15,AE$13:AE$15),1)</f>
        <v>0</v>
      </c>
      <c s="125">
        <f>Предпосылки!AE$233*Предпосылки!$I266*Продажи!AF31*AF$19*(1+Чувствительность!$D$20)*IFERROR(LOOKUP(Предпосылки!$H$206,$C$13:$C$15,AF$13:AF$15),1)</f>
        <v>0</v>
      </c>
      <c s="125">
        <f>Предпосылки!AF$233*Предпосылки!$I266*Продажи!AG31*AG$19*(1+Чувствительность!$D$20)*IFERROR(LOOKUP(Предпосылки!$H$206,$C$13:$C$15,AG$13:AG$15),1)</f>
        <v>0</v>
      </c>
      <c s="125">
        <f>Предпосылки!AG$233*Предпосылки!$I266*Продажи!AH31*AH$19*(1+Чувствительность!$D$20)*IFERROR(LOOKUP(Предпосылки!$H$206,$C$13:$C$15,AH$13:AH$15),1)</f>
        <v>0</v>
      </c>
      <c s="125">
        <f>Предпосылки!AH$233*Предпосылки!$I266*Продажи!AI31*AI$19*(1+Чувствительность!$D$20)*IFERROR(LOOKUP(Предпосылки!$H$206,$C$13:$C$15,AI$13:AI$15),1)</f>
        <v>0</v>
      </c>
      <c s="125">
        <f>Предпосылки!AI$233*Предпосылки!$I266*Продажи!AJ31*AJ$19*(1+Чувствительность!$D$20)*IFERROR(LOOKUP(Предпосылки!$H$206,$C$13:$C$15,AJ$13:AJ$15),1)</f>
        <v>0</v>
      </c>
      <c s="125">
        <f>Предпосылки!AJ$233*Предпосылки!$I266*Продажи!AK31*AK$19*(1+Чувствительность!$D$20)*IFERROR(LOOKUP(Предпосылки!$H$206,$C$13:$C$15,AK$13:AK$15),1)</f>
        <v>0</v>
      </c>
      <c s="125">
        <f>Предпосылки!AK$233*Предпосылки!$I266*Продажи!AL31*AL$19*(1+Чувствительность!$D$20)*IFERROR(LOOKUP(Предпосылки!$H$206,$C$13:$C$15,AL$13:AL$15),1)</f>
        <v>0</v>
      </c>
      <c s="125">
        <f>Предпосылки!AL$233*Предпосылки!$I266*Продажи!AM31*AM$19*(1+Чувствительность!$D$20)*IFERROR(LOOKUP(Предпосылки!$H$206,$C$13:$C$15,AM$13:AM$15),1)</f>
        <v>0</v>
      </c>
      <c s="125">
        <f>Предпосылки!AM$233*Предпосылки!$I266*Продажи!AN31*AN$19*(1+Чувствительность!$D$20)*IFERROR(LOOKUP(Предпосылки!$H$206,$C$13:$C$15,AN$13:AN$15),1)</f>
        <v>0</v>
      </c>
      <c s="125">
        <f>Предпосылки!AN$233*Предпосылки!$I266*Продажи!AO31*AO$19*(1+Чувствительность!$D$20)*IFERROR(LOOKUP(Предпосылки!$H$206,$C$13:$C$15,AO$13:AO$15),1)</f>
        <v>0</v>
      </c>
      <c s="125">
        <f>Предпосылки!AO$233*Предпосылки!$I266*Продажи!AP31*AP$19*(1+Чувствительность!$D$20)*IFERROR(LOOKUP(Предпосылки!$H$206,$C$13:$C$15,AP$13:AP$15),1)</f>
        <v>0</v>
      </c>
      <c s="125">
        <f>Предпосылки!AP$233*Предпосылки!$I266*Продажи!AQ31*AQ$19*(1+Чувствительность!$D$20)*IFERROR(LOOKUP(Предпосылки!$H$206,$C$13:$C$15,AQ$13:AQ$15),1)</f>
        <v>0</v>
      </c>
      <c s="125">
        <f>Предпосылки!AQ$233*Предпосылки!$I266*Продажи!AR31*AR$19*(1+Чувствительность!$D$20)*IFERROR(LOOKUP(Предпосылки!$H$206,$C$13:$C$15,AR$13:AR$15),1)</f>
        <v>0</v>
      </c>
      <c s="125">
        <f>Предпосылки!AR$233*Предпосылки!$I266*Продажи!AS31*AS$19*(1+Чувствительность!$D$20)*IFERROR(LOOKUP(Предпосылки!$H$206,$C$13:$C$15,AS$13:AS$15),1)</f>
        <v>0</v>
      </c>
      <c s="125">
        <f>Предпосылки!AS$233*Предпосылки!$I266*Продажи!AT31*AT$19*(1+Чувствительность!$D$20)*IFERROR(LOOKUP(Предпосылки!$H$206,$C$13:$C$15,AT$13:AT$15),1)</f>
        <v>0</v>
      </c>
      <c s="125">
        <f>Предпосылки!AT$233*Предпосылки!$I266*Продажи!AU31*AU$19*(1+Чувствительность!$D$20)*IFERROR(LOOKUP(Предпосылки!$H$206,$C$13:$C$15,AU$13:AU$15),1)</f>
        <v>0</v>
      </c>
      <c s="125">
        <f>Предпосылки!AU$233*Предпосылки!$I266*Продажи!AV31*AV$19*(1+Чувствительность!$D$20)*IFERROR(LOOKUP(Предпосылки!$H$206,$C$13:$C$15,AV$13:AV$15),1)</f>
        <v>0</v>
      </c>
      <c s="125">
        <f>Предпосылки!AV$233*Предпосылки!$I266*Продажи!AW31*AW$19*(1+Чувствительность!$D$20)*IFERROR(LOOKUP(Предпосылки!$H$206,$C$13:$C$15,AW$13:AW$15),1)</f>
        <v>0</v>
      </c>
      <c s="125">
        <f>Предпосылки!AW$233*Предпосылки!$I266*Продажи!AX31*AX$19*(1+Чувствительность!$D$20)*IFERROR(LOOKUP(Предпосылки!$H$206,$C$13:$C$15,AX$13:AX$15),1)</f>
        <v>0</v>
      </c>
      <c s="125">
        <f>Предпосылки!AX$233*Предпосылки!$I266*Продажи!AY31*AY$19*(1+Чувствительность!$D$20)*IFERROR(LOOKUP(Предпосылки!$H$206,$C$13:$C$15,AY$13:AY$15),1)</f>
        <v>0</v>
      </c>
      <c s="125">
        <f>Предпосылки!AY$233*Предпосылки!$I266*Продажи!AZ31*AZ$19*(1+Чувствительность!$D$20)*IFERROR(LOOKUP(Предпосылки!$H$206,$C$13:$C$15,AZ$13:AZ$15),1)</f>
        <v>0</v>
      </c>
      <c s="125">
        <f>Предпосылки!AZ$233*Предпосылки!$I266*Продажи!BA31*BA$19*(1+Чувствительность!$D$20)*IFERROR(LOOKUP(Предпосылки!$H$206,$C$13:$C$15,BA$13:BA$15),1)</f>
        <v>0</v>
      </c>
      <c s="125">
        <f>Предпосылки!BA$233*Предпосылки!$I266*Продажи!BB31*BB$19*(1+Чувствительность!$D$20)*IFERROR(LOOKUP(Предпосылки!$H$206,$C$13:$C$15,BB$13:BB$15),1)</f>
        <v>0</v>
      </c>
      <c s="125">
        <f>Предпосылки!BB$233*Предпосылки!$I266*Продажи!BC31*BC$19*(1+Чувствительность!$D$20)*IFERROR(LOOKUP(Предпосылки!$H$206,$C$13:$C$15,BC$13:BC$15),1)</f>
        <v>0</v>
      </c>
      <c s="125">
        <f>Предпосылки!BC$233*Предпосылки!$I266*Продажи!BD31*BD$19*(1+Чувствительность!$D$20)*IFERROR(LOOKUP(Предпосылки!$H$206,$C$13:$C$15,BD$13:BD$15),1)</f>
        <v>0</v>
      </c>
      <c s="125">
        <f>Предпосылки!BD$233*Предпосылки!$I266*Продажи!BE31*BE$19*(1+Чувствительность!$D$20)*IFERROR(LOOKUP(Предпосылки!$H$206,$C$13:$C$15,BE$13:BE$15),1)</f>
        <v>0</v>
      </c>
      <c s="125">
        <f>Предпосылки!BE$233*Предпосылки!$I266*Продажи!BF31*BF$19*(1+Чувствительность!$D$20)*IFERROR(LOOKUP(Предпосылки!$H$206,$C$13:$C$15,BF$13:BF$15),1)</f>
        <v>0</v>
      </c>
      <c s="125">
        <f>Предпосылки!BF$233*Предпосылки!$I266*Продажи!BG31*BG$19*(1+Чувствительность!$D$20)*IFERROR(LOOKUP(Предпосылки!$H$206,$C$13:$C$15,BG$13:BG$15),1)</f>
        <v>0</v>
      </c>
      <c s="125">
        <f>Предпосылки!BG$233*Предпосылки!$I266*Продажи!BH31*BH$19*(1+Чувствительность!$D$20)*IFERROR(LOOKUP(Предпосылки!$H$206,$C$13:$C$15,BH$13:BH$15),1)</f>
        <v>0</v>
      </c>
      <c s="125">
        <f>Предпосылки!BH$233*Предпосылки!$I266*Продажи!BI31*BI$19*(1+Чувствительность!$D$20)*IFERROR(LOOKUP(Предпосылки!$H$206,$C$13:$C$15,BI$13:BI$15),1)</f>
        <v>0</v>
      </c>
      <c s="125">
        <f>Предпосылки!BI$233*Предпосылки!$I266*Продажи!BJ31*BJ$19*(1+Чувствительность!$D$20)*IFERROR(LOOKUP(Предпосылки!$H$206,$C$13:$C$15,BJ$13:BJ$15),1)</f>
        <v>0</v>
      </c>
      <c s="125">
        <f>Предпосылки!BJ$233*Предпосылки!$I266*Продажи!BK31*BK$19*(1+Чувствительность!$D$20)*IFERROR(LOOKUP(Предпосылки!$H$206,$C$13:$C$15,BK$13:BK$15),1)</f>
        <v>0</v>
      </c>
      <c s="125">
        <f>Предпосылки!BK$233*Предпосылки!$I266*Продажи!BL31*BL$19*(1+Чувствительность!$D$20)*IFERROR(LOOKUP(Предпосылки!$H$206,$C$13:$C$15,BL$13:BL$15),1)</f>
        <v>0</v>
      </c>
      <c s="125">
        <f>Предпосылки!BL$233*Предпосылки!$I266*Продажи!BM31*BM$19*(1+Чувствительность!$D$20)*IFERROR(LOOKUP(Предпосылки!$H$206,$C$13:$C$15,BM$13:BM$15),1)</f>
        <v>0</v>
      </c>
    </row>
    <row r="152" spans="2:65" ht="15" customHeight="1">
      <c r="B152" s="12" t="str">
        <f t="shared" si="86"/>
        <v>Продукт 15</v>
      </c>
      <c s="124" t="str">
        <f t="shared" si="85"/>
        <v>тыс. руб.</v>
      </c>
      <c s="276">
        <f t="shared" si="87"/>
        <v>0</v>
      </c>
      <c s="125">
        <f>Предпосылки!D$233*Предпосылки!$I267*Продажи!E32*E$19*(1+Чувствительность!$D$20)*IFERROR(LOOKUP(Предпосылки!$H$206,$C$13:$C$15,E$13:E$15),1)</f>
        <v>0</v>
      </c>
      <c s="125">
        <f>Предпосылки!E$233*Предпосылки!$I267*Продажи!F32*F$19*(1+Чувствительность!$D$20)*IFERROR(LOOKUP(Предпосылки!$H$206,$C$13:$C$15,F$13:F$15),1)</f>
        <v>0</v>
      </c>
      <c s="125">
        <f>Предпосылки!F$233*Предпосылки!$I267*Продажи!G32*G$19*(1+Чувствительность!$D$20)*IFERROR(LOOKUP(Предпосылки!$H$206,$C$13:$C$15,G$13:G$15),1)</f>
        <v>0</v>
      </c>
      <c s="125">
        <f>Предпосылки!G$233*Предпосылки!$I267*Продажи!H32*H$19*(1+Чувствительность!$D$20)*IFERROR(LOOKUP(Предпосылки!$H$206,$C$13:$C$15,H$13:H$15),1)</f>
        <v>0</v>
      </c>
      <c s="125">
        <f>Предпосылки!H$233*Предпосылки!$I267*Продажи!I32*I$19*(1+Чувствительность!$D$20)*IFERROR(LOOKUP(Предпосылки!$H$206,$C$13:$C$15,I$13:I$15),1)</f>
        <v>0</v>
      </c>
      <c s="125">
        <f>Предпосылки!I$233*Предпосылки!$I267*Продажи!J32*J$19*(1+Чувствительность!$D$20)*IFERROR(LOOKUP(Предпосылки!$H$206,$C$13:$C$15,J$13:J$15),1)</f>
        <v>0</v>
      </c>
      <c s="125">
        <f>Предпосылки!J$233*Предпосылки!$I267*Продажи!K32*K$19*(1+Чувствительность!$D$20)*IFERROR(LOOKUP(Предпосылки!$H$206,$C$13:$C$15,K$13:K$15),1)</f>
        <v>0</v>
      </c>
      <c s="125">
        <f>Предпосылки!K$233*Предпосылки!$I267*Продажи!L32*L$19*(1+Чувствительность!$D$20)*IFERROR(LOOKUP(Предпосылки!$H$206,$C$13:$C$15,L$13:L$15),1)</f>
        <v>0</v>
      </c>
      <c s="125">
        <f>Предпосылки!L$233*Предпосылки!$I267*Продажи!M32*M$19*(1+Чувствительность!$D$20)*IFERROR(LOOKUP(Предпосылки!$H$206,$C$13:$C$15,M$13:M$15),1)</f>
        <v>0</v>
      </c>
      <c s="125">
        <f>Предпосылки!M$233*Предпосылки!$I267*Продажи!N32*N$19*(1+Чувствительность!$D$20)*IFERROR(LOOKUP(Предпосылки!$H$206,$C$13:$C$15,N$13:N$15),1)</f>
        <v>0</v>
      </c>
      <c s="125">
        <f>Предпосылки!N$233*Предпосылки!$I267*Продажи!O32*O$19*(1+Чувствительность!$D$20)*IFERROR(LOOKUP(Предпосылки!$H$206,$C$13:$C$15,O$13:O$15),1)</f>
        <v>0</v>
      </c>
      <c s="125">
        <f>Предпосылки!O$233*Предпосылки!$I267*Продажи!P32*P$19*(1+Чувствительность!$D$20)*IFERROR(LOOKUP(Предпосылки!$H$206,$C$13:$C$15,P$13:P$15),1)</f>
        <v>0</v>
      </c>
      <c s="125">
        <f>Предпосылки!P$233*Предпосылки!$I267*Продажи!Q32*Q$19*(1+Чувствительность!$D$20)*IFERROR(LOOKUP(Предпосылки!$H$206,$C$13:$C$15,Q$13:Q$15),1)</f>
        <v>0</v>
      </c>
      <c s="125">
        <f>Предпосылки!Q$233*Предпосылки!$I267*Продажи!R32*R$19*(1+Чувствительность!$D$20)*IFERROR(LOOKUP(Предпосылки!$H$206,$C$13:$C$15,R$13:R$15),1)</f>
        <v>0</v>
      </c>
      <c s="125">
        <f>Предпосылки!R$233*Предпосылки!$I267*Продажи!S32*S$19*(1+Чувствительность!$D$20)*IFERROR(LOOKUP(Предпосылки!$H$206,$C$13:$C$15,S$13:S$15),1)</f>
        <v>0</v>
      </c>
      <c s="125">
        <f>Предпосылки!S$233*Предпосылки!$I267*Продажи!T32*T$19*(1+Чувствительность!$D$20)*IFERROR(LOOKUP(Предпосылки!$H$206,$C$13:$C$15,T$13:T$15),1)</f>
        <v>0</v>
      </c>
      <c s="125">
        <f>Предпосылки!T$233*Предпосылки!$I267*Продажи!U32*U$19*(1+Чувствительность!$D$20)*IFERROR(LOOKUP(Предпосылки!$H$206,$C$13:$C$15,U$13:U$15),1)</f>
        <v>0</v>
      </c>
      <c s="125">
        <f>Предпосылки!U$233*Предпосылки!$I267*Продажи!V32*V$19*(1+Чувствительность!$D$20)*IFERROR(LOOKUP(Предпосылки!$H$206,$C$13:$C$15,V$13:V$15),1)</f>
        <v>0</v>
      </c>
      <c s="125">
        <f>Предпосылки!V$233*Предпосылки!$I267*Продажи!W32*W$19*(1+Чувствительность!$D$20)*IFERROR(LOOKUP(Предпосылки!$H$206,$C$13:$C$15,W$13:W$15),1)</f>
        <v>0</v>
      </c>
      <c s="125">
        <f>Предпосылки!W$233*Предпосылки!$I267*Продажи!X32*X$19*(1+Чувствительность!$D$20)*IFERROR(LOOKUP(Предпосылки!$H$206,$C$13:$C$15,X$13:X$15),1)</f>
        <v>0</v>
      </c>
      <c s="125">
        <f>Предпосылки!X$233*Предпосылки!$I267*Продажи!Y32*Y$19*(1+Чувствительность!$D$20)*IFERROR(LOOKUP(Предпосылки!$H$206,$C$13:$C$15,Y$13:Y$15),1)</f>
        <v>0</v>
      </c>
      <c s="125">
        <f>Предпосылки!Y$233*Предпосылки!$I267*Продажи!Z32*Z$19*(1+Чувствительность!$D$20)*IFERROR(LOOKUP(Предпосылки!$H$206,$C$13:$C$15,Z$13:Z$15),1)</f>
        <v>0</v>
      </c>
      <c s="125">
        <f>Предпосылки!Z$233*Предпосылки!$I267*Продажи!AA32*AA$19*(1+Чувствительность!$D$20)*IFERROR(LOOKUP(Предпосылки!$H$206,$C$13:$C$15,AA$13:AA$15),1)</f>
        <v>0</v>
      </c>
      <c s="125">
        <f>Предпосылки!AA$233*Предпосылки!$I267*Продажи!AB32*AB$19*(1+Чувствительность!$D$20)*IFERROR(LOOKUP(Предпосылки!$H$206,$C$13:$C$15,AB$13:AB$15),1)</f>
        <v>0</v>
      </c>
      <c s="125">
        <f>Предпосылки!AB$233*Предпосылки!$I267*Продажи!AC32*AC$19*(1+Чувствительность!$D$20)*IFERROR(LOOKUP(Предпосылки!$H$206,$C$13:$C$15,AC$13:AC$15),1)</f>
        <v>0</v>
      </c>
      <c s="125">
        <f>Предпосылки!AC$233*Предпосылки!$I267*Продажи!AD32*AD$19*(1+Чувствительность!$D$20)*IFERROR(LOOKUP(Предпосылки!$H$206,$C$13:$C$15,AD$13:AD$15),1)</f>
        <v>0</v>
      </c>
      <c s="125">
        <f>Предпосылки!AD$233*Предпосылки!$I267*Продажи!AE32*AE$19*(1+Чувствительность!$D$20)*IFERROR(LOOKUP(Предпосылки!$H$206,$C$13:$C$15,AE$13:AE$15),1)</f>
        <v>0</v>
      </c>
      <c s="125">
        <f>Предпосылки!AE$233*Предпосылки!$I267*Продажи!AF32*AF$19*(1+Чувствительность!$D$20)*IFERROR(LOOKUP(Предпосылки!$H$206,$C$13:$C$15,AF$13:AF$15),1)</f>
        <v>0</v>
      </c>
      <c s="125">
        <f>Предпосылки!AF$233*Предпосылки!$I267*Продажи!AG32*AG$19*(1+Чувствительность!$D$20)*IFERROR(LOOKUP(Предпосылки!$H$206,$C$13:$C$15,AG$13:AG$15),1)</f>
        <v>0</v>
      </c>
      <c s="125">
        <f>Предпосылки!AG$233*Предпосылки!$I267*Продажи!AH32*AH$19*(1+Чувствительность!$D$20)*IFERROR(LOOKUP(Предпосылки!$H$206,$C$13:$C$15,AH$13:AH$15),1)</f>
        <v>0</v>
      </c>
      <c s="125">
        <f>Предпосылки!AH$233*Предпосылки!$I267*Продажи!AI32*AI$19*(1+Чувствительность!$D$20)*IFERROR(LOOKUP(Предпосылки!$H$206,$C$13:$C$15,AI$13:AI$15),1)</f>
        <v>0</v>
      </c>
      <c s="125">
        <f>Предпосылки!AI$233*Предпосылки!$I267*Продажи!AJ32*AJ$19*(1+Чувствительность!$D$20)*IFERROR(LOOKUP(Предпосылки!$H$206,$C$13:$C$15,AJ$13:AJ$15),1)</f>
        <v>0</v>
      </c>
      <c s="125">
        <f>Предпосылки!AJ$233*Предпосылки!$I267*Продажи!AK32*AK$19*(1+Чувствительность!$D$20)*IFERROR(LOOKUP(Предпосылки!$H$206,$C$13:$C$15,AK$13:AK$15),1)</f>
        <v>0</v>
      </c>
      <c s="125">
        <f>Предпосылки!AK$233*Предпосылки!$I267*Продажи!AL32*AL$19*(1+Чувствительность!$D$20)*IFERROR(LOOKUP(Предпосылки!$H$206,$C$13:$C$15,AL$13:AL$15),1)</f>
        <v>0</v>
      </c>
      <c s="125">
        <f>Предпосылки!AL$233*Предпосылки!$I267*Продажи!AM32*AM$19*(1+Чувствительность!$D$20)*IFERROR(LOOKUP(Предпосылки!$H$206,$C$13:$C$15,AM$13:AM$15),1)</f>
        <v>0</v>
      </c>
      <c s="125">
        <f>Предпосылки!AM$233*Предпосылки!$I267*Продажи!AN32*AN$19*(1+Чувствительность!$D$20)*IFERROR(LOOKUP(Предпосылки!$H$206,$C$13:$C$15,AN$13:AN$15),1)</f>
        <v>0</v>
      </c>
      <c s="125">
        <f>Предпосылки!AN$233*Предпосылки!$I267*Продажи!AO32*AO$19*(1+Чувствительность!$D$20)*IFERROR(LOOKUP(Предпосылки!$H$206,$C$13:$C$15,AO$13:AO$15),1)</f>
        <v>0</v>
      </c>
      <c s="125">
        <f>Предпосылки!AO$233*Предпосылки!$I267*Продажи!AP32*AP$19*(1+Чувствительность!$D$20)*IFERROR(LOOKUP(Предпосылки!$H$206,$C$13:$C$15,AP$13:AP$15),1)</f>
        <v>0</v>
      </c>
      <c s="125">
        <f>Предпосылки!AP$233*Предпосылки!$I267*Продажи!AQ32*AQ$19*(1+Чувствительность!$D$20)*IFERROR(LOOKUP(Предпосылки!$H$206,$C$13:$C$15,AQ$13:AQ$15),1)</f>
        <v>0</v>
      </c>
      <c s="125">
        <f>Предпосылки!AQ$233*Предпосылки!$I267*Продажи!AR32*AR$19*(1+Чувствительность!$D$20)*IFERROR(LOOKUP(Предпосылки!$H$206,$C$13:$C$15,AR$13:AR$15),1)</f>
        <v>0</v>
      </c>
      <c s="125">
        <f>Предпосылки!AR$233*Предпосылки!$I267*Продажи!AS32*AS$19*(1+Чувствительность!$D$20)*IFERROR(LOOKUP(Предпосылки!$H$206,$C$13:$C$15,AS$13:AS$15),1)</f>
        <v>0</v>
      </c>
      <c s="125">
        <f>Предпосылки!AS$233*Предпосылки!$I267*Продажи!AT32*AT$19*(1+Чувствительность!$D$20)*IFERROR(LOOKUP(Предпосылки!$H$206,$C$13:$C$15,AT$13:AT$15),1)</f>
        <v>0</v>
      </c>
      <c s="125">
        <f>Предпосылки!AT$233*Предпосылки!$I267*Продажи!AU32*AU$19*(1+Чувствительность!$D$20)*IFERROR(LOOKUP(Предпосылки!$H$206,$C$13:$C$15,AU$13:AU$15),1)</f>
        <v>0</v>
      </c>
      <c s="125">
        <f>Предпосылки!AU$233*Предпосылки!$I267*Продажи!AV32*AV$19*(1+Чувствительность!$D$20)*IFERROR(LOOKUP(Предпосылки!$H$206,$C$13:$C$15,AV$13:AV$15),1)</f>
        <v>0</v>
      </c>
      <c s="125">
        <f>Предпосылки!AV$233*Предпосылки!$I267*Продажи!AW32*AW$19*(1+Чувствительность!$D$20)*IFERROR(LOOKUP(Предпосылки!$H$206,$C$13:$C$15,AW$13:AW$15),1)</f>
        <v>0</v>
      </c>
      <c s="125">
        <f>Предпосылки!AW$233*Предпосылки!$I267*Продажи!AX32*AX$19*(1+Чувствительность!$D$20)*IFERROR(LOOKUP(Предпосылки!$H$206,$C$13:$C$15,AX$13:AX$15),1)</f>
        <v>0</v>
      </c>
      <c s="125">
        <f>Предпосылки!AX$233*Предпосылки!$I267*Продажи!AY32*AY$19*(1+Чувствительность!$D$20)*IFERROR(LOOKUP(Предпосылки!$H$206,$C$13:$C$15,AY$13:AY$15),1)</f>
        <v>0</v>
      </c>
      <c s="125">
        <f>Предпосылки!AY$233*Предпосылки!$I267*Продажи!AZ32*AZ$19*(1+Чувствительность!$D$20)*IFERROR(LOOKUP(Предпосылки!$H$206,$C$13:$C$15,AZ$13:AZ$15),1)</f>
        <v>0</v>
      </c>
      <c s="125">
        <f>Предпосылки!AZ$233*Предпосылки!$I267*Продажи!BA32*BA$19*(1+Чувствительность!$D$20)*IFERROR(LOOKUP(Предпосылки!$H$206,$C$13:$C$15,BA$13:BA$15),1)</f>
        <v>0</v>
      </c>
      <c s="125">
        <f>Предпосылки!BA$233*Предпосылки!$I267*Продажи!BB32*BB$19*(1+Чувствительность!$D$20)*IFERROR(LOOKUP(Предпосылки!$H$206,$C$13:$C$15,BB$13:BB$15),1)</f>
        <v>0</v>
      </c>
      <c s="125">
        <f>Предпосылки!BB$233*Предпосылки!$I267*Продажи!BC32*BC$19*(1+Чувствительность!$D$20)*IFERROR(LOOKUP(Предпосылки!$H$206,$C$13:$C$15,BC$13:BC$15),1)</f>
        <v>0</v>
      </c>
      <c s="125">
        <f>Предпосылки!BC$233*Предпосылки!$I267*Продажи!BD32*BD$19*(1+Чувствительность!$D$20)*IFERROR(LOOKUP(Предпосылки!$H$206,$C$13:$C$15,BD$13:BD$15),1)</f>
        <v>0</v>
      </c>
      <c s="125">
        <f>Предпосылки!BD$233*Предпосылки!$I267*Продажи!BE32*BE$19*(1+Чувствительность!$D$20)*IFERROR(LOOKUP(Предпосылки!$H$206,$C$13:$C$15,BE$13:BE$15),1)</f>
        <v>0</v>
      </c>
      <c s="125">
        <f>Предпосылки!BE$233*Предпосылки!$I267*Продажи!BF32*BF$19*(1+Чувствительность!$D$20)*IFERROR(LOOKUP(Предпосылки!$H$206,$C$13:$C$15,BF$13:BF$15),1)</f>
        <v>0</v>
      </c>
      <c s="125">
        <f>Предпосылки!BF$233*Предпосылки!$I267*Продажи!BG32*BG$19*(1+Чувствительность!$D$20)*IFERROR(LOOKUP(Предпосылки!$H$206,$C$13:$C$15,BG$13:BG$15),1)</f>
        <v>0</v>
      </c>
      <c s="125">
        <f>Предпосылки!BG$233*Предпосылки!$I267*Продажи!BH32*BH$19*(1+Чувствительность!$D$20)*IFERROR(LOOKUP(Предпосылки!$H$206,$C$13:$C$15,BH$13:BH$15),1)</f>
        <v>0</v>
      </c>
      <c s="125">
        <f>Предпосылки!BH$233*Предпосылки!$I267*Продажи!BI32*BI$19*(1+Чувствительность!$D$20)*IFERROR(LOOKUP(Предпосылки!$H$206,$C$13:$C$15,BI$13:BI$15),1)</f>
        <v>0</v>
      </c>
      <c s="125">
        <f>Предпосылки!BI$233*Предпосылки!$I267*Продажи!BJ32*BJ$19*(1+Чувствительность!$D$20)*IFERROR(LOOKUP(Предпосылки!$H$206,$C$13:$C$15,BJ$13:BJ$15),1)</f>
        <v>0</v>
      </c>
      <c s="125">
        <f>Предпосылки!BJ$233*Предпосылки!$I267*Продажи!BK32*BK$19*(1+Чувствительность!$D$20)*IFERROR(LOOKUP(Предпосылки!$H$206,$C$13:$C$15,BK$13:BK$15),1)</f>
        <v>0</v>
      </c>
      <c s="125">
        <f>Предпосылки!BK$233*Предпосылки!$I267*Продажи!BL32*BL$19*(1+Чувствительность!$D$20)*IFERROR(LOOKUP(Предпосылки!$H$206,$C$13:$C$15,BL$13:BL$15),1)</f>
        <v>0</v>
      </c>
      <c s="125">
        <f>Предпосылки!BL$233*Предпосылки!$I267*Продажи!BM32*BM$19*(1+Чувствительность!$D$20)*IFERROR(LOOKUP(Предпосылки!$H$206,$C$13:$C$15,BM$13:BM$15),1)</f>
        <v>0</v>
      </c>
    </row>
    <row r="153" spans="2:65" ht="15" customHeight="1">
      <c r="B153" s="12" t="str">
        <f t="shared" si="86"/>
        <v>Продукт 16</v>
      </c>
      <c s="124" t="str">
        <f t="shared" si="85"/>
        <v>тыс. руб.</v>
      </c>
      <c s="276">
        <f t="shared" si="87"/>
        <v>0</v>
      </c>
      <c s="125">
        <f>Предпосылки!D$233*Предпосылки!$I268*Продажи!E33*E$19*(1+Чувствительность!$D$20)*IFERROR(LOOKUP(Предпосылки!$H$206,$C$13:$C$15,E$13:E$15),1)</f>
        <v>0</v>
      </c>
      <c s="125">
        <f>Предпосылки!E$233*Предпосылки!$I268*Продажи!F33*F$19*(1+Чувствительность!$D$20)*IFERROR(LOOKUP(Предпосылки!$H$206,$C$13:$C$15,F$13:F$15),1)</f>
        <v>0</v>
      </c>
      <c s="125">
        <f>Предпосылки!F$233*Предпосылки!$I268*Продажи!G33*G$19*(1+Чувствительность!$D$20)*IFERROR(LOOKUP(Предпосылки!$H$206,$C$13:$C$15,G$13:G$15),1)</f>
        <v>0</v>
      </c>
      <c s="125">
        <f>Предпосылки!G$233*Предпосылки!$I268*Продажи!H33*H$19*(1+Чувствительность!$D$20)*IFERROR(LOOKUP(Предпосылки!$H$206,$C$13:$C$15,H$13:H$15),1)</f>
        <v>0</v>
      </c>
      <c s="125">
        <f>Предпосылки!H$233*Предпосылки!$I268*Продажи!I33*I$19*(1+Чувствительность!$D$20)*IFERROR(LOOKUP(Предпосылки!$H$206,$C$13:$C$15,I$13:I$15),1)</f>
        <v>0</v>
      </c>
      <c s="125">
        <f>Предпосылки!I$233*Предпосылки!$I268*Продажи!J33*J$19*(1+Чувствительность!$D$20)*IFERROR(LOOKUP(Предпосылки!$H$206,$C$13:$C$15,J$13:J$15),1)</f>
        <v>0</v>
      </c>
      <c s="125">
        <f>Предпосылки!J$233*Предпосылки!$I268*Продажи!K33*K$19*(1+Чувствительность!$D$20)*IFERROR(LOOKUP(Предпосылки!$H$206,$C$13:$C$15,K$13:K$15),1)</f>
        <v>0</v>
      </c>
      <c s="125">
        <f>Предпосылки!K$233*Предпосылки!$I268*Продажи!L33*L$19*(1+Чувствительность!$D$20)*IFERROR(LOOKUP(Предпосылки!$H$206,$C$13:$C$15,L$13:L$15),1)</f>
        <v>0</v>
      </c>
      <c s="125">
        <f>Предпосылки!L$233*Предпосылки!$I268*Продажи!M33*M$19*(1+Чувствительность!$D$20)*IFERROR(LOOKUP(Предпосылки!$H$206,$C$13:$C$15,M$13:M$15),1)</f>
        <v>0</v>
      </c>
      <c s="125">
        <f>Предпосылки!M$233*Предпосылки!$I268*Продажи!N33*N$19*(1+Чувствительность!$D$20)*IFERROR(LOOKUP(Предпосылки!$H$206,$C$13:$C$15,N$13:N$15),1)</f>
        <v>0</v>
      </c>
      <c s="125">
        <f>Предпосылки!N$233*Предпосылки!$I268*Продажи!O33*O$19*(1+Чувствительность!$D$20)*IFERROR(LOOKUP(Предпосылки!$H$206,$C$13:$C$15,O$13:O$15),1)</f>
        <v>0</v>
      </c>
      <c s="125">
        <f>Предпосылки!O$233*Предпосылки!$I268*Продажи!P33*P$19*(1+Чувствительность!$D$20)*IFERROR(LOOKUP(Предпосылки!$H$206,$C$13:$C$15,P$13:P$15),1)</f>
        <v>0</v>
      </c>
      <c s="125">
        <f>Предпосылки!P$233*Предпосылки!$I268*Продажи!Q33*Q$19*(1+Чувствительность!$D$20)*IFERROR(LOOKUP(Предпосылки!$H$206,$C$13:$C$15,Q$13:Q$15),1)</f>
        <v>0</v>
      </c>
      <c s="125">
        <f>Предпосылки!Q$233*Предпосылки!$I268*Продажи!R33*R$19*(1+Чувствительность!$D$20)*IFERROR(LOOKUP(Предпосылки!$H$206,$C$13:$C$15,R$13:R$15),1)</f>
        <v>0</v>
      </c>
      <c s="125">
        <f>Предпосылки!R$233*Предпосылки!$I268*Продажи!S33*S$19*(1+Чувствительность!$D$20)*IFERROR(LOOKUP(Предпосылки!$H$206,$C$13:$C$15,S$13:S$15),1)</f>
        <v>0</v>
      </c>
      <c s="125">
        <f>Предпосылки!S$233*Предпосылки!$I268*Продажи!T33*T$19*(1+Чувствительность!$D$20)*IFERROR(LOOKUP(Предпосылки!$H$206,$C$13:$C$15,T$13:T$15),1)</f>
        <v>0</v>
      </c>
      <c s="125">
        <f>Предпосылки!T$233*Предпосылки!$I268*Продажи!U33*U$19*(1+Чувствительность!$D$20)*IFERROR(LOOKUP(Предпосылки!$H$206,$C$13:$C$15,U$13:U$15),1)</f>
        <v>0</v>
      </c>
      <c s="125">
        <f>Предпосылки!U$233*Предпосылки!$I268*Продажи!V33*V$19*(1+Чувствительность!$D$20)*IFERROR(LOOKUP(Предпосылки!$H$206,$C$13:$C$15,V$13:V$15),1)</f>
        <v>0</v>
      </c>
      <c s="125">
        <f>Предпосылки!V$233*Предпосылки!$I268*Продажи!W33*W$19*(1+Чувствительность!$D$20)*IFERROR(LOOKUP(Предпосылки!$H$206,$C$13:$C$15,W$13:W$15),1)</f>
        <v>0</v>
      </c>
      <c s="125">
        <f>Предпосылки!W$233*Предпосылки!$I268*Продажи!X33*X$19*(1+Чувствительность!$D$20)*IFERROR(LOOKUP(Предпосылки!$H$206,$C$13:$C$15,X$13:X$15),1)</f>
        <v>0</v>
      </c>
      <c s="125">
        <f>Предпосылки!X$233*Предпосылки!$I268*Продажи!Y33*Y$19*(1+Чувствительность!$D$20)*IFERROR(LOOKUP(Предпосылки!$H$206,$C$13:$C$15,Y$13:Y$15),1)</f>
        <v>0</v>
      </c>
      <c s="125">
        <f>Предпосылки!Y$233*Предпосылки!$I268*Продажи!Z33*Z$19*(1+Чувствительность!$D$20)*IFERROR(LOOKUP(Предпосылки!$H$206,$C$13:$C$15,Z$13:Z$15),1)</f>
        <v>0</v>
      </c>
      <c s="125">
        <f>Предпосылки!Z$233*Предпосылки!$I268*Продажи!AA33*AA$19*(1+Чувствительность!$D$20)*IFERROR(LOOKUP(Предпосылки!$H$206,$C$13:$C$15,AA$13:AA$15),1)</f>
        <v>0</v>
      </c>
      <c s="125">
        <f>Предпосылки!AA$233*Предпосылки!$I268*Продажи!AB33*AB$19*(1+Чувствительность!$D$20)*IFERROR(LOOKUP(Предпосылки!$H$206,$C$13:$C$15,AB$13:AB$15),1)</f>
        <v>0</v>
      </c>
      <c s="125">
        <f>Предпосылки!AB$233*Предпосылки!$I268*Продажи!AC33*AC$19*(1+Чувствительность!$D$20)*IFERROR(LOOKUP(Предпосылки!$H$206,$C$13:$C$15,AC$13:AC$15),1)</f>
        <v>0</v>
      </c>
      <c s="125">
        <f>Предпосылки!AC$233*Предпосылки!$I268*Продажи!AD33*AD$19*(1+Чувствительность!$D$20)*IFERROR(LOOKUP(Предпосылки!$H$206,$C$13:$C$15,AD$13:AD$15),1)</f>
        <v>0</v>
      </c>
      <c s="125">
        <f>Предпосылки!AD$233*Предпосылки!$I268*Продажи!AE33*AE$19*(1+Чувствительность!$D$20)*IFERROR(LOOKUP(Предпосылки!$H$206,$C$13:$C$15,AE$13:AE$15),1)</f>
        <v>0</v>
      </c>
      <c s="125">
        <f>Предпосылки!AE$233*Предпосылки!$I268*Продажи!AF33*AF$19*(1+Чувствительность!$D$20)*IFERROR(LOOKUP(Предпосылки!$H$206,$C$13:$C$15,AF$13:AF$15),1)</f>
        <v>0</v>
      </c>
      <c s="125">
        <f>Предпосылки!AF$233*Предпосылки!$I268*Продажи!AG33*AG$19*(1+Чувствительность!$D$20)*IFERROR(LOOKUP(Предпосылки!$H$206,$C$13:$C$15,AG$13:AG$15),1)</f>
        <v>0</v>
      </c>
      <c s="125">
        <f>Предпосылки!AG$233*Предпосылки!$I268*Продажи!AH33*AH$19*(1+Чувствительность!$D$20)*IFERROR(LOOKUP(Предпосылки!$H$206,$C$13:$C$15,AH$13:AH$15),1)</f>
        <v>0</v>
      </c>
      <c s="125">
        <f>Предпосылки!AH$233*Предпосылки!$I268*Продажи!AI33*AI$19*(1+Чувствительность!$D$20)*IFERROR(LOOKUP(Предпосылки!$H$206,$C$13:$C$15,AI$13:AI$15),1)</f>
        <v>0</v>
      </c>
      <c s="125">
        <f>Предпосылки!AI$233*Предпосылки!$I268*Продажи!AJ33*AJ$19*(1+Чувствительность!$D$20)*IFERROR(LOOKUP(Предпосылки!$H$206,$C$13:$C$15,AJ$13:AJ$15),1)</f>
        <v>0</v>
      </c>
      <c s="125">
        <f>Предпосылки!AJ$233*Предпосылки!$I268*Продажи!AK33*AK$19*(1+Чувствительность!$D$20)*IFERROR(LOOKUP(Предпосылки!$H$206,$C$13:$C$15,AK$13:AK$15),1)</f>
        <v>0</v>
      </c>
      <c s="125">
        <f>Предпосылки!AK$233*Предпосылки!$I268*Продажи!AL33*AL$19*(1+Чувствительность!$D$20)*IFERROR(LOOKUP(Предпосылки!$H$206,$C$13:$C$15,AL$13:AL$15),1)</f>
        <v>0</v>
      </c>
      <c s="125">
        <f>Предпосылки!AL$233*Предпосылки!$I268*Продажи!AM33*AM$19*(1+Чувствительность!$D$20)*IFERROR(LOOKUP(Предпосылки!$H$206,$C$13:$C$15,AM$13:AM$15),1)</f>
        <v>0</v>
      </c>
      <c s="125">
        <f>Предпосылки!AM$233*Предпосылки!$I268*Продажи!AN33*AN$19*(1+Чувствительность!$D$20)*IFERROR(LOOKUP(Предпосылки!$H$206,$C$13:$C$15,AN$13:AN$15),1)</f>
        <v>0</v>
      </c>
      <c s="125">
        <f>Предпосылки!AN$233*Предпосылки!$I268*Продажи!AO33*AO$19*(1+Чувствительность!$D$20)*IFERROR(LOOKUP(Предпосылки!$H$206,$C$13:$C$15,AO$13:AO$15),1)</f>
        <v>0</v>
      </c>
      <c s="125">
        <f>Предпосылки!AO$233*Предпосылки!$I268*Продажи!AP33*AP$19*(1+Чувствительность!$D$20)*IFERROR(LOOKUP(Предпосылки!$H$206,$C$13:$C$15,AP$13:AP$15),1)</f>
        <v>0</v>
      </c>
      <c s="125">
        <f>Предпосылки!AP$233*Предпосылки!$I268*Продажи!AQ33*AQ$19*(1+Чувствительность!$D$20)*IFERROR(LOOKUP(Предпосылки!$H$206,$C$13:$C$15,AQ$13:AQ$15),1)</f>
        <v>0</v>
      </c>
      <c s="125">
        <f>Предпосылки!AQ$233*Предпосылки!$I268*Продажи!AR33*AR$19*(1+Чувствительность!$D$20)*IFERROR(LOOKUP(Предпосылки!$H$206,$C$13:$C$15,AR$13:AR$15),1)</f>
        <v>0</v>
      </c>
      <c s="125">
        <f>Предпосылки!AR$233*Предпосылки!$I268*Продажи!AS33*AS$19*(1+Чувствительность!$D$20)*IFERROR(LOOKUP(Предпосылки!$H$206,$C$13:$C$15,AS$13:AS$15),1)</f>
        <v>0</v>
      </c>
      <c s="125">
        <f>Предпосылки!AS$233*Предпосылки!$I268*Продажи!AT33*AT$19*(1+Чувствительность!$D$20)*IFERROR(LOOKUP(Предпосылки!$H$206,$C$13:$C$15,AT$13:AT$15),1)</f>
        <v>0</v>
      </c>
      <c s="125">
        <f>Предпосылки!AT$233*Предпосылки!$I268*Продажи!AU33*AU$19*(1+Чувствительность!$D$20)*IFERROR(LOOKUP(Предпосылки!$H$206,$C$13:$C$15,AU$13:AU$15),1)</f>
        <v>0</v>
      </c>
      <c s="125">
        <f>Предпосылки!AU$233*Предпосылки!$I268*Продажи!AV33*AV$19*(1+Чувствительность!$D$20)*IFERROR(LOOKUP(Предпосылки!$H$206,$C$13:$C$15,AV$13:AV$15),1)</f>
        <v>0</v>
      </c>
      <c s="125">
        <f>Предпосылки!AV$233*Предпосылки!$I268*Продажи!AW33*AW$19*(1+Чувствительность!$D$20)*IFERROR(LOOKUP(Предпосылки!$H$206,$C$13:$C$15,AW$13:AW$15),1)</f>
        <v>0</v>
      </c>
      <c s="125">
        <f>Предпосылки!AW$233*Предпосылки!$I268*Продажи!AX33*AX$19*(1+Чувствительность!$D$20)*IFERROR(LOOKUP(Предпосылки!$H$206,$C$13:$C$15,AX$13:AX$15),1)</f>
        <v>0</v>
      </c>
      <c s="125">
        <f>Предпосылки!AX$233*Предпосылки!$I268*Продажи!AY33*AY$19*(1+Чувствительность!$D$20)*IFERROR(LOOKUP(Предпосылки!$H$206,$C$13:$C$15,AY$13:AY$15),1)</f>
        <v>0</v>
      </c>
      <c s="125">
        <f>Предпосылки!AY$233*Предпосылки!$I268*Продажи!AZ33*AZ$19*(1+Чувствительность!$D$20)*IFERROR(LOOKUP(Предпосылки!$H$206,$C$13:$C$15,AZ$13:AZ$15),1)</f>
        <v>0</v>
      </c>
      <c s="125">
        <f>Предпосылки!AZ$233*Предпосылки!$I268*Продажи!BA33*BA$19*(1+Чувствительность!$D$20)*IFERROR(LOOKUP(Предпосылки!$H$206,$C$13:$C$15,BA$13:BA$15),1)</f>
        <v>0</v>
      </c>
      <c s="125">
        <f>Предпосылки!BA$233*Предпосылки!$I268*Продажи!BB33*BB$19*(1+Чувствительность!$D$20)*IFERROR(LOOKUP(Предпосылки!$H$206,$C$13:$C$15,BB$13:BB$15),1)</f>
        <v>0</v>
      </c>
      <c s="125">
        <f>Предпосылки!BB$233*Предпосылки!$I268*Продажи!BC33*BC$19*(1+Чувствительность!$D$20)*IFERROR(LOOKUP(Предпосылки!$H$206,$C$13:$C$15,BC$13:BC$15),1)</f>
        <v>0</v>
      </c>
      <c s="125">
        <f>Предпосылки!BC$233*Предпосылки!$I268*Продажи!BD33*BD$19*(1+Чувствительность!$D$20)*IFERROR(LOOKUP(Предпосылки!$H$206,$C$13:$C$15,BD$13:BD$15),1)</f>
        <v>0</v>
      </c>
      <c s="125">
        <f>Предпосылки!BD$233*Предпосылки!$I268*Продажи!BE33*BE$19*(1+Чувствительность!$D$20)*IFERROR(LOOKUP(Предпосылки!$H$206,$C$13:$C$15,BE$13:BE$15),1)</f>
        <v>0</v>
      </c>
      <c s="125">
        <f>Предпосылки!BE$233*Предпосылки!$I268*Продажи!BF33*BF$19*(1+Чувствительность!$D$20)*IFERROR(LOOKUP(Предпосылки!$H$206,$C$13:$C$15,BF$13:BF$15),1)</f>
        <v>0</v>
      </c>
      <c s="125">
        <f>Предпосылки!BF$233*Предпосылки!$I268*Продажи!BG33*BG$19*(1+Чувствительность!$D$20)*IFERROR(LOOKUP(Предпосылки!$H$206,$C$13:$C$15,BG$13:BG$15),1)</f>
        <v>0</v>
      </c>
      <c s="125">
        <f>Предпосылки!BG$233*Предпосылки!$I268*Продажи!BH33*BH$19*(1+Чувствительность!$D$20)*IFERROR(LOOKUP(Предпосылки!$H$206,$C$13:$C$15,BH$13:BH$15),1)</f>
        <v>0</v>
      </c>
      <c s="125">
        <f>Предпосылки!BH$233*Предпосылки!$I268*Продажи!BI33*BI$19*(1+Чувствительность!$D$20)*IFERROR(LOOKUP(Предпосылки!$H$206,$C$13:$C$15,BI$13:BI$15),1)</f>
        <v>0</v>
      </c>
      <c s="125">
        <f>Предпосылки!BI$233*Предпосылки!$I268*Продажи!BJ33*BJ$19*(1+Чувствительность!$D$20)*IFERROR(LOOKUP(Предпосылки!$H$206,$C$13:$C$15,BJ$13:BJ$15),1)</f>
        <v>0</v>
      </c>
      <c s="125">
        <f>Предпосылки!BJ$233*Предпосылки!$I268*Продажи!BK33*BK$19*(1+Чувствительность!$D$20)*IFERROR(LOOKUP(Предпосылки!$H$206,$C$13:$C$15,BK$13:BK$15),1)</f>
        <v>0</v>
      </c>
      <c s="125">
        <f>Предпосылки!BK$233*Предпосылки!$I268*Продажи!BL33*BL$19*(1+Чувствительность!$D$20)*IFERROR(LOOKUP(Предпосылки!$H$206,$C$13:$C$15,BL$13:BL$15),1)</f>
        <v>0</v>
      </c>
      <c s="125">
        <f>Предпосылки!BL$233*Предпосылки!$I268*Продажи!BM33*BM$19*(1+Чувствительность!$D$20)*IFERROR(LOOKUP(Предпосылки!$H$206,$C$13:$C$15,BM$13:BM$15),1)</f>
        <v>0</v>
      </c>
    </row>
    <row r="154" spans="2:65" ht="15" customHeight="1">
      <c r="B154" s="12" t="str">
        <f t="shared" si="86"/>
        <v>Продукт 17</v>
      </c>
      <c s="124" t="str">
        <f t="shared" si="85"/>
        <v>тыс. руб.</v>
      </c>
      <c s="276">
        <f t="shared" si="87"/>
        <v>0</v>
      </c>
      <c s="125">
        <f>Предпосылки!D$233*Предпосылки!$I269*Продажи!E34*E$19*(1+Чувствительность!$D$20)*IFERROR(LOOKUP(Предпосылки!$H$206,$C$13:$C$15,E$13:E$15),1)</f>
        <v>0</v>
      </c>
      <c s="125">
        <f>Предпосылки!E$233*Предпосылки!$I269*Продажи!F34*F$19*(1+Чувствительность!$D$20)*IFERROR(LOOKUP(Предпосылки!$H$206,$C$13:$C$15,F$13:F$15),1)</f>
        <v>0</v>
      </c>
      <c s="125">
        <f>Предпосылки!F$233*Предпосылки!$I269*Продажи!G34*G$19*(1+Чувствительность!$D$20)*IFERROR(LOOKUP(Предпосылки!$H$206,$C$13:$C$15,G$13:G$15),1)</f>
        <v>0</v>
      </c>
      <c s="125">
        <f>Предпосылки!G$233*Предпосылки!$I269*Продажи!H34*H$19*(1+Чувствительность!$D$20)*IFERROR(LOOKUP(Предпосылки!$H$206,$C$13:$C$15,H$13:H$15),1)</f>
        <v>0</v>
      </c>
      <c s="125">
        <f>Предпосылки!H$233*Предпосылки!$I269*Продажи!I34*I$19*(1+Чувствительность!$D$20)*IFERROR(LOOKUP(Предпосылки!$H$206,$C$13:$C$15,I$13:I$15),1)</f>
        <v>0</v>
      </c>
      <c s="125">
        <f>Предпосылки!I$233*Предпосылки!$I269*Продажи!J34*J$19*(1+Чувствительность!$D$20)*IFERROR(LOOKUP(Предпосылки!$H$206,$C$13:$C$15,J$13:J$15),1)</f>
        <v>0</v>
      </c>
      <c s="125">
        <f>Предпосылки!J$233*Предпосылки!$I269*Продажи!K34*K$19*(1+Чувствительность!$D$20)*IFERROR(LOOKUP(Предпосылки!$H$206,$C$13:$C$15,K$13:K$15),1)</f>
        <v>0</v>
      </c>
      <c s="125">
        <f>Предпосылки!K$233*Предпосылки!$I269*Продажи!L34*L$19*(1+Чувствительность!$D$20)*IFERROR(LOOKUP(Предпосылки!$H$206,$C$13:$C$15,L$13:L$15),1)</f>
        <v>0</v>
      </c>
      <c s="125">
        <f>Предпосылки!L$233*Предпосылки!$I269*Продажи!M34*M$19*(1+Чувствительность!$D$20)*IFERROR(LOOKUP(Предпосылки!$H$206,$C$13:$C$15,M$13:M$15),1)</f>
        <v>0</v>
      </c>
      <c s="125">
        <f>Предпосылки!M$233*Предпосылки!$I269*Продажи!N34*N$19*(1+Чувствительность!$D$20)*IFERROR(LOOKUP(Предпосылки!$H$206,$C$13:$C$15,N$13:N$15),1)</f>
        <v>0</v>
      </c>
      <c s="125">
        <f>Предпосылки!N$233*Предпосылки!$I269*Продажи!O34*O$19*(1+Чувствительность!$D$20)*IFERROR(LOOKUP(Предпосылки!$H$206,$C$13:$C$15,O$13:O$15),1)</f>
        <v>0</v>
      </c>
      <c s="125">
        <f>Предпосылки!O$233*Предпосылки!$I269*Продажи!P34*P$19*(1+Чувствительность!$D$20)*IFERROR(LOOKUP(Предпосылки!$H$206,$C$13:$C$15,P$13:P$15),1)</f>
        <v>0</v>
      </c>
      <c s="125">
        <f>Предпосылки!P$233*Предпосылки!$I269*Продажи!Q34*Q$19*(1+Чувствительность!$D$20)*IFERROR(LOOKUP(Предпосылки!$H$206,$C$13:$C$15,Q$13:Q$15),1)</f>
        <v>0</v>
      </c>
      <c s="125">
        <f>Предпосылки!Q$233*Предпосылки!$I269*Продажи!R34*R$19*(1+Чувствительность!$D$20)*IFERROR(LOOKUP(Предпосылки!$H$206,$C$13:$C$15,R$13:R$15),1)</f>
        <v>0</v>
      </c>
      <c s="125">
        <f>Предпосылки!R$233*Предпосылки!$I269*Продажи!S34*S$19*(1+Чувствительность!$D$20)*IFERROR(LOOKUP(Предпосылки!$H$206,$C$13:$C$15,S$13:S$15),1)</f>
        <v>0</v>
      </c>
      <c s="125">
        <f>Предпосылки!S$233*Предпосылки!$I269*Продажи!T34*T$19*(1+Чувствительность!$D$20)*IFERROR(LOOKUP(Предпосылки!$H$206,$C$13:$C$15,T$13:T$15),1)</f>
        <v>0</v>
      </c>
      <c s="125">
        <f>Предпосылки!T$233*Предпосылки!$I269*Продажи!U34*U$19*(1+Чувствительность!$D$20)*IFERROR(LOOKUP(Предпосылки!$H$206,$C$13:$C$15,U$13:U$15),1)</f>
        <v>0</v>
      </c>
      <c s="125">
        <f>Предпосылки!U$233*Предпосылки!$I269*Продажи!V34*V$19*(1+Чувствительность!$D$20)*IFERROR(LOOKUP(Предпосылки!$H$206,$C$13:$C$15,V$13:V$15),1)</f>
        <v>0</v>
      </c>
      <c s="125">
        <f>Предпосылки!V$233*Предпосылки!$I269*Продажи!W34*W$19*(1+Чувствительность!$D$20)*IFERROR(LOOKUP(Предпосылки!$H$206,$C$13:$C$15,W$13:W$15),1)</f>
        <v>0</v>
      </c>
      <c s="125">
        <f>Предпосылки!W$233*Предпосылки!$I269*Продажи!X34*X$19*(1+Чувствительность!$D$20)*IFERROR(LOOKUP(Предпосылки!$H$206,$C$13:$C$15,X$13:X$15),1)</f>
        <v>0</v>
      </c>
      <c s="125">
        <f>Предпосылки!X$233*Предпосылки!$I269*Продажи!Y34*Y$19*(1+Чувствительность!$D$20)*IFERROR(LOOKUP(Предпосылки!$H$206,$C$13:$C$15,Y$13:Y$15),1)</f>
        <v>0</v>
      </c>
      <c s="125">
        <f>Предпосылки!Y$233*Предпосылки!$I269*Продажи!Z34*Z$19*(1+Чувствительность!$D$20)*IFERROR(LOOKUP(Предпосылки!$H$206,$C$13:$C$15,Z$13:Z$15),1)</f>
        <v>0</v>
      </c>
      <c s="125">
        <f>Предпосылки!Z$233*Предпосылки!$I269*Продажи!AA34*AA$19*(1+Чувствительность!$D$20)*IFERROR(LOOKUP(Предпосылки!$H$206,$C$13:$C$15,AA$13:AA$15),1)</f>
        <v>0</v>
      </c>
      <c s="125">
        <f>Предпосылки!AA$233*Предпосылки!$I269*Продажи!AB34*AB$19*(1+Чувствительность!$D$20)*IFERROR(LOOKUP(Предпосылки!$H$206,$C$13:$C$15,AB$13:AB$15),1)</f>
        <v>0</v>
      </c>
      <c s="125">
        <f>Предпосылки!AB$233*Предпосылки!$I269*Продажи!AC34*AC$19*(1+Чувствительность!$D$20)*IFERROR(LOOKUP(Предпосылки!$H$206,$C$13:$C$15,AC$13:AC$15),1)</f>
        <v>0</v>
      </c>
      <c s="125">
        <f>Предпосылки!AC$233*Предпосылки!$I269*Продажи!AD34*AD$19*(1+Чувствительность!$D$20)*IFERROR(LOOKUP(Предпосылки!$H$206,$C$13:$C$15,AD$13:AD$15),1)</f>
        <v>0</v>
      </c>
      <c s="125">
        <f>Предпосылки!AD$233*Предпосылки!$I269*Продажи!AE34*AE$19*(1+Чувствительность!$D$20)*IFERROR(LOOKUP(Предпосылки!$H$206,$C$13:$C$15,AE$13:AE$15),1)</f>
        <v>0</v>
      </c>
      <c s="125">
        <f>Предпосылки!AE$233*Предпосылки!$I269*Продажи!AF34*AF$19*(1+Чувствительность!$D$20)*IFERROR(LOOKUP(Предпосылки!$H$206,$C$13:$C$15,AF$13:AF$15),1)</f>
        <v>0</v>
      </c>
      <c s="125">
        <f>Предпосылки!AF$233*Предпосылки!$I269*Продажи!AG34*AG$19*(1+Чувствительность!$D$20)*IFERROR(LOOKUP(Предпосылки!$H$206,$C$13:$C$15,AG$13:AG$15),1)</f>
        <v>0</v>
      </c>
      <c s="125">
        <f>Предпосылки!AG$233*Предпосылки!$I269*Продажи!AH34*AH$19*(1+Чувствительность!$D$20)*IFERROR(LOOKUP(Предпосылки!$H$206,$C$13:$C$15,AH$13:AH$15),1)</f>
        <v>0</v>
      </c>
      <c s="125">
        <f>Предпосылки!AH$233*Предпосылки!$I269*Продажи!AI34*AI$19*(1+Чувствительность!$D$20)*IFERROR(LOOKUP(Предпосылки!$H$206,$C$13:$C$15,AI$13:AI$15),1)</f>
        <v>0</v>
      </c>
      <c s="125">
        <f>Предпосылки!AI$233*Предпосылки!$I269*Продажи!AJ34*AJ$19*(1+Чувствительность!$D$20)*IFERROR(LOOKUP(Предпосылки!$H$206,$C$13:$C$15,AJ$13:AJ$15),1)</f>
        <v>0</v>
      </c>
      <c s="125">
        <f>Предпосылки!AJ$233*Предпосылки!$I269*Продажи!AK34*AK$19*(1+Чувствительность!$D$20)*IFERROR(LOOKUP(Предпосылки!$H$206,$C$13:$C$15,AK$13:AK$15),1)</f>
        <v>0</v>
      </c>
      <c s="125">
        <f>Предпосылки!AK$233*Предпосылки!$I269*Продажи!AL34*AL$19*(1+Чувствительность!$D$20)*IFERROR(LOOKUP(Предпосылки!$H$206,$C$13:$C$15,AL$13:AL$15),1)</f>
        <v>0</v>
      </c>
      <c s="125">
        <f>Предпосылки!AL$233*Предпосылки!$I269*Продажи!AM34*AM$19*(1+Чувствительность!$D$20)*IFERROR(LOOKUP(Предпосылки!$H$206,$C$13:$C$15,AM$13:AM$15),1)</f>
        <v>0</v>
      </c>
      <c s="125">
        <f>Предпосылки!AM$233*Предпосылки!$I269*Продажи!AN34*AN$19*(1+Чувствительность!$D$20)*IFERROR(LOOKUP(Предпосылки!$H$206,$C$13:$C$15,AN$13:AN$15),1)</f>
        <v>0</v>
      </c>
      <c s="125">
        <f>Предпосылки!AN$233*Предпосылки!$I269*Продажи!AO34*AO$19*(1+Чувствительность!$D$20)*IFERROR(LOOKUP(Предпосылки!$H$206,$C$13:$C$15,AO$13:AO$15),1)</f>
        <v>0</v>
      </c>
      <c s="125">
        <f>Предпосылки!AO$233*Предпосылки!$I269*Продажи!AP34*AP$19*(1+Чувствительность!$D$20)*IFERROR(LOOKUP(Предпосылки!$H$206,$C$13:$C$15,AP$13:AP$15),1)</f>
        <v>0</v>
      </c>
      <c s="125">
        <f>Предпосылки!AP$233*Предпосылки!$I269*Продажи!AQ34*AQ$19*(1+Чувствительность!$D$20)*IFERROR(LOOKUP(Предпосылки!$H$206,$C$13:$C$15,AQ$13:AQ$15),1)</f>
        <v>0</v>
      </c>
      <c s="125">
        <f>Предпосылки!AQ$233*Предпосылки!$I269*Продажи!AR34*AR$19*(1+Чувствительность!$D$20)*IFERROR(LOOKUP(Предпосылки!$H$206,$C$13:$C$15,AR$13:AR$15),1)</f>
        <v>0</v>
      </c>
      <c s="125">
        <f>Предпосылки!AR$233*Предпосылки!$I269*Продажи!AS34*AS$19*(1+Чувствительность!$D$20)*IFERROR(LOOKUP(Предпосылки!$H$206,$C$13:$C$15,AS$13:AS$15),1)</f>
        <v>0</v>
      </c>
      <c s="125">
        <f>Предпосылки!AS$233*Предпосылки!$I269*Продажи!AT34*AT$19*(1+Чувствительность!$D$20)*IFERROR(LOOKUP(Предпосылки!$H$206,$C$13:$C$15,AT$13:AT$15),1)</f>
        <v>0</v>
      </c>
      <c s="125">
        <f>Предпосылки!AT$233*Предпосылки!$I269*Продажи!AU34*AU$19*(1+Чувствительность!$D$20)*IFERROR(LOOKUP(Предпосылки!$H$206,$C$13:$C$15,AU$13:AU$15),1)</f>
        <v>0</v>
      </c>
      <c s="125">
        <f>Предпосылки!AU$233*Предпосылки!$I269*Продажи!AV34*AV$19*(1+Чувствительность!$D$20)*IFERROR(LOOKUP(Предпосылки!$H$206,$C$13:$C$15,AV$13:AV$15),1)</f>
        <v>0</v>
      </c>
      <c s="125">
        <f>Предпосылки!AV$233*Предпосылки!$I269*Продажи!AW34*AW$19*(1+Чувствительность!$D$20)*IFERROR(LOOKUP(Предпосылки!$H$206,$C$13:$C$15,AW$13:AW$15),1)</f>
        <v>0</v>
      </c>
      <c s="125">
        <f>Предпосылки!AW$233*Предпосылки!$I269*Продажи!AX34*AX$19*(1+Чувствительность!$D$20)*IFERROR(LOOKUP(Предпосылки!$H$206,$C$13:$C$15,AX$13:AX$15),1)</f>
        <v>0</v>
      </c>
      <c s="125">
        <f>Предпосылки!AX$233*Предпосылки!$I269*Продажи!AY34*AY$19*(1+Чувствительность!$D$20)*IFERROR(LOOKUP(Предпосылки!$H$206,$C$13:$C$15,AY$13:AY$15),1)</f>
        <v>0</v>
      </c>
      <c s="125">
        <f>Предпосылки!AY$233*Предпосылки!$I269*Продажи!AZ34*AZ$19*(1+Чувствительность!$D$20)*IFERROR(LOOKUP(Предпосылки!$H$206,$C$13:$C$15,AZ$13:AZ$15),1)</f>
        <v>0</v>
      </c>
      <c s="125">
        <f>Предпосылки!AZ$233*Предпосылки!$I269*Продажи!BA34*BA$19*(1+Чувствительность!$D$20)*IFERROR(LOOKUP(Предпосылки!$H$206,$C$13:$C$15,BA$13:BA$15),1)</f>
        <v>0</v>
      </c>
      <c s="125">
        <f>Предпосылки!BA$233*Предпосылки!$I269*Продажи!BB34*BB$19*(1+Чувствительность!$D$20)*IFERROR(LOOKUP(Предпосылки!$H$206,$C$13:$C$15,BB$13:BB$15),1)</f>
        <v>0</v>
      </c>
      <c s="125">
        <f>Предпосылки!BB$233*Предпосылки!$I269*Продажи!BC34*BC$19*(1+Чувствительность!$D$20)*IFERROR(LOOKUP(Предпосылки!$H$206,$C$13:$C$15,BC$13:BC$15),1)</f>
        <v>0</v>
      </c>
      <c s="125">
        <f>Предпосылки!BC$233*Предпосылки!$I269*Продажи!BD34*BD$19*(1+Чувствительность!$D$20)*IFERROR(LOOKUP(Предпосылки!$H$206,$C$13:$C$15,BD$13:BD$15),1)</f>
        <v>0</v>
      </c>
      <c s="125">
        <f>Предпосылки!BD$233*Предпосылки!$I269*Продажи!BE34*BE$19*(1+Чувствительность!$D$20)*IFERROR(LOOKUP(Предпосылки!$H$206,$C$13:$C$15,BE$13:BE$15),1)</f>
        <v>0</v>
      </c>
      <c s="125">
        <f>Предпосылки!BE$233*Предпосылки!$I269*Продажи!BF34*BF$19*(1+Чувствительность!$D$20)*IFERROR(LOOKUP(Предпосылки!$H$206,$C$13:$C$15,BF$13:BF$15),1)</f>
        <v>0</v>
      </c>
      <c s="125">
        <f>Предпосылки!BF$233*Предпосылки!$I269*Продажи!BG34*BG$19*(1+Чувствительность!$D$20)*IFERROR(LOOKUP(Предпосылки!$H$206,$C$13:$C$15,BG$13:BG$15),1)</f>
        <v>0</v>
      </c>
      <c s="125">
        <f>Предпосылки!BG$233*Предпосылки!$I269*Продажи!BH34*BH$19*(1+Чувствительность!$D$20)*IFERROR(LOOKUP(Предпосылки!$H$206,$C$13:$C$15,BH$13:BH$15),1)</f>
        <v>0</v>
      </c>
      <c s="125">
        <f>Предпосылки!BH$233*Предпосылки!$I269*Продажи!BI34*BI$19*(1+Чувствительность!$D$20)*IFERROR(LOOKUP(Предпосылки!$H$206,$C$13:$C$15,BI$13:BI$15),1)</f>
        <v>0</v>
      </c>
      <c s="125">
        <f>Предпосылки!BI$233*Предпосылки!$I269*Продажи!BJ34*BJ$19*(1+Чувствительность!$D$20)*IFERROR(LOOKUP(Предпосылки!$H$206,$C$13:$C$15,BJ$13:BJ$15),1)</f>
        <v>0</v>
      </c>
      <c s="125">
        <f>Предпосылки!BJ$233*Предпосылки!$I269*Продажи!BK34*BK$19*(1+Чувствительность!$D$20)*IFERROR(LOOKUP(Предпосылки!$H$206,$C$13:$C$15,BK$13:BK$15),1)</f>
        <v>0</v>
      </c>
      <c s="125">
        <f>Предпосылки!BK$233*Предпосылки!$I269*Продажи!BL34*BL$19*(1+Чувствительность!$D$20)*IFERROR(LOOKUP(Предпосылки!$H$206,$C$13:$C$15,BL$13:BL$15),1)</f>
        <v>0</v>
      </c>
      <c s="125">
        <f>Предпосылки!BL$233*Предпосылки!$I269*Продажи!BM34*BM$19*(1+Чувствительность!$D$20)*IFERROR(LOOKUP(Предпосылки!$H$206,$C$13:$C$15,BM$13:BM$15),1)</f>
        <v>0</v>
      </c>
    </row>
    <row r="155" spans="2:65" ht="15" customHeight="1">
      <c r="B155" s="12" t="str">
        <f t="shared" si="86"/>
        <v>Продукт 18</v>
      </c>
      <c s="124" t="str">
        <f t="shared" si="85"/>
        <v>тыс. руб.</v>
      </c>
      <c s="276">
        <f t="shared" si="87"/>
        <v>0</v>
      </c>
      <c s="125">
        <f>Предпосылки!D$233*Предпосылки!$I270*Продажи!E35*E$19*(1+Чувствительность!$D$20)*IFERROR(LOOKUP(Предпосылки!$H$206,$C$13:$C$15,E$13:E$15),1)</f>
        <v>0</v>
      </c>
      <c s="125">
        <f>Предпосылки!E$233*Предпосылки!$I270*Продажи!F35*F$19*(1+Чувствительность!$D$20)*IFERROR(LOOKUP(Предпосылки!$H$206,$C$13:$C$15,F$13:F$15),1)</f>
        <v>0</v>
      </c>
      <c s="125">
        <f>Предпосылки!F$233*Предпосылки!$I270*Продажи!G35*G$19*(1+Чувствительность!$D$20)*IFERROR(LOOKUP(Предпосылки!$H$206,$C$13:$C$15,G$13:G$15),1)</f>
        <v>0</v>
      </c>
      <c s="125">
        <f>Предпосылки!G$233*Предпосылки!$I270*Продажи!H35*H$19*(1+Чувствительность!$D$20)*IFERROR(LOOKUP(Предпосылки!$H$206,$C$13:$C$15,H$13:H$15),1)</f>
        <v>0</v>
      </c>
      <c s="125">
        <f>Предпосылки!H$233*Предпосылки!$I270*Продажи!I35*I$19*(1+Чувствительность!$D$20)*IFERROR(LOOKUP(Предпосылки!$H$206,$C$13:$C$15,I$13:I$15),1)</f>
        <v>0</v>
      </c>
      <c s="125">
        <f>Предпосылки!I$233*Предпосылки!$I270*Продажи!J35*J$19*(1+Чувствительность!$D$20)*IFERROR(LOOKUP(Предпосылки!$H$206,$C$13:$C$15,J$13:J$15),1)</f>
        <v>0</v>
      </c>
      <c s="125">
        <f>Предпосылки!J$233*Предпосылки!$I270*Продажи!K35*K$19*(1+Чувствительность!$D$20)*IFERROR(LOOKUP(Предпосылки!$H$206,$C$13:$C$15,K$13:K$15),1)</f>
        <v>0</v>
      </c>
      <c s="125">
        <f>Предпосылки!K$233*Предпосылки!$I270*Продажи!L35*L$19*(1+Чувствительность!$D$20)*IFERROR(LOOKUP(Предпосылки!$H$206,$C$13:$C$15,L$13:L$15),1)</f>
        <v>0</v>
      </c>
      <c s="125">
        <f>Предпосылки!L$233*Предпосылки!$I270*Продажи!M35*M$19*(1+Чувствительность!$D$20)*IFERROR(LOOKUP(Предпосылки!$H$206,$C$13:$C$15,M$13:M$15),1)</f>
        <v>0</v>
      </c>
      <c s="125">
        <f>Предпосылки!M$233*Предпосылки!$I270*Продажи!N35*N$19*(1+Чувствительность!$D$20)*IFERROR(LOOKUP(Предпосылки!$H$206,$C$13:$C$15,N$13:N$15),1)</f>
        <v>0</v>
      </c>
      <c s="125">
        <f>Предпосылки!N$233*Предпосылки!$I270*Продажи!O35*O$19*(1+Чувствительность!$D$20)*IFERROR(LOOKUP(Предпосылки!$H$206,$C$13:$C$15,O$13:O$15),1)</f>
        <v>0</v>
      </c>
      <c s="125">
        <f>Предпосылки!O$233*Предпосылки!$I270*Продажи!P35*P$19*(1+Чувствительность!$D$20)*IFERROR(LOOKUP(Предпосылки!$H$206,$C$13:$C$15,P$13:P$15),1)</f>
        <v>0</v>
      </c>
      <c s="125">
        <f>Предпосылки!P$233*Предпосылки!$I270*Продажи!Q35*Q$19*(1+Чувствительность!$D$20)*IFERROR(LOOKUP(Предпосылки!$H$206,$C$13:$C$15,Q$13:Q$15),1)</f>
        <v>0</v>
      </c>
      <c s="125">
        <f>Предпосылки!Q$233*Предпосылки!$I270*Продажи!R35*R$19*(1+Чувствительность!$D$20)*IFERROR(LOOKUP(Предпосылки!$H$206,$C$13:$C$15,R$13:R$15),1)</f>
        <v>0</v>
      </c>
      <c s="125">
        <f>Предпосылки!R$233*Предпосылки!$I270*Продажи!S35*S$19*(1+Чувствительность!$D$20)*IFERROR(LOOKUP(Предпосылки!$H$206,$C$13:$C$15,S$13:S$15),1)</f>
        <v>0</v>
      </c>
      <c s="125">
        <f>Предпосылки!S$233*Предпосылки!$I270*Продажи!T35*T$19*(1+Чувствительность!$D$20)*IFERROR(LOOKUP(Предпосылки!$H$206,$C$13:$C$15,T$13:T$15),1)</f>
        <v>0</v>
      </c>
      <c s="125">
        <f>Предпосылки!T$233*Предпосылки!$I270*Продажи!U35*U$19*(1+Чувствительность!$D$20)*IFERROR(LOOKUP(Предпосылки!$H$206,$C$13:$C$15,U$13:U$15),1)</f>
        <v>0</v>
      </c>
      <c s="125">
        <f>Предпосылки!U$233*Предпосылки!$I270*Продажи!V35*V$19*(1+Чувствительность!$D$20)*IFERROR(LOOKUP(Предпосылки!$H$206,$C$13:$C$15,V$13:V$15),1)</f>
        <v>0</v>
      </c>
      <c s="125">
        <f>Предпосылки!V$233*Предпосылки!$I270*Продажи!W35*W$19*(1+Чувствительность!$D$20)*IFERROR(LOOKUP(Предпосылки!$H$206,$C$13:$C$15,W$13:W$15),1)</f>
        <v>0</v>
      </c>
      <c s="125">
        <f>Предпосылки!W$233*Предпосылки!$I270*Продажи!X35*X$19*(1+Чувствительность!$D$20)*IFERROR(LOOKUP(Предпосылки!$H$206,$C$13:$C$15,X$13:X$15),1)</f>
        <v>0</v>
      </c>
      <c s="125">
        <f>Предпосылки!X$233*Предпосылки!$I270*Продажи!Y35*Y$19*(1+Чувствительность!$D$20)*IFERROR(LOOKUP(Предпосылки!$H$206,$C$13:$C$15,Y$13:Y$15),1)</f>
        <v>0</v>
      </c>
      <c s="125">
        <f>Предпосылки!Y$233*Предпосылки!$I270*Продажи!Z35*Z$19*(1+Чувствительность!$D$20)*IFERROR(LOOKUP(Предпосылки!$H$206,$C$13:$C$15,Z$13:Z$15),1)</f>
        <v>0</v>
      </c>
      <c s="125">
        <f>Предпосылки!Z$233*Предпосылки!$I270*Продажи!AA35*AA$19*(1+Чувствительность!$D$20)*IFERROR(LOOKUP(Предпосылки!$H$206,$C$13:$C$15,AA$13:AA$15),1)</f>
        <v>0</v>
      </c>
      <c s="125">
        <f>Предпосылки!AA$233*Предпосылки!$I270*Продажи!AB35*AB$19*(1+Чувствительность!$D$20)*IFERROR(LOOKUP(Предпосылки!$H$206,$C$13:$C$15,AB$13:AB$15),1)</f>
        <v>0</v>
      </c>
      <c s="125">
        <f>Предпосылки!AB$233*Предпосылки!$I270*Продажи!AC35*AC$19*(1+Чувствительность!$D$20)*IFERROR(LOOKUP(Предпосылки!$H$206,$C$13:$C$15,AC$13:AC$15),1)</f>
        <v>0</v>
      </c>
      <c s="125">
        <f>Предпосылки!AC$233*Предпосылки!$I270*Продажи!AD35*AD$19*(1+Чувствительность!$D$20)*IFERROR(LOOKUP(Предпосылки!$H$206,$C$13:$C$15,AD$13:AD$15),1)</f>
        <v>0</v>
      </c>
      <c s="125">
        <f>Предпосылки!AD$233*Предпосылки!$I270*Продажи!AE35*AE$19*(1+Чувствительность!$D$20)*IFERROR(LOOKUP(Предпосылки!$H$206,$C$13:$C$15,AE$13:AE$15),1)</f>
        <v>0</v>
      </c>
      <c s="125">
        <f>Предпосылки!AE$233*Предпосылки!$I270*Продажи!AF35*AF$19*(1+Чувствительность!$D$20)*IFERROR(LOOKUP(Предпосылки!$H$206,$C$13:$C$15,AF$13:AF$15),1)</f>
        <v>0</v>
      </c>
      <c s="125">
        <f>Предпосылки!AF$233*Предпосылки!$I270*Продажи!AG35*AG$19*(1+Чувствительность!$D$20)*IFERROR(LOOKUP(Предпосылки!$H$206,$C$13:$C$15,AG$13:AG$15),1)</f>
        <v>0</v>
      </c>
      <c s="125">
        <f>Предпосылки!AG$233*Предпосылки!$I270*Продажи!AH35*AH$19*(1+Чувствительность!$D$20)*IFERROR(LOOKUP(Предпосылки!$H$206,$C$13:$C$15,AH$13:AH$15),1)</f>
        <v>0</v>
      </c>
      <c s="125">
        <f>Предпосылки!AH$233*Предпосылки!$I270*Продажи!AI35*AI$19*(1+Чувствительность!$D$20)*IFERROR(LOOKUP(Предпосылки!$H$206,$C$13:$C$15,AI$13:AI$15),1)</f>
        <v>0</v>
      </c>
      <c s="125">
        <f>Предпосылки!AI$233*Предпосылки!$I270*Продажи!AJ35*AJ$19*(1+Чувствительность!$D$20)*IFERROR(LOOKUP(Предпосылки!$H$206,$C$13:$C$15,AJ$13:AJ$15),1)</f>
        <v>0</v>
      </c>
      <c s="125">
        <f>Предпосылки!AJ$233*Предпосылки!$I270*Продажи!AK35*AK$19*(1+Чувствительность!$D$20)*IFERROR(LOOKUP(Предпосылки!$H$206,$C$13:$C$15,AK$13:AK$15),1)</f>
        <v>0</v>
      </c>
      <c s="125">
        <f>Предпосылки!AK$233*Предпосылки!$I270*Продажи!AL35*AL$19*(1+Чувствительность!$D$20)*IFERROR(LOOKUP(Предпосылки!$H$206,$C$13:$C$15,AL$13:AL$15),1)</f>
        <v>0</v>
      </c>
      <c s="125">
        <f>Предпосылки!AL$233*Предпосылки!$I270*Продажи!AM35*AM$19*(1+Чувствительность!$D$20)*IFERROR(LOOKUP(Предпосылки!$H$206,$C$13:$C$15,AM$13:AM$15),1)</f>
        <v>0</v>
      </c>
      <c s="125">
        <f>Предпосылки!AM$233*Предпосылки!$I270*Продажи!AN35*AN$19*(1+Чувствительность!$D$20)*IFERROR(LOOKUP(Предпосылки!$H$206,$C$13:$C$15,AN$13:AN$15),1)</f>
        <v>0</v>
      </c>
      <c s="125">
        <f>Предпосылки!AN$233*Предпосылки!$I270*Продажи!AO35*AO$19*(1+Чувствительность!$D$20)*IFERROR(LOOKUP(Предпосылки!$H$206,$C$13:$C$15,AO$13:AO$15),1)</f>
        <v>0</v>
      </c>
      <c s="125">
        <f>Предпосылки!AO$233*Предпосылки!$I270*Продажи!AP35*AP$19*(1+Чувствительность!$D$20)*IFERROR(LOOKUP(Предпосылки!$H$206,$C$13:$C$15,AP$13:AP$15),1)</f>
        <v>0</v>
      </c>
      <c s="125">
        <f>Предпосылки!AP$233*Предпосылки!$I270*Продажи!AQ35*AQ$19*(1+Чувствительность!$D$20)*IFERROR(LOOKUP(Предпосылки!$H$206,$C$13:$C$15,AQ$13:AQ$15),1)</f>
        <v>0</v>
      </c>
      <c s="125">
        <f>Предпосылки!AQ$233*Предпосылки!$I270*Продажи!AR35*AR$19*(1+Чувствительность!$D$20)*IFERROR(LOOKUP(Предпосылки!$H$206,$C$13:$C$15,AR$13:AR$15),1)</f>
        <v>0</v>
      </c>
      <c s="125">
        <f>Предпосылки!AR$233*Предпосылки!$I270*Продажи!AS35*AS$19*(1+Чувствительность!$D$20)*IFERROR(LOOKUP(Предпосылки!$H$206,$C$13:$C$15,AS$13:AS$15),1)</f>
        <v>0</v>
      </c>
      <c s="125">
        <f>Предпосылки!AS$233*Предпосылки!$I270*Продажи!AT35*AT$19*(1+Чувствительность!$D$20)*IFERROR(LOOKUP(Предпосылки!$H$206,$C$13:$C$15,AT$13:AT$15),1)</f>
        <v>0</v>
      </c>
      <c s="125">
        <f>Предпосылки!AT$233*Предпосылки!$I270*Продажи!AU35*AU$19*(1+Чувствительность!$D$20)*IFERROR(LOOKUP(Предпосылки!$H$206,$C$13:$C$15,AU$13:AU$15),1)</f>
        <v>0</v>
      </c>
      <c s="125">
        <f>Предпосылки!AU$233*Предпосылки!$I270*Продажи!AV35*AV$19*(1+Чувствительность!$D$20)*IFERROR(LOOKUP(Предпосылки!$H$206,$C$13:$C$15,AV$13:AV$15),1)</f>
        <v>0</v>
      </c>
      <c s="125">
        <f>Предпосылки!AV$233*Предпосылки!$I270*Продажи!AW35*AW$19*(1+Чувствительность!$D$20)*IFERROR(LOOKUP(Предпосылки!$H$206,$C$13:$C$15,AW$13:AW$15),1)</f>
        <v>0</v>
      </c>
      <c s="125">
        <f>Предпосылки!AW$233*Предпосылки!$I270*Продажи!AX35*AX$19*(1+Чувствительность!$D$20)*IFERROR(LOOKUP(Предпосылки!$H$206,$C$13:$C$15,AX$13:AX$15),1)</f>
        <v>0</v>
      </c>
      <c s="125">
        <f>Предпосылки!AX$233*Предпосылки!$I270*Продажи!AY35*AY$19*(1+Чувствительность!$D$20)*IFERROR(LOOKUP(Предпосылки!$H$206,$C$13:$C$15,AY$13:AY$15),1)</f>
        <v>0</v>
      </c>
      <c s="125">
        <f>Предпосылки!AY$233*Предпосылки!$I270*Продажи!AZ35*AZ$19*(1+Чувствительность!$D$20)*IFERROR(LOOKUP(Предпосылки!$H$206,$C$13:$C$15,AZ$13:AZ$15),1)</f>
        <v>0</v>
      </c>
      <c s="125">
        <f>Предпосылки!AZ$233*Предпосылки!$I270*Продажи!BA35*BA$19*(1+Чувствительность!$D$20)*IFERROR(LOOKUP(Предпосылки!$H$206,$C$13:$C$15,BA$13:BA$15),1)</f>
        <v>0</v>
      </c>
      <c s="125">
        <f>Предпосылки!BA$233*Предпосылки!$I270*Продажи!BB35*BB$19*(1+Чувствительность!$D$20)*IFERROR(LOOKUP(Предпосылки!$H$206,$C$13:$C$15,BB$13:BB$15),1)</f>
        <v>0</v>
      </c>
      <c s="125">
        <f>Предпосылки!BB$233*Предпосылки!$I270*Продажи!BC35*BC$19*(1+Чувствительность!$D$20)*IFERROR(LOOKUP(Предпосылки!$H$206,$C$13:$C$15,BC$13:BC$15),1)</f>
        <v>0</v>
      </c>
      <c s="125">
        <f>Предпосылки!BC$233*Предпосылки!$I270*Продажи!BD35*BD$19*(1+Чувствительность!$D$20)*IFERROR(LOOKUP(Предпосылки!$H$206,$C$13:$C$15,BD$13:BD$15),1)</f>
        <v>0</v>
      </c>
      <c s="125">
        <f>Предпосылки!BD$233*Предпосылки!$I270*Продажи!BE35*BE$19*(1+Чувствительность!$D$20)*IFERROR(LOOKUP(Предпосылки!$H$206,$C$13:$C$15,BE$13:BE$15),1)</f>
        <v>0</v>
      </c>
      <c s="125">
        <f>Предпосылки!BE$233*Предпосылки!$I270*Продажи!BF35*BF$19*(1+Чувствительность!$D$20)*IFERROR(LOOKUP(Предпосылки!$H$206,$C$13:$C$15,BF$13:BF$15),1)</f>
        <v>0</v>
      </c>
      <c s="125">
        <f>Предпосылки!BF$233*Предпосылки!$I270*Продажи!BG35*BG$19*(1+Чувствительность!$D$20)*IFERROR(LOOKUP(Предпосылки!$H$206,$C$13:$C$15,BG$13:BG$15),1)</f>
        <v>0</v>
      </c>
      <c s="125">
        <f>Предпосылки!BG$233*Предпосылки!$I270*Продажи!BH35*BH$19*(1+Чувствительность!$D$20)*IFERROR(LOOKUP(Предпосылки!$H$206,$C$13:$C$15,BH$13:BH$15),1)</f>
        <v>0</v>
      </c>
      <c s="125">
        <f>Предпосылки!BH$233*Предпосылки!$I270*Продажи!BI35*BI$19*(1+Чувствительность!$D$20)*IFERROR(LOOKUP(Предпосылки!$H$206,$C$13:$C$15,BI$13:BI$15),1)</f>
        <v>0</v>
      </c>
      <c s="125">
        <f>Предпосылки!BI$233*Предпосылки!$I270*Продажи!BJ35*BJ$19*(1+Чувствительность!$D$20)*IFERROR(LOOKUP(Предпосылки!$H$206,$C$13:$C$15,BJ$13:BJ$15),1)</f>
        <v>0</v>
      </c>
      <c s="125">
        <f>Предпосылки!BJ$233*Предпосылки!$I270*Продажи!BK35*BK$19*(1+Чувствительность!$D$20)*IFERROR(LOOKUP(Предпосылки!$H$206,$C$13:$C$15,BK$13:BK$15),1)</f>
        <v>0</v>
      </c>
      <c s="125">
        <f>Предпосылки!BK$233*Предпосылки!$I270*Продажи!BL35*BL$19*(1+Чувствительность!$D$20)*IFERROR(LOOKUP(Предпосылки!$H$206,$C$13:$C$15,BL$13:BL$15),1)</f>
        <v>0</v>
      </c>
      <c s="125">
        <f>Предпосылки!BL$233*Предпосылки!$I270*Продажи!BM35*BM$19*(1+Чувствительность!$D$20)*IFERROR(LOOKUP(Предпосылки!$H$206,$C$13:$C$15,BM$13:BM$15),1)</f>
        <v>0</v>
      </c>
    </row>
    <row r="156" spans="2:65" ht="15" customHeight="1">
      <c r="B156" s="12" t="str">
        <f t="shared" si="86"/>
        <v>Продукт 19</v>
      </c>
      <c s="124" t="str">
        <f t="shared" si="85"/>
        <v>тыс. руб.</v>
      </c>
      <c s="276">
        <f t="shared" si="87"/>
        <v>0</v>
      </c>
      <c s="125">
        <f>Предпосылки!D$233*Предпосылки!$I271*Продажи!E36*E$19*(1+Чувствительность!$D$20)*IFERROR(LOOKUP(Предпосылки!$H$206,$C$13:$C$15,E$13:E$15),1)</f>
        <v>0</v>
      </c>
      <c s="125">
        <f>Предпосылки!E$233*Предпосылки!$I271*Продажи!F36*F$19*(1+Чувствительность!$D$20)*IFERROR(LOOKUP(Предпосылки!$H$206,$C$13:$C$15,F$13:F$15),1)</f>
        <v>0</v>
      </c>
      <c s="125">
        <f>Предпосылки!F$233*Предпосылки!$I271*Продажи!G36*G$19*(1+Чувствительность!$D$20)*IFERROR(LOOKUP(Предпосылки!$H$206,$C$13:$C$15,G$13:G$15),1)</f>
        <v>0</v>
      </c>
      <c s="125">
        <f>Предпосылки!G$233*Предпосылки!$I271*Продажи!H36*H$19*(1+Чувствительность!$D$20)*IFERROR(LOOKUP(Предпосылки!$H$206,$C$13:$C$15,H$13:H$15),1)</f>
        <v>0</v>
      </c>
      <c s="125">
        <f>Предпосылки!H$233*Предпосылки!$I271*Продажи!I36*I$19*(1+Чувствительность!$D$20)*IFERROR(LOOKUP(Предпосылки!$H$206,$C$13:$C$15,I$13:I$15),1)</f>
        <v>0</v>
      </c>
      <c s="125">
        <f>Предпосылки!I$233*Предпосылки!$I271*Продажи!J36*J$19*(1+Чувствительность!$D$20)*IFERROR(LOOKUP(Предпосылки!$H$206,$C$13:$C$15,J$13:J$15),1)</f>
        <v>0</v>
      </c>
      <c s="125">
        <f>Предпосылки!J$233*Предпосылки!$I271*Продажи!K36*K$19*(1+Чувствительность!$D$20)*IFERROR(LOOKUP(Предпосылки!$H$206,$C$13:$C$15,K$13:K$15),1)</f>
        <v>0</v>
      </c>
      <c s="125">
        <f>Предпосылки!K$233*Предпосылки!$I271*Продажи!L36*L$19*(1+Чувствительность!$D$20)*IFERROR(LOOKUP(Предпосылки!$H$206,$C$13:$C$15,L$13:L$15),1)</f>
        <v>0</v>
      </c>
      <c s="125">
        <f>Предпосылки!L$233*Предпосылки!$I271*Продажи!M36*M$19*(1+Чувствительность!$D$20)*IFERROR(LOOKUP(Предпосылки!$H$206,$C$13:$C$15,M$13:M$15),1)</f>
        <v>0</v>
      </c>
      <c s="125">
        <f>Предпосылки!M$233*Предпосылки!$I271*Продажи!N36*N$19*(1+Чувствительность!$D$20)*IFERROR(LOOKUP(Предпосылки!$H$206,$C$13:$C$15,N$13:N$15),1)</f>
        <v>0</v>
      </c>
      <c s="125">
        <f>Предпосылки!N$233*Предпосылки!$I271*Продажи!O36*O$19*(1+Чувствительность!$D$20)*IFERROR(LOOKUP(Предпосылки!$H$206,$C$13:$C$15,O$13:O$15),1)</f>
        <v>0</v>
      </c>
      <c s="125">
        <f>Предпосылки!O$233*Предпосылки!$I271*Продажи!P36*P$19*(1+Чувствительность!$D$20)*IFERROR(LOOKUP(Предпосылки!$H$206,$C$13:$C$15,P$13:P$15),1)</f>
        <v>0</v>
      </c>
      <c s="125">
        <f>Предпосылки!P$233*Предпосылки!$I271*Продажи!Q36*Q$19*(1+Чувствительность!$D$20)*IFERROR(LOOKUP(Предпосылки!$H$206,$C$13:$C$15,Q$13:Q$15),1)</f>
        <v>0</v>
      </c>
      <c s="125">
        <f>Предпосылки!Q$233*Предпосылки!$I271*Продажи!R36*R$19*(1+Чувствительность!$D$20)*IFERROR(LOOKUP(Предпосылки!$H$206,$C$13:$C$15,R$13:R$15),1)</f>
        <v>0</v>
      </c>
      <c s="125">
        <f>Предпосылки!R$233*Предпосылки!$I271*Продажи!S36*S$19*(1+Чувствительность!$D$20)*IFERROR(LOOKUP(Предпосылки!$H$206,$C$13:$C$15,S$13:S$15),1)</f>
        <v>0</v>
      </c>
      <c s="125">
        <f>Предпосылки!S$233*Предпосылки!$I271*Продажи!T36*T$19*(1+Чувствительность!$D$20)*IFERROR(LOOKUP(Предпосылки!$H$206,$C$13:$C$15,T$13:T$15),1)</f>
        <v>0</v>
      </c>
      <c s="125">
        <f>Предпосылки!T$233*Предпосылки!$I271*Продажи!U36*U$19*(1+Чувствительность!$D$20)*IFERROR(LOOKUP(Предпосылки!$H$206,$C$13:$C$15,U$13:U$15),1)</f>
        <v>0</v>
      </c>
      <c s="125">
        <f>Предпосылки!U$233*Предпосылки!$I271*Продажи!V36*V$19*(1+Чувствительность!$D$20)*IFERROR(LOOKUP(Предпосылки!$H$206,$C$13:$C$15,V$13:V$15),1)</f>
        <v>0</v>
      </c>
      <c s="125">
        <f>Предпосылки!V$233*Предпосылки!$I271*Продажи!W36*W$19*(1+Чувствительность!$D$20)*IFERROR(LOOKUP(Предпосылки!$H$206,$C$13:$C$15,W$13:W$15),1)</f>
        <v>0</v>
      </c>
      <c s="125">
        <f>Предпосылки!W$233*Предпосылки!$I271*Продажи!X36*X$19*(1+Чувствительность!$D$20)*IFERROR(LOOKUP(Предпосылки!$H$206,$C$13:$C$15,X$13:X$15),1)</f>
        <v>0</v>
      </c>
      <c s="125">
        <f>Предпосылки!X$233*Предпосылки!$I271*Продажи!Y36*Y$19*(1+Чувствительность!$D$20)*IFERROR(LOOKUP(Предпосылки!$H$206,$C$13:$C$15,Y$13:Y$15),1)</f>
        <v>0</v>
      </c>
      <c s="125">
        <f>Предпосылки!Y$233*Предпосылки!$I271*Продажи!Z36*Z$19*(1+Чувствительность!$D$20)*IFERROR(LOOKUP(Предпосылки!$H$206,$C$13:$C$15,Z$13:Z$15),1)</f>
        <v>0</v>
      </c>
      <c s="125">
        <f>Предпосылки!Z$233*Предпосылки!$I271*Продажи!AA36*AA$19*(1+Чувствительность!$D$20)*IFERROR(LOOKUP(Предпосылки!$H$206,$C$13:$C$15,AA$13:AA$15),1)</f>
        <v>0</v>
      </c>
      <c s="125">
        <f>Предпосылки!AA$233*Предпосылки!$I271*Продажи!AB36*AB$19*(1+Чувствительность!$D$20)*IFERROR(LOOKUP(Предпосылки!$H$206,$C$13:$C$15,AB$13:AB$15),1)</f>
        <v>0</v>
      </c>
      <c s="125">
        <f>Предпосылки!AB$233*Предпосылки!$I271*Продажи!AC36*AC$19*(1+Чувствительность!$D$20)*IFERROR(LOOKUP(Предпосылки!$H$206,$C$13:$C$15,AC$13:AC$15),1)</f>
        <v>0</v>
      </c>
      <c s="125">
        <f>Предпосылки!AC$233*Предпосылки!$I271*Продажи!AD36*AD$19*(1+Чувствительность!$D$20)*IFERROR(LOOKUP(Предпосылки!$H$206,$C$13:$C$15,AD$13:AD$15),1)</f>
        <v>0</v>
      </c>
      <c s="125">
        <f>Предпосылки!AD$233*Предпосылки!$I271*Продажи!AE36*AE$19*(1+Чувствительность!$D$20)*IFERROR(LOOKUP(Предпосылки!$H$206,$C$13:$C$15,AE$13:AE$15),1)</f>
        <v>0</v>
      </c>
      <c s="125">
        <f>Предпосылки!AE$233*Предпосылки!$I271*Продажи!AF36*AF$19*(1+Чувствительность!$D$20)*IFERROR(LOOKUP(Предпосылки!$H$206,$C$13:$C$15,AF$13:AF$15),1)</f>
        <v>0</v>
      </c>
      <c s="125">
        <f>Предпосылки!AF$233*Предпосылки!$I271*Продажи!AG36*AG$19*(1+Чувствительность!$D$20)*IFERROR(LOOKUP(Предпосылки!$H$206,$C$13:$C$15,AG$13:AG$15),1)</f>
        <v>0</v>
      </c>
      <c s="125">
        <f>Предпосылки!AG$233*Предпосылки!$I271*Продажи!AH36*AH$19*(1+Чувствительность!$D$20)*IFERROR(LOOKUP(Предпосылки!$H$206,$C$13:$C$15,AH$13:AH$15),1)</f>
        <v>0</v>
      </c>
      <c s="125">
        <f>Предпосылки!AH$233*Предпосылки!$I271*Продажи!AI36*AI$19*(1+Чувствительность!$D$20)*IFERROR(LOOKUP(Предпосылки!$H$206,$C$13:$C$15,AI$13:AI$15),1)</f>
        <v>0</v>
      </c>
      <c s="125">
        <f>Предпосылки!AI$233*Предпосылки!$I271*Продажи!AJ36*AJ$19*(1+Чувствительность!$D$20)*IFERROR(LOOKUP(Предпосылки!$H$206,$C$13:$C$15,AJ$13:AJ$15),1)</f>
        <v>0</v>
      </c>
      <c s="125">
        <f>Предпосылки!AJ$233*Предпосылки!$I271*Продажи!AK36*AK$19*(1+Чувствительность!$D$20)*IFERROR(LOOKUP(Предпосылки!$H$206,$C$13:$C$15,AK$13:AK$15),1)</f>
        <v>0</v>
      </c>
      <c s="125">
        <f>Предпосылки!AK$233*Предпосылки!$I271*Продажи!AL36*AL$19*(1+Чувствительность!$D$20)*IFERROR(LOOKUP(Предпосылки!$H$206,$C$13:$C$15,AL$13:AL$15),1)</f>
        <v>0</v>
      </c>
      <c s="125">
        <f>Предпосылки!AL$233*Предпосылки!$I271*Продажи!AM36*AM$19*(1+Чувствительность!$D$20)*IFERROR(LOOKUP(Предпосылки!$H$206,$C$13:$C$15,AM$13:AM$15),1)</f>
        <v>0</v>
      </c>
      <c s="125">
        <f>Предпосылки!AM$233*Предпосылки!$I271*Продажи!AN36*AN$19*(1+Чувствительность!$D$20)*IFERROR(LOOKUP(Предпосылки!$H$206,$C$13:$C$15,AN$13:AN$15),1)</f>
        <v>0</v>
      </c>
      <c s="125">
        <f>Предпосылки!AN$233*Предпосылки!$I271*Продажи!AO36*AO$19*(1+Чувствительность!$D$20)*IFERROR(LOOKUP(Предпосылки!$H$206,$C$13:$C$15,AO$13:AO$15),1)</f>
        <v>0</v>
      </c>
      <c s="125">
        <f>Предпосылки!AO$233*Предпосылки!$I271*Продажи!AP36*AP$19*(1+Чувствительность!$D$20)*IFERROR(LOOKUP(Предпосылки!$H$206,$C$13:$C$15,AP$13:AP$15),1)</f>
        <v>0</v>
      </c>
      <c s="125">
        <f>Предпосылки!AP$233*Предпосылки!$I271*Продажи!AQ36*AQ$19*(1+Чувствительность!$D$20)*IFERROR(LOOKUP(Предпосылки!$H$206,$C$13:$C$15,AQ$13:AQ$15),1)</f>
        <v>0</v>
      </c>
      <c s="125">
        <f>Предпосылки!AQ$233*Предпосылки!$I271*Продажи!AR36*AR$19*(1+Чувствительность!$D$20)*IFERROR(LOOKUP(Предпосылки!$H$206,$C$13:$C$15,AR$13:AR$15),1)</f>
        <v>0</v>
      </c>
      <c s="125">
        <f>Предпосылки!AR$233*Предпосылки!$I271*Продажи!AS36*AS$19*(1+Чувствительность!$D$20)*IFERROR(LOOKUP(Предпосылки!$H$206,$C$13:$C$15,AS$13:AS$15),1)</f>
        <v>0</v>
      </c>
      <c s="125">
        <f>Предпосылки!AS$233*Предпосылки!$I271*Продажи!AT36*AT$19*(1+Чувствительность!$D$20)*IFERROR(LOOKUP(Предпосылки!$H$206,$C$13:$C$15,AT$13:AT$15),1)</f>
        <v>0</v>
      </c>
      <c s="125">
        <f>Предпосылки!AT$233*Предпосылки!$I271*Продажи!AU36*AU$19*(1+Чувствительность!$D$20)*IFERROR(LOOKUP(Предпосылки!$H$206,$C$13:$C$15,AU$13:AU$15),1)</f>
        <v>0</v>
      </c>
      <c s="125">
        <f>Предпосылки!AU$233*Предпосылки!$I271*Продажи!AV36*AV$19*(1+Чувствительность!$D$20)*IFERROR(LOOKUP(Предпосылки!$H$206,$C$13:$C$15,AV$13:AV$15),1)</f>
        <v>0</v>
      </c>
      <c s="125">
        <f>Предпосылки!AV$233*Предпосылки!$I271*Продажи!AW36*AW$19*(1+Чувствительность!$D$20)*IFERROR(LOOKUP(Предпосылки!$H$206,$C$13:$C$15,AW$13:AW$15),1)</f>
        <v>0</v>
      </c>
      <c s="125">
        <f>Предпосылки!AW$233*Предпосылки!$I271*Продажи!AX36*AX$19*(1+Чувствительность!$D$20)*IFERROR(LOOKUP(Предпосылки!$H$206,$C$13:$C$15,AX$13:AX$15),1)</f>
        <v>0</v>
      </c>
      <c s="125">
        <f>Предпосылки!AX$233*Предпосылки!$I271*Продажи!AY36*AY$19*(1+Чувствительность!$D$20)*IFERROR(LOOKUP(Предпосылки!$H$206,$C$13:$C$15,AY$13:AY$15),1)</f>
        <v>0</v>
      </c>
      <c s="125">
        <f>Предпосылки!AY$233*Предпосылки!$I271*Продажи!AZ36*AZ$19*(1+Чувствительность!$D$20)*IFERROR(LOOKUP(Предпосылки!$H$206,$C$13:$C$15,AZ$13:AZ$15),1)</f>
        <v>0</v>
      </c>
      <c s="125">
        <f>Предпосылки!AZ$233*Предпосылки!$I271*Продажи!BA36*BA$19*(1+Чувствительность!$D$20)*IFERROR(LOOKUP(Предпосылки!$H$206,$C$13:$C$15,BA$13:BA$15),1)</f>
        <v>0</v>
      </c>
      <c s="125">
        <f>Предпосылки!BA$233*Предпосылки!$I271*Продажи!BB36*BB$19*(1+Чувствительность!$D$20)*IFERROR(LOOKUP(Предпосылки!$H$206,$C$13:$C$15,BB$13:BB$15),1)</f>
        <v>0</v>
      </c>
      <c s="125">
        <f>Предпосылки!BB$233*Предпосылки!$I271*Продажи!BC36*BC$19*(1+Чувствительность!$D$20)*IFERROR(LOOKUP(Предпосылки!$H$206,$C$13:$C$15,BC$13:BC$15),1)</f>
        <v>0</v>
      </c>
      <c s="125">
        <f>Предпосылки!BC$233*Предпосылки!$I271*Продажи!BD36*BD$19*(1+Чувствительность!$D$20)*IFERROR(LOOKUP(Предпосылки!$H$206,$C$13:$C$15,BD$13:BD$15),1)</f>
        <v>0</v>
      </c>
      <c s="125">
        <f>Предпосылки!BD$233*Предпосылки!$I271*Продажи!BE36*BE$19*(1+Чувствительность!$D$20)*IFERROR(LOOKUP(Предпосылки!$H$206,$C$13:$C$15,BE$13:BE$15),1)</f>
        <v>0</v>
      </c>
      <c s="125">
        <f>Предпосылки!BE$233*Предпосылки!$I271*Продажи!BF36*BF$19*(1+Чувствительность!$D$20)*IFERROR(LOOKUP(Предпосылки!$H$206,$C$13:$C$15,BF$13:BF$15),1)</f>
        <v>0</v>
      </c>
      <c s="125">
        <f>Предпосылки!BF$233*Предпосылки!$I271*Продажи!BG36*BG$19*(1+Чувствительность!$D$20)*IFERROR(LOOKUP(Предпосылки!$H$206,$C$13:$C$15,BG$13:BG$15),1)</f>
        <v>0</v>
      </c>
      <c s="125">
        <f>Предпосылки!BG$233*Предпосылки!$I271*Продажи!BH36*BH$19*(1+Чувствительность!$D$20)*IFERROR(LOOKUP(Предпосылки!$H$206,$C$13:$C$15,BH$13:BH$15),1)</f>
        <v>0</v>
      </c>
      <c s="125">
        <f>Предпосылки!BH$233*Предпосылки!$I271*Продажи!BI36*BI$19*(1+Чувствительность!$D$20)*IFERROR(LOOKUP(Предпосылки!$H$206,$C$13:$C$15,BI$13:BI$15),1)</f>
        <v>0</v>
      </c>
      <c s="125">
        <f>Предпосылки!BI$233*Предпосылки!$I271*Продажи!BJ36*BJ$19*(1+Чувствительность!$D$20)*IFERROR(LOOKUP(Предпосылки!$H$206,$C$13:$C$15,BJ$13:BJ$15),1)</f>
        <v>0</v>
      </c>
      <c s="125">
        <f>Предпосылки!BJ$233*Предпосылки!$I271*Продажи!BK36*BK$19*(1+Чувствительность!$D$20)*IFERROR(LOOKUP(Предпосылки!$H$206,$C$13:$C$15,BK$13:BK$15),1)</f>
        <v>0</v>
      </c>
      <c s="125">
        <f>Предпосылки!BK$233*Предпосылки!$I271*Продажи!BL36*BL$19*(1+Чувствительность!$D$20)*IFERROR(LOOKUP(Предпосылки!$H$206,$C$13:$C$15,BL$13:BL$15),1)</f>
        <v>0</v>
      </c>
      <c s="125">
        <f>Предпосылки!BL$233*Предпосылки!$I271*Продажи!BM36*BM$19*(1+Чувствительность!$D$20)*IFERROR(LOOKUP(Предпосылки!$H$206,$C$13:$C$15,BM$13:BM$15),1)</f>
        <v>0</v>
      </c>
    </row>
    <row r="157" spans="2:65" ht="15" customHeight="1">
      <c r="B157" s="12" t="str">
        <f t="shared" si="86"/>
        <v>Продукт 20</v>
      </c>
      <c s="124" t="str">
        <f t="shared" si="85"/>
        <v>тыс. руб.</v>
      </c>
      <c s="276">
        <f t="shared" si="87"/>
        <v>0</v>
      </c>
      <c s="125">
        <f>Предпосылки!D$233*Предпосылки!$I272*Продажи!E37*E$19*(1+Чувствительность!$D$20)*IFERROR(LOOKUP(Предпосылки!$H$206,$C$13:$C$15,E$13:E$15),1)</f>
        <v>0</v>
      </c>
      <c s="125">
        <f>Предпосылки!E$233*Предпосылки!$I272*Продажи!F37*F$19*(1+Чувствительность!$D$20)*IFERROR(LOOKUP(Предпосылки!$H$206,$C$13:$C$15,F$13:F$15),1)</f>
        <v>0</v>
      </c>
      <c s="125">
        <f>Предпосылки!F$233*Предпосылки!$I272*Продажи!G37*G$19*(1+Чувствительность!$D$20)*IFERROR(LOOKUP(Предпосылки!$H$206,$C$13:$C$15,G$13:G$15),1)</f>
        <v>0</v>
      </c>
      <c s="125">
        <f>Предпосылки!G$233*Предпосылки!$I272*Продажи!H37*H$19*(1+Чувствительность!$D$20)*IFERROR(LOOKUP(Предпосылки!$H$206,$C$13:$C$15,H$13:H$15),1)</f>
        <v>0</v>
      </c>
      <c s="125">
        <f>Предпосылки!H$233*Предпосылки!$I272*Продажи!I37*I$19*(1+Чувствительность!$D$20)*IFERROR(LOOKUP(Предпосылки!$H$206,$C$13:$C$15,I$13:I$15),1)</f>
        <v>0</v>
      </c>
      <c s="125">
        <f>Предпосылки!I$233*Предпосылки!$I272*Продажи!J37*J$19*(1+Чувствительность!$D$20)*IFERROR(LOOKUP(Предпосылки!$H$206,$C$13:$C$15,J$13:J$15),1)</f>
        <v>0</v>
      </c>
      <c s="125">
        <f>Предпосылки!J$233*Предпосылки!$I272*Продажи!K37*K$19*(1+Чувствительность!$D$20)*IFERROR(LOOKUP(Предпосылки!$H$206,$C$13:$C$15,K$13:K$15),1)</f>
        <v>0</v>
      </c>
      <c s="125">
        <f>Предпосылки!K$233*Предпосылки!$I272*Продажи!L37*L$19*(1+Чувствительность!$D$20)*IFERROR(LOOKUP(Предпосылки!$H$206,$C$13:$C$15,L$13:L$15),1)</f>
        <v>0</v>
      </c>
      <c s="125">
        <f>Предпосылки!L$233*Предпосылки!$I272*Продажи!M37*M$19*(1+Чувствительность!$D$20)*IFERROR(LOOKUP(Предпосылки!$H$206,$C$13:$C$15,M$13:M$15),1)</f>
        <v>0</v>
      </c>
      <c s="125">
        <f>Предпосылки!M$233*Предпосылки!$I272*Продажи!N37*N$19*(1+Чувствительность!$D$20)*IFERROR(LOOKUP(Предпосылки!$H$206,$C$13:$C$15,N$13:N$15),1)</f>
        <v>0</v>
      </c>
      <c s="125">
        <f>Предпосылки!N$233*Предпосылки!$I272*Продажи!O37*O$19*(1+Чувствительность!$D$20)*IFERROR(LOOKUP(Предпосылки!$H$206,$C$13:$C$15,O$13:O$15),1)</f>
        <v>0</v>
      </c>
      <c s="125">
        <f>Предпосылки!O$233*Предпосылки!$I272*Продажи!P37*P$19*(1+Чувствительность!$D$20)*IFERROR(LOOKUP(Предпосылки!$H$206,$C$13:$C$15,P$13:P$15),1)</f>
        <v>0</v>
      </c>
      <c s="125">
        <f>Предпосылки!P$233*Предпосылки!$I272*Продажи!Q37*Q$19*(1+Чувствительность!$D$20)*IFERROR(LOOKUP(Предпосылки!$H$206,$C$13:$C$15,Q$13:Q$15),1)</f>
        <v>0</v>
      </c>
      <c s="125">
        <f>Предпосылки!Q$233*Предпосылки!$I272*Продажи!R37*R$19*(1+Чувствительность!$D$20)*IFERROR(LOOKUP(Предпосылки!$H$206,$C$13:$C$15,R$13:R$15),1)</f>
        <v>0</v>
      </c>
      <c s="125">
        <f>Предпосылки!R$233*Предпосылки!$I272*Продажи!S37*S$19*(1+Чувствительность!$D$20)*IFERROR(LOOKUP(Предпосылки!$H$206,$C$13:$C$15,S$13:S$15),1)</f>
        <v>0</v>
      </c>
      <c s="125">
        <f>Предпосылки!S$233*Предпосылки!$I272*Продажи!T37*T$19*(1+Чувствительность!$D$20)*IFERROR(LOOKUP(Предпосылки!$H$206,$C$13:$C$15,T$13:T$15),1)</f>
        <v>0</v>
      </c>
      <c s="125">
        <f>Предпосылки!T$233*Предпосылки!$I272*Продажи!U37*U$19*(1+Чувствительность!$D$20)*IFERROR(LOOKUP(Предпосылки!$H$206,$C$13:$C$15,U$13:U$15),1)</f>
        <v>0</v>
      </c>
      <c s="125">
        <f>Предпосылки!U$233*Предпосылки!$I272*Продажи!V37*V$19*(1+Чувствительность!$D$20)*IFERROR(LOOKUP(Предпосылки!$H$206,$C$13:$C$15,V$13:V$15),1)</f>
        <v>0</v>
      </c>
      <c s="125">
        <f>Предпосылки!V$233*Предпосылки!$I272*Продажи!W37*W$19*(1+Чувствительность!$D$20)*IFERROR(LOOKUP(Предпосылки!$H$206,$C$13:$C$15,W$13:W$15),1)</f>
        <v>0</v>
      </c>
      <c s="125">
        <f>Предпосылки!W$233*Предпосылки!$I272*Продажи!X37*X$19*(1+Чувствительность!$D$20)*IFERROR(LOOKUP(Предпосылки!$H$206,$C$13:$C$15,X$13:X$15),1)</f>
        <v>0</v>
      </c>
      <c s="125">
        <f>Предпосылки!X$233*Предпосылки!$I272*Продажи!Y37*Y$19*(1+Чувствительность!$D$20)*IFERROR(LOOKUP(Предпосылки!$H$206,$C$13:$C$15,Y$13:Y$15),1)</f>
        <v>0</v>
      </c>
      <c s="125">
        <f>Предпосылки!Y$233*Предпосылки!$I272*Продажи!Z37*Z$19*(1+Чувствительность!$D$20)*IFERROR(LOOKUP(Предпосылки!$H$206,$C$13:$C$15,Z$13:Z$15),1)</f>
        <v>0</v>
      </c>
      <c s="125">
        <f>Предпосылки!Z$233*Предпосылки!$I272*Продажи!AA37*AA$19*(1+Чувствительность!$D$20)*IFERROR(LOOKUP(Предпосылки!$H$206,$C$13:$C$15,AA$13:AA$15),1)</f>
        <v>0</v>
      </c>
      <c s="125">
        <f>Предпосылки!AA$233*Предпосылки!$I272*Продажи!AB37*AB$19*(1+Чувствительность!$D$20)*IFERROR(LOOKUP(Предпосылки!$H$206,$C$13:$C$15,AB$13:AB$15),1)</f>
        <v>0</v>
      </c>
      <c s="125">
        <f>Предпосылки!AB$233*Предпосылки!$I272*Продажи!AC37*AC$19*(1+Чувствительность!$D$20)*IFERROR(LOOKUP(Предпосылки!$H$206,$C$13:$C$15,AC$13:AC$15),1)</f>
        <v>0</v>
      </c>
      <c s="125">
        <f>Предпосылки!AC$233*Предпосылки!$I272*Продажи!AD37*AD$19*(1+Чувствительность!$D$20)*IFERROR(LOOKUP(Предпосылки!$H$206,$C$13:$C$15,AD$13:AD$15),1)</f>
        <v>0</v>
      </c>
      <c s="125">
        <f>Предпосылки!AD$233*Предпосылки!$I272*Продажи!AE37*AE$19*(1+Чувствительность!$D$20)*IFERROR(LOOKUP(Предпосылки!$H$206,$C$13:$C$15,AE$13:AE$15),1)</f>
        <v>0</v>
      </c>
      <c s="125">
        <f>Предпосылки!AE$233*Предпосылки!$I272*Продажи!AF37*AF$19*(1+Чувствительность!$D$20)*IFERROR(LOOKUP(Предпосылки!$H$206,$C$13:$C$15,AF$13:AF$15),1)</f>
        <v>0</v>
      </c>
      <c s="125">
        <f>Предпосылки!AF$233*Предпосылки!$I272*Продажи!AG37*AG$19*(1+Чувствительность!$D$20)*IFERROR(LOOKUP(Предпосылки!$H$206,$C$13:$C$15,AG$13:AG$15),1)</f>
        <v>0</v>
      </c>
      <c s="125">
        <f>Предпосылки!AG$233*Предпосылки!$I272*Продажи!AH37*AH$19*(1+Чувствительность!$D$20)*IFERROR(LOOKUP(Предпосылки!$H$206,$C$13:$C$15,AH$13:AH$15),1)</f>
        <v>0</v>
      </c>
      <c s="125">
        <f>Предпосылки!AH$233*Предпосылки!$I272*Продажи!AI37*AI$19*(1+Чувствительность!$D$20)*IFERROR(LOOKUP(Предпосылки!$H$206,$C$13:$C$15,AI$13:AI$15),1)</f>
        <v>0</v>
      </c>
      <c s="125">
        <f>Предпосылки!AI$233*Предпосылки!$I272*Продажи!AJ37*AJ$19*(1+Чувствительность!$D$20)*IFERROR(LOOKUP(Предпосылки!$H$206,$C$13:$C$15,AJ$13:AJ$15),1)</f>
        <v>0</v>
      </c>
      <c s="125">
        <f>Предпосылки!AJ$233*Предпосылки!$I272*Продажи!AK37*AK$19*(1+Чувствительность!$D$20)*IFERROR(LOOKUP(Предпосылки!$H$206,$C$13:$C$15,AK$13:AK$15),1)</f>
        <v>0</v>
      </c>
      <c s="125">
        <f>Предпосылки!AK$233*Предпосылки!$I272*Продажи!AL37*AL$19*(1+Чувствительность!$D$20)*IFERROR(LOOKUP(Предпосылки!$H$206,$C$13:$C$15,AL$13:AL$15),1)</f>
        <v>0</v>
      </c>
      <c s="125">
        <f>Предпосылки!AL$233*Предпосылки!$I272*Продажи!AM37*AM$19*(1+Чувствительность!$D$20)*IFERROR(LOOKUP(Предпосылки!$H$206,$C$13:$C$15,AM$13:AM$15),1)</f>
        <v>0</v>
      </c>
      <c s="125">
        <f>Предпосылки!AM$233*Предпосылки!$I272*Продажи!AN37*AN$19*(1+Чувствительность!$D$20)*IFERROR(LOOKUP(Предпосылки!$H$206,$C$13:$C$15,AN$13:AN$15),1)</f>
        <v>0</v>
      </c>
      <c s="125">
        <f>Предпосылки!AN$233*Предпосылки!$I272*Продажи!AO37*AO$19*(1+Чувствительность!$D$20)*IFERROR(LOOKUP(Предпосылки!$H$206,$C$13:$C$15,AO$13:AO$15),1)</f>
        <v>0</v>
      </c>
      <c s="125">
        <f>Предпосылки!AO$233*Предпосылки!$I272*Продажи!AP37*AP$19*(1+Чувствительность!$D$20)*IFERROR(LOOKUP(Предпосылки!$H$206,$C$13:$C$15,AP$13:AP$15),1)</f>
        <v>0</v>
      </c>
      <c s="125">
        <f>Предпосылки!AP$233*Предпосылки!$I272*Продажи!AQ37*AQ$19*(1+Чувствительность!$D$20)*IFERROR(LOOKUP(Предпосылки!$H$206,$C$13:$C$15,AQ$13:AQ$15),1)</f>
        <v>0</v>
      </c>
      <c s="125">
        <f>Предпосылки!AQ$233*Предпосылки!$I272*Продажи!AR37*AR$19*(1+Чувствительность!$D$20)*IFERROR(LOOKUP(Предпосылки!$H$206,$C$13:$C$15,AR$13:AR$15),1)</f>
        <v>0</v>
      </c>
      <c s="125">
        <f>Предпосылки!AR$233*Предпосылки!$I272*Продажи!AS37*AS$19*(1+Чувствительность!$D$20)*IFERROR(LOOKUP(Предпосылки!$H$206,$C$13:$C$15,AS$13:AS$15),1)</f>
        <v>0</v>
      </c>
      <c s="125">
        <f>Предпосылки!AS$233*Предпосылки!$I272*Продажи!AT37*AT$19*(1+Чувствительность!$D$20)*IFERROR(LOOKUP(Предпосылки!$H$206,$C$13:$C$15,AT$13:AT$15),1)</f>
        <v>0</v>
      </c>
      <c s="125">
        <f>Предпосылки!AT$233*Предпосылки!$I272*Продажи!AU37*AU$19*(1+Чувствительность!$D$20)*IFERROR(LOOKUP(Предпосылки!$H$206,$C$13:$C$15,AU$13:AU$15),1)</f>
        <v>0</v>
      </c>
      <c s="125">
        <f>Предпосылки!AU$233*Предпосылки!$I272*Продажи!AV37*AV$19*(1+Чувствительность!$D$20)*IFERROR(LOOKUP(Предпосылки!$H$206,$C$13:$C$15,AV$13:AV$15),1)</f>
        <v>0</v>
      </c>
      <c s="125">
        <f>Предпосылки!AV$233*Предпосылки!$I272*Продажи!AW37*AW$19*(1+Чувствительность!$D$20)*IFERROR(LOOKUP(Предпосылки!$H$206,$C$13:$C$15,AW$13:AW$15),1)</f>
        <v>0</v>
      </c>
      <c s="125">
        <f>Предпосылки!AW$233*Предпосылки!$I272*Продажи!AX37*AX$19*(1+Чувствительность!$D$20)*IFERROR(LOOKUP(Предпосылки!$H$206,$C$13:$C$15,AX$13:AX$15),1)</f>
        <v>0</v>
      </c>
      <c s="125">
        <f>Предпосылки!AX$233*Предпосылки!$I272*Продажи!AY37*AY$19*(1+Чувствительность!$D$20)*IFERROR(LOOKUP(Предпосылки!$H$206,$C$13:$C$15,AY$13:AY$15),1)</f>
        <v>0</v>
      </c>
      <c s="125">
        <f>Предпосылки!AY$233*Предпосылки!$I272*Продажи!AZ37*AZ$19*(1+Чувствительность!$D$20)*IFERROR(LOOKUP(Предпосылки!$H$206,$C$13:$C$15,AZ$13:AZ$15),1)</f>
        <v>0</v>
      </c>
      <c s="125">
        <f>Предпосылки!AZ$233*Предпосылки!$I272*Продажи!BA37*BA$19*(1+Чувствительность!$D$20)*IFERROR(LOOKUP(Предпосылки!$H$206,$C$13:$C$15,BA$13:BA$15),1)</f>
        <v>0</v>
      </c>
      <c s="125">
        <f>Предпосылки!BA$233*Предпосылки!$I272*Продажи!BB37*BB$19*(1+Чувствительность!$D$20)*IFERROR(LOOKUP(Предпосылки!$H$206,$C$13:$C$15,BB$13:BB$15),1)</f>
        <v>0</v>
      </c>
      <c s="125">
        <f>Предпосылки!BB$233*Предпосылки!$I272*Продажи!BC37*BC$19*(1+Чувствительность!$D$20)*IFERROR(LOOKUP(Предпосылки!$H$206,$C$13:$C$15,BC$13:BC$15),1)</f>
        <v>0</v>
      </c>
      <c s="125">
        <f>Предпосылки!BC$233*Предпосылки!$I272*Продажи!BD37*BD$19*(1+Чувствительность!$D$20)*IFERROR(LOOKUP(Предпосылки!$H$206,$C$13:$C$15,BD$13:BD$15),1)</f>
        <v>0</v>
      </c>
      <c s="125">
        <f>Предпосылки!BD$233*Предпосылки!$I272*Продажи!BE37*BE$19*(1+Чувствительность!$D$20)*IFERROR(LOOKUP(Предпосылки!$H$206,$C$13:$C$15,BE$13:BE$15),1)</f>
        <v>0</v>
      </c>
      <c s="125">
        <f>Предпосылки!BE$233*Предпосылки!$I272*Продажи!BF37*BF$19*(1+Чувствительность!$D$20)*IFERROR(LOOKUP(Предпосылки!$H$206,$C$13:$C$15,BF$13:BF$15),1)</f>
        <v>0</v>
      </c>
      <c s="125">
        <f>Предпосылки!BF$233*Предпосылки!$I272*Продажи!BG37*BG$19*(1+Чувствительность!$D$20)*IFERROR(LOOKUP(Предпосылки!$H$206,$C$13:$C$15,BG$13:BG$15),1)</f>
        <v>0</v>
      </c>
      <c s="125">
        <f>Предпосылки!BG$233*Предпосылки!$I272*Продажи!BH37*BH$19*(1+Чувствительность!$D$20)*IFERROR(LOOKUP(Предпосылки!$H$206,$C$13:$C$15,BH$13:BH$15),1)</f>
        <v>0</v>
      </c>
      <c s="125">
        <f>Предпосылки!BH$233*Предпосылки!$I272*Продажи!BI37*BI$19*(1+Чувствительность!$D$20)*IFERROR(LOOKUP(Предпосылки!$H$206,$C$13:$C$15,BI$13:BI$15),1)</f>
        <v>0</v>
      </c>
      <c s="125">
        <f>Предпосылки!BI$233*Предпосылки!$I272*Продажи!BJ37*BJ$19*(1+Чувствительность!$D$20)*IFERROR(LOOKUP(Предпосылки!$H$206,$C$13:$C$15,BJ$13:BJ$15),1)</f>
        <v>0</v>
      </c>
      <c s="125">
        <f>Предпосылки!BJ$233*Предпосылки!$I272*Продажи!BK37*BK$19*(1+Чувствительность!$D$20)*IFERROR(LOOKUP(Предпосылки!$H$206,$C$13:$C$15,BK$13:BK$15),1)</f>
        <v>0</v>
      </c>
      <c s="125">
        <f>Предпосылки!BK$233*Предпосылки!$I272*Продажи!BL37*BL$19*(1+Чувствительность!$D$20)*IFERROR(LOOKUP(Предпосылки!$H$206,$C$13:$C$15,BL$13:BL$15),1)</f>
        <v>0</v>
      </c>
      <c s="125">
        <f>Предпосылки!BL$233*Предпосылки!$I272*Продажи!BM37*BM$19*(1+Чувствительность!$D$20)*IFERROR(LOOKUP(Предпосылки!$H$206,$C$13:$C$15,BM$13:BM$15),1)</f>
        <v>0</v>
      </c>
    </row>
    <row r="158" spans="2:65" ht="15" customHeight="1">
      <c r="B158" s="289" t="s">
        <v>454</v>
      </c>
      <c s="290" t="str">
        <f>Единица_измерения</f>
        <v>тыс. руб.</v>
      </c>
      <c s="291">
        <f>SUM(D138:D157)</f>
        <v>0</v>
      </c>
      <c s="276">
        <f>SUM(E138:E157)</f>
        <v>0</v>
      </c>
      <c s="276">
        <f t="shared" si="88" ref="F158:AG158">SUM(F138:F157)</f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8"/>
        <v>0</v>
      </c>
      <c s="276">
        <f t="shared" si="89" ref="AH158:BM158">SUM(AH138:AH157)</f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  <c s="276">
        <f t="shared" si="89"/>
        <v>0</v>
      </c>
    </row>
    <row r="159" ht="15" customHeight="1"/>
    <row r="160" spans="2:69" ht="14.45">
      <c r="B160" s="25" t="str">
        <f>Предпосылки!B234</f>
        <v>Операционные затраты 7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1" spans="2:65" ht="15" customHeight="1">
      <c r="B161" s="12" t="str">
        <f>B138</f>
        <v>Продукт 1</v>
      </c>
      <c s="124" t="str">
        <f t="shared" si="90" ref="C161:C180">Единица_измерения</f>
        <v>тыс. руб.</v>
      </c>
      <c s="276">
        <f>SUM(E161:BM161)</f>
        <v>0</v>
      </c>
      <c s="125">
        <f>Предпосылки!D$234*Предпосылки!$J253*Продажи!E18*E$19*(1+Чувствительность!$D$20)*IFERROR(LOOKUP(Предпосылки!$H$207,$C$13:$C$15,E$13:E$15),1)</f>
        <v>0</v>
      </c>
      <c s="125">
        <f>Предпосылки!E$234*Предпосылки!$J253*Продажи!F18*F$19*(1+Чувствительность!$D$20)*IFERROR(LOOKUP(Предпосылки!$H$207,$C$13:$C$15,F$13:F$15),1)</f>
        <v>0</v>
      </c>
      <c s="125">
        <f>Предпосылки!F$234*Предпосылки!$J253*Продажи!G18*G$19*(1+Чувствительность!$D$20)*IFERROR(LOOKUP(Предпосылки!$H$207,$C$13:$C$15,G$13:G$15),1)</f>
        <v>0</v>
      </c>
      <c s="125">
        <f>Предпосылки!G$234*Предпосылки!$J253*Продажи!H18*H$19*(1+Чувствительность!$D$20)*IFERROR(LOOKUP(Предпосылки!$H$207,$C$13:$C$15,H$13:H$15),1)</f>
        <v>0</v>
      </c>
      <c s="125">
        <f>Предпосылки!H$234*Предпосылки!$J253*Продажи!I18*I$19*(1+Чувствительность!$D$20)*IFERROR(LOOKUP(Предпосылки!$H$207,$C$13:$C$15,I$13:I$15),1)</f>
        <v>0</v>
      </c>
      <c s="125">
        <f>Предпосылки!I$234*Предпосылки!$J253*Продажи!J18*J$19*(1+Чувствительность!$D$20)*IFERROR(LOOKUP(Предпосылки!$H$207,$C$13:$C$15,J$13:J$15),1)</f>
        <v>0</v>
      </c>
      <c s="125">
        <f>Предпосылки!J$234*Предпосылки!$J253*Продажи!K18*K$19*(1+Чувствительность!$D$20)*IFERROR(LOOKUP(Предпосылки!$H$207,$C$13:$C$15,K$13:K$15),1)</f>
        <v>0</v>
      </c>
      <c s="125">
        <f>Предпосылки!K$234*Предпосылки!$J253*Продажи!L18*L$19*(1+Чувствительность!$D$20)*IFERROR(LOOKUP(Предпосылки!$H$207,$C$13:$C$15,L$13:L$15),1)</f>
        <v>0</v>
      </c>
      <c s="125">
        <f>Предпосылки!L$234*Предпосылки!$J253*Продажи!M18*M$19*(1+Чувствительность!$D$20)*IFERROR(LOOKUP(Предпосылки!$H$207,$C$13:$C$15,M$13:M$15),1)</f>
        <v>0</v>
      </c>
      <c s="125">
        <f>Предпосылки!M$234*Предпосылки!$J253*Продажи!N18*N$19*(1+Чувствительность!$D$20)*IFERROR(LOOKUP(Предпосылки!$H$207,$C$13:$C$15,N$13:N$15),1)</f>
        <v>0</v>
      </c>
      <c s="125">
        <f>Предпосылки!N$234*Предпосылки!$J253*Продажи!O18*O$19*(1+Чувствительность!$D$20)*IFERROR(LOOKUP(Предпосылки!$H$207,$C$13:$C$15,O$13:O$15),1)</f>
        <v>0</v>
      </c>
      <c s="125">
        <f>Предпосылки!O$234*Предпосылки!$J253*Продажи!P18*P$19*(1+Чувствительность!$D$20)*IFERROR(LOOKUP(Предпосылки!$H$207,$C$13:$C$15,P$13:P$15),1)</f>
        <v>0</v>
      </c>
      <c s="125">
        <f>Предпосылки!P$234*Предпосылки!$J253*Продажи!Q18*Q$19*(1+Чувствительность!$D$20)*IFERROR(LOOKUP(Предпосылки!$H$207,$C$13:$C$15,Q$13:Q$15),1)</f>
        <v>0</v>
      </c>
      <c s="125">
        <f>Предпосылки!Q$234*Предпосылки!$J253*Продажи!R18*R$19*(1+Чувствительность!$D$20)*IFERROR(LOOKUP(Предпосылки!$H$207,$C$13:$C$15,R$13:R$15),1)</f>
        <v>0</v>
      </c>
      <c s="125">
        <f>Предпосылки!R$234*Предпосылки!$J253*Продажи!S18*S$19*(1+Чувствительность!$D$20)*IFERROR(LOOKUP(Предпосылки!$H$207,$C$13:$C$15,S$13:S$15),1)</f>
        <v>0</v>
      </c>
      <c s="125">
        <f>Предпосылки!S$234*Предпосылки!$J253*Продажи!T18*T$19*(1+Чувствительность!$D$20)*IFERROR(LOOKUP(Предпосылки!$H$207,$C$13:$C$15,T$13:T$15),1)</f>
        <v>0</v>
      </c>
      <c s="125">
        <f>Предпосылки!T$234*Предпосылки!$J253*Продажи!U18*U$19*(1+Чувствительность!$D$20)*IFERROR(LOOKUP(Предпосылки!$H$207,$C$13:$C$15,U$13:U$15),1)</f>
        <v>0</v>
      </c>
      <c s="125">
        <f>Предпосылки!U$234*Предпосылки!$J253*Продажи!V18*V$19*(1+Чувствительность!$D$20)*IFERROR(LOOKUP(Предпосылки!$H$207,$C$13:$C$15,V$13:V$15),1)</f>
        <v>0</v>
      </c>
      <c s="125">
        <f>Предпосылки!V$234*Предпосылки!$J253*Продажи!W18*W$19*(1+Чувствительность!$D$20)*IFERROR(LOOKUP(Предпосылки!$H$207,$C$13:$C$15,W$13:W$15),1)</f>
        <v>0</v>
      </c>
      <c s="125">
        <f>Предпосылки!W$234*Предпосылки!$J253*Продажи!X18*X$19*(1+Чувствительность!$D$20)*IFERROR(LOOKUP(Предпосылки!$H$207,$C$13:$C$15,X$13:X$15),1)</f>
        <v>0</v>
      </c>
      <c s="125">
        <f>Предпосылки!X$234*Предпосылки!$J253*Продажи!Y18*Y$19*(1+Чувствительность!$D$20)*IFERROR(LOOKUP(Предпосылки!$H$207,$C$13:$C$15,Y$13:Y$15),1)</f>
        <v>0</v>
      </c>
      <c s="125">
        <f>Предпосылки!Y$234*Предпосылки!$J253*Продажи!Z18*Z$19*(1+Чувствительность!$D$20)*IFERROR(LOOKUP(Предпосылки!$H$207,$C$13:$C$15,Z$13:Z$15),1)</f>
        <v>0</v>
      </c>
      <c s="125">
        <f>Предпосылки!Z$234*Предпосылки!$J253*Продажи!AA18*AA$19*(1+Чувствительность!$D$20)*IFERROR(LOOKUP(Предпосылки!$H$207,$C$13:$C$15,AA$13:AA$15),1)</f>
        <v>0</v>
      </c>
      <c s="125">
        <f>Предпосылки!AA$234*Предпосылки!$J253*Продажи!AB18*AB$19*(1+Чувствительность!$D$20)*IFERROR(LOOKUP(Предпосылки!$H$207,$C$13:$C$15,AB$13:AB$15),1)</f>
        <v>0</v>
      </c>
      <c s="125">
        <f>Предпосылки!AB$234*Предпосылки!$J253*Продажи!AC18*AC$19*(1+Чувствительность!$D$20)*IFERROR(LOOKUP(Предпосылки!$H$207,$C$13:$C$15,AC$13:AC$15),1)</f>
        <v>0</v>
      </c>
      <c s="125">
        <f>Предпосылки!AC$234*Предпосылки!$J253*Продажи!AD18*AD$19*(1+Чувствительность!$D$20)*IFERROR(LOOKUP(Предпосылки!$H$207,$C$13:$C$15,AD$13:AD$15),1)</f>
        <v>0</v>
      </c>
      <c s="125">
        <f>Предпосылки!AD$234*Предпосылки!$J253*Продажи!AE18*AE$19*(1+Чувствительность!$D$20)*IFERROR(LOOKUP(Предпосылки!$H$207,$C$13:$C$15,AE$13:AE$15),1)</f>
        <v>0</v>
      </c>
      <c s="125">
        <f>Предпосылки!AE$234*Предпосылки!$J253*Продажи!AF18*AF$19*(1+Чувствительность!$D$20)*IFERROR(LOOKUP(Предпосылки!$H$207,$C$13:$C$15,AF$13:AF$15),1)</f>
        <v>0</v>
      </c>
      <c s="125">
        <f>Предпосылки!AF$234*Предпосылки!$J253*Продажи!AG18*AG$19*(1+Чувствительность!$D$20)*IFERROR(LOOKUP(Предпосылки!$H$207,$C$13:$C$15,AG$13:AG$15),1)</f>
        <v>0</v>
      </c>
      <c s="125">
        <f>Предпосылки!AG$234*Предпосылки!$J253*Продажи!AH18*AH$19*(1+Чувствительность!$D$20)*IFERROR(LOOKUP(Предпосылки!$H$207,$C$13:$C$15,AH$13:AH$15),1)</f>
        <v>0</v>
      </c>
      <c s="125">
        <f>Предпосылки!AH$234*Предпосылки!$J253*Продажи!AI18*AI$19*(1+Чувствительность!$D$20)*IFERROR(LOOKUP(Предпосылки!$H$207,$C$13:$C$15,AI$13:AI$15),1)</f>
        <v>0</v>
      </c>
      <c s="125">
        <f>Предпосылки!AI$234*Предпосылки!$J253*Продажи!AJ18*AJ$19*(1+Чувствительность!$D$20)*IFERROR(LOOKUP(Предпосылки!$H$207,$C$13:$C$15,AJ$13:AJ$15),1)</f>
        <v>0</v>
      </c>
      <c s="125">
        <f>Предпосылки!AJ$234*Предпосылки!$J253*Продажи!AK18*AK$19*(1+Чувствительность!$D$20)*IFERROR(LOOKUP(Предпосылки!$H$207,$C$13:$C$15,AK$13:AK$15),1)</f>
        <v>0</v>
      </c>
      <c s="125">
        <f>Предпосылки!AK$234*Предпосылки!$J253*Продажи!AL18*AL$19*(1+Чувствительность!$D$20)*IFERROR(LOOKUP(Предпосылки!$H$207,$C$13:$C$15,AL$13:AL$15),1)</f>
        <v>0</v>
      </c>
      <c s="125">
        <f>Предпосылки!AL$234*Предпосылки!$J253*Продажи!AM18*AM$19*(1+Чувствительность!$D$20)*IFERROR(LOOKUP(Предпосылки!$H$207,$C$13:$C$15,AM$13:AM$15),1)</f>
        <v>0</v>
      </c>
      <c s="125">
        <f>Предпосылки!AM$234*Предпосылки!$J253*Продажи!AN18*AN$19*(1+Чувствительность!$D$20)*IFERROR(LOOKUP(Предпосылки!$H$207,$C$13:$C$15,AN$13:AN$15),1)</f>
        <v>0</v>
      </c>
      <c s="125">
        <f>Предпосылки!AN$234*Предпосылки!$J253*Продажи!AO18*AO$19*(1+Чувствительность!$D$20)*IFERROR(LOOKUP(Предпосылки!$H$207,$C$13:$C$15,AO$13:AO$15),1)</f>
        <v>0</v>
      </c>
      <c s="125">
        <f>Предпосылки!AO$234*Предпосылки!$J253*Продажи!AP18*AP$19*(1+Чувствительность!$D$20)*IFERROR(LOOKUP(Предпосылки!$H$207,$C$13:$C$15,AP$13:AP$15),1)</f>
        <v>0</v>
      </c>
      <c s="125">
        <f>Предпосылки!AP$234*Предпосылки!$J253*Продажи!AQ18*AQ$19*(1+Чувствительность!$D$20)*IFERROR(LOOKUP(Предпосылки!$H$207,$C$13:$C$15,AQ$13:AQ$15),1)</f>
        <v>0</v>
      </c>
      <c s="125">
        <f>Предпосылки!AQ$234*Предпосылки!$J253*Продажи!AR18*AR$19*(1+Чувствительность!$D$20)*IFERROR(LOOKUP(Предпосылки!$H$207,$C$13:$C$15,AR$13:AR$15),1)</f>
        <v>0</v>
      </c>
      <c s="125">
        <f>Предпосылки!AR$234*Предпосылки!$J253*Продажи!AS18*AS$19*(1+Чувствительность!$D$20)*IFERROR(LOOKUP(Предпосылки!$H$207,$C$13:$C$15,AS$13:AS$15),1)</f>
        <v>0</v>
      </c>
      <c s="125">
        <f>Предпосылки!AS$234*Предпосылки!$J253*Продажи!AT18*AT$19*(1+Чувствительность!$D$20)*IFERROR(LOOKUP(Предпосылки!$H$207,$C$13:$C$15,AT$13:AT$15),1)</f>
        <v>0</v>
      </c>
      <c s="125">
        <f>Предпосылки!AT$234*Предпосылки!$J253*Продажи!AU18*AU$19*(1+Чувствительность!$D$20)*IFERROR(LOOKUP(Предпосылки!$H$207,$C$13:$C$15,AU$13:AU$15),1)</f>
        <v>0</v>
      </c>
      <c s="125">
        <f>Предпосылки!AU$234*Предпосылки!$J253*Продажи!AV18*AV$19*(1+Чувствительность!$D$20)*IFERROR(LOOKUP(Предпосылки!$H$207,$C$13:$C$15,AV$13:AV$15),1)</f>
        <v>0</v>
      </c>
      <c s="125">
        <f>Предпосылки!AV$234*Предпосылки!$J253*Продажи!AW18*AW$19*(1+Чувствительность!$D$20)*IFERROR(LOOKUP(Предпосылки!$H$207,$C$13:$C$15,AW$13:AW$15),1)</f>
        <v>0</v>
      </c>
      <c s="125">
        <f>Предпосылки!AW$234*Предпосылки!$J253*Продажи!AX18*AX$19*(1+Чувствительность!$D$20)*IFERROR(LOOKUP(Предпосылки!$H$207,$C$13:$C$15,AX$13:AX$15),1)</f>
        <v>0</v>
      </c>
      <c s="125">
        <f>Предпосылки!AX$234*Предпосылки!$J253*Продажи!AY18*AY$19*(1+Чувствительность!$D$20)*IFERROR(LOOKUP(Предпосылки!$H$207,$C$13:$C$15,AY$13:AY$15),1)</f>
        <v>0</v>
      </c>
      <c s="125">
        <f>Предпосылки!AY$234*Предпосылки!$J253*Продажи!AZ18*AZ$19*(1+Чувствительность!$D$20)*IFERROR(LOOKUP(Предпосылки!$H$207,$C$13:$C$15,AZ$13:AZ$15),1)</f>
        <v>0</v>
      </c>
      <c s="125">
        <f>Предпосылки!AZ$234*Предпосылки!$J253*Продажи!BA18*BA$19*(1+Чувствительность!$D$20)*IFERROR(LOOKUP(Предпосылки!$H$207,$C$13:$C$15,BA$13:BA$15),1)</f>
        <v>0</v>
      </c>
      <c s="125">
        <f>Предпосылки!BA$234*Предпосылки!$J253*Продажи!BB18*BB$19*(1+Чувствительность!$D$20)*IFERROR(LOOKUP(Предпосылки!$H$207,$C$13:$C$15,BB$13:BB$15),1)</f>
        <v>0</v>
      </c>
      <c s="125">
        <f>Предпосылки!BB$234*Предпосылки!$J253*Продажи!BC18*BC$19*(1+Чувствительность!$D$20)*IFERROR(LOOKUP(Предпосылки!$H$207,$C$13:$C$15,BC$13:BC$15),1)</f>
        <v>0</v>
      </c>
      <c s="125">
        <f>Предпосылки!BC$234*Предпосылки!$J253*Продажи!BD18*BD$19*(1+Чувствительность!$D$20)*IFERROR(LOOKUP(Предпосылки!$H$207,$C$13:$C$15,BD$13:BD$15),1)</f>
        <v>0</v>
      </c>
      <c s="125">
        <f>Предпосылки!BD$234*Предпосылки!$J253*Продажи!BE18*BE$19*(1+Чувствительность!$D$20)*IFERROR(LOOKUP(Предпосылки!$H$207,$C$13:$C$15,BE$13:BE$15),1)</f>
        <v>0</v>
      </c>
      <c s="125">
        <f>Предпосылки!BE$234*Предпосылки!$J253*Продажи!BF18*BF$19*(1+Чувствительность!$D$20)*IFERROR(LOOKUP(Предпосылки!$H$207,$C$13:$C$15,BF$13:BF$15),1)</f>
        <v>0</v>
      </c>
      <c s="125">
        <f>Предпосылки!BF$234*Предпосылки!$J253*Продажи!BG18*BG$19*(1+Чувствительность!$D$20)*IFERROR(LOOKUP(Предпосылки!$H$207,$C$13:$C$15,BG$13:BG$15),1)</f>
        <v>0</v>
      </c>
      <c s="125">
        <f>Предпосылки!BG$234*Предпосылки!$J253*Продажи!BH18*BH$19*(1+Чувствительность!$D$20)*IFERROR(LOOKUP(Предпосылки!$H$207,$C$13:$C$15,BH$13:BH$15),1)</f>
        <v>0</v>
      </c>
      <c s="125">
        <f>Предпосылки!BH$234*Предпосылки!$J253*Продажи!BI18*BI$19*(1+Чувствительность!$D$20)*IFERROR(LOOKUP(Предпосылки!$H$207,$C$13:$C$15,BI$13:BI$15),1)</f>
        <v>0</v>
      </c>
      <c s="125">
        <f>Предпосылки!BI$234*Предпосылки!$J253*Продажи!BJ18*BJ$19*(1+Чувствительность!$D$20)*IFERROR(LOOKUP(Предпосылки!$H$207,$C$13:$C$15,BJ$13:BJ$15),1)</f>
        <v>0</v>
      </c>
      <c s="125">
        <f>Предпосылки!BJ$234*Предпосылки!$J253*Продажи!BK18*BK$19*(1+Чувствительность!$D$20)*IFERROR(LOOKUP(Предпосылки!$H$207,$C$13:$C$15,BK$13:BK$15),1)</f>
        <v>0</v>
      </c>
      <c s="125">
        <f>Предпосылки!BK$234*Предпосылки!$J253*Продажи!BL18*BL$19*(1+Чувствительность!$D$20)*IFERROR(LOOKUP(Предпосылки!$H$207,$C$13:$C$15,BL$13:BL$15),1)</f>
        <v>0</v>
      </c>
      <c s="125">
        <f>Предпосылки!BL$234*Предпосылки!$J253*Продажи!BM18*BM$19*(1+Чувствительность!$D$20)*IFERROR(LOOKUP(Предпосылки!$H$207,$C$13:$C$15,BM$13:BM$15),1)</f>
        <v>0</v>
      </c>
    </row>
    <row r="162" spans="2:65" ht="15" customHeight="1">
      <c r="B162" s="12" t="str">
        <f t="shared" si="91" ref="B162:B180">B139</f>
        <v>Продукт 2</v>
      </c>
      <c s="124" t="str">
        <f t="shared" si="90"/>
        <v>тыс. руб.</v>
      </c>
      <c s="276">
        <f t="shared" si="92" ref="D162:D180">SUM(E162:BM162)</f>
        <v>0</v>
      </c>
      <c s="125">
        <f>Предпосылки!D$234*Предпосылки!$J254*Продажи!E19*E$19*(1+Чувствительность!$D$20)*IFERROR(LOOKUP(Предпосылки!$H$207,$C$13:$C$15,E$13:E$15),1)</f>
        <v>0</v>
      </c>
      <c s="125">
        <f>Предпосылки!E$234*Предпосылки!$J254*Продажи!F19*F$19*(1+Чувствительность!$D$20)*IFERROR(LOOKUP(Предпосылки!$H$207,$C$13:$C$15,F$13:F$15),1)</f>
        <v>0</v>
      </c>
      <c s="125">
        <f>Предпосылки!F$234*Предпосылки!$J254*Продажи!G19*G$19*(1+Чувствительность!$D$20)*IFERROR(LOOKUP(Предпосылки!$H$207,$C$13:$C$15,G$13:G$15),1)</f>
        <v>0</v>
      </c>
      <c s="125">
        <f>Предпосылки!G$234*Предпосылки!$J254*Продажи!H19*H$19*(1+Чувствительность!$D$20)*IFERROR(LOOKUP(Предпосылки!$H$207,$C$13:$C$15,H$13:H$15),1)</f>
        <v>0</v>
      </c>
      <c s="125">
        <f>Предпосылки!H$234*Предпосылки!$J254*Продажи!I19*I$19*(1+Чувствительность!$D$20)*IFERROR(LOOKUP(Предпосылки!$H$207,$C$13:$C$15,I$13:I$15),1)</f>
        <v>0</v>
      </c>
      <c s="125">
        <f>Предпосылки!I$234*Предпосылки!$J254*Продажи!J19*J$19*(1+Чувствительность!$D$20)*IFERROR(LOOKUP(Предпосылки!$H$207,$C$13:$C$15,J$13:J$15),1)</f>
        <v>0</v>
      </c>
      <c s="125">
        <f>Предпосылки!J$234*Предпосылки!$J254*Продажи!K19*K$19*(1+Чувствительность!$D$20)*IFERROR(LOOKUP(Предпосылки!$H$207,$C$13:$C$15,K$13:K$15),1)</f>
        <v>0</v>
      </c>
      <c s="125">
        <f>Предпосылки!K$234*Предпосылки!$J254*Продажи!L19*L$19*(1+Чувствительность!$D$20)*IFERROR(LOOKUP(Предпосылки!$H$207,$C$13:$C$15,L$13:L$15),1)</f>
        <v>0</v>
      </c>
      <c s="125">
        <f>Предпосылки!L$234*Предпосылки!$J254*Продажи!M19*M$19*(1+Чувствительность!$D$20)*IFERROR(LOOKUP(Предпосылки!$H$207,$C$13:$C$15,M$13:M$15),1)</f>
        <v>0</v>
      </c>
      <c s="125">
        <f>Предпосылки!M$234*Предпосылки!$J254*Продажи!N19*N$19*(1+Чувствительность!$D$20)*IFERROR(LOOKUP(Предпосылки!$H$207,$C$13:$C$15,N$13:N$15),1)</f>
        <v>0</v>
      </c>
      <c s="125">
        <f>Предпосылки!N$234*Предпосылки!$J254*Продажи!O19*O$19*(1+Чувствительность!$D$20)*IFERROR(LOOKUP(Предпосылки!$H$207,$C$13:$C$15,O$13:O$15),1)</f>
        <v>0</v>
      </c>
      <c s="125">
        <f>Предпосылки!O$234*Предпосылки!$J254*Продажи!P19*P$19*(1+Чувствительность!$D$20)*IFERROR(LOOKUP(Предпосылки!$H$207,$C$13:$C$15,P$13:P$15),1)</f>
        <v>0</v>
      </c>
      <c s="125">
        <f>Предпосылки!P$234*Предпосылки!$J254*Продажи!Q19*Q$19*(1+Чувствительность!$D$20)*IFERROR(LOOKUP(Предпосылки!$H$207,$C$13:$C$15,Q$13:Q$15),1)</f>
        <v>0</v>
      </c>
      <c s="125">
        <f>Предпосылки!Q$234*Предпосылки!$J254*Продажи!R19*R$19*(1+Чувствительность!$D$20)*IFERROR(LOOKUP(Предпосылки!$H$207,$C$13:$C$15,R$13:R$15),1)</f>
        <v>0</v>
      </c>
      <c s="125">
        <f>Предпосылки!R$234*Предпосылки!$J254*Продажи!S19*S$19*(1+Чувствительность!$D$20)*IFERROR(LOOKUP(Предпосылки!$H$207,$C$13:$C$15,S$13:S$15),1)</f>
        <v>0</v>
      </c>
      <c s="125">
        <f>Предпосылки!S$234*Предпосылки!$J254*Продажи!T19*T$19*(1+Чувствительность!$D$20)*IFERROR(LOOKUP(Предпосылки!$H$207,$C$13:$C$15,T$13:T$15),1)</f>
        <v>0</v>
      </c>
      <c s="125">
        <f>Предпосылки!T$234*Предпосылки!$J254*Продажи!U19*U$19*(1+Чувствительность!$D$20)*IFERROR(LOOKUP(Предпосылки!$H$207,$C$13:$C$15,U$13:U$15),1)</f>
        <v>0</v>
      </c>
      <c s="125">
        <f>Предпосылки!U$234*Предпосылки!$J254*Продажи!V19*V$19*(1+Чувствительность!$D$20)*IFERROR(LOOKUP(Предпосылки!$H$207,$C$13:$C$15,V$13:V$15),1)</f>
        <v>0</v>
      </c>
      <c s="125">
        <f>Предпосылки!V$234*Предпосылки!$J254*Продажи!W19*W$19*(1+Чувствительность!$D$20)*IFERROR(LOOKUP(Предпосылки!$H$207,$C$13:$C$15,W$13:W$15),1)</f>
        <v>0</v>
      </c>
      <c s="125">
        <f>Предпосылки!W$234*Предпосылки!$J254*Продажи!X19*X$19*(1+Чувствительность!$D$20)*IFERROR(LOOKUP(Предпосылки!$H$207,$C$13:$C$15,X$13:X$15),1)</f>
        <v>0</v>
      </c>
      <c s="125">
        <f>Предпосылки!X$234*Предпосылки!$J254*Продажи!Y19*Y$19*(1+Чувствительность!$D$20)*IFERROR(LOOKUP(Предпосылки!$H$207,$C$13:$C$15,Y$13:Y$15),1)</f>
        <v>0</v>
      </c>
      <c s="125">
        <f>Предпосылки!Y$234*Предпосылки!$J254*Продажи!Z19*Z$19*(1+Чувствительность!$D$20)*IFERROR(LOOKUP(Предпосылки!$H$207,$C$13:$C$15,Z$13:Z$15),1)</f>
        <v>0</v>
      </c>
      <c s="125">
        <f>Предпосылки!Z$234*Предпосылки!$J254*Продажи!AA19*AA$19*(1+Чувствительность!$D$20)*IFERROR(LOOKUP(Предпосылки!$H$207,$C$13:$C$15,AA$13:AA$15),1)</f>
        <v>0</v>
      </c>
      <c s="125">
        <f>Предпосылки!AA$234*Предпосылки!$J254*Продажи!AB19*AB$19*(1+Чувствительность!$D$20)*IFERROR(LOOKUP(Предпосылки!$H$207,$C$13:$C$15,AB$13:AB$15),1)</f>
        <v>0</v>
      </c>
      <c s="125">
        <f>Предпосылки!AB$234*Предпосылки!$J254*Продажи!AC19*AC$19*(1+Чувствительность!$D$20)*IFERROR(LOOKUP(Предпосылки!$H$207,$C$13:$C$15,AC$13:AC$15),1)</f>
        <v>0</v>
      </c>
      <c s="125">
        <f>Предпосылки!AC$234*Предпосылки!$J254*Продажи!AD19*AD$19*(1+Чувствительность!$D$20)*IFERROR(LOOKUP(Предпосылки!$H$207,$C$13:$C$15,AD$13:AD$15),1)</f>
        <v>0</v>
      </c>
      <c s="125">
        <f>Предпосылки!AD$234*Предпосылки!$J254*Продажи!AE19*AE$19*(1+Чувствительность!$D$20)*IFERROR(LOOKUP(Предпосылки!$H$207,$C$13:$C$15,AE$13:AE$15),1)</f>
        <v>0</v>
      </c>
      <c s="125">
        <f>Предпосылки!AE$234*Предпосылки!$J254*Продажи!AF19*AF$19*(1+Чувствительность!$D$20)*IFERROR(LOOKUP(Предпосылки!$H$207,$C$13:$C$15,AF$13:AF$15),1)</f>
        <v>0</v>
      </c>
      <c s="125">
        <f>Предпосылки!AF$234*Предпосылки!$J254*Продажи!AG19*AG$19*(1+Чувствительность!$D$20)*IFERROR(LOOKUP(Предпосылки!$H$207,$C$13:$C$15,AG$13:AG$15),1)</f>
        <v>0</v>
      </c>
      <c s="125">
        <f>Предпосылки!AG$234*Предпосылки!$J254*Продажи!AH19*AH$19*(1+Чувствительность!$D$20)*IFERROR(LOOKUP(Предпосылки!$H$207,$C$13:$C$15,AH$13:AH$15),1)</f>
        <v>0</v>
      </c>
      <c s="125">
        <f>Предпосылки!AH$234*Предпосылки!$J254*Продажи!AI19*AI$19*(1+Чувствительность!$D$20)*IFERROR(LOOKUP(Предпосылки!$H$207,$C$13:$C$15,AI$13:AI$15),1)</f>
        <v>0</v>
      </c>
      <c s="125">
        <f>Предпосылки!AI$234*Предпосылки!$J254*Продажи!AJ19*AJ$19*(1+Чувствительность!$D$20)*IFERROR(LOOKUP(Предпосылки!$H$207,$C$13:$C$15,AJ$13:AJ$15),1)</f>
        <v>0</v>
      </c>
      <c s="125">
        <f>Предпосылки!AJ$234*Предпосылки!$J254*Продажи!AK19*AK$19*(1+Чувствительность!$D$20)*IFERROR(LOOKUP(Предпосылки!$H$207,$C$13:$C$15,AK$13:AK$15),1)</f>
        <v>0</v>
      </c>
      <c s="125">
        <f>Предпосылки!AK$234*Предпосылки!$J254*Продажи!AL19*AL$19*(1+Чувствительность!$D$20)*IFERROR(LOOKUP(Предпосылки!$H$207,$C$13:$C$15,AL$13:AL$15),1)</f>
        <v>0</v>
      </c>
      <c s="125">
        <f>Предпосылки!AL$234*Предпосылки!$J254*Продажи!AM19*AM$19*(1+Чувствительность!$D$20)*IFERROR(LOOKUP(Предпосылки!$H$207,$C$13:$C$15,AM$13:AM$15),1)</f>
        <v>0</v>
      </c>
      <c s="125">
        <f>Предпосылки!AM$234*Предпосылки!$J254*Продажи!AN19*AN$19*(1+Чувствительность!$D$20)*IFERROR(LOOKUP(Предпосылки!$H$207,$C$13:$C$15,AN$13:AN$15),1)</f>
        <v>0</v>
      </c>
      <c s="125">
        <f>Предпосылки!AN$234*Предпосылки!$J254*Продажи!AO19*AO$19*(1+Чувствительность!$D$20)*IFERROR(LOOKUP(Предпосылки!$H$207,$C$13:$C$15,AO$13:AO$15),1)</f>
        <v>0</v>
      </c>
      <c s="125">
        <f>Предпосылки!AO$234*Предпосылки!$J254*Продажи!AP19*AP$19*(1+Чувствительность!$D$20)*IFERROR(LOOKUP(Предпосылки!$H$207,$C$13:$C$15,AP$13:AP$15),1)</f>
        <v>0</v>
      </c>
      <c s="125">
        <f>Предпосылки!AP$234*Предпосылки!$J254*Продажи!AQ19*AQ$19*(1+Чувствительность!$D$20)*IFERROR(LOOKUP(Предпосылки!$H$207,$C$13:$C$15,AQ$13:AQ$15),1)</f>
        <v>0</v>
      </c>
      <c s="125">
        <f>Предпосылки!AQ$234*Предпосылки!$J254*Продажи!AR19*AR$19*(1+Чувствительность!$D$20)*IFERROR(LOOKUP(Предпосылки!$H$207,$C$13:$C$15,AR$13:AR$15),1)</f>
        <v>0</v>
      </c>
      <c s="125">
        <f>Предпосылки!AR$234*Предпосылки!$J254*Продажи!AS19*AS$19*(1+Чувствительность!$D$20)*IFERROR(LOOKUP(Предпосылки!$H$207,$C$13:$C$15,AS$13:AS$15),1)</f>
        <v>0</v>
      </c>
      <c s="125">
        <f>Предпосылки!AS$234*Предпосылки!$J254*Продажи!AT19*AT$19*(1+Чувствительность!$D$20)*IFERROR(LOOKUP(Предпосылки!$H$207,$C$13:$C$15,AT$13:AT$15),1)</f>
        <v>0</v>
      </c>
      <c s="125">
        <f>Предпосылки!AT$234*Предпосылки!$J254*Продажи!AU19*AU$19*(1+Чувствительность!$D$20)*IFERROR(LOOKUP(Предпосылки!$H$207,$C$13:$C$15,AU$13:AU$15),1)</f>
        <v>0</v>
      </c>
      <c s="125">
        <f>Предпосылки!AU$234*Предпосылки!$J254*Продажи!AV19*AV$19*(1+Чувствительность!$D$20)*IFERROR(LOOKUP(Предпосылки!$H$207,$C$13:$C$15,AV$13:AV$15),1)</f>
        <v>0</v>
      </c>
      <c s="125">
        <f>Предпосылки!AV$234*Предпосылки!$J254*Продажи!AW19*AW$19*(1+Чувствительность!$D$20)*IFERROR(LOOKUP(Предпосылки!$H$207,$C$13:$C$15,AW$13:AW$15),1)</f>
        <v>0</v>
      </c>
      <c s="125">
        <f>Предпосылки!AW$234*Предпосылки!$J254*Продажи!AX19*AX$19*(1+Чувствительность!$D$20)*IFERROR(LOOKUP(Предпосылки!$H$207,$C$13:$C$15,AX$13:AX$15),1)</f>
        <v>0</v>
      </c>
      <c s="125">
        <f>Предпосылки!AX$234*Предпосылки!$J254*Продажи!AY19*AY$19*(1+Чувствительность!$D$20)*IFERROR(LOOKUP(Предпосылки!$H$207,$C$13:$C$15,AY$13:AY$15),1)</f>
        <v>0</v>
      </c>
      <c s="125">
        <f>Предпосылки!AY$234*Предпосылки!$J254*Продажи!AZ19*AZ$19*(1+Чувствительность!$D$20)*IFERROR(LOOKUP(Предпосылки!$H$207,$C$13:$C$15,AZ$13:AZ$15),1)</f>
        <v>0</v>
      </c>
      <c s="125">
        <f>Предпосылки!AZ$234*Предпосылки!$J254*Продажи!BA19*BA$19*(1+Чувствительность!$D$20)*IFERROR(LOOKUP(Предпосылки!$H$207,$C$13:$C$15,BA$13:BA$15),1)</f>
        <v>0</v>
      </c>
      <c s="125">
        <f>Предпосылки!BA$234*Предпосылки!$J254*Продажи!BB19*BB$19*(1+Чувствительность!$D$20)*IFERROR(LOOKUP(Предпосылки!$H$207,$C$13:$C$15,BB$13:BB$15),1)</f>
        <v>0</v>
      </c>
      <c s="125">
        <f>Предпосылки!BB$234*Предпосылки!$J254*Продажи!BC19*BC$19*(1+Чувствительность!$D$20)*IFERROR(LOOKUP(Предпосылки!$H$207,$C$13:$C$15,BC$13:BC$15),1)</f>
        <v>0</v>
      </c>
      <c s="125">
        <f>Предпосылки!BC$234*Предпосылки!$J254*Продажи!BD19*BD$19*(1+Чувствительность!$D$20)*IFERROR(LOOKUP(Предпосылки!$H$207,$C$13:$C$15,BD$13:BD$15),1)</f>
        <v>0</v>
      </c>
      <c s="125">
        <f>Предпосылки!BD$234*Предпосылки!$J254*Продажи!BE19*BE$19*(1+Чувствительность!$D$20)*IFERROR(LOOKUP(Предпосылки!$H$207,$C$13:$C$15,BE$13:BE$15),1)</f>
        <v>0</v>
      </c>
      <c s="125">
        <f>Предпосылки!BE$234*Предпосылки!$J254*Продажи!BF19*BF$19*(1+Чувствительность!$D$20)*IFERROR(LOOKUP(Предпосылки!$H$207,$C$13:$C$15,BF$13:BF$15),1)</f>
        <v>0</v>
      </c>
      <c s="125">
        <f>Предпосылки!BF$234*Предпосылки!$J254*Продажи!BG19*BG$19*(1+Чувствительность!$D$20)*IFERROR(LOOKUP(Предпосылки!$H$207,$C$13:$C$15,BG$13:BG$15),1)</f>
        <v>0</v>
      </c>
      <c s="125">
        <f>Предпосылки!BG$234*Предпосылки!$J254*Продажи!BH19*BH$19*(1+Чувствительность!$D$20)*IFERROR(LOOKUP(Предпосылки!$H$207,$C$13:$C$15,BH$13:BH$15),1)</f>
        <v>0</v>
      </c>
      <c s="125">
        <f>Предпосылки!BH$234*Предпосылки!$J254*Продажи!BI19*BI$19*(1+Чувствительность!$D$20)*IFERROR(LOOKUP(Предпосылки!$H$207,$C$13:$C$15,BI$13:BI$15),1)</f>
        <v>0</v>
      </c>
      <c s="125">
        <f>Предпосылки!BI$234*Предпосылки!$J254*Продажи!BJ19*BJ$19*(1+Чувствительность!$D$20)*IFERROR(LOOKUP(Предпосылки!$H$207,$C$13:$C$15,BJ$13:BJ$15),1)</f>
        <v>0</v>
      </c>
      <c s="125">
        <f>Предпосылки!BJ$234*Предпосылки!$J254*Продажи!BK19*BK$19*(1+Чувствительность!$D$20)*IFERROR(LOOKUP(Предпосылки!$H$207,$C$13:$C$15,BK$13:BK$15),1)</f>
        <v>0</v>
      </c>
      <c s="125">
        <f>Предпосылки!BK$234*Предпосылки!$J254*Продажи!BL19*BL$19*(1+Чувствительность!$D$20)*IFERROR(LOOKUP(Предпосылки!$H$207,$C$13:$C$15,BL$13:BL$15),1)</f>
        <v>0</v>
      </c>
      <c s="125">
        <f>Предпосылки!BL$234*Предпосылки!$J254*Продажи!BM19*BM$19*(1+Чувствительность!$D$20)*IFERROR(LOOKUP(Предпосылки!$H$207,$C$13:$C$15,BM$13:BM$15),1)</f>
        <v>0</v>
      </c>
    </row>
    <row r="163" spans="2:65" ht="15" customHeight="1">
      <c r="B163" s="12" t="str">
        <f t="shared" si="91"/>
        <v>Продукт 3</v>
      </c>
      <c s="124" t="str">
        <f t="shared" si="90"/>
        <v>тыс. руб.</v>
      </c>
      <c s="276">
        <f t="shared" si="92"/>
        <v>0</v>
      </c>
      <c s="125">
        <f>Предпосылки!D$234*Предпосылки!$J255*Продажи!E20*E$19*(1+Чувствительность!$D$20)*IFERROR(LOOKUP(Предпосылки!$H$207,$C$13:$C$15,E$13:E$15),1)</f>
        <v>0</v>
      </c>
      <c s="125">
        <f>Предпосылки!E$234*Предпосылки!$J255*Продажи!F20*F$19*(1+Чувствительность!$D$20)*IFERROR(LOOKUP(Предпосылки!$H$207,$C$13:$C$15,F$13:F$15),1)</f>
        <v>0</v>
      </c>
      <c s="125">
        <f>Предпосылки!F$234*Предпосылки!$J255*Продажи!G20*G$19*(1+Чувствительность!$D$20)*IFERROR(LOOKUP(Предпосылки!$H$207,$C$13:$C$15,G$13:G$15),1)</f>
        <v>0</v>
      </c>
      <c s="125">
        <f>Предпосылки!G$234*Предпосылки!$J255*Продажи!H20*H$19*(1+Чувствительность!$D$20)*IFERROR(LOOKUP(Предпосылки!$H$207,$C$13:$C$15,H$13:H$15),1)</f>
        <v>0</v>
      </c>
      <c s="125">
        <f>Предпосылки!H$234*Предпосылки!$J255*Продажи!I20*I$19*(1+Чувствительность!$D$20)*IFERROR(LOOKUP(Предпосылки!$H$207,$C$13:$C$15,I$13:I$15),1)</f>
        <v>0</v>
      </c>
      <c s="125">
        <f>Предпосылки!I$234*Предпосылки!$J255*Продажи!J20*J$19*(1+Чувствительность!$D$20)*IFERROR(LOOKUP(Предпосылки!$H$207,$C$13:$C$15,J$13:J$15),1)</f>
        <v>0</v>
      </c>
      <c s="125">
        <f>Предпосылки!J$234*Предпосылки!$J255*Продажи!K20*K$19*(1+Чувствительность!$D$20)*IFERROR(LOOKUP(Предпосылки!$H$207,$C$13:$C$15,K$13:K$15),1)</f>
        <v>0</v>
      </c>
      <c s="125">
        <f>Предпосылки!K$234*Предпосылки!$J255*Продажи!L20*L$19*(1+Чувствительность!$D$20)*IFERROR(LOOKUP(Предпосылки!$H$207,$C$13:$C$15,L$13:L$15),1)</f>
        <v>0</v>
      </c>
      <c s="125">
        <f>Предпосылки!L$234*Предпосылки!$J255*Продажи!M20*M$19*(1+Чувствительность!$D$20)*IFERROR(LOOKUP(Предпосылки!$H$207,$C$13:$C$15,M$13:M$15),1)</f>
        <v>0</v>
      </c>
      <c s="125">
        <f>Предпосылки!M$234*Предпосылки!$J255*Продажи!N20*N$19*(1+Чувствительность!$D$20)*IFERROR(LOOKUP(Предпосылки!$H$207,$C$13:$C$15,N$13:N$15),1)</f>
        <v>0</v>
      </c>
      <c s="125">
        <f>Предпосылки!N$234*Предпосылки!$J255*Продажи!O20*O$19*(1+Чувствительность!$D$20)*IFERROR(LOOKUP(Предпосылки!$H$207,$C$13:$C$15,O$13:O$15),1)</f>
        <v>0</v>
      </c>
      <c s="125">
        <f>Предпосылки!O$234*Предпосылки!$J255*Продажи!P20*P$19*(1+Чувствительность!$D$20)*IFERROR(LOOKUP(Предпосылки!$H$207,$C$13:$C$15,P$13:P$15),1)</f>
        <v>0</v>
      </c>
      <c s="125">
        <f>Предпосылки!P$234*Предпосылки!$J255*Продажи!Q20*Q$19*(1+Чувствительность!$D$20)*IFERROR(LOOKUP(Предпосылки!$H$207,$C$13:$C$15,Q$13:Q$15),1)</f>
        <v>0</v>
      </c>
      <c s="125">
        <f>Предпосылки!Q$234*Предпосылки!$J255*Продажи!R20*R$19*(1+Чувствительность!$D$20)*IFERROR(LOOKUP(Предпосылки!$H$207,$C$13:$C$15,R$13:R$15),1)</f>
        <v>0</v>
      </c>
      <c s="125">
        <f>Предпосылки!R$234*Предпосылки!$J255*Продажи!S20*S$19*(1+Чувствительность!$D$20)*IFERROR(LOOKUP(Предпосылки!$H$207,$C$13:$C$15,S$13:S$15),1)</f>
        <v>0</v>
      </c>
      <c s="125">
        <f>Предпосылки!S$234*Предпосылки!$J255*Продажи!T20*T$19*(1+Чувствительность!$D$20)*IFERROR(LOOKUP(Предпосылки!$H$207,$C$13:$C$15,T$13:T$15),1)</f>
        <v>0</v>
      </c>
      <c s="125">
        <f>Предпосылки!T$234*Предпосылки!$J255*Продажи!U20*U$19*(1+Чувствительность!$D$20)*IFERROR(LOOKUP(Предпосылки!$H$207,$C$13:$C$15,U$13:U$15),1)</f>
        <v>0</v>
      </c>
      <c s="125">
        <f>Предпосылки!U$234*Предпосылки!$J255*Продажи!V20*V$19*(1+Чувствительность!$D$20)*IFERROR(LOOKUP(Предпосылки!$H$207,$C$13:$C$15,V$13:V$15),1)</f>
        <v>0</v>
      </c>
      <c s="125">
        <f>Предпосылки!V$234*Предпосылки!$J255*Продажи!W20*W$19*(1+Чувствительность!$D$20)*IFERROR(LOOKUP(Предпосылки!$H$207,$C$13:$C$15,W$13:W$15),1)</f>
        <v>0</v>
      </c>
      <c s="125">
        <f>Предпосылки!W$234*Предпосылки!$J255*Продажи!X20*X$19*(1+Чувствительность!$D$20)*IFERROR(LOOKUP(Предпосылки!$H$207,$C$13:$C$15,X$13:X$15),1)</f>
        <v>0</v>
      </c>
      <c s="125">
        <f>Предпосылки!X$234*Предпосылки!$J255*Продажи!Y20*Y$19*(1+Чувствительность!$D$20)*IFERROR(LOOKUP(Предпосылки!$H$207,$C$13:$C$15,Y$13:Y$15),1)</f>
        <v>0</v>
      </c>
      <c s="125">
        <f>Предпосылки!Y$234*Предпосылки!$J255*Продажи!Z20*Z$19*(1+Чувствительность!$D$20)*IFERROR(LOOKUP(Предпосылки!$H$207,$C$13:$C$15,Z$13:Z$15),1)</f>
        <v>0</v>
      </c>
      <c s="125">
        <f>Предпосылки!Z$234*Предпосылки!$J255*Продажи!AA20*AA$19*(1+Чувствительность!$D$20)*IFERROR(LOOKUP(Предпосылки!$H$207,$C$13:$C$15,AA$13:AA$15),1)</f>
        <v>0</v>
      </c>
      <c s="125">
        <f>Предпосылки!AA$234*Предпосылки!$J255*Продажи!AB20*AB$19*(1+Чувствительность!$D$20)*IFERROR(LOOKUP(Предпосылки!$H$207,$C$13:$C$15,AB$13:AB$15),1)</f>
        <v>0</v>
      </c>
      <c s="125">
        <f>Предпосылки!AB$234*Предпосылки!$J255*Продажи!AC20*AC$19*(1+Чувствительность!$D$20)*IFERROR(LOOKUP(Предпосылки!$H$207,$C$13:$C$15,AC$13:AC$15),1)</f>
        <v>0</v>
      </c>
      <c s="125">
        <f>Предпосылки!AC$234*Предпосылки!$J255*Продажи!AD20*AD$19*(1+Чувствительность!$D$20)*IFERROR(LOOKUP(Предпосылки!$H$207,$C$13:$C$15,AD$13:AD$15),1)</f>
        <v>0</v>
      </c>
      <c s="125">
        <f>Предпосылки!AD$234*Предпосылки!$J255*Продажи!AE20*AE$19*(1+Чувствительность!$D$20)*IFERROR(LOOKUP(Предпосылки!$H$207,$C$13:$C$15,AE$13:AE$15),1)</f>
        <v>0</v>
      </c>
      <c s="125">
        <f>Предпосылки!AE$234*Предпосылки!$J255*Продажи!AF20*AF$19*(1+Чувствительность!$D$20)*IFERROR(LOOKUP(Предпосылки!$H$207,$C$13:$C$15,AF$13:AF$15),1)</f>
        <v>0</v>
      </c>
      <c s="125">
        <f>Предпосылки!AF$234*Предпосылки!$J255*Продажи!AG20*AG$19*(1+Чувствительность!$D$20)*IFERROR(LOOKUP(Предпосылки!$H$207,$C$13:$C$15,AG$13:AG$15),1)</f>
        <v>0</v>
      </c>
      <c s="125">
        <f>Предпосылки!AG$234*Предпосылки!$J255*Продажи!AH20*AH$19*(1+Чувствительность!$D$20)*IFERROR(LOOKUP(Предпосылки!$H$207,$C$13:$C$15,AH$13:AH$15),1)</f>
        <v>0</v>
      </c>
      <c s="125">
        <f>Предпосылки!AH$234*Предпосылки!$J255*Продажи!AI20*AI$19*(1+Чувствительность!$D$20)*IFERROR(LOOKUP(Предпосылки!$H$207,$C$13:$C$15,AI$13:AI$15),1)</f>
        <v>0</v>
      </c>
      <c s="125">
        <f>Предпосылки!AI$234*Предпосылки!$J255*Продажи!AJ20*AJ$19*(1+Чувствительность!$D$20)*IFERROR(LOOKUP(Предпосылки!$H$207,$C$13:$C$15,AJ$13:AJ$15),1)</f>
        <v>0</v>
      </c>
      <c s="125">
        <f>Предпосылки!AJ$234*Предпосылки!$J255*Продажи!AK20*AK$19*(1+Чувствительность!$D$20)*IFERROR(LOOKUP(Предпосылки!$H$207,$C$13:$C$15,AK$13:AK$15),1)</f>
        <v>0</v>
      </c>
      <c s="125">
        <f>Предпосылки!AK$234*Предпосылки!$J255*Продажи!AL20*AL$19*(1+Чувствительность!$D$20)*IFERROR(LOOKUP(Предпосылки!$H$207,$C$13:$C$15,AL$13:AL$15),1)</f>
        <v>0</v>
      </c>
      <c s="125">
        <f>Предпосылки!AL$234*Предпосылки!$J255*Продажи!AM20*AM$19*(1+Чувствительность!$D$20)*IFERROR(LOOKUP(Предпосылки!$H$207,$C$13:$C$15,AM$13:AM$15),1)</f>
        <v>0</v>
      </c>
      <c s="125">
        <f>Предпосылки!AM$234*Предпосылки!$J255*Продажи!AN20*AN$19*(1+Чувствительность!$D$20)*IFERROR(LOOKUP(Предпосылки!$H$207,$C$13:$C$15,AN$13:AN$15),1)</f>
        <v>0</v>
      </c>
      <c s="125">
        <f>Предпосылки!AN$234*Предпосылки!$J255*Продажи!AO20*AO$19*(1+Чувствительность!$D$20)*IFERROR(LOOKUP(Предпосылки!$H$207,$C$13:$C$15,AO$13:AO$15),1)</f>
        <v>0</v>
      </c>
      <c s="125">
        <f>Предпосылки!AO$234*Предпосылки!$J255*Продажи!AP20*AP$19*(1+Чувствительность!$D$20)*IFERROR(LOOKUP(Предпосылки!$H$207,$C$13:$C$15,AP$13:AP$15),1)</f>
        <v>0</v>
      </c>
      <c s="125">
        <f>Предпосылки!AP$234*Предпосылки!$J255*Продажи!AQ20*AQ$19*(1+Чувствительность!$D$20)*IFERROR(LOOKUP(Предпосылки!$H$207,$C$13:$C$15,AQ$13:AQ$15),1)</f>
        <v>0</v>
      </c>
      <c s="125">
        <f>Предпосылки!AQ$234*Предпосылки!$J255*Продажи!AR20*AR$19*(1+Чувствительность!$D$20)*IFERROR(LOOKUP(Предпосылки!$H$207,$C$13:$C$15,AR$13:AR$15),1)</f>
        <v>0</v>
      </c>
      <c s="125">
        <f>Предпосылки!AR$234*Предпосылки!$J255*Продажи!AS20*AS$19*(1+Чувствительность!$D$20)*IFERROR(LOOKUP(Предпосылки!$H$207,$C$13:$C$15,AS$13:AS$15),1)</f>
        <v>0</v>
      </c>
      <c s="125">
        <f>Предпосылки!AS$234*Предпосылки!$J255*Продажи!AT20*AT$19*(1+Чувствительность!$D$20)*IFERROR(LOOKUP(Предпосылки!$H$207,$C$13:$C$15,AT$13:AT$15),1)</f>
        <v>0</v>
      </c>
      <c s="125">
        <f>Предпосылки!AT$234*Предпосылки!$J255*Продажи!AU20*AU$19*(1+Чувствительность!$D$20)*IFERROR(LOOKUP(Предпосылки!$H$207,$C$13:$C$15,AU$13:AU$15),1)</f>
        <v>0</v>
      </c>
      <c s="125">
        <f>Предпосылки!AU$234*Предпосылки!$J255*Продажи!AV20*AV$19*(1+Чувствительность!$D$20)*IFERROR(LOOKUP(Предпосылки!$H$207,$C$13:$C$15,AV$13:AV$15),1)</f>
        <v>0</v>
      </c>
      <c s="125">
        <f>Предпосылки!AV$234*Предпосылки!$J255*Продажи!AW20*AW$19*(1+Чувствительность!$D$20)*IFERROR(LOOKUP(Предпосылки!$H$207,$C$13:$C$15,AW$13:AW$15),1)</f>
        <v>0</v>
      </c>
      <c s="125">
        <f>Предпосылки!AW$234*Предпосылки!$J255*Продажи!AX20*AX$19*(1+Чувствительность!$D$20)*IFERROR(LOOKUP(Предпосылки!$H$207,$C$13:$C$15,AX$13:AX$15),1)</f>
        <v>0</v>
      </c>
      <c s="125">
        <f>Предпосылки!AX$234*Предпосылки!$J255*Продажи!AY20*AY$19*(1+Чувствительность!$D$20)*IFERROR(LOOKUP(Предпосылки!$H$207,$C$13:$C$15,AY$13:AY$15),1)</f>
        <v>0</v>
      </c>
      <c s="125">
        <f>Предпосылки!AY$234*Предпосылки!$J255*Продажи!AZ20*AZ$19*(1+Чувствительность!$D$20)*IFERROR(LOOKUP(Предпосылки!$H$207,$C$13:$C$15,AZ$13:AZ$15),1)</f>
        <v>0</v>
      </c>
      <c s="125">
        <f>Предпосылки!AZ$234*Предпосылки!$J255*Продажи!BA20*BA$19*(1+Чувствительность!$D$20)*IFERROR(LOOKUP(Предпосылки!$H$207,$C$13:$C$15,BA$13:BA$15),1)</f>
        <v>0</v>
      </c>
      <c s="125">
        <f>Предпосылки!BA$234*Предпосылки!$J255*Продажи!BB20*BB$19*(1+Чувствительность!$D$20)*IFERROR(LOOKUP(Предпосылки!$H$207,$C$13:$C$15,BB$13:BB$15),1)</f>
        <v>0</v>
      </c>
      <c s="125">
        <f>Предпосылки!BB$234*Предпосылки!$J255*Продажи!BC20*BC$19*(1+Чувствительность!$D$20)*IFERROR(LOOKUP(Предпосылки!$H$207,$C$13:$C$15,BC$13:BC$15),1)</f>
        <v>0</v>
      </c>
      <c s="125">
        <f>Предпосылки!BC$234*Предпосылки!$J255*Продажи!BD20*BD$19*(1+Чувствительность!$D$20)*IFERROR(LOOKUP(Предпосылки!$H$207,$C$13:$C$15,BD$13:BD$15),1)</f>
        <v>0</v>
      </c>
      <c s="125">
        <f>Предпосылки!BD$234*Предпосылки!$J255*Продажи!BE20*BE$19*(1+Чувствительность!$D$20)*IFERROR(LOOKUP(Предпосылки!$H$207,$C$13:$C$15,BE$13:BE$15),1)</f>
        <v>0</v>
      </c>
      <c s="125">
        <f>Предпосылки!BE$234*Предпосылки!$J255*Продажи!BF20*BF$19*(1+Чувствительность!$D$20)*IFERROR(LOOKUP(Предпосылки!$H$207,$C$13:$C$15,BF$13:BF$15),1)</f>
        <v>0</v>
      </c>
      <c s="125">
        <f>Предпосылки!BF$234*Предпосылки!$J255*Продажи!BG20*BG$19*(1+Чувствительность!$D$20)*IFERROR(LOOKUP(Предпосылки!$H$207,$C$13:$C$15,BG$13:BG$15),1)</f>
        <v>0</v>
      </c>
      <c s="125">
        <f>Предпосылки!BG$234*Предпосылки!$J255*Продажи!BH20*BH$19*(1+Чувствительность!$D$20)*IFERROR(LOOKUP(Предпосылки!$H$207,$C$13:$C$15,BH$13:BH$15),1)</f>
        <v>0</v>
      </c>
      <c s="125">
        <f>Предпосылки!BH$234*Предпосылки!$J255*Продажи!BI20*BI$19*(1+Чувствительность!$D$20)*IFERROR(LOOKUP(Предпосылки!$H$207,$C$13:$C$15,BI$13:BI$15),1)</f>
        <v>0</v>
      </c>
      <c s="125">
        <f>Предпосылки!BI$234*Предпосылки!$J255*Продажи!BJ20*BJ$19*(1+Чувствительность!$D$20)*IFERROR(LOOKUP(Предпосылки!$H$207,$C$13:$C$15,BJ$13:BJ$15),1)</f>
        <v>0</v>
      </c>
      <c s="125">
        <f>Предпосылки!BJ$234*Предпосылки!$J255*Продажи!BK20*BK$19*(1+Чувствительность!$D$20)*IFERROR(LOOKUP(Предпосылки!$H$207,$C$13:$C$15,BK$13:BK$15),1)</f>
        <v>0</v>
      </c>
      <c s="125">
        <f>Предпосылки!BK$234*Предпосылки!$J255*Продажи!BL20*BL$19*(1+Чувствительность!$D$20)*IFERROR(LOOKUP(Предпосылки!$H$207,$C$13:$C$15,BL$13:BL$15),1)</f>
        <v>0</v>
      </c>
      <c s="125">
        <f>Предпосылки!BL$234*Предпосылки!$J255*Продажи!BM20*BM$19*(1+Чувствительность!$D$20)*IFERROR(LOOKUP(Предпосылки!$H$207,$C$13:$C$15,BM$13:BM$15),1)</f>
        <v>0</v>
      </c>
    </row>
    <row r="164" spans="2:65" ht="15" customHeight="1">
      <c r="B164" s="12" t="str">
        <f t="shared" si="91"/>
        <v>Продукт 4</v>
      </c>
      <c s="124" t="str">
        <f t="shared" si="90"/>
        <v>тыс. руб.</v>
      </c>
      <c s="276">
        <f t="shared" si="92"/>
        <v>0</v>
      </c>
      <c s="125">
        <f>Предпосылки!D$234*Предпосылки!$J256*Продажи!E21*E$19*(1+Чувствительность!$D$20)*IFERROR(LOOKUP(Предпосылки!$H$207,$C$13:$C$15,E$13:E$15),1)</f>
        <v>0</v>
      </c>
      <c s="125">
        <f>Предпосылки!E$234*Предпосылки!$J256*Продажи!F21*F$19*(1+Чувствительность!$D$20)*IFERROR(LOOKUP(Предпосылки!$H$207,$C$13:$C$15,F$13:F$15),1)</f>
        <v>0</v>
      </c>
      <c s="125">
        <f>Предпосылки!F$234*Предпосылки!$J256*Продажи!G21*G$19*(1+Чувствительность!$D$20)*IFERROR(LOOKUP(Предпосылки!$H$207,$C$13:$C$15,G$13:G$15),1)</f>
        <v>0</v>
      </c>
      <c s="125">
        <f>Предпосылки!G$234*Предпосылки!$J256*Продажи!H21*H$19*(1+Чувствительность!$D$20)*IFERROR(LOOKUP(Предпосылки!$H$207,$C$13:$C$15,H$13:H$15),1)</f>
        <v>0</v>
      </c>
      <c s="125">
        <f>Предпосылки!H$234*Предпосылки!$J256*Продажи!I21*I$19*(1+Чувствительность!$D$20)*IFERROR(LOOKUP(Предпосылки!$H$207,$C$13:$C$15,I$13:I$15),1)</f>
        <v>0</v>
      </c>
      <c s="125">
        <f>Предпосылки!I$234*Предпосылки!$J256*Продажи!J21*J$19*(1+Чувствительность!$D$20)*IFERROR(LOOKUP(Предпосылки!$H$207,$C$13:$C$15,J$13:J$15),1)</f>
        <v>0</v>
      </c>
      <c s="125">
        <f>Предпосылки!J$234*Предпосылки!$J256*Продажи!K21*K$19*(1+Чувствительность!$D$20)*IFERROR(LOOKUP(Предпосылки!$H$207,$C$13:$C$15,K$13:K$15),1)</f>
        <v>0</v>
      </c>
      <c s="125">
        <f>Предпосылки!K$234*Предпосылки!$J256*Продажи!L21*L$19*(1+Чувствительность!$D$20)*IFERROR(LOOKUP(Предпосылки!$H$207,$C$13:$C$15,L$13:L$15),1)</f>
        <v>0</v>
      </c>
      <c s="125">
        <f>Предпосылки!L$234*Предпосылки!$J256*Продажи!M21*M$19*(1+Чувствительность!$D$20)*IFERROR(LOOKUP(Предпосылки!$H$207,$C$13:$C$15,M$13:M$15),1)</f>
        <v>0</v>
      </c>
      <c s="125">
        <f>Предпосылки!M$234*Предпосылки!$J256*Продажи!N21*N$19*(1+Чувствительность!$D$20)*IFERROR(LOOKUP(Предпосылки!$H$207,$C$13:$C$15,N$13:N$15),1)</f>
        <v>0</v>
      </c>
      <c s="125">
        <f>Предпосылки!N$234*Предпосылки!$J256*Продажи!O21*O$19*(1+Чувствительность!$D$20)*IFERROR(LOOKUP(Предпосылки!$H$207,$C$13:$C$15,O$13:O$15),1)</f>
        <v>0</v>
      </c>
      <c s="125">
        <f>Предпосылки!O$234*Предпосылки!$J256*Продажи!P21*P$19*(1+Чувствительность!$D$20)*IFERROR(LOOKUP(Предпосылки!$H$207,$C$13:$C$15,P$13:P$15),1)</f>
        <v>0</v>
      </c>
      <c s="125">
        <f>Предпосылки!P$234*Предпосылки!$J256*Продажи!Q21*Q$19*(1+Чувствительность!$D$20)*IFERROR(LOOKUP(Предпосылки!$H$207,$C$13:$C$15,Q$13:Q$15),1)</f>
        <v>0</v>
      </c>
      <c s="125">
        <f>Предпосылки!Q$234*Предпосылки!$J256*Продажи!R21*R$19*(1+Чувствительность!$D$20)*IFERROR(LOOKUP(Предпосылки!$H$207,$C$13:$C$15,R$13:R$15),1)</f>
        <v>0</v>
      </c>
      <c s="125">
        <f>Предпосылки!R$234*Предпосылки!$J256*Продажи!S21*S$19*(1+Чувствительность!$D$20)*IFERROR(LOOKUP(Предпосылки!$H$207,$C$13:$C$15,S$13:S$15),1)</f>
        <v>0</v>
      </c>
      <c s="125">
        <f>Предпосылки!S$234*Предпосылки!$J256*Продажи!T21*T$19*(1+Чувствительность!$D$20)*IFERROR(LOOKUP(Предпосылки!$H$207,$C$13:$C$15,T$13:T$15),1)</f>
        <v>0</v>
      </c>
      <c s="125">
        <f>Предпосылки!T$234*Предпосылки!$J256*Продажи!U21*U$19*(1+Чувствительность!$D$20)*IFERROR(LOOKUP(Предпосылки!$H$207,$C$13:$C$15,U$13:U$15),1)</f>
        <v>0</v>
      </c>
      <c s="125">
        <f>Предпосылки!U$234*Предпосылки!$J256*Продажи!V21*V$19*(1+Чувствительность!$D$20)*IFERROR(LOOKUP(Предпосылки!$H$207,$C$13:$C$15,V$13:V$15),1)</f>
        <v>0</v>
      </c>
      <c s="125">
        <f>Предпосылки!V$234*Предпосылки!$J256*Продажи!W21*W$19*(1+Чувствительность!$D$20)*IFERROR(LOOKUP(Предпосылки!$H$207,$C$13:$C$15,W$13:W$15),1)</f>
        <v>0</v>
      </c>
      <c s="125">
        <f>Предпосылки!W$234*Предпосылки!$J256*Продажи!X21*X$19*(1+Чувствительность!$D$20)*IFERROR(LOOKUP(Предпосылки!$H$207,$C$13:$C$15,X$13:X$15),1)</f>
        <v>0</v>
      </c>
      <c s="125">
        <f>Предпосылки!X$234*Предпосылки!$J256*Продажи!Y21*Y$19*(1+Чувствительность!$D$20)*IFERROR(LOOKUP(Предпосылки!$H$207,$C$13:$C$15,Y$13:Y$15),1)</f>
        <v>0</v>
      </c>
      <c s="125">
        <f>Предпосылки!Y$234*Предпосылки!$J256*Продажи!Z21*Z$19*(1+Чувствительность!$D$20)*IFERROR(LOOKUP(Предпосылки!$H$207,$C$13:$C$15,Z$13:Z$15),1)</f>
        <v>0</v>
      </c>
      <c s="125">
        <f>Предпосылки!Z$234*Предпосылки!$J256*Продажи!AA21*AA$19*(1+Чувствительность!$D$20)*IFERROR(LOOKUP(Предпосылки!$H$207,$C$13:$C$15,AA$13:AA$15),1)</f>
        <v>0</v>
      </c>
      <c s="125">
        <f>Предпосылки!AA$234*Предпосылки!$J256*Продажи!AB21*AB$19*(1+Чувствительность!$D$20)*IFERROR(LOOKUP(Предпосылки!$H$207,$C$13:$C$15,AB$13:AB$15),1)</f>
        <v>0</v>
      </c>
      <c s="125">
        <f>Предпосылки!AB$234*Предпосылки!$J256*Продажи!AC21*AC$19*(1+Чувствительность!$D$20)*IFERROR(LOOKUP(Предпосылки!$H$207,$C$13:$C$15,AC$13:AC$15),1)</f>
        <v>0</v>
      </c>
      <c s="125">
        <f>Предпосылки!AC$234*Предпосылки!$J256*Продажи!AD21*AD$19*(1+Чувствительность!$D$20)*IFERROR(LOOKUP(Предпосылки!$H$207,$C$13:$C$15,AD$13:AD$15),1)</f>
        <v>0</v>
      </c>
      <c s="125">
        <f>Предпосылки!AD$234*Предпосылки!$J256*Продажи!AE21*AE$19*(1+Чувствительность!$D$20)*IFERROR(LOOKUP(Предпосылки!$H$207,$C$13:$C$15,AE$13:AE$15),1)</f>
        <v>0</v>
      </c>
      <c s="125">
        <f>Предпосылки!AE$234*Предпосылки!$J256*Продажи!AF21*AF$19*(1+Чувствительность!$D$20)*IFERROR(LOOKUP(Предпосылки!$H$207,$C$13:$C$15,AF$13:AF$15),1)</f>
        <v>0</v>
      </c>
      <c s="125">
        <f>Предпосылки!AF$234*Предпосылки!$J256*Продажи!AG21*AG$19*(1+Чувствительность!$D$20)*IFERROR(LOOKUP(Предпосылки!$H$207,$C$13:$C$15,AG$13:AG$15),1)</f>
        <v>0</v>
      </c>
      <c s="125">
        <f>Предпосылки!AG$234*Предпосылки!$J256*Продажи!AH21*AH$19*(1+Чувствительность!$D$20)*IFERROR(LOOKUP(Предпосылки!$H$207,$C$13:$C$15,AH$13:AH$15),1)</f>
        <v>0</v>
      </c>
      <c s="125">
        <f>Предпосылки!AH$234*Предпосылки!$J256*Продажи!AI21*AI$19*(1+Чувствительность!$D$20)*IFERROR(LOOKUP(Предпосылки!$H$207,$C$13:$C$15,AI$13:AI$15),1)</f>
        <v>0</v>
      </c>
      <c s="125">
        <f>Предпосылки!AI$234*Предпосылки!$J256*Продажи!AJ21*AJ$19*(1+Чувствительность!$D$20)*IFERROR(LOOKUP(Предпосылки!$H$207,$C$13:$C$15,AJ$13:AJ$15),1)</f>
        <v>0</v>
      </c>
      <c s="125">
        <f>Предпосылки!AJ$234*Предпосылки!$J256*Продажи!AK21*AK$19*(1+Чувствительность!$D$20)*IFERROR(LOOKUP(Предпосылки!$H$207,$C$13:$C$15,AK$13:AK$15),1)</f>
        <v>0</v>
      </c>
      <c s="125">
        <f>Предпосылки!AK$234*Предпосылки!$J256*Продажи!AL21*AL$19*(1+Чувствительность!$D$20)*IFERROR(LOOKUP(Предпосылки!$H$207,$C$13:$C$15,AL$13:AL$15),1)</f>
        <v>0</v>
      </c>
      <c s="125">
        <f>Предпосылки!AL$234*Предпосылки!$J256*Продажи!AM21*AM$19*(1+Чувствительность!$D$20)*IFERROR(LOOKUP(Предпосылки!$H$207,$C$13:$C$15,AM$13:AM$15),1)</f>
        <v>0</v>
      </c>
      <c s="125">
        <f>Предпосылки!AM$234*Предпосылки!$J256*Продажи!AN21*AN$19*(1+Чувствительность!$D$20)*IFERROR(LOOKUP(Предпосылки!$H$207,$C$13:$C$15,AN$13:AN$15),1)</f>
        <v>0</v>
      </c>
      <c s="125">
        <f>Предпосылки!AN$234*Предпосылки!$J256*Продажи!AO21*AO$19*(1+Чувствительность!$D$20)*IFERROR(LOOKUP(Предпосылки!$H$207,$C$13:$C$15,AO$13:AO$15),1)</f>
        <v>0</v>
      </c>
      <c s="125">
        <f>Предпосылки!AO$234*Предпосылки!$J256*Продажи!AP21*AP$19*(1+Чувствительность!$D$20)*IFERROR(LOOKUP(Предпосылки!$H$207,$C$13:$C$15,AP$13:AP$15),1)</f>
        <v>0</v>
      </c>
      <c s="125">
        <f>Предпосылки!AP$234*Предпосылки!$J256*Продажи!AQ21*AQ$19*(1+Чувствительность!$D$20)*IFERROR(LOOKUP(Предпосылки!$H$207,$C$13:$C$15,AQ$13:AQ$15),1)</f>
        <v>0</v>
      </c>
      <c s="125">
        <f>Предпосылки!AQ$234*Предпосылки!$J256*Продажи!AR21*AR$19*(1+Чувствительность!$D$20)*IFERROR(LOOKUP(Предпосылки!$H$207,$C$13:$C$15,AR$13:AR$15),1)</f>
        <v>0</v>
      </c>
      <c s="125">
        <f>Предпосылки!AR$234*Предпосылки!$J256*Продажи!AS21*AS$19*(1+Чувствительность!$D$20)*IFERROR(LOOKUP(Предпосылки!$H$207,$C$13:$C$15,AS$13:AS$15),1)</f>
        <v>0</v>
      </c>
      <c s="125">
        <f>Предпосылки!AS$234*Предпосылки!$J256*Продажи!AT21*AT$19*(1+Чувствительность!$D$20)*IFERROR(LOOKUP(Предпосылки!$H$207,$C$13:$C$15,AT$13:AT$15),1)</f>
        <v>0</v>
      </c>
      <c s="125">
        <f>Предпосылки!AT$234*Предпосылки!$J256*Продажи!AU21*AU$19*(1+Чувствительность!$D$20)*IFERROR(LOOKUP(Предпосылки!$H$207,$C$13:$C$15,AU$13:AU$15),1)</f>
        <v>0</v>
      </c>
      <c s="125">
        <f>Предпосылки!AU$234*Предпосылки!$J256*Продажи!AV21*AV$19*(1+Чувствительность!$D$20)*IFERROR(LOOKUP(Предпосылки!$H$207,$C$13:$C$15,AV$13:AV$15),1)</f>
        <v>0</v>
      </c>
      <c s="125">
        <f>Предпосылки!AV$234*Предпосылки!$J256*Продажи!AW21*AW$19*(1+Чувствительность!$D$20)*IFERROR(LOOKUP(Предпосылки!$H$207,$C$13:$C$15,AW$13:AW$15),1)</f>
        <v>0</v>
      </c>
      <c s="125">
        <f>Предпосылки!AW$234*Предпосылки!$J256*Продажи!AX21*AX$19*(1+Чувствительность!$D$20)*IFERROR(LOOKUP(Предпосылки!$H$207,$C$13:$C$15,AX$13:AX$15),1)</f>
        <v>0</v>
      </c>
      <c s="125">
        <f>Предпосылки!AX$234*Предпосылки!$J256*Продажи!AY21*AY$19*(1+Чувствительность!$D$20)*IFERROR(LOOKUP(Предпосылки!$H$207,$C$13:$C$15,AY$13:AY$15),1)</f>
        <v>0</v>
      </c>
      <c s="125">
        <f>Предпосылки!AY$234*Предпосылки!$J256*Продажи!AZ21*AZ$19*(1+Чувствительность!$D$20)*IFERROR(LOOKUP(Предпосылки!$H$207,$C$13:$C$15,AZ$13:AZ$15),1)</f>
        <v>0</v>
      </c>
      <c s="125">
        <f>Предпосылки!AZ$234*Предпосылки!$J256*Продажи!BA21*BA$19*(1+Чувствительность!$D$20)*IFERROR(LOOKUP(Предпосылки!$H$207,$C$13:$C$15,BA$13:BA$15),1)</f>
        <v>0</v>
      </c>
      <c s="125">
        <f>Предпосылки!BA$234*Предпосылки!$J256*Продажи!BB21*BB$19*(1+Чувствительность!$D$20)*IFERROR(LOOKUP(Предпосылки!$H$207,$C$13:$C$15,BB$13:BB$15),1)</f>
        <v>0</v>
      </c>
      <c s="125">
        <f>Предпосылки!BB$234*Предпосылки!$J256*Продажи!BC21*BC$19*(1+Чувствительность!$D$20)*IFERROR(LOOKUP(Предпосылки!$H$207,$C$13:$C$15,BC$13:BC$15),1)</f>
        <v>0</v>
      </c>
      <c s="125">
        <f>Предпосылки!BC$234*Предпосылки!$J256*Продажи!BD21*BD$19*(1+Чувствительность!$D$20)*IFERROR(LOOKUP(Предпосылки!$H$207,$C$13:$C$15,BD$13:BD$15),1)</f>
        <v>0</v>
      </c>
      <c s="125">
        <f>Предпосылки!BD$234*Предпосылки!$J256*Продажи!BE21*BE$19*(1+Чувствительность!$D$20)*IFERROR(LOOKUP(Предпосылки!$H$207,$C$13:$C$15,BE$13:BE$15),1)</f>
        <v>0</v>
      </c>
      <c s="125">
        <f>Предпосылки!BE$234*Предпосылки!$J256*Продажи!BF21*BF$19*(1+Чувствительность!$D$20)*IFERROR(LOOKUP(Предпосылки!$H$207,$C$13:$C$15,BF$13:BF$15),1)</f>
        <v>0</v>
      </c>
      <c s="125">
        <f>Предпосылки!BF$234*Предпосылки!$J256*Продажи!BG21*BG$19*(1+Чувствительность!$D$20)*IFERROR(LOOKUP(Предпосылки!$H$207,$C$13:$C$15,BG$13:BG$15),1)</f>
        <v>0</v>
      </c>
      <c s="125">
        <f>Предпосылки!BG$234*Предпосылки!$J256*Продажи!BH21*BH$19*(1+Чувствительность!$D$20)*IFERROR(LOOKUP(Предпосылки!$H$207,$C$13:$C$15,BH$13:BH$15),1)</f>
        <v>0</v>
      </c>
      <c s="125">
        <f>Предпосылки!BH$234*Предпосылки!$J256*Продажи!BI21*BI$19*(1+Чувствительность!$D$20)*IFERROR(LOOKUP(Предпосылки!$H$207,$C$13:$C$15,BI$13:BI$15),1)</f>
        <v>0</v>
      </c>
      <c s="125">
        <f>Предпосылки!BI$234*Предпосылки!$J256*Продажи!BJ21*BJ$19*(1+Чувствительность!$D$20)*IFERROR(LOOKUP(Предпосылки!$H$207,$C$13:$C$15,BJ$13:BJ$15),1)</f>
        <v>0</v>
      </c>
      <c s="125">
        <f>Предпосылки!BJ$234*Предпосылки!$J256*Продажи!BK21*BK$19*(1+Чувствительность!$D$20)*IFERROR(LOOKUP(Предпосылки!$H$207,$C$13:$C$15,BK$13:BK$15),1)</f>
        <v>0</v>
      </c>
      <c s="125">
        <f>Предпосылки!BK$234*Предпосылки!$J256*Продажи!BL21*BL$19*(1+Чувствительность!$D$20)*IFERROR(LOOKUP(Предпосылки!$H$207,$C$13:$C$15,BL$13:BL$15),1)</f>
        <v>0</v>
      </c>
      <c s="125">
        <f>Предпосылки!BL$234*Предпосылки!$J256*Продажи!BM21*BM$19*(1+Чувствительность!$D$20)*IFERROR(LOOKUP(Предпосылки!$H$207,$C$13:$C$15,BM$13:BM$15),1)</f>
        <v>0</v>
      </c>
    </row>
    <row r="165" spans="2:65" ht="15" customHeight="1">
      <c r="B165" s="12" t="str">
        <f t="shared" si="91"/>
        <v>Продукт 5</v>
      </c>
      <c s="124" t="str">
        <f t="shared" si="90"/>
        <v>тыс. руб.</v>
      </c>
      <c s="276">
        <f t="shared" si="92"/>
        <v>0</v>
      </c>
      <c s="125">
        <f>Предпосылки!D$234*Предпосылки!$J257*Продажи!E22*E$19*(1+Чувствительность!$D$20)*IFERROR(LOOKUP(Предпосылки!$H$207,$C$13:$C$15,E$13:E$15),1)</f>
        <v>0</v>
      </c>
      <c s="125">
        <f>Предпосылки!E$234*Предпосылки!$J257*Продажи!F22*F$19*(1+Чувствительность!$D$20)*IFERROR(LOOKUP(Предпосылки!$H$207,$C$13:$C$15,F$13:F$15),1)</f>
        <v>0</v>
      </c>
      <c s="125">
        <f>Предпосылки!F$234*Предпосылки!$J257*Продажи!G22*G$19*(1+Чувствительность!$D$20)*IFERROR(LOOKUP(Предпосылки!$H$207,$C$13:$C$15,G$13:G$15),1)</f>
        <v>0</v>
      </c>
      <c s="125">
        <f>Предпосылки!G$234*Предпосылки!$J257*Продажи!H22*H$19*(1+Чувствительность!$D$20)*IFERROR(LOOKUP(Предпосылки!$H$207,$C$13:$C$15,H$13:H$15),1)</f>
        <v>0</v>
      </c>
      <c s="125">
        <f>Предпосылки!H$234*Предпосылки!$J257*Продажи!I22*I$19*(1+Чувствительность!$D$20)*IFERROR(LOOKUP(Предпосылки!$H$207,$C$13:$C$15,I$13:I$15),1)</f>
        <v>0</v>
      </c>
      <c s="125">
        <f>Предпосылки!I$234*Предпосылки!$J257*Продажи!J22*J$19*(1+Чувствительность!$D$20)*IFERROR(LOOKUP(Предпосылки!$H$207,$C$13:$C$15,J$13:J$15),1)</f>
        <v>0</v>
      </c>
      <c s="125">
        <f>Предпосылки!J$234*Предпосылки!$J257*Продажи!K22*K$19*(1+Чувствительность!$D$20)*IFERROR(LOOKUP(Предпосылки!$H$207,$C$13:$C$15,K$13:K$15),1)</f>
        <v>0</v>
      </c>
      <c s="125">
        <f>Предпосылки!K$234*Предпосылки!$J257*Продажи!L22*L$19*(1+Чувствительность!$D$20)*IFERROR(LOOKUP(Предпосылки!$H$207,$C$13:$C$15,L$13:L$15),1)</f>
        <v>0</v>
      </c>
      <c s="125">
        <f>Предпосылки!L$234*Предпосылки!$J257*Продажи!M22*M$19*(1+Чувствительность!$D$20)*IFERROR(LOOKUP(Предпосылки!$H$207,$C$13:$C$15,M$13:M$15),1)</f>
        <v>0</v>
      </c>
      <c s="125">
        <f>Предпосылки!M$234*Предпосылки!$J257*Продажи!N22*N$19*(1+Чувствительность!$D$20)*IFERROR(LOOKUP(Предпосылки!$H$207,$C$13:$C$15,N$13:N$15),1)</f>
        <v>0</v>
      </c>
      <c s="125">
        <f>Предпосылки!N$234*Предпосылки!$J257*Продажи!O22*O$19*(1+Чувствительность!$D$20)*IFERROR(LOOKUP(Предпосылки!$H$207,$C$13:$C$15,O$13:O$15),1)</f>
        <v>0</v>
      </c>
      <c s="125">
        <f>Предпосылки!O$234*Предпосылки!$J257*Продажи!P22*P$19*(1+Чувствительность!$D$20)*IFERROR(LOOKUP(Предпосылки!$H$207,$C$13:$C$15,P$13:P$15),1)</f>
        <v>0</v>
      </c>
      <c s="125">
        <f>Предпосылки!P$234*Предпосылки!$J257*Продажи!Q22*Q$19*(1+Чувствительность!$D$20)*IFERROR(LOOKUP(Предпосылки!$H$207,$C$13:$C$15,Q$13:Q$15),1)</f>
        <v>0</v>
      </c>
      <c s="125">
        <f>Предпосылки!Q$234*Предпосылки!$J257*Продажи!R22*R$19*(1+Чувствительность!$D$20)*IFERROR(LOOKUP(Предпосылки!$H$207,$C$13:$C$15,R$13:R$15),1)</f>
        <v>0</v>
      </c>
      <c s="125">
        <f>Предпосылки!R$234*Предпосылки!$J257*Продажи!S22*S$19*(1+Чувствительность!$D$20)*IFERROR(LOOKUP(Предпосылки!$H$207,$C$13:$C$15,S$13:S$15),1)</f>
        <v>0</v>
      </c>
      <c s="125">
        <f>Предпосылки!S$234*Предпосылки!$J257*Продажи!T22*T$19*(1+Чувствительность!$D$20)*IFERROR(LOOKUP(Предпосылки!$H$207,$C$13:$C$15,T$13:T$15),1)</f>
        <v>0</v>
      </c>
      <c s="125">
        <f>Предпосылки!T$234*Предпосылки!$J257*Продажи!U22*U$19*(1+Чувствительность!$D$20)*IFERROR(LOOKUP(Предпосылки!$H$207,$C$13:$C$15,U$13:U$15),1)</f>
        <v>0</v>
      </c>
      <c s="125">
        <f>Предпосылки!U$234*Предпосылки!$J257*Продажи!V22*V$19*(1+Чувствительность!$D$20)*IFERROR(LOOKUP(Предпосылки!$H$207,$C$13:$C$15,V$13:V$15),1)</f>
        <v>0</v>
      </c>
      <c s="125">
        <f>Предпосылки!V$234*Предпосылки!$J257*Продажи!W22*W$19*(1+Чувствительность!$D$20)*IFERROR(LOOKUP(Предпосылки!$H$207,$C$13:$C$15,W$13:W$15),1)</f>
        <v>0</v>
      </c>
      <c s="125">
        <f>Предпосылки!W$234*Предпосылки!$J257*Продажи!X22*X$19*(1+Чувствительность!$D$20)*IFERROR(LOOKUP(Предпосылки!$H$207,$C$13:$C$15,X$13:X$15),1)</f>
        <v>0</v>
      </c>
      <c s="125">
        <f>Предпосылки!X$234*Предпосылки!$J257*Продажи!Y22*Y$19*(1+Чувствительность!$D$20)*IFERROR(LOOKUP(Предпосылки!$H$207,$C$13:$C$15,Y$13:Y$15),1)</f>
        <v>0</v>
      </c>
      <c s="125">
        <f>Предпосылки!Y$234*Предпосылки!$J257*Продажи!Z22*Z$19*(1+Чувствительность!$D$20)*IFERROR(LOOKUP(Предпосылки!$H$207,$C$13:$C$15,Z$13:Z$15),1)</f>
        <v>0</v>
      </c>
      <c s="125">
        <f>Предпосылки!Z$234*Предпосылки!$J257*Продажи!AA22*AA$19*(1+Чувствительность!$D$20)*IFERROR(LOOKUP(Предпосылки!$H$207,$C$13:$C$15,AA$13:AA$15),1)</f>
        <v>0</v>
      </c>
      <c s="125">
        <f>Предпосылки!AA$234*Предпосылки!$J257*Продажи!AB22*AB$19*(1+Чувствительность!$D$20)*IFERROR(LOOKUP(Предпосылки!$H$207,$C$13:$C$15,AB$13:AB$15),1)</f>
        <v>0</v>
      </c>
      <c s="125">
        <f>Предпосылки!AB$234*Предпосылки!$J257*Продажи!AC22*AC$19*(1+Чувствительность!$D$20)*IFERROR(LOOKUP(Предпосылки!$H$207,$C$13:$C$15,AC$13:AC$15),1)</f>
        <v>0</v>
      </c>
      <c s="125">
        <f>Предпосылки!AC$234*Предпосылки!$J257*Продажи!AD22*AD$19*(1+Чувствительность!$D$20)*IFERROR(LOOKUP(Предпосылки!$H$207,$C$13:$C$15,AD$13:AD$15),1)</f>
        <v>0</v>
      </c>
      <c s="125">
        <f>Предпосылки!AD$234*Предпосылки!$J257*Продажи!AE22*AE$19*(1+Чувствительность!$D$20)*IFERROR(LOOKUP(Предпосылки!$H$207,$C$13:$C$15,AE$13:AE$15),1)</f>
        <v>0</v>
      </c>
      <c s="125">
        <f>Предпосылки!AE$234*Предпосылки!$J257*Продажи!AF22*AF$19*(1+Чувствительность!$D$20)*IFERROR(LOOKUP(Предпосылки!$H$207,$C$13:$C$15,AF$13:AF$15),1)</f>
        <v>0</v>
      </c>
      <c s="125">
        <f>Предпосылки!AF$234*Предпосылки!$J257*Продажи!AG22*AG$19*(1+Чувствительность!$D$20)*IFERROR(LOOKUP(Предпосылки!$H$207,$C$13:$C$15,AG$13:AG$15),1)</f>
        <v>0</v>
      </c>
      <c s="125">
        <f>Предпосылки!AG$234*Предпосылки!$J257*Продажи!AH22*AH$19*(1+Чувствительность!$D$20)*IFERROR(LOOKUP(Предпосылки!$H$207,$C$13:$C$15,AH$13:AH$15),1)</f>
        <v>0</v>
      </c>
      <c s="125">
        <f>Предпосылки!AH$234*Предпосылки!$J257*Продажи!AI22*AI$19*(1+Чувствительность!$D$20)*IFERROR(LOOKUP(Предпосылки!$H$207,$C$13:$C$15,AI$13:AI$15),1)</f>
        <v>0</v>
      </c>
      <c s="125">
        <f>Предпосылки!AI$234*Предпосылки!$J257*Продажи!AJ22*AJ$19*(1+Чувствительность!$D$20)*IFERROR(LOOKUP(Предпосылки!$H$207,$C$13:$C$15,AJ$13:AJ$15),1)</f>
        <v>0</v>
      </c>
      <c s="125">
        <f>Предпосылки!AJ$234*Предпосылки!$J257*Продажи!AK22*AK$19*(1+Чувствительность!$D$20)*IFERROR(LOOKUP(Предпосылки!$H$207,$C$13:$C$15,AK$13:AK$15),1)</f>
        <v>0</v>
      </c>
      <c s="125">
        <f>Предпосылки!AK$234*Предпосылки!$J257*Продажи!AL22*AL$19*(1+Чувствительность!$D$20)*IFERROR(LOOKUP(Предпосылки!$H$207,$C$13:$C$15,AL$13:AL$15),1)</f>
        <v>0</v>
      </c>
      <c s="125">
        <f>Предпосылки!AL$234*Предпосылки!$J257*Продажи!AM22*AM$19*(1+Чувствительность!$D$20)*IFERROR(LOOKUP(Предпосылки!$H$207,$C$13:$C$15,AM$13:AM$15),1)</f>
        <v>0</v>
      </c>
      <c s="125">
        <f>Предпосылки!AM$234*Предпосылки!$J257*Продажи!AN22*AN$19*(1+Чувствительность!$D$20)*IFERROR(LOOKUP(Предпосылки!$H$207,$C$13:$C$15,AN$13:AN$15),1)</f>
        <v>0</v>
      </c>
      <c s="125">
        <f>Предпосылки!AN$234*Предпосылки!$J257*Продажи!AO22*AO$19*(1+Чувствительность!$D$20)*IFERROR(LOOKUP(Предпосылки!$H$207,$C$13:$C$15,AO$13:AO$15),1)</f>
        <v>0</v>
      </c>
      <c s="125">
        <f>Предпосылки!AO$234*Предпосылки!$J257*Продажи!AP22*AP$19*(1+Чувствительность!$D$20)*IFERROR(LOOKUP(Предпосылки!$H$207,$C$13:$C$15,AP$13:AP$15),1)</f>
        <v>0</v>
      </c>
      <c s="125">
        <f>Предпосылки!AP$234*Предпосылки!$J257*Продажи!AQ22*AQ$19*(1+Чувствительность!$D$20)*IFERROR(LOOKUP(Предпосылки!$H$207,$C$13:$C$15,AQ$13:AQ$15),1)</f>
        <v>0</v>
      </c>
      <c s="125">
        <f>Предпосылки!AQ$234*Предпосылки!$J257*Продажи!AR22*AR$19*(1+Чувствительность!$D$20)*IFERROR(LOOKUP(Предпосылки!$H$207,$C$13:$C$15,AR$13:AR$15),1)</f>
        <v>0</v>
      </c>
      <c s="125">
        <f>Предпосылки!AR$234*Предпосылки!$J257*Продажи!AS22*AS$19*(1+Чувствительность!$D$20)*IFERROR(LOOKUP(Предпосылки!$H$207,$C$13:$C$15,AS$13:AS$15),1)</f>
        <v>0</v>
      </c>
      <c s="125">
        <f>Предпосылки!AS$234*Предпосылки!$J257*Продажи!AT22*AT$19*(1+Чувствительность!$D$20)*IFERROR(LOOKUP(Предпосылки!$H$207,$C$13:$C$15,AT$13:AT$15),1)</f>
        <v>0</v>
      </c>
      <c s="125">
        <f>Предпосылки!AT$234*Предпосылки!$J257*Продажи!AU22*AU$19*(1+Чувствительность!$D$20)*IFERROR(LOOKUP(Предпосылки!$H$207,$C$13:$C$15,AU$13:AU$15),1)</f>
        <v>0</v>
      </c>
      <c s="125">
        <f>Предпосылки!AU$234*Предпосылки!$J257*Продажи!AV22*AV$19*(1+Чувствительность!$D$20)*IFERROR(LOOKUP(Предпосылки!$H$207,$C$13:$C$15,AV$13:AV$15),1)</f>
        <v>0</v>
      </c>
      <c s="125">
        <f>Предпосылки!AV$234*Предпосылки!$J257*Продажи!AW22*AW$19*(1+Чувствительность!$D$20)*IFERROR(LOOKUP(Предпосылки!$H$207,$C$13:$C$15,AW$13:AW$15),1)</f>
        <v>0</v>
      </c>
      <c s="125">
        <f>Предпосылки!AW$234*Предпосылки!$J257*Продажи!AX22*AX$19*(1+Чувствительность!$D$20)*IFERROR(LOOKUP(Предпосылки!$H$207,$C$13:$C$15,AX$13:AX$15),1)</f>
        <v>0</v>
      </c>
      <c s="125">
        <f>Предпосылки!AX$234*Предпосылки!$J257*Продажи!AY22*AY$19*(1+Чувствительность!$D$20)*IFERROR(LOOKUP(Предпосылки!$H$207,$C$13:$C$15,AY$13:AY$15),1)</f>
        <v>0</v>
      </c>
      <c s="125">
        <f>Предпосылки!AY$234*Предпосылки!$J257*Продажи!AZ22*AZ$19*(1+Чувствительность!$D$20)*IFERROR(LOOKUP(Предпосылки!$H$207,$C$13:$C$15,AZ$13:AZ$15),1)</f>
        <v>0</v>
      </c>
      <c s="125">
        <f>Предпосылки!AZ$234*Предпосылки!$J257*Продажи!BA22*BA$19*(1+Чувствительность!$D$20)*IFERROR(LOOKUP(Предпосылки!$H$207,$C$13:$C$15,BA$13:BA$15),1)</f>
        <v>0</v>
      </c>
      <c s="125">
        <f>Предпосылки!BA$234*Предпосылки!$J257*Продажи!BB22*BB$19*(1+Чувствительность!$D$20)*IFERROR(LOOKUP(Предпосылки!$H$207,$C$13:$C$15,BB$13:BB$15),1)</f>
        <v>0</v>
      </c>
      <c s="125">
        <f>Предпосылки!BB$234*Предпосылки!$J257*Продажи!BC22*BC$19*(1+Чувствительность!$D$20)*IFERROR(LOOKUP(Предпосылки!$H$207,$C$13:$C$15,BC$13:BC$15),1)</f>
        <v>0</v>
      </c>
      <c s="125">
        <f>Предпосылки!BC$234*Предпосылки!$J257*Продажи!BD22*BD$19*(1+Чувствительность!$D$20)*IFERROR(LOOKUP(Предпосылки!$H$207,$C$13:$C$15,BD$13:BD$15),1)</f>
        <v>0</v>
      </c>
      <c s="125">
        <f>Предпосылки!BD$234*Предпосылки!$J257*Продажи!BE22*BE$19*(1+Чувствительность!$D$20)*IFERROR(LOOKUP(Предпосылки!$H$207,$C$13:$C$15,BE$13:BE$15),1)</f>
        <v>0</v>
      </c>
      <c s="125">
        <f>Предпосылки!BE$234*Предпосылки!$J257*Продажи!BF22*BF$19*(1+Чувствительность!$D$20)*IFERROR(LOOKUP(Предпосылки!$H$207,$C$13:$C$15,BF$13:BF$15),1)</f>
        <v>0</v>
      </c>
      <c s="125">
        <f>Предпосылки!BF$234*Предпосылки!$J257*Продажи!BG22*BG$19*(1+Чувствительность!$D$20)*IFERROR(LOOKUP(Предпосылки!$H$207,$C$13:$C$15,BG$13:BG$15),1)</f>
        <v>0</v>
      </c>
      <c s="125">
        <f>Предпосылки!BG$234*Предпосылки!$J257*Продажи!BH22*BH$19*(1+Чувствительность!$D$20)*IFERROR(LOOKUP(Предпосылки!$H$207,$C$13:$C$15,BH$13:BH$15),1)</f>
        <v>0</v>
      </c>
      <c s="125">
        <f>Предпосылки!BH$234*Предпосылки!$J257*Продажи!BI22*BI$19*(1+Чувствительность!$D$20)*IFERROR(LOOKUP(Предпосылки!$H$207,$C$13:$C$15,BI$13:BI$15),1)</f>
        <v>0</v>
      </c>
      <c s="125">
        <f>Предпосылки!BI$234*Предпосылки!$J257*Продажи!BJ22*BJ$19*(1+Чувствительность!$D$20)*IFERROR(LOOKUP(Предпосылки!$H$207,$C$13:$C$15,BJ$13:BJ$15),1)</f>
        <v>0</v>
      </c>
      <c s="125">
        <f>Предпосылки!BJ$234*Предпосылки!$J257*Продажи!BK22*BK$19*(1+Чувствительность!$D$20)*IFERROR(LOOKUP(Предпосылки!$H$207,$C$13:$C$15,BK$13:BK$15),1)</f>
        <v>0</v>
      </c>
      <c s="125">
        <f>Предпосылки!BK$234*Предпосылки!$J257*Продажи!BL22*BL$19*(1+Чувствительность!$D$20)*IFERROR(LOOKUP(Предпосылки!$H$207,$C$13:$C$15,BL$13:BL$15),1)</f>
        <v>0</v>
      </c>
      <c s="125">
        <f>Предпосылки!BL$234*Предпосылки!$J257*Продажи!BM22*BM$19*(1+Чувствительность!$D$20)*IFERROR(LOOKUP(Предпосылки!$H$207,$C$13:$C$15,BM$13:BM$15),1)</f>
        <v>0</v>
      </c>
    </row>
    <row r="166" spans="2:65" ht="15" customHeight="1">
      <c r="B166" s="12" t="str">
        <f t="shared" si="91"/>
        <v>Продукт 6</v>
      </c>
      <c s="124" t="str">
        <f t="shared" si="90"/>
        <v>тыс. руб.</v>
      </c>
      <c s="276">
        <f t="shared" si="92"/>
        <v>0</v>
      </c>
      <c s="125">
        <f>Предпосылки!D$234*Предпосылки!$J258*Продажи!E23*E$19*(1+Чувствительность!$D$20)*IFERROR(LOOKUP(Предпосылки!$H$207,$C$13:$C$15,E$13:E$15),1)</f>
        <v>0</v>
      </c>
      <c s="125">
        <f>Предпосылки!E$234*Предпосылки!$J258*Продажи!F23*F$19*(1+Чувствительность!$D$20)*IFERROR(LOOKUP(Предпосылки!$H$207,$C$13:$C$15,F$13:F$15),1)</f>
        <v>0</v>
      </c>
      <c s="125">
        <f>Предпосылки!F$234*Предпосылки!$J258*Продажи!G23*G$19*(1+Чувствительность!$D$20)*IFERROR(LOOKUP(Предпосылки!$H$207,$C$13:$C$15,G$13:G$15),1)</f>
        <v>0</v>
      </c>
      <c s="125">
        <f>Предпосылки!G$234*Предпосылки!$J258*Продажи!H23*H$19*(1+Чувствительность!$D$20)*IFERROR(LOOKUP(Предпосылки!$H$207,$C$13:$C$15,H$13:H$15),1)</f>
        <v>0</v>
      </c>
      <c s="125">
        <f>Предпосылки!H$234*Предпосылки!$J258*Продажи!I23*I$19*(1+Чувствительность!$D$20)*IFERROR(LOOKUP(Предпосылки!$H$207,$C$13:$C$15,I$13:I$15),1)</f>
        <v>0</v>
      </c>
      <c s="125">
        <f>Предпосылки!I$234*Предпосылки!$J258*Продажи!J23*J$19*(1+Чувствительность!$D$20)*IFERROR(LOOKUP(Предпосылки!$H$207,$C$13:$C$15,J$13:J$15),1)</f>
        <v>0</v>
      </c>
      <c s="125">
        <f>Предпосылки!J$234*Предпосылки!$J258*Продажи!K23*K$19*(1+Чувствительность!$D$20)*IFERROR(LOOKUP(Предпосылки!$H$207,$C$13:$C$15,K$13:K$15),1)</f>
        <v>0</v>
      </c>
      <c s="125">
        <f>Предпосылки!K$234*Предпосылки!$J258*Продажи!L23*L$19*(1+Чувствительность!$D$20)*IFERROR(LOOKUP(Предпосылки!$H$207,$C$13:$C$15,L$13:L$15),1)</f>
        <v>0</v>
      </c>
      <c s="125">
        <f>Предпосылки!L$234*Предпосылки!$J258*Продажи!M23*M$19*(1+Чувствительность!$D$20)*IFERROR(LOOKUP(Предпосылки!$H$207,$C$13:$C$15,M$13:M$15),1)</f>
        <v>0</v>
      </c>
      <c s="125">
        <f>Предпосылки!M$234*Предпосылки!$J258*Продажи!N23*N$19*(1+Чувствительность!$D$20)*IFERROR(LOOKUP(Предпосылки!$H$207,$C$13:$C$15,N$13:N$15),1)</f>
        <v>0</v>
      </c>
      <c s="125">
        <f>Предпосылки!N$234*Предпосылки!$J258*Продажи!O23*O$19*(1+Чувствительность!$D$20)*IFERROR(LOOKUP(Предпосылки!$H$207,$C$13:$C$15,O$13:O$15),1)</f>
        <v>0</v>
      </c>
      <c s="125">
        <f>Предпосылки!O$234*Предпосылки!$J258*Продажи!P23*P$19*(1+Чувствительность!$D$20)*IFERROR(LOOKUP(Предпосылки!$H$207,$C$13:$C$15,P$13:P$15),1)</f>
        <v>0</v>
      </c>
      <c s="125">
        <f>Предпосылки!P$234*Предпосылки!$J258*Продажи!Q23*Q$19*(1+Чувствительность!$D$20)*IFERROR(LOOKUP(Предпосылки!$H$207,$C$13:$C$15,Q$13:Q$15),1)</f>
        <v>0</v>
      </c>
      <c s="125">
        <f>Предпосылки!Q$234*Предпосылки!$J258*Продажи!R23*R$19*(1+Чувствительность!$D$20)*IFERROR(LOOKUP(Предпосылки!$H$207,$C$13:$C$15,R$13:R$15),1)</f>
        <v>0</v>
      </c>
      <c s="125">
        <f>Предпосылки!R$234*Предпосылки!$J258*Продажи!S23*S$19*(1+Чувствительность!$D$20)*IFERROR(LOOKUP(Предпосылки!$H$207,$C$13:$C$15,S$13:S$15),1)</f>
        <v>0</v>
      </c>
      <c s="125">
        <f>Предпосылки!S$234*Предпосылки!$J258*Продажи!T23*T$19*(1+Чувствительность!$D$20)*IFERROR(LOOKUP(Предпосылки!$H$207,$C$13:$C$15,T$13:T$15),1)</f>
        <v>0</v>
      </c>
      <c s="125">
        <f>Предпосылки!T$234*Предпосылки!$J258*Продажи!U23*U$19*(1+Чувствительность!$D$20)*IFERROR(LOOKUP(Предпосылки!$H$207,$C$13:$C$15,U$13:U$15),1)</f>
        <v>0</v>
      </c>
      <c s="125">
        <f>Предпосылки!U$234*Предпосылки!$J258*Продажи!V23*V$19*(1+Чувствительность!$D$20)*IFERROR(LOOKUP(Предпосылки!$H$207,$C$13:$C$15,V$13:V$15),1)</f>
        <v>0</v>
      </c>
      <c s="125">
        <f>Предпосылки!V$234*Предпосылки!$J258*Продажи!W23*W$19*(1+Чувствительность!$D$20)*IFERROR(LOOKUP(Предпосылки!$H$207,$C$13:$C$15,W$13:W$15),1)</f>
        <v>0</v>
      </c>
      <c s="125">
        <f>Предпосылки!W$234*Предпосылки!$J258*Продажи!X23*X$19*(1+Чувствительность!$D$20)*IFERROR(LOOKUP(Предпосылки!$H$207,$C$13:$C$15,X$13:X$15),1)</f>
        <v>0</v>
      </c>
      <c s="125">
        <f>Предпосылки!X$234*Предпосылки!$J258*Продажи!Y23*Y$19*(1+Чувствительность!$D$20)*IFERROR(LOOKUP(Предпосылки!$H$207,$C$13:$C$15,Y$13:Y$15),1)</f>
        <v>0</v>
      </c>
      <c s="125">
        <f>Предпосылки!Y$234*Предпосылки!$J258*Продажи!Z23*Z$19*(1+Чувствительность!$D$20)*IFERROR(LOOKUP(Предпосылки!$H$207,$C$13:$C$15,Z$13:Z$15),1)</f>
        <v>0</v>
      </c>
      <c s="125">
        <f>Предпосылки!Z$234*Предпосылки!$J258*Продажи!AA23*AA$19*(1+Чувствительность!$D$20)*IFERROR(LOOKUP(Предпосылки!$H$207,$C$13:$C$15,AA$13:AA$15),1)</f>
        <v>0</v>
      </c>
      <c s="125">
        <f>Предпосылки!AA$234*Предпосылки!$J258*Продажи!AB23*AB$19*(1+Чувствительность!$D$20)*IFERROR(LOOKUP(Предпосылки!$H$207,$C$13:$C$15,AB$13:AB$15),1)</f>
        <v>0</v>
      </c>
      <c s="125">
        <f>Предпосылки!AB$234*Предпосылки!$J258*Продажи!AC23*AC$19*(1+Чувствительность!$D$20)*IFERROR(LOOKUP(Предпосылки!$H$207,$C$13:$C$15,AC$13:AC$15),1)</f>
        <v>0</v>
      </c>
      <c s="125">
        <f>Предпосылки!AC$234*Предпосылки!$J258*Продажи!AD23*AD$19*(1+Чувствительность!$D$20)*IFERROR(LOOKUP(Предпосылки!$H$207,$C$13:$C$15,AD$13:AD$15),1)</f>
        <v>0</v>
      </c>
      <c s="125">
        <f>Предпосылки!AD$234*Предпосылки!$J258*Продажи!AE23*AE$19*(1+Чувствительность!$D$20)*IFERROR(LOOKUP(Предпосылки!$H$207,$C$13:$C$15,AE$13:AE$15),1)</f>
        <v>0</v>
      </c>
      <c s="125">
        <f>Предпосылки!AE$234*Предпосылки!$J258*Продажи!AF23*AF$19*(1+Чувствительность!$D$20)*IFERROR(LOOKUP(Предпосылки!$H$207,$C$13:$C$15,AF$13:AF$15),1)</f>
        <v>0</v>
      </c>
      <c s="125">
        <f>Предпосылки!AF$234*Предпосылки!$J258*Продажи!AG23*AG$19*(1+Чувствительность!$D$20)*IFERROR(LOOKUP(Предпосылки!$H$207,$C$13:$C$15,AG$13:AG$15),1)</f>
        <v>0</v>
      </c>
      <c s="125">
        <f>Предпосылки!AG$234*Предпосылки!$J258*Продажи!AH23*AH$19*(1+Чувствительность!$D$20)*IFERROR(LOOKUP(Предпосылки!$H$207,$C$13:$C$15,AH$13:AH$15),1)</f>
        <v>0</v>
      </c>
      <c s="125">
        <f>Предпосылки!AH$234*Предпосылки!$J258*Продажи!AI23*AI$19*(1+Чувствительность!$D$20)*IFERROR(LOOKUP(Предпосылки!$H$207,$C$13:$C$15,AI$13:AI$15),1)</f>
        <v>0</v>
      </c>
      <c s="125">
        <f>Предпосылки!AI$234*Предпосылки!$J258*Продажи!AJ23*AJ$19*(1+Чувствительность!$D$20)*IFERROR(LOOKUP(Предпосылки!$H$207,$C$13:$C$15,AJ$13:AJ$15),1)</f>
        <v>0</v>
      </c>
      <c s="125">
        <f>Предпосылки!AJ$234*Предпосылки!$J258*Продажи!AK23*AK$19*(1+Чувствительность!$D$20)*IFERROR(LOOKUP(Предпосылки!$H$207,$C$13:$C$15,AK$13:AK$15),1)</f>
        <v>0</v>
      </c>
      <c s="125">
        <f>Предпосылки!AK$234*Предпосылки!$J258*Продажи!AL23*AL$19*(1+Чувствительность!$D$20)*IFERROR(LOOKUP(Предпосылки!$H$207,$C$13:$C$15,AL$13:AL$15),1)</f>
        <v>0</v>
      </c>
      <c s="125">
        <f>Предпосылки!AL$234*Предпосылки!$J258*Продажи!AM23*AM$19*(1+Чувствительность!$D$20)*IFERROR(LOOKUP(Предпосылки!$H$207,$C$13:$C$15,AM$13:AM$15),1)</f>
        <v>0</v>
      </c>
      <c s="125">
        <f>Предпосылки!AM$234*Предпосылки!$J258*Продажи!AN23*AN$19*(1+Чувствительность!$D$20)*IFERROR(LOOKUP(Предпосылки!$H$207,$C$13:$C$15,AN$13:AN$15),1)</f>
        <v>0</v>
      </c>
      <c s="125">
        <f>Предпосылки!AN$234*Предпосылки!$J258*Продажи!AO23*AO$19*(1+Чувствительность!$D$20)*IFERROR(LOOKUP(Предпосылки!$H$207,$C$13:$C$15,AO$13:AO$15),1)</f>
        <v>0</v>
      </c>
      <c s="125">
        <f>Предпосылки!AO$234*Предпосылки!$J258*Продажи!AP23*AP$19*(1+Чувствительность!$D$20)*IFERROR(LOOKUP(Предпосылки!$H$207,$C$13:$C$15,AP$13:AP$15),1)</f>
        <v>0</v>
      </c>
      <c s="125">
        <f>Предпосылки!AP$234*Предпосылки!$J258*Продажи!AQ23*AQ$19*(1+Чувствительность!$D$20)*IFERROR(LOOKUP(Предпосылки!$H$207,$C$13:$C$15,AQ$13:AQ$15),1)</f>
        <v>0</v>
      </c>
      <c s="125">
        <f>Предпосылки!AQ$234*Предпосылки!$J258*Продажи!AR23*AR$19*(1+Чувствительность!$D$20)*IFERROR(LOOKUP(Предпосылки!$H$207,$C$13:$C$15,AR$13:AR$15),1)</f>
        <v>0</v>
      </c>
      <c s="125">
        <f>Предпосылки!AR$234*Предпосылки!$J258*Продажи!AS23*AS$19*(1+Чувствительность!$D$20)*IFERROR(LOOKUP(Предпосылки!$H$207,$C$13:$C$15,AS$13:AS$15),1)</f>
        <v>0</v>
      </c>
      <c s="125">
        <f>Предпосылки!AS$234*Предпосылки!$J258*Продажи!AT23*AT$19*(1+Чувствительность!$D$20)*IFERROR(LOOKUP(Предпосылки!$H$207,$C$13:$C$15,AT$13:AT$15),1)</f>
        <v>0</v>
      </c>
      <c s="125">
        <f>Предпосылки!AT$234*Предпосылки!$J258*Продажи!AU23*AU$19*(1+Чувствительность!$D$20)*IFERROR(LOOKUP(Предпосылки!$H$207,$C$13:$C$15,AU$13:AU$15),1)</f>
        <v>0</v>
      </c>
      <c s="125">
        <f>Предпосылки!AU$234*Предпосылки!$J258*Продажи!AV23*AV$19*(1+Чувствительность!$D$20)*IFERROR(LOOKUP(Предпосылки!$H$207,$C$13:$C$15,AV$13:AV$15),1)</f>
        <v>0</v>
      </c>
      <c s="125">
        <f>Предпосылки!AV$234*Предпосылки!$J258*Продажи!AW23*AW$19*(1+Чувствительность!$D$20)*IFERROR(LOOKUP(Предпосылки!$H$207,$C$13:$C$15,AW$13:AW$15),1)</f>
        <v>0</v>
      </c>
      <c s="125">
        <f>Предпосылки!AW$234*Предпосылки!$J258*Продажи!AX23*AX$19*(1+Чувствительность!$D$20)*IFERROR(LOOKUP(Предпосылки!$H$207,$C$13:$C$15,AX$13:AX$15),1)</f>
        <v>0</v>
      </c>
      <c s="125">
        <f>Предпосылки!AX$234*Предпосылки!$J258*Продажи!AY23*AY$19*(1+Чувствительность!$D$20)*IFERROR(LOOKUP(Предпосылки!$H$207,$C$13:$C$15,AY$13:AY$15),1)</f>
        <v>0</v>
      </c>
      <c s="125">
        <f>Предпосылки!AY$234*Предпосылки!$J258*Продажи!AZ23*AZ$19*(1+Чувствительность!$D$20)*IFERROR(LOOKUP(Предпосылки!$H$207,$C$13:$C$15,AZ$13:AZ$15),1)</f>
        <v>0</v>
      </c>
      <c s="125">
        <f>Предпосылки!AZ$234*Предпосылки!$J258*Продажи!BA23*BA$19*(1+Чувствительность!$D$20)*IFERROR(LOOKUP(Предпосылки!$H$207,$C$13:$C$15,BA$13:BA$15),1)</f>
        <v>0</v>
      </c>
      <c s="125">
        <f>Предпосылки!BA$234*Предпосылки!$J258*Продажи!BB23*BB$19*(1+Чувствительность!$D$20)*IFERROR(LOOKUP(Предпосылки!$H$207,$C$13:$C$15,BB$13:BB$15),1)</f>
        <v>0</v>
      </c>
      <c s="125">
        <f>Предпосылки!BB$234*Предпосылки!$J258*Продажи!BC23*BC$19*(1+Чувствительность!$D$20)*IFERROR(LOOKUP(Предпосылки!$H$207,$C$13:$C$15,BC$13:BC$15),1)</f>
        <v>0</v>
      </c>
      <c s="125">
        <f>Предпосылки!BC$234*Предпосылки!$J258*Продажи!BD23*BD$19*(1+Чувствительность!$D$20)*IFERROR(LOOKUP(Предпосылки!$H$207,$C$13:$C$15,BD$13:BD$15),1)</f>
        <v>0</v>
      </c>
      <c s="125">
        <f>Предпосылки!BD$234*Предпосылки!$J258*Продажи!BE23*BE$19*(1+Чувствительность!$D$20)*IFERROR(LOOKUP(Предпосылки!$H$207,$C$13:$C$15,BE$13:BE$15),1)</f>
        <v>0</v>
      </c>
      <c s="125">
        <f>Предпосылки!BE$234*Предпосылки!$J258*Продажи!BF23*BF$19*(1+Чувствительность!$D$20)*IFERROR(LOOKUP(Предпосылки!$H$207,$C$13:$C$15,BF$13:BF$15),1)</f>
        <v>0</v>
      </c>
      <c s="125">
        <f>Предпосылки!BF$234*Предпосылки!$J258*Продажи!BG23*BG$19*(1+Чувствительность!$D$20)*IFERROR(LOOKUP(Предпосылки!$H$207,$C$13:$C$15,BG$13:BG$15),1)</f>
        <v>0</v>
      </c>
      <c s="125">
        <f>Предпосылки!BG$234*Предпосылки!$J258*Продажи!BH23*BH$19*(1+Чувствительность!$D$20)*IFERROR(LOOKUP(Предпосылки!$H$207,$C$13:$C$15,BH$13:BH$15),1)</f>
        <v>0</v>
      </c>
      <c s="125">
        <f>Предпосылки!BH$234*Предпосылки!$J258*Продажи!BI23*BI$19*(1+Чувствительность!$D$20)*IFERROR(LOOKUP(Предпосылки!$H$207,$C$13:$C$15,BI$13:BI$15),1)</f>
        <v>0</v>
      </c>
      <c s="125">
        <f>Предпосылки!BI$234*Предпосылки!$J258*Продажи!BJ23*BJ$19*(1+Чувствительность!$D$20)*IFERROR(LOOKUP(Предпосылки!$H$207,$C$13:$C$15,BJ$13:BJ$15),1)</f>
        <v>0</v>
      </c>
      <c s="125">
        <f>Предпосылки!BJ$234*Предпосылки!$J258*Продажи!BK23*BK$19*(1+Чувствительность!$D$20)*IFERROR(LOOKUP(Предпосылки!$H$207,$C$13:$C$15,BK$13:BK$15),1)</f>
        <v>0</v>
      </c>
      <c s="125">
        <f>Предпосылки!BK$234*Предпосылки!$J258*Продажи!BL23*BL$19*(1+Чувствительность!$D$20)*IFERROR(LOOKUP(Предпосылки!$H$207,$C$13:$C$15,BL$13:BL$15),1)</f>
        <v>0</v>
      </c>
      <c s="125">
        <f>Предпосылки!BL$234*Предпосылки!$J258*Продажи!BM23*BM$19*(1+Чувствительность!$D$20)*IFERROR(LOOKUP(Предпосылки!$H$207,$C$13:$C$15,BM$13:BM$15),1)</f>
        <v>0</v>
      </c>
    </row>
    <row r="167" spans="2:65" ht="15" customHeight="1">
      <c r="B167" s="12" t="str">
        <f t="shared" si="91"/>
        <v>Продукт 7</v>
      </c>
      <c s="124" t="str">
        <f t="shared" si="90"/>
        <v>тыс. руб.</v>
      </c>
      <c s="276">
        <f t="shared" si="92"/>
        <v>0</v>
      </c>
      <c s="125">
        <f>Предпосылки!D$234*Предпосылки!$J259*Продажи!E24*E$19*(1+Чувствительность!$D$20)*IFERROR(LOOKUP(Предпосылки!$H$207,$C$13:$C$15,E$13:E$15),1)</f>
        <v>0</v>
      </c>
      <c s="125">
        <f>Предпосылки!E$234*Предпосылки!$J259*Продажи!F24*F$19*(1+Чувствительность!$D$20)*IFERROR(LOOKUP(Предпосылки!$H$207,$C$13:$C$15,F$13:F$15),1)</f>
        <v>0</v>
      </c>
      <c s="125">
        <f>Предпосылки!F$234*Предпосылки!$J259*Продажи!G24*G$19*(1+Чувствительность!$D$20)*IFERROR(LOOKUP(Предпосылки!$H$207,$C$13:$C$15,G$13:G$15),1)</f>
        <v>0</v>
      </c>
      <c s="125">
        <f>Предпосылки!G$234*Предпосылки!$J259*Продажи!H24*H$19*(1+Чувствительность!$D$20)*IFERROR(LOOKUP(Предпосылки!$H$207,$C$13:$C$15,H$13:H$15),1)</f>
        <v>0</v>
      </c>
      <c s="125">
        <f>Предпосылки!H$234*Предпосылки!$J259*Продажи!I24*I$19*(1+Чувствительность!$D$20)*IFERROR(LOOKUP(Предпосылки!$H$207,$C$13:$C$15,I$13:I$15),1)</f>
        <v>0</v>
      </c>
      <c s="125">
        <f>Предпосылки!I$234*Предпосылки!$J259*Продажи!J24*J$19*(1+Чувствительность!$D$20)*IFERROR(LOOKUP(Предпосылки!$H$207,$C$13:$C$15,J$13:J$15),1)</f>
        <v>0</v>
      </c>
      <c s="125">
        <f>Предпосылки!J$234*Предпосылки!$J259*Продажи!K24*K$19*(1+Чувствительность!$D$20)*IFERROR(LOOKUP(Предпосылки!$H$207,$C$13:$C$15,K$13:K$15),1)</f>
        <v>0</v>
      </c>
      <c s="125">
        <f>Предпосылки!K$234*Предпосылки!$J259*Продажи!L24*L$19*(1+Чувствительность!$D$20)*IFERROR(LOOKUP(Предпосылки!$H$207,$C$13:$C$15,L$13:L$15),1)</f>
        <v>0</v>
      </c>
      <c s="125">
        <f>Предпосылки!L$234*Предпосылки!$J259*Продажи!M24*M$19*(1+Чувствительность!$D$20)*IFERROR(LOOKUP(Предпосылки!$H$207,$C$13:$C$15,M$13:M$15),1)</f>
        <v>0</v>
      </c>
      <c s="125">
        <f>Предпосылки!M$234*Предпосылки!$J259*Продажи!N24*N$19*(1+Чувствительность!$D$20)*IFERROR(LOOKUP(Предпосылки!$H$207,$C$13:$C$15,N$13:N$15),1)</f>
        <v>0</v>
      </c>
      <c s="125">
        <f>Предпосылки!N$234*Предпосылки!$J259*Продажи!O24*O$19*(1+Чувствительность!$D$20)*IFERROR(LOOKUP(Предпосылки!$H$207,$C$13:$C$15,O$13:O$15),1)</f>
        <v>0</v>
      </c>
      <c s="125">
        <f>Предпосылки!O$234*Предпосылки!$J259*Продажи!P24*P$19*(1+Чувствительность!$D$20)*IFERROR(LOOKUP(Предпосылки!$H$207,$C$13:$C$15,P$13:P$15),1)</f>
        <v>0</v>
      </c>
      <c s="125">
        <f>Предпосылки!P$234*Предпосылки!$J259*Продажи!Q24*Q$19*(1+Чувствительность!$D$20)*IFERROR(LOOKUP(Предпосылки!$H$207,$C$13:$C$15,Q$13:Q$15),1)</f>
        <v>0</v>
      </c>
      <c s="125">
        <f>Предпосылки!Q$234*Предпосылки!$J259*Продажи!R24*R$19*(1+Чувствительность!$D$20)*IFERROR(LOOKUP(Предпосылки!$H$207,$C$13:$C$15,R$13:R$15),1)</f>
        <v>0</v>
      </c>
      <c s="125">
        <f>Предпосылки!R$234*Предпосылки!$J259*Продажи!S24*S$19*(1+Чувствительность!$D$20)*IFERROR(LOOKUP(Предпосылки!$H$207,$C$13:$C$15,S$13:S$15),1)</f>
        <v>0</v>
      </c>
      <c s="125">
        <f>Предпосылки!S$234*Предпосылки!$J259*Продажи!T24*T$19*(1+Чувствительность!$D$20)*IFERROR(LOOKUP(Предпосылки!$H$207,$C$13:$C$15,T$13:T$15),1)</f>
        <v>0</v>
      </c>
      <c s="125">
        <f>Предпосылки!T$234*Предпосылки!$J259*Продажи!U24*U$19*(1+Чувствительность!$D$20)*IFERROR(LOOKUP(Предпосылки!$H$207,$C$13:$C$15,U$13:U$15),1)</f>
        <v>0</v>
      </c>
      <c s="125">
        <f>Предпосылки!U$234*Предпосылки!$J259*Продажи!V24*V$19*(1+Чувствительность!$D$20)*IFERROR(LOOKUP(Предпосылки!$H$207,$C$13:$C$15,V$13:V$15),1)</f>
        <v>0</v>
      </c>
      <c s="125">
        <f>Предпосылки!V$234*Предпосылки!$J259*Продажи!W24*W$19*(1+Чувствительность!$D$20)*IFERROR(LOOKUP(Предпосылки!$H$207,$C$13:$C$15,W$13:W$15),1)</f>
        <v>0</v>
      </c>
      <c s="125">
        <f>Предпосылки!W$234*Предпосылки!$J259*Продажи!X24*X$19*(1+Чувствительность!$D$20)*IFERROR(LOOKUP(Предпосылки!$H$207,$C$13:$C$15,X$13:X$15),1)</f>
        <v>0</v>
      </c>
      <c s="125">
        <f>Предпосылки!X$234*Предпосылки!$J259*Продажи!Y24*Y$19*(1+Чувствительность!$D$20)*IFERROR(LOOKUP(Предпосылки!$H$207,$C$13:$C$15,Y$13:Y$15),1)</f>
        <v>0</v>
      </c>
      <c s="125">
        <f>Предпосылки!Y$234*Предпосылки!$J259*Продажи!Z24*Z$19*(1+Чувствительность!$D$20)*IFERROR(LOOKUP(Предпосылки!$H$207,$C$13:$C$15,Z$13:Z$15),1)</f>
        <v>0</v>
      </c>
      <c s="125">
        <f>Предпосылки!Z$234*Предпосылки!$J259*Продажи!AA24*AA$19*(1+Чувствительность!$D$20)*IFERROR(LOOKUP(Предпосылки!$H$207,$C$13:$C$15,AA$13:AA$15),1)</f>
        <v>0</v>
      </c>
      <c s="125">
        <f>Предпосылки!AA$234*Предпосылки!$J259*Продажи!AB24*AB$19*(1+Чувствительность!$D$20)*IFERROR(LOOKUP(Предпосылки!$H$207,$C$13:$C$15,AB$13:AB$15),1)</f>
        <v>0</v>
      </c>
      <c s="125">
        <f>Предпосылки!AB$234*Предпосылки!$J259*Продажи!AC24*AC$19*(1+Чувствительность!$D$20)*IFERROR(LOOKUP(Предпосылки!$H$207,$C$13:$C$15,AC$13:AC$15),1)</f>
        <v>0</v>
      </c>
      <c s="125">
        <f>Предпосылки!AC$234*Предпосылки!$J259*Продажи!AD24*AD$19*(1+Чувствительность!$D$20)*IFERROR(LOOKUP(Предпосылки!$H$207,$C$13:$C$15,AD$13:AD$15),1)</f>
        <v>0</v>
      </c>
      <c s="125">
        <f>Предпосылки!AD$234*Предпосылки!$J259*Продажи!AE24*AE$19*(1+Чувствительность!$D$20)*IFERROR(LOOKUP(Предпосылки!$H$207,$C$13:$C$15,AE$13:AE$15),1)</f>
        <v>0</v>
      </c>
      <c s="125">
        <f>Предпосылки!AE$234*Предпосылки!$J259*Продажи!AF24*AF$19*(1+Чувствительность!$D$20)*IFERROR(LOOKUP(Предпосылки!$H$207,$C$13:$C$15,AF$13:AF$15),1)</f>
        <v>0</v>
      </c>
      <c s="125">
        <f>Предпосылки!AF$234*Предпосылки!$J259*Продажи!AG24*AG$19*(1+Чувствительность!$D$20)*IFERROR(LOOKUP(Предпосылки!$H$207,$C$13:$C$15,AG$13:AG$15),1)</f>
        <v>0</v>
      </c>
      <c s="125">
        <f>Предпосылки!AG$234*Предпосылки!$J259*Продажи!AH24*AH$19*(1+Чувствительность!$D$20)*IFERROR(LOOKUP(Предпосылки!$H$207,$C$13:$C$15,AH$13:AH$15),1)</f>
        <v>0</v>
      </c>
      <c s="125">
        <f>Предпосылки!AH$234*Предпосылки!$J259*Продажи!AI24*AI$19*(1+Чувствительность!$D$20)*IFERROR(LOOKUP(Предпосылки!$H$207,$C$13:$C$15,AI$13:AI$15),1)</f>
        <v>0</v>
      </c>
      <c s="125">
        <f>Предпосылки!AI$234*Предпосылки!$J259*Продажи!AJ24*AJ$19*(1+Чувствительность!$D$20)*IFERROR(LOOKUP(Предпосылки!$H$207,$C$13:$C$15,AJ$13:AJ$15),1)</f>
        <v>0</v>
      </c>
      <c s="125">
        <f>Предпосылки!AJ$234*Предпосылки!$J259*Продажи!AK24*AK$19*(1+Чувствительность!$D$20)*IFERROR(LOOKUP(Предпосылки!$H$207,$C$13:$C$15,AK$13:AK$15),1)</f>
        <v>0</v>
      </c>
      <c s="125">
        <f>Предпосылки!AK$234*Предпосылки!$J259*Продажи!AL24*AL$19*(1+Чувствительность!$D$20)*IFERROR(LOOKUP(Предпосылки!$H$207,$C$13:$C$15,AL$13:AL$15),1)</f>
        <v>0</v>
      </c>
      <c s="125">
        <f>Предпосылки!AL$234*Предпосылки!$J259*Продажи!AM24*AM$19*(1+Чувствительность!$D$20)*IFERROR(LOOKUP(Предпосылки!$H$207,$C$13:$C$15,AM$13:AM$15),1)</f>
        <v>0</v>
      </c>
      <c s="125">
        <f>Предпосылки!AM$234*Предпосылки!$J259*Продажи!AN24*AN$19*(1+Чувствительность!$D$20)*IFERROR(LOOKUP(Предпосылки!$H$207,$C$13:$C$15,AN$13:AN$15),1)</f>
        <v>0</v>
      </c>
      <c s="125">
        <f>Предпосылки!AN$234*Предпосылки!$J259*Продажи!AO24*AO$19*(1+Чувствительность!$D$20)*IFERROR(LOOKUP(Предпосылки!$H$207,$C$13:$C$15,AO$13:AO$15),1)</f>
        <v>0</v>
      </c>
      <c s="125">
        <f>Предпосылки!AO$234*Предпосылки!$J259*Продажи!AP24*AP$19*(1+Чувствительность!$D$20)*IFERROR(LOOKUP(Предпосылки!$H$207,$C$13:$C$15,AP$13:AP$15),1)</f>
        <v>0</v>
      </c>
      <c s="125">
        <f>Предпосылки!AP$234*Предпосылки!$J259*Продажи!AQ24*AQ$19*(1+Чувствительность!$D$20)*IFERROR(LOOKUP(Предпосылки!$H$207,$C$13:$C$15,AQ$13:AQ$15),1)</f>
        <v>0</v>
      </c>
      <c s="125">
        <f>Предпосылки!AQ$234*Предпосылки!$J259*Продажи!AR24*AR$19*(1+Чувствительность!$D$20)*IFERROR(LOOKUP(Предпосылки!$H$207,$C$13:$C$15,AR$13:AR$15),1)</f>
        <v>0</v>
      </c>
      <c s="125">
        <f>Предпосылки!AR$234*Предпосылки!$J259*Продажи!AS24*AS$19*(1+Чувствительность!$D$20)*IFERROR(LOOKUP(Предпосылки!$H$207,$C$13:$C$15,AS$13:AS$15),1)</f>
        <v>0</v>
      </c>
      <c s="125">
        <f>Предпосылки!AS$234*Предпосылки!$J259*Продажи!AT24*AT$19*(1+Чувствительность!$D$20)*IFERROR(LOOKUP(Предпосылки!$H$207,$C$13:$C$15,AT$13:AT$15),1)</f>
        <v>0</v>
      </c>
      <c s="125">
        <f>Предпосылки!AT$234*Предпосылки!$J259*Продажи!AU24*AU$19*(1+Чувствительность!$D$20)*IFERROR(LOOKUP(Предпосылки!$H$207,$C$13:$C$15,AU$13:AU$15),1)</f>
        <v>0</v>
      </c>
      <c s="125">
        <f>Предпосылки!AU$234*Предпосылки!$J259*Продажи!AV24*AV$19*(1+Чувствительность!$D$20)*IFERROR(LOOKUP(Предпосылки!$H$207,$C$13:$C$15,AV$13:AV$15),1)</f>
        <v>0</v>
      </c>
      <c s="125">
        <f>Предпосылки!AV$234*Предпосылки!$J259*Продажи!AW24*AW$19*(1+Чувствительность!$D$20)*IFERROR(LOOKUP(Предпосылки!$H$207,$C$13:$C$15,AW$13:AW$15),1)</f>
        <v>0</v>
      </c>
      <c s="125">
        <f>Предпосылки!AW$234*Предпосылки!$J259*Продажи!AX24*AX$19*(1+Чувствительность!$D$20)*IFERROR(LOOKUP(Предпосылки!$H$207,$C$13:$C$15,AX$13:AX$15),1)</f>
        <v>0</v>
      </c>
      <c s="125">
        <f>Предпосылки!AX$234*Предпосылки!$J259*Продажи!AY24*AY$19*(1+Чувствительность!$D$20)*IFERROR(LOOKUP(Предпосылки!$H$207,$C$13:$C$15,AY$13:AY$15),1)</f>
        <v>0</v>
      </c>
      <c s="125">
        <f>Предпосылки!AY$234*Предпосылки!$J259*Продажи!AZ24*AZ$19*(1+Чувствительность!$D$20)*IFERROR(LOOKUP(Предпосылки!$H$207,$C$13:$C$15,AZ$13:AZ$15),1)</f>
        <v>0</v>
      </c>
      <c s="125">
        <f>Предпосылки!AZ$234*Предпосылки!$J259*Продажи!BA24*BA$19*(1+Чувствительность!$D$20)*IFERROR(LOOKUP(Предпосылки!$H$207,$C$13:$C$15,BA$13:BA$15),1)</f>
        <v>0</v>
      </c>
      <c s="125">
        <f>Предпосылки!BA$234*Предпосылки!$J259*Продажи!BB24*BB$19*(1+Чувствительность!$D$20)*IFERROR(LOOKUP(Предпосылки!$H$207,$C$13:$C$15,BB$13:BB$15),1)</f>
        <v>0</v>
      </c>
      <c s="125">
        <f>Предпосылки!BB$234*Предпосылки!$J259*Продажи!BC24*BC$19*(1+Чувствительность!$D$20)*IFERROR(LOOKUP(Предпосылки!$H$207,$C$13:$C$15,BC$13:BC$15),1)</f>
        <v>0</v>
      </c>
      <c s="125">
        <f>Предпосылки!BC$234*Предпосылки!$J259*Продажи!BD24*BD$19*(1+Чувствительность!$D$20)*IFERROR(LOOKUP(Предпосылки!$H$207,$C$13:$C$15,BD$13:BD$15),1)</f>
        <v>0</v>
      </c>
      <c s="125">
        <f>Предпосылки!BD$234*Предпосылки!$J259*Продажи!BE24*BE$19*(1+Чувствительность!$D$20)*IFERROR(LOOKUP(Предпосылки!$H$207,$C$13:$C$15,BE$13:BE$15),1)</f>
        <v>0</v>
      </c>
      <c s="125">
        <f>Предпосылки!BE$234*Предпосылки!$J259*Продажи!BF24*BF$19*(1+Чувствительность!$D$20)*IFERROR(LOOKUP(Предпосылки!$H$207,$C$13:$C$15,BF$13:BF$15),1)</f>
        <v>0</v>
      </c>
      <c s="125">
        <f>Предпосылки!BF$234*Предпосылки!$J259*Продажи!BG24*BG$19*(1+Чувствительность!$D$20)*IFERROR(LOOKUP(Предпосылки!$H$207,$C$13:$C$15,BG$13:BG$15),1)</f>
        <v>0</v>
      </c>
      <c s="125">
        <f>Предпосылки!BG$234*Предпосылки!$J259*Продажи!BH24*BH$19*(1+Чувствительность!$D$20)*IFERROR(LOOKUP(Предпосылки!$H$207,$C$13:$C$15,BH$13:BH$15),1)</f>
        <v>0</v>
      </c>
      <c s="125">
        <f>Предпосылки!BH$234*Предпосылки!$J259*Продажи!BI24*BI$19*(1+Чувствительность!$D$20)*IFERROR(LOOKUP(Предпосылки!$H$207,$C$13:$C$15,BI$13:BI$15),1)</f>
        <v>0</v>
      </c>
      <c s="125">
        <f>Предпосылки!BI$234*Предпосылки!$J259*Продажи!BJ24*BJ$19*(1+Чувствительность!$D$20)*IFERROR(LOOKUP(Предпосылки!$H$207,$C$13:$C$15,BJ$13:BJ$15),1)</f>
        <v>0</v>
      </c>
      <c s="125">
        <f>Предпосылки!BJ$234*Предпосылки!$J259*Продажи!BK24*BK$19*(1+Чувствительность!$D$20)*IFERROR(LOOKUP(Предпосылки!$H$207,$C$13:$C$15,BK$13:BK$15),1)</f>
        <v>0</v>
      </c>
      <c s="125">
        <f>Предпосылки!BK$234*Предпосылки!$J259*Продажи!BL24*BL$19*(1+Чувствительность!$D$20)*IFERROR(LOOKUP(Предпосылки!$H$207,$C$13:$C$15,BL$13:BL$15),1)</f>
        <v>0</v>
      </c>
      <c s="125">
        <f>Предпосылки!BL$234*Предпосылки!$J259*Продажи!BM24*BM$19*(1+Чувствительность!$D$20)*IFERROR(LOOKUP(Предпосылки!$H$207,$C$13:$C$15,BM$13:BM$15),1)</f>
        <v>0</v>
      </c>
    </row>
    <row r="168" spans="2:65" ht="15" customHeight="1">
      <c r="B168" s="12" t="str">
        <f t="shared" si="91"/>
        <v>Продукт 8</v>
      </c>
      <c s="124" t="str">
        <f t="shared" si="90"/>
        <v>тыс. руб.</v>
      </c>
      <c s="276">
        <f t="shared" si="92"/>
        <v>0</v>
      </c>
      <c s="125">
        <f>Предпосылки!D$234*Предпосылки!$J260*Продажи!E25*E$19*(1+Чувствительность!$D$20)*IFERROR(LOOKUP(Предпосылки!$H$207,$C$13:$C$15,E$13:E$15),1)</f>
        <v>0</v>
      </c>
      <c s="125">
        <f>Предпосылки!E$234*Предпосылки!$J260*Продажи!F25*F$19*(1+Чувствительность!$D$20)*IFERROR(LOOKUP(Предпосылки!$H$207,$C$13:$C$15,F$13:F$15),1)</f>
        <v>0</v>
      </c>
      <c s="125">
        <f>Предпосылки!F$234*Предпосылки!$J260*Продажи!G25*G$19*(1+Чувствительность!$D$20)*IFERROR(LOOKUP(Предпосылки!$H$207,$C$13:$C$15,G$13:G$15),1)</f>
        <v>0</v>
      </c>
      <c s="125">
        <f>Предпосылки!G$234*Предпосылки!$J260*Продажи!H25*H$19*(1+Чувствительность!$D$20)*IFERROR(LOOKUP(Предпосылки!$H$207,$C$13:$C$15,H$13:H$15),1)</f>
        <v>0</v>
      </c>
      <c s="125">
        <f>Предпосылки!H$234*Предпосылки!$J260*Продажи!I25*I$19*(1+Чувствительность!$D$20)*IFERROR(LOOKUP(Предпосылки!$H$207,$C$13:$C$15,I$13:I$15),1)</f>
        <v>0</v>
      </c>
      <c s="125">
        <f>Предпосылки!I$234*Предпосылки!$J260*Продажи!J25*J$19*(1+Чувствительность!$D$20)*IFERROR(LOOKUP(Предпосылки!$H$207,$C$13:$C$15,J$13:J$15),1)</f>
        <v>0</v>
      </c>
      <c s="125">
        <f>Предпосылки!J$234*Предпосылки!$J260*Продажи!K25*K$19*(1+Чувствительность!$D$20)*IFERROR(LOOKUP(Предпосылки!$H$207,$C$13:$C$15,K$13:K$15),1)</f>
        <v>0</v>
      </c>
      <c s="125">
        <f>Предпосылки!K$234*Предпосылки!$J260*Продажи!L25*L$19*(1+Чувствительность!$D$20)*IFERROR(LOOKUP(Предпосылки!$H$207,$C$13:$C$15,L$13:L$15),1)</f>
        <v>0</v>
      </c>
      <c s="125">
        <f>Предпосылки!L$234*Предпосылки!$J260*Продажи!M25*M$19*(1+Чувствительность!$D$20)*IFERROR(LOOKUP(Предпосылки!$H$207,$C$13:$C$15,M$13:M$15),1)</f>
        <v>0</v>
      </c>
      <c s="125">
        <f>Предпосылки!M$234*Предпосылки!$J260*Продажи!N25*N$19*(1+Чувствительность!$D$20)*IFERROR(LOOKUP(Предпосылки!$H$207,$C$13:$C$15,N$13:N$15),1)</f>
        <v>0</v>
      </c>
      <c s="125">
        <f>Предпосылки!N$234*Предпосылки!$J260*Продажи!O25*O$19*(1+Чувствительность!$D$20)*IFERROR(LOOKUP(Предпосылки!$H$207,$C$13:$C$15,O$13:O$15),1)</f>
        <v>0</v>
      </c>
      <c s="125">
        <f>Предпосылки!O$234*Предпосылки!$J260*Продажи!P25*P$19*(1+Чувствительность!$D$20)*IFERROR(LOOKUP(Предпосылки!$H$207,$C$13:$C$15,P$13:P$15),1)</f>
        <v>0</v>
      </c>
      <c s="125">
        <f>Предпосылки!P$234*Предпосылки!$J260*Продажи!Q25*Q$19*(1+Чувствительность!$D$20)*IFERROR(LOOKUP(Предпосылки!$H$207,$C$13:$C$15,Q$13:Q$15),1)</f>
        <v>0</v>
      </c>
      <c s="125">
        <f>Предпосылки!Q$234*Предпосылки!$J260*Продажи!R25*R$19*(1+Чувствительность!$D$20)*IFERROR(LOOKUP(Предпосылки!$H$207,$C$13:$C$15,R$13:R$15),1)</f>
        <v>0</v>
      </c>
      <c s="125">
        <f>Предпосылки!R$234*Предпосылки!$J260*Продажи!S25*S$19*(1+Чувствительность!$D$20)*IFERROR(LOOKUP(Предпосылки!$H$207,$C$13:$C$15,S$13:S$15),1)</f>
        <v>0</v>
      </c>
      <c s="125">
        <f>Предпосылки!S$234*Предпосылки!$J260*Продажи!T25*T$19*(1+Чувствительность!$D$20)*IFERROR(LOOKUP(Предпосылки!$H$207,$C$13:$C$15,T$13:T$15),1)</f>
        <v>0</v>
      </c>
      <c s="125">
        <f>Предпосылки!T$234*Предпосылки!$J260*Продажи!U25*U$19*(1+Чувствительность!$D$20)*IFERROR(LOOKUP(Предпосылки!$H$207,$C$13:$C$15,U$13:U$15),1)</f>
        <v>0</v>
      </c>
      <c s="125">
        <f>Предпосылки!U$234*Предпосылки!$J260*Продажи!V25*V$19*(1+Чувствительность!$D$20)*IFERROR(LOOKUP(Предпосылки!$H$207,$C$13:$C$15,V$13:V$15),1)</f>
        <v>0</v>
      </c>
      <c s="125">
        <f>Предпосылки!V$234*Предпосылки!$J260*Продажи!W25*W$19*(1+Чувствительность!$D$20)*IFERROR(LOOKUP(Предпосылки!$H$207,$C$13:$C$15,W$13:W$15),1)</f>
        <v>0</v>
      </c>
      <c s="125">
        <f>Предпосылки!W$234*Предпосылки!$J260*Продажи!X25*X$19*(1+Чувствительность!$D$20)*IFERROR(LOOKUP(Предпосылки!$H$207,$C$13:$C$15,X$13:X$15),1)</f>
        <v>0</v>
      </c>
      <c s="125">
        <f>Предпосылки!X$234*Предпосылки!$J260*Продажи!Y25*Y$19*(1+Чувствительность!$D$20)*IFERROR(LOOKUP(Предпосылки!$H$207,$C$13:$C$15,Y$13:Y$15),1)</f>
        <v>0</v>
      </c>
      <c s="125">
        <f>Предпосылки!Y$234*Предпосылки!$J260*Продажи!Z25*Z$19*(1+Чувствительность!$D$20)*IFERROR(LOOKUP(Предпосылки!$H$207,$C$13:$C$15,Z$13:Z$15),1)</f>
        <v>0</v>
      </c>
      <c s="125">
        <f>Предпосылки!Z$234*Предпосылки!$J260*Продажи!AA25*AA$19*(1+Чувствительность!$D$20)*IFERROR(LOOKUP(Предпосылки!$H$207,$C$13:$C$15,AA$13:AA$15),1)</f>
        <v>0</v>
      </c>
      <c s="125">
        <f>Предпосылки!AA$234*Предпосылки!$J260*Продажи!AB25*AB$19*(1+Чувствительность!$D$20)*IFERROR(LOOKUP(Предпосылки!$H$207,$C$13:$C$15,AB$13:AB$15),1)</f>
        <v>0</v>
      </c>
      <c s="125">
        <f>Предпосылки!AB$234*Предпосылки!$J260*Продажи!AC25*AC$19*(1+Чувствительность!$D$20)*IFERROR(LOOKUP(Предпосылки!$H$207,$C$13:$C$15,AC$13:AC$15),1)</f>
        <v>0</v>
      </c>
      <c s="125">
        <f>Предпосылки!AC$234*Предпосылки!$J260*Продажи!AD25*AD$19*(1+Чувствительность!$D$20)*IFERROR(LOOKUP(Предпосылки!$H$207,$C$13:$C$15,AD$13:AD$15),1)</f>
        <v>0</v>
      </c>
      <c s="125">
        <f>Предпосылки!AD$234*Предпосылки!$J260*Продажи!AE25*AE$19*(1+Чувствительность!$D$20)*IFERROR(LOOKUP(Предпосылки!$H$207,$C$13:$C$15,AE$13:AE$15),1)</f>
        <v>0</v>
      </c>
      <c s="125">
        <f>Предпосылки!AE$234*Предпосылки!$J260*Продажи!AF25*AF$19*(1+Чувствительность!$D$20)*IFERROR(LOOKUP(Предпосылки!$H$207,$C$13:$C$15,AF$13:AF$15),1)</f>
        <v>0</v>
      </c>
      <c s="125">
        <f>Предпосылки!AF$234*Предпосылки!$J260*Продажи!AG25*AG$19*(1+Чувствительность!$D$20)*IFERROR(LOOKUP(Предпосылки!$H$207,$C$13:$C$15,AG$13:AG$15),1)</f>
        <v>0</v>
      </c>
      <c s="125">
        <f>Предпосылки!AG$234*Предпосылки!$J260*Продажи!AH25*AH$19*(1+Чувствительность!$D$20)*IFERROR(LOOKUP(Предпосылки!$H$207,$C$13:$C$15,AH$13:AH$15),1)</f>
        <v>0</v>
      </c>
      <c s="125">
        <f>Предпосылки!AH$234*Предпосылки!$J260*Продажи!AI25*AI$19*(1+Чувствительность!$D$20)*IFERROR(LOOKUP(Предпосылки!$H$207,$C$13:$C$15,AI$13:AI$15),1)</f>
        <v>0</v>
      </c>
      <c s="125">
        <f>Предпосылки!AI$234*Предпосылки!$J260*Продажи!AJ25*AJ$19*(1+Чувствительность!$D$20)*IFERROR(LOOKUP(Предпосылки!$H$207,$C$13:$C$15,AJ$13:AJ$15),1)</f>
        <v>0</v>
      </c>
      <c s="125">
        <f>Предпосылки!AJ$234*Предпосылки!$J260*Продажи!AK25*AK$19*(1+Чувствительность!$D$20)*IFERROR(LOOKUP(Предпосылки!$H$207,$C$13:$C$15,AK$13:AK$15),1)</f>
        <v>0</v>
      </c>
      <c s="125">
        <f>Предпосылки!AK$234*Предпосылки!$J260*Продажи!AL25*AL$19*(1+Чувствительность!$D$20)*IFERROR(LOOKUP(Предпосылки!$H$207,$C$13:$C$15,AL$13:AL$15),1)</f>
        <v>0</v>
      </c>
      <c s="125">
        <f>Предпосылки!AL$234*Предпосылки!$J260*Продажи!AM25*AM$19*(1+Чувствительность!$D$20)*IFERROR(LOOKUP(Предпосылки!$H$207,$C$13:$C$15,AM$13:AM$15),1)</f>
        <v>0</v>
      </c>
      <c s="125">
        <f>Предпосылки!AM$234*Предпосылки!$J260*Продажи!AN25*AN$19*(1+Чувствительность!$D$20)*IFERROR(LOOKUP(Предпосылки!$H$207,$C$13:$C$15,AN$13:AN$15),1)</f>
        <v>0</v>
      </c>
      <c s="125">
        <f>Предпосылки!AN$234*Предпосылки!$J260*Продажи!AO25*AO$19*(1+Чувствительность!$D$20)*IFERROR(LOOKUP(Предпосылки!$H$207,$C$13:$C$15,AO$13:AO$15),1)</f>
        <v>0</v>
      </c>
      <c s="125">
        <f>Предпосылки!AO$234*Предпосылки!$J260*Продажи!AP25*AP$19*(1+Чувствительность!$D$20)*IFERROR(LOOKUP(Предпосылки!$H$207,$C$13:$C$15,AP$13:AP$15),1)</f>
        <v>0</v>
      </c>
      <c s="125">
        <f>Предпосылки!AP$234*Предпосылки!$J260*Продажи!AQ25*AQ$19*(1+Чувствительность!$D$20)*IFERROR(LOOKUP(Предпосылки!$H$207,$C$13:$C$15,AQ$13:AQ$15),1)</f>
        <v>0</v>
      </c>
      <c s="125">
        <f>Предпосылки!AQ$234*Предпосылки!$J260*Продажи!AR25*AR$19*(1+Чувствительность!$D$20)*IFERROR(LOOKUP(Предпосылки!$H$207,$C$13:$C$15,AR$13:AR$15),1)</f>
        <v>0</v>
      </c>
      <c s="125">
        <f>Предпосылки!AR$234*Предпосылки!$J260*Продажи!AS25*AS$19*(1+Чувствительность!$D$20)*IFERROR(LOOKUP(Предпосылки!$H$207,$C$13:$C$15,AS$13:AS$15),1)</f>
        <v>0</v>
      </c>
      <c s="125">
        <f>Предпосылки!AS$234*Предпосылки!$J260*Продажи!AT25*AT$19*(1+Чувствительность!$D$20)*IFERROR(LOOKUP(Предпосылки!$H$207,$C$13:$C$15,AT$13:AT$15),1)</f>
        <v>0</v>
      </c>
      <c s="125">
        <f>Предпосылки!AT$234*Предпосылки!$J260*Продажи!AU25*AU$19*(1+Чувствительность!$D$20)*IFERROR(LOOKUP(Предпосылки!$H$207,$C$13:$C$15,AU$13:AU$15),1)</f>
        <v>0</v>
      </c>
      <c s="125">
        <f>Предпосылки!AU$234*Предпосылки!$J260*Продажи!AV25*AV$19*(1+Чувствительность!$D$20)*IFERROR(LOOKUP(Предпосылки!$H$207,$C$13:$C$15,AV$13:AV$15),1)</f>
        <v>0</v>
      </c>
      <c s="125">
        <f>Предпосылки!AV$234*Предпосылки!$J260*Продажи!AW25*AW$19*(1+Чувствительность!$D$20)*IFERROR(LOOKUP(Предпосылки!$H$207,$C$13:$C$15,AW$13:AW$15),1)</f>
        <v>0</v>
      </c>
      <c s="125">
        <f>Предпосылки!AW$234*Предпосылки!$J260*Продажи!AX25*AX$19*(1+Чувствительность!$D$20)*IFERROR(LOOKUP(Предпосылки!$H$207,$C$13:$C$15,AX$13:AX$15),1)</f>
        <v>0</v>
      </c>
      <c s="125">
        <f>Предпосылки!AX$234*Предпосылки!$J260*Продажи!AY25*AY$19*(1+Чувствительность!$D$20)*IFERROR(LOOKUP(Предпосылки!$H$207,$C$13:$C$15,AY$13:AY$15),1)</f>
        <v>0</v>
      </c>
      <c s="125">
        <f>Предпосылки!AY$234*Предпосылки!$J260*Продажи!AZ25*AZ$19*(1+Чувствительность!$D$20)*IFERROR(LOOKUP(Предпосылки!$H$207,$C$13:$C$15,AZ$13:AZ$15),1)</f>
        <v>0</v>
      </c>
      <c s="125">
        <f>Предпосылки!AZ$234*Предпосылки!$J260*Продажи!BA25*BA$19*(1+Чувствительность!$D$20)*IFERROR(LOOKUP(Предпосылки!$H$207,$C$13:$C$15,BA$13:BA$15),1)</f>
        <v>0</v>
      </c>
      <c s="125">
        <f>Предпосылки!BA$234*Предпосылки!$J260*Продажи!BB25*BB$19*(1+Чувствительность!$D$20)*IFERROR(LOOKUP(Предпосылки!$H$207,$C$13:$C$15,BB$13:BB$15),1)</f>
        <v>0</v>
      </c>
      <c s="125">
        <f>Предпосылки!BB$234*Предпосылки!$J260*Продажи!BC25*BC$19*(1+Чувствительность!$D$20)*IFERROR(LOOKUP(Предпосылки!$H$207,$C$13:$C$15,BC$13:BC$15),1)</f>
        <v>0</v>
      </c>
      <c s="125">
        <f>Предпосылки!BC$234*Предпосылки!$J260*Продажи!BD25*BD$19*(1+Чувствительность!$D$20)*IFERROR(LOOKUP(Предпосылки!$H$207,$C$13:$C$15,BD$13:BD$15),1)</f>
        <v>0</v>
      </c>
      <c s="125">
        <f>Предпосылки!BD$234*Предпосылки!$J260*Продажи!BE25*BE$19*(1+Чувствительность!$D$20)*IFERROR(LOOKUP(Предпосылки!$H$207,$C$13:$C$15,BE$13:BE$15),1)</f>
        <v>0</v>
      </c>
      <c s="125">
        <f>Предпосылки!BE$234*Предпосылки!$J260*Продажи!BF25*BF$19*(1+Чувствительность!$D$20)*IFERROR(LOOKUP(Предпосылки!$H$207,$C$13:$C$15,BF$13:BF$15),1)</f>
        <v>0</v>
      </c>
      <c s="125">
        <f>Предпосылки!BF$234*Предпосылки!$J260*Продажи!BG25*BG$19*(1+Чувствительность!$D$20)*IFERROR(LOOKUP(Предпосылки!$H$207,$C$13:$C$15,BG$13:BG$15),1)</f>
        <v>0</v>
      </c>
      <c s="125">
        <f>Предпосылки!BG$234*Предпосылки!$J260*Продажи!BH25*BH$19*(1+Чувствительность!$D$20)*IFERROR(LOOKUP(Предпосылки!$H$207,$C$13:$C$15,BH$13:BH$15),1)</f>
        <v>0</v>
      </c>
      <c s="125">
        <f>Предпосылки!BH$234*Предпосылки!$J260*Продажи!BI25*BI$19*(1+Чувствительность!$D$20)*IFERROR(LOOKUP(Предпосылки!$H$207,$C$13:$C$15,BI$13:BI$15),1)</f>
        <v>0</v>
      </c>
      <c s="125">
        <f>Предпосылки!BI$234*Предпосылки!$J260*Продажи!BJ25*BJ$19*(1+Чувствительность!$D$20)*IFERROR(LOOKUP(Предпосылки!$H$207,$C$13:$C$15,BJ$13:BJ$15),1)</f>
        <v>0</v>
      </c>
      <c s="125">
        <f>Предпосылки!BJ$234*Предпосылки!$J260*Продажи!BK25*BK$19*(1+Чувствительность!$D$20)*IFERROR(LOOKUP(Предпосылки!$H$207,$C$13:$C$15,BK$13:BK$15),1)</f>
        <v>0</v>
      </c>
      <c s="125">
        <f>Предпосылки!BK$234*Предпосылки!$J260*Продажи!BL25*BL$19*(1+Чувствительность!$D$20)*IFERROR(LOOKUP(Предпосылки!$H$207,$C$13:$C$15,BL$13:BL$15),1)</f>
        <v>0</v>
      </c>
      <c s="125">
        <f>Предпосылки!BL$234*Предпосылки!$J260*Продажи!BM25*BM$19*(1+Чувствительность!$D$20)*IFERROR(LOOKUP(Предпосылки!$H$207,$C$13:$C$15,BM$13:BM$15),1)</f>
        <v>0</v>
      </c>
    </row>
    <row r="169" spans="2:65" ht="15" customHeight="1">
      <c r="B169" s="12" t="str">
        <f t="shared" si="91"/>
        <v>Продукт 9</v>
      </c>
      <c s="124" t="str">
        <f t="shared" si="90"/>
        <v>тыс. руб.</v>
      </c>
      <c s="276">
        <f t="shared" si="92"/>
        <v>0</v>
      </c>
      <c s="125">
        <f>Предпосылки!D$234*Предпосылки!$J261*Продажи!E26*E$19*(1+Чувствительность!$D$20)*IFERROR(LOOKUP(Предпосылки!$H$207,$C$13:$C$15,E$13:E$15),1)</f>
        <v>0</v>
      </c>
      <c s="125">
        <f>Предпосылки!E$234*Предпосылки!$J261*Продажи!F26*F$19*(1+Чувствительность!$D$20)*IFERROR(LOOKUP(Предпосылки!$H$207,$C$13:$C$15,F$13:F$15),1)</f>
        <v>0</v>
      </c>
      <c s="125">
        <f>Предпосылки!F$234*Предпосылки!$J261*Продажи!G26*G$19*(1+Чувствительность!$D$20)*IFERROR(LOOKUP(Предпосылки!$H$207,$C$13:$C$15,G$13:G$15),1)</f>
        <v>0</v>
      </c>
      <c s="125">
        <f>Предпосылки!G$234*Предпосылки!$J261*Продажи!H26*H$19*(1+Чувствительность!$D$20)*IFERROR(LOOKUP(Предпосылки!$H$207,$C$13:$C$15,H$13:H$15),1)</f>
        <v>0</v>
      </c>
      <c s="125">
        <f>Предпосылки!H$234*Предпосылки!$J261*Продажи!I26*I$19*(1+Чувствительность!$D$20)*IFERROR(LOOKUP(Предпосылки!$H$207,$C$13:$C$15,I$13:I$15),1)</f>
        <v>0</v>
      </c>
      <c s="125">
        <f>Предпосылки!I$234*Предпосылки!$J261*Продажи!J26*J$19*(1+Чувствительность!$D$20)*IFERROR(LOOKUP(Предпосылки!$H$207,$C$13:$C$15,J$13:J$15),1)</f>
        <v>0</v>
      </c>
      <c s="125">
        <f>Предпосылки!J$234*Предпосылки!$J261*Продажи!K26*K$19*(1+Чувствительность!$D$20)*IFERROR(LOOKUP(Предпосылки!$H$207,$C$13:$C$15,K$13:K$15),1)</f>
        <v>0</v>
      </c>
      <c s="125">
        <f>Предпосылки!K$234*Предпосылки!$J261*Продажи!L26*L$19*(1+Чувствительность!$D$20)*IFERROR(LOOKUP(Предпосылки!$H$207,$C$13:$C$15,L$13:L$15),1)</f>
        <v>0</v>
      </c>
      <c s="125">
        <f>Предпосылки!L$234*Предпосылки!$J261*Продажи!M26*M$19*(1+Чувствительность!$D$20)*IFERROR(LOOKUP(Предпосылки!$H$207,$C$13:$C$15,M$13:M$15),1)</f>
        <v>0</v>
      </c>
      <c s="125">
        <f>Предпосылки!M$234*Предпосылки!$J261*Продажи!N26*N$19*(1+Чувствительность!$D$20)*IFERROR(LOOKUP(Предпосылки!$H$207,$C$13:$C$15,N$13:N$15),1)</f>
        <v>0</v>
      </c>
      <c s="125">
        <f>Предпосылки!N$234*Предпосылки!$J261*Продажи!O26*O$19*(1+Чувствительность!$D$20)*IFERROR(LOOKUP(Предпосылки!$H$207,$C$13:$C$15,O$13:O$15),1)</f>
        <v>0</v>
      </c>
      <c s="125">
        <f>Предпосылки!O$234*Предпосылки!$J261*Продажи!P26*P$19*(1+Чувствительность!$D$20)*IFERROR(LOOKUP(Предпосылки!$H$207,$C$13:$C$15,P$13:P$15),1)</f>
        <v>0</v>
      </c>
      <c s="125">
        <f>Предпосылки!P$234*Предпосылки!$J261*Продажи!Q26*Q$19*(1+Чувствительность!$D$20)*IFERROR(LOOKUP(Предпосылки!$H$207,$C$13:$C$15,Q$13:Q$15),1)</f>
        <v>0</v>
      </c>
      <c s="125">
        <f>Предпосылки!Q$234*Предпосылки!$J261*Продажи!R26*R$19*(1+Чувствительность!$D$20)*IFERROR(LOOKUP(Предпосылки!$H$207,$C$13:$C$15,R$13:R$15),1)</f>
        <v>0</v>
      </c>
      <c s="125">
        <f>Предпосылки!R$234*Предпосылки!$J261*Продажи!S26*S$19*(1+Чувствительность!$D$20)*IFERROR(LOOKUP(Предпосылки!$H$207,$C$13:$C$15,S$13:S$15),1)</f>
        <v>0</v>
      </c>
      <c s="125">
        <f>Предпосылки!S$234*Предпосылки!$J261*Продажи!T26*T$19*(1+Чувствительность!$D$20)*IFERROR(LOOKUP(Предпосылки!$H$207,$C$13:$C$15,T$13:T$15),1)</f>
        <v>0</v>
      </c>
      <c s="125">
        <f>Предпосылки!T$234*Предпосылки!$J261*Продажи!U26*U$19*(1+Чувствительность!$D$20)*IFERROR(LOOKUP(Предпосылки!$H$207,$C$13:$C$15,U$13:U$15),1)</f>
        <v>0</v>
      </c>
      <c s="125">
        <f>Предпосылки!U$234*Предпосылки!$J261*Продажи!V26*V$19*(1+Чувствительность!$D$20)*IFERROR(LOOKUP(Предпосылки!$H$207,$C$13:$C$15,V$13:V$15),1)</f>
        <v>0</v>
      </c>
      <c s="125">
        <f>Предпосылки!V$234*Предпосылки!$J261*Продажи!W26*W$19*(1+Чувствительность!$D$20)*IFERROR(LOOKUP(Предпосылки!$H$207,$C$13:$C$15,W$13:W$15),1)</f>
        <v>0</v>
      </c>
      <c s="125">
        <f>Предпосылки!W$234*Предпосылки!$J261*Продажи!X26*X$19*(1+Чувствительность!$D$20)*IFERROR(LOOKUP(Предпосылки!$H$207,$C$13:$C$15,X$13:X$15),1)</f>
        <v>0</v>
      </c>
      <c s="125">
        <f>Предпосылки!X$234*Предпосылки!$J261*Продажи!Y26*Y$19*(1+Чувствительность!$D$20)*IFERROR(LOOKUP(Предпосылки!$H$207,$C$13:$C$15,Y$13:Y$15),1)</f>
        <v>0</v>
      </c>
      <c s="125">
        <f>Предпосылки!Y$234*Предпосылки!$J261*Продажи!Z26*Z$19*(1+Чувствительность!$D$20)*IFERROR(LOOKUP(Предпосылки!$H$207,$C$13:$C$15,Z$13:Z$15),1)</f>
        <v>0</v>
      </c>
      <c s="125">
        <f>Предпосылки!Z$234*Предпосылки!$J261*Продажи!AA26*AA$19*(1+Чувствительность!$D$20)*IFERROR(LOOKUP(Предпосылки!$H$207,$C$13:$C$15,AA$13:AA$15),1)</f>
        <v>0</v>
      </c>
      <c s="125">
        <f>Предпосылки!AA$234*Предпосылки!$J261*Продажи!AB26*AB$19*(1+Чувствительность!$D$20)*IFERROR(LOOKUP(Предпосылки!$H$207,$C$13:$C$15,AB$13:AB$15),1)</f>
        <v>0</v>
      </c>
      <c s="125">
        <f>Предпосылки!AB$234*Предпосылки!$J261*Продажи!AC26*AC$19*(1+Чувствительность!$D$20)*IFERROR(LOOKUP(Предпосылки!$H$207,$C$13:$C$15,AC$13:AC$15),1)</f>
        <v>0</v>
      </c>
      <c s="125">
        <f>Предпосылки!AC$234*Предпосылки!$J261*Продажи!AD26*AD$19*(1+Чувствительность!$D$20)*IFERROR(LOOKUP(Предпосылки!$H$207,$C$13:$C$15,AD$13:AD$15),1)</f>
        <v>0</v>
      </c>
      <c s="125">
        <f>Предпосылки!AD$234*Предпосылки!$J261*Продажи!AE26*AE$19*(1+Чувствительность!$D$20)*IFERROR(LOOKUP(Предпосылки!$H$207,$C$13:$C$15,AE$13:AE$15),1)</f>
        <v>0</v>
      </c>
      <c s="125">
        <f>Предпосылки!AE$234*Предпосылки!$J261*Продажи!AF26*AF$19*(1+Чувствительность!$D$20)*IFERROR(LOOKUP(Предпосылки!$H$207,$C$13:$C$15,AF$13:AF$15),1)</f>
        <v>0</v>
      </c>
      <c s="125">
        <f>Предпосылки!AF$234*Предпосылки!$J261*Продажи!AG26*AG$19*(1+Чувствительность!$D$20)*IFERROR(LOOKUP(Предпосылки!$H$207,$C$13:$C$15,AG$13:AG$15),1)</f>
        <v>0</v>
      </c>
      <c s="125">
        <f>Предпосылки!AG$234*Предпосылки!$J261*Продажи!AH26*AH$19*(1+Чувствительность!$D$20)*IFERROR(LOOKUP(Предпосылки!$H$207,$C$13:$C$15,AH$13:AH$15),1)</f>
        <v>0</v>
      </c>
      <c s="125">
        <f>Предпосылки!AH$234*Предпосылки!$J261*Продажи!AI26*AI$19*(1+Чувствительность!$D$20)*IFERROR(LOOKUP(Предпосылки!$H$207,$C$13:$C$15,AI$13:AI$15),1)</f>
        <v>0</v>
      </c>
      <c s="125">
        <f>Предпосылки!AI$234*Предпосылки!$J261*Продажи!AJ26*AJ$19*(1+Чувствительность!$D$20)*IFERROR(LOOKUP(Предпосылки!$H$207,$C$13:$C$15,AJ$13:AJ$15),1)</f>
        <v>0</v>
      </c>
      <c s="125">
        <f>Предпосылки!AJ$234*Предпосылки!$J261*Продажи!AK26*AK$19*(1+Чувствительность!$D$20)*IFERROR(LOOKUP(Предпосылки!$H$207,$C$13:$C$15,AK$13:AK$15),1)</f>
        <v>0</v>
      </c>
      <c s="125">
        <f>Предпосылки!AK$234*Предпосылки!$J261*Продажи!AL26*AL$19*(1+Чувствительность!$D$20)*IFERROR(LOOKUP(Предпосылки!$H$207,$C$13:$C$15,AL$13:AL$15),1)</f>
        <v>0</v>
      </c>
      <c s="125">
        <f>Предпосылки!AL$234*Предпосылки!$J261*Продажи!AM26*AM$19*(1+Чувствительность!$D$20)*IFERROR(LOOKUP(Предпосылки!$H$207,$C$13:$C$15,AM$13:AM$15),1)</f>
        <v>0</v>
      </c>
      <c s="125">
        <f>Предпосылки!AM$234*Предпосылки!$J261*Продажи!AN26*AN$19*(1+Чувствительность!$D$20)*IFERROR(LOOKUP(Предпосылки!$H$207,$C$13:$C$15,AN$13:AN$15),1)</f>
        <v>0</v>
      </c>
      <c s="125">
        <f>Предпосылки!AN$234*Предпосылки!$J261*Продажи!AO26*AO$19*(1+Чувствительность!$D$20)*IFERROR(LOOKUP(Предпосылки!$H$207,$C$13:$C$15,AO$13:AO$15),1)</f>
        <v>0</v>
      </c>
      <c s="125">
        <f>Предпосылки!AO$234*Предпосылки!$J261*Продажи!AP26*AP$19*(1+Чувствительность!$D$20)*IFERROR(LOOKUP(Предпосылки!$H$207,$C$13:$C$15,AP$13:AP$15),1)</f>
        <v>0</v>
      </c>
      <c s="125">
        <f>Предпосылки!AP$234*Предпосылки!$J261*Продажи!AQ26*AQ$19*(1+Чувствительность!$D$20)*IFERROR(LOOKUP(Предпосылки!$H$207,$C$13:$C$15,AQ$13:AQ$15),1)</f>
        <v>0</v>
      </c>
      <c s="125">
        <f>Предпосылки!AQ$234*Предпосылки!$J261*Продажи!AR26*AR$19*(1+Чувствительность!$D$20)*IFERROR(LOOKUP(Предпосылки!$H$207,$C$13:$C$15,AR$13:AR$15),1)</f>
        <v>0</v>
      </c>
      <c s="125">
        <f>Предпосылки!AR$234*Предпосылки!$J261*Продажи!AS26*AS$19*(1+Чувствительность!$D$20)*IFERROR(LOOKUP(Предпосылки!$H$207,$C$13:$C$15,AS$13:AS$15),1)</f>
        <v>0</v>
      </c>
      <c s="125">
        <f>Предпосылки!AS$234*Предпосылки!$J261*Продажи!AT26*AT$19*(1+Чувствительность!$D$20)*IFERROR(LOOKUP(Предпосылки!$H$207,$C$13:$C$15,AT$13:AT$15),1)</f>
        <v>0</v>
      </c>
      <c s="125">
        <f>Предпосылки!AT$234*Предпосылки!$J261*Продажи!AU26*AU$19*(1+Чувствительность!$D$20)*IFERROR(LOOKUP(Предпосылки!$H$207,$C$13:$C$15,AU$13:AU$15),1)</f>
        <v>0</v>
      </c>
      <c s="125">
        <f>Предпосылки!AU$234*Предпосылки!$J261*Продажи!AV26*AV$19*(1+Чувствительность!$D$20)*IFERROR(LOOKUP(Предпосылки!$H$207,$C$13:$C$15,AV$13:AV$15),1)</f>
        <v>0</v>
      </c>
      <c s="125">
        <f>Предпосылки!AV$234*Предпосылки!$J261*Продажи!AW26*AW$19*(1+Чувствительность!$D$20)*IFERROR(LOOKUP(Предпосылки!$H$207,$C$13:$C$15,AW$13:AW$15),1)</f>
        <v>0</v>
      </c>
      <c s="125">
        <f>Предпосылки!AW$234*Предпосылки!$J261*Продажи!AX26*AX$19*(1+Чувствительность!$D$20)*IFERROR(LOOKUP(Предпосылки!$H$207,$C$13:$C$15,AX$13:AX$15),1)</f>
        <v>0</v>
      </c>
      <c s="125">
        <f>Предпосылки!AX$234*Предпосылки!$J261*Продажи!AY26*AY$19*(1+Чувствительность!$D$20)*IFERROR(LOOKUP(Предпосылки!$H$207,$C$13:$C$15,AY$13:AY$15),1)</f>
        <v>0</v>
      </c>
      <c s="125">
        <f>Предпосылки!AY$234*Предпосылки!$J261*Продажи!AZ26*AZ$19*(1+Чувствительность!$D$20)*IFERROR(LOOKUP(Предпосылки!$H$207,$C$13:$C$15,AZ$13:AZ$15),1)</f>
        <v>0</v>
      </c>
      <c s="125">
        <f>Предпосылки!AZ$234*Предпосылки!$J261*Продажи!BA26*BA$19*(1+Чувствительность!$D$20)*IFERROR(LOOKUP(Предпосылки!$H$207,$C$13:$C$15,BA$13:BA$15),1)</f>
        <v>0</v>
      </c>
      <c s="125">
        <f>Предпосылки!BA$234*Предпосылки!$J261*Продажи!BB26*BB$19*(1+Чувствительность!$D$20)*IFERROR(LOOKUP(Предпосылки!$H$207,$C$13:$C$15,BB$13:BB$15),1)</f>
        <v>0</v>
      </c>
      <c s="125">
        <f>Предпосылки!BB$234*Предпосылки!$J261*Продажи!BC26*BC$19*(1+Чувствительность!$D$20)*IFERROR(LOOKUP(Предпосылки!$H$207,$C$13:$C$15,BC$13:BC$15),1)</f>
        <v>0</v>
      </c>
      <c s="125">
        <f>Предпосылки!BC$234*Предпосылки!$J261*Продажи!BD26*BD$19*(1+Чувствительность!$D$20)*IFERROR(LOOKUP(Предпосылки!$H$207,$C$13:$C$15,BD$13:BD$15),1)</f>
        <v>0</v>
      </c>
      <c s="125">
        <f>Предпосылки!BD$234*Предпосылки!$J261*Продажи!BE26*BE$19*(1+Чувствительность!$D$20)*IFERROR(LOOKUP(Предпосылки!$H$207,$C$13:$C$15,BE$13:BE$15),1)</f>
        <v>0</v>
      </c>
      <c s="125">
        <f>Предпосылки!BE$234*Предпосылки!$J261*Продажи!BF26*BF$19*(1+Чувствительность!$D$20)*IFERROR(LOOKUP(Предпосылки!$H$207,$C$13:$C$15,BF$13:BF$15),1)</f>
        <v>0</v>
      </c>
      <c s="125">
        <f>Предпосылки!BF$234*Предпосылки!$J261*Продажи!BG26*BG$19*(1+Чувствительность!$D$20)*IFERROR(LOOKUP(Предпосылки!$H$207,$C$13:$C$15,BG$13:BG$15),1)</f>
        <v>0</v>
      </c>
      <c s="125">
        <f>Предпосылки!BG$234*Предпосылки!$J261*Продажи!BH26*BH$19*(1+Чувствительность!$D$20)*IFERROR(LOOKUP(Предпосылки!$H$207,$C$13:$C$15,BH$13:BH$15),1)</f>
        <v>0</v>
      </c>
      <c s="125">
        <f>Предпосылки!BH$234*Предпосылки!$J261*Продажи!BI26*BI$19*(1+Чувствительность!$D$20)*IFERROR(LOOKUP(Предпосылки!$H$207,$C$13:$C$15,BI$13:BI$15),1)</f>
        <v>0</v>
      </c>
      <c s="125">
        <f>Предпосылки!BI$234*Предпосылки!$J261*Продажи!BJ26*BJ$19*(1+Чувствительность!$D$20)*IFERROR(LOOKUP(Предпосылки!$H$207,$C$13:$C$15,BJ$13:BJ$15),1)</f>
        <v>0</v>
      </c>
      <c s="125">
        <f>Предпосылки!BJ$234*Предпосылки!$J261*Продажи!BK26*BK$19*(1+Чувствительность!$D$20)*IFERROR(LOOKUP(Предпосылки!$H$207,$C$13:$C$15,BK$13:BK$15),1)</f>
        <v>0</v>
      </c>
      <c s="125">
        <f>Предпосылки!BK$234*Предпосылки!$J261*Продажи!BL26*BL$19*(1+Чувствительность!$D$20)*IFERROR(LOOKUP(Предпосылки!$H$207,$C$13:$C$15,BL$13:BL$15),1)</f>
        <v>0</v>
      </c>
      <c s="125">
        <f>Предпосылки!BL$234*Предпосылки!$J261*Продажи!BM26*BM$19*(1+Чувствительность!$D$20)*IFERROR(LOOKUP(Предпосылки!$H$207,$C$13:$C$15,BM$13:BM$15),1)</f>
        <v>0</v>
      </c>
    </row>
    <row r="170" spans="2:65" ht="15" customHeight="1">
      <c r="B170" s="12" t="str">
        <f t="shared" si="91"/>
        <v>Продукт 10</v>
      </c>
      <c s="124" t="str">
        <f t="shared" si="90"/>
        <v>тыс. руб.</v>
      </c>
      <c s="276">
        <f t="shared" si="92"/>
        <v>0</v>
      </c>
      <c s="125">
        <f>Предпосылки!D$234*Предпосылки!$J262*Продажи!E27*E$19*(1+Чувствительность!$D$20)*IFERROR(LOOKUP(Предпосылки!$H$207,$C$13:$C$15,E$13:E$15),1)</f>
        <v>0</v>
      </c>
      <c s="125">
        <f>Предпосылки!E$234*Предпосылки!$J262*Продажи!F27*F$19*(1+Чувствительность!$D$20)*IFERROR(LOOKUP(Предпосылки!$H$207,$C$13:$C$15,F$13:F$15),1)</f>
        <v>0</v>
      </c>
      <c s="125">
        <f>Предпосылки!F$234*Предпосылки!$J262*Продажи!G27*G$19*(1+Чувствительность!$D$20)*IFERROR(LOOKUP(Предпосылки!$H$207,$C$13:$C$15,G$13:G$15),1)</f>
        <v>0</v>
      </c>
      <c s="125">
        <f>Предпосылки!G$234*Предпосылки!$J262*Продажи!H27*H$19*(1+Чувствительность!$D$20)*IFERROR(LOOKUP(Предпосылки!$H$207,$C$13:$C$15,H$13:H$15),1)</f>
        <v>0</v>
      </c>
      <c s="125">
        <f>Предпосылки!H$234*Предпосылки!$J262*Продажи!I27*I$19*(1+Чувствительность!$D$20)*IFERROR(LOOKUP(Предпосылки!$H$207,$C$13:$C$15,I$13:I$15),1)</f>
        <v>0</v>
      </c>
      <c s="125">
        <f>Предпосылки!I$234*Предпосылки!$J262*Продажи!J27*J$19*(1+Чувствительность!$D$20)*IFERROR(LOOKUP(Предпосылки!$H$207,$C$13:$C$15,J$13:J$15),1)</f>
        <v>0</v>
      </c>
      <c s="125">
        <f>Предпосылки!J$234*Предпосылки!$J262*Продажи!K27*K$19*(1+Чувствительность!$D$20)*IFERROR(LOOKUP(Предпосылки!$H$207,$C$13:$C$15,K$13:K$15),1)</f>
        <v>0</v>
      </c>
      <c s="125">
        <f>Предпосылки!K$234*Предпосылки!$J262*Продажи!L27*L$19*(1+Чувствительность!$D$20)*IFERROR(LOOKUP(Предпосылки!$H$207,$C$13:$C$15,L$13:L$15),1)</f>
        <v>0</v>
      </c>
      <c s="125">
        <f>Предпосылки!L$234*Предпосылки!$J262*Продажи!M27*M$19*(1+Чувствительность!$D$20)*IFERROR(LOOKUP(Предпосылки!$H$207,$C$13:$C$15,M$13:M$15),1)</f>
        <v>0</v>
      </c>
      <c s="125">
        <f>Предпосылки!M$234*Предпосылки!$J262*Продажи!N27*N$19*(1+Чувствительность!$D$20)*IFERROR(LOOKUP(Предпосылки!$H$207,$C$13:$C$15,N$13:N$15),1)</f>
        <v>0</v>
      </c>
      <c s="125">
        <f>Предпосылки!N$234*Предпосылки!$J262*Продажи!O27*O$19*(1+Чувствительность!$D$20)*IFERROR(LOOKUP(Предпосылки!$H$207,$C$13:$C$15,O$13:O$15),1)</f>
        <v>0</v>
      </c>
      <c s="125">
        <f>Предпосылки!O$234*Предпосылки!$J262*Продажи!P27*P$19*(1+Чувствительность!$D$20)*IFERROR(LOOKUP(Предпосылки!$H$207,$C$13:$C$15,P$13:P$15),1)</f>
        <v>0</v>
      </c>
      <c s="125">
        <f>Предпосылки!P$234*Предпосылки!$J262*Продажи!Q27*Q$19*(1+Чувствительность!$D$20)*IFERROR(LOOKUP(Предпосылки!$H$207,$C$13:$C$15,Q$13:Q$15),1)</f>
        <v>0</v>
      </c>
      <c s="125">
        <f>Предпосылки!Q$234*Предпосылки!$J262*Продажи!R27*R$19*(1+Чувствительность!$D$20)*IFERROR(LOOKUP(Предпосылки!$H$207,$C$13:$C$15,R$13:R$15),1)</f>
        <v>0</v>
      </c>
      <c s="125">
        <f>Предпосылки!R$234*Предпосылки!$J262*Продажи!S27*S$19*(1+Чувствительность!$D$20)*IFERROR(LOOKUP(Предпосылки!$H$207,$C$13:$C$15,S$13:S$15),1)</f>
        <v>0</v>
      </c>
      <c s="125">
        <f>Предпосылки!S$234*Предпосылки!$J262*Продажи!T27*T$19*(1+Чувствительность!$D$20)*IFERROR(LOOKUP(Предпосылки!$H$207,$C$13:$C$15,T$13:T$15),1)</f>
        <v>0</v>
      </c>
      <c s="125">
        <f>Предпосылки!T$234*Предпосылки!$J262*Продажи!U27*U$19*(1+Чувствительность!$D$20)*IFERROR(LOOKUP(Предпосылки!$H$207,$C$13:$C$15,U$13:U$15),1)</f>
        <v>0</v>
      </c>
      <c s="125">
        <f>Предпосылки!U$234*Предпосылки!$J262*Продажи!V27*V$19*(1+Чувствительность!$D$20)*IFERROR(LOOKUP(Предпосылки!$H$207,$C$13:$C$15,V$13:V$15),1)</f>
        <v>0</v>
      </c>
      <c s="125">
        <f>Предпосылки!V$234*Предпосылки!$J262*Продажи!W27*W$19*(1+Чувствительность!$D$20)*IFERROR(LOOKUP(Предпосылки!$H$207,$C$13:$C$15,W$13:W$15),1)</f>
        <v>0</v>
      </c>
      <c s="125">
        <f>Предпосылки!W$234*Предпосылки!$J262*Продажи!X27*X$19*(1+Чувствительность!$D$20)*IFERROR(LOOKUP(Предпосылки!$H$207,$C$13:$C$15,X$13:X$15),1)</f>
        <v>0</v>
      </c>
      <c s="125">
        <f>Предпосылки!X$234*Предпосылки!$J262*Продажи!Y27*Y$19*(1+Чувствительность!$D$20)*IFERROR(LOOKUP(Предпосылки!$H$207,$C$13:$C$15,Y$13:Y$15),1)</f>
        <v>0</v>
      </c>
      <c s="125">
        <f>Предпосылки!Y$234*Предпосылки!$J262*Продажи!Z27*Z$19*(1+Чувствительность!$D$20)*IFERROR(LOOKUP(Предпосылки!$H$207,$C$13:$C$15,Z$13:Z$15),1)</f>
        <v>0</v>
      </c>
      <c s="125">
        <f>Предпосылки!Z$234*Предпосылки!$J262*Продажи!AA27*AA$19*(1+Чувствительность!$D$20)*IFERROR(LOOKUP(Предпосылки!$H$207,$C$13:$C$15,AA$13:AA$15),1)</f>
        <v>0</v>
      </c>
      <c s="125">
        <f>Предпосылки!AA$234*Предпосылки!$J262*Продажи!AB27*AB$19*(1+Чувствительность!$D$20)*IFERROR(LOOKUP(Предпосылки!$H$207,$C$13:$C$15,AB$13:AB$15),1)</f>
        <v>0</v>
      </c>
      <c s="125">
        <f>Предпосылки!AB$234*Предпосылки!$J262*Продажи!AC27*AC$19*(1+Чувствительность!$D$20)*IFERROR(LOOKUP(Предпосылки!$H$207,$C$13:$C$15,AC$13:AC$15),1)</f>
        <v>0</v>
      </c>
      <c s="125">
        <f>Предпосылки!AC$234*Предпосылки!$J262*Продажи!AD27*AD$19*(1+Чувствительность!$D$20)*IFERROR(LOOKUP(Предпосылки!$H$207,$C$13:$C$15,AD$13:AD$15),1)</f>
        <v>0</v>
      </c>
      <c s="125">
        <f>Предпосылки!AD$234*Предпосылки!$J262*Продажи!AE27*AE$19*(1+Чувствительность!$D$20)*IFERROR(LOOKUP(Предпосылки!$H$207,$C$13:$C$15,AE$13:AE$15),1)</f>
        <v>0</v>
      </c>
      <c s="125">
        <f>Предпосылки!AE$234*Предпосылки!$J262*Продажи!AF27*AF$19*(1+Чувствительность!$D$20)*IFERROR(LOOKUP(Предпосылки!$H$207,$C$13:$C$15,AF$13:AF$15),1)</f>
        <v>0</v>
      </c>
      <c s="125">
        <f>Предпосылки!AF$234*Предпосылки!$J262*Продажи!AG27*AG$19*(1+Чувствительность!$D$20)*IFERROR(LOOKUP(Предпосылки!$H$207,$C$13:$C$15,AG$13:AG$15),1)</f>
        <v>0</v>
      </c>
      <c s="125">
        <f>Предпосылки!AG$234*Предпосылки!$J262*Продажи!AH27*AH$19*(1+Чувствительность!$D$20)*IFERROR(LOOKUP(Предпосылки!$H$207,$C$13:$C$15,AH$13:AH$15),1)</f>
        <v>0</v>
      </c>
      <c s="125">
        <f>Предпосылки!AH$234*Предпосылки!$J262*Продажи!AI27*AI$19*(1+Чувствительность!$D$20)*IFERROR(LOOKUP(Предпосылки!$H$207,$C$13:$C$15,AI$13:AI$15),1)</f>
        <v>0</v>
      </c>
      <c s="125">
        <f>Предпосылки!AI$234*Предпосылки!$J262*Продажи!AJ27*AJ$19*(1+Чувствительность!$D$20)*IFERROR(LOOKUP(Предпосылки!$H$207,$C$13:$C$15,AJ$13:AJ$15),1)</f>
        <v>0</v>
      </c>
      <c s="125">
        <f>Предпосылки!AJ$234*Предпосылки!$J262*Продажи!AK27*AK$19*(1+Чувствительность!$D$20)*IFERROR(LOOKUP(Предпосылки!$H$207,$C$13:$C$15,AK$13:AK$15),1)</f>
        <v>0</v>
      </c>
      <c s="125">
        <f>Предпосылки!AK$234*Предпосылки!$J262*Продажи!AL27*AL$19*(1+Чувствительность!$D$20)*IFERROR(LOOKUP(Предпосылки!$H$207,$C$13:$C$15,AL$13:AL$15),1)</f>
        <v>0</v>
      </c>
      <c s="125">
        <f>Предпосылки!AL$234*Предпосылки!$J262*Продажи!AM27*AM$19*(1+Чувствительность!$D$20)*IFERROR(LOOKUP(Предпосылки!$H$207,$C$13:$C$15,AM$13:AM$15),1)</f>
        <v>0</v>
      </c>
      <c s="125">
        <f>Предпосылки!AM$234*Предпосылки!$J262*Продажи!AN27*AN$19*(1+Чувствительность!$D$20)*IFERROR(LOOKUP(Предпосылки!$H$207,$C$13:$C$15,AN$13:AN$15),1)</f>
        <v>0</v>
      </c>
      <c s="125">
        <f>Предпосылки!AN$234*Предпосылки!$J262*Продажи!AO27*AO$19*(1+Чувствительность!$D$20)*IFERROR(LOOKUP(Предпосылки!$H$207,$C$13:$C$15,AO$13:AO$15),1)</f>
        <v>0</v>
      </c>
      <c s="125">
        <f>Предпосылки!AO$234*Предпосылки!$J262*Продажи!AP27*AP$19*(1+Чувствительность!$D$20)*IFERROR(LOOKUP(Предпосылки!$H$207,$C$13:$C$15,AP$13:AP$15),1)</f>
        <v>0</v>
      </c>
      <c s="125">
        <f>Предпосылки!AP$234*Предпосылки!$J262*Продажи!AQ27*AQ$19*(1+Чувствительность!$D$20)*IFERROR(LOOKUP(Предпосылки!$H$207,$C$13:$C$15,AQ$13:AQ$15),1)</f>
        <v>0</v>
      </c>
      <c s="125">
        <f>Предпосылки!AQ$234*Предпосылки!$J262*Продажи!AR27*AR$19*(1+Чувствительность!$D$20)*IFERROR(LOOKUP(Предпосылки!$H$207,$C$13:$C$15,AR$13:AR$15),1)</f>
        <v>0</v>
      </c>
      <c s="125">
        <f>Предпосылки!AR$234*Предпосылки!$J262*Продажи!AS27*AS$19*(1+Чувствительность!$D$20)*IFERROR(LOOKUP(Предпосылки!$H$207,$C$13:$C$15,AS$13:AS$15),1)</f>
        <v>0</v>
      </c>
      <c s="125">
        <f>Предпосылки!AS$234*Предпосылки!$J262*Продажи!AT27*AT$19*(1+Чувствительность!$D$20)*IFERROR(LOOKUP(Предпосылки!$H$207,$C$13:$C$15,AT$13:AT$15),1)</f>
        <v>0</v>
      </c>
      <c s="125">
        <f>Предпосылки!AT$234*Предпосылки!$J262*Продажи!AU27*AU$19*(1+Чувствительность!$D$20)*IFERROR(LOOKUP(Предпосылки!$H$207,$C$13:$C$15,AU$13:AU$15),1)</f>
        <v>0</v>
      </c>
      <c s="125">
        <f>Предпосылки!AU$234*Предпосылки!$J262*Продажи!AV27*AV$19*(1+Чувствительность!$D$20)*IFERROR(LOOKUP(Предпосылки!$H$207,$C$13:$C$15,AV$13:AV$15),1)</f>
        <v>0</v>
      </c>
      <c s="125">
        <f>Предпосылки!AV$234*Предпосылки!$J262*Продажи!AW27*AW$19*(1+Чувствительность!$D$20)*IFERROR(LOOKUP(Предпосылки!$H$207,$C$13:$C$15,AW$13:AW$15),1)</f>
        <v>0</v>
      </c>
      <c s="125">
        <f>Предпосылки!AW$234*Предпосылки!$J262*Продажи!AX27*AX$19*(1+Чувствительность!$D$20)*IFERROR(LOOKUP(Предпосылки!$H$207,$C$13:$C$15,AX$13:AX$15),1)</f>
        <v>0</v>
      </c>
      <c s="125">
        <f>Предпосылки!AX$234*Предпосылки!$J262*Продажи!AY27*AY$19*(1+Чувствительность!$D$20)*IFERROR(LOOKUP(Предпосылки!$H$207,$C$13:$C$15,AY$13:AY$15),1)</f>
        <v>0</v>
      </c>
      <c s="125">
        <f>Предпосылки!AY$234*Предпосылки!$J262*Продажи!AZ27*AZ$19*(1+Чувствительность!$D$20)*IFERROR(LOOKUP(Предпосылки!$H$207,$C$13:$C$15,AZ$13:AZ$15),1)</f>
        <v>0</v>
      </c>
      <c s="125">
        <f>Предпосылки!AZ$234*Предпосылки!$J262*Продажи!BA27*BA$19*(1+Чувствительность!$D$20)*IFERROR(LOOKUP(Предпосылки!$H$207,$C$13:$C$15,BA$13:BA$15),1)</f>
        <v>0</v>
      </c>
      <c s="125">
        <f>Предпосылки!BA$234*Предпосылки!$J262*Продажи!BB27*BB$19*(1+Чувствительность!$D$20)*IFERROR(LOOKUP(Предпосылки!$H$207,$C$13:$C$15,BB$13:BB$15),1)</f>
        <v>0</v>
      </c>
      <c s="125">
        <f>Предпосылки!BB$234*Предпосылки!$J262*Продажи!BC27*BC$19*(1+Чувствительность!$D$20)*IFERROR(LOOKUP(Предпосылки!$H$207,$C$13:$C$15,BC$13:BC$15),1)</f>
        <v>0</v>
      </c>
      <c s="125">
        <f>Предпосылки!BC$234*Предпосылки!$J262*Продажи!BD27*BD$19*(1+Чувствительность!$D$20)*IFERROR(LOOKUP(Предпосылки!$H$207,$C$13:$C$15,BD$13:BD$15),1)</f>
        <v>0</v>
      </c>
      <c s="125">
        <f>Предпосылки!BD$234*Предпосылки!$J262*Продажи!BE27*BE$19*(1+Чувствительность!$D$20)*IFERROR(LOOKUP(Предпосылки!$H$207,$C$13:$C$15,BE$13:BE$15),1)</f>
        <v>0</v>
      </c>
      <c s="125">
        <f>Предпосылки!BE$234*Предпосылки!$J262*Продажи!BF27*BF$19*(1+Чувствительность!$D$20)*IFERROR(LOOKUP(Предпосылки!$H$207,$C$13:$C$15,BF$13:BF$15),1)</f>
        <v>0</v>
      </c>
      <c s="125">
        <f>Предпосылки!BF$234*Предпосылки!$J262*Продажи!BG27*BG$19*(1+Чувствительность!$D$20)*IFERROR(LOOKUP(Предпосылки!$H$207,$C$13:$C$15,BG$13:BG$15),1)</f>
        <v>0</v>
      </c>
      <c s="125">
        <f>Предпосылки!BG$234*Предпосылки!$J262*Продажи!BH27*BH$19*(1+Чувствительность!$D$20)*IFERROR(LOOKUP(Предпосылки!$H$207,$C$13:$C$15,BH$13:BH$15),1)</f>
        <v>0</v>
      </c>
      <c s="125">
        <f>Предпосылки!BH$234*Предпосылки!$J262*Продажи!BI27*BI$19*(1+Чувствительность!$D$20)*IFERROR(LOOKUP(Предпосылки!$H$207,$C$13:$C$15,BI$13:BI$15),1)</f>
        <v>0</v>
      </c>
      <c s="125">
        <f>Предпосылки!BI$234*Предпосылки!$J262*Продажи!BJ27*BJ$19*(1+Чувствительность!$D$20)*IFERROR(LOOKUP(Предпосылки!$H$207,$C$13:$C$15,BJ$13:BJ$15),1)</f>
        <v>0</v>
      </c>
      <c s="125">
        <f>Предпосылки!BJ$234*Предпосылки!$J262*Продажи!BK27*BK$19*(1+Чувствительность!$D$20)*IFERROR(LOOKUP(Предпосылки!$H$207,$C$13:$C$15,BK$13:BK$15),1)</f>
        <v>0</v>
      </c>
      <c s="125">
        <f>Предпосылки!BK$234*Предпосылки!$J262*Продажи!BL27*BL$19*(1+Чувствительность!$D$20)*IFERROR(LOOKUP(Предпосылки!$H$207,$C$13:$C$15,BL$13:BL$15),1)</f>
        <v>0</v>
      </c>
      <c s="125">
        <f>Предпосылки!BL$234*Предпосылки!$J262*Продажи!BM27*BM$19*(1+Чувствительность!$D$20)*IFERROR(LOOKUP(Предпосылки!$H$207,$C$13:$C$15,BM$13:BM$15),1)</f>
        <v>0</v>
      </c>
    </row>
    <row r="171" spans="2:65" ht="15" customHeight="1">
      <c r="B171" s="12" t="str">
        <f t="shared" si="91"/>
        <v>Продукт 11</v>
      </c>
      <c s="124" t="str">
        <f t="shared" si="90"/>
        <v>тыс. руб.</v>
      </c>
      <c s="276">
        <f t="shared" si="92"/>
        <v>0</v>
      </c>
      <c s="125">
        <f>Предпосылки!D$234*Предпосылки!$J263*Продажи!E28*E$19*(1+Чувствительность!$D$20)*IFERROR(LOOKUP(Предпосылки!$H$207,$C$13:$C$15,E$13:E$15),1)</f>
        <v>0</v>
      </c>
      <c s="125">
        <f>Предпосылки!E$234*Предпосылки!$J263*Продажи!F28*F$19*(1+Чувствительность!$D$20)*IFERROR(LOOKUP(Предпосылки!$H$207,$C$13:$C$15,F$13:F$15),1)</f>
        <v>0</v>
      </c>
      <c s="125">
        <f>Предпосылки!F$234*Предпосылки!$J263*Продажи!G28*G$19*(1+Чувствительность!$D$20)*IFERROR(LOOKUP(Предпосылки!$H$207,$C$13:$C$15,G$13:G$15),1)</f>
        <v>0</v>
      </c>
      <c s="125">
        <f>Предпосылки!G$234*Предпосылки!$J263*Продажи!H28*H$19*(1+Чувствительность!$D$20)*IFERROR(LOOKUP(Предпосылки!$H$207,$C$13:$C$15,H$13:H$15),1)</f>
        <v>0</v>
      </c>
      <c s="125">
        <f>Предпосылки!H$234*Предпосылки!$J263*Продажи!I28*I$19*(1+Чувствительность!$D$20)*IFERROR(LOOKUP(Предпосылки!$H$207,$C$13:$C$15,I$13:I$15),1)</f>
        <v>0</v>
      </c>
      <c s="125">
        <f>Предпосылки!I$234*Предпосылки!$J263*Продажи!J28*J$19*(1+Чувствительность!$D$20)*IFERROR(LOOKUP(Предпосылки!$H$207,$C$13:$C$15,J$13:J$15),1)</f>
        <v>0</v>
      </c>
      <c s="125">
        <f>Предпосылки!J$234*Предпосылки!$J263*Продажи!K28*K$19*(1+Чувствительность!$D$20)*IFERROR(LOOKUP(Предпосылки!$H$207,$C$13:$C$15,K$13:K$15),1)</f>
        <v>0</v>
      </c>
      <c s="125">
        <f>Предпосылки!K$234*Предпосылки!$J263*Продажи!L28*L$19*(1+Чувствительность!$D$20)*IFERROR(LOOKUP(Предпосылки!$H$207,$C$13:$C$15,L$13:L$15),1)</f>
        <v>0</v>
      </c>
      <c s="125">
        <f>Предпосылки!L$234*Предпосылки!$J263*Продажи!M28*M$19*(1+Чувствительность!$D$20)*IFERROR(LOOKUP(Предпосылки!$H$207,$C$13:$C$15,M$13:M$15),1)</f>
        <v>0</v>
      </c>
      <c s="125">
        <f>Предпосылки!M$234*Предпосылки!$J263*Продажи!N28*N$19*(1+Чувствительность!$D$20)*IFERROR(LOOKUP(Предпосылки!$H$207,$C$13:$C$15,N$13:N$15),1)</f>
        <v>0</v>
      </c>
      <c s="125">
        <f>Предпосылки!N$234*Предпосылки!$J263*Продажи!O28*O$19*(1+Чувствительность!$D$20)*IFERROR(LOOKUP(Предпосылки!$H$207,$C$13:$C$15,O$13:O$15),1)</f>
        <v>0</v>
      </c>
      <c s="125">
        <f>Предпосылки!O$234*Предпосылки!$J263*Продажи!P28*P$19*(1+Чувствительность!$D$20)*IFERROR(LOOKUP(Предпосылки!$H$207,$C$13:$C$15,P$13:P$15),1)</f>
        <v>0</v>
      </c>
      <c s="125">
        <f>Предпосылки!P$234*Предпосылки!$J263*Продажи!Q28*Q$19*(1+Чувствительность!$D$20)*IFERROR(LOOKUP(Предпосылки!$H$207,$C$13:$C$15,Q$13:Q$15),1)</f>
        <v>0</v>
      </c>
      <c s="125">
        <f>Предпосылки!Q$234*Предпосылки!$J263*Продажи!R28*R$19*(1+Чувствительность!$D$20)*IFERROR(LOOKUP(Предпосылки!$H$207,$C$13:$C$15,R$13:R$15),1)</f>
        <v>0</v>
      </c>
      <c s="125">
        <f>Предпосылки!R$234*Предпосылки!$J263*Продажи!S28*S$19*(1+Чувствительность!$D$20)*IFERROR(LOOKUP(Предпосылки!$H$207,$C$13:$C$15,S$13:S$15),1)</f>
        <v>0</v>
      </c>
      <c s="125">
        <f>Предпосылки!S$234*Предпосылки!$J263*Продажи!T28*T$19*(1+Чувствительность!$D$20)*IFERROR(LOOKUP(Предпосылки!$H$207,$C$13:$C$15,T$13:T$15),1)</f>
        <v>0</v>
      </c>
      <c s="125">
        <f>Предпосылки!T$234*Предпосылки!$J263*Продажи!U28*U$19*(1+Чувствительность!$D$20)*IFERROR(LOOKUP(Предпосылки!$H$207,$C$13:$C$15,U$13:U$15),1)</f>
        <v>0</v>
      </c>
      <c s="125">
        <f>Предпосылки!U$234*Предпосылки!$J263*Продажи!V28*V$19*(1+Чувствительность!$D$20)*IFERROR(LOOKUP(Предпосылки!$H$207,$C$13:$C$15,V$13:V$15),1)</f>
        <v>0</v>
      </c>
      <c s="125">
        <f>Предпосылки!V$234*Предпосылки!$J263*Продажи!W28*W$19*(1+Чувствительность!$D$20)*IFERROR(LOOKUP(Предпосылки!$H$207,$C$13:$C$15,W$13:W$15),1)</f>
        <v>0</v>
      </c>
      <c s="125">
        <f>Предпосылки!W$234*Предпосылки!$J263*Продажи!X28*X$19*(1+Чувствительность!$D$20)*IFERROR(LOOKUP(Предпосылки!$H$207,$C$13:$C$15,X$13:X$15),1)</f>
        <v>0</v>
      </c>
      <c s="125">
        <f>Предпосылки!X$234*Предпосылки!$J263*Продажи!Y28*Y$19*(1+Чувствительность!$D$20)*IFERROR(LOOKUP(Предпосылки!$H$207,$C$13:$C$15,Y$13:Y$15),1)</f>
        <v>0</v>
      </c>
      <c s="125">
        <f>Предпосылки!Y$234*Предпосылки!$J263*Продажи!Z28*Z$19*(1+Чувствительность!$D$20)*IFERROR(LOOKUP(Предпосылки!$H$207,$C$13:$C$15,Z$13:Z$15),1)</f>
        <v>0</v>
      </c>
      <c s="125">
        <f>Предпосылки!Z$234*Предпосылки!$J263*Продажи!AA28*AA$19*(1+Чувствительность!$D$20)*IFERROR(LOOKUP(Предпосылки!$H$207,$C$13:$C$15,AA$13:AA$15),1)</f>
        <v>0</v>
      </c>
      <c s="125">
        <f>Предпосылки!AA$234*Предпосылки!$J263*Продажи!AB28*AB$19*(1+Чувствительность!$D$20)*IFERROR(LOOKUP(Предпосылки!$H$207,$C$13:$C$15,AB$13:AB$15),1)</f>
        <v>0</v>
      </c>
      <c s="125">
        <f>Предпосылки!AB$234*Предпосылки!$J263*Продажи!AC28*AC$19*(1+Чувствительность!$D$20)*IFERROR(LOOKUP(Предпосылки!$H$207,$C$13:$C$15,AC$13:AC$15),1)</f>
        <v>0</v>
      </c>
      <c s="125">
        <f>Предпосылки!AC$234*Предпосылки!$J263*Продажи!AD28*AD$19*(1+Чувствительность!$D$20)*IFERROR(LOOKUP(Предпосылки!$H$207,$C$13:$C$15,AD$13:AD$15),1)</f>
        <v>0</v>
      </c>
      <c s="125">
        <f>Предпосылки!AD$234*Предпосылки!$J263*Продажи!AE28*AE$19*(1+Чувствительность!$D$20)*IFERROR(LOOKUP(Предпосылки!$H$207,$C$13:$C$15,AE$13:AE$15),1)</f>
        <v>0</v>
      </c>
      <c s="125">
        <f>Предпосылки!AE$234*Предпосылки!$J263*Продажи!AF28*AF$19*(1+Чувствительность!$D$20)*IFERROR(LOOKUP(Предпосылки!$H$207,$C$13:$C$15,AF$13:AF$15),1)</f>
        <v>0</v>
      </c>
      <c s="125">
        <f>Предпосылки!AF$234*Предпосылки!$J263*Продажи!AG28*AG$19*(1+Чувствительность!$D$20)*IFERROR(LOOKUP(Предпосылки!$H$207,$C$13:$C$15,AG$13:AG$15),1)</f>
        <v>0</v>
      </c>
      <c s="125">
        <f>Предпосылки!AG$234*Предпосылки!$J263*Продажи!AH28*AH$19*(1+Чувствительность!$D$20)*IFERROR(LOOKUP(Предпосылки!$H$207,$C$13:$C$15,AH$13:AH$15),1)</f>
        <v>0</v>
      </c>
      <c s="125">
        <f>Предпосылки!AH$234*Предпосылки!$J263*Продажи!AI28*AI$19*(1+Чувствительность!$D$20)*IFERROR(LOOKUP(Предпосылки!$H$207,$C$13:$C$15,AI$13:AI$15),1)</f>
        <v>0</v>
      </c>
      <c s="125">
        <f>Предпосылки!AI$234*Предпосылки!$J263*Продажи!AJ28*AJ$19*(1+Чувствительность!$D$20)*IFERROR(LOOKUP(Предпосылки!$H$207,$C$13:$C$15,AJ$13:AJ$15),1)</f>
        <v>0</v>
      </c>
      <c s="125">
        <f>Предпосылки!AJ$234*Предпосылки!$J263*Продажи!AK28*AK$19*(1+Чувствительность!$D$20)*IFERROR(LOOKUP(Предпосылки!$H$207,$C$13:$C$15,AK$13:AK$15),1)</f>
        <v>0</v>
      </c>
      <c s="125">
        <f>Предпосылки!AK$234*Предпосылки!$J263*Продажи!AL28*AL$19*(1+Чувствительность!$D$20)*IFERROR(LOOKUP(Предпосылки!$H$207,$C$13:$C$15,AL$13:AL$15),1)</f>
        <v>0</v>
      </c>
      <c s="125">
        <f>Предпосылки!AL$234*Предпосылки!$J263*Продажи!AM28*AM$19*(1+Чувствительность!$D$20)*IFERROR(LOOKUP(Предпосылки!$H$207,$C$13:$C$15,AM$13:AM$15),1)</f>
        <v>0</v>
      </c>
      <c s="125">
        <f>Предпосылки!AM$234*Предпосылки!$J263*Продажи!AN28*AN$19*(1+Чувствительность!$D$20)*IFERROR(LOOKUP(Предпосылки!$H$207,$C$13:$C$15,AN$13:AN$15),1)</f>
        <v>0</v>
      </c>
      <c s="125">
        <f>Предпосылки!AN$234*Предпосылки!$J263*Продажи!AO28*AO$19*(1+Чувствительность!$D$20)*IFERROR(LOOKUP(Предпосылки!$H$207,$C$13:$C$15,AO$13:AO$15),1)</f>
        <v>0</v>
      </c>
      <c s="125">
        <f>Предпосылки!AO$234*Предпосылки!$J263*Продажи!AP28*AP$19*(1+Чувствительность!$D$20)*IFERROR(LOOKUP(Предпосылки!$H$207,$C$13:$C$15,AP$13:AP$15),1)</f>
        <v>0</v>
      </c>
      <c s="125">
        <f>Предпосылки!AP$234*Предпосылки!$J263*Продажи!AQ28*AQ$19*(1+Чувствительность!$D$20)*IFERROR(LOOKUP(Предпосылки!$H$207,$C$13:$C$15,AQ$13:AQ$15),1)</f>
        <v>0</v>
      </c>
      <c s="125">
        <f>Предпосылки!AQ$234*Предпосылки!$J263*Продажи!AR28*AR$19*(1+Чувствительность!$D$20)*IFERROR(LOOKUP(Предпосылки!$H$207,$C$13:$C$15,AR$13:AR$15),1)</f>
        <v>0</v>
      </c>
      <c s="125">
        <f>Предпосылки!AR$234*Предпосылки!$J263*Продажи!AS28*AS$19*(1+Чувствительность!$D$20)*IFERROR(LOOKUP(Предпосылки!$H$207,$C$13:$C$15,AS$13:AS$15),1)</f>
        <v>0</v>
      </c>
      <c s="125">
        <f>Предпосылки!AS$234*Предпосылки!$J263*Продажи!AT28*AT$19*(1+Чувствительность!$D$20)*IFERROR(LOOKUP(Предпосылки!$H$207,$C$13:$C$15,AT$13:AT$15),1)</f>
        <v>0</v>
      </c>
      <c s="125">
        <f>Предпосылки!AT$234*Предпосылки!$J263*Продажи!AU28*AU$19*(1+Чувствительность!$D$20)*IFERROR(LOOKUP(Предпосылки!$H$207,$C$13:$C$15,AU$13:AU$15),1)</f>
        <v>0</v>
      </c>
      <c s="125">
        <f>Предпосылки!AU$234*Предпосылки!$J263*Продажи!AV28*AV$19*(1+Чувствительность!$D$20)*IFERROR(LOOKUP(Предпосылки!$H$207,$C$13:$C$15,AV$13:AV$15),1)</f>
        <v>0</v>
      </c>
      <c s="125">
        <f>Предпосылки!AV$234*Предпосылки!$J263*Продажи!AW28*AW$19*(1+Чувствительность!$D$20)*IFERROR(LOOKUP(Предпосылки!$H$207,$C$13:$C$15,AW$13:AW$15),1)</f>
        <v>0</v>
      </c>
      <c s="125">
        <f>Предпосылки!AW$234*Предпосылки!$J263*Продажи!AX28*AX$19*(1+Чувствительность!$D$20)*IFERROR(LOOKUP(Предпосылки!$H$207,$C$13:$C$15,AX$13:AX$15),1)</f>
        <v>0</v>
      </c>
      <c s="125">
        <f>Предпосылки!AX$234*Предпосылки!$J263*Продажи!AY28*AY$19*(1+Чувствительность!$D$20)*IFERROR(LOOKUP(Предпосылки!$H$207,$C$13:$C$15,AY$13:AY$15),1)</f>
        <v>0</v>
      </c>
      <c s="125">
        <f>Предпосылки!AY$234*Предпосылки!$J263*Продажи!AZ28*AZ$19*(1+Чувствительность!$D$20)*IFERROR(LOOKUP(Предпосылки!$H$207,$C$13:$C$15,AZ$13:AZ$15),1)</f>
        <v>0</v>
      </c>
      <c s="125">
        <f>Предпосылки!AZ$234*Предпосылки!$J263*Продажи!BA28*BA$19*(1+Чувствительность!$D$20)*IFERROR(LOOKUP(Предпосылки!$H$207,$C$13:$C$15,BA$13:BA$15),1)</f>
        <v>0</v>
      </c>
      <c s="125">
        <f>Предпосылки!BA$234*Предпосылки!$J263*Продажи!BB28*BB$19*(1+Чувствительность!$D$20)*IFERROR(LOOKUP(Предпосылки!$H$207,$C$13:$C$15,BB$13:BB$15),1)</f>
        <v>0</v>
      </c>
      <c s="125">
        <f>Предпосылки!BB$234*Предпосылки!$J263*Продажи!BC28*BC$19*(1+Чувствительность!$D$20)*IFERROR(LOOKUP(Предпосылки!$H$207,$C$13:$C$15,BC$13:BC$15),1)</f>
        <v>0</v>
      </c>
      <c s="125">
        <f>Предпосылки!BC$234*Предпосылки!$J263*Продажи!BD28*BD$19*(1+Чувствительность!$D$20)*IFERROR(LOOKUP(Предпосылки!$H$207,$C$13:$C$15,BD$13:BD$15),1)</f>
        <v>0</v>
      </c>
      <c s="125">
        <f>Предпосылки!BD$234*Предпосылки!$J263*Продажи!BE28*BE$19*(1+Чувствительность!$D$20)*IFERROR(LOOKUP(Предпосылки!$H$207,$C$13:$C$15,BE$13:BE$15),1)</f>
        <v>0</v>
      </c>
      <c s="125">
        <f>Предпосылки!BE$234*Предпосылки!$J263*Продажи!BF28*BF$19*(1+Чувствительность!$D$20)*IFERROR(LOOKUP(Предпосылки!$H$207,$C$13:$C$15,BF$13:BF$15),1)</f>
        <v>0</v>
      </c>
      <c s="125">
        <f>Предпосылки!BF$234*Предпосылки!$J263*Продажи!BG28*BG$19*(1+Чувствительность!$D$20)*IFERROR(LOOKUP(Предпосылки!$H$207,$C$13:$C$15,BG$13:BG$15),1)</f>
        <v>0</v>
      </c>
      <c s="125">
        <f>Предпосылки!BG$234*Предпосылки!$J263*Продажи!BH28*BH$19*(1+Чувствительность!$D$20)*IFERROR(LOOKUP(Предпосылки!$H$207,$C$13:$C$15,BH$13:BH$15),1)</f>
        <v>0</v>
      </c>
      <c s="125">
        <f>Предпосылки!BH$234*Предпосылки!$J263*Продажи!BI28*BI$19*(1+Чувствительность!$D$20)*IFERROR(LOOKUP(Предпосылки!$H$207,$C$13:$C$15,BI$13:BI$15),1)</f>
        <v>0</v>
      </c>
      <c s="125">
        <f>Предпосылки!BI$234*Предпосылки!$J263*Продажи!BJ28*BJ$19*(1+Чувствительность!$D$20)*IFERROR(LOOKUP(Предпосылки!$H$207,$C$13:$C$15,BJ$13:BJ$15),1)</f>
        <v>0</v>
      </c>
      <c s="125">
        <f>Предпосылки!BJ$234*Предпосылки!$J263*Продажи!BK28*BK$19*(1+Чувствительность!$D$20)*IFERROR(LOOKUP(Предпосылки!$H$207,$C$13:$C$15,BK$13:BK$15),1)</f>
        <v>0</v>
      </c>
      <c s="125">
        <f>Предпосылки!BK$234*Предпосылки!$J263*Продажи!BL28*BL$19*(1+Чувствительность!$D$20)*IFERROR(LOOKUP(Предпосылки!$H$207,$C$13:$C$15,BL$13:BL$15),1)</f>
        <v>0</v>
      </c>
      <c s="125">
        <f>Предпосылки!BL$234*Предпосылки!$J263*Продажи!BM28*BM$19*(1+Чувствительность!$D$20)*IFERROR(LOOKUP(Предпосылки!$H$207,$C$13:$C$15,BM$13:BM$15),1)</f>
        <v>0</v>
      </c>
    </row>
    <row r="172" spans="2:65" ht="15" customHeight="1">
      <c r="B172" s="12" t="str">
        <f t="shared" si="91"/>
        <v>Продукт 12</v>
      </c>
      <c s="124" t="str">
        <f t="shared" si="90"/>
        <v>тыс. руб.</v>
      </c>
      <c s="276">
        <f t="shared" si="92"/>
        <v>0</v>
      </c>
      <c s="125">
        <f>Предпосылки!D$234*Предпосылки!$J264*Продажи!E29*E$19*(1+Чувствительность!$D$20)*IFERROR(LOOKUP(Предпосылки!$H$207,$C$13:$C$15,E$13:E$15),1)</f>
        <v>0</v>
      </c>
      <c s="125">
        <f>Предпосылки!E$234*Предпосылки!$J264*Продажи!F29*F$19*(1+Чувствительность!$D$20)*IFERROR(LOOKUP(Предпосылки!$H$207,$C$13:$C$15,F$13:F$15),1)</f>
        <v>0</v>
      </c>
      <c s="125">
        <f>Предпосылки!F$234*Предпосылки!$J264*Продажи!G29*G$19*(1+Чувствительность!$D$20)*IFERROR(LOOKUP(Предпосылки!$H$207,$C$13:$C$15,G$13:G$15),1)</f>
        <v>0</v>
      </c>
      <c s="125">
        <f>Предпосылки!G$234*Предпосылки!$J264*Продажи!H29*H$19*(1+Чувствительность!$D$20)*IFERROR(LOOKUP(Предпосылки!$H$207,$C$13:$C$15,H$13:H$15),1)</f>
        <v>0</v>
      </c>
      <c s="125">
        <f>Предпосылки!H$234*Предпосылки!$J264*Продажи!I29*I$19*(1+Чувствительность!$D$20)*IFERROR(LOOKUP(Предпосылки!$H$207,$C$13:$C$15,I$13:I$15),1)</f>
        <v>0</v>
      </c>
      <c s="125">
        <f>Предпосылки!I$234*Предпосылки!$J264*Продажи!J29*J$19*(1+Чувствительность!$D$20)*IFERROR(LOOKUP(Предпосылки!$H$207,$C$13:$C$15,J$13:J$15),1)</f>
        <v>0</v>
      </c>
      <c s="125">
        <f>Предпосылки!J$234*Предпосылки!$J264*Продажи!K29*K$19*(1+Чувствительность!$D$20)*IFERROR(LOOKUP(Предпосылки!$H$207,$C$13:$C$15,K$13:K$15),1)</f>
        <v>0</v>
      </c>
      <c s="125">
        <f>Предпосылки!K$234*Предпосылки!$J264*Продажи!L29*L$19*(1+Чувствительность!$D$20)*IFERROR(LOOKUP(Предпосылки!$H$207,$C$13:$C$15,L$13:L$15),1)</f>
        <v>0</v>
      </c>
      <c s="125">
        <f>Предпосылки!L$234*Предпосылки!$J264*Продажи!M29*M$19*(1+Чувствительность!$D$20)*IFERROR(LOOKUP(Предпосылки!$H$207,$C$13:$C$15,M$13:M$15),1)</f>
        <v>0</v>
      </c>
      <c s="125">
        <f>Предпосылки!M$234*Предпосылки!$J264*Продажи!N29*N$19*(1+Чувствительность!$D$20)*IFERROR(LOOKUP(Предпосылки!$H$207,$C$13:$C$15,N$13:N$15),1)</f>
        <v>0</v>
      </c>
      <c s="125">
        <f>Предпосылки!N$234*Предпосылки!$J264*Продажи!O29*O$19*(1+Чувствительность!$D$20)*IFERROR(LOOKUP(Предпосылки!$H$207,$C$13:$C$15,O$13:O$15),1)</f>
        <v>0</v>
      </c>
      <c s="125">
        <f>Предпосылки!O$234*Предпосылки!$J264*Продажи!P29*P$19*(1+Чувствительность!$D$20)*IFERROR(LOOKUP(Предпосылки!$H$207,$C$13:$C$15,P$13:P$15),1)</f>
        <v>0</v>
      </c>
      <c s="125">
        <f>Предпосылки!P$234*Предпосылки!$J264*Продажи!Q29*Q$19*(1+Чувствительность!$D$20)*IFERROR(LOOKUP(Предпосылки!$H$207,$C$13:$C$15,Q$13:Q$15),1)</f>
        <v>0</v>
      </c>
      <c s="125">
        <f>Предпосылки!Q$234*Предпосылки!$J264*Продажи!R29*R$19*(1+Чувствительность!$D$20)*IFERROR(LOOKUP(Предпосылки!$H$207,$C$13:$C$15,R$13:R$15),1)</f>
        <v>0</v>
      </c>
      <c s="125">
        <f>Предпосылки!R$234*Предпосылки!$J264*Продажи!S29*S$19*(1+Чувствительность!$D$20)*IFERROR(LOOKUP(Предпосылки!$H$207,$C$13:$C$15,S$13:S$15),1)</f>
        <v>0</v>
      </c>
      <c s="125">
        <f>Предпосылки!S$234*Предпосылки!$J264*Продажи!T29*T$19*(1+Чувствительность!$D$20)*IFERROR(LOOKUP(Предпосылки!$H$207,$C$13:$C$15,T$13:T$15),1)</f>
        <v>0</v>
      </c>
      <c s="125">
        <f>Предпосылки!T$234*Предпосылки!$J264*Продажи!U29*U$19*(1+Чувствительность!$D$20)*IFERROR(LOOKUP(Предпосылки!$H$207,$C$13:$C$15,U$13:U$15),1)</f>
        <v>0</v>
      </c>
      <c s="125">
        <f>Предпосылки!U$234*Предпосылки!$J264*Продажи!V29*V$19*(1+Чувствительность!$D$20)*IFERROR(LOOKUP(Предпосылки!$H$207,$C$13:$C$15,V$13:V$15),1)</f>
        <v>0</v>
      </c>
      <c s="125">
        <f>Предпосылки!V$234*Предпосылки!$J264*Продажи!W29*W$19*(1+Чувствительность!$D$20)*IFERROR(LOOKUP(Предпосылки!$H$207,$C$13:$C$15,W$13:W$15),1)</f>
        <v>0</v>
      </c>
      <c s="125">
        <f>Предпосылки!W$234*Предпосылки!$J264*Продажи!X29*X$19*(1+Чувствительность!$D$20)*IFERROR(LOOKUP(Предпосылки!$H$207,$C$13:$C$15,X$13:X$15),1)</f>
        <v>0</v>
      </c>
      <c s="125">
        <f>Предпосылки!X$234*Предпосылки!$J264*Продажи!Y29*Y$19*(1+Чувствительность!$D$20)*IFERROR(LOOKUP(Предпосылки!$H$207,$C$13:$C$15,Y$13:Y$15),1)</f>
        <v>0</v>
      </c>
      <c s="125">
        <f>Предпосылки!Y$234*Предпосылки!$J264*Продажи!Z29*Z$19*(1+Чувствительность!$D$20)*IFERROR(LOOKUP(Предпосылки!$H$207,$C$13:$C$15,Z$13:Z$15),1)</f>
        <v>0</v>
      </c>
      <c s="125">
        <f>Предпосылки!Z$234*Предпосылки!$J264*Продажи!AA29*AA$19*(1+Чувствительность!$D$20)*IFERROR(LOOKUP(Предпосылки!$H$207,$C$13:$C$15,AA$13:AA$15),1)</f>
        <v>0</v>
      </c>
      <c s="125">
        <f>Предпосылки!AA$234*Предпосылки!$J264*Продажи!AB29*AB$19*(1+Чувствительность!$D$20)*IFERROR(LOOKUP(Предпосылки!$H$207,$C$13:$C$15,AB$13:AB$15),1)</f>
        <v>0</v>
      </c>
      <c s="125">
        <f>Предпосылки!AB$234*Предпосылки!$J264*Продажи!AC29*AC$19*(1+Чувствительность!$D$20)*IFERROR(LOOKUP(Предпосылки!$H$207,$C$13:$C$15,AC$13:AC$15),1)</f>
        <v>0</v>
      </c>
      <c s="125">
        <f>Предпосылки!AC$234*Предпосылки!$J264*Продажи!AD29*AD$19*(1+Чувствительность!$D$20)*IFERROR(LOOKUP(Предпосылки!$H$207,$C$13:$C$15,AD$13:AD$15),1)</f>
        <v>0</v>
      </c>
      <c s="125">
        <f>Предпосылки!AD$234*Предпосылки!$J264*Продажи!AE29*AE$19*(1+Чувствительность!$D$20)*IFERROR(LOOKUP(Предпосылки!$H$207,$C$13:$C$15,AE$13:AE$15),1)</f>
        <v>0</v>
      </c>
      <c s="125">
        <f>Предпосылки!AE$234*Предпосылки!$J264*Продажи!AF29*AF$19*(1+Чувствительность!$D$20)*IFERROR(LOOKUP(Предпосылки!$H$207,$C$13:$C$15,AF$13:AF$15),1)</f>
        <v>0</v>
      </c>
      <c s="125">
        <f>Предпосылки!AF$234*Предпосылки!$J264*Продажи!AG29*AG$19*(1+Чувствительность!$D$20)*IFERROR(LOOKUP(Предпосылки!$H$207,$C$13:$C$15,AG$13:AG$15),1)</f>
        <v>0</v>
      </c>
      <c s="125">
        <f>Предпосылки!AG$234*Предпосылки!$J264*Продажи!AH29*AH$19*(1+Чувствительность!$D$20)*IFERROR(LOOKUP(Предпосылки!$H$207,$C$13:$C$15,AH$13:AH$15),1)</f>
        <v>0</v>
      </c>
      <c s="125">
        <f>Предпосылки!AH$234*Предпосылки!$J264*Продажи!AI29*AI$19*(1+Чувствительность!$D$20)*IFERROR(LOOKUP(Предпосылки!$H$207,$C$13:$C$15,AI$13:AI$15),1)</f>
        <v>0</v>
      </c>
      <c s="125">
        <f>Предпосылки!AI$234*Предпосылки!$J264*Продажи!AJ29*AJ$19*(1+Чувствительность!$D$20)*IFERROR(LOOKUP(Предпосылки!$H$207,$C$13:$C$15,AJ$13:AJ$15),1)</f>
        <v>0</v>
      </c>
      <c s="125">
        <f>Предпосылки!AJ$234*Предпосылки!$J264*Продажи!AK29*AK$19*(1+Чувствительность!$D$20)*IFERROR(LOOKUP(Предпосылки!$H$207,$C$13:$C$15,AK$13:AK$15),1)</f>
        <v>0</v>
      </c>
      <c s="125">
        <f>Предпосылки!AK$234*Предпосылки!$J264*Продажи!AL29*AL$19*(1+Чувствительность!$D$20)*IFERROR(LOOKUP(Предпосылки!$H$207,$C$13:$C$15,AL$13:AL$15),1)</f>
        <v>0</v>
      </c>
      <c s="125">
        <f>Предпосылки!AL$234*Предпосылки!$J264*Продажи!AM29*AM$19*(1+Чувствительность!$D$20)*IFERROR(LOOKUP(Предпосылки!$H$207,$C$13:$C$15,AM$13:AM$15),1)</f>
        <v>0</v>
      </c>
      <c s="125">
        <f>Предпосылки!AM$234*Предпосылки!$J264*Продажи!AN29*AN$19*(1+Чувствительность!$D$20)*IFERROR(LOOKUP(Предпосылки!$H$207,$C$13:$C$15,AN$13:AN$15),1)</f>
        <v>0</v>
      </c>
      <c s="125">
        <f>Предпосылки!AN$234*Предпосылки!$J264*Продажи!AO29*AO$19*(1+Чувствительность!$D$20)*IFERROR(LOOKUP(Предпосылки!$H$207,$C$13:$C$15,AO$13:AO$15),1)</f>
        <v>0</v>
      </c>
      <c s="125">
        <f>Предпосылки!AO$234*Предпосылки!$J264*Продажи!AP29*AP$19*(1+Чувствительность!$D$20)*IFERROR(LOOKUP(Предпосылки!$H$207,$C$13:$C$15,AP$13:AP$15),1)</f>
        <v>0</v>
      </c>
      <c s="125">
        <f>Предпосылки!AP$234*Предпосылки!$J264*Продажи!AQ29*AQ$19*(1+Чувствительность!$D$20)*IFERROR(LOOKUP(Предпосылки!$H$207,$C$13:$C$15,AQ$13:AQ$15),1)</f>
        <v>0</v>
      </c>
      <c s="125">
        <f>Предпосылки!AQ$234*Предпосылки!$J264*Продажи!AR29*AR$19*(1+Чувствительность!$D$20)*IFERROR(LOOKUP(Предпосылки!$H$207,$C$13:$C$15,AR$13:AR$15),1)</f>
        <v>0</v>
      </c>
      <c s="125">
        <f>Предпосылки!AR$234*Предпосылки!$J264*Продажи!AS29*AS$19*(1+Чувствительность!$D$20)*IFERROR(LOOKUP(Предпосылки!$H$207,$C$13:$C$15,AS$13:AS$15),1)</f>
        <v>0</v>
      </c>
      <c s="125">
        <f>Предпосылки!AS$234*Предпосылки!$J264*Продажи!AT29*AT$19*(1+Чувствительность!$D$20)*IFERROR(LOOKUP(Предпосылки!$H$207,$C$13:$C$15,AT$13:AT$15),1)</f>
        <v>0</v>
      </c>
      <c s="125">
        <f>Предпосылки!AT$234*Предпосылки!$J264*Продажи!AU29*AU$19*(1+Чувствительность!$D$20)*IFERROR(LOOKUP(Предпосылки!$H$207,$C$13:$C$15,AU$13:AU$15),1)</f>
        <v>0</v>
      </c>
      <c s="125">
        <f>Предпосылки!AU$234*Предпосылки!$J264*Продажи!AV29*AV$19*(1+Чувствительность!$D$20)*IFERROR(LOOKUP(Предпосылки!$H$207,$C$13:$C$15,AV$13:AV$15),1)</f>
        <v>0</v>
      </c>
      <c s="125">
        <f>Предпосылки!AV$234*Предпосылки!$J264*Продажи!AW29*AW$19*(1+Чувствительность!$D$20)*IFERROR(LOOKUP(Предпосылки!$H$207,$C$13:$C$15,AW$13:AW$15),1)</f>
        <v>0</v>
      </c>
      <c s="125">
        <f>Предпосылки!AW$234*Предпосылки!$J264*Продажи!AX29*AX$19*(1+Чувствительность!$D$20)*IFERROR(LOOKUP(Предпосылки!$H$207,$C$13:$C$15,AX$13:AX$15),1)</f>
        <v>0</v>
      </c>
      <c s="125">
        <f>Предпосылки!AX$234*Предпосылки!$J264*Продажи!AY29*AY$19*(1+Чувствительность!$D$20)*IFERROR(LOOKUP(Предпосылки!$H$207,$C$13:$C$15,AY$13:AY$15),1)</f>
        <v>0</v>
      </c>
      <c s="125">
        <f>Предпосылки!AY$234*Предпосылки!$J264*Продажи!AZ29*AZ$19*(1+Чувствительность!$D$20)*IFERROR(LOOKUP(Предпосылки!$H$207,$C$13:$C$15,AZ$13:AZ$15),1)</f>
        <v>0</v>
      </c>
      <c s="125">
        <f>Предпосылки!AZ$234*Предпосылки!$J264*Продажи!BA29*BA$19*(1+Чувствительность!$D$20)*IFERROR(LOOKUP(Предпосылки!$H$207,$C$13:$C$15,BA$13:BA$15),1)</f>
        <v>0</v>
      </c>
      <c s="125">
        <f>Предпосылки!BA$234*Предпосылки!$J264*Продажи!BB29*BB$19*(1+Чувствительность!$D$20)*IFERROR(LOOKUP(Предпосылки!$H$207,$C$13:$C$15,BB$13:BB$15),1)</f>
        <v>0</v>
      </c>
      <c s="125">
        <f>Предпосылки!BB$234*Предпосылки!$J264*Продажи!BC29*BC$19*(1+Чувствительность!$D$20)*IFERROR(LOOKUP(Предпосылки!$H$207,$C$13:$C$15,BC$13:BC$15),1)</f>
        <v>0</v>
      </c>
      <c s="125">
        <f>Предпосылки!BC$234*Предпосылки!$J264*Продажи!BD29*BD$19*(1+Чувствительность!$D$20)*IFERROR(LOOKUP(Предпосылки!$H$207,$C$13:$C$15,BD$13:BD$15),1)</f>
        <v>0</v>
      </c>
      <c s="125">
        <f>Предпосылки!BD$234*Предпосылки!$J264*Продажи!BE29*BE$19*(1+Чувствительность!$D$20)*IFERROR(LOOKUP(Предпосылки!$H$207,$C$13:$C$15,BE$13:BE$15),1)</f>
        <v>0</v>
      </c>
      <c s="125">
        <f>Предпосылки!BE$234*Предпосылки!$J264*Продажи!BF29*BF$19*(1+Чувствительность!$D$20)*IFERROR(LOOKUP(Предпосылки!$H$207,$C$13:$C$15,BF$13:BF$15),1)</f>
        <v>0</v>
      </c>
      <c s="125">
        <f>Предпосылки!BF$234*Предпосылки!$J264*Продажи!BG29*BG$19*(1+Чувствительность!$D$20)*IFERROR(LOOKUP(Предпосылки!$H$207,$C$13:$C$15,BG$13:BG$15),1)</f>
        <v>0</v>
      </c>
      <c s="125">
        <f>Предпосылки!BG$234*Предпосылки!$J264*Продажи!BH29*BH$19*(1+Чувствительность!$D$20)*IFERROR(LOOKUP(Предпосылки!$H$207,$C$13:$C$15,BH$13:BH$15),1)</f>
        <v>0</v>
      </c>
      <c s="125">
        <f>Предпосылки!BH$234*Предпосылки!$J264*Продажи!BI29*BI$19*(1+Чувствительность!$D$20)*IFERROR(LOOKUP(Предпосылки!$H$207,$C$13:$C$15,BI$13:BI$15),1)</f>
        <v>0</v>
      </c>
      <c s="125">
        <f>Предпосылки!BI$234*Предпосылки!$J264*Продажи!BJ29*BJ$19*(1+Чувствительность!$D$20)*IFERROR(LOOKUP(Предпосылки!$H$207,$C$13:$C$15,BJ$13:BJ$15),1)</f>
        <v>0</v>
      </c>
      <c s="125">
        <f>Предпосылки!BJ$234*Предпосылки!$J264*Продажи!BK29*BK$19*(1+Чувствительность!$D$20)*IFERROR(LOOKUP(Предпосылки!$H$207,$C$13:$C$15,BK$13:BK$15),1)</f>
        <v>0</v>
      </c>
      <c s="125">
        <f>Предпосылки!BK$234*Предпосылки!$J264*Продажи!BL29*BL$19*(1+Чувствительность!$D$20)*IFERROR(LOOKUP(Предпосылки!$H$207,$C$13:$C$15,BL$13:BL$15),1)</f>
        <v>0</v>
      </c>
      <c s="125">
        <f>Предпосылки!BL$234*Предпосылки!$J264*Продажи!BM29*BM$19*(1+Чувствительность!$D$20)*IFERROR(LOOKUP(Предпосылки!$H$207,$C$13:$C$15,BM$13:BM$15),1)</f>
        <v>0</v>
      </c>
    </row>
    <row r="173" spans="2:65" ht="15" customHeight="1">
      <c r="B173" s="12" t="str">
        <f t="shared" si="91"/>
        <v>Продукт 13</v>
      </c>
      <c s="124" t="str">
        <f t="shared" si="90"/>
        <v>тыс. руб.</v>
      </c>
      <c s="276">
        <f t="shared" si="92"/>
        <v>0</v>
      </c>
      <c s="125">
        <f>Предпосылки!D$234*Предпосылки!$J265*Продажи!E30*E$19*(1+Чувствительность!$D$20)*IFERROR(LOOKUP(Предпосылки!$H$207,$C$13:$C$15,E$13:E$15),1)</f>
        <v>0</v>
      </c>
      <c s="125">
        <f>Предпосылки!E$234*Предпосылки!$J265*Продажи!F30*F$19*(1+Чувствительность!$D$20)*IFERROR(LOOKUP(Предпосылки!$H$207,$C$13:$C$15,F$13:F$15),1)</f>
        <v>0</v>
      </c>
      <c s="125">
        <f>Предпосылки!F$234*Предпосылки!$J265*Продажи!G30*G$19*(1+Чувствительность!$D$20)*IFERROR(LOOKUP(Предпосылки!$H$207,$C$13:$C$15,G$13:G$15),1)</f>
        <v>0</v>
      </c>
      <c s="125">
        <f>Предпосылки!G$234*Предпосылки!$J265*Продажи!H30*H$19*(1+Чувствительность!$D$20)*IFERROR(LOOKUP(Предпосылки!$H$207,$C$13:$C$15,H$13:H$15),1)</f>
        <v>0</v>
      </c>
      <c s="125">
        <f>Предпосылки!H$234*Предпосылки!$J265*Продажи!I30*I$19*(1+Чувствительность!$D$20)*IFERROR(LOOKUP(Предпосылки!$H$207,$C$13:$C$15,I$13:I$15),1)</f>
        <v>0</v>
      </c>
      <c s="125">
        <f>Предпосылки!I$234*Предпосылки!$J265*Продажи!J30*J$19*(1+Чувствительность!$D$20)*IFERROR(LOOKUP(Предпосылки!$H$207,$C$13:$C$15,J$13:J$15),1)</f>
        <v>0</v>
      </c>
      <c s="125">
        <f>Предпосылки!J$234*Предпосылки!$J265*Продажи!K30*K$19*(1+Чувствительность!$D$20)*IFERROR(LOOKUP(Предпосылки!$H$207,$C$13:$C$15,K$13:K$15),1)</f>
        <v>0</v>
      </c>
      <c s="125">
        <f>Предпосылки!K$234*Предпосылки!$J265*Продажи!L30*L$19*(1+Чувствительность!$D$20)*IFERROR(LOOKUP(Предпосылки!$H$207,$C$13:$C$15,L$13:L$15),1)</f>
        <v>0</v>
      </c>
      <c s="125">
        <f>Предпосылки!L$234*Предпосылки!$J265*Продажи!M30*M$19*(1+Чувствительность!$D$20)*IFERROR(LOOKUP(Предпосылки!$H$207,$C$13:$C$15,M$13:M$15),1)</f>
        <v>0</v>
      </c>
      <c s="125">
        <f>Предпосылки!M$234*Предпосылки!$J265*Продажи!N30*N$19*(1+Чувствительность!$D$20)*IFERROR(LOOKUP(Предпосылки!$H$207,$C$13:$C$15,N$13:N$15),1)</f>
        <v>0</v>
      </c>
      <c s="125">
        <f>Предпосылки!N$234*Предпосылки!$J265*Продажи!O30*O$19*(1+Чувствительность!$D$20)*IFERROR(LOOKUP(Предпосылки!$H$207,$C$13:$C$15,O$13:O$15),1)</f>
        <v>0</v>
      </c>
      <c s="125">
        <f>Предпосылки!O$234*Предпосылки!$J265*Продажи!P30*P$19*(1+Чувствительность!$D$20)*IFERROR(LOOKUP(Предпосылки!$H$207,$C$13:$C$15,P$13:P$15),1)</f>
        <v>0</v>
      </c>
      <c s="125">
        <f>Предпосылки!P$234*Предпосылки!$J265*Продажи!Q30*Q$19*(1+Чувствительность!$D$20)*IFERROR(LOOKUP(Предпосылки!$H$207,$C$13:$C$15,Q$13:Q$15),1)</f>
        <v>0</v>
      </c>
      <c s="125">
        <f>Предпосылки!Q$234*Предпосылки!$J265*Продажи!R30*R$19*(1+Чувствительность!$D$20)*IFERROR(LOOKUP(Предпосылки!$H$207,$C$13:$C$15,R$13:R$15),1)</f>
        <v>0</v>
      </c>
      <c s="125">
        <f>Предпосылки!R$234*Предпосылки!$J265*Продажи!S30*S$19*(1+Чувствительность!$D$20)*IFERROR(LOOKUP(Предпосылки!$H$207,$C$13:$C$15,S$13:S$15),1)</f>
        <v>0</v>
      </c>
      <c s="125">
        <f>Предпосылки!S$234*Предпосылки!$J265*Продажи!T30*T$19*(1+Чувствительность!$D$20)*IFERROR(LOOKUP(Предпосылки!$H$207,$C$13:$C$15,T$13:T$15),1)</f>
        <v>0</v>
      </c>
      <c s="125">
        <f>Предпосылки!T$234*Предпосылки!$J265*Продажи!U30*U$19*(1+Чувствительность!$D$20)*IFERROR(LOOKUP(Предпосылки!$H$207,$C$13:$C$15,U$13:U$15),1)</f>
        <v>0</v>
      </c>
      <c s="125">
        <f>Предпосылки!U$234*Предпосылки!$J265*Продажи!V30*V$19*(1+Чувствительность!$D$20)*IFERROR(LOOKUP(Предпосылки!$H$207,$C$13:$C$15,V$13:V$15),1)</f>
        <v>0</v>
      </c>
      <c s="125">
        <f>Предпосылки!V$234*Предпосылки!$J265*Продажи!W30*W$19*(1+Чувствительность!$D$20)*IFERROR(LOOKUP(Предпосылки!$H$207,$C$13:$C$15,W$13:W$15),1)</f>
        <v>0</v>
      </c>
      <c s="125">
        <f>Предпосылки!W$234*Предпосылки!$J265*Продажи!X30*X$19*(1+Чувствительность!$D$20)*IFERROR(LOOKUP(Предпосылки!$H$207,$C$13:$C$15,X$13:X$15),1)</f>
        <v>0</v>
      </c>
      <c s="125">
        <f>Предпосылки!X$234*Предпосылки!$J265*Продажи!Y30*Y$19*(1+Чувствительность!$D$20)*IFERROR(LOOKUP(Предпосылки!$H$207,$C$13:$C$15,Y$13:Y$15),1)</f>
        <v>0</v>
      </c>
      <c s="125">
        <f>Предпосылки!Y$234*Предпосылки!$J265*Продажи!Z30*Z$19*(1+Чувствительность!$D$20)*IFERROR(LOOKUP(Предпосылки!$H$207,$C$13:$C$15,Z$13:Z$15),1)</f>
        <v>0</v>
      </c>
      <c s="125">
        <f>Предпосылки!Z$234*Предпосылки!$J265*Продажи!AA30*AA$19*(1+Чувствительность!$D$20)*IFERROR(LOOKUP(Предпосылки!$H$207,$C$13:$C$15,AA$13:AA$15),1)</f>
        <v>0</v>
      </c>
      <c s="125">
        <f>Предпосылки!AA$234*Предпосылки!$J265*Продажи!AB30*AB$19*(1+Чувствительность!$D$20)*IFERROR(LOOKUP(Предпосылки!$H$207,$C$13:$C$15,AB$13:AB$15),1)</f>
        <v>0</v>
      </c>
      <c s="125">
        <f>Предпосылки!AB$234*Предпосылки!$J265*Продажи!AC30*AC$19*(1+Чувствительность!$D$20)*IFERROR(LOOKUP(Предпосылки!$H$207,$C$13:$C$15,AC$13:AC$15),1)</f>
        <v>0</v>
      </c>
      <c s="125">
        <f>Предпосылки!AC$234*Предпосылки!$J265*Продажи!AD30*AD$19*(1+Чувствительность!$D$20)*IFERROR(LOOKUP(Предпосылки!$H$207,$C$13:$C$15,AD$13:AD$15),1)</f>
        <v>0</v>
      </c>
      <c s="125">
        <f>Предпосылки!AD$234*Предпосылки!$J265*Продажи!AE30*AE$19*(1+Чувствительность!$D$20)*IFERROR(LOOKUP(Предпосылки!$H$207,$C$13:$C$15,AE$13:AE$15),1)</f>
        <v>0</v>
      </c>
      <c s="125">
        <f>Предпосылки!AE$234*Предпосылки!$J265*Продажи!AF30*AF$19*(1+Чувствительность!$D$20)*IFERROR(LOOKUP(Предпосылки!$H$207,$C$13:$C$15,AF$13:AF$15),1)</f>
        <v>0</v>
      </c>
      <c s="125">
        <f>Предпосылки!AF$234*Предпосылки!$J265*Продажи!AG30*AG$19*(1+Чувствительность!$D$20)*IFERROR(LOOKUP(Предпосылки!$H$207,$C$13:$C$15,AG$13:AG$15),1)</f>
        <v>0</v>
      </c>
      <c s="125">
        <f>Предпосылки!AG$234*Предпосылки!$J265*Продажи!AH30*AH$19*(1+Чувствительность!$D$20)*IFERROR(LOOKUP(Предпосылки!$H$207,$C$13:$C$15,AH$13:AH$15),1)</f>
        <v>0</v>
      </c>
      <c s="125">
        <f>Предпосылки!AH$234*Предпосылки!$J265*Продажи!AI30*AI$19*(1+Чувствительность!$D$20)*IFERROR(LOOKUP(Предпосылки!$H$207,$C$13:$C$15,AI$13:AI$15),1)</f>
        <v>0</v>
      </c>
      <c s="125">
        <f>Предпосылки!AI$234*Предпосылки!$J265*Продажи!AJ30*AJ$19*(1+Чувствительность!$D$20)*IFERROR(LOOKUP(Предпосылки!$H$207,$C$13:$C$15,AJ$13:AJ$15),1)</f>
        <v>0</v>
      </c>
      <c s="125">
        <f>Предпосылки!AJ$234*Предпосылки!$J265*Продажи!AK30*AK$19*(1+Чувствительность!$D$20)*IFERROR(LOOKUP(Предпосылки!$H$207,$C$13:$C$15,AK$13:AK$15),1)</f>
        <v>0</v>
      </c>
      <c s="125">
        <f>Предпосылки!AK$234*Предпосылки!$J265*Продажи!AL30*AL$19*(1+Чувствительность!$D$20)*IFERROR(LOOKUP(Предпосылки!$H$207,$C$13:$C$15,AL$13:AL$15),1)</f>
        <v>0</v>
      </c>
      <c s="125">
        <f>Предпосылки!AL$234*Предпосылки!$J265*Продажи!AM30*AM$19*(1+Чувствительность!$D$20)*IFERROR(LOOKUP(Предпосылки!$H$207,$C$13:$C$15,AM$13:AM$15),1)</f>
        <v>0</v>
      </c>
      <c s="125">
        <f>Предпосылки!AM$234*Предпосылки!$J265*Продажи!AN30*AN$19*(1+Чувствительность!$D$20)*IFERROR(LOOKUP(Предпосылки!$H$207,$C$13:$C$15,AN$13:AN$15),1)</f>
        <v>0</v>
      </c>
      <c s="125">
        <f>Предпосылки!AN$234*Предпосылки!$J265*Продажи!AO30*AO$19*(1+Чувствительность!$D$20)*IFERROR(LOOKUP(Предпосылки!$H$207,$C$13:$C$15,AO$13:AO$15),1)</f>
        <v>0</v>
      </c>
      <c s="125">
        <f>Предпосылки!AO$234*Предпосылки!$J265*Продажи!AP30*AP$19*(1+Чувствительность!$D$20)*IFERROR(LOOKUP(Предпосылки!$H$207,$C$13:$C$15,AP$13:AP$15),1)</f>
        <v>0</v>
      </c>
      <c s="125">
        <f>Предпосылки!AP$234*Предпосылки!$J265*Продажи!AQ30*AQ$19*(1+Чувствительность!$D$20)*IFERROR(LOOKUP(Предпосылки!$H$207,$C$13:$C$15,AQ$13:AQ$15),1)</f>
        <v>0</v>
      </c>
      <c s="125">
        <f>Предпосылки!AQ$234*Предпосылки!$J265*Продажи!AR30*AR$19*(1+Чувствительность!$D$20)*IFERROR(LOOKUP(Предпосылки!$H$207,$C$13:$C$15,AR$13:AR$15),1)</f>
        <v>0</v>
      </c>
      <c s="125">
        <f>Предпосылки!AR$234*Предпосылки!$J265*Продажи!AS30*AS$19*(1+Чувствительность!$D$20)*IFERROR(LOOKUP(Предпосылки!$H$207,$C$13:$C$15,AS$13:AS$15),1)</f>
        <v>0</v>
      </c>
      <c s="125">
        <f>Предпосылки!AS$234*Предпосылки!$J265*Продажи!AT30*AT$19*(1+Чувствительность!$D$20)*IFERROR(LOOKUP(Предпосылки!$H$207,$C$13:$C$15,AT$13:AT$15),1)</f>
        <v>0</v>
      </c>
      <c s="125">
        <f>Предпосылки!AT$234*Предпосылки!$J265*Продажи!AU30*AU$19*(1+Чувствительность!$D$20)*IFERROR(LOOKUP(Предпосылки!$H$207,$C$13:$C$15,AU$13:AU$15),1)</f>
        <v>0</v>
      </c>
      <c s="125">
        <f>Предпосылки!AU$234*Предпосылки!$J265*Продажи!AV30*AV$19*(1+Чувствительность!$D$20)*IFERROR(LOOKUP(Предпосылки!$H$207,$C$13:$C$15,AV$13:AV$15),1)</f>
        <v>0</v>
      </c>
      <c s="125">
        <f>Предпосылки!AV$234*Предпосылки!$J265*Продажи!AW30*AW$19*(1+Чувствительность!$D$20)*IFERROR(LOOKUP(Предпосылки!$H$207,$C$13:$C$15,AW$13:AW$15),1)</f>
        <v>0</v>
      </c>
      <c s="125">
        <f>Предпосылки!AW$234*Предпосылки!$J265*Продажи!AX30*AX$19*(1+Чувствительность!$D$20)*IFERROR(LOOKUP(Предпосылки!$H$207,$C$13:$C$15,AX$13:AX$15),1)</f>
        <v>0</v>
      </c>
      <c s="125">
        <f>Предпосылки!AX$234*Предпосылки!$J265*Продажи!AY30*AY$19*(1+Чувствительность!$D$20)*IFERROR(LOOKUP(Предпосылки!$H$207,$C$13:$C$15,AY$13:AY$15),1)</f>
        <v>0</v>
      </c>
      <c s="125">
        <f>Предпосылки!AY$234*Предпосылки!$J265*Продажи!AZ30*AZ$19*(1+Чувствительность!$D$20)*IFERROR(LOOKUP(Предпосылки!$H$207,$C$13:$C$15,AZ$13:AZ$15),1)</f>
        <v>0</v>
      </c>
      <c s="125">
        <f>Предпосылки!AZ$234*Предпосылки!$J265*Продажи!BA30*BA$19*(1+Чувствительность!$D$20)*IFERROR(LOOKUP(Предпосылки!$H$207,$C$13:$C$15,BA$13:BA$15),1)</f>
        <v>0</v>
      </c>
      <c s="125">
        <f>Предпосылки!BA$234*Предпосылки!$J265*Продажи!BB30*BB$19*(1+Чувствительность!$D$20)*IFERROR(LOOKUP(Предпосылки!$H$207,$C$13:$C$15,BB$13:BB$15),1)</f>
        <v>0</v>
      </c>
      <c s="125">
        <f>Предпосылки!BB$234*Предпосылки!$J265*Продажи!BC30*BC$19*(1+Чувствительность!$D$20)*IFERROR(LOOKUP(Предпосылки!$H$207,$C$13:$C$15,BC$13:BC$15),1)</f>
        <v>0</v>
      </c>
      <c s="125">
        <f>Предпосылки!BC$234*Предпосылки!$J265*Продажи!BD30*BD$19*(1+Чувствительность!$D$20)*IFERROR(LOOKUP(Предпосылки!$H$207,$C$13:$C$15,BD$13:BD$15),1)</f>
        <v>0</v>
      </c>
      <c s="125">
        <f>Предпосылки!BD$234*Предпосылки!$J265*Продажи!BE30*BE$19*(1+Чувствительность!$D$20)*IFERROR(LOOKUP(Предпосылки!$H$207,$C$13:$C$15,BE$13:BE$15),1)</f>
        <v>0</v>
      </c>
      <c s="125">
        <f>Предпосылки!BE$234*Предпосылки!$J265*Продажи!BF30*BF$19*(1+Чувствительность!$D$20)*IFERROR(LOOKUP(Предпосылки!$H$207,$C$13:$C$15,BF$13:BF$15),1)</f>
        <v>0</v>
      </c>
      <c s="125">
        <f>Предпосылки!BF$234*Предпосылки!$J265*Продажи!BG30*BG$19*(1+Чувствительность!$D$20)*IFERROR(LOOKUP(Предпосылки!$H$207,$C$13:$C$15,BG$13:BG$15),1)</f>
        <v>0</v>
      </c>
      <c s="125">
        <f>Предпосылки!BG$234*Предпосылки!$J265*Продажи!BH30*BH$19*(1+Чувствительность!$D$20)*IFERROR(LOOKUP(Предпосылки!$H$207,$C$13:$C$15,BH$13:BH$15),1)</f>
        <v>0</v>
      </c>
      <c s="125">
        <f>Предпосылки!BH$234*Предпосылки!$J265*Продажи!BI30*BI$19*(1+Чувствительность!$D$20)*IFERROR(LOOKUP(Предпосылки!$H$207,$C$13:$C$15,BI$13:BI$15),1)</f>
        <v>0</v>
      </c>
      <c s="125">
        <f>Предпосылки!BI$234*Предпосылки!$J265*Продажи!BJ30*BJ$19*(1+Чувствительность!$D$20)*IFERROR(LOOKUP(Предпосылки!$H$207,$C$13:$C$15,BJ$13:BJ$15),1)</f>
        <v>0</v>
      </c>
      <c s="125">
        <f>Предпосылки!BJ$234*Предпосылки!$J265*Продажи!BK30*BK$19*(1+Чувствительность!$D$20)*IFERROR(LOOKUP(Предпосылки!$H$207,$C$13:$C$15,BK$13:BK$15),1)</f>
        <v>0</v>
      </c>
      <c s="125">
        <f>Предпосылки!BK$234*Предпосылки!$J265*Продажи!BL30*BL$19*(1+Чувствительность!$D$20)*IFERROR(LOOKUP(Предпосылки!$H$207,$C$13:$C$15,BL$13:BL$15),1)</f>
        <v>0</v>
      </c>
      <c s="125">
        <f>Предпосылки!BL$234*Предпосылки!$J265*Продажи!BM30*BM$19*(1+Чувствительность!$D$20)*IFERROR(LOOKUP(Предпосылки!$H$207,$C$13:$C$15,BM$13:BM$15),1)</f>
        <v>0</v>
      </c>
    </row>
    <row r="174" spans="2:65" ht="15" customHeight="1">
      <c r="B174" s="12" t="str">
        <f t="shared" si="91"/>
        <v>Продукт 14</v>
      </c>
      <c s="124" t="str">
        <f t="shared" si="90"/>
        <v>тыс. руб.</v>
      </c>
      <c s="276">
        <f t="shared" si="92"/>
        <v>0</v>
      </c>
      <c s="125">
        <f>Предпосылки!D$234*Предпосылки!$J266*Продажи!E31*E$19*(1+Чувствительность!$D$20)*IFERROR(LOOKUP(Предпосылки!$H$207,$C$13:$C$15,E$13:E$15),1)</f>
        <v>0</v>
      </c>
      <c s="125">
        <f>Предпосылки!E$234*Предпосылки!$J266*Продажи!F31*F$19*(1+Чувствительность!$D$20)*IFERROR(LOOKUP(Предпосылки!$H$207,$C$13:$C$15,F$13:F$15),1)</f>
        <v>0</v>
      </c>
      <c s="125">
        <f>Предпосылки!F$234*Предпосылки!$J266*Продажи!G31*G$19*(1+Чувствительность!$D$20)*IFERROR(LOOKUP(Предпосылки!$H$207,$C$13:$C$15,G$13:G$15),1)</f>
        <v>0</v>
      </c>
      <c s="125">
        <f>Предпосылки!G$234*Предпосылки!$J266*Продажи!H31*H$19*(1+Чувствительность!$D$20)*IFERROR(LOOKUP(Предпосылки!$H$207,$C$13:$C$15,H$13:H$15),1)</f>
        <v>0</v>
      </c>
      <c s="125">
        <f>Предпосылки!H$234*Предпосылки!$J266*Продажи!I31*I$19*(1+Чувствительность!$D$20)*IFERROR(LOOKUP(Предпосылки!$H$207,$C$13:$C$15,I$13:I$15),1)</f>
        <v>0</v>
      </c>
      <c s="125">
        <f>Предпосылки!I$234*Предпосылки!$J266*Продажи!J31*J$19*(1+Чувствительность!$D$20)*IFERROR(LOOKUP(Предпосылки!$H$207,$C$13:$C$15,J$13:J$15),1)</f>
        <v>0</v>
      </c>
      <c s="125">
        <f>Предпосылки!J$234*Предпосылки!$J266*Продажи!K31*K$19*(1+Чувствительность!$D$20)*IFERROR(LOOKUP(Предпосылки!$H$207,$C$13:$C$15,K$13:K$15),1)</f>
        <v>0</v>
      </c>
      <c s="125">
        <f>Предпосылки!K$234*Предпосылки!$J266*Продажи!L31*L$19*(1+Чувствительность!$D$20)*IFERROR(LOOKUP(Предпосылки!$H$207,$C$13:$C$15,L$13:L$15),1)</f>
        <v>0</v>
      </c>
      <c s="125">
        <f>Предпосылки!L$234*Предпосылки!$J266*Продажи!M31*M$19*(1+Чувствительность!$D$20)*IFERROR(LOOKUP(Предпосылки!$H$207,$C$13:$C$15,M$13:M$15),1)</f>
        <v>0</v>
      </c>
      <c s="125">
        <f>Предпосылки!M$234*Предпосылки!$J266*Продажи!N31*N$19*(1+Чувствительность!$D$20)*IFERROR(LOOKUP(Предпосылки!$H$207,$C$13:$C$15,N$13:N$15),1)</f>
        <v>0</v>
      </c>
      <c s="125">
        <f>Предпосылки!N$234*Предпосылки!$J266*Продажи!O31*O$19*(1+Чувствительность!$D$20)*IFERROR(LOOKUP(Предпосылки!$H$207,$C$13:$C$15,O$13:O$15),1)</f>
        <v>0</v>
      </c>
      <c s="125">
        <f>Предпосылки!O$234*Предпосылки!$J266*Продажи!P31*P$19*(1+Чувствительность!$D$20)*IFERROR(LOOKUP(Предпосылки!$H$207,$C$13:$C$15,P$13:P$15),1)</f>
        <v>0</v>
      </c>
      <c s="125">
        <f>Предпосылки!P$234*Предпосылки!$J266*Продажи!Q31*Q$19*(1+Чувствительность!$D$20)*IFERROR(LOOKUP(Предпосылки!$H$207,$C$13:$C$15,Q$13:Q$15),1)</f>
        <v>0</v>
      </c>
      <c s="125">
        <f>Предпосылки!Q$234*Предпосылки!$J266*Продажи!R31*R$19*(1+Чувствительность!$D$20)*IFERROR(LOOKUP(Предпосылки!$H$207,$C$13:$C$15,R$13:R$15),1)</f>
        <v>0</v>
      </c>
      <c s="125">
        <f>Предпосылки!R$234*Предпосылки!$J266*Продажи!S31*S$19*(1+Чувствительность!$D$20)*IFERROR(LOOKUP(Предпосылки!$H$207,$C$13:$C$15,S$13:S$15),1)</f>
        <v>0</v>
      </c>
      <c s="125">
        <f>Предпосылки!S$234*Предпосылки!$J266*Продажи!T31*T$19*(1+Чувствительность!$D$20)*IFERROR(LOOKUP(Предпосылки!$H$207,$C$13:$C$15,T$13:T$15),1)</f>
        <v>0</v>
      </c>
      <c s="125">
        <f>Предпосылки!T$234*Предпосылки!$J266*Продажи!U31*U$19*(1+Чувствительность!$D$20)*IFERROR(LOOKUP(Предпосылки!$H$207,$C$13:$C$15,U$13:U$15),1)</f>
        <v>0</v>
      </c>
      <c s="125">
        <f>Предпосылки!U$234*Предпосылки!$J266*Продажи!V31*V$19*(1+Чувствительность!$D$20)*IFERROR(LOOKUP(Предпосылки!$H$207,$C$13:$C$15,V$13:V$15),1)</f>
        <v>0</v>
      </c>
      <c s="125">
        <f>Предпосылки!V$234*Предпосылки!$J266*Продажи!W31*W$19*(1+Чувствительность!$D$20)*IFERROR(LOOKUP(Предпосылки!$H$207,$C$13:$C$15,W$13:W$15),1)</f>
        <v>0</v>
      </c>
      <c s="125">
        <f>Предпосылки!W$234*Предпосылки!$J266*Продажи!X31*X$19*(1+Чувствительность!$D$20)*IFERROR(LOOKUP(Предпосылки!$H$207,$C$13:$C$15,X$13:X$15),1)</f>
        <v>0</v>
      </c>
      <c s="125">
        <f>Предпосылки!X$234*Предпосылки!$J266*Продажи!Y31*Y$19*(1+Чувствительность!$D$20)*IFERROR(LOOKUP(Предпосылки!$H$207,$C$13:$C$15,Y$13:Y$15),1)</f>
        <v>0</v>
      </c>
      <c s="125">
        <f>Предпосылки!Y$234*Предпосылки!$J266*Продажи!Z31*Z$19*(1+Чувствительность!$D$20)*IFERROR(LOOKUP(Предпосылки!$H$207,$C$13:$C$15,Z$13:Z$15),1)</f>
        <v>0</v>
      </c>
      <c s="125">
        <f>Предпосылки!Z$234*Предпосылки!$J266*Продажи!AA31*AA$19*(1+Чувствительность!$D$20)*IFERROR(LOOKUP(Предпосылки!$H$207,$C$13:$C$15,AA$13:AA$15),1)</f>
        <v>0</v>
      </c>
      <c s="125">
        <f>Предпосылки!AA$234*Предпосылки!$J266*Продажи!AB31*AB$19*(1+Чувствительность!$D$20)*IFERROR(LOOKUP(Предпосылки!$H$207,$C$13:$C$15,AB$13:AB$15),1)</f>
        <v>0</v>
      </c>
      <c s="125">
        <f>Предпосылки!AB$234*Предпосылки!$J266*Продажи!AC31*AC$19*(1+Чувствительность!$D$20)*IFERROR(LOOKUP(Предпосылки!$H$207,$C$13:$C$15,AC$13:AC$15),1)</f>
        <v>0</v>
      </c>
      <c s="125">
        <f>Предпосылки!AC$234*Предпосылки!$J266*Продажи!AD31*AD$19*(1+Чувствительность!$D$20)*IFERROR(LOOKUP(Предпосылки!$H$207,$C$13:$C$15,AD$13:AD$15),1)</f>
        <v>0</v>
      </c>
      <c s="125">
        <f>Предпосылки!AD$234*Предпосылки!$J266*Продажи!AE31*AE$19*(1+Чувствительность!$D$20)*IFERROR(LOOKUP(Предпосылки!$H$207,$C$13:$C$15,AE$13:AE$15),1)</f>
        <v>0</v>
      </c>
      <c s="125">
        <f>Предпосылки!AE$234*Предпосылки!$J266*Продажи!AF31*AF$19*(1+Чувствительность!$D$20)*IFERROR(LOOKUP(Предпосылки!$H$207,$C$13:$C$15,AF$13:AF$15),1)</f>
        <v>0</v>
      </c>
      <c s="125">
        <f>Предпосылки!AF$234*Предпосылки!$J266*Продажи!AG31*AG$19*(1+Чувствительность!$D$20)*IFERROR(LOOKUP(Предпосылки!$H$207,$C$13:$C$15,AG$13:AG$15),1)</f>
        <v>0</v>
      </c>
      <c s="125">
        <f>Предпосылки!AG$234*Предпосылки!$J266*Продажи!AH31*AH$19*(1+Чувствительность!$D$20)*IFERROR(LOOKUP(Предпосылки!$H$207,$C$13:$C$15,AH$13:AH$15),1)</f>
        <v>0</v>
      </c>
      <c s="125">
        <f>Предпосылки!AH$234*Предпосылки!$J266*Продажи!AI31*AI$19*(1+Чувствительность!$D$20)*IFERROR(LOOKUP(Предпосылки!$H$207,$C$13:$C$15,AI$13:AI$15),1)</f>
        <v>0</v>
      </c>
      <c s="125">
        <f>Предпосылки!AI$234*Предпосылки!$J266*Продажи!AJ31*AJ$19*(1+Чувствительность!$D$20)*IFERROR(LOOKUP(Предпосылки!$H$207,$C$13:$C$15,AJ$13:AJ$15),1)</f>
        <v>0</v>
      </c>
      <c s="125">
        <f>Предпосылки!AJ$234*Предпосылки!$J266*Продажи!AK31*AK$19*(1+Чувствительность!$D$20)*IFERROR(LOOKUP(Предпосылки!$H$207,$C$13:$C$15,AK$13:AK$15),1)</f>
        <v>0</v>
      </c>
      <c s="125">
        <f>Предпосылки!AK$234*Предпосылки!$J266*Продажи!AL31*AL$19*(1+Чувствительность!$D$20)*IFERROR(LOOKUP(Предпосылки!$H$207,$C$13:$C$15,AL$13:AL$15),1)</f>
        <v>0</v>
      </c>
      <c s="125">
        <f>Предпосылки!AL$234*Предпосылки!$J266*Продажи!AM31*AM$19*(1+Чувствительность!$D$20)*IFERROR(LOOKUP(Предпосылки!$H$207,$C$13:$C$15,AM$13:AM$15),1)</f>
        <v>0</v>
      </c>
      <c s="125">
        <f>Предпосылки!AM$234*Предпосылки!$J266*Продажи!AN31*AN$19*(1+Чувствительность!$D$20)*IFERROR(LOOKUP(Предпосылки!$H$207,$C$13:$C$15,AN$13:AN$15),1)</f>
        <v>0</v>
      </c>
      <c s="125">
        <f>Предпосылки!AN$234*Предпосылки!$J266*Продажи!AO31*AO$19*(1+Чувствительность!$D$20)*IFERROR(LOOKUP(Предпосылки!$H$207,$C$13:$C$15,AO$13:AO$15),1)</f>
        <v>0</v>
      </c>
      <c s="125">
        <f>Предпосылки!AO$234*Предпосылки!$J266*Продажи!AP31*AP$19*(1+Чувствительность!$D$20)*IFERROR(LOOKUP(Предпосылки!$H$207,$C$13:$C$15,AP$13:AP$15),1)</f>
        <v>0</v>
      </c>
      <c s="125">
        <f>Предпосылки!AP$234*Предпосылки!$J266*Продажи!AQ31*AQ$19*(1+Чувствительность!$D$20)*IFERROR(LOOKUP(Предпосылки!$H$207,$C$13:$C$15,AQ$13:AQ$15),1)</f>
        <v>0</v>
      </c>
      <c s="125">
        <f>Предпосылки!AQ$234*Предпосылки!$J266*Продажи!AR31*AR$19*(1+Чувствительность!$D$20)*IFERROR(LOOKUP(Предпосылки!$H$207,$C$13:$C$15,AR$13:AR$15),1)</f>
        <v>0</v>
      </c>
      <c s="125">
        <f>Предпосылки!AR$234*Предпосылки!$J266*Продажи!AS31*AS$19*(1+Чувствительность!$D$20)*IFERROR(LOOKUP(Предпосылки!$H$207,$C$13:$C$15,AS$13:AS$15),1)</f>
        <v>0</v>
      </c>
      <c s="125">
        <f>Предпосылки!AS$234*Предпосылки!$J266*Продажи!AT31*AT$19*(1+Чувствительность!$D$20)*IFERROR(LOOKUP(Предпосылки!$H$207,$C$13:$C$15,AT$13:AT$15),1)</f>
        <v>0</v>
      </c>
      <c s="125">
        <f>Предпосылки!AT$234*Предпосылки!$J266*Продажи!AU31*AU$19*(1+Чувствительность!$D$20)*IFERROR(LOOKUP(Предпосылки!$H$207,$C$13:$C$15,AU$13:AU$15),1)</f>
        <v>0</v>
      </c>
      <c s="125">
        <f>Предпосылки!AU$234*Предпосылки!$J266*Продажи!AV31*AV$19*(1+Чувствительность!$D$20)*IFERROR(LOOKUP(Предпосылки!$H$207,$C$13:$C$15,AV$13:AV$15),1)</f>
        <v>0</v>
      </c>
      <c s="125">
        <f>Предпосылки!AV$234*Предпосылки!$J266*Продажи!AW31*AW$19*(1+Чувствительность!$D$20)*IFERROR(LOOKUP(Предпосылки!$H$207,$C$13:$C$15,AW$13:AW$15),1)</f>
        <v>0</v>
      </c>
      <c s="125">
        <f>Предпосылки!AW$234*Предпосылки!$J266*Продажи!AX31*AX$19*(1+Чувствительность!$D$20)*IFERROR(LOOKUP(Предпосылки!$H$207,$C$13:$C$15,AX$13:AX$15),1)</f>
        <v>0</v>
      </c>
      <c s="125">
        <f>Предпосылки!AX$234*Предпосылки!$J266*Продажи!AY31*AY$19*(1+Чувствительность!$D$20)*IFERROR(LOOKUP(Предпосылки!$H$207,$C$13:$C$15,AY$13:AY$15),1)</f>
        <v>0</v>
      </c>
      <c s="125">
        <f>Предпосылки!AY$234*Предпосылки!$J266*Продажи!AZ31*AZ$19*(1+Чувствительность!$D$20)*IFERROR(LOOKUP(Предпосылки!$H$207,$C$13:$C$15,AZ$13:AZ$15),1)</f>
        <v>0</v>
      </c>
      <c s="125">
        <f>Предпосылки!AZ$234*Предпосылки!$J266*Продажи!BA31*BA$19*(1+Чувствительность!$D$20)*IFERROR(LOOKUP(Предпосылки!$H$207,$C$13:$C$15,BA$13:BA$15),1)</f>
        <v>0</v>
      </c>
      <c s="125">
        <f>Предпосылки!BA$234*Предпосылки!$J266*Продажи!BB31*BB$19*(1+Чувствительность!$D$20)*IFERROR(LOOKUP(Предпосылки!$H$207,$C$13:$C$15,BB$13:BB$15),1)</f>
        <v>0</v>
      </c>
      <c s="125">
        <f>Предпосылки!BB$234*Предпосылки!$J266*Продажи!BC31*BC$19*(1+Чувствительность!$D$20)*IFERROR(LOOKUP(Предпосылки!$H$207,$C$13:$C$15,BC$13:BC$15),1)</f>
        <v>0</v>
      </c>
      <c s="125">
        <f>Предпосылки!BC$234*Предпосылки!$J266*Продажи!BD31*BD$19*(1+Чувствительность!$D$20)*IFERROR(LOOKUP(Предпосылки!$H$207,$C$13:$C$15,BD$13:BD$15),1)</f>
        <v>0</v>
      </c>
      <c s="125">
        <f>Предпосылки!BD$234*Предпосылки!$J266*Продажи!BE31*BE$19*(1+Чувствительность!$D$20)*IFERROR(LOOKUP(Предпосылки!$H$207,$C$13:$C$15,BE$13:BE$15),1)</f>
        <v>0</v>
      </c>
      <c s="125">
        <f>Предпосылки!BE$234*Предпосылки!$J266*Продажи!BF31*BF$19*(1+Чувствительность!$D$20)*IFERROR(LOOKUP(Предпосылки!$H$207,$C$13:$C$15,BF$13:BF$15),1)</f>
        <v>0</v>
      </c>
      <c s="125">
        <f>Предпосылки!BF$234*Предпосылки!$J266*Продажи!BG31*BG$19*(1+Чувствительность!$D$20)*IFERROR(LOOKUP(Предпосылки!$H$207,$C$13:$C$15,BG$13:BG$15),1)</f>
        <v>0</v>
      </c>
      <c s="125">
        <f>Предпосылки!BG$234*Предпосылки!$J266*Продажи!BH31*BH$19*(1+Чувствительность!$D$20)*IFERROR(LOOKUP(Предпосылки!$H$207,$C$13:$C$15,BH$13:BH$15),1)</f>
        <v>0</v>
      </c>
      <c s="125">
        <f>Предпосылки!BH$234*Предпосылки!$J266*Продажи!BI31*BI$19*(1+Чувствительность!$D$20)*IFERROR(LOOKUP(Предпосылки!$H$207,$C$13:$C$15,BI$13:BI$15),1)</f>
        <v>0</v>
      </c>
      <c s="125">
        <f>Предпосылки!BI$234*Предпосылки!$J266*Продажи!BJ31*BJ$19*(1+Чувствительность!$D$20)*IFERROR(LOOKUP(Предпосылки!$H$207,$C$13:$C$15,BJ$13:BJ$15),1)</f>
        <v>0</v>
      </c>
      <c s="125">
        <f>Предпосылки!BJ$234*Предпосылки!$J266*Продажи!BK31*BK$19*(1+Чувствительность!$D$20)*IFERROR(LOOKUP(Предпосылки!$H$207,$C$13:$C$15,BK$13:BK$15),1)</f>
        <v>0</v>
      </c>
      <c s="125">
        <f>Предпосылки!BK$234*Предпосылки!$J266*Продажи!BL31*BL$19*(1+Чувствительность!$D$20)*IFERROR(LOOKUP(Предпосылки!$H$207,$C$13:$C$15,BL$13:BL$15),1)</f>
        <v>0</v>
      </c>
      <c s="125">
        <f>Предпосылки!BL$234*Предпосылки!$J266*Продажи!BM31*BM$19*(1+Чувствительность!$D$20)*IFERROR(LOOKUP(Предпосылки!$H$207,$C$13:$C$15,BM$13:BM$15),1)</f>
        <v>0</v>
      </c>
    </row>
    <row r="175" spans="2:65" ht="15" customHeight="1">
      <c r="B175" s="12" t="str">
        <f t="shared" si="91"/>
        <v>Продукт 15</v>
      </c>
      <c s="124" t="str">
        <f t="shared" si="90"/>
        <v>тыс. руб.</v>
      </c>
      <c s="276">
        <f t="shared" si="92"/>
        <v>0</v>
      </c>
      <c s="125">
        <f>Предпосылки!D$234*Предпосылки!$J267*Продажи!E32*E$19*(1+Чувствительность!$D$20)*IFERROR(LOOKUP(Предпосылки!$H$207,$C$13:$C$15,E$13:E$15),1)</f>
        <v>0</v>
      </c>
      <c s="125">
        <f>Предпосылки!E$234*Предпосылки!$J267*Продажи!F32*F$19*(1+Чувствительность!$D$20)*IFERROR(LOOKUP(Предпосылки!$H$207,$C$13:$C$15,F$13:F$15),1)</f>
        <v>0</v>
      </c>
      <c s="125">
        <f>Предпосылки!F$234*Предпосылки!$J267*Продажи!G32*G$19*(1+Чувствительность!$D$20)*IFERROR(LOOKUP(Предпосылки!$H$207,$C$13:$C$15,G$13:G$15),1)</f>
        <v>0</v>
      </c>
      <c s="125">
        <f>Предпосылки!G$234*Предпосылки!$J267*Продажи!H32*H$19*(1+Чувствительность!$D$20)*IFERROR(LOOKUP(Предпосылки!$H$207,$C$13:$C$15,H$13:H$15),1)</f>
        <v>0</v>
      </c>
      <c s="125">
        <f>Предпосылки!H$234*Предпосылки!$J267*Продажи!I32*I$19*(1+Чувствительность!$D$20)*IFERROR(LOOKUP(Предпосылки!$H$207,$C$13:$C$15,I$13:I$15),1)</f>
        <v>0</v>
      </c>
      <c s="125">
        <f>Предпосылки!I$234*Предпосылки!$J267*Продажи!J32*J$19*(1+Чувствительность!$D$20)*IFERROR(LOOKUP(Предпосылки!$H$207,$C$13:$C$15,J$13:J$15),1)</f>
        <v>0</v>
      </c>
      <c s="125">
        <f>Предпосылки!J$234*Предпосылки!$J267*Продажи!K32*K$19*(1+Чувствительность!$D$20)*IFERROR(LOOKUP(Предпосылки!$H$207,$C$13:$C$15,K$13:K$15),1)</f>
        <v>0</v>
      </c>
      <c s="125">
        <f>Предпосылки!K$234*Предпосылки!$J267*Продажи!L32*L$19*(1+Чувствительность!$D$20)*IFERROR(LOOKUP(Предпосылки!$H$207,$C$13:$C$15,L$13:L$15),1)</f>
        <v>0</v>
      </c>
      <c s="125">
        <f>Предпосылки!L$234*Предпосылки!$J267*Продажи!M32*M$19*(1+Чувствительность!$D$20)*IFERROR(LOOKUP(Предпосылки!$H$207,$C$13:$C$15,M$13:M$15),1)</f>
        <v>0</v>
      </c>
      <c s="125">
        <f>Предпосылки!M$234*Предпосылки!$J267*Продажи!N32*N$19*(1+Чувствительность!$D$20)*IFERROR(LOOKUP(Предпосылки!$H$207,$C$13:$C$15,N$13:N$15),1)</f>
        <v>0</v>
      </c>
      <c s="125">
        <f>Предпосылки!N$234*Предпосылки!$J267*Продажи!O32*O$19*(1+Чувствительность!$D$20)*IFERROR(LOOKUP(Предпосылки!$H$207,$C$13:$C$15,O$13:O$15),1)</f>
        <v>0</v>
      </c>
      <c s="125">
        <f>Предпосылки!O$234*Предпосылки!$J267*Продажи!P32*P$19*(1+Чувствительность!$D$20)*IFERROR(LOOKUP(Предпосылки!$H$207,$C$13:$C$15,P$13:P$15),1)</f>
        <v>0</v>
      </c>
      <c s="125">
        <f>Предпосылки!P$234*Предпосылки!$J267*Продажи!Q32*Q$19*(1+Чувствительность!$D$20)*IFERROR(LOOKUP(Предпосылки!$H$207,$C$13:$C$15,Q$13:Q$15),1)</f>
        <v>0</v>
      </c>
      <c s="125">
        <f>Предпосылки!Q$234*Предпосылки!$J267*Продажи!R32*R$19*(1+Чувствительность!$D$20)*IFERROR(LOOKUP(Предпосылки!$H$207,$C$13:$C$15,R$13:R$15),1)</f>
        <v>0</v>
      </c>
      <c s="125">
        <f>Предпосылки!R$234*Предпосылки!$J267*Продажи!S32*S$19*(1+Чувствительность!$D$20)*IFERROR(LOOKUP(Предпосылки!$H$207,$C$13:$C$15,S$13:S$15),1)</f>
        <v>0</v>
      </c>
      <c s="125">
        <f>Предпосылки!S$234*Предпосылки!$J267*Продажи!T32*T$19*(1+Чувствительность!$D$20)*IFERROR(LOOKUP(Предпосылки!$H$207,$C$13:$C$15,T$13:T$15),1)</f>
        <v>0</v>
      </c>
      <c s="125">
        <f>Предпосылки!T$234*Предпосылки!$J267*Продажи!U32*U$19*(1+Чувствительность!$D$20)*IFERROR(LOOKUP(Предпосылки!$H$207,$C$13:$C$15,U$13:U$15),1)</f>
        <v>0</v>
      </c>
      <c s="125">
        <f>Предпосылки!U$234*Предпосылки!$J267*Продажи!V32*V$19*(1+Чувствительность!$D$20)*IFERROR(LOOKUP(Предпосылки!$H$207,$C$13:$C$15,V$13:V$15),1)</f>
        <v>0</v>
      </c>
      <c s="125">
        <f>Предпосылки!V$234*Предпосылки!$J267*Продажи!W32*W$19*(1+Чувствительность!$D$20)*IFERROR(LOOKUP(Предпосылки!$H$207,$C$13:$C$15,W$13:W$15),1)</f>
        <v>0</v>
      </c>
      <c s="125">
        <f>Предпосылки!W$234*Предпосылки!$J267*Продажи!X32*X$19*(1+Чувствительность!$D$20)*IFERROR(LOOKUP(Предпосылки!$H$207,$C$13:$C$15,X$13:X$15),1)</f>
        <v>0</v>
      </c>
      <c s="125">
        <f>Предпосылки!X$234*Предпосылки!$J267*Продажи!Y32*Y$19*(1+Чувствительность!$D$20)*IFERROR(LOOKUP(Предпосылки!$H$207,$C$13:$C$15,Y$13:Y$15),1)</f>
        <v>0</v>
      </c>
      <c s="125">
        <f>Предпосылки!Y$234*Предпосылки!$J267*Продажи!Z32*Z$19*(1+Чувствительность!$D$20)*IFERROR(LOOKUP(Предпосылки!$H$207,$C$13:$C$15,Z$13:Z$15),1)</f>
        <v>0</v>
      </c>
      <c s="125">
        <f>Предпосылки!Z$234*Предпосылки!$J267*Продажи!AA32*AA$19*(1+Чувствительность!$D$20)*IFERROR(LOOKUP(Предпосылки!$H$207,$C$13:$C$15,AA$13:AA$15),1)</f>
        <v>0</v>
      </c>
      <c s="125">
        <f>Предпосылки!AA$234*Предпосылки!$J267*Продажи!AB32*AB$19*(1+Чувствительность!$D$20)*IFERROR(LOOKUP(Предпосылки!$H$207,$C$13:$C$15,AB$13:AB$15),1)</f>
        <v>0</v>
      </c>
      <c s="125">
        <f>Предпосылки!AB$234*Предпосылки!$J267*Продажи!AC32*AC$19*(1+Чувствительность!$D$20)*IFERROR(LOOKUP(Предпосылки!$H$207,$C$13:$C$15,AC$13:AC$15),1)</f>
        <v>0</v>
      </c>
      <c s="125">
        <f>Предпосылки!AC$234*Предпосылки!$J267*Продажи!AD32*AD$19*(1+Чувствительность!$D$20)*IFERROR(LOOKUP(Предпосылки!$H$207,$C$13:$C$15,AD$13:AD$15),1)</f>
        <v>0</v>
      </c>
      <c s="125">
        <f>Предпосылки!AD$234*Предпосылки!$J267*Продажи!AE32*AE$19*(1+Чувствительность!$D$20)*IFERROR(LOOKUP(Предпосылки!$H$207,$C$13:$C$15,AE$13:AE$15),1)</f>
        <v>0</v>
      </c>
      <c s="125">
        <f>Предпосылки!AE$234*Предпосылки!$J267*Продажи!AF32*AF$19*(1+Чувствительность!$D$20)*IFERROR(LOOKUP(Предпосылки!$H$207,$C$13:$C$15,AF$13:AF$15),1)</f>
        <v>0</v>
      </c>
      <c s="125">
        <f>Предпосылки!AF$234*Предпосылки!$J267*Продажи!AG32*AG$19*(1+Чувствительность!$D$20)*IFERROR(LOOKUP(Предпосылки!$H$207,$C$13:$C$15,AG$13:AG$15),1)</f>
        <v>0</v>
      </c>
      <c s="125">
        <f>Предпосылки!AG$234*Предпосылки!$J267*Продажи!AH32*AH$19*(1+Чувствительность!$D$20)*IFERROR(LOOKUP(Предпосылки!$H$207,$C$13:$C$15,AH$13:AH$15),1)</f>
        <v>0</v>
      </c>
      <c s="125">
        <f>Предпосылки!AH$234*Предпосылки!$J267*Продажи!AI32*AI$19*(1+Чувствительность!$D$20)*IFERROR(LOOKUP(Предпосылки!$H$207,$C$13:$C$15,AI$13:AI$15),1)</f>
        <v>0</v>
      </c>
      <c s="125">
        <f>Предпосылки!AI$234*Предпосылки!$J267*Продажи!AJ32*AJ$19*(1+Чувствительность!$D$20)*IFERROR(LOOKUP(Предпосылки!$H$207,$C$13:$C$15,AJ$13:AJ$15),1)</f>
        <v>0</v>
      </c>
      <c s="125">
        <f>Предпосылки!AJ$234*Предпосылки!$J267*Продажи!AK32*AK$19*(1+Чувствительность!$D$20)*IFERROR(LOOKUP(Предпосылки!$H$207,$C$13:$C$15,AK$13:AK$15),1)</f>
        <v>0</v>
      </c>
      <c s="125">
        <f>Предпосылки!AK$234*Предпосылки!$J267*Продажи!AL32*AL$19*(1+Чувствительность!$D$20)*IFERROR(LOOKUP(Предпосылки!$H$207,$C$13:$C$15,AL$13:AL$15),1)</f>
        <v>0</v>
      </c>
      <c s="125">
        <f>Предпосылки!AL$234*Предпосылки!$J267*Продажи!AM32*AM$19*(1+Чувствительность!$D$20)*IFERROR(LOOKUP(Предпосылки!$H$207,$C$13:$C$15,AM$13:AM$15),1)</f>
        <v>0</v>
      </c>
      <c s="125">
        <f>Предпосылки!AM$234*Предпосылки!$J267*Продажи!AN32*AN$19*(1+Чувствительность!$D$20)*IFERROR(LOOKUP(Предпосылки!$H$207,$C$13:$C$15,AN$13:AN$15),1)</f>
        <v>0</v>
      </c>
      <c s="125">
        <f>Предпосылки!AN$234*Предпосылки!$J267*Продажи!AO32*AO$19*(1+Чувствительность!$D$20)*IFERROR(LOOKUP(Предпосылки!$H$207,$C$13:$C$15,AO$13:AO$15),1)</f>
        <v>0</v>
      </c>
      <c s="125">
        <f>Предпосылки!AO$234*Предпосылки!$J267*Продажи!AP32*AP$19*(1+Чувствительность!$D$20)*IFERROR(LOOKUP(Предпосылки!$H$207,$C$13:$C$15,AP$13:AP$15),1)</f>
        <v>0</v>
      </c>
      <c s="125">
        <f>Предпосылки!AP$234*Предпосылки!$J267*Продажи!AQ32*AQ$19*(1+Чувствительность!$D$20)*IFERROR(LOOKUP(Предпосылки!$H$207,$C$13:$C$15,AQ$13:AQ$15),1)</f>
        <v>0</v>
      </c>
      <c s="125">
        <f>Предпосылки!AQ$234*Предпосылки!$J267*Продажи!AR32*AR$19*(1+Чувствительность!$D$20)*IFERROR(LOOKUP(Предпосылки!$H$207,$C$13:$C$15,AR$13:AR$15),1)</f>
        <v>0</v>
      </c>
      <c s="125">
        <f>Предпосылки!AR$234*Предпосылки!$J267*Продажи!AS32*AS$19*(1+Чувствительность!$D$20)*IFERROR(LOOKUP(Предпосылки!$H$207,$C$13:$C$15,AS$13:AS$15),1)</f>
        <v>0</v>
      </c>
      <c s="125">
        <f>Предпосылки!AS$234*Предпосылки!$J267*Продажи!AT32*AT$19*(1+Чувствительность!$D$20)*IFERROR(LOOKUP(Предпосылки!$H$207,$C$13:$C$15,AT$13:AT$15),1)</f>
        <v>0</v>
      </c>
      <c s="125">
        <f>Предпосылки!AT$234*Предпосылки!$J267*Продажи!AU32*AU$19*(1+Чувствительность!$D$20)*IFERROR(LOOKUP(Предпосылки!$H$207,$C$13:$C$15,AU$13:AU$15),1)</f>
        <v>0</v>
      </c>
      <c s="125">
        <f>Предпосылки!AU$234*Предпосылки!$J267*Продажи!AV32*AV$19*(1+Чувствительность!$D$20)*IFERROR(LOOKUP(Предпосылки!$H$207,$C$13:$C$15,AV$13:AV$15),1)</f>
        <v>0</v>
      </c>
      <c s="125">
        <f>Предпосылки!AV$234*Предпосылки!$J267*Продажи!AW32*AW$19*(1+Чувствительность!$D$20)*IFERROR(LOOKUP(Предпосылки!$H$207,$C$13:$C$15,AW$13:AW$15),1)</f>
        <v>0</v>
      </c>
      <c s="125">
        <f>Предпосылки!AW$234*Предпосылки!$J267*Продажи!AX32*AX$19*(1+Чувствительность!$D$20)*IFERROR(LOOKUP(Предпосылки!$H$207,$C$13:$C$15,AX$13:AX$15),1)</f>
        <v>0</v>
      </c>
      <c s="125">
        <f>Предпосылки!AX$234*Предпосылки!$J267*Продажи!AY32*AY$19*(1+Чувствительность!$D$20)*IFERROR(LOOKUP(Предпосылки!$H$207,$C$13:$C$15,AY$13:AY$15),1)</f>
        <v>0</v>
      </c>
      <c s="125">
        <f>Предпосылки!AY$234*Предпосылки!$J267*Продажи!AZ32*AZ$19*(1+Чувствительность!$D$20)*IFERROR(LOOKUP(Предпосылки!$H$207,$C$13:$C$15,AZ$13:AZ$15),1)</f>
        <v>0</v>
      </c>
      <c s="125">
        <f>Предпосылки!AZ$234*Предпосылки!$J267*Продажи!BA32*BA$19*(1+Чувствительность!$D$20)*IFERROR(LOOKUP(Предпосылки!$H$207,$C$13:$C$15,BA$13:BA$15),1)</f>
        <v>0</v>
      </c>
      <c s="125">
        <f>Предпосылки!BA$234*Предпосылки!$J267*Продажи!BB32*BB$19*(1+Чувствительность!$D$20)*IFERROR(LOOKUP(Предпосылки!$H$207,$C$13:$C$15,BB$13:BB$15),1)</f>
        <v>0</v>
      </c>
      <c s="125">
        <f>Предпосылки!BB$234*Предпосылки!$J267*Продажи!BC32*BC$19*(1+Чувствительность!$D$20)*IFERROR(LOOKUP(Предпосылки!$H$207,$C$13:$C$15,BC$13:BC$15),1)</f>
        <v>0</v>
      </c>
      <c s="125">
        <f>Предпосылки!BC$234*Предпосылки!$J267*Продажи!BD32*BD$19*(1+Чувствительность!$D$20)*IFERROR(LOOKUP(Предпосылки!$H$207,$C$13:$C$15,BD$13:BD$15),1)</f>
        <v>0</v>
      </c>
      <c s="125">
        <f>Предпосылки!BD$234*Предпосылки!$J267*Продажи!BE32*BE$19*(1+Чувствительность!$D$20)*IFERROR(LOOKUP(Предпосылки!$H$207,$C$13:$C$15,BE$13:BE$15),1)</f>
        <v>0</v>
      </c>
      <c s="125">
        <f>Предпосылки!BE$234*Предпосылки!$J267*Продажи!BF32*BF$19*(1+Чувствительность!$D$20)*IFERROR(LOOKUP(Предпосылки!$H$207,$C$13:$C$15,BF$13:BF$15),1)</f>
        <v>0</v>
      </c>
      <c s="125">
        <f>Предпосылки!BF$234*Предпосылки!$J267*Продажи!BG32*BG$19*(1+Чувствительность!$D$20)*IFERROR(LOOKUP(Предпосылки!$H$207,$C$13:$C$15,BG$13:BG$15),1)</f>
        <v>0</v>
      </c>
      <c s="125">
        <f>Предпосылки!BG$234*Предпосылки!$J267*Продажи!BH32*BH$19*(1+Чувствительность!$D$20)*IFERROR(LOOKUP(Предпосылки!$H$207,$C$13:$C$15,BH$13:BH$15),1)</f>
        <v>0</v>
      </c>
      <c s="125">
        <f>Предпосылки!BH$234*Предпосылки!$J267*Продажи!BI32*BI$19*(1+Чувствительность!$D$20)*IFERROR(LOOKUP(Предпосылки!$H$207,$C$13:$C$15,BI$13:BI$15),1)</f>
        <v>0</v>
      </c>
      <c s="125">
        <f>Предпосылки!BI$234*Предпосылки!$J267*Продажи!BJ32*BJ$19*(1+Чувствительность!$D$20)*IFERROR(LOOKUP(Предпосылки!$H$207,$C$13:$C$15,BJ$13:BJ$15),1)</f>
        <v>0</v>
      </c>
      <c s="125">
        <f>Предпосылки!BJ$234*Предпосылки!$J267*Продажи!BK32*BK$19*(1+Чувствительность!$D$20)*IFERROR(LOOKUP(Предпосылки!$H$207,$C$13:$C$15,BK$13:BK$15),1)</f>
        <v>0</v>
      </c>
      <c s="125">
        <f>Предпосылки!BK$234*Предпосылки!$J267*Продажи!BL32*BL$19*(1+Чувствительность!$D$20)*IFERROR(LOOKUP(Предпосылки!$H$207,$C$13:$C$15,BL$13:BL$15),1)</f>
        <v>0</v>
      </c>
      <c s="125">
        <f>Предпосылки!BL$234*Предпосылки!$J267*Продажи!BM32*BM$19*(1+Чувствительность!$D$20)*IFERROR(LOOKUP(Предпосылки!$H$207,$C$13:$C$15,BM$13:BM$15),1)</f>
        <v>0</v>
      </c>
    </row>
    <row r="176" spans="2:65" ht="15" customHeight="1">
      <c r="B176" s="12" t="str">
        <f t="shared" si="91"/>
        <v>Продукт 16</v>
      </c>
      <c s="124" t="str">
        <f t="shared" si="90"/>
        <v>тыс. руб.</v>
      </c>
      <c s="276">
        <f t="shared" si="92"/>
        <v>0</v>
      </c>
      <c s="125">
        <f>Предпосылки!D$234*Предпосылки!$J268*Продажи!E33*E$19*(1+Чувствительность!$D$20)*IFERROR(LOOKUP(Предпосылки!$H$207,$C$13:$C$15,E$13:E$15),1)</f>
        <v>0</v>
      </c>
      <c s="125">
        <f>Предпосылки!E$234*Предпосылки!$J268*Продажи!F33*F$19*(1+Чувствительность!$D$20)*IFERROR(LOOKUP(Предпосылки!$H$207,$C$13:$C$15,F$13:F$15),1)</f>
        <v>0</v>
      </c>
      <c s="125">
        <f>Предпосылки!F$234*Предпосылки!$J268*Продажи!G33*G$19*(1+Чувствительность!$D$20)*IFERROR(LOOKUP(Предпосылки!$H$207,$C$13:$C$15,G$13:G$15),1)</f>
        <v>0</v>
      </c>
      <c s="125">
        <f>Предпосылки!G$234*Предпосылки!$J268*Продажи!H33*H$19*(1+Чувствительность!$D$20)*IFERROR(LOOKUP(Предпосылки!$H$207,$C$13:$C$15,H$13:H$15),1)</f>
        <v>0</v>
      </c>
      <c s="125">
        <f>Предпосылки!H$234*Предпосылки!$J268*Продажи!I33*I$19*(1+Чувствительность!$D$20)*IFERROR(LOOKUP(Предпосылки!$H$207,$C$13:$C$15,I$13:I$15),1)</f>
        <v>0</v>
      </c>
      <c s="125">
        <f>Предпосылки!I$234*Предпосылки!$J268*Продажи!J33*J$19*(1+Чувствительность!$D$20)*IFERROR(LOOKUP(Предпосылки!$H$207,$C$13:$C$15,J$13:J$15),1)</f>
        <v>0</v>
      </c>
      <c s="125">
        <f>Предпосылки!J$234*Предпосылки!$J268*Продажи!K33*K$19*(1+Чувствительность!$D$20)*IFERROR(LOOKUP(Предпосылки!$H$207,$C$13:$C$15,K$13:K$15),1)</f>
        <v>0</v>
      </c>
      <c s="125">
        <f>Предпосылки!K$234*Предпосылки!$J268*Продажи!L33*L$19*(1+Чувствительность!$D$20)*IFERROR(LOOKUP(Предпосылки!$H$207,$C$13:$C$15,L$13:L$15),1)</f>
        <v>0</v>
      </c>
      <c s="125">
        <f>Предпосылки!L$234*Предпосылки!$J268*Продажи!M33*M$19*(1+Чувствительность!$D$20)*IFERROR(LOOKUP(Предпосылки!$H$207,$C$13:$C$15,M$13:M$15),1)</f>
        <v>0</v>
      </c>
      <c s="125">
        <f>Предпосылки!M$234*Предпосылки!$J268*Продажи!N33*N$19*(1+Чувствительность!$D$20)*IFERROR(LOOKUP(Предпосылки!$H$207,$C$13:$C$15,N$13:N$15),1)</f>
        <v>0</v>
      </c>
      <c s="125">
        <f>Предпосылки!N$234*Предпосылки!$J268*Продажи!O33*O$19*(1+Чувствительность!$D$20)*IFERROR(LOOKUP(Предпосылки!$H$207,$C$13:$C$15,O$13:O$15),1)</f>
        <v>0</v>
      </c>
      <c s="125">
        <f>Предпосылки!O$234*Предпосылки!$J268*Продажи!P33*P$19*(1+Чувствительность!$D$20)*IFERROR(LOOKUP(Предпосылки!$H$207,$C$13:$C$15,P$13:P$15),1)</f>
        <v>0</v>
      </c>
      <c s="125">
        <f>Предпосылки!P$234*Предпосылки!$J268*Продажи!Q33*Q$19*(1+Чувствительность!$D$20)*IFERROR(LOOKUP(Предпосылки!$H$207,$C$13:$C$15,Q$13:Q$15),1)</f>
        <v>0</v>
      </c>
      <c s="125">
        <f>Предпосылки!Q$234*Предпосылки!$J268*Продажи!R33*R$19*(1+Чувствительность!$D$20)*IFERROR(LOOKUP(Предпосылки!$H$207,$C$13:$C$15,R$13:R$15),1)</f>
        <v>0</v>
      </c>
      <c s="125">
        <f>Предпосылки!R$234*Предпосылки!$J268*Продажи!S33*S$19*(1+Чувствительность!$D$20)*IFERROR(LOOKUP(Предпосылки!$H$207,$C$13:$C$15,S$13:S$15),1)</f>
        <v>0</v>
      </c>
      <c s="125">
        <f>Предпосылки!S$234*Предпосылки!$J268*Продажи!T33*T$19*(1+Чувствительность!$D$20)*IFERROR(LOOKUP(Предпосылки!$H$207,$C$13:$C$15,T$13:T$15),1)</f>
        <v>0</v>
      </c>
      <c s="125">
        <f>Предпосылки!T$234*Предпосылки!$J268*Продажи!U33*U$19*(1+Чувствительность!$D$20)*IFERROR(LOOKUP(Предпосылки!$H$207,$C$13:$C$15,U$13:U$15),1)</f>
        <v>0</v>
      </c>
      <c s="125">
        <f>Предпосылки!U$234*Предпосылки!$J268*Продажи!V33*V$19*(1+Чувствительность!$D$20)*IFERROR(LOOKUP(Предпосылки!$H$207,$C$13:$C$15,V$13:V$15),1)</f>
        <v>0</v>
      </c>
      <c s="125">
        <f>Предпосылки!V$234*Предпосылки!$J268*Продажи!W33*W$19*(1+Чувствительность!$D$20)*IFERROR(LOOKUP(Предпосылки!$H$207,$C$13:$C$15,W$13:W$15),1)</f>
        <v>0</v>
      </c>
      <c s="125">
        <f>Предпосылки!W$234*Предпосылки!$J268*Продажи!X33*X$19*(1+Чувствительность!$D$20)*IFERROR(LOOKUP(Предпосылки!$H$207,$C$13:$C$15,X$13:X$15),1)</f>
        <v>0</v>
      </c>
      <c s="125">
        <f>Предпосылки!X$234*Предпосылки!$J268*Продажи!Y33*Y$19*(1+Чувствительность!$D$20)*IFERROR(LOOKUP(Предпосылки!$H$207,$C$13:$C$15,Y$13:Y$15),1)</f>
        <v>0</v>
      </c>
      <c s="125">
        <f>Предпосылки!Y$234*Предпосылки!$J268*Продажи!Z33*Z$19*(1+Чувствительность!$D$20)*IFERROR(LOOKUP(Предпосылки!$H$207,$C$13:$C$15,Z$13:Z$15),1)</f>
        <v>0</v>
      </c>
      <c s="125">
        <f>Предпосылки!Z$234*Предпосылки!$J268*Продажи!AA33*AA$19*(1+Чувствительность!$D$20)*IFERROR(LOOKUP(Предпосылки!$H$207,$C$13:$C$15,AA$13:AA$15),1)</f>
        <v>0</v>
      </c>
      <c s="125">
        <f>Предпосылки!AA$234*Предпосылки!$J268*Продажи!AB33*AB$19*(1+Чувствительность!$D$20)*IFERROR(LOOKUP(Предпосылки!$H$207,$C$13:$C$15,AB$13:AB$15),1)</f>
        <v>0</v>
      </c>
      <c s="125">
        <f>Предпосылки!AB$234*Предпосылки!$J268*Продажи!AC33*AC$19*(1+Чувствительность!$D$20)*IFERROR(LOOKUP(Предпосылки!$H$207,$C$13:$C$15,AC$13:AC$15),1)</f>
        <v>0</v>
      </c>
      <c s="125">
        <f>Предпосылки!AC$234*Предпосылки!$J268*Продажи!AD33*AD$19*(1+Чувствительность!$D$20)*IFERROR(LOOKUP(Предпосылки!$H$207,$C$13:$C$15,AD$13:AD$15),1)</f>
        <v>0</v>
      </c>
      <c s="125">
        <f>Предпосылки!AD$234*Предпосылки!$J268*Продажи!AE33*AE$19*(1+Чувствительность!$D$20)*IFERROR(LOOKUP(Предпосылки!$H$207,$C$13:$C$15,AE$13:AE$15),1)</f>
        <v>0</v>
      </c>
      <c s="125">
        <f>Предпосылки!AE$234*Предпосылки!$J268*Продажи!AF33*AF$19*(1+Чувствительность!$D$20)*IFERROR(LOOKUP(Предпосылки!$H$207,$C$13:$C$15,AF$13:AF$15),1)</f>
        <v>0</v>
      </c>
      <c s="125">
        <f>Предпосылки!AF$234*Предпосылки!$J268*Продажи!AG33*AG$19*(1+Чувствительность!$D$20)*IFERROR(LOOKUP(Предпосылки!$H$207,$C$13:$C$15,AG$13:AG$15),1)</f>
        <v>0</v>
      </c>
      <c s="125">
        <f>Предпосылки!AG$234*Предпосылки!$J268*Продажи!AH33*AH$19*(1+Чувствительность!$D$20)*IFERROR(LOOKUP(Предпосылки!$H$207,$C$13:$C$15,AH$13:AH$15),1)</f>
        <v>0</v>
      </c>
      <c s="125">
        <f>Предпосылки!AH$234*Предпосылки!$J268*Продажи!AI33*AI$19*(1+Чувствительность!$D$20)*IFERROR(LOOKUP(Предпосылки!$H$207,$C$13:$C$15,AI$13:AI$15),1)</f>
        <v>0</v>
      </c>
      <c s="125">
        <f>Предпосылки!AI$234*Предпосылки!$J268*Продажи!AJ33*AJ$19*(1+Чувствительность!$D$20)*IFERROR(LOOKUP(Предпосылки!$H$207,$C$13:$C$15,AJ$13:AJ$15),1)</f>
        <v>0</v>
      </c>
      <c s="125">
        <f>Предпосылки!AJ$234*Предпосылки!$J268*Продажи!AK33*AK$19*(1+Чувствительность!$D$20)*IFERROR(LOOKUP(Предпосылки!$H$207,$C$13:$C$15,AK$13:AK$15),1)</f>
        <v>0</v>
      </c>
      <c s="125">
        <f>Предпосылки!AK$234*Предпосылки!$J268*Продажи!AL33*AL$19*(1+Чувствительность!$D$20)*IFERROR(LOOKUP(Предпосылки!$H$207,$C$13:$C$15,AL$13:AL$15),1)</f>
        <v>0</v>
      </c>
      <c s="125">
        <f>Предпосылки!AL$234*Предпосылки!$J268*Продажи!AM33*AM$19*(1+Чувствительность!$D$20)*IFERROR(LOOKUP(Предпосылки!$H$207,$C$13:$C$15,AM$13:AM$15),1)</f>
        <v>0</v>
      </c>
      <c s="125">
        <f>Предпосылки!AM$234*Предпосылки!$J268*Продажи!AN33*AN$19*(1+Чувствительность!$D$20)*IFERROR(LOOKUP(Предпосылки!$H$207,$C$13:$C$15,AN$13:AN$15),1)</f>
        <v>0</v>
      </c>
      <c s="125">
        <f>Предпосылки!AN$234*Предпосылки!$J268*Продажи!AO33*AO$19*(1+Чувствительность!$D$20)*IFERROR(LOOKUP(Предпосылки!$H$207,$C$13:$C$15,AO$13:AO$15),1)</f>
        <v>0</v>
      </c>
      <c s="125">
        <f>Предпосылки!AO$234*Предпосылки!$J268*Продажи!AP33*AP$19*(1+Чувствительность!$D$20)*IFERROR(LOOKUP(Предпосылки!$H$207,$C$13:$C$15,AP$13:AP$15),1)</f>
        <v>0</v>
      </c>
      <c s="125">
        <f>Предпосылки!AP$234*Предпосылки!$J268*Продажи!AQ33*AQ$19*(1+Чувствительность!$D$20)*IFERROR(LOOKUP(Предпосылки!$H$207,$C$13:$C$15,AQ$13:AQ$15),1)</f>
        <v>0</v>
      </c>
      <c s="125">
        <f>Предпосылки!AQ$234*Предпосылки!$J268*Продажи!AR33*AR$19*(1+Чувствительность!$D$20)*IFERROR(LOOKUP(Предпосылки!$H$207,$C$13:$C$15,AR$13:AR$15),1)</f>
        <v>0</v>
      </c>
      <c s="125">
        <f>Предпосылки!AR$234*Предпосылки!$J268*Продажи!AS33*AS$19*(1+Чувствительность!$D$20)*IFERROR(LOOKUP(Предпосылки!$H$207,$C$13:$C$15,AS$13:AS$15),1)</f>
        <v>0</v>
      </c>
      <c s="125">
        <f>Предпосылки!AS$234*Предпосылки!$J268*Продажи!AT33*AT$19*(1+Чувствительность!$D$20)*IFERROR(LOOKUP(Предпосылки!$H$207,$C$13:$C$15,AT$13:AT$15),1)</f>
        <v>0</v>
      </c>
      <c s="125">
        <f>Предпосылки!AT$234*Предпосылки!$J268*Продажи!AU33*AU$19*(1+Чувствительность!$D$20)*IFERROR(LOOKUP(Предпосылки!$H$207,$C$13:$C$15,AU$13:AU$15),1)</f>
        <v>0</v>
      </c>
      <c s="125">
        <f>Предпосылки!AU$234*Предпосылки!$J268*Продажи!AV33*AV$19*(1+Чувствительность!$D$20)*IFERROR(LOOKUP(Предпосылки!$H$207,$C$13:$C$15,AV$13:AV$15),1)</f>
        <v>0</v>
      </c>
      <c s="125">
        <f>Предпосылки!AV$234*Предпосылки!$J268*Продажи!AW33*AW$19*(1+Чувствительность!$D$20)*IFERROR(LOOKUP(Предпосылки!$H$207,$C$13:$C$15,AW$13:AW$15),1)</f>
        <v>0</v>
      </c>
      <c s="125">
        <f>Предпосылки!AW$234*Предпосылки!$J268*Продажи!AX33*AX$19*(1+Чувствительность!$D$20)*IFERROR(LOOKUP(Предпосылки!$H$207,$C$13:$C$15,AX$13:AX$15),1)</f>
        <v>0</v>
      </c>
      <c s="125">
        <f>Предпосылки!AX$234*Предпосылки!$J268*Продажи!AY33*AY$19*(1+Чувствительность!$D$20)*IFERROR(LOOKUP(Предпосылки!$H$207,$C$13:$C$15,AY$13:AY$15),1)</f>
        <v>0</v>
      </c>
      <c s="125">
        <f>Предпосылки!AY$234*Предпосылки!$J268*Продажи!AZ33*AZ$19*(1+Чувствительность!$D$20)*IFERROR(LOOKUP(Предпосылки!$H$207,$C$13:$C$15,AZ$13:AZ$15),1)</f>
        <v>0</v>
      </c>
      <c s="125">
        <f>Предпосылки!AZ$234*Предпосылки!$J268*Продажи!BA33*BA$19*(1+Чувствительность!$D$20)*IFERROR(LOOKUP(Предпосылки!$H$207,$C$13:$C$15,BA$13:BA$15),1)</f>
        <v>0</v>
      </c>
      <c s="125">
        <f>Предпосылки!BA$234*Предпосылки!$J268*Продажи!BB33*BB$19*(1+Чувствительность!$D$20)*IFERROR(LOOKUP(Предпосылки!$H$207,$C$13:$C$15,BB$13:BB$15),1)</f>
        <v>0</v>
      </c>
      <c s="125">
        <f>Предпосылки!BB$234*Предпосылки!$J268*Продажи!BC33*BC$19*(1+Чувствительность!$D$20)*IFERROR(LOOKUP(Предпосылки!$H$207,$C$13:$C$15,BC$13:BC$15),1)</f>
        <v>0</v>
      </c>
      <c s="125">
        <f>Предпосылки!BC$234*Предпосылки!$J268*Продажи!BD33*BD$19*(1+Чувствительность!$D$20)*IFERROR(LOOKUP(Предпосылки!$H$207,$C$13:$C$15,BD$13:BD$15),1)</f>
        <v>0</v>
      </c>
      <c s="125">
        <f>Предпосылки!BD$234*Предпосылки!$J268*Продажи!BE33*BE$19*(1+Чувствительность!$D$20)*IFERROR(LOOKUP(Предпосылки!$H$207,$C$13:$C$15,BE$13:BE$15),1)</f>
        <v>0</v>
      </c>
      <c s="125">
        <f>Предпосылки!BE$234*Предпосылки!$J268*Продажи!BF33*BF$19*(1+Чувствительность!$D$20)*IFERROR(LOOKUP(Предпосылки!$H$207,$C$13:$C$15,BF$13:BF$15),1)</f>
        <v>0</v>
      </c>
      <c s="125">
        <f>Предпосылки!BF$234*Предпосылки!$J268*Продажи!BG33*BG$19*(1+Чувствительность!$D$20)*IFERROR(LOOKUP(Предпосылки!$H$207,$C$13:$C$15,BG$13:BG$15),1)</f>
        <v>0</v>
      </c>
      <c s="125">
        <f>Предпосылки!BG$234*Предпосылки!$J268*Продажи!BH33*BH$19*(1+Чувствительность!$D$20)*IFERROR(LOOKUP(Предпосылки!$H$207,$C$13:$C$15,BH$13:BH$15),1)</f>
        <v>0</v>
      </c>
      <c s="125">
        <f>Предпосылки!BH$234*Предпосылки!$J268*Продажи!BI33*BI$19*(1+Чувствительность!$D$20)*IFERROR(LOOKUP(Предпосылки!$H$207,$C$13:$C$15,BI$13:BI$15),1)</f>
        <v>0</v>
      </c>
      <c s="125">
        <f>Предпосылки!BI$234*Предпосылки!$J268*Продажи!BJ33*BJ$19*(1+Чувствительность!$D$20)*IFERROR(LOOKUP(Предпосылки!$H$207,$C$13:$C$15,BJ$13:BJ$15),1)</f>
        <v>0</v>
      </c>
      <c s="125">
        <f>Предпосылки!BJ$234*Предпосылки!$J268*Продажи!BK33*BK$19*(1+Чувствительность!$D$20)*IFERROR(LOOKUP(Предпосылки!$H$207,$C$13:$C$15,BK$13:BK$15),1)</f>
        <v>0</v>
      </c>
      <c s="125">
        <f>Предпосылки!BK$234*Предпосылки!$J268*Продажи!BL33*BL$19*(1+Чувствительность!$D$20)*IFERROR(LOOKUP(Предпосылки!$H$207,$C$13:$C$15,BL$13:BL$15),1)</f>
        <v>0</v>
      </c>
      <c s="125">
        <f>Предпосылки!BL$234*Предпосылки!$J268*Продажи!BM33*BM$19*(1+Чувствительность!$D$20)*IFERROR(LOOKUP(Предпосылки!$H$207,$C$13:$C$15,BM$13:BM$15),1)</f>
        <v>0</v>
      </c>
    </row>
    <row r="177" spans="2:65" ht="15" customHeight="1">
      <c r="B177" s="12" t="str">
        <f t="shared" si="91"/>
        <v>Продукт 17</v>
      </c>
      <c s="124" t="str">
        <f t="shared" si="90"/>
        <v>тыс. руб.</v>
      </c>
      <c s="276">
        <f t="shared" si="92"/>
        <v>0</v>
      </c>
      <c s="125">
        <f>Предпосылки!D$234*Предпосылки!$J269*Продажи!E34*E$19*(1+Чувствительность!$D$20)*IFERROR(LOOKUP(Предпосылки!$H$207,$C$13:$C$15,E$13:E$15),1)</f>
        <v>0</v>
      </c>
      <c s="125">
        <f>Предпосылки!E$234*Предпосылки!$J269*Продажи!F34*F$19*(1+Чувствительность!$D$20)*IFERROR(LOOKUP(Предпосылки!$H$207,$C$13:$C$15,F$13:F$15),1)</f>
        <v>0</v>
      </c>
      <c s="125">
        <f>Предпосылки!F$234*Предпосылки!$J269*Продажи!G34*G$19*(1+Чувствительность!$D$20)*IFERROR(LOOKUP(Предпосылки!$H$207,$C$13:$C$15,G$13:G$15),1)</f>
        <v>0</v>
      </c>
      <c s="125">
        <f>Предпосылки!G$234*Предпосылки!$J269*Продажи!H34*H$19*(1+Чувствительность!$D$20)*IFERROR(LOOKUP(Предпосылки!$H$207,$C$13:$C$15,H$13:H$15),1)</f>
        <v>0</v>
      </c>
      <c s="125">
        <f>Предпосылки!H$234*Предпосылки!$J269*Продажи!I34*I$19*(1+Чувствительность!$D$20)*IFERROR(LOOKUP(Предпосылки!$H$207,$C$13:$C$15,I$13:I$15),1)</f>
        <v>0</v>
      </c>
      <c s="125">
        <f>Предпосылки!I$234*Предпосылки!$J269*Продажи!J34*J$19*(1+Чувствительность!$D$20)*IFERROR(LOOKUP(Предпосылки!$H$207,$C$13:$C$15,J$13:J$15),1)</f>
        <v>0</v>
      </c>
      <c s="125">
        <f>Предпосылки!J$234*Предпосылки!$J269*Продажи!K34*K$19*(1+Чувствительность!$D$20)*IFERROR(LOOKUP(Предпосылки!$H$207,$C$13:$C$15,K$13:K$15),1)</f>
        <v>0</v>
      </c>
      <c s="125">
        <f>Предпосылки!K$234*Предпосылки!$J269*Продажи!L34*L$19*(1+Чувствительность!$D$20)*IFERROR(LOOKUP(Предпосылки!$H$207,$C$13:$C$15,L$13:L$15),1)</f>
        <v>0</v>
      </c>
      <c s="125">
        <f>Предпосылки!L$234*Предпосылки!$J269*Продажи!M34*M$19*(1+Чувствительность!$D$20)*IFERROR(LOOKUP(Предпосылки!$H$207,$C$13:$C$15,M$13:M$15),1)</f>
        <v>0</v>
      </c>
      <c s="125">
        <f>Предпосылки!M$234*Предпосылки!$J269*Продажи!N34*N$19*(1+Чувствительность!$D$20)*IFERROR(LOOKUP(Предпосылки!$H$207,$C$13:$C$15,N$13:N$15),1)</f>
        <v>0</v>
      </c>
      <c s="125">
        <f>Предпосылки!N$234*Предпосылки!$J269*Продажи!O34*O$19*(1+Чувствительность!$D$20)*IFERROR(LOOKUP(Предпосылки!$H$207,$C$13:$C$15,O$13:O$15),1)</f>
        <v>0</v>
      </c>
      <c s="125">
        <f>Предпосылки!O$234*Предпосылки!$J269*Продажи!P34*P$19*(1+Чувствительность!$D$20)*IFERROR(LOOKUP(Предпосылки!$H$207,$C$13:$C$15,P$13:P$15),1)</f>
        <v>0</v>
      </c>
      <c s="125">
        <f>Предпосылки!P$234*Предпосылки!$J269*Продажи!Q34*Q$19*(1+Чувствительность!$D$20)*IFERROR(LOOKUP(Предпосылки!$H$207,$C$13:$C$15,Q$13:Q$15),1)</f>
        <v>0</v>
      </c>
      <c s="125">
        <f>Предпосылки!Q$234*Предпосылки!$J269*Продажи!R34*R$19*(1+Чувствительность!$D$20)*IFERROR(LOOKUP(Предпосылки!$H$207,$C$13:$C$15,R$13:R$15),1)</f>
        <v>0</v>
      </c>
      <c s="125">
        <f>Предпосылки!R$234*Предпосылки!$J269*Продажи!S34*S$19*(1+Чувствительность!$D$20)*IFERROR(LOOKUP(Предпосылки!$H$207,$C$13:$C$15,S$13:S$15),1)</f>
        <v>0</v>
      </c>
      <c s="125">
        <f>Предпосылки!S$234*Предпосылки!$J269*Продажи!T34*T$19*(1+Чувствительность!$D$20)*IFERROR(LOOKUP(Предпосылки!$H$207,$C$13:$C$15,T$13:T$15),1)</f>
        <v>0</v>
      </c>
      <c s="125">
        <f>Предпосылки!T$234*Предпосылки!$J269*Продажи!U34*U$19*(1+Чувствительность!$D$20)*IFERROR(LOOKUP(Предпосылки!$H$207,$C$13:$C$15,U$13:U$15),1)</f>
        <v>0</v>
      </c>
      <c s="125">
        <f>Предпосылки!U$234*Предпосылки!$J269*Продажи!V34*V$19*(1+Чувствительность!$D$20)*IFERROR(LOOKUP(Предпосылки!$H$207,$C$13:$C$15,V$13:V$15),1)</f>
        <v>0</v>
      </c>
      <c s="125">
        <f>Предпосылки!V$234*Предпосылки!$J269*Продажи!W34*W$19*(1+Чувствительность!$D$20)*IFERROR(LOOKUP(Предпосылки!$H$207,$C$13:$C$15,W$13:W$15),1)</f>
        <v>0</v>
      </c>
      <c s="125">
        <f>Предпосылки!W$234*Предпосылки!$J269*Продажи!X34*X$19*(1+Чувствительность!$D$20)*IFERROR(LOOKUP(Предпосылки!$H$207,$C$13:$C$15,X$13:X$15),1)</f>
        <v>0</v>
      </c>
      <c s="125">
        <f>Предпосылки!X$234*Предпосылки!$J269*Продажи!Y34*Y$19*(1+Чувствительность!$D$20)*IFERROR(LOOKUP(Предпосылки!$H$207,$C$13:$C$15,Y$13:Y$15),1)</f>
        <v>0</v>
      </c>
      <c s="125">
        <f>Предпосылки!Y$234*Предпосылки!$J269*Продажи!Z34*Z$19*(1+Чувствительность!$D$20)*IFERROR(LOOKUP(Предпосылки!$H$207,$C$13:$C$15,Z$13:Z$15),1)</f>
        <v>0</v>
      </c>
      <c s="125">
        <f>Предпосылки!Z$234*Предпосылки!$J269*Продажи!AA34*AA$19*(1+Чувствительность!$D$20)*IFERROR(LOOKUP(Предпосылки!$H$207,$C$13:$C$15,AA$13:AA$15),1)</f>
        <v>0</v>
      </c>
      <c s="125">
        <f>Предпосылки!AA$234*Предпосылки!$J269*Продажи!AB34*AB$19*(1+Чувствительность!$D$20)*IFERROR(LOOKUP(Предпосылки!$H$207,$C$13:$C$15,AB$13:AB$15),1)</f>
        <v>0</v>
      </c>
      <c s="125">
        <f>Предпосылки!AB$234*Предпосылки!$J269*Продажи!AC34*AC$19*(1+Чувствительность!$D$20)*IFERROR(LOOKUP(Предпосылки!$H$207,$C$13:$C$15,AC$13:AC$15),1)</f>
        <v>0</v>
      </c>
      <c s="125">
        <f>Предпосылки!AC$234*Предпосылки!$J269*Продажи!AD34*AD$19*(1+Чувствительность!$D$20)*IFERROR(LOOKUP(Предпосылки!$H$207,$C$13:$C$15,AD$13:AD$15),1)</f>
        <v>0</v>
      </c>
      <c s="125">
        <f>Предпосылки!AD$234*Предпосылки!$J269*Продажи!AE34*AE$19*(1+Чувствительность!$D$20)*IFERROR(LOOKUP(Предпосылки!$H$207,$C$13:$C$15,AE$13:AE$15),1)</f>
        <v>0</v>
      </c>
      <c s="125">
        <f>Предпосылки!AE$234*Предпосылки!$J269*Продажи!AF34*AF$19*(1+Чувствительность!$D$20)*IFERROR(LOOKUP(Предпосылки!$H$207,$C$13:$C$15,AF$13:AF$15),1)</f>
        <v>0</v>
      </c>
      <c s="125">
        <f>Предпосылки!AF$234*Предпосылки!$J269*Продажи!AG34*AG$19*(1+Чувствительность!$D$20)*IFERROR(LOOKUP(Предпосылки!$H$207,$C$13:$C$15,AG$13:AG$15),1)</f>
        <v>0</v>
      </c>
      <c s="125">
        <f>Предпосылки!AG$234*Предпосылки!$J269*Продажи!AH34*AH$19*(1+Чувствительность!$D$20)*IFERROR(LOOKUP(Предпосылки!$H$207,$C$13:$C$15,AH$13:AH$15),1)</f>
        <v>0</v>
      </c>
      <c s="125">
        <f>Предпосылки!AH$234*Предпосылки!$J269*Продажи!AI34*AI$19*(1+Чувствительность!$D$20)*IFERROR(LOOKUP(Предпосылки!$H$207,$C$13:$C$15,AI$13:AI$15),1)</f>
        <v>0</v>
      </c>
      <c s="125">
        <f>Предпосылки!AI$234*Предпосылки!$J269*Продажи!AJ34*AJ$19*(1+Чувствительность!$D$20)*IFERROR(LOOKUP(Предпосылки!$H$207,$C$13:$C$15,AJ$13:AJ$15),1)</f>
        <v>0</v>
      </c>
      <c s="125">
        <f>Предпосылки!AJ$234*Предпосылки!$J269*Продажи!AK34*AK$19*(1+Чувствительность!$D$20)*IFERROR(LOOKUP(Предпосылки!$H$207,$C$13:$C$15,AK$13:AK$15),1)</f>
        <v>0</v>
      </c>
      <c s="125">
        <f>Предпосылки!AK$234*Предпосылки!$J269*Продажи!AL34*AL$19*(1+Чувствительность!$D$20)*IFERROR(LOOKUP(Предпосылки!$H$207,$C$13:$C$15,AL$13:AL$15),1)</f>
        <v>0</v>
      </c>
      <c s="125">
        <f>Предпосылки!AL$234*Предпосылки!$J269*Продажи!AM34*AM$19*(1+Чувствительность!$D$20)*IFERROR(LOOKUP(Предпосылки!$H$207,$C$13:$C$15,AM$13:AM$15),1)</f>
        <v>0</v>
      </c>
      <c s="125">
        <f>Предпосылки!AM$234*Предпосылки!$J269*Продажи!AN34*AN$19*(1+Чувствительность!$D$20)*IFERROR(LOOKUP(Предпосылки!$H$207,$C$13:$C$15,AN$13:AN$15),1)</f>
        <v>0</v>
      </c>
      <c s="125">
        <f>Предпосылки!AN$234*Предпосылки!$J269*Продажи!AO34*AO$19*(1+Чувствительность!$D$20)*IFERROR(LOOKUP(Предпосылки!$H$207,$C$13:$C$15,AO$13:AO$15),1)</f>
        <v>0</v>
      </c>
      <c s="125">
        <f>Предпосылки!AO$234*Предпосылки!$J269*Продажи!AP34*AP$19*(1+Чувствительность!$D$20)*IFERROR(LOOKUP(Предпосылки!$H$207,$C$13:$C$15,AP$13:AP$15),1)</f>
        <v>0</v>
      </c>
      <c s="125">
        <f>Предпосылки!AP$234*Предпосылки!$J269*Продажи!AQ34*AQ$19*(1+Чувствительность!$D$20)*IFERROR(LOOKUP(Предпосылки!$H$207,$C$13:$C$15,AQ$13:AQ$15),1)</f>
        <v>0</v>
      </c>
      <c s="125">
        <f>Предпосылки!AQ$234*Предпосылки!$J269*Продажи!AR34*AR$19*(1+Чувствительность!$D$20)*IFERROR(LOOKUP(Предпосылки!$H$207,$C$13:$C$15,AR$13:AR$15),1)</f>
        <v>0</v>
      </c>
      <c s="125">
        <f>Предпосылки!AR$234*Предпосылки!$J269*Продажи!AS34*AS$19*(1+Чувствительность!$D$20)*IFERROR(LOOKUP(Предпосылки!$H$207,$C$13:$C$15,AS$13:AS$15),1)</f>
        <v>0</v>
      </c>
      <c s="125">
        <f>Предпосылки!AS$234*Предпосылки!$J269*Продажи!AT34*AT$19*(1+Чувствительность!$D$20)*IFERROR(LOOKUP(Предпосылки!$H$207,$C$13:$C$15,AT$13:AT$15),1)</f>
        <v>0</v>
      </c>
      <c s="125">
        <f>Предпосылки!AT$234*Предпосылки!$J269*Продажи!AU34*AU$19*(1+Чувствительность!$D$20)*IFERROR(LOOKUP(Предпосылки!$H$207,$C$13:$C$15,AU$13:AU$15),1)</f>
        <v>0</v>
      </c>
      <c s="125">
        <f>Предпосылки!AU$234*Предпосылки!$J269*Продажи!AV34*AV$19*(1+Чувствительность!$D$20)*IFERROR(LOOKUP(Предпосылки!$H$207,$C$13:$C$15,AV$13:AV$15),1)</f>
        <v>0</v>
      </c>
      <c s="125">
        <f>Предпосылки!AV$234*Предпосылки!$J269*Продажи!AW34*AW$19*(1+Чувствительность!$D$20)*IFERROR(LOOKUP(Предпосылки!$H$207,$C$13:$C$15,AW$13:AW$15),1)</f>
        <v>0</v>
      </c>
      <c s="125">
        <f>Предпосылки!AW$234*Предпосылки!$J269*Продажи!AX34*AX$19*(1+Чувствительность!$D$20)*IFERROR(LOOKUP(Предпосылки!$H$207,$C$13:$C$15,AX$13:AX$15),1)</f>
        <v>0</v>
      </c>
      <c s="125">
        <f>Предпосылки!AX$234*Предпосылки!$J269*Продажи!AY34*AY$19*(1+Чувствительность!$D$20)*IFERROR(LOOKUP(Предпосылки!$H$207,$C$13:$C$15,AY$13:AY$15),1)</f>
        <v>0</v>
      </c>
      <c s="125">
        <f>Предпосылки!AY$234*Предпосылки!$J269*Продажи!AZ34*AZ$19*(1+Чувствительность!$D$20)*IFERROR(LOOKUP(Предпосылки!$H$207,$C$13:$C$15,AZ$13:AZ$15),1)</f>
        <v>0</v>
      </c>
      <c s="125">
        <f>Предпосылки!AZ$234*Предпосылки!$J269*Продажи!BA34*BA$19*(1+Чувствительность!$D$20)*IFERROR(LOOKUP(Предпосылки!$H$207,$C$13:$C$15,BA$13:BA$15),1)</f>
        <v>0</v>
      </c>
      <c s="125">
        <f>Предпосылки!BA$234*Предпосылки!$J269*Продажи!BB34*BB$19*(1+Чувствительность!$D$20)*IFERROR(LOOKUP(Предпосылки!$H$207,$C$13:$C$15,BB$13:BB$15),1)</f>
        <v>0</v>
      </c>
      <c s="125">
        <f>Предпосылки!BB$234*Предпосылки!$J269*Продажи!BC34*BC$19*(1+Чувствительность!$D$20)*IFERROR(LOOKUP(Предпосылки!$H$207,$C$13:$C$15,BC$13:BC$15),1)</f>
        <v>0</v>
      </c>
      <c s="125">
        <f>Предпосылки!BC$234*Предпосылки!$J269*Продажи!BD34*BD$19*(1+Чувствительность!$D$20)*IFERROR(LOOKUP(Предпосылки!$H$207,$C$13:$C$15,BD$13:BD$15),1)</f>
        <v>0</v>
      </c>
      <c s="125">
        <f>Предпосылки!BD$234*Предпосылки!$J269*Продажи!BE34*BE$19*(1+Чувствительность!$D$20)*IFERROR(LOOKUP(Предпосылки!$H$207,$C$13:$C$15,BE$13:BE$15),1)</f>
        <v>0</v>
      </c>
      <c s="125">
        <f>Предпосылки!BE$234*Предпосылки!$J269*Продажи!BF34*BF$19*(1+Чувствительность!$D$20)*IFERROR(LOOKUP(Предпосылки!$H$207,$C$13:$C$15,BF$13:BF$15),1)</f>
        <v>0</v>
      </c>
      <c s="125">
        <f>Предпосылки!BF$234*Предпосылки!$J269*Продажи!BG34*BG$19*(1+Чувствительность!$D$20)*IFERROR(LOOKUP(Предпосылки!$H$207,$C$13:$C$15,BG$13:BG$15),1)</f>
        <v>0</v>
      </c>
      <c s="125">
        <f>Предпосылки!BG$234*Предпосылки!$J269*Продажи!BH34*BH$19*(1+Чувствительность!$D$20)*IFERROR(LOOKUP(Предпосылки!$H$207,$C$13:$C$15,BH$13:BH$15),1)</f>
        <v>0</v>
      </c>
      <c s="125">
        <f>Предпосылки!BH$234*Предпосылки!$J269*Продажи!BI34*BI$19*(1+Чувствительность!$D$20)*IFERROR(LOOKUP(Предпосылки!$H$207,$C$13:$C$15,BI$13:BI$15),1)</f>
        <v>0</v>
      </c>
      <c s="125">
        <f>Предпосылки!BI$234*Предпосылки!$J269*Продажи!BJ34*BJ$19*(1+Чувствительность!$D$20)*IFERROR(LOOKUP(Предпосылки!$H$207,$C$13:$C$15,BJ$13:BJ$15),1)</f>
        <v>0</v>
      </c>
      <c s="125">
        <f>Предпосылки!BJ$234*Предпосылки!$J269*Продажи!BK34*BK$19*(1+Чувствительность!$D$20)*IFERROR(LOOKUP(Предпосылки!$H$207,$C$13:$C$15,BK$13:BK$15),1)</f>
        <v>0</v>
      </c>
      <c s="125">
        <f>Предпосылки!BK$234*Предпосылки!$J269*Продажи!BL34*BL$19*(1+Чувствительность!$D$20)*IFERROR(LOOKUP(Предпосылки!$H$207,$C$13:$C$15,BL$13:BL$15),1)</f>
        <v>0</v>
      </c>
      <c s="125">
        <f>Предпосылки!BL$234*Предпосылки!$J269*Продажи!BM34*BM$19*(1+Чувствительность!$D$20)*IFERROR(LOOKUP(Предпосылки!$H$207,$C$13:$C$15,BM$13:BM$15),1)</f>
        <v>0</v>
      </c>
    </row>
    <row r="178" spans="2:65" ht="15" customHeight="1">
      <c r="B178" s="12" t="str">
        <f t="shared" si="91"/>
        <v>Продукт 18</v>
      </c>
      <c s="124" t="str">
        <f t="shared" si="90"/>
        <v>тыс. руб.</v>
      </c>
      <c s="276">
        <f t="shared" si="92"/>
        <v>0</v>
      </c>
      <c s="125">
        <f>Предпосылки!D$234*Предпосылки!$J270*Продажи!E35*E$19*(1+Чувствительность!$D$20)*IFERROR(LOOKUP(Предпосылки!$H$207,$C$13:$C$15,E$13:E$15),1)</f>
        <v>0</v>
      </c>
      <c s="125">
        <f>Предпосылки!E$234*Предпосылки!$J270*Продажи!F35*F$19*(1+Чувствительность!$D$20)*IFERROR(LOOKUP(Предпосылки!$H$207,$C$13:$C$15,F$13:F$15),1)</f>
        <v>0</v>
      </c>
      <c s="125">
        <f>Предпосылки!F$234*Предпосылки!$J270*Продажи!G35*G$19*(1+Чувствительность!$D$20)*IFERROR(LOOKUP(Предпосылки!$H$207,$C$13:$C$15,G$13:G$15),1)</f>
        <v>0</v>
      </c>
      <c s="125">
        <f>Предпосылки!G$234*Предпосылки!$J270*Продажи!H35*H$19*(1+Чувствительность!$D$20)*IFERROR(LOOKUP(Предпосылки!$H$207,$C$13:$C$15,H$13:H$15),1)</f>
        <v>0</v>
      </c>
      <c s="125">
        <f>Предпосылки!H$234*Предпосылки!$J270*Продажи!I35*I$19*(1+Чувствительность!$D$20)*IFERROR(LOOKUP(Предпосылки!$H$207,$C$13:$C$15,I$13:I$15),1)</f>
        <v>0</v>
      </c>
      <c s="125">
        <f>Предпосылки!I$234*Предпосылки!$J270*Продажи!J35*J$19*(1+Чувствительность!$D$20)*IFERROR(LOOKUP(Предпосылки!$H$207,$C$13:$C$15,J$13:J$15),1)</f>
        <v>0</v>
      </c>
      <c s="125">
        <f>Предпосылки!J$234*Предпосылки!$J270*Продажи!K35*K$19*(1+Чувствительность!$D$20)*IFERROR(LOOKUP(Предпосылки!$H$207,$C$13:$C$15,K$13:K$15),1)</f>
        <v>0</v>
      </c>
      <c s="125">
        <f>Предпосылки!K$234*Предпосылки!$J270*Продажи!L35*L$19*(1+Чувствительность!$D$20)*IFERROR(LOOKUP(Предпосылки!$H$207,$C$13:$C$15,L$13:L$15),1)</f>
        <v>0</v>
      </c>
      <c s="125">
        <f>Предпосылки!L$234*Предпосылки!$J270*Продажи!M35*M$19*(1+Чувствительность!$D$20)*IFERROR(LOOKUP(Предпосылки!$H$207,$C$13:$C$15,M$13:M$15),1)</f>
        <v>0</v>
      </c>
      <c s="125">
        <f>Предпосылки!M$234*Предпосылки!$J270*Продажи!N35*N$19*(1+Чувствительность!$D$20)*IFERROR(LOOKUP(Предпосылки!$H$207,$C$13:$C$15,N$13:N$15),1)</f>
        <v>0</v>
      </c>
      <c s="125">
        <f>Предпосылки!N$234*Предпосылки!$J270*Продажи!O35*O$19*(1+Чувствительность!$D$20)*IFERROR(LOOKUP(Предпосылки!$H$207,$C$13:$C$15,O$13:O$15),1)</f>
        <v>0</v>
      </c>
      <c s="125">
        <f>Предпосылки!O$234*Предпосылки!$J270*Продажи!P35*P$19*(1+Чувствительность!$D$20)*IFERROR(LOOKUP(Предпосылки!$H$207,$C$13:$C$15,P$13:P$15),1)</f>
        <v>0</v>
      </c>
      <c s="125">
        <f>Предпосылки!P$234*Предпосылки!$J270*Продажи!Q35*Q$19*(1+Чувствительность!$D$20)*IFERROR(LOOKUP(Предпосылки!$H$207,$C$13:$C$15,Q$13:Q$15),1)</f>
        <v>0</v>
      </c>
      <c s="125">
        <f>Предпосылки!Q$234*Предпосылки!$J270*Продажи!R35*R$19*(1+Чувствительность!$D$20)*IFERROR(LOOKUP(Предпосылки!$H$207,$C$13:$C$15,R$13:R$15),1)</f>
        <v>0</v>
      </c>
      <c s="125">
        <f>Предпосылки!R$234*Предпосылки!$J270*Продажи!S35*S$19*(1+Чувствительность!$D$20)*IFERROR(LOOKUP(Предпосылки!$H$207,$C$13:$C$15,S$13:S$15),1)</f>
        <v>0</v>
      </c>
      <c s="125">
        <f>Предпосылки!S$234*Предпосылки!$J270*Продажи!T35*T$19*(1+Чувствительность!$D$20)*IFERROR(LOOKUP(Предпосылки!$H$207,$C$13:$C$15,T$13:T$15),1)</f>
        <v>0</v>
      </c>
      <c s="125">
        <f>Предпосылки!T$234*Предпосылки!$J270*Продажи!U35*U$19*(1+Чувствительность!$D$20)*IFERROR(LOOKUP(Предпосылки!$H$207,$C$13:$C$15,U$13:U$15),1)</f>
        <v>0</v>
      </c>
      <c s="125">
        <f>Предпосылки!U$234*Предпосылки!$J270*Продажи!V35*V$19*(1+Чувствительность!$D$20)*IFERROR(LOOKUP(Предпосылки!$H$207,$C$13:$C$15,V$13:V$15),1)</f>
        <v>0</v>
      </c>
      <c s="125">
        <f>Предпосылки!V$234*Предпосылки!$J270*Продажи!W35*W$19*(1+Чувствительность!$D$20)*IFERROR(LOOKUP(Предпосылки!$H$207,$C$13:$C$15,W$13:W$15),1)</f>
        <v>0</v>
      </c>
      <c s="125">
        <f>Предпосылки!W$234*Предпосылки!$J270*Продажи!X35*X$19*(1+Чувствительность!$D$20)*IFERROR(LOOKUP(Предпосылки!$H$207,$C$13:$C$15,X$13:X$15),1)</f>
        <v>0</v>
      </c>
      <c s="125">
        <f>Предпосылки!X$234*Предпосылки!$J270*Продажи!Y35*Y$19*(1+Чувствительность!$D$20)*IFERROR(LOOKUP(Предпосылки!$H$207,$C$13:$C$15,Y$13:Y$15),1)</f>
        <v>0</v>
      </c>
      <c s="125">
        <f>Предпосылки!Y$234*Предпосылки!$J270*Продажи!Z35*Z$19*(1+Чувствительность!$D$20)*IFERROR(LOOKUP(Предпосылки!$H$207,$C$13:$C$15,Z$13:Z$15),1)</f>
        <v>0</v>
      </c>
      <c s="125">
        <f>Предпосылки!Z$234*Предпосылки!$J270*Продажи!AA35*AA$19*(1+Чувствительность!$D$20)*IFERROR(LOOKUP(Предпосылки!$H$207,$C$13:$C$15,AA$13:AA$15),1)</f>
        <v>0</v>
      </c>
      <c s="125">
        <f>Предпосылки!AA$234*Предпосылки!$J270*Продажи!AB35*AB$19*(1+Чувствительность!$D$20)*IFERROR(LOOKUP(Предпосылки!$H$207,$C$13:$C$15,AB$13:AB$15),1)</f>
        <v>0</v>
      </c>
      <c s="125">
        <f>Предпосылки!AB$234*Предпосылки!$J270*Продажи!AC35*AC$19*(1+Чувствительность!$D$20)*IFERROR(LOOKUP(Предпосылки!$H$207,$C$13:$C$15,AC$13:AC$15),1)</f>
        <v>0</v>
      </c>
      <c s="125">
        <f>Предпосылки!AC$234*Предпосылки!$J270*Продажи!AD35*AD$19*(1+Чувствительность!$D$20)*IFERROR(LOOKUP(Предпосылки!$H$207,$C$13:$C$15,AD$13:AD$15),1)</f>
        <v>0</v>
      </c>
      <c s="125">
        <f>Предпосылки!AD$234*Предпосылки!$J270*Продажи!AE35*AE$19*(1+Чувствительность!$D$20)*IFERROR(LOOKUP(Предпосылки!$H$207,$C$13:$C$15,AE$13:AE$15),1)</f>
        <v>0</v>
      </c>
      <c s="125">
        <f>Предпосылки!AE$234*Предпосылки!$J270*Продажи!AF35*AF$19*(1+Чувствительность!$D$20)*IFERROR(LOOKUP(Предпосылки!$H$207,$C$13:$C$15,AF$13:AF$15),1)</f>
        <v>0</v>
      </c>
      <c s="125">
        <f>Предпосылки!AF$234*Предпосылки!$J270*Продажи!AG35*AG$19*(1+Чувствительность!$D$20)*IFERROR(LOOKUP(Предпосылки!$H$207,$C$13:$C$15,AG$13:AG$15),1)</f>
        <v>0</v>
      </c>
      <c s="125">
        <f>Предпосылки!AG$234*Предпосылки!$J270*Продажи!AH35*AH$19*(1+Чувствительность!$D$20)*IFERROR(LOOKUP(Предпосылки!$H$207,$C$13:$C$15,AH$13:AH$15),1)</f>
        <v>0</v>
      </c>
      <c s="125">
        <f>Предпосылки!AH$234*Предпосылки!$J270*Продажи!AI35*AI$19*(1+Чувствительность!$D$20)*IFERROR(LOOKUP(Предпосылки!$H$207,$C$13:$C$15,AI$13:AI$15),1)</f>
        <v>0</v>
      </c>
      <c s="125">
        <f>Предпосылки!AI$234*Предпосылки!$J270*Продажи!AJ35*AJ$19*(1+Чувствительность!$D$20)*IFERROR(LOOKUP(Предпосылки!$H$207,$C$13:$C$15,AJ$13:AJ$15),1)</f>
        <v>0</v>
      </c>
      <c s="125">
        <f>Предпосылки!AJ$234*Предпосылки!$J270*Продажи!AK35*AK$19*(1+Чувствительность!$D$20)*IFERROR(LOOKUP(Предпосылки!$H$207,$C$13:$C$15,AK$13:AK$15),1)</f>
        <v>0</v>
      </c>
      <c s="125">
        <f>Предпосылки!AK$234*Предпосылки!$J270*Продажи!AL35*AL$19*(1+Чувствительность!$D$20)*IFERROR(LOOKUP(Предпосылки!$H$207,$C$13:$C$15,AL$13:AL$15),1)</f>
        <v>0</v>
      </c>
      <c s="125">
        <f>Предпосылки!AL$234*Предпосылки!$J270*Продажи!AM35*AM$19*(1+Чувствительность!$D$20)*IFERROR(LOOKUP(Предпосылки!$H$207,$C$13:$C$15,AM$13:AM$15),1)</f>
        <v>0</v>
      </c>
      <c s="125">
        <f>Предпосылки!AM$234*Предпосылки!$J270*Продажи!AN35*AN$19*(1+Чувствительность!$D$20)*IFERROR(LOOKUP(Предпосылки!$H$207,$C$13:$C$15,AN$13:AN$15),1)</f>
        <v>0</v>
      </c>
      <c s="125">
        <f>Предпосылки!AN$234*Предпосылки!$J270*Продажи!AO35*AO$19*(1+Чувствительность!$D$20)*IFERROR(LOOKUP(Предпосылки!$H$207,$C$13:$C$15,AO$13:AO$15),1)</f>
        <v>0</v>
      </c>
      <c s="125">
        <f>Предпосылки!AO$234*Предпосылки!$J270*Продажи!AP35*AP$19*(1+Чувствительность!$D$20)*IFERROR(LOOKUP(Предпосылки!$H$207,$C$13:$C$15,AP$13:AP$15),1)</f>
        <v>0</v>
      </c>
      <c s="125">
        <f>Предпосылки!AP$234*Предпосылки!$J270*Продажи!AQ35*AQ$19*(1+Чувствительность!$D$20)*IFERROR(LOOKUP(Предпосылки!$H$207,$C$13:$C$15,AQ$13:AQ$15),1)</f>
        <v>0</v>
      </c>
      <c s="125">
        <f>Предпосылки!AQ$234*Предпосылки!$J270*Продажи!AR35*AR$19*(1+Чувствительность!$D$20)*IFERROR(LOOKUP(Предпосылки!$H$207,$C$13:$C$15,AR$13:AR$15),1)</f>
        <v>0</v>
      </c>
      <c s="125">
        <f>Предпосылки!AR$234*Предпосылки!$J270*Продажи!AS35*AS$19*(1+Чувствительность!$D$20)*IFERROR(LOOKUP(Предпосылки!$H$207,$C$13:$C$15,AS$13:AS$15),1)</f>
        <v>0</v>
      </c>
      <c s="125">
        <f>Предпосылки!AS$234*Предпосылки!$J270*Продажи!AT35*AT$19*(1+Чувствительность!$D$20)*IFERROR(LOOKUP(Предпосылки!$H$207,$C$13:$C$15,AT$13:AT$15),1)</f>
        <v>0</v>
      </c>
      <c s="125">
        <f>Предпосылки!AT$234*Предпосылки!$J270*Продажи!AU35*AU$19*(1+Чувствительность!$D$20)*IFERROR(LOOKUP(Предпосылки!$H$207,$C$13:$C$15,AU$13:AU$15),1)</f>
        <v>0</v>
      </c>
      <c s="125">
        <f>Предпосылки!AU$234*Предпосылки!$J270*Продажи!AV35*AV$19*(1+Чувствительность!$D$20)*IFERROR(LOOKUP(Предпосылки!$H$207,$C$13:$C$15,AV$13:AV$15),1)</f>
        <v>0</v>
      </c>
      <c s="125">
        <f>Предпосылки!AV$234*Предпосылки!$J270*Продажи!AW35*AW$19*(1+Чувствительность!$D$20)*IFERROR(LOOKUP(Предпосылки!$H$207,$C$13:$C$15,AW$13:AW$15),1)</f>
        <v>0</v>
      </c>
      <c s="125">
        <f>Предпосылки!AW$234*Предпосылки!$J270*Продажи!AX35*AX$19*(1+Чувствительность!$D$20)*IFERROR(LOOKUP(Предпосылки!$H$207,$C$13:$C$15,AX$13:AX$15),1)</f>
        <v>0</v>
      </c>
      <c s="125">
        <f>Предпосылки!AX$234*Предпосылки!$J270*Продажи!AY35*AY$19*(1+Чувствительность!$D$20)*IFERROR(LOOKUP(Предпосылки!$H$207,$C$13:$C$15,AY$13:AY$15),1)</f>
        <v>0</v>
      </c>
      <c s="125">
        <f>Предпосылки!AY$234*Предпосылки!$J270*Продажи!AZ35*AZ$19*(1+Чувствительность!$D$20)*IFERROR(LOOKUP(Предпосылки!$H$207,$C$13:$C$15,AZ$13:AZ$15),1)</f>
        <v>0</v>
      </c>
      <c s="125">
        <f>Предпосылки!AZ$234*Предпосылки!$J270*Продажи!BA35*BA$19*(1+Чувствительность!$D$20)*IFERROR(LOOKUP(Предпосылки!$H$207,$C$13:$C$15,BA$13:BA$15),1)</f>
        <v>0</v>
      </c>
      <c s="125">
        <f>Предпосылки!BA$234*Предпосылки!$J270*Продажи!BB35*BB$19*(1+Чувствительность!$D$20)*IFERROR(LOOKUP(Предпосылки!$H$207,$C$13:$C$15,BB$13:BB$15),1)</f>
        <v>0</v>
      </c>
      <c s="125">
        <f>Предпосылки!BB$234*Предпосылки!$J270*Продажи!BC35*BC$19*(1+Чувствительность!$D$20)*IFERROR(LOOKUP(Предпосылки!$H$207,$C$13:$C$15,BC$13:BC$15),1)</f>
        <v>0</v>
      </c>
      <c s="125">
        <f>Предпосылки!BC$234*Предпосылки!$J270*Продажи!BD35*BD$19*(1+Чувствительность!$D$20)*IFERROR(LOOKUP(Предпосылки!$H$207,$C$13:$C$15,BD$13:BD$15),1)</f>
        <v>0</v>
      </c>
      <c s="125">
        <f>Предпосылки!BD$234*Предпосылки!$J270*Продажи!BE35*BE$19*(1+Чувствительность!$D$20)*IFERROR(LOOKUP(Предпосылки!$H$207,$C$13:$C$15,BE$13:BE$15),1)</f>
        <v>0</v>
      </c>
      <c s="125">
        <f>Предпосылки!BE$234*Предпосылки!$J270*Продажи!BF35*BF$19*(1+Чувствительность!$D$20)*IFERROR(LOOKUP(Предпосылки!$H$207,$C$13:$C$15,BF$13:BF$15),1)</f>
        <v>0</v>
      </c>
      <c s="125">
        <f>Предпосылки!BF$234*Предпосылки!$J270*Продажи!BG35*BG$19*(1+Чувствительность!$D$20)*IFERROR(LOOKUP(Предпосылки!$H$207,$C$13:$C$15,BG$13:BG$15),1)</f>
        <v>0</v>
      </c>
      <c s="125">
        <f>Предпосылки!BG$234*Предпосылки!$J270*Продажи!BH35*BH$19*(1+Чувствительность!$D$20)*IFERROR(LOOKUP(Предпосылки!$H$207,$C$13:$C$15,BH$13:BH$15),1)</f>
        <v>0</v>
      </c>
      <c s="125">
        <f>Предпосылки!BH$234*Предпосылки!$J270*Продажи!BI35*BI$19*(1+Чувствительность!$D$20)*IFERROR(LOOKUP(Предпосылки!$H$207,$C$13:$C$15,BI$13:BI$15),1)</f>
        <v>0</v>
      </c>
      <c s="125">
        <f>Предпосылки!BI$234*Предпосылки!$J270*Продажи!BJ35*BJ$19*(1+Чувствительность!$D$20)*IFERROR(LOOKUP(Предпосылки!$H$207,$C$13:$C$15,BJ$13:BJ$15),1)</f>
        <v>0</v>
      </c>
      <c s="125">
        <f>Предпосылки!BJ$234*Предпосылки!$J270*Продажи!BK35*BK$19*(1+Чувствительность!$D$20)*IFERROR(LOOKUP(Предпосылки!$H$207,$C$13:$C$15,BK$13:BK$15),1)</f>
        <v>0</v>
      </c>
      <c s="125">
        <f>Предпосылки!BK$234*Предпосылки!$J270*Продажи!BL35*BL$19*(1+Чувствительность!$D$20)*IFERROR(LOOKUP(Предпосылки!$H$207,$C$13:$C$15,BL$13:BL$15),1)</f>
        <v>0</v>
      </c>
      <c s="125">
        <f>Предпосылки!BL$234*Предпосылки!$J270*Продажи!BM35*BM$19*(1+Чувствительность!$D$20)*IFERROR(LOOKUP(Предпосылки!$H$207,$C$13:$C$15,BM$13:BM$15),1)</f>
        <v>0</v>
      </c>
    </row>
    <row r="179" spans="2:65" ht="15" customHeight="1">
      <c r="B179" s="12" t="str">
        <f t="shared" si="91"/>
        <v>Продукт 19</v>
      </c>
      <c s="124" t="str">
        <f t="shared" si="90"/>
        <v>тыс. руб.</v>
      </c>
      <c s="276">
        <f t="shared" si="92"/>
        <v>0</v>
      </c>
      <c s="125">
        <f>Предпосылки!D$234*Предпосылки!$J271*Продажи!E36*E$19*(1+Чувствительность!$D$20)*IFERROR(LOOKUP(Предпосылки!$H$207,$C$13:$C$15,E$13:E$15),1)</f>
        <v>0</v>
      </c>
      <c s="125">
        <f>Предпосылки!E$234*Предпосылки!$J271*Продажи!F36*F$19*(1+Чувствительность!$D$20)*IFERROR(LOOKUP(Предпосылки!$H$207,$C$13:$C$15,F$13:F$15),1)</f>
        <v>0</v>
      </c>
      <c s="125">
        <f>Предпосылки!F$234*Предпосылки!$J271*Продажи!G36*G$19*(1+Чувствительность!$D$20)*IFERROR(LOOKUP(Предпосылки!$H$207,$C$13:$C$15,G$13:G$15),1)</f>
        <v>0</v>
      </c>
      <c s="125">
        <f>Предпосылки!G$234*Предпосылки!$J271*Продажи!H36*H$19*(1+Чувствительность!$D$20)*IFERROR(LOOKUP(Предпосылки!$H$207,$C$13:$C$15,H$13:H$15),1)</f>
        <v>0</v>
      </c>
      <c s="125">
        <f>Предпосылки!H$234*Предпосылки!$J271*Продажи!I36*I$19*(1+Чувствительность!$D$20)*IFERROR(LOOKUP(Предпосылки!$H$207,$C$13:$C$15,I$13:I$15),1)</f>
        <v>0</v>
      </c>
      <c s="125">
        <f>Предпосылки!I$234*Предпосылки!$J271*Продажи!J36*J$19*(1+Чувствительность!$D$20)*IFERROR(LOOKUP(Предпосылки!$H$207,$C$13:$C$15,J$13:J$15),1)</f>
        <v>0</v>
      </c>
      <c s="125">
        <f>Предпосылки!J$234*Предпосылки!$J271*Продажи!K36*K$19*(1+Чувствительность!$D$20)*IFERROR(LOOKUP(Предпосылки!$H$207,$C$13:$C$15,K$13:K$15),1)</f>
        <v>0</v>
      </c>
      <c s="125">
        <f>Предпосылки!K$234*Предпосылки!$J271*Продажи!L36*L$19*(1+Чувствительность!$D$20)*IFERROR(LOOKUP(Предпосылки!$H$207,$C$13:$C$15,L$13:L$15),1)</f>
        <v>0</v>
      </c>
      <c s="125">
        <f>Предпосылки!L$234*Предпосылки!$J271*Продажи!M36*M$19*(1+Чувствительность!$D$20)*IFERROR(LOOKUP(Предпосылки!$H$207,$C$13:$C$15,M$13:M$15),1)</f>
        <v>0</v>
      </c>
      <c s="125">
        <f>Предпосылки!M$234*Предпосылки!$J271*Продажи!N36*N$19*(1+Чувствительность!$D$20)*IFERROR(LOOKUP(Предпосылки!$H$207,$C$13:$C$15,N$13:N$15),1)</f>
        <v>0</v>
      </c>
      <c s="125">
        <f>Предпосылки!N$234*Предпосылки!$J271*Продажи!O36*O$19*(1+Чувствительность!$D$20)*IFERROR(LOOKUP(Предпосылки!$H$207,$C$13:$C$15,O$13:O$15),1)</f>
        <v>0</v>
      </c>
      <c s="125">
        <f>Предпосылки!O$234*Предпосылки!$J271*Продажи!P36*P$19*(1+Чувствительность!$D$20)*IFERROR(LOOKUP(Предпосылки!$H$207,$C$13:$C$15,P$13:P$15),1)</f>
        <v>0</v>
      </c>
      <c s="125">
        <f>Предпосылки!P$234*Предпосылки!$J271*Продажи!Q36*Q$19*(1+Чувствительность!$D$20)*IFERROR(LOOKUP(Предпосылки!$H$207,$C$13:$C$15,Q$13:Q$15),1)</f>
        <v>0</v>
      </c>
      <c s="125">
        <f>Предпосылки!Q$234*Предпосылки!$J271*Продажи!R36*R$19*(1+Чувствительность!$D$20)*IFERROR(LOOKUP(Предпосылки!$H$207,$C$13:$C$15,R$13:R$15),1)</f>
        <v>0</v>
      </c>
      <c s="125">
        <f>Предпосылки!R$234*Предпосылки!$J271*Продажи!S36*S$19*(1+Чувствительность!$D$20)*IFERROR(LOOKUP(Предпосылки!$H$207,$C$13:$C$15,S$13:S$15),1)</f>
        <v>0</v>
      </c>
      <c s="125">
        <f>Предпосылки!S$234*Предпосылки!$J271*Продажи!T36*T$19*(1+Чувствительность!$D$20)*IFERROR(LOOKUP(Предпосылки!$H$207,$C$13:$C$15,T$13:T$15),1)</f>
        <v>0</v>
      </c>
      <c s="125">
        <f>Предпосылки!T$234*Предпосылки!$J271*Продажи!U36*U$19*(1+Чувствительность!$D$20)*IFERROR(LOOKUP(Предпосылки!$H$207,$C$13:$C$15,U$13:U$15),1)</f>
        <v>0</v>
      </c>
      <c s="125">
        <f>Предпосылки!U$234*Предпосылки!$J271*Продажи!V36*V$19*(1+Чувствительность!$D$20)*IFERROR(LOOKUP(Предпосылки!$H$207,$C$13:$C$15,V$13:V$15),1)</f>
        <v>0</v>
      </c>
      <c s="125">
        <f>Предпосылки!V$234*Предпосылки!$J271*Продажи!W36*W$19*(1+Чувствительность!$D$20)*IFERROR(LOOKUP(Предпосылки!$H$207,$C$13:$C$15,W$13:W$15),1)</f>
        <v>0</v>
      </c>
      <c s="125">
        <f>Предпосылки!W$234*Предпосылки!$J271*Продажи!X36*X$19*(1+Чувствительность!$D$20)*IFERROR(LOOKUP(Предпосылки!$H$207,$C$13:$C$15,X$13:X$15),1)</f>
        <v>0</v>
      </c>
      <c s="125">
        <f>Предпосылки!X$234*Предпосылки!$J271*Продажи!Y36*Y$19*(1+Чувствительность!$D$20)*IFERROR(LOOKUP(Предпосылки!$H$207,$C$13:$C$15,Y$13:Y$15),1)</f>
        <v>0</v>
      </c>
      <c s="125">
        <f>Предпосылки!Y$234*Предпосылки!$J271*Продажи!Z36*Z$19*(1+Чувствительность!$D$20)*IFERROR(LOOKUP(Предпосылки!$H$207,$C$13:$C$15,Z$13:Z$15),1)</f>
        <v>0</v>
      </c>
      <c s="125">
        <f>Предпосылки!Z$234*Предпосылки!$J271*Продажи!AA36*AA$19*(1+Чувствительность!$D$20)*IFERROR(LOOKUP(Предпосылки!$H$207,$C$13:$C$15,AA$13:AA$15),1)</f>
        <v>0</v>
      </c>
      <c s="125">
        <f>Предпосылки!AA$234*Предпосылки!$J271*Продажи!AB36*AB$19*(1+Чувствительность!$D$20)*IFERROR(LOOKUP(Предпосылки!$H$207,$C$13:$C$15,AB$13:AB$15),1)</f>
        <v>0</v>
      </c>
      <c s="125">
        <f>Предпосылки!AB$234*Предпосылки!$J271*Продажи!AC36*AC$19*(1+Чувствительность!$D$20)*IFERROR(LOOKUP(Предпосылки!$H$207,$C$13:$C$15,AC$13:AC$15),1)</f>
        <v>0</v>
      </c>
      <c s="125">
        <f>Предпосылки!AC$234*Предпосылки!$J271*Продажи!AD36*AD$19*(1+Чувствительность!$D$20)*IFERROR(LOOKUP(Предпосылки!$H$207,$C$13:$C$15,AD$13:AD$15),1)</f>
        <v>0</v>
      </c>
      <c s="125">
        <f>Предпосылки!AD$234*Предпосылки!$J271*Продажи!AE36*AE$19*(1+Чувствительность!$D$20)*IFERROR(LOOKUP(Предпосылки!$H$207,$C$13:$C$15,AE$13:AE$15),1)</f>
        <v>0</v>
      </c>
      <c s="125">
        <f>Предпосылки!AE$234*Предпосылки!$J271*Продажи!AF36*AF$19*(1+Чувствительность!$D$20)*IFERROR(LOOKUP(Предпосылки!$H$207,$C$13:$C$15,AF$13:AF$15),1)</f>
        <v>0</v>
      </c>
      <c s="125">
        <f>Предпосылки!AF$234*Предпосылки!$J271*Продажи!AG36*AG$19*(1+Чувствительность!$D$20)*IFERROR(LOOKUP(Предпосылки!$H$207,$C$13:$C$15,AG$13:AG$15),1)</f>
        <v>0</v>
      </c>
      <c s="125">
        <f>Предпосылки!AG$234*Предпосылки!$J271*Продажи!AH36*AH$19*(1+Чувствительность!$D$20)*IFERROR(LOOKUP(Предпосылки!$H$207,$C$13:$C$15,AH$13:AH$15),1)</f>
        <v>0</v>
      </c>
      <c s="125">
        <f>Предпосылки!AH$234*Предпосылки!$J271*Продажи!AI36*AI$19*(1+Чувствительность!$D$20)*IFERROR(LOOKUP(Предпосылки!$H$207,$C$13:$C$15,AI$13:AI$15),1)</f>
        <v>0</v>
      </c>
      <c s="125">
        <f>Предпосылки!AI$234*Предпосылки!$J271*Продажи!AJ36*AJ$19*(1+Чувствительность!$D$20)*IFERROR(LOOKUP(Предпосылки!$H$207,$C$13:$C$15,AJ$13:AJ$15),1)</f>
        <v>0</v>
      </c>
      <c s="125">
        <f>Предпосылки!AJ$234*Предпосылки!$J271*Продажи!AK36*AK$19*(1+Чувствительность!$D$20)*IFERROR(LOOKUP(Предпосылки!$H$207,$C$13:$C$15,AK$13:AK$15),1)</f>
        <v>0</v>
      </c>
      <c s="125">
        <f>Предпосылки!AK$234*Предпосылки!$J271*Продажи!AL36*AL$19*(1+Чувствительность!$D$20)*IFERROR(LOOKUP(Предпосылки!$H$207,$C$13:$C$15,AL$13:AL$15),1)</f>
        <v>0</v>
      </c>
      <c s="125">
        <f>Предпосылки!AL$234*Предпосылки!$J271*Продажи!AM36*AM$19*(1+Чувствительность!$D$20)*IFERROR(LOOKUP(Предпосылки!$H$207,$C$13:$C$15,AM$13:AM$15),1)</f>
        <v>0</v>
      </c>
      <c s="125">
        <f>Предпосылки!AM$234*Предпосылки!$J271*Продажи!AN36*AN$19*(1+Чувствительность!$D$20)*IFERROR(LOOKUP(Предпосылки!$H$207,$C$13:$C$15,AN$13:AN$15),1)</f>
        <v>0</v>
      </c>
      <c s="125">
        <f>Предпосылки!AN$234*Предпосылки!$J271*Продажи!AO36*AO$19*(1+Чувствительность!$D$20)*IFERROR(LOOKUP(Предпосылки!$H$207,$C$13:$C$15,AO$13:AO$15),1)</f>
        <v>0</v>
      </c>
      <c s="125">
        <f>Предпосылки!AO$234*Предпосылки!$J271*Продажи!AP36*AP$19*(1+Чувствительность!$D$20)*IFERROR(LOOKUP(Предпосылки!$H$207,$C$13:$C$15,AP$13:AP$15),1)</f>
        <v>0</v>
      </c>
      <c s="125">
        <f>Предпосылки!AP$234*Предпосылки!$J271*Продажи!AQ36*AQ$19*(1+Чувствительность!$D$20)*IFERROR(LOOKUP(Предпосылки!$H$207,$C$13:$C$15,AQ$13:AQ$15),1)</f>
        <v>0</v>
      </c>
      <c s="125">
        <f>Предпосылки!AQ$234*Предпосылки!$J271*Продажи!AR36*AR$19*(1+Чувствительность!$D$20)*IFERROR(LOOKUP(Предпосылки!$H$207,$C$13:$C$15,AR$13:AR$15),1)</f>
        <v>0</v>
      </c>
      <c s="125">
        <f>Предпосылки!AR$234*Предпосылки!$J271*Продажи!AS36*AS$19*(1+Чувствительность!$D$20)*IFERROR(LOOKUP(Предпосылки!$H$207,$C$13:$C$15,AS$13:AS$15),1)</f>
        <v>0</v>
      </c>
      <c s="125">
        <f>Предпосылки!AS$234*Предпосылки!$J271*Продажи!AT36*AT$19*(1+Чувствительность!$D$20)*IFERROR(LOOKUP(Предпосылки!$H$207,$C$13:$C$15,AT$13:AT$15),1)</f>
        <v>0</v>
      </c>
      <c s="125">
        <f>Предпосылки!AT$234*Предпосылки!$J271*Продажи!AU36*AU$19*(1+Чувствительность!$D$20)*IFERROR(LOOKUP(Предпосылки!$H$207,$C$13:$C$15,AU$13:AU$15),1)</f>
        <v>0</v>
      </c>
      <c s="125">
        <f>Предпосылки!AU$234*Предпосылки!$J271*Продажи!AV36*AV$19*(1+Чувствительность!$D$20)*IFERROR(LOOKUP(Предпосылки!$H$207,$C$13:$C$15,AV$13:AV$15),1)</f>
        <v>0</v>
      </c>
      <c s="125">
        <f>Предпосылки!AV$234*Предпосылки!$J271*Продажи!AW36*AW$19*(1+Чувствительность!$D$20)*IFERROR(LOOKUP(Предпосылки!$H$207,$C$13:$C$15,AW$13:AW$15),1)</f>
        <v>0</v>
      </c>
      <c s="125">
        <f>Предпосылки!AW$234*Предпосылки!$J271*Продажи!AX36*AX$19*(1+Чувствительность!$D$20)*IFERROR(LOOKUP(Предпосылки!$H$207,$C$13:$C$15,AX$13:AX$15),1)</f>
        <v>0</v>
      </c>
      <c s="125">
        <f>Предпосылки!AX$234*Предпосылки!$J271*Продажи!AY36*AY$19*(1+Чувствительность!$D$20)*IFERROR(LOOKUP(Предпосылки!$H$207,$C$13:$C$15,AY$13:AY$15),1)</f>
        <v>0</v>
      </c>
      <c s="125">
        <f>Предпосылки!AY$234*Предпосылки!$J271*Продажи!AZ36*AZ$19*(1+Чувствительность!$D$20)*IFERROR(LOOKUP(Предпосылки!$H$207,$C$13:$C$15,AZ$13:AZ$15),1)</f>
        <v>0</v>
      </c>
      <c s="125">
        <f>Предпосылки!AZ$234*Предпосылки!$J271*Продажи!BA36*BA$19*(1+Чувствительность!$D$20)*IFERROR(LOOKUP(Предпосылки!$H$207,$C$13:$C$15,BA$13:BA$15),1)</f>
        <v>0</v>
      </c>
      <c s="125">
        <f>Предпосылки!BA$234*Предпосылки!$J271*Продажи!BB36*BB$19*(1+Чувствительность!$D$20)*IFERROR(LOOKUP(Предпосылки!$H$207,$C$13:$C$15,BB$13:BB$15),1)</f>
        <v>0</v>
      </c>
      <c s="125">
        <f>Предпосылки!BB$234*Предпосылки!$J271*Продажи!BC36*BC$19*(1+Чувствительность!$D$20)*IFERROR(LOOKUP(Предпосылки!$H$207,$C$13:$C$15,BC$13:BC$15),1)</f>
        <v>0</v>
      </c>
      <c s="125">
        <f>Предпосылки!BC$234*Предпосылки!$J271*Продажи!BD36*BD$19*(1+Чувствительность!$D$20)*IFERROR(LOOKUP(Предпосылки!$H$207,$C$13:$C$15,BD$13:BD$15),1)</f>
        <v>0</v>
      </c>
      <c s="125">
        <f>Предпосылки!BD$234*Предпосылки!$J271*Продажи!BE36*BE$19*(1+Чувствительность!$D$20)*IFERROR(LOOKUP(Предпосылки!$H$207,$C$13:$C$15,BE$13:BE$15),1)</f>
        <v>0</v>
      </c>
      <c s="125">
        <f>Предпосылки!BE$234*Предпосылки!$J271*Продажи!BF36*BF$19*(1+Чувствительность!$D$20)*IFERROR(LOOKUP(Предпосылки!$H$207,$C$13:$C$15,BF$13:BF$15),1)</f>
        <v>0</v>
      </c>
      <c s="125">
        <f>Предпосылки!BF$234*Предпосылки!$J271*Продажи!BG36*BG$19*(1+Чувствительность!$D$20)*IFERROR(LOOKUP(Предпосылки!$H$207,$C$13:$C$15,BG$13:BG$15),1)</f>
        <v>0</v>
      </c>
      <c s="125">
        <f>Предпосылки!BG$234*Предпосылки!$J271*Продажи!BH36*BH$19*(1+Чувствительность!$D$20)*IFERROR(LOOKUP(Предпосылки!$H$207,$C$13:$C$15,BH$13:BH$15),1)</f>
        <v>0</v>
      </c>
      <c s="125">
        <f>Предпосылки!BH$234*Предпосылки!$J271*Продажи!BI36*BI$19*(1+Чувствительность!$D$20)*IFERROR(LOOKUP(Предпосылки!$H$207,$C$13:$C$15,BI$13:BI$15),1)</f>
        <v>0</v>
      </c>
      <c s="125">
        <f>Предпосылки!BI$234*Предпосылки!$J271*Продажи!BJ36*BJ$19*(1+Чувствительность!$D$20)*IFERROR(LOOKUP(Предпосылки!$H$207,$C$13:$C$15,BJ$13:BJ$15),1)</f>
        <v>0</v>
      </c>
      <c s="125">
        <f>Предпосылки!BJ$234*Предпосылки!$J271*Продажи!BK36*BK$19*(1+Чувствительность!$D$20)*IFERROR(LOOKUP(Предпосылки!$H$207,$C$13:$C$15,BK$13:BK$15),1)</f>
        <v>0</v>
      </c>
      <c s="125">
        <f>Предпосылки!BK$234*Предпосылки!$J271*Продажи!BL36*BL$19*(1+Чувствительность!$D$20)*IFERROR(LOOKUP(Предпосылки!$H$207,$C$13:$C$15,BL$13:BL$15),1)</f>
        <v>0</v>
      </c>
      <c s="125">
        <f>Предпосылки!BL$234*Предпосылки!$J271*Продажи!BM36*BM$19*(1+Чувствительность!$D$20)*IFERROR(LOOKUP(Предпосылки!$H$207,$C$13:$C$15,BM$13:BM$15),1)</f>
        <v>0</v>
      </c>
    </row>
    <row r="180" spans="2:65" ht="15" customHeight="1">
      <c r="B180" s="12" t="str">
        <f t="shared" si="91"/>
        <v>Продукт 20</v>
      </c>
      <c s="124" t="str">
        <f t="shared" si="90"/>
        <v>тыс. руб.</v>
      </c>
      <c s="276">
        <f t="shared" si="92"/>
        <v>0</v>
      </c>
      <c s="125">
        <f>Предпосылки!D$234*Предпосылки!$J272*Продажи!E37*E$19*(1+Чувствительность!$D$20)*IFERROR(LOOKUP(Предпосылки!$H$207,$C$13:$C$15,E$13:E$15),1)</f>
        <v>0</v>
      </c>
      <c s="125">
        <f>Предпосылки!E$234*Предпосылки!$J272*Продажи!F37*F$19*(1+Чувствительность!$D$20)*IFERROR(LOOKUP(Предпосылки!$H$207,$C$13:$C$15,F$13:F$15),1)</f>
        <v>0</v>
      </c>
      <c s="125">
        <f>Предпосылки!F$234*Предпосылки!$J272*Продажи!G37*G$19*(1+Чувствительность!$D$20)*IFERROR(LOOKUP(Предпосылки!$H$207,$C$13:$C$15,G$13:G$15),1)</f>
        <v>0</v>
      </c>
      <c s="125">
        <f>Предпосылки!G$234*Предпосылки!$J272*Продажи!H37*H$19*(1+Чувствительность!$D$20)*IFERROR(LOOKUP(Предпосылки!$H$207,$C$13:$C$15,H$13:H$15),1)</f>
        <v>0</v>
      </c>
      <c s="125">
        <f>Предпосылки!H$234*Предпосылки!$J272*Продажи!I37*I$19*(1+Чувствительность!$D$20)*IFERROR(LOOKUP(Предпосылки!$H$207,$C$13:$C$15,I$13:I$15),1)</f>
        <v>0</v>
      </c>
      <c s="125">
        <f>Предпосылки!I$234*Предпосылки!$J272*Продажи!J37*J$19*(1+Чувствительность!$D$20)*IFERROR(LOOKUP(Предпосылки!$H$207,$C$13:$C$15,J$13:J$15),1)</f>
        <v>0</v>
      </c>
      <c s="125">
        <f>Предпосылки!J$234*Предпосылки!$J272*Продажи!K37*K$19*(1+Чувствительность!$D$20)*IFERROR(LOOKUP(Предпосылки!$H$207,$C$13:$C$15,K$13:K$15),1)</f>
        <v>0</v>
      </c>
      <c s="125">
        <f>Предпосылки!K$234*Предпосылки!$J272*Продажи!L37*L$19*(1+Чувствительность!$D$20)*IFERROR(LOOKUP(Предпосылки!$H$207,$C$13:$C$15,L$13:L$15),1)</f>
        <v>0</v>
      </c>
      <c s="125">
        <f>Предпосылки!L$234*Предпосылки!$J272*Продажи!M37*M$19*(1+Чувствительность!$D$20)*IFERROR(LOOKUP(Предпосылки!$H$207,$C$13:$C$15,M$13:M$15),1)</f>
        <v>0</v>
      </c>
      <c s="125">
        <f>Предпосылки!M$234*Предпосылки!$J272*Продажи!N37*N$19*(1+Чувствительность!$D$20)*IFERROR(LOOKUP(Предпосылки!$H$207,$C$13:$C$15,N$13:N$15),1)</f>
        <v>0</v>
      </c>
      <c s="125">
        <f>Предпосылки!N$234*Предпосылки!$J272*Продажи!O37*O$19*(1+Чувствительность!$D$20)*IFERROR(LOOKUP(Предпосылки!$H$207,$C$13:$C$15,O$13:O$15),1)</f>
        <v>0</v>
      </c>
      <c s="125">
        <f>Предпосылки!O$234*Предпосылки!$J272*Продажи!P37*P$19*(1+Чувствительность!$D$20)*IFERROR(LOOKUP(Предпосылки!$H$207,$C$13:$C$15,P$13:P$15),1)</f>
        <v>0</v>
      </c>
      <c s="125">
        <f>Предпосылки!P$234*Предпосылки!$J272*Продажи!Q37*Q$19*(1+Чувствительность!$D$20)*IFERROR(LOOKUP(Предпосылки!$H$207,$C$13:$C$15,Q$13:Q$15),1)</f>
        <v>0</v>
      </c>
      <c s="125">
        <f>Предпосылки!Q$234*Предпосылки!$J272*Продажи!R37*R$19*(1+Чувствительность!$D$20)*IFERROR(LOOKUP(Предпосылки!$H$207,$C$13:$C$15,R$13:R$15),1)</f>
        <v>0</v>
      </c>
      <c s="125">
        <f>Предпосылки!R$234*Предпосылки!$J272*Продажи!S37*S$19*(1+Чувствительность!$D$20)*IFERROR(LOOKUP(Предпосылки!$H$207,$C$13:$C$15,S$13:S$15),1)</f>
        <v>0</v>
      </c>
      <c s="125">
        <f>Предпосылки!S$234*Предпосылки!$J272*Продажи!T37*T$19*(1+Чувствительность!$D$20)*IFERROR(LOOKUP(Предпосылки!$H$207,$C$13:$C$15,T$13:T$15),1)</f>
        <v>0</v>
      </c>
      <c s="125">
        <f>Предпосылки!T$234*Предпосылки!$J272*Продажи!U37*U$19*(1+Чувствительность!$D$20)*IFERROR(LOOKUP(Предпосылки!$H$207,$C$13:$C$15,U$13:U$15),1)</f>
        <v>0</v>
      </c>
      <c s="125">
        <f>Предпосылки!U$234*Предпосылки!$J272*Продажи!V37*V$19*(1+Чувствительность!$D$20)*IFERROR(LOOKUP(Предпосылки!$H$207,$C$13:$C$15,V$13:V$15),1)</f>
        <v>0</v>
      </c>
      <c s="125">
        <f>Предпосылки!V$234*Предпосылки!$J272*Продажи!W37*W$19*(1+Чувствительность!$D$20)*IFERROR(LOOKUP(Предпосылки!$H$207,$C$13:$C$15,W$13:W$15),1)</f>
        <v>0</v>
      </c>
      <c s="125">
        <f>Предпосылки!W$234*Предпосылки!$J272*Продажи!X37*X$19*(1+Чувствительность!$D$20)*IFERROR(LOOKUP(Предпосылки!$H$207,$C$13:$C$15,X$13:X$15),1)</f>
        <v>0</v>
      </c>
      <c s="125">
        <f>Предпосылки!X$234*Предпосылки!$J272*Продажи!Y37*Y$19*(1+Чувствительность!$D$20)*IFERROR(LOOKUP(Предпосылки!$H$207,$C$13:$C$15,Y$13:Y$15),1)</f>
        <v>0</v>
      </c>
      <c s="125">
        <f>Предпосылки!Y$234*Предпосылки!$J272*Продажи!Z37*Z$19*(1+Чувствительность!$D$20)*IFERROR(LOOKUP(Предпосылки!$H$207,$C$13:$C$15,Z$13:Z$15),1)</f>
        <v>0</v>
      </c>
      <c s="125">
        <f>Предпосылки!Z$234*Предпосылки!$J272*Продажи!AA37*AA$19*(1+Чувствительность!$D$20)*IFERROR(LOOKUP(Предпосылки!$H$207,$C$13:$C$15,AA$13:AA$15),1)</f>
        <v>0</v>
      </c>
      <c s="125">
        <f>Предпосылки!AA$234*Предпосылки!$J272*Продажи!AB37*AB$19*(1+Чувствительность!$D$20)*IFERROR(LOOKUP(Предпосылки!$H$207,$C$13:$C$15,AB$13:AB$15),1)</f>
        <v>0</v>
      </c>
      <c s="125">
        <f>Предпосылки!AB$234*Предпосылки!$J272*Продажи!AC37*AC$19*(1+Чувствительность!$D$20)*IFERROR(LOOKUP(Предпосылки!$H$207,$C$13:$C$15,AC$13:AC$15),1)</f>
        <v>0</v>
      </c>
      <c s="125">
        <f>Предпосылки!AC$234*Предпосылки!$J272*Продажи!AD37*AD$19*(1+Чувствительность!$D$20)*IFERROR(LOOKUP(Предпосылки!$H$207,$C$13:$C$15,AD$13:AD$15),1)</f>
        <v>0</v>
      </c>
      <c s="125">
        <f>Предпосылки!AD$234*Предпосылки!$J272*Продажи!AE37*AE$19*(1+Чувствительность!$D$20)*IFERROR(LOOKUP(Предпосылки!$H$207,$C$13:$C$15,AE$13:AE$15),1)</f>
        <v>0</v>
      </c>
      <c s="125">
        <f>Предпосылки!AE$234*Предпосылки!$J272*Продажи!AF37*AF$19*(1+Чувствительность!$D$20)*IFERROR(LOOKUP(Предпосылки!$H$207,$C$13:$C$15,AF$13:AF$15),1)</f>
        <v>0</v>
      </c>
      <c s="125">
        <f>Предпосылки!AF$234*Предпосылки!$J272*Продажи!AG37*AG$19*(1+Чувствительность!$D$20)*IFERROR(LOOKUP(Предпосылки!$H$207,$C$13:$C$15,AG$13:AG$15),1)</f>
        <v>0</v>
      </c>
      <c s="125">
        <f>Предпосылки!AG$234*Предпосылки!$J272*Продажи!AH37*AH$19*(1+Чувствительность!$D$20)*IFERROR(LOOKUP(Предпосылки!$H$207,$C$13:$C$15,AH$13:AH$15),1)</f>
        <v>0</v>
      </c>
      <c s="125">
        <f>Предпосылки!AH$234*Предпосылки!$J272*Продажи!AI37*AI$19*(1+Чувствительность!$D$20)*IFERROR(LOOKUP(Предпосылки!$H$207,$C$13:$C$15,AI$13:AI$15),1)</f>
        <v>0</v>
      </c>
      <c s="125">
        <f>Предпосылки!AI$234*Предпосылки!$J272*Продажи!AJ37*AJ$19*(1+Чувствительность!$D$20)*IFERROR(LOOKUP(Предпосылки!$H$207,$C$13:$C$15,AJ$13:AJ$15),1)</f>
        <v>0</v>
      </c>
      <c s="125">
        <f>Предпосылки!AJ$234*Предпосылки!$J272*Продажи!AK37*AK$19*(1+Чувствительность!$D$20)*IFERROR(LOOKUP(Предпосылки!$H$207,$C$13:$C$15,AK$13:AK$15),1)</f>
        <v>0</v>
      </c>
      <c s="125">
        <f>Предпосылки!AK$234*Предпосылки!$J272*Продажи!AL37*AL$19*(1+Чувствительность!$D$20)*IFERROR(LOOKUP(Предпосылки!$H$207,$C$13:$C$15,AL$13:AL$15),1)</f>
        <v>0</v>
      </c>
      <c s="125">
        <f>Предпосылки!AL$234*Предпосылки!$J272*Продажи!AM37*AM$19*(1+Чувствительность!$D$20)*IFERROR(LOOKUP(Предпосылки!$H$207,$C$13:$C$15,AM$13:AM$15),1)</f>
        <v>0</v>
      </c>
      <c s="125">
        <f>Предпосылки!AM$234*Предпосылки!$J272*Продажи!AN37*AN$19*(1+Чувствительность!$D$20)*IFERROR(LOOKUP(Предпосылки!$H$207,$C$13:$C$15,AN$13:AN$15),1)</f>
        <v>0</v>
      </c>
      <c s="125">
        <f>Предпосылки!AN$234*Предпосылки!$J272*Продажи!AO37*AO$19*(1+Чувствительность!$D$20)*IFERROR(LOOKUP(Предпосылки!$H$207,$C$13:$C$15,AO$13:AO$15),1)</f>
        <v>0</v>
      </c>
      <c s="125">
        <f>Предпосылки!AO$234*Предпосылки!$J272*Продажи!AP37*AP$19*(1+Чувствительность!$D$20)*IFERROR(LOOKUP(Предпосылки!$H$207,$C$13:$C$15,AP$13:AP$15),1)</f>
        <v>0</v>
      </c>
      <c s="125">
        <f>Предпосылки!AP$234*Предпосылки!$J272*Продажи!AQ37*AQ$19*(1+Чувствительность!$D$20)*IFERROR(LOOKUP(Предпосылки!$H$207,$C$13:$C$15,AQ$13:AQ$15),1)</f>
        <v>0</v>
      </c>
      <c s="125">
        <f>Предпосылки!AQ$234*Предпосылки!$J272*Продажи!AR37*AR$19*(1+Чувствительность!$D$20)*IFERROR(LOOKUP(Предпосылки!$H$207,$C$13:$C$15,AR$13:AR$15),1)</f>
        <v>0</v>
      </c>
      <c s="125">
        <f>Предпосылки!AR$234*Предпосылки!$J272*Продажи!AS37*AS$19*(1+Чувствительность!$D$20)*IFERROR(LOOKUP(Предпосылки!$H$207,$C$13:$C$15,AS$13:AS$15),1)</f>
        <v>0</v>
      </c>
      <c s="125">
        <f>Предпосылки!AS$234*Предпосылки!$J272*Продажи!AT37*AT$19*(1+Чувствительность!$D$20)*IFERROR(LOOKUP(Предпосылки!$H$207,$C$13:$C$15,AT$13:AT$15),1)</f>
        <v>0</v>
      </c>
      <c s="125">
        <f>Предпосылки!AT$234*Предпосылки!$J272*Продажи!AU37*AU$19*(1+Чувствительность!$D$20)*IFERROR(LOOKUP(Предпосылки!$H$207,$C$13:$C$15,AU$13:AU$15),1)</f>
        <v>0</v>
      </c>
      <c s="125">
        <f>Предпосылки!AU$234*Предпосылки!$J272*Продажи!AV37*AV$19*(1+Чувствительность!$D$20)*IFERROR(LOOKUP(Предпосылки!$H$207,$C$13:$C$15,AV$13:AV$15),1)</f>
        <v>0</v>
      </c>
      <c s="125">
        <f>Предпосылки!AV$234*Предпосылки!$J272*Продажи!AW37*AW$19*(1+Чувствительность!$D$20)*IFERROR(LOOKUP(Предпосылки!$H$207,$C$13:$C$15,AW$13:AW$15),1)</f>
        <v>0</v>
      </c>
      <c s="125">
        <f>Предпосылки!AW$234*Предпосылки!$J272*Продажи!AX37*AX$19*(1+Чувствительность!$D$20)*IFERROR(LOOKUP(Предпосылки!$H$207,$C$13:$C$15,AX$13:AX$15),1)</f>
        <v>0</v>
      </c>
      <c s="125">
        <f>Предпосылки!AX$234*Предпосылки!$J272*Продажи!AY37*AY$19*(1+Чувствительность!$D$20)*IFERROR(LOOKUP(Предпосылки!$H$207,$C$13:$C$15,AY$13:AY$15),1)</f>
        <v>0</v>
      </c>
      <c s="125">
        <f>Предпосылки!AY$234*Предпосылки!$J272*Продажи!AZ37*AZ$19*(1+Чувствительность!$D$20)*IFERROR(LOOKUP(Предпосылки!$H$207,$C$13:$C$15,AZ$13:AZ$15),1)</f>
        <v>0</v>
      </c>
      <c s="125">
        <f>Предпосылки!AZ$234*Предпосылки!$J272*Продажи!BA37*BA$19*(1+Чувствительность!$D$20)*IFERROR(LOOKUP(Предпосылки!$H$207,$C$13:$C$15,BA$13:BA$15),1)</f>
        <v>0</v>
      </c>
      <c s="125">
        <f>Предпосылки!BA$234*Предпосылки!$J272*Продажи!BB37*BB$19*(1+Чувствительность!$D$20)*IFERROR(LOOKUP(Предпосылки!$H$207,$C$13:$C$15,BB$13:BB$15),1)</f>
        <v>0</v>
      </c>
      <c s="125">
        <f>Предпосылки!BB$234*Предпосылки!$J272*Продажи!BC37*BC$19*(1+Чувствительность!$D$20)*IFERROR(LOOKUP(Предпосылки!$H$207,$C$13:$C$15,BC$13:BC$15),1)</f>
        <v>0</v>
      </c>
      <c s="125">
        <f>Предпосылки!BC$234*Предпосылки!$J272*Продажи!BD37*BD$19*(1+Чувствительность!$D$20)*IFERROR(LOOKUP(Предпосылки!$H$207,$C$13:$C$15,BD$13:BD$15),1)</f>
        <v>0</v>
      </c>
      <c s="125">
        <f>Предпосылки!BD$234*Предпосылки!$J272*Продажи!BE37*BE$19*(1+Чувствительность!$D$20)*IFERROR(LOOKUP(Предпосылки!$H$207,$C$13:$C$15,BE$13:BE$15),1)</f>
        <v>0</v>
      </c>
      <c s="125">
        <f>Предпосылки!BE$234*Предпосылки!$J272*Продажи!BF37*BF$19*(1+Чувствительность!$D$20)*IFERROR(LOOKUP(Предпосылки!$H$207,$C$13:$C$15,BF$13:BF$15),1)</f>
        <v>0</v>
      </c>
      <c s="125">
        <f>Предпосылки!BF$234*Предпосылки!$J272*Продажи!BG37*BG$19*(1+Чувствительность!$D$20)*IFERROR(LOOKUP(Предпосылки!$H$207,$C$13:$C$15,BG$13:BG$15),1)</f>
        <v>0</v>
      </c>
      <c s="125">
        <f>Предпосылки!BG$234*Предпосылки!$J272*Продажи!BH37*BH$19*(1+Чувствительность!$D$20)*IFERROR(LOOKUP(Предпосылки!$H$207,$C$13:$C$15,BH$13:BH$15),1)</f>
        <v>0</v>
      </c>
      <c s="125">
        <f>Предпосылки!BH$234*Предпосылки!$J272*Продажи!BI37*BI$19*(1+Чувствительность!$D$20)*IFERROR(LOOKUP(Предпосылки!$H$207,$C$13:$C$15,BI$13:BI$15),1)</f>
        <v>0</v>
      </c>
      <c s="125">
        <f>Предпосылки!BI$234*Предпосылки!$J272*Продажи!BJ37*BJ$19*(1+Чувствительность!$D$20)*IFERROR(LOOKUP(Предпосылки!$H$207,$C$13:$C$15,BJ$13:BJ$15),1)</f>
        <v>0</v>
      </c>
      <c s="125">
        <f>Предпосылки!BJ$234*Предпосылки!$J272*Продажи!BK37*BK$19*(1+Чувствительность!$D$20)*IFERROR(LOOKUP(Предпосылки!$H$207,$C$13:$C$15,BK$13:BK$15),1)</f>
        <v>0</v>
      </c>
      <c s="125">
        <f>Предпосылки!BK$234*Предпосылки!$J272*Продажи!BL37*BL$19*(1+Чувствительность!$D$20)*IFERROR(LOOKUP(Предпосылки!$H$207,$C$13:$C$15,BL$13:BL$15),1)</f>
        <v>0</v>
      </c>
      <c s="125">
        <f>Предпосылки!BL$234*Предпосылки!$J272*Продажи!BM37*BM$19*(1+Чувствительность!$D$20)*IFERROR(LOOKUP(Предпосылки!$H$207,$C$13:$C$15,BM$13:BM$15),1)</f>
        <v>0</v>
      </c>
    </row>
    <row r="181" spans="2:65" ht="15" customHeight="1">
      <c r="B181" s="289" t="s">
        <v>454</v>
      </c>
      <c s="290" t="str">
        <f>Единица_измерения</f>
        <v>тыс. руб.</v>
      </c>
      <c s="291">
        <f>SUM(D161:D180)</f>
        <v>0</v>
      </c>
      <c s="276">
        <f>SUM(E161:E180)</f>
        <v>0</v>
      </c>
      <c s="276">
        <f t="shared" si="93" ref="F181:AG181">SUM(F161:F180)</f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3"/>
        <v>0</v>
      </c>
      <c s="276">
        <f t="shared" si="94" ref="AH181:BM181">SUM(AH161:AH180)</f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</row>
    <row r="182" ht="15" customHeight="1"/>
    <row r="183" spans="2:69" ht="14.45">
      <c r="B183" s="25" t="str">
        <f>Предпосылки!B235</f>
        <v>Операционные затраты 8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84" spans="2:65" ht="15" customHeight="1">
      <c r="B184" s="12" t="str">
        <f>B161</f>
        <v>Продукт 1</v>
      </c>
      <c s="124" t="str">
        <f t="shared" si="95" ref="C184:C203">Единица_измерения</f>
        <v>тыс. руб.</v>
      </c>
      <c s="276">
        <f>SUM(E184:BM184)</f>
        <v>0</v>
      </c>
      <c s="125">
        <f>Предпосылки!D$235*Предпосылки!$K253*Продажи!E18*E$19*(1+Чувствительность!$D$20)*IFERROR(LOOKUP(Предпосылки!$H$208,$C$13:$C$15,E$13:E$15),1)</f>
        <v>0</v>
      </c>
      <c s="125">
        <f>Предпосылки!E$235*Предпосылки!$K253*Продажи!F18*F$19*(1+Чувствительность!$D$20)*IFERROR(LOOKUP(Предпосылки!$H$208,$C$13:$C$15,F$13:F$15),1)</f>
        <v>0</v>
      </c>
      <c s="125">
        <f>Предпосылки!F$235*Предпосылки!$K253*Продажи!G18*G$19*(1+Чувствительность!$D$20)*IFERROR(LOOKUP(Предпосылки!$H$208,$C$13:$C$15,G$13:G$15),1)</f>
        <v>0</v>
      </c>
      <c s="125">
        <f>Предпосылки!G$235*Предпосылки!$K253*Продажи!H18*H$19*(1+Чувствительность!$D$20)*IFERROR(LOOKUP(Предпосылки!$H$208,$C$13:$C$15,H$13:H$15),1)</f>
        <v>0</v>
      </c>
      <c s="125">
        <f>Предпосылки!H$235*Предпосылки!$K253*Продажи!I18*I$19*(1+Чувствительность!$D$20)*IFERROR(LOOKUP(Предпосылки!$H$208,$C$13:$C$15,I$13:I$15),1)</f>
        <v>0</v>
      </c>
      <c s="125">
        <f>Предпосылки!I$235*Предпосылки!$K253*Продажи!J18*J$19*(1+Чувствительность!$D$20)*IFERROR(LOOKUP(Предпосылки!$H$208,$C$13:$C$15,J$13:J$15),1)</f>
        <v>0</v>
      </c>
      <c s="125">
        <f>Предпосылки!J$235*Предпосылки!$K253*Продажи!K18*K$19*(1+Чувствительность!$D$20)*IFERROR(LOOKUP(Предпосылки!$H$208,$C$13:$C$15,K$13:K$15),1)</f>
        <v>0</v>
      </c>
      <c s="125">
        <f>Предпосылки!K$235*Предпосылки!$K253*Продажи!L18*L$19*(1+Чувствительность!$D$20)*IFERROR(LOOKUP(Предпосылки!$H$208,$C$13:$C$15,L$13:L$15),1)</f>
        <v>0</v>
      </c>
      <c s="125">
        <f>Предпосылки!L$235*Предпосылки!$K253*Продажи!M18*M$19*(1+Чувствительность!$D$20)*IFERROR(LOOKUP(Предпосылки!$H$208,$C$13:$C$15,M$13:M$15),1)</f>
        <v>0</v>
      </c>
      <c s="125">
        <f>Предпосылки!M$235*Предпосылки!$K253*Продажи!N18*N$19*(1+Чувствительность!$D$20)*IFERROR(LOOKUP(Предпосылки!$H$208,$C$13:$C$15,N$13:N$15),1)</f>
        <v>0</v>
      </c>
      <c s="125">
        <f>Предпосылки!N$235*Предпосылки!$K253*Продажи!O18*O$19*(1+Чувствительность!$D$20)*IFERROR(LOOKUP(Предпосылки!$H$208,$C$13:$C$15,O$13:O$15),1)</f>
        <v>0</v>
      </c>
      <c s="125">
        <f>Предпосылки!O$235*Предпосылки!$K253*Продажи!P18*P$19*(1+Чувствительность!$D$20)*IFERROR(LOOKUP(Предпосылки!$H$208,$C$13:$C$15,P$13:P$15),1)</f>
        <v>0</v>
      </c>
      <c s="125">
        <f>Предпосылки!P$235*Предпосылки!$K253*Продажи!Q18*Q$19*(1+Чувствительность!$D$20)*IFERROR(LOOKUP(Предпосылки!$H$208,$C$13:$C$15,Q$13:Q$15),1)</f>
        <v>0</v>
      </c>
      <c s="125">
        <f>Предпосылки!Q$235*Предпосылки!$K253*Продажи!R18*R$19*(1+Чувствительность!$D$20)*IFERROR(LOOKUP(Предпосылки!$H$208,$C$13:$C$15,R$13:R$15),1)</f>
        <v>0</v>
      </c>
      <c s="125">
        <f>Предпосылки!R$235*Предпосылки!$K253*Продажи!S18*S$19*(1+Чувствительность!$D$20)*IFERROR(LOOKUP(Предпосылки!$H$208,$C$13:$C$15,S$13:S$15),1)</f>
        <v>0</v>
      </c>
      <c s="125">
        <f>Предпосылки!S$235*Предпосылки!$K253*Продажи!T18*T$19*(1+Чувствительность!$D$20)*IFERROR(LOOKUP(Предпосылки!$H$208,$C$13:$C$15,T$13:T$15),1)</f>
        <v>0</v>
      </c>
      <c s="125">
        <f>Предпосылки!T$235*Предпосылки!$K253*Продажи!U18*U$19*(1+Чувствительность!$D$20)*IFERROR(LOOKUP(Предпосылки!$H$208,$C$13:$C$15,U$13:U$15),1)</f>
        <v>0</v>
      </c>
      <c s="125">
        <f>Предпосылки!U$235*Предпосылки!$K253*Продажи!V18*V$19*(1+Чувствительность!$D$20)*IFERROR(LOOKUP(Предпосылки!$H$208,$C$13:$C$15,V$13:V$15),1)</f>
        <v>0</v>
      </c>
      <c s="125">
        <f>Предпосылки!V$235*Предпосылки!$K253*Продажи!W18*W$19*(1+Чувствительность!$D$20)*IFERROR(LOOKUP(Предпосылки!$H$208,$C$13:$C$15,W$13:W$15),1)</f>
        <v>0</v>
      </c>
      <c s="125">
        <f>Предпосылки!W$235*Предпосылки!$K253*Продажи!X18*X$19*(1+Чувствительность!$D$20)*IFERROR(LOOKUP(Предпосылки!$H$208,$C$13:$C$15,X$13:X$15),1)</f>
        <v>0</v>
      </c>
      <c s="125">
        <f>Предпосылки!X$235*Предпосылки!$K253*Продажи!Y18*Y$19*(1+Чувствительность!$D$20)*IFERROR(LOOKUP(Предпосылки!$H$208,$C$13:$C$15,Y$13:Y$15),1)</f>
        <v>0</v>
      </c>
      <c s="125">
        <f>Предпосылки!Y$235*Предпосылки!$K253*Продажи!Z18*Z$19*(1+Чувствительность!$D$20)*IFERROR(LOOKUP(Предпосылки!$H$208,$C$13:$C$15,Z$13:Z$15),1)</f>
        <v>0</v>
      </c>
      <c s="125">
        <f>Предпосылки!Z$235*Предпосылки!$K253*Продажи!AA18*AA$19*(1+Чувствительность!$D$20)*IFERROR(LOOKUP(Предпосылки!$H$208,$C$13:$C$15,AA$13:AA$15),1)</f>
        <v>0</v>
      </c>
      <c s="125">
        <f>Предпосылки!AA$235*Предпосылки!$K253*Продажи!AB18*AB$19*(1+Чувствительность!$D$20)*IFERROR(LOOKUP(Предпосылки!$H$208,$C$13:$C$15,AB$13:AB$15),1)</f>
        <v>0</v>
      </c>
      <c s="125">
        <f>Предпосылки!AB$235*Предпосылки!$K253*Продажи!AC18*AC$19*(1+Чувствительность!$D$20)*IFERROR(LOOKUP(Предпосылки!$H$208,$C$13:$C$15,AC$13:AC$15),1)</f>
        <v>0</v>
      </c>
      <c s="125">
        <f>Предпосылки!AC$235*Предпосылки!$K253*Продажи!AD18*AD$19*(1+Чувствительность!$D$20)*IFERROR(LOOKUP(Предпосылки!$H$208,$C$13:$C$15,AD$13:AD$15),1)</f>
        <v>0</v>
      </c>
      <c s="125">
        <f>Предпосылки!AD$235*Предпосылки!$K253*Продажи!AE18*AE$19*(1+Чувствительность!$D$20)*IFERROR(LOOKUP(Предпосылки!$H$208,$C$13:$C$15,AE$13:AE$15),1)</f>
        <v>0</v>
      </c>
      <c s="125">
        <f>Предпосылки!AE$235*Предпосылки!$K253*Продажи!AF18*AF$19*(1+Чувствительность!$D$20)*IFERROR(LOOKUP(Предпосылки!$H$208,$C$13:$C$15,AF$13:AF$15),1)</f>
        <v>0</v>
      </c>
      <c s="125">
        <f>Предпосылки!AF$235*Предпосылки!$K253*Продажи!AG18*AG$19*(1+Чувствительность!$D$20)*IFERROR(LOOKUP(Предпосылки!$H$208,$C$13:$C$15,AG$13:AG$15),1)</f>
        <v>0</v>
      </c>
      <c s="125">
        <f>Предпосылки!AG$235*Предпосылки!$K253*Продажи!AH18*AH$19*(1+Чувствительность!$D$20)*IFERROR(LOOKUP(Предпосылки!$H$208,$C$13:$C$15,AH$13:AH$15),1)</f>
        <v>0</v>
      </c>
      <c s="125">
        <f>Предпосылки!AH$235*Предпосылки!$K253*Продажи!AI18*AI$19*(1+Чувствительность!$D$20)*IFERROR(LOOKUP(Предпосылки!$H$208,$C$13:$C$15,AI$13:AI$15),1)</f>
        <v>0</v>
      </c>
      <c s="125">
        <f>Предпосылки!AI$235*Предпосылки!$K253*Продажи!AJ18*AJ$19*(1+Чувствительность!$D$20)*IFERROR(LOOKUP(Предпосылки!$H$208,$C$13:$C$15,AJ$13:AJ$15),1)</f>
        <v>0</v>
      </c>
      <c s="125">
        <f>Предпосылки!AJ$235*Предпосылки!$K253*Продажи!AK18*AK$19*(1+Чувствительность!$D$20)*IFERROR(LOOKUP(Предпосылки!$H$208,$C$13:$C$15,AK$13:AK$15),1)</f>
        <v>0</v>
      </c>
      <c s="125">
        <f>Предпосылки!AK$235*Предпосылки!$K253*Продажи!AL18*AL$19*(1+Чувствительность!$D$20)*IFERROR(LOOKUP(Предпосылки!$H$208,$C$13:$C$15,AL$13:AL$15),1)</f>
        <v>0</v>
      </c>
      <c s="125">
        <f>Предпосылки!AL$235*Предпосылки!$K253*Продажи!AM18*AM$19*(1+Чувствительность!$D$20)*IFERROR(LOOKUP(Предпосылки!$H$208,$C$13:$C$15,AM$13:AM$15),1)</f>
        <v>0</v>
      </c>
      <c s="125">
        <f>Предпосылки!AM$235*Предпосылки!$K253*Продажи!AN18*AN$19*(1+Чувствительность!$D$20)*IFERROR(LOOKUP(Предпосылки!$H$208,$C$13:$C$15,AN$13:AN$15),1)</f>
        <v>0</v>
      </c>
      <c s="125">
        <f>Предпосылки!AN$235*Предпосылки!$K253*Продажи!AO18*AO$19*(1+Чувствительность!$D$20)*IFERROR(LOOKUP(Предпосылки!$H$208,$C$13:$C$15,AO$13:AO$15),1)</f>
        <v>0</v>
      </c>
      <c s="125">
        <f>Предпосылки!AO$235*Предпосылки!$K253*Продажи!AP18*AP$19*(1+Чувствительность!$D$20)*IFERROR(LOOKUP(Предпосылки!$H$208,$C$13:$C$15,AP$13:AP$15),1)</f>
        <v>0</v>
      </c>
      <c s="125">
        <f>Предпосылки!AP$235*Предпосылки!$K253*Продажи!AQ18*AQ$19*(1+Чувствительность!$D$20)*IFERROR(LOOKUP(Предпосылки!$H$208,$C$13:$C$15,AQ$13:AQ$15),1)</f>
        <v>0</v>
      </c>
      <c s="125">
        <f>Предпосылки!AQ$235*Предпосылки!$K253*Продажи!AR18*AR$19*(1+Чувствительность!$D$20)*IFERROR(LOOKUP(Предпосылки!$H$208,$C$13:$C$15,AR$13:AR$15),1)</f>
        <v>0</v>
      </c>
      <c s="125">
        <f>Предпосылки!AR$235*Предпосылки!$K253*Продажи!AS18*AS$19*(1+Чувствительность!$D$20)*IFERROR(LOOKUP(Предпосылки!$H$208,$C$13:$C$15,AS$13:AS$15),1)</f>
        <v>0</v>
      </c>
      <c s="125">
        <f>Предпосылки!AS$235*Предпосылки!$K253*Продажи!AT18*AT$19*(1+Чувствительность!$D$20)*IFERROR(LOOKUP(Предпосылки!$H$208,$C$13:$C$15,AT$13:AT$15),1)</f>
        <v>0</v>
      </c>
      <c s="125">
        <f>Предпосылки!AT$235*Предпосылки!$K253*Продажи!AU18*AU$19*(1+Чувствительность!$D$20)*IFERROR(LOOKUP(Предпосылки!$H$208,$C$13:$C$15,AU$13:AU$15),1)</f>
        <v>0</v>
      </c>
      <c s="125">
        <f>Предпосылки!AU$235*Предпосылки!$K253*Продажи!AV18*AV$19*(1+Чувствительность!$D$20)*IFERROR(LOOKUP(Предпосылки!$H$208,$C$13:$C$15,AV$13:AV$15),1)</f>
        <v>0</v>
      </c>
      <c s="125">
        <f>Предпосылки!AV$235*Предпосылки!$K253*Продажи!AW18*AW$19*(1+Чувствительность!$D$20)*IFERROR(LOOKUP(Предпосылки!$H$208,$C$13:$C$15,AW$13:AW$15),1)</f>
        <v>0</v>
      </c>
      <c s="125">
        <f>Предпосылки!AW$235*Предпосылки!$K253*Продажи!AX18*AX$19*(1+Чувствительность!$D$20)*IFERROR(LOOKUP(Предпосылки!$H$208,$C$13:$C$15,AX$13:AX$15),1)</f>
        <v>0</v>
      </c>
      <c s="125">
        <f>Предпосылки!AX$235*Предпосылки!$K253*Продажи!AY18*AY$19*(1+Чувствительность!$D$20)*IFERROR(LOOKUP(Предпосылки!$H$208,$C$13:$C$15,AY$13:AY$15),1)</f>
        <v>0</v>
      </c>
      <c s="125">
        <f>Предпосылки!AY$235*Предпосылки!$K253*Продажи!AZ18*AZ$19*(1+Чувствительность!$D$20)*IFERROR(LOOKUP(Предпосылки!$H$208,$C$13:$C$15,AZ$13:AZ$15),1)</f>
        <v>0</v>
      </c>
      <c s="125">
        <f>Предпосылки!AZ$235*Предпосылки!$K253*Продажи!BA18*BA$19*(1+Чувствительность!$D$20)*IFERROR(LOOKUP(Предпосылки!$H$208,$C$13:$C$15,BA$13:BA$15),1)</f>
        <v>0</v>
      </c>
      <c s="125">
        <f>Предпосылки!BA$235*Предпосылки!$K253*Продажи!BB18*BB$19*(1+Чувствительность!$D$20)*IFERROR(LOOKUP(Предпосылки!$H$208,$C$13:$C$15,BB$13:BB$15),1)</f>
        <v>0</v>
      </c>
      <c s="125">
        <f>Предпосылки!BB$235*Предпосылки!$K253*Продажи!BC18*BC$19*(1+Чувствительность!$D$20)*IFERROR(LOOKUP(Предпосылки!$H$208,$C$13:$C$15,BC$13:BC$15),1)</f>
        <v>0</v>
      </c>
      <c s="125">
        <f>Предпосылки!BC$235*Предпосылки!$K253*Продажи!BD18*BD$19*(1+Чувствительность!$D$20)*IFERROR(LOOKUP(Предпосылки!$H$208,$C$13:$C$15,BD$13:BD$15),1)</f>
        <v>0</v>
      </c>
      <c s="125">
        <f>Предпосылки!BD$235*Предпосылки!$K253*Продажи!BE18*BE$19*(1+Чувствительность!$D$20)*IFERROR(LOOKUP(Предпосылки!$H$208,$C$13:$C$15,BE$13:BE$15),1)</f>
        <v>0</v>
      </c>
      <c s="125">
        <f>Предпосылки!BE$235*Предпосылки!$K253*Продажи!BF18*BF$19*(1+Чувствительность!$D$20)*IFERROR(LOOKUP(Предпосылки!$H$208,$C$13:$C$15,BF$13:BF$15),1)</f>
        <v>0</v>
      </c>
      <c s="125">
        <f>Предпосылки!BF$235*Предпосылки!$K253*Продажи!BG18*BG$19*(1+Чувствительность!$D$20)*IFERROR(LOOKUP(Предпосылки!$H$208,$C$13:$C$15,BG$13:BG$15),1)</f>
        <v>0</v>
      </c>
      <c s="125">
        <f>Предпосылки!BG$235*Предпосылки!$K253*Продажи!BH18*BH$19*(1+Чувствительность!$D$20)*IFERROR(LOOKUP(Предпосылки!$H$208,$C$13:$C$15,BH$13:BH$15),1)</f>
        <v>0</v>
      </c>
      <c s="125">
        <f>Предпосылки!BH$235*Предпосылки!$K253*Продажи!BI18*BI$19*(1+Чувствительность!$D$20)*IFERROR(LOOKUP(Предпосылки!$H$208,$C$13:$C$15,BI$13:BI$15),1)</f>
        <v>0</v>
      </c>
      <c s="125">
        <f>Предпосылки!BI$235*Предпосылки!$K253*Продажи!BJ18*BJ$19*(1+Чувствительность!$D$20)*IFERROR(LOOKUP(Предпосылки!$H$208,$C$13:$C$15,BJ$13:BJ$15),1)</f>
        <v>0</v>
      </c>
      <c s="125">
        <f>Предпосылки!BJ$235*Предпосылки!$K253*Продажи!BK18*BK$19*(1+Чувствительность!$D$20)*IFERROR(LOOKUP(Предпосылки!$H$208,$C$13:$C$15,BK$13:BK$15),1)</f>
        <v>0</v>
      </c>
      <c s="125">
        <f>Предпосылки!BK$235*Предпосылки!$K253*Продажи!BL18*BL$19*(1+Чувствительность!$D$20)*IFERROR(LOOKUP(Предпосылки!$H$208,$C$13:$C$15,BL$13:BL$15),1)</f>
        <v>0</v>
      </c>
      <c s="125">
        <f>Предпосылки!BL$235*Предпосылки!$K253*Продажи!BM18*BM$19*(1+Чувствительность!$D$20)*IFERROR(LOOKUP(Предпосылки!$H$208,$C$13:$C$15,BM$13:BM$15),1)</f>
        <v>0</v>
      </c>
    </row>
    <row r="185" spans="2:65" ht="15" customHeight="1">
      <c r="B185" s="12" t="str">
        <f t="shared" si="96" ref="B185:B203">B162</f>
        <v>Продукт 2</v>
      </c>
      <c s="124" t="str">
        <f t="shared" si="95"/>
        <v>тыс. руб.</v>
      </c>
      <c s="276">
        <f t="shared" si="97" ref="D185:D203">SUM(E185:BM185)</f>
        <v>0</v>
      </c>
      <c s="125">
        <f>Предпосылки!D$235*Предпосылки!$K254*Продажи!E19*E$19*(1+Чувствительность!$D$20)*IFERROR(LOOKUP(Предпосылки!$H$208,$C$13:$C$15,E$13:E$15),1)</f>
        <v>0</v>
      </c>
      <c s="125">
        <f>Предпосылки!E$235*Предпосылки!$K254*Продажи!F19*F$19*(1+Чувствительность!$D$20)*IFERROR(LOOKUP(Предпосылки!$H$208,$C$13:$C$15,F$13:F$15),1)</f>
        <v>0</v>
      </c>
      <c s="125">
        <f>Предпосылки!F$235*Предпосылки!$K254*Продажи!G19*G$19*(1+Чувствительность!$D$20)*IFERROR(LOOKUP(Предпосылки!$H$208,$C$13:$C$15,G$13:G$15),1)</f>
        <v>0</v>
      </c>
      <c s="125">
        <f>Предпосылки!G$235*Предпосылки!$K254*Продажи!H19*H$19*(1+Чувствительность!$D$20)*IFERROR(LOOKUP(Предпосылки!$H$208,$C$13:$C$15,H$13:H$15),1)</f>
        <v>0</v>
      </c>
      <c s="125">
        <f>Предпосылки!H$235*Предпосылки!$K254*Продажи!I19*I$19*(1+Чувствительность!$D$20)*IFERROR(LOOKUP(Предпосылки!$H$208,$C$13:$C$15,I$13:I$15),1)</f>
        <v>0</v>
      </c>
      <c s="125">
        <f>Предпосылки!I$235*Предпосылки!$K254*Продажи!J19*J$19*(1+Чувствительность!$D$20)*IFERROR(LOOKUP(Предпосылки!$H$208,$C$13:$C$15,J$13:J$15),1)</f>
        <v>0</v>
      </c>
      <c s="125">
        <f>Предпосылки!J$235*Предпосылки!$K254*Продажи!K19*K$19*(1+Чувствительность!$D$20)*IFERROR(LOOKUP(Предпосылки!$H$208,$C$13:$C$15,K$13:K$15),1)</f>
        <v>0</v>
      </c>
      <c s="125">
        <f>Предпосылки!K$235*Предпосылки!$K254*Продажи!L19*L$19*(1+Чувствительность!$D$20)*IFERROR(LOOKUP(Предпосылки!$H$208,$C$13:$C$15,L$13:L$15),1)</f>
        <v>0</v>
      </c>
      <c s="125">
        <f>Предпосылки!L$235*Предпосылки!$K254*Продажи!M19*M$19*(1+Чувствительность!$D$20)*IFERROR(LOOKUP(Предпосылки!$H$208,$C$13:$C$15,M$13:M$15),1)</f>
        <v>0</v>
      </c>
      <c s="125">
        <f>Предпосылки!M$235*Предпосылки!$K254*Продажи!N19*N$19*(1+Чувствительность!$D$20)*IFERROR(LOOKUP(Предпосылки!$H$208,$C$13:$C$15,N$13:N$15),1)</f>
        <v>0</v>
      </c>
      <c s="125">
        <f>Предпосылки!N$235*Предпосылки!$K254*Продажи!O19*O$19*(1+Чувствительность!$D$20)*IFERROR(LOOKUP(Предпосылки!$H$208,$C$13:$C$15,O$13:O$15),1)</f>
        <v>0</v>
      </c>
      <c s="125">
        <f>Предпосылки!O$235*Предпосылки!$K254*Продажи!P19*P$19*(1+Чувствительность!$D$20)*IFERROR(LOOKUP(Предпосылки!$H$208,$C$13:$C$15,P$13:P$15),1)</f>
        <v>0</v>
      </c>
      <c s="125">
        <f>Предпосылки!P$235*Предпосылки!$K254*Продажи!Q19*Q$19*(1+Чувствительность!$D$20)*IFERROR(LOOKUP(Предпосылки!$H$208,$C$13:$C$15,Q$13:Q$15),1)</f>
        <v>0</v>
      </c>
      <c s="125">
        <f>Предпосылки!Q$235*Предпосылки!$K254*Продажи!R19*R$19*(1+Чувствительность!$D$20)*IFERROR(LOOKUP(Предпосылки!$H$208,$C$13:$C$15,R$13:R$15),1)</f>
        <v>0</v>
      </c>
      <c s="125">
        <f>Предпосылки!R$235*Предпосылки!$K254*Продажи!S19*S$19*(1+Чувствительность!$D$20)*IFERROR(LOOKUP(Предпосылки!$H$208,$C$13:$C$15,S$13:S$15),1)</f>
        <v>0</v>
      </c>
      <c s="125">
        <f>Предпосылки!S$235*Предпосылки!$K254*Продажи!T19*T$19*(1+Чувствительность!$D$20)*IFERROR(LOOKUP(Предпосылки!$H$208,$C$13:$C$15,T$13:T$15),1)</f>
        <v>0</v>
      </c>
      <c s="125">
        <f>Предпосылки!T$235*Предпосылки!$K254*Продажи!U19*U$19*(1+Чувствительность!$D$20)*IFERROR(LOOKUP(Предпосылки!$H$208,$C$13:$C$15,U$13:U$15),1)</f>
        <v>0</v>
      </c>
      <c s="125">
        <f>Предпосылки!U$235*Предпосылки!$K254*Продажи!V19*V$19*(1+Чувствительность!$D$20)*IFERROR(LOOKUP(Предпосылки!$H$208,$C$13:$C$15,V$13:V$15),1)</f>
        <v>0</v>
      </c>
      <c s="125">
        <f>Предпосылки!V$235*Предпосылки!$K254*Продажи!W19*W$19*(1+Чувствительность!$D$20)*IFERROR(LOOKUP(Предпосылки!$H$208,$C$13:$C$15,W$13:W$15),1)</f>
        <v>0</v>
      </c>
      <c s="125">
        <f>Предпосылки!W$235*Предпосылки!$K254*Продажи!X19*X$19*(1+Чувствительность!$D$20)*IFERROR(LOOKUP(Предпосылки!$H$208,$C$13:$C$15,X$13:X$15),1)</f>
        <v>0</v>
      </c>
      <c s="125">
        <f>Предпосылки!X$235*Предпосылки!$K254*Продажи!Y19*Y$19*(1+Чувствительность!$D$20)*IFERROR(LOOKUP(Предпосылки!$H$208,$C$13:$C$15,Y$13:Y$15),1)</f>
        <v>0</v>
      </c>
      <c s="125">
        <f>Предпосылки!Y$235*Предпосылки!$K254*Продажи!Z19*Z$19*(1+Чувствительность!$D$20)*IFERROR(LOOKUP(Предпосылки!$H$208,$C$13:$C$15,Z$13:Z$15),1)</f>
        <v>0</v>
      </c>
      <c s="125">
        <f>Предпосылки!Z$235*Предпосылки!$K254*Продажи!AA19*AA$19*(1+Чувствительность!$D$20)*IFERROR(LOOKUP(Предпосылки!$H$208,$C$13:$C$15,AA$13:AA$15),1)</f>
        <v>0</v>
      </c>
      <c s="125">
        <f>Предпосылки!AA$235*Предпосылки!$K254*Продажи!AB19*AB$19*(1+Чувствительность!$D$20)*IFERROR(LOOKUP(Предпосылки!$H$208,$C$13:$C$15,AB$13:AB$15),1)</f>
        <v>0</v>
      </c>
      <c s="125">
        <f>Предпосылки!AB$235*Предпосылки!$K254*Продажи!AC19*AC$19*(1+Чувствительность!$D$20)*IFERROR(LOOKUP(Предпосылки!$H$208,$C$13:$C$15,AC$13:AC$15),1)</f>
        <v>0</v>
      </c>
      <c s="125">
        <f>Предпосылки!AC$235*Предпосылки!$K254*Продажи!AD19*AD$19*(1+Чувствительность!$D$20)*IFERROR(LOOKUP(Предпосылки!$H$208,$C$13:$C$15,AD$13:AD$15),1)</f>
        <v>0</v>
      </c>
      <c s="125">
        <f>Предпосылки!AD$235*Предпосылки!$K254*Продажи!AE19*AE$19*(1+Чувствительность!$D$20)*IFERROR(LOOKUP(Предпосылки!$H$208,$C$13:$C$15,AE$13:AE$15),1)</f>
        <v>0</v>
      </c>
      <c s="125">
        <f>Предпосылки!AE$235*Предпосылки!$K254*Продажи!AF19*AF$19*(1+Чувствительность!$D$20)*IFERROR(LOOKUP(Предпосылки!$H$208,$C$13:$C$15,AF$13:AF$15),1)</f>
        <v>0</v>
      </c>
      <c s="125">
        <f>Предпосылки!AF$235*Предпосылки!$K254*Продажи!AG19*AG$19*(1+Чувствительность!$D$20)*IFERROR(LOOKUP(Предпосылки!$H$208,$C$13:$C$15,AG$13:AG$15),1)</f>
        <v>0</v>
      </c>
      <c s="125">
        <f>Предпосылки!AG$235*Предпосылки!$K254*Продажи!AH19*AH$19*(1+Чувствительность!$D$20)*IFERROR(LOOKUP(Предпосылки!$H$208,$C$13:$C$15,AH$13:AH$15),1)</f>
        <v>0</v>
      </c>
      <c s="125">
        <f>Предпосылки!AH$235*Предпосылки!$K254*Продажи!AI19*AI$19*(1+Чувствительность!$D$20)*IFERROR(LOOKUP(Предпосылки!$H$208,$C$13:$C$15,AI$13:AI$15),1)</f>
        <v>0</v>
      </c>
      <c s="125">
        <f>Предпосылки!AI$235*Предпосылки!$K254*Продажи!AJ19*AJ$19*(1+Чувствительность!$D$20)*IFERROR(LOOKUP(Предпосылки!$H$208,$C$13:$C$15,AJ$13:AJ$15),1)</f>
        <v>0</v>
      </c>
      <c s="125">
        <f>Предпосылки!AJ$235*Предпосылки!$K254*Продажи!AK19*AK$19*(1+Чувствительность!$D$20)*IFERROR(LOOKUP(Предпосылки!$H$208,$C$13:$C$15,AK$13:AK$15),1)</f>
        <v>0</v>
      </c>
      <c s="125">
        <f>Предпосылки!AK$235*Предпосылки!$K254*Продажи!AL19*AL$19*(1+Чувствительность!$D$20)*IFERROR(LOOKUP(Предпосылки!$H$208,$C$13:$C$15,AL$13:AL$15),1)</f>
        <v>0</v>
      </c>
      <c s="125">
        <f>Предпосылки!AL$235*Предпосылки!$K254*Продажи!AM19*AM$19*(1+Чувствительность!$D$20)*IFERROR(LOOKUP(Предпосылки!$H$208,$C$13:$C$15,AM$13:AM$15),1)</f>
        <v>0</v>
      </c>
      <c s="125">
        <f>Предпосылки!AM$235*Предпосылки!$K254*Продажи!AN19*AN$19*(1+Чувствительность!$D$20)*IFERROR(LOOKUP(Предпосылки!$H$208,$C$13:$C$15,AN$13:AN$15),1)</f>
        <v>0</v>
      </c>
      <c s="125">
        <f>Предпосылки!AN$235*Предпосылки!$K254*Продажи!AO19*AO$19*(1+Чувствительность!$D$20)*IFERROR(LOOKUP(Предпосылки!$H$208,$C$13:$C$15,AO$13:AO$15),1)</f>
        <v>0</v>
      </c>
      <c s="125">
        <f>Предпосылки!AO$235*Предпосылки!$K254*Продажи!AP19*AP$19*(1+Чувствительность!$D$20)*IFERROR(LOOKUP(Предпосылки!$H$208,$C$13:$C$15,AP$13:AP$15),1)</f>
        <v>0</v>
      </c>
      <c s="125">
        <f>Предпосылки!AP$235*Предпосылки!$K254*Продажи!AQ19*AQ$19*(1+Чувствительность!$D$20)*IFERROR(LOOKUP(Предпосылки!$H$208,$C$13:$C$15,AQ$13:AQ$15),1)</f>
        <v>0</v>
      </c>
      <c s="125">
        <f>Предпосылки!AQ$235*Предпосылки!$K254*Продажи!AR19*AR$19*(1+Чувствительность!$D$20)*IFERROR(LOOKUP(Предпосылки!$H$208,$C$13:$C$15,AR$13:AR$15),1)</f>
        <v>0</v>
      </c>
      <c s="125">
        <f>Предпосылки!AR$235*Предпосылки!$K254*Продажи!AS19*AS$19*(1+Чувствительность!$D$20)*IFERROR(LOOKUP(Предпосылки!$H$208,$C$13:$C$15,AS$13:AS$15),1)</f>
        <v>0</v>
      </c>
      <c s="125">
        <f>Предпосылки!AS$235*Предпосылки!$K254*Продажи!AT19*AT$19*(1+Чувствительность!$D$20)*IFERROR(LOOKUP(Предпосылки!$H$208,$C$13:$C$15,AT$13:AT$15),1)</f>
        <v>0</v>
      </c>
      <c s="125">
        <f>Предпосылки!AT$235*Предпосылки!$K254*Продажи!AU19*AU$19*(1+Чувствительность!$D$20)*IFERROR(LOOKUP(Предпосылки!$H$208,$C$13:$C$15,AU$13:AU$15),1)</f>
        <v>0</v>
      </c>
      <c s="125">
        <f>Предпосылки!AU$235*Предпосылки!$K254*Продажи!AV19*AV$19*(1+Чувствительность!$D$20)*IFERROR(LOOKUP(Предпосылки!$H$208,$C$13:$C$15,AV$13:AV$15),1)</f>
        <v>0</v>
      </c>
      <c s="125">
        <f>Предпосылки!AV$235*Предпосылки!$K254*Продажи!AW19*AW$19*(1+Чувствительность!$D$20)*IFERROR(LOOKUP(Предпосылки!$H$208,$C$13:$C$15,AW$13:AW$15),1)</f>
        <v>0</v>
      </c>
      <c s="125">
        <f>Предпосылки!AW$235*Предпосылки!$K254*Продажи!AX19*AX$19*(1+Чувствительность!$D$20)*IFERROR(LOOKUP(Предпосылки!$H$208,$C$13:$C$15,AX$13:AX$15),1)</f>
        <v>0</v>
      </c>
      <c s="125">
        <f>Предпосылки!AX$235*Предпосылки!$K254*Продажи!AY19*AY$19*(1+Чувствительность!$D$20)*IFERROR(LOOKUP(Предпосылки!$H$208,$C$13:$C$15,AY$13:AY$15),1)</f>
        <v>0</v>
      </c>
      <c s="125">
        <f>Предпосылки!AY$235*Предпосылки!$K254*Продажи!AZ19*AZ$19*(1+Чувствительность!$D$20)*IFERROR(LOOKUP(Предпосылки!$H$208,$C$13:$C$15,AZ$13:AZ$15),1)</f>
        <v>0</v>
      </c>
      <c s="125">
        <f>Предпосылки!AZ$235*Предпосылки!$K254*Продажи!BA19*BA$19*(1+Чувствительность!$D$20)*IFERROR(LOOKUP(Предпосылки!$H$208,$C$13:$C$15,BA$13:BA$15),1)</f>
        <v>0</v>
      </c>
      <c s="125">
        <f>Предпосылки!BA$235*Предпосылки!$K254*Продажи!BB19*BB$19*(1+Чувствительность!$D$20)*IFERROR(LOOKUP(Предпосылки!$H$208,$C$13:$C$15,BB$13:BB$15),1)</f>
        <v>0</v>
      </c>
      <c s="125">
        <f>Предпосылки!BB$235*Предпосылки!$K254*Продажи!BC19*BC$19*(1+Чувствительность!$D$20)*IFERROR(LOOKUP(Предпосылки!$H$208,$C$13:$C$15,BC$13:BC$15),1)</f>
        <v>0</v>
      </c>
      <c s="125">
        <f>Предпосылки!BC$235*Предпосылки!$K254*Продажи!BD19*BD$19*(1+Чувствительность!$D$20)*IFERROR(LOOKUP(Предпосылки!$H$208,$C$13:$C$15,BD$13:BD$15),1)</f>
        <v>0</v>
      </c>
      <c s="125">
        <f>Предпосылки!BD$235*Предпосылки!$K254*Продажи!BE19*BE$19*(1+Чувствительность!$D$20)*IFERROR(LOOKUP(Предпосылки!$H$208,$C$13:$C$15,BE$13:BE$15),1)</f>
        <v>0</v>
      </c>
      <c s="125">
        <f>Предпосылки!BE$235*Предпосылки!$K254*Продажи!BF19*BF$19*(1+Чувствительность!$D$20)*IFERROR(LOOKUP(Предпосылки!$H$208,$C$13:$C$15,BF$13:BF$15),1)</f>
        <v>0</v>
      </c>
      <c s="125">
        <f>Предпосылки!BF$235*Предпосылки!$K254*Продажи!BG19*BG$19*(1+Чувствительность!$D$20)*IFERROR(LOOKUP(Предпосылки!$H$208,$C$13:$C$15,BG$13:BG$15),1)</f>
        <v>0</v>
      </c>
      <c s="125">
        <f>Предпосылки!BG$235*Предпосылки!$K254*Продажи!BH19*BH$19*(1+Чувствительность!$D$20)*IFERROR(LOOKUP(Предпосылки!$H$208,$C$13:$C$15,BH$13:BH$15),1)</f>
        <v>0</v>
      </c>
      <c s="125">
        <f>Предпосылки!BH$235*Предпосылки!$K254*Продажи!BI19*BI$19*(1+Чувствительность!$D$20)*IFERROR(LOOKUP(Предпосылки!$H$208,$C$13:$C$15,BI$13:BI$15),1)</f>
        <v>0</v>
      </c>
      <c s="125">
        <f>Предпосылки!BI$235*Предпосылки!$K254*Продажи!BJ19*BJ$19*(1+Чувствительность!$D$20)*IFERROR(LOOKUP(Предпосылки!$H$208,$C$13:$C$15,BJ$13:BJ$15),1)</f>
        <v>0</v>
      </c>
      <c s="125">
        <f>Предпосылки!BJ$235*Предпосылки!$K254*Продажи!BK19*BK$19*(1+Чувствительность!$D$20)*IFERROR(LOOKUP(Предпосылки!$H$208,$C$13:$C$15,BK$13:BK$15),1)</f>
        <v>0</v>
      </c>
      <c s="125">
        <f>Предпосылки!BK$235*Предпосылки!$K254*Продажи!BL19*BL$19*(1+Чувствительность!$D$20)*IFERROR(LOOKUP(Предпосылки!$H$208,$C$13:$C$15,BL$13:BL$15),1)</f>
        <v>0</v>
      </c>
      <c s="125">
        <f>Предпосылки!BL$235*Предпосылки!$K254*Продажи!BM19*BM$19*(1+Чувствительность!$D$20)*IFERROR(LOOKUP(Предпосылки!$H$208,$C$13:$C$15,BM$13:BM$15),1)</f>
        <v>0</v>
      </c>
    </row>
    <row r="186" spans="2:65" ht="15" customHeight="1">
      <c r="B186" s="12" t="str">
        <f t="shared" si="96"/>
        <v>Продукт 3</v>
      </c>
      <c s="124" t="str">
        <f t="shared" si="95"/>
        <v>тыс. руб.</v>
      </c>
      <c s="276">
        <f t="shared" si="97"/>
        <v>0</v>
      </c>
      <c s="125">
        <f>Предпосылки!D$235*Предпосылки!$K255*Продажи!E20*E$19*(1+Чувствительность!$D$20)*IFERROR(LOOKUP(Предпосылки!$H$208,$C$13:$C$15,E$13:E$15),1)</f>
        <v>0</v>
      </c>
      <c s="125">
        <f>Предпосылки!E$235*Предпосылки!$K255*Продажи!F20*F$19*(1+Чувствительность!$D$20)*IFERROR(LOOKUP(Предпосылки!$H$208,$C$13:$C$15,F$13:F$15),1)</f>
        <v>0</v>
      </c>
      <c s="125">
        <f>Предпосылки!F$235*Предпосылки!$K255*Продажи!G20*G$19*(1+Чувствительность!$D$20)*IFERROR(LOOKUP(Предпосылки!$H$208,$C$13:$C$15,G$13:G$15),1)</f>
        <v>0</v>
      </c>
      <c s="125">
        <f>Предпосылки!G$235*Предпосылки!$K255*Продажи!H20*H$19*(1+Чувствительность!$D$20)*IFERROR(LOOKUP(Предпосылки!$H$208,$C$13:$C$15,H$13:H$15),1)</f>
        <v>0</v>
      </c>
      <c s="125">
        <f>Предпосылки!H$235*Предпосылки!$K255*Продажи!I20*I$19*(1+Чувствительность!$D$20)*IFERROR(LOOKUP(Предпосылки!$H$208,$C$13:$C$15,I$13:I$15),1)</f>
        <v>0</v>
      </c>
      <c s="125">
        <f>Предпосылки!I$235*Предпосылки!$K255*Продажи!J20*J$19*(1+Чувствительность!$D$20)*IFERROR(LOOKUP(Предпосылки!$H$208,$C$13:$C$15,J$13:J$15),1)</f>
        <v>0</v>
      </c>
      <c s="125">
        <f>Предпосылки!J$235*Предпосылки!$K255*Продажи!K20*K$19*(1+Чувствительность!$D$20)*IFERROR(LOOKUP(Предпосылки!$H$208,$C$13:$C$15,K$13:K$15),1)</f>
        <v>0</v>
      </c>
      <c s="125">
        <f>Предпосылки!K$235*Предпосылки!$K255*Продажи!L20*L$19*(1+Чувствительность!$D$20)*IFERROR(LOOKUP(Предпосылки!$H$208,$C$13:$C$15,L$13:L$15),1)</f>
        <v>0</v>
      </c>
      <c s="125">
        <f>Предпосылки!L$235*Предпосылки!$K255*Продажи!M20*M$19*(1+Чувствительность!$D$20)*IFERROR(LOOKUP(Предпосылки!$H$208,$C$13:$C$15,M$13:M$15),1)</f>
        <v>0</v>
      </c>
      <c s="125">
        <f>Предпосылки!M$235*Предпосылки!$K255*Продажи!N20*N$19*(1+Чувствительность!$D$20)*IFERROR(LOOKUP(Предпосылки!$H$208,$C$13:$C$15,N$13:N$15),1)</f>
        <v>0</v>
      </c>
      <c s="125">
        <f>Предпосылки!N$235*Предпосылки!$K255*Продажи!O20*O$19*(1+Чувствительность!$D$20)*IFERROR(LOOKUP(Предпосылки!$H$208,$C$13:$C$15,O$13:O$15),1)</f>
        <v>0</v>
      </c>
      <c s="125">
        <f>Предпосылки!O$235*Предпосылки!$K255*Продажи!P20*P$19*(1+Чувствительность!$D$20)*IFERROR(LOOKUP(Предпосылки!$H$208,$C$13:$C$15,P$13:P$15),1)</f>
        <v>0</v>
      </c>
      <c s="125">
        <f>Предпосылки!P$235*Предпосылки!$K255*Продажи!Q20*Q$19*(1+Чувствительность!$D$20)*IFERROR(LOOKUP(Предпосылки!$H$208,$C$13:$C$15,Q$13:Q$15),1)</f>
        <v>0</v>
      </c>
      <c s="125">
        <f>Предпосылки!Q$235*Предпосылки!$K255*Продажи!R20*R$19*(1+Чувствительность!$D$20)*IFERROR(LOOKUP(Предпосылки!$H$208,$C$13:$C$15,R$13:R$15),1)</f>
        <v>0</v>
      </c>
      <c s="125">
        <f>Предпосылки!R$235*Предпосылки!$K255*Продажи!S20*S$19*(1+Чувствительность!$D$20)*IFERROR(LOOKUP(Предпосылки!$H$208,$C$13:$C$15,S$13:S$15),1)</f>
        <v>0</v>
      </c>
      <c s="125">
        <f>Предпосылки!S$235*Предпосылки!$K255*Продажи!T20*T$19*(1+Чувствительность!$D$20)*IFERROR(LOOKUP(Предпосылки!$H$208,$C$13:$C$15,T$13:T$15),1)</f>
        <v>0</v>
      </c>
      <c s="125">
        <f>Предпосылки!T$235*Предпосылки!$K255*Продажи!U20*U$19*(1+Чувствительность!$D$20)*IFERROR(LOOKUP(Предпосылки!$H$208,$C$13:$C$15,U$13:U$15),1)</f>
        <v>0</v>
      </c>
      <c s="125">
        <f>Предпосылки!U$235*Предпосылки!$K255*Продажи!V20*V$19*(1+Чувствительность!$D$20)*IFERROR(LOOKUP(Предпосылки!$H$208,$C$13:$C$15,V$13:V$15),1)</f>
        <v>0</v>
      </c>
      <c s="125">
        <f>Предпосылки!V$235*Предпосылки!$K255*Продажи!W20*W$19*(1+Чувствительность!$D$20)*IFERROR(LOOKUP(Предпосылки!$H$208,$C$13:$C$15,W$13:W$15),1)</f>
        <v>0</v>
      </c>
      <c s="125">
        <f>Предпосылки!W$235*Предпосылки!$K255*Продажи!X20*X$19*(1+Чувствительность!$D$20)*IFERROR(LOOKUP(Предпосылки!$H$208,$C$13:$C$15,X$13:X$15),1)</f>
        <v>0</v>
      </c>
      <c s="125">
        <f>Предпосылки!X$235*Предпосылки!$K255*Продажи!Y20*Y$19*(1+Чувствительность!$D$20)*IFERROR(LOOKUP(Предпосылки!$H$208,$C$13:$C$15,Y$13:Y$15),1)</f>
        <v>0</v>
      </c>
      <c s="125">
        <f>Предпосылки!Y$235*Предпосылки!$K255*Продажи!Z20*Z$19*(1+Чувствительность!$D$20)*IFERROR(LOOKUP(Предпосылки!$H$208,$C$13:$C$15,Z$13:Z$15),1)</f>
        <v>0</v>
      </c>
      <c s="125">
        <f>Предпосылки!Z$235*Предпосылки!$K255*Продажи!AA20*AA$19*(1+Чувствительность!$D$20)*IFERROR(LOOKUP(Предпосылки!$H$208,$C$13:$C$15,AA$13:AA$15),1)</f>
        <v>0</v>
      </c>
      <c s="125">
        <f>Предпосылки!AA$235*Предпосылки!$K255*Продажи!AB20*AB$19*(1+Чувствительность!$D$20)*IFERROR(LOOKUP(Предпосылки!$H$208,$C$13:$C$15,AB$13:AB$15),1)</f>
        <v>0</v>
      </c>
      <c s="125">
        <f>Предпосылки!AB$235*Предпосылки!$K255*Продажи!AC20*AC$19*(1+Чувствительность!$D$20)*IFERROR(LOOKUP(Предпосылки!$H$208,$C$13:$C$15,AC$13:AC$15),1)</f>
        <v>0</v>
      </c>
      <c s="125">
        <f>Предпосылки!AC$235*Предпосылки!$K255*Продажи!AD20*AD$19*(1+Чувствительность!$D$20)*IFERROR(LOOKUP(Предпосылки!$H$208,$C$13:$C$15,AD$13:AD$15),1)</f>
        <v>0</v>
      </c>
      <c s="125">
        <f>Предпосылки!AD$235*Предпосылки!$K255*Продажи!AE20*AE$19*(1+Чувствительность!$D$20)*IFERROR(LOOKUP(Предпосылки!$H$208,$C$13:$C$15,AE$13:AE$15),1)</f>
        <v>0</v>
      </c>
      <c s="125">
        <f>Предпосылки!AE$235*Предпосылки!$K255*Продажи!AF20*AF$19*(1+Чувствительность!$D$20)*IFERROR(LOOKUP(Предпосылки!$H$208,$C$13:$C$15,AF$13:AF$15),1)</f>
        <v>0</v>
      </c>
      <c s="125">
        <f>Предпосылки!AF$235*Предпосылки!$K255*Продажи!AG20*AG$19*(1+Чувствительность!$D$20)*IFERROR(LOOKUP(Предпосылки!$H$208,$C$13:$C$15,AG$13:AG$15),1)</f>
        <v>0</v>
      </c>
      <c s="125">
        <f>Предпосылки!AG$235*Предпосылки!$K255*Продажи!AH20*AH$19*(1+Чувствительность!$D$20)*IFERROR(LOOKUP(Предпосылки!$H$208,$C$13:$C$15,AH$13:AH$15),1)</f>
        <v>0</v>
      </c>
      <c s="125">
        <f>Предпосылки!AH$235*Предпосылки!$K255*Продажи!AI20*AI$19*(1+Чувствительность!$D$20)*IFERROR(LOOKUP(Предпосылки!$H$208,$C$13:$C$15,AI$13:AI$15),1)</f>
        <v>0</v>
      </c>
      <c s="125">
        <f>Предпосылки!AI$235*Предпосылки!$K255*Продажи!AJ20*AJ$19*(1+Чувствительность!$D$20)*IFERROR(LOOKUP(Предпосылки!$H$208,$C$13:$C$15,AJ$13:AJ$15),1)</f>
        <v>0</v>
      </c>
      <c s="125">
        <f>Предпосылки!AJ$235*Предпосылки!$K255*Продажи!AK20*AK$19*(1+Чувствительность!$D$20)*IFERROR(LOOKUP(Предпосылки!$H$208,$C$13:$C$15,AK$13:AK$15),1)</f>
        <v>0</v>
      </c>
      <c s="125">
        <f>Предпосылки!AK$235*Предпосылки!$K255*Продажи!AL20*AL$19*(1+Чувствительность!$D$20)*IFERROR(LOOKUP(Предпосылки!$H$208,$C$13:$C$15,AL$13:AL$15),1)</f>
        <v>0</v>
      </c>
      <c s="125">
        <f>Предпосылки!AL$235*Предпосылки!$K255*Продажи!AM20*AM$19*(1+Чувствительность!$D$20)*IFERROR(LOOKUP(Предпосылки!$H$208,$C$13:$C$15,AM$13:AM$15),1)</f>
        <v>0</v>
      </c>
      <c s="125">
        <f>Предпосылки!AM$235*Предпосылки!$K255*Продажи!AN20*AN$19*(1+Чувствительность!$D$20)*IFERROR(LOOKUP(Предпосылки!$H$208,$C$13:$C$15,AN$13:AN$15),1)</f>
        <v>0</v>
      </c>
      <c s="125">
        <f>Предпосылки!AN$235*Предпосылки!$K255*Продажи!AO20*AO$19*(1+Чувствительность!$D$20)*IFERROR(LOOKUP(Предпосылки!$H$208,$C$13:$C$15,AO$13:AO$15),1)</f>
        <v>0</v>
      </c>
      <c s="125">
        <f>Предпосылки!AO$235*Предпосылки!$K255*Продажи!AP20*AP$19*(1+Чувствительность!$D$20)*IFERROR(LOOKUP(Предпосылки!$H$208,$C$13:$C$15,AP$13:AP$15),1)</f>
        <v>0</v>
      </c>
      <c s="125">
        <f>Предпосылки!AP$235*Предпосылки!$K255*Продажи!AQ20*AQ$19*(1+Чувствительность!$D$20)*IFERROR(LOOKUP(Предпосылки!$H$208,$C$13:$C$15,AQ$13:AQ$15),1)</f>
        <v>0</v>
      </c>
      <c s="125">
        <f>Предпосылки!AQ$235*Предпосылки!$K255*Продажи!AR20*AR$19*(1+Чувствительность!$D$20)*IFERROR(LOOKUP(Предпосылки!$H$208,$C$13:$C$15,AR$13:AR$15),1)</f>
        <v>0</v>
      </c>
      <c s="125">
        <f>Предпосылки!AR$235*Предпосылки!$K255*Продажи!AS20*AS$19*(1+Чувствительность!$D$20)*IFERROR(LOOKUP(Предпосылки!$H$208,$C$13:$C$15,AS$13:AS$15),1)</f>
        <v>0</v>
      </c>
      <c s="125">
        <f>Предпосылки!AS$235*Предпосылки!$K255*Продажи!AT20*AT$19*(1+Чувствительность!$D$20)*IFERROR(LOOKUP(Предпосылки!$H$208,$C$13:$C$15,AT$13:AT$15),1)</f>
        <v>0</v>
      </c>
      <c s="125">
        <f>Предпосылки!AT$235*Предпосылки!$K255*Продажи!AU20*AU$19*(1+Чувствительность!$D$20)*IFERROR(LOOKUP(Предпосылки!$H$208,$C$13:$C$15,AU$13:AU$15),1)</f>
        <v>0</v>
      </c>
      <c s="125">
        <f>Предпосылки!AU$235*Предпосылки!$K255*Продажи!AV20*AV$19*(1+Чувствительность!$D$20)*IFERROR(LOOKUP(Предпосылки!$H$208,$C$13:$C$15,AV$13:AV$15),1)</f>
        <v>0</v>
      </c>
      <c s="125">
        <f>Предпосылки!AV$235*Предпосылки!$K255*Продажи!AW20*AW$19*(1+Чувствительность!$D$20)*IFERROR(LOOKUP(Предпосылки!$H$208,$C$13:$C$15,AW$13:AW$15),1)</f>
        <v>0</v>
      </c>
      <c s="125">
        <f>Предпосылки!AW$235*Предпосылки!$K255*Продажи!AX20*AX$19*(1+Чувствительность!$D$20)*IFERROR(LOOKUP(Предпосылки!$H$208,$C$13:$C$15,AX$13:AX$15),1)</f>
        <v>0</v>
      </c>
      <c s="125">
        <f>Предпосылки!AX$235*Предпосылки!$K255*Продажи!AY20*AY$19*(1+Чувствительность!$D$20)*IFERROR(LOOKUP(Предпосылки!$H$208,$C$13:$C$15,AY$13:AY$15),1)</f>
        <v>0</v>
      </c>
      <c s="125">
        <f>Предпосылки!AY$235*Предпосылки!$K255*Продажи!AZ20*AZ$19*(1+Чувствительность!$D$20)*IFERROR(LOOKUP(Предпосылки!$H$208,$C$13:$C$15,AZ$13:AZ$15),1)</f>
        <v>0</v>
      </c>
      <c s="125">
        <f>Предпосылки!AZ$235*Предпосылки!$K255*Продажи!BA20*BA$19*(1+Чувствительность!$D$20)*IFERROR(LOOKUP(Предпосылки!$H$208,$C$13:$C$15,BA$13:BA$15),1)</f>
        <v>0</v>
      </c>
      <c s="125">
        <f>Предпосылки!BA$235*Предпосылки!$K255*Продажи!BB20*BB$19*(1+Чувствительность!$D$20)*IFERROR(LOOKUP(Предпосылки!$H$208,$C$13:$C$15,BB$13:BB$15),1)</f>
        <v>0</v>
      </c>
      <c s="125">
        <f>Предпосылки!BB$235*Предпосылки!$K255*Продажи!BC20*BC$19*(1+Чувствительность!$D$20)*IFERROR(LOOKUP(Предпосылки!$H$208,$C$13:$C$15,BC$13:BC$15),1)</f>
        <v>0</v>
      </c>
      <c s="125">
        <f>Предпосылки!BC$235*Предпосылки!$K255*Продажи!BD20*BD$19*(1+Чувствительность!$D$20)*IFERROR(LOOKUP(Предпосылки!$H$208,$C$13:$C$15,BD$13:BD$15),1)</f>
        <v>0</v>
      </c>
      <c s="125">
        <f>Предпосылки!BD$235*Предпосылки!$K255*Продажи!BE20*BE$19*(1+Чувствительность!$D$20)*IFERROR(LOOKUP(Предпосылки!$H$208,$C$13:$C$15,BE$13:BE$15),1)</f>
        <v>0</v>
      </c>
      <c s="125">
        <f>Предпосылки!BE$235*Предпосылки!$K255*Продажи!BF20*BF$19*(1+Чувствительность!$D$20)*IFERROR(LOOKUP(Предпосылки!$H$208,$C$13:$C$15,BF$13:BF$15),1)</f>
        <v>0</v>
      </c>
      <c s="125">
        <f>Предпосылки!BF$235*Предпосылки!$K255*Продажи!BG20*BG$19*(1+Чувствительность!$D$20)*IFERROR(LOOKUP(Предпосылки!$H$208,$C$13:$C$15,BG$13:BG$15),1)</f>
        <v>0</v>
      </c>
      <c s="125">
        <f>Предпосылки!BG$235*Предпосылки!$K255*Продажи!BH20*BH$19*(1+Чувствительность!$D$20)*IFERROR(LOOKUP(Предпосылки!$H$208,$C$13:$C$15,BH$13:BH$15),1)</f>
        <v>0</v>
      </c>
      <c s="125">
        <f>Предпосылки!BH$235*Предпосылки!$K255*Продажи!BI20*BI$19*(1+Чувствительность!$D$20)*IFERROR(LOOKUP(Предпосылки!$H$208,$C$13:$C$15,BI$13:BI$15),1)</f>
        <v>0</v>
      </c>
      <c s="125">
        <f>Предпосылки!BI$235*Предпосылки!$K255*Продажи!BJ20*BJ$19*(1+Чувствительность!$D$20)*IFERROR(LOOKUP(Предпосылки!$H$208,$C$13:$C$15,BJ$13:BJ$15),1)</f>
        <v>0</v>
      </c>
      <c s="125">
        <f>Предпосылки!BJ$235*Предпосылки!$K255*Продажи!BK20*BK$19*(1+Чувствительность!$D$20)*IFERROR(LOOKUP(Предпосылки!$H$208,$C$13:$C$15,BK$13:BK$15),1)</f>
        <v>0</v>
      </c>
      <c s="125">
        <f>Предпосылки!BK$235*Предпосылки!$K255*Продажи!BL20*BL$19*(1+Чувствительность!$D$20)*IFERROR(LOOKUP(Предпосылки!$H$208,$C$13:$C$15,BL$13:BL$15),1)</f>
        <v>0</v>
      </c>
      <c s="125">
        <f>Предпосылки!BL$235*Предпосылки!$K255*Продажи!BM20*BM$19*(1+Чувствительность!$D$20)*IFERROR(LOOKUP(Предпосылки!$H$208,$C$13:$C$15,BM$13:BM$15),1)</f>
        <v>0</v>
      </c>
    </row>
    <row r="187" spans="2:65" ht="15" customHeight="1">
      <c r="B187" s="12" t="str">
        <f t="shared" si="96"/>
        <v>Продукт 4</v>
      </c>
      <c s="124" t="str">
        <f t="shared" si="95"/>
        <v>тыс. руб.</v>
      </c>
      <c s="276">
        <f t="shared" si="97"/>
        <v>0</v>
      </c>
      <c s="125">
        <f>Предпосылки!D$235*Предпосылки!$K256*Продажи!E21*E$19*(1+Чувствительность!$D$20)*IFERROR(LOOKUP(Предпосылки!$H$208,$C$13:$C$15,E$13:E$15),1)</f>
        <v>0</v>
      </c>
      <c s="125">
        <f>Предпосылки!E$235*Предпосылки!$K256*Продажи!F21*F$19*(1+Чувствительность!$D$20)*IFERROR(LOOKUP(Предпосылки!$H$208,$C$13:$C$15,F$13:F$15),1)</f>
        <v>0</v>
      </c>
      <c s="125">
        <f>Предпосылки!F$235*Предпосылки!$K256*Продажи!G21*G$19*(1+Чувствительность!$D$20)*IFERROR(LOOKUP(Предпосылки!$H$208,$C$13:$C$15,G$13:G$15),1)</f>
        <v>0</v>
      </c>
      <c s="125">
        <f>Предпосылки!G$235*Предпосылки!$K256*Продажи!H21*H$19*(1+Чувствительность!$D$20)*IFERROR(LOOKUP(Предпосылки!$H$208,$C$13:$C$15,H$13:H$15),1)</f>
        <v>0</v>
      </c>
      <c s="125">
        <f>Предпосылки!H$235*Предпосылки!$K256*Продажи!I21*I$19*(1+Чувствительность!$D$20)*IFERROR(LOOKUP(Предпосылки!$H$208,$C$13:$C$15,I$13:I$15),1)</f>
        <v>0</v>
      </c>
      <c s="125">
        <f>Предпосылки!I$235*Предпосылки!$K256*Продажи!J21*J$19*(1+Чувствительность!$D$20)*IFERROR(LOOKUP(Предпосылки!$H$208,$C$13:$C$15,J$13:J$15),1)</f>
        <v>0</v>
      </c>
      <c s="125">
        <f>Предпосылки!J$235*Предпосылки!$K256*Продажи!K21*K$19*(1+Чувствительность!$D$20)*IFERROR(LOOKUP(Предпосылки!$H$208,$C$13:$C$15,K$13:K$15),1)</f>
        <v>0</v>
      </c>
      <c s="125">
        <f>Предпосылки!K$235*Предпосылки!$K256*Продажи!L21*L$19*(1+Чувствительность!$D$20)*IFERROR(LOOKUP(Предпосылки!$H$208,$C$13:$C$15,L$13:L$15),1)</f>
        <v>0</v>
      </c>
      <c s="125">
        <f>Предпосылки!L$235*Предпосылки!$K256*Продажи!M21*M$19*(1+Чувствительность!$D$20)*IFERROR(LOOKUP(Предпосылки!$H$208,$C$13:$C$15,M$13:M$15),1)</f>
        <v>0</v>
      </c>
      <c s="125">
        <f>Предпосылки!M$235*Предпосылки!$K256*Продажи!N21*N$19*(1+Чувствительность!$D$20)*IFERROR(LOOKUP(Предпосылки!$H$208,$C$13:$C$15,N$13:N$15),1)</f>
        <v>0</v>
      </c>
      <c s="125">
        <f>Предпосылки!N$235*Предпосылки!$K256*Продажи!O21*O$19*(1+Чувствительность!$D$20)*IFERROR(LOOKUP(Предпосылки!$H$208,$C$13:$C$15,O$13:O$15),1)</f>
        <v>0</v>
      </c>
      <c s="125">
        <f>Предпосылки!O$235*Предпосылки!$K256*Продажи!P21*P$19*(1+Чувствительность!$D$20)*IFERROR(LOOKUP(Предпосылки!$H$208,$C$13:$C$15,P$13:P$15),1)</f>
        <v>0</v>
      </c>
      <c s="125">
        <f>Предпосылки!P$235*Предпосылки!$K256*Продажи!Q21*Q$19*(1+Чувствительность!$D$20)*IFERROR(LOOKUP(Предпосылки!$H$208,$C$13:$C$15,Q$13:Q$15),1)</f>
        <v>0</v>
      </c>
      <c s="125">
        <f>Предпосылки!Q$235*Предпосылки!$K256*Продажи!R21*R$19*(1+Чувствительность!$D$20)*IFERROR(LOOKUP(Предпосылки!$H$208,$C$13:$C$15,R$13:R$15),1)</f>
        <v>0</v>
      </c>
      <c s="125">
        <f>Предпосылки!R$235*Предпосылки!$K256*Продажи!S21*S$19*(1+Чувствительность!$D$20)*IFERROR(LOOKUP(Предпосылки!$H$208,$C$13:$C$15,S$13:S$15),1)</f>
        <v>0</v>
      </c>
      <c s="125">
        <f>Предпосылки!S$235*Предпосылки!$K256*Продажи!T21*T$19*(1+Чувствительность!$D$20)*IFERROR(LOOKUP(Предпосылки!$H$208,$C$13:$C$15,T$13:T$15),1)</f>
        <v>0</v>
      </c>
      <c s="125">
        <f>Предпосылки!T$235*Предпосылки!$K256*Продажи!U21*U$19*(1+Чувствительность!$D$20)*IFERROR(LOOKUP(Предпосылки!$H$208,$C$13:$C$15,U$13:U$15),1)</f>
        <v>0</v>
      </c>
      <c s="125">
        <f>Предпосылки!U$235*Предпосылки!$K256*Продажи!V21*V$19*(1+Чувствительность!$D$20)*IFERROR(LOOKUP(Предпосылки!$H$208,$C$13:$C$15,V$13:V$15),1)</f>
        <v>0</v>
      </c>
      <c s="125">
        <f>Предпосылки!V$235*Предпосылки!$K256*Продажи!W21*W$19*(1+Чувствительность!$D$20)*IFERROR(LOOKUP(Предпосылки!$H$208,$C$13:$C$15,W$13:W$15),1)</f>
        <v>0</v>
      </c>
      <c s="125">
        <f>Предпосылки!W$235*Предпосылки!$K256*Продажи!X21*X$19*(1+Чувствительность!$D$20)*IFERROR(LOOKUP(Предпосылки!$H$208,$C$13:$C$15,X$13:X$15),1)</f>
        <v>0</v>
      </c>
      <c s="125">
        <f>Предпосылки!X$235*Предпосылки!$K256*Продажи!Y21*Y$19*(1+Чувствительность!$D$20)*IFERROR(LOOKUP(Предпосылки!$H$208,$C$13:$C$15,Y$13:Y$15),1)</f>
        <v>0</v>
      </c>
      <c s="125">
        <f>Предпосылки!Y$235*Предпосылки!$K256*Продажи!Z21*Z$19*(1+Чувствительность!$D$20)*IFERROR(LOOKUP(Предпосылки!$H$208,$C$13:$C$15,Z$13:Z$15),1)</f>
        <v>0</v>
      </c>
      <c s="125">
        <f>Предпосылки!Z$235*Предпосылки!$K256*Продажи!AA21*AA$19*(1+Чувствительность!$D$20)*IFERROR(LOOKUP(Предпосылки!$H$208,$C$13:$C$15,AA$13:AA$15),1)</f>
        <v>0</v>
      </c>
      <c s="125">
        <f>Предпосылки!AA$235*Предпосылки!$K256*Продажи!AB21*AB$19*(1+Чувствительность!$D$20)*IFERROR(LOOKUP(Предпосылки!$H$208,$C$13:$C$15,AB$13:AB$15),1)</f>
        <v>0</v>
      </c>
      <c s="125">
        <f>Предпосылки!AB$235*Предпосылки!$K256*Продажи!AC21*AC$19*(1+Чувствительность!$D$20)*IFERROR(LOOKUP(Предпосылки!$H$208,$C$13:$C$15,AC$13:AC$15),1)</f>
        <v>0</v>
      </c>
      <c s="125">
        <f>Предпосылки!AC$235*Предпосылки!$K256*Продажи!AD21*AD$19*(1+Чувствительность!$D$20)*IFERROR(LOOKUP(Предпосылки!$H$208,$C$13:$C$15,AD$13:AD$15),1)</f>
        <v>0</v>
      </c>
      <c s="125">
        <f>Предпосылки!AD$235*Предпосылки!$K256*Продажи!AE21*AE$19*(1+Чувствительность!$D$20)*IFERROR(LOOKUP(Предпосылки!$H$208,$C$13:$C$15,AE$13:AE$15),1)</f>
        <v>0</v>
      </c>
      <c s="125">
        <f>Предпосылки!AE$235*Предпосылки!$K256*Продажи!AF21*AF$19*(1+Чувствительность!$D$20)*IFERROR(LOOKUP(Предпосылки!$H$208,$C$13:$C$15,AF$13:AF$15),1)</f>
        <v>0</v>
      </c>
      <c s="125">
        <f>Предпосылки!AF$235*Предпосылки!$K256*Продажи!AG21*AG$19*(1+Чувствительность!$D$20)*IFERROR(LOOKUP(Предпосылки!$H$208,$C$13:$C$15,AG$13:AG$15),1)</f>
        <v>0</v>
      </c>
      <c s="125">
        <f>Предпосылки!AG$235*Предпосылки!$K256*Продажи!AH21*AH$19*(1+Чувствительность!$D$20)*IFERROR(LOOKUP(Предпосылки!$H$208,$C$13:$C$15,AH$13:AH$15),1)</f>
        <v>0</v>
      </c>
      <c s="125">
        <f>Предпосылки!AH$235*Предпосылки!$K256*Продажи!AI21*AI$19*(1+Чувствительность!$D$20)*IFERROR(LOOKUP(Предпосылки!$H$208,$C$13:$C$15,AI$13:AI$15),1)</f>
        <v>0</v>
      </c>
      <c s="125">
        <f>Предпосылки!AI$235*Предпосылки!$K256*Продажи!AJ21*AJ$19*(1+Чувствительность!$D$20)*IFERROR(LOOKUP(Предпосылки!$H$208,$C$13:$C$15,AJ$13:AJ$15),1)</f>
        <v>0</v>
      </c>
      <c s="125">
        <f>Предпосылки!AJ$235*Предпосылки!$K256*Продажи!AK21*AK$19*(1+Чувствительность!$D$20)*IFERROR(LOOKUP(Предпосылки!$H$208,$C$13:$C$15,AK$13:AK$15),1)</f>
        <v>0</v>
      </c>
      <c s="125">
        <f>Предпосылки!AK$235*Предпосылки!$K256*Продажи!AL21*AL$19*(1+Чувствительность!$D$20)*IFERROR(LOOKUP(Предпосылки!$H$208,$C$13:$C$15,AL$13:AL$15),1)</f>
        <v>0</v>
      </c>
      <c s="125">
        <f>Предпосылки!AL$235*Предпосылки!$K256*Продажи!AM21*AM$19*(1+Чувствительность!$D$20)*IFERROR(LOOKUP(Предпосылки!$H$208,$C$13:$C$15,AM$13:AM$15),1)</f>
        <v>0</v>
      </c>
      <c s="125">
        <f>Предпосылки!AM$235*Предпосылки!$K256*Продажи!AN21*AN$19*(1+Чувствительность!$D$20)*IFERROR(LOOKUP(Предпосылки!$H$208,$C$13:$C$15,AN$13:AN$15),1)</f>
        <v>0</v>
      </c>
      <c s="125">
        <f>Предпосылки!AN$235*Предпосылки!$K256*Продажи!AO21*AO$19*(1+Чувствительность!$D$20)*IFERROR(LOOKUP(Предпосылки!$H$208,$C$13:$C$15,AO$13:AO$15),1)</f>
        <v>0</v>
      </c>
      <c s="125">
        <f>Предпосылки!AO$235*Предпосылки!$K256*Продажи!AP21*AP$19*(1+Чувствительность!$D$20)*IFERROR(LOOKUP(Предпосылки!$H$208,$C$13:$C$15,AP$13:AP$15),1)</f>
        <v>0</v>
      </c>
      <c s="125">
        <f>Предпосылки!AP$235*Предпосылки!$K256*Продажи!AQ21*AQ$19*(1+Чувствительность!$D$20)*IFERROR(LOOKUP(Предпосылки!$H$208,$C$13:$C$15,AQ$13:AQ$15),1)</f>
        <v>0</v>
      </c>
      <c s="125">
        <f>Предпосылки!AQ$235*Предпосылки!$K256*Продажи!AR21*AR$19*(1+Чувствительность!$D$20)*IFERROR(LOOKUP(Предпосылки!$H$208,$C$13:$C$15,AR$13:AR$15),1)</f>
        <v>0</v>
      </c>
      <c s="125">
        <f>Предпосылки!AR$235*Предпосылки!$K256*Продажи!AS21*AS$19*(1+Чувствительность!$D$20)*IFERROR(LOOKUP(Предпосылки!$H$208,$C$13:$C$15,AS$13:AS$15),1)</f>
        <v>0</v>
      </c>
      <c s="125">
        <f>Предпосылки!AS$235*Предпосылки!$K256*Продажи!AT21*AT$19*(1+Чувствительность!$D$20)*IFERROR(LOOKUP(Предпосылки!$H$208,$C$13:$C$15,AT$13:AT$15),1)</f>
        <v>0</v>
      </c>
      <c s="125">
        <f>Предпосылки!AT$235*Предпосылки!$K256*Продажи!AU21*AU$19*(1+Чувствительность!$D$20)*IFERROR(LOOKUP(Предпосылки!$H$208,$C$13:$C$15,AU$13:AU$15),1)</f>
        <v>0</v>
      </c>
      <c s="125">
        <f>Предпосылки!AU$235*Предпосылки!$K256*Продажи!AV21*AV$19*(1+Чувствительность!$D$20)*IFERROR(LOOKUP(Предпосылки!$H$208,$C$13:$C$15,AV$13:AV$15),1)</f>
        <v>0</v>
      </c>
      <c s="125">
        <f>Предпосылки!AV$235*Предпосылки!$K256*Продажи!AW21*AW$19*(1+Чувствительность!$D$20)*IFERROR(LOOKUP(Предпосылки!$H$208,$C$13:$C$15,AW$13:AW$15),1)</f>
        <v>0</v>
      </c>
      <c s="125">
        <f>Предпосылки!AW$235*Предпосылки!$K256*Продажи!AX21*AX$19*(1+Чувствительность!$D$20)*IFERROR(LOOKUP(Предпосылки!$H$208,$C$13:$C$15,AX$13:AX$15),1)</f>
        <v>0</v>
      </c>
      <c s="125">
        <f>Предпосылки!AX$235*Предпосылки!$K256*Продажи!AY21*AY$19*(1+Чувствительность!$D$20)*IFERROR(LOOKUP(Предпосылки!$H$208,$C$13:$C$15,AY$13:AY$15),1)</f>
        <v>0</v>
      </c>
      <c s="125">
        <f>Предпосылки!AY$235*Предпосылки!$K256*Продажи!AZ21*AZ$19*(1+Чувствительность!$D$20)*IFERROR(LOOKUP(Предпосылки!$H$208,$C$13:$C$15,AZ$13:AZ$15),1)</f>
        <v>0</v>
      </c>
      <c s="125">
        <f>Предпосылки!AZ$235*Предпосылки!$K256*Продажи!BA21*BA$19*(1+Чувствительность!$D$20)*IFERROR(LOOKUP(Предпосылки!$H$208,$C$13:$C$15,BA$13:BA$15),1)</f>
        <v>0</v>
      </c>
      <c s="125">
        <f>Предпосылки!BA$235*Предпосылки!$K256*Продажи!BB21*BB$19*(1+Чувствительность!$D$20)*IFERROR(LOOKUP(Предпосылки!$H$208,$C$13:$C$15,BB$13:BB$15),1)</f>
        <v>0</v>
      </c>
      <c s="125">
        <f>Предпосылки!BB$235*Предпосылки!$K256*Продажи!BC21*BC$19*(1+Чувствительность!$D$20)*IFERROR(LOOKUP(Предпосылки!$H$208,$C$13:$C$15,BC$13:BC$15),1)</f>
        <v>0</v>
      </c>
      <c s="125">
        <f>Предпосылки!BC$235*Предпосылки!$K256*Продажи!BD21*BD$19*(1+Чувствительность!$D$20)*IFERROR(LOOKUP(Предпосылки!$H$208,$C$13:$C$15,BD$13:BD$15),1)</f>
        <v>0</v>
      </c>
      <c s="125">
        <f>Предпосылки!BD$235*Предпосылки!$K256*Продажи!BE21*BE$19*(1+Чувствительность!$D$20)*IFERROR(LOOKUP(Предпосылки!$H$208,$C$13:$C$15,BE$13:BE$15),1)</f>
        <v>0</v>
      </c>
      <c s="125">
        <f>Предпосылки!BE$235*Предпосылки!$K256*Продажи!BF21*BF$19*(1+Чувствительность!$D$20)*IFERROR(LOOKUP(Предпосылки!$H$208,$C$13:$C$15,BF$13:BF$15),1)</f>
        <v>0</v>
      </c>
      <c s="125">
        <f>Предпосылки!BF$235*Предпосылки!$K256*Продажи!BG21*BG$19*(1+Чувствительность!$D$20)*IFERROR(LOOKUP(Предпосылки!$H$208,$C$13:$C$15,BG$13:BG$15),1)</f>
        <v>0</v>
      </c>
      <c s="125">
        <f>Предпосылки!BG$235*Предпосылки!$K256*Продажи!BH21*BH$19*(1+Чувствительность!$D$20)*IFERROR(LOOKUP(Предпосылки!$H$208,$C$13:$C$15,BH$13:BH$15),1)</f>
        <v>0</v>
      </c>
      <c s="125">
        <f>Предпосылки!BH$235*Предпосылки!$K256*Продажи!BI21*BI$19*(1+Чувствительность!$D$20)*IFERROR(LOOKUP(Предпосылки!$H$208,$C$13:$C$15,BI$13:BI$15),1)</f>
        <v>0</v>
      </c>
      <c s="125">
        <f>Предпосылки!BI$235*Предпосылки!$K256*Продажи!BJ21*BJ$19*(1+Чувствительность!$D$20)*IFERROR(LOOKUP(Предпосылки!$H$208,$C$13:$C$15,BJ$13:BJ$15),1)</f>
        <v>0</v>
      </c>
      <c s="125">
        <f>Предпосылки!BJ$235*Предпосылки!$K256*Продажи!BK21*BK$19*(1+Чувствительность!$D$20)*IFERROR(LOOKUP(Предпосылки!$H$208,$C$13:$C$15,BK$13:BK$15),1)</f>
        <v>0</v>
      </c>
      <c s="125">
        <f>Предпосылки!BK$235*Предпосылки!$K256*Продажи!BL21*BL$19*(1+Чувствительность!$D$20)*IFERROR(LOOKUP(Предпосылки!$H$208,$C$13:$C$15,BL$13:BL$15),1)</f>
        <v>0</v>
      </c>
      <c s="125">
        <f>Предпосылки!BL$235*Предпосылки!$K256*Продажи!BM21*BM$19*(1+Чувствительность!$D$20)*IFERROR(LOOKUP(Предпосылки!$H$208,$C$13:$C$15,BM$13:BM$15),1)</f>
        <v>0</v>
      </c>
    </row>
    <row r="188" spans="2:65" ht="15" customHeight="1">
      <c r="B188" s="12" t="str">
        <f t="shared" si="96"/>
        <v>Продукт 5</v>
      </c>
      <c s="124" t="str">
        <f t="shared" si="95"/>
        <v>тыс. руб.</v>
      </c>
      <c s="276">
        <f t="shared" si="97"/>
        <v>0</v>
      </c>
      <c s="125">
        <f>Предпосылки!D$235*Предпосылки!$K257*Продажи!E22*E$19*(1+Чувствительность!$D$20)*IFERROR(LOOKUP(Предпосылки!$H$208,$C$13:$C$15,E$13:E$15),1)</f>
        <v>0</v>
      </c>
      <c s="125">
        <f>Предпосылки!E$235*Предпосылки!$K257*Продажи!F22*F$19*(1+Чувствительность!$D$20)*IFERROR(LOOKUP(Предпосылки!$H$208,$C$13:$C$15,F$13:F$15),1)</f>
        <v>0</v>
      </c>
      <c s="125">
        <f>Предпосылки!F$235*Предпосылки!$K257*Продажи!G22*G$19*(1+Чувствительность!$D$20)*IFERROR(LOOKUP(Предпосылки!$H$208,$C$13:$C$15,G$13:G$15),1)</f>
        <v>0</v>
      </c>
      <c s="125">
        <f>Предпосылки!G$235*Предпосылки!$K257*Продажи!H22*H$19*(1+Чувствительность!$D$20)*IFERROR(LOOKUP(Предпосылки!$H$208,$C$13:$C$15,H$13:H$15),1)</f>
        <v>0</v>
      </c>
      <c s="125">
        <f>Предпосылки!H$235*Предпосылки!$K257*Продажи!I22*I$19*(1+Чувствительность!$D$20)*IFERROR(LOOKUP(Предпосылки!$H$208,$C$13:$C$15,I$13:I$15),1)</f>
        <v>0</v>
      </c>
      <c s="125">
        <f>Предпосылки!I$235*Предпосылки!$K257*Продажи!J22*J$19*(1+Чувствительность!$D$20)*IFERROR(LOOKUP(Предпосылки!$H$208,$C$13:$C$15,J$13:J$15),1)</f>
        <v>0</v>
      </c>
      <c s="125">
        <f>Предпосылки!J$235*Предпосылки!$K257*Продажи!K22*K$19*(1+Чувствительность!$D$20)*IFERROR(LOOKUP(Предпосылки!$H$208,$C$13:$C$15,K$13:K$15),1)</f>
        <v>0</v>
      </c>
      <c s="125">
        <f>Предпосылки!K$235*Предпосылки!$K257*Продажи!L22*L$19*(1+Чувствительность!$D$20)*IFERROR(LOOKUP(Предпосылки!$H$208,$C$13:$C$15,L$13:L$15),1)</f>
        <v>0</v>
      </c>
      <c s="125">
        <f>Предпосылки!L$235*Предпосылки!$K257*Продажи!M22*M$19*(1+Чувствительность!$D$20)*IFERROR(LOOKUP(Предпосылки!$H$208,$C$13:$C$15,M$13:M$15),1)</f>
        <v>0</v>
      </c>
      <c s="125">
        <f>Предпосылки!M$235*Предпосылки!$K257*Продажи!N22*N$19*(1+Чувствительность!$D$20)*IFERROR(LOOKUP(Предпосылки!$H$208,$C$13:$C$15,N$13:N$15),1)</f>
        <v>0</v>
      </c>
      <c s="125">
        <f>Предпосылки!N$235*Предпосылки!$K257*Продажи!O22*O$19*(1+Чувствительность!$D$20)*IFERROR(LOOKUP(Предпосылки!$H$208,$C$13:$C$15,O$13:O$15),1)</f>
        <v>0</v>
      </c>
      <c s="125">
        <f>Предпосылки!O$235*Предпосылки!$K257*Продажи!P22*P$19*(1+Чувствительность!$D$20)*IFERROR(LOOKUP(Предпосылки!$H$208,$C$13:$C$15,P$13:P$15),1)</f>
        <v>0</v>
      </c>
      <c s="125">
        <f>Предпосылки!P$235*Предпосылки!$K257*Продажи!Q22*Q$19*(1+Чувствительность!$D$20)*IFERROR(LOOKUP(Предпосылки!$H$208,$C$13:$C$15,Q$13:Q$15),1)</f>
        <v>0</v>
      </c>
      <c s="125">
        <f>Предпосылки!Q$235*Предпосылки!$K257*Продажи!R22*R$19*(1+Чувствительность!$D$20)*IFERROR(LOOKUP(Предпосылки!$H$208,$C$13:$C$15,R$13:R$15),1)</f>
        <v>0</v>
      </c>
      <c s="125">
        <f>Предпосылки!R$235*Предпосылки!$K257*Продажи!S22*S$19*(1+Чувствительность!$D$20)*IFERROR(LOOKUP(Предпосылки!$H$208,$C$13:$C$15,S$13:S$15),1)</f>
        <v>0</v>
      </c>
      <c s="125">
        <f>Предпосылки!S$235*Предпосылки!$K257*Продажи!T22*T$19*(1+Чувствительность!$D$20)*IFERROR(LOOKUP(Предпосылки!$H$208,$C$13:$C$15,T$13:T$15),1)</f>
        <v>0</v>
      </c>
      <c s="125">
        <f>Предпосылки!T$235*Предпосылки!$K257*Продажи!U22*U$19*(1+Чувствительность!$D$20)*IFERROR(LOOKUP(Предпосылки!$H$208,$C$13:$C$15,U$13:U$15),1)</f>
        <v>0</v>
      </c>
      <c s="125">
        <f>Предпосылки!U$235*Предпосылки!$K257*Продажи!V22*V$19*(1+Чувствительность!$D$20)*IFERROR(LOOKUP(Предпосылки!$H$208,$C$13:$C$15,V$13:V$15),1)</f>
        <v>0</v>
      </c>
      <c s="125">
        <f>Предпосылки!V$235*Предпосылки!$K257*Продажи!W22*W$19*(1+Чувствительность!$D$20)*IFERROR(LOOKUP(Предпосылки!$H$208,$C$13:$C$15,W$13:W$15),1)</f>
        <v>0</v>
      </c>
      <c s="125">
        <f>Предпосылки!W$235*Предпосылки!$K257*Продажи!X22*X$19*(1+Чувствительность!$D$20)*IFERROR(LOOKUP(Предпосылки!$H$208,$C$13:$C$15,X$13:X$15),1)</f>
        <v>0</v>
      </c>
      <c s="125">
        <f>Предпосылки!X$235*Предпосылки!$K257*Продажи!Y22*Y$19*(1+Чувствительность!$D$20)*IFERROR(LOOKUP(Предпосылки!$H$208,$C$13:$C$15,Y$13:Y$15),1)</f>
        <v>0</v>
      </c>
      <c s="125">
        <f>Предпосылки!Y$235*Предпосылки!$K257*Продажи!Z22*Z$19*(1+Чувствительность!$D$20)*IFERROR(LOOKUP(Предпосылки!$H$208,$C$13:$C$15,Z$13:Z$15),1)</f>
        <v>0</v>
      </c>
      <c s="125">
        <f>Предпосылки!Z$235*Предпосылки!$K257*Продажи!AA22*AA$19*(1+Чувствительность!$D$20)*IFERROR(LOOKUP(Предпосылки!$H$208,$C$13:$C$15,AA$13:AA$15),1)</f>
        <v>0</v>
      </c>
      <c s="125">
        <f>Предпосылки!AA$235*Предпосылки!$K257*Продажи!AB22*AB$19*(1+Чувствительность!$D$20)*IFERROR(LOOKUP(Предпосылки!$H$208,$C$13:$C$15,AB$13:AB$15),1)</f>
        <v>0</v>
      </c>
      <c s="125">
        <f>Предпосылки!AB$235*Предпосылки!$K257*Продажи!AC22*AC$19*(1+Чувствительность!$D$20)*IFERROR(LOOKUP(Предпосылки!$H$208,$C$13:$C$15,AC$13:AC$15),1)</f>
        <v>0</v>
      </c>
      <c s="125">
        <f>Предпосылки!AC$235*Предпосылки!$K257*Продажи!AD22*AD$19*(1+Чувствительность!$D$20)*IFERROR(LOOKUP(Предпосылки!$H$208,$C$13:$C$15,AD$13:AD$15),1)</f>
        <v>0</v>
      </c>
      <c s="125">
        <f>Предпосылки!AD$235*Предпосылки!$K257*Продажи!AE22*AE$19*(1+Чувствительность!$D$20)*IFERROR(LOOKUP(Предпосылки!$H$208,$C$13:$C$15,AE$13:AE$15),1)</f>
        <v>0</v>
      </c>
      <c s="125">
        <f>Предпосылки!AE$235*Предпосылки!$K257*Продажи!AF22*AF$19*(1+Чувствительность!$D$20)*IFERROR(LOOKUP(Предпосылки!$H$208,$C$13:$C$15,AF$13:AF$15),1)</f>
        <v>0</v>
      </c>
      <c s="125">
        <f>Предпосылки!AF$235*Предпосылки!$K257*Продажи!AG22*AG$19*(1+Чувствительность!$D$20)*IFERROR(LOOKUP(Предпосылки!$H$208,$C$13:$C$15,AG$13:AG$15),1)</f>
        <v>0</v>
      </c>
      <c s="125">
        <f>Предпосылки!AG$235*Предпосылки!$K257*Продажи!AH22*AH$19*(1+Чувствительность!$D$20)*IFERROR(LOOKUP(Предпосылки!$H$208,$C$13:$C$15,AH$13:AH$15),1)</f>
        <v>0</v>
      </c>
      <c s="125">
        <f>Предпосылки!AH$235*Предпосылки!$K257*Продажи!AI22*AI$19*(1+Чувствительность!$D$20)*IFERROR(LOOKUP(Предпосылки!$H$208,$C$13:$C$15,AI$13:AI$15),1)</f>
        <v>0</v>
      </c>
      <c s="125">
        <f>Предпосылки!AI$235*Предпосылки!$K257*Продажи!AJ22*AJ$19*(1+Чувствительность!$D$20)*IFERROR(LOOKUP(Предпосылки!$H$208,$C$13:$C$15,AJ$13:AJ$15),1)</f>
        <v>0</v>
      </c>
      <c s="125">
        <f>Предпосылки!AJ$235*Предпосылки!$K257*Продажи!AK22*AK$19*(1+Чувствительность!$D$20)*IFERROR(LOOKUP(Предпосылки!$H$208,$C$13:$C$15,AK$13:AK$15),1)</f>
        <v>0</v>
      </c>
      <c s="125">
        <f>Предпосылки!AK$235*Предпосылки!$K257*Продажи!AL22*AL$19*(1+Чувствительность!$D$20)*IFERROR(LOOKUP(Предпосылки!$H$208,$C$13:$C$15,AL$13:AL$15),1)</f>
        <v>0</v>
      </c>
      <c s="125">
        <f>Предпосылки!AL$235*Предпосылки!$K257*Продажи!AM22*AM$19*(1+Чувствительность!$D$20)*IFERROR(LOOKUP(Предпосылки!$H$208,$C$13:$C$15,AM$13:AM$15),1)</f>
        <v>0</v>
      </c>
      <c s="125">
        <f>Предпосылки!AM$235*Предпосылки!$K257*Продажи!AN22*AN$19*(1+Чувствительность!$D$20)*IFERROR(LOOKUP(Предпосылки!$H$208,$C$13:$C$15,AN$13:AN$15),1)</f>
        <v>0</v>
      </c>
      <c s="125">
        <f>Предпосылки!AN$235*Предпосылки!$K257*Продажи!AO22*AO$19*(1+Чувствительность!$D$20)*IFERROR(LOOKUP(Предпосылки!$H$208,$C$13:$C$15,AO$13:AO$15),1)</f>
        <v>0</v>
      </c>
      <c s="125">
        <f>Предпосылки!AO$235*Предпосылки!$K257*Продажи!AP22*AP$19*(1+Чувствительность!$D$20)*IFERROR(LOOKUP(Предпосылки!$H$208,$C$13:$C$15,AP$13:AP$15),1)</f>
        <v>0</v>
      </c>
      <c s="125">
        <f>Предпосылки!AP$235*Предпосылки!$K257*Продажи!AQ22*AQ$19*(1+Чувствительность!$D$20)*IFERROR(LOOKUP(Предпосылки!$H$208,$C$13:$C$15,AQ$13:AQ$15),1)</f>
        <v>0</v>
      </c>
      <c s="125">
        <f>Предпосылки!AQ$235*Предпосылки!$K257*Продажи!AR22*AR$19*(1+Чувствительность!$D$20)*IFERROR(LOOKUP(Предпосылки!$H$208,$C$13:$C$15,AR$13:AR$15),1)</f>
        <v>0</v>
      </c>
      <c s="125">
        <f>Предпосылки!AR$235*Предпосылки!$K257*Продажи!AS22*AS$19*(1+Чувствительность!$D$20)*IFERROR(LOOKUP(Предпосылки!$H$208,$C$13:$C$15,AS$13:AS$15),1)</f>
        <v>0</v>
      </c>
      <c s="125">
        <f>Предпосылки!AS$235*Предпосылки!$K257*Продажи!AT22*AT$19*(1+Чувствительность!$D$20)*IFERROR(LOOKUP(Предпосылки!$H$208,$C$13:$C$15,AT$13:AT$15),1)</f>
        <v>0</v>
      </c>
      <c s="125">
        <f>Предпосылки!AT$235*Предпосылки!$K257*Продажи!AU22*AU$19*(1+Чувствительность!$D$20)*IFERROR(LOOKUP(Предпосылки!$H$208,$C$13:$C$15,AU$13:AU$15),1)</f>
        <v>0</v>
      </c>
      <c s="125">
        <f>Предпосылки!AU$235*Предпосылки!$K257*Продажи!AV22*AV$19*(1+Чувствительность!$D$20)*IFERROR(LOOKUP(Предпосылки!$H$208,$C$13:$C$15,AV$13:AV$15),1)</f>
        <v>0</v>
      </c>
      <c s="125">
        <f>Предпосылки!AV$235*Предпосылки!$K257*Продажи!AW22*AW$19*(1+Чувствительность!$D$20)*IFERROR(LOOKUP(Предпосылки!$H$208,$C$13:$C$15,AW$13:AW$15),1)</f>
        <v>0</v>
      </c>
      <c s="125">
        <f>Предпосылки!AW$235*Предпосылки!$K257*Продажи!AX22*AX$19*(1+Чувствительность!$D$20)*IFERROR(LOOKUP(Предпосылки!$H$208,$C$13:$C$15,AX$13:AX$15),1)</f>
        <v>0</v>
      </c>
      <c s="125">
        <f>Предпосылки!AX$235*Предпосылки!$K257*Продажи!AY22*AY$19*(1+Чувствительность!$D$20)*IFERROR(LOOKUP(Предпосылки!$H$208,$C$13:$C$15,AY$13:AY$15),1)</f>
        <v>0</v>
      </c>
      <c s="125">
        <f>Предпосылки!AY$235*Предпосылки!$K257*Продажи!AZ22*AZ$19*(1+Чувствительность!$D$20)*IFERROR(LOOKUP(Предпосылки!$H$208,$C$13:$C$15,AZ$13:AZ$15),1)</f>
        <v>0</v>
      </c>
      <c s="125">
        <f>Предпосылки!AZ$235*Предпосылки!$K257*Продажи!BA22*BA$19*(1+Чувствительность!$D$20)*IFERROR(LOOKUP(Предпосылки!$H$208,$C$13:$C$15,BA$13:BA$15),1)</f>
        <v>0</v>
      </c>
      <c s="125">
        <f>Предпосылки!BA$235*Предпосылки!$K257*Продажи!BB22*BB$19*(1+Чувствительность!$D$20)*IFERROR(LOOKUP(Предпосылки!$H$208,$C$13:$C$15,BB$13:BB$15),1)</f>
        <v>0</v>
      </c>
      <c s="125">
        <f>Предпосылки!BB$235*Предпосылки!$K257*Продажи!BC22*BC$19*(1+Чувствительность!$D$20)*IFERROR(LOOKUP(Предпосылки!$H$208,$C$13:$C$15,BC$13:BC$15),1)</f>
        <v>0</v>
      </c>
      <c s="125">
        <f>Предпосылки!BC$235*Предпосылки!$K257*Продажи!BD22*BD$19*(1+Чувствительность!$D$20)*IFERROR(LOOKUP(Предпосылки!$H$208,$C$13:$C$15,BD$13:BD$15),1)</f>
        <v>0</v>
      </c>
      <c s="125">
        <f>Предпосылки!BD$235*Предпосылки!$K257*Продажи!BE22*BE$19*(1+Чувствительность!$D$20)*IFERROR(LOOKUP(Предпосылки!$H$208,$C$13:$C$15,BE$13:BE$15),1)</f>
        <v>0</v>
      </c>
      <c s="125">
        <f>Предпосылки!BE$235*Предпосылки!$K257*Продажи!BF22*BF$19*(1+Чувствительность!$D$20)*IFERROR(LOOKUP(Предпосылки!$H$208,$C$13:$C$15,BF$13:BF$15),1)</f>
        <v>0</v>
      </c>
      <c s="125">
        <f>Предпосылки!BF$235*Предпосылки!$K257*Продажи!BG22*BG$19*(1+Чувствительность!$D$20)*IFERROR(LOOKUP(Предпосылки!$H$208,$C$13:$C$15,BG$13:BG$15),1)</f>
        <v>0</v>
      </c>
      <c s="125">
        <f>Предпосылки!BG$235*Предпосылки!$K257*Продажи!BH22*BH$19*(1+Чувствительность!$D$20)*IFERROR(LOOKUP(Предпосылки!$H$208,$C$13:$C$15,BH$13:BH$15),1)</f>
        <v>0</v>
      </c>
      <c s="125">
        <f>Предпосылки!BH$235*Предпосылки!$K257*Продажи!BI22*BI$19*(1+Чувствительность!$D$20)*IFERROR(LOOKUP(Предпосылки!$H$208,$C$13:$C$15,BI$13:BI$15),1)</f>
        <v>0</v>
      </c>
      <c s="125">
        <f>Предпосылки!BI$235*Предпосылки!$K257*Продажи!BJ22*BJ$19*(1+Чувствительность!$D$20)*IFERROR(LOOKUP(Предпосылки!$H$208,$C$13:$C$15,BJ$13:BJ$15),1)</f>
        <v>0</v>
      </c>
      <c s="125">
        <f>Предпосылки!BJ$235*Предпосылки!$K257*Продажи!BK22*BK$19*(1+Чувствительность!$D$20)*IFERROR(LOOKUP(Предпосылки!$H$208,$C$13:$C$15,BK$13:BK$15),1)</f>
        <v>0</v>
      </c>
      <c s="125">
        <f>Предпосылки!BK$235*Предпосылки!$K257*Продажи!BL22*BL$19*(1+Чувствительность!$D$20)*IFERROR(LOOKUP(Предпосылки!$H$208,$C$13:$C$15,BL$13:BL$15),1)</f>
        <v>0</v>
      </c>
      <c s="125">
        <f>Предпосылки!BL$235*Предпосылки!$K257*Продажи!BM22*BM$19*(1+Чувствительность!$D$20)*IFERROR(LOOKUP(Предпосылки!$H$208,$C$13:$C$15,BM$13:BM$15),1)</f>
        <v>0</v>
      </c>
    </row>
    <row r="189" spans="2:65" ht="15" customHeight="1">
      <c r="B189" s="12" t="str">
        <f t="shared" si="96"/>
        <v>Продукт 6</v>
      </c>
      <c s="124" t="str">
        <f t="shared" si="95"/>
        <v>тыс. руб.</v>
      </c>
      <c s="276">
        <f t="shared" si="97"/>
        <v>0</v>
      </c>
      <c s="125">
        <f>Предпосылки!D$235*Предпосылки!$K258*Продажи!E23*E$19*(1+Чувствительность!$D$20)*IFERROR(LOOKUP(Предпосылки!$H$208,$C$13:$C$15,E$13:E$15),1)</f>
        <v>0</v>
      </c>
      <c s="125">
        <f>Предпосылки!E$235*Предпосылки!$K258*Продажи!F23*F$19*(1+Чувствительность!$D$20)*IFERROR(LOOKUP(Предпосылки!$H$208,$C$13:$C$15,F$13:F$15),1)</f>
        <v>0</v>
      </c>
      <c s="125">
        <f>Предпосылки!F$235*Предпосылки!$K258*Продажи!G23*G$19*(1+Чувствительность!$D$20)*IFERROR(LOOKUP(Предпосылки!$H$208,$C$13:$C$15,G$13:G$15),1)</f>
        <v>0</v>
      </c>
      <c s="125">
        <f>Предпосылки!G$235*Предпосылки!$K258*Продажи!H23*H$19*(1+Чувствительность!$D$20)*IFERROR(LOOKUP(Предпосылки!$H$208,$C$13:$C$15,H$13:H$15),1)</f>
        <v>0</v>
      </c>
      <c s="125">
        <f>Предпосылки!H$235*Предпосылки!$K258*Продажи!I23*I$19*(1+Чувствительность!$D$20)*IFERROR(LOOKUP(Предпосылки!$H$208,$C$13:$C$15,I$13:I$15),1)</f>
        <v>0</v>
      </c>
      <c s="125">
        <f>Предпосылки!I$235*Предпосылки!$K258*Продажи!J23*J$19*(1+Чувствительность!$D$20)*IFERROR(LOOKUP(Предпосылки!$H$208,$C$13:$C$15,J$13:J$15),1)</f>
        <v>0</v>
      </c>
      <c s="125">
        <f>Предпосылки!J$235*Предпосылки!$K258*Продажи!K23*K$19*(1+Чувствительность!$D$20)*IFERROR(LOOKUP(Предпосылки!$H$208,$C$13:$C$15,K$13:K$15),1)</f>
        <v>0</v>
      </c>
      <c s="125">
        <f>Предпосылки!K$235*Предпосылки!$K258*Продажи!L23*L$19*(1+Чувствительность!$D$20)*IFERROR(LOOKUP(Предпосылки!$H$208,$C$13:$C$15,L$13:L$15),1)</f>
        <v>0</v>
      </c>
      <c s="125">
        <f>Предпосылки!L$235*Предпосылки!$K258*Продажи!M23*M$19*(1+Чувствительность!$D$20)*IFERROR(LOOKUP(Предпосылки!$H$208,$C$13:$C$15,M$13:M$15),1)</f>
        <v>0</v>
      </c>
      <c s="125">
        <f>Предпосылки!M$235*Предпосылки!$K258*Продажи!N23*N$19*(1+Чувствительность!$D$20)*IFERROR(LOOKUP(Предпосылки!$H$208,$C$13:$C$15,N$13:N$15),1)</f>
        <v>0</v>
      </c>
      <c s="125">
        <f>Предпосылки!N$235*Предпосылки!$K258*Продажи!O23*O$19*(1+Чувствительность!$D$20)*IFERROR(LOOKUP(Предпосылки!$H$208,$C$13:$C$15,O$13:O$15),1)</f>
        <v>0</v>
      </c>
      <c s="125">
        <f>Предпосылки!O$235*Предпосылки!$K258*Продажи!P23*P$19*(1+Чувствительность!$D$20)*IFERROR(LOOKUP(Предпосылки!$H$208,$C$13:$C$15,P$13:P$15),1)</f>
        <v>0</v>
      </c>
      <c s="125">
        <f>Предпосылки!P$235*Предпосылки!$K258*Продажи!Q23*Q$19*(1+Чувствительность!$D$20)*IFERROR(LOOKUP(Предпосылки!$H$208,$C$13:$C$15,Q$13:Q$15),1)</f>
        <v>0</v>
      </c>
      <c s="125">
        <f>Предпосылки!Q$235*Предпосылки!$K258*Продажи!R23*R$19*(1+Чувствительность!$D$20)*IFERROR(LOOKUP(Предпосылки!$H$208,$C$13:$C$15,R$13:R$15),1)</f>
        <v>0</v>
      </c>
      <c s="125">
        <f>Предпосылки!R$235*Предпосылки!$K258*Продажи!S23*S$19*(1+Чувствительность!$D$20)*IFERROR(LOOKUP(Предпосылки!$H$208,$C$13:$C$15,S$13:S$15),1)</f>
        <v>0</v>
      </c>
      <c s="125">
        <f>Предпосылки!S$235*Предпосылки!$K258*Продажи!T23*T$19*(1+Чувствительность!$D$20)*IFERROR(LOOKUP(Предпосылки!$H$208,$C$13:$C$15,T$13:T$15),1)</f>
        <v>0</v>
      </c>
      <c s="125">
        <f>Предпосылки!T$235*Предпосылки!$K258*Продажи!U23*U$19*(1+Чувствительность!$D$20)*IFERROR(LOOKUP(Предпосылки!$H$208,$C$13:$C$15,U$13:U$15),1)</f>
        <v>0</v>
      </c>
      <c s="125">
        <f>Предпосылки!U$235*Предпосылки!$K258*Продажи!V23*V$19*(1+Чувствительность!$D$20)*IFERROR(LOOKUP(Предпосылки!$H$208,$C$13:$C$15,V$13:V$15),1)</f>
        <v>0</v>
      </c>
      <c s="125">
        <f>Предпосылки!V$235*Предпосылки!$K258*Продажи!W23*W$19*(1+Чувствительность!$D$20)*IFERROR(LOOKUP(Предпосылки!$H$208,$C$13:$C$15,W$13:W$15),1)</f>
        <v>0</v>
      </c>
      <c s="125">
        <f>Предпосылки!W$235*Предпосылки!$K258*Продажи!X23*X$19*(1+Чувствительность!$D$20)*IFERROR(LOOKUP(Предпосылки!$H$208,$C$13:$C$15,X$13:X$15),1)</f>
        <v>0</v>
      </c>
      <c s="125">
        <f>Предпосылки!X$235*Предпосылки!$K258*Продажи!Y23*Y$19*(1+Чувствительность!$D$20)*IFERROR(LOOKUP(Предпосылки!$H$208,$C$13:$C$15,Y$13:Y$15),1)</f>
        <v>0</v>
      </c>
      <c s="125">
        <f>Предпосылки!Y$235*Предпосылки!$K258*Продажи!Z23*Z$19*(1+Чувствительность!$D$20)*IFERROR(LOOKUP(Предпосылки!$H$208,$C$13:$C$15,Z$13:Z$15),1)</f>
        <v>0</v>
      </c>
      <c s="125">
        <f>Предпосылки!Z$235*Предпосылки!$K258*Продажи!AA23*AA$19*(1+Чувствительность!$D$20)*IFERROR(LOOKUP(Предпосылки!$H$208,$C$13:$C$15,AA$13:AA$15),1)</f>
        <v>0</v>
      </c>
      <c s="125">
        <f>Предпосылки!AA$235*Предпосылки!$K258*Продажи!AB23*AB$19*(1+Чувствительность!$D$20)*IFERROR(LOOKUP(Предпосылки!$H$208,$C$13:$C$15,AB$13:AB$15),1)</f>
        <v>0</v>
      </c>
      <c s="125">
        <f>Предпосылки!AB$235*Предпосылки!$K258*Продажи!AC23*AC$19*(1+Чувствительность!$D$20)*IFERROR(LOOKUP(Предпосылки!$H$208,$C$13:$C$15,AC$13:AC$15),1)</f>
        <v>0</v>
      </c>
      <c s="125">
        <f>Предпосылки!AC$235*Предпосылки!$K258*Продажи!AD23*AD$19*(1+Чувствительность!$D$20)*IFERROR(LOOKUP(Предпосылки!$H$208,$C$13:$C$15,AD$13:AD$15),1)</f>
        <v>0</v>
      </c>
      <c s="125">
        <f>Предпосылки!AD$235*Предпосылки!$K258*Продажи!AE23*AE$19*(1+Чувствительность!$D$20)*IFERROR(LOOKUP(Предпосылки!$H$208,$C$13:$C$15,AE$13:AE$15),1)</f>
        <v>0</v>
      </c>
      <c s="125">
        <f>Предпосылки!AE$235*Предпосылки!$K258*Продажи!AF23*AF$19*(1+Чувствительность!$D$20)*IFERROR(LOOKUP(Предпосылки!$H$208,$C$13:$C$15,AF$13:AF$15),1)</f>
        <v>0</v>
      </c>
      <c s="125">
        <f>Предпосылки!AF$235*Предпосылки!$K258*Продажи!AG23*AG$19*(1+Чувствительность!$D$20)*IFERROR(LOOKUP(Предпосылки!$H$208,$C$13:$C$15,AG$13:AG$15),1)</f>
        <v>0</v>
      </c>
      <c s="125">
        <f>Предпосылки!AG$235*Предпосылки!$K258*Продажи!AH23*AH$19*(1+Чувствительность!$D$20)*IFERROR(LOOKUP(Предпосылки!$H$208,$C$13:$C$15,AH$13:AH$15),1)</f>
        <v>0</v>
      </c>
      <c s="125">
        <f>Предпосылки!AH$235*Предпосылки!$K258*Продажи!AI23*AI$19*(1+Чувствительность!$D$20)*IFERROR(LOOKUP(Предпосылки!$H$208,$C$13:$C$15,AI$13:AI$15),1)</f>
        <v>0</v>
      </c>
      <c s="125">
        <f>Предпосылки!AI$235*Предпосылки!$K258*Продажи!AJ23*AJ$19*(1+Чувствительность!$D$20)*IFERROR(LOOKUP(Предпосылки!$H$208,$C$13:$C$15,AJ$13:AJ$15),1)</f>
        <v>0</v>
      </c>
      <c s="125">
        <f>Предпосылки!AJ$235*Предпосылки!$K258*Продажи!AK23*AK$19*(1+Чувствительность!$D$20)*IFERROR(LOOKUP(Предпосылки!$H$208,$C$13:$C$15,AK$13:AK$15),1)</f>
        <v>0</v>
      </c>
      <c s="125">
        <f>Предпосылки!AK$235*Предпосылки!$K258*Продажи!AL23*AL$19*(1+Чувствительность!$D$20)*IFERROR(LOOKUP(Предпосылки!$H$208,$C$13:$C$15,AL$13:AL$15),1)</f>
        <v>0</v>
      </c>
      <c s="125">
        <f>Предпосылки!AL$235*Предпосылки!$K258*Продажи!AM23*AM$19*(1+Чувствительность!$D$20)*IFERROR(LOOKUP(Предпосылки!$H$208,$C$13:$C$15,AM$13:AM$15),1)</f>
        <v>0</v>
      </c>
      <c s="125">
        <f>Предпосылки!AM$235*Предпосылки!$K258*Продажи!AN23*AN$19*(1+Чувствительность!$D$20)*IFERROR(LOOKUP(Предпосылки!$H$208,$C$13:$C$15,AN$13:AN$15),1)</f>
        <v>0</v>
      </c>
      <c s="125">
        <f>Предпосылки!AN$235*Предпосылки!$K258*Продажи!AO23*AO$19*(1+Чувствительность!$D$20)*IFERROR(LOOKUP(Предпосылки!$H$208,$C$13:$C$15,AO$13:AO$15),1)</f>
        <v>0</v>
      </c>
      <c s="125">
        <f>Предпосылки!AO$235*Предпосылки!$K258*Продажи!AP23*AP$19*(1+Чувствительность!$D$20)*IFERROR(LOOKUP(Предпосылки!$H$208,$C$13:$C$15,AP$13:AP$15),1)</f>
        <v>0</v>
      </c>
      <c s="125">
        <f>Предпосылки!AP$235*Предпосылки!$K258*Продажи!AQ23*AQ$19*(1+Чувствительность!$D$20)*IFERROR(LOOKUP(Предпосылки!$H$208,$C$13:$C$15,AQ$13:AQ$15),1)</f>
        <v>0</v>
      </c>
      <c s="125">
        <f>Предпосылки!AQ$235*Предпосылки!$K258*Продажи!AR23*AR$19*(1+Чувствительность!$D$20)*IFERROR(LOOKUP(Предпосылки!$H$208,$C$13:$C$15,AR$13:AR$15),1)</f>
        <v>0</v>
      </c>
      <c s="125">
        <f>Предпосылки!AR$235*Предпосылки!$K258*Продажи!AS23*AS$19*(1+Чувствительность!$D$20)*IFERROR(LOOKUP(Предпосылки!$H$208,$C$13:$C$15,AS$13:AS$15),1)</f>
        <v>0</v>
      </c>
      <c s="125">
        <f>Предпосылки!AS$235*Предпосылки!$K258*Продажи!AT23*AT$19*(1+Чувствительность!$D$20)*IFERROR(LOOKUP(Предпосылки!$H$208,$C$13:$C$15,AT$13:AT$15),1)</f>
        <v>0</v>
      </c>
      <c s="125">
        <f>Предпосылки!AT$235*Предпосылки!$K258*Продажи!AU23*AU$19*(1+Чувствительность!$D$20)*IFERROR(LOOKUP(Предпосылки!$H$208,$C$13:$C$15,AU$13:AU$15),1)</f>
        <v>0</v>
      </c>
      <c s="125">
        <f>Предпосылки!AU$235*Предпосылки!$K258*Продажи!AV23*AV$19*(1+Чувствительность!$D$20)*IFERROR(LOOKUP(Предпосылки!$H$208,$C$13:$C$15,AV$13:AV$15),1)</f>
        <v>0</v>
      </c>
      <c s="125">
        <f>Предпосылки!AV$235*Предпосылки!$K258*Продажи!AW23*AW$19*(1+Чувствительность!$D$20)*IFERROR(LOOKUP(Предпосылки!$H$208,$C$13:$C$15,AW$13:AW$15),1)</f>
        <v>0</v>
      </c>
      <c s="125">
        <f>Предпосылки!AW$235*Предпосылки!$K258*Продажи!AX23*AX$19*(1+Чувствительность!$D$20)*IFERROR(LOOKUP(Предпосылки!$H$208,$C$13:$C$15,AX$13:AX$15),1)</f>
        <v>0</v>
      </c>
      <c s="125">
        <f>Предпосылки!AX$235*Предпосылки!$K258*Продажи!AY23*AY$19*(1+Чувствительность!$D$20)*IFERROR(LOOKUP(Предпосылки!$H$208,$C$13:$C$15,AY$13:AY$15),1)</f>
        <v>0</v>
      </c>
      <c s="125">
        <f>Предпосылки!AY$235*Предпосылки!$K258*Продажи!AZ23*AZ$19*(1+Чувствительность!$D$20)*IFERROR(LOOKUP(Предпосылки!$H$208,$C$13:$C$15,AZ$13:AZ$15),1)</f>
        <v>0</v>
      </c>
      <c s="125">
        <f>Предпосылки!AZ$235*Предпосылки!$K258*Продажи!BA23*BA$19*(1+Чувствительность!$D$20)*IFERROR(LOOKUP(Предпосылки!$H$208,$C$13:$C$15,BA$13:BA$15),1)</f>
        <v>0</v>
      </c>
      <c s="125">
        <f>Предпосылки!BA$235*Предпосылки!$K258*Продажи!BB23*BB$19*(1+Чувствительность!$D$20)*IFERROR(LOOKUP(Предпосылки!$H$208,$C$13:$C$15,BB$13:BB$15),1)</f>
        <v>0</v>
      </c>
      <c s="125">
        <f>Предпосылки!BB$235*Предпосылки!$K258*Продажи!BC23*BC$19*(1+Чувствительность!$D$20)*IFERROR(LOOKUP(Предпосылки!$H$208,$C$13:$C$15,BC$13:BC$15),1)</f>
        <v>0</v>
      </c>
      <c s="125">
        <f>Предпосылки!BC$235*Предпосылки!$K258*Продажи!BD23*BD$19*(1+Чувствительность!$D$20)*IFERROR(LOOKUP(Предпосылки!$H$208,$C$13:$C$15,BD$13:BD$15),1)</f>
        <v>0</v>
      </c>
      <c s="125">
        <f>Предпосылки!BD$235*Предпосылки!$K258*Продажи!BE23*BE$19*(1+Чувствительность!$D$20)*IFERROR(LOOKUP(Предпосылки!$H$208,$C$13:$C$15,BE$13:BE$15),1)</f>
        <v>0</v>
      </c>
      <c s="125">
        <f>Предпосылки!BE$235*Предпосылки!$K258*Продажи!BF23*BF$19*(1+Чувствительность!$D$20)*IFERROR(LOOKUP(Предпосылки!$H$208,$C$13:$C$15,BF$13:BF$15),1)</f>
        <v>0</v>
      </c>
      <c s="125">
        <f>Предпосылки!BF$235*Предпосылки!$K258*Продажи!BG23*BG$19*(1+Чувствительность!$D$20)*IFERROR(LOOKUP(Предпосылки!$H$208,$C$13:$C$15,BG$13:BG$15),1)</f>
        <v>0</v>
      </c>
      <c s="125">
        <f>Предпосылки!BG$235*Предпосылки!$K258*Продажи!BH23*BH$19*(1+Чувствительность!$D$20)*IFERROR(LOOKUP(Предпосылки!$H$208,$C$13:$C$15,BH$13:BH$15),1)</f>
        <v>0</v>
      </c>
      <c s="125">
        <f>Предпосылки!BH$235*Предпосылки!$K258*Продажи!BI23*BI$19*(1+Чувствительность!$D$20)*IFERROR(LOOKUP(Предпосылки!$H$208,$C$13:$C$15,BI$13:BI$15),1)</f>
        <v>0</v>
      </c>
      <c s="125">
        <f>Предпосылки!BI$235*Предпосылки!$K258*Продажи!BJ23*BJ$19*(1+Чувствительность!$D$20)*IFERROR(LOOKUP(Предпосылки!$H$208,$C$13:$C$15,BJ$13:BJ$15),1)</f>
        <v>0</v>
      </c>
      <c s="125">
        <f>Предпосылки!BJ$235*Предпосылки!$K258*Продажи!BK23*BK$19*(1+Чувствительность!$D$20)*IFERROR(LOOKUP(Предпосылки!$H$208,$C$13:$C$15,BK$13:BK$15),1)</f>
        <v>0</v>
      </c>
      <c s="125">
        <f>Предпосылки!BK$235*Предпосылки!$K258*Продажи!BL23*BL$19*(1+Чувствительность!$D$20)*IFERROR(LOOKUP(Предпосылки!$H$208,$C$13:$C$15,BL$13:BL$15),1)</f>
        <v>0</v>
      </c>
      <c s="125">
        <f>Предпосылки!BL$235*Предпосылки!$K258*Продажи!BM23*BM$19*(1+Чувствительность!$D$20)*IFERROR(LOOKUP(Предпосылки!$H$208,$C$13:$C$15,BM$13:BM$15),1)</f>
        <v>0</v>
      </c>
    </row>
    <row r="190" spans="2:65" ht="15" customHeight="1">
      <c r="B190" s="12" t="str">
        <f t="shared" si="96"/>
        <v>Продукт 7</v>
      </c>
      <c s="124" t="str">
        <f t="shared" si="95"/>
        <v>тыс. руб.</v>
      </c>
      <c s="276">
        <f t="shared" si="97"/>
        <v>0</v>
      </c>
      <c s="125">
        <f>Предпосылки!D$235*Предпосылки!$K259*Продажи!E24*E$19*(1+Чувствительность!$D$20)*IFERROR(LOOKUP(Предпосылки!$H$208,$C$13:$C$15,E$13:E$15),1)</f>
        <v>0</v>
      </c>
      <c s="125">
        <f>Предпосылки!E$235*Предпосылки!$K259*Продажи!F24*F$19*(1+Чувствительность!$D$20)*IFERROR(LOOKUP(Предпосылки!$H$208,$C$13:$C$15,F$13:F$15),1)</f>
        <v>0</v>
      </c>
      <c s="125">
        <f>Предпосылки!F$235*Предпосылки!$K259*Продажи!G24*G$19*(1+Чувствительность!$D$20)*IFERROR(LOOKUP(Предпосылки!$H$208,$C$13:$C$15,G$13:G$15),1)</f>
        <v>0</v>
      </c>
      <c s="125">
        <f>Предпосылки!G$235*Предпосылки!$K259*Продажи!H24*H$19*(1+Чувствительность!$D$20)*IFERROR(LOOKUP(Предпосылки!$H$208,$C$13:$C$15,H$13:H$15),1)</f>
        <v>0</v>
      </c>
      <c s="125">
        <f>Предпосылки!H$235*Предпосылки!$K259*Продажи!I24*I$19*(1+Чувствительность!$D$20)*IFERROR(LOOKUP(Предпосылки!$H$208,$C$13:$C$15,I$13:I$15),1)</f>
        <v>0</v>
      </c>
      <c s="125">
        <f>Предпосылки!I$235*Предпосылки!$K259*Продажи!J24*J$19*(1+Чувствительность!$D$20)*IFERROR(LOOKUP(Предпосылки!$H$208,$C$13:$C$15,J$13:J$15),1)</f>
        <v>0</v>
      </c>
      <c s="125">
        <f>Предпосылки!J$235*Предпосылки!$K259*Продажи!K24*K$19*(1+Чувствительность!$D$20)*IFERROR(LOOKUP(Предпосылки!$H$208,$C$13:$C$15,K$13:K$15),1)</f>
        <v>0</v>
      </c>
      <c s="125">
        <f>Предпосылки!K$235*Предпосылки!$K259*Продажи!L24*L$19*(1+Чувствительность!$D$20)*IFERROR(LOOKUP(Предпосылки!$H$208,$C$13:$C$15,L$13:L$15),1)</f>
        <v>0</v>
      </c>
      <c s="125">
        <f>Предпосылки!L$235*Предпосылки!$K259*Продажи!M24*M$19*(1+Чувствительность!$D$20)*IFERROR(LOOKUP(Предпосылки!$H$208,$C$13:$C$15,M$13:M$15),1)</f>
        <v>0</v>
      </c>
      <c s="125">
        <f>Предпосылки!M$235*Предпосылки!$K259*Продажи!N24*N$19*(1+Чувствительность!$D$20)*IFERROR(LOOKUP(Предпосылки!$H$208,$C$13:$C$15,N$13:N$15),1)</f>
        <v>0</v>
      </c>
      <c s="125">
        <f>Предпосылки!N$235*Предпосылки!$K259*Продажи!O24*O$19*(1+Чувствительность!$D$20)*IFERROR(LOOKUP(Предпосылки!$H$208,$C$13:$C$15,O$13:O$15),1)</f>
        <v>0</v>
      </c>
      <c s="125">
        <f>Предпосылки!O$235*Предпосылки!$K259*Продажи!P24*P$19*(1+Чувствительность!$D$20)*IFERROR(LOOKUP(Предпосылки!$H$208,$C$13:$C$15,P$13:P$15),1)</f>
        <v>0</v>
      </c>
      <c s="125">
        <f>Предпосылки!P$235*Предпосылки!$K259*Продажи!Q24*Q$19*(1+Чувствительность!$D$20)*IFERROR(LOOKUP(Предпосылки!$H$208,$C$13:$C$15,Q$13:Q$15),1)</f>
        <v>0</v>
      </c>
      <c s="125">
        <f>Предпосылки!Q$235*Предпосылки!$K259*Продажи!R24*R$19*(1+Чувствительность!$D$20)*IFERROR(LOOKUP(Предпосылки!$H$208,$C$13:$C$15,R$13:R$15),1)</f>
        <v>0</v>
      </c>
      <c s="125">
        <f>Предпосылки!R$235*Предпосылки!$K259*Продажи!S24*S$19*(1+Чувствительность!$D$20)*IFERROR(LOOKUP(Предпосылки!$H$208,$C$13:$C$15,S$13:S$15),1)</f>
        <v>0</v>
      </c>
      <c s="125">
        <f>Предпосылки!S$235*Предпосылки!$K259*Продажи!T24*T$19*(1+Чувствительность!$D$20)*IFERROR(LOOKUP(Предпосылки!$H$208,$C$13:$C$15,T$13:T$15),1)</f>
        <v>0</v>
      </c>
      <c s="125">
        <f>Предпосылки!T$235*Предпосылки!$K259*Продажи!U24*U$19*(1+Чувствительность!$D$20)*IFERROR(LOOKUP(Предпосылки!$H$208,$C$13:$C$15,U$13:U$15),1)</f>
        <v>0</v>
      </c>
      <c s="125">
        <f>Предпосылки!U$235*Предпосылки!$K259*Продажи!V24*V$19*(1+Чувствительность!$D$20)*IFERROR(LOOKUP(Предпосылки!$H$208,$C$13:$C$15,V$13:V$15),1)</f>
        <v>0</v>
      </c>
      <c s="125">
        <f>Предпосылки!V$235*Предпосылки!$K259*Продажи!W24*W$19*(1+Чувствительность!$D$20)*IFERROR(LOOKUP(Предпосылки!$H$208,$C$13:$C$15,W$13:W$15),1)</f>
        <v>0</v>
      </c>
      <c s="125">
        <f>Предпосылки!W$235*Предпосылки!$K259*Продажи!X24*X$19*(1+Чувствительность!$D$20)*IFERROR(LOOKUP(Предпосылки!$H$208,$C$13:$C$15,X$13:X$15),1)</f>
        <v>0</v>
      </c>
      <c s="125">
        <f>Предпосылки!X$235*Предпосылки!$K259*Продажи!Y24*Y$19*(1+Чувствительность!$D$20)*IFERROR(LOOKUP(Предпосылки!$H$208,$C$13:$C$15,Y$13:Y$15),1)</f>
        <v>0</v>
      </c>
      <c s="125">
        <f>Предпосылки!Y$235*Предпосылки!$K259*Продажи!Z24*Z$19*(1+Чувствительность!$D$20)*IFERROR(LOOKUP(Предпосылки!$H$208,$C$13:$C$15,Z$13:Z$15),1)</f>
        <v>0</v>
      </c>
      <c s="125">
        <f>Предпосылки!Z$235*Предпосылки!$K259*Продажи!AA24*AA$19*(1+Чувствительность!$D$20)*IFERROR(LOOKUP(Предпосылки!$H$208,$C$13:$C$15,AA$13:AA$15),1)</f>
        <v>0</v>
      </c>
      <c s="125">
        <f>Предпосылки!AA$235*Предпосылки!$K259*Продажи!AB24*AB$19*(1+Чувствительность!$D$20)*IFERROR(LOOKUP(Предпосылки!$H$208,$C$13:$C$15,AB$13:AB$15),1)</f>
        <v>0</v>
      </c>
      <c s="125">
        <f>Предпосылки!AB$235*Предпосылки!$K259*Продажи!AC24*AC$19*(1+Чувствительность!$D$20)*IFERROR(LOOKUP(Предпосылки!$H$208,$C$13:$C$15,AC$13:AC$15),1)</f>
        <v>0</v>
      </c>
      <c s="125">
        <f>Предпосылки!AC$235*Предпосылки!$K259*Продажи!AD24*AD$19*(1+Чувствительность!$D$20)*IFERROR(LOOKUP(Предпосылки!$H$208,$C$13:$C$15,AD$13:AD$15),1)</f>
        <v>0</v>
      </c>
      <c s="125">
        <f>Предпосылки!AD$235*Предпосылки!$K259*Продажи!AE24*AE$19*(1+Чувствительность!$D$20)*IFERROR(LOOKUP(Предпосылки!$H$208,$C$13:$C$15,AE$13:AE$15),1)</f>
        <v>0</v>
      </c>
      <c s="125">
        <f>Предпосылки!AE$235*Предпосылки!$K259*Продажи!AF24*AF$19*(1+Чувствительность!$D$20)*IFERROR(LOOKUP(Предпосылки!$H$208,$C$13:$C$15,AF$13:AF$15),1)</f>
        <v>0</v>
      </c>
      <c s="125">
        <f>Предпосылки!AF$235*Предпосылки!$K259*Продажи!AG24*AG$19*(1+Чувствительность!$D$20)*IFERROR(LOOKUP(Предпосылки!$H$208,$C$13:$C$15,AG$13:AG$15),1)</f>
        <v>0</v>
      </c>
      <c s="125">
        <f>Предпосылки!AG$235*Предпосылки!$K259*Продажи!AH24*AH$19*(1+Чувствительность!$D$20)*IFERROR(LOOKUP(Предпосылки!$H$208,$C$13:$C$15,AH$13:AH$15),1)</f>
        <v>0</v>
      </c>
      <c s="125">
        <f>Предпосылки!AH$235*Предпосылки!$K259*Продажи!AI24*AI$19*(1+Чувствительность!$D$20)*IFERROR(LOOKUP(Предпосылки!$H$208,$C$13:$C$15,AI$13:AI$15),1)</f>
        <v>0</v>
      </c>
      <c s="125">
        <f>Предпосылки!AI$235*Предпосылки!$K259*Продажи!AJ24*AJ$19*(1+Чувствительность!$D$20)*IFERROR(LOOKUP(Предпосылки!$H$208,$C$13:$C$15,AJ$13:AJ$15),1)</f>
        <v>0</v>
      </c>
      <c s="125">
        <f>Предпосылки!AJ$235*Предпосылки!$K259*Продажи!AK24*AK$19*(1+Чувствительность!$D$20)*IFERROR(LOOKUP(Предпосылки!$H$208,$C$13:$C$15,AK$13:AK$15),1)</f>
        <v>0</v>
      </c>
      <c s="125">
        <f>Предпосылки!AK$235*Предпосылки!$K259*Продажи!AL24*AL$19*(1+Чувствительность!$D$20)*IFERROR(LOOKUP(Предпосылки!$H$208,$C$13:$C$15,AL$13:AL$15),1)</f>
        <v>0</v>
      </c>
      <c s="125">
        <f>Предпосылки!AL$235*Предпосылки!$K259*Продажи!AM24*AM$19*(1+Чувствительность!$D$20)*IFERROR(LOOKUP(Предпосылки!$H$208,$C$13:$C$15,AM$13:AM$15),1)</f>
        <v>0</v>
      </c>
      <c s="125">
        <f>Предпосылки!AM$235*Предпосылки!$K259*Продажи!AN24*AN$19*(1+Чувствительность!$D$20)*IFERROR(LOOKUP(Предпосылки!$H$208,$C$13:$C$15,AN$13:AN$15),1)</f>
        <v>0</v>
      </c>
      <c s="125">
        <f>Предпосылки!AN$235*Предпосылки!$K259*Продажи!AO24*AO$19*(1+Чувствительность!$D$20)*IFERROR(LOOKUP(Предпосылки!$H$208,$C$13:$C$15,AO$13:AO$15),1)</f>
        <v>0</v>
      </c>
      <c s="125">
        <f>Предпосылки!AO$235*Предпосылки!$K259*Продажи!AP24*AP$19*(1+Чувствительность!$D$20)*IFERROR(LOOKUP(Предпосылки!$H$208,$C$13:$C$15,AP$13:AP$15),1)</f>
        <v>0</v>
      </c>
      <c s="125">
        <f>Предпосылки!AP$235*Предпосылки!$K259*Продажи!AQ24*AQ$19*(1+Чувствительность!$D$20)*IFERROR(LOOKUP(Предпосылки!$H$208,$C$13:$C$15,AQ$13:AQ$15),1)</f>
        <v>0</v>
      </c>
      <c s="125">
        <f>Предпосылки!AQ$235*Предпосылки!$K259*Продажи!AR24*AR$19*(1+Чувствительность!$D$20)*IFERROR(LOOKUP(Предпосылки!$H$208,$C$13:$C$15,AR$13:AR$15),1)</f>
        <v>0</v>
      </c>
      <c s="125">
        <f>Предпосылки!AR$235*Предпосылки!$K259*Продажи!AS24*AS$19*(1+Чувствительность!$D$20)*IFERROR(LOOKUP(Предпосылки!$H$208,$C$13:$C$15,AS$13:AS$15),1)</f>
        <v>0</v>
      </c>
      <c s="125">
        <f>Предпосылки!AS$235*Предпосылки!$K259*Продажи!AT24*AT$19*(1+Чувствительность!$D$20)*IFERROR(LOOKUP(Предпосылки!$H$208,$C$13:$C$15,AT$13:AT$15),1)</f>
        <v>0</v>
      </c>
      <c s="125">
        <f>Предпосылки!AT$235*Предпосылки!$K259*Продажи!AU24*AU$19*(1+Чувствительность!$D$20)*IFERROR(LOOKUP(Предпосылки!$H$208,$C$13:$C$15,AU$13:AU$15),1)</f>
        <v>0</v>
      </c>
      <c s="125">
        <f>Предпосылки!AU$235*Предпосылки!$K259*Продажи!AV24*AV$19*(1+Чувствительность!$D$20)*IFERROR(LOOKUP(Предпосылки!$H$208,$C$13:$C$15,AV$13:AV$15),1)</f>
        <v>0</v>
      </c>
      <c s="125">
        <f>Предпосылки!AV$235*Предпосылки!$K259*Продажи!AW24*AW$19*(1+Чувствительность!$D$20)*IFERROR(LOOKUP(Предпосылки!$H$208,$C$13:$C$15,AW$13:AW$15),1)</f>
        <v>0</v>
      </c>
      <c s="125">
        <f>Предпосылки!AW$235*Предпосылки!$K259*Продажи!AX24*AX$19*(1+Чувствительность!$D$20)*IFERROR(LOOKUP(Предпосылки!$H$208,$C$13:$C$15,AX$13:AX$15),1)</f>
        <v>0</v>
      </c>
      <c s="125">
        <f>Предпосылки!AX$235*Предпосылки!$K259*Продажи!AY24*AY$19*(1+Чувствительность!$D$20)*IFERROR(LOOKUP(Предпосылки!$H$208,$C$13:$C$15,AY$13:AY$15),1)</f>
        <v>0</v>
      </c>
      <c s="125">
        <f>Предпосылки!AY$235*Предпосылки!$K259*Продажи!AZ24*AZ$19*(1+Чувствительность!$D$20)*IFERROR(LOOKUP(Предпосылки!$H$208,$C$13:$C$15,AZ$13:AZ$15),1)</f>
        <v>0</v>
      </c>
      <c s="125">
        <f>Предпосылки!AZ$235*Предпосылки!$K259*Продажи!BA24*BA$19*(1+Чувствительность!$D$20)*IFERROR(LOOKUP(Предпосылки!$H$208,$C$13:$C$15,BA$13:BA$15),1)</f>
        <v>0</v>
      </c>
      <c s="125">
        <f>Предпосылки!BA$235*Предпосылки!$K259*Продажи!BB24*BB$19*(1+Чувствительность!$D$20)*IFERROR(LOOKUP(Предпосылки!$H$208,$C$13:$C$15,BB$13:BB$15),1)</f>
        <v>0</v>
      </c>
      <c s="125">
        <f>Предпосылки!BB$235*Предпосылки!$K259*Продажи!BC24*BC$19*(1+Чувствительность!$D$20)*IFERROR(LOOKUP(Предпосылки!$H$208,$C$13:$C$15,BC$13:BC$15),1)</f>
        <v>0</v>
      </c>
      <c s="125">
        <f>Предпосылки!BC$235*Предпосылки!$K259*Продажи!BD24*BD$19*(1+Чувствительность!$D$20)*IFERROR(LOOKUP(Предпосылки!$H$208,$C$13:$C$15,BD$13:BD$15),1)</f>
        <v>0</v>
      </c>
      <c s="125">
        <f>Предпосылки!BD$235*Предпосылки!$K259*Продажи!BE24*BE$19*(1+Чувствительность!$D$20)*IFERROR(LOOKUP(Предпосылки!$H$208,$C$13:$C$15,BE$13:BE$15),1)</f>
        <v>0</v>
      </c>
      <c s="125">
        <f>Предпосылки!BE$235*Предпосылки!$K259*Продажи!BF24*BF$19*(1+Чувствительность!$D$20)*IFERROR(LOOKUP(Предпосылки!$H$208,$C$13:$C$15,BF$13:BF$15),1)</f>
        <v>0</v>
      </c>
      <c s="125">
        <f>Предпосылки!BF$235*Предпосылки!$K259*Продажи!BG24*BG$19*(1+Чувствительность!$D$20)*IFERROR(LOOKUP(Предпосылки!$H$208,$C$13:$C$15,BG$13:BG$15),1)</f>
        <v>0</v>
      </c>
      <c s="125">
        <f>Предпосылки!BG$235*Предпосылки!$K259*Продажи!BH24*BH$19*(1+Чувствительность!$D$20)*IFERROR(LOOKUP(Предпосылки!$H$208,$C$13:$C$15,BH$13:BH$15),1)</f>
        <v>0</v>
      </c>
      <c s="125">
        <f>Предпосылки!BH$235*Предпосылки!$K259*Продажи!BI24*BI$19*(1+Чувствительность!$D$20)*IFERROR(LOOKUP(Предпосылки!$H$208,$C$13:$C$15,BI$13:BI$15),1)</f>
        <v>0</v>
      </c>
      <c s="125">
        <f>Предпосылки!BI$235*Предпосылки!$K259*Продажи!BJ24*BJ$19*(1+Чувствительность!$D$20)*IFERROR(LOOKUP(Предпосылки!$H$208,$C$13:$C$15,BJ$13:BJ$15),1)</f>
        <v>0</v>
      </c>
      <c s="125">
        <f>Предпосылки!BJ$235*Предпосылки!$K259*Продажи!BK24*BK$19*(1+Чувствительность!$D$20)*IFERROR(LOOKUP(Предпосылки!$H$208,$C$13:$C$15,BK$13:BK$15),1)</f>
        <v>0</v>
      </c>
      <c s="125">
        <f>Предпосылки!BK$235*Предпосылки!$K259*Продажи!BL24*BL$19*(1+Чувствительность!$D$20)*IFERROR(LOOKUP(Предпосылки!$H$208,$C$13:$C$15,BL$13:BL$15),1)</f>
        <v>0</v>
      </c>
      <c s="125">
        <f>Предпосылки!BL$235*Предпосылки!$K259*Продажи!BM24*BM$19*(1+Чувствительность!$D$20)*IFERROR(LOOKUP(Предпосылки!$H$208,$C$13:$C$15,BM$13:BM$15),1)</f>
        <v>0</v>
      </c>
    </row>
    <row r="191" spans="2:65" ht="15" customHeight="1">
      <c r="B191" s="12" t="str">
        <f t="shared" si="96"/>
        <v>Продукт 8</v>
      </c>
      <c s="124" t="str">
        <f t="shared" si="95"/>
        <v>тыс. руб.</v>
      </c>
      <c s="276">
        <f t="shared" si="97"/>
        <v>0</v>
      </c>
      <c s="125">
        <f>Предпосылки!D$235*Предпосылки!$K260*Продажи!E25*E$19*(1+Чувствительность!$D$20)*IFERROR(LOOKUP(Предпосылки!$H$208,$C$13:$C$15,E$13:E$15),1)</f>
        <v>0</v>
      </c>
      <c s="125">
        <f>Предпосылки!E$235*Предпосылки!$K260*Продажи!F25*F$19*(1+Чувствительность!$D$20)*IFERROR(LOOKUP(Предпосылки!$H$208,$C$13:$C$15,F$13:F$15),1)</f>
        <v>0</v>
      </c>
      <c s="125">
        <f>Предпосылки!F$235*Предпосылки!$K260*Продажи!G25*G$19*(1+Чувствительность!$D$20)*IFERROR(LOOKUP(Предпосылки!$H$208,$C$13:$C$15,G$13:G$15),1)</f>
        <v>0</v>
      </c>
      <c s="125">
        <f>Предпосылки!G$235*Предпосылки!$K260*Продажи!H25*H$19*(1+Чувствительность!$D$20)*IFERROR(LOOKUP(Предпосылки!$H$208,$C$13:$C$15,H$13:H$15),1)</f>
        <v>0</v>
      </c>
      <c s="125">
        <f>Предпосылки!H$235*Предпосылки!$K260*Продажи!I25*I$19*(1+Чувствительность!$D$20)*IFERROR(LOOKUP(Предпосылки!$H$208,$C$13:$C$15,I$13:I$15),1)</f>
        <v>0</v>
      </c>
      <c s="125">
        <f>Предпосылки!I$235*Предпосылки!$K260*Продажи!J25*J$19*(1+Чувствительность!$D$20)*IFERROR(LOOKUP(Предпосылки!$H$208,$C$13:$C$15,J$13:J$15),1)</f>
        <v>0</v>
      </c>
      <c s="125">
        <f>Предпосылки!J$235*Предпосылки!$K260*Продажи!K25*K$19*(1+Чувствительность!$D$20)*IFERROR(LOOKUP(Предпосылки!$H$208,$C$13:$C$15,K$13:K$15),1)</f>
        <v>0</v>
      </c>
      <c s="125">
        <f>Предпосылки!K$235*Предпосылки!$K260*Продажи!L25*L$19*(1+Чувствительность!$D$20)*IFERROR(LOOKUP(Предпосылки!$H$208,$C$13:$C$15,L$13:L$15),1)</f>
        <v>0</v>
      </c>
      <c s="125">
        <f>Предпосылки!L$235*Предпосылки!$K260*Продажи!M25*M$19*(1+Чувствительность!$D$20)*IFERROR(LOOKUP(Предпосылки!$H$208,$C$13:$C$15,M$13:M$15),1)</f>
        <v>0</v>
      </c>
      <c s="125">
        <f>Предпосылки!M$235*Предпосылки!$K260*Продажи!N25*N$19*(1+Чувствительность!$D$20)*IFERROR(LOOKUP(Предпосылки!$H$208,$C$13:$C$15,N$13:N$15),1)</f>
        <v>0</v>
      </c>
      <c s="125">
        <f>Предпосылки!N$235*Предпосылки!$K260*Продажи!O25*O$19*(1+Чувствительность!$D$20)*IFERROR(LOOKUP(Предпосылки!$H$208,$C$13:$C$15,O$13:O$15),1)</f>
        <v>0</v>
      </c>
      <c s="125">
        <f>Предпосылки!O$235*Предпосылки!$K260*Продажи!P25*P$19*(1+Чувствительность!$D$20)*IFERROR(LOOKUP(Предпосылки!$H$208,$C$13:$C$15,P$13:P$15),1)</f>
        <v>0</v>
      </c>
      <c s="125">
        <f>Предпосылки!P$235*Предпосылки!$K260*Продажи!Q25*Q$19*(1+Чувствительность!$D$20)*IFERROR(LOOKUP(Предпосылки!$H$208,$C$13:$C$15,Q$13:Q$15),1)</f>
        <v>0</v>
      </c>
      <c s="125">
        <f>Предпосылки!Q$235*Предпосылки!$K260*Продажи!R25*R$19*(1+Чувствительность!$D$20)*IFERROR(LOOKUP(Предпосылки!$H$208,$C$13:$C$15,R$13:R$15),1)</f>
        <v>0</v>
      </c>
      <c s="125">
        <f>Предпосылки!R$235*Предпосылки!$K260*Продажи!S25*S$19*(1+Чувствительность!$D$20)*IFERROR(LOOKUP(Предпосылки!$H$208,$C$13:$C$15,S$13:S$15),1)</f>
        <v>0</v>
      </c>
      <c s="125">
        <f>Предпосылки!S$235*Предпосылки!$K260*Продажи!T25*T$19*(1+Чувствительность!$D$20)*IFERROR(LOOKUP(Предпосылки!$H$208,$C$13:$C$15,T$13:T$15),1)</f>
        <v>0</v>
      </c>
      <c s="125">
        <f>Предпосылки!T$235*Предпосылки!$K260*Продажи!U25*U$19*(1+Чувствительность!$D$20)*IFERROR(LOOKUP(Предпосылки!$H$208,$C$13:$C$15,U$13:U$15),1)</f>
        <v>0</v>
      </c>
      <c s="125">
        <f>Предпосылки!U$235*Предпосылки!$K260*Продажи!V25*V$19*(1+Чувствительность!$D$20)*IFERROR(LOOKUP(Предпосылки!$H$208,$C$13:$C$15,V$13:V$15),1)</f>
        <v>0</v>
      </c>
      <c s="125">
        <f>Предпосылки!V$235*Предпосылки!$K260*Продажи!W25*W$19*(1+Чувствительность!$D$20)*IFERROR(LOOKUP(Предпосылки!$H$208,$C$13:$C$15,W$13:W$15),1)</f>
        <v>0</v>
      </c>
      <c s="125">
        <f>Предпосылки!W$235*Предпосылки!$K260*Продажи!X25*X$19*(1+Чувствительность!$D$20)*IFERROR(LOOKUP(Предпосылки!$H$208,$C$13:$C$15,X$13:X$15),1)</f>
        <v>0</v>
      </c>
      <c s="125">
        <f>Предпосылки!X$235*Предпосылки!$K260*Продажи!Y25*Y$19*(1+Чувствительность!$D$20)*IFERROR(LOOKUP(Предпосылки!$H$208,$C$13:$C$15,Y$13:Y$15),1)</f>
        <v>0</v>
      </c>
      <c s="125">
        <f>Предпосылки!Y$235*Предпосылки!$K260*Продажи!Z25*Z$19*(1+Чувствительность!$D$20)*IFERROR(LOOKUP(Предпосылки!$H$208,$C$13:$C$15,Z$13:Z$15),1)</f>
        <v>0</v>
      </c>
      <c s="125">
        <f>Предпосылки!Z$235*Предпосылки!$K260*Продажи!AA25*AA$19*(1+Чувствительность!$D$20)*IFERROR(LOOKUP(Предпосылки!$H$208,$C$13:$C$15,AA$13:AA$15),1)</f>
        <v>0</v>
      </c>
      <c s="125">
        <f>Предпосылки!AA$235*Предпосылки!$K260*Продажи!AB25*AB$19*(1+Чувствительность!$D$20)*IFERROR(LOOKUP(Предпосылки!$H$208,$C$13:$C$15,AB$13:AB$15),1)</f>
        <v>0</v>
      </c>
      <c s="125">
        <f>Предпосылки!AB$235*Предпосылки!$K260*Продажи!AC25*AC$19*(1+Чувствительность!$D$20)*IFERROR(LOOKUP(Предпосылки!$H$208,$C$13:$C$15,AC$13:AC$15),1)</f>
        <v>0</v>
      </c>
      <c s="125">
        <f>Предпосылки!AC$235*Предпосылки!$K260*Продажи!AD25*AD$19*(1+Чувствительность!$D$20)*IFERROR(LOOKUP(Предпосылки!$H$208,$C$13:$C$15,AD$13:AD$15),1)</f>
        <v>0</v>
      </c>
      <c s="125">
        <f>Предпосылки!AD$235*Предпосылки!$K260*Продажи!AE25*AE$19*(1+Чувствительность!$D$20)*IFERROR(LOOKUP(Предпосылки!$H$208,$C$13:$C$15,AE$13:AE$15),1)</f>
        <v>0</v>
      </c>
      <c s="125">
        <f>Предпосылки!AE$235*Предпосылки!$K260*Продажи!AF25*AF$19*(1+Чувствительность!$D$20)*IFERROR(LOOKUP(Предпосылки!$H$208,$C$13:$C$15,AF$13:AF$15),1)</f>
        <v>0</v>
      </c>
      <c s="125">
        <f>Предпосылки!AF$235*Предпосылки!$K260*Продажи!AG25*AG$19*(1+Чувствительность!$D$20)*IFERROR(LOOKUP(Предпосылки!$H$208,$C$13:$C$15,AG$13:AG$15),1)</f>
        <v>0</v>
      </c>
      <c s="125">
        <f>Предпосылки!AG$235*Предпосылки!$K260*Продажи!AH25*AH$19*(1+Чувствительность!$D$20)*IFERROR(LOOKUP(Предпосылки!$H$208,$C$13:$C$15,AH$13:AH$15),1)</f>
        <v>0</v>
      </c>
      <c s="125">
        <f>Предпосылки!AH$235*Предпосылки!$K260*Продажи!AI25*AI$19*(1+Чувствительность!$D$20)*IFERROR(LOOKUP(Предпосылки!$H$208,$C$13:$C$15,AI$13:AI$15),1)</f>
        <v>0</v>
      </c>
      <c s="125">
        <f>Предпосылки!AI$235*Предпосылки!$K260*Продажи!AJ25*AJ$19*(1+Чувствительность!$D$20)*IFERROR(LOOKUP(Предпосылки!$H$208,$C$13:$C$15,AJ$13:AJ$15),1)</f>
        <v>0</v>
      </c>
      <c s="125">
        <f>Предпосылки!AJ$235*Предпосылки!$K260*Продажи!AK25*AK$19*(1+Чувствительность!$D$20)*IFERROR(LOOKUP(Предпосылки!$H$208,$C$13:$C$15,AK$13:AK$15),1)</f>
        <v>0</v>
      </c>
      <c s="125">
        <f>Предпосылки!AK$235*Предпосылки!$K260*Продажи!AL25*AL$19*(1+Чувствительность!$D$20)*IFERROR(LOOKUP(Предпосылки!$H$208,$C$13:$C$15,AL$13:AL$15),1)</f>
        <v>0</v>
      </c>
      <c s="125">
        <f>Предпосылки!AL$235*Предпосылки!$K260*Продажи!AM25*AM$19*(1+Чувствительность!$D$20)*IFERROR(LOOKUP(Предпосылки!$H$208,$C$13:$C$15,AM$13:AM$15),1)</f>
        <v>0</v>
      </c>
      <c s="125">
        <f>Предпосылки!AM$235*Предпосылки!$K260*Продажи!AN25*AN$19*(1+Чувствительность!$D$20)*IFERROR(LOOKUP(Предпосылки!$H$208,$C$13:$C$15,AN$13:AN$15),1)</f>
        <v>0</v>
      </c>
      <c s="125">
        <f>Предпосылки!AN$235*Предпосылки!$K260*Продажи!AO25*AO$19*(1+Чувствительность!$D$20)*IFERROR(LOOKUP(Предпосылки!$H$208,$C$13:$C$15,AO$13:AO$15),1)</f>
        <v>0</v>
      </c>
      <c s="125">
        <f>Предпосылки!AO$235*Предпосылки!$K260*Продажи!AP25*AP$19*(1+Чувствительность!$D$20)*IFERROR(LOOKUP(Предпосылки!$H$208,$C$13:$C$15,AP$13:AP$15),1)</f>
        <v>0</v>
      </c>
      <c s="125">
        <f>Предпосылки!AP$235*Предпосылки!$K260*Продажи!AQ25*AQ$19*(1+Чувствительность!$D$20)*IFERROR(LOOKUP(Предпосылки!$H$208,$C$13:$C$15,AQ$13:AQ$15),1)</f>
        <v>0</v>
      </c>
      <c s="125">
        <f>Предпосылки!AQ$235*Предпосылки!$K260*Продажи!AR25*AR$19*(1+Чувствительность!$D$20)*IFERROR(LOOKUP(Предпосылки!$H$208,$C$13:$C$15,AR$13:AR$15),1)</f>
        <v>0</v>
      </c>
      <c s="125">
        <f>Предпосылки!AR$235*Предпосылки!$K260*Продажи!AS25*AS$19*(1+Чувствительность!$D$20)*IFERROR(LOOKUP(Предпосылки!$H$208,$C$13:$C$15,AS$13:AS$15),1)</f>
        <v>0</v>
      </c>
      <c s="125">
        <f>Предпосылки!AS$235*Предпосылки!$K260*Продажи!AT25*AT$19*(1+Чувствительность!$D$20)*IFERROR(LOOKUP(Предпосылки!$H$208,$C$13:$C$15,AT$13:AT$15),1)</f>
        <v>0</v>
      </c>
      <c s="125">
        <f>Предпосылки!AT$235*Предпосылки!$K260*Продажи!AU25*AU$19*(1+Чувствительность!$D$20)*IFERROR(LOOKUP(Предпосылки!$H$208,$C$13:$C$15,AU$13:AU$15),1)</f>
        <v>0</v>
      </c>
      <c s="125">
        <f>Предпосылки!AU$235*Предпосылки!$K260*Продажи!AV25*AV$19*(1+Чувствительность!$D$20)*IFERROR(LOOKUP(Предпосылки!$H$208,$C$13:$C$15,AV$13:AV$15),1)</f>
        <v>0</v>
      </c>
      <c s="125">
        <f>Предпосылки!AV$235*Предпосылки!$K260*Продажи!AW25*AW$19*(1+Чувствительность!$D$20)*IFERROR(LOOKUP(Предпосылки!$H$208,$C$13:$C$15,AW$13:AW$15),1)</f>
        <v>0</v>
      </c>
      <c s="125">
        <f>Предпосылки!AW$235*Предпосылки!$K260*Продажи!AX25*AX$19*(1+Чувствительность!$D$20)*IFERROR(LOOKUP(Предпосылки!$H$208,$C$13:$C$15,AX$13:AX$15),1)</f>
        <v>0</v>
      </c>
      <c s="125">
        <f>Предпосылки!AX$235*Предпосылки!$K260*Продажи!AY25*AY$19*(1+Чувствительность!$D$20)*IFERROR(LOOKUP(Предпосылки!$H$208,$C$13:$C$15,AY$13:AY$15),1)</f>
        <v>0</v>
      </c>
      <c s="125">
        <f>Предпосылки!AY$235*Предпосылки!$K260*Продажи!AZ25*AZ$19*(1+Чувствительность!$D$20)*IFERROR(LOOKUP(Предпосылки!$H$208,$C$13:$C$15,AZ$13:AZ$15),1)</f>
        <v>0</v>
      </c>
      <c s="125">
        <f>Предпосылки!AZ$235*Предпосылки!$K260*Продажи!BA25*BA$19*(1+Чувствительность!$D$20)*IFERROR(LOOKUP(Предпосылки!$H$208,$C$13:$C$15,BA$13:BA$15),1)</f>
        <v>0</v>
      </c>
      <c s="125">
        <f>Предпосылки!BA$235*Предпосылки!$K260*Продажи!BB25*BB$19*(1+Чувствительность!$D$20)*IFERROR(LOOKUP(Предпосылки!$H$208,$C$13:$C$15,BB$13:BB$15),1)</f>
        <v>0</v>
      </c>
      <c s="125">
        <f>Предпосылки!BB$235*Предпосылки!$K260*Продажи!BC25*BC$19*(1+Чувствительность!$D$20)*IFERROR(LOOKUP(Предпосылки!$H$208,$C$13:$C$15,BC$13:BC$15),1)</f>
        <v>0</v>
      </c>
      <c s="125">
        <f>Предпосылки!BC$235*Предпосылки!$K260*Продажи!BD25*BD$19*(1+Чувствительность!$D$20)*IFERROR(LOOKUP(Предпосылки!$H$208,$C$13:$C$15,BD$13:BD$15),1)</f>
        <v>0</v>
      </c>
      <c s="125">
        <f>Предпосылки!BD$235*Предпосылки!$K260*Продажи!BE25*BE$19*(1+Чувствительность!$D$20)*IFERROR(LOOKUP(Предпосылки!$H$208,$C$13:$C$15,BE$13:BE$15),1)</f>
        <v>0</v>
      </c>
      <c s="125">
        <f>Предпосылки!BE$235*Предпосылки!$K260*Продажи!BF25*BF$19*(1+Чувствительность!$D$20)*IFERROR(LOOKUP(Предпосылки!$H$208,$C$13:$C$15,BF$13:BF$15),1)</f>
        <v>0</v>
      </c>
      <c s="125">
        <f>Предпосылки!BF$235*Предпосылки!$K260*Продажи!BG25*BG$19*(1+Чувствительность!$D$20)*IFERROR(LOOKUP(Предпосылки!$H$208,$C$13:$C$15,BG$13:BG$15),1)</f>
        <v>0</v>
      </c>
      <c s="125">
        <f>Предпосылки!BG$235*Предпосылки!$K260*Продажи!BH25*BH$19*(1+Чувствительность!$D$20)*IFERROR(LOOKUP(Предпосылки!$H$208,$C$13:$C$15,BH$13:BH$15),1)</f>
        <v>0</v>
      </c>
      <c s="125">
        <f>Предпосылки!BH$235*Предпосылки!$K260*Продажи!BI25*BI$19*(1+Чувствительность!$D$20)*IFERROR(LOOKUP(Предпосылки!$H$208,$C$13:$C$15,BI$13:BI$15),1)</f>
        <v>0</v>
      </c>
      <c s="125">
        <f>Предпосылки!BI$235*Предпосылки!$K260*Продажи!BJ25*BJ$19*(1+Чувствительность!$D$20)*IFERROR(LOOKUP(Предпосылки!$H$208,$C$13:$C$15,BJ$13:BJ$15),1)</f>
        <v>0</v>
      </c>
      <c s="125">
        <f>Предпосылки!BJ$235*Предпосылки!$K260*Продажи!BK25*BK$19*(1+Чувствительность!$D$20)*IFERROR(LOOKUP(Предпосылки!$H$208,$C$13:$C$15,BK$13:BK$15),1)</f>
        <v>0</v>
      </c>
      <c s="125">
        <f>Предпосылки!BK$235*Предпосылки!$K260*Продажи!BL25*BL$19*(1+Чувствительность!$D$20)*IFERROR(LOOKUP(Предпосылки!$H$208,$C$13:$C$15,BL$13:BL$15),1)</f>
        <v>0</v>
      </c>
      <c s="125">
        <f>Предпосылки!BL$235*Предпосылки!$K260*Продажи!BM25*BM$19*(1+Чувствительность!$D$20)*IFERROR(LOOKUP(Предпосылки!$H$208,$C$13:$C$15,BM$13:BM$15),1)</f>
        <v>0</v>
      </c>
    </row>
    <row r="192" spans="2:65" ht="15" customHeight="1">
      <c r="B192" s="12" t="str">
        <f t="shared" si="96"/>
        <v>Продукт 9</v>
      </c>
      <c s="124" t="str">
        <f t="shared" si="95"/>
        <v>тыс. руб.</v>
      </c>
      <c s="276">
        <f t="shared" si="97"/>
        <v>0</v>
      </c>
      <c s="125">
        <f>Предпосылки!D$235*Предпосылки!$K261*Продажи!E26*E$19*(1+Чувствительность!$D$20)*IFERROR(LOOKUP(Предпосылки!$H$208,$C$13:$C$15,E$13:E$15),1)</f>
        <v>0</v>
      </c>
      <c s="125">
        <f>Предпосылки!E$235*Предпосылки!$K261*Продажи!F26*F$19*(1+Чувствительность!$D$20)*IFERROR(LOOKUP(Предпосылки!$H$208,$C$13:$C$15,F$13:F$15),1)</f>
        <v>0</v>
      </c>
      <c s="125">
        <f>Предпосылки!F$235*Предпосылки!$K261*Продажи!G26*G$19*(1+Чувствительность!$D$20)*IFERROR(LOOKUP(Предпосылки!$H$208,$C$13:$C$15,G$13:G$15),1)</f>
        <v>0</v>
      </c>
      <c s="125">
        <f>Предпосылки!G$235*Предпосылки!$K261*Продажи!H26*H$19*(1+Чувствительность!$D$20)*IFERROR(LOOKUP(Предпосылки!$H$208,$C$13:$C$15,H$13:H$15),1)</f>
        <v>0</v>
      </c>
      <c s="125">
        <f>Предпосылки!H$235*Предпосылки!$K261*Продажи!I26*I$19*(1+Чувствительность!$D$20)*IFERROR(LOOKUP(Предпосылки!$H$208,$C$13:$C$15,I$13:I$15),1)</f>
        <v>0</v>
      </c>
      <c s="125">
        <f>Предпосылки!I$235*Предпосылки!$K261*Продажи!J26*J$19*(1+Чувствительность!$D$20)*IFERROR(LOOKUP(Предпосылки!$H$208,$C$13:$C$15,J$13:J$15),1)</f>
        <v>0</v>
      </c>
      <c s="125">
        <f>Предпосылки!J$235*Предпосылки!$K261*Продажи!K26*K$19*(1+Чувствительность!$D$20)*IFERROR(LOOKUP(Предпосылки!$H$208,$C$13:$C$15,K$13:K$15),1)</f>
        <v>0</v>
      </c>
      <c s="125">
        <f>Предпосылки!K$235*Предпосылки!$K261*Продажи!L26*L$19*(1+Чувствительность!$D$20)*IFERROR(LOOKUP(Предпосылки!$H$208,$C$13:$C$15,L$13:L$15),1)</f>
        <v>0</v>
      </c>
      <c s="125">
        <f>Предпосылки!L$235*Предпосылки!$K261*Продажи!M26*M$19*(1+Чувствительность!$D$20)*IFERROR(LOOKUP(Предпосылки!$H$208,$C$13:$C$15,M$13:M$15),1)</f>
        <v>0</v>
      </c>
      <c s="125">
        <f>Предпосылки!M$235*Предпосылки!$K261*Продажи!N26*N$19*(1+Чувствительность!$D$20)*IFERROR(LOOKUP(Предпосылки!$H$208,$C$13:$C$15,N$13:N$15),1)</f>
        <v>0</v>
      </c>
      <c s="125">
        <f>Предпосылки!N$235*Предпосылки!$K261*Продажи!O26*O$19*(1+Чувствительность!$D$20)*IFERROR(LOOKUP(Предпосылки!$H$208,$C$13:$C$15,O$13:O$15),1)</f>
        <v>0</v>
      </c>
      <c s="125">
        <f>Предпосылки!O$235*Предпосылки!$K261*Продажи!P26*P$19*(1+Чувствительность!$D$20)*IFERROR(LOOKUP(Предпосылки!$H$208,$C$13:$C$15,P$13:P$15),1)</f>
        <v>0</v>
      </c>
      <c s="125">
        <f>Предпосылки!P$235*Предпосылки!$K261*Продажи!Q26*Q$19*(1+Чувствительность!$D$20)*IFERROR(LOOKUP(Предпосылки!$H$208,$C$13:$C$15,Q$13:Q$15),1)</f>
        <v>0</v>
      </c>
      <c s="125">
        <f>Предпосылки!Q$235*Предпосылки!$K261*Продажи!R26*R$19*(1+Чувствительность!$D$20)*IFERROR(LOOKUP(Предпосылки!$H$208,$C$13:$C$15,R$13:R$15),1)</f>
        <v>0</v>
      </c>
      <c s="125">
        <f>Предпосылки!R$235*Предпосылки!$K261*Продажи!S26*S$19*(1+Чувствительность!$D$20)*IFERROR(LOOKUP(Предпосылки!$H$208,$C$13:$C$15,S$13:S$15),1)</f>
        <v>0</v>
      </c>
      <c s="125">
        <f>Предпосылки!S$235*Предпосылки!$K261*Продажи!T26*T$19*(1+Чувствительность!$D$20)*IFERROR(LOOKUP(Предпосылки!$H$208,$C$13:$C$15,T$13:T$15),1)</f>
        <v>0</v>
      </c>
      <c s="125">
        <f>Предпосылки!T$235*Предпосылки!$K261*Продажи!U26*U$19*(1+Чувствительность!$D$20)*IFERROR(LOOKUP(Предпосылки!$H$208,$C$13:$C$15,U$13:U$15),1)</f>
        <v>0</v>
      </c>
      <c s="125">
        <f>Предпосылки!U$235*Предпосылки!$K261*Продажи!V26*V$19*(1+Чувствительность!$D$20)*IFERROR(LOOKUP(Предпосылки!$H$208,$C$13:$C$15,V$13:V$15),1)</f>
        <v>0</v>
      </c>
      <c s="125">
        <f>Предпосылки!V$235*Предпосылки!$K261*Продажи!W26*W$19*(1+Чувствительность!$D$20)*IFERROR(LOOKUP(Предпосылки!$H$208,$C$13:$C$15,W$13:W$15),1)</f>
        <v>0</v>
      </c>
      <c s="125">
        <f>Предпосылки!W$235*Предпосылки!$K261*Продажи!X26*X$19*(1+Чувствительность!$D$20)*IFERROR(LOOKUP(Предпосылки!$H$208,$C$13:$C$15,X$13:X$15),1)</f>
        <v>0</v>
      </c>
      <c s="125">
        <f>Предпосылки!X$235*Предпосылки!$K261*Продажи!Y26*Y$19*(1+Чувствительность!$D$20)*IFERROR(LOOKUP(Предпосылки!$H$208,$C$13:$C$15,Y$13:Y$15),1)</f>
        <v>0</v>
      </c>
      <c s="125">
        <f>Предпосылки!Y$235*Предпосылки!$K261*Продажи!Z26*Z$19*(1+Чувствительность!$D$20)*IFERROR(LOOKUP(Предпосылки!$H$208,$C$13:$C$15,Z$13:Z$15),1)</f>
        <v>0</v>
      </c>
      <c s="125">
        <f>Предпосылки!Z$235*Предпосылки!$K261*Продажи!AA26*AA$19*(1+Чувствительность!$D$20)*IFERROR(LOOKUP(Предпосылки!$H$208,$C$13:$C$15,AA$13:AA$15),1)</f>
        <v>0</v>
      </c>
      <c s="125">
        <f>Предпосылки!AA$235*Предпосылки!$K261*Продажи!AB26*AB$19*(1+Чувствительность!$D$20)*IFERROR(LOOKUP(Предпосылки!$H$208,$C$13:$C$15,AB$13:AB$15),1)</f>
        <v>0</v>
      </c>
      <c s="125">
        <f>Предпосылки!AB$235*Предпосылки!$K261*Продажи!AC26*AC$19*(1+Чувствительность!$D$20)*IFERROR(LOOKUP(Предпосылки!$H$208,$C$13:$C$15,AC$13:AC$15),1)</f>
        <v>0</v>
      </c>
      <c s="125">
        <f>Предпосылки!AC$235*Предпосылки!$K261*Продажи!AD26*AD$19*(1+Чувствительность!$D$20)*IFERROR(LOOKUP(Предпосылки!$H$208,$C$13:$C$15,AD$13:AD$15),1)</f>
        <v>0</v>
      </c>
      <c s="125">
        <f>Предпосылки!AD$235*Предпосылки!$K261*Продажи!AE26*AE$19*(1+Чувствительность!$D$20)*IFERROR(LOOKUP(Предпосылки!$H$208,$C$13:$C$15,AE$13:AE$15),1)</f>
        <v>0</v>
      </c>
      <c s="125">
        <f>Предпосылки!AE$235*Предпосылки!$K261*Продажи!AF26*AF$19*(1+Чувствительность!$D$20)*IFERROR(LOOKUP(Предпосылки!$H$208,$C$13:$C$15,AF$13:AF$15),1)</f>
        <v>0</v>
      </c>
      <c s="125">
        <f>Предпосылки!AF$235*Предпосылки!$K261*Продажи!AG26*AG$19*(1+Чувствительность!$D$20)*IFERROR(LOOKUP(Предпосылки!$H$208,$C$13:$C$15,AG$13:AG$15),1)</f>
        <v>0</v>
      </c>
      <c s="125">
        <f>Предпосылки!AG$235*Предпосылки!$K261*Продажи!AH26*AH$19*(1+Чувствительность!$D$20)*IFERROR(LOOKUP(Предпосылки!$H$208,$C$13:$C$15,AH$13:AH$15),1)</f>
        <v>0</v>
      </c>
      <c s="125">
        <f>Предпосылки!AH$235*Предпосылки!$K261*Продажи!AI26*AI$19*(1+Чувствительность!$D$20)*IFERROR(LOOKUP(Предпосылки!$H$208,$C$13:$C$15,AI$13:AI$15),1)</f>
        <v>0</v>
      </c>
      <c s="125">
        <f>Предпосылки!AI$235*Предпосылки!$K261*Продажи!AJ26*AJ$19*(1+Чувствительность!$D$20)*IFERROR(LOOKUP(Предпосылки!$H$208,$C$13:$C$15,AJ$13:AJ$15),1)</f>
        <v>0</v>
      </c>
      <c s="125">
        <f>Предпосылки!AJ$235*Предпосылки!$K261*Продажи!AK26*AK$19*(1+Чувствительность!$D$20)*IFERROR(LOOKUP(Предпосылки!$H$208,$C$13:$C$15,AK$13:AK$15),1)</f>
        <v>0</v>
      </c>
      <c s="125">
        <f>Предпосылки!AK$235*Предпосылки!$K261*Продажи!AL26*AL$19*(1+Чувствительность!$D$20)*IFERROR(LOOKUP(Предпосылки!$H$208,$C$13:$C$15,AL$13:AL$15),1)</f>
        <v>0</v>
      </c>
      <c s="125">
        <f>Предпосылки!AL$235*Предпосылки!$K261*Продажи!AM26*AM$19*(1+Чувствительность!$D$20)*IFERROR(LOOKUP(Предпосылки!$H$208,$C$13:$C$15,AM$13:AM$15),1)</f>
        <v>0</v>
      </c>
      <c s="125">
        <f>Предпосылки!AM$235*Предпосылки!$K261*Продажи!AN26*AN$19*(1+Чувствительность!$D$20)*IFERROR(LOOKUP(Предпосылки!$H$208,$C$13:$C$15,AN$13:AN$15),1)</f>
        <v>0</v>
      </c>
      <c s="125">
        <f>Предпосылки!AN$235*Предпосылки!$K261*Продажи!AO26*AO$19*(1+Чувствительность!$D$20)*IFERROR(LOOKUP(Предпосылки!$H$208,$C$13:$C$15,AO$13:AO$15),1)</f>
        <v>0</v>
      </c>
      <c s="125">
        <f>Предпосылки!AO$235*Предпосылки!$K261*Продажи!AP26*AP$19*(1+Чувствительность!$D$20)*IFERROR(LOOKUP(Предпосылки!$H$208,$C$13:$C$15,AP$13:AP$15),1)</f>
        <v>0</v>
      </c>
      <c s="125">
        <f>Предпосылки!AP$235*Предпосылки!$K261*Продажи!AQ26*AQ$19*(1+Чувствительность!$D$20)*IFERROR(LOOKUP(Предпосылки!$H$208,$C$13:$C$15,AQ$13:AQ$15),1)</f>
        <v>0</v>
      </c>
      <c s="125">
        <f>Предпосылки!AQ$235*Предпосылки!$K261*Продажи!AR26*AR$19*(1+Чувствительность!$D$20)*IFERROR(LOOKUP(Предпосылки!$H$208,$C$13:$C$15,AR$13:AR$15),1)</f>
        <v>0</v>
      </c>
      <c s="125">
        <f>Предпосылки!AR$235*Предпосылки!$K261*Продажи!AS26*AS$19*(1+Чувствительность!$D$20)*IFERROR(LOOKUP(Предпосылки!$H$208,$C$13:$C$15,AS$13:AS$15),1)</f>
        <v>0</v>
      </c>
      <c s="125">
        <f>Предпосылки!AS$235*Предпосылки!$K261*Продажи!AT26*AT$19*(1+Чувствительность!$D$20)*IFERROR(LOOKUP(Предпосылки!$H$208,$C$13:$C$15,AT$13:AT$15),1)</f>
        <v>0</v>
      </c>
      <c s="125">
        <f>Предпосылки!AT$235*Предпосылки!$K261*Продажи!AU26*AU$19*(1+Чувствительность!$D$20)*IFERROR(LOOKUP(Предпосылки!$H$208,$C$13:$C$15,AU$13:AU$15),1)</f>
        <v>0</v>
      </c>
      <c s="125">
        <f>Предпосылки!AU$235*Предпосылки!$K261*Продажи!AV26*AV$19*(1+Чувствительность!$D$20)*IFERROR(LOOKUP(Предпосылки!$H$208,$C$13:$C$15,AV$13:AV$15),1)</f>
        <v>0</v>
      </c>
      <c s="125">
        <f>Предпосылки!AV$235*Предпосылки!$K261*Продажи!AW26*AW$19*(1+Чувствительность!$D$20)*IFERROR(LOOKUP(Предпосылки!$H$208,$C$13:$C$15,AW$13:AW$15),1)</f>
        <v>0</v>
      </c>
      <c s="125">
        <f>Предпосылки!AW$235*Предпосылки!$K261*Продажи!AX26*AX$19*(1+Чувствительность!$D$20)*IFERROR(LOOKUP(Предпосылки!$H$208,$C$13:$C$15,AX$13:AX$15),1)</f>
        <v>0</v>
      </c>
      <c s="125">
        <f>Предпосылки!AX$235*Предпосылки!$K261*Продажи!AY26*AY$19*(1+Чувствительность!$D$20)*IFERROR(LOOKUP(Предпосылки!$H$208,$C$13:$C$15,AY$13:AY$15),1)</f>
        <v>0</v>
      </c>
      <c s="125">
        <f>Предпосылки!AY$235*Предпосылки!$K261*Продажи!AZ26*AZ$19*(1+Чувствительность!$D$20)*IFERROR(LOOKUP(Предпосылки!$H$208,$C$13:$C$15,AZ$13:AZ$15),1)</f>
        <v>0</v>
      </c>
      <c s="125">
        <f>Предпосылки!AZ$235*Предпосылки!$K261*Продажи!BA26*BA$19*(1+Чувствительность!$D$20)*IFERROR(LOOKUP(Предпосылки!$H$208,$C$13:$C$15,BA$13:BA$15),1)</f>
        <v>0</v>
      </c>
      <c s="125">
        <f>Предпосылки!BA$235*Предпосылки!$K261*Продажи!BB26*BB$19*(1+Чувствительность!$D$20)*IFERROR(LOOKUP(Предпосылки!$H$208,$C$13:$C$15,BB$13:BB$15),1)</f>
        <v>0</v>
      </c>
      <c s="125">
        <f>Предпосылки!BB$235*Предпосылки!$K261*Продажи!BC26*BC$19*(1+Чувствительность!$D$20)*IFERROR(LOOKUP(Предпосылки!$H$208,$C$13:$C$15,BC$13:BC$15),1)</f>
        <v>0</v>
      </c>
      <c s="125">
        <f>Предпосылки!BC$235*Предпосылки!$K261*Продажи!BD26*BD$19*(1+Чувствительность!$D$20)*IFERROR(LOOKUP(Предпосылки!$H$208,$C$13:$C$15,BD$13:BD$15),1)</f>
        <v>0</v>
      </c>
      <c s="125">
        <f>Предпосылки!BD$235*Предпосылки!$K261*Продажи!BE26*BE$19*(1+Чувствительность!$D$20)*IFERROR(LOOKUP(Предпосылки!$H$208,$C$13:$C$15,BE$13:BE$15),1)</f>
        <v>0</v>
      </c>
      <c s="125">
        <f>Предпосылки!BE$235*Предпосылки!$K261*Продажи!BF26*BF$19*(1+Чувствительность!$D$20)*IFERROR(LOOKUP(Предпосылки!$H$208,$C$13:$C$15,BF$13:BF$15),1)</f>
        <v>0</v>
      </c>
      <c s="125">
        <f>Предпосылки!BF$235*Предпосылки!$K261*Продажи!BG26*BG$19*(1+Чувствительность!$D$20)*IFERROR(LOOKUP(Предпосылки!$H$208,$C$13:$C$15,BG$13:BG$15),1)</f>
        <v>0</v>
      </c>
      <c s="125">
        <f>Предпосылки!BG$235*Предпосылки!$K261*Продажи!BH26*BH$19*(1+Чувствительность!$D$20)*IFERROR(LOOKUP(Предпосылки!$H$208,$C$13:$C$15,BH$13:BH$15),1)</f>
        <v>0</v>
      </c>
      <c s="125">
        <f>Предпосылки!BH$235*Предпосылки!$K261*Продажи!BI26*BI$19*(1+Чувствительность!$D$20)*IFERROR(LOOKUP(Предпосылки!$H$208,$C$13:$C$15,BI$13:BI$15),1)</f>
        <v>0</v>
      </c>
      <c s="125">
        <f>Предпосылки!BI$235*Предпосылки!$K261*Продажи!BJ26*BJ$19*(1+Чувствительность!$D$20)*IFERROR(LOOKUP(Предпосылки!$H$208,$C$13:$C$15,BJ$13:BJ$15),1)</f>
        <v>0</v>
      </c>
      <c s="125">
        <f>Предпосылки!BJ$235*Предпосылки!$K261*Продажи!BK26*BK$19*(1+Чувствительность!$D$20)*IFERROR(LOOKUP(Предпосылки!$H$208,$C$13:$C$15,BK$13:BK$15),1)</f>
        <v>0</v>
      </c>
      <c s="125">
        <f>Предпосылки!BK$235*Предпосылки!$K261*Продажи!BL26*BL$19*(1+Чувствительность!$D$20)*IFERROR(LOOKUP(Предпосылки!$H$208,$C$13:$C$15,BL$13:BL$15),1)</f>
        <v>0</v>
      </c>
      <c s="125">
        <f>Предпосылки!BL$235*Предпосылки!$K261*Продажи!BM26*BM$19*(1+Чувствительность!$D$20)*IFERROR(LOOKUP(Предпосылки!$H$208,$C$13:$C$15,BM$13:BM$15),1)</f>
        <v>0</v>
      </c>
    </row>
    <row r="193" spans="2:65" ht="15" customHeight="1">
      <c r="B193" s="12" t="str">
        <f t="shared" si="96"/>
        <v>Продукт 10</v>
      </c>
      <c s="124" t="str">
        <f t="shared" si="95"/>
        <v>тыс. руб.</v>
      </c>
      <c s="276">
        <f t="shared" si="97"/>
        <v>0</v>
      </c>
      <c s="125">
        <f>Предпосылки!D$235*Предпосылки!$K262*Продажи!E27*E$19*(1+Чувствительность!$D$20)*IFERROR(LOOKUP(Предпосылки!$H$208,$C$13:$C$15,E$13:E$15),1)</f>
        <v>0</v>
      </c>
      <c s="125">
        <f>Предпосылки!E$235*Предпосылки!$K262*Продажи!F27*F$19*(1+Чувствительность!$D$20)*IFERROR(LOOKUP(Предпосылки!$H$208,$C$13:$C$15,F$13:F$15),1)</f>
        <v>0</v>
      </c>
      <c s="125">
        <f>Предпосылки!F$235*Предпосылки!$K262*Продажи!G27*G$19*(1+Чувствительность!$D$20)*IFERROR(LOOKUP(Предпосылки!$H$208,$C$13:$C$15,G$13:G$15),1)</f>
        <v>0</v>
      </c>
      <c s="125">
        <f>Предпосылки!G$235*Предпосылки!$K262*Продажи!H27*H$19*(1+Чувствительность!$D$20)*IFERROR(LOOKUP(Предпосылки!$H$208,$C$13:$C$15,H$13:H$15),1)</f>
        <v>0</v>
      </c>
      <c s="125">
        <f>Предпосылки!H$235*Предпосылки!$K262*Продажи!I27*I$19*(1+Чувствительность!$D$20)*IFERROR(LOOKUP(Предпосылки!$H$208,$C$13:$C$15,I$13:I$15),1)</f>
        <v>0</v>
      </c>
      <c s="125">
        <f>Предпосылки!I$235*Предпосылки!$K262*Продажи!J27*J$19*(1+Чувствительность!$D$20)*IFERROR(LOOKUP(Предпосылки!$H$208,$C$13:$C$15,J$13:J$15),1)</f>
        <v>0</v>
      </c>
      <c s="125">
        <f>Предпосылки!J$235*Предпосылки!$K262*Продажи!K27*K$19*(1+Чувствительность!$D$20)*IFERROR(LOOKUP(Предпосылки!$H$208,$C$13:$C$15,K$13:K$15),1)</f>
        <v>0</v>
      </c>
      <c s="125">
        <f>Предпосылки!K$235*Предпосылки!$K262*Продажи!L27*L$19*(1+Чувствительность!$D$20)*IFERROR(LOOKUP(Предпосылки!$H$208,$C$13:$C$15,L$13:L$15),1)</f>
        <v>0</v>
      </c>
      <c s="125">
        <f>Предпосылки!L$235*Предпосылки!$K262*Продажи!M27*M$19*(1+Чувствительность!$D$20)*IFERROR(LOOKUP(Предпосылки!$H$208,$C$13:$C$15,M$13:M$15),1)</f>
        <v>0</v>
      </c>
      <c s="125">
        <f>Предпосылки!M$235*Предпосылки!$K262*Продажи!N27*N$19*(1+Чувствительность!$D$20)*IFERROR(LOOKUP(Предпосылки!$H$208,$C$13:$C$15,N$13:N$15),1)</f>
        <v>0</v>
      </c>
      <c s="125">
        <f>Предпосылки!N$235*Предпосылки!$K262*Продажи!O27*O$19*(1+Чувствительность!$D$20)*IFERROR(LOOKUP(Предпосылки!$H$208,$C$13:$C$15,O$13:O$15),1)</f>
        <v>0</v>
      </c>
      <c s="125">
        <f>Предпосылки!O$235*Предпосылки!$K262*Продажи!P27*P$19*(1+Чувствительность!$D$20)*IFERROR(LOOKUP(Предпосылки!$H$208,$C$13:$C$15,P$13:P$15),1)</f>
        <v>0</v>
      </c>
      <c s="125">
        <f>Предпосылки!P$235*Предпосылки!$K262*Продажи!Q27*Q$19*(1+Чувствительность!$D$20)*IFERROR(LOOKUP(Предпосылки!$H$208,$C$13:$C$15,Q$13:Q$15),1)</f>
        <v>0</v>
      </c>
      <c s="125">
        <f>Предпосылки!Q$235*Предпосылки!$K262*Продажи!R27*R$19*(1+Чувствительность!$D$20)*IFERROR(LOOKUP(Предпосылки!$H$208,$C$13:$C$15,R$13:R$15),1)</f>
        <v>0</v>
      </c>
      <c s="125">
        <f>Предпосылки!R$235*Предпосылки!$K262*Продажи!S27*S$19*(1+Чувствительность!$D$20)*IFERROR(LOOKUP(Предпосылки!$H$208,$C$13:$C$15,S$13:S$15),1)</f>
        <v>0</v>
      </c>
      <c s="125">
        <f>Предпосылки!S$235*Предпосылки!$K262*Продажи!T27*T$19*(1+Чувствительность!$D$20)*IFERROR(LOOKUP(Предпосылки!$H$208,$C$13:$C$15,T$13:T$15),1)</f>
        <v>0</v>
      </c>
      <c s="125">
        <f>Предпосылки!T$235*Предпосылки!$K262*Продажи!U27*U$19*(1+Чувствительность!$D$20)*IFERROR(LOOKUP(Предпосылки!$H$208,$C$13:$C$15,U$13:U$15),1)</f>
        <v>0</v>
      </c>
      <c s="125">
        <f>Предпосылки!U$235*Предпосылки!$K262*Продажи!V27*V$19*(1+Чувствительность!$D$20)*IFERROR(LOOKUP(Предпосылки!$H$208,$C$13:$C$15,V$13:V$15),1)</f>
        <v>0</v>
      </c>
      <c s="125">
        <f>Предпосылки!V$235*Предпосылки!$K262*Продажи!W27*W$19*(1+Чувствительность!$D$20)*IFERROR(LOOKUP(Предпосылки!$H$208,$C$13:$C$15,W$13:W$15),1)</f>
        <v>0</v>
      </c>
      <c s="125">
        <f>Предпосылки!W$235*Предпосылки!$K262*Продажи!X27*X$19*(1+Чувствительность!$D$20)*IFERROR(LOOKUP(Предпосылки!$H$208,$C$13:$C$15,X$13:X$15),1)</f>
        <v>0</v>
      </c>
      <c s="125">
        <f>Предпосылки!X$235*Предпосылки!$K262*Продажи!Y27*Y$19*(1+Чувствительность!$D$20)*IFERROR(LOOKUP(Предпосылки!$H$208,$C$13:$C$15,Y$13:Y$15),1)</f>
        <v>0</v>
      </c>
      <c s="125">
        <f>Предпосылки!Y$235*Предпосылки!$K262*Продажи!Z27*Z$19*(1+Чувствительность!$D$20)*IFERROR(LOOKUP(Предпосылки!$H$208,$C$13:$C$15,Z$13:Z$15),1)</f>
        <v>0</v>
      </c>
      <c s="125">
        <f>Предпосылки!Z$235*Предпосылки!$K262*Продажи!AA27*AA$19*(1+Чувствительность!$D$20)*IFERROR(LOOKUP(Предпосылки!$H$208,$C$13:$C$15,AA$13:AA$15),1)</f>
        <v>0</v>
      </c>
      <c s="125">
        <f>Предпосылки!AA$235*Предпосылки!$K262*Продажи!AB27*AB$19*(1+Чувствительность!$D$20)*IFERROR(LOOKUP(Предпосылки!$H$208,$C$13:$C$15,AB$13:AB$15),1)</f>
        <v>0</v>
      </c>
      <c s="125">
        <f>Предпосылки!AB$235*Предпосылки!$K262*Продажи!AC27*AC$19*(1+Чувствительность!$D$20)*IFERROR(LOOKUP(Предпосылки!$H$208,$C$13:$C$15,AC$13:AC$15),1)</f>
        <v>0</v>
      </c>
      <c s="125">
        <f>Предпосылки!AC$235*Предпосылки!$K262*Продажи!AD27*AD$19*(1+Чувствительность!$D$20)*IFERROR(LOOKUP(Предпосылки!$H$208,$C$13:$C$15,AD$13:AD$15),1)</f>
        <v>0</v>
      </c>
      <c s="125">
        <f>Предпосылки!AD$235*Предпосылки!$K262*Продажи!AE27*AE$19*(1+Чувствительность!$D$20)*IFERROR(LOOKUP(Предпосылки!$H$208,$C$13:$C$15,AE$13:AE$15),1)</f>
        <v>0</v>
      </c>
      <c s="125">
        <f>Предпосылки!AE$235*Предпосылки!$K262*Продажи!AF27*AF$19*(1+Чувствительность!$D$20)*IFERROR(LOOKUP(Предпосылки!$H$208,$C$13:$C$15,AF$13:AF$15),1)</f>
        <v>0</v>
      </c>
      <c s="125">
        <f>Предпосылки!AF$235*Предпосылки!$K262*Продажи!AG27*AG$19*(1+Чувствительность!$D$20)*IFERROR(LOOKUP(Предпосылки!$H$208,$C$13:$C$15,AG$13:AG$15),1)</f>
        <v>0</v>
      </c>
      <c s="125">
        <f>Предпосылки!AG$235*Предпосылки!$K262*Продажи!AH27*AH$19*(1+Чувствительность!$D$20)*IFERROR(LOOKUP(Предпосылки!$H$208,$C$13:$C$15,AH$13:AH$15),1)</f>
        <v>0</v>
      </c>
      <c s="125">
        <f>Предпосылки!AH$235*Предпосылки!$K262*Продажи!AI27*AI$19*(1+Чувствительность!$D$20)*IFERROR(LOOKUP(Предпосылки!$H$208,$C$13:$C$15,AI$13:AI$15),1)</f>
        <v>0</v>
      </c>
      <c s="125">
        <f>Предпосылки!AI$235*Предпосылки!$K262*Продажи!AJ27*AJ$19*(1+Чувствительность!$D$20)*IFERROR(LOOKUP(Предпосылки!$H$208,$C$13:$C$15,AJ$13:AJ$15),1)</f>
        <v>0</v>
      </c>
      <c s="125">
        <f>Предпосылки!AJ$235*Предпосылки!$K262*Продажи!AK27*AK$19*(1+Чувствительность!$D$20)*IFERROR(LOOKUP(Предпосылки!$H$208,$C$13:$C$15,AK$13:AK$15),1)</f>
        <v>0</v>
      </c>
      <c s="125">
        <f>Предпосылки!AK$235*Предпосылки!$K262*Продажи!AL27*AL$19*(1+Чувствительность!$D$20)*IFERROR(LOOKUP(Предпосылки!$H$208,$C$13:$C$15,AL$13:AL$15),1)</f>
        <v>0</v>
      </c>
      <c s="125">
        <f>Предпосылки!AL$235*Предпосылки!$K262*Продажи!AM27*AM$19*(1+Чувствительность!$D$20)*IFERROR(LOOKUP(Предпосылки!$H$208,$C$13:$C$15,AM$13:AM$15),1)</f>
        <v>0</v>
      </c>
      <c s="125">
        <f>Предпосылки!AM$235*Предпосылки!$K262*Продажи!AN27*AN$19*(1+Чувствительность!$D$20)*IFERROR(LOOKUP(Предпосылки!$H$208,$C$13:$C$15,AN$13:AN$15),1)</f>
        <v>0</v>
      </c>
      <c s="125">
        <f>Предпосылки!AN$235*Предпосылки!$K262*Продажи!AO27*AO$19*(1+Чувствительность!$D$20)*IFERROR(LOOKUP(Предпосылки!$H$208,$C$13:$C$15,AO$13:AO$15),1)</f>
        <v>0</v>
      </c>
      <c s="125">
        <f>Предпосылки!AO$235*Предпосылки!$K262*Продажи!AP27*AP$19*(1+Чувствительность!$D$20)*IFERROR(LOOKUP(Предпосылки!$H$208,$C$13:$C$15,AP$13:AP$15),1)</f>
        <v>0</v>
      </c>
      <c s="125">
        <f>Предпосылки!AP$235*Предпосылки!$K262*Продажи!AQ27*AQ$19*(1+Чувствительность!$D$20)*IFERROR(LOOKUP(Предпосылки!$H$208,$C$13:$C$15,AQ$13:AQ$15),1)</f>
        <v>0</v>
      </c>
      <c s="125">
        <f>Предпосылки!AQ$235*Предпосылки!$K262*Продажи!AR27*AR$19*(1+Чувствительность!$D$20)*IFERROR(LOOKUP(Предпосылки!$H$208,$C$13:$C$15,AR$13:AR$15),1)</f>
        <v>0</v>
      </c>
      <c s="125">
        <f>Предпосылки!AR$235*Предпосылки!$K262*Продажи!AS27*AS$19*(1+Чувствительность!$D$20)*IFERROR(LOOKUP(Предпосылки!$H$208,$C$13:$C$15,AS$13:AS$15),1)</f>
        <v>0</v>
      </c>
      <c s="125">
        <f>Предпосылки!AS$235*Предпосылки!$K262*Продажи!AT27*AT$19*(1+Чувствительность!$D$20)*IFERROR(LOOKUP(Предпосылки!$H$208,$C$13:$C$15,AT$13:AT$15),1)</f>
        <v>0</v>
      </c>
      <c s="125">
        <f>Предпосылки!AT$235*Предпосылки!$K262*Продажи!AU27*AU$19*(1+Чувствительность!$D$20)*IFERROR(LOOKUP(Предпосылки!$H$208,$C$13:$C$15,AU$13:AU$15),1)</f>
        <v>0</v>
      </c>
      <c s="125">
        <f>Предпосылки!AU$235*Предпосылки!$K262*Продажи!AV27*AV$19*(1+Чувствительность!$D$20)*IFERROR(LOOKUP(Предпосылки!$H$208,$C$13:$C$15,AV$13:AV$15),1)</f>
        <v>0</v>
      </c>
      <c s="125">
        <f>Предпосылки!AV$235*Предпосылки!$K262*Продажи!AW27*AW$19*(1+Чувствительность!$D$20)*IFERROR(LOOKUP(Предпосылки!$H$208,$C$13:$C$15,AW$13:AW$15),1)</f>
        <v>0</v>
      </c>
      <c s="125">
        <f>Предпосылки!AW$235*Предпосылки!$K262*Продажи!AX27*AX$19*(1+Чувствительность!$D$20)*IFERROR(LOOKUP(Предпосылки!$H$208,$C$13:$C$15,AX$13:AX$15),1)</f>
        <v>0</v>
      </c>
      <c s="125">
        <f>Предпосылки!AX$235*Предпосылки!$K262*Продажи!AY27*AY$19*(1+Чувствительность!$D$20)*IFERROR(LOOKUP(Предпосылки!$H$208,$C$13:$C$15,AY$13:AY$15),1)</f>
        <v>0</v>
      </c>
      <c s="125">
        <f>Предпосылки!AY$235*Предпосылки!$K262*Продажи!AZ27*AZ$19*(1+Чувствительность!$D$20)*IFERROR(LOOKUP(Предпосылки!$H$208,$C$13:$C$15,AZ$13:AZ$15),1)</f>
        <v>0</v>
      </c>
      <c s="125">
        <f>Предпосылки!AZ$235*Предпосылки!$K262*Продажи!BA27*BA$19*(1+Чувствительность!$D$20)*IFERROR(LOOKUP(Предпосылки!$H$208,$C$13:$C$15,BA$13:BA$15),1)</f>
        <v>0</v>
      </c>
      <c s="125">
        <f>Предпосылки!BA$235*Предпосылки!$K262*Продажи!BB27*BB$19*(1+Чувствительность!$D$20)*IFERROR(LOOKUP(Предпосылки!$H$208,$C$13:$C$15,BB$13:BB$15),1)</f>
        <v>0</v>
      </c>
      <c s="125">
        <f>Предпосылки!BB$235*Предпосылки!$K262*Продажи!BC27*BC$19*(1+Чувствительность!$D$20)*IFERROR(LOOKUP(Предпосылки!$H$208,$C$13:$C$15,BC$13:BC$15),1)</f>
        <v>0</v>
      </c>
      <c s="125">
        <f>Предпосылки!BC$235*Предпосылки!$K262*Продажи!BD27*BD$19*(1+Чувствительность!$D$20)*IFERROR(LOOKUP(Предпосылки!$H$208,$C$13:$C$15,BD$13:BD$15),1)</f>
        <v>0</v>
      </c>
      <c s="125">
        <f>Предпосылки!BD$235*Предпосылки!$K262*Продажи!BE27*BE$19*(1+Чувствительность!$D$20)*IFERROR(LOOKUP(Предпосылки!$H$208,$C$13:$C$15,BE$13:BE$15),1)</f>
        <v>0</v>
      </c>
      <c s="125">
        <f>Предпосылки!BE$235*Предпосылки!$K262*Продажи!BF27*BF$19*(1+Чувствительность!$D$20)*IFERROR(LOOKUP(Предпосылки!$H$208,$C$13:$C$15,BF$13:BF$15),1)</f>
        <v>0</v>
      </c>
      <c s="125">
        <f>Предпосылки!BF$235*Предпосылки!$K262*Продажи!BG27*BG$19*(1+Чувствительность!$D$20)*IFERROR(LOOKUP(Предпосылки!$H$208,$C$13:$C$15,BG$13:BG$15),1)</f>
        <v>0</v>
      </c>
      <c s="125">
        <f>Предпосылки!BG$235*Предпосылки!$K262*Продажи!BH27*BH$19*(1+Чувствительность!$D$20)*IFERROR(LOOKUP(Предпосылки!$H$208,$C$13:$C$15,BH$13:BH$15),1)</f>
        <v>0</v>
      </c>
      <c s="125">
        <f>Предпосылки!BH$235*Предпосылки!$K262*Продажи!BI27*BI$19*(1+Чувствительность!$D$20)*IFERROR(LOOKUP(Предпосылки!$H$208,$C$13:$C$15,BI$13:BI$15),1)</f>
        <v>0</v>
      </c>
      <c s="125">
        <f>Предпосылки!BI$235*Предпосылки!$K262*Продажи!BJ27*BJ$19*(1+Чувствительность!$D$20)*IFERROR(LOOKUP(Предпосылки!$H$208,$C$13:$C$15,BJ$13:BJ$15),1)</f>
        <v>0</v>
      </c>
      <c s="125">
        <f>Предпосылки!BJ$235*Предпосылки!$K262*Продажи!BK27*BK$19*(1+Чувствительность!$D$20)*IFERROR(LOOKUP(Предпосылки!$H$208,$C$13:$C$15,BK$13:BK$15),1)</f>
        <v>0</v>
      </c>
      <c s="125">
        <f>Предпосылки!BK$235*Предпосылки!$K262*Продажи!BL27*BL$19*(1+Чувствительность!$D$20)*IFERROR(LOOKUP(Предпосылки!$H$208,$C$13:$C$15,BL$13:BL$15),1)</f>
        <v>0</v>
      </c>
      <c s="125">
        <f>Предпосылки!BL$235*Предпосылки!$K262*Продажи!BM27*BM$19*(1+Чувствительность!$D$20)*IFERROR(LOOKUP(Предпосылки!$H$208,$C$13:$C$15,BM$13:BM$15),1)</f>
        <v>0</v>
      </c>
    </row>
    <row r="194" spans="2:65" ht="15" customHeight="1">
      <c r="B194" s="12" t="str">
        <f t="shared" si="96"/>
        <v>Продукт 11</v>
      </c>
      <c s="124" t="str">
        <f t="shared" si="95"/>
        <v>тыс. руб.</v>
      </c>
      <c s="276">
        <f t="shared" si="97"/>
        <v>0</v>
      </c>
      <c s="125">
        <f>Предпосылки!D$235*Предпосылки!$K263*Продажи!E28*E$19*(1+Чувствительность!$D$20)*IFERROR(LOOKUP(Предпосылки!$H$208,$C$13:$C$15,E$13:E$15),1)</f>
        <v>0</v>
      </c>
      <c s="125">
        <f>Предпосылки!E$235*Предпосылки!$K263*Продажи!F28*F$19*(1+Чувствительность!$D$20)*IFERROR(LOOKUP(Предпосылки!$H$208,$C$13:$C$15,F$13:F$15),1)</f>
        <v>0</v>
      </c>
      <c s="125">
        <f>Предпосылки!F$235*Предпосылки!$K263*Продажи!G28*G$19*(1+Чувствительность!$D$20)*IFERROR(LOOKUP(Предпосылки!$H$208,$C$13:$C$15,G$13:G$15),1)</f>
        <v>0</v>
      </c>
      <c s="125">
        <f>Предпосылки!G$235*Предпосылки!$K263*Продажи!H28*H$19*(1+Чувствительность!$D$20)*IFERROR(LOOKUP(Предпосылки!$H$208,$C$13:$C$15,H$13:H$15),1)</f>
        <v>0</v>
      </c>
      <c s="125">
        <f>Предпосылки!H$235*Предпосылки!$K263*Продажи!I28*I$19*(1+Чувствительность!$D$20)*IFERROR(LOOKUP(Предпосылки!$H$208,$C$13:$C$15,I$13:I$15),1)</f>
        <v>0</v>
      </c>
      <c s="125">
        <f>Предпосылки!I$235*Предпосылки!$K263*Продажи!J28*J$19*(1+Чувствительность!$D$20)*IFERROR(LOOKUP(Предпосылки!$H$208,$C$13:$C$15,J$13:J$15),1)</f>
        <v>0</v>
      </c>
      <c s="125">
        <f>Предпосылки!J$235*Предпосылки!$K263*Продажи!K28*K$19*(1+Чувствительность!$D$20)*IFERROR(LOOKUP(Предпосылки!$H$208,$C$13:$C$15,K$13:K$15),1)</f>
        <v>0</v>
      </c>
      <c s="125">
        <f>Предпосылки!K$235*Предпосылки!$K263*Продажи!L28*L$19*(1+Чувствительность!$D$20)*IFERROR(LOOKUP(Предпосылки!$H$208,$C$13:$C$15,L$13:L$15),1)</f>
        <v>0</v>
      </c>
      <c s="125">
        <f>Предпосылки!L$235*Предпосылки!$K263*Продажи!M28*M$19*(1+Чувствительность!$D$20)*IFERROR(LOOKUP(Предпосылки!$H$208,$C$13:$C$15,M$13:M$15),1)</f>
        <v>0</v>
      </c>
      <c s="125">
        <f>Предпосылки!M$235*Предпосылки!$K263*Продажи!N28*N$19*(1+Чувствительность!$D$20)*IFERROR(LOOKUP(Предпосылки!$H$208,$C$13:$C$15,N$13:N$15),1)</f>
        <v>0</v>
      </c>
      <c s="125">
        <f>Предпосылки!N$235*Предпосылки!$K263*Продажи!O28*O$19*(1+Чувствительность!$D$20)*IFERROR(LOOKUP(Предпосылки!$H$208,$C$13:$C$15,O$13:O$15),1)</f>
        <v>0</v>
      </c>
      <c s="125">
        <f>Предпосылки!O$235*Предпосылки!$K263*Продажи!P28*P$19*(1+Чувствительность!$D$20)*IFERROR(LOOKUP(Предпосылки!$H$208,$C$13:$C$15,P$13:P$15),1)</f>
        <v>0</v>
      </c>
      <c s="125">
        <f>Предпосылки!P$235*Предпосылки!$K263*Продажи!Q28*Q$19*(1+Чувствительность!$D$20)*IFERROR(LOOKUP(Предпосылки!$H$208,$C$13:$C$15,Q$13:Q$15),1)</f>
        <v>0</v>
      </c>
      <c s="125">
        <f>Предпосылки!Q$235*Предпосылки!$K263*Продажи!R28*R$19*(1+Чувствительность!$D$20)*IFERROR(LOOKUP(Предпосылки!$H$208,$C$13:$C$15,R$13:R$15),1)</f>
        <v>0</v>
      </c>
      <c s="125">
        <f>Предпосылки!R$235*Предпосылки!$K263*Продажи!S28*S$19*(1+Чувствительность!$D$20)*IFERROR(LOOKUP(Предпосылки!$H$208,$C$13:$C$15,S$13:S$15),1)</f>
        <v>0</v>
      </c>
      <c s="125">
        <f>Предпосылки!S$235*Предпосылки!$K263*Продажи!T28*T$19*(1+Чувствительность!$D$20)*IFERROR(LOOKUP(Предпосылки!$H$208,$C$13:$C$15,T$13:T$15),1)</f>
        <v>0</v>
      </c>
      <c s="125">
        <f>Предпосылки!T$235*Предпосылки!$K263*Продажи!U28*U$19*(1+Чувствительность!$D$20)*IFERROR(LOOKUP(Предпосылки!$H$208,$C$13:$C$15,U$13:U$15),1)</f>
        <v>0</v>
      </c>
      <c s="125">
        <f>Предпосылки!U$235*Предпосылки!$K263*Продажи!V28*V$19*(1+Чувствительность!$D$20)*IFERROR(LOOKUP(Предпосылки!$H$208,$C$13:$C$15,V$13:V$15),1)</f>
        <v>0</v>
      </c>
      <c s="125">
        <f>Предпосылки!V$235*Предпосылки!$K263*Продажи!W28*W$19*(1+Чувствительность!$D$20)*IFERROR(LOOKUP(Предпосылки!$H$208,$C$13:$C$15,W$13:W$15),1)</f>
        <v>0</v>
      </c>
      <c s="125">
        <f>Предпосылки!W$235*Предпосылки!$K263*Продажи!X28*X$19*(1+Чувствительность!$D$20)*IFERROR(LOOKUP(Предпосылки!$H$208,$C$13:$C$15,X$13:X$15),1)</f>
        <v>0</v>
      </c>
      <c s="125">
        <f>Предпосылки!X$235*Предпосылки!$K263*Продажи!Y28*Y$19*(1+Чувствительность!$D$20)*IFERROR(LOOKUP(Предпосылки!$H$208,$C$13:$C$15,Y$13:Y$15),1)</f>
        <v>0</v>
      </c>
      <c s="125">
        <f>Предпосылки!Y$235*Предпосылки!$K263*Продажи!Z28*Z$19*(1+Чувствительность!$D$20)*IFERROR(LOOKUP(Предпосылки!$H$208,$C$13:$C$15,Z$13:Z$15),1)</f>
        <v>0</v>
      </c>
      <c s="125">
        <f>Предпосылки!Z$235*Предпосылки!$K263*Продажи!AA28*AA$19*(1+Чувствительность!$D$20)*IFERROR(LOOKUP(Предпосылки!$H$208,$C$13:$C$15,AA$13:AA$15),1)</f>
        <v>0</v>
      </c>
      <c s="125">
        <f>Предпосылки!AA$235*Предпосылки!$K263*Продажи!AB28*AB$19*(1+Чувствительность!$D$20)*IFERROR(LOOKUP(Предпосылки!$H$208,$C$13:$C$15,AB$13:AB$15),1)</f>
        <v>0</v>
      </c>
      <c s="125">
        <f>Предпосылки!AB$235*Предпосылки!$K263*Продажи!AC28*AC$19*(1+Чувствительность!$D$20)*IFERROR(LOOKUP(Предпосылки!$H$208,$C$13:$C$15,AC$13:AC$15),1)</f>
        <v>0</v>
      </c>
      <c s="125">
        <f>Предпосылки!AC$235*Предпосылки!$K263*Продажи!AD28*AD$19*(1+Чувствительность!$D$20)*IFERROR(LOOKUP(Предпосылки!$H$208,$C$13:$C$15,AD$13:AD$15),1)</f>
        <v>0</v>
      </c>
      <c s="125">
        <f>Предпосылки!AD$235*Предпосылки!$K263*Продажи!AE28*AE$19*(1+Чувствительность!$D$20)*IFERROR(LOOKUP(Предпосылки!$H$208,$C$13:$C$15,AE$13:AE$15),1)</f>
        <v>0</v>
      </c>
      <c s="125">
        <f>Предпосылки!AE$235*Предпосылки!$K263*Продажи!AF28*AF$19*(1+Чувствительность!$D$20)*IFERROR(LOOKUP(Предпосылки!$H$208,$C$13:$C$15,AF$13:AF$15),1)</f>
        <v>0</v>
      </c>
      <c s="125">
        <f>Предпосылки!AF$235*Предпосылки!$K263*Продажи!AG28*AG$19*(1+Чувствительность!$D$20)*IFERROR(LOOKUP(Предпосылки!$H$208,$C$13:$C$15,AG$13:AG$15),1)</f>
        <v>0</v>
      </c>
      <c s="125">
        <f>Предпосылки!AG$235*Предпосылки!$K263*Продажи!AH28*AH$19*(1+Чувствительность!$D$20)*IFERROR(LOOKUP(Предпосылки!$H$208,$C$13:$C$15,AH$13:AH$15),1)</f>
        <v>0</v>
      </c>
      <c s="125">
        <f>Предпосылки!AH$235*Предпосылки!$K263*Продажи!AI28*AI$19*(1+Чувствительность!$D$20)*IFERROR(LOOKUP(Предпосылки!$H$208,$C$13:$C$15,AI$13:AI$15),1)</f>
        <v>0</v>
      </c>
      <c s="125">
        <f>Предпосылки!AI$235*Предпосылки!$K263*Продажи!AJ28*AJ$19*(1+Чувствительность!$D$20)*IFERROR(LOOKUP(Предпосылки!$H$208,$C$13:$C$15,AJ$13:AJ$15),1)</f>
        <v>0</v>
      </c>
      <c s="125">
        <f>Предпосылки!AJ$235*Предпосылки!$K263*Продажи!AK28*AK$19*(1+Чувствительность!$D$20)*IFERROR(LOOKUP(Предпосылки!$H$208,$C$13:$C$15,AK$13:AK$15),1)</f>
        <v>0</v>
      </c>
      <c s="125">
        <f>Предпосылки!AK$235*Предпосылки!$K263*Продажи!AL28*AL$19*(1+Чувствительность!$D$20)*IFERROR(LOOKUP(Предпосылки!$H$208,$C$13:$C$15,AL$13:AL$15),1)</f>
        <v>0</v>
      </c>
      <c s="125">
        <f>Предпосылки!AL$235*Предпосылки!$K263*Продажи!AM28*AM$19*(1+Чувствительность!$D$20)*IFERROR(LOOKUP(Предпосылки!$H$208,$C$13:$C$15,AM$13:AM$15),1)</f>
        <v>0</v>
      </c>
      <c s="125">
        <f>Предпосылки!AM$235*Предпосылки!$K263*Продажи!AN28*AN$19*(1+Чувствительность!$D$20)*IFERROR(LOOKUP(Предпосылки!$H$208,$C$13:$C$15,AN$13:AN$15),1)</f>
        <v>0</v>
      </c>
      <c s="125">
        <f>Предпосылки!AN$235*Предпосылки!$K263*Продажи!AO28*AO$19*(1+Чувствительность!$D$20)*IFERROR(LOOKUP(Предпосылки!$H$208,$C$13:$C$15,AO$13:AO$15),1)</f>
        <v>0</v>
      </c>
      <c s="125">
        <f>Предпосылки!AO$235*Предпосылки!$K263*Продажи!AP28*AP$19*(1+Чувствительность!$D$20)*IFERROR(LOOKUP(Предпосылки!$H$208,$C$13:$C$15,AP$13:AP$15),1)</f>
        <v>0</v>
      </c>
      <c s="125">
        <f>Предпосылки!AP$235*Предпосылки!$K263*Продажи!AQ28*AQ$19*(1+Чувствительность!$D$20)*IFERROR(LOOKUP(Предпосылки!$H$208,$C$13:$C$15,AQ$13:AQ$15),1)</f>
        <v>0</v>
      </c>
      <c s="125">
        <f>Предпосылки!AQ$235*Предпосылки!$K263*Продажи!AR28*AR$19*(1+Чувствительность!$D$20)*IFERROR(LOOKUP(Предпосылки!$H$208,$C$13:$C$15,AR$13:AR$15),1)</f>
        <v>0</v>
      </c>
      <c s="125">
        <f>Предпосылки!AR$235*Предпосылки!$K263*Продажи!AS28*AS$19*(1+Чувствительность!$D$20)*IFERROR(LOOKUP(Предпосылки!$H$208,$C$13:$C$15,AS$13:AS$15),1)</f>
        <v>0</v>
      </c>
      <c s="125">
        <f>Предпосылки!AS$235*Предпосылки!$K263*Продажи!AT28*AT$19*(1+Чувствительность!$D$20)*IFERROR(LOOKUP(Предпосылки!$H$208,$C$13:$C$15,AT$13:AT$15),1)</f>
        <v>0</v>
      </c>
      <c s="125">
        <f>Предпосылки!AT$235*Предпосылки!$K263*Продажи!AU28*AU$19*(1+Чувствительность!$D$20)*IFERROR(LOOKUP(Предпосылки!$H$208,$C$13:$C$15,AU$13:AU$15),1)</f>
        <v>0</v>
      </c>
      <c s="125">
        <f>Предпосылки!AU$235*Предпосылки!$K263*Продажи!AV28*AV$19*(1+Чувствительность!$D$20)*IFERROR(LOOKUP(Предпосылки!$H$208,$C$13:$C$15,AV$13:AV$15),1)</f>
        <v>0</v>
      </c>
      <c s="125">
        <f>Предпосылки!AV$235*Предпосылки!$K263*Продажи!AW28*AW$19*(1+Чувствительность!$D$20)*IFERROR(LOOKUP(Предпосылки!$H$208,$C$13:$C$15,AW$13:AW$15),1)</f>
        <v>0</v>
      </c>
      <c s="125">
        <f>Предпосылки!AW$235*Предпосылки!$K263*Продажи!AX28*AX$19*(1+Чувствительность!$D$20)*IFERROR(LOOKUP(Предпосылки!$H$208,$C$13:$C$15,AX$13:AX$15),1)</f>
        <v>0</v>
      </c>
      <c s="125">
        <f>Предпосылки!AX$235*Предпосылки!$K263*Продажи!AY28*AY$19*(1+Чувствительность!$D$20)*IFERROR(LOOKUP(Предпосылки!$H$208,$C$13:$C$15,AY$13:AY$15),1)</f>
        <v>0</v>
      </c>
      <c s="125">
        <f>Предпосылки!AY$235*Предпосылки!$K263*Продажи!AZ28*AZ$19*(1+Чувствительность!$D$20)*IFERROR(LOOKUP(Предпосылки!$H$208,$C$13:$C$15,AZ$13:AZ$15),1)</f>
        <v>0</v>
      </c>
      <c s="125">
        <f>Предпосылки!AZ$235*Предпосылки!$K263*Продажи!BA28*BA$19*(1+Чувствительность!$D$20)*IFERROR(LOOKUP(Предпосылки!$H$208,$C$13:$C$15,BA$13:BA$15),1)</f>
        <v>0</v>
      </c>
      <c s="125">
        <f>Предпосылки!BA$235*Предпосылки!$K263*Продажи!BB28*BB$19*(1+Чувствительность!$D$20)*IFERROR(LOOKUP(Предпосылки!$H$208,$C$13:$C$15,BB$13:BB$15),1)</f>
        <v>0</v>
      </c>
      <c s="125">
        <f>Предпосылки!BB$235*Предпосылки!$K263*Продажи!BC28*BC$19*(1+Чувствительность!$D$20)*IFERROR(LOOKUP(Предпосылки!$H$208,$C$13:$C$15,BC$13:BC$15),1)</f>
        <v>0</v>
      </c>
      <c s="125">
        <f>Предпосылки!BC$235*Предпосылки!$K263*Продажи!BD28*BD$19*(1+Чувствительность!$D$20)*IFERROR(LOOKUP(Предпосылки!$H$208,$C$13:$C$15,BD$13:BD$15),1)</f>
        <v>0</v>
      </c>
      <c s="125">
        <f>Предпосылки!BD$235*Предпосылки!$K263*Продажи!BE28*BE$19*(1+Чувствительность!$D$20)*IFERROR(LOOKUP(Предпосылки!$H$208,$C$13:$C$15,BE$13:BE$15),1)</f>
        <v>0</v>
      </c>
      <c s="125">
        <f>Предпосылки!BE$235*Предпосылки!$K263*Продажи!BF28*BF$19*(1+Чувствительность!$D$20)*IFERROR(LOOKUP(Предпосылки!$H$208,$C$13:$C$15,BF$13:BF$15),1)</f>
        <v>0</v>
      </c>
      <c s="125">
        <f>Предпосылки!BF$235*Предпосылки!$K263*Продажи!BG28*BG$19*(1+Чувствительность!$D$20)*IFERROR(LOOKUP(Предпосылки!$H$208,$C$13:$C$15,BG$13:BG$15),1)</f>
        <v>0</v>
      </c>
      <c s="125">
        <f>Предпосылки!BG$235*Предпосылки!$K263*Продажи!BH28*BH$19*(1+Чувствительность!$D$20)*IFERROR(LOOKUP(Предпосылки!$H$208,$C$13:$C$15,BH$13:BH$15),1)</f>
        <v>0</v>
      </c>
      <c s="125">
        <f>Предпосылки!BH$235*Предпосылки!$K263*Продажи!BI28*BI$19*(1+Чувствительность!$D$20)*IFERROR(LOOKUP(Предпосылки!$H$208,$C$13:$C$15,BI$13:BI$15),1)</f>
        <v>0</v>
      </c>
      <c s="125">
        <f>Предпосылки!BI$235*Предпосылки!$K263*Продажи!BJ28*BJ$19*(1+Чувствительность!$D$20)*IFERROR(LOOKUP(Предпосылки!$H$208,$C$13:$C$15,BJ$13:BJ$15),1)</f>
        <v>0</v>
      </c>
      <c s="125">
        <f>Предпосылки!BJ$235*Предпосылки!$K263*Продажи!BK28*BK$19*(1+Чувствительность!$D$20)*IFERROR(LOOKUP(Предпосылки!$H$208,$C$13:$C$15,BK$13:BK$15),1)</f>
        <v>0</v>
      </c>
      <c s="125">
        <f>Предпосылки!BK$235*Предпосылки!$K263*Продажи!BL28*BL$19*(1+Чувствительность!$D$20)*IFERROR(LOOKUP(Предпосылки!$H$208,$C$13:$C$15,BL$13:BL$15),1)</f>
        <v>0</v>
      </c>
      <c s="125">
        <f>Предпосылки!BL$235*Предпосылки!$K263*Продажи!BM28*BM$19*(1+Чувствительность!$D$20)*IFERROR(LOOKUP(Предпосылки!$H$208,$C$13:$C$15,BM$13:BM$15),1)</f>
        <v>0</v>
      </c>
    </row>
    <row r="195" spans="2:65" ht="15" customHeight="1">
      <c r="B195" s="12" t="str">
        <f t="shared" si="96"/>
        <v>Продукт 12</v>
      </c>
      <c s="124" t="str">
        <f t="shared" si="95"/>
        <v>тыс. руб.</v>
      </c>
      <c s="276">
        <f t="shared" si="97"/>
        <v>0</v>
      </c>
      <c s="125">
        <f>Предпосылки!D$235*Предпосылки!$K264*Продажи!E29*E$19*(1+Чувствительность!$D$20)*IFERROR(LOOKUP(Предпосылки!$H$208,$C$13:$C$15,E$13:E$15),1)</f>
        <v>0</v>
      </c>
      <c s="125">
        <f>Предпосылки!E$235*Предпосылки!$K264*Продажи!F29*F$19*(1+Чувствительность!$D$20)*IFERROR(LOOKUP(Предпосылки!$H$208,$C$13:$C$15,F$13:F$15),1)</f>
        <v>0</v>
      </c>
      <c s="125">
        <f>Предпосылки!F$235*Предпосылки!$K264*Продажи!G29*G$19*(1+Чувствительность!$D$20)*IFERROR(LOOKUP(Предпосылки!$H$208,$C$13:$C$15,G$13:G$15),1)</f>
        <v>0</v>
      </c>
      <c s="125">
        <f>Предпосылки!G$235*Предпосылки!$K264*Продажи!H29*H$19*(1+Чувствительность!$D$20)*IFERROR(LOOKUP(Предпосылки!$H$208,$C$13:$C$15,H$13:H$15),1)</f>
        <v>0</v>
      </c>
      <c s="125">
        <f>Предпосылки!H$235*Предпосылки!$K264*Продажи!I29*I$19*(1+Чувствительность!$D$20)*IFERROR(LOOKUP(Предпосылки!$H$208,$C$13:$C$15,I$13:I$15),1)</f>
        <v>0</v>
      </c>
      <c s="125">
        <f>Предпосылки!I$235*Предпосылки!$K264*Продажи!J29*J$19*(1+Чувствительность!$D$20)*IFERROR(LOOKUP(Предпосылки!$H$208,$C$13:$C$15,J$13:J$15),1)</f>
        <v>0</v>
      </c>
      <c s="125">
        <f>Предпосылки!J$235*Предпосылки!$K264*Продажи!K29*K$19*(1+Чувствительность!$D$20)*IFERROR(LOOKUP(Предпосылки!$H$208,$C$13:$C$15,K$13:K$15),1)</f>
        <v>0</v>
      </c>
      <c s="125">
        <f>Предпосылки!K$235*Предпосылки!$K264*Продажи!L29*L$19*(1+Чувствительность!$D$20)*IFERROR(LOOKUP(Предпосылки!$H$208,$C$13:$C$15,L$13:L$15),1)</f>
        <v>0</v>
      </c>
      <c s="125">
        <f>Предпосылки!L$235*Предпосылки!$K264*Продажи!M29*M$19*(1+Чувствительность!$D$20)*IFERROR(LOOKUP(Предпосылки!$H$208,$C$13:$C$15,M$13:M$15),1)</f>
        <v>0</v>
      </c>
      <c s="125">
        <f>Предпосылки!M$235*Предпосылки!$K264*Продажи!N29*N$19*(1+Чувствительность!$D$20)*IFERROR(LOOKUP(Предпосылки!$H$208,$C$13:$C$15,N$13:N$15),1)</f>
        <v>0</v>
      </c>
      <c s="125">
        <f>Предпосылки!N$235*Предпосылки!$K264*Продажи!O29*O$19*(1+Чувствительность!$D$20)*IFERROR(LOOKUP(Предпосылки!$H$208,$C$13:$C$15,O$13:O$15),1)</f>
        <v>0</v>
      </c>
      <c s="125">
        <f>Предпосылки!O$235*Предпосылки!$K264*Продажи!P29*P$19*(1+Чувствительность!$D$20)*IFERROR(LOOKUP(Предпосылки!$H$208,$C$13:$C$15,P$13:P$15),1)</f>
        <v>0</v>
      </c>
      <c s="125">
        <f>Предпосылки!P$235*Предпосылки!$K264*Продажи!Q29*Q$19*(1+Чувствительность!$D$20)*IFERROR(LOOKUP(Предпосылки!$H$208,$C$13:$C$15,Q$13:Q$15),1)</f>
        <v>0</v>
      </c>
      <c s="125">
        <f>Предпосылки!Q$235*Предпосылки!$K264*Продажи!R29*R$19*(1+Чувствительность!$D$20)*IFERROR(LOOKUP(Предпосылки!$H$208,$C$13:$C$15,R$13:R$15),1)</f>
        <v>0</v>
      </c>
      <c s="125">
        <f>Предпосылки!R$235*Предпосылки!$K264*Продажи!S29*S$19*(1+Чувствительность!$D$20)*IFERROR(LOOKUP(Предпосылки!$H$208,$C$13:$C$15,S$13:S$15),1)</f>
        <v>0</v>
      </c>
      <c s="125">
        <f>Предпосылки!S$235*Предпосылки!$K264*Продажи!T29*T$19*(1+Чувствительность!$D$20)*IFERROR(LOOKUP(Предпосылки!$H$208,$C$13:$C$15,T$13:T$15),1)</f>
        <v>0</v>
      </c>
      <c s="125">
        <f>Предпосылки!T$235*Предпосылки!$K264*Продажи!U29*U$19*(1+Чувствительность!$D$20)*IFERROR(LOOKUP(Предпосылки!$H$208,$C$13:$C$15,U$13:U$15),1)</f>
        <v>0</v>
      </c>
      <c s="125">
        <f>Предпосылки!U$235*Предпосылки!$K264*Продажи!V29*V$19*(1+Чувствительность!$D$20)*IFERROR(LOOKUP(Предпосылки!$H$208,$C$13:$C$15,V$13:V$15),1)</f>
        <v>0</v>
      </c>
      <c s="125">
        <f>Предпосылки!V$235*Предпосылки!$K264*Продажи!W29*W$19*(1+Чувствительность!$D$20)*IFERROR(LOOKUP(Предпосылки!$H$208,$C$13:$C$15,W$13:W$15),1)</f>
        <v>0</v>
      </c>
      <c s="125">
        <f>Предпосылки!W$235*Предпосылки!$K264*Продажи!X29*X$19*(1+Чувствительность!$D$20)*IFERROR(LOOKUP(Предпосылки!$H$208,$C$13:$C$15,X$13:X$15),1)</f>
        <v>0</v>
      </c>
      <c s="125">
        <f>Предпосылки!X$235*Предпосылки!$K264*Продажи!Y29*Y$19*(1+Чувствительность!$D$20)*IFERROR(LOOKUP(Предпосылки!$H$208,$C$13:$C$15,Y$13:Y$15),1)</f>
        <v>0</v>
      </c>
      <c s="125">
        <f>Предпосылки!Y$235*Предпосылки!$K264*Продажи!Z29*Z$19*(1+Чувствительность!$D$20)*IFERROR(LOOKUP(Предпосылки!$H$208,$C$13:$C$15,Z$13:Z$15),1)</f>
        <v>0</v>
      </c>
      <c s="125">
        <f>Предпосылки!Z$235*Предпосылки!$K264*Продажи!AA29*AA$19*(1+Чувствительность!$D$20)*IFERROR(LOOKUP(Предпосылки!$H$208,$C$13:$C$15,AA$13:AA$15),1)</f>
        <v>0</v>
      </c>
      <c s="125">
        <f>Предпосылки!AA$235*Предпосылки!$K264*Продажи!AB29*AB$19*(1+Чувствительность!$D$20)*IFERROR(LOOKUP(Предпосылки!$H$208,$C$13:$C$15,AB$13:AB$15),1)</f>
        <v>0</v>
      </c>
      <c s="125">
        <f>Предпосылки!AB$235*Предпосылки!$K264*Продажи!AC29*AC$19*(1+Чувствительность!$D$20)*IFERROR(LOOKUP(Предпосылки!$H$208,$C$13:$C$15,AC$13:AC$15),1)</f>
        <v>0</v>
      </c>
      <c s="125">
        <f>Предпосылки!AC$235*Предпосылки!$K264*Продажи!AD29*AD$19*(1+Чувствительность!$D$20)*IFERROR(LOOKUP(Предпосылки!$H$208,$C$13:$C$15,AD$13:AD$15),1)</f>
        <v>0</v>
      </c>
      <c s="125">
        <f>Предпосылки!AD$235*Предпосылки!$K264*Продажи!AE29*AE$19*(1+Чувствительность!$D$20)*IFERROR(LOOKUP(Предпосылки!$H$208,$C$13:$C$15,AE$13:AE$15),1)</f>
        <v>0</v>
      </c>
      <c s="125">
        <f>Предпосылки!AE$235*Предпосылки!$K264*Продажи!AF29*AF$19*(1+Чувствительность!$D$20)*IFERROR(LOOKUP(Предпосылки!$H$208,$C$13:$C$15,AF$13:AF$15),1)</f>
        <v>0</v>
      </c>
      <c s="125">
        <f>Предпосылки!AF$235*Предпосылки!$K264*Продажи!AG29*AG$19*(1+Чувствительность!$D$20)*IFERROR(LOOKUP(Предпосылки!$H$208,$C$13:$C$15,AG$13:AG$15),1)</f>
        <v>0</v>
      </c>
      <c s="125">
        <f>Предпосылки!AG$235*Предпосылки!$K264*Продажи!AH29*AH$19*(1+Чувствительность!$D$20)*IFERROR(LOOKUP(Предпосылки!$H$208,$C$13:$C$15,AH$13:AH$15),1)</f>
        <v>0</v>
      </c>
      <c s="125">
        <f>Предпосылки!AH$235*Предпосылки!$K264*Продажи!AI29*AI$19*(1+Чувствительность!$D$20)*IFERROR(LOOKUP(Предпосылки!$H$208,$C$13:$C$15,AI$13:AI$15),1)</f>
        <v>0</v>
      </c>
      <c s="125">
        <f>Предпосылки!AI$235*Предпосылки!$K264*Продажи!AJ29*AJ$19*(1+Чувствительность!$D$20)*IFERROR(LOOKUP(Предпосылки!$H$208,$C$13:$C$15,AJ$13:AJ$15),1)</f>
        <v>0</v>
      </c>
      <c s="125">
        <f>Предпосылки!AJ$235*Предпосылки!$K264*Продажи!AK29*AK$19*(1+Чувствительность!$D$20)*IFERROR(LOOKUP(Предпосылки!$H$208,$C$13:$C$15,AK$13:AK$15),1)</f>
        <v>0</v>
      </c>
      <c s="125">
        <f>Предпосылки!AK$235*Предпосылки!$K264*Продажи!AL29*AL$19*(1+Чувствительность!$D$20)*IFERROR(LOOKUP(Предпосылки!$H$208,$C$13:$C$15,AL$13:AL$15),1)</f>
        <v>0</v>
      </c>
      <c s="125">
        <f>Предпосылки!AL$235*Предпосылки!$K264*Продажи!AM29*AM$19*(1+Чувствительность!$D$20)*IFERROR(LOOKUP(Предпосылки!$H$208,$C$13:$C$15,AM$13:AM$15),1)</f>
        <v>0</v>
      </c>
      <c s="125">
        <f>Предпосылки!AM$235*Предпосылки!$K264*Продажи!AN29*AN$19*(1+Чувствительность!$D$20)*IFERROR(LOOKUP(Предпосылки!$H$208,$C$13:$C$15,AN$13:AN$15),1)</f>
        <v>0</v>
      </c>
      <c s="125">
        <f>Предпосылки!AN$235*Предпосылки!$K264*Продажи!AO29*AO$19*(1+Чувствительность!$D$20)*IFERROR(LOOKUP(Предпосылки!$H$208,$C$13:$C$15,AO$13:AO$15),1)</f>
        <v>0</v>
      </c>
      <c s="125">
        <f>Предпосылки!AO$235*Предпосылки!$K264*Продажи!AP29*AP$19*(1+Чувствительность!$D$20)*IFERROR(LOOKUP(Предпосылки!$H$208,$C$13:$C$15,AP$13:AP$15),1)</f>
        <v>0</v>
      </c>
      <c s="125">
        <f>Предпосылки!AP$235*Предпосылки!$K264*Продажи!AQ29*AQ$19*(1+Чувствительность!$D$20)*IFERROR(LOOKUP(Предпосылки!$H$208,$C$13:$C$15,AQ$13:AQ$15),1)</f>
        <v>0</v>
      </c>
      <c s="125">
        <f>Предпосылки!AQ$235*Предпосылки!$K264*Продажи!AR29*AR$19*(1+Чувствительность!$D$20)*IFERROR(LOOKUP(Предпосылки!$H$208,$C$13:$C$15,AR$13:AR$15),1)</f>
        <v>0</v>
      </c>
      <c s="125">
        <f>Предпосылки!AR$235*Предпосылки!$K264*Продажи!AS29*AS$19*(1+Чувствительность!$D$20)*IFERROR(LOOKUP(Предпосылки!$H$208,$C$13:$C$15,AS$13:AS$15),1)</f>
        <v>0</v>
      </c>
      <c s="125">
        <f>Предпосылки!AS$235*Предпосылки!$K264*Продажи!AT29*AT$19*(1+Чувствительность!$D$20)*IFERROR(LOOKUP(Предпосылки!$H$208,$C$13:$C$15,AT$13:AT$15),1)</f>
        <v>0</v>
      </c>
      <c s="125">
        <f>Предпосылки!AT$235*Предпосылки!$K264*Продажи!AU29*AU$19*(1+Чувствительность!$D$20)*IFERROR(LOOKUP(Предпосылки!$H$208,$C$13:$C$15,AU$13:AU$15),1)</f>
        <v>0</v>
      </c>
      <c s="125">
        <f>Предпосылки!AU$235*Предпосылки!$K264*Продажи!AV29*AV$19*(1+Чувствительность!$D$20)*IFERROR(LOOKUP(Предпосылки!$H$208,$C$13:$C$15,AV$13:AV$15),1)</f>
        <v>0</v>
      </c>
      <c s="125">
        <f>Предпосылки!AV$235*Предпосылки!$K264*Продажи!AW29*AW$19*(1+Чувствительность!$D$20)*IFERROR(LOOKUP(Предпосылки!$H$208,$C$13:$C$15,AW$13:AW$15),1)</f>
        <v>0</v>
      </c>
      <c s="125">
        <f>Предпосылки!AW$235*Предпосылки!$K264*Продажи!AX29*AX$19*(1+Чувствительность!$D$20)*IFERROR(LOOKUP(Предпосылки!$H$208,$C$13:$C$15,AX$13:AX$15),1)</f>
        <v>0</v>
      </c>
      <c s="125">
        <f>Предпосылки!AX$235*Предпосылки!$K264*Продажи!AY29*AY$19*(1+Чувствительность!$D$20)*IFERROR(LOOKUP(Предпосылки!$H$208,$C$13:$C$15,AY$13:AY$15),1)</f>
        <v>0</v>
      </c>
      <c s="125">
        <f>Предпосылки!AY$235*Предпосылки!$K264*Продажи!AZ29*AZ$19*(1+Чувствительность!$D$20)*IFERROR(LOOKUP(Предпосылки!$H$208,$C$13:$C$15,AZ$13:AZ$15),1)</f>
        <v>0</v>
      </c>
      <c s="125">
        <f>Предпосылки!AZ$235*Предпосылки!$K264*Продажи!BA29*BA$19*(1+Чувствительность!$D$20)*IFERROR(LOOKUP(Предпосылки!$H$208,$C$13:$C$15,BA$13:BA$15),1)</f>
        <v>0</v>
      </c>
      <c s="125">
        <f>Предпосылки!BA$235*Предпосылки!$K264*Продажи!BB29*BB$19*(1+Чувствительность!$D$20)*IFERROR(LOOKUP(Предпосылки!$H$208,$C$13:$C$15,BB$13:BB$15),1)</f>
        <v>0</v>
      </c>
      <c s="125">
        <f>Предпосылки!BB$235*Предпосылки!$K264*Продажи!BC29*BC$19*(1+Чувствительность!$D$20)*IFERROR(LOOKUP(Предпосылки!$H$208,$C$13:$C$15,BC$13:BC$15),1)</f>
        <v>0</v>
      </c>
      <c s="125">
        <f>Предпосылки!BC$235*Предпосылки!$K264*Продажи!BD29*BD$19*(1+Чувствительность!$D$20)*IFERROR(LOOKUP(Предпосылки!$H$208,$C$13:$C$15,BD$13:BD$15),1)</f>
        <v>0</v>
      </c>
      <c s="125">
        <f>Предпосылки!BD$235*Предпосылки!$K264*Продажи!BE29*BE$19*(1+Чувствительность!$D$20)*IFERROR(LOOKUP(Предпосылки!$H$208,$C$13:$C$15,BE$13:BE$15),1)</f>
        <v>0</v>
      </c>
      <c s="125">
        <f>Предпосылки!BE$235*Предпосылки!$K264*Продажи!BF29*BF$19*(1+Чувствительность!$D$20)*IFERROR(LOOKUP(Предпосылки!$H$208,$C$13:$C$15,BF$13:BF$15),1)</f>
        <v>0</v>
      </c>
      <c s="125">
        <f>Предпосылки!BF$235*Предпосылки!$K264*Продажи!BG29*BG$19*(1+Чувствительность!$D$20)*IFERROR(LOOKUP(Предпосылки!$H$208,$C$13:$C$15,BG$13:BG$15),1)</f>
        <v>0</v>
      </c>
      <c s="125">
        <f>Предпосылки!BG$235*Предпосылки!$K264*Продажи!BH29*BH$19*(1+Чувствительность!$D$20)*IFERROR(LOOKUP(Предпосылки!$H$208,$C$13:$C$15,BH$13:BH$15),1)</f>
        <v>0</v>
      </c>
      <c s="125">
        <f>Предпосылки!BH$235*Предпосылки!$K264*Продажи!BI29*BI$19*(1+Чувствительность!$D$20)*IFERROR(LOOKUP(Предпосылки!$H$208,$C$13:$C$15,BI$13:BI$15),1)</f>
        <v>0</v>
      </c>
      <c s="125">
        <f>Предпосылки!BI$235*Предпосылки!$K264*Продажи!BJ29*BJ$19*(1+Чувствительность!$D$20)*IFERROR(LOOKUP(Предпосылки!$H$208,$C$13:$C$15,BJ$13:BJ$15),1)</f>
        <v>0</v>
      </c>
      <c s="125">
        <f>Предпосылки!BJ$235*Предпосылки!$K264*Продажи!BK29*BK$19*(1+Чувствительность!$D$20)*IFERROR(LOOKUP(Предпосылки!$H$208,$C$13:$C$15,BK$13:BK$15),1)</f>
        <v>0</v>
      </c>
      <c s="125">
        <f>Предпосылки!BK$235*Предпосылки!$K264*Продажи!BL29*BL$19*(1+Чувствительность!$D$20)*IFERROR(LOOKUP(Предпосылки!$H$208,$C$13:$C$15,BL$13:BL$15),1)</f>
        <v>0</v>
      </c>
      <c s="125">
        <f>Предпосылки!BL$235*Предпосылки!$K264*Продажи!BM29*BM$19*(1+Чувствительность!$D$20)*IFERROR(LOOKUP(Предпосылки!$H$208,$C$13:$C$15,BM$13:BM$15),1)</f>
        <v>0</v>
      </c>
    </row>
    <row r="196" spans="2:65" ht="15" customHeight="1">
      <c r="B196" s="12" t="str">
        <f t="shared" si="96"/>
        <v>Продукт 13</v>
      </c>
      <c s="124" t="str">
        <f t="shared" si="95"/>
        <v>тыс. руб.</v>
      </c>
      <c s="276">
        <f t="shared" si="97"/>
        <v>0</v>
      </c>
      <c s="125">
        <f>Предпосылки!D$235*Предпосылки!$K265*Продажи!E30*E$19*(1+Чувствительность!$D$20)*IFERROR(LOOKUP(Предпосылки!$H$208,$C$13:$C$15,E$13:E$15),1)</f>
        <v>0</v>
      </c>
      <c s="125">
        <f>Предпосылки!E$235*Предпосылки!$K265*Продажи!F30*F$19*(1+Чувствительность!$D$20)*IFERROR(LOOKUP(Предпосылки!$H$208,$C$13:$C$15,F$13:F$15),1)</f>
        <v>0</v>
      </c>
      <c s="125">
        <f>Предпосылки!F$235*Предпосылки!$K265*Продажи!G30*G$19*(1+Чувствительность!$D$20)*IFERROR(LOOKUP(Предпосылки!$H$208,$C$13:$C$15,G$13:G$15),1)</f>
        <v>0</v>
      </c>
      <c s="125">
        <f>Предпосылки!G$235*Предпосылки!$K265*Продажи!H30*H$19*(1+Чувствительность!$D$20)*IFERROR(LOOKUP(Предпосылки!$H$208,$C$13:$C$15,H$13:H$15),1)</f>
        <v>0</v>
      </c>
      <c s="125">
        <f>Предпосылки!H$235*Предпосылки!$K265*Продажи!I30*I$19*(1+Чувствительность!$D$20)*IFERROR(LOOKUP(Предпосылки!$H$208,$C$13:$C$15,I$13:I$15),1)</f>
        <v>0</v>
      </c>
      <c s="125">
        <f>Предпосылки!I$235*Предпосылки!$K265*Продажи!J30*J$19*(1+Чувствительность!$D$20)*IFERROR(LOOKUP(Предпосылки!$H$208,$C$13:$C$15,J$13:J$15),1)</f>
        <v>0</v>
      </c>
      <c s="125">
        <f>Предпосылки!J$235*Предпосылки!$K265*Продажи!K30*K$19*(1+Чувствительность!$D$20)*IFERROR(LOOKUP(Предпосылки!$H$208,$C$13:$C$15,K$13:K$15),1)</f>
        <v>0</v>
      </c>
      <c s="125">
        <f>Предпосылки!K$235*Предпосылки!$K265*Продажи!L30*L$19*(1+Чувствительность!$D$20)*IFERROR(LOOKUP(Предпосылки!$H$208,$C$13:$C$15,L$13:L$15),1)</f>
        <v>0</v>
      </c>
      <c s="125">
        <f>Предпосылки!L$235*Предпосылки!$K265*Продажи!M30*M$19*(1+Чувствительность!$D$20)*IFERROR(LOOKUP(Предпосылки!$H$208,$C$13:$C$15,M$13:M$15),1)</f>
        <v>0</v>
      </c>
      <c s="125">
        <f>Предпосылки!M$235*Предпосылки!$K265*Продажи!N30*N$19*(1+Чувствительность!$D$20)*IFERROR(LOOKUP(Предпосылки!$H$208,$C$13:$C$15,N$13:N$15),1)</f>
        <v>0</v>
      </c>
      <c s="125">
        <f>Предпосылки!N$235*Предпосылки!$K265*Продажи!O30*O$19*(1+Чувствительность!$D$20)*IFERROR(LOOKUP(Предпосылки!$H$208,$C$13:$C$15,O$13:O$15),1)</f>
        <v>0</v>
      </c>
      <c s="125">
        <f>Предпосылки!O$235*Предпосылки!$K265*Продажи!P30*P$19*(1+Чувствительность!$D$20)*IFERROR(LOOKUP(Предпосылки!$H$208,$C$13:$C$15,P$13:P$15),1)</f>
        <v>0</v>
      </c>
      <c s="125">
        <f>Предпосылки!P$235*Предпосылки!$K265*Продажи!Q30*Q$19*(1+Чувствительность!$D$20)*IFERROR(LOOKUP(Предпосылки!$H$208,$C$13:$C$15,Q$13:Q$15),1)</f>
        <v>0</v>
      </c>
      <c s="125">
        <f>Предпосылки!Q$235*Предпосылки!$K265*Продажи!R30*R$19*(1+Чувствительность!$D$20)*IFERROR(LOOKUP(Предпосылки!$H$208,$C$13:$C$15,R$13:R$15),1)</f>
        <v>0</v>
      </c>
      <c s="125">
        <f>Предпосылки!R$235*Предпосылки!$K265*Продажи!S30*S$19*(1+Чувствительность!$D$20)*IFERROR(LOOKUP(Предпосылки!$H$208,$C$13:$C$15,S$13:S$15),1)</f>
        <v>0</v>
      </c>
      <c s="125">
        <f>Предпосылки!S$235*Предпосылки!$K265*Продажи!T30*T$19*(1+Чувствительность!$D$20)*IFERROR(LOOKUP(Предпосылки!$H$208,$C$13:$C$15,T$13:T$15),1)</f>
        <v>0</v>
      </c>
      <c s="125">
        <f>Предпосылки!T$235*Предпосылки!$K265*Продажи!U30*U$19*(1+Чувствительность!$D$20)*IFERROR(LOOKUP(Предпосылки!$H$208,$C$13:$C$15,U$13:U$15),1)</f>
        <v>0</v>
      </c>
      <c s="125">
        <f>Предпосылки!U$235*Предпосылки!$K265*Продажи!V30*V$19*(1+Чувствительность!$D$20)*IFERROR(LOOKUP(Предпосылки!$H$208,$C$13:$C$15,V$13:V$15),1)</f>
        <v>0</v>
      </c>
      <c s="125">
        <f>Предпосылки!V$235*Предпосылки!$K265*Продажи!W30*W$19*(1+Чувствительность!$D$20)*IFERROR(LOOKUP(Предпосылки!$H$208,$C$13:$C$15,W$13:W$15),1)</f>
        <v>0</v>
      </c>
      <c s="125">
        <f>Предпосылки!W$235*Предпосылки!$K265*Продажи!X30*X$19*(1+Чувствительность!$D$20)*IFERROR(LOOKUP(Предпосылки!$H$208,$C$13:$C$15,X$13:X$15),1)</f>
        <v>0</v>
      </c>
      <c s="125">
        <f>Предпосылки!X$235*Предпосылки!$K265*Продажи!Y30*Y$19*(1+Чувствительность!$D$20)*IFERROR(LOOKUP(Предпосылки!$H$208,$C$13:$C$15,Y$13:Y$15),1)</f>
        <v>0</v>
      </c>
      <c s="125">
        <f>Предпосылки!Y$235*Предпосылки!$K265*Продажи!Z30*Z$19*(1+Чувствительность!$D$20)*IFERROR(LOOKUP(Предпосылки!$H$208,$C$13:$C$15,Z$13:Z$15),1)</f>
        <v>0</v>
      </c>
      <c s="125">
        <f>Предпосылки!Z$235*Предпосылки!$K265*Продажи!AA30*AA$19*(1+Чувствительность!$D$20)*IFERROR(LOOKUP(Предпосылки!$H$208,$C$13:$C$15,AA$13:AA$15),1)</f>
        <v>0</v>
      </c>
      <c s="125">
        <f>Предпосылки!AA$235*Предпосылки!$K265*Продажи!AB30*AB$19*(1+Чувствительность!$D$20)*IFERROR(LOOKUP(Предпосылки!$H$208,$C$13:$C$15,AB$13:AB$15),1)</f>
        <v>0</v>
      </c>
      <c s="125">
        <f>Предпосылки!AB$235*Предпосылки!$K265*Продажи!AC30*AC$19*(1+Чувствительность!$D$20)*IFERROR(LOOKUP(Предпосылки!$H$208,$C$13:$C$15,AC$13:AC$15),1)</f>
        <v>0</v>
      </c>
      <c s="125">
        <f>Предпосылки!AC$235*Предпосылки!$K265*Продажи!AD30*AD$19*(1+Чувствительность!$D$20)*IFERROR(LOOKUP(Предпосылки!$H$208,$C$13:$C$15,AD$13:AD$15),1)</f>
        <v>0</v>
      </c>
      <c s="125">
        <f>Предпосылки!AD$235*Предпосылки!$K265*Продажи!AE30*AE$19*(1+Чувствительность!$D$20)*IFERROR(LOOKUP(Предпосылки!$H$208,$C$13:$C$15,AE$13:AE$15),1)</f>
        <v>0</v>
      </c>
      <c s="125">
        <f>Предпосылки!AE$235*Предпосылки!$K265*Продажи!AF30*AF$19*(1+Чувствительность!$D$20)*IFERROR(LOOKUP(Предпосылки!$H$208,$C$13:$C$15,AF$13:AF$15),1)</f>
        <v>0</v>
      </c>
      <c s="125">
        <f>Предпосылки!AF$235*Предпосылки!$K265*Продажи!AG30*AG$19*(1+Чувствительность!$D$20)*IFERROR(LOOKUP(Предпосылки!$H$208,$C$13:$C$15,AG$13:AG$15),1)</f>
        <v>0</v>
      </c>
      <c s="125">
        <f>Предпосылки!AG$235*Предпосылки!$K265*Продажи!AH30*AH$19*(1+Чувствительность!$D$20)*IFERROR(LOOKUP(Предпосылки!$H$208,$C$13:$C$15,AH$13:AH$15),1)</f>
        <v>0</v>
      </c>
      <c s="125">
        <f>Предпосылки!AH$235*Предпосылки!$K265*Продажи!AI30*AI$19*(1+Чувствительность!$D$20)*IFERROR(LOOKUP(Предпосылки!$H$208,$C$13:$C$15,AI$13:AI$15),1)</f>
        <v>0</v>
      </c>
      <c s="125">
        <f>Предпосылки!AI$235*Предпосылки!$K265*Продажи!AJ30*AJ$19*(1+Чувствительность!$D$20)*IFERROR(LOOKUP(Предпосылки!$H$208,$C$13:$C$15,AJ$13:AJ$15),1)</f>
        <v>0</v>
      </c>
      <c s="125">
        <f>Предпосылки!AJ$235*Предпосылки!$K265*Продажи!AK30*AK$19*(1+Чувствительность!$D$20)*IFERROR(LOOKUP(Предпосылки!$H$208,$C$13:$C$15,AK$13:AK$15),1)</f>
        <v>0</v>
      </c>
      <c s="125">
        <f>Предпосылки!AK$235*Предпосылки!$K265*Продажи!AL30*AL$19*(1+Чувствительность!$D$20)*IFERROR(LOOKUP(Предпосылки!$H$208,$C$13:$C$15,AL$13:AL$15),1)</f>
        <v>0</v>
      </c>
      <c s="125">
        <f>Предпосылки!AL$235*Предпосылки!$K265*Продажи!AM30*AM$19*(1+Чувствительность!$D$20)*IFERROR(LOOKUP(Предпосылки!$H$208,$C$13:$C$15,AM$13:AM$15),1)</f>
        <v>0</v>
      </c>
      <c s="125">
        <f>Предпосылки!AM$235*Предпосылки!$K265*Продажи!AN30*AN$19*(1+Чувствительность!$D$20)*IFERROR(LOOKUP(Предпосылки!$H$208,$C$13:$C$15,AN$13:AN$15),1)</f>
        <v>0</v>
      </c>
      <c s="125">
        <f>Предпосылки!AN$235*Предпосылки!$K265*Продажи!AO30*AO$19*(1+Чувствительность!$D$20)*IFERROR(LOOKUP(Предпосылки!$H$208,$C$13:$C$15,AO$13:AO$15),1)</f>
        <v>0</v>
      </c>
      <c s="125">
        <f>Предпосылки!AO$235*Предпосылки!$K265*Продажи!AP30*AP$19*(1+Чувствительность!$D$20)*IFERROR(LOOKUP(Предпосылки!$H$208,$C$13:$C$15,AP$13:AP$15),1)</f>
        <v>0</v>
      </c>
      <c s="125">
        <f>Предпосылки!AP$235*Предпосылки!$K265*Продажи!AQ30*AQ$19*(1+Чувствительность!$D$20)*IFERROR(LOOKUP(Предпосылки!$H$208,$C$13:$C$15,AQ$13:AQ$15),1)</f>
        <v>0</v>
      </c>
      <c s="125">
        <f>Предпосылки!AQ$235*Предпосылки!$K265*Продажи!AR30*AR$19*(1+Чувствительность!$D$20)*IFERROR(LOOKUP(Предпосылки!$H$208,$C$13:$C$15,AR$13:AR$15),1)</f>
        <v>0</v>
      </c>
      <c s="125">
        <f>Предпосылки!AR$235*Предпосылки!$K265*Продажи!AS30*AS$19*(1+Чувствительность!$D$20)*IFERROR(LOOKUP(Предпосылки!$H$208,$C$13:$C$15,AS$13:AS$15),1)</f>
        <v>0</v>
      </c>
      <c s="125">
        <f>Предпосылки!AS$235*Предпосылки!$K265*Продажи!AT30*AT$19*(1+Чувствительность!$D$20)*IFERROR(LOOKUP(Предпосылки!$H$208,$C$13:$C$15,AT$13:AT$15),1)</f>
        <v>0</v>
      </c>
      <c s="125">
        <f>Предпосылки!AT$235*Предпосылки!$K265*Продажи!AU30*AU$19*(1+Чувствительность!$D$20)*IFERROR(LOOKUP(Предпосылки!$H$208,$C$13:$C$15,AU$13:AU$15),1)</f>
        <v>0</v>
      </c>
      <c s="125">
        <f>Предпосылки!AU$235*Предпосылки!$K265*Продажи!AV30*AV$19*(1+Чувствительность!$D$20)*IFERROR(LOOKUP(Предпосылки!$H$208,$C$13:$C$15,AV$13:AV$15),1)</f>
        <v>0</v>
      </c>
      <c s="125">
        <f>Предпосылки!AV$235*Предпосылки!$K265*Продажи!AW30*AW$19*(1+Чувствительность!$D$20)*IFERROR(LOOKUP(Предпосылки!$H$208,$C$13:$C$15,AW$13:AW$15),1)</f>
        <v>0</v>
      </c>
      <c s="125">
        <f>Предпосылки!AW$235*Предпосылки!$K265*Продажи!AX30*AX$19*(1+Чувствительность!$D$20)*IFERROR(LOOKUP(Предпосылки!$H$208,$C$13:$C$15,AX$13:AX$15),1)</f>
        <v>0</v>
      </c>
      <c s="125">
        <f>Предпосылки!AX$235*Предпосылки!$K265*Продажи!AY30*AY$19*(1+Чувствительность!$D$20)*IFERROR(LOOKUP(Предпосылки!$H$208,$C$13:$C$15,AY$13:AY$15),1)</f>
        <v>0</v>
      </c>
      <c s="125">
        <f>Предпосылки!AY$235*Предпосылки!$K265*Продажи!AZ30*AZ$19*(1+Чувствительность!$D$20)*IFERROR(LOOKUP(Предпосылки!$H$208,$C$13:$C$15,AZ$13:AZ$15),1)</f>
        <v>0</v>
      </c>
      <c s="125">
        <f>Предпосылки!AZ$235*Предпосылки!$K265*Продажи!BA30*BA$19*(1+Чувствительность!$D$20)*IFERROR(LOOKUP(Предпосылки!$H$208,$C$13:$C$15,BA$13:BA$15),1)</f>
        <v>0</v>
      </c>
      <c s="125">
        <f>Предпосылки!BA$235*Предпосылки!$K265*Продажи!BB30*BB$19*(1+Чувствительность!$D$20)*IFERROR(LOOKUP(Предпосылки!$H$208,$C$13:$C$15,BB$13:BB$15),1)</f>
        <v>0</v>
      </c>
      <c s="125">
        <f>Предпосылки!BB$235*Предпосылки!$K265*Продажи!BC30*BC$19*(1+Чувствительность!$D$20)*IFERROR(LOOKUP(Предпосылки!$H$208,$C$13:$C$15,BC$13:BC$15),1)</f>
        <v>0</v>
      </c>
      <c s="125">
        <f>Предпосылки!BC$235*Предпосылки!$K265*Продажи!BD30*BD$19*(1+Чувствительность!$D$20)*IFERROR(LOOKUP(Предпосылки!$H$208,$C$13:$C$15,BD$13:BD$15),1)</f>
        <v>0</v>
      </c>
      <c s="125">
        <f>Предпосылки!BD$235*Предпосылки!$K265*Продажи!BE30*BE$19*(1+Чувствительность!$D$20)*IFERROR(LOOKUP(Предпосылки!$H$208,$C$13:$C$15,BE$13:BE$15),1)</f>
        <v>0</v>
      </c>
      <c s="125">
        <f>Предпосылки!BE$235*Предпосылки!$K265*Продажи!BF30*BF$19*(1+Чувствительность!$D$20)*IFERROR(LOOKUP(Предпосылки!$H$208,$C$13:$C$15,BF$13:BF$15),1)</f>
        <v>0</v>
      </c>
      <c s="125">
        <f>Предпосылки!BF$235*Предпосылки!$K265*Продажи!BG30*BG$19*(1+Чувствительность!$D$20)*IFERROR(LOOKUP(Предпосылки!$H$208,$C$13:$C$15,BG$13:BG$15),1)</f>
        <v>0</v>
      </c>
      <c s="125">
        <f>Предпосылки!BG$235*Предпосылки!$K265*Продажи!BH30*BH$19*(1+Чувствительность!$D$20)*IFERROR(LOOKUP(Предпосылки!$H$208,$C$13:$C$15,BH$13:BH$15),1)</f>
        <v>0</v>
      </c>
      <c s="125">
        <f>Предпосылки!BH$235*Предпосылки!$K265*Продажи!BI30*BI$19*(1+Чувствительность!$D$20)*IFERROR(LOOKUP(Предпосылки!$H$208,$C$13:$C$15,BI$13:BI$15),1)</f>
        <v>0</v>
      </c>
      <c s="125">
        <f>Предпосылки!BI$235*Предпосылки!$K265*Продажи!BJ30*BJ$19*(1+Чувствительность!$D$20)*IFERROR(LOOKUP(Предпосылки!$H$208,$C$13:$C$15,BJ$13:BJ$15),1)</f>
        <v>0</v>
      </c>
      <c s="125">
        <f>Предпосылки!BJ$235*Предпосылки!$K265*Продажи!BK30*BK$19*(1+Чувствительность!$D$20)*IFERROR(LOOKUP(Предпосылки!$H$208,$C$13:$C$15,BK$13:BK$15),1)</f>
        <v>0</v>
      </c>
      <c s="125">
        <f>Предпосылки!BK$235*Предпосылки!$K265*Продажи!BL30*BL$19*(1+Чувствительность!$D$20)*IFERROR(LOOKUP(Предпосылки!$H$208,$C$13:$C$15,BL$13:BL$15),1)</f>
        <v>0</v>
      </c>
      <c s="125">
        <f>Предпосылки!BL$235*Предпосылки!$K265*Продажи!BM30*BM$19*(1+Чувствительность!$D$20)*IFERROR(LOOKUP(Предпосылки!$H$208,$C$13:$C$15,BM$13:BM$15),1)</f>
        <v>0</v>
      </c>
    </row>
    <row r="197" spans="2:65" ht="15" customHeight="1">
      <c r="B197" s="12" t="str">
        <f t="shared" si="96"/>
        <v>Продукт 14</v>
      </c>
      <c s="124" t="str">
        <f t="shared" si="95"/>
        <v>тыс. руб.</v>
      </c>
      <c s="276">
        <f t="shared" si="97"/>
        <v>0</v>
      </c>
      <c s="125">
        <f>Предпосылки!D$235*Предпосылки!$K266*Продажи!E31*E$19*(1+Чувствительность!$D$20)*IFERROR(LOOKUP(Предпосылки!$H$208,$C$13:$C$15,E$13:E$15),1)</f>
        <v>0</v>
      </c>
      <c s="125">
        <f>Предпосылки!E$235*Предпосылки!$K266*Продажи!F31*F$19*(1+Чувствительность!$D$20)*IFERROR(LOOKUP(Предпосылки!$H$208,$C$13:$C$15,F$13:F$15),1)</f>
        <v>0</v>
      </c>
      <c s="125">
        <f>Предпосылки!F$235*Предпосылки!$K266*Продажи!G31*G$19*(1+Чувствительность!$D$20)*IFERROR(LOOKUP(Предпосылки!$H$208,$C$13:$C$15,G$13:G$15),1)</f>
        <v>0</v>
      </c>
      <c s="125">
        <f>Предпосылки!G$235*Предпосылки!$K266*Продажи!H31*H$19*(1+Чувствительность!$D$20)*IFERROR(LOOKUP(Предпосылки!$H$208,$C$13:$C$15,H$13:H$15),1)</f>
        <v>0</v>
      </c>
      <c s="125">
        <f>Предпосылки!H$235*Предпосылки!$K266*Продажи!I31*I$19*(1+Чувствительность!$D$20)*IFERROR(LOOKUP(Предпосылки!$H$208,$C$13:$C$15,I$13:I$15),1)</f>
        <v>0</v>
      </c>
      <c s="125">
        <f>Предпосылки!I$235*Предпосылки!$K266*Продажи!J31*J$19*(1+Чувствительность!$D$20)*IFERROR(LOOKUP(Предпосылки!$H$208,$C$13:$C$15,J$13:J$15),1)</f>
        <v>0</v>
      </c>
      <c s="125">
        <f>Предпосылки!J$235*Предпосылки!$K266*Продажи!K31*K$19*(1+Чувствительность!$D$20)*IFERROR(LOOKUP(Предпосылки!$H$208,$C$13:$C$15,K$13:K$15),1)</f>
        <v>0</v>
      </c>
      <c s="125">
        <f>Предпосылки!K$235*Предпосылки!$K266*Продажи!L31*L$19*(1+Чувствительность!$D$20)*IFERROR(LOOKUP(Предпосылки!$H$208,$C$13:$C$15,L$13:L$15),1)</f>
        <v>0</v>
      </c>
      <c s="125">
        <f>Предпосылки!L$235*Предпосылки!$K266*Продажи!M31*M$19*(1+Чувствительность!$D$20)*IFERROR(LOOKUP(Предпосылки!$H$208,$C$13:$C$15,M$13:M$15),1)</f>
        <v>0</v>
      </c>
      <c s="125">
        <f>Предпосылки!M$235*Предпосылки!$K266*Продажи!N31*N$19*(1+Чувствительность!$D$20)*IFERROR(LOOKUP(Предпосылки!$H$208,$C$13:$C$15,N$13:N$15),1)</f>
        <v>0</v>
      </c>
      <c s="125">
        <f>Предпосылки!N$235*Предпосылки!$K266*Продажи!O31*O$19*(1+Чувствительность!$D$20)*IFERROR(LOOKUP(Предпосылки!$H$208,$C$13:$C$15,O$13:O$15),1)</f>
        <v>0</v>
      </c>
      <c s="125">
        <f>Предпосылки!O$235*Предпосылки!$K266*Продажи!P31*P$19*(1+Чувствительность!$D$20)*IFERROR(LOOKUP(Предпосылки!$H$208,$C$13:$C$15,P$13:P$15),1)</f>
        <v>0</v>
      </c>
      <c s="125">
        <f>Предпосылки!P$235*Предпосылки!$K266*Продажи!Q31*Q$19*(1+Чувствительность!$D$20)*IFERROR(LOOKUP(Предпосылки!$H$208,$C$13:$C$15,Q$13:Q$15),1)</f>
        <v>0</v>
      </c>
      <c s="125">
        <f>Предпосылки!Q$235*Предпосылки!$K266*Продажи!R31*R$19*(1+Чувствительность!$D$20)*IFERROR(LOOKUP(Предпосылки!$H$208,$C$13:$C$15,R$13:R$15),1)</f>
        <v>0</v>
      </c>
      <c s="125">
        <f>Предпосылки!R$235*Предпосылки!$K266*Продажи!S31*S$19*(1+Чувствительность!$D$20)*IFERROR(LOOKUP(Предпосылки!$H$208,$C$13:$C$15,S$13:S$15),1)</f>
        <v>0</v>
      </c>
      <c s="125">
        <f>Предпосылки!S$235*Предпосылки!$K266*Продажи!T31*T$19*(1+Чувствительность!$D$20)*IFERROR(LOOKUP(Предпосылки!$H$208,$C$13:$C$15,T$13:T$15),1)</f>
        <v>0</v>
      </c>
      <c s="125">
        <f>Предпосылки!T$235*Предпосылки!$K266*Продажи!U31*U$19*(1+Чувствительность!$D$20)*IFERROR(LOOKUP(Предпосылки!$H$208,$C$13:$C$15,U$13:U$15),1)</f>
        <v>0</v>
      </c>
      <c s="125">
        <f>Предпосылки!U$235*Предпосылки!$K266*Продажи!V31*V$19*(1+Чувствительность!$D$20)*IFERROR(LOOKUP(Предпосылки!$H$208,$C$13:$C$15,V$13:V$15),1)</f>
        <v>0</v>
      </c>
      <c s="125">
        <f>Предпосылки!V$235*Предпосылки!$K266*Продажи!W31*W$19*(1+Чувствительность!$D$20)*IFERROR(LOOKUP(Предпосылки!$H$208,$C$13:$C$15,W$13:W$15),1)</f>
        <v>0</v>
      </c>
      <c s="125">
        <f>Предпосылки!W$235*Предпосылки!$K266*Продажи!X31*X$19*(1+Чувствительность!$D$20)*IFERROR(LOOKUP(Предпосылки!$H$208,$C$13:$C$15,X$13:X$15),1)</f>
        <v>0</v>
      </c>
      <c s="125">
        <f>Предпосылки!X$235*Предпосылки!$K266*Продажи!Y31*Y$19*(1+Чувствительность!$D$20)*IFERROR(LOOKUP(Предпосылки!$H$208,$C$13:$C$15,Y$13:Y$15),1)</f>
        <v>0</v>
      </c>
      <c s="125">
        <f>Предпосылки!Y$235*Предпосылки!$K266*Продажи!Z31*Z$19*(1+Чувствительность!$D$20)*IFERROR(LOOKUP(Предпосылки!$H$208,$C$13:$C$15,Z$13:Z$15),1)</f>
        <v>0</v>
      </c>
      <c s="125">
        <f>Предпосылки!Z$235*Предпосылки!$K266*Продажи!AA31*AA$19*(1+Чувствительность!$D$20)*IFERROR(LOOKUP(Предпосылки!$H$208,$C$13:$C$15,AA$13:AA$15),1)</f>
        <v>0</v>
      </c>
      <c s="125">
        <f>Предпосылки!AA$235*Предпосылки!$K266*Продажи!AB31*AB$19*(1+Чувствительность!$D$20)*IFERROR(LOOKUP(Предпосылки!$H$208,$C$13:$C$15,AB$13:AB$15),1)</f>
        <v>0</v>
      </c>
      <c s="125">
        <f>Предпосылки!AB$235*Предпосылки!$K266*Продажи!AC31*AC$19*(1+Чувствительность!$D$20)*IFERROR(LOOKUP(Предпосылки!$H$208,$C$13:$C$15,AC$13:AC$15),1)</f>
        <v>0</v>
      </c>
      <c s="125">
        <f>Предпосылки!AC$235*Предпосылки!$K266*Продажи!AD31*AD$19*(1+Чувствительность!$D$20)*IFERROR(LOOKUP(Предпосылки!$H$208,$C$13:$C$15,AD$13:AD$15),1)</f>
        <v>0</v>
      </c>
      <c s="125">
        <f>Предпосылки!AD$235*Предпосылки!$K266*Продажи!AE31*AE$19*(1+Чувствительность!$D$20)*IFERROR(LOOKUP(Предпосылки!$H$208,$C$13:$C$15,AE$13:AE$15),1)</f>
        <v>0</v>
      </c>
      <c s="125">
        <f>Предпосылки!AE$235*Предпосылки!$K266*Продажи!AF31*AF$19*(1+Чувствительность!$D$20)*IFERROR(LOOKUP(Предпосылки!$H$208,$C$13:$C$15,AF$13:AF$15),1)</f>
        <v>0</v>
      </c>
      <c s="125">
        <f>Предпосылки!AF$235*Предпосылки!$K266*Продажи!AG31*AG$19*(1+Чувствительность!$D$20)*IFERROR(LOOKUP(Предпосылки!$H$208,$C$13:$C$15,AG$13:AG$15),1)</f>
        <v>0</v>
      </c>
      <c s="125">
        <f>Предпосылки!AG$235*Предпосылки!$K266*Продажи!AH31*AH$19*(1+Чувствительность!$D$20)*IFERROR(LOOKUP(Предпосылки!$H$208,$C$13:$C$15,AH$13:AH$15),1)</f>
        <v>0</v>
      </c>
      <c s="125">
        <f>Предпосылки!AH$235*Предпосылки!$K266*Продажи!AI31*AI$19*(1+Чувствительность!$D$20)*IFERROR(LOOKUP(Предпосылки!$H$208,$C$13:$C$15,AI$13:AI$15),1)</f>
        <v>0</v>
      </c>
      <c s="125">
        <f>Предпосылки!AI$235*Предпосылки!$K266*Продажи!AJ31*AJ$19*(1+Чувствительность!$D$20)*IFERROR(LOOKUP(Предпосылки!$H$208,$C$13:$C$15,AJ$13:AJ$15),1)</f>
        <v>0</v>
      </c>
      <c s="125">
        <f>Предпосылки!AJ$235*Предпосылки!$K266*Продажи!AK31*AK$19*(1+Чувствительность!$D$20)*IFERROR(LOOKUP(Предпосылки!$H$208,$C$13:$C$15,AK$13:AK$15),1)</f>
        <v>0</v>
      </c>
      <c s="125">
        <f>Предпосылки!AK$235*Предпосылки!$K266*Продажи!AL31*AL$19*(1+Чувствительность!$D$20)*IFERROR(LOOKUP(Предпосылки!$H$208,$C$13:$C$15,AL$13:AL$15),1)</f>
        <v>0</v>
      </c>
      <c s="125">
        <f>Предпосылки!AL$235*Предпосылки!$K266*Продажи!AM31*AM$19*(1+Чувствительность!$D$20)*IFERROR(LOOKUP(Предпосылки!$H$208,$C$13:$C$15,AM$13:AM$15),1)</f>
        <v>0</v>
      </c>
      <c s="125">
        <f>Предпосылки!AM$235*Предпосылки!$K266*Продажи!AN31*AN$19*(1+Чувствительность!$D$20)*IFERROR(LOOKUP(Предпосылки!$H$208,$C$13:$C$15,AN$13:AN$15),1)</f>
        <v>0</v>
      </c>
      <c s="125">
        <f>Предпосылки!AN$235*Предпосылки!$K266*Продажи!AO31*AO$19*(1+Чувствительность!$D$20)*IFERROR(LOOKUP(Предпосылки!$H$208,$C$13:$C$15,AO$13:AO$15),1)</f>
        <v>0</v>
      </c>
      <c s="125">
        <f>Предпосылки!AO$235*Предпосылки!$K266*Продажи!AP31*AP$19*(1+Чувствительность!$D$20)*IFERROR(LOOKUP(Предпосылки!$H$208,$C$13:$C$15,AP$13:AP$15),1)</f>
        <v>0</v>
      </c>
      <c s="125">
        <f>Предпосылки!AP$235*Предпосылки!$K266*Продажи!AQ31*AQ$19*(1+Чувствительность!$D$20)*IFERROR(LOOKUP(Предпосылки!$H$208,$C$13:$C$15,AQ$13:AQ$15),1)</f>
        <v>0</v>
      </c>
      <c s="125">
        <f>Предпосылки!AQ$235*Предпосылки!$K266*Продажи!AR31*AR$19*(1+Чувствительность!$D$20)*IFERROR(LOOKUP(Предпосылки!$H$208,$C$13:$C$15,AR$13:AR$15),1)</f>
        <v>0</v>
      </c>
      <c s="125">
        <f>Предпосылки!AR$235*Предпосылки!$K266*Продажи!AS31*AS$19*(1+Чувствительность!$D$20)*IFERROR(LOOKUP(Предпосылки!$H$208,$C$13:$C$15,AS$13:AS$15),1)</f>
        <v>0</v>
      </c>
      <c s="125">
        <f>Предпосылки!AS$235*Предпосылки!$K266*Продажи!AT31*AT$19*(1+Чувствительность!$D$20)*IFERROR(LOOKUP(Предпосылки!$H$208,$C$13:$C$15,AT$13:AT$15),1)</f>
        <v>0</v>
      </c>
      <c s="125">
        <f>Предпосылки!AT$235*Предпосылки!$K266*Продажи!AU31*AU$19*(1+Чувствительность!$D$20)*IFERROR(LOOKUP(Предпосылки!$H$208,$C$13:$C$15,AU$13:AU$15),1)</f>
        <v>0</v>
      </c>
      <c s="125">
        <f>Предпосылки!AU$235*Предпосылки!$K266*Продажи!AV31*AV$19*(1+Чувствительность!$D$20)*IFERROR(LOOKUP(Предпосылки!$H$208,$C$13:$C$15,AV$13:AV$15),1)</f>
        <v>0</v>
      </c>
      <c s="125">
        <f>Предпосылки!AV$235*Предпосылки!$K266*Продажи!AW31*AW$19*(1+Чувствительность!$D$20)*IFERROR(LOOKUP(Предпосылки!$H$208,$C$13:$C$15,AW$13:AW$15),1)</f>
        <v>0</v>
      </c>
      <c s="125">
        <f>Предпосылки!AW$235*Предпосылки!$K266*Продажи!AX31*AX$19*(1+Чувствительность!$D$20)*IFERROR(LOOKUP(Предпосылки!$H$208,$C$13:$C$15,AX$13:AX$15),1)</f>
        <v>0</v>
      </c>
      <c s="125">
        <f>Предпосылки!AX$235*Предпосылки!$K266*Продажи!AY31*AY$19*(1+Чувствительность!$D$20)*IFERROR(LOOKUP(Предпосылки!$H$208,$C$13:$C$15,AY$13:AY$15),1)</f>
        <v>0</v>
      </c>
      <c s="125">
        <f>Предпосылки!AY$235*Предпосылки!$K266*Продажи!AZ31*AZ$19*(1+Чувствительность!$D$20)*IFERROR(LOOKUP(Предпосылки!$H$208,$C$13:$C$15,AZ$13:AZ$15),1)</f>
        <v>0</v>
      </c>
      <c s="125">
        <f>Предпосылки!AZ$235*Предпосылки!$K266*Продажи!BA31*BA$19*(1+Чувствительность!$D$20)*IFERROR(LOOKUP(Предпосылки!$H$208,$C$13:$C$15,BA$13:BA$15),1)</f>
        <v>0</v>
      </c>
      <c s="125">
        <f>Предпосылки!BA$235*Предпосылки!$K266*Продажи!BB31*BB$19*(1+Чувствительность!$D$20)*IFERROR(LOOKUP(Предпосылки!$H$208,$C$13:$C$15,BB$13:BB$15),1)</f>
        <v>0</v>
      </c>
      <c s="125">
        <f>Предпосылки!BB$235*Предпосылки!$K266*Продажи!BC31*BC$19*(1+Чувствительность!$D$20)*IFERROR(LOOKUP(Предпосылки!$H$208,$C$13:$C$15,BC$13:BC$15),1)</f>
        <v>0</v>
      </c>
      <c s="125">
        <f>Предпосылки!BC$235*Предпосылки!$K266*Продажи!BD31*BD$19*(1+Чувствительность!$D$20)*IFERROR(LOOKUP(Предпосылки!$H$208,$C$13:$C$15,BD$13:BD$15),1)</f>
        <v>0</v>
      </c>
      <c s="125">
        <f>Предпосылки!BD$235*Предпосылки!$K266*Продажи!BE31*BE$19*(1+Чувствительность!$D$20)*IFERROR(LOOKUP(Предпосылки!$H$208,$C$13:$C$15,BE$13:BE$15),1)</f>
        <v>0</v>
      </c>
      <c s="125">
        <f>Предпосылки!BE$235*Предпосылки!$K266*Продажи!BF31*BF$19*(1+Чувствительность!$D$20)*IFERROR(LOOKUP(Предпосылки!$H$208,$C$13:$C$15,BF$13:BF$15),1)</f>
        <v>0</v>
      </c>
      <c s="125">
        <f>Предпосылки!BF$235*Предпосылки!$K266*Продажи!BG31*BG$19*(1+Чувствительность!$D$20)*IFERROR(LOOKUP(Предпосылки!$H$208,$C$13:$C$15,BG$13:BG$15),1)</f>
        <v>0</v>
      </c>
      <c s="125">
        <f>Предпосылки!BG$235*Предпосылки!$K266*Продажи!BH31*BH$19*(1+Чувствительность!$D$20)*IFERROR(LOOKUP(Предпосылки!$H$208,$C$13:$C$15,BH$13:BH$15),1)</f>
        <v>0</v>
      </c>
      <c s="125">
        <f>Предпосылки!BH$235*Предпосылки!$K266*Продажи!BI31*BI$19*(1+Чувствительность!$D$20)*IFERROR(LOOKUP(Предпосылки!$H$208,$C$13:$C$15,BI$13:BI$15),1)</f>
        <v>0</v>
      </c>
      <c s="125">
        <f>Предпосылки!BI$235*Предпосылки!$K266*Продажи!BJ31*BJ$19*(1+Чувствительность!$D$20)*IFERROR(LOOKUP(Предпосылки!$H$208,$C$13:$C$15,BJ$13:BJ$15),1)</f>
        <v>0</v>
      </c>
      <c s="125">
        <f>Предпосылки!BJ$235*Предпосылки!$K266*Продажи!BK31*BK$19*(1+Чувствительность!$D$20)*IFERROR(LOOKUP(Предпосылки!$H$208,$C$13:$C$15,BK$13:BK$15),1)</f>
        <v>0</v>
      </c>
      <c s="125">
        <f>Предпосылки!BK$235*Предпосылки!$K266*Продажи!BL31*BL$19*(1+Чувствительность!$D$20)*IFERROR(LOOKUP(Предпосылки!$H$208,$C$13:$C$15,BL$13:BL$15),1)</f>
        <v>0</v>
      </c>
      <c s="125">
        <f>Предпосылки!BL$235*Предпосылки!$K266*Продажи!BM31*BM$19*(1+Чувствительность!$D$20)*IFERROR(LOOKUP(Предпосылки!$H$208,$C$13:$C$15,BM$13:BM$15),1)</f>
        <v>0</v>
      </c>
    </row>
    <row r="198" spans="2:65" ht="15" customHeight="1">
      <c r="B198" s="12" t="str">
        <f t="shared" si="96"/>
        <v>Продукт 15</v>
      </c>
      <c s="124" t="str">
        <f t="shared" si="95"/>
        <v>тыс. руб.</v>
      </c>
      <c s="276">
        <f t="shared" si="97"/>
        <v>0</v>
      </c>
      <c s="125">
        <f>Предпосылки!D$235*Предпосылки!$K267*Продажи!E32*E$19*(1+Чувствительность!$D$20)*IFERROR(LOOKUP(Предпосылки!$H$208,$C$13:$C$15,E$13:E$15),1)</f>
        <v>0</v>
      </c>
      <c s="125">
        <f>Предпосылки!E$235*Предпосылки!$K267*Продажи!F32*F$19*(1+Чувствительность!$D$20)*IFERROR(LOOKUP(Предпосылки!$H$208,$C$13:$C$15,F$13:F$15),1)</f>
        <v>0</v>
      </c>
      <c s="125">
        <f>Предпосылки!F$235*Предпосылки!$K267*Продажи!G32*G$19*(1+Чувствительность!$D$20)*IFERROR(LOOKUP(Предпосылки!$H$208,$C$13:$C$15,G$13:G$15),1)</f>
        <v>0</v>
      </c>
      <c s="125">
        <f>Предпосылки!G$235*Предпосылки!$K267*Продажи!H32*H$19*(1+Чувствительность!$D$20)*IFERROR(LOOKUP(Предпосылки!$H$208,$C$13:$C$15,H$13:H$15),1)</f>
        <v>0</v>
      </c>
      <c s="125">
        <f>Предпосылки!H$235*Предпосылки!$K267*Продажи!I32*I$19*(1+Чувствительность!$D$20)*IFERROR(LOOKUP(Предпосылки!$H$208,$C$13:$C$15,I$13:I$15),1)</f>
        <v>0</v>
      </c>
      <c s="125">
        <f>Предпосылки!I$235*Предпосылки!$K267*Продажи!J32*J$19*(1+Чувствительность!$D$20)*IFERROR(LOOKUP(Предпосылки!$H$208,$C$13:$C$15,J$13:J$15),1)</f>
        <v>0</v>
      </c>
      <c s="125">
        <f>Предпосылки!J$235*Предпосылки!$K267*Продажи!K32*K$19*(1+Чувствительность!$D$20)*IFERROR(LOOKUP(Предпосылки!$H$208,$C$13:$C$15,K$13:K$15),1)</f>
        <v>0</v>
      </c>
      <c s="125">
        <f>Предпосылки!K$235*Предпосылки!$K267*Продажи!L32*L$19*(1+Чувствительность!$D$20)*IFERROR(LOOKUP(Предпосылки!$H$208,$C$13:$C$15,L$13:L$15),1)</f>
        <v>0</v>
      </c>
      <c s="125">
        <f>Предпосылки!L$235*Предпосылки!$K267*Продажи!M32*M$19*(1+Чувствительность!$D$20)*IFERROR(LOOKUP(Предпосылки!$H$208,$C$13:$C$15,M$13:M$15),1)</f>
        <v>0</v>
      </c>
      <c s="125">
        <f>Предпосылки!M$235*Предпосылки!$K267*Продажи!N32*N$19*(1+Чувствительность!$D$20)*IFERROR(LOOKUP(Предпосылки!$H$208,$C$13:$C$15,N$13:N$15),1)</f>
        <v>0</v>
      </c>
      <c s="125">
        <f>Предпосылки!N$235*Предпосылки!$K267*Продажи!O32*O$19*(1+Чувствительность!$D$20)*IFERROR(LOOKUP(Предпосылки!$H$208,$C$13:$C$15,O$13:O$15),1)</f>
        <v>0</v>
      </c>
      <c s="125">
        <f>Предпосылки!O$235*Предпосылки!$K267*Продажи!P32*P$19*(1+Чувствительность!$D$20)*IFERROR(LOOKUP(Предпосылки!$H$208,$C$13:$C$15,P$13:P$15),1)</f>
        <v>0</v>
      </c>
      <c s="125">
        <f>Предпосылки!P$235*Предпосылки!$K267*Продажи!Q32*Q$19*(1+Чувствительность!$D$20)*IFERROR(LOOKUP(Предпосылки!$H$208,$C$13:$C$15,Q$13:Q$15),1)</f>
        <v>0</v>
      </c>
      <c s="125">
        <f>Предпосылки!Q$235*Предпосылки!$K267*Продажи!R32*R$19*(1+Чувствительность!$D$20)*IFERROR(LOOKUP(Предпосылки!$H$208,$C$13:$C$15,R$13:R$15),1)</f>
        <v>0</v>
      </c>
      <c s="125">
        <f>Предпосылки!R$235*Предпосылки!$K267*Продажи!S32*S$19*(1+Чувствительность!$D$20)*IFERROR(LOOKUP(Предпосылки!$H$208,$C$13:$C$15,S$13:S$15),1)</f>
        <v>0</v>
      </c>
      <c s="125">
        <f>Предпосылки!S$235*Предпосылки!$K267*Продажи!T32*T$19*(1+Чувствительность!$D$20)*IFERROR(LOOKUP(Предпосылки!$H$208,$C$13:$C$15,T$13:T$15),1)</f>
        <v>0</v>
      </c>
      <c s="125">
        <f>Предпосылки!T$235*Предпосылки!$K267*Продажи!U32*U$19*(1+Чувствительность!$D$20)*IFERROR(LOOKUP(Предпосылки!$H$208,$C$13:$C$15,U$13:U$15),1)</f>
        <v>0</v>
      </c>
      <c s="125">
        <f>Предпосылки!U$235*Предпосылки!$K267*Продажи!V32*V$19*(1+Чувствительность!$D$20)*IFERROR(LOOKUP(Предпосылки!$H$208,$C$13:$C$15,V$13:V$15),1)</f>
        <v>0</v>
      </c>
      <c s="125">
        <f>Предпосылки!V$235*Предпосылки!$K267*Продажи!W32*W$19*(1+Чувствительность!$D$20)*IFERROR(LOOKUP(Предпосылки!$H$208,$C$13:$C$15,W$13:W$15),1)</f>
        <v>0</v>
      </c>
      <c s="125">
        <f>Предпосылки!W$235*Предпосылки!$K267*Продажи!X32*X$19*(1+Чувствительность!$D$20)*IFERROR(LOOKUP(Предпосылки!$H$208,$C$13:$C$15,X$13:X$15),1)</f>
        <v>0</v>
      </c>
      <c s="125">
        <f>Предпосылки!X$235*Предпосылки!$K267*Продажи!Y32*Y$19*(1+Чувствительность!$D$20)*IFERROR(LOOKUP(Предпосылки!$H$208,$C$13:$C$15,Y$13:Y$15),1)</f>
        <v>0</v>
      </c>
      <c s="125">
        <f>Предпосылки!Y$235*Предпосылки!$K267*Продажи!Z32*Z$19*(1+Чувствительность!$D$20)*IFERROR(LOOKUP(Предпосылки!$H$208,$C$13:$C$15,Z$13:Z$15),1)</f>
        <v>0</v>
      </c>
      <c s="125">
        <f>Предпосылки!Z$235*Предпосылки!$K267*Продажи!AA32*AA$19*(1+Чувствительность!$D$20)*IFERROR(LOOKUP(Предпосылки!$H$208,$C$13:$C$15,AA$13:AA$15),1)</f>
        <v>0</v>
      </c>
      <c s="125">
        <f>Предпосылки!AA$235*Предпосылки!$K267*Продажи!AB32*AB$19*(1+Чувствительность!$D$20)*IFERROR(LOOKUP(Предпосылки!$H$208,$C$13:$C$15,AB$13:AB$15),1)</f>
        <v>0</v>
      </c>
      <c s="125">
        <f>Предпосылки!AB$235*Предпосылки!$K267*Продажи!AC32*AC$19*(1+Чувствительность!$D$20)*IFERROR(LOOKUP(Предпосылки!$H$208,$C$13:$C$15,AC$13:AC$15),1)</f>
        <v>0</v>
      </c>
      <c s="125">
        <f>Предпосылки!AC$235*Предпосылки!$K267*Продажи!AD32*AD$19*(1+Чувствительность!$D$20)*IFERROR(LOOKUP(Предпосылки!$H$208,$C$13:$C$15,AD$13:AD$15),1)</f>
        <v>0</v>
      </c>
      <c s="125">
        <f>Предпосылки!AD$235*Предпосылки!$K267*Продажи!AE32*AE$19*(1+Чувствительность!$D$20)*IFERROR(LOOKUP(Предпосылки!$H$208,$C$13:$C$15,AE$13:AE$15),1)</f>
        <v>0</v>
      </c>
      <c s="125">
        <f>Предпосылки!AE$235*Предпосылки!$K267*Продажи!AF32*AF$19*(1+Чувствительность!$D$20)*IFERROR(LOOKUP(Предпосылки!$H$208,$C$13:$C$15,AF$13:AF$15),1)</f>
        <v>0</v>
      </c>
      <c s="125">
        <f>Предпосылки!AF$235*Предпосылки!$K267*Продажи!AG32*AG$19*(1+Чувствительность!$D$20)*IFERROR(LOOKUP(Предпосылки!$H$208,$C$13:$C$15,AG$13:AG$15),1)</f>
        <v>0</v>
      </c>
      <c s="125">
        <f>Предпосылки!AG$235*Предпосылки!$K267*Продажи!AH32*AH$19*(1+Чувствительность!$D$20)*IFERROR(LOOKUP(Предпосылки!$H$208,$C$13:$C$15,AH$13:AH$15),1)</f>
        <v>0</v>
      </c>
      <c s="125">
        <f>Предпосылки!AH$235*Предпосылки!$K267*Продажи!AI32*AI$19*(1+Чувствительность!$D$20)*IFERROR(LOOKUP(Предпосылки!$H$208,$C$13:$C$15,AI$13:AI$15),1)</f>
        <v>0</v>
      </c>
      <c s="125">
        <f>Предпосылки!AI$235*Предпосылки!$K267*Продажи!AJ32*AJ$19*(1+Чувствительность!$D$20)*IFERROR(LOOKUP(Предпосылки!$H$208,$C$13:$C$15,AJ$13:AJ$15),1)</f>
        <v>0</v>
      </c>
      <c s="125">
        <f>Предпосылки!AJ$235*Предпосылки!$K267*Продажи!AK32*AK$19*(1+Чувствительность!$D$20)*IFERROR(LOOKUP(Предпосылки!$H$208,$C$13:$C$15,AK$13:AK$15),1)</f>
        <v>0</v>
      </c>
      <c s="125">
        <f>Предпосылки!AK$235*Предпосылки!$K267*Продажи!AL32*AL$19*(1+Чувствительность!$D$20)*IFERROR(LOOKUP(Предпосылки!$H$208,$C$13:$C$15,AL$13:AL$15),1)</f>
        <v>0</v>
      </c>
      <c s="125">
        <f>Предпосылки!AL$235*Предпосылки!$K267*Продажи!AM32*AM$19*(1+Чувствительность!$D$20)*IFERROR(LOOKUP(Предпосылки!$H$208,$C$13:$C$15,AM$13:AM$15),1)</f>
        <v>0</v>
      </c>
      <c s="125">
        <f>Предпосылки!AM$235*Предпосылки!$K267*Продажи!AN32*AN$19*(1+Чувствительность!$D$20)*IFERROR(LOOKUP(Предпосылки!$H$208,$C$13:$C$15,AN$13:AN$15),1)</f>
        <v>0</v>
      </c>
      <c s="125">
        <f>Предпосылки!AN$235*Предпосылки!$K267*Продажи!AO32*AO$19*(1+Чувствительность!$D$20)*IFERROR(LOOKUP(Предпосылки!$H$208,$C$13:$C$15,AO$13:AO$15),1)</f>
        <v>0</v>
      </c>
      <c s="125">
        <f>Предпосылки!AO$235*Предпосылки!$K267*Продажи!AP32*AP$19*(1+Чувствительность!$D$20)*IFERROR(LOOKUP(Предпосылки!$H$208,$C$13:$C$15,AP$13:AP$15),1)</f>
        <v>0</v>
      </c>
      <c s="125">
        <f>Предпосылки!AP$235*Предпосылки!$K267*Продажи!AQ32*AQ$19*(1+Чувствительность!$D$20)*IFERROR(LOOKUP(Предпосылки!$H$208,$C$13:$C$15,AQ$13:AQ$15),1)</f>
        <v>0</v>
      </c>
      <c s="125">
        <f>Предпосылки!AQ$235*Предпосылки!$K267*Продажи!AR32*AR$19*(1+Чувствительность!$D$20)*IFERROR(LOOKUP(Предпосылки!$H$208,$C$13:$C$15,AR$13:AR$15),1)</f>
        <v>0</v>
      </c>
      <c s="125">
        <f>Предпосылки!AR$235*Предпосылки!$K267*Продажи!AS32*AS$19*(1+Чувствительность!$D$20)*IFERROR(LOOKUP(Предпосылки!$H$208,$C$13:$C$15,AS$13:AS$15),1)</f>
        <v>0</v>
      </c>
      <c s="125">
        <f>Предпосылки!AS$235*Предпосылки!$K267*Продажи!AT32*AT$19*(1+Чувствительность!$D$20)*IFERROR(LOOKUP(Предпосылки!$H$208,$C$13:$C$15,AT$13:AT$15),1)</f>
        <v>0</v>
      </c>
      <c s="125">
        <f>Предпосылки!AT$235*Предпосылки!$K267*Продажи!AU32*AU$19*(1+Чувствительность!$D$20)*IFERROR(LOOKUP(Предпосылки!$H$208,$C$13:$C$15,AU$13:AU$15),1)</f>
        <v>0</v>
      </c>
      <c s="125">
        <f>Предпосылки!AU$235*Предпосылки!$K267*Продажи!AV32*AV$19*(1+Чувствительность!$D$20)*IFERROR(LOOKUP(Предпосылки!$H$208,$C$13:$C$15,AV$13:AV$15),1)</f>
        <v>0</v>
      </c>
      <c s="125">
        <f>Предпосылки!AV$235*Предпосылки!$K267*Продажи!AW32*AW$19*(1+Чувствительность!$D$20)*IFERROR(LOOKUP(Предпосылки!$H$208,$C$13:$C$15,AW$13:AW$15),1)</f>
        <v>0</v>
      </c>
      <c s="125">
        <f>Предпосылки!AW$235*Предпосылки!$K267*Продажи!AX32*AX$19*(1+Чувствительность!$D$20)*IFERROR(LOOKUP(Предпосылки!$H$208,$C$13:$C$15,AX$13:AX$15),1)</f>
        <v>0</v>
      </c>
      <c s="125">
        <f>Предпосылки!AX$235*Предпосылки!$K267*Продажи!AY32*AY$19*(1+Чувствительность!$D$20)*IFERROR(LOOKUP(Предпосылки!$H$208,$C$13:$C$15,AY$13:AY$15),1)</f>
        <v>0</v>
      </c>
      <c s="125">
        <f>Предпосылки!AY$235*Предпосылки!$K267*Продажи!AZ32*AZ$19*(1+Чувствительность!$D$20)*IFERROR(LOOKUP(Предпосылки!$H$208,$C$13:$C$15,AZ$13:AZ$15),1)</f>
        <v>0</v>
      </c>
      <c s="125">
        <f>Предпосылки!AZ$235*Предпосылки!$K267*Продажи!BA32*BA$19*(1+Чувствительность!$D$20)*IFERROR(LOOKUP(Предпосылки!$H$208,$C$13:$C$15,BA$13:BA$15),1)</f>
        <v>0</v>
      </c>
      <c s="125">
        <f>Предпосылки!BA$235*Предпосылки!$K267*Продажи!BB32*BB$19*(1+Чувствительность!$D$20)*IFERROR(LOOKUP(Предпосылки!$H$208,$C$13:$C$15,BB$13:BB$15),1)</f>
        <v>0</v>
      </c>
      <c s="125">
        <f>Предпосылки!BB$235*Предпосылки!$K267*Продажи!BC32*BC$19*(1+Чувствительность!$D$20)*IFERROR(LOOKUP(Предпосылки!$H$208,$C$13:$C$15,BC$13:BC$15),1)</f>
        <v>0</v>
      </c>
      <c s="125">
        <f>Предпосылки!BC$235*Предпосылки!$K267*Продажи!BD32*BD$19*(1+Чувствительность!$D$20)*IFERROR(LOOKUP(Предпосылки!$H$208,$C$13:$C$15,BD$13:BD$15),1)</f>
        <v>0</v>
      </c>
      <c s="125">
        <f>Предпосылки!BD$235*Предпосылки!$K267*Продажи!BE32*BE$19*(1+Чувствительность!$D$20)*IFERROR(LOOKUP(Предпосылки!$H$208,$C$13:$C$15,BE$13:BE$15),1)</f>
        <v>0</v>
      </c>
      <c s="125">
        <f>Предпосылки!BE$235*Предпосылки!$K267*Продажи!BF32*BF$19*(1+Чувствительность!$D$20)*IFERROR(LOOKUP(Предпосылки!$H$208,$C$13:$C$15,BF$13:BF$15),1)</f>
        <v>0</v>
      </c>
      <c s="125">
        <f>Предпосылки!BF$235*Предпосылки!$K267*Продажи!BG32*BG$19*(1+Чувствительность!$D$20)*IFERROR(LOOKUP(Предпосылки!$H$208,$C$13:$C$15,BG$13:BG$15),1)</f>
        <v>0</v>
      </c>
      <c s="125">
        <f>Предпосылки!BG$235*Предпосылки!$K267*Продажи!BH32*BH$19*(1+Чувствительность!$D$20)*IFERROR(LOOKUP(Предпосылки!$H$208,$C$13:$C$15,BH$13:BH$15),1)</f>
        <v>0</v>
      </c>
      <c s="125">
        <f>Предпосылки!BH$235*Предпосылки!$K267*Продажи!BI32*BI$19*(1+Чувствительность!$D$20)*IFERROR(LOOKUP(Предпосылки!$H$208,$C$13:$C$15,BI$13:BI$15),1)</f>
        <v>0</v>
      </c>
      <c s="125">
        <f>Предпосылки!BI$235*Предпосылки!$K267*Продажи!BJ32*BJ$19*(1+Чувствительность!$D$20)*IFERROR(LOOKUP(Предпосылки!$H$208,$C$13:$C$15,BJ$13:BJ$15),1)</f>
        <v>0</v>
      </c>
      <c s="125">
        <f>Предпосылки!BJ$235*Предпосылки!$K267*Продажи!BK32*BK$19*(1+Чувствительность!$D$20)*IFERROR(LOOKUP(Предпосылки!$H$208,$C$13:$C$15,BK$13:BK$15),1)</f>
        <v>0</v>
      </c>
      <c s="125">
        <f>Предпосылки!BK$235*Предпосылки!$K267*Продажи!BL32*BL$19*(1+Чувствительность!$D$20)*IFERROR(LOOKUP(Предпосылки!$H$208,$C$13:$C$15,BL$13:BL$15),1)</f>
        <v>0</v>
      </c>
      <c s="125">
        <f>Предпосылки!BL$235*Предпосылки!$K267*Продажи!BM32*BM$19*(1+Чувствительность!$D$20)*IFERROR(LOOKUP(Предпосылки!$H$208,$C$13:$C$15,BM$13:BM$15),1)</f>
        <v>0</v>
      </c>
    </row>
    <row r="199" spans="2:65" ht="15" customHeight="1">
      <c r="B199" s="12" t="str">
        <f t="shared" si="96"/>
        <v>Продукт 16</v>
      </c>
      <c s="124" t="str">
        <f t="shared" si="95"/>
        <v>тыс. руб.</v>
      </c>
      <c s="276">
        <f t="shared" si="97"/>
        <v>0</v>
      </c>
      <c s="125">
        <f>Предпосылки!D$235*Предпосылки!$K268*Продажи!E33*E$19*(1+Чувствительность!$D$20)*IFERROR(LOOKUP(Предпосылки!$H$208,$C$13:$C$15,E$13:E$15),1)</f>
        <v>0</v>
      </c>
      <c s="125">
        <f>Предпосылки!E$235*Предпосылки!$K268*Продажи!F33*F$19*(1+Чувствительность!$D$20)*IFERROR(LOOKUP(Предпосылки!$H$208,$C$13:$C$15,F$13:F$15),1)</f>
        <v>0</v>
      </c>
      <c s="125">
        <f>Предпосылки!F$235*Предпосылки!$K268*Продажи!G33*G$19*(1+Чувствительность!$D$20)*IFERROR(LOOKUP(Предпосылки!$H$208,$C$13:$C$15,G$13:G$15),1)</f>
        <v>0</v>
      </c>
      <c s="125">
        <f>Предпосылки!G$235*Предпосылки!$K268*Продажи!H33*H$19*(1+Чувствительность!$D$20)*IFERROR(LOOKUP(Предпосылки!$H$208,$C$13:$C$15,H$13:H$15),1)</f>
        <v>0</v>
      </c>
      <c s="125">
        <f>Предпосылки!H$235*Предпосылки!$K268*Продажи!I33*I$19*(1+Чувствительность!$D$20)*IFERROR(LOOKUP(Предпосылки!$H$208,$C$13:$C$15,I$13:I$15),1)</f>
        <v>0</v>
      </c>
      <c s="125">
        <f>Предпосылки!I$235*Предпосылки!$K268*Продажи!J33*J$19*(1+Чувствительность!$D$20)*IFERROR(LOOKUP(Предпосылки!$H$208,$C$13:$C$15,J$13:J$15),1)</f>
        <v>0</v>
      </c>
      <c s="125">
        <f>Предпосылки!J$235*Предпосылки!$K268*Продажи!K33*K$19*(1+Чувствительность!$D$20)*IFERROR(LOOKUP(Предпосылки!$H$208,$C$13:$C$15,K$13:K$15),1)</f>
        <v>0</v>
      </c>
      <c s="125">
        <f>Предпосылки!K$235*Предпосылки!$K268*Продажи!L33*L$19*(1+Чувствительность!$D$20)*IFERROR(LOOKUP(Предпосылки!$H$208,$C$13:$C$15,L$13:L$15),1)</f>
        <v>0</v>
      </c>
      <c s="125">
        <f>Предпосылки!L$235*Предпосылки!$K268*Продажи!M33*M$19*(1+Чувствительность!$D$20)*IFERROR(LOOKUP(Предпосылки!$H$208,$C$13:$C$15,M$13:M$15),1)</f>
        <v>0</v>
      </c>
      <c s="125">
        <f>Предпосылки!M$235*Предпосылки!$K268*Продажи!N33*N$19*(1+Чувствительность!$D$20)*IFERROR(LOOKUP(Предпосылки!$H$208,$C$13:$C$15,N$13:N$15),1)</f>
        <v>0</v>
      </c>
      <c s="125">
        <f>Предпосылки!N$235*Предпосылки!$K268*Продажи!O33*O$19*(1+Чувствительность!$D$20)*IFERROR(LOOKUP(Предпосылки!$H$208,$C$13:$C$15,O$13:O$15),1)</f>
        <v>0</v>
      </c>
      <c s="125">
        <f>Предпосылки!O$235*Предпосылки!$K268*Продажи!P33*P$19*(1+Чувствительность!$D$20)*IFERROR(LOOKUP(Предпосылки!$H$208,$C$13:$C$15,P$13:P$15),1)</f>
        <v>0</v>
      </c>
      <c s="125">
        <f>Предпосылки!P$235*Предпосылки!$K268*Продажи!Q33*Q$19*(1+Чувствительность!$D$20)*IFERROR(LOOKUP(Предпосылки!$H$208,$C$13:$C$15,Q$13:Q$15),1)</f>
        <v>0</v>
      </c>
      <c s="125">
        <f>Предпосылки!Q$235*Предпосылки!$K268*Продажи!R33*R$19*(1+Чувствительность!$D$20)*IFERROR(LOOKUP(Предпосылки!$H$208,$C$13:$C$15,R$13:R$15),1)</f>
        <v>0</v>
      </c>
      <c s="125">
        <f>Предпосылки!R$235*Предпосылки!$K268*Продажи!S33*S$19*(1+Чувствительность!$D$20)*IFERROR(LOOKUP(Предпосылки!$H$208,$C$13:$C$15,S$13:S$15),1)</f>
        <v>0</v>
      </c>
      <c s="125">
        <f>Предпосылки!S$235*Предпосылки!$K268*Продажи!T33*T$19*(1+Чувствительность!$D$20)*IFERROR(LOOKUP(Предпосылки!$H$208,$C$13:$C$15,T$13:T$15),1)</f>
        <v>0</v>
      </c>
      <c s="125">
        <f>Предпосылки!T$235*Предпосылки!$K268*Продажи!U33*U$19*(1+Чувствительность!$D$20)*IFERROR(LOOKUP(Предпосылки!$H$208,$C$13:$C$15,U$13:U$15),1)</f>
        <v>0</v>
      </c>
      <c s="125">
        <f>Предпосылки!U$235*Предпосылки!$K268*Продажи!V33*V$19*(1+Чувствительность!$D$20)*IFERROR(LOOKUP(Предпосылки!$H$208,$C$13:$C$15,V$13:V$15),1)</f>
        <v>0</v>
      </c>
      <c s="125">
        <f>Предпосылки!V$235*Предпосылки!$K268*Продажи!W33*W$19*(1+Чувствительность!$D$20)*IFERROR(LOOKUP(Предпосылки!$H$208,$C$13:$C$15,W$13:W$15),1)</f>
        <v>0</v>
      </c>
      <c s="125">
        <f>Предпосылки!W$235*Предпосылки!$K268*Продажи!X33*X$19*(1+Чувствительность!$D$20)*IFERROR(LOOKUP(Предпосылки!$H$208,$C$13:$C$15,X$13:X$15),1)</f>
        <v>0</v>
      </c>
      <c s="125">
        <f>Предпосылки!X$235*Предпосылки!$K268*Продажи!Y33*Y$19*(1+Чувствительность!$D$20)*IFERROR(LOOKUP(Предпосылки!$H$208,$C$13:$C$15,Y$13:Y$15),1)</f>
        <v>0</v>
      </c>
      <c s="125">
        <f>Предпосылки!Y$235*Предпосылки!$K268*Продажи!Z33*Z$19*(1+Чувствительность!$D$20)*IFERROR(LOOKUP(Предпосылки!$H$208,$C$13:$C$15,Z$13:Z$15),1)</f>
        <v>0</v>
      </c>
      <c s="125">
        <f>Предпосылки!Z$235*Предпосылки!$K268*Продажи!AA33*AA$19*(1+Чувствительность!$D$20)*IFERROR(LOOKUP(Предпосылки!$H$208,$C$13:$C$15,AA$13:AA$15),1)</f>
        <v>0</v>
      </c>
      <c s="125">
        <f>Предпосылки!AA$235*Предпосылки!$K268*Продажи!AB33*AB$19*(1+Чувствительность!$D$20)*IFERROR(LOOKUP(Предпосылки!$H$208,$C$13:$C$15,AB$13:AB$15),1)</f>
        <v>0</v>
      </c>
      <c s="125">
        <f>Предпосылки!AB$235*Предпосылки!$K268*Продажи!AC33*AC$19*(1+Чувствительность!$D$20)*IFERROR(LOOKUP(Предпосылки!$H$208,$C$13:$C$15,AC$13:AC$15),1)</f>
        <v>0</v>
      </c>
      <c s="125">
        <f>Предпосылки!AC$235*Предпосылки!$K268*Продажи!AD33*AD$19*(1+Чувствительность!$D$20)*IFERROR(LOOKUP(Предпосылки!$H$208,$C$13:$C$15,AD$13:AD$15),1)</f>
        <v>0</v>
      </c>
      <c s="125">
        <f>Предпосылки!AD$235*Предпосылки!$K268*Продажи!AE33*AE$19*(1+Чувствительность!$D$20)*IFERROR(LOOKUP(Предпосылки!$H$208,$C$13:$C$15,AE$13:AE$15),1)</f>
        <v>0</v>
      </c>
      <c s="125">
        <f>Предпосылки!AE$235*Предпосылки!$K268*Продажи!AF33*AF$19*(1+Чувствительность!$D$20)*IFERROR(LOOKUP(Предпосылки!$H$208,$C$13:$C$15,AF$13:AF$15),1)</f>
        <v>0</v>
      </c>
      <c s="125">
        <f>Предпосылки!AF$235*Предпосылки!$K268*Продажи!AG33*AG$19*(1+Чувствительность!$D$20)*IFERROR(LOOKUP(Предпосылки!$H$208,$C$13:$C$15,AG$13:AG$15),1)</f>
        <v>0</v>
      </c>
      <c s="125">
        <f>Предпосылки!AG$235*Предпосылки!$K268*Продажи!AH33*AH$19*(1+Чувствительность!$D$20)*IFERROR(LOOKUP(Предпосылки!$H$208,$C$13:$C$15,AH$13:AH$15),1)</f>
        <v>0</v>
      </c>
      <c s="125">
        <f>Предпосылки!AH$235*Предпосылки!$K268*Продажи!AI33*AI$19*(1+Чувствительность!$D$20)*IFERROR(LOOKUP(Предпосылки!$H$208,$C$13:$C$15,AI$13:AI$15),1)</f>
        <v>0</v>
      </c>
      <c s="125">
        <f>Предпосылки!AI$235*Предпосылки!$K268*Продажи!AJ33*AJ$19*(1+Чувствительность!$D$20)*IFERROR(LOOKUP(Предпосылки!$H$208,$C$13:$C$15,AJ$13:AJ$15),1)</f>
        <v>0</v>
      </c>
      <c s="125">
        <f>Предпосылки!AJ$235*Предпосылки!$K268*Продажи!AK33*AK$19*(1+Чувствительность!$D$20)*IFERROR(LOOKUP(Предпосылки!$H$208,$C$13:$C$15,AK$13:AK$15),1)</f>
        <v>0</v>
      </c>
      <c s="125">
        <f>Предпосылки!AK$235*Предпосылки!$K268*Продажи!AL33*AL$19*(1+Чувствительность!$D$20)*IFERROR(LOOKUP(Предпосылки!$H$208,$C$13:$C$15,AL$13:AL$15),1)</f>
        <v>0</v>
      </c>
      <c s="125">
        <f>Предпосылки!AL$235*Предпосылки!$K268*Продажи!AM33*AM$19*(1+Чувствительность!$D$20)*IFERROR(LOOKUP(Предпосылки!$H$208,$C$13:$C$15,AM$13:AM$15),1)</f>
        <v>0</v>
      </c>
      <c s="125">
        <f>Предпосылки!AM$235*Предпосылки!$K268*Продажи!AN33*AN$19*(1+Чувствительность!$D$20)*IFERROR(LOOKUP(Предпосылки!$H$208,$C$13:$C$15,AN$13:AN$15),1)</f>
        <v>0</v>
      </c>
      <c s="125">
        <f>Предпосылки!AN$235*Предпосылки!$K268*Продажи!AO33*AO$19*(1+Чувствительность!$D$20)*IFERROR(LOOKUP(Предпосылки!$H$208,$C$13:$C$15,AO$13:AO$15),1)</f>
        <v>0</v>
      </c>
      <c s="125">
        <f>Предпосылки!AO$235*Предпосылки!$K268*Продажи!AP33*AP$19*(1+Чувствительность!$D$20)*IFERROR(LOOKUP(Предпосылки!$H$208,$C$13:$C$15,AP$13:AP$15),1)</f>
        <v>0</v>
      </c>
      <c s="125">
        <f>Предпосылки!AP$235*Предпосылки!$K268*Продажи!AQ33*AQ$19*(1+Чувствительность!$D$20)*IFERROR(LOOKUP(Предпосылки!$H$208,$C$13:$C$15,AQ$13:AQ$15),1)</f>
        <v>0</v>
      </c>
      <c s="125">
        <f>Предпосылки!AQ$235*Предпосылки!$K268*Продажи!AR33*AR$19*(1+Чувствительность!$D$20)*IFERROR(LOOKUP(Предпосылки!$H$208,$C$13:$C$15,AR$13:AR$15),1)</f>
        <v>0</v>
      </c>
      <c s="125">
        <f>Предпосылки!AR$235*Предпосылки!$K268*Продажи!AS33*AS$19*(1+Чувствительность!$D$20)*IFERROR(LOOKUP(Предпосылки!$H$208,$C$13:$C$15,AS$13:AS$15),1)</f>
        <v>0</v>
      </c>
      <c s="125">
        <f>Предпосылки!AS$235*Предпосылки!$K268*Продажи!AT33*AT$19*(1+Чувствительность!$D$20)*IFERROR(LOOKUP(Предпосылки!$H$208,$C$13:$C$15,AT$13:AT$15),1)</f>
        <v>0</v>
      </c>
      <c s="125">
        <f>Предпосылки!AT$235*Предпосылки!$K268*Продажи!AU33*AU$19*(1+Чувствительность!$D$20)*IFERROR(LOOKUP(Предпосылки!$H$208,$C$13:$C$15,AU$13:AU$15),1)</f>
        <v>0</v>
      </c>
      <c s="125">
        <f>Предпосылки!AU$235*Предпосылки!$K268*Продажи!AV33*AV$19*(1+Чувствительность!$D$20)*IFERROR(LOOKUP(Предпосылки!$H$208,$C$13:$C$15,AV$13:AV$15),1)</f>
        <v>0</v>
      </c>
      <c s="125">
        <f>Предпосылки!AV$235*Предпосылки!$K268*Продажи!AW33*AW$19*(1+Чувствительность!$D$20)*IFERROR(LOOKUP(Предпосылки!$H$208,$C$13:$C$15,AW$13:AW$15),1)</f>
        <v>0</v>
      </c>
      <c s="125">
        <f>Предпосылки!AW$235*Предпосылки!$K268*Продажи!AX33*AX$19*(1+Чувствительность!$D$20)*IFERROR(LOOKUP(Предпосылки!$H$208,$C$13:$C$15,AX$13:AX$15),1)</f>
        <v>0</v>
      </c>
      <c s="125">
        <f>Предпосылки!AX$235*Предпосылки!$K268*Продажи!AY33*AY$19*(1+Чувствительность!$D$20)*IFERROR(LOOKUP(Предпосылки!$H$208,$C$13:$C$15,AY$13:AY$15),1)</f>
        <v>0</v>
      </c>
      <c s="125">
        <f>Предпосылки!AY$235*Предпосылки!$K268*Продажи!AZ33*AZ$19*(1+Чувствительность!$D$20)*IFERROR(LOOKUP(Предпосылки!$H$208,$C$13:$C$15,AZ$13:AZ$15),1)</f>
        <v>0</v>
      </c>
      <c s="125">
        <f>Предпосылки!AZ$235*Предпосылки!$K268*Продажи!BA33*BA$19*(1+Чувствительность!$D$20)*IFERROR(LOOKUP(Предпосылки!$H$208,$C$13:$C$15,BA$13:BA$15),1)</f>
        <v>0</v>
      </c>
      <c s="125">
        <f>Предпосылки!BA$235*Предпосылки!$K268*Продажи!BB33*BB$19*(1+Чувствительность!$D$20)*IFERROR(LOOKUP(Предпосылки!$H$208,$C$13:$C$15,BB$13:BB$15),1)</f>
        <v>0</v>
      </c>
      <c s="125">
        <f>Предпосылки!BB$235*Предпосылки!$K268*Продажи!BC33*BC$19*(1+Чувствительность!$D$20)*IFERROR(LOOKUP(Предпосылки!$H$208,$C$13:$C$15,BC$13:BC$15),1)</f>
        <v>0</v>
      </c>
      <c s="125">
        <f>Предпосылки!BC$235*Предпосылки!$K268*Продажи!BD33*BD$19*(1+Чувствительность!$D$20)*IFERROR(LOOKUP(Предпосылки!$H$208,$C$13:$C$15,BD$13:BD$15),1)</f>
        <v>0</v>
      </c>
      <c s="125">
        <f>Предпосылки!BD$235*Предпосылки!$K268*Продажи!BE33*BE$19*(1+Чувствительность!$D$20)*IFERROR(LOOKUP(Предпосылки!$H$208,$C$13:$C$15,BE$13:BE$15),1)</f>
        <v>0</v>
      </c>
      <c s="125">
        <f>Предпосылки!BE$235*Предпосылки!$K268*Продажи!BF33*BF$19*(1+Чувствительность!$D$20)*IFERROR(LOOKUP(Предпосылки!$H$208,$C$13:$C$15,BF$13:BF$15),1)</f>
        <v>0</v>
      </c>
      <c s="125">
        <f>Предпосылки!BF$235*Предпосылки!$K268*Продажи!BG33*BG$19*(1+Чувствительность!$D$20)*IFERROR(LOOKUP(Предпосылки!$H$208,$C$13:$C$15,BG$13:BG$15),1)</f>
        <v>0</v>
      </c>
      <c s="125">
        <f>Предпосылки!BG$235*Предпосылки!$K268*Продажи!BH33*BH$19*(1+Чувствительность!$D$20)*IFERROR(LOOKUP(Предпосылки!$H$208,$C$13:$C$15,BH$13:BH$15),1)</f>
        <v>0</v>
      </c>
      <c s="125">
        <f>Предпосылки!BH$235*Предпосылки!$K268*Продажи!BI33*BI$19*(1+Чувствительность!$D$20)*IFERROR(LOOKUP(Предпосылки!$H$208,$C$13:$C$15,BI$13:BI$15),1)</f>
        <v>0</v>
      </c>
      <c s="125">
        <f>Предпосылки!BI$235*Предпосылки!$K268*Продажи!BJ33*BJ$19*(1+Чувствительность!$D$20)*IFERROR(LOOKUP(Предпосылки!$H$208,$C$13:$C$15,BJ$13:BJ$15),1)</f>
        <v>0</v>
      </c>
      <c s="125">
        <f>Предпосылки!BJ$235*Предпосылки!$K268*Продажи!BK33*BK$19*(1+Чувствительность!$D$20)*IFERROR(LOOKUP(Предпосылки!$H$208,$C$13:$C$15,BK$13:BK$15),1)</f>
        <v>0</v>
      </c>
      <c s="125">
        <f>Предпосылки!BK$235*Предпосылки!$K268*Продажи!BL33*BL$19*(1+Чувствительность!$D$20)*IFERROR(LOOKUP(Предпосылки!$H$208,$C$13:$C$15,BL$13:BL$15),1)</f>
        <v>0</v>
      </c>
      <c s="125">
        <f>Предпосылки!BL$235*Предпосылки!$K268*Продажи!BM33*BM$19*(1+Чувствительность!$D$20)*IFERROR(LOOKUP(Предпосылки!$H$208,$C$13:$C$15,BM$13:BM$15),1)</f>
        <v>0</v>
      </c>
    </row>
    <row r="200" spans="2:65" ht="15" customHeight="1">
      <c r="B200" s="12" t="str">
        <f t="shared" si="96"/>
        <v>Продукт 17</v>
      </c>
      <c s="124" t="str">
        <f t="shared" si="95"/>
        <v>тыс. руб.</v>
      </c>
      <c s="276">
        <f t="shared" si="97"/>
        <v>0</v>
      </c>
      <c s="125">
        <f>Предпосылки!D$235*Предпосылки!$K269*Продажи!E34*E$19*(1+Чувствительность!$D$20)*IFERROR(LOOKUP(Предпосылки!$H$208,$C$13:$C$15,E$13:E$15),1)</f>
        <v>0</v>
      </c>
      <c s="125">
        <f>Предпосылки!E$235*Предпосылки!$K269*Продажи!F34*F$19*(1+Чувствительность!$D$20)*IFERROR(LOOKUP(Предпосылки!$H$208,$C$13:$C$15,F$13:F$15),1)</f>
        <v>0</v>
      </c>
      <c s="125">
        <f>Предпосылки!F$235*Предпосылки!$K269*Продажи!G34*G$19*(1+Чувствительность!$D$20)*IFERROR(LOOKUP(Предпосылки!$H$208,$C$13:$C$15,G$13:G$15),1)</f>
        <v>0</v>
      </c>
      <c s="125">
        <f>Предпосылки!G$235*Предпосылки!$K269*Продажи!H34*H$19*(1+Чувствительность!$D$20)*IFERROR(LOOKUP(Предпосылки!$H$208,$C$13:$C$15,H$13:H$15),1)</f>
        <v>0</v>
      </c>
      <c s="125">
        <f>Предпосылки!H$235*Предпосылки!$K269*Продажи!I34*I$19*(1+Чувствительность!$D$20)*IFERROR(LOOKUP(Предпосылки!$H$208,$C$13:$C$15,I$13:I$15),1)</f>
        <v>0</v>
      </c>
      <c s="125">
        <f>Предпосылки!I$235*Предпосылки!$K269*Продажи!J34*J$19*(1+Чувствительность!$D$20)*IFERROR(LOOKUP(Предпосылки!$H$208,$C$13:$C$15,J$13:J$15),1)</f>
        <v>0</v>
      </c>
      <c s="125">
        <f>Предпосылки!J$235*Предпосылки!$K269*Продажи!K34*K$19*(1+Чувствительность!$D$20)*IFERROR(LOOKUP(Предпосылки!$H$208,$C$13:$C$15,K$13:K$15),1)</f>
        <v>0</v>
      </c>
      <c s="125">
        <f>Предпосылки!K$235*Предпосылки!$K269*Продажи!L34*L$19*(1+Чувствительность!$D$20)*IFERROR(LOOKUP(Предпосылки!$H$208,$C$13:$C$15,L$13:L$15),1)</f>
        <v>0</v>
      </c>
      <c s="125">
        <f>Предпосылки!L$235*Предпосылки!$K269*Продажи!M34*M$19*(1+Чувствительность!$D$20)*IFERROR(LOOKUP(Предпосылки!$H$208,$C$13:$C$15,M$13:M$15),1)</f>
        <v>0</v>
      </c>
      <c s="125">
        <f>Предпосылки!M$235*Предпосылки!$K269*Продажи!N34*N$19*(1+Чувствительность!$D$20)*IFERROR(LOOKUP(Предпосылки!$H$208,$C$13:$C$15,N$13:N$15),1)</f>
        <v>0</v>
      </c>
      <c s="125">
        <f>Предпосылки!N$235*Предпосылки!$K269*Продажи!O34*O$19*(1+Чувствительность!$D$20)*IFERROR(LOOKUP(Предпосылки!$H$208,$C$13:$C$15,O$13:O$15),1)</f>
        <v>0</v>
      </c>
      <c s="125">
        <f>Предпосылки!O$235*Предпосылки!$K269*Продажи!P34*P$19*(1+Чувствительность!$D$20)*IFERROR(LOOKUP(Предпосылки!$H$208,$C$13:$C$15,P$13:P$15),1)</f>
        <v>0</v>
      </c>
      <c s="125">
        <f>Предпосылки!P$235*Предпосылки!$K269*Продажи!Q34*Q$19*(1+Чувствительность!$D$20)*IFERROR(LOOKUP(Предпосылки!$H$208,$C$13:$C$15,Q$13:Q$15),1)</f>
        <v>0</v>
      </c>
      <c s="125">
        <f>Предпосылки!Q$235*Предпосылки!$K269*Продажи!R34*R$19*(1+Чувствительность!$D$20)*IFERROR(LOOKUP(Предпосылки!$H$208,$C$13:$C$15,R$13:R$15),1)</f>
        <v>0</v>
      </c>
      <c s="125">
        <f>Предпосылки!R$235*Предпосылки!$K269*Продажи!S34*S$19*(1+Чувствительность!$D$20)*IFERROR(LOOKUP(Предпосылки!$H$208,$C$13:$C$15,S$13:S$15),1)</f>
        <v>0</v>
      </c>
      <c s="125">
        <f>Предпосылки!S$235*Предпосылки!$K269*Продажи!T34*T$19*(1+Чувствительность!$D$20)*IFERROR(LOOKUP(Предпосылки!$H$208,$C$13:$C$15,T$13:T$15),1)</f>
        <v>0</v>
      </c>
      <c s="125">
        <f>Предпосылки!T$235*Предпосылки!$K269*Продажи!U34*U$19*(1+Чувствительность!$D$20)*IFERROR(LOOKUP(Предпосылки!$H$208,$C$13:$C$15,U$13:U$15),1)</f>
        <v>0</v>
      </c>
      <c s="125">
        <f>Предпосылки!U$235*Предпосылки!$K269*Продажи!V34*V$19*(1+Чувствительность!$D$20)*IFERROR(LOOKUP(Предпосылки!$H$208,$C$13:$C$15,V$13:V$15),1)</f>
        <v>0</v>
      </c>
      <c s="125">
        <f>Предпосылки!V$235*Предпосылки!$K269*Продажи!W34*W$19*(1+Чувствительность!$D$20)*IFERROR(LOOKUP(Предпосылки!$H$208,$C$13:$C$15,W$13:W$15),1)</f>
        <v>0</v>
      </c>
      <c s="125">
        <f>Предпосылки!W$235*Предпосылки!$K269*Продажи!X34*X$19*(1+Чувствительность!$D$20)*IFERROR(LOOKUP(Предпосылки!$H$208,$C$13:$C$15,X$13:X$15),1)</f>
        <v>0</v>
      </c>
      <c s="125">
        <f>Предпосылки!X$235*Предпосылки!$K269*Продажи!Y34*Y$19*(1+Чувствительность!$D$20)*IFERROR(LOOKUP(Предпосылки!$H$208,$C$13:$C$15,Y$13:Y$15),1)</f>
        <v>0</v>
      </c>
      <c s="125">
        <f>Предпосылки!Y$235*Предпосылки!$K269*Продажи!Z34*Z$19*(1+Чувствительность!$D$20)*IFERROR(LOOKUP(Предпосылки!$H$208,$C$13:$C$15,Z$13:Z$15),1)</f>
        <v>0</v>
      </c>
      <c s="125">
        <f>Предпосылки!Z$235*Предпосылки!$K269*Продажи!AA34*AA$19*(1+Чувствительность!$D$20)*IFERROR(LOOKUP(Предпосылки!$H$208,$C$13:$C$15,AA$13:AA$15),1)</f>
        <v>0</v>
      </c>
      <c s="125">
        <f>Предпосылки!AA$235*Предпосылки!$K269*Продажи!AB34*AB$19*(1+Чувствительность!$D$20)*IFERROR(LOOKUP(Предпосылки!$H$208,$C$13:$C$15,AB$13:AB$15),1)</f>
        <v>0</v>
      </c>
      <c s="125">
        <f>Предпосылки!AB$235*Предпосылки!$K269*Продажи!AC34*AC$19*(1+Чувствительность!$D$20)*IFERROR(LOOKUP(Предпосылки!$H$208,$C$13:$C$15,AC$13:AC$15),1)</f>
        <v>0</v>
      </c>
      <c s="125">
        <f>Предпосылки!AC$235*Предпосылки!$K269*Продажи!AD34*AD$19*(1+Чувствительность!$D$20)*IFERROR(LOOKUP(Предпосылки!$H$208,$C$13:$C$15,AD$13:AD$15),1)</f>
        <v>0</v>
      </c>
      <c s="125">
        <f>Предпосылки!AD$235*Предпосылки!$K269*Продажи!AE34*AE$19*(1+Чувствительность!$D$20)*IFERROR(LOOKUP(Предпосылки!$H$208,$C$13:$C$15,AE$13:AE$15),1)</f>
        <v>0</v>
      </c>
      <c s="125">
        <f>Предпосылки!AE$235*Предпосылки!$K269*Продажи!AF34*AF$19*(1+Чувствительность!$D$20)*IFERROR(LOOKUP(Предпосылки!$H$208,$C$13:$C$15,AF$13:AF$15),1)</f>
        <v>0</v>
      </c>
      <c s="125">
        <f>Предпосылки!AF$235*Предпосылки!$K269*Продажи!AG34*AG$19*(1+Чувствительность!$D$20)*IFERROR(LOOKUP(Предпосылки!$H$208,$C$13:$C$15,AG$13:AG$15),1)</f>
        <v>0</v>
      </c>
      <c s="125">
        <f>Предпосылки!AG$235*Предпосылки!$K269*Продажи!AH34*AH$19*(1+Чувствительность!$D$20)*IFERROR(LOOKUP(Предпосылки!$H$208,$C$13:$C$15,AH$13:AH$15),1)</f>
        <v>0</v>
      </c>
      <c s="125">
        <f>Предпосылки!AH$235*Предпосылки!$K269*Продажи!AI34*AI$19*(1+Чувствительность!$D$20)*IFERROR(LOOKUP(Предпосылки!$H$208,$C$13:$C$15,AI$13:AI$15),1)</f>
        <v>0</v>
      </c>
      <c s="125">
        <f>Предпосылки!AI$235*Предпосылки!$K269*Продажи!AJ34*AJ$19*(1+Чувствительность!$D$20)*IFERROR(LOOKUP(Предпосылки!$H$208,$C$13:$C$15,AJ$13:AJ$15),1)</f>
        <v>0</v>
      </c>
      <c s="125">
        <f>Предпосылки!AJ$235*Предпосылки!$K269*Продажи!AK34*AK$19*(1+Чувствительность!$D$20)*IFERROR(LOOKUP(Предпосылки!$H$208,$C$13:$C$15,AK$13:AK$15),1)</f>
        <v>0</v>
      </c>
      <c s="125">
        <f>Предпосылки!AK$235*Предпосылки!$K269*Продажи!AL34*AL$19*(1+Чувствительность!$D$20)*IFERROR(LOOKUP(Предпосылки!$H$208,$C$13:$C$15,AL$13:AL$15),1)</f>
        <v>0</v>
      </c>
      <c s="125">
        <f>Предпосылки!AL$235*Предпосылки!$K269*Продажи!AM34*AM$19*(1+Чувствительность!$D$20)*IFERROR(LOOKUP(Предпосылки!$H$208,$C$13:$C$15,AM$13:AM$15),1)</f>
        <v>0</v>
      </c>
      <c s="125">
        <f>Предпосылки!AM$235*Предпосылки!$K269*Продажи!AN34*AN$19*(1+Чувствительность!$D$20)*IFERROR(LOOKUP(Предпосылки!$H$208,$C$13:$C$15,AN$13:AN$15),1)</f>
        <v>0</v>
      </c>
      <c s="125">
        <f>Предпосылки!AN$235*Предпосылки!$K269*Продажи!AO34*AO$19*(1+Чувствительность!$D$20)*IFERROR(LOOKUP(Предпосылки!$H$208,$C$13:$C$15,AO$13:AO$15),1)</f>
        <v>0</v>
      </c>
      <c s="125">
        <f>Предпосылки!AO$235*Предпосылки!$K269*Продажи!AP34*AP$19*(1+Чувствительность!$D$20)*IFERROR(LOOKUP(Предпосылки!$H$208,$C$13:$C$15,AP$13:AP$15),1)</f>
        <v>0</v>
      </c>
      <c s="125">
        <f>Предпосылки!AP$235*Предпосылки!$K269*Продажи!AQ34*AQ$19*(1+Чувствительность!$D$20)*IFERROR(LOOKUP(Предпосылки!$H$208,$C$13:$C$15,AQ$13:AQ$15),1)</f>
        <v>0</v>
      </c>
      <c s="125">
        <f>Предпосылки!AQ$235*Предпосылки!$K269*Продажи!AR34*AR$19*(1+Чувствительность!$D$20)*IFERROR(LOOKUP(Предпосылки!$H$208,$C$13:$C$15,AR$13:AR$15),1)</f>
        <v>0</v>
      </c>
      <c s="125">
        <f>Предпосылки!AR$235*Предпосылки!$K269*Продажи!AS34*AS$19*(1+Чувствительность!$D$20)*IFERROR(LOOKUP(Предпосылки!$H$208,$C$13:$C$15,AS$13:AS$15),1)</f>
        <v>0</v>
      </c>
      <c s="125">
        <f>Предпосылки!AS$235*Предпосылки!$K269*Продажи!AT34*AT$19*(1+Чувствительность!$D$20)*IFERROR(LOOKUP(Предпосылки!$H$208,$C$13:$C$15,AT$13:AT$15),1)</f>
        <v>0</v>
      </c>
      <c s="125">
        <f>Предпосылки!AT$235*Предпосылки!$K269*Продажи!AU34*AU$19*(1+Чувствительность!$D$20)*IFERROR(LOOKUP(Предпосылки!$H$208,$C$13:$C$15,AU$13:AU$15),1)</f>
        <v>0</v>
      </c>
      <c s="125">
        <f>Предпосылки!AU$235*Предпосылки!$K269*Продажи!AV34*AV$19*(1+Чувствительность!$D$20)*IFERROR(LOOKUP(Предпосылки!$H$208,$C$13:$C$15,AV$13:AV$15),1)</f>
        <v>0</v>
      </c>
      <c s="125">
        <f>Предпосылки!AV$235*Предпосылки!$K269*Продажи!AW34*AW$19*(1+Чувствительность!$D$20)*IFERROR(LOOKUP(Предпосылки!$H$208,$C$13:$C$15,AW$13:AW$15),1)</f>
        <v>0</v>
      </c>
      <c s="125">
        <f>Предпосылки!AW$235*Предпосылки!$K269*Продажи!AX34*AX$19*(1+Чувствительность!$D$20)*IFERROR(LOOKUP(Предпосылки!$H$208,$C$13:$C$15,AX$13:AX$15),1)</f>
        <v>0</v>
      </c>
      <c s="125">
        <f>Предпосылки!AX$235*Предпосылки!$K269*Продажи!AY34*AY$19*(1+Чувствительность!$D$20)*IFERROR(LOOKUP(Предпосылки!$H$208,$C$13:$C$15,AY$13:AY$15),1)</f>
        <v>0</v>
      </c>
      <c s="125">
        <f>Предпосылки!AY$235*Предпосылки!$K269*Продажи!AZ34*AZ$19*(1+Чувствительность!$D$20)*IFERROR(LOOKUP(Предпосылки!$H$208,$C$13:$C$15,AZ$13:AZ$15),1)</f>
        <v>0</v>
      </c>
      <c s="125">
        <f>Предпосылки!AZ$235*Предпосылки!$K269*Продажи!BA34*BA$19*(1+Чувствительность!$D$20)*IFERROR(LOOKUP(Предпосылки!$H$208,$C$13:$C$15,BA$13:BA$15),1)</f>
        <v>0</v>
      </c>
      <c s="125">
        <f>Предпосылки!BA$235*Предпосылки!$K269*Продажи!BB34*BB$19*(1+Чувствительность!$D$20)*IFERROR(LOOKUP(Предпосылки!$H$208,$C$13:$C$15,BB$13:BB$15),1)</f>
        <v>0</v>
      </c>
      <c s="125">
        <f>Предпосылки!BB$235*Предпосылки!$K269*Продажи!BC34*BC$19*(1+Чувствительность!$D$20)*IFERROR(LOOKUP(Предпосылки!$H$208,$C$13:$C$15,BC$13:BC$15),1)</f>
        <v>0</v>
      </c>
      <c s="125">
        <f>Предпосылки!BC$235*Предпосылки!$K269*Продажи!BD34*BD$19*(1+Чувствительность!$D$20)*IFERROR(LOOKUP(Предпосылки!$H$208,$C$13:$C$15,BD$13:BD$15),1)</f>
        <v>0</v>
      </c>
      <c s="125">
        <f>Предпосылки!BD$235*Предпосылки!$K269*Продажи!BE34*BE$19*(1+Чувствительность!$D$20)*IFERROR(LOOKUP(Предпосылки!$H$208,$C$13:$C$15,BE$13:BE$15),1)</f>
        <v>0</v>
      </c>
      <c s="125">
        <f>Предпосылки!BE$235*Предпосылки!$K269*Продажи!BF34*BF$19*(1+Чувствительность!$D$20)*IFERROR(LOOKUP(Предпосылки!$H$208,$C$13:$C$15,BF$13:BF$15),1)</f>
        <v>0</v>
      </c>
      <c s="125">
        <f>Предпосылки!BF$235*Предпосылки!$K269*Продажи!BG34*BG$19*(1+Чувствительность!$D$20)*IFERROR(LOOKUP(Предпосылки!$H$208,$C$13:$C$15,BG$13:BG$15),1)</f>
        <v>0</v>
      </c>
      <c s="125">
        <f>Предпосылки!BG$235*Предпосылки!$K269*Продажи!BH34*BH$19*(1+Чувствительность!$D$20)*IFERROR(LOOKUP(Предпосылки!$H$208,$C$13:$C$15,BH$13:BH$15),1)</f>
        <v>0</v>
      </c>
      <c s="125">
        <f>Предпосылки!BH$235*Предпосылки!$K269*Продажи!BI34*BI$19*(1+Чувствительность!$D$20)*IFERROR(LOOKUP(Предпосылки!$H$208,$C$13:$C$15,BI$13:BI$15),1)</f>
        <v>0</v>
      </c>
      <c s="125">
        <f>Предпосылки!BI$235*Предпосылки!$K269*Продажи!BJ34*BJ$19*(1+Чувствительность!$D$20)*IFERROR(LOOKUP(Предпосылки!$H$208,$C$13:$C$15,BJ$13:BJ$15),1)</f>
        <v>0</v>
      </c>
      <c s="125">
        <f>Предпосылки!BJ$235*Предпосылки!$K269*Продажи!BK34*BK$19*(1+Чувствительность!$D$20)*IFERROR(LOOKUP(Предпосылки!$H$208,$C$13:$C$15,BK$13:BK$15),1)</f>
        <v>0</v>
      </c>
      <c s="125">
        <f>Предпосылки!BK$235*Предпосылки!$K269*Продажи!BL34*BL$19*(1+Чувствительность!$D$20)*IFERROR(LOOKUP(Предпосылки!$H$208,$C$13:$C$15,BL$13:BL$15),1)</f>
        <v>0</v>
      </c>
      <c s="125">
        <f>Предпосылки!BL$235*Предпосылки!$K269*Продажи!BM34*BM$19*(1+Чувствительность!$D$20)*IFERROR(LOOKUP(Предпосылки!$H$208,$C$13:$C$15,BM$13:BM$15),1)</f>
        <v>0</v>
      </c>
    </row>
    <row r="201" spans="2:65" ht="15" customHeight="1">
      <c r="B201" s="12" t="str">
        <f t="shared" si="96"/>
        <v>Продукт 18</v>
      </c>
      <c s="124" t="str">
        <f t="shared" si="95"/>
        <v>тыс. руб.</v>
      </c>
      <c s="276">
        <f t="shared" si="97"/>
        <v>0</v>
      </c>
      <c s="125">
        <f>Предпосылки!D$235*Предпосылки!$K270*Продажи!E35*E$19*(1+Чувствительность!$D$20)*IFERROR(LOOKUP(Предпосылки!$H$208,$C$13:$C$15,E$13:E$15),1)</f>
        <v>0</v>
      </c>
      <c s="125">
        <f>Предпосылки!E$235*Предпосылки!$K270*Продажи!F35*F$19*(1+Чувствительность!$D$20)*IFERROR(LOOKUP(Предпосылки!$H$208,$C$13:$C$15,F$13:F$15),1)</f>
        <v>0</v>
      </c>
      <c s="125">
        <f>Предпосылки!F$235*Предпосылки!$K270*Продажи!G35*G$19*(1+Чувствительность!$D$20)*IFERROR(LOOKUP(Предпосылки!$H$208,$C$13:$C$15,G$13:G$15),1)</f>
        <v>0</v>
      </c>
      <c s="125">
        <f>Предпосылки!G$235*Предпосылки!$K270*Продажи!H35*H$19*(1+Чувствительность!$D$20)*IFERROR(LOOKUP(Предпосылки!$H$208,$C$13:$C$15,H$13:H$15),1)</f>
        <v>0</v>
      </c>
      <c s="125">
        <f>Предпосылки!H$235*Предпосылки!$K270*Продажи!I35*I$19*(1+Чувствительность!$D$20)*IFERROR(LOOKUP(Предпосылки!$H$208,$C$13:$C$15,I$13:I$15),1)</f>
        <v>0</v>
      </c>
      <c s="125">
        <f>Предпосылки!I$235*Предпосылки!$K270*Продажи!J35*J$19*(1+Чувствительность!$D$20)*IFERROR(LOOKUP(Предпосылки!$H$208,$C$13:$C$15,J$13:J$15),1)</f>
        <v>0</v>
      </c>
      <c s="125">
        <f>Предпосылки!J$235*Предпосылки!$K270*Продажи!K35*K$19*(1+Чувствительность!$D$20)*IFERROR(LOOKUP(Предпосылки!$H$208,$C$13:$C$15,K$13:K$15),1)</f>
        <v>0</v>
      </c>
      <c s="125">
        <f>Предпосылки!K$235*Предпосылки!$K270*Продажи!L35*L$19*(1+Чувствительность!$D$20)*IFERROR(LOOKUP(Предпосылки!$H$208,$C$13:$C$15,L$13:L$15),1)</f>
        <v>0</v>
      </c>
      <c s="125">
        <f>Предпосылки!L$235*Предпосылки!$K270*Продажи!M35*M$19*(1+Чувствительность!$D$20)*IFERROR(LOOKUP(Предпосылки!$H$208,$C$13:$C$15,M$13:M$15),1)</f>
        <v>0</v>
      </c>
      <c s="125">
        <f>Предпосылки!M$235*Предпосылки!$K270*Продажи!N35*N$19*(1+Чувствительность!$D$20)*IFERROR(LOOKUP(Предпосылки!$H$208,$C$13:$C$15,N$13:N$15),1)</f>
        <v>0</v>
      </c>
      <c s="125">
        <f>Предпосылки!N$235*Предпосылки!$K270*Продажи!O35*O$19*(1+Чувствительность!$D$20)*IFERROR(LOOKUP(Предпосылки!$H$208,$C$13:$C$15,O$13:O$15),1)</f>
        <v>0</v>
      </c>
      <c s="125">
        <f>Предпосылки!O$235*Предпосылки!$K270*Продажи!P35*P$19*(1+Чувствительность!$D$20)*IFERROR(LOOKUP(Предпосылки!$H$208,$C$13:$C$15,P$13:P$15),1)</f>
        <v>0</v>
      </c>
      <c s="125">
        <f>Предпосылки!P$235*Предпосылки!$K270*Продажи!Q35*Q$19*(1+Чувствительность!$D$20)*IFERROR(LOOKUP(Предпосылки!$H$208,$C$13:$C$15,Q$13:Q$15),1)</f>
        <v>0</v>
      </c>
      <c s="125">
        <f>Предпосылки!Q$235*Предпосылки!$K270*Продажи!R35*R$19*(1+Чувствительность!$D$20)*IFERROR(LOOKUP(Предпосылки!$H$208,$C$13:$C$15,R$13:R$15),1)</f>
        <v>0</v>
      </c>
      <c s="125">
        <f>Предпосылки!R$235*Предпосылки!$K270*Продажи!S35*S$19*(1+Чувствительность!$D$20)*IFERROR(LOOKUP(Предпосылки!$H$208,$C$13:$C$15,S$13:S$15),1)</f>
        <v>0</v>
      </c>
      <c s="125">
        <f>Предпосылки!S$235*Предпосылки!$K270*Продажи!T35*T$19*(1+Чувствительность!$D$20)*IFERROR(LOOKUP(Предпосылки!$H$208,$C$13:$C$15,T$13:T$15),1)</f>
        <v>0</v>
      </c>
      <c s="125">
        <f>Предпосылки!T$235*Предпосылки!$K270*Продажи!U35*U$19*(1+Чувствительность!$D$20)*IFERROR(LOOKUP(Предпосылки!$H$208,$C$13:$C$15,U$13:U$15),1)</f>
        <v>0</v>
      </c>
      <c s="125">
        <f>Предпосылки!U$235*Предпосылки!$K270*Продажи!V35*V$19*(1+Чувствительность!$D$20)*IFERROR(LOOKUP(Предпосылки!$H$208,$C$13:$C$15,V$13:V$15),1)</f>
        <v>0</v>
      </c>
      <c s="125">
        <f>Предпосылки!V$235*Предпосылки!$K270*Продажи!W35*W$19*(1+Чувствительность!$D$20)*IFERROR(LOOKUP(Предпосылки!$H$208,$C$13:$C$15,W$13:W$15),1)</f>
        <v>0</v>
      </c>
      <c s="125">
        <f>Предпосылки!W$235*Предпосылки!$K270*Продажи!X35*X$19*(1+Чувствительность!$D$20)*IFERROR(LOOKUP(Предпосылки!$H$208,$C$13:$C$15,X$13:X$15),1)</f>
        <v>0</v>
      </c>
      <c s="125">
        <f>Предпосылки!X$235*Предпосылки!$K270*Продажи!Y35*Y$19*(1+Чувствительность!$D$20)*IFERROR(LOOKUP(Предпосылки!$H$208,$C$13:$C$15,Y$13:Y$15),1)</f>
        <v>0</v>
      </c>
      <c s="125">
        <f>Предпосылки!Y$235*Предпосылки!$K270*Продажи!Z35*Z$19*(1+Чувствительность!$D$20)*IFERROR(LOOKUP(Предпосылки!$H$208,$C$13:$C$15,Z$13:Z$15),1)</f>
        <v>0</v>
      </c>
      <c s="125">
        <f>Предпосылки!Z$235*Предпосылки!$K270*Продажи!AA35*AA$19*(1+Чувствительность!$D$20)*IFERROR(LOOKUP(Предпосылки!$H$208,$C$13:$C$15,AA$13:AA$15),1)</f>
        <v>0</v>
      </c>
      <c s="125">
        <f>Предпосылки!AA$235*Предпосылки!$K270*Продажи!AB35*AB$19*(1+Чувствительность!$D$20)*IFERROR(LOOKUP(Предпосылки!$H$208,$C$13:$C$15,AB$13:AB$15),1)</f>
        <v>0</v>
      </c>
      <c s="125">
        <f>Предпосылки!AB$235*Предпосылки!$K270*Продажи!AC35*AC$19*(1+Чувствительность!$D$20)*IFERROR(LOOKUP(Предпосылки!$H$208,$C$13:$C$15,AC$13:AC$15),1)</f>
        <v>0</v>
      </c>
      <c s="125">
        <f>Предпосылки!AC$235*Предпосылки!$K270*Продажи!AD35*AD$19*(1+Чувствительность!$D$20)*IFERROR(LOOKUP(Предпосылки!$H$208,$C$13:$C$15,AD$13:AD$15),1)</f>
        <v>0</v>
      </c>
      <c s="125">
        <f>Предпосылки!AD$235*Предпосылки!$K270*Продажи!AE35*AE$19*(1+Чувствительность!$D$20)*IFERROR(LOOKUP(Предпосылки!$H$208,$C$13:$C$15,AE$13:AE$15),1)</f>
        <v>0</v>
      </c>
      <c s="125">
        <f>Предпосылки!AE$235*Предпосылки!$K270*Продажи!AF35*AF$19*(1+Чувствительность!$D$20)*IFERROR(LOOKUP(Предпосылки!$H$208,$C$13:$C$15,AF$13:AF$15),1)</f>
        <v>0</v>
      </c>
      <c s="125">
        <f>Предпосылки!AF$235*Предпосылки!$K270*Продажи!AG35*AG$19*(1+Чувствительность!$D$20)*IFERROR(LOOKUP(Предпосылки!$H$208,$C$13:$C$15,AG$13:AG$15),1)</f>
        <v>0</v>
      </c>
      <c s="125">
        <f>Предпосылки!AG$235*Предпосылки!$K270*Продажи!AH35*AH$19*(1+Чувствительность!$D$20)*IFERROR(LOOKUP(Предпосылки!$H$208,$C$13:$C$15,AH$13:AH$15),1)</f>
        <v>0</v>
      </c>
      <c s="125">
        <f>Предпосылки!AH$235*Предпосылки!$K270*Продажи!AI35*AI$19*(1+Чувствительность!$D$20)*IFERROR(LOOKUP(Предпосылки!$H$208,$C$13:$C$15,AI$13:AI$15),1)</f>
        <v>0</v>
      </c>
      <c s="125">
        <f>Предпосылки!AI$235*Предпосылки!$K270*Продажи!AJ35*AJ$19*(1+Чувствительность!$D$20)*IFERROR(LOOKUP(Предпосылки!$H$208,$C$13:$C$15,AJ$13:AJ$15),1)</f>
        <v>0</v>
      </c>
      <c s="125">
        <f>Предпосылки!AJ$235*Предпосылки!$K270*Продажи!AK35*AK$19*(1+Чувствительность!$D$20)*IFERROR(LOOKUP(Предпосылки!$H$208,$C$13:$C$15,AK$13:AK$15),1)</f>
        <v>0</v>
      </c>
      <c s="125">
        <f>Предпосылки!AK$235*Предпосылки!$K270*Продажи!AL35*AL$19*(1+Чувствительность!$D$20)*IFERROR(LOOKUP(Предпосылки!$H$208,$C$13:$C$15,AL$13:AL$15),1)</f>
        <v>0</v>
      </c>
      <c s="125">
        <f>Предпосылки!AL$235*Предпосылки!$K270*Продажи!AM35*AM$19*(1+Чувствительность!$D$20)*IFERROR(LOOKUP(Предпосылки!$H$208,$C$13:$C$15,AM$13:AM$15),1)</f>
        <v>0</v>
      </c>
      <c s="125">
        <f>Предпосылки!AM$235*Предпосылки!$K270*Продажи!AN35*AN$19*(1+Чувствительность!$D$20)*IFERROR(LOOKUP(Предпосылки!$H$208,$C$13:$C$15,AN$13:AN$15),1)</f>
        <v>0</v>
      </c>
      <c s="125">
        <f>Предпосылки!AN$235*Предпосылки!$K270*Продажи!AO35*AO$19*(1+Чувствительность!$D$20)*IFERROR(LOOKUP(Предпосылки!$H$208,$C$13:$C$15,AO$13:AO$15),1)</f>
        <v>0</v>
      </c>
      <c s="125">
        <f>Предпосылки!AO$235*Предпосылки!$K270*Продажи!AP35*AP$19*(1+Чувствительность!$D$20)*IFERROR(LOOKUP(Предпосылки!$H$208,$C$13:$C$15,AP$13:AP$15),1)</f>
        <v>0</v>
      </c>
      <c s="125">
        <f>Предпосылки!AP$235*Предпосылки!$K270*Продажи!AQ35*AQ$19*(1+Чувствительность!$D$20)*IFERROR(LOOKUP(Предпосылки!$H$208,$C$13:$C$15,AQ$13:AQ$15),1)</f>
        <v>0</v>
      </c>
      <c s="125">
        <f>Предпосылки!AQ$235*Предпосылки!$K270*Продажи!AR35*AR$19*(1+Чувствительность!$D$20)*IFERROR(LOOKUP(Предпосылки!$H$208,$C$13:$C$15,AR$13:AR$15),1)</f>
        <v>0</v>
      </c>
      <c s="125">
        <f>Предпосылки!AR$235*Предпосылки!$K270*Продажи!AS35*AS$19*(1+Чувствительность!$D$20)*IFERROR(LOOKUP(Предпосылки!$H$208,$C$13:$C$15,AS$13:AS$15),1)</f>
        <v>0</v>
      </c>
      <c s="125">
        <f>Предпосылки!AS$235*Предпосылки!$K270*Продажи!AT35*AT$19*(1+Чувствительность!$D$20)*IFERROR(LOOKUP(Предпосылки!$H$208,$C$13:$C$15,AT$13:AT$15),1)</f>
        <v>0</v>
      </c>
      <c s="125">
        <f>Предпосылки!AT$235*Предпосылки!$K270*Продажи!AU35*AU$19*(1+Чувствительность!$D$20)*IFERROR(LOOKUP(Предпосылки!$H$208,$C$13:$C$15,AU$13:AU$15),1)</f>
        <v>0</v>
      </c>
      <c s="125">
        <f>Предпосылки!AU$235*Предпосылки!$K270*Продажи!AV35*AV$19*(1+Чувствительность!$D$20)*IFERROR(LOOKUP(Предпосылки!$H$208,$C$13:$C$15,AV$13:AV$15),1)</f>
        <v>0</v>
      </c>
      <c s="125">
        <f>Предпосылки!AV$235*Предпосылки!$K270*Продажи!AW35*AW$19*(1+Чувствительность!$D$20)*IFERROR(LOOKUP(Предпосылки!$H$208,$C$13:$C$15,AW$13:AW$15),1)</f>
        <v>0</v>
      </c>
      <c s="125">
        <f>Предпосылки!AW$235*Предпосылки!$K270*Продажи!AX35*AX$19*(1+Чувствительность!$D$20)*IFERROR(LOOKUP(Предпосылки!$H$208,$C$13:$C$15,AX$13:AX$15),1)</f>
        <v>0</v>
      </c>
      <c s="125">
        <f>Предпосылки!AX$235*Предпосылки!$K270*Продажи!AY35*AY$19*(1+Чувствительность!$D$20)*IFERROR(LOOKUP(Предпосылки!$H$208,$C$13:$C$15,AY$13:AY$15),1)</f>
        <v>0</v>
      </c>
      <c s="125">
        <f>Предпосылки!AY$235*Предпосылки!$K270*Продажи!AZ35*AZ$19*(1+Чувствительность!$D$20)*IFERROR(LOOKUP(Предпосылки!$H$208,$C$13:$C$15,AZ$13:AZ$15),1)</f>
        <v>0</v>
      </c>
      <c s="125">
        <f>Предпосылки!AZ$235*Предпосылки!$K270*Продажи!BA35*BA$19*(1+Чувствительность!$D$20)*IFERROR(LOOKUP(Предпосылки!$H$208,$C$13:$C$15,BA$13:BA$15),1)</f>
        <v>0</v>
      </c>
      <c s="125">
        <f>Предпосылки!BA$235*Предпосылки!$K270*Продажи!BB35*BB$19*(1+Чувствительность!$D$20)*IFERROR(LOOKUP(Предпосылки!$H$208,$C$13:$C$15,BB$13:BB$15),1)</f>
        <v>0</v>
      </c>
      <c s="125">
        <f>Предпосылки!BB$235*Предпосылки!$K270*Продажи!BC35*BC$19*(1+Чувствительность!$D$20)*IFERROR(LOOKUP(Предпосылки!$H$208,$C$13:$C$15,BC$13:BC$15),1)</f>
        <v>0</v>
      </c>
      <c s="125">
        <f>Предпосылки!BC$235*Предпосылки!$K270*Продажи!BD35*BD$19*(1+Чувствительность!$D$20)*IFERROR(LOOKUP(Предпосылки!$H$208,$C$13:$C$15,BD$13:BD$15),1)</f>
        <v>0</v>
      </c>
      <c s="125">
        <f>Предпосылки!BD$235*Предпосылки!$K270*Продажи!BE35*BE$19*(1+Чувствительность!$D$20)*IFERROR(LOOKUP(Предпосылки!$H$208,$C$13:$C$15,BE$13:BE$15),1)</f>
        <v>0</v>
      </c>
      <c s="125">
        <f>Предпосылки!BE$235*Предпосылки!$K270*Продажи!BF35*BF$19*(1+Чувствительность!$D$20)*IFERROR(LOOKUP(Предпосылки!$H$208,$C$13:$C$15,BF$13:BF$15),1)</f>
        <v>0</v>
      </c>
      <c s="125">
        <f>Предпосылки!BF$235*Предпосылки!$K270*Продажи!BG35*BG$19*(1+Чувствительность!$D$20)*IFERROR(LOOKUP(Предпосылки!$H$208,$C$13:$C$15,BG$13:BG$15),1)</f>
        <v>0</v>
      </c>
      <c s="125">
        <f>Предпосылки!BG$235*Предпосылки!$K270*Продажи!BH35*BH$19*(1+Чувствительность!$D$20)*IFERROR(LOOKUP(Предпосылки!$H$208,$C$13:$C$15,BH$13:BH$15),1)</f>
        <v>0</v>
      </c>
      <c s="125">
        <f>Предпосылки!BH$235*Предпосылки!$K270*Продажи!BI35*BI$19*(1+Чувствительность!$D$20)*IFERROR(LOOKUP(Предпосылки!$H$208,$C$13:$C$15,BI$13:BI$15),1)</f>
        <v>0</v>
      </c>
      <c s="125">
        <f>Предпосылки!BI$235*Предпосылки!$K270*Продажи!BJ35*BJ$19*(1+Чувствительность!$D$20)*IFERROR(LOOKUP(Предпосылки!$H$208,$C$13:$C$15,BJ$13:BJ$15),1)</f>
        <v>0</v>
      </c>
      <c s="125">
        <f>Предпосылки!BJ$235*Предпосылки!$K270*Продажи!BK35*BK$19*(1+Чувствительность!$D$20)*IFERROR(LOOKUP(Предпосылки!$H$208,$C$13:$C$15,BK$13:BK$15),1)</f>
        <v>0</v>
      </c>
      <c s="125">
        <f>Предпосылки!BK$235*Предпосылки!$K270*Продажи!BL35*BL$19*(1+Чувствительность!$D$20)*IFERROR(LOOKUP(Предпосылки!$H$208,$C$13:$C$15,BL$13:BL$15),1)</f>
        <v>0</v>
      </c>
      <c s="125">
        <f>Предпосылки!BL$235*Предпосылки!$K270*Продажи!BM35*BM$19*(1+Чувствительность!$D$20)*IFERROR(LOOKUP(Предпосылки!$H$208,$C$13:$C$15,BM$13:BM$15),1)</f>
        <v>0</v>
      </c>
    </row>
    <row r="202" spans="2:65" ht="15" customHeight="1">
      <c r="B202" s="12" t="str">
        <f t="shared" si="96"/>
        <v>Продукт 19</v>
      </c>
      <c s="124" t="str">
        <f t="shared" si="95"/>
        <v>тыс. руб.</v>
      </c>
      <c s="276">
        <f t="shared" si="97"/>
        <v>0</v>
      </c>
      <c s="125">
        <f>Предпосылки!D$235*Предпосылки!$K271*Продажи!E36*E$19*(1+Чувствительность!$D$20)*IFERROR(LOOKUP(Предпосылки!$H$208,$C$13:$C$15,E$13:E$15),1)</f>
        <v>0</v>
      </c>
      <c s="125">
        <f>Предпосылки!E$235*Предпосылки!$K271*Продажи!F36*F$19*(1+Чувствительность!$D$20)*IFERROR(LOOKUP(Предпосылки!$H$208,$C$13:$C$15,F$13:F$15),1)</f>
        <v>0</v>
      </c>
      <c s="125">
        <f>Предпосылки!F$235*Предпосылки!$K271*Продажи!G36*G$19*(1+Чувствительность!$D$20)*IFERROR(LOOKUP(Предпосылки!$H$208,$C$13:$C$15,G$13:G$15),1)</f>
        <v>0</v>
      </c>
      <c s="125">
        <f>Предпосылки!G$235*Предпосылки!$K271*Продажи!H36*H$19*(1+Чувствительность!$D$20)*IFERROR(LOOKUP(Предпосылки!$H$208,$C$13:$C$15,H$13:H$15),1)</f>
        <v>0</v>
      </c>
      <c s="125">
        <f>Предпосылки!H$235*Предпосылки!$K271*Продажи!I36*I$19*(1+Чувствительность!$D$20)*IFERROR(LOOKUP(Предпосылки!$H$208,$C$13:$C$15,I$13:I$15),1)</f>
        <v>0</v>
      </c>
      <c s="125">
        <f>Предпосылки!I$235*Предпосылки!$K271*Продажи!J36*J$19*(1+Чувствительность!$D$20)*IFERROR(LOOKUP(Предпосылки!$H$208,$C$13:$C$15,J$13:J$15),1)</f>
        <v>0</v>
      </c>
      <c s="125">
        <f>Предпосылки!J$235*Предпосылки!$K271*Продажи!K36*K$19*(1+Чувствительность!$D$20)*IFERROR(LOOKUP(Предпосылки!$H$208,$C$13:$C$15,K$13:K$15),1)</f>
        <v>0</v>
      </c>
      <c s="125">
        <f>Предпосылки!K$235*Предпосылки!$K271*Продажи!L36*L$19*(1+Чувствительность!$D$20)*IFERROR(LOOKUP(Предпосылки!$H$208,$C$13:$C$15,L$13:L$15),1)</f>
        <v>0</v>
      </c>
      <c s="125">
        <f>Предпосылки!L$235*Предпосылки!$K271*Продажи!M36*M$19*(1+Чувствительность!$D$20)*IFERROR(LOOKUP(Предпосылки!$H$208,$C$13:$C$15,M$13:M$15),1)</f>
        <v>0</v>
      </c>
      <c s="125">
        <f>Предпосылки!M$235*Предпосылки!$K271*Продажи!N36*N$19*(1+Чувствительность!$D$20)*IFERROR(LOOKUP(Предпосылки!$H$208,$C$13:$C$15,N$13:N$15),1)</f>
        <v>0</v>
      </c>
      <c s="125">
        <f>Предпосылки!N$235*Предпосылки!$K271*Продажи!O36*O$19*(1+Чувствительность!$D$20)*IFERROR(LOOKUP(Предпосылки!$H$208,$C$13:$C$15,O$13:O$15),1)</f>
        <v>0</v>
      </c>
      <c s="125">
        <f>Предпосылки!O$235*Предпосылки!$K271*Продажи!P36*P$19*(1+Чувствительность!$D$20)*IFERROR(LOOKUP(Предпосылки!$H$208,$C$13:$C$15,P$13:P$15),1)</f>
        <v>0</v>
      </c>
      <c s="125">
        <f>Предпосылки!P$235*Предпосылки!$K271*Продажи!Q36*Q$19*(1+Чувствительность!$D$20)*IFERROR(LOOKUP(Предпосылки!$H$208,$C$13:$C$15,Q$13:Q$15),1)</f>
        <v>0</v>
      </c>
      <c s="125">
        <f>Предпосылки!Q$235*Предпосылки!$K271*Продажи!R36*R$19*(1+Чувствительность!$D$20)*IFERROR(LOOKUP(Предпосылки!$H$208,$C$13:$C$15,R$13:R$15),1)</f>
        <v>0</v>
      </c>
      <c s="125">
        <f>Предпосылки!R$235*Предпосылки!$K271*Продажи!S36*S$19*(1+Чувствительность!$D$20)*IFERROR(LOOKUP(Предпосылки!$H$208,$C$13:$C$15,S$13:S$15),1)</f>
        <v>0</v>
      </c>
      <c s="125">
        <f>Предпосылки!S$235*Предпосылки!$K271*Продажи!T36*T$19*(1+Чувствительность!$D$20)*IFERROR(LOOKUP(Предпосылки!$H$208,$C$13:$C$15,T$13:T$15),1)</f>
        <v>0</v>
      </c>
      <c s="125">
        <f>Предпосылки!T$235*Предпосылки!$K271*Продажи!U36*U$19*(1+Чувствительность!$D$20)*IFERROR(LOOKUP(Предпосылки!$H$208,$C$13:$C$15,U$13:U$15),1)</f>
        <v>0</v>
      </c>
      <c s="125">
        <f>Предпосылки!U$235*Предпосылки!$K271*Продажи!V36*V$19*(1+Чувствительность!$D$20)*IFERROR(LOOKUP(Предпосылки!$H$208,$C$13:$C$15,V$13:V$15),1)</f>
        <v>0</v>
      </c>
      <c s="125">
        <f>Предпосылки!V$235*Предпосылки!$K271*Продажи!W36*W$19*(1+Чувствительность!$D$20)*IFERROR(LOOKUP(Предпосылки!$H$208,$C$13:$C$15,W$13:W$15),1)</f>
        <v>0</v>
      </c>
      <c s="125">
        <f>Предпосылки!W$235*Предпосылки!$K271*Продажи!X36*X$19*(1+Чувствительность!$D$20)*IFERROR(LOOKUP(Предпосылки!$H$208,$C$13:$C$15,X$13:X$15),1)</f>
        <v>0</v>
      </c>
      <c s="125">
        <f>Предпосылки!X$235*Предпосылки!$K271*Продажи!Y36*Y$19*(1+Чувствительность!$D$20)*IFERROR(LOOKUP(Предпосылки!$H$208,$C$13:$C$15,Y$13:Y$15),1)</f>
        <v>0</v>
      </c>
      <c s="125">
        <f>Предпосылки!Y$235*Предпосылки!$K271*Продажи!Z36*Z$19*(1+Чувствительность!$D$20)*IFERROR(LOOKUP(Предпосылки!$H$208,$C$13:$C$15,Z$13:Z$15),1)</f>
        <v>0</v>
      </c>
      <c s="125">
        <f>Предпосылки!Z$235*Предпосылки!$K271*Продажи!AA36*AA$19*(1+Чувствительность!$D$20)*IFERROR(LOOKUP(Предпосылки!$H$208,$C$13:$C$15,AA$13:AA$15),1)</f>
        <v>0</v>
      </c>
      <c s="125">
        <f>Предпосылки!AA$235*Предпосылки!$K271*Продажи!AB36*AB$19*(1+Чувствительность!$D$20)*IFERROR(LOOKUP(Предпосылки!$H$208,$C$13:$C$15,AB$13:AB$15),1)</f>
        <v>0</v>
      </c>
      <c s="125">
        <f>Предпосылки!AB$235*Предпосылки!$K271*Продажи!AC36*AC$19*(1+Чувствительность!$D$20)*IFERROR(LOOKUP(Предпосылки!$H$208,$C$13:$C$15,AC$13:AC$15),1)</f>
        <v>0</v>
      </c>
      <c s="125">
        <f>Предпосылки!AC$235*Предпосылки!$K271*Продажи!AD36*AD$19*(1+Чувствительность!$D$20)*IFERROR(LOOKUP(Предпосылки!$H$208,$C$13:$C$15,AD$13:AD$15),1)</f>
        <v>0</v>
      </c>
      <c s="125">
        <f>Предпосылки!AD$235*Предпосылки!$K271*Продажи!AE36*AE$19*(1+Чувствительность!$D$20)*IFERROR(LOOKUP(Предпосылки!$H$208,$C$13:$C$15,AE$13:AE$15),1)</f>
        <v>0</v>
      </c>
      <c s="125">
        <f>Предпосылки!AE$235*Предпосылки!$K271*Продажи!AF36*AF$19*(1+Чувствительность!$D$20)*IFERROR(LOOKUP(Предпосылки!$H$208,$C$13:$C$15,AF$13:AF$15),1)</f>
        <v>0</v>
      </c>
      <c s="125">
        <f>Предпосылки!AF$235*Предпосылки!$K271*Продажи!AG36*AG$19*(1+Чувствительность!$D$20)*IFERROR(LOOKUP(Предпосылки!$H$208,$C$13:$C$15,AG$13:AG$15),1)</f>
        <v>0</v>
      </c>
      <c s="125">
        <f>Предпосылки!AG$235*Предпосылки!$K271*Продажи!AH36*AH$19*(1+Чувствительность!$D$20)*IFERROR(LOOKUP(Предпосылки!$H$208,$C$13:$C$15,AH$13:AH$15),1)</f>
        <v>0</v>
      </c>
      <c s="125">
        <f>Предпосылки!AH$235*Предпосылки!$K271*Продажи!AI36*AI$19*(1+Чувствительность!$D$20)*IFERROR(LOOKUP(Предпосылки!$H$208,$C$13:$C$15,AI$13:AI$15),1)</f>
        <v>0</v>
      </c>
      <c s="125">
        <f>Предпосылки!AI$235*Предпосылки!$K271*Продажи!AJ36*AJ$19*(1+Чувствительность!$D$20)*IFERROR(LOOKUP(Предпосылки!$H$208,$C$13:$C$15,AJ$13:AJ$15),1)</f>
        <v>0</v>
      </c>
      <c s="125">
        <f>Предпосылки!AJ$235*Предпосылки!$K271*Продажи!AK36*AK$19*(1+Чувствительность!$D$20)*IFERROR(LOOKUP(Предпосылки!$H$208,$C$13:$C$15,AK$13:AK$15),1)</f>
        <v>0</v>
      </c>
      <c s="125">
        <f>Предпосылки!AK$235*Предпосылки!$K271*Продажи!AL36*AL$19*(1+Чувствительность!$D$20)*IFERROR(LOOKUP(Предпосылки!$H$208,$C$13:$C$15,AL$13:AL$15),1)</f>
        <v>0</v>
      </c>
      <c s="125">
        <f>Предпосылки!AL$235*Предпосылки!$K271*Продажи!AM36*AM$19*(1+Чувствительность!$D$20)*IFERROR(LOOKUP(Предпосылки!$H$208,$C$13:$C$15,AM$13:AM$15),1)</f>
        <v>0</v>
      </c>
      <c s="125">
        <f>Предпосылки!AM$235*Предпосылки!$K271*Продажи!AN36*AN$19*(1+Чувствительность!$D$20)*IFERROR(LOOKUP(Предпосылки!$H$208,$C$13:$C$15,AN$13:AN$15),1)</f>
        <v>0</v>
      </c>
      <c s="125">
        <f>Предпосылки!AN$235*Предпосылки!$K271*Продажи!AO36*AO$19*(1+Чувствительность!$D$20)*IFERROR(LOOKUP(Предпосылки!$H$208,$C$13:$C$15,AO$13:AO$15),1)</f>
        <v>0</v>
      </c>
      <c s="125">
        <f>Предпосылки!AO$235*Предпосылки!$K271*Продажи!AP36*AP$19*(1+Чувствительность!$D$20)*IFERROR(LOOKUP(Предпосылки!$H$208,$C$13:$C$15,AP$13:AP$15),1)</f>
        <v>0</v>
      </c>
      <c s="125">
        <f>Предпосылки!AP$235*Предпосылки!$K271*Продажи!AQ36*AQ$19*(1+Чувствительность!$D$20)*IFERROR(LOOKUP(Предпосылки!$H$208,$C$13:$C$15,AQ$13:AQ$15),1)</f>
        <v>0</v>
      </c>
      <c s="125">
        <f>Предпосылки!AQ$235*Предпосылки!$K271*Продажи!AR36*AR$19*(1+Чувствительность!$D$20)*IFERROR(LOOKUP(Предпосылки!$H$208,$C$13:$C$15,AR$13:AR$15),1)</f>
        <v>0</v>
      </c>
      <c s="125">
        <f>Предпосылки!AR$235*Предпосылки!$K271*Продажи!AS36*AS$19*(1+Чувствительность!$D$20)*IFERROR(LOOKUP(Предпосылки!$H$208,$C$13:$C$15,AS$13:AS$15),1)</f>
        <v>0</v>
      </c>
      <c s="125">
        <f>Предпосылки!AS$235*Предпосылки!$K271*Продажи!AT36*AT$19*(1+Чувствительность!$D$20)*IFERROR(LOOKUP(Предпосылки!$H$208,$C$13:$C$15,AT$13:AT$15),1)</f>
        <v>0</v>
      </c>
      <c s="125">
        <f>Предпосылки!AT$235*Предпосылки!$K271*Продажи!AU36*AU$19*(1+Чувствительность!$D$20)*IFERROR(LOOKUP(Предпосылки!$H$208,$C$13:$C$15,AU$13:AU$15),1)</f>
        <v>0</v>
      </c>
      <c s="125">
        <f>Предпосылки!AU$235*Предпосылки!$K271*Продажи!AV36*AV$19*(1+Чувствительность!$D$20)*IFERROR(LOOKUP(Предпосылки!$H$208,$C$13:$C$15,AV$13:AV$15),1)</f>
        <v>0</v>
      </c>
      <c s="125">
        <f>Предпосылки!AV$235*Предпосылки!$K271*Продажи!AW36*AW$19*(1+Чувствительность!$D$20)*IFERROR(LOOKUP(Предпосылки!$H$208,$C$13:$C$15,AW$13:AW$15),1)</f>
        <v>0</v>
      </c>
      <c s="125">
        <f>Предпосылки!AW$235*Предпосылки!$K271*Продажи!AX36*AX$19*(1+Чувствительность!$D$20)*IFERROR(LOOKUP(Предпосылки!$H$208,$C$13:$C$15,AX$13:AX$15),1)</f>
        <v>0</v>
      </c>
      <c s="125">
        <f>Предпосылки!AX$235*Предпосылки!$K271*Продажи!AY36*AY$19*(1+Чувствительность!$D$20)*IFERROR(LOOKUP(Предпосылки!$H$208,$C$13:$C$15,AY$13:AY$15),1)</f>
        <v>0</v>
      </c>
      <c s="125">
        <f>Предпосылки!AY$235*Предпосылки!$K271*Продажи!AZ36*AZ$19*(1+Чувствительность!$D$20)*IFERROR(LOOKUP(Предпосылки!$H$208,$C$13:$C$15,AZ$13:AZ$15),1)</f>
        <v>0</v>
      </c>
      <c s="125">
        <f>Предпосылки!AZ$235*Предпосылки!$K271*Продажи!BA36*BA$19*(1+Чувствительность!$D$20)*IFERROR(LOOKUP(Предпосылки!$H$208,$C$13:$C$15,BA$13:BA$15),1)</f>
        <v>0</v>
      </c>
      <c s="125">
        <f>Предпосылки!BA$235*Предпосылки!$K271*Продажи!BB36*BB$19*(1+Чувствительность!$D$20)*IFERROR(LOOKUP(Предпосылки!$H$208,$C$13:$C$15,BB$13:BB$15),1)</f>
        <v>0</v>
      </c>
      <c s="125">
        <f>Предпосылки!BB$235*Предпосылки!$K271*Продажи!BC36*BC$19*(1+Чувствительность!$D$20)*IFERROR(LOOKUP(Предпосылки!$H$208,$C$13:$C$15,BC$13:BC$15),1)</f>
        <v>0</v>
      </c>
      <c s="125">
        <f>Предпосылки!BC$235*Предпосылки!$K271*Продажи!BD36*BD$19*(1+Чувствительность!$D$20)*IFERROR(LOOKUP(Предпосылки!$H$208,$C$13:$C$15,BD$13:BD$15),1)</f>
        <v>0</v>
      </c>
      <c s="125">
        <f>Предпосылки!BD$235*Предпосылки!$K271*Продажи!BE36*BE$19*(1+Чувствительность!$D$20)*IFERROR(LOOKUP(Предпосылки!$H$208,$C$13:$C$15,BE$13:BE$15),1)</f>
        <v>0</v>
      </c>
      <c s="125">
        <f>Предпосылки!BE$235*Предпосылки!$K271*Продажи!BF36*BF$19*(1+Чувствительность!$D$20)*IFERROR(LOOKUP(Предпосылки!$H$208,$C$13:$C$15,BF$13:BF$15),1)</f>
        <v>0</v>
      </c>
      <c s="125">
        <f>Предпосылки!BF$235*Предпосылки!$K271*Продажи!BG36*BG$19*(1+Чувствительность!$D$20)*IFERROR(LOOKUP(Предпосылки!$H$208,$C$13:$C$15,BG$13:BG$15),1)</f>
        <v>0</v>
      </c>
      <c s="125">
        <f>Предпосылки!BG$235*Предпосылки!$K271*Продажи!BH36*BH$19*(1+Чувствительность!$D$20)*IFERROR(LOOKUP(Предпосылки!$H$208,$C$13:$C$15,BH$13:BH$15),1)</f>
        <v>0</v>
      </c>
      <c s="125">
        <f>Предпосылки!BH$235*Предпосылки!$K271*Продажи!BI36*BI$19*(1+Чувствительность!$D$20)*IFERROR(LOOKUP(Предпосылки!$H$208,$C$13:$C$15,BI$13:BI$15),1)</f>
        <v>0</v>
      </c>
      <c s="125">
        <f>Предпосылки!BI$235*Предпосылки!$K271*Продажи!BJ36*BJ$19*(1+Чувствительность!$D$20)*IFERROR(LOOKUP(Предпосылки!$H$208,$C$13:$C$15,BJ$13:BJ$15),1)</f>
        <v>0</v>
      </c>
      <c s="125">
        <f>Предпосылки!BJ$235*Предпосылки!$K271*Продажи!BK36*BK$19*(1+Чувствительность!$D$20)*IFERROR(LOOKUP(Предпосылки!$H$208,$C$13:$C$15,BK$13:BK$15),1)</f>
        <v>0</v>
      </c>
      <c s="125">
        <f>Предпосылки!BK$235*Предпосылки!$K271*Продажи!BL36*BL$19*(1+Чувствительность!$D$20)*IFERROR(LOOKUP(Предпосылки!$H$208,$C$13:$C$15,BL$13:BL$15),1)</f>
        <v>0</v>
      </c>
      <c s="125">
        <f>Предпосылки!BL$235*Предпосылки!$K271*Продажи!BM36*BM$19*(1+Чувствительность!$D$20)*IFERROR(LOOKUP(Предпосылки!$H$208,$C$13:$C$15,BM$13:BM$15),1)</f>
        <v>0</v>
      </c>
    </row>
    <row r="203" spans="2:65" ht="15" customHeight="1">
      <c r="B203" s="12" t="str">
        <f t="shared" si="96"/>
        <v>Продукт 20</v>
      </c>
      <c s="124" t="str">
        <f t="shared" si="95"/>
        <v>тыс. руб.</v>
      </c>
      <c s="276">
        <f t="shared" si="97"/>
        <v>0</v>
      </c>
      <c s="125">
        <f>Предпосылки!D$235*Предпосылки!$K272*Продажи!E37*E$19*(1+Чувствительность!$D$20)*IFERROR(LOOKUP(Предпосылки!$H$208,$C$13:$C$15,E$13:E$15),1)</f>
        <v>0</v>
      </c>
      <c s="125">
        <f>Предпосылки!E$235*Предпосылки!$K272*Продажи!F37*F$19*(1+Чувствительность!$D$20)*IFERROR(LOOKUP(Предпосылки!$H$208,$C$13:$C$15,F$13:F$15),1)</f>
        <v>0</v>
      </c>
      <c s="125">
        <f>Предпосылки!F$235*Предпосылки!$K272*Продажи!G37*G$19*(1+Чувствительность!$D$20)*IFERROR(LOOKUP(Предпосылки!$H$208,$C$13:$C$15,G$13:G$15),1)</f>
        <v>0</v>
      </c>
      <c s="125">
        <f>Предпосылки!G$235*Предпосылки!$K272*Продажи!H37*H$19*(1+Чувствительность!$D$20)*IFERROR(LOOKUP(Предпосылки!$H$208,$C$13:$C$15,H$13:H$15),1)</f>
        <v>0</v>
      </c>
      <c s="125">
        <f>Предпосылки!H$235*Предпосылки!$K272*Продажи!I37*I$19*(1+Чувствительность!$D$20)*IFERROR(LOOKUP(Предпосылки!$H$208,$C$13:$C$15,I$13:I$15),1)</f>
        <v>0</v>
      </c>
      <c s="125">
        <f>Предпосылки!I$235*Предпосылки!$K272*Продажи!J37*J$19*(1+Чувствительность!$D$20)*IFERROR(LOOKUP(Предпосылки!$H$208,$C$13:$C$15,J$13:J$15),1)</f>
        <v>0</v>
      </c>
      <c s="125">
        <f>Предпосылки!J$235*Предпосылки!$K272*Продажи!K37*K$19*(1+Чувствительность!$D$20)*IFERROR(LOOKUP(Предпосылки!$H$208,$C$13:$C$15,K$13:K$15),1)</f>
        <v>0</v>
      </c>
      <c s="125">
        <f>Предпосылки!K$235*Предпосылки!$K272*Продажи!L37*L$19*(1+Чувствительность!$D$20)*IFERROR(LOOKUP(Предпосылки!$H$208,$C$13:$C$15,L$13:L$15),1)</f>
        <v>0</v>
      </c>
      <c s="125">
        <f>Предпосылки!L$235*Предпосылки!$K272*Продажи!M37*M$19*(1+Чувствительность!$D$20)*IFERROR(LOOKUP(Предпосылки!$H$208,$C$13:$C$15,M$13:M$15),1)</f>
        <v>0</v>
      </c>
      <c s="125">
        <f>Предпосылки!M$235*Предпосылки!$K272*Продажи!N37*N$19*(1+Чувствительность!$D$20)*IFERROR(LOOKUP(Предпосылки!$H$208,$C$13:$C$15,N$13:N$15),1)</f>
        <v>0</v>
      </c>
      <c s="125">
        <f>Предпосылки!N$235*Предпосылки!$K272*Продажи!O37*O$19*(1+Чувствительность!$D$20)*IFERROR(LOOKUP(Предпосылки!$H$208,$C$13:$C$15,O$13:O$15),1)</f>
        <v>0</v>
      </c>
      <c s="125">
        <f>Предпосылки!O$235*Предпосылки!$K272*Продажи!P37*P$19*(1+Чувствительность!$D$20)*IFERROR(LOOKUP(Предпосылки!$H$208,$C$13:$C$15,P$13:P$15),1)</f>
        <v>0</v>
      </c>
      <c s="125">
        <f>Предпосылки!P$235*Предпосылки!$K272*Продажи!Q37*Q$19*(1+Чувствительность!$D$20)*IFERROR(LOOKUP(Предпосылки!$H$208,$C$13:$C$15,Q$13:Q$15),1)</f>
        <v>0</v>
      </c>
      <c s="125">
        <f>Предпосылки!Q$235*Предпосылки!$K272*Продажи!R37*R$19*(1+Чувствительность!$D$20)*IFERROR(LOOKUP(Предпосылки!$H$208,$C$13:$C$15,R$13:R$15),1)</f>
        <v>0</v>
      </c>
      <c s="125">
        <f>Предпосылки!R$235*Предпосылки!$K272*Продажи!S37*S$19*(1+Чувствительность!$D$20)*IFERROR(LOOKUP(Предпосылки!$H$208,$C$13:$C$15,S$13:S$15),1)</f>
        <v>0</v>
      </c>
      <c s="125">
        <f>Предпосылки!S$235*Предпосылки!$K272*Продажи!T37*T$19*(1+Чувствительность!$D$20)*IFERROR(LOOKUP(Предпосылки!$H$208,$C$13:$C$15,T$13:T$15),1)</f>
        <v>0</v>
      </c>
      <c s="125">
        <f>Предпосылки!T$235*Предпосылки!$K272*Продажи!U37*U$19*(1+Чувствительность!$D$20)*IFERROR(LOOKUP(Предпосылки!$H$208,$C$13:$C$15,U$13:U$15),1)</f>
        <v>0</v>
      </c>
      <c s="125">
        <f>Предпосылки!U$235*Предпосылки!$K272*Продажи!V37*V$19*(1+Чувствительность!$D$20)*IFERROR(LOOKUP(Предпосылки!$H$208,$C$13:$C$15,V$13:V$15),1)</f>
        <v>0</v>
      </c>
      <c s="125">
        <f>Предпосылки!V$235*Предпосылки!$K272*Продажи!W37*W$19*(1+Чувствительность!$D$20)*IFERROR(LOOKUP(Предпосылки!$H$208,$C$13:$C$15,W$13:W$15),1)</f>
        <v>0</v>
      </c>
      <c s="125">
        <f>Предпосылки!W$235*Предпосылки!$K272*Продажи!X37*X$19*(1+Чувствительность!$D$20)*IFERROR(LOOKUP(Предпосылки!$H$208,$C$13:$C$15,X$13:X$15),1)</f>
        <v>0</v>
      </c>
      <c s="125">
        <f>Предпосылки!X$235*Предпосылки!$K272*Продажи!Y37*Y$19*(1+Чувствительность!$D$20)*IFERROR(LOOKUP(Предпосылки!$H$208,$C$13:$C$15,Y$13:Y$15),1)</f>
        <v>0</v>
      </c>
      <c s="125">
        <f>Предпосылки!Y$235*Предпосылки!$K272*Продажи!Z37*Z$19*(1+Чувствительность!$D$20)*IFERROR(LOOKUP(Предпосылки!$H$208,$C$13:$C$15,Z$13:Z$15),1)</f>
        <v>0</v>
      </c>
      <c s="125">
        <f>Предпосылки!Z$235*Предпосылки!$K272*Продажи!AA37*AA$19*(1+Чувствительность!$D$20)*IFERROR(LOOKUP(Предпосылки!$H$208,$C$13:$C$15,AA$13:AA$15),1)</f>
        <v>0</v>
      </c>
      <c s="125">
        <f>Предпосылки!AA$235*Предпосылки!$K272*Продажи!AB37*AB$19*(1+Чувствительность!$D$20)*IFERROR(LOOKUP(Предпосылки!$H$208,$C$13:$C$15,AB$13:AB$15),1)</f>
        <v>0</v>
      </c>
      <c s="125">
        <f>Предпосылки!AB$235*Предпосылки!$K272*Продажи!AC37*AC$19*(1+Чувствительность!$D$20)*IFERROR(LOOKUP(Предпосылки!$H$208,$C$13:$C$15,AC$13:AC$15),1)</f>
        <v>0</v>
      </c>
      <c s="125">
        <f>Предпосылки!AC$235*Предпосылки!$K272*Продажи!AD37*AD$19*(1+Чувствительность!$D$20)*IFERROR(LOOKUP(Предпосылки!$H$208,$C$13:$C$15,AD$13:AD$15),1)</f>
        <v>0</v>
      </c>
      <c s="125">
        <f>Предпосылки!AD$235*Предпосылки!$K272*Продажи!AE37*AE$19*(1+Чувствительность!$D$20)*IFERROR(LOOKUP(Предпосылки!$H$208,$C$13:$C$15,AE$13:AE$15),1)</f>
        <v>0</v>
      </c>
      <c s="125">
        <f>Предпосылки!AE$235*Предпосылки!$K272*Продажи!AF37*AF$19*(1+Чувствительность!$D$20)*IFERROR(LOOKUP(Предпосылки!$H$208,$C$13:$C$15,AF$13:AF$15),1)</f>
        <v>0</v>
      </c>
      <c s="125">
        <f>Предпосылки!AF$235*Предпосылки!$K272*Продажи!AG37*AG$19*(1+Чувствительность!$D$20)*IFERROR(LOOKUP(Предпосылки!$H$208,$C$13:$C$15,AG$13:AG$15),1)</f>
        <v>0</v>
      </c>
      <c s="125">
        <f>Предпосылки!AG$235*Предпосылки!$K272*Продажи!AH37*AH$19*(1+Чувствительность!$D$20)*IFERROR(LOOKUP(Предпосылки!$H$208,$C$13:$C$15,AH$13:AH$15),1)</f>
        <v>0</v>
      </c>
      <c s="125">
        <f>Предпосылки!AH$235*Предпосылки!$K272*Продажи!AI37*AI$19*(1+Чувствительность!$D$20)*IFERROR(LOOKUP(Предпосылки!$H$208,$C$13:$C$15,AI$13:AI$15),1)</f>
        <v>0</v>
      </c>
      <c s="125">
        <f>Предпосылки!AI$235*Предпосылки!$K272*Продажи!AJ37*AJ$19*(1+Чувствительность!$D$20)*IFERROR(LOOKUP(Предпосылки!$H$208,$C$13:$C$15,AJ$13:AJ$15),1)</f>
        <v>0</v>
      </c>
      <c s="125">
        <f>Предпосылки!AJ$235*Предпосылки!$K272*Продажи!AK37*AK$19*(1+Чувствительность!$D$20)*IFERROR(LOOKUP(Предпосылки!$H$208,$C$13:$C$15,AK$13:AK$15),1)</f>
        <v>0</v>
      </c>
      <c s="125">
        <f>Предпосылки!AK$235*Предпосылки!$K272*Продажи!AL37*AL$19*(1+Чувствительность!$D$20)*IFERROR(LOOKUP(Предпосылки!$H$208,$C$13:$C$15,AL$13:AL$15),1)</f>
        <v>0</v>
      </c>
      <c s="125">
        <f>Предпосылки!AL$235*Предпосылки!$K272*Продажи!AM37*AM$19*(1+Чувствительность!$D$20)*IFERROR(LOOKUP(Предпосылки!$H$208,$C$13:$C$15,AM$13:AM$15),1)</f>
        <v>0</v>
      </c>
      <c s="125">
        <f>Предпосылки!AM$235*Предпосылки!$K272*Продажи!AN37*AN$19*(1+Чувствительность!$D$20)*IFERROR(LOOKUP(Предпосылки!$H$208,$C$13:$C$15,AN$13:AN$15),1)</f>
        <v>0</v>
      </c>
      <c s="125">
        <f>Предпосылки!AN$235*Предпосылки!$K272*Продажи!AO37*AO$19*(1+Чувствительность!$D$20)*IFERROR(LOOKUP(Предпосылки!$H$208,$C$13:$C$15,AO$13:AO$15),1)</f>
        <v>0</v>
      </c>
      <c s="125">
        <f>Предпосылки!AO$235*Предпосылки!$K272*Продажи!AP37*AP$19*(1+Чувствительность!$D$20)*IFERROR(LOOKUP(Предпосылки!$H$208,$C$13:$C$15,AP$13:AP$15),1)</f>
        <v>0</v>
      </c>
      <c s="125">
        <f>Предпосылки!AP$235*Предпосылки!$K272*Продажи!AQ37*AQ$19*(1+Чувствительность!$D$20)*IFERROR(LOOKUP(Предпосылки!$H$208,$C$13:$C$15,AQ$13:AQ$15),1)</f>
        <v>0</v>
      </c>
      <c s="125">
        <f>Предпосылки!AQ$235*Предпосылки!$K272*Продажи!AR37*AR$19*(1+Чувствительность!$D$20)*IFERROR(LOOKUP(Предпосылки!$H$208,$C$13:$C$15,AR$13:AR$15),1)</f>
        <v>0</v>
      </c>
      <c s="125">
        <f>Предпосылки!AR$235*Предпосылки!$K272*Продажи!AS37*AS$19*(1+Чувствительность!$D$20)*IFERROR(LOOKUP(Предпосылки!$H$208,$C$13:$C$15,AS$13:AS$15),1)</f>
        <v>0</v>
      </c>
      <c s="125">
        <f>Предпосылки!AS$235*Предпосылки!$K272*Продажи!AT37*AT$19*(1+Чувствительность!$D$20)*IFERROR(LOOKUP(Предпосылки!$H$208,$C$13:$C$15,AT$13:AT$15),1)</f>
        <v>0</v>
      </c>
      <c s="125">
        <f>Предпосылки!AT$235*Предпосылки!$K272*Продажи!AU37*AU$19*(1+Чувствительность!$D$20)*IFERROR(LOOKUP(Предпосылки!$H$208,$C$13:$C$15,AU$13:AU$15),1)</f>
        <v>0</v>
      </c>
      <c s="125">
        <f>Предпосылки!AU$235*Предпосылки!$K272*Продажи!AV37*AV$19*(1+Чувствительность!$D$20)*IFERROR(LOOKUP(Предпосылки!$H$208,$C$13:$C$15,AV$13:AV$15),1)</f>
        <v>0</v>
      </c>
      <c s="125">
        <f>Предпосылки!AV$235*Предпосылки!$K272*Продажи!AW37*AW$19*(1+Чувствительность!$D$20)*IFERROR(LOOKUP(Предпосылки!$H$208,$C$13:$C$15,AW$13:AW$15),1)</f>
        <v>0</v>
      </c>
      <c s="125">
        <f>Предпосылки!AW$235*Предпосылки!$K272*Продажи!AX37*AX$19*(1+Чувствительность!$D$20)*IFERROR(LOOKUP(Предпосылки!$H$208,$C$13:$C$15,AX$13:AX$15),1)</f>
        <v>0</v>
      </c>
      <c s="125">
        <f>Предпосылки!AX$235*Предпосылки!$K272*Продажи!AY37*AY$19*(1+Чувствительность!$D$20)*IFERROR(LOOKUP(Предпосылки!$H$208,$C$13:$C$15,AY$13:AY$15),1)</f>
        <v>0</v>
      </c>
      <c s="125">
        <f>Предпосылки!AY$235*Предпосылки!$K272*Продажи!AZ37*AZ$19*(1+Чувствительность!$D$20)*IFERROR(LOOKUP(Предпосылки!$H$208,$C$13:$C$15,AZ$13:AZ$15),1)</f>
        <v>0</v>
      </c>
      <c s="125">
        <f>Предпосылки!AZ$235*Предпосылки!$K272*Продажи!BA37*BA$19*(1+Чувствительность!$D$20)*IFERROR(LOOKUP(Предпосылки!$H$208,$C$13:$C$15,BA$13:BA$15),1)</f>
        <v>0</v>
      </c>
      <c s="125">
        <f>Предпосылки!BA$235*Предпосылки!$K272*Продажи!BB37*BB$19*(1+Чувствительность!$D$20)*IFERROR(LOOKUP(Предпосылки!$H$208,$C$13:$C$15,BB$13:BB$15),1)</f>
        <v>0</v>
      </c>
      <c s="125">
        <f>Предпосылки!BB$235*Предпосылки!$K272*Продажи!BC37*BC$19*(1+Чувствительность!$D$20)*IFERROR(LOOKUP(Предпосылки!$H$208,$C$13:$C$15,BC$13:BC$15),1)</f>
        <v>0</v>
      </c>
      <c s="125">
        <f>Предпосылки!BC$235*Предпосылки!$K272*Продажи!BD37*BD$19*(1+Чувствительность!$D$20)*IFERROR(LOOKUP(Предпосылки!$H$208,$C$13:$C$15,BD$13:BD$15),1)</f>
        <v>0</v>
      </c>
      <c s="125">
        <f>Предпосылки!BD$235*Предпосылки!$K272*Продажи!BE37*BE$19*(1+Чувствительность!$D$20)*IFERROR(LOOKUP(Предпосылки!$H$208,$C$13:$C$15,BE$13:BE$15),1)</f>
        <v>0</v>
      </c>
      <c s="125">
        <f>Предпосылки!BE$235*Предпосылки!$K272*Продажи!BF37*BF$19*(1+Чувствительность!$D$20)*IFERROR(LOOKUP(Предпосылки!$H$208,$C$13:$C$15,BF$13:BF$15),1)</f>
        <v>0</v>
      </c>
      <c s="125">
        <f>Предпосылки!BF$235*Предпосылки!$K272*Продажи!BG37*BG$19*(1+Чувствительность!$D$20)*IFERROR(LOOKUP(Предпосылки!$H$208,$C$13:$C$15,BG$13:BG$15),1)</f>
        <v>0</v>
      </c>
      <c s="125">
        <f>Предпосылки!BG$235*Предпосылки!$K272*Продажи!BH37*BH$19*(1+Чувствительность!$D$20)*IFERROR(LOOKUP(Предпосылки!$H$208,$C$13:$C$15,BH$13:BH$15),1)</f>
        <v>0</v>
      </c>
      <c s="125">
        <f>Предпосылки!BH$235*Предпосылки!$K272*Продажи!BI37*BI$19*(1+Чувствительность!$D$20)*IFERROR(LOOKUP(Предпосылки!$H$208,$C$13:$C$15,BI$13:BI$15),1)</f>
        <v>0</v>
      </c>
      <c s="125">
        <f>Предпосылки!BI$235*Предпосылки!$K272*Продажи!BJ37*BJ$19*(1+Чувствительность!$D$20)*IFERROR(LOOKUP(Предпосылки!$H$208,$C$13:$C$15,BJ$13:BJ$15),1)</f>
        <v>0</v>
      </c>
      <c s="125">
        <f>Предпосылки!BJ$235*Предпосылки!$K272*Продажи!BK37*BK$19*(1+Чувствительность!$D$20)*IFERROR(LOOKUP(Предпосылки!$H$208,$C$13:$C$15,BK$13:BK$15),1)</f>
        <v>0</v>
      </c>
      <c s="125">
        <f>Предпосылки!BK$235*Предпосылки!$K272*Продажи!BL37*BL$19*(1+Чувствительность!$D$20)*IFERROR(LOOKUP(Предпосылки!$H$208,$C$13:$C$15,BL$13:BL$15),1)</f>
        <v>0</v>
      </c>
      <c s="125">
        <f>Предпосылки!BL$235*Предпосылки!$K272*Продажи!BM37*BM$19*(1+Чувствительность!$D$20)*IFERROR(LOOKUP(Предпосылки!$H$208,$C$13:$C$15,BM$13:BM$15),1)</f>
        <v>0</v>
      </c>
    </row>
    <row r="204" spans="2:65" ht="15" customHeight="1">
      <c r="B204" s="289" t="s">
        <v>454</v>
      </c>
      <c s="290" t="str">
        <f>Единица_измерения</f>
        <v>тыс. руб.</v>
      </c>
      <c s="291">
        <f>SUM(D184:D203)</f>
        <v>0</v>
      </c>
      <c s="276">
        <f>SUM(E184:E203)</f>
        <v>0</v>
      </c>
      <c s="276">
        <f t="shared" si="98" ref="F204:AG204">SUM(F184:F203)</f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8"/>
        <v>0</v>
      </c>
      <c s="276">
        <f t="shared" si="99" ref="AH204:BM204">SUM(AH184:AH203)</f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  <c s="276">
        <f t="shared" si="99"/>
        <v>0</v>
      </c>
    </row>
    <row r="205" ht="15" customHeight="1"/>
    <row r="206" spans="2:69" ht="14.45">
      <c r="B206" s="25" t="str">
        <f>Предпосылки!B236</f>
        <v>Операционные затраты 9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07" spans="2:65" ht="15" customHeight="1">
      <c r="B207" s="12" t="str">
        <f>B184</f>
        <v>Продукт 1</v>
      </c>
      <c s="124" t="str">
        <f t="shared" si="100" ref="C207:C226">Единица_измерения</f>
        <v>тыс. руб.</v>
      </c>
      <c s="276">
        <f>SUM(E207:BM207)</f>
        <v>0</v>
      </c>
      <c s="125">
        <f>Предпосылки!D$236*Предпосылки!$L253*Продажи!E18*E$19*(1+Чувствительность!$D$20)*IFERROR(LOOKUP(Предпосылки!$H$209,$C$13:$C$15,E$13:E$15),1)</f>
        <v>0</v>
      </c>
      <c s="125">
        <f>Предпосылки!E$236*Предпосылки!$L253*Продажи!F18*F$19*(1+Чувствительность!$D$20)*IFERROR(LOOKUP(Предпосылки!$H$209,$C$13:$C$15,F$13:F$15),1)</f>
        <v>0</v>
      </c>
      <c s="125">
        <f>Предпосылки!F$236*Предпосылки!$L253*Продажи!G18*G$19*(1+Чувствительность!$D$20)*IFERROR(LOOKUP(Предпосылки!$H$209,$C$13:$C$15,G$13:G$15),1)</f>
        <v>0</v>
      </c>
      <c s="125">
        <f>Предпосылки!G$236*Предпосылки!$L253*Продажи!H18*H$19*(1+Чувствительность!$D$20)*IFERROR(LOOKUP(Предпосылки!$H$209,$C$13:$C$15,H$13:H$15),1)</f>
        <v>0</v>
      </c>
      <c s="125">
        <f>Предпосылки!H$236*Предпосылки!$L253*Продажи!I18*I$19*(1+Чувствительность!$D$20)*IFERROR(LOOKUP(Предпосылки!$H$209,$C$13:$C$15,I$13:I$15),1)</f>
        <v>0</v>
      </c>
      <c s="125">
        <f>Предпосылки!I$236*Предпосылки!$L253*Продажи!J18*J$19*(1+Чувствительность!$D$20)*IFERROR(LOOKUP(Предпосылки!$H$209,$C$13:$C$15,J$13:J$15),1)</f>
        <v>0</v>
      </c>
      <c s="125">
        <f>Предпосылки!J$236*Предпосылки!$L253*Продажи!K18*K$19*(1+Чувствительность!$D$20)*IFERROR(LOOKUP(Предпосылки!$H$209,$C$13:$C$15,K$13:K$15),1)</f>
        <v>0</v>
      </c>
      <c s="125">
        <f>Предпосылки!K$236*Предпосылки!$L253*Продажи!L18*L$19*(1+Чувствительность!$D$20)*IFERROR(LOOKUP(Предпосылки!$H$209,$C$13:$C$15,L$13:L$15),1)</f>
        <v>0</v>
      </c>
      <c s="125">
        <f>Предпосылки!L$236*Предпосылки!$L253*Продажи!M18*M$19*(1+Чувствительность!$D$20)*IFERROR(LOOKUP(Предпосылки!$H$209,$C$13:$C$15,M$13:M$15),1)</f>
        <v>0</v>
      </c>
      <c s="125">
        <f>Предпосылки!M$236*Предпосылки!$L253*Продажи!N18*N$19*(1+Чувствительность!$D$20)*IFERROR(LOOKUP(Предпосылки!$H$209,$C$13:$C$15,N$13:N$15),1)</f>
        <v>0</v>
      </c>
      <c s="125">
        <f>Предпосылки!N$236*Предпосылки!$L253*Продажи!O18*O$19*(1+Чувствительность!$D$20)*IFERROR(LOOKUP(Предпосылки!$H$209,$C$13:$C$15,O$13:O$15),1)</f>
        <v>0</v>
      </c>
      <c s="125">
        <f>Предпосылки!O$236*Предпосылки!$L253*Продажи!P18*P$19*(1+Чувствительность!$D$20)*IFERROR(LOOKUP(Предпосылки!$H$209,$C$13:$C$15,P$13:P$15),1)</f>
        <v>0</v>
      </c>
      <c s="125">
        <f>Предпосылки!P$236*Предпосылки!$L253*Продажи!Q18*Q$19*(1+Чувствительность!$D$20)*IFERROR(LOOKUP(Предпосылки!$H$209,$C$13:$C$15,Q$13:Q$15),1)</f>
        <v>0</v>
      </c>
      <c s="125">
        <f>Предпосылки!Q$236*Предпосылки!$L253*Продажи!R18*R$19*(1+Чувствительность!$D$20)*IFERROR(LOOKUP(Предпосылки!$H$209,$C$13:$C$15,R$13:R$15),1)</f>
        <v>0</v>
      </c>
      <c s="125">
        <f>Предпосылки!R$236*Предпосылки!$L253*Продажи!S18*S$19*(1+Чувствительность!$D$20)*IFERROR(LOOKUP(Предпосылки!$H$209,$C$13:$C$15,S$13:S$15),1)</f>
        <v>0</v>
      </c>
      <c s="125">
        <f>Предпосылки!S$236*Предпосылки!$L253*Продажи!T18*T$19*(1+Чувствительность!$D$20)*IFERROR(LOOKUP(Предпосылки!$H$209,$C$13:$C$15,T$13:T$15),1)</f>
        <v>0</v>
      </c>
      <c s="125">
        <f>Предпосылки!T$236*Предпосылки!$L253*Продажи!U18*U$19*(1+Чувствительность!$D$20)*IFERROR(LOOKUP(Предпосылки!$H$209,$C$13:$C$15,U$13:U$15),1)</f>
        <v>0</v>
      </c>
      <c s="125">
        <f>Предпосылки!U$236*Предпосылки!$L253*Продажи!V18*V$19*(1+Чувствительность!$D$20)*IFERROR(LOOKUP(Предпосылки!$H$209,$C$13:$C$15,V$13:V$15),1)</f>
        <v>0</v>
      </c>
      <c s="125">
        <f>Предпосылки!V$236*Предпосылки!$L253*Продажи!W18*W$19*(1+Чувствительность!$D$20)*IFERROR(LOOKUP(Предпосылки!$H$209,$C$13:$C$15,W$13:W$15),1)</f>
        <v>0</v>
      </c>
      <c s="125">
        <f>Предпосылки!W$236*Предпосылки!$L253*Продажи!X18*X$19*(1+Чувствительность!$D$20)*IFERROR(LOOKUP(Предпосылки!$H$209,$C$13:$C$15,X$13:X$15),1)</f>
        <v>0</v>
      </c>
      <c s="125">
        <f>Предпосылки!X$236*Предпосылки!$L253*Продажи!Y18*Y$19*(1+Чувствительность!$D$20)*IFERROR(LOOKUP(Предпосылки!$H$209,$C$13:$C$15,Y$13:Y$15),1)</f>
        <v>0</v>
      </c>
      <c s="125">
        <f>Предпосылки!Y$236*Предпосылки!$L253*Продажи!Z18*Z$19*(1+Чувствительность!$D$20)*IFERROR(LOOKUP(Предпосылки!$H$209,$C$13:$C$15,Z$13:Z$15),1)</f>
        <v>0</v>
      </c>
      <c s="125">
        <f>Предпосылки!Z$236*Предпосылки!$L253*Продажи!AA18*AA$19*(1+Чувствительность!$D$20)*IFERROR(LOOKUP(Предпосылки!$H$209,$C$13:$C$15,AA$13:AA$15),1)</f>
        <v>0</v>
      </c>
      <c s="125">
        <f>Предпосылки!AA$236*Предпосылки!$L253*Продажи!AB18*AB$19*(1+Чувствительность!$D$20)*IFERROR(LOOKUP(Предпосылки!$H$209,$C$13:$C$15,AB$13:AB$15),1)</f>
        <v>0</v>
      </c>
      <c s="125">
        <f>Предпосылки!AB$236*Предпосылки!$L253*Продажи!AC18*AC$19*(1+Чувствительность!$D$20)*IFERROR(LOOKUP(Предпосылки!$H$209,$C$13:$C$15,AC$13:AC$15),1)</f>
        <v>0</v>
      </c>
      <c s="125">
        <f>Предпосылки!AC$236*Предпосылки!$L253*Продажи!AD18*AD$19*(1+Чувствительность!$D$20)*IFERROR(LOOKUP(Предпосылки!$H$209,$C$13:$C$15,AD$13:AD$15),1)</f>
        <v>0</v>
      </c>
      <c s="125">
        <f>Предпосылки!AD$236*Предпосылки!$L253*Продажи!AE18*AE$19*(1+Чувствительность!$D$20)*IFERROR(LOOKUP(Предпосылки!$H$209,$C$13:$C$15,AE$13:AE$15),1)</f>
        <v>0</v>
      </c>
      <c s="125">
        <f>Предпосылки!AE$236*Предпосылки!$L253*Продажи!AF18*AF$19*(1+Чувствительность!$D$20)*IFERROR(LOOKUP(Предпосылки!$H$209,$C$13:$C$15,AF$13:AF$15),1)</f>
        <v>0</v>
      </c>
      <c s="125">
        <f>Предпосылки!AF$236*Предпосылки!$L253*Продажи!AG18*AG$19*(1+Чувствительность!$D$20)*IFERROR(LOOKUP(Предпосылки!$H$209,$C$13:$C$15,AG$13:AG$15),1)</f>
        <v>0</v>
      </c>
      <c s="125">
        <f>Предпосылки!AG$236*Предпосылки!$L253*Продажи!AH18*AH$19*(1+Чувствительность!$D$20)*IFERROR(LOOKUP(Предпосылки!$H$209,$C$13:$C$15,AH$13:AH$15),1)</f>
        <v>0</v>
      </c>
      <c s="125">
        <f>Предпосылки!AH$236*Предпосылки!$L253*Продажи!AI18*AI$19*(1+Чувствительность!$D$20)*IFERROR(LOOKUP(Предпосылки!$H$209,$C$13:$C$15,AI$13:AI$15),1)</f>
        <v>0</v>
      </c>
      <c s="125">
        <f>Предпосылки!AI$236*Предпосылки!$L253*Продажи!AJ18*AJ$19*(1+Чувствительность!$D$20)*IFERROR(LOOKUP(Предпосылки!$H$209,$C$13:$C$15,AJ$13:AJ$15),1)</f>
        <v>0</v>
      </c>
      <c s="125">
        <f>Предпосылки!AJ$236*Предпосылки!$L253*Продажи!AK18*AK$19*(1+Чувствительность!$D$20)*IFERROR(LOOKUP(Предпосылки!$H$209,$C$13:$C$15,AK$13:AK$15),1)</f>
        <v>0</v>
      </c>
      <c s="125">
        <f>Предпосылки!AK$236*Предпосылки!$L253*Продажи!AL18*AL$19*(1+Чувствительность!$D$20)*IFERROR(LOOKUP(Предпосылки!$H$209,$C$13:$C$15,AL$13:AL$15),1)</f>
        <v>0</v>
      </c>
      <c s="125">
        <f>Предпосылки!AL$236*Предпосылки!$L253*Продажи!AM18*AM$19*(1+Чувствительность!$D$20)*IFERROR(LOOKUP(Предпосылки!$H$209,$C$13:$C$15,AM$13:AM$15),1)</f>
        <v>0</v>
      </c>
      <c s="125">
        <f>Предпосылки!AM$236*Предпосылки!$L253*Продажи!AN18*AN$19*(1+Чувствительность!$D$20)*IFERROR(LOOKUP(Предпосылки!$H$209,$C$13:$C$15,AN$13:AN$15),1)</f>
        <v>0</v>
      </c>
      <c s="125">
        <f>Предпосылки!AN$236*Предпосылки!$L253*Продажи!AO18*AO$19*(1+Чувствительность!$D$20)*IFERROR(LOOKUP(Предпосылки!$H$209,$C$13:$C$15,AO$13:AO$15),1)</f>
        <v>0</v>
      </c>
      <c s="125">
        <f>Предпосылки!AO$236*Предпосылки!$L253*Продажи!AP18*AP$19*(1+Чувствительность!$D$20)*IFERROR(LOOKUP(Предпосылки!$H$209,$C$13:$C$15,AP$13:AP$15),1)</f>
        <v>0</v>
      </c>
      <c s="125">
        <f>Предпосылки!AP$236*Предпосылки!$L253*Продажи!AQ18*AQ$19*(1+Чувствительность!$D$20)*IFERROR(LOOKUP(Предпосылки!$H$209,$C$13:$C$15,AQ$13:AQ$15),1)</f>
        <v>0</v>
      </c>
      <c s="125">
        <f>Предпосылки!AQ$236*Предпосылки!$L253*Продажи!AR18*AR$19*(1+Чувствительность!$D$20)*IFERROR(LOOKUP(Предпосылки!$H$209,$C$13:$C$15,AR$13:AR$15),1)</f>
        <v>0</v>
      </c>
      <c s="125">
        <f>Предпосылки!AR$236*Предпосылки!$L253*Продажи!AS18*AS$19*(1+Чувствительность!$D$20)*IFERROR(LOOKUP(Предпосылки!$H$209,$C$13:$C$15,AS$13:AS$15),1)</f>
        <v>0</v>
      </c>
      <c s="125">
        <f>Предпосылки!AS$236*Предпосылки!$L253*Продажи!AT18*AT$19*(1+Чувствительность!$D$20)*IFERROR(LOOKUP(Предпосылки!$H$209,$C$13:$C$15,AT$13:AT$15),1)</f>
        <v>0</v>
      </c>
      <c s="125">
        <f>Предпосылки!AT$236*Предпосылки!$L253*Продажи!AU18*AU$19*(1+Чувствительность!$D$20)*IFERROR(LOOKUP(Предпосылки!$H$209,$C$13:$C$15,AU$13:AU$15),1)</f>
        <v>0</v>
      </c>
      <c s="125">
        <f>Предпосылки!AU$236*Предпосылки!$L253*Продажи!AV18*AV$19*(1+Чувствительность!$D$20)*IFERROR(LOOKUP(Предпосылки!$H$209,$C$13:$C$15,AV$13:AV$15),1)</f>
        <v>0</v>
      </c>
      <c s="125">
        <f>Предпосылки!AV$236*Предпосылки!$L253*Продажи!AW18*AW$19*(1+Чувствительность!$D$20)*IFERROR(LOOKUP(Предпосылки!$H$209,$C$13:$C$15,AW$13:AW$15),1)</f>
        <v>0</v>
      </c>
      <c s="125">
        <f>Предпосылки!AW$236*Предпосылки!$L253*Продажи!AX18*AX$19*(1+Чувствительность!$D$20)*IFERROR(LOOKUP(Предпосылки!$H$209,$C$13:$C$15,AX$13:AX$15),1)</f>
        <v>0</v>
      </c>
      <c s="125">
        <f>Предпосылки!AX$236*Предпосылки!$L253*Продажи!AY18*AY$19*(1+Чувствительность!$D$20)*IFERROR(LOOKUP(Предпосылки!$H$209,$C$13:$C$15,AY$13:AY$15),1)</f>
        <v>0</v>
      </c>
      <c s="125">
        <f>Предпосылки!AY$236*Предпосылки!$L253*Продажи!AZ18*AZ$19*(1+Чувствительность!$D$20)*IFERROR(LOOKUP(Предпосылки!$H$209,$C$13:$C$15,AZ$13:AZ$15),1)</f>
        <v>0</v>
      </c>
      <c s="125">
        <f>Предпосылки!AZ$236*Предпосылки!$L253*Продажи!BA18*BA$19*(1+Чувствительность!$D$20)*IFERROR(LOOKUP(Предпосылки!$H$209,$C$13:$C$15,BA$13:BA$15),1)</f>
        <v>0</v>
      </c>
      <c s="125">
        <f>Предпосылки!BA$236*Предпосылки!$L253*Продажи!BB18*BB$19*(1+Чувствительность!$D$20)*IFERROR(LOOKUP(Предпосылки!$H$209,$C$13:$C$15,BB$13:BB$15),1)</f>
        <v>0</v>
      </c>
      <c s="125">
        <f>Предпосылки!BB$236*Предпосылки!$L253*Продажи!BC18*BC$19*(1+Чувствительность!$D$20)*IFERROR(LOOKUP(Предпосылки!$H$209,$C$13:$C$15,BC$13:BC$15),1)</f>
        <v>0</v>
      </c>
      <c s="125">
        <f>Предпосылки!BC$236*Предпосылки!$L253*Продажи!BD18*BD$19*(1+Чувствительность!$D$20)*IFERROR(LOOKUP(Предпосылки!$H$209,$C$13:$C$15,BD$13:BD$15),1)</f>
        <v>0</v>
      </c>
      <c s="125">
        <f>Предпосылки!BD$236*Предпосылки!$L253*Продажи!BE18*BE$19*(1+Чувствительность!$D$20)*IFERROR(LOOKUP(Предпосылки!$H$209,$C$13:$C$15,BE$13:BE$15),1)</f>
        <v>0</v>
      </c>
      <c s="125">
        <f>Предпосылки!BE$236*Предпосылки!$L253*Продажи!BF18*BF$19*(1+Чувствительность!$D$20)*IFERROR(LOOKUP(Предпосылки!$H$209,$C$13:$C$15,BF$13:BF$15),1)</f>
        <v>0</v>
      </c>
      <c s="125">
        <f>Предпосылки!BF$236*Предпосылки!$L253*Продажи!BG18*BG$19*(1+Чувствительность!$D$20)*IFERROR(LOOKUP(Предпосылки!$H$209,$C$13:$C$15,BG$13:BG$15),1)</f>
        <v>0</v>
      </c>
      <c s="125">
        <f>Предпосылки!BG$236*Предпосылки!$L253*Продажи!BH18*BH$19*(1+Чувствительность!$D$20)*IFERROR(LOOKUP(Предпосылки!$H$209,$C$13:$C$15,BH$13:BH$15),1)</f>
        <v>0</v>
      </c>
      <c s="125">
        <f>Предпосылки!BH$236*Предпосылки!$L253*Продажи!BI18*BI$19*(1+Чувствительность!$D$20)*IFERROR(LOOKUP(Предпосылки!$H$209,$C$13:$C$15,BI$13:BI$15),1)</f>
        <v>0</v>
      </c>
      <c s="125">
        <f>Предпосылки!BI$236*Предпосылки!$L253*Продажи!BJ18*BJ$19*(1+Чувствительность!$D$20)*IFERROR(LOOKUP(Предпосылки!$H$209,$C$13:$C$15,BJ$13:BJ$15),1)</f>
        <v>0</v>
      </c>
      <c s="125">
        <f>Предпосылки!BJ$236*Предпосылки!$L253*Продажи!BK18*BK$19*(1+Чувствительность!$D$20)*IFERROR(LOOKUP(Предпосылки!$H$209,$C$13:$C$15,BK$13:BK$15),1)</f>
        <v>0</v>
      </c>
      <c s="125">
        <f>Предпосылки!BK$236*Предпосылки!$L253*Продажи!BL18*BL$19*(1+Чувствительность!$D$20)*IFERROR(LOOKUP(Предпосылки!$H$209,$C$13:$C$15,BL$13:BL$15),1)</f>
        <v>0</v>
      </c>
      <c s="125">
        <f>Предпосылки!BL$236*Предпосылки!$L253*Продажи!BM18*BM$19*(1+Чувствительность!$D$20)*IFERROR(LOOKUP(Предпосылки!$H$209,$C$13:$C$15,BM$13:BM$15),1)</f>
        <v>0</v>
      </c>
    </row>
    <row r="208" spans="2:65" ht="15" customHeight="1">
      <c r="B208" s="12" t="str">
        <f t="shared" si="101" ref="B208:B226">B185</f>
        <v>Продукт 2</v>
      </c>
      <c s="124" t="str">
        <f t="shared" si="100"/>
        <v>тыс. руб.</v>
      </c>
      <c s="276">
        <f t="shared" si="102" ref="D208:D226">SUM(E208:BM208)</f>
        <v>0</v>
      </c>
      <c s="125">
        <f>Предпосылки!D$236*Предпосылки!$L254*Продажи!E19*E$19*(1+Чувствительность!$D$20)*IFERROR(LOOKUP(Предпосылки!$H$209,$C$13:$C$15,E$13:E$15),1)</f>
        <v>0</v>
      </c>
      <c s="125">
        <f>Предпосылки!E$236*Предпосылки!$L254*Продажи!F19*F$19*(1+Чувствительность!$D$20)*IFERROR(LOOKUP(Предпосылки!$H$209,$C$13:$C$15,F$13:F$15),1)</f>
        <v>0</v>
      </c>
      <c s="125">
        <f>Предпосылки!F$236*Предпосылки!$L254*Продажи!G19*G$19*(1+Чувствительность!$D$20)*IFERROR(LOOKUP(Предпосылки!$H$209,$C$13:$C$15,G$13:G$15),1)</f>
        <v>0</v>
      </c>
      <c s="125">
        <f>Предпосылки!G$236*Предпосылки!$L254*Продажи!H19*H$19*(1+Чувствительность!$D$20)*IFERROR(LOOKUP(Предпосылки!$H$209,$C$13:$C$15,H$13:H$15),1)</f>
        <v>0</v>
      </c>
      <c s="125">
        <f>Предпосылки!H$236*Предпосылки!$L254*Продажи!I19*I$19*(1+Чувствительность!$D$20)*IFERROR(LOOKUP(Предпосылки!$H$209,$C$13:$C$15,I$13:I$15),1)</f>
        <v>0</v>
      </c>
      <c s="125">
        <f>Предпосылки!I$236*Предпосылки!$L254*Продажи!J19*J$19*(1+Чувствительность!$D$20)*IFERROR(LOOKUP(Предпосылки!$H$209,$C$13:$C$15,J$13:J$15),1)</f>
        <v>0</v>
      </c>
      <c s="125">
        <f>Предпосылки!J$236*Предпосылки!$L254*Продажи!K19*K$19*(1+Чувствительность!$D$20)*IFERROR(LOOKUP(Предпосылки!$H$209,$C$13:$C$15,K$13:K$15),1)</f>
        <v>0</v>
      </c>
      <c s="125">
        <f>Предпосылки!K$236*Предпосылки!$L254*Продажи!L19*L$19*(1+Чувствительность!$D$20)*IFERROR(LOOKUP(Предпосылки!$H$209,$C$13:$C$15,L$13:L$15),1)</f>
        <v>0</v>
      </c>
      <c s="125">
        <f>Предпосылки!L$236*Предпосылки!$L254*Продажи!M19*M$19*(1+Чувствительность!$D$20)*IFERROR(LOOKUP(Предпосылки!$H$209,$C$13:$C$15,M$13:M$15),1)</f>
        <v>0</v>
      </c>
      <c s="125">
        <f>Предпосылки!M$236*Предпосылки!$L254*Продажи!N19*N$19*(1+Чувствительность!$D$20)*IFERROR(LOOKUP(Предпосылки!$H$209,$C$13:$C$15,N$13:N$15),1)</f>
        <v>0</v>
      </c>
      <c s="125">
        <f>Предпосылки!N$236*Предпосылки!$L254*Продажи!O19*O$19*(1+Чувствительность!$D$20)*IFERROR(LOOKUP(Предпосылки!$H$209,$C$13:$C$15,O$13:O$15),1)</f>
        <v>0</v>
      </c>
      <c s="125">
        <f>Предпосылки!O$236*Предпосылки!$L254*Продажи!P19*P$19*(1+Чувствительность!$D$20)*IFERROR(LOOKUP(Предпосылки!$H$209,$C$13:$C$15,P$13:P$15),1)</f>
        <v>0</v>
      </c>
      <c s="125">
        <f>Предпосылки!P$236*Предпосылки!$L254*Продажи!Q19*Q$19*(1+Чувствительность!$D$20)*IFERROR(LOOKUP(Предпосылки!$H$209,$C$13:$C$15,Q$13:Q$15),1)</f>
        <v>0</v>
      </c>
      <c s="125">
        <f>Предпосылки!Q$236*Предпосылки!$L254*Продажи!R19*R$19*(1+Чувствительность!$D$20)*IFERROR(LOOKUP(Предпосылки!$H$209,$C$13:$C$15,R$13:R$15),1)</f>
        <v>0</v>
      </c>
      <c s="125">
        <f>Предпосылки!R$236*Предпосылки!$L254*Продажи!S19*S$19*(1+Чувствительность!$D$20)*IFERROR(LOOKUP(Предпосылки!$H$209,$C$13:$C$15,S$13:S$15),1)</f>
        <v>0</v>
      </c>
      <c s="125">
        <f>Предпосылки!S$236*Предпосылки!$L254*Продажи!T19*T$19*(1+Чувствительность!$D$20)*IFERROR(LOOKUP(Предпосылки!$H$209,$C$13:$C$15,T$13:T$15),1)</f>
        <v>0</v>
      </c>
      <c s="125">
        <f>Предпосылки!T$236*Предпосылки!$L254*Продажи!U19*U$19*(1+Чувствительность!$D$20)*IFERROR(LOOKUP(Предпосылки!$H$209,$C$13:$C$15,U$13:U$15),1)</f>
        <v>0</v>
      </c>
      <c s="125">
        <f>Предпосылки!U$236*Предпосылки!$L254*Продажи!V19*V$19*(1+Чувствительность!$D$20)*IFERROR(LOOKUP(Предпосылки!$H$209,$C$13:$C$15,V$13:V$15),1)</f>
        <v>0</v>
      </c>
      <c s="125">
        <f>Предпосылки!V$236*Предпосылки!$L254*Продажи!W19*W$19*(1+Чувствительность!$D$20)*IFERROR(LOOKUP(Предпосылки!$H$209,$C$13:$C$15,W$13:W$15),1)</f>
        <v>0</v>
      </c>
      <c s="125">
        <f>Предпосылки!W$236*Предпосылки!$L254*Продажи!X19*X$19*(1+Чувствительность!$D$20)*IFERROR(LOOKUP(Предпосылки!$H$209,$C$13:$C$15,X$13:X$15),1)</f>
        <v>0</v>
      </c>
      <c s="125">
        <f>Предпосылки!X$236*Предпосылки!$L254*Продажи!Y19*Y$19*(1+Чувствительность!$D$20)*IFERROR(LOOKUP(Предпосылки!$H$209,$C$13:$C$15,Y$13:Y$15),1)</f>
        <v>0</v>
      </c>
      <c s="125">
        <f>Предпосылки!Y$236*Предпосылки!$L254*Продажи!Z19*Z$19*(1+Чувствительность!$D$20)*IFERROR(LOOKUP(Предпосылки!$H$209,$C$13:$C$15,Z$13:Z$15),1)</f>
        <v>0</v>
      </c>
      <c s="125">
        <f>Предпосылки!Z$236*Предпосылки!$L254*Продажи!AA19*AA$19*(1+Чувствительность!$D$20)*IFERROR(LOOKUP(Предпосылки!$H$209,$C$13:$C$15,AA$13:AA$15),1)</f>
        <v>0</v>
      </c>
      <c s="125">
        <f>Предпосылки!AA$236*Предпосылки!$L254*Продажи!AB19*AB$19*(1+Чувствительность!$D$20)*IFERROR(LOOKUP(Предпосылки!$H$209,$C$13:$C$15,AB$13:AB$15),1)</f>
        <v>0</v>
      </c>
      <c s="125">
        <f>Предпосылки!AB$236*Предпосылки!$L254*Продажи!AC19*AC$19*(1+Чувствительность!$D$20)*IFERROR(LOOKUP(Предпосылки!$H$209,$C$13:$C$15,AC$13:AC$15),1)</f>
        <v>0</v>
      </c>
      <c s="125">
        <f>Предпосылки!AC$236*Предпосылки!$L254*Продажи!AD19*AD$19*(1+Чувствительность!$D$20)*IFERROR(LOOKUP(Предпосылки!$H$209,$C$13:$C$15,AD$13:AD$15),1)</f>
        <v>0</v>
      </c>
      <c s="125">
        <f>Предпосылки!AD$236*Предпосылки!$L254*Продажи!AE19*AE$19*(1+Чувствительность!$D$20)*IFERROR(LOOKUP(Предпосылки!$H$209,$C$13:$C$15,AE$13:AE$15),1)</f>
        <v>0</v>
      </c>
      <c s="125">
        <f>Предпосылки!AE$236*Предпосылки!$L254*Продажи!AF19*AF$19*(1+Чувствительность!$D$20)*IFERROR(LOOKUP(Предпосылки!$H$209,$C$13:$C$15,AF$13:AF$15),1)</f>
        <v>0</v>
      </c>
      <c s="125">
        <f>Предпосылки!AF$236*Предпосылки!$L254*Продажи!AG19*AG$19*(1+Чувствительность!$D$20)*IFERROR(LOOKUP(Предпосылки!$H$209,$C$13:$C$15,AG$13:AG$15),1)</f>
        <v>0</v>
      </c>
      <c s="125">
        <f>Предпосылки!AG$236*Предпосылки!$L254*Продажи!AH19*AH$19*(1+Чувствительность!$D$20)*IFERROR(LOOKUP(Предпосылки!$H$209,$C$13:$C$15,AH$13:AH$15),1)</f>
        <v>0</v>
      </c>
      <c s="125">
        <f>Предпосылки!AH$236*Предпосылки!$L254*Продажи!AI19*AI$19*(1+Чувствительность!$D$20)*IFERROR(LOOKUP(Предпосылки!$H$209,$C$13:$C$15,AI$13:AI$15),1)</f>
        <v>0</v>
      </c>
      <c s="125">
        <f>Предпосылки!AI$236*Предпосылки!$L254*Продажи!AJ19*AJ$19*(1+Чувствительность!$D$20)*IFERROR(LOOKUP(Предпосылки!$H$209,$C$13:$C$15,AJ$13:AJ$15),1)</f>
        <v>0</v>
      </c>
      <c s="125">
        <f>Предпосылки!AJ$236*Предпосылки!$L254*Продажи!AK19*AK$19*(1+Чувствительность!$D$20)*IFERROR(LOOKUP(Предпосылки!$H$209,$C$13:$C$15,AK$13:AK$15),1)</f>
        <v>0</v>
      </c>
      <c s="125">
        <f>Предпосылки!AK$236*Предпосылки!$L254*Продажи!AL19*AL$19*(1+Чувствительность!$D$20)*IFERROR(LOOKUP(Предпосылки!$H$209,$C$13:$C$15,AL$13:AL$15),1)</f>
        <v>0</v>
      </c>
      <c s="125">
        <f>Предпосылки!AL$236*Предпосылки!$L254*Продажи!AM19*AM$19*(1+Чувствительность!$D$20)*IFERROR(LOOKUP(Предпосылки!$H$209,$C$13:$C$15,AM$13:AM$15),1)</f>
        <v>0</v>
      </c>
      <c s="125">
        <f>Предпосылки!AM$236*Предпосылки!$L254*Продажи!AN19*AN$19*(1+Чувствительность!$D$20)*IFERROR(LOOKUP(Предпосылки!$H$209,$C$13:$C$15,AN$13:AN$15),1)</f>
        <v>0</v>
      </c>
      <c s="125">
        <f>Предпосылки!AN$236*Предпосылки!$L254*Продажи!AO19*AO$19*(1+Чувствительность!$D$20)*IFERROR(LOOKUP(Предпосылки!$H$209,$C$13:$C$15,AO$13:AO$15),1)</f>
        <v>0</v>
      </c>
      <c s="125">
        <f>Предпосылки!AO$236*Предпосылки!$L254*Продажи!AP19*AP$19*(1+Чувствительность!$D$20)*IFERROR(LOOKUP(Предпосылки!$H$209,$C$13:$C$15,AP$13:AP$15),1)</f>
        <v>0</v>
      </c>
      <c s="125">
        <f>Предпосылки!AP$236*Предпосылки!$L254*Продажи!AQ19*AQ$19*(1+Чувствительность!$D$20)*IFERROR(LOOKUP(Предпосылки!$H$209,$C$13:$C$15,AQ$13:AQ$15),1)</f>
        <v>0</v>
      </c>
      <c s="125">
        <f>Предпосылки!AQ$236*Предпосылки!$L254*Продажи!AR19*AR$19*(1+Чувствительность!$D$20)*IFERROR(LOOKUP(Предпосылки!$H$209,$C$13:$C$15,AR$13:AR$15),1)</f>
        <v>0</v>
      </c>
      <c s="125">
        <f>Предпосылки!AR$236*Предпосылки!$L254*Продажи!AS19*AS$19*(1+Чувствительность!$D$20)*IFERROR(LOOKUP(Предпосылки!$H$209,$C$13:$C$15,AS$13:AS$15),1)</f>
        <v>0</v>
      </c>
      <c s="125">
        <f>Предпосылки!AS$236*Предпосылки!$L254*Продажи!AT19*AT$19*(1+Чувствительность!$D$20)*IFERROR(LOOKUP(Предпосылки!$H$209,$C$13:$C$15,AT$13:AT$15),1)</f>
        <v>0</v>
      </c>
      <c s="125">
        <f>Предпосылки!AT$236*Предпосылки!$L254*Продажи!AU19*AU$19*(1+Чувствительность!$D$20)*IFERROR(LOOKUP(Предпосылки!$H$209,$C$13:$C$15,AU$13:AU$15),1)</f>
        <v>0</v>
      </c>
      <c s="125">
        <f>Предпосылки!AU$236*Предпосылки!$L254*Продажи!AV19*AV$19*(1+Чувствительность!$D$20)*IFERROR(LOOKUP(Предпосылки!$H$209,$C$13:$C$15,AV$13:AV$15),1)</f>
        <v>0</v>
      </c>
      <c s="125">
        <f>Предпосылки!AV$236*Предпосылки!$L254*Продажи!AW19*AW$19*(1+Чувствительность!$D$20)*IFERROR(LOOKUP(Предпосылки!$H$209,$C$13:$C$15,AW$13:AW$15),1)</f>
        <v>0</v>
      </c>
      <c s="125">
        <f>Предпосылки!AW$236*Предпосылки!$L254*Продажи!AX19*AX$19*(1+Чувствительность!$D$20)*IFERROR(LOOKUP(Предпосылки!$H$209,$C$13:$C$15,AX$13:AX$15),1)</f>
        <v>0</v>
      </c>
      <c s="125">
        <f>Предпосылки!AX$236*Предпосылки!$L254*Продажи!AY19*AY$19*(1+Чувствительность!$D$20)*IFERROR(LOOKUP(Предпосылки!$H$209,$C$13:$C$15,AY$13:AY$15),1)</f>
        <v>0</v>
      </c>
      <c s="125">
        <f>Предпосылки!AY$236*Предпосылки!$L254*Продажи!AZ19*AZ$19*(1+Чувствительность!$D$20)*IFERROR(LOOKUP(Предпосылки!$H$209,$C$13:$C$15,AZ$13:AZ$15),1)</f>
        <v>0</v>
      </c>
      <c s="125">
        <f>Предпосылки!AZ$236*Предпосылки!$L254*Продажи!BA19*BA$19*(1+Чувствительность!$D$20)*IFERROR(LOOKUP(Предпосылки!$H$209,$C$13:$C$15,BA$13:BA$15),1)</f>
        <v>0</v>
      </c>
      <c s="125">
        <f>Предпосылки!BA$236*Предпосылки!$L254*Продажи!BB19*BB$19*(1+Чувствительность!$D$20)*IFERROR(LOOKUP(Предпосылки!$H$209,$C$13:$C$15,BB$13:BB$15),1)</f>
        <v>0</v>
      </c>
      <c s="125">
        <f>Предпосылки!BB$236*Предпосылки!$L254*Продажи!BC19*BC$19*(1+Чувствительность!$D$20)*IFERROR(LOOKUP(Предпосылки!$H$209,$C$13:$C$15,BC$13:BC$15),1)</f>
        <v>0</v>
      </c>
      <c s="125">
        <f>Предпосылки!BC$236*Предпосылки!$L254*Продажи!BD19*BD$19*(1+Чувствительность!$D$20)*IFERROR(LOOKUP(Предпосылки!$H$209,$C$13:$C$15,BD$13:BD$15),1)</f>
        <v>0</v>
      </c>
      <c s="125">
        <f>Предпосылки!BD$236*Предпосылки!$L254*Продажи!BE19*BE$19*(1+Чувствительность!$D$20)*IFERROR(LOOKUP(Предпосылки!$H$209,$C$13:$C$15,BE$13:BE$15),1)</f>
        <v>0</v>
      </c>
      <c s="125">
        <f>Предпосылки!BE$236*Предпосылки!$L254*Продажи!BF19*BF$19*(1+Чувствительность!$D$20)*IFERROR(LOOKUP(Предпосылки!$H$209,$C$13:$C$15,BF$13:BF$15),1)</f>
        <v>0</v>
      </c>
      <c s="125">
        <f>Предпосылки!BF$236*Предпосылки!$L254*Продажи!BG19*BG$19*(1+Чувствительность!$D$20)*IFERROR(LOOKUP(Предпосылки!$H$209,$C$13:$C$15,BG$13:BG$15),1)</f>
        <v>0</v>
      </c>
      <c s="125">
        <f>Предпосылки!BG$236*Предпосылки!$L254*Продажи!BH19*BH$19*(1+Чувствительность!$D$20)*IFERROR(LOOKUP(Предпосылки!$H$209,$C$13:$C$15,BH$13:BH$15),1)</f>
        <v>0</v>
      </c>
      <c s="125">
        <f>Предпосылки!BH$236*Предпосылки!$L254*Продажи!BI19*BI$19*(1+Чувствительность!$D$20)*IFERROR(LOOKUP(Предпосылки!$H$209,$C$13:$C$15,BI$13:BI$15),1)</f>
        <v>0</v>
      </c>
      <c s="125">
        <f>Предпосылки!BI$236*Предпосылки!$L254*Продажи!BJ19*BJ$19*(1+Чувствительность!$D$20)*IFERROR(LOOKUP(Предпосылки!$H$209,$C$13:$C$15,BJ$13:BJ$15),1)</f>
        <v>0</v>
      </c>
      <c s="125">
        <f>Предпосылки!BJ$236*Предпосылки!$L254*Продажи!BK19*BK$19*(1+Чувствительность!$D$20)*IFERROR(LOOKUP(Предпосылки!$H$209,$C$13:$C$15,BK$13:BK$15),1)</f>
        <v>0</v>
      </c>
      <c s="125">
        <f>Предпосылки!BK$236*Предпосылки!$L254*Продажи!BL19*BL$19*(1+Чувствительность!$D$20)*IFERROR(LOOKUP(Предпосылки!$H$209,$C$13:$C$15,BL$13:BL$15),1)</f>
        <v>0</v>
      </c>
      <c s="125">
        <f>Предпосылки!BL$236*Предпосылки!$L254*Продажи!BM19*BM$19*(1+Чувствительность!$D$20)*IFERROR(LOOKUP(Предпосылки!$H$209,$C$13:$C$15,BM$13:BM$15),1)</f>
        <v>0</v>
      </c>
    </row>
    <row r="209" spans="2:65" ht="15" customHeight="1">
      <c r="B209" s="12" t="str">
        <f t="shared" si="101"/>
        <v>Продукт 3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Предпосылки!D$236*Предпосылки!$L255*Продажи!E20*E$19*(1+Чувствительность!$D$20)*IFERROR(LOOKUP(Предпосылки!$H$209,$C$13:$C$15,E$13:E$15),1)</f>
        <v>0</v>
      </c>
      <c s="125">
        <f>Предпосылки!E$236*Предпосылки!$L255*Продажи!F20*F$19*(1+Чувствительность!$D$20)*IFERROR(LOOKUP(Предпосылки!$H$209,$C$13:$C$15,F$13:F$15),1)</f>
        <v>0</v>
      </c>
      <c s="125">
        <f>Предпосылки!F$236*Предпосылки!$L255*Продажи!G20*G$19*(1+Чувствительность!$D$20)*IFERROR(LOOKUP(Предпосылки!$H$209,$C$13:$C$15,G$13:G$15),1)</f>
        <v>0</v>
      </c>
      <c s="125">
        <f>Предпосылки!G$236*Предпосылки!$L255*Продажи!H20*H$19*(1+Чувствительность!$D$20)*IFERROR(LOOKUP(Предпосылки!$H$209,$C$13:$C$15,H$13:H$15),1)</f>
        <v>0</v>
      </c>
      <c s="125">
        <f>Предпосылки!H$236*Предпосылки!$L255*Продажи!I20*I$19*(1+Чувствительность!$D$20)*IFERROR(LOOKUP(Предпосылки!$H$209,$C$13:$C$15,I$13:I$15),1)</f>
        <v>0</v>
      </c>
      <c s="125">
        <f>Предпосылки!I$236*Предпосылки!$L255*Продажи!J20*J$19*(1+Чувствительность!$D$20)*IFERROR(LOOKUP(Предпосылки!$H$209,$C$13:$C$15,J$13:J$15),1)</f>
        <v>0</v>
      </c>
      <c s="125">
        <f>Предпосылки!J$236*Предпосылки!$L255*Продажи!K20*K$19*(1+Чувствительность!$D$20)*IFERROR(LOOKUP(Предпосылки!$H$209,$C$13:$C$15,K$13:K$15),1)</f>
        <v>0</v>
      </c>
      <c s="125">
        <f>Предпосылки!K$236*Предпосылки!$L255*Продажи!L20*L$19*(1+Чувствительность!$D$20)*IFERROR(LOOKUP(Предпосылки!$H$209,$C$13:$C$15,L$13:L$15),1)</f>
        <v>0</v>
      </c>
      <c s="125">
        <f>Предпосылки!L$236*Предпосылки!$L255*Продажи!M20*M$19*(1+Чувствительность!$D$20)*IFERROR(LOOKUP(Предпосылки!$H$209,$C$13:$C$15,M$13:M$15),1)</f>
        <v>0</v>
      </c>
      <c s="125">
        <f>Предпосылки!M$236*Предпосылки!$L255*Продажи!N20*N$19*(1+Чувствительность!$D$20)*IFERROR(LOOKUP(Предпосылки!$H$209,$C$13:$C$15,N$13:N$15),1)</f>
        <v>0</v>
      </c>
      <c s="125">
        <f>Предпосылки!N$236*Предпосылки!$L255*Продажи!O20*O$19*(1+Чувствительность!$D$20)*IFERROR(LOOKUP(Предпосылки!$H$209,$C$13:$C$15,O$13:O$15),1)</f>
        <v>0</v>
      </c>
      <c s="125">
        <f>Предпосылки!O$236*Предпосылки!$L255*Продажи!P20*P$19*(1+Чувствительность!$D$20)*IFERROR(LOOKUP(Предпосылки!$H$209,$C$13:$C$15,P$13:P$15),1)</f>
        <v>0</v>
      </c>
      <c s="125">
        <f>Предпосылки!P$236*Предпосылки!$L255*Продажи!Q20*Q$19*(1+Чувствительность!$D$20)*IFERROR(LOOKUP(Предпосылки!$H$209,$C$13:$C$15,Q$13:Q$15),1)</f>
        <v>0</v>
      </c>
      <c s="125">
        <f>Предпосылки!Q$236*Предпосылки!$L255*Продажи!R20*R$19*(1+Чувствительность!$D$20)*IFERROR(LOOKUP(Предпосылки!$H$209,$C$13:$C$15,R$13:R$15),1)</f>
        <v>0</v>
      </c>
      <c s="125">
        <f>Предпосылки!R$236*Предпосылки!$L255*Продажи!S20*S$19*(1+Чувствительность!$D$20)*IFERROR(LOOKUP(Предпосылки!$H$209,$C$13:$C$15,S$13:S$15),1)</f>
        <v>0</v>
      </c>
      <c s="125">
        <f>Предпосылки!S$236*Предпосылки!$L255*Продажи!T20*T$19*(1+Чувствительность!$D$20)*IFERROR(LOOKUP(Предпосылки!$H$209,$C$13:$C$15,T$13:T$15),1)</f>
        <v>0</v>
      </c>
      <c s="125">
        <f>Предпосылки!T$236*Предпосылки!$L255*Продажи!U20*U$19*(1+Чувствительность!$D$20)*IFERROR(LOOKUP(Предпосылки!$H$209,$C$13:$C$15,U$13:U$15),1)</f>
        <v>0</v>
      </c>
      <c s="125">
        <f>Предпосылки!U$236*Предпосылки!$L255*Продажи!V20*V$19*(1+Чувствительность!$D$20)*IFERROR(LOOKUP(Предпосылки!$H$209,$C$13:$C$15,V$13:V$15),1)</f>
        <v>0</v>
      </c>
      <c s="125">
        <f>Предпосылки!V$236*Предпосылки!$L255*Продажи!W20*W$19*(1+Чувствительность!$D$20)*IFERROR(LOOKUP(Предпосылки!$H$209,$C$13:$C$15,W$13:W$15),1)</f>
        <v>0</v>
      </c>
      <c s="125">
        <f>Предпосылки!W$236*Предпосылки!$L255*Продажи!X20*X$19*(1+Чувствительность!$D$20)*IFERROR(LOOKUP(Предпосылки!$H$209,$C$13:$C$15,X$13:X$15),1)</f>
        <v>0</v>
      </c>
      <c s="125">
        <f>Предпосылки!X$236*Предпосылки!$L255*Продажи!Y20*Y$19*(1+Чувствительность!$D$20)*IFERROR(LOOKUP(Предпосылки!$H$209,$C$13:$C$15,Y$13:Y$15),1)</f>
        <v>0</v>
      </c>
      <c s="125">
        <f>Предпосылки!Y$236*Предпосылки!$L255*Продажи!Z20*Z$19*(1+Чувствительность!$D$20)*IFERROR(LOOKUP(Предпосылки!$H$209,$C$13:$C$15,Z$13:Z$15),1)</f>
        <v>0</v>
      </c>
      <c s="125">
        <f>Предпосылки!Z$236*Предпосылки!$L255*Продажи!AA20*AA$19*(1+Чувствительность!$D$20)*IFERROR(LOOKUP(Предпосылки!$H$209,$C$13:$C$15,AA$13:AA$15),1)</f>
        <v>0</v>
      </c>
      <c s="125">
        <f>Предпосылки!AA$236*Предпосылки!$L255*Продажи!AB20*AB$19*(1+Чувствительность!$D$20)*IFERROR(LOOKUP(Предпосылки!$H$209,$C$13:$C$15,AB$13:AB$15),1)</f>
        <v>0</v>
      </c>
      <c s="125">
        <f>Предпосылки!AB$236*Предпосылки!$L255*Продажи!AC20*AC$19*(1+Чувствительность!$D$20)*IFERROR(LOOKUP(Предпосылки!$H$209,$C$13:$C$15,AC$13:AC$15),1)</f>
        <v>0</v>
      </c>
      <c s="125">
        <f>Предпосылки!AC$236*Предпосылки!$L255*Продажи!AD20*AD$19*(1+Чувствительность!$D$20)*IFERROR(LOOKUP(Предпосылки!$H$209,$C$13:$C$15,AD$13:AD$15),1)</f>
        <v>0</v>
      </c>
      <c s="125">
        <f>Предпосылки!AD$236*Предпосылки!$L255*Продажи!AE20*AE$19*(1+Чувствительность!$D$20)*IFERROR(LOOKUP(Предпосылки!$H$209,$C$13:$C$15,AE$13:AE$15),1)</f>
        <v>0</v>
      </c>
      <c s="125">
        <f>Предпосылки!AE$236*Предпосылки!$L255*Продажи!AF20*AF$19*(1+Чувствительность!$D$20)*IFERROR(LOOKUP(Предпосылки!$H$209,$C$13:$C$15,AF$13:AF$15),1)</f>
        <v>0</v>
      </c>
      <c s="125">
        <f>Предпосылки!AF$236*Предпосылки!$L255*Продажи!AG20*AG$19*(1+Чувствительность!$D$20)*IFERROR(LOOKUP(Предпосылки!$H$209,$C$13:$C$15,AG$13:AG$15),1)</f>
        <v>0</v>
      </c>
      <c s="125">
        <f>Предпосылки!AG$236*Предпосылки!$L255*Продажи!AH20*AH$19*(1+Чувствительность!$D$20)*IFERROR(LOOKUP(Предпосылки!$H$209,$C$13:$C$15,AH$13:AH$15),1)</f>
        <v>0</v>
      </c>
      <c s="125">
        <f>Предпосылки!AH$236*Предпосылки!$L255*Продажи!AI20*AI$19*(1+Чувствительность!$D$20)*IFERROR(LOOKUP(Предпосылки!$H$209,$C$13:$C$15,AI$13:AI$15),1)</f>
        <v>0</v>
      </c>
      <c s="125">
        <f>Предпосылки!AI$236*Предпосылки!$L255*Продажи!AJ20*AJ$19*(1+Чувствительность!$D$20)*IFERROR(LOOKUP(Предпосылки!$H$209,$C$13:$C$15,AJ$13:AJ$15),1)</f>
        <v>0</v>
      </c>
      <c s="125">
        <f>Предпосылки!AJ$236*Предпосылки!$L255*Продажи!AK20*AK$19*(1+Чувствительность!$D$20)*IFERROR(LOOKUP(Предпосылки!$H$209,$C$13:$C$15,AK$13:AK$15),1)</f>
        <v>0</v>
      </c>
      <c s="125">
        <f>Предпосылки!AK$236*Предпосылки!$L255*Продажи!AL20*AL$19*(1+Чувствительность!$D$20)*IFERROR(LOOKUP(Предпосылки!$H$209,$C$13:$C$15,AL$13:AL$15),1)</f>
        <v>0</v>
      </c>
      <c s="125">
        <f>Предпосылки!AL$236*Предпосылки!$L255*Продажи!AM20*AM$19*(1+Чувствительность!$D$20)*IFERROR(LOOKUP(Предпосылки!$H$209,$C$13:$C$15,AM$13:AM$15),1)</f>
        <v>0</v>
      </c>
      <c s="125">
        <f>Предпосылки!AM$236*Предпосылки!$L255*Продажи!AN20*AN$19*(1+Чувствительность!$D$20)*IFERROR(LOOKUP(Предпосылки!$H$209,$C$13:$C$15,AN$13:AN$15),1)</f>
        <v>0</v>
      </c>
      <c s="125">
        <f>Предпосылки!AN$236*Предпосылки!$L255*Продажи!AO20*AO$19*(1+Чувствительность!$D$20)*IFERROR(LOOKUP(Предпосылки!$H$209,$C$13:$C$15,AO$13:AO$15),1)</f>
        <v>0</v>
      </c>
      <c s="125">
        <f>Предпосылки!AO$236*Предпосылки!$L255*Продажи!AP20*AP$19*(1+Чувствительность!$D$20)*IFERROR(LOOKUP(Предпосылки!$H$209,$C$13:$C$15,AP$13:AP$15),1)</f>
        <v>0</v>
      </c>
      <c s="125">
        <f>Предпосылки!AP$236*Предпосылки!$L255*Продажи!AQ20*AQ$19*(1+Чувствительность!$D$20)*IFERROR(LOOKUP(Предпосылки!$H$209,$C$13:$C$15,AQ$13:AQ$15),1)</f>
        <v>0</v>
      </c>
      <c s="125">
        <f>Предпосылки!AQ$236*Предпосылки!$L255*Продажи!AR20*AR$19*(1+Чувствительность!$D$20)*IFERROR(LOOKUP(Предпосылки!$H$209,$C$13:$C$15,AR$13:AR$15),1)</f>
        <v>0</v>
      </c>
      <c s="125">
        <f>Предпосылки!AR$236*Предпосылки!$L255*Продажи!AS20*AS$19*(1+Чувствительность!$D$20)*IFERROR(LOOKUP(Предпосылки!$H$209,$C$13:$C$15,AS$13:AS$15),1)</f>
        <v>0</v>
      </c>
      <c s="125">
        <f>Предпосылки!AS$236*Предпосылки!$L255*Продажи!AT20*AT$19*(1+Чувствительность!$D$20)*IFERROR(LOOKUP(Предпосылки!$H$209,$C$13:$C$15,AT$13:AT$15),1)</f>
        <v>0</v>
      </c>
      <c s="125">
        <f>Предпосылки!AT$236*Предпосылки!$L255*Продажи!AU20*AU$19*(1+Чувствительность!$D$20)*IFERROR(LOOKUP(Предпосылки!$H$209,$C$13:$C$15,AU$13:AU$15),1)</f>
        <v>0</v>
      </c>
      <c s="125">
        <f>Предпосылки!AU$236*Предпосылки!$L255*Продажи!AV20*AV$19*(1+Чувствительность!$D$20)*IFERROR(LOOKUP(Предпосылки!$H$209,$C$13:$C$15,AV$13:AV$15),1)</f>
        <v>0</v>
      </c>
      <c s="125">
        <f>Предпосылки!AV$236*Предпосылки!$L255*Продажи!AW20*AW$19*(1+Чувствительность!$D$20)*IFERROR(LOOKUP(Предпосылки!$H$209,$C$13:$C$15,AW$13:AW$15),1)</f>
        <v>0</v>
      </c>
      <c s="125">
        <f>Предпосылки!AW$236*Предпосылки!$L255*Продажи!AX20*AX$19*(1+Чувствительность!$D$20)*IFERROR(LOOKUP(Предпосылки!$H$209,$C$13:$C$15,AX$13:AX$15),1)</f>
        <v>0</v>
      </c>
      <c s="125">
        <f>Предпосылки!AX$236*Предпосылки!$L255*Продажи!AY20*AY$19*(1+Чувствительность!$D$20)*IFERROR(LOOKUP(Предпосылки!$H$209,$C$13:$C$15,AY$13:AY$15),1)</f>
        <v>0</v>
      </c>
      <c s="125">
        <f>Предпосылки!AY$236*Предпосылки!$L255*Продажи!AZ20*AZ$19*(1+Чувствительность!$D$20)*IFERROR(LOOKUP(Предпосылки!$H$209,$C$13:$C$15,AZ$13:AZ$15),1)</f>
        <v>0</v>
      </c>
      <c s="125">
        <f>Предпосылки!AZ$236*Предпосылки!$L255*Продажи!BA20*BA$19*(1+Чувствительность!$D$20)*IFERROR(LOOKUP(Предпосылки!$H$209,$C$13:$C$15,BA$13:BA$15),1)</f>
        <v>0</v>
      </c>
      <c s="125">
        <f>Предпосылки!BA$236*Предпосылки!$L255*Продажи!BB20*BB$19*(1+Чувствительность!$D$20)*IFERROR(LOOKUP(Предпосылки!$H$209,$C$13:$C$15,BB$13:BB$15),1)</f>
        <v>0</v>
      </c>
      <c s="125">
        <f>Предпосылки!BB$236*Предпосылки!$L255*Продажи!BC20*BC$19*(1+Чувствительность!$D$20)*IFERROR(LOOKUP(Предпосылки!$H$209,$C$13:$C$15,BC$13:BC$15),1)</f>
        <v>0</v>
      </c>
      <c s="125">
        <f>Предпосылки!BC$236*Предпосылки!$L255*Продажи!BD20*BD$19*(1+Чувствительность!$D$20)*IFERROR(LOOKUP(Предпосылки!$H$209,$C$13:$C$15,BD$13:BD$15),1)</f>
        <v>0</v>
      </c>
      <c s="125">
        <f>Предпосылки!BD$236*Предпосылки!$L255*Продажи!BE20*BE$19*(1+Чувствительность!$D$20)*IFERROR(LOOKUP(Предпосылки!$H$209,$C$13:$C$15,BE$13:BE$15),1)</f>
        <v>0</v>
      </c>
      <c s="125">
        <f>Предпосылки!BE$236*Предпосылки!$L255*Продажи!BF20*BF$19*(1+Чувствительность!$D$20)*IFERROR(LOOKUP(Предпосылки!$H$209,$C$13:$C$15,BF$13:BF$15),1)</f>
        <v>0</v>
      </c>
      <c s="125">
        <f>Предпосылки!BF$236*Предпосылки!$L255*Продажи!BG20*BG$19*(1+Чувствительность!$D$20)*IFERROR(LOOKUP(Предпосылки!$H$209,$C$13:$C$15,BG$13:BG$15),1)</f>
        <v>0</v>
      </c>
      <c s="125">
        <f>Предпосылки!BG$236*Предпосылки!$L255*Продажи!BH20*BH$19*(1+Чувствительность!$D$20)*IFERROR(LOOKUP(Предпосылки!$H$209,$C$13:$C$15,BH$13:BH$15),1)</f>
        <v>0</v>
      </c>
      <c s="125">
        <f>Предпосылки!BH$236*Предпосылки!$L255*Продажи!BI20*BI$19*(1+Чувствительность!$D$20)*IFERROR(LOOKUP(Предпосылки!$H$209,$C$13:$C$15,BI$13:BI$15),1)</f>
        <v>0</v>
      </c>
      <c s="125">
        <f>Предпосылки!BI$236*Предпосылки!$L255*Продажи!BJ20*BJ$19*(1+Чувствительность!$D$20)*IFERROR(LOOKUP(Предпосылки!$H$209,$C$13:$C$15,BJ$13:BJ$15),1)</f>
        <v>0</v>
      </c>
      <c s="125">
        <f>Предпосылки!BJ$236*Предпосылки!$L255*Продажи!BK20*BK$19*(1+Чувствительность!$D$20)*IFERROR(LOOKUP(Предпосылки!$H$209,$C$13:$C$15,BK$13:BK$15),1)</f>
        <v>0</v>
      </c>
      <c s="125">
        <f>Предпосылки!BK$236*Предпосылки!$L255*Продажи!BL20*BL$19*(1+Чувствительность!$D$20)*IFERROR(LOOKUP(Предпосылки!$H$209,$C$13:$C$15,BL$13:BL$15),1)</f>
        <v>0</v>
      </c>
      <c s="125">
        <f>Предпосылки!BL$236*Предпосылки!$L255*Продажи!BM20*BM$19*(1+Чувствительность!$D$20)*IFERROR(LOOKUP(Предпосылки!$H$209,$C$13:$C$15,BM$13:BM$15),1)</f>
        <v>0</v>
      </c>
    </row>
    <row r="210" spans="2:65" ht="15" customHeight="1">
      <c r="B210" s="12" t="str">
        <f t="shared" si="101"/>
        <v>Продукт 4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Предпосылки!D$236*Предпосылки!$L256*Продажи!E21*E$19*(1+Чувствительность!$D$20)*IFERROR(LOOKUP(Предпосылки!$H$209,$C$13:$C$15,E$13:E$15),1)</f>
        <v>0</v>
      </c>
      <c s="125">
        <f>Предпосылки!E$236*Предпосылки!$L256*Продажи!F21*F$19*(1+Чувствительность!$D$20)*IFERROR(LOOKUP(Предпосылки!$H$209,$C$13:$C$15,F$13:F$15),1)</f>
        <v>0</v>
      </c>
      <c s="125">
        <f>Предпосылки!F$236*Предпосылки!$L256*Продажи!G21*G$19*(1+Чувствительность!$D$20)*IFERROR(LOOKUP(Предпосылки!$H$209,$C$13:$C$15,G$13:G$15),1)</f>
        <v>0</v>
      </c>
      <c s="125">
        <f>Предпосылки!G$236*Предпосылки!$L256*Продажи!H21*H$19*(1+Чувствительность!$D$20)*IFERROR(LOOKUP(Предпосылки!$H$209,$C$13:$C$15,H$13:H$15),1)</f>
        <v>0</v>
      </c>
      <c s="125">
        <f>Предпосылки!H$236*Предпосылки!$L256*Продажи!I21*I$19*(1+Чувствительность!$D$20)*IFERROR(LOOKUP(Предпосылки!$H$209,$C$13:$C$15,I$13:I$15),1)</f>
        <v>0</v>
      </c>
      <c s="125">
        <f>Предпосылки!I$236*Предпосылки!$L256*Продажи!J21*J$19*(1+Чувствительность!$D$20)*IFERROR(LOOKUP(Предпосылки!$H$209,$C$13:$C$15,J$13:J$15),1)</f>
        <v>0</v>
      </c>
      <c s="125">
        <f>Предпосылки!J$236*Предпосылки!$L256*Продажи!K21*K$19*(1+Чувствительность!$D$20)*IFERROR(LOOKUP(Предпосылки!$H$209,$C$13:$C$15,K$13:K$15),1)</f>
        <v>0</v>
      </c>
      <c s="125">
        <f>Предпосылки!K$236*Предпосылки!$L256*Продажи!L21*L$19*(1+Чувствительность!$D$20)*IFERROR(LOOKUP(Предпосылки!$H$209,$C$13:$C$15,L$13:L$15),1)</f>
        <v>0</v>
      </c>
      <c s="125">
        <f>Предпосылки!L$236*Предпосылки!$L256*Продажи!M21*M$19*(1+Чувствительность!$D$20)*IFERROR(LOOKUP(Предпосылки!$H$209,$C$13:$C$15,M$13:M$15),1)</f>
        <v>0</v>
      </c>
      <c s="125">
        <f>Предпосылки!M$236*Предпосылки!$L256*Продажи!N21*N$19*(1+Чувствительность!$D$20)*IFERROR(LOOKUP(Предпосылки!$H$209,$C$13:$C$15,N$13:N$15),1)</f>
        <v>0</v>
      </c>
      <c s="125">
        <f>Предпосылки!N$236*Предпосылки!$L256*Продажи!O21*O$19*(1+Чувствительность!$D$20)*IFERROR(LOOKUP(Предпосылки!$H$209,$C$13:$C$15,O$13:O$15),1)</f>
        <v>0</v>
      </c>
      <c s="125">
        <f>Предпосылки!O$236*Предпосылки!$L256*Продажи!P21*P$19*(1+Чувствительность!$D$20)*IFERROR(LOOKUP(Предпосылки!$H$209,$C$13:$C$15,P$13:P$15),1)</f>
        <v>0</v>
      </c>
      <c s="125">
        <f>Предпосылки!P$236*Предпосылки!$L256*Продажи!Q21*Q$19*(1+Чувствительность!$D$20)*IFERROR(LOOKUP(Предпосылки!$H$209,$C$13:$C$15,Q$13:Q$15),1)</f>
        <v>0</v>
      </c>
      <c s="125">
        <f>Предпосылки!Q$236*Предпосылки!$L256*Продажи!R21*R$19*(1+Чувствительность!$D$20)*IFERROR(LOOKUP(Предпосылки!$H$209,$C$13:$C$15,R$13:R$15),1)</f>
        <v>0</v>
      </c>
      <c s="125">
        <f>Предпосылки!R$236*Предпосылки!$L256*Продажи!S21*S$19*(1+Чувствительность!$D$20)*IFERROR(LOOKUP(Предпосылки!$H$209,$C$13:$C$15,S$13:S$15),1)</f>
        <v>0</v>
      </c>
      <c s="125">
        <f>Предпосылки!S$236*Предпосылки!$L256*Продажи!T21*T$19*(1+Чувствительность!$D$20)*IFERROR(LOOKUP(Предпосылки!$H$209,$C$13:$C$15,T$13:T$15),1)</f>
        <v>0</v>
      </c>
      <c s="125">
        <f>Предпосылки!T$236*Предпосылки!$L256*Продажи!U21*U$19*(1+Чувствительность!$D$20)*IFERROR(LOOKUP(Предпосылки!$H$209,$C$13:$C$15,U$13:U$15),1)</f>
        <v>0</v>
      </c>
      <c s="125">
        <f>Предпосылки!U$236*Предпосылки!$L256*Продажи!V21*V$19*(1+Чувствительность!$D$20)*IFERROR(LOOKUP(Предпосылки!$H$209,$C$13:$C$15,V$13:V$15),1)</f>
        <v>0</v>
      </c>
      <c s="125">
        <f>Предпосылки!V$236*Предпосылки!$L256*Продажи!W21*W$19*(1+Чувствительность!$D$20)*IFERROR(LOOKUP(Предпосылки!$H$209,$C$13:$C$15,W$13:W$15),1)</f>
        <v>0</v>
      </c>
      <c s="125">
        <f>Предпосылки!W$236*Предпосылки!$L256*Продажи!X21*X$19*(1+Чувствительность!$D$20)*IFERROR(LOOKUP(Предпосылки!$H$209,$C$13:$C$15,X$13:X$15),1)</f>
        <v>0</v>
      </c>
      <c s="125">
        <f>Предпосылки!X$236*Предпосылки!$L256*Продажи!Y21*Y$19*(1+Чувствительность!$D$20)*IFERROR(LOOKUP(Предпосылки!$H$209,$C$13:$C$15,Y$13:Y$15),1)</f>
        <v>0</v>
      </c>
      <c s="125">
        <f>Предпосылки!Y$236*Предпосылки!$L256*Продажи!Z21*Z$19*(1+Чувствительность!$D$20)*IFERROR(LOOKUP(Предпосылки!$H$209,$C$13:$C$15,Z$13:Z$15),1)</f>
        <v>0</v>
      </c>
      <c s="125">
        <f>Предпосылки!Z$236*Предпосылки!$L256*Продажи!AA21*AA$19*(1+Чувствительность!$D$20)*IFERROR(LOOKUP(Предпосылки!$H$209,$C$13:$C$15,AA$13:AA$15),1)</f>
        <v>0</v>
      </c>
      <c s="125">
        <f>Предпосылки!AA$236*Предпосылки!$L256*Продажи!AB21*AB$19*(1+Чувствительность!$D$20)*IFERROR(LOOKUP(Предпосылки!$H$209,$C$13:$C$15,AB$13:AB$15),1)</f>
        <v>0</v>
      </c>
      <c s="125">
        <f>Предпосылки!AB$236*Предпосылки!$L256*Продажи!AC21*AC$19*(1+Чувствительность!$D$20)*IFERROR(LOOKUP(Предпосылки!$H$209,$C$13:$C$15,AC$13:AC$15),1)</f>
        <v>0</v>
      </c>
      <c s="125">
        <f>Предпосылки!AC$236*Предпосылки!$L256*Продажи!AD21*AD$19*(1+Чувствительность!$D$20)*IFERROR(LOOKUP(Предпосылки!$H$209,$C$13:$C$15,AD$13:AD$15),1)</f>
        <v>0</v>
      </c>
      <c s="125">
        <f>Предпосылки!AD$236*Предпосылки!$L256*Продажи!AE21*AE$19*(1+Чувствительность!$D$20)*IFERROR(LOOKUP(Предпосылки!$H$209,$C$13:$C$15,AE$13:AE$15),1)</f>
        <v>0</v>
      </c>
      <c s="125">
        <f>Предпосылки!AE$236*Предпосылки!$L256*Продажи!AF21*AF$19*(1+Чувствительность!$D$20)*IFERROR(LOOKUP(Предпосылки!$H$209,$C$13:$C$15,AF$13:AF$15),1)</f>
        <v>0</v>
      </c>
      <c s="125">
        <f>Предпосылки!AF$236*Предпосылки!$L256*Продажи!AG21*AG$19*(1+Чувствительность!$D$20)*IFERROR(LOOKUP(Предпосылки!$H$209,$C$13:$C$15,AG$13:AG$15),1)</f>
        <v>0</v>
      </c>
      <c s="125">
        <f>Предпосылки!AG$236*Предпосылки!$L256*Продажи!AH21*AH$19*(1+Чувствительность!$D$20)*IFERROR(LOOKUP(Предпосылки!$H$209,$C$13:$C$15,AH$13:AH$15),1)</f>
        <v>0</v>
      </c>
      <c s="125">
        <f>Предпосылки!AH$236*Предпосылки!$L256*Продажи!AI21*AI$19*(1+Чувствительность!$D$20)*IFERROR(LOOKUP(Предпосылки!$H$209,$C$13:$C$15,AI$13:AI$15),1)</f>
        <v>0</v>
      </c>
      <c s="125">
        <f>Предпосылки!AI$236*Предпосылки!$L256*Продажи!AJ21*AJ$19*(1+Чувствительность!$D$20)*IFERROR(LOOKUP(Предпосылки!$H$209,$C$13:$C$15,AJ$13:AJ$15),1)</f>
        <v>0</v>
      </c>
      <c s="125">
        <f>Предпосылки!AJ$236*Предпосылки!$L256*Продажи!AK21*AK$19*(1+Чувствительность!$D$20)*IFERROR(LOOKUP(Предпосылки!$H$209,$C$13:$C$15,AK$13:AK$15),1)</f>
        <v>0</v>
      </c>
      <c s="125">
        <f>Предпосылки!AK$236*Предпосылки!$L256*Продажи!AL21*AL$19*(1+Чувствительность!$D$20)*IFERROR(LOOKUP(Предпосылки!$H$209,$C$13:$C$15,AL$13:AL$15),1)</f>
        <v>0</v>
      </c>
      <c s="125">
        <f>Предпосылки!AL$236*Предпосылки!$L256*Продажи!AM21*AM$19*(1+Чувствительность!$D$20)*IFERROR(LOOKUP(Предпосылки!$H$209,$C$13:$C$15,AM$13:AM$15),1)</f>
        <v>0</v>
      </c>
      <c s="125">
        <f>Предпосылки!AM$236*Предпосылки!$L256*Продажи!AN21*AN$19*(1+Чувствительность!$D$20)*IFERROR(LOOKUP(Предпосылки!$H$209,$C$13:$C$15,AN$13:AN$15),1)</f>
        <v>0</v>
      </c>
      <c s="125">
        <f>Предпосылки!AN$236*Предпосылки!$L256*Продажи!AO21*AO$19*(1+Чувствительность!$D$20)*IFERROR(LOOKUP(Предпосылки!$H$209,$C$13:$C$15,AO$13:AO$15),1)</f>
        <v>0</v>
      </c>
      <c s="125">
        <f>Предпосылки!AO$236*Предпосылки!$L256*Продажи!AP21*AP$19*(1+Чувствительность!$D$20)*IFERROR(LOOKUP(Предпосылки!$H$209,$C$13:$C$15,AP$13:AP$15),1)</f>
        <v>0</v>
      </c>
      <c s="125">
        <f>Предпосылки!AP$236*Предпосылки!$L256*Продажи!AQ21*AQ$19*(1+Чувствительность!$D$20)*IFERROR(LOOKUP(Предпосылки!$H$209,$C$13:$C$15,AQ$13:AQ$15),1)</f>
        <v>0</v>
      </c>
      <c s="125">
        <f>Предпосылки!AQ$236*Предпосылки!$L256*Продажи!AR21*AR$19*(1+Чувствительность!$D$20)*IFERROR(LOOKUP(Предпосылки!$H$209,$C$13:$C$15,AR$13:AR$15),1)</f>
        <v>0</v>
      </c>
      <c s="125">
        <f>Предпосылки!AR$236*Предпосылки!$L256*Продажи!AS21*AS$19*(1+Чувствительность!$D$20)*IFERROR(LOOKUP(Предпосылки!$H$209,$C$13:$C$15,AS$13:AS$15),1)</f>
        <v>0</v>
      </c>
      <c s="125">
        <f>Предпосылки!AS$236*Предпосылки!$L256*Продажи!AT21*AT$19*(1+Чувствительность!$D$20)*IFERROR(LOOKUP(Предпосылки!$H$209,$C$13:$C$15,AT$13:AT$15),1)</f>
        <v>0</v>
      </c>
      <c s="125">
        <f>Предпосылки!AT$236*Предпосылки!$L256*Продажи!AU21*AU$19*(1+Чувствительность!$D$20)*IFERROR(LOOKUP(Предпосылки!$H$209,$C$13:$C$15,AU$13:AU$15),1)</f>
        <v>0</v>
      </c>
      <c s="125">
        <f>Предпосылки!AU$236*Предпосылки!$L256*Продажи!AV21*AV$19*(1+Чувствительность!$D$20)*IFERROR(LOOKUP(Предпосылки!$H$209,$C$13:$C$15,AV$13:AV$15),1)</f>
        <v>0</v>
      </c>
      <c s="125">
        <f>Предпосылки!AV$236*Предпосылки!$L256*Продажи!AW21*AW$19*(1+Чувствительность!$D$20)*IFERROR(LOOKUP(Предпосылки!$H$209,$C$13:$C$15,AW$13:AW$15),1)</f>
        <v>0</v>
      </c>
      <c s="125">
        <f>Предпосылки!AW$236*Предпосылки!$L256*Продажи!AX21*AX$19*(1+Чувствительность!$D$20)*IFERROR(LOOKUP(Предпосылки!$H$209,$C$13:$C$15,AX$13:AX$15),1)</f>
        <v>0</v>
      </c>
      <c s="125">
        <f>Предпосылки!AX$236*Предпосылки!$L256*Продажи!AY21*AY$19*(1+Чувствительность!$D$20)*IFERROR(LOOKUP(Предпосылки!$H$209,$C$13:$C$15,AY$13:AY$15),1)</f>
        <v>0</v>
      </c>
      <c s="125">
        <f>Предпосылки!AY$236*Предпосылки!$L256*Продажи!AZ21*AZ$19*(1+Чувствительность!$D$20)*IFERROR(LOOKUP(Предпосылки!$H$209,$C$13:$C$15,AZ$13:AZ$15),1)</f>
        <v>0</v>
      </c>
      <c s="125">
        <f>Предпосылки!AZ$236*Предпосылки!$L256*Продажи!BA21*BA$19*(1+Чувствительность!$D$20)*IFERROR(LOOKUP(Предпосылки!$H$209,$C$13:$C$15,BA$13:BA$15),1)</f>
        <v>0</v>
      </c>
      <c s="125">
        <f>Предпосылки!BA$236*Предпосылки!$L256*Продажи!BB21*BB$19*(1+Чувствительность!$D$20)*IFERROR(LOOKUP(Предпосылки!$H$209,$C$13:$C$15,BB$13:BB$15),1)</f>
        <v>0</v>
      </c>
      <c s="125">
        <f>Предпосылки!BB$236*Предпосылки!$L256*Продажи!BC21*BC$19*(1+Чувствительность!$D$20)*IFERROR(LOOKUP(Предпосылки!$H$209,$C$13:$C$15,BC$13:BC$15),1)</f>
        <v>0</v>
      </c>
      <c s="125">
        <f>Предпосылки!BC$236*Предпосылки!$L256*Продажи!BD21*BD$19*(1+Чувствительность!$D$20)*IFERROR(LOOKUP(Предпосылки!$H$209,$C$13:$C$15,BD$13:BD$15),1)</f>
        <v>0</v>
      </c>
      <c s="125">
        <f>Предпосылки!BD$236*Предпосылки!$L256*Продажи!BE21*BE$19*(1+Чувствительность!$D$20)*IFERROR(LOOKUP(Предпосылки!$H$209,$C$13:$C$15,BE$13:BE$15),1)</f>
        <v>0</v>
      </c>
      <c s="125">
        <f>Предпосылки!BE$236*Предпосылки!$L256*Продажи!BF21*BF$19*(1+Чувствительность!$D$20)*IFERROR(LOOKUP(Предпосылки!$H$209,$C$13:$C$15,BF$13:BF$15),1)</f>
        <v>0</v>
      </c>
      <c s="125">
        <f>Предпосылки!BF$236*Предпосылки!$L256*Продажи!BG21*BG$19*(1+Чувствительность!$D$20)*IFERROR(LOOKUP(Предпосылки!$H$209,$C$13:$C$15,BG$13:BG$15),1)</f>
        <v>0</v>
      </c>
      <c s="125">
        <f>Предпосылки!BG$236*Предпосылки!$L256*Продажи!BH21*BH$19*(1+Чувствительность!$D$20)*IFERROR(LOOKUP(Предпосылки!$H$209,$C$13:$C$15,BH$13:BH$15),1)</f>
        <v>0</v>
      </c>
      <c s="125">
        <f>Предпосылки!BH$236*Предпосылки!$L256*Продажи!BI21*BI$19*(1+Чувствительность!$D$20)*IFERROR(LOOKUP(Предпосылки!$H$209,$C$13:$C$15,BI$13:BI$15),1)</f>
        <v>0</v>
      </c>
      <c s="125">
        <f>Предпосылки!BI$236*Предпосылки!$L256*Продажи!BJ21*BJ$19*(1+Чувствительность!$D$20)*IFERROR(LOOKUP(Предпосылки!$H$209,$C$13:$C$15,BJ$13:BJ$15),1)</f>
        <v>0</v>
      </c>
      <c s="125">
        <f>Предпосылки!BJ$236*Предпосылки!$L256*Продажи!BK21*BK$19*(1+Чувствительность!$D$20)*IFERROR(LOOKUP(Предпосылки!$H$209,$C$13:$C$15,BK$13:BK$15),1)</f>
        <v>0</v>
      </c>
      <c s="125">
        <f>Предпосылки!BK$236*Предпосылки!$L256*Продажи!BL21*BL$19*(1+Чувствительность!$D$20)*IFERROR(LOOKUP(Предпосылки!$H$209,$C$13:$C$15,BL$13:BL$15),1)</f>
        <v>0</v>
      </c>
      <c s="125">
        <f>Предпосылки!BL$236*Предпосылки!$L256*Продажи!BM21*BM$19*(1+Чувствительность!$D$20)*IFERROR(LOOKUP(Предпосылки!$H$209,$C$13:$C$15,BM$13:BM$15),1)</f>
        <v>0</v>
      </c>
    </row>
    <row r="211" spans="2:65" ht="15" customHeight="1">
      <c r="B211" s="12" t="str">
        <f t="shared" si="101"/>
        <v>Продукт 5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Предпосылки!D$236*Предпосылки!$L257*Продажи!E22*E$19*(1+Чувствительность!$D$20)*IFERROR(LOOKUP(Предпосылки!$H$209,$C$13:$C$15,E$13:E$15),1)</f>
        <v>0</v>
      </c>
      <c s="125">
        <f>Предпосылки!E$236*Предпосылки!$L257*Продажи!F22*F$19*(1+Чувствительность!$D$20)*IFERROR(LOOKUP(Предпосылки!$H$209,$C$13:$C$15,F$13:F$15),1)</f>
        <v>0</v>
      </c>
      <c s="125">
        <f>Предпосылки!F$236*Предпосылки!$L257*Продажи!G22*G$19*(1+Чувствительность!$D$20)*IFERROR(LOOKUP(Предпосылки!$H$209,$C$13:$C$15,G$13:G$15),1)</f>
        <v>0</v>
      </c>
      <c s="125">
        <f>Предпосылки!G$236*Предпосылки!$L257*Продажи!H22*H$19*(1+Чувствительность!$D$20)*IFERROR(LOOKUP(Предпосылки!$H$209,$C$13:$C$15,H$13:H$15),1)</f>
        <v>0</v>
      </c>
      <c s="125">
        <f>Предпосылки!H$236*Предпосылки!$L257*Продажи!I22*I$19*(1+Чувствительность!$D$20)*IFERROR(LOOKUP(Предпосылки!$H$209,$C$13:$C$15,I$13:I$15),1)</f>
        <v>0</v>
      </c>
      <c s="125">
        <f>Предпосылки!I$236*Предпосылки!$L257*Продажи!J22*J$19*(1+Чувствительность!$D$20)*IFERROR(LOOKUP(Предпосылки!$H$209,$C$13:$C$15,J$13:J$15),1)</f>
        <v>0</v>
      </c>
      <c s="125">
        <f>Предпосылки!J$236*Предпосылки!$L257*Продажи!K22*K$19*(1+Чувствительность!$D$20)*IFERROR(LOOKUP(Предпосылки!$H$209,$C$13:$C$15,K$13:K$15),1)</f>
        <v>0</v>
      </c>
      <c s="125">
        <f>Предпосылки!K$236*Предпосылки!$L257*Продажи!L22*L$19*(1+Чувствительность!$D$20)*IFERROR(LOOKUP(Предпосылки!$H$209,$C$13:$C$15,L$13:L$15),1)</f>
        <v>0</v>
      </c>
      <c s="125">
        <f>Предпосылки!L$236*Предпосылки!$L257*Продажи!M22*M$19*(1+Чувствительность!$D$20)*IFERROR(LOOKUP(Предпосылки!$H$209,$C$13:$C$15,M$13:M$15),1)</f>
        <v>0</v>
      </c>
      <c s="125">
        <f>Предпосылки!M$236*Предпосылки!$L257*Продажи!N22*N$19*(1+Чувствительность!$D$20)*IFERROR(LOOKUP(Предпосылки!$H$209,$C$13:$C$15,N$13:N$15),1)</f>
        <v>0</v>
      </c>
      <c s="125">
        <f>Предпосылки!N$236*Предпосылки!$L257*Продажи!O22*O$19*(1+Чувствительность!$D$20)*IFERROR(LOOKUP(Предпосылки!$H$209,$C$13:$C$15,O$13:O$15),1)</f>
        <v>0</v>
      </c>
      <c s="125">
        <f>Предпосылки!O$236*Предпосылки!$L257*Продажи!P22*P$19*(1+Чувствительность!$D$20)*IFERROR(LOOKUP(Предпосылки!$H$209,$C$13:$C$15,P$13:P$15),1)</f>
        <v>0</v>
      </c>
      <c s="125">
        <f>Предпосылки!P$236*Предпосылки!$L257*Продажи!Q22*Q$19*(1+Чувствительность!$D$20)*IFERROR(LOOKUP(Предпосылки!$H$209,$C$13:$C$15,Q$13:Q$15),1)</f>
        <v>0</v>
      </c>
      <c s="125">
        <f>Предпосылки!Q$236*Предпосылки!$L257*Продажи!R22*R$19*(1+Чувствительность!$D$20)*IFERROR(LOOKUP(Предпосылки!$H$209,$C$13:$C$15,R$13:R$15),1)</f>
        <v>0</v>
      </c>
      <c s="125">
        <f>Предпосылки!R$236*Предпосылки!$L257*Продажи!S22*S$19*(1+Чувствительность!$D$20)*IFERROR(LOOKUP(Предпосылки!$H$209,$C$13:$C$15,S$13:S$15),1)</f>
        <v>0</v>
      </c>
      <c s="125">
        <f>Предпосылки!S$236*Предпосылки!$L257*Продажи!T22*T$19*(1+Чувствительность!$D$20)*IFERROR(LOOKUP(Предпосылки!$H$209,$C$13:$C$15,T$13:T$15),1)</f>
        <v>0</v>
      </c>
      <c s="125">
        <f>Предпосылки!T$236*Предпосылки!$L257*Продажи!U22*U$19*(1+Чувствительность!$D$20)*IFERROR(LOOKUP(Предпосылки!$H$209,$C$13:$C$15,U$13:U$15),1)</f>
        <v>0</v>
      </c>
      <c s="125">
        <f>Предпосылки!U$236*Предпосылки!$L257*Продажи!V22*V$19*(1+Чувствительность!$D$20)*IFERROR(LOOKUP(Предпосылки!$H$209,$C$13:$C$15,V$13:V$15),1)</f>
        <v>0</v>
      </c>
      <c s="125">
        <f>Предпосылки!V$236*Предпосылки!$L257*Продажи!W22*W$19*(1+Чувствительность!$D$20)*IFERROR(LOOKUP(Предпосылки!$H$209,$C$13:$C$15,W$13:W$15),1)</f>
        <v>0</v>
      </c>
      <c s="125">
        <f>Предпосылки!W$236*Предпосылки!$L257*Продажи!X22*X$19*(1+Чувствительность!$D$20)*IFERROR(LOOKUP(Предпосылки!$H$209,$C$13:$C$15,X$13:X$15),1)</f>
        <v>0</v>
      </c>
      <c s="125">
        <f>Предпосылки!X$236*Предпосылки!$L257*Продажи!Y22*Y$19*(1+Чувствительность!$D$20)*IFERROR(LOOKUP(Предпосылки!$H$209,$C$13:$C$15,Y$13:Y$15),1)</f>
        <v>0</v>
      </c>
      <c s="125">
        <f>Предпосылки!Y$236*Предпосылки!$L257*Продажи!Z22*Z$19*(1+Чувствительность!$D$20)*IFERROR(LOOKUP(Предпосылки!$H$209,$C$13:$C$15,Z$13:Z$15),1)</f>
        <v>0</v>
      </c>
      <c s="125">
        <f>Предпосылки!Z$236*Предпосылки!$L257*Продажи!AA22*AA$19*(1+Чувствительность!$D$20)*IFERROR(LOOKUP(Предпосылки!$H$209,$C$13:$C$15,AA$13:AA$15),1)</f>
        <v>0</v>
      </c>
      <c s="125">
        <f>Предпосылки!AA$236*Предпосылки!$L257*Продажи!AB22*AB$19*(1+Чувствительность!$D$20)*IFERROR(LOOKUP(Предпосылки!$H$209,$C$13:$C$15,AB$13:AB$15),1)</f>
        <v>0</v>
      </c>
      <c s="125">
        <f>Предпосылки!AB$236*Предпосылки!$L257*Продажи!AC22*AC$19*(1+Чувствительность!$D$20)*IFERROR(LOOKUP(Предпосылки!$H$209,$C$13:$C$15,AC$13:AC$15),1)</f>
        <v>0</v>
      </c>
      <c s="125">
        <f>Предпосылки!AC$236*Предпосылки!$L257*Продажи!AD22*AD$19*(1+Чувствительность!$D$20)*IFERROR(LOOKUP(Предпосылки!$H$209,$C$13:$C$15,AD$13:AD$15),1)</f>
        <v>0</v>
      </c>
      <c s="125">
        <f>Предпосылки!AD$236*Предпосылки!$L257*Продажи!AE22*AE$19*(1+Чувствительность!$D$20)*IFERROR(LOOKUP(Предпосылки!$H$209,$C$13:$C$15,AE$13:AE$15),1)</f>
        <v>0</v>
      </c>
      <c s="125">
        <f>Предпосылки!AE$236*Предпосылки!$L257*Продажи!AF22*AF$19*(1+Чувствительность!$D$20)*IFERROR(LOOKUP(Предпосылки!$H$209,$C$13:$C$15,AF$13:AF$15),1)</f>
        <v>0</v>
      </c>
      <c s="125">
        <f>Предпосылки!AF$236*Предпосылки!$L257*Продажи!AG22*AG$19*(1+Чувствительность!$D$20)*IFERROR(LOOKUP(Предпосылки!$H$209,$C$13:$C$15,AG$13:AG$15),1)</f>
        <v>0</v>
      </c>
      <c s="125">
        <f>Предпосылки!AG$236*Предпосылки!$L257*Продажи!AH22*AH$19*(1+Чувствительность!$D$20)*IFERROR(LOOKUP(Предпосылки!$H$209,$C$13:$C$15,AH$13:AH$15),1)</f>
        <v>0</v>
      </c>
      <c s="125">
        <f>Предпосылки!AH$236*Предпосылки!$L257*Продажи!AI22*AI$19*(1+Чувствительность!$D$20)*IFERROR(LOOKUP(Предпосылки!$H$209,$C$13:$C$15,AI$13:AI$15),1)</f>
        <v>0</v>
      </c>
      <c s="125">
        <f>Предпосылки!AI$236*Предпосылки!$L257*Продажи!AJ22*AJ$19*(1+Чувствительность!$D$20)*IFERROR(LOOKUP(Предпосылки!$H$209,$C$13:$C$15,AJ$13:AJ$15),1)</f>
        <v>0</v>
      </c>
      <c s="125">
        <f>Предпосылки!AJ$236*Предпосылки!$L257*Продажи!AK22*AK$19*(1+Чувствительность!$D$20)*IFERROR(LOOKUP(Предпосылки!$H$209,$C$13:$C$15,AK$13:AK$15),1)</f>
        <v>0</v>
      </c>
      <c s="125">
        <f>Предпосылки!AK$236*Предпосылки!$L257*Продажи!AL22*AL$19*(1+Чувствительность!$D$20)*IFERROR(LOOKUP(Предпосылки!$H$209,$C$13:$C$15,AL$13:AL$15),1)</f>
        <v>0</v>
      </c>
      <c s="125">
        <f>Предпосылки!AL$236*Предпосылки!$L257*Продажи!AM22*AM$19*(1+Чувствительность!$D$20)*IFERROR(LOOKUP(Предпосылки!$H$209,$C$13:$C$15,AM$13:AM$15),1)</f>
        <v>0</v>
      </c>
      <c s="125">
        <f>Предпосылки!AM$236*Предпосылки!$L257*Продажи!AN22*AN$19*(1+Чувствительность!$D$20)*IFERROR(LOOKUP(Предпосылки!$H$209,$C$13:$C$15,AN$13:AN$15),1)</f>
        <v>0</v>
      </c>
      <c s="125">
        <f>Предпосылки!AN$236*Предпосылки!$L257*Продажи!AO22*AO$19*(1+Чувствительность!$D$20)*IFERROR(LOOKUP(Предпосылки!$H$209,$C$13:$C$15,AO$13:AO$15),1)</f>
        <v>0</v>
      </c>
      <c s="125">
        <f>Предпосылки!AO$236*Предпосылки!$L257*Продажи!AP22*AP$19*(1+Чувствительность!$D$20)*IFERROR(LOOKUP(Предпосылки!$H$209,$C$13:$C$15,AP$13:AP$15),1)</f>
        <v>0</v>
      </c>
      <c s="125">
        <f>Предпосылки!AP$236*Предпосылки!$L257*Продажи!AQ22*AQ$19*(1+Чувствительность!$D$20)*IFERROR(LOOKUP(Предпосылки!$H$209,$C$13:$C$15,AQ$13:AQ$15),1)</f>
        <v>0</v>
      </c>
      <c s="125">
        <f>Предпосылки!AQ$236*Предпосылки!$L257*Продажи!AR22*AR$19*(1+Чувствительность!$D$20)*IFERROR(LOOKUP(Предпосылки!$H$209,$C$13:$C$15,AR$13:AR$15),1)</f>
        <v>0</v>
      </c>
      <c s="125">
        <f>Предпосылки!AR$236*Предпосылки!$L257*Продажи!AS22*AS$19*(1+Чувствительность!$D$20)*IFERROR(LOOKUP(Предпосылки!$H$209,$C$13:$C$15,AS$13:AS$15),1)</f>
        <v>0</v>
      </c>
      <c s="125">
        <f>Предпосылки!AS$236*Предпосылки!$L257*Продажи!AT22*AT$19*(1+Чувствительность!$D$20)*IFERROR(LOOKUP(Предпосылки!$H$209,$C$13:$C$15,AT$13:AT$15),1)</f>
        <v>0</v>
      </c>
      <c s="125">
        <f>Предпосылки!AT$236*Предпосылки!$L257*Продажи!AU22*AU$19*(1+Чувствительность!$D$20)*IFERROR(LOOKUP(Предпосылки!$H$209,$C$13:$C$15,AU$13:AU$15),1)</f>
        <v>0</v>
      </c>
      <c s="125">
        <f>Предпосылки!AU$236*Предпосылки!$L257*Продажи!AV22*AV$19*(1+Чувствительность!$D$20)*IFERROR(LOOKUP(Предпосылки!$H$209,$C$13:$C$15,AV$13:AV$15),1)</f>
        <v>0</v>
      </c>
      <c s="125">
        <f>Предпосылки!AV$236*Предпосылки!$L257*Продажи!AW22*AW$19*(1+Чувствительность!$D$20)*IFERROR(LOOKUP(Предпосылки!$H$209,$C$13:$C$15,AW$13:AW$15),1)</f>
        <v>0</v>
      </c>
      <c s="125">
        <f>Предпосылки!AW$236*Предпосылки!$L257*Продажи!AX22*AX$19*(1+Чувствительность!$D$20)*IFERROR(LOOKUP(Предпосылки!$H$209,$C$13:$C$15,AX$13:AX$15),1)</f>
        <v>0</v>
      </c>
      <c s="125">
        <f>Предпосылки!AX$236*Предпосылки!$L257*Продажи!AY22*AY$19*(1+Чувствительность!$D$20)*IFERROR(LOOKUP(Предпосылки!$H$209,$C$13:$C$15,AY$13:AY$15),1)</f>
        <v>0</v>
      </c>
      <c s="125">
        <f>Предпосылки!AY$236*Предпосылки!$L257*Продажи!AZ22*AZ$19*(1+Чувствительность!$D$20)*IFERROR(LOOKUP(Предпосылки!$H$209,$C$13:$C$15,AZ$13:AZ$15),1)</f>
        <v>0</v>
      </c>
      <c s="125">
        <f>Предпосылки!AZ$236*Предпосылки!$L257*Продажи!BA22*BA$19*(1+Чувствительность!$D$20)*IFERROR(LOOKUP(Предпосылки!$H$209,$C$13:$C$15,BA$13:BA$15),1)</f>
        <v>0</v>
      </c>
      <c s="125">
        <f>Предпосылки!BA$236*Предпосылки!$L257*Продажи!BB22*BB$19*(1+Чувствительность!$D$20)*IFERROR(LOOKUP(Предпосылки!$H$209,$C$13:$C$15,BB$13:BB$15),1)</f>
        <v>0</v>
      </c>
      <c s="125">
        <f>Предпосылки!BB$236*Предпосылки!$L257*Продажи!BC22*BC$19*(1+Чувствительность!$D$20)*IFERROR(LOOKUP(Предпосылки!$H$209,$C$13:$C$15,BC$13:BC$15),1)</f>
        <v>0</v>
      </c>
      <c s="125">
        <f>Предпосылки!BC$236*Предпосылки!$L257*Продажи!BD22*BD$19*(1+Чувствительность!$D$20)*IFERROR(LOOKUP(Предпосылки!$H$209,$C$13:$C$15,BD$13:BD$15),1)</f>
        <v>0</v>
      </c>
      <c s="125">
        <f>Предпосылки!BD$236*Предпосылки!$L257*Продажи!BE22*BE$19*(1+Чувствительность!$D$20)*IFERROR(LOOKUP(Предпосылки!$H$209,$C$13:$C$15,BE$13:BE$15),1)</f>
        <v>0</v>
      </c>
      <c s="125">
        <f>Предпосылки!BE$236*Предпосылки!$L257*Продажи!BF22*BF$19*(1+Чувствительность!$D$20)*IFERROR(LOOKUP(Предпосылки!$H$209,$C$13:$C$15,BF$13:BF$15),1)</f>
        <v>0</v>
      </c>
      <c s="125">
        <f>Предпосылки!BF$236*Предпосылки!$L257*Продажи!BG22*BG$19*(1+Чувствительность!$D$20)*IFERROR(LOOKUP(Предпосылки!$H$209,$C$13:$C$15,BG$13:BG$15),1)</f>
        <v>0</v>
      </c>
      <c s="125">
        <f>Предпосылки!BG$236*Предпосылки!$L257*Продажи!BH22*BH$19*(1+Чувствительность!$D$20)*IFERROR(LOOKUP(Предпосылки!$H$209,$C$13:$C$15,BH$13:BH$15),1)</f>
        <v>0</v>
      </c>
      <c s="125">
        <f>Предпосылки!BH$236*Предпосылки!$L257*Продажи!BI22*BI$19*(1+Чувствительность!$D$20)*IFERROR(LOOKUP(Предпосылки!$H$209,$C$13:$C$15,BI$13:BI$15),1)</f>
        <v>0</v>
      </c>
      <c s="125">
        <f>Предпосылки!BI$236*Предпосылки!$L257*Продажи!BJ22*BJ$19*(1+Чувствительность!$D$20)*IFERROR(LOOKUP(Предпосылки!$H$209,$C$13:$C$15,BJ$13:BJ$15),1)</f>
        <v>0</v>
      </c>
      <c s="125">
        <f>Предпосылки!BJ$236*Предпосылки!$L257*Продажи!BK22*BK$19*(1+Чувствительность!$D$20)*IFERROR(LOOKUP(Предпосылки!$H$209,$C$13:$C$15,BK$13:BK$15),1)</f>
        <v>0</v>
      </c>
      <c s="125">
        <f>Предпосылки!BK$236*Предпосылки!$L257*Продажи!BL22*BL$19*(1+Чувствительность!$D$20)*IFERROR(LOOKUP(Предпосылки!$H$209,$C$13:$C$15,BL$13:BL$15),1)</f>
        <v>0</v>
      </c>
      <c s="125">
        <f>Предпосылки!BL$236*Предпосылки!$L257*Продажи!BM22*BM$19*(1+Чувствительность!$D$20)*IFERROR(LOOKUP(Предпосылки!$H$209,$C$13:$C$15,BM$13:BM$15),1)</f>
        <v>0</v>
      </c>
    </row>
    <row r="212" spans="2:65" ht="15" customHeight="1">
      <c r="B212" s="12" t="str">
        <f t="shared" si="101"/>
        <v>Продукт 6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Предпосылки!D$236*Предпосылки!$L258*Продажи!E23*E$19*(1+Чувствительность!$D$20)*IFERROR(LOOKUP(Предпосылки!$H$209,$C$13:$C$15,E$13:E$15),1)</f>
        <v>0</v>
      </c>
      <c s="125">
        <f>Предпосылки!E$236*Предпосылки!$L258*Продажи!F23*F$19*(1+Чувствительность!$D$20)*IFERROR(LOOKUP(Предпосылки!$H$209,$C$13:$C$15,F$13:F$15),1)</f>
        <v>0</v>
      </c>
      <c s="125">
        <f>Предпосылки!F$236*Предпосылки!$L258*Продажи!G23*G$19*(1+Чувствительность!$D$20)*IFERROR(LOOKUP(Предпосылки!$H$209,$C$13:$C$15,G$13:G$15),1)</f>
        <v>0</v>
      </c>
      <c s="125">
        <f>Предпосылки!G$236*Предпосылки!$L258*Продажи!H23*H$19*(1+Чувствительность!$D$20)*IFERROR(LOOKUP(Предпосылки!$H$209,$C$13:$C$15,H$13:H$15),1)</f>
        <v>0</v>
      </c>
      <c s="125">
        <f>Предпосылки!H$236*Предпосылки!$L258*Продажи!I23*I$19*(1+Чувствительность!$D$20)*IFERROR(LOOKUP(Предпосылки!$H$209,$C$13:$C$15,I$13:I$15),1)</f>
        <v>0</v>
      </c>
      <c s="125">
        <f>Предпосылки!I$236*Предпосылки!$L258*Продажи!J23*J$19*(1+Чувствительность!$D$20)*IFERROR(LOOKUP(Предпосылки!$H$209,$C$13:$C$15,J$13:J$15),1)</f>
        <v>0</v>
      </c>
      <c s="125">
        <f>Предпосылки!J$236*Предпосылки!$L258*Продажи!K23*K$19*(1+Чувствительность!$D$20)*IFERROR(LOOKUP(Предпосылки!$H$209,$C$13:$C$15,K$13:K$15),1)</f>
        <v>0</v>
      </c>
      <c s="125">
        <f>Предпосылки!K$236*Предпосылки!$L258*Продажи!L23*L$19*(1+Чувствительность!$D$20)*IFERROR(LOOKUP(Предпосылки!$H$209,$C$13:$C$15,L$13:L$15),1)</f>
        <v>0</v>
      </c>
      <c s="125">
        <f>Предпосылки!L$236*Предпосылки!$L258*Продажи!M23*M$19*(1+Чувствительность!$D$20)*IFERROR(LOOKUP(Предпосылки!$H$209,$C$13:$C$15,M$13:M$15),1)</f>
        <v>0</v>
      </c>
      <c s="125">
        <f>Предпосылки!M$236*Предпосылки!$L258*Продажи!N23*N$19*(1+Чувствительность!$D$20)*IFERROR(LOOKUP(Предпосылки!$H$209,$C$13:$C$15,N$13:N$15),1)</f>
        <v>0</v>
      </c>
      <c s="125">
        <f>Предпосылки!N$236*Предпосылки!$L258*Продажи!O23*O$19*(1+Чувствительность!$D$20)*IFERROR(LOOKUP(Предпосылки!$H$209,$C$13:$C$15,O$13:O$15),1)</f>
        <v>0</v>
      </c>
      <c s="125">
        <f>Предпосылки!O$236*Предпосылки!$L258*Продажи!P23*P$19*(1+Чувствительность!$D$20)*IFERROR(LOOKUP(Предпосылки!$H$209,$C$13:$C$15,P$13:P$15),1)</f>
        <v>0</v>
      </c>
      <c s="125">
        <f>Предпосылки!P$236*Предпосылки!$L258*Продажи!Q23*Q$19*(1+Чувствительность!$D$20)*IFERROR(LOOKUP(Предпосылки!$H$209,$C$13:$C$15,Q$13:Q$15),1)</f>
        <v>0</v>
      </c>
      <c s="125">
        <f>Предпосылки!Q$236*Предпосылки!$L258*Продажи!R23*R$19*(1+Чувствительность!$D$20)*IFERROR(LOOKUP(Предпосылки!$H$209,$C$13:$C$15,R$13:R$15),1)</f>
        <v>0</v>
      </c>
      <c s="125">
        <f>Предпосылки!R$236*Предпосылки!$L258*Продажи!S23*S$19*(1+Чувствительность!$D$20)*IFERROR(LOOKUP(Предпосылки!$H$209,$C$13:$C$15,S$13:S$15),1)</f>
        <v>0</v>
      </c>
      <c s="125">
        <f>Предпосылки!S$236*Предпосылки!$L258*Продажи!T23*T$19*(1+Чувствительность!$D$20)*IFERROR(LOOKUP(Предпосылки!$H$209,$C$13:$C$15,T$13:T$15),1)</f>
        <v>0</v>
      </c>
      <c s="125">
        <f>Предпосылки!T$236*Предпосылки!$L258*Продажи!U23*U$19*(1+Чувствительность!$D$20)*IFERROR(LOOKUP(Предпосылки!$H$209,$C$13:$C$15,U$13:U$15),1)</f>
        <v>0</v>
      </c>
      <c s="125">
        <f>Предпосылки!U$236*Предпосылки!$L258*Продажи!V23*V$19*(1+Чувствительность!$D$20)*IFERROR(LOOKUP(Предпосылки!$H$209,$C$13:$C$15,V$13:V$15),1)</f>
        <v>0</v>
      </c>
      <c s="125">
        <f>Предпосылки!V$236*Предпосылки!$L258*Продажи!W23*W$19*(1+Чувствительность!$D$20)*IFERROR(LOOKUP(Предпосылки!$H$209,$C$13:$C$15,W$13:W$15),1)</f>
        <v>0</v>
      </c>
      <c s="125">
        <f>Предпосылки!W$236*Предпосылки!$L258*Продажи!X23*X$19*(1+Чувствительность!$D$20)*IFERROR(LOOKUP(Предпосылки!$H$209,$C$13:$C$15,X$13:X$15),1)</f>
        <v>0</v>
      </c>
      <c s="125">
        <f>Предпосылки!X$236*Предпосылки!$L258*Продажи!Y23*Y$19*(1+Чувствительность!$D$20)*IFERROR(LOOKUP(Предпосылки!$H$209,$C$13:$C$15,Y$13:Y$15),1)</f>
        <v>0</v>
      </c>
      <c s="125">
        <f>Предпосылки!Y$236*Предпосылки!$L258*Продажи!Z23*Z$19*(1+Чувствительность!$D$20)*IFERROR(LOOKUP(Предпосылки!$H$209,$C$13:$C$15,Z$13:Z$15),1)</f>
        <v>0</v>
      </c>
      <c s="125">
        <f>Предпосылки!Z$236*Предпосылки!$L258*Продажи!AA23*AA$19*(1+Чувствительность!$D$20)*IFERROR(LOOKUP(Предпосылки!$H$209,$C$13:$C$15,AA$13:AA$15),1)</f>
        <v>0</v>
      </c>
      <c s="125">
        <f>Предпосылки!AA$236*Предпосылки!$L258*Продажи!AB23*AB$19*(1+Чувствительность!$D$20)*IFERROR(LOOKUP(Предпосылки!$H$209,$C$13:$C$15,AB$13:AB$15),1)</f>
        <v>0</v>
      </c>
      <c s="125">
        <f>Предпосылки!AB$236*Предпосылки!$L258*Продажи!AC23*AC$19*(1+Чувствительность!$D$20)*IFERROR(LOOKUP(Предпосылки!$H$209,$C$13:$C$15,AC$13:AC$15),1)</f>
        <v>0</v>
      </c>
      <c s="125">
        <f>Предпосылки!AC$236*Предпосылки!$L258*Продажи!AD23*AD$19*(1+Чувствительность!$D$20)*IFERROR(LOOKUP(Предпосылки!$H$209,$C$13:$C$15,AD$13:AD$15),1)</f>
        <v>0</v>
      </c>
      <c s="125">
        <f>Предпосылки!AD$236*Предпосылки!$L258*Продажи!AE23*AE$19*(1+Чувствительность!$D$20)*IFERROR(LOOKUP(Предпосылки!$H$209,$C$13:$C$15,AE$13:AE$15),1)</f>
        <v>0</v>
      </c>
      <c s="125">
        <f>Предпосылки!AE$236*Предпосылки!$L258*Продажи!AF23*AF$19*(1+Чувствительность!$D$20)*IFERROR(LOOKUP(Предпосылки!$H$209,$C$13:$C$15,AF$13:AF$15),1)</f>
        <v>0</v>
      </c>
      <c s="125">
        <f>Предпосылки!AF$236*Предпосылки!$L258*Продажи!AG23*AG$19*(1+Чувствительность!$D$20)*IFERROR(LOOKUP(Предпосылки!$H$209,$C$13:$C$15,AG$13:AG$15),1)</f>
        <v>0</v>
      </c>
      <c s="125">
        <f>Предпосылки!AG$236*Предпосылки!$L258*Продажи!AH23*AH$19*(1+Чувствительность!$D$20)*IFERROR(LOOKUP(Предпосылки!$H$209,$C$13:$C$15,AH$13:AH$15),1)</f>
        <v>0</v>
      </c>
      <c s="125">
        <f>Предпосылки!AH$236*Предпосылки!$L258*Продажи!AI23*AI$19*(1+Чувствительность!$D$20)*IFERROR(LOOKUP(Предпосылки!$H$209,$C$13:$C$15,AI$13:AI$15),1)</f>
        <v>0</v>
      </c>
      <c s="125">
        <f>Предпосылки!AI$236*Предпосылки!$L258*Продажи!AJ23*AJ$19*(1+Чувствительность!$D$20)*IFERROR(LOOKUP(Предпосылки!$H$209,$C$13:$C$15,AJ$13:AJ$15),1)</f>
        <v>0</v>
      </c>
      <c s="125">
        <f>Предпосылки!AJ$236*Предпосылки!$L258*Продажи!AK23*AK$19*(1+Чувствительность!$D$20)*IFERROR(LOOKUP(Предпосылки!$H$209,$C$13:$C$15,AK$13:AK$15),1)</f>
        <v>0</v>
      </c>
      <c s="125">
        <f>Предпосылки!AK$236*Предпосылки!$L258*Продажи!AL23*AL$19*(1+Чувствительность!$D$20)*IFERROR(LOOKUP(Предпосылки!$H$209,$C$13:$C$15,AL$13:AL$15),1)</f>
        <v>0</v>
      </c>
      <c s="125">
        <f>Предпосылки!AL$236*Предпосылки!$L258*Продажи!AM23*AM$19*(1+Чувствительность!$D$20)*IFERROR(LOOKUP(Предпосылки!$H$209,$C$13:$C$15,AM$13:AM$15),1)</f>
        <v>0</v>
      </c>
      <c s="125">
        <f>Предпосылки!AM$236*Предпосылки!$L258*Продажи!AN23*AN$19*(1+Чувствительность!$D$20)*IFERROR(LOOKUP(Предпосылки!$H$209,$C$13:$C$15,AN$13:AN$15),1)</f>
        <v>0</v>
      </c>
      <c s="125">
        <f>Предпосылки!AN$236*Предпосылки!$L258*Продажи!AO23*AO$19*(1+Чувствительность!$D$20)*IFERROR(LOOKUP(Предпосылки!$H$209,$C$13:$C$15,AO$13:AO$15),1)</f>
        <v>0</v>
      </c>
      <c s="125">
        <f>Предпосылки!AO$236*Предпосылки!$L258*Продажи!AP23*AP$19*(1+Чувствительность!$D$20)*IFERROR(LOOKUP(Предпосылки!$H$209,$C$13:$C$15,AP$13:AP$15),1)</f>
        <v>0</v>
      </c>
      <c s="125">
        <f>Предпосылки!AP$236*Предпосылки!$L258*Продажи!AQ23*AQ$19*(1+Чувствительность!$D$20)*IFERROR(LOOKUP(Предпосылки!$H$209,$C$13:$C$15,AQ$13:AQ$15),1)</f>
        <v>0</v>
      </c>
      <c s="125">
        <f>Предпосылки!AQ$236*Предпосылки!$L258*Продажи!AR23*AR$19*(1+Чувствительность!$D$20)*IFERROR(LOOKUP(Предпосылки!$H$209,$C$13:$C$15,AR$13:AR$15),1)</f>
        <v>0</v>
      </c>
      <c s="125">
        <f>Предпосылки!AR$236*Предпосылки!$L258*Продажи!AS23*AS$19*(1+Чувствительность!$D$20)*IFERROR(LOOKUP(Предпосылки!$H$209,$C$13:$C$15,AS$13:AS$15),1)</f>
        <v>0</v>
      </c>
      <c s="125">
        <f>Предпосылки!AS$236*Предпосылки!$L258*Продажи!AT23*AT$19*(1+Чувствительность!$D$20)*IFERROR(LOOKUP(Предпосылки!$H$209,$C$13:$C$15,AT$13:AT$15),1)</f>
        <v>0</v>
      </c>
      <c s="125">
        <f>Предпосылки!AT$236*Предпосылки!$L258*Продажи!AU23*AU$19*(1+Чувствительность!$D$20)*IFERROR(LOOKUP(Предпосылки!$H$209,$C$13:$C$15,AU$13:AU$15),1)</f>
        <v>0</v>
      </c>
      <c s="125">
        <f>Предпосылки!AU$236*Предпосылки!$L258*Продажи!AV23*AV$19*(1+Чувствительность!$D$20)*IFERROR(LOOKUP(Предпосылки!$H$209,$C$13:$C$15,AV$13:AV$15),1)</f>
        <v>0</v>
      </c>
      <c s="125">
        <f>Предпосылки!AV$236*Предпосылки!$L258*Продажи!AW23*AW$19*(1+Чувствительность!$D$20)*IFERROR(LOOKUP(Предпосылки!$H$209,$C$13:$C$15,AW$13:AW$15),1)</f>
        <v>0</v>
      </c>
      <c s="125">
        <f>Предпосылки!AW$236*Предпосылки!$L258*Продажи!AX23*AX$19*(1+Чувствительность!$D$20)*IFERROR(LOOKUP(Предпосылки!$H$209,$C$13:$C$15,AX$13:AX$15),1)</f>
        <v>0</v>
      </c>
      <c s="125">
        <f>Предпосылки!AX$236*Предпосылки!$L258*Продажи!AY23*AY$19*(1+Чувствительность!$D$20)*IFERROR(LOOKUP(Предпосылки!$H$209,$C$13:$C$15,AY$13:AY$15),1)</f>
        <v>0</v>
      </c>
      <c s="125">
        <f>Предпосылки!AY$236*Предпосылки!$L258*Продажи!AZ23*AZ$19*(1+Чувствительность!$D$20)*IFERROR(LOOKUP(Предпосылки!$H$209,$C$13:$C$15,AZ$13:AZ$15),1)</f>
        <v>0</v>
      </c>
      <c s="125">
        <f>Предпосылки!AZ$236*Предпосылки!$L258*Продажи!BA23*BA$19*(1+Чувствительность!$D$20)*IFERROR(LOOKUP(Предпосылки!$H$209,$C$13:$C$15,BA$13:BA$15),1)</f>
        <v>0</v>
      </c>
      <c s="125">
        <f>Предпосылки!BA$236*Предпосылки!$L258*Продажи!BB23*BB$19*(1+Чувствительность!$D$20)*IFERROR(LOOKUP(Предпосылки!$H$209,$C$13:$C$15,BB$13:BB$15),1)</f>
        <v>0</v>
      </c>
      <c s="125">
        <f>Предпосылки!BB$236*Предпосылки!$L258*Продажи!BC23*BC$19*(1+Чувствительность!$D$20)*IFERROR(LOOKUP(Предпосылки!$H$209,$C$13:$C$15,BC$13:BC$15),1)</f>
        <v>0</v>
      </c>
      <c s="125">
        <f>Предпосылки!BC$236*Предпосылки!$L258*Продажи!BD23*BD$19*(1+Чувствительность!$D$20)*IFERROR(LOOKUP(Предпосылки!$H$209,$C$13:$C$15,BD$13:BD$15),1)</f>
        <v>0</v>
      </c>
      <c s="125">
        <f>Предпосылки!BD$236*Предпосылки!$L258*Продажи!BE23*BE$19*(1+Чувствительность!$D$20)*IFERROR(LOOKUP(Предпосылки!$H$209,$C$13:$C$15,BE$13:BE$15),1)</f>
        <v>0</v>
      </c>
      <c s="125">
        <f>Предпосылки!BE$236*Предпосылки!$L258*Продажи!BF23*BF$19*(1+Чувствительность!$D$20)*IFERROR(LOOKUP(Предпосылки!$H$209,$C$13:$C$15,BF$13:BF$15),1)</f>
        <v>0</v>
      </c>
      <c s="125">
        <f>Предпосылки!BF$236*Предпосылки!$L258*Продажи!BG23*BG$19*(1+Чувствительность!$D$20)*IFERROR(LOOKUP(Предпосылки!$H$209,$C$13:$C$15,BG$13:BG$15),1)</f>
        <v>0</v>
      </c>
      <c s="125">
        <f>Предпосылки!BG$236*Предпосылки!$L258*Продажи!BH23*BH$19*(1+Чувствительность!$D$20)*IFERROR(LOOKUP(Предпосылки!$H$209,$C$13:$C$15,BH$13:BH$15),1)</f>
        <v>0</v>
      </c>
      <c s="125">
        <f>Предпосылки!BH$236*Предпосылки!$L258*Продажи!BI23*BI$19*(1+Чувствительность!$D$20)*IFERROR(LOOKUP(Предпосылки!$H$209,$C$13:$C$15,BI$13:BI$15),1)</f>
        <v>0</v>
      </c>
      <c s="125">
        <f>Предпосылки!BI$236*Предпосылки!$L258*Продажи!BJ23*BJ$19*(1+Чувствительность!$D$20)*IFERROR(LOOKUP(Предпосылки!$H$209,$C$13:$C$15,BJ$13:BJ$15),1)</f>
        <v>0</v>
      </c>
      <c s="125">
        <f>Предпосылки!BJ$236*Предпосылки!$L258*Продажи!BK23*BK$19*(1+Чувствительность!$D$20)*IFERROR(LOOKUP(Предпосылки!$H$209,$C$13:$C$15,BK$13:BK$15),1)</f>
        <v>0</v>
      </c>
      <c s="125">
        <f>Предпосылки!BK$236*Предпосылки!$L258*Продажи!BL23*BL$19*(1+Чувствительность!$D$20)*IFERROR(LOOKUP(Предпосылки!$H$209,$C$13:$C$15,BL$13:BL$15),1)</f>
        <v>0</v>
      </c>
      <c s="125">
        <f>Предпосылки!BL$236*Предпосылки!$L258*Продажи!BM23*BM$19*(1+Чувствительность!$D$20)*IFERROR(LOOKUP(Предпосылки!$H$209,$C$13:$C$15,BM$13:BM$15),1)</f>
        <v>0</v>
      </c>
    </row>
    <row r="213" spans="2:65" ht="15" customHeight="1">
      <c r="B213" s="12" t="str">
        <f t="shared" si="101"/>
        <v>Продукт 7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Предпосылки!D$236*Предпосылки!$L259*Продажи!E24*E$19*(1+Чувствительность!$D$20)*IFERROR(LOOKUP(Предпосылки!$H$209,$C$13:$C$15,E$13:E$15),1)</f>
        <v>0</v>
      </c>
      <c s="125">
        <f>Предпосылки!E$236*Предпосылки!$L259*Продажи!F24*F$19*(1+Чувствительность!$D$20)*IFERROR(LOOKUP(Предпосылки!$H$209,$C$13:$C$15,F$13:F$15),1)</f>
        <v>0</v>
      </c>
      <c s="125">
        <f>Предпосылки!F$236*Предпосылки!$L259*Продажи!G24*G$19*(1+Чувствительность!$D$20)*IFERROR(LOOKUP(Предпосылки!$H$209,$C$13:$C$15,G$13:G$15),1)</f>
        <v>0</v>
      </c>
      <c s="125">
        <f>Предпосылки!G$236*Предпосылки!$L259*Продажи!H24*H$19*(1+Чувствительность!$D$20)*IFERROR(LOOKUP(Предпосылки!$H$209,$C$13:$C$15,H$13:H$15),1)</f>
        <v>0</v>
      </c>
      <c s="125">
        <f>Предпосылки!H$236*Предпосылки!$L259*Продажи!I24*I$19*(1+Чувствительность!$D$20)*IFERROR(LOOKUP(Предпосылки!$H$209,$C$13:$C$15,I$13:I$15),1)</f>
        <v>0</v>
      </c>
      <c s="125">
        <f>Предпосылки!I$236*Предпосылки!$L259*Продажи!J24*J$19*(1+Чувствительность!$D$20)*IFERROR(LOOKUP(Предпосылки!$H$209,$C$13:$C$15,J$13:J$15),1)</f>
        <v>0</v>
      </c>
      <c s="125">
        <f>Предпосылки!J$236*Предпосылки!$L259*Продажи!K24*K$19*(1+Чувствительность!$D$20)*IFERROR(LOOKUP(Предпосылки!$H$209,$C$13:$C$15,K$13:K$15),1)</f>
        <v>0</v>
      </c>
      <c s="125">
        <f>Предпосылки!K$236*Предпосылки!$L259*Продажи!L24*L$19*(1+Чувствительность!$D$20)*IFERROR(LOOKUP(Предпосылки!$H$209,$C$13:$C$15,L$13:L$15),1)</f>
        <v>0</v>
      </c>
      <c s="125">
        <f>Предпосылки!L$236*Предпосылки!$L259*Продажи!M24*M$19*(1+Чувствительность!$D$20)*IFERROR(LOOKUP(Предпосылки!$H$209,$C$13:$C$15,M$13:M$15),1)</f>
        <v>0</v>
      </c>
      <c s="125">
        <f>Предпосылки!M$236*Предпосылки!$L259*Продажи!N24*N$19*(1+Чувствительность!$D$20)*IFERROR(LOOKUP(Предпосылки!$H$209,$C$13:$C$15,N$13:N$15),1)</f>
        <v>0</v>
      </c>
      <c s="125">
        <f>Предпосылки!N$236*Предпосылки!$L259*Продажи!O24*O$19*(1+Чувствительность!$D$20)*IFERROR(LOOKUP(Предпосылки!$H$209,$C$13:$C$15,O$13:O$15),1)</f>
        <v>0</v>
      </c>
      <c s="125">
        <f>Предпосылки!O$236*Предпосылки!$L259*Продажи!P24*P$19*(1+Чувствительность!$D$20)*IFERROR(LOOKUP(Предпосылки!$H$209,$C$13:$C$15,P$13:P$15),1)</f>
        <v>0</v>
      </c>
      <c s="125">
        <f>Предпосылки!P$236*Предпосылки!$L259*Продажи!Q24*Q$19*(1+Чувствительность!$D$20)*IFERROR(LOOKUP(Предпосылки!$H$209,$C$13:$C$15,Q$13:Q$15),1)</f>
        <v>0</v>
      </c>
      <c s="125">
        <f>Предпосылки!Q$236*Предпосылки!$L259*Продажи!R24*R$19*(1+Чувствительность!$D$20)*IFERROR(LOOKUP(Предпосылки!$H$209,$C$13:$C$15,R$13:R$15),1)</f>
        <v>0</v>
      </c>
      <c s="125">
        <f>Предпосылки!R$236*Предпосылки!$L259*Продажи!S24*S$19*(1+Чувствительность!$D$20)*IFERROR(LOOKUP(Предпосылки!$H$209,$C$13:$C$15,S$13:S$15),1)</f>
        <v>0</v>
      </c>
      <c s="125">
        <f>Предпосылки!S$236*Предпосылки!$L259*Продажи!T24*T$19*(1+Чувствительность!$D$20)*IFERROR(LOOKUP(Предпосылки!$H$209,$C$13:$C$15,T$13:T$15),1)</f>
        <v>0</v>
      </c>
      <c s="125">
        <f>Предпосылки!T$236*Предпосылки!$L259*Продажи!U24*U$19*(1+Чувствительность!$D$20)*IFERROR(LOOKUP(Предпосылки!$H$209,$C$13:$C$15,U$13:U$15),1)</f>
        <v>0</v>
      </c>
      <c s="125">
        <f>Предпосылки!U$236*Предпосылки!$L259*Продажи!V24*V$19*(1+Чувствительность!$D$20)*IFERROR(LOOKUP(Предпосылки!$H$209,$C$13:$C$15,V$13:V$15),1)</f>
        <v>0</v>
      </c>
      <c s="125">
        <f>Предпосылки!V$236*Предпосылки!$L259*Продажи!W24*W$19*(1+Чувствительность!$D$20)*IFERROR(LOOKUP(Предпосылки!$H$209,$C$13:$C$15,W$13:W$15),1)</f>
        <v>0</v>
      </c>
      <c s="125">
        <f>Предпосылки!W$236*Предпосылки!$L259*Продажи!X24*X$19*(1+Чувствительность!$D$20)*IFERROR(LOOKUP(Предпосылки!$H$209,$C$13:$C$15,X$13:X$15),1)</f>
        <v>0</v>
      </c>
      <c s="125">
        <f>Предпосылки!X$236*Предпосылки!$L259*Продажи!Y24*Y$19*(1+Чувствительность!$D$20)*IFERROR(LOOKUP(Предпосылки!$H$209,$C$13:$C$15,Y$13:Y$15),1)</f>
        <v>0</v>
      </c>
      <c s="125">
        <f>Предпосылки!Y$236*Предпосылки!$L259*Продажи!Z24*Z$19*(1+Чувствительность!$D$20)*IFERROR(LOOKUP(Предпосылки!$H$209,$C$13:$C$15,Z$13:Z$15),1)</f>
        <v>0</v>
      </c>
      <c s="125">
        <f>Предпосылки!Z$236*Предпосылки!$L259*Продажи!AA24*AA$19*(1+Чувствительность!$D$20)*IFERROR(LOOKUP(Предпосылки!$H$209,$C$13:$C$15,AA$13:AA$15),1)</f>
        <v>0</v>
      </c>
      <c s="125">
        <f>Предпосылки!AA$236*Предпосылки!$L259*Продажи!AB24*AB$19*(1+Чувствительность!$D$20)*IFERROR(LOOKUP(Предпосылки!$H$209,$C$13:$C$15,AB$13:AB$15),1)</f>
        <v>0</v>
      </c>
      <c s="125">
        <f>Предпосылки!AB$236*Предпосылки!$L259*Продажи!AC24*AC$19*(1+Чувствительность!$D$20)*IFERROR(LOOKUP(Предпосылки!$H$209,$C$13:$C$15,AC$13:AC$15),1)</f>
        <v>0</v>
      </c>
      <c s="125">
        <f>Предпосылки!AC$236*Предпосылки!$L259*Продажи!AD24*AD$19*(1+Чувствительность!$D$20)*IFERROR(LOOKUP(Предпосылки!$H$209,$C$13:$C$15,AD$13:AD$15),1)</f>
        <v>0</v>
      </c>
      <c s="125">
        <f>Предпосылки!AD$236*Предпосылки!$L259*Продажи!AE24*AE$19*(1+Чувствительность!$D$20)*IFERROR(LOOKUP(Предпосылки!$H$209,$C$13:$C$15,AE$13:AE$15),1)</f>
        <v>0</v>
      </c>
      <c s="125">
        <f>Предпосылки!AE$236*Предпосылки!$L259*Продажи!AF24*AF$19*(1+Чувствительность!$D$20)*IFERROR(LOOKUP(Предпосылки!$H$209,$C$13:$C$15,AF$13:AF$15),1)</f>
        <v>0</v>
      </c>
      <c s="125">
        <f>Предпосылки!AF$236*Предпосылки!$L259*Продажи!AG24*AG$19*(1+Чувствительность!$D$20)*IFERROR(LOOKUP(Предпосылки!$H$209,$C$13:$C$15,AG$13:AG$15),1)</f>
        <v>0</v>
      </c>
      <c s="125">
        <f>Предпосылки!AG$236*Предпосылки!$L259*Продажи!AH24*AH$19*(1+Чувствительность!$D$20)*IFERROR(LOOKUP(Предпосылки!$H$209,$C$13:$C$15,AH$13:AH$15),1)</f>
        <v>0</v>
      </c>
      <c s="125">
        <f>Предпосылки!AH$236*Предпосылки!$L259*Продажи!AI24*AI$19*(1+Чувствительность!$D$20)*IFERROR(LOOKUP(Предпосылки!$H$209,$C$13:$C$15,AI$13:AI$15),1)</f>
        <v>0</v>
      </c>
      <c s="125">
        <f>Предпосылки!AI$236*Предпосылки!$L259*Продажи!AJ24*AJ$19*(1+Чувствительность!$D$20)*IFERROR(LOOKUP(Предпосылки!$H$209,$C$13:$C$15,AJ$13:AJ$15),1)</f>
        <v>0</v>
      </c>
      <c s="125">
        <f>Предпосылки!AJ$236*Предпосылки!$L259*Продажи!AK24*AK$19*(1+Чувствительность!$D$20)*IFERROR(LOOKUP(Предпосылки!$H$209,$C$13:$C$15,AK$13:AK$15),1)</f>
        <v>0</v>
      </c>
      <c s="125">
        <f>Предпосылки!AK$236*Предпосылки!$L259*Продажи!AL24*AL$19*(1+Чувствительность!$D$20)*IFERROR(LOOKUP(Предпосылки!$H$209,$C$13:$C$15,AL$13:AL$15),1)</f>
        <v>0</v>
      </c>
      <c s="125">
        <f>Предпосылки!AL$236*Предпосылки!$L259*Продажи!AM24*AM$19*(1+Чувствительность!$D$20)*IFERROR(LOOKUP(Предпосылки!$H$209,$C$13:$C$15,AM$13:AM$15),1)</f>
        <v>0</v>
      </c>
      <c s="125">
        <f>Предпосылки!AM$236*Предпосылки!$L259*Продажи!AN24*AN$19*(1+Чувствительность!$D$20)*IFERROR(LOOKUP(Предпосылки!$H$209,$C$13:$C$15,AN$13:AN$15),1)</f>
        <v>0</v>
      </c>
      <c s="125">
        <f>Предпосылки!AN$236*Предпосылки!$L259*Продажи!AO24*AO$19*(1+Чувствительность!$D$20)*IFERROR(LOOKUP(Предпосылки!$H$209,$C$13:$C$15,AO$13:AO$15),1)</f>
        <v>0</v>
      </c>
      <c s="125">
        <f>Предпосылки!AO$236*Предпосылки!$L259*Продажи!AP24*AP$19*(1+Чувствительность!$D$20)*IFERROR(LOOKUP(Предпосылки!$H$209,$C$13:$C$15,AP$13:AP$15),1)</f>
        <v>0</v>
      </c>
      <c s="125">
        <f>Предпосылки!AP$236*Предпосылки!$L259*Продажи!AQ24*AQ$19*(1+Чувствительность!$D$20)*IFERROR(LOOKUP(Предпосылки!$H$209,$C$13:$C$15,AQ$13:AQ$15),1)</f>
        <v>0</v>
      </c>
      <c s="125">
        <f>Предпосылки!AQ$236*Предпосылки!$L259*Продажи!AR24*AR$19*(1+Чувствительность!$D$20)*IFERROR(LOOKUP(Предпосылки!$H$209,$C$13:$C$15,AR$13:AR$15),1)</f>
        <v>0</v>
      </c>
      <c s="125">
        <f>Предпосылки!AR$236*Предпосылки!$L259*Продажи!AS24*AS$19*(1+Чувствительность!$D$20)*IFERROR(LOOKUP(Предпосылки!$H$209,$C$13:$C$15,AS$13:AS$15),1)</f>
        <v>0</v>
      </c>
      <c s="125">
        <f>Предпосылки!AS$236*Предпосылки!$L259*Продажи!AT24*AT$19*(1+Чувствительность!$D$20)*IFERROR(LOOKUP(Предпосылки!$H$209,$C$13:$C$15,AT$13:AT$15),1)</f>
        <v>0</v>
      </c>
      <c s="125">
        <f>Предпосылки!AT$236*Предпосылки!$L259*Продажи!AU24*AU$19*(1+Чувствительность!$D$20)*IFERROR(LOOKUP(Предпосылки!$H$209,$C$13:$C$15,AU$13:AU$15),1)</f>
        <v>0</v>
      </c>
      <c s="125">
        <f>Предпосылки!AU$236*Предпосылки!$L259*Продажи!AV24*AV$19*(1+Чувствительность!$D$20)*IFERROR(LOOKUP(Предпосылки!$H$209,$C$13:$C$15,AV$13:AV$15),1)</f>
        <v>0</v>
      </c>
      <c s="125">
        <f>Предпосылки!AV$236*Предпосылки!$L259*Продажи!AW24*AW$19*(1+Чувствительность!$D$20)*IFERROR(LOOKUP(Предпосылки!$H$209,$C$13:$C$15,AW$13:AW$15),1)</f>
        <v>0</v>
      </c>
      <c s="125">
        <f>Предпосылки!AW$236*Предпосылки!$L259*Продажи!AX24*AX$19*(1+Чувствительность!$D$20)*IFERROR(LOOKUP(Предпосылки!$H$209,$C$13:$C$15,AX$13:AX$15),1)</f>
        <v>0</v>
      </c>
      <c s="125">
        <f>Предпосылки!AX$236*Предпосылки!$L259*Продажи!AY24*AY$19*(1+Чувствительность!$D$20)*IFERROR(LOOKUP(Предпосылки!$H$209,$C$13:$C$15,AY$13:AY$15),1)</f>
        <v>0</v>
      </c>
      <c s="125">
        <f>Предпосылки!AY$236*Предпосылки!$L259*Продажи!AZ24*AZ$19*(1+Чувствительность!$D$20)*IFERROR(LOOKUP(Предпосылки!$H$209,$C$13:$C$15,AZ$13:AZ$15),1)</f>
        <v>0</v>
      </c>
      <c s="125">
        <f>Предпосылки!AZ$236*Предпосылки!$L259*Продажи!BA24*BA$19*(1+Чувствительность!$D$20)*IFERROR(LOOKUP(Предпосылки!$H$209,$C$13:$C$15,BA$13:BA$15),1)</f>
        <v>0</v>
      </c>
      <c s="125">
        <f>Предпосылки!BA$236*Предпосылки!$L259*Продажи!BB24*BB$19*(1+Чувствительность!$D$20)*IFERROR(LOOKUP(Предпосылки!$H$209,$C$13:$C$15,BB$13:BB$15),1)</f>
        <v>0</v>
      </c>
      <c s="125">
        <f>Предпосылки!BB$236*Предпосылки!$L259*Продажи!BC24*BC$19*(1+Чувствительность!$D$20)*IFERROR(LOOKUP(Предпосылки!$H$209,$C$13:$C$15,BC$13:BC$15),1)</f>
        <v>0</v>
      </c>
      <c s="125">
        <f>Предпосылки!BC$236*Предпосылки!$L259*Продажи!BD24*BD$19*(1+Чувствительность!$D$20)*IFERROR(LOOKUP(Предпосылки!$H$209,$C$13:$C$15,BD$13:BD$15),1)</f>
        <v>0</v>
      </c>
      <c s="125">
        <f>Предпосылки!BD$236*Предпосылки!$L259*Продажи!BE24*BE$19*(1+Чувствительность!$D$20)*IFERROR(LOOKUP(Предпосылки!$H$209,$C$13:$C$15,BE$13:BE$15),1)</f>
        <v>0</v>
      </c>
      <c s="125">
        <f>Предпосылки!BE$236*Предпосылки!$L259*Продажи!BF24*BF$19*(1+Чувствительность!$D$20)*IFERROR(LOOKUP(Предпосылки!$H$209,$C$13:$C$15,BF$13:BF$15),1)</f>
        <v>0</v>
      </c>
      <c s="125">
        <f>Предпосылки!BF$236*Предпосылки!$L259*Продажи!BG24*BG$19*(1+Чувствительность!$D$20)*IFERROR(LOOKUP(Предпосылки!$H$209,$C$13:$C$15,BG$13:BG$15),1)</f>
        <v>0</v>
      </c>
      <c s="125">
        <f>Предпосылки!BG$236*Предпосылки!$L259*Продажи!BH24*BH$19*(1+Чувствительность!$D$20)*IFERROR(LOOKUP(Предпосылки!$H$209,$C$13:$C$15,BH$13:BH$15),1)</f>
        <v>0</v>
      </c>
      <c s="125">
        <f>Предпосылки!BH$236*Предпосылки!$L259*Продажи!BI24*BI$19*(1+Чувствительность!$D$20)*IFERROR(LOOKUP(Предпосылки!$H$209,$C$13:$C$15,BI$13:BI$15),1)</f>
        <v>0</v>
      </c>
      <c s="125">
        <f>Предпосылки!BI$236*Предпосылки!$L259*Продажи!BJ24*BJ$19*(1+Чувствительность!$D$20)*IFERROR(LOOKUP(Предпосылки!$H$209,$C$13:$C$15,BJ$13:BJ$15),1)</f>
        <v>0</v>
      </c>
      <c s="125">
        <f>Предпосылки!BJ$236*Предпосылки!$L259*Продажи!BK24*BK$19*(1+Чувствительность!$D$20)*IFERROR(LOOKUP(Предпосылки!$H$209,$C$13:$C$15,BK$13:BK$15),1)</f>
        <v>0</v>
      </c>
      <c s="125">
        <f>Предпосылки!BK$236*Предпосылки!$L259*Продажи!BL24*BL$19*(1+Чувствительность!$D$20)*IFERROR(LOOKUP(Предпосылки!$H$209,$C$13:$C$15,BL$13:BL$15),1)</f>
        <v>0</v>
      </c>
      <c s="125">
        <f>Предпосылки!BL$236*Предпосылки!$L259*Продажи!BM24*BM$19*(1+Чувствительность!$D$20)*IFERROR(LOOKUP(Предпосылки!$H$209,$C$13:$C$15,BM$13:BM$15),1)</f>
        <v>0</v>
      </c>
    </row>
    <row r="214" spans="2:65" ht="15" customHeight="1">
      <c r="B214" s="12" t="str">
        <f t="shared" si="101"/>
        <v>Продукт 8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Предпосылки!D$236*Предпосылки!$L260*Продажи!E25*E$19*(1+Чувствительность!$D$20)*IFERROR(LOOKUP(Предпосылки!$H$209,$C$13:$C$15,E$13:E$15),1)</f>
        <v>0</v>
      </c>
      <c s="125">
        <f>Предпосылки!E$236*Предпосылки!$L260*Продажи!F25*F$19*(1+Чувствительность!$D$20)*IFERROR(LOOKUP(Предпосылки!$H$209,$C$13:$C$15,F$13:F$15),1)</f>
        <v>0</v>
      </c>
      <c s="125">
        <f>Предпосылки!F$236*Предпосылки!$L260*Продажи!G25*G$19*(1+Чувствительность!$D$20)*IFERROR(LOOKUP(Предпосылки!$H$209,$C$13:$C$15,G$13:G$15),1)</f>
        <v>0</v>
      </c>
      <c s="125">
        <f>Предпосылки!G$236*Предпосылки!$L260*Продажи!H25*H$19*(1+Чувствительность!$D$20)*IFERROR(LOOKUP(Предпосылки!$H$209,$C$13:$C$15,H$13:H$15),1)</f>
        <v>0</v>
      </c>
      <c s="125">
        <f>Предпосылки!H$236*Предпосылки!$L260*Продажи!I25*I$19*(1+Чувствительность!$D$20)*IFERROR(LOOKUP(Предпосылки!$H$209,$C$13:$C$15,I$13:I$15),1)</f>
        <v>0</v>
      </c>
      <c s="125">
        <f>Предпосылки!I$236*Предпосылки!$L260*Продажи!J25*J$19*(1+Чувствительность!$D$20)*IFERROR(LOOKUP(Предпосылки!$H$209,$C$13:$C$15,J$13:J$15),1)</f>
        <v>0</v>
      </c>
      <c s="125">
        <f>Предпосылки!J$236*Предпосылки!$L260*Продажи!K25*K$19*(1+Чувствительность!$D$20)*IFERROR(LOOKUP(Предпосылки!$H$209,$C$13:$C$15,K$13:K$15),1)</f>
        <v>0</v>
      </c>
      <c s="125">
        <f>Предпосылки!K$236*Предпосылки!$L260*Продажи!L25*L$19*(1+Чувствительность!$D$20)*IFERROR(LOOKUP(Предпосылки!$H$209,$C$13:$C$15,L$13:L$15),1)</f>
        <v>0</v>
      </c>
      <c s="125">
        <f>Предпосылки!L$236*Предпосылки!$L260*Продажи!M25*M$19*(1+Чувствительность!$D$20)*IFERROR(LOOKUP(Предпосылки!$H$209,$C$13:$C$15,M$13:M$15),1)</f>
        <v>0</v>
      </c>
      <c s="125">
        <f>Предпосылки!M$236*Предпосылки!$L260*Продажи!N25*N$19*(1+Чувствительность!$D$20)*IFERROR(LOOKUP(Предпосылки!$H$209,$C$13:$C$15,N$13:N$15),1)</f>
        <v>0</v>
      </c>
      <c s="125">
        <f>Предпосылки!N$236*Предпосылки!$L260*Продажи!O25*O$19*(1+Чувствительность!$D$20)*IFERROR(LOOKUP(Предпосылки!$H$209,$C$13:$C$15,O$13:O$15),1)</f>
        <v>0</v>
      </c>
      <c s="125">
        <f>Предпосылки!O$236*Предпосылки!$L260*Продажи!P25*P$19*(1+Чувствительность!$D$20)*IFERROR(LOOKUP(Предпосылки!$H$209,$C$13:$C$15,P$13:P$15),1)</f>
        <v>0</v>
      </c>
      <c s="125">
        <f>Предпосылки!P$236*Предпосылки!$L260*Продажи!Q25*Q$19*(1+Чувствительность!$D$20)*IFERROR(LOOKUP(Предпосылки!$H$209,$C$13:$C$15,Q$13:Q$15),1)</f>
        <v>0</v>
      </c>
      <c s="125">
        <f>Предпосылки!Q$236*Предпосылки!$L260*Продажи!R25*R$19*(1+Чувствительность!$D$20)*IFERROR(LOOKUP(Предпосылки!$H$209,$C$13:$C$15,R$13:R$15),1)</f>
        <v>0</v>
      </c>
      <c s="125">
        <f>Предпосылки!R$236*Предпосылки!$L260*Продажи!S25*S$19*(1+Чувствительность!$D$20)*IFERROR(LOOKUP(Предпосылки!$H$209,$C$13:$C$15,S$13:S$15),1)</f>
        <v>0</v>
      </c>
      <c s="125">
        <f>Предпосылки!S$236*Предпосылки!$L260*Продажи!T25*T$19*(1+Чувствительность!$D$20)*IFERROR(LOOKUP(Предпосылки!$H$209,$C$13:$C$15,T$13:T$15),1)</f>
        <v>0</v>
      </c>
      <c s="125">
        <f>Предпосылки!T$236*Предпосылки!$L260*Продажи!U25*U$19*(1+Чувствительность!$D$20)*IFERROR(LOOKUP(Предпосылки!$H$209,$C$13:$C$15,U$13:U$15),1)</f>
        <v>0</v>
      </c>
      <c s="125">
        <f>Предпосылки!U$236*Предпосылки!$L260*Продажи!V25*V$19*(1+Чувствительность!$D$20)*IFERROR(LOOKUP(Предпосылки!$H$209,$C$13:$C$15,V$13:V$15),1)</f>
        <v>0</v>
      </c>
      <c s="125">
        <f>Предпосылки!V$236*Предпосылки!$L260*Продажи!W25*W$19*(1+Чувствительность!$D$20)*IFERROR(LOOKUP(Предпосылки!$H$209,$C$13:$C$15,W$13:W$15),1)</f>
        <v>0</v>
      </c>
      <c s="125">
        <f>Предпосылки!W$236*Предпосылки!$L260*Продажи!X25*X$19*(1+Чувствительность!$D$20)*IFERROR(LOOKUP(Предпосылки!$H$209,$C$13:$C$15,X$13:X$15),1)</f>
        <v>0</v>
      </c>
      <c s="125">
        <f>Предпосылки!X$236*Предпосылки!$L260*Продажи!Y25*Y$19*(1+Чувствительность!$D$20)*IFERROR(LOOKUP(Предпосылки!$H$209,$C$13:$C$15,Y$13:Y$15),1)</f>
        <v>0</v>
      </c>
      <c s="125">
        <f>Предпосылки!Y$236*Предпосылки!$L260*Продажи!Z25*Z$19*(1+Чувствительность!$D$20)*IFERROR(LOOKUP(Предпосылки!$H$209,$C$13:$C$15,Z$13:Z$15),1)</f>
        <v>0</v>
      </c>
      <c s="125">
        <f>Предпосылки!Z$236*Предпосылки!$L260*Продажи!AA25*AA$19*(1+Чувствительность!$D$20)*IFERROR(LOOKUP(Предпосылки!$H$209,$C$13:$C$15,AA$13:AA$15),1)</f>
        <v>0</v>
      </c>
      <c s="125">
        <f>Предпосылки!AA$236*Предпосылки!$L260*Продажи!AB25*AB$19*(1+Чувствительность!$D$20)*IFERROR(LOOKUP(Предпосылки!$H$209,$C$13:$C$15,AB$13:AB$15),1)</f>
        <v>0</v>
      </c>
      <c s="125">
        <f>Предпосылки!AB$236*Предпосылки!$L260*Продажи!AC25*AC$19*(1+Чувствительность!$D$20)*IFERROR(LOOKUP(Предпосылки!$H$209,$C$13:$C$15,AC$13:AC$15),1)</f>
        <v>0</v>
      </c>
      <c s="125">
        <f>Предпосылки!AC$236*Предпосылки!$L260*Продажи!AD25*AD$19*(1+Чувствительность!$D$20)*IFERROR(LOOKUP(Предпосылки!$H$209,$C$13:$C$15,AD$13:AD$15),1)</f>
        <v>0</v>
      </c>
      <c s="125">
        <f>Предпосылки!AD$236*Предпосылки!$L260*Продажи!AE25*AE$19*(1+Чувствительность!$D$20)*IFERROR(LOOKUP(Предпосылки!$H$209,$C$13:$C$15,AE$13:AE$15),1)</f>
        <v>0</v>
      </c>
      <c s="125">
        <f>Предпосылки!AE$236*Предпосылки!$L260*Продажи!AF25*AF$19*(1+Чувствительность!$D$20)*IFERROR(LOOKUP(Предпосылки!$H$209,$C$13:$C$15,AF$13:AF$15),1)</f>
        <v>0</v>
      </c>
      <c s="125">
        <f>Предпосылки!AF$236*Предпосылки!$L260*Продажи!AG25*AG$19*(1+Чувствительность!$D$20)*IFERROR(LOOKUP(Предпосылки!$H$209,$C$13:$C$15,AG$13:AG$15),1)</f>
        <v>0</v>
      </c>
      <c s="125">
        <f>Предпосылки!AG$236*Предпосылки!$L260*Продажи!AH25*AH$19*(1+Чувствительность!$D$20)*IFERROR(LOOKUP(Предпосылки!$H$209,$C$13:$C$15,AH$13:AH$15),1)</f>
        <v>0</v>
      </c>
      <c s="125">
        <f>Предпосылки!AH$236*Предпосылки!$L260*Продажи!AI25*AI$19*(1+Чувствительность!$D$20)*IFERROR(LOOKUP(Предпосылки!$H$209,$C$13:$C$15,AI$13:AI$15),1)</f>
        <v>0</v>
      </c>
      <c s="125">
        <f>Предпосылки!AI$236*Предпосылки!$L260*Продажи!AJ25*AJ$19*(1+Чувствительность!$D$20)*IFERROR(LOOKUP(Предпосылки!$H$209,$C$13:$C$15,AJ$13:AJ$15),1)</f>
        <v>0</v>
      </c>
      <c s="125">
        <f>Предпосылки!AJ$236*Предпосылки!$L260*Продажи!AK25*AK$19*(1+Чувствительность!$D$20)*IFERROR(LOOKUP(Предпосылки!$H$209,$C$13:$C$15,AK$13:AK$15),1)</f>
        <v>0</v>
      </c>
      <c s="125">
        <f>Предпосылки!AK$236*Предпосылки!$L260*Продажи!AL25*AL$19*(1+Чувствительность!$D$20)*IFERROR(LOOKUP(Предпосылки!$H$209,$C$13:$C$15,AL$13:AL$15),1)</f>
        <v>0</v>
      </c>
      <c s="125">
        <f>Предпосылки!AL$236*Предпосылки!$L260*Продажи!AM25*AM$19*(1+Чувствительность!$D$20)*IFERROR(LOOKUP(Предпосылки!$H$209,$C$13:$C$15,AM$13:AM$15),1)</f>
        <v>0</v>
      </c>
      <c s="125">
        <f>Предпосылки!AM$236*Предпосылки!$L260*Продажи!AN25*AN$19*(1+Чувствительность!$D$20)*IFERROR(LOOKUP(Предпосылки!$H$209,$C$13:$C$15,AN$13:AN$15),1)</f>
        <v>0</v>
      </c>
      <c s="125">
        <f>Предпосылки!AN$236*Предпосылки!$L260*Продажи!AO25*AO$19*(1+Чувствительность!$D$20)*IFERROR(LOOKUP(Предпосылки!$H$209,$C$13:$C$15,AO$13:AO$15),1)</f>
        <v>0</v>
      </c>
      <c s="125">
        <f>Предпосылки!AO$236*Предпосылки!$L260*Продажи!AP25*AP$19*(1+Чувствительность!$D$20)*IFERROR(LOOKUP(Предпосылки!$H$209,$C$13:$C$15,AP$13:AP$15),1)</f>
        <v>0</v>
      </c>
      <c s="125">
        <f>Предпосылки!AP$236*Предпосылки!$L260*Продажи!AQ25*AQ$19*(1+Чувствительность!$D$20)*IFERROR(LOOKUP(Предпосылки!$H$209,$C$13:$C$15,AQ$13:AQ$15),1)</f>
        <v>0</v>
      </c>
      <c s="125">
        <f>Предпосылки!AQ$236*Предпосылки!$L260*Продажи!AR25*AR$19*(1+Чувствительность!$D$20)*IFERROR(LOOKUP(Предпосылки!$H$209,$C$13:$C$15,AR$13:AR$15),1)</f>
        <v>0</v>
      </c>
      <c s="125">
        <f>Предпосылки!AR$236*Предпосылки!$L260*Продажи!AS25*AS$19*(1+Чувствительность!$D$20)*IFERROR(LOOKUP(Предпосылки!$H$209,$C$13:$C$15,AS$13:AS$15),1)</f>
        <v>0</v>
      </c>
      <c s="125">
        <f>Предпосылки!AS$236*Предпосылки!$L260*Продажи!AT25*AT$19*(1+Чувствительность!$D$20)*IFERROR(LOOKUP(Предпосылки!$H$209,$C$13:$C$15,AT$13:AT$15),1)</f>
        <v>0</v>
      </c>
      <c s="125">
        <f>Предпосылки!AT$236*Предпосылки!$L260*Продажи!AU25*AU$19*(1+Чувствительность!$D$20)*IFERROR(LOOKUP(Предпосылки!$H$209,$C$13:$C$15,AU$13:AU$15),1)</f>
        <v>0</v>
      </c>
      <c s="125">
        <f>Предпосылки!AU$236*Предпосылки!$L260*Продажи!AV25*AV$19*(1+Чувствительность!$D$20)*IFERROR(LOOKUP(Предпосылки!$H$209,$C$13:$C$15,AV$13:AV$15),1)</f>
        <v>0</v>
      </c>
      <c s="125">
        <f>Предпосылки!AV$236*Предпосылки!$L260*Продажи!AW25*AW$19*(1+Чувствительность!$D$20)*IFERROR(LOOKUP(Предпосылки!$H$209,$C$13:$C$15,AW$13:AW$15),1)</f>
        <v>0</v>
      </c>
      <c s="125">
        <f>Предпосылки!AW$236*Предпосылки!$L260*Продажи!AX25*AX$19*(1+Чувствительность!$D$20)*IFERROR(LOOKUP(Предпосылки!$H$209,$C$13:$C$15,AX$13:AX$15),1)</f>
        <v>0</v>
      </c>
      <c s="125">
        <f>Предпосылки!AX$236*Предпосылки!$L260*Продажи!AY25*AY$19*(1+Чувствительность!$D$20)*IFERROR(LOOKUP(Предпосылки!$H$209,$C$13:$C$15,AY$13:AY$15),1)</f>
        <v>0</v>
      </c>
      <c s="125">
        <f>Предпосылки!AY$236*Предпосылки!$L260*Продажи!AZ25*AZ$19*(1+Чувствительность!$D$20)*IFERROR(LOOKUP(Предпосылки!$H$209,$C$13:$C$15,AZ$13:AZ$15),1)</f>
        <v>0</v>
      </c>
      <c s="125">
        <f>Предпосылки!AZ$236*Предпосылки!$L260*Продажи!BA25*BA$19*(1+Чувствительность!$D$20)*IFERROR(LOOKUP(Предпосылки!$H$209,$C$13:$C$15,BA$13:BA$15),1)</f>
        <v>0</v>
      </c>
      <c s="125">
        <f>Предпосылки!BA$236*Предпосылки!$L260*Продажи!BB25*BB$19*(1+Чувствительность!$D$20)*IFERROR(LOOKUP(Предпосылки!$H$209,$C$13:$C$15,BB$13:BB$15),1)</f>
        <v>0</v>
      </c>
      <c s="125">
        <f>Предпосылки!BB$236*Предпосылки!$L260*Продажи!BC25*BC$19*(1+Чувствительность!$D$20)*IFERROR(LOOKUP(Предпосылки!$H$209,$C$13:$C$15,BC$13:BC$15),1)</f>
        <v>0</v>
      </c>
      <c s="125">
        <f>Предпосылки!BC$236*Предпосылки!$L260*Продажи!BD25*BD$19*(1+Чувствительность!$D$20)*IFERROR(LOOKUP(Предпосылки!$H$209,$C$13:$C$15,BD$13:BD$15),1)</f>
        <v>0</v>
      </c>
      <c s="125">
        <f>Предпосылки!BD$236*Предпосылки!$L260*Продажи!BE25*BE$19*(1+Чувствительность!$D$20)*IFERROR(LOOKUP(Предпосылки!$H$209,$C$13:$C$15,BE$13:BE$15),1)</f>
        <v>0</v>
      </c>
      <c s="125">
        <f>Предпосылки!BE$236*Предпосылки!$L260*Продажи!BF25*BF$19*(1+Чувствительность!$D$20)*IFERROR(LOOKUP(Предпосылки!$H$209,$C$13:$C$15,BF$13:BF$15),1)</f>
        <v>0</v>
      </c>
      <c s="125">
        <f>Предпосылки!BF$236*Предпосылки!$L260*Продажи!BG25*BG$19*(1+Чувствительность!$D$20)*IFERROR(LOOKUP(Предпосылки!$H$209,$C$13:$C$15,BG$13:BG$15),1)</f>
        <v>0</v>
      </c>
      <c s="125">
        <f>Предпосылки!BG$236*Предпосылки!$L260*Продажи!BH25*BH$19*(1+Чувствительность!$D$20)*IFERROR(LOOKUP(Предпосылки!$H$209,$C$13:$C$15,BH$13:BH$15),1)</f>
        <v>0</v>
      </c>
      <c s="125">
        <f>Предпосылки!BH$236*Предпосылки!$L260*Продажи!BI25*BI$19*(1+Чувствительность!$D$20)*IFERROR(LOOKUP(Предпосылки!$H$209,$C$13:$C$15,BI$13:BI$15),1)</f>
        <v>0</v>
      </c>
      <c s="125">
        <f>Предпосылки!BI$236*Предпосылки!$L260*Продажи!BJ25*BJ$19*(1+Чувствительность!$D$20)*IFERROR(LOOKUP(Предпосылки!$H$209,$C$13:$C$15,BJ$13:BJ$15),1)</f>
        <v>0</v>
      </c>
      <c s="125">
        <f>Предпосылки!BJ$236*Предпосылки!$L260*Продажи!BK25*BK$19*(1+Чувствительность!$D$20)*IFERROR(LOOKUP(Предпосылки!$H$209,$C$13:$C$15,BK$13:BK$15),1)</f>
        <v>0</v>
      </c>
      <c s="125">
        <f>Предпосылки!BK$236*Предпосылки!$L260*Продажи!BL25*BL$19*(1+Чувствительность!$D$20)*IFERROR(LOOKUP(Предпосылки!$H$209,$C$13:$C$15,BL$13:BL$15),1)</f>
        <v>0</v>
      </c>
      <c s="125">
        <f>Предпосылки!BL$236*Предпосылки!$L260*Продажи!BM25*BM$19*(1+Чувствительность!$D$20)*IFERROR(LOOKUP(Предпосылки!$H$209,$C$13:$C$15,BM$13:BM$15),1)</f>
        <v>0</v>
      </c>
    </row>
    <row r="215" spans="2:65" ht="15" customHeight="1">
      <c r="B215" s="12" t="str">
        <f t="shared" si="101"/>
        <v>Продукт 9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Предпосылки!D$236*Предпосылки!$L261*Продажи!E26*E$19*(1+Чувствительность!$D$20)*IFERROR(LOOKUP(Предпосылки!$H$209,$C$13:$C$15,E$13:E$15),1)</f>
        <v>0</v>
      </c>
      <c s="125">
        <f>Предпосылки!E$236*Предпосылки!$L261*Продажи!F26*F$19*(1+Чувствительность!$D$20)*IFERROR(LOOKUP(Предпосылки!$H$209,$C$13:$C$15,F$13:F$15),1)</f>
        <v>0</v>
      </c>
      <c s="125">
        <f>Предпосылки!F$236*Предпосылки!$L261*Продажи!G26*G$19*(1+Чувствительность!$D$20)*IFERROR(LOOKUP(Предпосылки!$H$209,$C$13:$C$15,G$13:G$15),1)</f>
        <v>0</v>
      </c>
      <c s="125">
        <f>Предпосылки!G$236*Предпосылки!$L261*Продажи!H26*H$19*(1+Чувствительность!$D$20)*IFERROR(LOOKUP(Предпосылки!$H$209,$C$13:$C$15,H$13:H$15),1)</f>
        <v>0</v>
      </c>
      <c s="125">
        <f>Предпосылки!H$236*Предпосылки!$L261*Продажи!I26*I$19*(1+Чувствительность!$D$20)*IFERROR(LOOKUP(Предпосылки!$H$209,$C$13:$C$15,I$13:I$15),1)</f>
        <v>0</v>
      </c>
      <c s="125">
        <f>Предпосылки!I$236*Предпосылки!$L261*Продажи!J26*J$19*(1+Чувствительность!$D$20)*IFERROR(LOOKUP(Предпосылки!$H$209,$C$13:$C$15,J$13:J$15),1)</f>
        <v>0</v>
      </c>
      <c s="125">
        <f>Предпосылки!J$236*Предпосылки!$L261*Продажи!K26*K$19*(1+Чувствительность!$D$20)*IFERROR(LOOKUP(Предпосылки!$H$209,$C$13:$C$15,K$13:K$15),1)</f>
        <v>0</v>
      </c>
      <c s="125">
        <f>Предпосылки!K$236*Предпосылки!$L261*Продажи!L26*L$19*(1+Чувствительность!$D$20)*IFERROR(LOOKUP(Предпосылки!$H$209,$C$13:$C$15,L$13:L$15),1)</f>
        <v>0</v>
      </c>
      <c s="125">
        <f>Предпосылки!L$236*Предпосылки!$L261*Продажи!M26*M$19*(1+Чувствительность!$D$20)*IFERROR(LOOKUP(Предпосылки!$H$209,$C$13:$C$15,M$13:M$15),1)</f>
        <v>0</v>
      </c>
      <c s="125">
        <f>Предпосылки!M$236*Предпосылки!$L261*Продажи!N26*N$19*(1+Чувствительность!$D$20)*IFERROR(LOOKUP(Предпосылки!$H$209,$C$13:$C$15,N$13:N$15),1)</f>
        <v>0</v>
      </c>
      <c s="125">
        <f>Предпосылки!N$236*Предпосылки!$L261*Продажи!O26*O$19*(1+Чувствительность!$D$20)*IFERROR(LOOKUP(Предпосылки!$H$209,$C$13:$C$15,O$13:O$15),1)</f>
        <v>0</v>
      </c>
      <c s="125">
        <f>Предпосылки!O$236*Предпосылки!$L261*Продажи!P26*P$19*(1+Чувствительность!$D$20)*IFERROR(LOOKUP(Предпосылки!$H$209,$C$13:$C$15,P$13:P$15),1)</f>
        <v>0</v>
      </c>
      <c s="125">
        <f>Предпосылки!P$236*Предпосылки!$L261*Продажи!Q26*Q$19*(1+Чувствительность!$D$20)*IFERROR(LOOKUP(Предпосылки!$H$209,$C$13:$C$15,Q$13:Q$15),1)</f>
        <v>0</v>
      </c>
      <c s="125">
        <f>Предпосылки!Q$236*Предпосылки!$L261*Продажи!R26*R$19*(1+Чувствительность!$D$20)*IFERROR(LOOKUP(Предпосылки!$H$209,$C$13:$C$15,R$13:R$15),1)</f>
        <v>0</v>
      </c>
      <c s="125">
        <f>Предпосылки!R$236*Предпосылки!$L261*Продажи!S26*S$19*(1+Чувствительность!$D$20)*IFERROR(LOOKUP(Предпосылки!$H$209,$C$13:$C$15,S$13:S$15),1)</f>
        <v>0</v>
      </c>
      <c s="125">
        <f>Предпосылки!S$236*Предпосылки!$L261*Продажи!T26*T$19*(1+Чувствительность!$D$20)*IFERROR(LOOKUP(Предпосылки!$H$209,$C$13:$C$15,T$13:T$15),1)</f>
        <v>0</v>
      </c>
      <c s="125">
        <f>Предпосылки!T$236*Предпосылки!$L261*Продажи!U26*U$19*(1+Чувствительность!$D$20)*IFERROR(LOOKUP(Предпосылки!$H$209,$C$13:$C$15,U$13:U$15),1)</f>
        <v>0</v>
      </c>
      <c s="125">
        <f>Предпосылки!U$236*Предпосылки!$L261*Продажи!V26*V$19*(1+Чувствительность!$D$20)*IFERROR(LOOKUP(Предпосылки!$H$209,$C$13:$C$15,V$13:V$15),1)</f>
        <v>0</v>
      </c>
      <c s="125">
        <f>Предпосылки!V$236*Предпосылки!$L261*Продажи!W26*W$19*(1+Чувствительность!$D$20)*IFERROR(LOOKUP(Предпосылки!$H$209,$C$13:$C$15,W$13:W$15),1)</f>
        <v>0</v>
      </c>
      <c s="125">
        <f>Предпосылки!W$236*Предпосылки!$L261*Продажи!X26*X$19*(1+Чувствительность!$D$20)*IFERROR(LOOKUP(Предпосылки!$H$209,$C$13:$C$15,X$13:X$15),1)</f>
        <v>0</v>
      </c>
      <c s="125">
        <f>Предпосылки!X$236*Предпосылки!$L261*Продажи!Y26*Y$19*(1+Чувствительность!$D$20)*IFERROR(LOOKUP(Предпосылки!$H$209,$C$13:$C$15,Y$13:Y$15),1)</f>
        <v>0</v>
      </c>
      <c s="125">
        <f>Предпосылки!Y$236*Предпосылки!$L261*Продажи!Z26*Z$19*(1+Чувствительность!$D$20)*IFERROR(LOOKUP(Предпосылки!$H$209,$C$13:$C$15,Z$13:Z$15),1)</f>
        <v>0</v>
      </c>
      <c s="125">
        <f>Предпосылки!Z$236*Предпосылки!$L261*Продажи!AA26*AA$19*(1+Чувствительность!$D$20)*IFERROR(LOOKUP(Предпосылки!$H$209,$C$13:$C$15,AA$13:AA$15),1)</f>
        <v>0</v>
      </c>
      <c s="125">
        <f>Предпосылки!AA$236*Предпосылки!$L261*Продажи!AB26*AB$19*(1+Чувствительность!$D$20)*IFERROR(LOOKUP(Предпосылки!$H$209,$C$13:$C$15,AB$13:AB$15),1)</f>
        <v>0</v>
      </c>
      <c s="125">
        <f>Предпосылки!AB$236*Предпосылки!$L261*Продажи!AC26*AC$19*(1+Чувствительность!$D$20)*IFERROR(LOOKUP(Предпосылки!$H$209,$C$13:$C$15,AC$13:AC$15),1)</f>
        <v>0</v>
      </c>
      <c s="125">
        <f>Предпосылки!AC$236*Предпосылки!$L261*Продажи!AD26*AD$19*(1+Чувствительность!$D$20)*IFERROR(LOOKUP(Предпосылки!$H$209,$C$13:$C$15,AD$13:AD$15),1)</f>
        <v>0</v>
      </c>
      <c s="125">
        <f>Предпосылки!AD$236*Предпосылки!$L261*Продажи!AE26*AE$19*(1+Чувствительность!$D$20)*IFERROR(LOOKUP(Предпосылки!$H$209,$C$13:$C$15,AE$13:AE$15),1)</f>
        <v>0</v>
      </c>
      <c s="125">
        <f>Предпосылки!AE$236*Предпосылки!$L261*Продажи!AF26*AF$19*(1+Чувствительность!$D$20)*IFERROR(LOOKUP(Предпосылки!$H$209,$C$13:$C$15,AF$13:AF$15),1)</f>
        <v>0</v>
      </c>
      <c s="125">
        <f>Предпосылки!AF$236*Предпосылки!$L261*Продажи!AG26*AG$19*(1+Чувствительность!$D$20)*IFERROR(LOOKUP(Предпосылки!$H$209,$C$13:$C$15,AG$13:AG$15),1)</f>
        <v>0</v>
      </c>
      <c s="125">
        <f>Предпосылки!AG$236*Предпосылки!$L261*Продажи!AH26*AH$19*(1+Чувствительность!$D$20)*IFERROR(LOOKUP(Предпосылки!$H$209,$C$13:$C$15,AH$13:AH$15),1)</f>
        <v>0</v>
      </c>
      <c s="125">
        <f>Предпосылки!AH$236*Предпосылки!$L261*Продажи!AI26*AI$19*(1+Чувствительность!$D$20)*IFERROR(LOOKUP(Предпосылки!$H$209,$C$13:$C$15,AI$13:AI$15),1)</f>
        <v>0</v>
      </c>
      <c s="125">
        <f>Предпосылки!AI$236*Предпосылки!$L261*Продажи!AJ26*AJ$19*(1+Чувствительность!$D$20)*IFERROR(LOOKUP(Предпосылки!$H$209,$C$13:$C$15,AJ$13:AJ$15),1)</f>
        <v>0</v>
      </c>
      <c s="125">
        <f>Предпосылки!AJ$236*Предпосылки!$L261*Продажи!AK26*AK$19*(1+Чувствительность!$D$20)*IFERROR(LOOKUP(Предпосылки!$H$209,$C$13:$C$15,AK$13:AK$15),1)</f>
        <v>0</v>
      </c>
      <c s="125">
        <f>Предпосылки!AK$236*Предпосылки!$L261*Продажи!AL26*AL$19*(1+Чувствительность!$D$20)*IFERROR(LOOKUP(Предпосылки!$H$209,$C$13:$C$15,AL$13:AL$15),1)</f>
        <v>0</v>
      </c>
      <c s="125">
        <f>Предпосылки!AL$236*Предпосылки!$L261*Продажи!AM26*AM$19*(1+Чувствительность!$D$20)*IFERROR(LOOKUP(Предпосылки!$H$209,$C$13:$C$15,AM$13:AM$15),1)</f>
        <v>0</v>
      </c>
      <c s="125">
        <f>Предпосылки!AM$236*Предпосылки!$L261*Продажи!AN26*AN$19*(1+Чувствительность!$D$20)*IFERROR(LOOKUP(Предпосылки!$H$209,$C$13:$C$15,AN$13:AN$15),1)</f>
        <v>0</v>
      </c>
      <c s="125">
        <f>Предпосылки!AN$236*Предпосылки!$L261*Продажи!AO26*AO$19*(1+Чувствительность!$D$20)*IFERROR(LOOKUP(Предпосылки!$H$209,$C$13:$C$15,AO$13:AO$15),1)</f>
        <v>0</v>
      </c>
      <c s="125">
        <f>Предпосылки!AO$236*Предпосылки!$L261*Продажи!AP26*AP$19*(1+Чувствительность!$D$20)*IFERROR(LOOKUP(Предпосылки!$H$209,$C$13:$C$15,AP$13:AP$15),1)</f>
        <v>0</v>
      </c>
      <c s="125">
        <f>Предпосылки!AP$236*Предпосылки!$L261*Продажи!AQ26*AQ$19*(1+Чувствительность!$D$20)*IFERROR(LOOKUP(Предпосылки!$H$209,$C$13:$C$15,AQ$13:AQ$15),1)</f>
        <v>0</v>
      </c>
      <c s="125">
        <f>Предпосылки!AQ$236*Предпосылки!$L261*Продажи!AR26*AR$19*(1+Чувствительность!$D$20)*IFERROR(LOOKUP(Предпосылки!$H$209,$C$13:$C$15,AR$13:AR$15),1)</f>
        <v>0</v>
      </c>
      <c s="125">
        <f>Предпосылки!AR$236*Предпосылки!$L261*Продажи!AS26*AS$19*(1+Чувствительность!$D$20)*IFERROR(LOOKUP(Предпосылки!$H$209,$C$13:$C$15,AS$13:AS$15),1)</f>
        <v>0</v>
      </c>
      <c s="125">
        <f>Предпосылки!AS$236*Предпосылки!$L261*Продажи!AT26*AT$19*(1+Чувствительность!$D$20)*IFERROR(LOOKUP(Предпосылки!$H$209,$C$13:$C$15,AT$13:AT$15),1)</f>
        <v>0</v>
      </c>
      <c s="125">
        <f>Предпосылки!AT$236*Предпосылки!$L261*Продажи!AU26*AU$19*(1+Чувствительность!$D$20)*IFERROR(LOOKUP(Предпосылки!$H$209,$C$13:$C$15,AU$13:AU$15),1)</f>
        <v>0</v>
      </c>
      <c s="125">
        <f>Предпосылки!AU$236*Предпосылки!$L261*Продажи!AV26*AV$19*(1+Чувствительность!$D$20)*IFERROR(LOOKUP(Предпосылки!$H$209,$C$13:$C$15,AV$13:AV$15),1)</f>
        <v>0</v>
      </c>
      <c s="125">
        <f>Предпосылки!AV$236*Предпосылки!$L261*Продажи!AW26*AW$19*(1+Чувствительность!$D$20)*IFERROR(LOOKUP(Предпосылки!$H$209,$C$13:$C$15,AW$13:AW$15),1)</f>
        <v>0</v>
      </c>
      <c s="125">
        <f>Предпосылки!AW$236*Предпосылки!$L261*Продажи!AX26*AX$19*(1+Чувствительность!$D$20)*IFERROR(LOOKUP(Предпосылки!$H$209,$C$13:$C$15,AX$13:AX$15),1)</f>
        <v>0</v>
      </c>
      <c s="125">
        <f>Предпосылки!AX$236*Предпосылки!$L261*Продажи!AY26*AY$19*(1+Чувствительность!$D$20)*IFERROR(LOOKUP(Предпосылки!$H$209,$C$13:$C$15,AY$13:AY$15),1)</f>
        <v>0</v>
      </c>
      <c s="125">
        <f>Предпосылки!AY$236*Предпосылки!$L261*Продажи!AZ26*AZ$19*(1+Чувствительность!$D$20)*IFERROR(LOOKUP(Предпосылки!$H$209,$C$13:$C$15,AZ$13:AZ$15),1)</f>
        <v>0</v>
      </c>
      <c s="125">
        <f>Предпосылки!AZ$236*Предпосылки!$L261*Продажи!BA26*BA$19*(1+Чувствительность!$D$20)*IFERROR(LOOKUP(Предпосылки!$H$209,$C$13:$C$15,BA$13:BA$15),1)</f>
        <v>0</v>
      </c>
      <c s="125">
        <f>Предпосылки!BA$236*Предпосылки!$L261*Продажи!BB26*BB$19*(1+Чувствительность!$D$20)*IFERROR(LOOKUP(Предпосылки!$H$209,$C$13:$C$15,BB$13:BB$15),1)</f>
        <v>0</v>
      </c>
      <c s="125">
        <f>Предпосылки!BB$236*Предпосылки!$L261*Продажи!BC26*BC$19*(1+Чувствительность!$D$20)*IFERROR(LOOKUP(Предпосылки!$H$209,$C$13:$C$15,BC$13:BC$15),1)</f>
        <v>0</v>
      </c>
      <c s="125">
        <f>Предпосылки!BC$236*Предпосылки!$L261*Продажи!BD26*BD$19*(1+Чувствительность!$D$20)*IFERROR(LOOKUP(Предпосылки!$H$209,$C$13:$C$15,BD$13:BD$15),1)</f>
        <v>0</v>
      </c>
      <c s="125">
        <f>Предпосылки!BD$236*Предпосылки!$L261*Продажи!BE26*BE$19*(1+Чувствительность!$D$20)*IFERROR(LOOKUP(Предпосылки!$H$209,$C$13:$C$15,BE$13:BE$15),1)</f>
        <v>0</v>
      </c>
      <c s="125">
        <f>Предпосылки!BE$236*Предпосылки!$L261*Продажи!BF26*BF$19*(1+Чувствительность!$D$20)*IFERROR(LOOKUP(Предпосылки!$H$209,$C$13:$C$15,BF$13:BF$15),1)</f>
        <v>0</v>
      </c>
      <c s="125">
        <f>Предпосылки!BF$236*Предпосылки!$L261*Продажи!BG26*BG$19*(1+Чувствительность!$D$20)*IFERROR(LOOKUP(Предпосылки!$H$209,$C$13:$C$15,BG$13:BG$15),1)</f>
        <v>0</v>
      </c>
      <c s="125">
        <f>Предпосылки!BG$236*Предпосылки!$L261*Продажи!BH26*BH$19*(1+Чувствительность!$D$20)*IFERROR(LOOKUP(Предпосылки!$H$209,$C$13:$C$15,BH$13:BH$15),1)</f>
        <v>0</v>
      </c>
      <c s="125">
        <f>Предпосылки!BH$236*Предпосылки!$L261*Продажи!BI26*BI$19*(1+Чувствительность!$D$20)*IFERROR(LOOKUP(Предпосылки!$H$209,$C$13:$C$15,BI$13:BI$15),1)</f>
        <v>0</v>
      </c>
      <c s="125">
        <f>Предпосылки!BI$236*Предпосылки!$L261*Продажи!BJ26*BJ$19*(1+Чувствительность!$D$20)*IFERROR(LOOKUP(Предпосылки!$H$209,$C$13:$C$15,BJ$13:BJ$15),1)</f>
        <v>0</v>
      </c>
      <c s="125">
        <f>Предпосылки!BJ$236*Предпосылки!$L261*Продажи!BK26*BK$19*(1+Чувствительность!$D$20)*IFERROR(LOOKUP(Предпосылки!$H$209,$C$13:$C$15,BK$13:BK$15),1)</f>
        <v>0</v>
      </c>
      <c s="125">
        <f>Предпосылки!BK$236*Предпосылки!$L261*Продажи!BL26*BL$19*(1+Чувствительность!$D$20)*IFERROR(LOOKUP(Предпосылки!$H$209,$C$13:$C$15,BL$13:BL$15),1)</f>
        <v>0</v>
      </c>
      <c s="125">
        <f>Предпосылки!BL$236*Предпосылки!$L261*Продажи!BM26*BM$19*(1+Чувствительность!$D$20)*IFERROR(LOOKUP(Предпосылки!$H$209,$C$13:$C$15,BM$13:BM$15),1)</f>
        <v>0</v>
      </c>
    </row>
    <row r="216" spans="2:65" ht="15" customHeight="1">
      <c r="B216" s="12" t="str">
        <f t="shared" si="101"/>
        <v>Продукт 10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Предпосылки!D$236*Предпосылки!$L262*Продажи!E27*E$19*(1+Чувствительность!$D$20)*IFERROR(LOOKUP(Предпосылки!$H$209,$C$13:$C$15,E$13:E$15),1)</f>
        <v>0</v>
      </c>
      <c s="125">
        <f>Предпосылки!E$236*Предпосылки!$L262*Продажи!F27*F$19*(1+Чувствительность!$D$20)*IFERROR(LOOKUP(Предпосылки!$H$209,$C$13:$C$15,F$13:F$15),1)</f>
        <v>0</v>
      </c>
      <c s="125">
        <f>Предпосылки!F$236*Предпосылки!$L262*Продажи!G27*G$19*(1+Чувствительность!$D$20)*IFERROR(LOOKUP(Предпосылки!$H$209,$C$13:$C$15,G$13:G$15),1)</f>
        <v>0</v>
      </c>
      <c s="125">
        <f>Предпосылки!G$236*Предпосылки!$L262*Продажи!H27*H$19*(1+Чувствительность!$D$20)*IFERROR(LOOKUP(Предпосылки!$H$209,$C$13:$C$15,H$13:H$15),1)</f>
        <v>0</v>
      </c>
      <c s="125">
        <f>Предпосылки!H$236*Предпосылки!$L262*Продажи!I27*I$19*(1+Чувствительность!$D$20)*IFERROR(LOOKUP(Предпосылки!$H$209,$C$13:$C$15,I$13:I$15),1)</f>
        <v>0</v>
      </c>
      <c s="125">
        <f>Предпосылки!I$236*Предпосылки!$L262*Продажи!J27*J$19*(1+Чувствительность!$D$20)*IFERROR(LOOKUP(Предпосылки!$H$209,$C$13:$C$15,J$13:J$15),1)</f>
        <v>0</v>
      </c>
      <c s="125">
        <f>Предпосылки!J$236*Предпосылки!$L262*Продажи!K27*K$19*(1+Чувствительность!$D$20)*IFERROR(LOOKUP(Предпосылки!$H$209,$C$13:$C$15,K$13:K$15),1)</f>
        <v>0</v>
      </c>
      <c s="125">
        <f>Предпосылки!K$236*Предпосылки!$L262*Продажи!L27*L$19*(1+Чувствительность!$D$20)*IFERROR(LOOKUP(Предпосылки!$H$209,$C$13:$C$15,L$13:L$15),1)</f>
        <v>0</v>
      </c>
      <c s="125">
        <f>Предпосылки!L$236*Предпосылки!$L262*Продажи!M27*M$19*(1+Чувствительность!$D$20)*IFERROR(LOOKUP(Предпосылки!$H$209,$C$13:$C$15,M$13:M$15),1)</f>
        <v>0</v>
      </c>
      <c s="125">
        <f>Предпосылки!M$236*Предпосылки!$L262*Продажи!N27*N$19*(1+Чувствительность!$D$20)*IFERROR(LOOKUP(Предпосылки!$H$209,$C$13:$C$15,N$13:N$15),1)</f>
        <v>0</v>
      </c>
      <c s="125">
        <f>Предпосылки!N$236*Предпосылки!$L262*Продажи!O27*O$19*(1+Чувствительность!$D$20)*IFERROR(LOOKUP(Предпосылки!$H$209,$C$13:$C$15,O$13:O$15),1)</f>
        <v>0</v>
      </c>
      <c s="125">
        <f>Предпосылки!O$236*Предпосылки!$L262*Продажи!P27*P$19*(1+Чувствительность!$D$20)*IFERROR(LOOKUP(Предпосылки!$H$209,$C$13:$C$15,P$13:P$15),1)</f>
        <v>0</v>
      </c>
      <c s="125">
        <f>Предпосылки!P$236*Предпосылки!$L262*Продажи!Q27*Q$19*(1+Чувствительность!$D$20)*IFERROR(LOOKUP(Предпосылки!$H$209,$C$13:$C$15,Q$13:Q$15),1)</f>
        <v>0</v>
      </c>
      <c s="125">
        <f>Предпосылки!Q$236*Предпосылки!$L262*Продажи!R27*R$19*(1+Чувствительность!$D$20)*IFERROR(LOOKUP(Предпосылки!$H$209,$C$13:$C$15,R$13:R$15),1)</f>
        <v>0</v>
      </c>
      <c s="125">
        <f>Предпосылки!R$236*Предпосылки!$L262*Продажи!S27*S$19*(1+Чувствительность!$D$20)*IFERROR(LOOKUP(Предпосылки!$H$209,$C$13:$C$15,S$13:S$15),1)</f>
        <v>0</v>
      </c>
      <c s="125">
        <f>Предпосылки!S$236*Предпосылки!$L262*Продажи!T27*T$19*(1+Чувствительность!$D$20)*IFERROR(LOOKUP(Предпосылки!$H$209,$C$13:$C$15,T$13:T$15),1)</f>
        <v>0</v>
      </c>
      <c s="125">
        <f>Предпосылки!T$236*Предпосылки!$L262*Продажи!U27*U$19*(1+Чувствительность!$D$20)*IFERROR(LOOKUP(Предпосылки!$H$209,$C$13:$C$15,U$13:U$15),1)</f>
        <v>0</v>
      </c>
      <c s="125">
        <f>Предпосылки!U$236*Предпосылки!$L262*Продажи!V27*V$19*(1+Чувствительность!$D$20)*IFERROR(LOOKUP(Предпосылки!$H$209,$C$13:$C$15,V$13:V$15),1)</f>
        <v>0</v>
      </c>
      <c s="125">
        <f>Предпосылки!V$236*Предпосылки!$L262*Продажи!W27*W$19*(1+Чувствительность!$D$20)*IFERROR(LOOKUP(Предпосылки!$H$209,$C$13:$C$15,W$13:W$15),1)</f>
        <v>0</v>
      </c>
      <c s="125">
        <f>Предпосылки!W$236*Предпосылки!$L262*Продажи!X27*X$19*(1+Чувствительность!$D$20)*IFERROR(LOOKUP(Предпосылки!$H$209,$C$13:$C$15,X$13:X$15),1)</f>
        <v>0</v>
      </c>
      <c s="125">
        <f>Предпосылки!X$236*Предпосылки!$L262*Продажи!Y27*Y$19*(1+Чувствительность!$D$20)*IFERROR(LOOKUP(Предпосылки!$H$209,$C$13:$C$15,Y$13:Y$15),1)</f>
        <v>0</v>
      </c>
      <c s="125">
        <f>Предпосылки!Y$236*Предпосылки!$L262*Продажи!Z27*Z$19*(1+Чувствительность!$D$20)*IFERROR(LOOKUP(Предпосылки!$H$209,$C$13:$C$15,Z$13:Z$15),1)</f>
        <v>0</v>
      </c>
      <c s="125">
        <f>Предпосылки!Z$236*Предпосылки!$L262*Продажи!AA27*AA$19*(1+Чувствительность!$D$20)*IFERROR(LOOKUP(Предпосылки!$H$209,$C$13:$C$15,AA$13:AA$15),1)</f>
        <v>0</v>
      </c>
      <c s="125">
        <f>Предпосылки!AA$236*Предпосылки!$L262*Продажи!AB27*AB$19*(1+Чувствительность!$D$20)*IFERROR(LOOKUP(Предпосылки!$H$209,$C$13:$C$15,AB$13:AB$15),1)</f>
        <v>0</v>
      </c>
      <c s="125">
        <f>Предпосылки!AB$236*Предпосылки!$L262*Продажи!AC27*AC$19*(1+Чувствительность!$D$20)*IFERROR(LOOKUP(Предпосылки!$H$209,$C$13:$C$15,AC$13:AC$15),1)</f>
        <v>0</v>
      </c>
      <c s="125">
        <f>Предпосылки!AC$236*Предпосылки!$L262*Продажи!AD27*AD$19*(1+Чувствительность!$D$20)*IFERROR(LOOKUP(Предпосылки!$H$209,$C$13:$C$15,AD$13:AD$15),1)</f>
        <v>0</v>
      </c>
      <c s="125">
        <f>Предпосылки!AD$236*Предпосылки!$L262*Продажи!AE27*AE$19*(1+Чувствительность!$D$20)*IFERROR(LOOKUP(Предпосылки!$H$209,$C$13:$C$15,AE$13:AE$15),1)</f>
        <v>0</v>
      </c>
      <c s="125">
        <f>Предпосылки!AE$236*Предпосылки!$L262*Продажи!AF27*AF$19*(1+Чувствительность!$D$20)*IFERROR(LOOKUP(Предпосылки!$H$209,$C$13:$C$15,AF$13:AF$15),1)</f>
        <v>0</v>
      </c>
      <c s="125">
        <f>Предпосылки!AF$236*Предпосылки!$L262*Продажи!AG27*AG$19*(1+Чувствительность!$D$20)*IFERROR(LOOKUP(Предпосылки!$H$209,$C$13:$C$15,AG$13:AG$15),1)</f>
        <v>0</v>
      </c>
      <c s="125">
        <f>Предпосылки!AG$236*Предпосылки!$L262*Продажи!AH27*AH$19*(1+Чувствительность!$D$20)*IFERROR(LOOKUP(Предпосылки!$H$209,$C$13:$C$15,AH$13:AH$15),1)</f>
        <v>0</v>
      </c>
      <c s="125">
        <f>Предпосылки!AH$236*Предпосылки!$L262*Продажи!AI27*AI$19*(1+Чувствительность!$D$20)*IFERROR(LOOKUP(Предпосылки!$H$209,$C$13:$C$15,AI$13:AI$15),1)</f>
        <v>0</v>
      </c>
      <c s="125">
        <f>Предпосылки!AI$236*Предпосылки!$L262*Продажи!AJ27*AJ$19*(1+Чувствительность!$D$20)*IFERROR(LOOKUP(Предпосылки!$H$209,$C$13:$C$15,AJ$13:AJ$15),1)</f>
        <v>0</v>
      </c>
      <c s="125">
        <f>Предпосылки!AJ$236*Предпосылки!$L262*Продажи!AK27*AK$19*(1+Чувствительность!$D$20)*IFERROR(LOOKUP(Предпосылки!$H$209,$C$13:$C$15,AK$13:AK$15),1)</f>
        <v>0</v>
      </c>
      <c s="125">
        <f>Предпосылки!AK$236*Предпосылки!$L262*Продажи!AL27*AL$19*(1+Чувствительность!$D$20)*IFERROR(LOOKUP(Предпосылки!$H$209,$C$13:$C$15,AL$13:AL$15),1)</f>
        <v>0</v>
      </c>
      <c s="125">
        <f>Предпосылки!AL$236*Предпосылки!$L262*Продажи!AM27*AM$19*(1+Чувствительность!$D$20)*IFERROR(LOOKUP(Предпосылки!$H$209,$C$13:$C$15,AM$13:AM$15),1)</f>
        <v>0</v>
      </c>
      <c s="125">
        <f>Предпосылки!AM$236*Предпосылки!$L262*Продажи!AN27*AN$19*(1+Чувствительность!$D$20)*IFERROR(LOOKUP(Предпосылки!$H$209,$C$13:$C$15,AN$13:AN$15),1)</f>
        <v>0</v>
      </c>
      <c s="125">
        <f>Предпосылки!AN$236*Предпосылки!$L262*Продажи!AO27*AO$19*(1+Чувствительность!$D$20)*IFERROR(LOOKUP(Предпосылки!$H$209,$C$13:$C$15,AO$13:AO$15),1)</f>
        <v>0</v>
      </c>
      <c s="125">
        <f>Предпосылки!AO$236*Предпосылки!$L262*Продажи!AP27*AP$19*(1+Чувствительность!$D$20)*IFERROR(LOOKUP(Предпосылки!$H$209,$C$13:$C$15,AP$13:AP$15),1)</f>
        <v>0</v>
      </c>
      <c s="125">
        <f>Предпосылки!AP$236*Предпосылки!$L262*Продажи!AQ27*AQ$19*(1+Чувствительность!$D$20)*IFERROR(LOOKUP(Предпосылки!$H$209,$C$13:$C$15,AQ$13:AQ$15),1)</f>
        <v>0</v>
      </c>
      <c s="125">
        <f>Предпосылки!AQ$236*Предпосылки!$L262*Продажи!AR27*AR$19*(1+Чувствительность!$D$20)*IFERROR(LOOKUP(Предпосылки!$H$209,$C$13:$C$15,AR$13:AR$15),1)</f>
        <v>0</v>
      </c>
      <c s="125">
        <f>Предпосылки!AR$236*Предпосылки!$L262*Продажи!AS27*AS$19*(1+Чувствительность!$D$20)*IFERROR(LOOKUP(Предпосылки!$H$209,$C$13:$C$15,AS$13:AS$15),1)</f>
        <v>0</v>
      </c>
      <c s="125">
        <f>Предпосылки!AS$236*Предпосылки!$L262*Продажи!AT27*AT$19*(1+Чувствительность!$D$20)*IFERROR(LOOKUP(Предпосылки!$H$209,$C$13:$C$15,AT$13:AT$15),1)</f>
        <v>0</v>
      </c>
      <c s="125">
        <f>Предпосылки!AT$236*Предпосылки!$L262*Продажи!AU27*AU$19*(1+Чувствительность!$D$20)*IFERROR(LOOKUP(Предпосылки!$H$209,$C$13:$C$15,AU$13:AU$15),1)</f>
        <v>0</v>
      </c>
      <c s="125">
        <f>Предпосылки!AU$236*Предпосылки!$L262*Продажи!AV27*AV$19*(1+Чувствительность!$D$20)*IFERROR(LOOKUP(Предпосылки!$H$209,$C$13:$C$15,AV$13:AV$15),1)</f>
        <v>0</v>
      </c>
      <c s="125">
        <f>Предпосылки!AV$236*Предпосылки!$L262*Продажи!AW27*AW$19*(1+Чувствительность!$D$20)*IFERROR(LOOKUP(Предпосылки!$H$209,$C$13:$C$15,AW$13:AW$15),1)</f>
        <v>0</v>
      </c>
      <c s="125">
        <f>Предпосылки!AW$236*Предпосылки!$L262*Продажи!AX27*AX$19*(1+Чувствительность!$D$20)*IFERROR(LOOKUP(Предпосылки!$H$209,$C$13:$C$15,AX$13:AX$15),1)</f>
        <v>0</v>
      </c>
      <c s="125">
        <f>Предпосылки!AX$236*Предпосылки!$L262*Продажи!AY27*AY$19*(1+Чувствительность!$D$20)*IFERROR(LOOKUP(Предпосылки!$H$209,$C$13:$C$15,AY$13:AY$15),1)</f>
        <v>0</v>
      </c>
      <c s="125">
        <f>Предпосылки!AY$236*Предпосылки!$L262*Продажи!AZ27*AZ$19*(1+Чувствительность!$D$20)*IFERROR(LOOKUP(Предпосылки!$H$209,$C$13:$C$15,AZ$13:AZ$15),1)</f>
        <v>0</v>
      </c>
      <c s="125">
        <f>Предпосылки!AZ$236*Предпосылки!$L262*Продажи!BA27*BA$19*(1+Чувствительность!$D$20)*IFERROR(LOOKUP(Предпосылки!$H$209,$C$13:$C$15,BA$13:BA$15),1)</f>
        <v>0</v>
      </c>
      <c s="125">
        <f>Предпосылки!BA$236*Предпосылки!$L262*Продажи!BB27*BB$19*(1+Чувствительность!$D$20)*IFERROR(LOOKUP(Предпосылки!$H$209,$C$13:$C$15,BB$13:BB$15),1)</f>
        <v>0</v>
      </c>
      <c s="125">
        <f>Предпосылки!BB$236*Предпосылки!$L262*Продажи!BC27*BC$19*(1+Чувствительность!$D$20)*IFERROR(LOOKUP(Предпосылки!$H$209,$C$13:$C$15,BC$13:BC$15),1)</f>
        <v>0</v>
      </c>
      <c s="125">
        <f>Предпосылки!BC$236*Предпосылки!$L262*Продажи!BD27*BD$19*(1+Чувствительность!$D$20)*IFERROR(LOOKUP(Предпосылки!$H$209,$C$13:$C$15,BD$13:BD$15),1)</f>
        <v>0</v>
      </c>
      <c s="125">
        <f>Предпосылки!BD$236*Предпосылки!$L262*Продажи!BE27*BE$19*(1+Чувствительность!$D$20)*IFERROR(LOOKUP(Предпосылки!$H$209,$C$13:$C$15,BE$13:BE$15),1)</f>
        <v>0</v>
      </c>
      <c s="125">
        <f>Предпосылки!BE$236*Предпосылки!$L262*Продажи!BF27*BF$19*(1+Чувствительность!$D$20)*IFERROR(LOOKUP(Предпосылки!$H$209,$C$13:$C$15,BF$13:BF$15),1)</f>
        <v>0</v>
      </c>
      <c s="125">
        <f>Предпосылки!BF$236*Предпосылки!$L262*Продажи!BG27*BG$19*(1+Чувствительность!$D$20)*IFERROR(LOOKUP(Предпосылки!$H$209,$C$13:$C$15,BG$13:BG$15),1)</f>
        <v>0</v>
      </c>
      <c s="125">
        <f>Предпосылки!BG$236*Предпосылки!$L262*Продажи!BH27*BH$19*(1+Чувствительность!$D$20)*IFERROR(LOOKUP(Предпосылки!$H$209,$C$13:$C$15,BH$13:BH$15),1)</f>
        <v>0</v>
      </c>
      <c s="125">
        <f>Предпосылки!BH$236*Предпосылки!$L262*Продажи!BI27*BI$19*(1+Чувствительность!$D$20)*IFERROR(LOOKUP(Предпосылки!$H$209,$C$13:$C$15,BI$13:BI$15),1)</f>
        <v>0</v>
      </c>
      <c s="125">
        <f>Предпосылки!BI$236*Предпосылки!$L262*Продажи!BJ27*BJ$19*(1+Чувствительность!$D$20)*IFERROR(LOOKUP(Предпосылки!$H$209,$C$13:$C$15,BJ$13:BJ$15),1)</f>
        <v>0</v>
      </c>
      <c s="125">
        <f>Предпосылки!BJ$236*Предпосылки!$L262*Продажи!BK27*BK$19*(1+Чувствительность!$D$20)*IFERROR(LOOKUP(Предпосылки!$H$209,$C$13:$C$15,BK$13:BK$15),1)</f>
        <v>0</v>
      </c>
      <c s="125">
        <f>Предпосылки!BK$236*Предпосылки!$L262*Продажи!BL27*BL$19*(1+Чувствительность!$D$20)*IFERROR(LOOKUP(Предпосылки!$H$209,$C$13:$C$15,BL$13:BL$15),1)</f>
        <v>0</v>
      </c>
      <c s="125">
        <f>Предпосылки!BL$236*Предпосылки!$L262*Продажи!BM27*BM$19*(1+Чувствительность!$D$20)*IFERROR(LOOKUP(Предпосылки!$H$209,$C$13:$C$15,BM$13:BM$15),1)</f>
        <v>0</v>
      </c>
    </row>
    <row r="217" spans="2:65" ht="15" customHeight="1">
      <c r="B217" s="12" t="str">
        <f t="shared" si="101"/>
        <v>Продукт 11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Предпосылки!D$236*Предпосылки!$L263*Продажи!E28*E$19*(1+Чувствительность!$D$20)*IFERROR(LOOKUP(Предпосылки!$H$209,$C$13:$C$15,E$13:E$15),1)</f>
        <v>0</v>
      </c>
      <c s="125">
        <f>Предпосылки!E$236*Предпосылки!$L263*Продажи!F28*F$19*(1+Чувствительность!$D$20)*IFERROR(LOOKUP(Предпосылки!$H$209,$C$13:$C$15,F$13:F$15),1)</f>
        <v>0</v>
      </c>
      <c s="125">
        <f>Предпосылки!F$236*Предпосылки!$L263*Продажи!G28*G$19*(1+Чувствительность!$D$20)*IFERROR(LOOKUP(Предпосылки!$H$209,$C$13:$C$15,G$13:G$15),1)</f>
        <v>0</v>
      </c>
      <c s="125">
        <f>Предпосылки!G$236*Предпосылки!$L263*Продажи!H28*H$19*(1+Чувствительность!$D$20)*IFERROR(LOOKUP(Предпосылки!$H$209,$C$13:$C$15,H$13:H$15),1)</f>
        <v>0</v>
      </c>
      <c s="125">
        <f>Предпосылки!H$236*Предпосылки!$L263*Продажи!I28*I$19*(1+Чувствительность!$D$20)*IFERROR(LOOKUP(Предпосылки!$H$209,$C$13:$C$15,I$13:I$15),1)</f>
        <v>0</v>
      </c>
      <c s="125">
        <f>Предпосылки!I$236*Предпосылки!$L263*Продажи!J28*J$19*(1+Чувствительность!$D$20)*IFERROR(LOOKUP(Предпосылки!$H$209,$C$13:$C$15,J$13:J$15),1)</f>
        <v>0</v>
      </c>
      <c s="125">
        <f>Предпосылки!J$236*Предпосылки!$L263*Продажи!K28*K$19*(1+Чувствительность!$D$20)*IFERROR(LOOKUP(Предпосылки!$H$209,$C$13:$C$15,K$13:K$15),1)</f>
        <v>0</v>
      </c>
      <c s="125">
        <f>Предпосылки!K$236*Предпосылки!$L263*Продажи!L28*L$19*(1+Чувствительность!$D$20)*IFERROR(LOOKUP(Предпосылки!$H$209,$C$13:$C$15,L$13:L$15),1)</f>
        <v>0</v>
      </c>
      <c s="125">
        <f>Предпосылки!L$236*Предпосылки!$L263*Продажи!M28*M$19*(1+Чувствительность!$D$20)*IFERROR(LOOKUP(Предпосылки!$H$209,$C$13:$C$15,M$13:M$15),1)</f>
        <v>0</v>
      </c>
      <c s="125">
        <f>Предпосылки!M$236*Предпосылки!$L263*Продажи!N28*N$19*(1+Чувствительность!$D$20)*IFERROR(LOOKUP(Предпосылки!$H$209,$C$13:$C$15,N$13:N$15),1)</f>
        <v>0</v>
      </c>
      <c s="125">
        <f>Предпосылки!N$236*Предпосылки!$L263*Продажи!O28*O$19*(1+Чувствительность!$D$20)*IFERROR(LOOKUP(Предпосылки!$H$209,$C$13:$C$15,O$13:O$15),1)</f>
        <v>0</v>
      </c>
      <c s="125">
        <f>Предпосылки!O$236*Предпосылки!$L263*Продажи!P28*P$19*(1+Чувствительность!$D$20)*IFERROR(LOOKUP(Предпосылки!$H$209,$C$13:$C$15,P$13:P$15),1)</f>
        <v>0</v>
      </c>
      <c s="125">
        <f>Предпосылки!P$236*Предпосылки!$L263*Продажи!Q28*Q$19*(1+Чувствительность!$D$20)*IFERROR(LOOKUP(Предпосылки!$H$209,$C$13:$C$15,Q$13:Q$15),1)</f>
        <v>0</v>
      </c>
      <c s="125">
        <f>Предпосылки!Q$236*Предпосылки!$L263*Продажи!R28*R$19*(1+Чувствительность!$D$20)*IFERROR(LOOKUP(Предпосылки!$H$209,$C$13:$C$15,R$13:R$15),1)</f>
        <v>0</v>
      </c>
      <c s="125">
        <f>Предпосылки!R$236*Предпосылки!$L263*Продажи!S28*S$19*(1+Чувствительность!$D$20)*IFERROR(LOOKUP(Предпосылки!$H$209,$C$13:$C$15,S$13:S$15),1)</f>
        <v>0</v>
      </c>
      <c s="125">
        <f>Предпосылки!S$236*Предпосылки!$L263*Продажи!T28*T$19*(1+Чувствительность!$D$20)*IFERROR(LOOKUP(Предпосылки!$H$209,$C$13:$C$15,T$13:T$15),1)</f>
        <v>0</v>
      </c>
      <c s="125">
        <f>Предпосылки!T$236*Предпосылки!$L263*Продажи!U28*U$19*(1+Чувствительность!$D$20)*IFERROR(LOOKUP(Предпосылки!$H$209,$C$13:$C$15,U$13:U$15),1)</f>
        <v>0</v>
      </c>
      <c s="125">
        <f>Предпосылки!U$236*Предпосылки!$L263*Продажи!V28*V$19*(1+Чувствительность!$D$20)*IFERROR(LOOKUP(Предпосылки!$H$209,$C$13:$C$15,V$13:V$15),1)</f>
        <v>0</v>
      </c>
      <c s="125">
        <f>Предпосылки!V$236*Предпосылки!$L263*Продажи!W28*W$19*(1+Чувствительность!$D$20)*IFERROR(LOOKUP(Предпосылки!$H$209,$C$13:$C$15,W$13:W$15),1)</f>
        <v>0</v>
      </c>
      <c s="125">
        <f>Предпосылки!W$236*Предпосылки!$L263*Продажи!X28*X$19*(1+Чувствительность!$D$20)*IFERROR(LOOKUP(Предпосылки!$H$209,$C$13:$C$15,X$13:X$15),1)</f>
        <v>0</v>
      </c>
      <c s="125">
        <f>Предпосылки!X$236*Предпосылки!$L263*Продажи!Y28*Y$19*(1+Чувствительность!$D$20)*IFERROR(LOOKUP(Предпосылки!$H$209,$C$13:$C$15,Y$13:Y$15),1)</f>
        <v>0</v>
      </c>
      <c s="125">
        <f>Предпосылки!Y$236*Предпосылки!$L263*Продажи!Z28*Z$19*(1+Чувствительность!$D$20)*IFERROR(LOOKUP(Предпосылки!$H$209,$C$13:$C$15,Z$13:Z$15),1)</f>
        <v>0</v>
      </c>
      <c s="125">
        <f>Предпосылки!Z$236*Предпосылки!$L263*Продажи!AA28*AA$19*(1+Чувствительность!$D$20)*IFERROR(LOOKUP(Предпосылки!$H$209,$C$13:$C$15,AA$13:AA$15),1)</f>
        <v>0</v>
      </c>
      <c s="125">
        <f>Предпосылки!AA$236*Предпосылки!$L263*Продажи!AB28*AB$19*(1+Чувствительность!$D$20)*IFERROR(LOOKUP(Предпосылки!$H$209,$C$13:$C$15,AB$13:AB$15),1)</f>
        <v>0</v>
      </c>
      <c s="125">
        <f>Предпосылки!AB$236*Предпосылки!$L263*Продажи!AC28*AC$19*(1+Чувствительность!$D$20)*IFERROR(LOOKUP(Предпосылки!$H$209,$C$13:$C$15,AC$13:AC$15),1)</f>
        <v>0</v>
      </c>
      <c s="125">
        <f>Предпосылки!AC$236*Предпосылки!$L263*Продажи!AD28*AD$19*(1+Чувствительность!$D$20)*IFERROR(LOOKUP(Предпосылки!$H$209,$C$13:$C$15,AD$13:AD$15),1)</f>
        <v>0</v>
      </c>
      <c s="125">
        <f>Предпосылки!AD$236*Предпосылки!$L263*Продажи!AE28*AE$19*(1+Чувствительность!$D$20)*IFERROR(LOOKUP(Предпосылки!$H$209,$C$13:$C$15,AE$13:AE$15),1)</f>
        <v>0</v>
      </c>
      <c s="125">
        <f>Предпосылки!AE$236*Предпосылки!$L263*Продажи!AF28*AF$19*(1+Чувствительность!$D$20)*IFERROR(LOOKUP(Предпосылки!$H$209,$C$13:$C$15,AF$13:AF$15),1)</f>
        <v>0</v>
      </c>
      <c s="125">
        <f>Предпосылки!AF$236*Предпосылки!$L263*Продажи!AG28*AG$19*(1+Чувствительность!$D$20)*IFERROR(LOOKUP(Предпосылки!$H$209,$C$13:$C$15,AG$13:AG$15),1)</f>
        <v>0</v>
      </c>
      <c s="125">
        <f>Предпосылки!AG$236*Предпосылки!$L263*Продажи!AH28*AH$19*(1+Чувствительность!$D$20)*IFERROR(LOOKUP(Предпосылки!$H$209,$C$13:$C$15,AH$13:AH$15),1)</f>
        <v>0</v>
      </c>
      <c s="125">
        <f>Предпосылки!AH$236*Предпосылки!$L263*Продажи!AI28*AI$19*(1+Чувствительность!$D$20)*IFERROR(LOOKUP(Предпосылки!$H$209,$C$13:$C$15,AI$13:AI$15),1)</f>
        <v>0</v>
      </c>
      <c s="125">
        <f>Предпосылки!AI$236*Предпосылки!$L263*Продажи!AJ28*AJ$19*(1+Чувствительность!$D$20)*IFERROR(LOOKUP(Предпосылки!$H$209,$C$13:$C$15,AJ$13:AJ$15),1)</f>
        <v>0</v>
      </c>
      <c s="125">
        <f>Предпосылки!AJ$236*Предпосылки!$L263*Продажи!AK28*AK$19*(1+Чувствительность!$D$20)*IFERROR(LOOKUP(Предпосылки!$H$209,$C$13:$C$15,AK$13:AK$15),1)</f>
        <v>0</v>
      </c>
      <c s="125">
        <f>Предпосылки!AK$236*Предпосылки!$L263*Продажи!AL28*AL$19*(1+Чувствительность!$D$20)*IFERROR(LOOKUP(Предпосылки!$H$209,$C$13:$C$15,AL$13:AL$15),1)</f>
        <v>0</v>
      </c>
      <c s="125">
        <f>Предпосылки!AL$236*Предпосылки!$L263*Продажи!AM28*AM$19*(1+Чувствительность!$D$20)*IFERROR(LOOKUP(Предпосылки!$H$209,$C$13:$C$15,AM$13:AM$15),1)</f>
        <v>0</v>
      </c>
      <c s="125">
        <f>Предпосылки!AM$236*Предпосылки!$L263*Продажи!AN28*AN$19*(1+Чувствительность!$D$20)*IFERROR(LOOKUP(Предпосылки!$H$209,$C$13:$C$15,AN$13:AN$15),1)</f>
        <v>0</v>
      </c>
      <c s="125">
        <f>Предпосылки!AN$236*Предпосылки!$L263*Продажи!AO28*AO$19*(1+Чувствительность!$D$20)*IFERROR(LOOKUP(Предпосылки!$H$209,$C$13:$C$15,AO$13:AO$15),1)</f>
        <v>0</v>
      </c>
      <c s="125">
        <f>Предпосылки!AO$236*Предпосылки!$L263*Продажи!AP28*AP$19*(1+Чувствительность!$D$20)*IFERROR(LOOKUP(Предпосылки!$H$209,$C$13:$C$15,AP$13:AP$15),1)</f>
        <v>0</v>
      </c>
      <c s="125">
        <f>Предпосылки!AP$236*Предпосылки!$L263*Продажи!AQ28*AQ$19*(1+Чувствительность!$D$20)*IFERROR(LOOKUP(Предпосылки!$H$209,$C$13:$C$15,AQ$13:AQ$15),1)</f>
        <v>0</v>
      </c>
      <c s="125">
        <f>Предпосылки!AQ$236*Предпосылки!$L263*Продажи!AR28*AR$19*(1+Чувствительность!$D$20)*IFERROR(LOOKUP(Предпосылки!$H$209,$C$13:$C$15,AR$13:AR$15),1)</f>
        <v>0</v>
      </c>
      <c s="125">
        <f>Предпосылки!AR$236*Предпосылки!$L263*Продажи!AS28*AS$19*(1+Чувствительность!$D$20)*IFERROR(LOOKUP(Предпосылки!$H$209,$C$13:$C$15,AS$13:AS$15),1)</f>
        <v>0</v>
      </c>
      <c s="125">
        <f>Предпосылки!AS$236*Предпосылки!$L263*Продажи!AT28*AT$19*(1+Чувствительность!$D$20)*IFERROR(LOOKUP(Предпосылки!$H$209,$C$13:$C$15,AT$13:AT$15),1)</f>
        <v>0</v>
      </c>
      <c s="125">
        <f>Предпосылки!AT$236*Предпосылки!$L263*Продажи!AU28*AU$19*(1+Чувствительность!$D$20)*IFERROR(LOOKUP(Предпосылки!$H$209,$C$13:$C$15,AU$13:AU$15),1)</f>
        <v>0</v>
      </c>
      <c s="125">
        <f>Предпосылки!AU$236*Предпосылки!$L263*Продажи!AV28*AV$19*(1+Чувствительность!$D$20)*IFERROR(LOOKUP(Предпосылки!$H$209,$C$13:$C$15,AV$13:AV$15),1)</f>
        <v>0</v>
      </c>
      <c s="125">
        <f>Предпосылки!AV$236*Предпосылки!$L263*Продажи!AW28*AW$19*(1+Чувствительность!$D$20)*IFERROR(LOOKUP(Предпосылки!$H$209,$C$13:$C$15,AW$13:AW$15),1)</f>
        <v>0</v>
      </c>
      <c s="125">
        <f>Предпосылки!AW$236*Предпосылки!$L263*Продажи!AX28*AX$19*(1+Чувствительность!$D$20)*IFERROR(LOOKUP(Предпосылки!$H$209,$C$13:$C$15,AX$13:AX$15),1)</f>
        <v>0</v>
      </c>
      <c s="125">
        <f>Предпосылки!AX$236*Предпосылки!$L263*Продажи!AY28*AY$19*(1+Чувствительность!$D$20)*IFERROR(LOOKUP(Предпосылки!$H$209,$C$13:$C$15,AY$13:AY$15),1)</f>
        <v>0</v>
      </c>
      <c s="125">
        <f>Предпосылки!AY$236*Предпосылки!$L263*Продажи!AZ28*AZ$19*(1+Чувствительность!$D$20)*IFERROR(LOOKUP(Предпосылки!$H$209,$C$13:$C$15,AZ$13:AZ$15),1)</f>
        <v>0</v>
      </c>
      <c s="125">
        <f>Предпосылки!AZ$236*Предпосылки!$L263*Продажи!BA28*BA$19*(1+Чувствительность!$D$20)*IFERROR(LOOKUP(Предпосылки!$H$209,$C$13:$C$15,BA$13:BA$15),1)</f>
        <v>0</v>
      </c>
      <c s="125">
        <f>Предпосылки!BA$236*Предпосылки!$L263*Продажи!BB28*BB$19*(1+Чувствительность!$D$20)*IFERROR(LOOKUP(Предпосылки!$H$209,$C$13:$C$15,BB$13:BB$15),1)</f>
        <v>0</v>
      </c>
      <c s="125">
        <f>Предпосылки!BB$236*Предпосылки!$L263*Продажи!BC28*BC$19*(1+Чувствительность!$D$20)*IFERROR(LOOKUP(Предпосылки!$H$209,$C$13:$C$15,BC$13:BC$15),1)</f>
        <v>0</v>
      </c>
      <c s="125">
        <f>Предпосылки!BC$236*Предпосылки!$L263*Продажи!BD28*BD$19*(1+Чувствительность!$D$20)*IFERROR(LOOKUP(Предпосылки!$H$209,$C$13:$C$15,BD$13:BD$15),1)</f>
        <v>0</v>
      </c>
      <c s="125">
        <f>Предпосылки!BD$236*Предпосылки!$L263*Продажи!BE28*BE$19*(1+Чувствительность!$D$20)*IFERROR(LOOKUP(Предпосылки!$H$209,$C$13:$C$15,BE$13:BE$15),1)</f>
        <v>0</v>
      </c>
      <c s="125">
        <f>Предпосылки!BE$236*Предпосылки!$L263*Продажи!BF28*BF$19*(1+Чувствительность!$D$20)*IFERROR(LOOKUP(Предпосылки!$H$209,$C$13:$C$15,BF$13:BF$15),1)</f>
        <v>0</v>
      </c>
      <c s="125">
        <f>Предпосылки!BF$236*Предпосылки!$L263*Продажи!BG28*BG$19*(1+Чувствительность!$D$20)*IFERROR(LOOKUP(Предпосылки!$H$209,$C$13:$C$15,BG$13:BG$15),1)</f>
        <v>0</v>
      </c>
      <c s="125">
        <f>Предпосылки!BG$236*Предпосылки!$L263*Продажи!BH28*BH$19*(1+Чувствительность!$D$20)*IFERROR(LOOKUP(Предпосылки!$H$209,$C$13:$C$15,BH$13:BH$15),1)</f>
        <v>0</v>
      </c>
      <c s="125">
        <f>Предпосылки!BH$236*Предпосылки!$L263*Продажи!BI28*BI$19*(1+Чувствительность!$D$20)*IFERROR(LOOKUP(Предпосылки!$H$209,$C$13:$C$15,BI$13:BI$15),1)</f>
        <v>0</v>
      </c>
      <c s="125">
        <f>Предпосылки!BI$236*Предпосылки!$L263*Продажи!BJ28*BJ$19*(1+Чувствительность!$D$20)*IFERROR(LOOKUP(Предпосылки!$H$209,$C$13:$C$15,BJ$13:BJ$15),1)</f>
        <v>0</v>
      </c>
      <c s="125">
        <f>Предпосылки!BJ$236*Предпосылки!$L263*Продажи!BK28*BK$19*(1+Чувствительность!$D$20)*IFERROR(LOOKUP(Предпосылки!$H$209,$C$13:$C$15,BK$13:BK$15),1)</f>
        <v>0</v>
      </c>
      <c s="125">
        <f>Предпосылки!BK$236*Предпосылки!$L263*Продажи!BL28*BL$19*(1+Чувствительность!$D$20)*IFERROR(LOOKUP(Предпосылки!$H$209,$C$13:$C$15,BL$13:BL$15),1)</f>
        <v>0</v>
      </c>
      <c s="125">
        <f>Предпосылки!BL$236*Предпосылки!$L263*Продажи!BM28*BM$19*(1+Чувствительность!$D$20)*IFERROR(LOOKUP(Предпосылки!$H$209,$C$13:$C$15,BM$13:BM$15),1)</f>
        <v>0</v>
      </c>
    </row>
    <row r="218" spans="2:65" ht="15" customHeight="1">
      <c r="B218" s="12" t="str">
        <f t="shared" si="101"/>
        <v>Продукт 12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Предпосылки!D$236*Предпосылки!$L264*Продажи!E29*E$19*(1+Чувствительность!$D$20)*IFERROR(LOOKUP(Предпосылки!$H$209,$C$13:$C$15,E$13:E$15),1)</f>
        <v>0</v>
      </c>
      <c s="125">
        <f>Предпосылки!E$236*Предпосылки!$L264*Продажи!F29*F$19*(1+Чувствительность!$D$20)*IFERROR(LOOKUP(Предпосылки!$H$209,$C$13:$C$15,F$13:F$15),1)</f>
        <v>0</v>
      </c>
      <c s="125">
        <f>Предпосылки!F$236*Предпосылки!$L264*Продажи!G29*G$19*(1+Чувствительность!$D$20)*IFERROR(LOOKUP(Предпосылки!$H$209,$C$13:$C$15,G$13:G$15),1)</f>
        <v>0</v>
      </c>
      <c s="125">
        <f>Предпосылки!G$236*Предпосылки!$L264*Продажи!H29*H$19*(1+Чувствительность!$D$20)*IFERROR(LOOKUP(Предпосылки!$H$209,$C$13:$C$15,H$13:H$15),1)</f>
        <v>0</v>
      </c>
      <c s="125">
        <f>Предпосылки!H$236*Предпосылки!$L264*Продажи!I29*I$19*(1+Чувствительность!$D$20)*IFERROR(LOOKUP(Предпосылки!$H$209,$C$13:$C$15,I$13:I$15),1)</f>
        <v>0</v>
      </c>
      <c s="125">
        <f>Предпосылки!I$236*Предпосылки!$L264*Продажи!J29*J$19*(1+Чувствительность!$D$20)*IFERROR(LOOKUP(Предпосылки!$H$209,$C$13:$C$15,J$13:J$15),1)</f>
        <v>0</v>
      </c>
      <c s="125">
        <f>Предпосылки!J$236*Предпосылки!$L264*Продажи!K29*K$19*(1+Чувствительность!$D$20)*IFERROR(LOOKUP(Предпосылки!$H$209,$C$13:$C$15,K$13:K$15),1)</f>
        <v>0</v>
      </c>
      <c s="125">
        <f>Предпосылки!K$236*Предпосылки!$L264*Продажи!L29*L$19*(1+Чувствительность!$D$20)*IFERROR(LOOKUP(Предпосылки!$H$209,$C$13:$C$15,L$13:L$15),1)</f>
        <v>0</v>
      </c>
      <c s="125">
        <f>Предпосылки!L$236*Предпосылки!$L264*Продажи!M29*M$19*(1+Чувствительность!$D$20)*IFERROR(LOOKUP(Предпосылки!$H$209,$C$13:$C$15,M$13:M$15),1)</f>
        <v>0</v>
      </c>
      <c s="125">
        <f>Предпосылки!M$236*Предпосылки!$L264*Продажи!N29*N$19*(1+Чувствительность!$D$20)*IFERROR(LOOKUP(Предпосылки!$H$209,$C$13:$C$15,N$13:N$15),1)</f>
        <v>0</v>
      </c>
      <c s="125">
        <f>Предпосылки!N$236*Предпосылки!$L264*Продажи!O29*O$19*(1+Чувствительность!$D$20)*IFERROR(LOOKUP(Предпосылки!$H$209,$C$13:$C$15,O$13:O$15),1)</f>
        <v>0</v>
      </c>
      <c s="125">
        <f>Предпосылки!O$236*Предпосылки!$L264*Продажи!P29*P$19*(1+Чувствительность!$D$20)*IFERROR(LOOKUP(Предпосылки!$H$209,$C$13:$C$15,P$13:P$15),1)</f>
        <v>0</v>
      </c>
      <c s="125">
        <f>Предпосылки!P$236*Предпосылки!$L264*Продажи!Q29*Q$19*(1+Чувствительность!$D$20)*IFERROR(LOOKUP(Предпосылки!$H$209,$C$13:$C$15,Q$13:Q$15),1)</f>
        <v>0</v>
      </c>
      <c s="125">
        <f>Предпосылки!Q$236*Предпосылки!$L264*Продажи!R29*R$19*(1+Чувствительность!$D$20)*IFERROR(LOOKUP(Предпосылки!$H$209,$C$13:$C$15,R$13:R$15),1)</f>
        <v>0</v>
      </c>
      <c s="125">
        <f>Предпосылки!R$236*Предпосылки!$L264*Продажи!S29*S$19*(1+Чувствительность!$D$20)*IFERROR(LOOKUP(Предпосылки!$H$209,$C$13:$C$15,S$13:S$15),1)</f>
        <v>0</v>
      </c>
      <c s="125">
        <f>Предпосылки!S$236*Предпосылки!$L264*Продажи!T29*T$19*(1+Чувствительность!$D$20)*IFERROR(LOOKUP(Предпосылки!$H$209,$C$13:$C$15,T$13:T$15),1)</f>
        <v>0</v>
      </c>
      <c s="125">
        <f>Предпосылки!T$236*Предпосылки!$L264*Продажи!U29*U$19*(1+Чувствительность!$D$20)*IFERROR(LOOKUP(Предпосылки!$H$209,$C$13:$C$15,U$13:U$15),1)</f>
        <v>0</v>
      </c>
      <c s="125">
        <f>Предпосылки!U$236*Предпосылки!$L264*Продажи!V29*V$19*(1+Чувствительность!$D$20)*IFERROR(LOOKUP(Предпосылки!$H$209,$C$13:$C$15,V$13:V$15),1)</f>
        <v>0</v>
      </c>
      <c s="125">
        <f>Предпосылки!V$236*Предпосылки!$L264*Продажи!W29*W$19*(1+Чувствительность!$D$20)*IFERROR(LOOKUP(Предпосылки!$H$209,$C$13:$C$15,W$13:W$15),1)</f>
        <v>0</v>
      </c>
      <c s="125">
        <f>Предпосылки!W$236*Предпосылки!$L264*Продажи!X29*X$19*(1+Чувствительность!$D$20)*IFERROR(LOOKUP(Предпосылки!$H$209,$C$13:$C$15,X$13:X$15),1)</f>
        <v>0</v>
      </c>
      <c s="125">
        <f>Предпосылки!X$236*Предпосылки!$L264*Продажи!Y29*Y$19*(1+Чувствительность!$D$20)*IFERROR(LOOKUP(Предпосылки!$H$209,$C$13:$C$15,Y$13:Y$15),1)</f>
        <v>0</v>
      </c>
      <c s="125">
        <f>Предпосылки!Y$236*Предпосылки!$L264*Продажи!Z29*Z$19*(1+Чувствительность!$D$20)*IFERROR(LOOKUP(Предпосылки!$H$209,$C$13:$C$15,Z$13:Z$15),1)</f>
        <v>0</v>
      </c>
      <c s="125">
        <f>Предпосылки!Z$236*Предпосылки!$L264*Продажи!AA29*AA$19*(1+Чувствительность!$D$20)*IFERROR(LOOKUP(Предпосылки!$H$209,$C$13:$C$15,AA$13:AA$15),1)</f>
        <v>0</v>
      </c>
      <c s="125">
        <f>Предпосылки!AA$236*Предпосылки!$L264*Продажи!AB29*AB$19*(1+Чувствительность!$D$20)*IFERROR(LOOKUP(Предпосылки!$H$209,$C$13:$C$15,AB$13:AB$15),1)</f>
        <v>0</v>
      </c>
      <c s="125">
        <f>Предпосылки!AB$236*Предпосылки!$L264*Продажи!AC29*AC$19*(1+Чувствительность!$D$20)*IFERROR(LOOKUP(Предпосылки!$H$209,$C$13:$C$15,AC$13:AC$15),1)</f>
        <v>0</v>
      </c>
      <c s="125">
        <f>Предпосылки!AC$236*Предпосылки!$L264*Продажи!AD29*AD$19*(1+Чувствительность!$D$20)*IFERROR(LOOKUP(Предпосылки!$H$209,$C$13:$C$15,AD$13:AD$15),1)</f>
        <v>0</v>
      </c>
      <c s="125">
        <f>Предпосылки!AD$236*Предпосылки!$L264*Продажи!AE29*AE$19*(1+Чувствительность!$D$20)*IFERROR(LOOKUP(Предпосылки!$H$209,$C$13:$C$15,AE$13:AE$15),1)</f>
        <v>0</v>
      </c>
      <c s="125">
        <f>Предпосылки!AE$236*Предпосылки!$L264*Продажи!AF29*AF$19*(1+Чувствительность!$D$20)*IFERROR(LOOKUP(Предпосылки!$H$209,$C$13:$C$15,AF$13:AF$15),1)</f>
        <v>0</v>
      </c>
      <c s="125">
        <f>Предпосылки!AF$236*Предпосылки!$L264*Продажи!AG29*AG$19*(1+Чувствительность!$D$20)*IFERROR(LOOKUP(Предпосылки!$H$209,$C$13:$C$15,AG$13:AG$15),1)</f>
        <v>0</v>
      </c>
      <c s="125">
        <f>Предпосылки!AG$236*Предпосылки!$L264*Продажи!AH29*AH$19*(1+Чувствительность!$D$20)*IFERROR(LOOKUP(Предпосылки!$H$209,$C$13:$C$15,AH$13:AH$15),1)</f>
        <v>0</v>
      </c>
      <c s="125">
        <f>Предпосылки!AH$236*Предпосылки!$L264*Продажи!AI29*AI$19*(1+Чувствительность!$D$20)*IFERROR(LOOKUP(Предпосылки!$H$209,$C$13:$C$15,AI$13:AI$15),1)</f>
        <v>0</v>
      </c>
      <c s="125">
        <f>Предпосылки!AI$236*Предпосылки!$L264*Продажи!AJ29*AJ$19*(1+Чувствительность!$D$20)*IFERROR(LOOKUP(Предпосылки!$H$209,$C$13:$C$15,AJ$13:AJ$15),1)</f>
        <v>0</v>
      </c>
      <c s="125">
        <f>Предпосылки!AJ$236*Предпосылки!$L264*Продажи!AK29*AK$19*(1+Чувствительность!$D$20)*IFERROR(LOOKUP(Предпосылки!$H$209,$C$13:$C$15,AK$13:AK$15),1)</f>
        <v>0</v>
      </c>
      <c s="125">
        <f>Предпосылки!AK$236*Предпосылки!$L264*Продажи!AL29*AL$19*(1+Чувствительность!$D$20)*IFERROR(LOOKUP(Предпосылки!$H$209,$C$13:$C$15,AL$13:AL$15),1)</f>
        <v>0</v>
      </c>
      <c s="125">
        <f>Предпосылки!AL$236*Предпосылки!$L264*Продажи!AM29*AM$19*(1+Чувствительность!$D$20)*IFERROR(LOOKUP(Предпосылки!$H$209,$C$13:$C$15,AM$13:AM$15),1)</f>
        <v>0</v>
      </c>
      <c s="125">
        <f>Предпосылки!AM$236*Предпосылки!$L264*Продажи!AN29*AN$19*(1+Чувствительность!$D$20)*IFERROR(LOOKUP(Предпосылки!$H$209,$C$13:$C$15,AN$13:AN$15),1)</f>
        <v>0</v>
      </c>
      <c s="125">
        <f>Предпосылки!AN$236*Предпосылки!$L264*Продажи!AO29*AO$19*(1+Чувствительность!$D$20)*IFERROR(LOOKUP(Предпосылки!$H$209,$C$13:$C$15,AO$13:AO$15),1)</f>
        <v>0</v>
      </c>
      <c s="125">
        <f>Предпосылки!AO$236*Предпосылки!$L264*Продажи!AP29*AP$19*(1+Чувствительность!$D$20)*IFERROR(LOOKUP(Предпосылки!$H$209,$C$13:$C$15,AP$13:AP$15),1)</f>
        <v>0</v>
      </c>
      <c s="125">
        <f>Предпосылки!AP$236*Предпосылки!$L264*Продажи!AQ29*AQ$19*(1+Чувствительность!$D$20)*IFERROR(LOOKUP(Предпосылки!$H$209,$C$13:$C$15,AQ$13:AQ$15),1)</f>
        <v>0</v>
      </c>
      <c s="125">
        <f>Предпосылки!AQ$236*Предпосылки!$L264*Продажи!AR29*AR$19*(1+Чувствительность!$D$20)*IFERROR(LOOKUP(Предпосылки!$H$209,$C$13:$C$15,AR$13:AR$15),1)</f>
        <v>0</v>
      </c>
      <c s="125">
        <f>Предпосылки!AR$236*Предпосылки!$L264*Продажи!AS29*AS$19*(1+Чувствительность!$D$20)*IFERROR(LOOKUP(Предпосылки!$H$209,$C$13:$C$15,AS$13:AS$15),1)</f>
        <v>0</v>
      </c>
      <c s="125">
        <f>Предпосылки!AS$236*Предпосылки!$L264*Продажи!AT29*AT$19*(1+Чувствительность!$D$20)*IFERROR(LOOKUP(Предпосылки!$H$209,$C$13:$C$15,AT$13:AT$15),1)</f>
        <v>0</v>
      </c>
      <c s="125">
        <f>Предпосылки!AT$236*Предпосылки!$L264*Продажи!AU29*AU$19*(1+Чувствительность!$D$20)*IFERROR(LOOKUP(Предпосылки!$H$209,$C$13:$C$15,AU$13:AU$15),1)</f>
        <v>0</v>
      </c>
      <c s="125">
        <f>Предпосылки!AU$236*Предпосылки!$L264*Продажи!AV29*AV$19*(1+Чувствительность!$D$20)*IFERROR(LOOKUP(Предпосылки!$H$209,$C$13:$C$15,AV$13:AV$15),1)</f>
        <v>0</v>
      </c>
      <c s="125">
        <f>Предпосылки!AV$236*Предпосылки!$L264*Продажи!AW29*AW$19*(1+Чувствительность!$D$20)*IFERROR(LOOKUP(Предпосылки!$H$209,$C$13:$C$15,AW$13:AW$15),1)</f>
        <v>0</v>
      </c>
      <c s="125">
        <f>Предпосылки!AW$236*Предпосылки!$L264*Продажи!AX29*AX$19*(1+Чувствительность!$D$20)*IFERROR(LOOKUP(Предпосылки!$H$209,$C$13:$C$15,AX$13:AX$15),1)</f>
        <v>0</v>
      </c>
      <c s="125">
        <f>Предпосылки!AX$236*Предпосылки!$L264*Продажи!AY29*AY$19*(1+Чувствительность!$D$20)*IFERROR(LOOKUP(Предпосылки!$H$209,$C$13:$C$15,AY$13:AY$15),1)</f>
        <v>0</v>
      </c>
      <c s="125">
        <f>Предпосылки!AY$236*Предпосылки!$L264*Продажи!AZ29*AZ$19*(1+Чувствительность!$D$20)*IFERROR(LOOKUP(Предпосылки!$H$209,$C$13:$C$15,AZ$13:AZ$15),1)</f>
        <v>0</v>
      </c>
      <c s="125">
        <f>Предпосылки!AZ$236*Предпосылки!$L264*Продажи!BA29*BA$19*(1+Чувствительность!$D$20)*IFERROR(LOOKUP(Предпосылки!$H$209,$C$13:$C$15,BA$13:BA$15),1)</f>
        <v>0</v>
      </c>
      <c s="125">
        <f>Предпосылки!BA$236*Предпосылки!$L264*Продажи!BB29*BB$19*(1+Чувствительность!$D$20)*IFERROR(LOOKUP(Предпосылки!$H$209,$C$13:$C$15,BB$13:BB$15),1)</f>
        <v>0</v>
      </c>
      <c s="125">
        <f>Предпосылки!BB$236*Предпосылки!$L264*Продажи!BC29*BC$19*(1+Чувствительность!$D$20)*IFERROR(LOOKUP(Предпосылки!$H$209,$C$13:$C$15,BC$13:BC$15),1)</f>
        <v>0</v>
      </c>
      <c s="125">
        <f>Предпосылки!BC$236*Предпосылки!$L264*Продажи!BD29*BD$19*(1+Чувствительность!$D$20)*IFERROR(LOOKUP(Предпосылки!$H$209,$C$13:$C$15,BD$13:BD$15),1)</f>
        <v>0</v>
      </c>
      <c s="125">
        <f>Предпосылки!BD$236*Предпосылки!$L264*Продажи!BE29*BE$19*(1+Чувствительность!$D$20)*IFERROR(LOOKUP(Предпосылки!$H$209,$C$13:$C$15,BE$13:BE$15),1)</f>
        <v>0</v>
      </c>
      <c s="125">
        <f>Предпосылки!BE$236*Предпосылки!$L264*Продажи!BF29*BF$19*(1+Чувствительность!$D$20)*IFERROR(LOOKUP(Предпосылки!$H$209,$C$13:$C$15,BF$13:BF$15),1)</f>
        <v>0</v>
      </c>
      <c s="125">
        <f>Предпосылки!BF$236*Предпосылки!$L264*Продажи!BG29*BG$19*(1+Чувствительность!$D$20)*IFERROR(LOOKUP(Предпосылки!$H$209,$C$13:$C$15,BG$13:BG$15),1)</f>
        <v>0</v>
      </c>
      <c s="125">
        <f>Предпосылки!BG$236*Предпосылки!$L264*Продажи!BH29*BH$19*(1+Чувствительность!$D$20)*IFERROR(LOOKUP(Предпосылки!$H$209,$C$13:$C$15,BH$13:BH$15),1)</f>
        <v>0</v>
      </c>
      <c s="125">
        <f>Предпосылки!BH$236*Предпосылки!$L264*Продажи!BI29*BI$19*(1+Чувствительность!$D$20)*IFERROR(LOOKUP(Предпосылки!$H$209,$C$13:$C$15,BI$13:BI$15),1)</f>
        <v>0</v>
      </c>
      <c s="125">
        <f>Предпосылки!BI$236*Предпосылки!$L264*Продажи!BJ29*BJ$19*(1+Чувствительность!$D$20)*IFERROR(LOOKUP(Предпосылки!$H$209,$C$13:$C$15,BJ$13:BJ$15),1)</f>
        <v>0</v>
      </c>
      <c s="125">
        <f>Предпосылки!BJ$236*Предпосылки!$L264*Продажи!BK29*BK$19*(1+Чувствительность!$D$20)*IFERROR(LOOKUP(Предпосылки!$H$209,$C$13:$C$15,BK$13:BK$15),1)</f>
        <v>0</v>
      </c>
      <c s="125">
        <f>Предпосылки!BK$236*Предпосылки!$L264*Продажи!BL29*BL$19*(1+Чувствительность!$D$20)*IFERROR(LOOKUP(Предпосылки!$H$209,$C$13:$C$15,BL$13:BL$15),1)</f>
        <v>0</v>
      </c>
      <c s="125">
        <f>Предпосылки!BL$236*Предпосылки!$L264*Продажи!BM29*BM$19*(1+Чувствительность!$D$20)*IFERROR(LOOKUP(Предпосылки!$H$209,$C$13:$C$15,BM$13:BM$15),1)</f>
        <v>0</v>
      </c>
    </row>
    <row r="219" spans="2:65" ht="15" customHeight="1">
      <c r="B219" s="12" t="str">
        <f t="shared" si="101"/>
        <v>Продукт 13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Предпосылки!D$236*Предпосылки!$L265*Продажи!E30*E$19*(1+Чувствительность!$D$20)*IFERROR(LOOKUP(Предпосылки!$H$209,$C$13:$C$15,E$13:E$15),1)</f>
        <v>0</v>
      </c>
      <c s="125">
        <f>Предпосылки!E$236*Предпосылки!$L265*Продажи!F30*F$19*(1+Чувствительность!$D$20)*IFERROR(LOOKUP(Предпосылки!$H$209,$C$13:$C$15,F$13:F$15),1)</f>
        <v>0</v>
      </c>
      <c s="125">
        <f>Предпосылки!F$236*Предпосылки!$L265*Продажи!G30*G$19*(1+Чувствительность!$D$20)*IFERROR(LOOKUP(Предпосылки!$H$209,$C$13:$C$15,G$13:G$15),1)</f>
        <v>0</v>
      </c>
      <c s="125">
        <f>Предпосылки!G$236*Предпосылки!$L265*Продажи!H30*H$19*(1+Чувствительность!$D$20)*IFERROR(LOOKUP(Предпосылки!$H$209,$C$13:$C$15,H$13:H$15),1)</f>
        <v>0</v>
      </c>
      <c s="125">
        <f>Предпосылки!H$236*Предпосылки!$L265*Продажи!I30*I$19*(1+Чувствительность!$D$20)*IFERROR(LOOKUP(Предпосылки!$H$209,$C$13:$C$15,I$13:I$15),1)</f>
        <v>0</v>
      </c>
      <c s="125">
        <f>Предпосылки!I$236*Предпосылки!$L265*Продажи!J30*J$19*(1+Чувствительность!$D$20)*IFERROR(LOOKUP(Предпосылки!$H$209,$C$13:$C$15,J$13:J$15),1)</f>
        <v>0</v>
      </c>
      <c s="125">
        <f>Предпосылки!J$236*Предпосылки!$L265*Продажи!K30*K$19*(1+Чувствительность!$D$20)*IFERROR(LOOKUP(Предпосылки!$H$209,$C$13:$C$15,K$13:K$15),1)</f>
        <v>0</v>
      </c>
      <c s="125">
        <f>Предпосылки!K$236*Предпосылки!$L265*Продажи!L30*L$19*(1+Чувствительность!$D$20)*IFERROR(LOOKUP(Предпосылки!$H$209,$C$13:$C$15,L$13:L$15),1)</f>
        <v>0</v>
      </c>
      <c s="125">
        <f>Предпосылки!L$236*Предпосылки!$L265*Продажи!M30*M$19*(1+Чувствительность!$D$20)*IFERROR(LOOKUP(Предпосылки!$H$209,$C$13:$C$15,M$13:M$15),1)</f>
        <v>0</v>
      </c>
      <c s="125">
        <f>Предпосылки!M$236*Предпосылки!$L265*Продажи!N30*N$19*(1+Чувствительность!$D$20)*IFERROR(LOOKUP(Предпосылки!$H$209,$C$13:$C$15,N$13:N$15),1)</f>
        <v>0</v>
      </c>
      <c s="125">
        <f>Предпосылки!N$236*Предпосылки!$L265*Продажи!O30*O$19*(1+Чувствительность!$D$20)*IFERROR(LOOKUP(Предпосылки!$H$209,$C$13:$C$15,O$13:O$15),1)</f>
        <v>0</v>
      </c>
      <c s="125">
        <f>Предпосылки!O$236*Предпосылки!$L265*Продажи!P30*P$19*(1+Чувствительность!$D$20)*IFERROR(LOOKUP(Предпосылки!$H$209,$C$13:$C$15,P$13:P$15),1)</f>
        <v>0</v>
      </c>
      <c s="125">
        <f>Предпосылки!P$236*Предпосылки!$L265*Продажи!Q30*Q$19*(1+Чувствительность!$D$20)*IFERROR(LOOKUP(Предпосылки!$H$209,$C$13:$C$15,Q$13:Q$15),1)</f>
        <v>0</v>
      </c>
      <c s="125">
        <f>Предпосылки!Q$236*Предпосылки!$L265*Продажи!R30*R$19*(1+Чувствительность!$D$20)*IFERROR(LOOKUP(Предпосылки!$H$209,$C$13:$C$15,R$13:R$15),1)</f>
        <v>0</v>
      </c>
      <c s="125">
        <f>Предпосылки!R$236*Предпосылки!$L265*Продажи!S30*S$19*(1+Чувствительность!$D$20)*IFERROR(LOOKUP(Предпосылки!$H$209,$C$13:$C$15,S$13:S$15),1)</f>
        <v>0</v>
      </c>
      <c s="125">
        <f>Предпосылки!S$236*Предпосылки!$L265*Продажи!T30*T$19*(1+Чувствительность!$D$20)*IFERROR(LOOKUP(Предпосылки!$H$209,$C$13:$C$15,T$13:T$15),1)</f>
        <v>0</v>
      </c>
      <c s="125">
        <f>Предпосылки!T$236*Предпосылки!$L265*Продажи!U30*U$19*(1+Чувствительность!$D$20)*IFERROR(LOOKUP(Предпосылки!$H$209,$C$13:$C$15,U$13:U$15),1)</f>
        <v>0</v>
      </c>
      <c s="125">
        <f>Предпосылки!U$236*Предпосылки!$L265*Продажи!V30*V$19*(1+Чувствительность!$D$20)*IFERROR(LOOKUP(Предпосылки!$H$209,$C$13:$C$15,V$13:V$15),1)</f>
        <v>0</v>
      </c>
      <c s="125">
        <f>Предпосылки!V$236*Предпосылки!$L265*Продажи!W30*W$19*(1+Чувствительность!$D$20)*IFERROR(LOOKUP(Предпосылки!$H$209,$C$13:$C$15,W$13:W$15),1)</f>
        <v>0</v>
      </c>
      <c s="125">
        <f>Предпосылки!W$236*Предпосылки!$L265*Продажи!X30*X$19*(1+Чувствительность!$D$20)*IFERROR(LOOKUP(Предпосылки!$H$209,$C$13:$C$15,X$13:X$15),1)</f>
        <v>0</v>
      </c>
      <c s="125">
        <f>Предпосылки!X$236*Предпосылки!$L265*Продажи!Y30*Y$19*(1+Чувствительность!$D$20)*IFERROR(LOOKUP(Предпосылки!$H$209,$C$13:$C$15,Y$13:Y$15),1)</f>
        <v>0</v>
      </c>
      <c s="125">
        <f>Предпосылки!Y$236*Предпосылки!$L265*Продажи!Z30*Z$19*(1+Чувствительность!$D$20)*IFERROR(LOOKUP(Предпосылки!$H$209,$C$13:$C$15,Z$13:Z$15),1)</f>
        <v>0</v>
      </c>
      <c s="125">
        <f>Предпосылки!Z$236*Предпосылки!$L265*Продажи!AA30*AA$19*(1+Чувствительность!$D$20)*IFERROR(LOOKUP(Предпосылки!$H$209,$C$13:$C$15,AA$13:AA$15),1)</f>
        <v>0</v>
      </c>
      <c s="125">
        <f>Предпосылки!AA$236*Предпосылки!$L265*Продажи!AB30*AB$19*(1+Чувствительность!$D$20)*IFERROR(LOOKUP(Предпосылки!$H$209,$C$13:$C$15,AB$13:AB$15),1)</f>
        <v>0</v>
      </c>
      <c s="125">
        <f>Предпосылки!AB$236*Предпосылки!$L265*Продажи!AC30*AC$19*(1+Чувствительность!$D$20)*IFERROR(LOOKUP(Предпосылки!$H$209,$C$13:$C$15,AC$13:AC$15),1)</f>
        <v>0</v>
      </c>
      <c s="125">
        <f>Предпосылки!AC$236*Предпосылки!$L265*Продажи!AD30*AD$19*(1+Чувствительность!$D$20)*IFERROR(LOOKUP(Предпосылки!$H$209,$C$13:$C$15,AD$13:AD$15),1)</f>
        <v>0</v>
      </c>
      <c s="125">
        <f>Предпосылки!AD$236*Предпосылки!$L265*Продажи!AE30*AE$19*(1+Чувствительность!$D$20)*IFERROR(LOOKUP(Предпосылки!$H$209,$C$13:$C$15,AE$13:AE$15),1)</f>
        <v>0</v>
      </c>
      <c s="125">
        <f>Предпосылки!AE$236*Предпосылки!$L265*Продажи!AF30*AF$19*(1+Чувствительность!$D$20)*IFERROR(LOOKUP(Предпосылки!$H$209,$C$13:$C$15,AF$13:AF$15),1)</f>
        <v>0</v>
      </c>
      <c s="125">
        <f>Предпосылки!AF$236*Предпосылки!$L265*Продажи!AG30*AG$19*(1+Чувствительность!$D$20)*IFERROR(LOOKUP(Предпосылки!$H$209,$C$13:$C$15,AG$13:AG$15),1)</f>
        <v>0</v>
      </c>
      <c s="125">
        <f>Предпосылки!AG$236*Предпосылки!$L265*Продажи!AH30*AH$19*(1+Чувствительность!$D$20)*IFERROR(LOOKUP(Предпосылки!$H$209,$C$13:$C$15,AH$13:AH$15),1)</f>
        <v>0</v>
      </c>
      <c s="125">
        <f>Предпосылки!AH$236*Предпосылки!$L265*Продажи!AI30*AI$19*(1+Чувствительность!$D$20)*IFERROR(LOOKUP(Предпосылки!$H$209,$C$13:$C$15,AI$13:AI$15),1)</f>
        <v>0</v>
      </c>
      <c s="125">
        <f>Предпосылки!AI$236*Предпосылки!$L265*Продажи!AJ30*AJ$19*(1+Чувствительность!$D$20)*IFERROR(LOOKUP(Предпосылки!$H$209,$C$13:$C$15,AJ$13:AJ$15),1)</f>
        <v>0</v>
      </c>
      <c s="125">
        <f>Предпосылки!AJ$236*Предпосылки!$L265*Продажи!AK30*AK$19*(1+Чувствительность!$D$20)*IFERROR(LOOKUP(Предпосылки!$H$209,$C$13:$C$15,AK$13:AK$15),1)</f>
        <v>0</v>
      </c>
      <c s="125">
        <f>Предпосылки!AK$236*Предпосылки!$L265*Продажи!AL30*AL$19*(1+Чувствительность!$D$20)*IFERROR(LOOKUP(Предпосылки!$H$209,$C$13:$C$15,AL$13:AL$15),1)</f>
        <v>0</v>
      </c>
      <c s="125">
        <f>Предпосылки!AL$236*Предпосылки!$L265*Продажи!AM30*AM$19*(1+Чувствительность!$D$20)*IFERROR(LOOKUP(Предпосылки!$H$209,$C$13:$C$15,AM$13:AM$15),1)</f>
        <v>0</v>
      </c>
      <c s="125">
        <f>Предпосылки!AM$236*Предпосылки!$L265*Продажи!AN30*AN$19*(1+Чувствительность!$D$20)*IFERROR(LOOKUP(Предпосылки!$H$209,$C$13:$C$15,AN$13:AN$15),1)</f>
        <v>0</v>
      </c>
      <c s="125">
        <f>Предпосылки!AN$236*Предпосылки!$L265*Продажи!AO30*AO$19*(1+Чувствительность!$D$20)*IFERROR(LOOKUP(Предпосылки!$H$209,$C$13:$C$15,AO$13:AO$15),1)</f>
        <v>0</v>
      </c>
      <c s="125">
        <f>Предпосылки!AO$236*Предпосылки!$L265*Продажи!AP30*AP$19*(1+Чувствительность!$D$20)*IFERROR(LOOKUP(Предпосылки!$H$209,$C$13:$C$15,AP$13:AP$15),1)</f>
        <v>0</v>
      </c>
      <c s="125">
        <f>Предпосылки!AP$236*Предпосылки!$L265*Продажи!AQ30*AQ$19*(1+Чувствительность!$D$20)*IFERROR(LOOKUP(Предпосылки!$H$209,$C$13:$C$15,AQ$13:AQ$15),1)</f>
        <v>0</v>
      </c>
      <c s="125">
        <f>Предпосылки!AQ$236*Предпосылки!$L265*Продажи!AR30*AR$19*(1+Чувствительность!$D$20)*IFERROR(LOOKUP(Предпосылки!$H$209,$C$13:$C$15,AR$13:AR$15),1)</f>
        <v>0</v>
      </c>
      <c s="125">
        <f>Предпосылки!AR$236*Предпосылки!$L265*Продажи!AS30*AS$19*(1+Чувствительность!$D$20)*IFERROR(LOOKUP(Предпосылки!$H$209,$C$13:$C$15,AS$13:AS$15),1)</f>
        <v>0</v>
      </c>
      <c s="125">
        <f>Предпосылки!AS$236*Предпосылки!$L265*Продажи!AT30*AT$19*(1+Чувствительность!$D$20)*IFERROR(LOOKUP(Предпосылки!$H$209,$C$13:$C$15,AT$13:AT$15),1)</f>
        <v>0</v>
      </c>
      <c s="125">
        <f>Предпосылки!AT$236*Предпосылки!$L265*Продажи!AU30*AU$19*(1+Чувствительность!$D$20)*IFERROR(LOOKUP(Предпосылки!$H$209,$C$13:$C$15,AU$13:AU$15),1)</f>
        <v>0</v>
      </c>
      <c s="125">
        <f>Предпосылки!AU$236*Предпосылки!$L265*Продажи!AV30*AV$19*(1+Чувствительность!$D$20)*IFERROR(LOOKUP(Предпосылки!$H$209,$C$13:$C$15,AV$13:AV$15),1)</f>
        <v>0</v>
      </c>
      <c s="125">
        <f>Предпосылки!AV$236*Предпосылки!$L265*Продажи!AW30*AW$19*(1+Чувствительность!$D$20)*IFERROR(LOOKUP(Предпосылки!$H$209,$C$13:$C$15,AW$13:AW$15),1)</f>
        <v>0</v>
      </c>
      <c s="125">
        <f>Предпосылки!AW$236*Предпосылки!$L265*Продажи!AX30*AX$19*(1+Чувствительность!$D$20)*IFERROR(LOOKUP(Предпосылки!$H$209,$C$13:$C$15,AX$13:AX$15),1)</f>
        <v>0</v>
      </c>
      <c s="125">
        <f>Предпосылки!AX$236*Предпосылки!$L265*Продажи!AY30*AY$19*(1+Чувствительность!$D$20)*IFERROR(LOOKUP(Предпосылки!$H$209,$C$13:$C$15,AY$13:AY$15),1)</f>
        <v>0</v>
      </c>
      <c s="125">
        <f>Предпосылки!AY$236*Предпосылки!$L265*Продажи!AZ30*AZ$19*(1+Чувствительность!$D$20)*IFERROR(LOOKUP(Предпосылки!$H$209,$C$13:$C$15,AZ$13:AZ$15),1)</f>
        <v>0</v>
      </c>
      <c s="125">
        <f>Предпосылки!AZ$236*Предпосылки!$L265*Продажи!BA30*BA$19*(1+Чувствительность!$D$20)*IFERROR(LOOKUP(Предпосылки!$H$209,$C$13:$C$15,BA$13:BA$15),1)</f>
        <v>0</v>
      </c>
      <c s="125">
        <f>Предпосылки!BA$236*Предпосылки!$L265*Продажи!BB30*BB$19*(1+Чувствительность!$D$20)*IFERROR(LOOKUP(Предпосылки!$H$209,$C$13:$C$15,BB$13:BB$15),1)</f>
        <v>0</v>
      </c>
      <c s="125">
        <f>Предпосылки!BB$236*Предпосылки!$L265*Продажи!BC30*BC$19*(1+Чувствительность!$D$20)*IFERROR(LOOKUP(Предпосылки!$H$209,$C$13:$C$15,BC$13:BC$15),1)</f>
        <v>0</v>
      </c>
      <c s="125">
        <f>Предпосылки!BC$236*Предпосылки!$L265*Продажи!BD30*BD$19*(1+Чувствительность!$D$20)*IFERROR(LOOKUP(Предпосылки!$H$209,$C$13:$C$15,BD$13:BD$15),1)</f>
        <v>0</v>
      </c>
      <c s="125">
        <f>Предпосылки!BD$236*Предпосылки!$L265*Продажи!BE30*BE$19*(1+Чувствительность!$D$20)*IFERROR(LOOKUP(Предпосылки!$H$209,$C$13:$C$15,BE$13:BE$15),1)</f>
        <v>0</v>
      </c>
      <c s="125">
        <f>Предпосылки!BE$236*Предпосылки!$L265*Продажи!BF30*BF$19*(1+Чувствительность!$D$20)*IFERROR(LOOKUP(Предпосылки!$H$209,$C$13:$C$15,BF$13:BF$15),1)</f>
        <v>0</v>
      </c>
      <c s="125">
        <f>Предпосылки!BF$236*Предпосылки!$L265*Продажи!BG30*BG$19*(1+Чувствительность!$D$20)*IFERROR(LOOKUP(Предпосылки!$H$209,$C$13:$C$15,BG$13:BG$15),1)</f>
        <v>0</v>
      </c>
      <c s="125">
        <f>Предпосылки!BG$236*Предпосылки!$L265*Продажи!BH30*BH$19*(1+Чувствительность!$D$20)*IFERROR(LOOKUP(Предпосылки!$H$209,$C$13:$C$15,BH$13:BH$15),1)</f>
        <v>0</v>
      </c>
      <c s="125">
        <f>Предпосылки!BH$236*Предпосылки!$L265*Продажи!BI30*BI$19*(1+Чувствительность!$D$20)*IFERROR(LOOKUP(Предпосылки!$H$209,$C$13:$C$15,BI$13:BI$15),1)</f>
        <v>0</v>
      </c>
      <c s="125">
        <f>Предпосылки!BI$236*Предпосылки!$L265*Продажи!BJ30*BJ$19*(1+Чувствительность!$D$20)*IFERROR(LOOKUP(Предпосылки!$H$209,$C$13:$C$15,BJ$13:BJ$15),1)</f>
        <v>0</v>
      </c>
      <c s="125">
        <f>Предпосылки!BJ$236*Предпосылки!$L265*Продажи!BK30*BK$19*(1+Чувствительность!$D$20)*IFERROR(LOOKUP(Предпосылки!$H$209,$C$13:$C$15,BK$13:BK$15),1)</f>
        <v>0</v>
      </c>
      <c s="125">
        <f>Предпосылки!BK$236*Предпосылки!$L265*Продажи!BL30*BL$19*(1+Чувствительность!$D$20)*IFERROR(LOOKUP(Предпосылки!$H$209,$C$13:$C$15,BL$13:BL$15),1)</f>
        <v>0</v>
      </c>
      <c s="125">
        <f>Предпосылки!BL$236*Предпосылки!$L265*Продажи!BM30*BM$19*(1+Чувствительность!$D$20)*IFERROR(LOOKUP(Предпосылки!$H$209,$C$13:$C$15,BM$13:BM$15),1)</f>
        <v>0</v>
      </c>
    </row>
    <row r="220" spans="2:65" ht="15" customHeight="1">
      <c r="B220" s="12" t="str">
        <f t="shared" si="101"/>
        <v>Продукт 14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Предпосылки!D$236*Предпосылки!$L266*Продажи!E31*E$19*(1+Чувствительность!$D$20)*IFERROR(LOOKUP(Предпосылки!$H$209,$C$13:$C$15,E$13:E$15),1)</f>
        <v>0</v>
      </c>
      <c s="125">
        <f>Предпосылки!E$236*Предпосылки!$L266*Продажи!F31*F$19*(1+Чувствительность!$D$20)*IFERROR(LOOKUP(Предпосылки!$H$209,$C$13:$C$15,F$13:F$15),1)</f>
        <v>0</v>
      </c>
      <c s="125">
        <f>Предпосылки!F$236*Предпосылки!$L266*Продажи!G31*G$19*(1+Чувствительность!$D$20)*IFERROR(LOOKUP(Предпосылки!$H$209,$C$13:$C$15,G$13:G$15),1)</f>
        <v>0</v>
      </c>
      <c s="125">
        <f>Предпосылки!G$236*Предпосылки!$L266*Продажи!H31*H$19*(1+Чувствительность!$D$20)*IFERROR(LOOKUP(Предпосылки!$H$209,$C$13:$C$15,H$13:H$15),1)</f>
        <v>0</v>
      </c>
      <c s="125">
        <f>Предпосылки!H$236*Предпосылки!$L266*Продажи!I31*I$19*(1+Чувствительность!$D$20)*IFERROR(LOOKUP(Предпосылки!$H$209,$C$13:$C$15,I$13:I$15),1)</f>
        <v>0</v>
      </c>
      <c s="125">
        <f>Предпосылки!I$236*Предпосылки!$L266*Продажи!J31*J$19*(1+Чувствительность!$D$20)*IFERROR(LOOKUP(Предпосылки!$H$209,$C$13:$C$15,J$13:J$15),1)</f>
        <v>0</v>
      </c>
      <c s="125">
        <f>Предпосылки!J$236*Предпосылки!$L266*Продажи!K31*K$19*(1+Чувствительность!$D$20)*IFERROR(LOOKUP(Предпосылки!$H$209,$C$13:$C$15,K$13:K$15),1)</f>
        <v>0</v>
      </c>
      <c s="125">
        <f>Предпосылки!K$236*Предпосылки!$L266*Продажи!L31*L$19*(1+Чувствительность!$D$20)*IFERROR(LOOKUP(Предпосылки!$H$209,$C$13:$C$15,L$13:L$15),1)</f>
        <v>0</v>
      </c>
      <c s="125">
        <f>Предпосылки!L$236*Предпосылки!$L266*Продажи!M31*M$19*(1+Чувствительность!$D$20)*IFERROR(LOOKUP(Предпосылки!$H$209,$C$13:$C$15,M$13:M$15),1)</f>
        <v>0</v>
      </c>
      <c s="125">
        <f>Предпосылки!M$236*Предпосылки!$L266*Продажи!N31*N$19*(1+Чувствительность!$D$20)*IFERROR(LOOKUP(Предпосылки!$H$209,$C$13:$C$15,N$13:N$15),1)</f>
        <v>0</v>
      </c>
      <c s="125">
        <f>Предпосылки!N$236*Предпосылки!$L266*Продажи!O31*O$19*(1+Чувствительность!$D$20)*IFERROR(LOOKUP(Предпосылки!$H$209,$C$13:$C$15,O$13:O$15),1)</f>
        <v>0</v>
      </c>
      <c s="125">
        <f>Предпосылки!O$236*Предпосылки!$L266*Продажи!P31*P$19*(1+Чувствительность!$D$20)*IFERROR(LOOKUP(Предпосылки!$H$209,$C$13:$C$15,P$13:P$15),1)</f>
        <v>0</v>
      </c>
      <c s="125">
        <f>Предпосылки!P$236*Предпосылки!$L266*Продажи!Q31*Q$19*(1+Чувствительность!$D$20)*IFERROR(LOOKUP(Предпосылки!$H$209,$C$13:$C$15,Q$13:Q$15),1)</f>
        <v>0</v>
      </c>
      <c s="125">
        <f>Предпосылки!Q$236*Предпосылки!$L266*Продажи!R31*R$19*(1+Чувствительность!$D$20)*IFERROR(LOOKUP(Предпосылки!$H$209,$C$13:$C$15,R$13:R$15),1)</f>
        <v>0</v>
      </c>
      <c s="125">
        <f>Предпосылки!R$236*Предпосылки!$L266*Продажи!S31*S$19*(1+Чувствительность!$D$20)*IFERROR(LOOKUP(Предпосылки!$H$209,$C$13:$C$15,S$13:S$15),1)</f>
        <v>0</v>
      </c>
      <c s="125">
        <f>Предпосылки!S$236*Предпосылки!$L266*Продажи!T31*T$19*(1+Чувствительность!$D$20)*IFERROR(LOOKUP(Предпосылки!$H$209,$C$13:$C$15,T$13:T$15),1)</f>
        <v>0</v>
      </c>
      <c s="125">
        <f>Предпосылки!T$236*Предпосылки!$L266*Продажи!U31*U$19*(1+Чувствительность!$D$20)*IFERROR(LOOKUP(Предпосылки!$H$209,$C$13:$C$15,U$13:U$15),1)</f>
        <v>0</v>
      </c>
      <c s="125">
        <f>Предпосылки!U$236*Предпосылки!$L266*Продажи!V31*V$19*(1+Чувствительность!$D$20)*IFERROR(LOOKUP(Предпосылки!$H$209,$C$13:$C$15,V$13:V$15),1)</f>
        <v>0</v>
      </c>
      <c s="125">
        <f>Предпосылки!V$236*Предпосылки!$L266*Продажи!W31*W$19*(1+Чувствительность!$D$20)*IFERROR(LOOKUP(Предпосылки!$H$209,$C$13:$C$15,W$13:W$15),1)</f>
        <v>0</v>
      </c>
      <c s="125">
        <f>Предпосылки!W$236*Предпосылки!$L266*Продажи!X31*X$19*(1+Чувствительность!$D$20)*IFERROR(LOOKUP(Предпосылки!$H$209,$C$13:$C$15,X$13:X$15),1)</f>
        <v>0</v>
      </c>
      <c s="125">
        <f>Предпосылки!X$236*Предпосылки!$L266*Продажи!Y31*Y$19*(1+Чувствительность!$D$20)*IFERROR(LOOKUP(Предпосылки!$H$209,$C$13:$C$15,Y$13:Y$15),1)</f>
        <v>0</v>
      </c>
      <c s="125">
        <f>Предпосылки!Y$236*Предпосылки!$L266*Продажи!Z31*Z$19*(1+Чувствительность!$D$20)*IFERROR(LOOKUP(Предпосылки!$H$209,$C$13:$C$15,Z$13:Z$15),1)</f>
        <v>0</v>
      </c>
      <c s="125">
        <f>Предпосылки!Z$236*Предпосылки!$L266*Продажи!AA31*AA$19*(1+Чувствительность!$D$20)*IFERROR(LOOKUP(Предпосылки!$H$209,$C$13:$C$15,AA$13:AA$15),1)</f>
        <v>0</v>
      </c>
      <c s="125">
        <f>Предпосылки!AA$236*Предпосылки!$L266*Продажи!AB31*AB$19*(1+Чувствительность!$D$20)*IFERROR(LOOKUP(Предпосылки!$H$209,$C$13:$C$15,AB$13:AB$15),1)</f>
        <v>0</v>
      </c>
      <c s="125">
        <f>Предпосылки!AB$236*Предпосылки!$L266*Продажи!AC31*AC$19*(1+Чувствительность!$D$20)*IFERROR(LOOKUP(Предпосылки!$H$209,$C$13:$C$15,AC$13:AC$15),1)</f>
        <v>0</v>
      </c>
      <c s="125">
        <f>Предпосылки!AC$236*Предпосылки!$L266*Продажи!AD31*AD$19*(1+Чувствительность!$D$20)*IFERROR(LOOKUP(Предпосылки!$H$209,$C$13:$C$15,AD$13:AD$15),1)</f>
        <v>0</v>
      </c>
      <c s="125">
        <f>Предпосылки!AD$236*Предпосылки!$L266*Продажи!AE31*AE$19*(1+Чувствительность!$D$20)*IFERROR(LOOKUP(Предпосылки!$H$209,$C$13:$C$15,AE$13:AE$15),1)</f>
        <v>0</v>
      </c>
      <c s="125">
        <f>Предпосылки!AE$236*Предпосылки!$L266*Продажи!AF31*AF$19*(1+Чувствительность!$D$20)*IFERROR(LOOKUP(Предпосылки!$H$209,$C$13:$C$15,AF$13:AF$15),1)</f>
        <v>0</v>
      </c>
      <c s="125">
        <f>Предпосылки!AF$236*Предпосылки!$L266*Продажи!AG31*AG$19*(1+Чувствительность!$D$20)*IFERROR(LOOKUP(Предпосылки!$H$209,$C$13:$C$15,AG$13:AG$15),1)</f>
        <v>0</v>
      </c>
      <c s="125">
        <f>Предпосылки!AG$236*Предпосылки!$L266*Продажи!AH31*AH$19*(1+Чувствительность!$D$20)*IFERROR(LOOKUP(Предпосылки!$H$209,$C$13:$C$15,AH$13:AH$15),1)</f>
        <v>0</v>
      </c>
      <c s="125">
        <f>Предпосылки!AH$236*Предпосылки!$L266*Продажи!AI31*AI$19*(1+Чувствительность!$D$20)*IFERROR(LOOKUP(Предпосылки!$H$209,$C$13:$C$15,AI$13:AI$15),1)</f>
        <v>0</v>
      </c>
      <c s="125">
        <f>Предпосылки!AI$236*Предпосылки!$L266*Продажи!AJ31*AJ$19*(1+Чувствительность!$D$20)*IFERROR(LOOKUP(Предпосылки!$H$209,$C$13:$C$15,AJ$13:AJ$15),1)</f>
        <v>0</v>
      </c>
      <c s="125">
        <f>Предпосылки!AJ$236*Предпосылки!$L266*Продажи!AK31*AK$19*(1+Чувствительность!$D$20)*IFERROR(LOOKUP(Предпосылки!$H$209,$C$13:$C$15,AK$13:AK$15),1)</f>
        <v>0</v>
      </c>
      <c s="125">
        <f>Предпосылки!AK$236*Предпосылки!$L266*Продажи!AL31*AL$19*(1+Чувствительность!$D$20)*IFERROR(LOOKUP(Предпосылки!$H$209,$C$13:$C$15,AL$13:AL$15),1)</f>
        <v>0</v>
      </c>
      <c s="125">
        <f>Предпосылки!AL$236*Предпосылки!$L266*Продажи!AM31*AM$19*(1+Чувствительность!$D$20)*IFERROR(LOOKUP(Предпосылки!$H$209,$C$13:$C$15,AM$13:AM$15),1)</f>
        <v>0</v>
      </c>
      <c s="125">
        <f>Предпосылки!AM$236*Предпосылки!$L266*Продажи!AN31*AN$19*(1+Чувствительность!$D$20)*IFERROR(LOOKUP(Предпосылки!$H$209,$C$13:$C$15,AN$13:AN$15),1)</f>
        <v>0</v>
      </c>
      <c s="125">
        <f>Предпосылки!AN$236*Предпосылки!$L266*Продажи!AO31*AO$19*(1+Чувствительность!$D$20)*IFERROR(LOOKUP(Предпосылки!$H$209,$C$13:$C$15,AO$13:AO$15),1)</f>
        <v>0</v>
      </c>
      <c s="125">
        <f>Предпосылки!AO$236*Предпосылки!$L266*Продажи!AP31*AP$19*(1+Чувствительность!$D$20)*IFERROR(LOOKUP(Предпосылки!$H$209,$C$13:$C$15,AP$13:AP$15),1)</f>
        <v>0</v>
      </c>
      <c s="125">
        <f>Предпосылки!AP$236*Предпосылки!$L266*Продажи!AQ31*AQ$19*(1+Чувствительность!$D$20)*IFERROR(LOOKUP(Предпосылки!$H$209,$C$13:$C$15,AQ$13:AQ$15),1)</f>
        <v>0</v>
      </c>
      <c s="125">
        <f>Предпосылки!AQ$236*Предпосылки!$L266*Продажи!AR31*AR$19*(1+Чувствительность!$D$20)*IFERROR(LOOKUP(Предпосылки!$H$209,$C$13:$C$15,AR$13:AR$15),1)</f>
        <v>0</v>
      </c>
      <c s="125">
        <f>Предпосылки!AR$236*Предпосылки!$L266*Продажи!AS31*AS$19*(1+Чувствительность!$D$20)*IFERROR(LOOKUP(Предпосылки!$H$209,$C$13:$C$15,AS$13:AS$15),1)</f>
        <v>0</v>
      </c>
      <c s="125">
        <f>Предпосылки!AS$236*Предпосылки!$L266*Продажи!AT31*AT$19*(1+Чувствительность!$D$20)*IFERROR(LOOKUP(Предпосылки!$H$209,$C$13:$C$15,AT$13:AT$15),1)</f>
        <v>0</v>
      </c>
      <c s="125">
        <f>Предпосылки!AT$236*Предпосылки!$L266*Продажи!AU31*AU$19*(1+Чувствительность!$D$20)*IFERROR(LOOKUP(Предпосылки!$H$209,$C$13:$C$15,AU$13:AU$15),1)</f>
        <v>0</v>
      </c>
      <c s="125">
        <f>Предпосылки!AU$236*Предпосылки!$L266*Продажи!AV31*AV$19*(1+Чувствительность!$D$20)*IFERROR(LOOKUP(Предпосылки!$H$209,$C$13:$C$15,AV$13:AV$15),1)</f>
        <v>0</v>
      </c>
      <c s="125">
        <f>Предпосылки!AV$236*Предпосылки!$L266*Продажи!AW31*AW$19*(1+Чувствительность!$D$20)*IFERROR(LOOKUP(Предпосылки!$H$209,$C$13:$C$15,AW$13:AW$15),1)</f>
        <v>0</v>
      </c>
      <c s="125">
        <f>Предпосылки!AW$236*Предпосылки!$L266*Продажи!AX31*AX$19*(1+Чувствительность!$D$20)*IFERROR(LOOKUP(Предпосылки!$H$209,$C$13:$C$15,AX$13:AX$15),1)</f>
        <v>0</v>
      </c>
      <c s="125">
        <f>Предпосылки!AX$236*Предпосылки!$L266*Продажи!AY31*AY$19*(1+Чувствительность!$D$20)*IFERROR(LOOKUP(Предпосылки!$H$209,$C$13:$C$15,AY$13:AY$15),1)</f>
        <v>0</v>
      </c>
      <c s="125">
        <f>Предпосылки!AY$236*Предпосылки!$L266*Продажи!AZ31*AZ$19*(1+Чувствительность!$D$20)*IFERROR(LOOKUP(Предпосылки!$H$209,$C$13:$C$15,AZ$13:AZ$15),1)</f>
        <v>0</v>
      </c>
      <c s="125">
        <f>Предпосылки!AZ$236*Предпосылки!$L266*Продажи!BA31*BA$19*(1+Чувствительность!$D$20)*IFERROR(LOOKUP(Предпосылки!$H$209,$C$13:$C$15,BA$13:BA$15),1)</f>
        <v>0</v>
      </c>
      <c s="125">
        <f>Предпосылки!BA$236*Предпосылки!$L266*Продажи!BB31*BB$19*(1+Чувствительность!$D$20)*IFERROR(LOOKUP(Предпосылки!$H$209,$C$13:$C$15,BB$13:BB$15),1)</f>
        <v>0</v>
      </c>
      <c s="125">
        <f>Предпосылки!BB$236*Предпосылки!$L266*Продажи!BC31*BC$19*(1+Чувствительность!$D$20)*IFERROR(LOOKUP(Предпосылки!$H$209,$C$13:$C$15,BC$13:BC$15),1)</f>
        <v>0</v>
      </c>
      <c s="125">
        <f>Предпосылки!BC$236*Предпосылки!$L266*Продажи!BD31*BD$19*(1+Чувствительность!$D$20)*IFERROR(LOOKUP(Предпосылки!$H$209,$C$13:$C$15,BD$13:BD$15),1)</f>
        <v>0</v>
      </c>
      <c s="125">
        <f>Предпосылки!BD$236*Предпосылки!$L266*Продажи!BE31*BE$19*(1+Чувствительность!$D$20)*IFERROR(LOOKUP(Предпосылки!$H$209,$C$13:$C$15,BE$13:BE$15),1)</f>
        <v>0</v>
      </c>
      <c s="125">
        <f>Предпосылки!BE$236*Предпосылки!$L266*Продажи!BF31*BF$19*(1+Чувствительность!$D$20)*IFERROR(LOOKUP(Предпосылки!$H$209,$C$13:$C$15,BF$13:BF$15),1)</f>
        <v>0</v>
      </c>
      <c s="125">
        <f>Предпосылки!BF$236*Предпосылки!$L266*Продажи!BG31*BG$19*(1+Чувствительность!$D$20)*IFERROR(LOOKUP(Предпосылки!$H$209,$C$13:$C$15,BG$13:BG$15),1)</f>
        <v>0</v>
      </c>
      <c s="125">
        <f>Предпосылки!BG$236*Предпосылки!$L266*Продажи!BH31*BH$19*(1+Чувствительность!$D$20)*IFERROR(LOOKUP(Предпосылки!$H$209,$C$13:$C$15,BH$13:BH$15),1)</f>
        <v>0</v>
      </c>
      <c s="125">
        <f>Предпосылки!BH$236*Предпосылки!$L266*Продажи!BI31*BI$19*(1+Чувствительность!$D$20)*IFERROR(LOOKUP(Предпосылки!$H$209,$C$13:$C$15,BI$13:BI$15),1)</f>
        <v>0</v>
      </c>
      <c s="125">
        <f>Предпосылки!BI$236*Предпосылки!$L266*Продажи!BJ31*BJ$19*(1+Чувствительность!$D$20)*IFERROR(LOOKUP(Предпосылки!$H$209,$C$13:$C$15,BJ$13:BJ$15),1)</f>
        <v>0</v>
      </c>
      <c s="125">
        <f>Предпосылки!BJ$236*Предпосылки!$L266*Продажи!BK31*BK$19*(1+Чувствительность!$D$20)*IFERROR(LOOKUP(Предпосылки!$H$209,$C$13:$C$15,BK$13:BK$15),1)</f>
        <v>0</v>
      </c>
      <c s="125">
        <f>Предпосылки!BK$236*Предпосылки!$L266*Продажи!BL31*BL$19*(1+Чувствительность!$D$20)*IFERROR(LOOKUP(Предпосылки!$H$209,$C$13:$C$15,BL$13:BL$15),1)</f>
        <v>0</v>
      </c>
      <c s="125">
        <f>Предпосылки!BL$236*Предпосылки!$L266*Продажи!BM31*BM$19*(1+Чувствительность!$D$20)*IFERROR(LOOKUP(Предпосылки!$H$209,$C$13:$C$15,BM$13:BM$15),1)</f>
        <v>0</v>
      </c>
    </row>
    <row r="221" spans="2:65" ht="15" customHeight="1">
      <c r="B221" s="12" t="str">
        <f t="shared" si="101"/>
        <v>Продукт 15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Предпосылки!D$236*Предпосылки!$L267*Продажи!E32*E$19*(1+Чувствительность!$D$20)*IFERROR(LOOKUP(Предпосылки!$H$209,$C$13:$C$15,E$13:E$15),1)</f>
        <v>0</v>
      </c>
      <c s="125">
        <f>Предпосылки!E$236*Предпосылки!$L267*Продажи!F32*F$19*(1+Чувствительность!$D$20)*IFERROR(LOOKUP(Предпосылки!$H$209,$C$13:$C$15,F$13:F$15),1)</f>
        <v>0</v>
      </c>
      <c s="125">
        <f>Предпосылки!F$236*Предпосылки!$L267*Продажи!G32*G$19*(1+Чувствительность!$D$20)*IFERROR(LOOKUP(Предпосылки!$H$209,$C$13:$C$15,G$13:G$15),1)</f>
        <v>0</v>
      </c>
      <c s="125">
        <f>Предпосылки!G$236*Предпосылки!$L267*Продажи!H32*H$19*(1+Чувствительность!$D$20)*IFERROR(LOOKUP(Предпосылки!$H$209,$C$13:$C$15,H$13:H$15),1)</f>
        <v>0</v>
      </c>
      <c s="125">
        <f>Предпосылки!H$236*Предпосылки!$L267*Продажи!I32*I$19*(1+Чувствительность!$D$20)*IFERROR(LOOKUP(Предпосылки!$H$209,$C$13:$C$15,I$13:I$15),1)</f>
        <v>0</v>
      </c>
      <c s="125">
        <f>Предпосылки!I$236*Предпосылки!$L267*Продажи!J32*J$19*(1+Чувствительность!$D$20)*IFERROR(LOOKUP(Предпосылки!$H$209,$C$13:$C$15,J$13:J$15),1)</f>
        <v>0</v>
      </c>
      <c s="125">
        <f>Предпосылки!J$236*Предпосылки!$L267*Продажи!K32*K$19*(1+Чувствительность!$D$20)*IFERROR(LOOKUP(Предпосылки!$H$209,$C$13:$C$15,K$13:K$15),1)</f>
        <v>0</v>
      </c>
      <c s="125">
        <f>Предпосылки!K$236*Предпосылки!$L267*Продажи!L32*L$19*(1+Чувствительность!$D$20)*IFERROR(LOOKUP(Предпосылки!$H$209,$C$13:$C$15,L$13:L$15),1)</f>
        <v>0</v>
      </c>
      <c s="125">
        <f>Предпосылки!L$236*Предпосылки!$L267*Продажи!M32*M$19*(1+Чувствительность!$D$20)*IFERROR(LOOKUP(Предпосылки!$H$209,$C$13:$C$15,M$13:M$15),1)</f>
        <v>0</v>
      </c>
      <c s="125">
        <f>Предпосылки!M$236*Предпосылки!$L267*Продажи!N32*N$19*(1+Чувствительность!$D$20)*IFERROR(LOOKUP(Предпосылки!$H$209,$C$13:$C$15,N$13:N$15),1)</f>
        <v>0</v>
      </c>
      <c s="125">
        <f>Предпосылки!N$236*Предпосылки!$L267*Продажи!O32*O$19*(1+Чувствительность!$D$20)*IFERROR(LOOKUP(Предпосылки!$H$209,$C$13:$C$15,O$13:O$15),1)</f>
        <v>0</v>
      </c>
      <c s="125">
        <f>Предпосылки!O$236*Предпосылки!$L267*Продажи!P32*P$19*(1+Чувствительность!$D$20)*IFERROR(LOOKUP(Предпосылки!$H$209,$C$13:$C$15,P$13:P$15),1)</f>
        <v>0</v>
      </c>
      <c s="125">
        <f>Предпосылки!P$236*Предпосылки!$L267*Продажи!Q32*Q$19*(1+Чувствительность!$D$20)*IFERROR(LOOKUP(Предпосылки!$H$209,$C$13:$C$15,Q$13:Q$15),1)</f>
        <v>0</v>
      </c>
      <c s="125">
        <f>Предпосылки!Q$236*Предпосылки!$L267*Продажи!R32*R$19*(1+Чувствительность!$D$20)*IFERROR(LOOKUP(Предпосылки!$H$209,$C$13:$C$15,R$13:R$15),1)</f>
        <v>0</v>
      </c>
      <c s="125">
        <f>Предпосылки!R$236*Предпосылки!$L267*Продажи!S32*S$19*(1+Чувствительность!$D$20)*IFERROR(LOOKUP(Предпосылки!$H$209,$C$13:$C$15,S$13:S$15),1)</f>
        <v>0</v>
      </c>
      <c s="125">
        <f>Предпосылки!S$236*Предпосылки!$L267*Продажи!T32*T$19*(1+Чувствительность!$D$20)*IFERROR(LOOKUP(Предпосылки!$H$209,$C$13:$C$15,T$13:T$15),1)</f>
        <v>0</v>
      </c>
      <c s="125">
        <f>Предпосылки!T$236*Предпосылки!$L267*Продажи!U32*U$19*(1+Чувствительность!$D$20)*IFERROR(LOOKUP(Предпосылки!$H$209,$C$13:$C$15,U$13:U$15),1)</f>
        <v>0</v>
      </c>
      <c s="125">
        <f>Предпосылки!U$236*Предпосылки!$L267*Продажи!V32*V$19*(1+Чувствительность!$D$20)*IFERROR(LOOKUP(Предпосылки!$H$209,$C$13:$C$15,V$13:V$15),1)</f>
        <v>0</v>
      </c>
      <c s="125">
        <f>Предпосылки!V$236*Предпосылки!$L267*Продажи!W32*W$19*(1+Чувствительность!$D$20)*IFERROR(LOOKUP(Предпосылки!$H$209,$C$13:$C$15,W$13:W$15),1)</f>
        <v>0</v>
      </c>
      <c s="125">
        <f>Предпосылки!W$236*Предпосылки!$L267*Продажи!X32*X$19*(1+Чувствительность!$D$20)*IFERROR(LOOKUP(Предпосылки!$H$209,$C$13:$C$15,X$13:X$15),1)</f>
        <v>0</v>
      </c>
      <c s="125">
        <f>Предпосылки!X$236*Предпосылки!$L267*Продажи!Y32*Y$19*(1+Чувствительность!$D$20)*IFERROR(LOOKUP(Предпосылки!$H$209,$C$13:$C$15,Y$13:Y$15),1)</f>
        <v>0</v>
      </c>
      <c s="125">
        <f>Предпосылки!Y$236*Предпосылки!$L267*Продажи!Z32*Z$19*(1+Чувствительность!$D$20)*IFERROR(LOOKUP(Предпосылки!$H$209,$C$13:$C$15,Z$13:Z$15),1)</f>
        <v>0</v>
      </c>
      <c s="125">
        <f>Предпосылки!Z$236*Предпосылки!$L267*Продажи!AA32*AA$19*(1+Чувствительность!$D$20)*IFERROR(LOOKUP(Предпосылки!$H$209,$C$13:$C$15,AA$13:AA$15),1)</f>
        <v>0</v>
      </c>
      <c s="125">
        <f>Предпосылки!AA$236*Предпосылки!$L267*Продажи!AB32*AB$19*(1+Чувствительность!$D$20)*IFERROR(LOOKUP(Предпосылки!$H$209,$C$13:$C$15,AB$13:AB$15),1)</f>
        <v>0</v>
      </c>
      <c s="125">
        <f>Предпосылки!AB$236*Предпосылки!$L267*Продажи!AC32*AC$19*(1+Чувствительность!$D$20)*IFERROR(LOOKUP(Предпосылки!$H$209,$C$13:$C$15,AC$13:AC$15),1)</f>
        <v>0</v>
      </c>
      <c s="125">
        <f>Предпосылки!AC$236*Предпосылки!$L267*Продажи!AD32*AD$19*(1+Чувствительность!$D$20)*IFERROR(LOOKUP(Предпосылки!$H$209,$C$13:$C$15,AD$13:AD$15),1)</f>
        <v>0</v>
      </c>
      <c s="125">
        <f>Предпосылки!AD$236*Предпосылки!$L267*Продажи!AE32*AE$19*(1+Чувствительность!$D$20)*IFERROR(LOOKUP(Предпосылки!$H$209,$C$13:$C$15,AE$13:AE$15),1)</f>
        <v>0</v>
      </c>
      <c s="125">
        <f>Предпосылки!AE$236*Предпосылки!$L267*Продажи!AF32*AF$19*(1+Чувствительность!$D$20)*IFERROR(LOOKUP(Предпосылки!$H$209,$C$13:$C$15,AF$13:AF$15),1)</f>
        <v>0</v>
      </c>
      <c s="125">
        <f>Предпосылки!AF$236*Предпосылки!$L267*Продажи!AG32*AG$19*(1+Чувствительность!$D$20)*IFERROR(LOOKUP(Предпосылки!$H$209,$C$13:$C$15,AG$13:AG$15),1)</f>
        <v>0</v>
      </c>
      <c s="125">
        <f>Предпосылки!AG$236*Предпосылки!$L267*Продажи!AH32*AH$19*(1+Чувствительность!$D$20)*IFERROR(LOOKUP(Предпосылки!$H$209,$C$13:$C$15,AH$13:AH$15),1)</f>
        <v>0</v>
      </c>
      <c s="125">
        <f>Предпосылки!AH$236*Предпосылки!$L267*Продажи!AI32*AI$19*(1+Чувствительность!$D$20)*IFERROR(LOOKUP(Предпосылки!$H$209,$C$13:$C$15,AI$13:AI$15),1)</f>
        <v>0</v>
      </c>
      <c s="125">
        <f>Предпосылки!AI$236*Предпосылки!$L267*Продажи!AJ32*AJ$19*(1+Чувствительность!$D$20)*IFERROR(LOOKUP(Предпосылки!$H$209,$C$13:$C$15,AJ$13:AJ$15),1)</f>
        <v>0</v>
      </c>
      <c s="125">
        <f>Предпосылки!AJ$236*Предпосылки!$L267*Продажи!AK32*AK$19*(1+Чувствительность!$D$20)*IFERROR(LOOKUP(Предпосылки!$H$209,$C$13:$C$15,AK$13:AK$15),1)</f>
        <v>0</v>
      </c>
      <c s="125">
        <f>Предпосылки!AK$236*Предпосылки!$L267*Продажи!AL32*AL$19*(1+Чувствительность!$D$20)*IFERROR(LOOKUP(Предпосылки!$H$209,$C$13:$C$15,AL$13:AL$15),1)</f>
        <v>0</v>
      </c>
      <c s="125">
        <f>Предпосылки!AL$236*Предпосылки!$L267*Продажи!AM32*AM$19*(1+Чувствительность!$D$20)*IFERROR(LOOKUP(Предпосылки!$H$209,$C$13:$C$15,AM$13:AM$15),1)</f>
        <v>0</v>
      </c>
      <c s="125">
        <f>Предпосылки!AM$236*Предпосылки!$L267*Продажи!AN32*AN$19*(1+Чувствительность!$D$20)*IFERROR(LOOKUP(Предпосылки!$H$209,$C$13:$C$15,AN$13:AN$15),1)</f>
        <v>0</v>
      </c>
      <c s="125">
        <f>Предпосылки!AN$236*Предпосылки!$L267*Продажи!AO32*AO$19*(1+Чувствительность!$D$20)*IFERROR(LOOKUP(Предпосылки!$H$209,$C$13:$C$15,AO$13:AO$15),1)</f>
        <v>0</v>
      </c>
      <c s="125">
        <f>Предпосылки!AO$236*Предпосылки!$L267*Продажи!AP32*AP$19*(1+Чувствительность!$D$20)*IFERROR(LOOKUP(Предпосылки!$H$209,$C$13:$C$15,AP$13:AP$15),1)</f>
        <v>0</v>
      </c>
      <c s="125">
        <f>Предпосылки!AP$236*Предпосылки!$L267*Продажи!AQ32*AQ$19*(1+Чувствительность!$D$20)*IFERROR(LOOKUP(Предпосылки!$H$209,$C$13:$C$15,AQ$13:AQ$15),1)</f>
        <v>0</v>
      </c>
      <c s="125">
        <f>Предпосылки!AQ$236*Предпосылки!$L267*Продажи!AR32*AR$19*(1+Чувствительность!$D$20)*IFERROR(LOOKUP(Предпосылки!$H$209,$C$13:$C$15,AR$13:AR$15),1)</f>
        <v>0</v>
      </c>
      <c s="125">
        <f>Предпосылки!AR$236*Предпосылки!$L267*Продажи!AS32*AS$19*(1+Чувствительность!$D$20)*IFERROR(LOOKUP(Предпосылки!$H$209,$C$13:$C$15,AS$13:AS$15),1)</f>
        <v>0</v>
      </c>
      <c s="125">
        <f>Предпосылки!AS$236*Предпосылки!$L267*Продажи!AT32*AT$19*(1+Чувствительность!$D$20)*IFERROR(LOOKUP(Предпосылки!$H$209,$C$13:$C$15,AT$13:AT$15),1)</f>
        <v>0</v>
      </c>
      <c s="125">
        <f>Предпосылки!AT$236*Предпосылки!$L267*Продажи!AU32*AU$19*(1+Чувствительность!$D$20)*IFERROR(LOOKUP(Предпосылки!$H$209,$C$13:$C$15,AU$13:AU$15),1)</f>
        <v>0</v>
      </c>
      <c s="125">
        <f>Предпосылки!AU$236*Предпосылки!$L267*Продажи!AV32*AV$19*(1+Чувствительность!$D$20)*IFERROR(LOOKUP(Предпосылки!$H$209,$C$13:$C$15,AV$13:AV$15),1)</f>
        <v>0</v>
      </c>
      <c s="125">
        <f>Предпосылки!AV$236*Предпосылки!$L267*Продажи!AW32*AW$19*(1+Чувствительность!$D$20)*IFERROR(LOOKUP(Предпосылки!$H$209,$C$13:$C$15,AW$13:AW$15),1)</f>
        <v>0</v>
      </c>
      <c s="125">
        <f>Предпосылки!AW$236*Предпосылки!$L267*Продажи!AX32*AX$19*(1+Чувствительность!$D$20)*IFERROR(LOOKUP(Предпосылки!$H$209,$C$13:$C$15,AX$13:AX$15),1)</f>
        <v>0</v>
      </c>
      <c s="125">
        <f>Предпосылки!AX$236*Предпосылки!$L267*Продажи!AY32*AY$19*(1+Чувствительность!$D$20)*IFERROR(LOOKUP(Предпосылки!$H$209,$C$13:$C$15,AY$13:AY$15),1)</f>
        <v>0</v>
      </c>
      <c s="125">
        <f>Предпосылки!AY$236*Предпосылки!$L267*Продажи!AZ32*AZ$19*(1+Чувствительность!$D$20)*IFERROR(LOOKUP(Предпосылки!$H$209,$C$13:$C$15,AZ$13:AZ$15),1)</f>
        <v>0</v>
      </c>
      <c s="125">
        <f>Предпосылки!AZ$236*Предпосылки!$L267*Продажи!BA32*BA$19*(1+Чувствительность!$D$20)*IFERROR(LOOKUP(Предпосылки!$H$209,$C$13:$C$15,BA$13:BA$15),1)</f>
        <v>0</v>
      </c>
      <c s="125">
        <f>Предпосылки!BA$236*Предпосылки!$L267*Продажи!BB32*BB$19*(1+Чувствительность!$D$20)*IFERROR(LOOKUP(Предпосылки!$H$209,$C$13:$C$15,BB$13:BB$15),1)</f>
        <v>0</v>
      </c>
      <c s="125">
        <f>Предпосылки!BB$236*Предпосылки!$L267*Продажи!BC32*BC$19*(1+Чувствительность!$D$20)*IFERROR(LOOKUP(Предпосылки!$H$209,$C$13:$C$15,BC$13:BC$15),1)</f>
        <v>0</v>
      </c>
      <c s="125">
        <f>Предпосылки!BC$236*Предпосылки!$L267*Продажи!BD32*BD$19*(1+Чувствительность!$D$20)*IFERROR(LOOKUP(Предпосылки!$H$209,$C$13:$C$15,BD$13:BD$15),1)</f>
        <v>0</v>
      </c>
      <c s="125">
        <f>Предпосылки!BD$236*Предпосылки!$L267*Продажи!BE32*BE$19*(1+Чувствительность!$D$20)*IFERROR(LOOKUP(Предпосылки!$H$209,$C$13:$C$15,BE$13:BE$15),1)</f>
        <v>0</v>
      </c>
      <c s="125">
        <f>Предпосылки!BE$236*Предпосылки!$L267*Продажи!BF32*BF$19*(1+Чувствительность!$D$20)*IFERROR(LOOKUP(Предпосылки!$H$209,$C$13:$C$15,BF$13:BF$15),1)</f>
        <v>0</v>
      </c>
      <c s="125">
        <f>Предпосылки!BF$236*Предпосылки!$L267*Продажи!BG32*BG$19*(1+Чувствительность!$D$20)*IFERROR(LOOKUP(Предпосылки!$H$209,$C$13:$C$15,BG$13:BG$15),1)</f>
        <v>0</v>
      </c>
      <c s="125">
        <f>Предпосылки!BG$236*Предпосылки!$L267*Продажи!BH32*BH$19*(1+Чувствительность!$D$20)*IFERROR(LOOKUP(Предпосылки!$H$209,$C$13:$C$15,BH$13:BH$15),1)</f>
        <v>0</v>
      </c>
      <c s="125">
        <f>Предпосылки!BH$236*Предпосылки!$L267*Продажи!BI32*BI$19*(1+Чувствительность!$D$20)*IFERROR(LOOKUP(Предпосылки!$H$209,$C$13:$C$15,BI$13:BI$15),1)</f>
        <v>0</v>
      </c>
      <c s="125">
        <f>Предпосылки!BI$236*Предпосылки!$L267*Продажи!BJ32*BJ$19*(1+Чувствительность!$D$20)*IFERROR(LOOKUP(Предпосылки!$H$209,$C$13:$C$15,BJ$13:BJ$15),1)</f>
        <v>0</v>
      </c>
      <c s="125">
        <f>Предпосылки!BJ$236*Предпосылки!$L267*Продажи!BK32*BK$19*(1+Чувствительность!$D$20)*IFERROR(LOOKUP(Предпосылки!$H$209,$C$13:$C$15,BK$13:BK$15),1)</f>
        <v>0</v>
      </c>
      <c s="125">
        <f>Предпосылки!BK$236*Предпосылки!$L267*Продажи!BL32*BL$19*(1+Чувствительность!$D$20)*IFERROR(LOOKUP(Предпосылки!$H$209,$C$13:$C$15,BL$13:BL$15),1)</f>
        <v>0</v>
      </c>
      <c s="125">
        <f>Предпосылки!BL$236*Предпосылки!$L267*Продажи!BM32*BM$19*(1+Чувствительность!$D$20)*IFERROR(LOOKUP(Предпосылки!$H$209,$C$13:$C$15,BM$13:BM$15),1)</f>
        <v>0</v>
      </c>
    </row>
    <row r="222" spans="2:65" ht="15" customHeight="1">
      <c r="B222" s="12" t="str">
        <f t="shared" si="101"/>
        <v>Продукт 16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Предпосылки!D$236*Предпосылки!$L268*Продажи!E33*E$19*(1+Чувствительность!$D$20)*IFERROR(LOOKUP(Предпосылки!$H$209,$C$13:$C$15,E$13:E$15),1)</f>
        <v>0</v>
      </c>
      <c s="125">
        <f>Предпосылки!E$236*Предпосылки!$L268*Продажи!F33*F$19*(1+Чувствительность!$D$20)*IFERROR(LOOKUP(Предпосылки!$H$209,$C$13:$C$15,F$13:F$15),1)</f>
        <v>0</v>
      </c>
      <c s="125">
        <f>Предпосылки!F$236*Предпосылки!$L268*Продажи!G33*G$19*(1+Чувствительность!$D$20)*IFERROR(LOOKUP(Предпосылки!$H$209,$C$13:$C$15,G$13:G$15),1)</f>
        <v>0</v>
      </c>
      <c s="125">
        <f>Предпосылки!G$236*Предпосылки!$L268*Продажи!H33*H$19*(1+Чувствительность!$D$20)*IFERROR(LOOKUP(Предпосылки!$H$209,$C$13:$C$15,H$13:H$15),1)</f>
        <v>0</v>
      </c>
      <c s="125">
        <f>Предпосылки!H$236*Предпосылки!$L268*Продажи!I33*I$19*(1+Чувствительность!$D$20)*IFERROR(LOOKUP(Предпосылки!$H$209,$C$13:$C$15,I$13:I$15),1)</f>
        <v>0</v>
      </c>
      <c s="125">
        <f>Предпосылки!I$236*Предпосылки!$L268*Продажи!J33*J$19*(1+Чувствительность!$D$20)*IFERROR(LOOKUP(Предпосылки!$H$209,$C$13:$C$15,J$13:J$15),1)</f>
        <v>0</v>
      </c>
      <c s="125">
        <f>Предпосылки!J$236*Предпосылки!$L268*Продажи!K33*K$19*(1+Чувствительность!$D$20)*IFERROR(LOOKUP(Предпосылки!$H$209,$C$13:$C$15,K$13:K$15),1)</f>
        <v>0</v>
      </c>
      <c s="125">
        <f>Предпосылки!K$236*Предпосылки!$L268*Продажи!L33*L$19*(1+Чувствительность!$D$20)*IFERROR(LOOKUP(Предпосылки!$H$209,$C$13:$C$15,L$13:L$15),1)</f>
        <v>0</v>
      </c>
      <c s="125">
        <f>Предпосылки!L$236*Предпосылки!$L268*Продажи!M33*M$19*(1+Чувствительность!$D$20)*IFERROR(LOOKUP(Предпосылки!$H$209,$C$13:$C$15,M$13:M$15),1)</f>
        <v>0</v>
      </c>
      <c s="125">
        <f>Предпосылки!M$236*Предпосылки!$L268*Продажи!N33*N$19*(1+Чувствительность!$D$20)*IFERROR(LOOKUP(Предпосылки!$H$209,$C$13:$C$15,N$13:N$15),1)</f>
        <v>0</v>
      </c>
      <c s="125">
        <f>Предпосылки!N$236*Предпосылки!$L268*Продажи!O33*O$19*(1+Чувствительность!$D$20)*IFERROR(LOOKUP(Предпосылки!$H$209,$C$13:$C$15,O$13:O$15),1)</f>
        <v>0</v>
      </c>
      <c s="125">
        <f>Предпосылки!O$236*Предпосылки!$L268*Продажи!P33*P$19*(1+Чувствительность!$D$20)*IFERROR(LOOKUP(Предпосылки!$H$209,$C$13:$C$15,P$13:P$15),1)</f>
        <v>0</v>
      </c>
      <c s="125">
        <f>Предпосылки!P$236*Предпосылки!$L268*Продажи!Q33*Q$19*(1+Чувствительность!$D$20)*IFERROR(LOOKUP(Предпосылки!$H$209,$C$13:$C$15,Q$13:Q$15),1)</f>
        <v>0</v>
      </c>
      <c s="125">
        <f>Предпосылки!Q$236*Предпосылки!$L268*Продажи!R33*R$19*(1+Чувствительность!$D$20)*IFERROR(LOOKUP(Предпосылки!$H$209,$C$13:$C$15,R$13:R$15),1)</f>
        <v>0</v>
      </c>
      <c s="125">
        <f>Предпосылки!R$236*Предпосылки!$L268*Продажи!S33*S$19*(1+Чувствительность!$D$20)*IFERROR(LOOKUP(Предпосылки!$H$209,$C$13:$C$15,S$13:S$15),1)</f>
        <v>0</v>
      </c>
      <c s="125">
        <f>Предпосылки!S$236*Предпосылки!$L268*Продажи!T33*T$19*(1+Чувствительность!$D$20)*IFERROR(LOOKUP(Предпосылки!$H$209,$C$13:$C$15,T$13:T$15),1)</f>
        <v>0</v>
      </c>
      <c s="125">
        <f>Предпосылки!T$236*Предпосылки!$L268*Продажи!U33*U$19*(1+Чувствительность!$D$20)*IFERROR(LOOKUP(Предпосылки!$H$209,$C$13:$C$15,U$13:U$15),1)</f>
        <v>0</v>
      </c>
      <c s="125">
        <f>Предпосылки!U$236*Предпосылки!$L268*Продажи!V33*V$19*(1+Чувствительность!$D$20)*IFERROR(LOOKUP(Предпосылки!$H$209,$C$13:$C$15,V$13:V$15),1)</f>
        <v>0</v>
      </c>
      <c s="125">
        <f>Предпосылки!V$236*Предпосылки!$L268*Продажи!W33*W$19*(1+Чувствительность!$D$20)*IFERROR(LOOKUP(Предпосылки!$H$209,$C$13:$C$15,W$13:W$15),1)</f>
        <v>0</v>
      </c>
      <c s="125">
        <f>Предпосылки!W$236*Предпосылки!$L268*Продажи!X33*X$19*(1+Чувствительность!$D$20)*IFERROR(LOOKUP(Предпосылки!$H$209,$C$13:$C$15,X$13:X$15),1)</f>
        <v>0</v>
      </c>
      <c s="125">
        <f>Предпосылки!X$236*Предпосылки!$L268*Продажи!Y33*Y$19*(1+Чувствительность!$D$20)*IFERROR(LOOKUP(Предпосылки!$H$209,$C$13:$C$15,Y$13:Y$15),1)</f>
        <v>0</v>
      </c>
      <c s="125">
        <f>Предпосылки!Y$236*Предпосылки!$L268*Продажи!Z33*Z$19*(1+Чувствительность!$D$20)*IFERROR(LOOKUP(Предпосылки!$H$209,$C$13:$C$15,Z$13:Z$15),1)</f>
        <v>0</v>
      </c>
      <c s="125">
        <f>Предпосылки!Z$236*Предпосылки!$L268*Продажи!AA33*AA$19*(1+Чувствительность!$D$20)*IFERROR(LOOKUP(Предпосылки!$H$209,$C$13:$C$15,AA$13:AA$15),1)</f>
        <v>0</v>
      </c>
      <c s="125">
        <f>Предпосылки!AA$236*Предпосылки!$L268*Продажи!AB33*AB$19*(1+Чувствительность!$D$20)*IFERROR(LOOKUP(Предпосылки!$H$209,$C$13:$C$15,AB$13:AB$15),1)</f>
        <v>0</v>
      </c>
      <c s="125">
        <f>Предпосылки!AB$236*Предпосылки!$L268*Продажи!AC33*AC$19*(1+Чувствительность!$D$20)*IFERROR(LOOKUP(Предпосылки!$H$209,$C$13:$C$15,AC$13:AC$15),1)</f>
        <v>0</v>
      </c>
      <c s="125">
        <f>Предпосылки!AC$236*Предпосылки!$L268*Продажи!AD33*AD$19*(1+Чувствительность!$D$20)*IFERROR(LOOKUP(Предпосылки!$H$209,$C$13:$C$15,AD$13:AD$15),1)</f>
        <v>0</v>
      </c>
      <c s="125">
        <f>Предпосылки!AD$236*Предпосылки!$L268*Продажи!AE33*AE$19*(1+Чувствительность!$D$20)*IFERROR(LOOKUP(Предпосылки!$H$209,$C$13:$C$15,AE$13:AE$15),1)</f>
        <v>0</v>
      </c>
      <c s="125">
        <f>Предпосылки!AE$236*Предпосылки!$L268*Продажи!AF33*AF$19*(1+Чувствительность!$D$20)*IFERROR(LOOKUP(Предпосылки!$H$209,$C$13:$C$15,AF$13:AF$15),1)</f>
        <v>0</v>
      </c>
      <c s="125">
        <f>Предпосылки!AF$236*Предпосылки!$L268*Продажи!AG33*AG$19*(1+Чувствительность!$D$20)*IFERROR(LOOKUP(Предпосылки!$H$209,$C$13:$C$15,AG$13:AG$15),1)</f>
        <v>0</v>
      </c>
      <c s="125">
        <f>Предпосылки!AG$236*Предпосылки!$L268*Продажи!AH33*AH$19*(1+Чувствительность!$D$20)*IFERROR(LOOKUP(Предпосылки!$H$209,$C$13:$C$15,AH$13:AH$15),1)</f>
        <v>0</v>
      </c>
      <c s="125">
        <f>Предпосылки!AH$236*Предпосылки!$L268*Продажи!AI33*AI$19*(1+Чувствительность!$D$20)*IFERROR(LOOKUP(Предпосылки!$H$209,$C$13:$C$15,AI$13:AI$15),1)</f>
        <v>0</v>
      </c>
      <c s="125">
        <f>Предпосылки!AI$236*Предпосылки!$L268*Продажи!AJ33*AJ$19*(1+Чувствительность!$D$20)*IFERROR(LOOKUP(Предпосылки!$H$209,$C$13:$C$15,AJ$13:AJ$15),1)</f>
        <v>0</v>
      </c>
      <c s="125">
        <f>Предпосылки!AJ$236*Предпосылки!$L268*Продажи!AK33*AK$19*(1+Чувствительность!$D$20)*IFERROR(LOOKUP(Предпосылки!$H$209,$C$13:$C$15,AK$13:AK$15),1)</f>
        <v>0</v>
      </c>
      <c s="125">
        <f>Предпосылки!AK$236*Предпосылки!$L268*Продажи!AL33*AL$19*(1+Чувствительность!$D$20)*IFERROR(LOOKUP(Предпосылки!$H$209,$C$13:$C$15,AL$13:AL$15),1)</f>
        <v>0</v>
      </c>
      <c s="125">
        <f>Предпосылки!AL$236*Предпосылки!$L268*Продажи!AM33*AM$19*(1+Чувствительность!$D$20)*IFERROR(LOOKUP(Предпосылки!$H$209,$C$13:$C$15,AM$13:AM$15),1)</f>
        <v>0</v>
      </c>
      <c s="125">
        <f>Предпосылки!AM$236*Предпосылки!$L268*Продажи!AN33*AN$19*(1+Чувствительность!$D$20)*IFERROR(LOOKUP(Предпосылки!$H$209,$C$13:$C$15,AN$13:AN$15),1)</f>
        <v>0</v>
      </c>
      <c s="125">
        <f>Предпосылки!AN$236*Предпосылки!$L268*Продажи!AO33*AO$19*(1+Чувствительность!$D$20)*IFERROR(LOOKUP(Предпосылки!$H$209,$C$13:$C$15,AO$13:AO$15),1)</f>
        <v>0</v>
      </c>
      <c s="125">
        <f>Предпосылки!AO$236*Предпосылки!$L268*Продажи!AP33*AP$19*(1+Чувствительность!$D$20)*IFERROR(LOOKUP(Предпосылки!$H$209,$C$13:$C$15,AP$13:AP$15),1)</f>
        <v>0</v>
      </c>
      <c s="125">
        <f>Предпосылки!AP$236*Предпосылки!$L268*Продажи!AQ33*AQ$19*(1+Чувствительность!$D$20)*IFERROR(LOOKUP(Предпосылки!$H$209,$C$13:$C$15,AQ$13:AQ$15),1)</f>
        <v>0</v>
      </c>
      <c s="125">
        <f>Предпосылки!AQ$236*Предпосылки!$L268*Продажи!AR33*AR$19*(1+Чувствительность!$D$20)*IFERROR(LOOKUP(Предпосылки!$H$209,$C$13:$C$15,AR$13:AR$15),1)</f>
        <v>0</v>
      </c>
      <c s="125">
        <f>Предпосылки!AR$236*Предпосылки!$L268*Продажи!AS33*AS$19*(1+Чувствительность!$D$20)*IFERROR(LOOKUP(Предпосылки!$H$209,$C$13:$C$15,AS$13:AS$15),1)</f>
        <v>0</v>
      </c>
      <c s="125">
        <f>Предпосылки!AS$236*Предпосылки!$L268*Продажи!AT33*AT$19*(1+Чувствительность!$D$20)*IFERROR(LOOKUP(Предпосылки!$H$209,$C$13:$C$15,AT$13:AT$15),1)</f>
        <v>0</v>
      </c>
      <c s="125">
        <f>Предпосылки!AT$236*Предпосылки!$L268*Продажи!AU33*AU$19*(1+Чувствительность!$D$20)*IFERROR(LOOKUP(Предпосылки!$H$209,$C$13:$C$15,AU$13:AU$15),1)</f>
        <v>0</v>
      </c>
      <c s="125">
        <f>Предпосылки!AU$236*Предпосылки!$L268*Продажи!AV33*AV$19*(1+Чувствительность!$D$20)*IFERROR(LOOKUP(Предпосылки!$H$209,$C$13:$C$15,AV$13:AV$15),1)</f>
        <v>0</v>
      </c>
      <c s="125">
        <f>Предпосылки!AV$236*Предпосылки!$L268*Продажи!AW33*AW$19*(1+Чувствительность!$D$20)*IFERROR(LOOKUP(Предпосылки!$H$209,$C$13:$C$15,AW$13:AW$15),1)</f>
        <v>0</v>
      </c>
      <c s="125">
        <f>Предпосылки!AW$236*Предпосылки!$L268*Продажи!AX33*AX$19*(1+Чувствительность!$D$20)*IFERROR(LOOKUP(Предпосылки!$H$209,$C$13:$C$15,AX$13:AX$15),1)</f>
        <v>0</v>
      </c>
      <c s="125">
        <f>Предпосылки!AX$236*Предпосылки!$L268*Продажи!AY33*AY$19*(1+Чувствительность!$D$20)*IFERROR(LOOKUP(Предпосылки!$H$209,$C$13:$C$15,AY$13:AY$15),1)</f>
        <v>0</v>
      </c>
      <c s="125">
        <f>Предпосылки!AY$236*Предпосылки!$L268*Продажи!AZ33*AZ$19*(1+Чувствительность!$D$20)*IFERROR(LOOKUP(Предпосылки!$H$209,$C$13:$C$15,AZ$13:AZ$15),1)</f>
        <v>0</v>
      </c>
      <c s="125">
        <f>Предпосылки!AZ$236*Предпосылки!$L268*Продажи!BA33*BA$19*(1+Чувствительность!$D$20)*IFERROR(LOOKUP(Предпосылки!$H$209,$C$13:$C$15,BA$13:BA$15),1)</f>
        <v>0</v>
      </c>
      <c s="125">
        <f>Предпосылки!BA$236*Предпосылки!$L268*Продажи!BB33*BB$19*(1+Чувствительность!$D$20)*IFERROR(LOOKUP(Предпосылки!$H$209,$C$13:$C$15,BB$13:BB$15),1)</f>
        <v>0</v>
      </c>
      <c s="125">
        <f>Предпосылки!BB$236*Предпосылки!$L268*Продажи!BC33*BC$19*(1+Чувствительность!$D$20)*IFERROR(LOOKUP(Предпосылки!$H$209,$C$13:$C$15,BC$13:BC$15),1)</f>
        <v>0</v>
      </c>
      <c s="125">
        <f>Предпосылки!BC$236*Предпосылки!$L268*Продажи!BD33*BD$19*(1+Чувствительность!$D$20)*IFERROR(LOOKUP(Предпосылки!$H$209,$C$13:$C$15,BD$13:BD$15),1)</f>
        <v>0</v>
      </c>
      <c s="125">
        <f>Предпосылки!BD$236*Предпосылки!$L268*Продажи!BE33*BE$19*(1+Чувствительность!$D$20)*IFERROR(LOOKUP(Предпосылки!$H$209,$C$13:$C$15,BE$13:BE$15),1)</f>
        <v>0</v>
      </c>
      <c s="125">
        <f>Предпосылки!BE$236*Предпосылки!$L268*Продажи!BF33*BF$19*(1+Чувствительность!$D$20)*IFERROR(LOOKUP(Предпосылки!$H$209,$C$13:$C$15,BF$13:BF$15),1)</f>
        <v>0</v>
      </c>
      <c s="125">
        <f>Предпосылки!BF$236*Предпосылки!$L268*Продажи!BG33*BG$19*(1+Чувствительность!$D$20)*IFERROR(LOOKUP(Предпосылки!$H$209,$C$13:$C$15,BG$13:BG$15),1)</f>
        <v>0</v>
      </c>
      <c s="125">
        <f>Предпосылки!BG$236*Предпосылки!$L268*Продажи!BH33*BH$19*(1+Чувствительность!$D$20)*IFERROR(LOOKUP(Предпосылки!$H$209,$C$13:$C$15,BH$13:BH$15),1)</f>
        <v>0</v>
      </c>
      <c s="125">
        <f>Предпосылки!BH$236*Предпосылки!$L268*Продажи!BI33*BI$19*(1+Чувствительность!$D$20)*IFERROR(LOOKUP(Предпосылки!$H$209,$C$13:$C$15,BI$13:BI$15),1)</f>
        <v>0</v>
      </c>
      <c s="125">
        <f>Предпосылки!BI$236*Предпосылки!$L268*Продажи!BJ33*BJ$19*(1+Чувствительность!$D$20)*IFERROR(LOOKUP(Предпосылки!$H$209,$C$13:$C$15,BJ$13:BJ$15),1)</f>
        <v>0</v>
      </c>
      <c s="125">
        <f>Предпосылки!BJ$236*Предпосылки!$L268*Продажи!BK33*BK$19*(1+Чувствительность!$D$20)*IFERROR(LOOKUP(Предпосылки!$H$209,$C$13:$C$15,BK$13:BK$15),1)</f>
        <v>0</v>
      </c>
      <c s="125">
        <f>Предпосылки!BK$236*Предпосылки!$L268*Продажи!BL33*BL$19*(1+Чувствительность!$D$20)*IFERROR(LOOKUP(Предпосылки!$H$209,$C$13:$C$15,BL$13:BL$15),1)</f>
        <v>0</v>
      </c>
      <c s="125">
        <f>Предпосылки!BL$236*Предпосылки!$L268*Продажи!BM33*BM$19*(1+Чувствительность!$D$20)*IFERROR(LOOKUP(Предпосылки!$H$209,$C$13:$C$15,BM$13:BM$15),1)</f>
        <v>0</v>
      </c>
    </row>
    <row r="223" spans="2:65" ht="15" customHeight="1">
      <c r="B223" s="12" t="str">
        <f t="shared" si="101"/>
        <v>Продукт 17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Предпосылки!D$236*Предпосылки!$L269*Продажи!E34*E$19*(1+Чувствительность!$D$20)*IFERROR(LOOKUP(Предпосылки!$H$209,$C$13:$C$15,E$13:E$15),1)</f>
        <v>0</v>
      </c>
      <c s="125">
        <f>Предпосылки!E$236*Предпосылки!$L269*Продажи!F34*F$19*(1+Чувствительность!$D$20)*IFERROR(LOOKUP(Предпосылки!$H$209,$C$13:$C$15,F$13:F$15),1)</f>
        <v>0</v>
      </c>
      <c s="125">
        <f>Предпосылки!F$236*Предпосылки!$L269*Продажи!G34*G$19*(1+Чувствительность!$D$20)*IFERROR(LOOKUP(Предпосылки!$H$209,$C$13:$C$15,G$13:G$15),1)</f>
        <v>0</v>
      </c>
      <c s="125">
        <f>Предпосылки!G$236*Предпосылки!$L269*Продажи!H34*H$19*(1+Чувствительность!$D$20)*IFERROR(LOOKUP(Предпосылки!$H$209,$C$13:$C$15,H$13:H$15),1)</f>
        <v>0</v>
      </c>
      <c s="125">
        <f>Предпосылки!H$236*Предпосылки!$L269*Продажи!I34*I$19*(1+Чувствительность!$D$20)*IFERROR(LOOKUP(Предпосылки!$H$209,$C$13:$C$15,I$13:I$15),1)</f>
        <v>0</v>
      </c>
      <c s="125">
        <f>Предпосылки!I$236*Предпосылки!$L269*Продажи!J34*J$19*(1+Чувствительность!$D$20)*IFERROR(LOOKUP(Предпосылки!$H$209,$C$13:$C$15,J$13:J$15),1)</f>
        <v>0</v>
      </c>
      <c s="125">
        <f>Предпосылки!J$236*Предпосылки!$L269*Продажи!K34*K$19*(1+Чувствительность!$D$20)*IFERROR(LOOKUP(Предпосылки!$H$209,$C$13:$C$15,K$13:K$15),1)</f>
        <v>0</v>
      </c>
      <c s="125">
        <f>Предпосылки!K$236*Предпосылки!$L269*Продажи!L34*L$19*(1+Чувствительность!$D$20)*IFERROR(LOOKUP(Предпосылки!$H$209,$C$13:$C$15,L$13:L$15),1)</f>
        <v>0</v>
      </c>
      <c s="125">
        <f>Предпосылки!L$236*Предпосылки!$L269*Продажи!M34*M$19*(1+Чувствительность!$D$20)*IFERROR(LOOKUP(Предпосылки!$H$209,$C$13:$C$15,M$13:M$15),1)</f>
        <v>0</v>
      </c>
      <c s="125">
        <f>Предпосылки!M$236*Предпосылки!$L269*Продажи!N34*N$19*(1+Чувствительность!$D$20)*IFERROR(LOOKUP(Предпосылки!$H$209,$C$13:$C$15,N$13:N$15),1)</f>
        <v>0</v>
      </c>
      <c s="125">
        <f>Предпосылки!N$236*Предпосылки!$L269*Продажи!O34*O$19*(1+Чувствительность!$D$20)*IFERROR(LOOKUP(Предпосылки!$H$209,$C$13:$C$15,O$13:O$15),1)</f>
        <v>0</v>
      </c>
      <c s="125">
        <f>Предпосылки!O$236*Предпосылки!$L269*Продажи!P34*P$19*(1+Чувствительность!$D$20)*IFERROR(LOOKUP(Предпосылки!$H$209,$C$13:$C$15,P$13:P$15),1)</f>
        <v>0</v>
      </c>
      <c s="125">
        <f>Предпосылки!P$236*Предпосылки!$L269*Продажи!Q34*Q$19*(1+Чувствительность!$D$20)*IFERROR(LOOKUP(Предпосылки!$H$209,$C$13:$C$15,Q$13:Q$15),1)</f>
        <v>0</v>
      </c>
      <c s="125">
        <f>Предпосылки!Q$236*Предпосылки!$L269*Продажи!R34*R$19*(1+Чувствительность!$D$20)*IFERROR(LOOKUP(Предпосылки!$H$209,$C$13:$C$15,R$13:R$15),1)</f>
        <v>0</v>
      </c>
      <c s="125">
        <f>Предпосылки!R$236*Предпосылки!$L269*Продажи!S34*S$19*(1+Чувствительность!$D$20)*IFERROR(LOOKUP(Предпосылки!$H$209,$C$13:$C$15,S$13:S$15),1)</f>
        <v>0</v>
      </c>
      <c s="125">
        <f>Предпосылки!S$236*Предпосылки!$L269*Продажи!T34*T$19*(1+Чувствительность!$D$20)*IFERROR(LOOKUP(Предпосылки!$H$209,$C$13:$C$15,T$13:T$15),1)</f>
        <v>0</v>
      </c>
      <c s="125">
        <f>Предпосылки!T$236*Предпосылки!$L269*Продажи!U34*U$19*(1+Чувствительность!$D$20)*IFERROR(LOOKUP(Предпосылки!$H$209,$C$13:$C$15,U$13:U$15),1)</f>
        <v>0</v>
      </c>
      <c s="125">
        <f>Предпосылки!U$236*Предпосылки!$L269*Продажи!V34*V$19*(1+Чувствительность!$D$20)*IFERROR(LOOKUP(Предпосылки!$H$209,$C$13:$C$15,V$13:V$15),1)</f>
        <v>0</v>
      </c>
      <c s="125">
        <f>Предпосылки!V$236*Предпосылки!$L269*Продажи!W34*W$19*(1+Чувствительность!$D$20)*IFERROR(LOOKUP(Предпосылки!$H$209,$C$13:$C$15,W$13:W$15),1)</f>
        <v>0</v>
      </c>
      <c s="125">
        <f>Предпосылки!W$236*Предпосылки!$L269*Продажи!X34*X$19*(1+Чувствительность!$D$20)*IFERROR(LOOKUP(Предпосылки!$H$209,$C$13:$C$15,X$13:X$15),1)</f>
        <v>0</v>
      </c>
      <c s="125">
        <f>Предпосылки!X$236*Предпосылки!$L269*Продажи!Y34*Y$19*(1+Чувствительность!$D$20)*IFERROR(LOOKUP(Предпосылки!$H$209,$C$13:$C$15,Y$13:Y$15),1)</f>
        <v>0</v>
      </c>
      <c s="125">
        <f>Предпосылки!Y$236*Предпосылки!$L269*Продажи!Z34*Z$19*(1+Чувствительность!$D$20)*IFERROR(LOOKUP(Предпосылки!$H$209,$C$13:$C$15,Z$13:Z$15),1)</f>
        <v>0</v>
      </c>
      <c s="125">
        <f>Предпосылки!Z$236*Предпосылки!$L269*Продажи!AA34*AA$19*(1+Чувствительность!$D$20)*IFERROR(LOOKUP(Предпосылки!$H$209,$C$13:$C$15,AA$13:AA$15),1)</f>
        <v>0</v>
      </c>
      <c s="125">
        <f>Предпосылки!AA$236*Предпосылки!$L269*Продажи!AB34*AB$19*(1+Чувствительность!$D$20)*IFERROR(LOOKUP(Предпосылки!$H$209,$C$13:$C$15,AB$13:AB$15),1)</f>
        <v>0</v>
      </c>
      <c s="125">
        <f>Предпосылки!AB$236*Предпосылки!$L269*Продажи!AC34*AC$19*(1+Чувствительность!$D$20)*IFERROR(LOOKUP(Предпосылки!$H$209,$C$13:$C$15,AC$13:AC$15),1)</f>
        <v>0</v>
      </c>
      <c s="125">
        <f>Предпосылки!AC$236*Предпосылки!$L269*Продажи!AD34*AD$19*(1+Чувствительность!$D$20)*IFERROR(LOOKUP(Предпосылки!$H$209,$C$13:$C$15,AD$13:AD$15),1)</f>
        <v>0</v>
      </c>
      <c s="125">
        <f>Предпосылки!AD$236*Предпосылки!$L269*Продажи!AE34*AE$19*(1+Чувствительность!$D$20)*IFERROR(LOOKUP(Предпосылки!$H$209,$C$13:$C$15,AE$13:AE$15),1)</f>
        <v>0</v>
      </c>
      <c s="125">
        <f>Предпосылки!AE$236*Предпосылки!$L269*Продажи!AF34*AF$19*(1+Чувствительность!$D$20)*IFERROR(LOOKUP(Предпосылки!$H$209,$C$13:$C$15,AF$13:AF$15),1)</f>
        <v>0</v>
      </c>
      <c s="125">
        <f>Предпосылки!AF$236*Предпосылки!$L269*Продажи!AG34*AG$19*(1+Чувствительность!$D$20)*IFERROR(LOOKUP(Предпосылки!$H$209,$C$13:$C$15,AG$13:AG$15),1)</f>
        <v>0</v>
      </c>
      <c s="125">
        <f>Предпосылки!AG$236*Предпосылки!$L269*Продажи!AH34*AH$19*(1+Чувствительность!$D$20)*IFERROR(LOOKUP(Предпосылки!$H$209,$C$13:$C$15,AH$13:AH$15),1)</f>
        <v>0</v>
      </c>
      <c s="125">
        <f>Предпосылки!AH$236*Предпосылки!$L269*Продажи!AI34*AI$19*(1+Чувствительность!$D$20)*IFERROR(LOOKUP(Предпосылки!$H$209,$C$13:$C$15,AI$13:AI$15),1)</f>
        <v>0</v>
      </c>
      <c s="125">
        <f>Предпосылки!AI$236*Предпосылки!$L269*Продажи!AJ34*AJ$19*(1+Чувствительность!$D$20)*IFERROR(LOOKUP(Предпосылки!$H$209,$C$13:$C$15,AJ$13:AJ$15),1)</f>
        <v>0</v>
      </c>
      <c s="125">
        <f>Предпосылки!AJ$236*Предпосылки!$L269*Продажи!AK34*AK$19*(1+Чувствительность!$D$20)*IFERROR(LOOKUP(Предпосылки!$H$209,$C$13:$C$15,AK$13:AK$15),1)</f>
        <v>0</v>
      </c>
      <c s="125">
        <f>Предпосылки!AK$236*Предпосылки!$L269*Продажи!AL34*AL$19*(1+Чувствительность!$D$20)*IFERROR(LOOKUP(Предпосылки!$H$209,$C$13:$C$15,AL$13:AL$15),1)</f>
        <v>0</v>
      </c>
      <c s="125">
        <f>Предпосылки!AL$236*Предпосылки!$L269*Продажи!AM34*AM$19*(1+Чувствительность!$D$20)*IFERROR(LOOKUP(Предпосылки!$H$209,$C$13:$C$15,AM$13:AM$15),1)</f>
        <v>0</v>
      </c>
      <c s="125">
        <f>Предпосылки!AM$236*Предпосылки!$L269*Продажи!AN34*AN$19*(1+Чувствительность!$D$20)*IFERROR(LOOKUP(Предпосылки!$H$209,$C$13:$C$15,AN$13:AN$15),1)</f>
        <v>0</v>
      </c>
      <c s="125">
        <f>Предпосылки!AN$236*Предпосылки!$L269*Продажи!AO34*AO$19*(1+Чувствительность!$D$20)*IFERROR(LOOKUP(Предпосылки!$H$209,$C$13:$C$15,AO$13:AO$15),1)</f>
        <v>0</v>
      </c>
      <c s="125">
        <f>Предпосылки!AO$236*Предпосылки!$L269*Продажи!AP34*AP$19*(1+Чувствительность!$D$20)*IFERROR(LOOKUP(Предпосылки!$H$209,$C$13:$C$15,AP$13:AP$15),1)</f>
        <v>0</v>
      </c>
      <c s="125">
        <f>Предпосылки!AP$236*Предпосылки!$L269*Продажи!AQ34*AQ$19*(1+Чувствительность!$D$20)*IFERROR(LOOKUP(Предпосылки!$H$209,$C$13:$C$15,AQ$13:AQ$15),1)</f>
        <v>0</v>
      </c>
      <c s="125">
        <f>Предпосылки!AQ$236*Предпосылки!$L269*Продажи!AR34*AR$19*(1+Чувствительность!$D$20)*IFERROR(LOOKUP(Предпосылки!$H$209,$C$13:$C$15,AR$13:AR$15),1)</f>
        <v>0</v>
      </c>
      <c s="125">
        <f>Предпосылки!AR$236*Предпосылки!$L269*Продажи!AS34*AS$19*(1+Чувствительность!$D$20)*IFERROR(LOOKUP(Предпосылки!$H$209,$C$13:$C$15,AS$13:AS$15),1)</f>
        <v>0</v>
      </c>
      <c s="125">
        <f>Предпосылки!AS$236*Предпосылки!$L269*Продажи!AT34*AT$19*(1+Чувствительность!$D$20)*IFERROR(LOOKUP(Предпосылки!$H$209,$C$13:$C$15,AT$13:AT$15),1)</f>
        <v>0</v>
      </c>
      <c s="125">
        <f>Предпосылки!AT$236*Предпосылки!$L269*Продажи!AU34*AU$19*(1+Чувствительность!$D$20)*IFERROR(LOOKUP(Предпосылки!$H$209,$C$13:$C$15,AU$13:AU$15),1)</f>
        <v>0</v>
      </c>
      <c s="125">
        <f>Предпосылки!AU$236*Предпосылки!$L269*Продажи!AV34*AV$19*(1+Чувствительность!$D$20)*IFERROR(LOOKUP(Предпосылки!$H$209,$C$13:$C$15,AV$13:AV$15),1)</f>
        <v>0</v>
      </c>
      <c s="125">
        <f>Предпосылки!AV$236*Предпосылки!$L269*Продажи!AW34*AW$19*(1+Чувствительность!$D$20)*IFERROR(LOOKUP(Предпосылки!$H$209,$C$13:$C$15,AW$13:AW$15),1)</f>
        <v>0</v>
      </c>
      <c s="125">
        <f>Предпосылки!AW$236*Предпосылки!$L269*Продажи!AX34*AX$19*(1+Чувствительность!$D$20)*IFERROR(LOOKUP(Предпосылки!$H$209,$C$13:$C$15,AX$13:AX$15),1)</f>
        <v>0</v>
      </c>
      <c s="125">
        <f>Предпосылки!AX$236*Предпосылки!$L269*Продажи!AY34*AY$19*(1+Чувствительность!$D$20)*IFERROR(LOOKUP(Предпосылки!$H$209,$C$13:$C$15,AY$13:AY$15),1)</f>
        <v>0</v>
      </c>
      <c s="125">
        <f>Предпосылки!AY$236*Предпосылки!$L269*Продажи!AZ34*AZ$19*(1+Чувствительность!$D$20)*IFERROR(LOOKUP(Предпосылки!$H$209,$C$13:$C$15,AZ$13:AZ$15),1)</f>
        <v>0</v>
      </c>
      <c s="125">
        <f>Предпосылки!AZ$236*Предпосылки!$L269*Продажи!BA34*BA$19*(1+Чувствительность!$D$20)*IFERROR(LOOKUP(Предпосылки!$H$209,$C$13:$C$15,BA$13:BA$15),1)</f>
        <v>0</v>
      </c>
      <c s="125">
        <f>Предпосылки!BA$236*Предпосылки!$L269*Продажи!BB34*BB$19*(1+Чувствительность!$D$20)*IFERROR(LOOKUP(Предпосылки!$H$209,$C$13:$C$15,BB$13:BB$15),1)</f>
        <v>0</v>
      </c>
      <c s="125">
        <f>Предпосылки!BB$236*Предпосылки!$L269*Продажи!BC34*BC$19*(1+Чувствительность!$D$20)*IFERROR(LOOKUP(Предпосылки!$H$209,$C$13:$C$15,BC$13:BC$15),1)</f>
        <v>0</v>
      </c>
      <c s="125">
        <f>Предпосылки!BC$236*Предпосылки!$L269*Продажи!BD34*BD$19*(1+Чувствительность!$D$20)*IFERROR(LOOKUP(Предпосылки!$H$209,$C$13:$C$15,BD$13:BD$15),1)</f>
        <v>0</v>
      </c>
      <c s="125">
        <f>Предпосылки!BD$236*Предпосылки!$L269*Продажи!BE34*BE$19*(1+Чувствительность!$D$20)*IFERROR(LOOKUP(Предпосылки!$H$209,$C$13:$C$15,BE$13:BE$15),1)</f>
        <v>0</v>
      </c>
      <c s="125">
        <f>Предпосылки!BE$236*Предпосылки!$L269*Продажи!BF34*BF$19*(1+Чувствительность!$D$20)*IFERROR(LOOKUP(Предпосылки!$H$209,$C$13:$C$15,BF$13:BF$15),1)</f>
        <v>0</v>
      </c>
      <c s="125">
        <f>Предпосылки!BF$236*Предпосылки!$L269*Продажи!BG34*BG$19*(1+Чувствительность!$D$20)*IFERROR(LOOKUP(Предпосылки!$H$209,$C$13:$C$15,BG$13:BG$15),1)</f>
        <v>0</v>
      </c>
      <c s="125">
        <f>Предпосылки!BG$236*Предпосылки!$L269*Продажи!BH34*BH$19*(1+Чувствительность!$D$20)*IFERROR(LOOKUP(Предпосылки!$H$209,$C$13:$C$15,BH$13:BH$15),1)</f>
        <v>0</v>
      </c>
      <c s="125">
        <f>Предпосылки!BH$236*Предпосылки!$L269*Продажи!BI34*BI$19*(1+Чувствительность!$D$20)*IFERROR(LOOKUP(Предпосылки!$H$209,$C$13:$C$15,BI$13:BI$15),1)</f>
        <v>0</v>
      </c>
      <c s="125">
        <f>Предпосылки!BI$236*Предпосылки!$L269*Продажи!BJ34*BJ$19*(1+Чувствительность!$D$20)*IFERROR(LOOKUP(Предпосылки!$H$209,$C$13:$C$15,BJ$13:BJ$15),1)</f>
        <v>0</v>
      </c>
      <c s="125">
        <f>Предпосылки!BJ$236*Предпосылки!$L269*Продажи!BK34*BK$19*(1+Чувствительность!$D$20)*IFERROR(LOOKUP(Предпосылки!$H$209,$C$13:$C$15,BK$13:BK$15),1)</f>
        <v>0</v>
      </c>
      <c s="125">
        <f>Предпосылки!BK$236*Предпосылки!$L269*Продажи!BL34*BL$19*(1+Чувствительность!$D$20)*IFERROR(LOOKUP(Предпосылки!$H$209,$C$13:$C$15,BL$13:BL$15),1)</f>
        <v>0</v>
      </c>
      <c s="125">
        <f>Предпосылки!BL$236*Предпосылки!$L269*Продажи!BM34*BM$19*(1+Чувствительность!$D$20)*IFERROR(LOOKUP(Предпосылки!$H$209,$C$13:$C$15,BM$13:BM$15),1)</f>
        <v>0</v>
      </c>
    </row>
    <row r="224" spans="2:65" ht="15" customHeight="1">
      <c r="B224" s="12" t="str">
        <f t="shared" si="101"/>
        <v>Продукт 18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Предпосылки!D$236*Предпосылки!$L270*Продажи!E35*E$19*(1+Чувствительность!$D$20)*IFERROR(LOOKUP(Предпосылки!$H$209,$C$13:$C$15,E$13:E$15),1)</f>
        <v>0</v>
      </c>
      <c s="125">
        <f>Предпосылки!E$236*Предпосылки!$L270*Продажи!F35*F$19*(1+Чувствительность!$D$20)*IFERROR(LOOKUP(Предпосылки!$H$209,$C$13:$C$15,F$13:F$15),1)</f>
        <v>0</v>
      </c>
      <c s="125">
        <f>Предпосылки!F$236*Предпосылки!$L270*Продажи!G35*G$19*(1+Чувствительность!$D$20)*IFERROR(LOOKUP(Предпосылки!$H$209,$C$13:$C$15,G$13:G$15),1)</f>
        <v>0</v>
      </c>
      <c s="125">
        <f>Предпосылки!G$236*Предпосылки!$L270*Продажи!H35*H$19*(1+Чувствительность!$D$20)*IFERROR(LOOKUP(Предпосылки!$H$209,$C$13:$C$15,H$13:H$15),1)</f>
        <v>0</v>
      </c>
      <c s="125">
        <f>Предпосылки!H$236*Предпосылки!$L270*Продажи!I35*I$19*(1+Чувствительность!$D$20)*IFERROR(LOOKUP(Предпосылки!$H$209,$C$13:$C$15,I$13:I$15),1)</f>
        <v>0</v>
      </c>
      <c s="125">
        <f>Предпосылки!I$236*Предпосылки!$L270*Продажи!J35*J$19*(1+Чувствительность!$D$20)*IFERROR(LOOKUP(Предпосылки!$H$209,$C$13:$C$15,J$13:J$15),1)</f>
        <v>0</v>
      </c>
      <c s="125">
        <f>Предпосылки!J$236*Предпосылки!$L270*Продажи!K35*K$19*(1+Чувствительность!$D$20)*IFERROR(LOOKUP(Предпосылки!$H$209,$C$13:$C$15,K$13:K$15),1)</f>
        <v>0</v>
      </c>
      <c s="125">
        <f>Предпосылки!K$236*Предпосылки!$L270*Продажи!L35*L$19*(1+Чувствительность!$D$20)*IFERROR(LOOKUP(Предпосылки!$H$209,$C$13:$C$15,L$13:L$15),1)</f>
        <v>0</v>
      </c>
      <c s="125">
        <f>Предпосылки!L$236*Предпосылки!$L270*Продажи!M35*M$19*(1+Чувствительность!$D$20)*IFERROR(LOOKUP(Предпосылки!$H$209,$C$13:$C$15,M$13:M$15),1)</f>
        <v>0</v>
      </c>
      <c s="125">
        <f>Предпосылки!M$236*Предпосылки!$L270*Продажи!N35*N$19*(1+Чувствительность!$D$20)*IFERROR(LOOKUP(Предпосылки!$H$209,$C$13:$C$15,N$13:N$15),1)</f>
        <v>0</v>
      </c>
      <c s="125">
        <f>Предпосылки!N$236*Предпосылки!$L270*Продажи!O35*O$19*(1+Чувствительность!$D$20)*IFERROR(LOOKUP(Предпосылки!$H$209,$C$13:$C$15,O$13:O$15),1)</f>
        <v>0</v>
      </c>
      <c s="125">
        <f>Предпосылки!O$236*Предпосылки!$L270*Продажи!P35*P$19*(1+Чувствительность!$D$20)*IFERROR(LOOKUP(Предпосылки!$H$209,$C$13:$C$15,P$13:P$15),1)</f>
        <v>0</v>
      </c>
      <c s="125">
        <f>Предпосылки!P$236*Предпосылки!$L270*Продажи!Q35*Q$19*(1+Чувствительность!$D$20)*IFERROR(LOOKUP(Предпосылки!$H$209,$C$13:$C$15,Q$13:Q$15),1)</f>
        <v>0</v>
      </c>
      <c s="125">
        <f>Предпосылки!Q$236*Предпосылки!$L270*Продажи!R35*R$19*(1+Чувствительность!$D$20)*IFERROR(LOOKUP(Предпосылки!$H$209,$C$13:$C$15,R$13:R$15),1)</f>
        <v>0</v>
      </c>
      <c s="125">
        <f>Предпосылки!R$236*Предпосылки!$L270*Продажи!S35*S$19*(1+Чувствительность!$D$20)*IFERROR(LOOKUP(Предпосылки!$H$209,$C$13:$C$15,S$13:S$15),1)</f>
        <v>0</v>
      </c>
      <c s="125">
        <f>Предпосылки!S$236*Предпосылки!$L270*Продажи!T35*T$19*(1+Чувствительность!$D$20)*IFERROR(LOOKUP(Предпосылки!$H$209,$C$13:$C$15,T$13:T$15),1)</f>
        <v>0</v>
      </c>
      <c s="125">
        <f>Предпосылки!T$236*Предпосылки!$L270*Продажи!U35*U$19*(1+Чувствительность!$D$20)*IFERROR(LOOKUP(Предпосылки!$H$209,$C$13:$C$15,U$13:U$15),1)</f>
        <v>0</v>
      </c>
      <c s="125">
        <f>Предпосылки!U$236*Предпосылки!$L270*Продажи!V35*V$19*(1+Чувствительность!$D$20)*IFERROR(LOOKUP(Предпосылки!$H$209,$C$13:$C$15,V$13:V$15),1)</f>
        <v>0</v>
      </c>
      <c s="125">
        <f>Предпосылки!V$236*Предпосылки!$L270*Продажи!W35*W$19*(1+Чувствительность!$D$20)*IFERROR(LOOKUP(Предпосылки!$H$209,$C$13:$C$15,W$13:W$15),1)</f>
        <v>0</v>
      </c>
      <c s="125">
        <f>Предпосылки!W$236*Предпосылки!$L270*Продажи!X35*X$19*(1+Чувствительность!$D$20)*IFERROR(LOOKUP(Предпосылки!$H$209,$C$13:$C$15,X$13:X$15),1)</f>
        <v>0</v>
      </c>
      <c s="125">
        <f>Предпосылки!X$236*Предпосылки!$L270*Продажи!Y35*Y$19*(1+Чувствительность!$D$20)*IFERROR(LOOKUP(Предпосылки!$H$209,$C$13:$C$15,Y$13:Y$15),1)</f>
        <v>0</v>
      </c>
      <c s="125">
        <f>Предпосылки!Y$236*Предпосылки!$L270*Продажи!Z35*Z$19*(1+Чувствительность!$D$20)*IFERROR(LOOKUP(Предпосылки!$H$209,$C$13:$C$15,Z$13:Z$15),1)</f>
        <v>0</v>
      </c>
      <c s="125">
        <f>Предпосылки!Z$236*Предпосылки!$L270*Продажи!AA35*AA$19*(1+Чувствительность!$D$20)*IFERROR(LOOKUP(Предпосылки!$H$209,$C$13:$C$15,AA$13:AA$15),1)</f>
        <v>0</v>
      </c>
      <c s="125">
        <f>Предпосылки!AA$236*Предпосылки!$L270*Продажи!AB35*AB$19*(1+Чувствительность!$D$20)*IFERROR(LOOKUP(Предпосылки!$H$209,$C$13:$C$15,AB$13:AB$15),1)</f>
        <v>0</v>
      </c>
      <c s="125">
        <f>Предпосылки!AB$236*Предпосылки!$L270*Продажи!AC35*AC$19*(1+Чувствительность!$D$20)*IFERROR(LOOKUP(Предпосылки!$H$209,$C$13:$C$15,AC$13:AC$15),1)</f>
        <v>0</v>
      </c>
      <c s="125">
        <f>Предпосылки!AC$236*Предпосылки!$L270*Продажи!AD35*AD$19*(1+Чувствительность!$D$20)*IFERROR(LOOKUP(Предпосылки!$H$209,$C$13:$C$15,AD$13:AD$15),1)</f>
        <v>0</v>
      </c>
      <c s="125">
        <f>Предпосылки!AD$236*Предпосылки!$L270*Продажи!AE35*AE$19*(1+Чувствительность!$D$20)*IFERROR(LOOKUP(Предпосылки!$H$209,$C$13:$C$15,AE$13:AE$15),1)</f>
        <v>0</v>
      </c>
      <c s="125">
        <f>Предпосылки!AE$236*Предпосылки!$L270*Продажи!AF35*AF$19*(1+Чувствительность!$D$20)*IFERROR(LOOKUP(Предпосылки!$H$209,$C$13:$C$15,AF$13:AF$15),1)</f>
        <v>0</v>
      </c>
      <c s="125">
        <f>Предпосылки!AF$236*Предпосылки!$L270*Продажи!AG35*AG$19*(1+Чувствительность!$D$20)*IFERROR(LOOKUP(Предпосылки!$H$209,$C$13:$C$15,AG$13:AG$15),1)</f>
        <v>0</v>
      </c>
      <c s="125">
        <f>Предпосылки!AG$236*Предпосылки!$L270*Продажи!AH35*AH$19*(1+Чувствительность!$D$20)*IFERROR(LOOKUP(Предпосылки!$H$209,$C$13:$C$15,AH$13:AH$15),1)</f>
        <v>0</v>
      </c>
      <c s="125">
        <f>Предпосылки!AH$236*Предпосылки!$L270*Продажи!AI35*AI$19*(1+Чувствительность!$D$20)*IFERROR(LOOKUP(Предпосылки!$H$209,$C$13:$C$15,AI$13:AI$15),1)</f>
        <v>0</v>
      </c>
      <c s="125">
        <f>Предпосылки!AI$236*Предпосылки!$L270*Продажи!AJ35*AJ$19*(1+Чувствительность!$D$20)*IFERROR(LOOKUP(Предпосылки!$H$209,$C$13:$C$15,AJ$13:AJ$15),1)</f>
        <v>0</v>
      </c>
      <c s="125">
        <f>Предпосылки!AJ$236*Предпосылки!$L270*Продажи!AK35*AK$19*(1+Чувствительность!$D$20)*IFERROR(LOOKUP(Предпосылки!$H$209,$C$13:$C$15,AK$13:AK$15),1)</f>
        <v>0</v>
      </c>
      <c s="125">
        <f>Предпосылки!AK$236*Предпосылки!$L270*Продажи!AL35*AL$19*(1+Чувствительность!$D$20)*IFERROR(LOOKUP(Предпосылки!$H$209,$C$13:$C$15,AL$13:AL$15),1)</f>
        <v>0</v>
      </c>
      <c s="125">
        <f>Предпосылки!AL$236*Предпосылки!$L270*Продажи!AM35*AM$19*(1+Чувствительность!$D$20)*IFERROR(LOOKUP(Предпосылки!$H$209,$C$13:$C$15,AM$13:AM$15),1)</f>
        <v>0</v>
      </c>
      <c s="125">
        <f>Предпосылки!AM$236*Предпосылки!$L270*Продажи!AN35*AN$19*(1+Чувствительность!$D$20)*IFERROR(LOOKUP(Предпосылки!$H$209,$C$13:$C$15,AN$13:AN$15),1)</f>
        <v>0</v>
      </c>
      <c s="125">
        <f>Предпосылки!AN$236*Предпосылки!$L270*Продажи!AO35*AO$19*(1+Чувствительность!$D$20)*IFERROR(LOOKUP(Предпосылки!$H$209,$C$13:$C$15,AO$13:AO$15),1)</f>
        <v>0</v>
      </c>
      <c s="125">
        <f>Предпосылки!AO$236*Предпосылки!$L270*Продажи!AP35*AP$19*(1+Чувствительность!$D$20)*IFERROR(LOOKUP(Предпосылки!$H$209,$C$13:$C$15,AP$13:AP$15),1)</f>
        <v>0</v>
      </c>
      <c s="125">
        <f>Предпосылки!AP$236*Предпосылки!$L270*Продажи!AQ35*AQ$19*(1+Чувствительность!$D$20)*IFERROR(LOOKUP(Предпосылки!$H$209,$C$13:$C$15,AQ$13:AQ$15),1)</f>
        <v>0</v>
      </c>
      <c s="125">
        <f>Предпосылки!AQ$236*Предпосылки!$L270*Продажи!AR35*AR$19*(1+Чувствительность!$D$20)*IFERROR(LOOKUP(Предпосылки!$H$209,$C$13:$C$15,AR$13:AR$15),1)</f>
        <v>0</v>
      </c>
      <c s="125">
        <f>Предпосылки!AR$236*Предпосылки!$L270*Продажи!AS35*AS$19*(1+Чувствительность!$D$20)*IFERROR(LOOKUP(Предпосылки!$H$209,$C$13:$C$15,AS$13:AS$15),1)</f>
        <v>0</v>
      </c>
      <c s="125">
        <f>Предпосылки!AS$236*Предпосылки!$L270*Продажи!AT35*AT$19*(1+Чувствительность!$D$20)*IFERROR(LOOKUP(Предпосылки!$H$209,$C$13:$C$15,AT$13:AT$15),1)</f>
        <v>0</v>
      </c>
      <c s="125">
        <f>Предпосылки!AT$236*Предпосылки!$L270*Продажи!AU35*AU$19*(1+Чувствительность!$D$20)*IFERROR(LOOKUP(Предпосылки!$H$209,$C$13:$C$15,AU$13:AU$15),1)</f>
        <v>0</v>
      </c>
      <c s="125">
        <f>Предпосылки!AU$236*Предпосылки!$L270*Продажи!AV35*AV$19*(1+Чувствительность!$D$20)*IFERROR(LOOKUP(Предпосылки!$H$209,$C$13:$C$15,AV$13:AV$15),1)</f>
        <v>0</v>
      </c>
      <c s="125">
        <f>Предпосылки!AV$236*Предпосылки!$L270*Продажи!AW35*AW$19*(1+Чувствительность!$D$20)*IFERROR(LOOKUP(Предпосылки!$H$209,$C$13:$C$15,AW$13:AW$15),1)</f>
        <v>0</v>
      </c>
      <c s="125">
        <f>Предпосылки!AW$236*Предпосылки!$L270*Продажи!AX35*AX$19*(1+Чувствительность!$D$20)*IFERROR(LOOKUP(Предпосылки!$H$209,$C$13:$C$15,AX$13:AX$15),1)</f>
        <v>0</v>
      </c>
      <c s="125">
        <f>Предпосылки!AX$236*Предпосылки!$L270*Продажи!AY35*AY$19*(1+Чувствительность!$D$20)*IFERROR(LOOKUP(Предпосылки!$H$209,$C$13:$C$15,AY$13:AY$15),1)</f>
        <v>0</v>
      </c>
      <c s="125">
        <f>Предпосылки!AY$236*Предпосылки!$L270*Продажи!AZ35*AZ$19*(1+Чувствительность!$D$20)*IFERROR(LOOKUP(Предпосылки!$H$209,$C$13:$C$15,AZ$13:AZ$15),1)</f>
        <v>0</v>
      </c>
      <c s="125">
        <f>Предпосылки!AZ$236*Предпосылки!$L270*Продажи!BA35*BA$19*(1+Чувствительность!$D$20)*IFERROR(LOOKUP(Предпосылки!$H$209,$C$13:$C$15,BA$13:BA$15),1)</f>
        <v>0</v>
      </c>
      <c s="125">
        <f>Предпосылки!BA$236*Предпосылки!$L270*Продажи!BB35*BB$19*(1+Чувствительность!$D$20)*IFERROR(LOOKUP(Предпосылки!$H$209,$C$13:$C$15,BB$13:BB$15),1)</f>
        <v>0</v>
      </c>
      <c s="125">
        <f>Предпосылки!BB$236*Предпосылки!$L270*Продажи!BC35*BC$19*(1+Чувствительность!$D$20)*IFERROR(LOOKUP(Предпосылки!$H$209,$C$13:$C$15,BC$13:BC$15),1)</f>
        <v>0</v>
      </c>
      <c s="125">
        <f>Предпосылки!BC$236*Предпосылки!$L270*Продажи!BD35*BD$19*(1+Чувствительность!$D$20)*IFERROR(LOOKUP(Предпосылки!$H$209,$C$13:$C$15,BD$13:BD$15),1)</f>
        <v>0</v>
      </c>
      <c s="125">
        <f>Предпосылки!BD$236*Предпосылки!$L270*Продажи!BE35*BE$19*(1+Чувствительность!$D$20)*IFERROR(LOOKUP(Предпосылки!$H$209,$C$13:$C$15,BE$13:BE$15),1)</f>
        <v>0</v>
      </c>
      <c s="125">
        <f>Предпосылки!BE$236*Предпосылки!$L270*Продажи!BF35*BF$19*(1+Чувствительность!$D$20)*IFERROR(LOOKUP(Предпосылки!$H$209,$C$13:$C$15,BF$13:BF$15),1)</f>
        <v>0</v>
      </c>
      <c s="125">
        <f>Предпосылки!BF$236*Предпосылки!$L270*Продажи!BG35*BG$19*(1+Чувствительность!$D$20)*IFERROR(LOOKUP(Предпосылки!$H$209,$C$13:$C$15,BG$13:BG$15),1)</f>
        <v>0</v>
      </c>
      <c s="125">
        <f>Предпосылки!BG$236*Предпосылки!$L270*Продажи!BH35*BH$19*(1+Чувствительность!$D$20)*IFERROR(LOOKUP(Предпосылки!$H$209,$C$13:$C$15,BH$13:BH$15),1)</f>
        <v>0</v>
      </c>
      <c s="125">
        <f>Предпосылки!BH$236*Предпосылки!$L270*Продажи!BI35*BI$19*(1+Чувствительность!$D$20)*IFERROR(LOOKUP(Предпосылки!$H$209,$C$13:$C$15,BI$13:BI$15),1)</f>
        <v>0</v>
      </c>
      <c s="125">
        <f>Предпосылки!BI$236*Предпосылки!$L270*Продажи!BJ35*BJ$19*(1+Чувствительность!$D$20)*IFERROR(LOOKUP(Предпосылки!$H$209,$C$13:$C$15,BJ$13:BJ$15),1)</f>
        <v>0</v>
      </c>
      <c s="125">
        <f>Предпосылки!BJ$236*Предпосылки!$L270*Продажи!BK35*BK$19*(1+Чувствительность!$D$20)*IFERROR(LOOKUP(Предпосылки!$H$209,$C$13:$C$15,BK$13:BK$15),1)</f>
        <v>0</v>
      </c>
      <c s="125">
        <f>Предпосылки!BK$236*Предпосылки!$L270*Продажи!BL35*BL$19*(1+Чувствительность!$D$20)*IFERROR(LOOKUP(Предпосылки!$H$209,$C$13:$C$15,BL$13:BL$15),1)</f>
        <v>0</v>
      </c>
      <c s="125">
        <f>Предпосылки!BL$236*Предпосылки!$L270*Продажи!BM35*BM$19*(1+Чувствительность!$D$20)*IFERROR(LOOKUP(Предпосылки!$H$209,$C$13:$C$15,BM$13:BM$15),1)</f>
        <v>0</v>
      </c>
    </row>
    <row r="225" spans="2:65" ht="15" customHeight="1">
      <c r="B225" s="12" t="str">
        <f t="shared" si="101"/>
        <v>Продукт 19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Предпосылки!D$236*Предпосылки!$L271*Продажи!E36*E$19*(1+Чувствительность!$D$20)*IFERROR(LOOKUP(Предпосылки!$H$209,$C$13:$C$15,E$13:E$15),1)</f>
        <v>0</v>
      </c>
      <c s="125">
        <f>Предпосылки!E$236*Предпосылки!$L271*Продажи!F36*F$19*(1+Чувствительность!$D$20)*IFERROR(LOOKUP(Предпосылки!$H$209,$C$13:$C$15,F$13:F$15),1)</f>
        <v>0</v>
      </c>
      <c s="125">
        <f>Предпосылки!F$236*Предпосылки!$L271*Продажи!G36*G$19*(1+Чувствительность!$D$20)*IFERROR(LOOKUP(Предпосылки!$H$209,$C$13:$C$15,G$13:G$15),1)</f>
        <v>0</v>
      </c>
      <c s="125">
        <f>Предпосылки!G$236*Предпосылки!$L271*Продажи!H36*H$19*(1+Чувствительность!$D$20)*IFERROR(LOOKUP(Предпосылки!$H$209,$C$13:$C$15,H$13:H$15),1)</f>
        <v>0</v>
      </c>
      <c s="125">
        <f>Предпосылки!H$236*Предпосылки!$L271*Продажи!I36*I$19*(1+Чувствительность!$D$20)*IFERROR(LOOKUP(Предпосылки!$H$209,$C$13:$C$15,I$13:I$15),1)</f>
        <v>0</v>
      </c>
      <c s="125">
        <f>Предпосылки!I$236*Предпосылки!$L271*Продажи!J36*J$19*(1+Чувствительность!$D$20)*IFERROR(LOOKUP(Предпосылки!$H$209,$C$13:$C$15,J$13:J$15),1)</f>
        <v>0</v>
      </c>
      <c s="125">
        <f>Предпосылки!J$236*Предпосылки!$L271*Продажи!K36*K$19*(1+Чувствительность!$D$20)*IFERROR(LOOKUP(Предпосылки!$H$209,$C$13:$C$15,K$13:K$15),1)</f>
        <v>0</v>
      </c>
      <c s="125">
        <f>Предпосылки!K$236*Предпосылки!$L271*Продажи!L36*L$19*(1+Чувствительность!$D$20)*IFERROR(LOOKUP(Предпосылки!$H$209,$C$13:$C$15,L$13:L$15),1)</f>
        <v>0</v>
      </c>
      <c s="125">
        <f>Предпосылки!L$236*Предпосылки!$L271*Продажи!M36*M$19*(1+Чувствительность!$D$20)*IFERROR(LOOKUP(Предпосылки!$H$209,$C$13:$C$15,M$13:M$15),1)</f>
        <v>0</v>
      </c>
      <c s="125">
        <f>Предпосылки!M$236*Предпосылки!$L271*Продажи!N36*N$19*(1+Чувствительность!$D$20)*IFERROR(LOOKUP(Предпосылки!$H$209,$C$13:$C$15,N$13:N$15),1)</f>
        <v>0</v>
      </c>
      <c s="125">
        <f>Предпосылки!N$236*Предпосылки!$L271*Продажи!O36*O$19*(1+Чувствительность!$D$20)*IFERROR(LOOKUP(Предпосылки!$H$209,$C$13:$C$15,O$13:O$15),1)</f>
        <v>0</v>
      </c>
      <c s="125">
        <f>Предпосылки!O$236*Предпосылки!$L271*Продажи!P36*P$19*(1+Чувствительность!$D$20)*IFERROR(LOOKUP(Предпосылки!$H$209,$C$13:$C$15,P$13:P$15),1)</f>
        <v>0</v>
      </c>
      <c s="125">
        <f>Предпосылки!P$236*Предпосылки!$L271*Продажи!Q36*Q$19*(1+Чувствительность!$D$20)*IFERROR(LOOKUP(Предпосылки!$H$209,$C$13:$C$15,Q$13:Q$15),1)</f>
        <v>0</v>
      </c>
      <c s="125">
        <f>Предпосылки!Q$236*Предпосылки!$L271*Продажи!R36*R$19*(1+Чувствительность!$D$20)*IFERROR(LOOKUP(Предпосылки!$H$209,$C$13:$C$15,R$13:R$15),1)</f>
        <v>0</v>
      </c>
      <c s="125">
        <f>Предпосылки!R$236*Предпосылки!$L271*Продажи!S36*S$19*(1+Чувствительность!$D$20)*IFERROR(LOOKUP(Предпосылки!$H$209,$C$13:$C$15,S$13:S$15),1)</f>
        <v>0</v>
      </c>
      <c s="125">
        <f>Предпосылки!S$236*Предпосылки!$L271*Продажи!T36*T$19*(1+Чувствительность!$D$20)*IFERROR(LOOKUP(Предпосылки!$H$209,$C$13:$C$15,T$13:T$15),1)</f>
        <v>0</v>
      </c>
      <c s="125">
        <f>Предпосылки!T$236*Предпосылки!$L271*Продажи!U36*U$19*(1+Чувствительность!$D$20)*IFERROR(LOOKUP(Предпосылки!$H$209,$C$13:$C$15,U$13:U$15),1)</f>
        <v>0</v>
      </c>
      <c s="125">
        <f>Предпосылки!U$236*Предпосылки!$L271*Продажи!V36*V$19*(1+Чувствительность!$D$20)*IFERROR(LOOKUP(Предпосылки!$H$209,$C$13:$C$15,V$13:V$15),1)</f>
        <v>0</v>
      </c>
      <c s="125">
        <f>Предпосылки!V$236*Предпосылки!$L271*Продажи!W36*W$19*(1+Чувствительность!$D$20)*IFERROR(LOOKUP(Предпосылки!$H$209,$C$13:$C$15,W$13:W$15),1)</f>
        <v>0</v>
      </c>
      <c s="125">
        <f>Предпосылки!W$236*Предпосылки!$L271*Продажи!X36*X$19*(1+Чувствительность!$D$20)*IFERROR(LOOKUP(Предпосылки!$H$209,$C$13:$C$15,X$13:X$15),1)</f>
        <v>0</v>
      </c>
      <c s="125">
        <f>Предпосылки!X$236*Предпосылки!$L271*Продажи!Y36*Y$19*(1+Чувствительность!$D$20)*IFERROR(LOOKUP(Предпосылки!$H$209,$C$13:$C$15,Y$13:Y$15),1)</f>
        <v>0</v>
      </c>
      <c s="125">
        <f>Предпосылки!Y$236*Предпосылки!$L271*Продажи!Z36*Z$19*(1+Чувствительность!$D$20)*IFERROR(LOOKUP(Предпосылки!$H$209,$C$13:$C$15,Z$13:Z$15),1)</f>
        <v>0</v>
      </c>
      <c s="125">
        <f>Предпосылки!Z$236*Предпосылки!$L271*Продажи!AA36*AA$19*(1+Чувствительность!$D$20)*IFERROR(LOOKUP(Предпосылки!$H$209,$C$13:$C$15,AA$13:AA$15),1)</f>
        <v>0</v>
      </c>
      <c s="125">
        <f>Предпосылки!AA$236*Предпосылки!$L271*Продажи!AB36*AB$19*(1+Чувствительность!$D$20)*IFERROR(LOOKUP(Предпосылки!$H$209,$C$13:$C$15,AB$13:AB$15),1)</f>
        <v>0</v>
      </c>
      <c s="125">
        <f>Предпосылки!AB$236*Предпосылки!$L271*Продажи!AC36*AC$19*(1+Чувствительность!$D$20)*IFERROR(LOOKUP(Предпосылки!$H$209,$C$13:$C$15,AC$13:AC$15),1)</f>
        <v>0</v>
      </c>
      <c s="125">
        <f>Предпосылки!AC$236*Предпосылки!$L271*Продажи!AD36*AD$19*(1+Чувствительность!$D$20)*IFERROR(LOOKUP(Предпосылки!$H$209,$C$13:$C$15,AD$13:AD$15),1)</f>
        <v>0</v>
      </c>
      <c s="125">
        <f>Предпосылки!AD$236*Предпосылки!$L271*Продажи!AE36*AE$19*(1+Чувствительность!$D$20)*IFERROR(LOOKUP(Предпосылки!$H$209,$C$13:$C$15,AE$13:AE$15),1)</f>
        <v>0</v>
      </c>
      <c s="125">
        <f>Предпосылки!AE$236*Предпосылки!$L271*Продажи!AF36*AF$19*(1+Чувствительность!$D$20)*IFERROR(LOOKUP(Предпосылки!$H$209,$C$13:$C$15,AF$13:AF$15),1)</f>
        <v>0</v>
      </c>
      <c s="125">
        <f>Предпосылки!AF$236*Предпосылки!$L271*Продажи!AG36*AG$19*(1+Чувствительность!$D$20)*IFERROR(LOOKUP(Предпосылки!$H$209,$C$13:$C$15,AG$13:AG$15),1)</f>
        <v>0</v>
      </c>
      <c s="125">
        <f>Предпосылки!AG$236*Предпосылки!$L271*Продажи!AH36*AH$19*(1+Чувствительность!$D$20)*IFERROR(LOOKUP(Предпосылки!$H$209,$C$13:$C$15,AH$13:AH$15),1)</f>
        <v>0</v>
      </c>
      <c s="125">
        <f>Предпосылки!AH$236*Предпосылки!$L271*Продажи!AI36*AI$19*(1+Чувствительность!$D$20)*IFERROR(LOOKUP(Предпосылки!$H$209,$C$13:$C$15,AI$13:AI$15),1)</f>
        <v>0</v>
      </c>
      <c s="125">
        <f>Предпосылки!AI$236*Предпосылки!$L271*Продажи!AJ36*AJ$19*(1+Чувствительность!$D$20)*IFERROR(LOOKUP(Предпосылки!$H$209,$C$13:$C$15,AJ$13:AJ$15),1)</f>
        <v>0</v>
      </c>
      <c s="125">
        <f>Предпосылки!AJ$236*Предпосылки!$L271*Продажи!AK36*AK$19*(1+Чувствительность!$D$20)*IFERROR(LOOKUP(Предпосылки!$H$209,$C$13:$C$15,AK$13:AK$15),1)</f>
        <v>0</v>
      </c>
      <c s="125">
        <f>Предпосылки!AK$236*Предпосылки!$L271*Продажи!AL36*AL$19*(1+Чувствительность!$D$20)*IFERROR(LOOKUP(Предпосылки!$H$209,$C$13:$C$15,AL$13:AL$15),1)</f>
        <v>0</v>
      </c>
      <c s="125">
        <f>Предпосылки!AL$236*Предпосылки!$L271*Продажи!AM36*AM$19*(1+Чувствительность!$D$20)*IFERROR(LOOKUP(Предпосылки!$H$209,$C$13:$C$15,AM$13:AM$15),1)</f>
        <v>0</v>
      </c>
      <c s="125">
        <f>Предпосылки!AM$236*Предпосылки!$L271*Продажи!AN36*AN$19*(1+Чувствительность!$D$20)*IFERROR(LOOKUP(Предпосылки!$H$209,$C$13:$C$15,AN$13:AN$15),1)</f>
        <v>0</v>
      </c>
      <c s="125">
        <f>Предпосылки!AN$236*Предпосылки!$L271*Продажи!AO36*AO$19*(1+Чувствительность!$D$20)*IFERROR(LOOKUP(Предпосылки!$H$209,$C$13:$C$15,AO$13:AO$15),1)</f>
        <v>0</v>
      </c>
      <c s="125">
        <f>Предпосылки!AO$236*Предпосылки!$L271*Продажи!AP36*AP$19*(1+Чувствительность!$D$20)*IFERROR(LOOKUP(Предпосылки!$H$209,$C$13:$C$15,AP$13:AP$15),1)</f>
        <v>0</v>
      </c>
      <c s="125">
        <f>Предпосылки!AP$236*Предпосылки!$L271*Продажи!AQ36*AQ$19*(1+Чувствительность!$D$20)*IFERROR(LOOKUP(Предпосылки!$H$209,$C$13:$C$15,AQ$13:AQ$15),1)</f>
        <v>0</v>
      </c>
      <c s="125">
        <f>Предпосылки!AQ$236*Предпосылки!$L271*Продажи!AR36*AR$19*(1+Чувствительность!$D$20)*IFERROR(LOOKUP(Предпосылки!$H$209,$C$13:$C$15,AR$13:AR$15),1)</f>
        <v>0</v>
      </c>
      <c s="125">
        <f>Предпосылки!AR$236*Предпосылки!$L271*Продажи!AS36*AS$19*(1+Чувствительность!$D$20)*IFERROR(LOOKUP(Предпосылки!$H$209,$C$13:$C$15,AS$13:AS$15),1)</f>
        <v>0</v>
      </c>
      <c s="125">
        <f>Предпосылки!AS$236*Предпосылки!$L271*Продажи!AT36*AT$19*(1+Чувствительность!$D$20)*IFERROR(LOOKUP(Предпосылки!$H$209,$C$13:$C$15,AT$13:AT$15),1)</f>
        <v>0</v>
      </c>
      <c s="125">
        <f>Предпосылки!AT$236*Предпосылки!$L271*Продажи!AU36*AU$19*(1+Чувствительность!$D$20)*IFERROR(LOOKUP(Предпосылки!$H$209,$C$13:$C$15,AU$13:AU$15),1)</f>
        <v>0</v>
      </c>
      <c s="125">
        <f>Предпосылки!AU$236*Предпосылки!$L271*Продажи!AV36*AV$19*(1+Чувствительность!$D$20)*IFERROR(LOOKUP(Предпосылки!$H$209,$C$13:$C$15,AV$13:AV$15),1)</f>
        <v>0</v>
      </c>
      <c s="125">
        <f>Предпосылки!AV$236*Предпосылки!$L271*Продажи!AW36*AW$19*(1+Чувствительность!$D$20)*IFERROR(LOOKUP(Предпосылки!$H$209,$C$13:$C$15,AW$13:AW$15),1)</f>
        <v>0</v>
      </c>
      <c s="125">
        <f>Предпосылки!AW$236*Предпосылки!$L271*Продажи!AX36*AX$19*(1+Чувствительность!$D$20)*IFERROR(LOOKUP(Предпосылки!$H$209,$C$13:$C$15,AX$13:AX$15),1)</f>
        <v>0</v>
      </c>
      <c s="125">
        <f>Предпосылки!AX$236*Предпосылки!$L271*Продажи!AY36*AY$19*(1+Чувствительность!$D$20)*IFERROR(LOOKUP(Предпосылки!$H$209,$C$13:$C$15,AY$13:AY$15),1)</f>
        <v>0</v>
      </c>
      <c s="125">
        <f>Предпосылки!AY$236*Предпосылки!$L271*Продажи!AZ36*AZ$19*(1+Чувствительность!$D$20)*IFERROR(LOOKUP(Предпосылки!$H$209,$C$13:$C$15,AZ$13:AZ$15),1)</f>
        <v>0</v>
      </c>
      <c s="125">
        <f>Предпосылки!AZ$236*Предпосылки!$L271*Продажи!BA36*BA$19*(1+Чувствительность!$D$20)*IFERROR(LOOKUP(Предпосылки!$H$209,$C$13:$C$15,BA$13:BA$15),1)</f>
        <v>0</v>
      </c>
      <c s="125">
        <f>Предпосылки!BA$236*Предпосылки!$L271*Продажи!BB36*BB$19*(1+Чувствительность!$D$20)*IFERROR(LOOKUP(Предпосылки!$H$209,$C$13:$C$15,BB$13:BB$15),1)</f>
        <v>0</v>
      </c>
      <c s="125">
        <f>Предпосылки!BB$236*Предпосылки!$L271*Продажи!BC36*BC$19*(1+Чувствительность!$D$20)*IFERROR(LOOKUP(Предпосылки!$H$209,$C$13:$C$15,BC$13:BC$15),1)</f>
        <v>0</v>
      </c>
      <c s="125">
        <f>Предпосылки!BC$236*Предпосылки!$L271*Продажи!BD36*BD$19*(1+Чувствительность!$D$20)*IFERROR(LOOKUP(Предпосылки!$H$209,$C$13:$C$15,BD$13:BD$15),1)</f>
        <v>0</v>
      </c>
      <c s="125">
        <f>Предпосылки!BD$236*Предпосылки!$L271*Продажи!BE36*BE$19*(1+Чувствительность!$D$20)*IFERROR(LOOKUP(Предпосылки!$H$209,$C$13:$C$15,BE$13:BE$15),1)</f>
        <v>0</v>
      </c>
      <c s="125">
        <f>Предпосылки!BE$236*Предпосылки!$L271*Продажи!BF36*BF$19*(1+Чувствительность!$D$20)*IFERROR(LOOKUP(Предпосылки!$H$209,$C$13:$C$15,BF$13:BF$15),1)</f>
        <v>0</v>
      </c>
      <c s="125">
        <f>Предпосылки!BF$236*Предпосылки!$L271*Продажи!BG36*BG$19*(1+Чувствительность!$D$20)*IFERROR(LOOKUP(Предпосылки!$H$209,$C$13:$C$15,BG$13:BG$15),1)</f>
        <v>0</v>
      </c>
      <c s="125">
        <f>Предпосылки!BG$236*Предпосылки!$L271*Продажи!BH36*BH$19*(1+Чувствительность!$D$20)*IFERROR(LOOKUP(Предпосылки!$H$209,$C$13:$C$15,BH$13:BH$15),1)</f>
        <v>0</v>
      </c>
      <c s="125">
        <f>Предпосылки!BH$236*Предпосылки!$L271*Продажи!BI36*BI$19*(1+Чувствительность!$D$20)*IFERROR(LOOKUP(Предпосылки!$H$209,$C$13:$C$15,BI$13:BI$15),1)</f>
        <v>0</v>
      </c>
      <c s="125">
        <f>Предпосылки!BI$236*Предпосылки!$L271*Продажи!BJ36*BJ$19*(1+Чувствительность!$D$20)*IFERROR(LOOKUP(Предпосылки!$H$209,$C$13:$C$15,BJ$13:BJ$15),1)</f>
        <v>0</v>
      </c>
      <c s="125">
        <f>Предпосылки!BJ$236*Предпосылки!$L271*Продажи!BK36*BK$19*(1+Чувствительность!$D$20)*IFERROR(LOOKUP(Предпосылки!$H$209,$C$13:$C$15,BK$13:BK$15),1)</f>
        <v>0</v>
      </c>
      <c s="125">
        <f>Предпосылки!BK$236*Предпосылки!$L271*Продажи!BL36*BL$19*(1+Чувствительность!$D$20)*IFERROR(LOOKUP(Предпосылки!$H$209,$C$13:$C$15,BL$13:BL$15),1)</f>
        <v>0</v>
      </c>
      <c s="125">
        <f>Предпосылки!BL$236*Предпосылки!$L271*Продажи!BM36*BM$19*(1+Чувствительность!$D$20)*IFERROR(LOOKUP(Предпосылки!$H$209,$C$13:$C$15,BM$13:BM$15),1)</f>
        <v>0</v>
      </c>
    </row>
    <row r="226" spans="2:65" ht="15" customHeight="1">
      <c r="B226" s="12" t="str">
        <f t="shared" si="101"/>
        <v>Продукт 20</v>
      </c>
      <c s="124" t="str">
        <f t="shared" si="100"/>
        <v>тыс. руб.</v>
      </c>
      <c s="276">
        <f t="shared" si="102"/>
        <v>0</v>
      </c>
      <c s="125">
        <f>Предпосылки!D$236*Предпосылки!$L272*Продажи!E37*E$19*(1+Чувствительность!$D$20)*IFERROR(LOOKUP(Предпосылки!$H$209,$C$13:$C$15,E$13:E$15),1)</f>
        <v>0</v>
      </c>
      <c s="125">
        <f>Предпосылки!E$236*Предпосылки!$L272*Продажи!F37*F$19*(1+Чувствительность!$D$20)*IFERROR(LOOKUP(Предпосылки!$H$209,$C$13:$C$15,F$13:F$15),1)</f>
        <v>0</v>
      </c>
      <c s="125">
        <f>Предпосылки!F$236*Предпосылки!$L272*Продажи!G37*G$19*(1+Чувствительность!$D$20)*IFERROR(LOOKUP(Предпосылки!$H$209,$C$13:$C$15,G$13:G$15),1)</f>
        <v>0</v>
      </c>
      <c s="125">
        <f>Предпосылки!G$236*Предпосылки!$L272*Продажи!H37*H$19*(1+Чувствительность!$D$20)*IFERROR(LOOKUP(Предпосылки!$H$209,$C$13:$C$15,H$13:H$15),1)</f>
        <v>0</v>
      </c>
      <c s="125">
        <f>Предпосылки!H$236*Предпосылки!$L272*Продажи!I37*I$19*(1+Чувствительность!$D$20)*IFERROR(LOOKUP(Предпосылки!$H$209,$C$13:$C$15,I$13:I$15),1)</f>
        <v>0</v>
      </c>
      <c s="125">
        <f>Предпосылки!I$236*Предпосылки!$L272*Продажи!J37*J$19*(1+Чувствительность!$D$20)*IFERROR(LOOKUP(Предпосылки!$H$209,$C$13:$C$15,J$13:J$15),1)</f>
        <v>0</v>
      </c>
      <c s="125">
        <f>Предпосылки!J$236*Предпосылки!$L272*Продажи!K37*K$19*(1+Чувствительность!$D$20)*IFERROR(LOOKUP(Предпосылки!$H$209,$C$13:$C$15,K$13:K$15),1)</f>
        <v>0</v>
      </c>
      <c s="125">
        <f>Предпосылки!K$236*Предпосылки!$L272*Продажи!L37*L$19*(1+Чувствительность!$D$20)*IFERROR(LOOKUP(Предпосылки!$H$209,$C$13:$C$15,L$13:L$15),1)</f>
        <v>0</v>
      </c>
      <c s="125">
        <f>Предпосылки!L$236*Предпосылки!$L272*Продажи!M37*M$19*(1+Чувствительность!$D$20)*IFERROR(LOOKUP(Предпосылки!$H$209,$C$13:$C$15,M$13:M$15),1)</f>
        <v>0</v>
      </c>
      <c s="125">
        <f>Предпосылки!M$236*Предпосылки!$L272*Продажи!N37*N$19*(1+Чувствительность!$D$20)*IFERROR(LOOKUP(Предпосылки!$H$209,$C$13:$C$15,N$13:N$15),1)</f>
        <v>0</v>
      </c>
      <c s="125">
        <f>Предпосылки!N$236*Предпосылки!$L272*Продажи!O37*O$19*(1+Чувствительность!$D$20)*IFERROR(LOOKUP(Предпосылки!$H$209,$C$13:$C$15,O$13:O$15),1)</f>
        <v>0</v>
      </c>
      <c s="125">
        <f>Предпосылки!O$236*Предпосылки!$L272*Продажи!P37*P$19*(1+Чувствительность!$D$20)*IFERROR(LOOKUP(Предпосылки!$H$209,$C$13:$C$15,P$13:P$15),1)</f>
        <v>0</v>
      </c>
      <c s="125">
        <f>Предпосылки!P$236*Предпосылки!$L272*Продажи!Q37*Q$19*(1+Чувствительность!$D$20)*IFERROR(LOOKUP(Предпосылки!$H$209,$C$13:$C$15,Q$13:Q$15),1)</f>
        <v>0</v>
      </c>
      <c s="125">
        <f>Предпосылки!Q$236*Предпосылки!$L272*Продажи!R37*R$19*(1+Чувствительность!$D$20)*IFERROR(LOOKUP(Предпосылки!$H$209,$C$13:$C$15,R$13:R$15),1)</f>
        <v>0</v>
      </c>
      <c s="125">
        <f>Предпосылки!R$236*Предпосылки!$L272*Продажи!S37*S$19*(1+Чувствительность!$D$20)*IFERROR(LOOKUP(Предпосылки!$H$209,$C$13:$C$15,S$13:S$15),1)</f>
        <v>0</v>
      </c>
      <c s="125">
        <f>Предпосылки!S$236*Предпосылки!$L272*Продажи!T37*T$19*(1+Чувствительность!$D$20)*IFERROR(LOOKUP(Предпосылки!$H$209,$C$13:$C$15,T$13:T$15),1)</f>
        <v>0</v>
      </c>
      <c s="125">
        <f>Предпосылки!T$236*Предпосылки!$L272*Продажи!U37*U$19*(1+Чувствительность!$D$20)*IFERROR(LOOKUP(Предпосылки!$H$209,$C$13:$C$15,U$13:U$15),1)</f>
        <v>0</v>
      </c>
      <c s="125">
        <f>Предпосылки!U$236*Предпосылки!$L272*Продажи!V37*V$19*(1+Чувствительность!$D$20)*IFERROR(LOOKUP(Предпосылки!$H$209,$C$13:$C$15,V$13:V$15),1)</f>
        <v>0</v>
      </c>
      <c s="125">
        <f>Предпосылки!V$236*Предпосылки!$L272*Продажи!W37*W$19*(1+Чувствительность!$D$20)*IFERROR(LOOKUP(Предпосылки!$H$209,$C$13:$C$15,W$13:W$15),1)</f>
        <v>0</v>
      </c>
      <c s="125">
        <f>Предпосылки!W$236*Предпосылки!$L272*Продажи!X37*X$19*(1+Чувствительность!$D$20)*IFERROR(LOOKUP(Предпосылки!$H$209,$C$13:$C$15,X$13:X$15),1)</f>
        <v>0</v>
      </c>
      <c s="125">
        <f>Предпосылки!X$236*Предпосылки!$L272*Продажи!Y37*Y$19*(1+Чувствительность!$D$20)*IFERROR(LOOKUP(Предпосылки!$H$209,$C$13:$C$15,Y$13:Y$15),1)</f>
        <v>0</v>
      </c>
      <c s="125">
        <f>Предпосылки!Y$236*Предпосылки!$L272*Продажи!Z37*Z$19*(1+Чувствительность!$D$20)*IFERROR(LOOKUP(Предпосылки!$H$209,$C$13:$C$15,Z$13:Z$15),1)</f>
        <v>0</v>
      </c>
      <c s="125">
        <f>Предпосылки!Z$236*Предпосылки!$L272*Продажи!AA37*AA$19*(1+Чувствительность!$D$20)*IFERROR(LOOKUP(Предпосылки!$H$209,$C$13:$C$15,AA$13:AA$15),1)</f>
        <v>0</v>
      </c>
      <c s="125">
        <f>Предпосылки!AA$236*Предпосылки!$L272*Продажи!AB37*AB$19*(1+Чувствительность!$D$20)*IFERROR(LOOKUP(Предпосылки!$H$209,$C$13:$C$15,AB$13:AB$15),1)</f>
        <v>0</v>
      </c>
      <c s="125">
        <f>Предпосылки!AB$236*Предпосылки!$L272*Продажи!AC37*AC$19*(1+Чувствительность!$D$20)*IFERROR(LOOKUP(Предпосылки!$H$209,$C$13:$C$15,AC$13:AC$15),1)</f>
        <v>0</v>
      </c>
      <c s="125">
        <f>Предпосылки!AC$236*Предпосылки!$L272*Продажи!AD37*AD$19*(1+Чувствительность!$D$20)*IFERROR(LOOKUP(Предпосылки!$H$209,$C$13:$C$15,AD$13:AD$15),1)</f>
        <v>0</v>
      </c>
      <c s="125">
        <f>Предпосылки!AD$236*Предпосылки!$L272*Продажи!AE37*AE$19*(1+Чувствительность!$D$20)*IFERROR(LOOKUP(Предпосылки!$H$209,$C$13:$C$15,AE$13:AE$15),1)</f>
        <v>0</v>
      </c>
      <c s="125">
        <f>Предпосылки!AE$236*Предпосылки!$L272*Продажи!AF37*AF$19*(1+Чувствительность!$D$20)*IFERROR(LOOKUP(Предпосылки!$H$209,$C$13:$C$15,AF$13:AF$15),1)</f>
        <v>0</v>
      </c>
      <c s="125">
        <f>Предпосылки!AF$236*Предпосылки!$L272*Продажи!AG37*AG$19*(1+Чувствительность!$D$20)*IFERROR(LOOKUP(Предпосылки!$H$209,$C$13:$C$15,AG$13:AG$15),1)</f>
        <v>0</v>
      </c>
      <c s="125">
        <f>Предпосылки!AG$236*Предпосылки!$L272*Продажи!AH37*AH$19*(1+Чувствительность!$D$20)*IFERROR(LOOKUP(Предпосылки!$H$209,$C$13:$C$15,AH$13:AH$15),1)</f>
        <v>0</v>
      </c>
      <c s="125">
        <f>Предпосылки!AH$236*Предпосылки!$L272*Продажи!AI37*AI$19*(1+Чувствительность!$D$20)*IFERROR(LOOKUP(Предпосылки!$H$209,$C$13:$C$15,AI$13:AI$15),1)</f>
        <v>0</v>
      </c>
      <c s="125">
        <f>Предпосылки!AI$236*Предпосылки!$L272*Продажи!AJ37*AJ$19*(1+Чувствительность!$D$20)*IFERROR(LOOKUP(Предпосылки!$H$209,$C$13:$C$15,AJ$13:AJ$15),1)</f>
        <v>0</v>
      </c>
      <c s="125">
        <f>Предпосылки!AJ$236*Предпосылки!$L272*Продажи!AK37*AK$19*(1+Чувствительность!$D$20)*IFERROR(LOOKUP(Предпосылки!$H$209,$C$13:$C$15,AK$13:AK$15),1)</f>
        <v>0</v>
      </c>
      <c s="125">
        <f>Предпосылки!AK$236*Предпосылки!$L272*Продажи!AL37*AL$19*(1+Чувствительность!$D$20)*IFERROR(LOOKUP(Предпосылки!$H$209,$C$13:$C$15,AL$13:AL$15),1)</f>
        <v>0</v>
      </c>
      <c s="125">
        <f>Предпосылки!AL$236*Предпосылки!$L272*Продажи!AM37*AM$19*(1+Чувствительность!$D$20)*IFERROR(LOOKUP(Предпосылки!$H$209,$C$13:$C$15,AM$13:AM$15),1)</f>
        <v>0</v>
      </c>
      <c s="125">
        <f>Предпосылки!AM$236*Предпосылки!$L272*Продажи!AN37*AN$19*(1+Чувствительность!$D$20)*IFERROR(LOOKUP(Предпосылки!$H$209,$C$13:$C$15,AN$13:AN$15),1)</f>
        <v>0</v>
      </c>
      <c s="125">
        <f>Предпосылки!AN$236*Предпосылки!$L272*Продажи!AO37*AO$19*(1+Чувствительность!$D$20)*IFERROR(LOOKUP(Предпосылки!$H$209,$C$13:$C$15,AO$13:AO$15),1)</f>
        <v>0</v>
      </c>
      <c s="125">
        <f>Предпосылки!AO$236*Предпосылки!$L272*Продажи!AP37*AP$19*(1+Чувствительность!$D$20)*IFERROR(LOOKUP(Предпосылки!$H$209,$C$13:$C$15,AP$13:AP$15),1)</f>
        <v>0</v>
      </c>
      <c s="125">
        <f>Предпосылки!AP$236*Предпосылки!$L272*Продажи!AQ37*AQ$19*(1+Чувствительность!$D$20)*IFERROR(LOOKUP(Предпосылки!$H$209,$C$13:$C$15,AQ$13:AQ$15),1)</f>
        <v>0</v>
      </c>
      <c s="125">
        <f>Предпосылки!AQ$236*Предпосылки!$L272*Продажи!AR37*AR$19*(1+Чувствительность!$D$20)*IFERROR(LOOKUP(Предпосылки!$H$209,$C$13:$C$15,AR$13:AR$15),1)</f>
        <v>0</v>
      </c>
      <c s="125">
        <f>Предпосылки!AR$236*Предпосылки!$L272*Продажи!AS37*AS$19*(1+Чувствительность!$D$20)*IFERROR(LOOKUP(Предпосылки!$H$209,$C$13:$C$15,AS$13:AS$15),1)</f>
        <v>0</v>
      </c>
      <c s="125">
        <f>Предпосылки!AS$236*Предпосылки!$L272*Продажи!AT37*AT$19*(1+Чувствительность!$D$20)*IFERROR(LOOKUP(Предпосылки!$H$209,$C$13:$C$15,AT$13:AT$15),1)</f>
        <v>0</v>
      </c>
      <c s="125">
        <f>Предпосылки!AT$236*Предпосылки!$L272*Продажи!AU37*AU$19*(1+Чувствительность!$D$20)*IFERROR(LOOKUP(Предпосылки!$H$209,$C$13:$C$15,AU$13:AU$15),1)</f>
        <v>0</v>
      </c>
      <c s="125">
        <f>Предпосылки!AU$236*Предпосылки!$L272*Продажи!AV37*AV$19*(1+Чувствительность!$D$20)*IFERROR(LOOKUP(Предпосылки!$H$209,$C$13:$C$15,AV$13:AV$15),1)</f>
        <v>0</v>
      </c>
      <c s="125">
        <f>Предпосылки!AV$236*Предпосылки!$L272*Продажи!AW37*AW$19*(1+Чувствительность!$D$20)*IFERROR(LOOKUP(Предпосылки!$H$209,$C$13:$C$15,AW$13:AW$15),1)</f>
        <v>0</v>
      </c>
      <c s="125">
        <f>Предпосылки!AW$236*Предпосылки!$L272*Продажи!AX37*AX$19*(1+Чувствительность!$D$20)*IFERROR(LOOKUP(Предпосылки!$H$209,$C$13:$C$15,AX$13:AX$15),1)</f>
        <v>0</v>
      </c>
      <c s="125">
        <f>Предпосылки!AX$236*Предпосылки!$L272*Продажи!AY37*AY$19*(1+Чувствительность!$D$20)*IFERROR(LOOKUP(Предпосылки!$H$209,$C$13:$C$15,AY$13:AY$15),1)</f>
        <v>0</v>
      </c>
      <c s="125">
        <f>Предпосылки!AY$236*Предпосылки!$L272*Продажи!AZ37*AZ$19*(1+Чувствительность!$D$20)*IFERROR(LOOKUP(Предпосылки!$H$209,$C$13:$C$15,AZ$13:AZ$15),1)</f>
        <v>0</v>
      </c>
      <c s="125">
        <f>Предпосылки!AZ$236*Предпосылки!$L272*Продажи!BA37*BA$19*(1+Чувствительность!$D$20)*IFERROR(LOOKUP(Предпосылки!$H$209,$C$13:$C$15,BA$13:BA$15),1)</f>
        <v>0</v>
      </c>
      <c s="125">
        <f>Предпосылки!BA$236*Предпосылки!$L272*Продажи!BB37*BB$19*(1+Чувствительность!$D$20)*IFERROR(LOOKUP(Предпосылки!$H$209,$C$13:$C$15,BB$13:BB$15),1)</f>
        <v>0</v>
      </c>
      <c s="125">
        <f>Предпосылки!BB$236*Предпосылки!$L272*Продажи!BC37*BC$19*(1+Чувствительность!$D$20)*IFERROR(LOOKUP(Предпосылки!$H$209,$C$13:$C$15,BC$13:BC$15),1)</f>
        <v>0</v>
      </c>
      <c s="125">
        <f>Предпосылки!BC$236*Предпосылки!$L272*Продажи!BD37*BD$19*(1+Чувствительность!$D$20)*IFERROR(LOOKUP(Предпосылки!$H$209,$C$13:$C$15,BD$13:BD$15),1)</f>
        <v>0</v>
      </c>
      <c s="125">
        <f>Предпосылки!BD$236*Предпосылки!$L272*Продажи!BE37*BE$19*(1+Чувствительность!$D$20)*IFERROR(LOOKUP(Предпосылки!$H$209,$C$13:$C$15,BE$13:BE$15),1)</f>
        <v>0</v>
      </c>
      <c s="125">
        <f>Предпосылки!BE$236*Предпосылки!$L272*Продажи!BF37*BF$19*(1+Чувствительность!$D$20)*IFERROR(LOOKUP(Предпосылки!$H$209,$C$13:$C$15,BF$13:BF$15),1)</f>
        <v>0</v>
      </c>
      <c s="125">
        <f>Предпосылки!BF$236*Предпосылки!$L272*Продажи!BG37*BG$19*(1+Чувствительность!$D$20)*IFERROR(LOOKUP(Предпосылки!$H$209,$C$13:$C$15,BG$13:BG$15),1)</f>
        <v>0</v>
      </c>
      <c s="125">
        <f>Предпосылки!BG$236*Предпосылки!$L272*Продажи!BH37*BH$19*(1+Чувствительность!$D$20)*IFERROR(LOOKUP(Предпосылки!$H$209,$C$13:$C$15,BH$13:BH$15),1)</f>
        <v>0</v>
      </c>
      <c s="125">
        <f>Предпосылки!BH$236*Предпосылки!$L272*Продажи!BI37*BI$19*(1+Чувствительность!$D$20)*IFERROR(LOOKUP(Предпосылки!$H$209,$C$13:$C$15,BI$13:BI$15),1)</f>
        <v>0</v>
      </c>
      <c s="125">
        <f>Предпосылки!BI$236*Предпосылки!$L272*Продажи!BJ37*BJ$19*(1+Чувствительность!$D$20)*IFERROR(LOOKUP(Предпосылки!$H$209,$C$13:$C$15,BJ$13:BJ$15),1)</f>
        <v>0</v>
      </c>
      <c s="125">
        <f>Предпосылки!BJ$236*Предпосылки!$L272*Продажи!BK37*BK$19*(1+Чувствительность!$D$20)*IFERROR(LOOKUP(Предпосылки!$H$209,$C$13:$C$15,BK$13:BK$15),1)</f>
        <v>0</v>
      </c>
      <c s="125">
        <f>Предпосылки!BK$236*Предпосылки!$L272*Продажи!BL37*BL$19*(1+Чувствительность!$D$20)*IFERROR(LOOKUP(Предпосылки!$H$209,$C$13:$C$15,BL$13:BL$15),1)</f>
        <v>0</v>
      </c>
      <c s="125">
        <f>Предпосылки!BL$236*Предпосылки!$L272*Продажи!BM37*BM$19*(1+Чувствительность!$D$20)*IFERROR(LOOKUP(Предпосылки!$H$209,$C$13:$C$15,BM$13:BM$15),1)</f>
        <v>0</v>
      </c>
    </row>
    <row r="227" spans="2:65" ht="15" customHeight="1">
      <c r="B227" s="289" t="s">
        <v>454</v>
      </c>
      <c s="290" t="str">
        <f>Единица_измерения</f>
        <v>тыс. руб.</v>
      </c>
      <c s="291">
        <f>SUM(D207:D226)</f>
        <v>0</v>
      </c>
      <c s="276">
        <f>SUM(E207:E226)</f>
        <v>0</v>
      </c>
      <c s="276">
        <f t="shared" si="103" ref="F227:AG227">SUM(F207:F226)</f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4" ref="AH227:BM227">SUM(AH207:AH226)</f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</row>
    <row r="228" ht="15" customHeight="1"/>
    <row r="229" spans="2:69" ht="14.45">
      <c r="B229" s="25" t="str">
        <f>Предпосылки!B237</f>
        <v>Операционные затраты 10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0" spans="2:65" ht="15" customHeight="1">
      <c r="B230" s="12" t="str">
        <f>B207</f>
        <v>Продукт 1</v>
      </c>
      <c s="124" t="str">
        <f t="shared" si="105" ref="C230:C249">Единица_измерения</f>
        <v>тыс. руб.</v>
      </c>
      <c s="276">
        <f>SUM(E230:BM230)</f>
        <v>0</v>
      </c>
      <c s="125">
        <f>Предпосылки!D$237*Предпосылки!$M253*Продажи!E18*E$19*(1+Чувствительность!$D$20)*IFERROR(LOOKUP(Предпосылки!$H$210,$C$13:$C$15,E$13:E$15),1)</f>
        <v>0</v>
      </c>
      <c s="125">
        <f>Предпосылки!E$237*Предпосылки!$M253*Продажи!F18*F$19*(1+Чувствительность!$D$20)*IFERROR(LOOKUP(Предпосылки!$H$210,$C$13:$C$15,F$13:F$15),1)</f>
        <v>0</v>
      </c>
      <c s="125">
        <f>Предпосылки!F$237*Предпосылки!$M253*Продажи!G18*G$19*(1+Чувствительность!$D$20)*IFERROR(LOOKUP(Предпосылки!$H$210,$C$13:$C$15,G$13:G$15),1)</f>
        <v>0</v>
      </c>
      <c s="125">
        <f>Предпосылки!G$237*Предпосылки!$M253*Продажи!H18*H$19*(1+Чувствительность!$D$20)*IFERROR(LOOKUP(Предпосылки!$H$210,$C$13:$C$15,H$13:H$15),1)</f>
        <v>0</v>
      </c>
      <c s="125">
        <f>Предпосылки!H$237*Предпосылки!$M253*Продажи!I18*I$19*(1+Чувствительность!$D$20)*IFERROR(LOOKUP(Предпосылки!$H$210,$C$13:$C$15,I$13:I$15),1)</f>
        <v>0</v>
      </c>
      <c s="125">
        <f>Предпосылки!I$237*Предпосылки!$M253*Продажи!J18*J$19*(1+Чувствительность!$D$20)*IFERROR(LOOKUP(Предпосылки!$H$210,$C$13:$C$15,J$13:J$15),1)</f>
        <v>0</v>
      </c>
      <c s="125">
        <f>Предпосылки!J$237*Предпосылки!$M253*Продажи!K18*K$19*(1+Чувствительность!$D$20)*IFERROR(LOOKUP(Предпосылки!$H$210,$C$13:$C$15,K$13:K$15),1)</f>
        <v>0</v>
      </c>
      <c s="125">
        <f>Предпосылки!K$237*Предпосылки!$M253*Продажи!L18*L$19*(1+Чувствительность!$D$20)*IFERROR(LOOKUP(Предпосылки!$H$210,$C$13:$C$15,L$13:L$15),1)</f>
        <v>0</v>
      </c>
      <c s="125">
        <f>Предпосылки!L$237*Предпосылки!$M253*Продажи!M18*M$19*(1+Чувствительность!$D$20)*IFERROR(LOOKUP(Предпосылки!$H$210,$C$13:$C$15,M$13:M$15),1)</f>
        <v>0</v>
      </c>
      <c s="125">
        <f>Предпосылки!M$237*Предпосылки!$M253*Продажи!N18*N$19*(1+Чувствительность!$D$20)*IFERROR(LOOKUP(Предпосылки!$H$210,$C$13:$C$15,N$13:N$15),1)</f>
        <v>0</v>
      </c>
      <c s="125">
        <f>Предпосылки!N$237*Предпосылки!$M253*Продажи!O18*O$19*(1+Чувствительность!$D$20)*IFERROR(LOOKUP(Предпосылки!$H$210,$C$13:$C$15,O$13:O$15),1)</f>
        <v>0</v>
      </c>
      <c s="125">
        <f>Предпосылки!O$237*Предпосылки!$M253*Продажи!P18*P$19*(1+Чувствительность!$D$20)*IFERROR(LOOKUP(Предпосылки!$H$210,$C$13:$C$15,P$13:P$15),1)</f>
        <v>0</v>
      </c>
      <c s="125">
        <f>Предпосылки!P$237*Предпосылки!$M253*Продажи!Q18*Q$19*(1+Чувствительность!$D$20)*IFERROR(LOOKUP(Предпосылки!$H$210,$C$13:$C$15,Q$13:Q$15),1)</f>
        <v>0</v>
      </c>
      <c s="125">
        <f>Предпосылки!Q$237*Предпосылки!$M253*Продажи!R18*R$19*(1+Чувствительность!$D$20)*IFERROR(LOOKUP(Предпосылки!$H$210,$C$13:$C$15,R$13:R$15),1)</f>
        <v>0</v>
      </c>
      <c s="125">
        <f>Предпосылки!R$237*Предпосылки!$M253*Продажи!S18*S$19*(1+Чувствительность!$D$20)*IFERROR(LOOKUP(Предпосылки!$H$210,$C$13:$C$15,S$13:S$15),1)</f>
        <v>0</v>
      </c>
      <c s="125">
        <f>Предпосылки!S$237*Предпосылки!$M253*Продажи!T18*T$19*(1+Чувствительность!$D$20)*IFERROR(LOOKUP(Предпосылки!$H$210,$C$13:$C$15,T$13:T$15),1)</f>
        <v>0</v>
      </c>
      <c s="125">
        <f>Предпосылки!T$237*Предпосылки!$M253*Продажи!U18*U$19*(1+Чувствительность!$D$20)*IFERROR(LOOKUP(Предпосылки!$H$210,$C$13:$C$15,U$13:U$15),1)</f>
        <v>0</v>
      </c>
      <c s="125">
        <f>Предпосылки!U$237*Предпосылки!$M253*Продажи!V18*V$19*(1+Чувствительность!$D$20)*IFERROR(LOOKUP(Предпосылки!$H$210,$C$13:$C$15,V$13:V$15),1)</f>
        <v>0</v>
      </c>
      <c s="125">
        <f>Предпосылки!V$237*Предпосылки!$M253*Продажи!W18*W$19*(1+Чувствительность!$D$20)*IFERROR(LOOKUP(Предпосылки!$H$210,$C$13:$C$15,W$13:W$15),1)</f>
        <v>0</v>
      </c>
      <c s="125">
        <f>Предпосылки!W$237*Предпосылки!$M253*Продажи!X18*X$19*(1+Чувствительность!$D$20)*IFERROR(LOOKUP(Предпосылки!$H$210,$C$13:$C$15,X$13:X$15),1)</f>
        <v>0</v>
      </c>
      <c s="125">
        <f>Предпосылки!X$237*Предпосылки!$M253*Продажи!Y18*Y$19*(1+Чувствительность!$D$20)*IFERROR(LOOKUP(Предпосылки!$H$210,$C$13:$C$15,Y$13:Y$15),1)</f>
        <v>0</v>
      </c>
      <c s="125">
        <f>Предпосылки!Y$237*Предпосылки!$M253*Продажи!Z18*Z$19*(1+Чувствительность!$D$20)*IFERROR(LOOKUP(Предпосылки!$H$210,$C$13:$C$15,Z$13:Z$15),1)</f>
        <v>0</v>
      </c>
      <c s="125">
        <f>Предпосылки!Z$237*Предпосылки!$M253*Продажи!AA18*AA$19*(1+Чувствительность!$D$20)*IFERROR(LOOKUP(Предпосылки!$H$210,$C$13:$C$15,AA$13:AA$15),1)</f>
        <v>0</v>
      </c>
      <c s="125">
        <f>Предпосылки!AA$237*Предпосылки!$M253*Продажи!AB18*AB$19*(1+Чувствительность!$D$20)*IFERROR(LOOKUP(Предпосылки!$H$210,$C$13:$C$15,AB$13:AB$15),1)</f>
        <v>0</v>
      </c>
      <c s="125">
        <f>Предпосылки!AB$237*Предпосылки!$M253*Продажи!AC18*AC$19*(1+Чувствительность!$D$20)*IFERROR(LOOKUP(Предпосылки!$H$210,$C$13:$C$15,AC$13:AC$15),1)</f>
        <v>0</v>
      </c>
      <c s="125">
        <f>Предпосылки!AC$237*Предпосылки!$M253*Продажи!AD18*AD$19*(1+Чувствительность!$D$20)*IFERROR(LOOKUP(Предпосылки!$H$210,$C$13:$C$15,AD$13:AD$15),1)</f>
        <v>0</v>
      </c>
      <c s="125">
        <f>Предпосылки!AD$237*Предпосылки!$M253*Продажи!AE18*AE$19*(1+Чувствительность!$D$20)*IFERROR(LOOKUP(Предпосылки!$H$210,$C$13:$C$15,AE$13:AE$15),1)</f>
        <v>0</v>
      </c>
      <c s="125">
        <f>Предпосылки!AE$237*Предпосылки!$M253*Продажи!AF18*AF$19*(1+Чувствительность!$D$20)*IFERROR(LOOKUP(Предпосылки!$H$210,$C$13:$C$15,AF$13:AF$15),1)</f>
        <v>0</v>
      </c>
      <c s="125">
        <f>Предпосылки!AF$237*Предпосылки!$M253*Продажи!AG18*AG$19*(1+Чувствительность!$D$20)*IFERROR(LOOKUP(Предпосылки!$H$210,$C$13:$C$15,AG$13:AG$15),1)</f>
        <v>0</v>
      </c>
      <c s="125">
        <f>Предпосылки!AG$237*Предпосылки!$M253*Продажи!AH18*AH$19*(1+Чувствительность!$D$20)*IFERROR(LOOKUP(Предпосылки!$H$210,$C$13:$C$15,AH$13:AH$15),1)</f>
        <v>0</v>
      </c>
      <c s="125">
        <f>Предпосылки!AH$237*Предпосылки!$M253*Продажи!AI18*AI$19*(1+Чувствительность!$D$20)*IFERROR(LOOKUP(Предпосылки!$H$210,$C$13:$C$15,AI$13:AI$15),1)</f>
        <v>0</v>
      </c>
      <c s="125">
        <f>Предпосылки!AI$237*Предпосылки!$M253*Продажи!AJ18*AJ$19*(1+Чувствительность!$D$20)*IFERROR(LOOKUP(Предпосылки!$H$210,$C$13:$C$15,AJ$13:AJ$15),1)</f>
        <v>0</v>
      </c>
      <c s="125">
        <f>Предпосылки!AJ$237*Предпосылки!$M253*Продажи!AK18*AK$19*(1+Чувствительность!$D$20)*IFERROR(LOOKUP(Предпосылки!$H$210,$C$13:$C$15,AK$13:AK$15),1)</f>
        <v>0</v>
      </c>
      <c s="125">
        <f>Предпосылки!AK$237*Предпосылки!$M253*Продажи!AL18*AL$19*(1+Чувствительность!$D$20)*IFERROR(LOOKUP(Предпосылки!$H$210,$C$13:$C$15,AL$13:AL$15),1)</f>
        <v>0</v>
      </c>
      <c s="125">
        <f>Предпосылки!AL$237*Предпосылки!$M253*Продажи!AM18*AM$19*(1+Чувствительность!$D$20)*IFERROR(LOOKUP(Предпосылки!$H$210,$C$13:$C$15,AM$13:AM$15),1)</f>
        <v>0</v>
      </c>
      <c s="125">
        <f>Предпосылки!AM$237*Предпосылки!$M253*Продажи!AN18*AN$19*(1+Чувствительность!$D$20)*IFERROR(LOOKUP(Предпосылки!$H$210,$C$13:$C$15,AN$13:AN$15),1)</f>
        <v>0</v>
      </c>
      <c s="125">
        <f>Предпосылки!AN$237*Предпосылки!$M253*Продажи!AO18*AO$19*(1+Чувствительность!$D$20)*IFERROR(LOOKUP(Предпосылки!$H$210,$C$13:$C$15,AO$13:AO$15),1)</f>
        <v>0</v>
      </c>
      <c s="125">
        <f>Предпосылки!AO$237*Предпосылки!$M253*Продажи!AP18*AP$19*(1+Чувствительность!$D$20)*IFERROR(LOOKUP(Предпосылки!$H$210,$C$13:$C$15,AP$13:AP$15),1)</f>
        <v>0</v>
      </c>
      <c s="125">
        <f>Предпосылки!AP$237*Предпосылки!$M253*Продажи!AQ18*AQ$19*(1+Чувствительность!$D$20)*IFERROR(LOOKUP(Предпосылки!$H$210,$C$13:$C$15,AQ$13:AQ$15),1)</f>
        <v>0</v>
      </c>
      <c s="125">
        <f>Предпосылки!AQ$237*Предпосылки!$M253*Продажи!AR18*AR$19*(1+Чувствительность!$D$20)*IFERROR(LOOKUP(Предпосылки!$H$210,$C$13:$C$15,AR$13:AR$15),1)</f>
        <v>0</v>
      </c>
      <c s="125">
        <f>Предпосылки!AR$237*Предпосылки!$M253*Продажи!AS18*AS$19*(1+Чувствительность!$D$20)*IFERROR(LOOKUP(Предпосылки!$H$210,$C$13:$C$15,AS$13:AS$15),1)</f>
        <v>0</v>
      </c>
      <c s="125">
        <f>Предпосылки!AS$237*Предпосылки!$M253*Продажи!AT18*AT$19*(1+Чувствительность!$D$20)*IFERROR(LOOKUP(Предпосылки!$H$210,$C$13:$C$15,AT$13:AT$15),1)</f>
        <v>0</v>
      </c>
      <c s="125">
        <f>Предпосылки!AT$237*Предпосылки!$M253*Продажи!AU18*AU$19*(1+Чувствительность!$D$20)*IFERROR(LOOKUP(Предпосылки!$H$210,$C$13:$C$15,AU$13:AU$15),1)</f>
        <v>0</v>
      </c>
      <c s="125">
        <f>Предпосылки!AU$237*Предпосылки!$M253*Продажи!AV18*AV$19*(1+Чувствительность!$D$20)*IFERROR(LOOKUP(Предпосылки!$H$210,$C$13:$C$15,AV$13:AV$15),1)</f>
        <v>0</v>
      </c>
      <c s="125">
        <f>Предпосылки!AV$237*Предпосылки!$M253*Продажи!AW18*AW$19*(1+Чувствительность!$D$20)*IFERROR(LOOKUP(Предпосылки!$H$210,$C$13:$C$15,AW$13:AW$15),1)</f>
        <v>0</v>
      </c>
      <c s="125">
        <f>Предпосылки!AW$237*Предпосылки!$M253*Продажи!AX18*AX$19*(1+Чувствительность!$D$20)*IFERROR(LOOKUP(Предпосылки!$H$210,$C$13:$C$15,AX$13:AX$15),1)</f>
        <v>0</v>
      </c>
      <c s="125">
        <f>Предпосылки!AX$237*Предпосылки!$M253*Продажи!AY18*AY$19*(1+Чувствительность!$D$20)*IFERROR(LOOKUP(Предпосылки!$H$210,$C$13:$C$15,AY$13:AY$15),1)</f>
        <v>0</v>
      </c>
      <c s="125">
        <f>Предпосылки!AY$237*Предпосылки!$M253*Продажи!AZ18*AZ$19*(1+Чувствительность!$D$20)*IFERROR(LOOKUP(Предпосылки!$H$210,$C$13:$C$15,AZ$13:AZ$15),1)</f>
        <v>0</v>
      </c>
      <c s="125">
        <f>Предпосылки!AZ$237*Предпосылки!$M253*Продажи!BA18*BA$19*(1+Чувствительность!$D$20)*IFERROR(LOOKUP(Предпосылки!$H$210,$C$13:$C$15,BA$13:BA$15),1)</f>
        <v>0</v>
      </c>
      <c s="125">
        <f>Предпосылки!BA$237*Предпосылки!$M253*Продажи!BB18*BB$19*(1+Чувствительность!$D$20)*IFERROR(LOOKUP(Предпосылки!$H$210,$C$13:$C$15,BB$13:BB$15),1)</f>
        <v>0</v>
      </c>
      <c s="125">
        <f>Предпосылки!BB$237*Предпосылки!$M253*Продажи!BC18*BC$19*(1+Чувствительность!$D$20)*IFERROR(LOOKUP(Предпосылки!$H$210,$C$13:$C$15,BC$13:BC$15),1)</f>
        <v>0</v>
      </c>
      <c s="125">
        <f>Предпосылки!BC$237*Предпосылки!$M253*Продажи!BD18*BD$19*(1+Чувствительность!$D$20)*IFERROR(LOOKUP(Предпосылки!$H$210,$C$13:$C$15,BD$13:BD$15),1)</f>
        <v>0</v>
      </c>
      <c s="125">
        <f>Предпосылки!BD$237*Предпосылки!$M253*Продажи!BE18*BE$19*(1+Чувствительность!$D$20)*IFERROR(LOOKUP(Предпосылки!$H$210,$C$13:$C$15,BE$13:BE$15),1)</f>
        <v>0</v>
      </c>
      <c s="125">
        <f>Предпосылки!BE$237*Предпосылки!$M253*Продажи!BF18*BF$19*(1+Чувствительность!$D$20)*IFERROR(LOOKUP(Предпосылки!$H$210,$C$13:$C$15,BF$13:BF$15),1)</f>
        <v>0</v>
      </c>
      <c s="125">
        <f>Предпосылки!BF$237*Предпосылки!$M253*Продажи!BG18*BG$19*(1+Чувствительность!$D$20)*IFERROR(LOOKUP(Предпосылки!$H$210,$C$13:$C$15,BG$13:BG$15),1)</f>
        <v>0</v>
      </c>
      <c s="125">
        <f>Предпосылки!BG$237*Предпосылки!$M253*Продажи!BH18*BH$19*(1+Чувствительность!$D$20)*IFERROR(LOOKUP(Предпосылки!$H$210,$C$13:$C$15,BH$13:BH$15),1)</f>
        <v>0</v>
      </c>
      <c s="125">
        <f>Предпосылки!BH$237*Предпосылки!$M253*Продажи!BI18*BI$19*(1+Чувствительность!$D$20)*IFERROR(LOOKUP(Предпосылки!$H$210,$C$13:$C$15,BI$13:BI$15),1)</f>
        <v>0</v>
      </c>
      <c s="125">
        <f>Предпосылки!BI$237*Предпосылки!$M253*Продажи!BJ18*BJ$19*(1+Чувствительность!$D$20)*IFERROR(LOOKUP(Предпосылки!$H$210,$C$13:$C$15,BJ$13:BJ$15),1)</f>
        <v>0</v>
      </c>
      <c s="125">
        <f>Предпосылки!BJ$237*Предпосылки!$M253*Продажи!BK18*BK$19*(1+Чувствительность!$D$20)*IFERROR(LOOKUP(Предпосылки!$H$210,$C$13:$C$15,BK$13:BK$15),1)</f>
        <v>0</v>
      </c>
      <c s="125">
        <f>Предпосылки!BK$237*Предпосылки!$M253*Продажи!BL18*BL$19*(1+Чувствительность!$D$20)*IFERROR(LOOKUP(Предпосылки!$H$210,$C$13:$C$15,BL$13:BL$15),1)</f>
        <v>0</v>
      </c>
      <c s="125">
        <f>Предпосылки!BL$237*Предпосылки!$M253*Продажи!BM18*BM$19*(1+Чувствительность!$D$20)*IFERROR(LOOKUP(Предпосылки!$H$210,$C$13:$C$15,BM$13:BM$15),1)</f>
        <v>0</v>
      </c>
    </row>
    <row r="231" spans="2:65" ht="15" customHeight="1">
      <c r="B231" s="12" t="str">
        <f t="shared" si="106" ref="B231:B249">B208</f>
        <v>Продукт 2</v>
      </c>
      <c s="124" t="str">
        <f t="shared" si="105"/>
        <v>тыс. руб.</v>
      </c>
      <c s="276">
        <f t="shared" si="107" ref="D231:D249">SUM(E231:BM231)</f>
        <v>0</v>
      </c>
      <c s="125">
        <f>Предпосылки!D$237*Предпосылки!$M254*Продажи!E19*E$19*(1+Чувствительность!$D$20)*IFERROR(LOOKUP(Предпосылки!$H$210,$C$13:$C$15,E$13:E$15),1)</f>
        <v>0</v>
      </c>
      <c s="125">
        <f>Предпосылки!E$237*Предпосылки!$M254*Продажи!F19*F$19*(1+Чувствительность!$D$20)*IFERROR(LOOKUP(Предпосылки!$H$210,$C$13:$C$15,F$13:F$15),1)</f>
        <v>0</v>
      </c>
      <c s="125">
        <f>Предпосылки!F$237*Предпосылки!$M254*Продажи!G19*G$19*(1+Чувствительность!$D$20)*IFERROR(LOOKUP(Предпосылки!$H$210,$C$13:$C$15,G$13:G$15),1)</f>
        <v>0</v>
      </c>
      <c s="125">
        <f>Предпосылки!G$237*Предпосылки!$M254*Продажи!H19*H$19*(1+Чувствительность!$D$20)*IFERROR(LOOKUP(Предпосылки!$H$210,$C$13:$C$15,H$13:H$15),1)</f>
        <v>0</v>
      </c>
      <c s="125">
        <f>Предпосылки!H$237*Предпосылки!$M254*Продажи!I19*I$19*(1+Чувствительность!$D$20)*IFERROR(LOOKUP(Предпосылки!$H$210,$C$13:$C$15,I$13:I$15),1)</f>
        <v>0</v>
      </c>
      <c s="125">
        <f>Предпосылки!I$237*Предпосылки!$M254*Продажи!J19*J$19*(1+Чувствительность!$D$20)*IFERROR(LOOKUP(Предпосылки!$H$210,$C$13:$C$15,J$13:J$15),1)</f>
        <v>0</v>
      </c>
      <c s="125">
        <f>Предпосылки!J$237*Предпосылки!$M254*Продажи!K19*K$19*(1+Чувствительность!$D$20)*IFERROR(LOOKUP(Предпосылки!$H$210,$C$13:$C$15,K$13:K$15),1)</f>
        <v>0</v>
      </c>
      <c s="125">
        <f>Предпосылки!K$237*Предпосылки!$M254*Продажи!L19*L$19*(1+Чувствительность!$D$20)*IFERROR(LOOKUP(Предпосылки!$H$210,$C$13:$C$15,L$13:L$15),1)</f>
        <v>0</v>
      </c>
      <c s="125">
        <f>Предпосылки!L$237*Предпосылки!$M254*Продажи!M19*M$19*(1+Чувствительность!$D$20)*IFERROR(LOOKUP(Предпосылки!$H$210,$C$13:$C$15,M$13:M$15),1)</f>
        <v>0</v>
      </c>
      <c s="125">
        <f>Предпосылки!M$237*Предпосылки!$M254*Продажи!N19*N$19*(1+Чувствительность!$D$20)*IFERROR(LOOKUP(Предпосылки!$H$210,$C$13:$C$15,N$13:N$15),1)</f>
        <v>0</v>
      </c>
      <c s="125">
        <f>Предпосылки!N$237*Предпосылки!$M254*Продажи!O19*O$19*(1+Чувствительность!$D$20)*IFERROR(LOOKUP(Предпосылки!$H$210,$C$13:$C$15,O$13:O$15),1)</f>
        <v>0</v>
      </c>
      <c s="125">
        <f>Предпосылки!O$237*Предпосылки!$M254*Продажи!P19*P$19*(1+Чувствительность!$D$20)*IFERROR(LOOKUP(Предпосылки!$H$210,$C$13:$C$15,P$13:P$15),1)</f>
        <v>0</v>
      </c>
      <c s="125">
        <f>Предпосылки!P$237*Предпосылки!$M254*Продажи!Q19*Q$19*(1+Чувствительность!$D$20)*IFERROR(LOOKUP(Предпосылки!$H$210,$C$13:$C$15,Q$13:Q$15),1)</f>
        <v>0</v>
      </c>
      <c s="125">
        <f>Предпосылки!Q$237*Предпосылки!$M254*Продажи!R19*R$19*(1+Чувствительность!$D$20)*IFERROR(LOOKUP(Предпосылки!$H$210,$C$13:$C$15,R$13:R$15),1)</f>
        <v>0</v>
      </c>
      <c s="125">
        <f>Предпосылки!R$237*Предпосылки!$M254*Продажи!S19*S$19*(1+Чувствительность!$D$20)*IFERROR(LOOKUP(Предпосылки!$H$210,$C$13:$C$15,S$13:S$15),1)</f>
        <v>0</v>
      </c>
      <c s="125">
        <f>Предпосылки!S$237*Предпосылки!$M254*Продажи!T19*T$19*(1+Чувствительность!$D$20)*IFERROR(LOOKUP(Предпосылки!$H$210,$C$13:$C$15,T$13:T$15),1)</f>
        <v>0</v>
      </c>
      <c s="125">
        <f>Предпосылки!T$237*Предпосылки!$M254*Продажи!U19*U$19*(1+Чувствительность!$D$20)*IFERROR(LOOKUP(Предпосылки!$H$210,$C$13:$C$15,U$13:U$15),1)</f>
        <v>0</v>
      </c>
      <c s="125">
        <f>Предпосылки!U$237*Предпосылки!$M254*Продажи!V19*V$19*(1+Чувствительность!$D$20)*IFERROR(LOOKUP(Предпосылки!$H$210,$C$13:$C$15,V$13:V$15),1)</f>
        <v>0</v>
      </c>
      <c s="125">
        <f>Предпосылки!V$237*Предпосылки!$M254*Продажи!W19*W$19*(1+Чувствительность!$D$20)*IFERROR(LOOKUP(Предпосылки!$H$210,$C$13:$C$15,W$13:W$15),1)</f>
        <v>0</v>
      </c>
      <c s="125">
        <f>Предпосылки!W$237*Предпосылки!$M254*Продажи!X19*X$19*(1+Чувствительность!$D$20)*IFERROR(LOOKUP(Предпосылки!$H$210,$C$13:$C$15,X$13:X$15),1)</f>
        <v>0</v>
      </c>
      <c s="125">
        <f>Предпосылки!X$237*Предпосылки!$M254*Продажи!Y19*Y$19*(1+Чувствительность!$D$20)*IFERROR(LOOKUP(Предпосылки!$H$210,$C$13:$C$15,Y$13:Y$15),1)</f>
        <v>0</v>
      </c>
      <c s="125">
        <f>Предпосылки!Y$237*Предпосылки!$M254*Продажи!Z19*Z$19*(1+Чувствительность!$D$20)*IFERROR(LOOKUP(Предпосылки!$H$210,$C$13:$C$15,Z$13:Z$15),1)</f>
        <v>0</v>
      </c>
      <c s="125">
        <f>Предпосылки!Z$237*Предпосылки!$M254*Продажи!AA19*AA$19*(1+Чувствительность!$D$20)*IFERROR(LOOKUP(Предпосылки!$H$210,$C$13:$C$15,AA$13:AA$15),1)</f>
        <v>0</v>
      </c>
      <c s="125">
        <f>Предпосылки!AA$237*Предпосылки!$M254*Продажи!AB19*AB$19*(1+Чувствительность!$D$20)*IFERROR(LOOKUP(Предпосылки!$H$210,$C$13:$C$15,AB$13:AB$15),1)</f>
        <v>0</v>
      </c>
      <c s="125">
        <f>Предпосылки!AB$237*Предпосылки!$M254*Продажи!AC19*AC$19*(1+Чувствительность!$D$20)*IFERROR(LOOKUP(Предпосылки!$H$210,$C$13:$C$15,AC$13:AC$15),1)</f>
        <v>0</v>
      </c>
      <c s="125">
        <f>Предпосылки!AC$237*Предпосылки!$M254*Продажи!AD19*AD$19*(1+Чувствительность!$D$20)*IFERROR(LOOKUP(Предпосылки!$H$210,$C$13:$C$15,AD$13:AD$15),1)</f>
        <v>0</v>
      </c>
      <c s="125">
        <f>Предпосылки!AD$237*Предпосылки!$M254*Продажи!AE19*AE$19*(1+Чувствительность!$D$20)*IFERROR(LOOKUP(Предпосылки!$H$210,$C$13:$C$15,AE$13:AE$15),1)</f>
        <v>0</v>
      </c>
      <c s="125">
        <f>Предпосылки!AE$237*Предпосылки!$M254*Продажи!AF19*AF$19*(1+Чувствительность!$D$20)*IFERROR(LOOKUP(Предпосылки!$H$210,$C$13:$C$15,AF$13:AF$15),1)</f>
        <v>0</v>
      </c>
      <c s="125">
        <f>Предпосылки!AF$237*Предпосылки!$M254*Продажи!AG19*AG$19*(1+Чувствительность!$D$20)*IFERROR(LOOKUP(Предпосылки!$H$210,$C$13:$C$15,AG$13:AG$15),1)</f>
        <v>0</v>
      </c>
      <c s="125">
        <f>Предпосылки!AG$237*Предпосылки!$M254*Продажи!AH19*AH$19*(1+Чувствительность!$D$20)*IFERROR(LOOKUP(Предпосылки!$H$210,$C$13:$C$15,AH$13:AH$15),1)</f>
        <v>0</v>
      </c>
      <c s="125">
        <f>Предпосылки!AH$237*Предпосылки!$M254*Продажи!AI19*AI$19*(1+Чувствительность!$D$20)*IFERROR(LOOKUP(Предпосылки!$H$210,$C$13:$C$15,AI$13:AI$15),1)</f>
        <v>0</v>
      </c>
      <c s="125">
        <f>Предпосылки!AI$237*Предпосылки!$M254*Продажи!AJ19*AJ$19*(1+Чувствительность!$D$20)*IFERROR(LOOKUP(Предпосылки!$H$210,$C$13:$C$15,AJ$13:AJ$15),1)</f>
        <v>0</v>
      </c>
      <c s="125">
        <f>Предпосылки!AJ$237*Предпосылки!$M254*Продажи!AK19*AK$19*(1+Чувствительность!$D$20)*IFERROR(LOOKUP(Предпосылки!$H$210,$C$13:$C$15,AK$13:AK$15),1)</f>
        <v>0</v>
      </c>
      <c s="125">
        <f>Предпосылки!AK$237*Предпосылки!$M254*Продажи!AL19*AL$19*(1+Чувствительность!$D$20)*IFERROR(LOOKUP(Предпосылки!$H$210,$C$13:$C$15,AL$13:AL$15),1)</f>
        <v>0</v>
      </c>
      <c s="125">
        <f>Предпосылки!AL$237*Предпосылки!$M254*Продажи!AM19*AM$19*(1+Чувствительность!$D$20)*IFERROR(LOOKUP(Предпосылки!$H$210,$C$13:$C$15,AM$13:AM$15),1)</f>
        <v>0</v>
      </c>
      <c s="125">
        <f>Предпосылки!AM$237*Предпосылки!$M254*Продажи!AN19*AN$19*(1+Чувствительность!$D$20)*IFERROR(LOOKUP(Предпосылки!$H$210,$C$13:$C$15,AN$13:AN$15),1)</f>
        <v>0</v>
      </c>
      <c s="125">
        <f>Предпосылки!AN$237*Предпосылки!$M254*Продажи!AO19*AO$19*(1+Чувствительность!$D$20)*IFERROR(LOOKUP(Предпосылки!$H$210,$C$13:$C$15,AO$13:AO$15),1)</f>
        <v>0</v>
      </c>
      <c s="125">
        <f>Предпосылки!AO$237*Предпосылки!$M254*Продажи!AP19*AP$19*(1+Чувствительность!$D$20)*IFERROR(LOOKUP(Предпосылки!$H$210,$C$13:$C$15,AP$13:AP$15),1)</f>
        <v>0</v>
      </c>
      <c s="125">
        <f>Предпосылки!AP$237*Предпосылки!$M254*Продажи!AQ19*AQ$19*(1+Чувствительность!$D$20)*IFERROR(LOOKUP(Предпосылки!$H$210,$C$13:$C$15,AQ$13:AQ$15),1)</f>
        <v>0</v>
      </c>
      <c s="125">
        <f>Предпосылки!AQ$237*Предпосылки!$M254*Продажи!AR19*AR$19*(1+Чувствительность!$D$20)*IFERROR(LOOKUP(Предпосылки!$H$210,$C$13:$C$15,AR$13:AR$15),1)</f>
        <v>0</v>
      </c>
      <c s="125">
        <f>Предпосылки!AR$237*Предпосылки!$M254*Продажи!AS19*AS$19*(1+Чувствительность!$D$20)*IFERROR(LOOKUP(Предпосылки!$H$210,$C$13:$C$15,AS$13:AS$15),1)</f>
        <v>0</v>
      </c>
      <c s="125">
        <f>Предпосылки!AS$237*Предпосылки!$M254*Продажи!AT19*AT$19*(1+Чувствительность!$D$20)*IFERROR(LOOKUP(Предпосылки!$H$210,$C$13:$C$15,AT$13:AT$15),1)</f>
        <v>0</v>
      </c>
      <c s="125">
        <f>Предпосылки!AT$237*Предпосылки!$M254*Продажи!AU19*AU$19*(1+Чувствительность!$D$20)*IFERROR(LOOKUP(Предпосылки!$H$210,$C$13:$C$15,AU$13:AU$15),1)</f>
        <v>0</v>
      </c>
      <c s="125">
        <f>Предпосылки!AU$237*Предпосылки!$M254*Продажи!AV19*AV$19*(1+Чувствительность!$D$20)*IFERROR(LOOKUP(Предпосылки!$H$210,$C$13:$C$15,AV$13:AV$15),1)</f>
        <v>0</v>
      </c>
      <c s="125">
        <f>Предпосылки!AV$237*Предпосылки!$M254*Продажи!AW19*AW$19*(1+Чувствительность!$D$20)*IFERROR(LOOKUP(Предпосылки!$H$210,$C$13:$C$15,AW$13:AW$15),1)</f>
        <v>0</v>
      </c>
      <c s="125">
        <f>Предпосылки!AW$237*Предпосылки!$M254*Продажи!AX19*AX$19*(1+Чувствительность!$D$20)*IFERROR(LOOKUP(Предпосылки!$H$210,$C$13:$C$15,AX$13:AX$15),1)</f>
        <v>0</v>
      </c>
      <c s="125">
        <f>Предпосылки!AX$237*Предпосылки!$M254*Продажи!AY19*AY$19*(1+Чувствительность!$D$20)*IFERROR(LOOKUP(Предпосылки!$H$210,$C$13:$C$15,AY$13:AY$15),1)</f>
        <v>0</v>
      </c>
      <c s="125">
        <f>Предпосылки!AY$237*Предпосылки!$M254*Продажи!AZ19*AZ$19*(1+Чувствительность!$D$20)*IFERROR(LOOKUP(Предпосылки!$H$210,$C$13:$C$15,AZ$13:AZ$15),1)</f>
        <v>0</v>
      </c>
      <c s="125">
        <f>Предпосылки!AZ$237*Предпосылки!$M254*Продажи!BA19*BA$19*(1+Чувствительность!$D$20)*IFERROR(LOOKUP(Предпосылки!$H$210,$C$13:$C$15,BA$13:BA$15),1)</f>
        <v>0</v>
      </c>
      <c s="125">
        <f>Предпосылки!BA$237*Предпосылки!$M254*Продажи!BB19*BB$19*(1+Чувствительность!$D$20)*IFERROR(LOOKUP(Предпосылки!$H$210,$C$13:$C$15,BB$13:BB$15),1)</f>
        <v>0</v>
      </c>
      <c s="125">
        <f>Предпосылки!BB$237*Предпосылки!$M254*Продажи!BC19*BC$19*(1+Чувствительность!$D$20)*IFERROR(LOOKUP(Предпосылки!$H$210,$C$13:$C$15,BC$13:BC$15),1)</f>
        <v>0</v>
      </c>
      <c s="125">
        <f>Предпосылки!BC$237*Предпосылки!$M254*Продажи!BD19*BD$19*(1+Чувствительность!$D$20)*IFERROR(LOOKUP(Предпосылки!$H$210,$C$13:$C$15,BD$13:BD$15),1)</f>
        <v>0</v>
      </c>
      <c s="125">
        <f>Предпосылки!BD$237*Предпосылки!$M254*Продажи!BE19*BE$19*(1+Чувствительность!$D$20)*IFERROR(LOOKUP(Предпосылки!$H$210,$C$13:$C$15,BE$13:BE$15),1)</f>
        <v>0</v>
      </c>
      <c s="125">
        <f>Предпосылки!BE$237*Предпосылки!$M254*Продажи!BF19*BF$19*(1+Чувствительность!$D$20)*IFERROR(LOOKUP(Предпосылки!$H$210,$C$13:$C$15,BF$13:BF$15),1)</f>
        <v>0</v>
      </c>
      <c s="125">
        <f>Предпосылки!BF$237*Предпосылки!$M254*Продажи!BG19*BG$19*(1+Чувствительность!$D$20)*IFERROR(LOOKUP(Предпосылки!$H$210,$C$13:$C$15,BG$13:BG$15),1)</f>
        <v>0</v>
      </c>
      <c s="125">
        <f>Предпосылки!BG$237*Предпосылки!$M254*Продажи!BH19*BH$19*(1+Чувствительность!$D$20)*IFERROR(LOOKUP(Предпосылки!$H$210,$C$13:$C$15,BH$13:BH$15),1)</f>
        <v>0</v>
      </c>
      <c s="125">
        <f>Предпосылки!BH$237*Предпосылки!$M254*Продажи!BI19*BI$19*(1+Чувствительность!$D$20)*IFERROR(LOOKUP(Предпосылки!$H$210,$C$13:$C$15,BI$13:BI$15),1)</f>
        <v>0</v>
      </c>
      <c s="125">
        <f>Предпосылки!BI$237*Предпосылки!$M254*Продажи!BJ19*BJ$19*(1+Чувствительность!$D$20)*IFERROR(LOOKUP(Предпосылки!$H$210,$C$13:$C$15,BJ$13:BJ$15),1)</f>
        <v>0</v>
      </c>
      <c s="125">
        <f>Предпосылки!BJ$237*Предпосылки!$M254*Продажи!BK19*BK$19*(1+Чувствительность!$D$20)*IFERROR(LOOKUP(Предпосылки!$H$210,$C$13:$C$15,BK$13:BK$15),1)</f>
        <v>0</v>
      </c>
      <c s="125">
        <f>Предпосылки!BK$237*Предпосылки!$M254*Продажи!BL19*BL$19*(1+Чувствительность!$D$20)*IFERROR(LOOKUP(Предпосылки!$H$210,$C$13:$C$15,BL$13:BL$15),1)</f>
        <v>0</v>
      </c>
      <c s="125">
        <f>Предпосылки!BL$237*Предпосылки!$M254*Продажи!BM19*BM$19*(1+Чувствительность!$D$20)*IFERROR(LOOKUP(Предпосылки!$H$210,$C$13:$C$15,BM$13:BM$15),1)</f>
        <v>0</v>
      </c>
    </row>
    <row r="232" spans="2:65" ht="15" customHeight="1">
      <c r="B232" s="12" t="str">
        <f t="shared" si="106"/>
        <v>Продукт 3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Предпосылки!D$237*Предпосылки!$M255*Продажи!E20*E$19*(1+Чувствительность!$D$20)*IFERROR(LOOKUP(Предпосылки!$H$210,$C$13:$C$15,E$13:E$15),1)</f>
        <v>0</v>
      </c>
      <c s="125">
        <f>Предпосылки!E$237*Предпосылки!$M255*Продажи!F20*F$19*(1+Чувствительность!$D$20)*IFERROR(LOOKUP(Предпосылки!$H$210,$C$13:$C$15,F$13:F$15),1)</f>
        <v>0</v>
      </c>
      <c s="125">
        <f>Предпосылки!F$237*Предпосылки!$M255*Продажи!G20*G$19*(1+Чувствительность!$D$20)*IFERROR(LOOKUP(Предпосылки!$H$210,$C$13:$C$15,G$13:G$15),1)</f>
        <v>0</v>
      </c>
      <c s="125">
        <f>Предпосылки!G$237*Предпосылки!$M255*Продажи!H20*H$19*(1+Чувствительность!$D$20)*IFERROR(LOOKUP(Предпосылки!$H$210,$C$13:$C$15,H$13:H$15),1)</f>
        <v>0</v>
      </c>
      <c s="125">
        <f>Предпосылки!H$237*Предпосылки!$M255*Продажи!I20*I$19*(1+Чувствительность!$D$20)*IFERROR(LOOKUP(Предпосылки!$H$210,$C$13:$C$15,I$13:I$15),1)</f>
        <v>0</v>
      </c>
      <c s="125">
        <f>Предпосылки!I$237*Предпосылки!$M255*Продажи!J20*J$19*(1+Чувствительность!$D$20)*IFERROR(LOOKUP(Предпосылки!$H$210,$C$13:$C$15,J$13:J$15),1)</f>
        <v>0</v>
      </c>
      <c s="125">
        <f>Предпосылки!J$237*Предпосылки!$M255*Продажи!K20*K$19*(1+Чувствительность!$D$20)*IFERROR(LOOKUP(Предпосылки!$H$210,$C$13:$C$15,K$13:K$15),1)</f>
        <v>0</v>
      </c>
      <c s="125">
        <f>Предпосылки!K$237*Предпосылки!$M255*Продажи!L20*L$19*(1+Чувствительность!$D$20)*IFERROR(LOOKUP(Предпосылки!$H$210,$C$13:$C$15,L$13:L$15),1)</f>
        <v>0</v>
      </c>
      <c s="125">
        <f>Предпосылки!L$237*Предпосылки!$M255*Продажи!M20*M$19*(1+Чувствительность!$D$20)*IFERROR(LOOKUP(Предпосылки!$H$210,$C$13:$C$15,M$13:M$15),1)</f>
        <v>0</v>
      </c>
      <c s="125">
        <f>Предпосылки!M$237*Предпосылки!$M255*Продажи!N20*N$19*(1+Чувствительность!$D$20)*IFERROR(LOOKUP(Предпосылки!$H$210,$C$13:$C$15,N$13:N$15),1)</f>
        <v>0</v>
      </c>
      <c s="125">
        <f>Предпосылки!N$237*Предпосылки!$M255*Продажи!O20*O$19*(1+Чувствительность!$D$20)*IFERROR(LOOKUP(Предпосылки!$H$210,$C$13:$C$15,O$13:O$15),1)</f>
        <v>0</v>
      </c>
      <c s="125">
        <f>Предпосылки!O$237*Предпосылки!$M255*Продажи!P20*P$19*(1+Чувствительность!$D$20)*IFERROR(LOOKUP(Предпосылки!$H$210,$C$13:$C$15,P$13:P$15),1)</f>
        <v>0</v>
      </c>
      <c s="125">
        <f>Предпосылки!P$237*Предпосылки!$M255*Продажи!Q20*Q$19*(1+Чувствительность!$D$20)*IFERROR(LOOKUP(Предпосылки!$H$210,$C$13:$C$15,Q$13:Q$15),1)</f>
        <v>0</v>
      </c>
      <c s="125">
        <f>Предпосылки!Q$237*Предпосылки!$M255*Продажи!R20*R$19*(1+Чувствительность!$D$20)*IFERROR(LOOKUP(Предпосылки!$H$210,$C$13:$C$15,R$13:R$15),1)</f>
        <v>0</v>
      </c>
      <c s="125">
        <f>Предпосылки!R$237*Предпосылки!$M255*Продажи!S20*S$19*(1+Чувствительность!$D$20)*IFERROR(LOOKUP(Предпосылки!$H$210,$C$13:$C$15,S$13:S$15),1)</f>
        <v>0</v>
      </c>
      <c s="125">
        <f>Предпосылки!S$237*Предпосылки!$M255*Продажи!T20*T$19*(1+Чувствительность!$D$20)*IFERROR(LOOKUP(Предпосылки!$H$210,$C$13:$C$15,T$13:T$15),1)</f>
        <v>0</v>
      </c>
      <c s="125">
        <f>Предпосылки!T$237*Предпосылки!$M255*Продажи!U20*U$19*(1+Чувствительность!$D$20)*IFERROR(LOOKUP(Предпосылки!$H$210,$C$13:$C$15,U$13:U$15),1)</f>
        <v>0</v>
      </c>
      <c s="125">
        <f>Предпосылки!U$237*Предпосылки!$M255*Продажи!V20*V$19*(1+Чувствительность!$D$20)*IFERROR(LOOKUP(Предпосылки!$H$210,$C$13:$C$15,V$13:V$15),1)</f>
        <v>0</v>
      </c>
      <c s="125">
        <f>Предпосылки!V$237*Предпосылки!$M255*Продажи!W20*W$19*(1+Чувствительность!$D$20)*IFERROR(LOOKUP(Предпосылки!$H$210,$C$13:$C$15,W$13:W$15),1)</f>
        <v>0</v>
      </c>
      <c s="125">
        <f>Предпосылки!W$237*Предпосылки!$M255*Продажи!X20*X$19*(1+Чувствительность!$D$20)*IFERROR(LOOKUP(Предпосылки!$H$210,$C$13:$C$15,X$13:X$15),1)</f>
        <v>0</v>
      </c>
      <c s="125">
        <f>Предпосылки!X$237*Предпосылки!$M255*Продажи!Y20*Y$19*(1+Чувствительность!$D$20)*IFERROR(LOOKUP(Предпосылки!$H$210,$C$13:$C$15,Y$13:Y$15),1)</f>
        <v>0</v>
      </c>
      <c s="125">
        <f>Предпосылки!Y$237*Предпосылки!$M255*Продажи!Z20*Z$19*(1+Чувствительность!$D$20)*IFERROR(LOOKUP(Предпосылки!$H$210,$C$13:$C$15,Z$13:Z$15),1)</f>
        <v>0</v>
      </c>
      <c s="125">
        <f>Предпосылки!Z$237*Предпосылки!$M255*Продажи!AA20*AA$19*(1+Чувствительность!$D$20)*IFERROR(LOOKUP(Предпосылки!$H$210,$C$13:$C$15,AA$13:AA$15),1)</f>
        <v>0</v>
      </c>
      <c s="125">
        <f>Предпосылки!AA$237*Предпосылки!$M255*Продажи!AB20*AB$19*(1+Чувствительность!$D$20)*IFERROR(LOOKUP(Предпосылки!$H$210,$C$13:$C$15,AB$13:AB$15),1)</f>
        <v>0</v>
      </c>
      <c s="125">
        <f>Предпосылки!AB$237*Предпосылки!$M255*Продажи!AC20*AC$19*(1+Чувствительность!$D$20)*IFERROR(LOOKUP(Предпосылки!$H$210,$C$13:$C$15,AC$13:AC$15),1)</f>
        <v>0</v>
      </c>
      <c s="125">
        <f>Предпосылки!AC$237*Предпосылки!$M255*Продажи!AD20*AD$19*(1+Чувствительность!$D$20)*IFERROR(LOOKUP(Предпосылки!$H$210,$C$13:$C$15,AD$13:AD$15),1)</f>
        <v>0</v>
      </c>
      <c s="125">
        <f>Предпосылки!AD$237*Предпосылки!$M255*Продажи!AE20*AE$19*(1+Чувствительность!$D$20)*IFERROR(LOOKUP(Предпосылки!$H$210,$C$13:$C$15,AE$13:AE$15),1)</f>
        <v>0</v>
      </c>
      <c s="125">
        <f>Предпосылки!AE$237*Предпосылки!$M255*Продажи!AF20*AF$19*(1+Чувствительность!$D$20)*IFERROR(LOOKUP(Предпосылки!$H$210,$C$13:$C$15,AF$13:AF$15),1)</f>
        <v>0</v>
      </c>
      <c s="125">
        <f>Предпосылки!AF$237*Предпосылки!$M255*Продажи!AG20*AG$19*(1+Чувствительность!$D$20)*IFERROR(LOOKUP(Предпосылки!$H$210,$C$13:$C$15,AG$13:AG$15),1)</f>
        <v>0</v>
      </c>
      <c s="125">
        <f>Предпосылки!AG$237*Предпосылки!$M255*Продажи!AH20*AH$19*(1+Чувствительность!$D$20)*IFERROR(LOOKUP(Предпосылки!$H$210,$C$13:$C$15,AH$13:AH$15),1)</f>
        <v>0</v>
      </c>
      <c s="125">
        <f>Предпосылки!AH$237*Предпосылки!$M255*Продажи!AI20*AI$19*(1+Чувствительность!$D$20)*IFERROR(LOOKUP(Предпосылки!$H$210,$C$13:$C$15,AI$13:AI$15),1)</f>
        <v>0</v>
      </c>
      <c s="125">
        <f>Предпосылки!AI$237*Предпосылки!$M255*Продажи!AJ20*AJ$19*(1+Чувствительность!$D$20)*IFERROR(LOOKUP(Предпосылки!$H$210,$C$13:$C$15,AJ$13:AJ$15),1)</f>
        <v>0</v>
      </c>
      <c s="125">
        <f>Предпосылки!AJ$237*Предпосылки!$M255*Продажи!AK20*AK$19*(1+Чувствительность!$D$20)*IFERROR(LOOKUP(Предпосылки!$H$210,$C$13:$C$15,AK$13:AK$15),1)</f>
        <v>0</v>
      </c>
      <c s="125">
        <f>Предпосылки!AK$237*Предпосылки!$M255*Продажи!AL20*AL$19*(1+Чувствительность!$D$20)*IFERROR(LOOKUP(Предпосылки!$H$210,$C$13:$C$15,AL$13:AL$15),1)</f>
        <v>0</v>
      </c>
      <c s="125">
        <f>Предпосылки!AL$237*Предпосылки!$M255*Продажи!AM20*AM$19*(1+Чувствительность!$D$20)*IFERROR(LOOKUP(Предпосылки!$H$210,$C$13:$C$15,AM$13:AM$15),1)</f>
        <v>0</v>
      </c>
      <c s="125">
        <f>Предпосылки!AM$237*Предпосылки!$M255*Продажи!AN20*AN$19*(1+Чувствительность!$D$20)*IFERROR(LOOKUP(Предпосылки!$H$210,$C$13:$C$15,AN$13:AN$15),1)</f>
        <v>0</v>
      </c>
      <c s="125">
        <f>Предпосылки!AN$237*Предпосылки!$M255*Продажи!AO20*AO$19*(1+Чувствительность!$D$20)*IFERROR(LOOKUP(Предпосылки!$H$210,$C$13:$C$15,AO$13:AO$15),1)</f>
        <v>0</v>
      </c>
      <c s="125">
        <f>Предпосылки!AO$237*Предпосылки!$M255*Продажи!AP20*AP$19*(1+Чувствительность!$D$20)*IFERROR(LOOKUP(Предпосылки!$H$210,$C$13:$C$15,AP$13:AP$15),1)</f>
        <v>0</v>
      </c>
      <c s="125">
        <f>Предпосылки!AP$237*Предпосылки!$M255*Продажи!AQ20*AQ$19*(1+Чувствительность!$D$20)*IFERROR(LOOKUP(Предпосылки!$H$210,$C$13:$C$15,AQ$13:AQ$15),1)</f>
        <v>0</v>
      </c>
      <c s="125">
        <f>Предпосылки!AQ$237*Предпосылки!$M255*Продажи!AR20*AR$19*(1+Чувствительность!$D$20)*IFERROR(LOOKUP(Предпосылки!$H$210,$C$13:$C$15,AR$13:AR$15),1)</f>
        <v>0</v>
      </c>
      <c s="125">
        <f>Предпосылки!AR$237*Предпосылки!$M255*Продажи!AS20*AS$19*(1+Чувствительность!$D$20)*IFERROR(LOOKUP(Предпосылки!$H$210,$C$13:$C$15,AS$13:AS$15),1)</f>
        <v>0</v>
      </c>
      <c s="125">
        <f>Предпосылки!AS$237*Предпосылки!$M255*Продажи!AT20*AT$19*(1+Чувствительность!$D$20)*IFERROR(LOOKUP(Предпосылки!$H$210,$C$13:$C$15,AT$13:AT$15),1)</f>
        <v>0</v>
      </c>
      <c s="125">
        <f>Предпосылки!AT$237*Предпосылки!$M255*Продажи!AU20*AU$19*(1+Чувствительность!$D$20)*IFERROR(LOOKUP(Предпосылки!$H$210,$C$13:$C$15,AU$13:AU$15),1)</f>
        <v>0</v>
      </c>
      <c s="125">
        <f>Предпосылки!AU$237*Предпосылки!$M255*Продажи!AV20*AV$19*(1+Чувствительность!$D$20)*IFERROR(LOOKUP(Предпосылки!$H$210,$C$13:$C$15,AV$13:AV$15),1)</f>
        <v>0</v>
      </c>
      <c s="125">
        <f>Предпосылки!AV$237*Предпосылки!$M255*Продажи!AW20*AW$19*(1+Чувствительность!$D$20)*IFERROR(LOOKUP(Предпосылки!$H$210,$C$13:$C$15,AW$13:AW$15),1)</f>
        <v>0</v>
      </c>
      <c s="125">
        <f>Предпосылки!AW$237*Предпосылки!$M255*Продажи!AX20*AX$19*(1+Чувствительность!$D$20)*IFERROR(LOOKUP(Предпосылки!$H$210,$C$13:$C$15,AX$13:AX$15),1)</f>
        <v>0</v>
      </c>
      <c s="125">
        <f>Предпосылки!AX$237*Предпосылки!$M255*Продажи!AY20*AY$19*(1+Чувствительность!$D$20)*IFERROR(LOOKUP(Предпосылки!$H$210,$C$13:$C$15,AY$13:AY$15),1)</f>
        <v>0</v>
      </c>
      <c s="125">
        <f>Предпосылки!AY$237*Предпосылки!$M255*Продажи!AZ20*AZ$19*(1+Чувствительность!$D$20)*IFERROR(LOOKUP(Предпосылки!$H$210,$C$13:$C$15,AZ$13:AZ$15),1)</f>
        <v>0</v>
      </c>
      <c s="125">
        <f>Предпосылки!AZ$237*Предпосылки!$M255*Продажи!BA20*BA$19*(1+Чувствительность!$D$20)*IFERROR(LOOKUP(Предпосылки!$H$210,$C$13:$C$15,BA$13:BA$15),1)</f>
        <v>0</v>
      </c>
      <c s="125">
        <f>Предпосылки!BA$237*Предпосылки!$M255*Продажи!BB20*BB$19*(1+Чувствительность!$D$20)*IFERROR(LOOKUP(Предпосылки!$H$210,$C$13:$C$15,BB$13:BB$15),1)</f>
        <v>0</v>
      </c>
      <c s="125">
        <f>Предпосылки!BB$237*Предпосылки!$M255*Продажи!BC20*BC$19*(1+Чувствительность!$D$20)*IFERROR(LOOKUP(Предпосылки!$H$210,$C$13:$C$15,BC$13:BC$15),1)</f>
        <v>0</v>
      </c>
      <c s="125">
        <f>Предпосылки!BC$237*Предпосылки!$M255*Продажи!BD20*BD$19*(1+Чувствительность!$D$20)*IFERROR(LOOKUP(Предпосылки!$H$210,$C$13:$C$15,BD$13:BD$15),1)</f>
        <v>0</v>
      </c>
      <c s="125">
        <f>Предпосылки!BD$237*Предпосылки!$M255*Продажи!BE20*BE$19*(1+Чувствительность!$D$20)*IFERROR(LOOKUP(Предпосылки!$H$210,$C$13:$C$15,BE$13:BE$15),1)</f>
        <v>0</v>
      </c>
      <c s="125">
        <f>Предпосылки!BE$237*Предпосылки!$M255*Продажи!BF20*BF$19*(1+Чувствительность!$D$20)*IFERROR(LOOKUP(Предпосылки!$H$210,$C$13:$C$15,BF$13:BF$15),1)</f>
        <v>0</v>
      </c>
      <c s="125">
        <f>Предпосылки!BF$237*Предпосылки!$M255*Продажи!BG20*BG$19*(1+Чувствительность!$D$20)*IFERROR(LOOKUP(Предпосылки!$H$210,$C$13:$C$15,BG$13:BG$15),1)</f>
        <v>0</v>
      </c>
      <c s="125">
        <f>Предпосылки!BG$237*Предпосылки!$M255*Продажи!BH20*BH$19*(1+Чувствительность!$D$20)*IFERROR(LOOKUP(Предпосылки!$H$210,$C$13:$C$15,BH$13:BH$15),1)</f>
        <v>0</v>
      </c>
      <c s="125">
        <f>Предпосылки!BH$237*Предпосылки!$M255*Продажи!BI20*BI$19*(1+Чувствительность!$D$20)*IFERROR(LOOKUP(Предпосылки!$H$210,$C$13:$C$15,BI$13:BI$15),1)</f>
        <v>0</v>
      </c>
      <c s="125">
        <f>Предпосылки!BI$237*Предпосылки!$M255*Продажи!BJ20*BJ$19*(1+Чувствительность!$D$20)*IFERROR(LOOKUP(Предпосылки!$H$210,$C$13:$C$15,BJ$13:BJ$15),1)</f>
        <v>0</v>
      </c>
      <c s="125">
        <f>Предпосылки!BJ$237*Предпосылки!$M255*Продажи!BK20*BK$19*(1+Чувствительность!$D$20)*IFERROR(LOOKUP(Предпосылки!$H$210,$C$13:$C$15,BK$13:BK$15),1)</f>
        <v>0</v>
      </c>
      <c s="125">
        <f>Предпосылки!BK$237*Предпосылки!$M255*Продажи!BL20*BL$19*(1+Чувствительность!$D$20)*IFERROR(LOOKUP(Предпосылки!$H$210,$C$13:$C$15,BL$13:BL$15),1)</f>
        <v>0</v>
      </c>
      <c s="125">
        <f>Предпосылки!BL$237*Предпосылки!$M255*Продажи!BM20*BM$19*(1+Чувствительность!$D$20)*IFERROR(LOOKUP(Предпосылки!$H$210,$C$13:$C$15,BM$13:BM$15),1)</f>
        <v>0</v>
      </c>
    </row>
    <row r="233" spans="2:65" ht="15" customHeight="1">
      <c r="B233" s="12" t="str">
        <f t="shared" si="106"/>
        <v>Продукт 4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Предпосылки!D$237*Предпосылки!$M256*Продажи!E21*E$19*(1+Чувствительность!$D$20)*IFERROR(LOOKUP(Предпосылки!$H$210,$C$13:$C$15,E$13:E$15),1)</f>
        <v>0</v>
      </c>
      <c s="125">
        <f>Предпосылки!E$237*Предпосылки!$M256*Продажи!F21*F$19*(1+Чувствительность!$D$20)*IFERROR(LOOKUP(Предпосылки!$H$210,$C$13:$C$15,F$13:F$15),1)</f>
        <v>0</v>
      </c>
      <c s="125">
        <f>Предпосылки!F$237*Предпосылки!$M256*Продажи!G21*G$19*(1+Чувствительность!$D$20)*IFERROR(LOOKUP(Предпосылки!$H$210,$C$13:$C$15,G$13:G$15),1)</f>
        <v>0</v>
      </c>
      <c s="125">
        <f>Предпосылки!G$237*Предпосылки!$M256*Продажи!H21*H$19*(1+Чувствительность!$D$20)*IFERROR(LOOKUP(Предпосылки!$H$210,$C$13:$C$15,H$13:H$15),1)</f>
        <v>0</v>
      </c>
      <c s="125">
        <f>Предпосылки!H$237*Предпосылки!$M256*Продажи!I21*I$19*(1+Чувствительность!$D$20)*IFERROR(LOOKUP(Предпосылки!$H$210,$C$13:$C$15,I$13:I$15),1)</f>
        <v>0</v>
      </c>
      <c s="125">
        <f>Предпосылки!I$237*Предпосылки!$M256*Продажи!J21*J$19*(1+Чувствительность!$D$20)*IFERROR(LOOKUP(Предпосылки!$H$210,$C$13:$C$15,J$13:J$15),1)</f>
        <v>0</v>
      </c>
      <c s="125">
        <f>Предпосылки!J$237*Предпосылки!$M256*Продажи!K21*K$19*(1+Чувствительность!$D$20)*IFERROR(LOOKUP(Предпосылки!$H$210,$C$13:$C$15,K$13:K$15),1)</f>
        <v>0</v>
      </c>
      <c s="125">
        <f>Предпосылки!K$237*Предпосылки!$M256*Продажи!L21*L$19*(1+Чувствительность!$D$20)*IFERROR(LOOKUP(Предпосылки!$H$210,$C$13:$C$15,L$13:L$15),1)</f>
        <v>0</v>
      </c>
      <c s="125">
        <f>Предпосылки!L$237*Предпосылки!$M256*Продажи!M21*M$19*(1+Чувствительность!$D$20)*IFERROR(LOOKUP(Предпосылки!$H$210,$C$13:$C$15,M$13:M$15),1)</f>
        <v>0</v>
      </c>
      <c s="125">
        <f>Предпосылки!M$237*Предпосылки!$M256*Продажи!N21*N$19*(1+Чувствительность!$D$20)*IFERROR(LOOKUP(Предпосылки!$H$210,$C$13:$C$15,N$13:N$15),1)</f>
        <v>0</v>
      </c>
      <c s="125">
        <f>Предпосылки!N$237*Предпосылки!$M256*Продажи!O21*O$19*(1+Чувствительность!$D$20)*IFERROR(LOOKUP(Предпосылки!$H$210,$C$13:$C$15,O$13:O$15),1)</f>
        <v>0</v>
      </c>
      <c s="125">
        <f>Предпосылки!O$237*Предпосылки!$M256*Продажи!P21*P$19*(1+Чувствительность!$D$20)*IFERROR(LOOKUP(Предпосылки!$H$210,$C$13:$C$15,P$13:P$15),1)</f>
        <v>0</v>
      </c>
      <c s="125">
        <f>Предпосылки!P$237*Предпосылки!$M256*Продажи!Q21*Q$19*(1+Чувствительность!$D$20)*IFERROR(LOOKUP(Предпосылки!$H$210,$C$13:$C$15,Q$13:Q$15),1)</f>
        <v>0</v>
      </c>
      <c s="125">
        <f>Предпосылки!Q$237*Предпосылки!$M256*Продажи!R21*R$19*(1+Чувствительность!$D$20)*IFERROR(LOOKUP(Предпосылки!$H$210,$C$13:$C$15,R$13:R$15),1)</f>
        <v>0</v>
      </c>
      <c s="125">
        <f>Предпосылки!R$237*Предпосылки!$M256*Продажи!S21*S$19*(1+Чувствительность!$D$20)*IFERROR(LOOKUP(Предпосылки!$H$210,$C$13:$C$15,S$13:S$15),1)</f>
        <v>0</v>
      </c>
      <c s="125">
        <f>Предпосылки!S$237*Предпосылки!$M256*Продажи!T21*T$19*(1+Чувствительность!$D$20)*IFERROR(LOOKUP(Предпосылки!$H$210,$C$13:$C$15,T$13:T$15),1)</f>
        <v>0</v>
      </c>
      <c s="125">
        <f>Предпосылки!T$237*Предпосылки!$M256*Продажи!U21*U$19*(1+Чувствительность!$D$20)*IFERROR(LOOKUP(Предпосылки!$H$210,$C$13:$C$15,U$13:U$15),1)</f>
        <v>0</v>
      </c>
      <c s="125">
        <f>Предпосылки!U$237*Предпосылки!$M256*Продажи!V21*V$19*(1+Чувствительность!$D$20)*IFERROR(LOOKUP(Предпосылки!$H$210,$C$13:$C$15,V$13:V$15),1)</f>
        <v>0</v>
      </c>
      <c s="125">
        <f>Предпосылки!V$237*Предпосылки!$M256*Продажи!W21*W$19*(1+Чувствительность!$D$20)*IFERROR(LOOKUP(Предпосылки!$H$210,$C$13:$C$15,W$13:W$15),1)</f>
        <v>0</v>
      </c>
      <c s="125">
        <f>Предпосылки!W$237*Предпосылки!$M256*Продажи!X21*X$19*(1+Чувствительность!$D$20)*IFERROR(LOOKUP(Предпосылки!$H$210,$C$13:$C$15,X$13:X$15),1)</f>
        <v>0</v>
      </c>
      <c s="125">
        <f>Предпосылки!X$237*Предпосылки!$M256*Продажи!Y21*Y$19*(1+Чувствительность!$D$20)*IFERROR(LOOKUP(Предпосылки!$H$210,$C$13:$C$15,Y$13:Y$15),1)</f>
        <v>0</v>
      </c>
      <c s="125">
        <f>Предпосылки!Y$237*Предпосылки!$M256*Продажи!Z21*Z$19*(1+Чувствительность!$D$20)*IFERROR(LOOKUP(Предпосылки!$H$210,$C$13:$C$15,Z$13:Z$15),1)</f>
        <v>0</v>
      </c>
      <c s="125">
        <f>Предпосылки!Z$237*Предпосылки!$M256*Продажи!AA21*AA$19*(1+Чувствительность!$D$20)*IFERROR(LOOKUP(Предпосылки!$H$210,$C$13:$C$15,AA$13:AA$15),1)</f>
        <v>0</v>
      </c>
      <c s="125">
        <f>Предпосылки!AA$237*Предпосылки!$M256*Продажи!AB21*AB$19*(1+Чувствительность!$D$20)*IFERROR(LOOKUP(Предпосылки!$H$210,$C$13:$C$15,AB$13:AB$15),1)</f>
        <v>0</v>
      </c>
      <c s="125">
        <f>Предпосылки!AB$237*Предпосылки!$M256*Продажи!AC21*AC$19*(1+Чувствительность!$D$20)*IFERROR(LOOKUP(Предпосылки!$H$210,$C$13:$C$15,AC$13:AC$15),1)</f>
        <v>0</v>
      </c>
      <c s="125">
        <f>Предпосылки!AC$237*Предпосылки!$M256*Продажи!AD21*AD$19*(1+Чувствительность!$D$20)*IFERROR(LOOKUP(Предпосылки!$H$210,$C$13:$C$15,AD$13:AD$15),1)</f>
        <v>0</v>
      </c>
      <c s="125">
        <f>Предпосылки!AD$237*Предпосылки!$M256*Продажи!AE21*AE$19*(1+Чувствительность!$D$20)*IFERROR(LOOKUP(Предпосылки!$H$210,$C$13:$C$15,AE$13:AE$15),1)</f>
        <v>0</v>
      </c>
      <c s="125">
        <f>Предпосылки!AE$237*Предпосылки!$M256*Продажи!AF21*AF$19*(1+Чувствительность!$D$20)*IFERROR(LOOKUP(Предпосылки!$H$210,$C$13:$C$15,AF$13:AF$15),1)</f>
        <v>0</v>
      </c>
      <c s="125">
        <f>Предпосылки!AF$237*Предпосылки!$M256*Продажи!AG21*AG$19*(1+Чувствительность!$D$20)*IFERROR(LOOKUP(Предпосылки!$H$210,$C$13:$C$15,AG$13:AG$15),1)</f>
        <v>0</v>
      </c>
      <c s="125">
        <f>Предпосылки!AG$237*Предпосылки!$M256*Продажи!AH21*AH$19*(1+Чувствительность!$D$20)*IFERROR(LOOKUP(Предпосылки!$H$210,$C$13:$C$15,AH$13:AH$15),1)</f>
        <v>0</v>
      </c>
      <c s="125">
        <f>Предпосылки!AH$237*Предпосылки!$M256*Продажи!AI21*AI$19*(1+Чувствительность!$D$20)*IFERROR(LOOKUP(Предпосылки!$H$210,$C$13:$C$15,AI$13:AI$15),1)</f>
        <v>0</v>
      </c>
      <c s="125">
        <f>Предпосылки!AI$237*Предпосылки!$M256*Продажи!AJ21*AJ$19*(1+Чувствительность!$D$20)*IFERROR(LOOKUP(Предпосылки!$H$210,$C$13:$C$15,AJ$13:AJ$15),1)</f>
        <v>0</v>
      </c>
      <c s="125">
        <f>Предпосылки!AJ$237*Предпосылки!$M256*Продажи!AK21*AK$19*(1+Чувствительность!$D$20)*IFERROR(LOOKUP(Предпосылки!$H$210,$C$13:$C$15,AK$13:AK$15),1)</f>
        <v>0</v>
      </c>
      <c s="125">
        <f>Предпосылки!AK$237*Предпосылки!$M256*Продажи!AL21*AL$19*(1+Чувствительность!$D$20)*IFERROR(LOOKUP(Предпосылки!$H$210,$C$13:$C$15,AL$13:AL$15),1)</f>
        <v>0</v>
      </c>
      <c s="125">
        <f>Предпосылки!AL$237*Предпосылки!$M256*Продажи!AM21*AM$19*(1+Чувствительность!$D$20)*IFERROR(LOOKUP(Предпосылки!$H$210,$C$13:$C$15,AM$13:AM$15),1)</f>
        <v>0</v>
      </c>
      <c s="125">
        <f>Предпосылки!AM$237*Предпосылки!$M256*Продажи!AN21*AN$19*(1+Чувствительность!$D$20)*IFERROR(LOOKUP(Предпосылки!$H$210,$C$13:$C$15,AN$13:AN$15),1)</f>
        <v>0</v>
      </c>
      <c s="125">
        <f>Предпосылки!AN$237*Предпосылки!$M256*Продажи!AO21*AO$19*(1+Чувствительность!$D$20)*IFERROR(LOOKUP(Предпосылки!$H$210,$C$13:$C$15,AO$13:AO$15),1)</f>
        <v>0</v>
      </c>
      <c s="125">
        <f>Предпосылки!AO$237*Предпосылки!$M256*Продажи!AP21*AP$19*(1+Чувствительность!$D$20)*IFERROR(LOOKUP(Предпосылки!$H$210,$C$13:$C$15,AP$13:AP$15),1)</f>
        <v>0</v>
      </c>
      <c s="125">
        <f>Предпосылки!AP$237*Предпосылки!$M256*Продажи!AQ21*AQ$19*(1+Чувствительность!$D$20)*IFERROR(LOOKUP(Предпосылки!$H$210,$C$13:$C$15,AQ$13:AQ$15),1)</f>
        <v>0</v>
      </c>
      <c s="125">
        <f>Предпосылки!AQ$237*Предпосылки!$M256*Продажи!AR21*AR$19*(1+Чувствительность!$D$20)*IFERROR(LOOKUP(Предпосылки!$H$210,$C$13:$C$15,AR$13:AR$15),1)</f>
        <v>0</v>
      </c>
      <c s="125">
        <f>Предпосылки!AR$237*Предпосылки!$M256*Продажи!AS21*AS$19*(1+Чувствительность!$D$20)*IFERROR(LOOKUP(Предпосылки!$H$210,$C$13:$C$15,AS$13:AS$15),1)</f>
        <v>0</v>
      </c>
      <c s="125">
        <f>Предпосылки!AS$237*Предпосылки!$M256*Продажи!AT21*AT$19*(1+Чувствительность!$D$20)*IFERROR(LOOKUP(Предпосылки!$H$210,$C$13:$C$15,AT$13:AT$15),1)</f>
        <v>0</v>
      </c>
      <c s="125">
        <f>Предпосылки!AT$237*Предпосылки!$M256*Продажи!AU21*AU$19*(1+Чувствительность!$D$20)*IFERROR(LOOKUP(Предпосылки!$H$210,$C$13:$C$15,AU$13:AU$15),1)</f>
        <v>0</v>
      </c>
      <c s="125">
        <f>Предпосылки!AU$237*Предпосылки!$M256*Продажи!AV21*AV$19*(1+Чувствительность!$D$20)*IFERROR(LOOKUP(Предпосылки!$H$210,$C$13:$C$15,AV$13:AV$15),1)</f>
        <v>0</v>
      </c>
      <c s="125">
        <f>Предпосылки!AV$237*Предпосылки!$M256*Продажи!AW21*AW$19*(1+Чувствительность!$D$20)*IFERROR(LOOKUP(Предпосылки!$H$210,$C$13:$C$15,AW$13:AW$15),1)</f>
        <v>0</v>
      </c>
      <c s="125">
        <f>Предпосылки!AW$237*Предпосылки!$M256*Продажи!AX21*AX$19*(1+Чувствительность!$D$20)*IFERROR(LOOKUP(Предпосылки!$H$210,$C$13:$C$15,AX$13:AX$15),1)</f>
        <v>0</v>
      </c>
      <c s="125">
        <f>Предпосылки!AX$237*Предпосылки!$M256*Продажи!AY21*AY$19*(1+Чувствительность!$D$20)*IFERROR(LOOKUP(Предпосылки!$H$210,$C$13:$C$15,AY$13:AY$15),1)</f>
        <v>0</v>
      </c>
      <c s="125">
        <f>Предпосылки!AY$237*Предпосылки!$M256*Продажи!AZ21*AZ$19*(1+Чувствительность!$D$20)*IFERROR(LOOKUP(Предпосылки!$H$210,$C$13:$C$15,AZ$13:AZ$15),1)</f>
        <v>0</v>
      </c>
      <c s="125">
        <f>Предпосылки!AZ$237*Предпосылки!$M256*Продажи!BA21*BA$19*(1+Чувствительность!$D$20)*IFERROR(LOOKUP(Предпосылки!$H$210,$C$13:$C$15,BA$13:BA$15),1)</f>
        <v>0</v>
      </c>
      <c s="125">
        <f>Предпосылки!BA$237*Предпосылки!$M256*Продажи!BB21*BB$19*(1+Чувствительность!$D$20)*IFERROR(LOOKUP(Предпосылки!$H$210,$C$13:$C$15,BB$13:BB$15),1)</f>
        <v>0</v>
      </c>
      <c s="125">
        <f>Предпосылки!BB$237*Предпосылки!$M256*Продажи!BC21*BC$19*(1+Чувствительность!$D$20)*IFERROR(LOOKUP(Предпосылки!$H$210,$C$13:$C$15,BC$13:BC$15),1)</f>
        <v>0</v>
      </c>
      <c s="125">
        <f>Предпосылки!BC$237*Предпосылки!$M256*Продажи!BD21*BD$19*(1+Чувствительность!$D$20)*IFERROR(LOOKUP(Предпосылки!$H$210,$C$13:$C$15,BD$13:BD$15),1)</f>
        <v>0</v>
      </c>
      <c s="125">
        <f>Предпосылки!BD$237*Предпосылки!$M256*Продажи!BE21*BE$19*(1+Чувствительность!$D$20)*IFERROR(LOOKUP(Предпосылки!$H$210,$C$13:$C$15,BE$13:BE$15),1)</f>
        <v>0</v>
      </c>
      <c s="125">
        <f>Предпосылки!BE$237*Предпосылки!$M256*Продажи!BF21*BF$19*(1+Чувствительность!$D$20)*IFERROR(LOOKUP(Предпосылки!$H$210,$C$13:$C$15,BF$13:BF$15),1)</f>
        <v>0</v>
      </c>
      <c s="125">
        <f>Предпосылки!BF$237*Предпосылки!$M256*Продажи!BG21*BG$19*(1+Чувствительность!$D$20)*IFERROR(LOOKUP(Предпосылки!$H$210,$C$13:$C$15,BG$13:BG$15),1)</f>
        <v>0</v>
      </c>
      <c s="125">
        <f>Предпосылки!BG$237*Предпосылки!$M256*Продажи!BH21*BH$19*(1+Чувствительность!$D$20)*IFERROR(LOOKUP(Предпосылки!$H$210,$C$13:$C$15,BH$13:BH$15),1)</f>
        <v>0</v>
      </c>
      <c s="125">
        <f>Предпосылки!BH$237*Предпосылки!$M256*Продажи!BI21*BI$19*(1+Чувствительность!$D$20)*IFERROR(LOOKUP(Предпосылки!$H$210,$C$13:$C$15,BI$13:BI$15),1)</f>
        <v>0</v>
      </c>
      <c s="125">
        <f>Предпосылки!BI$237*Предпосылки!$M256*Продажи!BJ21*BJ$19*(1+Чувствительность!$D$20)*IFERROR(LOOKUP(Предпосылки!$H$210,$C$13:$C$15,BJ$13:BJ$15),1)</f>
        <v>0</v>
      </c>
      <c s="125">
        <f>Предпосылки!BJ$237*Предпосылки!$M256*Продажи!BK21*BK$19*(1+Чувствительность!$D$20)*IFERROR(LOOKUP(Предпосылки!$H$210,$C$13:$C$15,BK$13:BK$15),1)</f>
        <v>0</v>
      </c>
      <c s="125">
        <f>Предпосылки!BK$237*Предпосылки!$M256*Продажи!BL21*BL$19*(1+Чувствительность!$D$20)*IFERROR(LOOKUP(Предпосылки!$H$210,$C$13:$C$15,BL$13:BL$15),1)</f>
        <v>0</v>
      </c>
      <c s="125">
        <f>Предпосылки!BL$237*Предпосылки!$M256*Продажи!BM21*BM$19*(1+Чувствительность!$D$20)*IFERROR(LOOKUP(Предпосылки!$H$210,$C$13:$C$15,BM$13:BM$15),1)</f>
        <v>0</v>
      </c>
    </row>
    <row r="234" spans="2:65" ht="15" customHeight="1">
      <c r="B234" s="12" t="str">
        <f t="shared" si="106"/>
        <v>Продукт 5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Предпосылки!D$237*Предпосылки!$M257*Продажи!E22*E$19*(1+Чувствительность!$D$20)*IFERROR(LOOKUP(Предпосылки!$H$210,$C$13:$C$15,E$13:E$15),1)</f>
        <v>0</v>
      </c>
      <c s="125">
        <f>Предпосылки!E$237*Предпосылки!$M257*Продажи!F22*F$19*(1+Чувствительность!$D$20)*IFERROR(LOOKUP(Предпосылки!$H$210,$C$13:$C$15,F$13:F$15),1)</f>
        <v>0</v>
      </c>
      <c s="125">
        <f>Предпосылки!F$237*Предпосылки!$M257*Продажи!G22*G$19*(1+Чувствительность!$D$20)*IFERROR(LOOKUP(Предпосылки!$H$210,$C$13:$C$15,G$13:G$15),1)</f>
        <v>0</v>
      </c>
      <c s="125">
        <f>Предпосылки!G$237*Предпосылки!$M257*Продажи!H22*H$19*(1+Чувствительность!$D$20)*IFERROR(LOOKUP(Предпосылки!$H$210,$C$13:$C$15,H$13:H$15),1)</f>
        <v>0</v>
      </c>
      <c s="125">
        <f>Предпосылки!H$237*Предпосылки!$M257*Продажи!I22*I$19*(1+Чувствительность!$D$20)*IFERROR(LOOKUP(Предпосылки!$H$210,$C$13:$C$15,I$13:I$15),1)</f>
        <v>0</v>
      </c>
      <c s="125">
        <f>Предпосылки!I$237*Предпосылки!$M257*Продажи!J22*J$19*(1+Чувствительность!$D$20)*IFERROR(LOOKUP(Предпосылки!$H$210,$C$13:$C$15,J$13:J$15),1)</f>
        <v>0</v>
      </c>
      <c s="125">
        <f>Предпосылки!J$237*Предпосылки!$M257*Продажи!K22*K$19*(1+Чувствительность!$D$20)*IFERROR(LOOKUP(Предпосылки!$H$210,$C$13:$C$15,K$13:K$15),1)</f>
        <v>0</v>
      </c>
      <c s="125">
        <f>Предпосылки!K$237*Предпосылки!$M257*Продажи!L22*L$19*(1+Чувствительность!$D$20)*IFERROR(LOOKUP(Предпосылки!$H$210,$C$13:$C$15,L$13:L$15),1)</f>
        <v>0</v>
      </c>
      <c s="125">
        <f>Предпосылки!L$237*Предпосылки!$M257*Продажи!M22*M$19*(1+Чувствительность!$D$20)*IFERROR(LOOKUP(Предпосылки!$H$210,$C$13:$C$15,M$13:M$15),1)</f>
        <v>0</v>
      </c>
      <c s="125">
        <f>Предпосылки!M$237*Предпосылки!$M257*Продажи!N22*N$19*(1+Чувствительность!$D$20)*IFERROR(LOOKUP(Предпосылки!$H$210,$C$13:$C$15,N$13:N$15),1)</f>
        <v>0</v>
      </c>
      <c s="125">
        <f>Предпосылки!N$237*Предпосылки!$M257*Продажи!O22*O$19*(1+Чувствительность!$D$20)*IFERROR(LOOKUP(Предпосылки!$H$210,$C$13:$C$15,O$13:O$15),1)</f>
        <v>0</v>
      </c>
      <c s="125">
        <f>Предпосылки!O$237*Предпосылки!$M257*Продажи!P22*P$19*(1+Чувствительность!$D$20)*IFERROR(LOOKUP(Предпосылки!$H$210,$C$13:$C$15,P$13:P$15),1)</f>
        <v>0</v>
      </c>
      <c s="125">
        <f>Предпосылки!P$237*Предпосылки!$M257*Продажи!Q22*Q$19*(1+Чувствительность!$D$20)*IFERROR(LOOKUP(Предпосылки!$H$210,$C$13:$C$15,Q$13:Q$15),1)</f>
        <v>0</v>
      </c>
      <c s="125">
        <f>Предпосылки!Q$237*Предпосылки!$M257*Продажи!R22*R$19*(1+Чувствительность!$D$20)*IFERROR(LOOKUP(Предпосылки!$H$210,$C$13:$C$15,R$13:R$15),1)</f>
        <v>0</v>
      </c>
      <c s="125">
        <f>Предпосылки!R$237*Предпосылки!$M257*Продажи!S22*S$19*(1+Чувствительность!$D$20)*IFERROR(LOOKUP(Предпосылки!$H$210,$C$13:$C$15,S$13:S$15),1)</f>
        <v>0</v>
      </c>
      <c s="125">
        <f>Предпосылки!S$237*Предпосылки!$M257*Продажи!T22*T$19*(1+Чувствительность!$D$20)*IFERROR(LOOKUP(Предпосылки!$H$210,$C$13:$C$15,T$13:T$15),1)</f>
        <v>0</v>
      </c>
      <c s="125">
        <f>Предпосылки!T$237*Предпосылки!$M257*Продажи!U22*U$19*(1+Чувствительность!$D$20)*IFERROR(LOOKUP(Предпосылки!$H$210,$C$13:$C$15,U$13:U$15),1)</f>
        <v>0</v>
      </c>
      <c s="125">
        <f>Предпосылки!U$237*Предпосылки!$M257*Продажи!V22*V$19*(1+Чувствительность!$D$20)*IFERROR(LOOKUP(Предпосылки!$H$210,$C$13:$C$15,V$13:V$15),1)</f>
        <v>0</v>
      </c>
      <c s="125">
        <f>Предпосылки!V$237*Предпосылки!$M257*Продажи!W22*W$19*(1+Чувствительность!$D$20)*IFERROR(LOOKUP(Предпосылки!$H$210,$C$13:$C$15,W$13:W$15),1)</f>
        <v>0</v>
      </c>
      <c s="125">
        <f>Предпосылки!W$237*Предпосылки!$M257*Продажи!X22*X$19*(1+Чувствительность!$D$20)*IFERROR(LOOKUP(Предпосылки!$H$210,$C$13:$C$15,X$13:X$15),1)</f>
        <v>0</v>
      </c>
      <c s="125">
        <f>Предпосылки!X$237*Предпосылки!$M257*Продажи!Y22*Y$19*(1+Чувствительность!$D$20)*IFERROR(LOOKUP(Предпосылки!$H$210,$C$13:$C$15,Y$13:Y$15),1)</f>
        <v>0</v>
      </c>
      <c s="125">
        <f>Предпосылки!Y$237*Предпосылки!$M257*Продажи!Z22*Z$19*(1+Чувствительность!$D$20)*IFERROR(LOOKUP(Предпосылки!$H$210,$C$13:$C$15,Z$13:Z$15),1)</f>
        <v>0</v>
      </c>
      <c s="125">
        <f>Предпосылки!Z$237*Предпосылки!$M257*Продажи!AA22*AA$19*(1+Чувствительность!$D$20)*IFERROR(LOOKUP(Предпосылки!$H$210,$C$13:$C$15,AA$13:AA$15),1)</f>
        <v>0</v>
      </c>
      <c s="125">
        <f>Предпосылки!AA$237*Предпосылки!$M257*Продажи!AB22*AB$19*(1+Чувствительность!$D$20)*IFERROR(LOOKUP(Предпосылки!$H$210,$C$13:$C$15,AB$13:AB$15),1)</f>
        <v>0</v>
      </c>
      <c s="125">
        <f>Предпосылки!AB$237*Предпосылки!$M257*Продажи!AC22*AC$19*(1+Чувствительность!$D$20)*IFERROR(LOOKUP(Предпосылки!$H$210,$C$13:$C$15,AC$13:AC$15),1)</f>
        <v>0</v>
      </c>
      <c s="125">
        <f>Предпосылки!AC$237*Предпосылки!$M257*Продажи!AD22*AD$19*(1+Чувствительность!$D$20)*IFERROR(LOOKUP(Предпосылки!$H$210,$C$13:$C$15,AD$13:AD$15),1)</f>
        <v>0</v>
      </c>
      <c s="125">
        <f>Предпосылки!AD$237*Предпосылки!$M257*Продажи!AE22*AE$19*(1+Чувствительность!$D$20)*IFERROR(LOOKUP(Предпосылки!$H$210,$C$13:$C$15,AE$13:AE$15),1)</f>
        <v>0</v>
      </c>
      <c s="125">
        <f>Предпосылки!AE$237*Предпосылки!$M257*Продажи!AF22*AF$19*(1+Чувствительность!$D$20)*IFERROR(LOOKUP(Предпосылки!$H$210,$C$13:$C$15,AF$13:AF$15),1)</f>
        <v>0</v>
      </c>
      <c s="125">
        <f>Предпосылки!AF$237*Предпосылки!$M257*Продажи!AG22*AG$19*(1+Чувствительность!$D$20)*IFERROR(LOOKUP(Предпосылки!$H$210,$C$13:$C$15,AG$13:AG$15),1)</f>
        <v>0</v>
      </c>
      <c s="125">
        <f>Предпосылки!AG$237*Предпосылки!$M257*Продажи!AH22*AH$19*(1+Чувствительность!$D$20)*IFERROR(LOOKUP(Предпосылки!$H$210,$C$13:$C$15,AH$13:AH$15),1)</f>
        <v>0</v>
      </c>
      <c s="125">
        <f>Предпосылки!AH$237*Предпосылки!$M257*Продажи!AI22*AI$19*(1+Чувствительность!$D$20)*IFERROR(LOOKUP(Предпосылки!$H$210,$C$13:$C$15,AI$13:AI$15),1)</f>
        <v>0</v>
      </c>
      <c s="125">
        <f>Предпосылки!AI$237*Предпосылки!$M257*Продажи!AJ22*AJ$19*(1+Чувствительность!$D$20)*IFERROR(LOOKUP(Предпосылки!$H$210,$C$13:$C$15,AJ$13:AJ$15),1)</f>
        <v>0</v>
      </c>
      <c s="125">
        <f>Предпосылки!AJ$237*Предпосылки!$M257*Продажи!AK22*AK$19*(1+Чувствительность!$D$20)*IFERROR(LOOKUP(Предпосылки!$H$210,$C$13:$C$15,AK$13:AK$15),1)</f>
        <v>0</v>
      </c>
      <c s="125">
        <f>Предпосылки!AK$237*Предпосылки!$M257*Продажи!AL22*AL$19*(1+Чувствительность!$D$20)*IFERROR(LOOKUP(Предпосылки!$H$210,$C$13:$C$15,AL$13:AL$15),1)</f>
        <v>0</v>
      </c>
      <c s="125">
        <f>Предпосылки!AL$237*Предпосылки!$M257*Продажи!AM22*AM$19*(1+Чувствительность!$D$20)*IFERROR(LOOKUP(Предпосылки!$H$210,$C$13:$C$15,AM$13:AM$15),1)</f>
        <v>0</v>
      </c>
      <c s="125">
        <f>Предпосылки!AM$237*Предпосылки!$M257*Продажи!AN22*AN$19*(1+Чувствительность!$D$20)*IFERROR(LOOKUP(Предпосылки!$H$210,$C$13:$C$15,AN$13:AN$15),1)</f>
        <v>0</v>
      </c>
      <c s="125">
        <f>Предпосылки!AN$237*Предпосылки!$M257*Продажи!AO22*AO$19*(1+Чувствительность!$D$20)*IFERROR(LOOKUP(Предпосылки!$H$210,$C$13:$C$15,AO$13:AO$15),1)</f>
        <v>0</v>
      </c>
      <c s="125">
        <f>Предпосылки!AO$237*Предпосылки!$M257*Продажи!AP22*AP$19*(1+Чувствительность!$D$20)*IFERROR(LOOKUP(Предпосылки!$H$210,$C$13:$C$15,AP$13:AP$15),1)</f>
        <v>0</v>
      </c>
      <c s="125">
        <f>Предпосылки!AP$237*Предпосылки!$M257*Продажи!AQ22*AQ$19*(1+Чувствительность!$D$20)*IFERROR(LOOKUP(Предпосылки!$H$210,$C$13:$C$15,AQ$13:AQ$15),1)</f>
        <v>0</v>
      </c>
      <c s="125">
        <f>Предпосылки!AQ$237*Предпосылки!$M257*Продажи!AR22*AR$19*(1+Чувствительность!$D$20)*IFERROR(LOOKUP(Предпосылки!$H$210,$C$13:$C$15,AR$13:AR$15),1)</f>
        <v>0</v>
      </c>
      <c s="125">
        <f>Предпосылки!AR$237*Предпосылки!$M257*Продажи!AS22*AS$19*(1+Чувствительность!$D$20)*IFERROR(LOOKUP(Предпосылки!$H$210,$C$13:$C$15,AS$13:AS$15),1)</f>
        <v>0</v>
      </c>
      <c s="125">
        <f>Предпосылки!AS$237*Предпосылки!$M257*Продажи!AT22*AT$19*(1+Чувствительность!$D$20)*IFERROR(LOOKUP(Предпосылки!$H$210,$C$13:$C$15,AT$13:AT$15),1)</f>
        <v>0</v>
      </c>
      <c s="125">
        <f>Предпосылки!AT$237*Предпосылки!$M257*Продажи!AU22*AU$19*(1+Чувствительность!$D$20)*IFERROR(LOOKUP(Предпосылки!$H$210,$C$13:$C$15,AU$13:AU$15),1)</f>
        <v>0</v>
      </c>
      <c s="125">
        <f>Предпосылки!AU$237*Предпосылки!$M257*Продажи!AV22*AV$19*(1+Чувствительность!$D$20)*IFERROR(LOOKUP(Предпосылки!$H$210,$C$13:$C$15,AV$13:AV$15),1)</f>
        <v>0</v>
      </c>
      <c s="125">
        <f>Предпосылки!AV$237*Предпосылки!$M257*Продажи!AW22*AW$19*(1+Чувствительность!$D$20)*IFERROR(LOOKUP(Предпосылки!$H$210,$C$13:$C$15,AW$13:AW$15),1)</f>
        <v>0</v>
      </c>
      <c s="125">
        <f>Предпосылки!AW$237*Предпосылки!$M257*Продажи!AX22*AX$19*(1+Чувствительность!$D$20)*IFERROR(LOOKUP(Предпосылки!$H$210,$C$13:$C$15,AX$13:AX$15),1)</f>
        <v>0</v>
      </c>
      <c s="125">
        <f>Предпосылки!AX$237*Предпосылки!$M257*Продажи!AY22*AY$19*(1+Чувствительность!$D$20)*IFERROR(LOOKUP(Предпосылки!$H$210,$C$13:$C$15,AY$13:AY$15),1)</f>
        <v>0</v>
      </c>
      <c s="125">
        <f>Предпосылки!AY$237*Предпосылки!$M257*Продажи!AZ22*AZ$19*(1+Чувствительность!$D$20)*IFERROR(LOOKUP(Предпосылки!$H$210,$C$13:$C$15,AZ$13:AZ$15),1)</f>
        <v>0</v>
      </c>
      <c s="125">
        <f>Предпосылки!AZ$237*Предпосылки!$M257*Продажи!BA22*BA$19*(1+Чувствительность!$D$20)*IFERROR(LOOKUP(Предпосылки!$H$210,$C$13:$C$15,BA$13:BA$15),1)</f>
        <v>0</v>
      </c>
      <c s="125">
        <f>Предпосылки!BA$237*Предпосылки!$M257*Продажи!BB22*BB$19*(1+Чувствительность!$D$20)*IFERROR(LOOKUP(Предпосылки!$H$210,$C$13:$C$15,BB$13:BB$15),1)</f>
        <v>0</v>
      </c>
      <c s="125">
        <f>Предпосылки!BB$237*Предпосылки!$M257*Продажи!BC22*BC$19*(1+Чувствительность!$D$20)*IFERROR(LOOKUP(Предпосылки!$H$210,$C$13:$C$15,BC$13:BC$15),1)</f>
        <v>0</v>
      </c>
      <c s="125">
        <f>Предпосылки!BC$237*Предпосылки!$M257*Продажи!BD22*BD$19*(1+Чувствительность!$D$20)*IFERROR(LOOKUP(Предпосылки!$H$210,$C$13:$C$15,BD$13:BD$15),1)</f>
        <v>0</v>
      </c>
      <c s="125">
        <f>Предпосылки!BD$237*Предпосылки!$M257*Продажи!BE22*BE$19*(1+Чувствительность!$D$20)*IFERROR(LOOKUP(Предпосылки!$H$210,$C$13:$C$15,BE$13:BE$15),1)</f>
        <v>0</v>
      </c>
      <c s="125">
        <f>Предпосылки!BE$237*Предпосылки!$M257*Продажи!BF22*BF$19*(1+Чувствительность!$D$20)*IFERROR(LOOKUP(Предпосылки!$H$210,$C$13:$C$15,BF$13:BF$15),1)</f>
        <v>0</v>
      </c>
      <c s="125">
        <f>Предпосылки!BF$237*Предпосылки!$M257*Продажи!BG22*BG$19*(1+Чувствительность!$D$20)*IFERROR(LOOKUP(Предпосылки!$H$210,$C$13:$C$15,BG$13:BG$15),1)</f>
        <v>0</v>
      </c>
      <c s="125">
        <f>Предпосылки!BG$237*Предпосылки!$M257*Продажи!BH22*BH$19*(1+Чувствительность!$D$20)*IFERROR(LOOKUP(Предпосылки!$H$210,$C$13:$C$15,BH$13:BH$15),1)</f>
        <v>0</v>
      </c>
      <c s="125">
        <f>Предпосылки!BH$237*Предпосылки!$M257*Продажи!BI22*BI$19*(1+Чувствительность!$D$20)*IFERROR(LOOKUP(Предпосылки!$H$210,$C$13:$C$15,BI$13:BI$15),1)</f>
        <v>0</v>
      </c>
      <c s="125">
        <f>Предпосылки!BI$237*Предпосылки!$M257*Продажи!BJ22*BJ$19*(1+Чувствительность!$D$20)*IFERROR(LOOKUP(Предпосылки!$H$210,$C$13:$C$15,BJ$13:BJ$15),1)</f>
        <v>0</v>
      </c>
      <c s="125">
        <f>Предпосылки!BJ$237*Предпосылки!$M257*Продажи!BK22*BK$19*(1+Чувствительность!$D$20)*IFERROR(LOOKUP(Предпосылки!$H$210,$C$13:$C$15,BK$13:BK$15),1)</f>
        <v>0</v>
      </c>
      <c s="125">
        <f>Предпосылки!BK$237*Предпосылки!$M257*Продажи!BL22*BL$19*(1+Чувствительность!$D$20)*IFERROR(LOOKUP(Предпосылки!$H$210,$C$13:$C$15,BL$13:BL$15),1)</f>
        <v>0</v>
      </c>
      <c s="125">
        <f>Предпосылки!BL$237*Предпосылки!$M257*Продажи!BM22*BM$19*(1+Чувствительность!$D$20)*IFERROR(LOOKUP(Предпосылки!$H$210,$C$13:$C$15,BM$13:BM$15),1)</f>
        <v>0</v>
      </c>
    </row>
    <row r="235" spans="2:65" ht="15" customHeight="1">
      <c r="B235" s="12" t="str">
        <f t="shared" si="106"/>
        <v>Продукт 6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Предпосылки!D$237*Предпосылки!$M258*Продажи!E23*E$19*(1+Чувствительность!$D$20)*IFERROR(LOOKUP(Предпосылки!$H$210,$C$13:$C$15,E$13:E$15),1)</f>
        <v>0</v>
      </c>
      <c s="125">
        <f>Предпосылки!E$237*Предпосылки!$M258*Продажи!F23*F$19*(1+Чувствительность!$D$20)*IFERROR(LOOKUP(Предпосылки!$H$210,$C$13:$C$15,F$13:F$15),1)</f>
        <v>0</v>
      </c>
      <c s="125">
        <f>Предпосылки!F$237*Предпосылки!$M258*Продажи!G23*G$19*(1+Чувствительность!$D$20)*IFERROR(LOOKUP(Предпосылки!$H$210,$C$13:$C$15,G$13:G$15),1)</f>
        <v>0</v>
      </c>
      <c s="125">
        <f>Предпосылки!G$237*Предпосылки!$M258*Продажи!H23*H$19*(1+Чувствительность!$D$20)*IFERROR(LOOKUP(Предпосылки!$H$210,$C$13:$C$15,H$13:H$15),1)</f>
        <v>0</v>
      </c>
      <c s="125">
        <f>Предпосылки!H$237*Предпосылки!$M258*Продажи!I23*I$19*(1+Чувствительность!$D$20)*IFERROR(LOOKUP(Предпосылки!$H$210,$C$13:$C$15,I$13:I$15),1)</f>
        <v>0</v>
      </c>
      <c s="125">
        <f>Предпосылки!I$237*Предпосылки!$M258*Продажи!J23*J$19*(1+Чувствительность!$D$20)*IFERROR(LOOKUP(Предпосылки!$H$210,$C$13:$C$15,J$13:J$15),1)</f>
        <v>0</v>
      </c>
      <c s="125">
        <f>Предпосылки!J$237*Предпосылки!$M258*Продажи!K23*K$19*(1+Чувствительность!$D$20)*IFERROR(LOOKUP(Предпосылки!$H$210,$C$13:$C$15,K$13:K$15),1)</f>
        <v>0</v>
      </c>
      <c s="125">
        <f>Предпосылки!K$237*Предпосылки!$M258*Продажи!L23*L$19*(1+Чувствительность!$D$20)*IFERROR(LOOKUP(Предпосылки!$H$210,$C$13:$C$15,L$13:L$15),1)</f>
        <v>0</v>
      </c>
      <c s="125">
        <f>Предпосылки!L$237*Предпосылки!$M258*Продажи!M23*M$19*(1+Чувствительность!$D$20)*IFERROR(LOOKUP(Предпосылки!$H$210,$C$13:$C$15,M$13:M$15),1)</f>
        <v>0</v>
      </c>
      <c s="125">
        <f>Предпосылки!M$237*Предпосылки!$M258*Продажи!N23*N$19*(1+Чувствительность!$D$20)*IFERROR(LOOKUP(Предпосылки!$H$210,$C$13:$C$15,N$13:N$15),1)</f>
        <v>0</v>
      </c>
      <c s="125">
        <f>Предпосылки!N$237*Предпосылки!$M258*Продажи!O23*O$19*(1+Чувствительность!$D$20)*IFERROR(LOOKUP(Предпосылки!$H$210,$C$13:$C$15,O$13:O$15),1)</f>
        <v>0</v>
      </c>
      <c s="125">
        <f>Предпосылки!O$237*Предпосылки!$M258*Продажи!P23*P$19*(1+Чувствительность!$D$20)*IFERROR(LOOKUP(Предпосылки!$H$210,$C$13:$C$15,P$13:P$15),1)</f>
        <v>0</v>
      </c>
      <c s="125">
        <f>Предпосылки!P$237*Предпосылки!$M258*Продажи!Q23*Q$19*(1+Чувствительность!$D$20)*IFERROR(LOOKUP(Предпосылки!$H$210,$C$13:$C$15,Q$13:Q$15),1)</f>
        <v>0</v>
      </c>
      <c s="125">
        <f>Предпосылки!Q$237*Предпосылки!$M258*Продажи!R23*R$19*(1+Чувствительность!$D$20)*IFERROR(LOOKUP(Предпосылки!$H$210,$C$13:$C$15,R$13:R$15),1)</f>
        <v>0</v>
      </c>
      <c s="125">
        <f>Предпосылки!R$237*Предпосылки!$M258*Продажи!S23*S$19*(1+Чувствительность!$D$20)*IFERROR(LOOKUP(Предпосылки!$H$210,$C$13:$C$15,S$13:S$15),1)</f>
        <v>0</v>
      </c>
      <c s="125">
        <f>Предпосылки!S$237*Предпосылки!$M258*Продажи!T23*T$19*(1+Чувствительность!$D$20)*IFERROR(LOOKUP(Предпосылки!$H$210,$C$13:$C$15,T$13:T$15),1)</f>
        <v>0</v>
      </c>
      <c s="125">
        <f>Предпосылки!T$237*Предпосылки!$M258*Продажи!U23*U$19*(1+Чувствительность!$D$20)*IFERROR(LOOKUP(Предпосылки!$H$210,$C$13:$C$15,U$13:U$15),1)</f>
        <v>0</v>
      </c>
      <c s="125">
        <f>Предпосылки!U$237*Предпосылки!$M258*Продажи!V23*V$19*(1+Чувствительность!$D$20)*IFERROR(LOOKUP(Предпосылки!$H$210,$C$13:$C$15,V$13:V$15),1)</f>
        <v>0</v>
      </c>
      <c s="125">
        <f>Предпосылки!V$237*Предпосылки!$M258*Продажи!W23*W$19*(1+Чувствительность!$D$20)*IFERROR(LOOKUP(Предпосылки!$H$210,$C$13:$C$15,W$13:W$15),1)</f>
        <v>0</v>
      </c>
      <c s="125">
        <f>Предпосылки!W$237*Предпосылки!$M258*Продажи!X23*X$19*(1+Чувствительность!$D$20)*IFERROR(LOOKUP(Предпосылки!$H$210,$C$13:$C$15,X$13:X$15),1)</f>
        <v>0</v>
      </c>
      <c s="125">
        <f>Предпосылки!X$237*Предпосылки!$M258*Продажи!Y23*Y$19*(1+Чувствительность!$D$20)*IFERROR(LOOKUP(Предпосылки!$H$210,$C$13:$C$15,Y$13:Y$15),1)</f>
        <v>0</v>
      </c>
      <c s="125">
        <f>Предпосылки!Y$237*Предпосылки!$M258*Продажи!Z23*Z$19*(1+Чувствительность!$D$20)*IFERROR(LOOKUP(Предпосылки!$H$210,$C$13:$C$15,Z$13:Z$15),1)</f>
        <v>0</v>
      </c>
      <c s="125">
        <f>Предпосылки!Z$237*Предпосылки!$M258*Продажи!AA23*AA$19*(1+Чувствительность!$D$20)*IFERROR(LOOKUP(Предпосылки!$H$210,$C$13:$C$15,AA$13:AA$15),1)</f>
        <v>0</v>
      </c>
      <c s="125">
        <f>Предпосылки!AA$237*Предпосылки!$M258*Продажи!AB23*AB$19*(1+Чувствительность!$D$20)*IFERROR(LOOKUP(Предпосылки!$H$210,$C$13:$C$15,AB$13:AB$15),1)</f>
        <v>0</v>
      </c>
      <c s="125">
        <f>Предпосылки!AB$237*Предпосылки!$M258*Продажи!AC23*AC$19*(1+Чувствительность!$D$20)*IFERROR(LOOKUP(Предпосылки!$H$210,$C$13:$C$15,AC$13:AC$15),1)</f>
        <v>0</v>
      </c>
      <c s="125">
        <f>Предпосылки!AC$237*Предпосылки!$M258*Продажи!AD23*AD$19*(1+Чувствительность!$D$20)*IFERROR(LOOKUP(Предпосылки!$H$210,$C$13:$C$15,AD$13:AD$15),1)</f>
        <v>0</v>
      </c>
      <c s="125">
        <f>Предпосылки!AD$237*Предпосылки!$M258*Продажи!AE23*AE$19*(1+Чувствительность!$D$20)*IFERROR(LOOKUP(Предпосылки!$H$210,$C$13:$C$15,AE$13:AE$15),1)</f>
        <v>0</v>
      </c>
      <c s="125">
        <f>Предпосылки!AE$237*Предпосылки!$M258*Продажи!AF23*AF$19*(1+Чувствительность!$D$20)*IFERROR(LOOKUP(Предпосылки!$H$210,$C$13:$C$15,AF$13:AF$15),1)</f>
        <v>0</v>
      </c>
      <c s="125">
        <f>Предпосылки!AF$237*Предпосылки!$M258*Продажи!AG23*AG$19*(1+Чувствительность!$D$20)*IFERROR(LOOKUP(Предпосылки!$H$210,$C$13:$C$15,AG$13:AG$15),1)</f>
        <v>0</v>
      </c>
      <c s="125">
        <f>Предпосылки!AG$237*Предпосылки!$M258*Продажи!AH23*AH$19*(1+Чувствительность!$D$20)*IFERROR(LOOKUP(Предпосылки!$H$210,$C$13:$C$15,AH$13:AH$15),1)</f>
        <v>0</v>
      </c>
      <c s="125">
        <f>Предпосылки!AH$237*Предпосылки!$M258*Продажи!AI23*AI$19*(1+Чувствительность!$D$20)*IFERROR(LOOKUP(Предпосылки!$H$210,$C$13:$C$15,AI$13:AI$15),1)</f>
        <v>0</v>
      </c>
      <c s="125">
        <f>Предпосылки!AI$237*Предпосылки!$M258*Продажи!AJ23*AJ$19*(1+Чувствительность!$D$20)*IFERROR(LOOKUP(Предпосылки!$H$210,$C$13:$C$15,AJ$13:AJ$15),1)</f>
        <v>0</v>
      </c>
      <c s="125">
        <f>Предпосылки!AJ$237*Предпосылки!$M258*Продажи!AK23*AK$19*(1+Чувствительность!$D$20)*IFERROR(LOOKUP(Предпосылки!$H$210,$C$13:$C$15,AK$13:AK$15),1)</f>
        <v>0</v>
      </c>
      <c s="125">
        <f>Предпосылки!AK$237*Предпосылки!$M258*Продажи!AL23*AL$19*(1+Чувствительность!$D$20)*IFERROR(LOOKUP(Предпосылки!$H$210,$C$13:$C$15,AL$13:AL$15),1)</f>
        <v>0</v>
      </c>
      <c s="125">
        <f>Предпосылки!AL$237*Предпосылки!$M258*Продажи!AM23*AM$19*(1+Чувствительность!$D$20)*IFERROR(LOOKUP(Предпосылки!$H$210,$C$13:$C$15,AM$13:AM$15),1)</f>
        <v>0</v>
      </c>
      <c s="125">
        <f>Предпосылки!AM$237*Предпосылки!$M258*Продажи!AN23*AN$19*(1+Чувствительность!$D$20)*IFERROR(LOOKUP(Предпосылки!$H$210,$C$13:$C$15,AN$13:AN$15),1)</f>
        <v>0</v>
      </c>
      <c s="125">
        <f>Предпосылки!AN$237*Предпосылки!$M258*Продажи!AO23*AO$19*(1+Чувствительность!$D$20)*IFERROR(LOOKUP(Предпосылки!$H$210,$C$13:$C$15,AO$13:AO$15),1)</f>
        <v>0</v>
      </c>
      <c s="125">
        <f>Предпосылки!AO$237*Предпосылки!$M258*Продажи!AP23*AP$19*(1+Чувствительность!$D$20)*IFERROR(LOOKUP(Предпосылки!$H$210,$C$13:$C$15,AP$13:AP$15),1)</f>
        <v>0</v>
      </c>
      <c s="125">
        <f>Предпосылки!AP$237*Предпосылки!$M258*Продажи!AQ23*AQ$19*(1+Чувствительность!$D$20)*IFERROR(LOOKUP(Предпосылки!$H$210,$C$13:$C$15,AQ$13:AQ$15),1)</f>
        <v>0</v>
      </c>
      <c s="125">
        <f>Предпосылки!AQ$237*Предпосылки!$M258*Продажи!AR23*AR$19*(1+Чувствительность!$D$20)*IFERROR(LOOKUP(Предпосылки!$H$210,$C$13:$C$15,AR$13:AR$15),1)</f>
        <v>0</v>
      </c>
      <c s="125">
        <f>Предпосылки!AR$237*Предпосылки!$M258*Продажи!AS23*AS$19*(1+Чувствительность!$D$20)*IFERROR(LOOKUP(Предпосылки!$H$210,$C$13:$C$15,AS$13:AS$15),1)</f>
        <v>0</v>
      </c>
      <c s="125">
        <f>Предпосылки!AS$237*Предпосылки!$M258*Продажи!AT23*AT$19*(1+Чувствительность!$D$20)*IFERROR(LOOKUP(Предпосылки!$H$210,$C$13:$C$15,AT$13:AT$15),1)</f>
        <v>0</v>
      </c>
      <c s="125">
        <f>Предпосылки!AT$237*Предпосылки!$M258*Продажи!AU23*AU$19*(1+Чувствительность!$D$20)*IFERROR(LOOKUP(Предпосылки!$H$210,$C$13:$C$15,AU$13:AU$15),1)</f>
        <v>0</v>
      </c>
      <c s="125">
        <f>Предпосылки!AU$237*Предпосылки!$M258*Продажи!AV23*AV$19*(1+Чувствительность!$D$20)*IFERROR(LOOKUP(Предпосылки!$H$210,$C$13:$C$15,AV$13:AV$15),1)</f>
        <v>0</v>
      </c>
      <c s="125">
        <f>Предпосылки!AV$237*Предпосылки!$M258*Продажи!AW23*AW$19*(1+Чувствительность!$D$20)*IFERROR(LOOKUP(Предпосылки!$H$210,$C$13:$C$15,AW$13:AW$15),1)</f>
        <v>0</v>
      </c>
      <c s="125">
        <f>Предпосылки!AW$237*Предпосылки!$M258*Продажи!AX23*AX$19*(1+Чувствительность!$D$20)*IFERROR(LOOKUP(Предпосылки!$H$210,$C$13:$C$15,AX$13:AX$15),1)</f>
        <v>0</v>
      </c>
      <c s="125">
        <f>Предпосылки!AX$237*Предпосылки!$M258*Продажи!AY23*AY$19*(1+Чувствительность!$D$20)*IFERROR(LOOKUP(Предпосылки!$H$210,$C$13:$C$15,AY$13:AY$15),1)</f>
        <v>0</v>
      </c>
      <c s="125">
        <f>Предпосылки!AY$237*Предпосылки!$M258*Продажи!AZ23*AZ$19*(1+Чувствительность!$D$20)*IFERROR(LOOKUP(Предпосылки!$H$210,$C$13:$C$15,AZ$13:AZ$15),1)</f>
        <v>0</v>
      </c>
      <c s="125">
        <f>Предпосылки!AZ$237*Предпосылки!$M258*Продажи!BA23*BA$19*(1+Чувствительность!$D$20)*IFERROR(LOOKUP(Предпосылки!$H$210,$C$13:$C$15,BA$13:BA$15),1)</f>
        <v>0</v>
      </c>
      <c s="125">
        <f>Предпосылки!BA$237*Предпосылки!$M258*Продажи!BB23*BB$19*(1+Чувствительность!$D$20)*IFERROR(LOOKUP(Предпосылки!$H$210,$C$13:$C$15,BB$13:BB$15),1)</f>
        <v>0</v>
      </c>
      <c s="125">
        <f>Предпосылки!BB$237*Предпосылки!$M258*Продажи!BC23*BC$19*(1+Чувствительность!$D$20)*IFERROR(LOOKUP(Предпосылки!$H$210,$C$13:$C$15,BC$13:BC$15),1)</f>
        <v>0</v>
      </c>
      <c s="125">
        <f>Предпосылки!BC$237*Предпосылки!$M258*Продажи!BD23*BD$19*(1+Чувствительность!$D$20)*IFERROR(LOOKUP(Предпосылки!$H$210,$C$13:$C$15,BD$13:BD$15),1)</f>
        <v>0</v>
      </c>
      <c s="125">
        <f>Предпосылки!BD$237*Предпосылки!$M258*Продажи!BE23*BE$19*(1+Чувствительность!$D$20)*IFERROR(LOOKUP(Предпосылки!$H$210,$C$13:$C$15,BE$13:BE$15),1)</f>
        <v>0</v>
      </c>
      <c s="125">
        <f>Предпосылки!BE$237*Предпосылки!$M258*Продажи!BF23*BF$19*(1+Чувствительность!$D$20)*IFERROR(LOOKUP(Предпосылки!$H$210,$C$13:$C$15,BF$13:BF$15),1)</f>
        <v>0</v>
      </c>
      <c s="125">
        <f>Предпосылки!BF$237*Предпосылки!$M258*Продажи!BG23*BG$19*(1+Чувствительность!$D$20)*IFERROR(LOOKUP(Предпосылки!$H$210,$C$13:$C$15,BG$13:BG$15),1)</f>
        <v>0</v>
      </c>
      <c s="125">
        <f>Предпосылки!BG$237*Предпосылки!$M258*Продажи!BH23*BH$19*(1+Чувствительность!$D$20)*IFERROR(LOOKUP(Предпосылки!$H$210,$C$13:$C$15,BH$13:BH$15),1)</f>
        <v>0</v>
      </c>
      <c s="125">
        <f>Предпосылки!BH$237*Предпосылки!$M258*Продажи!BI23*BI$19*(1+Чувствительность!$D$20)*IFERROR(LOOKUP(Предпосылки!$H$210,$C$13:$C$15,BI$13:BI$15),1)</f>
        <v>0</v>
      </c>
      <c s="125">
        <f>Предпосылки!BI$237*Предпосылки!$M258*Продажи!BJ23*BJ$19*(1+Чувствительность!$D$20)*IFERROR(LOOKUP(Предпосылки!$H$210,$C$13:$C$15,BJ$13:BJ$15),1)</f>
        <v>0</v>
      </c>
      <c s="125">
        <f>Предпосылки!BJ$237*Предпосылки!$M258*Продажи!BK23*BK$19*(1+Чувствительность!$D$20)*IFERROR(LOOKUP(Предпосылки!$H$210,$C$13:$C$15,BK$13:BK$15),1)</f>
        <v>0</v>
      </c>
      <c s="125">
        <f>Предпосылки!BK$237*Предпосылки!$M258*Продажи!BL23*BL$19*(1+Чувствительность!$D$20)*IFERROR(LOOKUP(Предпосылки!$H$210,$C$13:$C$15,BL$13:BL$15),1)</f>
        <v>0</v>
      </c>
      <c s="125">
        <f>Предпосылки!BL$237*Предпосылки!$M258*Продажи!BM23*BM$19*(1+Чувствительность!$D$20)*IFERROR(LOOKUP(Предпосылки!$H$210,$C$13:$C$15,BM$13:BM$15),1)</f>
        <v>0</v>
      </c>
    </row>
    <row r="236" spans="2:65" ht="15" customHeight="1">
      <c r="B236" s="12" t="str">
        <f t="shared" si="106"/>
        <v>Продукт 7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Предпосылки!D$237*Предпосылки!$M259*Продажи!E24*E$19*(1+Чувствительность!$D$20)*IFERROR(LOOKUP(Предпосылки!$H$210,$C$13:$C$15,E$13:E$15),1)</f>
        <v>0</v>
      </c>
      <c s="125">
        <f>Предпосылки!E$237*Предпосылки!$M259*Продажи!F24*F$19*(1+Чувствительность!$D$20)*IFERROR(LOOKUP(Предпосылки!$H$210,$C$13:$C$15,F$13:F$15),1)</f>
        <v>0</v>
      </c>
      <c s="125">
        <f>Предпосылки!F$237*Предпосылки!$M259*Продажи!G24*G$19*(1+Чувствительность!$D$20)*IFERROR(LOOKUP(Предпосылки!$H$210,$C$13:$C$15,G$13:G$15),1)</f>
        <v>0</v>
      </c>
      <c s="125">
        <f>Предпосылки!G$237*Предпосылки!$M259*Продажи!H24*H$19*(1+Чувствительность!$D$20)*IFERROR(LOOKUP(Предпосылки!$H$210,$C$13:$C$15,H$13:H$15),1)</f>
        <v>0</v>
      </c>
      <c s="125">
        <f>Предпосылки!H$237*Предпосылки!$M259*Продажи!I24*I$19*(1+Чувствительность!$D$20)*IFERROR(LOOKUP(Предпосылки!$H$210,$C$13:$C$15,I$13:I$15),1)</f>
        <v>0</v>
      </c>
      <c s="125">
        <f>Предпосылки!I$237*Предпосылки!$M259*Продажи!J24*J$19*(1+Чувствительность!$D$20)*IFERROR(LOOKUP(Предпосылки!$H$210,$C$13:$C$15,J$13:J$15),1)</f>
        <v>0</v>
      </c>
      <c s="125">
        <f>Предпосылки!J$237*Предпосылки!$M259*Продажи!K24*K$19*(1+Чувствительность!$D$20)*IFERROR(LOOKUP(Предпосылки!$H$210,$C$13:$C$15,K$13:K$15),1)</f>
        <v>0</v>
      </c>
      <c s="125">
        <f>Предпосылки!K$237*Предпосылки!$M259*Продажи!L24*L$19*(1+Чувствительность!$D$20)*IFERROR(LOOKUP(Предпосылки!$H$210,$C$13:$C$15,L$13:L$15),1)</f>
        <v>0</v>
      </c>
      <c s="125">
        <f>Предпосылки!L$237*Предпосылки!$M259*Продажи!M24*M$19*(1+Чувствительность!$D$20)*IFERROR(LOOKUP(Предпосылки!$H$210,$C$13:$C$15,M$13:M$15),1)</f>
        <v>0</v>
      </c>
      <c s="125">
        <f>Предпосылки!M$237*Предпосылки!$M259*Продажи!N24*N$19*(1+Чувствительность!$D$20)*IFERROR(LOOKUP(Предпосылки!$H$210,$C$13:$C$15,N$13:N$15),1)</f>
        <v>0</v>
      </c>
      <c s="125">
        <f>Предпосылки!N$237*Предпосылки!$M259*Продажи!O24*O$19*(1+Чувствительность!$D$20)*IFERROR(LOOKUP(Предпосылки!$H$210,$C$13:$C$15,O$13:O$15),1)</f>
        <v>0</v>
      </c>
      <c s="125">
        <f>Предпосылки!O$237*Предпосылки!$M259*Продажи!P24*P$19*(1+Чувствительность!$D$20)*IFERROR(LOOKUP(Предпосылки!$H$210,$C$13:$C$15,P$13:P$15),1)</f>
        <v>0</v>
      </c>
      <c s="125">
        <f>Предпосылки!P$237*Предпосылки!$M259*Продажи!Q24*Q$19*(1+Чувствительность!$D$20)*IFERROR(LOOKUP(Предпосылки!$H$210,$C$13:$C$15,Q$13:Q$15),1)</f>
        <v>0</v>
      </c>
      <c s="125">
        <f>Предпосылки!Q$237*Предпосылки!$M259*Продажи!R24*R$19*(1+Чувствительность!$D$20)*IFERROR(LOOKUP(Предпосылки!$H$210,$C$13:$C$15,R$13:R$15),1)</f>
        <v>0</v>
      </c>
      <c s="125">
        <f>Предпосылки!R$237*Предпосылки!$M259*Продажи!S24*S$19*(1+Чувствительность!$D$20)*IFERROR(LOOKUP(Предпосылки!$H$210,$C$13:$C$15,S$13:S$15),1)</f>
        <v>0</v>
      </c>
      <c s="125">
        <f>Предпосылки!S$237*Предпосылки!$M259*Продажи!T24*T$19*(1+Чувствительность!$D$20)*IFERROR(LOOKUP(Предпосылки!$H$210,$C$13:$C$15,T$13:T$15),1)</f>
        <v>0</v>
      </c>
      <c s="125">
        <f>Предпосылки!T$237*Предпосылки!$M259*Продажи!U24*U$19*(1+Чувствительность!$D$20)*IFERROR(LOOKUP(Предпосылки!$H$210,$C$13:$C$15,U$13:U$15),1)</f>
        <v>0</v>
      </c>
      <c s="125">
        <f>Предпосылки!U$237*Предпосылки!$M259*Продажи!V24*V$19*(1+Чувствительность!$D$20)*IFERROR(LOOKUP(Предпосылки!$H$210,$C$13:$C$15,V$13:V$15),1)</f>
        <v>0</v>
      </c>
      <c s="125">
        <f>Предпосылки!V$237*Предпосылки!$M259*Продажи!W24*W$19*(1+Чувствительность!$D$20)*IFERROR(LOOKUP(Предпосылки!$H$210,$C$13:$C$15,W$13:W$15),1)</f>
        <v>0</v>
      </c>
      <c s="125">
        <f>Предпосылки!W$237*Предпосылки!$M259*Продажи!X24*X$19*(1+Чувствительность!$D$20)*IFERROR(LOOKUP(Предпосылки!$H$210,$C$13:$C$15,X$13:X$15),1)</f>
        <v>0</v>
      </c>
      <c s="125">
        <f>Предпосылки!X$237*Предпосылки!$M259*Продажи!Y24*Y$19*(1+Чувствительность!$D$20)*IFERROR(LOOKUP(Предпосылки!$H$210,$C$13:$C$15,Y$13:Y$15),1)</f>
        <v>0</v>
      </c>
      <c s="125">
        <f>Предпосылки!Y$237*Предпосылки!$M259*Продажи!Z24*Z$19*(1+Чувствительность!$D$20)*IFERROR(LOOKUP(Предпосылки!$H$210,$C$13:$C$15,Z$13:Z$15),1)</f>
        <v>0</v>
      </c>
      <c s="125">
        <f>Предпосылки!Z$237*Предпосылки!$M259*Продажи!AA24*AA$19*(1+Чувствительность!$D$20)*IFERROR(LOOKUP(Предпосылки!$H$210,$C$13:$C$15,AA$13:AA$15),1)</f>
        <v>0</v>
      </c>
      <c s="125">
        <f>Предпосылки!AA$237*Предпосылки!$M259*Продажи!AB24*AB$19*(1+Чувствительность!$D$20)*IFERROR(LOOKUP(Предпосылки!$H$210,$C$13:$C$15,AB$13:AB$15),1)</f>
        <v>0</v>
      </c>
      <c s="125">
        <f>Предпосылки!AB$237*Предпосылки!$M259*Продажи!AC24*AC$19*(1+Чувствительность!$D$20)*IFERROR(LOOKUP(Предпосылки!$H$210,$C$13:$C$15,AC$13:AC$15),1)</f>
        <v>0</v>
      </c>
      <c s="125">
        <f>Предпосылки!AC$237*Предпосылки!$M259*Продажи!AD24*AD$19*(1+Чувствительность!$D$20)*IFERROR(LOOKUP(Предпосылки!$H$210,$C$13:$C$15,AD$13:AD$15),1)</f>
        <v>0</v>
      </c>
      <c s="125">
        <f>Предпосылки!AD$237*Предпосылки!$M259*Продажи!AE24*AE$19*(1+Чувствительность!$D$20)*IFERROR(LOOKUP(Предпосылки!$H$210,$C$13:$C$15,AE$13:AE$15),1)</f>
        <v>0</v>
      </c>
      <c s="125">
        <f>Предпосылки!AE$237*Предпосылки!$M259*Продажи!AF24*AF$19*(1+Чувствительность!$D$20)*IFERROR(LOOKUP(Предпосылки!$H$210,$C$13:$C$15,AF$13:AF$15),1)</f>
        <v>0</v>
      </c>
      <c s="125">
        <f>Предпосылки!AF$237*Предпосылки!$M259*Продажи!AG24*AG$19*(1+Чувствительность!$D$20)*IFERROR(LOOKUP(Предпосылки!$H$210,$C$13:$C$15,AG$13:AG$15),1)</f>
        <v>0</v>
      </c>
      <c s="125">
        <f>Предпосылки!AG$237*Предпосылки!$M259*Продажи!AH24*AH$19*(1+Чувствительность!$D$20)*IFERROR(LOOKUP(Предпосылки!$H$210,$C$13:$C$15,AH$13:AH$15),1)</f>
        <v>0</v>
      </c>
      <c s="125">
        <f>Предпосылки!AH$237*Предпосылки!$M259*Продажи!AI24*AI$19*(1+Чувствительность!$D$20)*IFERROR(LOOKUP(Предпосылки!$H$210,$C$13:$C$15,AI$13:AI$15),1)</f>
        <v>0</v>
      </c>
      <c s="125">
        <f>Предпосылки!AI$237*Предпосылки!$M259*Продажи!AJ24*AJ$19*(1+Чувствительность!$D$20)*IFERROR(LOOKUP(Предпосылки!$H$210,$C$13:$C$15,AJ$13:AJ$15),1)</f>
        <v>0</v>
      </c>
      <c s="125">
        <f>Предпосылки!AJ$237*Предпосылки!$M259*Продажи!AK24*AK$19*(1+Чувствительность!$D$20)*IFERROR(LOOKUP(Предпосылки!$H$210,$C$13:$C$15,AK$13:AK$15),1)</f>
        <v>0</v>
      </c>
      <c s="125">
        <f>Предпосылки!AK$237*Предпосылки!$M259*Продажи!AL24*AL$19*(1+Чувствительность!$D$20)*IFERROR(LOOKUP(Предпосылки!$H$210,$C$13:$C$15,AL$13:AL$15),1)</f>
        <v>0</v>
      </c>
      <c s="125">
        <f>Предпосылки!AL$237*Предпосылки!$M259*Продажи!AM24*AM$19*(1+Чувствительность!$D$20)*IFERROR(LOOKUP(Предпосылки!$H$210,$C$13:$C$15,AM$13:AM$15),1)</f>
        <v>0</v>
      </c>
      <c s="125">
        <f>Предпосылки!AM$237*Предпосылки!$M259*Продажи!AN24*AN$19*(1+Чувствительность!$D$20)*IFERROR(LOOKUP(Предпосылки!$H$210,$C$13:$C$15,AN$13:AN$15),1)</f>
        <v>0</v>
      </c>
      <c s="125">
        <f>Предпосылки!AN$237*Предпосылки!$M259*Продажи!AO24*AO$19*(1+Чувствительность!$D$20)*IFERROR(LOOKUP(Предпосылки!$H$210,$C$13:$C$15,AO$13:AO$15),1)</f>
        <v>0</v>
      </c>
      <c s="125">
        <f>Предпосылки!AO$237*Предпосылки!$M259*Продажи!AP24*AP$19*(1+Чувствительность!$D$20)*IFERROR(LOOKUP(Предпосылки!$H$210,$C$13:$C$15,AP$13:AP$15),1)</f>
        <v>0</v>
      </c>
      <c s="125">
        <f>Предпосылки!AP$237*Предпосылки!$M259*Продажи!AQ24*AQ$19*(1+Чувствительность!$D$20)*IFERROR(LOOKUP(Предпосылки!$H$210,$C$13:$C$15,AQ$13:AQ$15),1)</f>
        <v>0</v>
      </c>
      <c s="125">
        <f>Предпосылки!AQ$237*Предпосылки!$M259*Продажи!AR24*AR$19*(1+Чувствительность!$D$20)*IFERROR(LOOKUP(Предпосылки!$H$210,$C$13:$C$15,AR$13:AR$15),1)</f>
        <v>0</v>
      </c>
      <c s="125">
        <f>Предпосылки!AR$237*Предпосылки!$M259*Продажи!AS24*AS$19*(1+Чувствительность!$D$20)*IFERROR(LOOKUP(Предпосылки!$H$210,$C$13:$C$15,AS$13:AS$15),1)</f>
        <v>0</v>
      </c>
      <c s="125">
        <f>Предпосылки!AS$237*Предпосылки!$M259*Продажи!AT24*AT$19*(1+Чувствительность!$D$20)*IFERROR(LOOKUP(Предпосылки!$H$210,$C$13:$C$15,AT$13:AT$15),1)</f>
        <v>0</v>
      </c>
      <c s="125">
        <f>Предпосылки!AT$237*Предпосылки!$M259*Продажи!AU24*AU$19*(1+Чувствительность!$D$20)*IFERROR(LOOKUP(Предпосылки!$H$210,$C$13:$C$15,AU$13:AU$15),1)</f>
        <v>0</v>
      </c>
      <c s="125">
        <f>Предпосылки!AU$237*Предпосылки!$M259*Продажи!AV24*AV$19*(1+Чувствительность!$D$20)*IFERROR(LOOKUP(Предпосылки!$H$210,$C$13:$C$15,AV$13:AV$15),1)</f>
        <v>0</v>
      </c>
      <c s="125">
        <f>Предпосылки!AV$237*Предпосылки!$M259*Продажи!AW24*AW$19*(1+Чувствительность!$D$20)*IFERROR(LOOKUP(Предпосылки!$H$210,$C$13:$C$15,AW$13:AW$15),1)</f>
        <v>0</v>
      </c>
      <c s="125">
        <f>Предпосылки!AW$237*Предпосылки!$M259*Продажи!AX24*AX$19*(1+Чувствительность!$D$20)*IFERROR(LOOKUP(Предпосылки!$H$210,$C$13:$C$15,AX$13:AX$15),1)</f>
        <v>0</v>
      </c>
      <c s="125">
        <f>Предпосылки!AX$237*Предпосылки!$M259*Продажи!AY24*AY$19*(1+Чувствительность!$D$20)*IFERROR(LOOKUP(Предпосылки!$H$210,$C$13:$C$15,AY$13:AY$15),1)</f>
        <v>0</v>
      </c>
      <c s="125">
        <f>Предпосылки!AY$237*Предпосылки!$M259*Продажи!AZ24*AZ$19*(1+Чувствительность!$D$20)*IFERROR(LOOKUP(Предпосылки!$H$210,$C$13:$C$15,AZ$13:AZ$15),1)</f>
        <v>0</v>
      </c>
      <c s="125">
        <f>Предпосылки!AZ$237*Предпосылки!$M259*Продажи!BA24*BA$19*(1+Чувствительность!$D$20)*IFERROR(LOOKUP(Предпосылки!$H$210,$C$13:$C$15,BA$13:BA$15),1)</f>
        <v>0</v>
      </c>
      <c s="125">
        <f>Предпосылки!BA$237*Предпосылки!$M259*Продажи!BB24*BB$19*(1+Чувствительность!$D$20)*IFERROR(LOOKUP(Предпосылки!$H$210,$C$13:$C$15,BB$13:BB$15),1)</f>
        <v>0</v>
      </c>
      <c s="125">
        <f>Предпосылки!BB$237*Предпосылки!$M259*Продажи!BC24*BC$19*(1+Чувствительность!$D$20)*IFERROR(LOOKUP(Предпосылки!$H$210,$C$13:$C$15,BC$13:BC$15),1)</f>
        <v>0</v>
      </c>
      <c s="125">
        <f>Предпосылки!BC$237*Предпосылки!$M259*Продажи!BD24*BD$19*(1+Чувствительность!$D$20)*IFERROR(LOOKUP(Предпосылки!$H$210,$C$13:$C$15,BD$13:BD$15),1)</f>
        <v>0</v>
      </c>
      <c s="125">
        <f>Предпосылки!BD$237*Предпосылки!$M259*Продажи!BE24*BE$19*(1+Чувствительность!$D$20)*IFERROR(LOOKUP(Предпосылки!$H$210,$C$13:$C$15,BE$13:BE$15),1)</f>
        <v>0</v>
      </c>
      <c s="125">
        <f>Предпосылки!BE$237*Предпосылки!$M259*Продажи!BF24*BF$19*(1+Чувствительность!$D$20)*IFERROR(LOOKUP(Предпосылки!$H$210,$C$13:$C$15,BF$13:BF$15),1)</f>
        <v>0</v>
      </c>
      <c s="125">
        <f>Предпосылки!BF$237*Предпосылки!$M259*Продажи!BG24*BG$19*(1+Чувствительность!$D$20)*IFERROR(LOOKUP(Предпосылки!$H$210,$C$13:$C$15,BG$13:BG$15),1)</f>
        <v>0</v>
      </c>
      <c s="125">
        <f>Предпосылки!BG$237*Предпосылки!$M259*Продажи!BH24*BH$19*(1+Чувствительность!$D$20)*IFERROR(LOOKUP(Предпосылки!$H$210,$C$13:$C$15,BH$13:BH$15),1)</f>
        <v>0</v>
      </c>
      <c s="125">
        <f>Предпосылки!BH$237*Предпосылки!$M259*Продажи!BI24*BI$19*(1+Чувствительность!$D$20)*IFERROR(LOOKUP(Предпосылки!$H$210,$C$13:$C$15,BI$13:BI$15),1)</f>
        <v>0</v>
      </c>
      <c s="125">
        <f>Предпосылки!BI$237*Предпосылки!$M259*Продажи!BJ24*BJ$19*(1+Чувствительность!$D$20)*IFERROR(LOOKUP(Предпосылки!$H$210,$C$13:$C$15,BJ$13:BJ$15),1)</f>
        <v>0</v>
      </c>
      <c s="125">
        <f>Предпосылки!BJ$237*Предпосылки!$M259*Продажи!BK24*BK$19*(1+Чувствительность!$D$20)*IFERROR(LOOKUP(Предпосылки!$H$210,$C$13:$C$15,BK$13:BK$15),1)</f>
        <v>0</v>
      </c>
      <c s="125">
        <f>Предпосылки!BK$237*Предпосылки!$M259*Продажи!BL24*BL$19*(1+Чувствительность!$D$20)*IFERROR(LOOKUP(Предпосылки!$H$210,$C$13:$C$15,BL$13:BL$15),1)</f>
        <v>0</v>
      </c>
      <c s="125">
        <f>Предпосылки!BL$237*Предпосылки!$M259*Продажи!BM24*BM$19*(1+Чувствительность!$D$20)*IFERROR(LOOKUP(Предпосылки!$H$210,$C$13:$C$15,BM$13:BM$15),1)</f>
        <v>0</v>
      </c>
    </row>
    <row r="237" spans="2:65" ht="15" customHeight="1">
      <c r="B237" s="12" t="str">
        <f t="shared" si="106"/>
        <v>Продукт 8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Предпосылки!D$237*Предпосылки!$M260*Продажи!E25*E$19*(1+Чувствительность!$D$20)*IFERROR(LOOKUP(Предпосылки!$H$210,$C$13:$C$15,E$13:E$15),1)</f>
        <v>0</v>
      </c>
      <c s="125">
        <f>Предпосылки!E$237*Предпосылки!$M260*Продажи!F25*F$19*(1+Чувствительность!$D$20)*IFERROR(LOOKUP(Предпосылки!$H$210,$C$13:$C$15,F$13:F$15),1)</f>
        <v>0</v>
      </c>
      <c s="125">
        <f>Предпосылки!F$237*Предпосылки!$M260*Продажи!G25*G$19*(1+Чувствительность!$D$20)*IFERROR(LOOKUP(Предпосылки!$H$210,$C$13:$C$15,G$13:G$15),1)</f>
        <v>0</v>
      </c>
      <c s="125">
        <f>Предпосылки!G$237*Предпосылки!$M260*Продажи!H25*H$19*(1+Чувствительность!$D$20)*IFERROR(LOOKUP(Предпосылки!$H$210,$C$13:$C$15,H$13:H$15),1)</f>
        <v>0</v>
      </c>
      <c s="125">
        <f>Предпосылки!H$237*Предпосылки!$M260*Продажи!I25*I$19*(1+Чувствительность!$D$20)*IFERROR(LOOKUP(Предпосылки!$H$210,$C$13:$C$15,I$13:I$15),1)</f>
        <v>0</v>
      </c>
      <c s="125">
        <f>Предпосылки!I$237*Предпосылки!$M260*Продажи!J25*J$19*(1+Чувствительность!$D$20)*IFERROR(LOOKUP(Предпосылки!$H$210,$C$13:$C$15,J$13:J$15),1)</f>
        <v>0</v>
      </c>
      <c s="125">
        <f>Предпосылки!J$237*Предпосылки!$M260*Продажи!K25*K$19*(1+Чувствительность!$D$20)*IFERROR(LOOKUP(Предпосылки!$H$210,$C$13:$C$15,K$13:K$15),1)</f>
        <v>0</v>
      </c>
      <c s="125">
        <f>Предпосылки!K$237*Предпосылки!$M260*Продажи!L25*L$19*(1+Чувствительность!$D$20)*IFERROR(LOOKUP(Предпосылки!$H$210,$C$13:$C$15,L$13:L$15),1)</f>
        <v>0</v>
      </c>
      <c s="125">
        <f>Предпосылки!L$237*Предпосылки!$M260*Продажи!M25*M$19*(1+Чувствительность!$D$20)*IFERROR(LOOKUP(Предпосылки!$H$210,$C$13:$C$15,M$13:M$15),1)</f>
        <v>0</v>
      </c>
      <c s="125">
        <f>Предпосылки!M$237*Предпосылки!$M260*Продажи!N25*N$19*(1+Чувствительность!$D$20)*IFERROR(LOOKUP(Предпосылки!$H$210,$C$13:$C$15,N$13:N$15),1)</f>
        <v>0</v>
      </c>
      <c s="125">
        <f>Предпосылки!N$237*Предпосылки!$M260*Продажи!O25*O$19*(1+Чувствительность!$D$20)*IFERROR(LOOKUP(Предпосылки!$H$210,$C$13:$C$15,O$13:O$15),1)</f>
        <v>0</v>
      </c>
      <c s="125">
        <f>Предпосылки!O$237*Предпосылки!$M260*Продажи!P25*P$19*(1+Чувствительность!$D$20)*IFERROR(LOOKUP(Предпосылки!$H$210,$C$13:$C$15,P$13:P$15),1)</f>
        <v>0</v>
      </c>
      <c s="125">
        <f>Предпосылки!P$237*Предпосылки!$M260*Продажи!Q25*Q$19*(1+Чувствительность!$D$20)*IFERROR(LOOKUP(Предпосылки!$H$210,$C$13:$C$15,Q$13:Q$15),1)</f>
        <v>0</v>
      </c>
      <c s="125">
        <f>Предпосылки!Q$237*Предпосылки!$M260*Продажи!R25*R$19*(1+Чувствительность!$D$20)*IFERROR(LOOKUP(Предпосылки!$H$210,$C$13:$C$15,R$13:R$15),1)</f>
        <v>0</v>
      </c>
      <c s="125">
        <f>Предпосылки!R$237*Предпосылки!$M260*Продажи!S25*S$19*(1+Чувствительность!$D$20)*IFERROR(LOOKUP(Предпосылки!$H$210,$C$13:$C$15,S$13:S$15),1)</f>
        <v>0</v>
      </c>
      <c s="125">
        <f>Предпосылки!S$237*Предпосылки!$M260*Продажи!T25*T$19*(1+Чувствительность!$D$20)*IFERROR(LOOKUP(Предпосылки!$H$210,$C$13:$C$15,T$13:T$15),1)</f>
        <v>0</v>
      </c>
      <c s="125">
        <f>Предпосылки!T$237*Предпосылки!$M260*Продажи!U25*U$19*(1+Чувствительность!$D$20)*IFERROR(LOOKUP(Предпосылки!$H$210,$C$13:$C$15,U$13:U$15),1)</f>
        <v>0</v>
      </c>
      <c s="125">
        <f>Предпосылки!U$237*Предпосылки!$M260*Продажи!V25*V$19*(1+Чувствительность!$D$20)*IFERROR(LOOKUP(Предпосылки!$H$210,$C$13:$C$15,V$13:V$15),1)</f>
        <v>0</v>
      </c>
      <c s="125">
        <f>Предпосылки!V$237*Предпосылки!$M260*Продажи!W25*W$19*(1+Чувствительность!$D$20)*IFERROR(LOOKUP(Предпосылки!$H$210,$C$13:$C$15,W$13:W$15),1)</f>
        <v>0</v>
      </c>
      <c s="125">
        <f>Предпосылки!W$237*Предпосылки!$M260*Продажи!X25*X$19*(1+Чувствительность!$D$20)*IFERROR(LOOKUP(Предпосылки!$H$210,$C$13:$C$15,X$13:X$15),1)</f>
        <v>0</v>
      </c>
      <c s="125">
        <f>Предпосылки!X$237*Предпосылки!$M260*Продажи!Y25*Y$19*(1+Чувствительность!$D$20)*IFERROR(LOOKUP(Предпосылки!$H$210,$C$13:$C$15,Y$13:Y$15),1)</f>
        <v>0</v>
      </c>
      <c s="125">
        <f>Предпосылки!Y$237*Предпосылки!$M260*Продажи!Z25*Z$19*(1+Чувствительность!$D$20)*IFERROR(LOOKUP(Предпосылки!$H$210,$C$13:$C$15,Z$13:Z$15),1)</f>
        <v>0</v>
      </c>
      <c s="125">
        <f>Предпосылки!Z$237*Предпосылки!$M260*Продажи!AA25*AA$19*(1+Чувствительность!$D$20)*IFERROR(LOOKUP(Предпосылки!$H$210,$C$13:$C$15,AA$13:AA$15),1)</f>
        <v>0</v>
      </c>
      <c s="125">
        <f>Предпосылки!AA$237*Предпосылки!$M260*Продажи!AB25*AB$19*(1+Чувствительность!$D$20)*IFERROR(LOOKUP(Предпосылки!$H$210,$C$13:$C$15,AB$13:AB$15),1)</f>
        <v>0</v>
      </c>
      <c s="125">
        <f>Предпосылки!AB$237*Предпосылки!$M260*Продажи!AC25*AC$19*(1+Чувствительность!$D$20)*IFERROR(LOOKUP(Предпосылки!$H$210,$C$13:$C$15,AC$13:AC$15),1)</f>
        <v>0</v>
      </c>
      <c s="125">
        <f>Предпосылки!AC$237*Предпосылки!$M260*Продажи!AD25*AD$19*(1+Чувствительность!$D$20)*IFERROR(LOOKUP(Предпосылки!$H$210,$C$13:$C$15,AD$13:AD$15),1)</f>
        <v>0</v>
      </c>
      <c s="125">
        <f>Предпосылки!AD$237*Предпосылки!$M260*Продажи!AE25*AE$19*(1+Чувствительность!$D$20)*IFERROR(LOOKUP(Предпосылки!$H$210,$C$13:$C$15,AE$13:AE$15),1)</f>
        <v>0</v>
      </c>
      <c s="125">
        <f>Предпосылки!AE$237*Предпосылки!$M260*Продажи!AF25*AF$19*(1+Чувствительность!$D$20)*IFERROR(LOOKUP(Предпосылки!$H$210,$C$13:$C$15,AF$13:AF$15),1)</f>
        <v>0</v>
      </c>
      <c s="125">
        <f>Предпосылки!AF$237*Предпосылки!$M260*Продажи!AG25*AG$19*(1+Чувствительность!$D$20)*IFERROR(LOOKUP(Предпосылки!$H$210,$C$13:$C$15,AG$13:AG$15),1)</f>
        <v>0</v>
      </c>
      <c s="125">
        <f>Предпосылки!AG$237*Предпосылки!$M260*Продажи!AH25*AH$19*(1+Чувствительность!$D$20)*IFERROR(LOOKUP(Предпосылки!$H$210,$C$13:$C$15,AH$13:AH$15),1)</f>
        <v>0</v>
      </c>
      <c s="125">
        <f>Предпосылки!AH$237*Предпосылки!$M260*Продажи!AI25*AI$19*(1+Чувствительность!$D$20)*IFERROR(LOOKUP(Предпосылки!$H$210,$C$13:$C$15,AI$13:AI$15),1)</f>
        <v>0</v>
      </c>
      <c s="125">
        <f>Предпосылки!AI$237*Предпосылки!$M260*Продажи!AJ25*AJ$19*(1+Чувствительность!$D$20)*IFERROR(LOOKUP(Предпосылки!$H$210,$C$13:$C$15,AJ$13:AJ$15),1)</f>
        <v>0</v>
      </c>
      <c s="125">
        <f>Предпосылки!AJ$237*Предпосылки!$M260*Продажи!AK25*AK$19*(1+Чувствительность!$D$20)*IFERROR(LOOKUP(Предпосылки!$H$210,$C$13:$C$15,AK$13:AK$15),1)</f>
        <v>0</v>
      </c>
      <c s="125">
        <f>Предпосылки!AK$237*Предпосылки!$M260*Продажи!AL25*AL$19*(1+Чувствительность!$D$20)*IFERROR(LOOKUP(Предпосылки!$H$210,$C$13:$C$15,AL$13:AL$15),1)</f>
        <v>0</v>
      </c>
      <c s="125">
        <f>Предпосылки!AL$237*Предпосылки!$M260*Продажи!AM25*AM$19*(1+Чувствительность!$D$20)*IFERROR(LOOKUP(Предпосылки!$H$210,$C$13:$C$15,AM$13:AM$15),1)</f>
        <v>0</v>
      </c>
      <c s="125">
        <f>Предпосылки!AM$237*Предпосылки!$M260*Продажи!AN25*AN$19*(1+Чувствительность!$D$20)*IFERROR(LOOKUP(Предпосылки!$H$210,$C$13:$C$15,AN$13:AN$15),1)</f>
        <v>0</v>
      </c>
      <c s="125">
        <f>Предпосылки!AN$237*Предпосылки!$M260*Продажи!AO25*AO$19*(1+Чувствительность!$D$20)*IFERROR(LOOKUP(Предпосылки!$H$210,$C$13:$C$15,AO$13:AO$15),1)</f>
        <v>0</v>
      </c>
      <c s="125">
        <f>Предпосылки!AO$237*Предпосылки!$M260*Продажи!AP25*AP$19*(1+Чувствительность!$D$20)*IFERROR(LOOKUP(Предпосылки!$H$210,$C$13:$C$15,AP$13:AP$15),1)</f>
        <v>0</v>
      </c>
      <c s="125">
        <f>Предпосылки!AP$237*Предпосылки!$M260*Продажи!AQ25*AQ$19*(1+Чувствительность!$D$20)*IFERROR(LOOKUP(Предпосылки!$H$210,$C$13:$C$15,AQ$13:AQ$15),1)</f>
        <v>0</v>
      </c>
      <c s="125">
        <f>Предпосылки!AQ$237*Предпосылки!$M260*Продажи!AR25*AR$19*(1+Чувствительность!$D$20)*IFERROR(LOOKUP(Предпосылки!$H$210,$C$13:$C$15,AR$13:AR$15),1)</f>
        <v>0</v>
      </c>
      <c s="125">
        <f>Предпосылки!AR$237*Предпосылки!$M260*Продажи!AS25*AS$19*(1+Чувствительность!$D$20)*IFERROR(LOOKUP(Предпосылки!$H$210,$C$13:$C$15,AS$13:AS$15),1)</f>
        <v>0</v>
      </c>
      <c s="125">
        <f>Предпосылки!AS$237*Предпосылки!$M260*Продажи!AT25*AT$19*(1+Чувствительность!$D$20)*IFERROR(LOOKUP(Предпосылки!$H$210,$C$13:$C$15,AT$13:AT$15),1)</f>
        <v>0</v>
      </c>
      <c s="125">
        <f>Предпосылки!AT$237*Предпосылки!$M260*Продажи!AU25*AU$19*(1+Чувствительность!$D$20)*IFERROR(LOOKUP(Предпосылки!$H$210,$C$13:$C$15,AU$13:AU$15),1)</f>
        <v>0</v>
      </c>
      <c s="125">
        <f>Предпосылки!AU$237*Предпосылки!$M260*Продажи!AV25*AV$19*(1+Чувствительность!$D$20)*IFERROR(LOOKUP(Предпосылки!$H$210,$C$13:$C$15,AV$13:AV$15),1)</f>
        <v>0</v>
      </c>
      <c s="125">
        <f>Предпосылки!AV$237*Предпосылки!$M260*Продажи!AW25*AW$19*(1+Чувствительность!$D$20)*IFERROR(LOOKUP(Предпосылки!$H$210,$C$13:$C$15,AW$13:AW$15),1)</f>
        <v>0</v>
      </c>
      <c s="125">
        <f>Предпосылки!AW$237*Предпосылки!$M260*Продажи!AX25*AX$19*(1+Чувствительность!$D$20)*IFERROR(LOOKUP(Предпосылки!$H$210,$C$13:$C$15,AX$13:AX$15),1)</f>
        <v>0</v>
      </c>
      <c s="125">
        <f>Предпосылки!AX$237*Предпосылки!$M260*Продажи!AY25*AY$19*(1+Чувствительность!$D$20)*IFERROR(LOOKUP(Предпосылки!$H$210,$C$13:$C$15,AY$13:AY$15),1)</f>
        <v>0</v>
      </c>
      <c s="125">
        <f>Предпосылки!AY$237*Предпосылки!$M260*Продажи!AZ25*AZ$19*(1+Чувствительность!$D$20)*IFERROR(LOOKUP(Предпосылки!$H$210,$C$13:$C$15,AZ$13:AZ$15),1)</f>
        <v>0</v>
      </c>
      <c s="125">
        <f>Предпосылки!AZ$237*Предпосылки!$M260*Продажи!BA25*BA$19*(1+Чувствительность!$D$20)*IFERROR(LOOKUP(Предпосылки!$H$210,$C$13:$C$15,BA$13:BA$15),1)</f>
        <v>0</v>
      </c>
      <c s="125">
        <f>Предпосылки!BA$237*Предпосылки!$M260*Продажи!BB25*BB$19*(1+Чувствительность!$D$20)*IFERROR(LOOKUP(Предпосылки!$H$210,$C$13:$C$15,BB$13:BB$15),1)</f>
        <v>0</v>
      </c>
      <c s="125">
        <f>Предпосылки!BB$237*Предпосылки!$M260*Продажи!BC25*BC$19*(1+Чувствительность!$D$20)*IFERROR(LOOKUP(Предпосылки!$H$210,$C$13:$C$15,BC$13:BC$15),1)</f>
        <v>0</v>
      </c>
      <c s="125">
        <f>Предпосылки!BC$237*Предпосылки!$M260*Продажи!BD25*BD$19*(1+Чувствительность!$D$20)*IFERROR(LOOKUP(Предпосылки!$H$210,$C$13:$C$15,BD$13:BD$15),1)</f>
        <v>0</v>
      </c>
      <c s="125">
        <f>Предпосылки!BD$237*Предпосылки!$M260*Продажи!BE25*BE$19*(1+Чувствительность!$D$20)*IFERROR(LOOKUP(Предпосылки!$H$210,$C$13:$C$15,BE$13:BE$15),1)</f>
        <v>0</v>
      </c>
      <c s="125">
        <f>Предпосылки!BE$237*Предпосылки!$M260*Продажи!BF25*BF$19*(1+Чувствительность!$D$20)*IFERROR(LOOKUP(Предпосылки!$H$210,$C$13:$C$15,BF$13:BF$15),1)</f>
        <v>0</v>
      </c>
      <c s="125">
        <f>Предпосылки!BF$237*Предпосылки!$M260*Продажи!BG25*BG$19*(1+Чувствительность!$D$20)*IFERROR(LOOKUP(Предпосылки!$H$210,$C$13:$C$15,BG$13:BG$15),1)</f>
        <v>0</v>
      </c>
      <c s="125">
        <f>Предпосылки!BG$237*Предпосылки!$M260*Продажи!BH25*BH$19*(1+Чувствительность!$D$20)*IFERROR(LOOKUP(Предпосылки!$H$210,$C$13:$C$15,BH$13:BH$15),1)</f>
        <v>0</v>
      </c>
      <c s="125">
        <f>Предпосылки!BH$237*Предпосылки!$M260*Продажи!BI25*BI$19*(1+Чувствительность!$D$20)*IFERROR(LOOKUP(Предпосылки!$H$210,$C$13:$C$15,BI$13:BI$15),1)</f>
        <v>0</v>
      </c>
      <c s="125">
        <f>Предпосылки!BI$237*Предпосылки!$M260*Продажи!BJ25*BJ$19*(1+Чувствительность!$D$20)*IFERROR(LOOKUP(Предпосылки!$H$210,$C$13:$C$15,BJ$13:BJ$15),1)</f>
        <v>0</v>
      </c>
      <c s="125">
        <f>Предпосылки!BJ$237*Предпосылки!$M260*Продажи!BK25*BK$19*(1+Чувствительность!$D$20)*IFERROR(LOOKUP(Предпосылки!$H$210,$C$13:$C$15,BK$13:BK$15),1)</f>
        <v>0</v>
      </c>
      <c s="125">
        <f>Предпосылки!BK$237*Предпосылки!$M260*Продажи!BL25*BL$19*(1+Чувствительность!$D$20)*IFERROR(LOOKUP(Предпосылки!$H$210,$C$13:$C$15,BL$13:BL$15),1)</f>
        <v>0</v>
      </c>
      <c s="125">
        <f>Предпосылки!BL$237*Предпосылки!$M260*Продажи!BM25*BM$19*(1+Чувствительность!$D$20)*IFERROR(LOOKUP(Предпосылки!$H$210,$C$13:$C$15,BM$13:BM$15),1)</f>
        <v>0</v>
      </c>
    </row>
    <row r="238" spans="2:65" ht="15" customHeight="1">
      <c r="B238" s="12" t="str">
        <f t="shared" si="106"/>
        <v>Продукт 9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Предпосылки!D$237*Предпосылки!$M261*Продажи!E26*E$19*(1+Чувствительность!$D$20)*IFERROR(LOOKUP(Предпосылки!$H$210,$C$13:$C$15,E$13:E$15),1)</f>
        <v>0</v>
      </c>
      <c s="125">
        <f>Предпосылки!E$237*Предпосылки!$M261*Продажи!F26*F$19*(1+Чувствительность!$D$20)*IFERROR(LOOKUP(Предпосылки!$H$210,$C$13:$C$15,F$13:F$15),1)</f>
        <v>0</v>
      </c>
      <c s="125">
        <f>Предпосылки!F$237*Предпосылки!$M261*Продажи!G26*G$19*(1+Чувствительность!$D$20)*IFERROR(LOOKUP(Предпосылки!$H$210,$C$13:$C$15,G$13:G$15),1)</f>
        <v>0</v>
      </c>
      <c s="125">
        <f>Предпосылки!G$237*Предпосылки!$M261*Продажи!H26*H$19*(1+Чувствительность!$D$20)*IFERROR(LOOKUP(Предпосылки!$H$210,$C$13:$C$15,H$13:H$15),1)</f>
        <v>0</v>
      </c>
      <c s="125">
        <f>Предпосылки!H$237*Предпосылки!$M261*Продажи!I26*I$19*(1+Чувствительность!$D$20)*IFERROR(LOOKUP(Предпосылки!$H$210,$C$13:$C$15,I$13:I$15),1)</f>
        <v>0</v>
      </c>
      <c s="125">
        <f>Предпосылки!I$237*Предпосылки!$M261*Продажи!J26*J$19*(1+Чувствительность!$D$20)*IFERROR(LOOKUP(Предпосылки!$H$210,$C$13:$C$15,J$13:J$15),1)</f>
        <v>0</v>
      </c>
      <c s="125">
        <f>Предпосылки!J$237*Предпосылки!$M261*Продажи!K26*K$19*(1+Чувствительность!$D$20)*IFERROR(LOOKUP(Предпосылки!$H$210,$C$13:$C$15,K$13:K$15),1)</f>
        <v>0</v>
      </c>
      <c s="125">
        <f>Предпосылки!K$237*Предпосылки!$M261*Продажи!L26*L$19*(1+Чувствительность!$D$20)*IFERROR(LOOKUP(Предпосылки!$H$210,$C$13:$C$15,L$13:L$15),1)</f>
        <v>0</v>
      </c>
      <c s="125">
        <f>Предпосылки!L$237*Предпосылки!$M261*Продажи!M26*M$19*(1+Чувствительность!$D$20)*IFERROR(LOOKUP(Предпосылки!$H$210,$C$13:$C$15,M$13:M$15),1)</f>
        <v>0</v>
      </c>
      <c s="125">
        <f>Предпосылки!M$237*Предпосылки!$M261*Продажи!N26*N$19*(1+Чувствительность!$D$20)*IFERROR(LOOKUP(Предпосылки!$H$210,$C$13:$C$15,N$13:N$15),1)</f>
        <v>0</v>
      </c>
      <c s="125">
        <f>Предпосылки!N$237*Предпосылки!$M261*Продажи!O26*O$19*(1+Чувствительность!$D$20)*IFERROR(LOOKUP(Предпосылки!$H$210,$C$13:$C$15,O$13:O$15),1)</f>
        <v>0</v>
      </c>
      <c s="125">
        <f>Предпосылки!O$237*Предпосылки!$M261*Продажи!P26*P$19*(1+Чувствительность!$D$20)*IFERROR(LOOKUP(Предпосылки!$H$210,$C$13:$C$15,P$13:P$15),1)</f>
        <v>0</v>
      </c>
      <c s="125">
        <f>Предпосылки!P$237*Предпосылки!$M261*Продажи!Q26*Q$19*(1+Чувствительность!$D$20)*IFERROR(LOOKUP(Предпосылки!$H$210,$C$13:$C$15,Q$13:Q$15),1)</f>
        <v>0</v>
      </c>
      <c s="125">
        <f>Предпосылки!Q$237*Предпосылки!$M261*Продажи!R26*R$19*(1+Чувствительность!$D$20)*IFERROR(LOOKUP(Предпосылки!$H$210,$C$13:$C$15,R$13:R$15),1)</f>
        <v>0</v>
      </c>
      <c s="125">
        <f>Предпосылки!R$237*Предпосылки!$M261*Продажи!S26*S$19*(1+Чувствительность!$D$20)*IFERROR(LOOKUP(Предпосылки!$H$210,$C$13:$C$15,S$13:S$15),1)</f>
        <v>0</v>
      </c>
      <c s="125">
        <f>Предпосылки!S$237*Предпосылки!$M261*Продажи!T26*T$19*(1+Чувствительность!$D$20)*IFERROR(LOOKUP(Предпосылки!$H$210,$C$13:$C$15,T$13:T$15),1)</f>
        <v>0</v>
      </c>
      <c s="125">
        <f>Предпосылки!T$237*Предпосылки!$M261*Продажи!U26*U$19*(1+Чувствительность!$D$20)*IFERROR(LOOKUP(Предпосылки!$H$210,$C$13:$C$15,U$13:U$15),1)</f>
        <v>0</v>
      </c>
      <c s="125">
        <f>Предпосылки!U$237*Предпосылки!$M261*Продажи!V26*V$19*(1+Чувствительность!$D$20)*IFERROR(LOOKUP(Предпосылки!$H$210,$C$13:$C$15,V$13:V$15),1)</f>
        <v>0</v>
      </c>
      <c s="125">
        <f>Предпосылки!V$237*Предпосылки!$M261*Продажи!W26*W$19*(1+Чувствительность!$D$20)*IFERROR(LOOKUP(Предпосылки!$H$210,$C$13:$C$15,W$13:W$15),1)</f>
        <v>0</v>
      </c>
      <c s="125">
        <f>Предпосылки!W$237*Предпосылки!$M261*Продажи!X26*X$19*(1+Чувствительность!$D$20)*IFERROR(LOOKUP(Предпосылки!$H$210,$C$13:$C$15,X$13:X$15),1)</f>
        <v>0</v>
      </c>
      <c s="125">
        <f>Предпосылки!X$237*Предпосылки!$M261*Продажи!Y26*Y$19*(1+Чувствительность!$D$20)*IFERROR(LOOKUP(Предпосылки!$H$210,$C$13:$C$15,Y$13:Y$15),1)</f>
        <v>0</v>
      </c>
      <c s="125">
        <f>Предпосылки!Y$237*Предпосылки!$M261*Продажи!Z26*Z$19*(1+Чувствительность!$D$20)*IFERROR(LOOKUP(Предпосылки!$H$210,$C$13:$C$15,Z$13:Z$15),1)</f>
        <v>0</v>
      </c>
      <c s="125">
        <f>Предпосылки!Z$237*Предпосылки!$M261*Продажи!AA26*AA$19*(1+Чувствительность!$D$20)*IFERROR(LOOKUP(Предпосылки!$H$210,$C$13:$C$15,AA$13:AA$15),1)</f>
        <v>0</v>
      </c>
      <c s="125">
        <f>Предпосылки!AA$237*Предпосылки!$M261*Продажи!AB26*AB$19*(1+Чувствительность!$D$20)*IFERROR(LOOKUP(Предпосылки!$H$210,$C$13:$C$15,AB$13:AB$15),1)</f>
        <v>0</v>
      </c>
      <c s="125">
        <f>Предпосылки!AB$237*Предпосылки!$M261*Продажи!AC26*AC$19*(1+Чувствительность!$D$20)*IFERROR(LOOKUP(Предпосылки!$H$210,$C$13:$C$15,AC$13:AC$15),1)</f>
        <v>0</v>
      </c>
      <c s="125">
        <f>Предпосылки!AC$237*Предпосылки!$M261*Продажи!AD26*AD$19*(1+Чувствительность!$D$20)*IFERROR(LOOKUP(Предпосылки!$H$210,$C$13:$C$15,AD$13:AD$15),1)</f>
        <v>0</v>
      </c>
      <c s="125">
        <f>Предпосылки!AD$237*Предпосылки!$M261*Продажи!AE26*AE$19*(1+Чувствительность!$D$20)*IFERROR(LOOKUP(Предпосылки!$H$210,$C$13:$C$15,AE$13:AE$15),1)</f>
        <v>0</v>
      </c>
      <c s="125">
        <f>Предпосылки!AE$237*Предпосылки!$M261*Продажи!AF26*AF$19*(1+Чувствительность!$D$20)*IFERROR(LOOKUP(Предпосылки!$H$210,$C$13:$C$15,AF$13:AF$15),1)</f>
        <v>0</v>
      </c>
      <c s="125">
        <f>Предпосылки!AF$237*Предпосылки!$M261*Продажи!AG26*AG$19*(1+Чувствительность!$D$20)*IFERROR(LOOKUP(Предпосылки!$H$210,$C$13:$C$15,AG$13:AG$15),1)</f>
        <v>0</v>
      </c>
      <c s="125">
        <f>Предпосылки!AG$237*Предпосылки!$M261*Продажи!AH26*AH$19*(1+Чувствительность!$D$20)*IFERROR(LOOKUP(Предпосылки!$H$210,$C$13:$C$15,AH$13:AH$15),1)</f>
        <v>0</v>
      </c>
      <c s="125">
        <f>Предпосылки!AH$237*Предпосылки!$M261*Продажи!AI26*AI$19*(1+Чувствительность!$D$20)*IFERROR(LOOKUP(Предпосылки!$H$210,$C$13:$C$15,AI$13:AI$15),1)</f>
        <v>0</v>
      </c>
      <c s="125">
        <f>Предпосылки!AI$237*Предпосылки!$M261*Продажи!AJ26*AJ$19*(1+Чувствительность!$D$20)*IFERROR(LOOKUP(Предпосылки!$H$210,$C$13:$C$15,AJ$13:AJ$15),1)</f>
        <v>0</v>
      </c>
      <c s="125">
        <f>Предпосылки!AJ$237*Предпосылки!$M261*Продажи!AK26*AK$19*(1+Чувствительность!$D$20)*IFERROR(LOOKUP(Предпосылки!$H$210,$C$13:$C$15,AK$13:AK$15),1)</f>
        <v>0</v>
      </c>
      <c s="125">
        <f>Предпосылки!AK$237*Предпосылки!$M261*Продажи!AL26*AL$19*(1+Чувствительность!$D$20)*IFERROR(LOOKUP(Предпосылки!$H$210,$C$13:$C$15,AL$13:AL$15),1)</f>
        <v>0</v>
      </c>
      <c s="125">
        <f>Предпосылки!AL$237*Предпосылки!$M261*Продажи!AM26*AM$19*(1+Чувствительность!$D$20)*IFERROR(LOOKUP(Предпосылки!$H$210,$C$13:$C$15,AM$13:AM$15),1)</f>
        <v>0</v>
      </c>
      <c s="125">
        <f>Предпосылки!AM$237*Предпосылки!$M261*Продажи!AN26*AN$19*(1+Чувствительность!$D$20)*IFERROR(LOOKUP(Предпосылки!$H$210,$C$13:$C$15,AN$13:AN$15),1)</f>
        <v>0</v>
      </c>
      <c s="125">
        <f>Предпосылки!AN$237*Предпосылки!$M261*Продажи!AO26*AO$19*(1+Чувствительность!$D$20)*IFERROR(LOOKUP(Предпосылки!$H$210,$C$13:$C$15,AO$13:AO$15),1)</f>
        <v>0</v>
      </c>
      <c s="125">
        <f>Предпосылки!AO$237*Предпосылки!$M261*Продажи!AP26*AP$19*(1+Чувствительность!$D$20)*IFERROR(LOOKUP(Предпосылки!$H$210,$C$13:$C$15,AP$13:AP$15),1)</f>
        <v>0</v>
      </c>
      <c s="125">
        <f>Предпосылки!AP$237*Предпосылки!$M261*Продажи!AQ26*AQ$19*(1+Чувствительность!$D$20)*IFERROR(LOOKUP(Предпосылки!$H$210,$C$13:$C$15,AQ$13:AQ$15),1)</f>
        <v>0</v>
      </c>
      <c s="125">
        <f>Предпосылки!AQ$237*Предпосылки!$M261*Продажи!AR26*AR$19*(1+Чувствительность!$D$20)*IFERROR(LOOKUP(Предпосылки!$H$210,$C$13:$C$15,AR$13:AR$15),1)</f>
        <v>0</v>
      </c>
      <c s="125">
        <f>Предпосылки!AR$237*Предпосылки!$M261*Продажи!AS26*AS$19*(1+Чувствительность!$D$20)*IFERROR(LOOKUP(Предпосылки!$H$210,$C$13:$C$15,AS$13:AS$15),1)</f>
        <v>0</v>
      </c>
      <c s="125">
        <f>Предпосылки!AS$237*Предпосылки!$M261*Продажи!AT26*AT$19*(1+Чувствительность!$D$20)*IFERROR(LOOKUP(Предпосылки!$H$210,$C$13:$C$15,AT$13:AT$15),1)</f>
        <v>0</v>
      </c>
      <c s="125">
        <f>Предпосылки!AT$237*Предпосылки!$M261*Продажи!AU26*AU$19*(1+Чувствительность!$D$20)*IFERROR(LOOKUP(Предпосылки!$H$210,$C$13:$C$15,AU$13:AU$15),1)</f>
        <v>0</v>
      </c>
      <c s="125">
        <f>Предпосылки!AU$237*Предпосылки!$M261*Продажи!AV26*AV$19*(1+Чувствительность!$D$20)*IFERROR(LOOKUP(Предпосылки!$H$210,$C$13:$C$15,AV$13:AV$15),1)</f>
        <v>0</v>
      </c>
      <c s="125">
        <f>Предпосылки!AV$237*Предпосылки!$M261*Продажи!AW26*AW$19*(1+Чувствительность!$D$20)*IFERROR(LOOKUP(Предпосылки!$H$210,$C$13:$C$15,AW$13:AW$15),1)</f>
        <v>0</v>
      </c>
      <c s="125">
        <f>Предпосылки!AW$237*Предпосылки!$M261*Продажи!AX26*AX$19*(1+Чувствительность!$D$20)*IFERROR(LOOKUP(Предпосылки!$H$210,$C$13:$C$15,AX$13:AX$15),1)</f>
        <v>0</v>
      </c>
      <c s="125">
        <f>Предпосылки!AX$237*Предпосылки!$M261*Продажи!AY26*AY$19*(1+Чувствительность!$D$20)*IFERROR(LOOKUP(Предпосылки!$H$210,$C$13:$C$15,AY$13:AY$15),1)</f>
        <v>0</v>
      </c>
      <c s="125">
        <f>Предпосылки!AY$237*Предпосылки!$M261*Продажи!AZ26*AZ$19*(1+Чувствительность!$D$20)*IFERROR(LOOKUP(Предпосылки!$H$210,$C$13:$C$15,AZ$13:AZ$15),1)</f>
        <v>0</v>
      </c>
      <c s="125">
        <f>Предпосылки!AZ$237*Предпосылки!$M261*Продажи!BA26*BA$19*(1+Чувствительность!$D$20)*IFERROR(LOOKUP(Предпосылки!$H$210,$C$13:$C$15,BA$13:BA$15),1)</f>
        <v>0</v>
      </c>
      <c s="125">
        <f>Предпосылки!BA$237*Предпосылки!$M261*Продажи!BB26*BB$19*(1+Чувствительность!$D$20)*IFERROR(LOOKUP(Предпосылки!$H$210,$C$13:$C$15,BB$13:BB$15),1)</f>
        <v>0</v>
      </c>
      <c s="125">
        <f>Предпосылки!BB$237*Предпосылки!$M261*Продажи!BC26*BC$19*(1+Чувствительность!$D$20)*IFERROR(LOOKUP(Предпосылки!$H$210,$C$13:$C$15,BC$13:BC$15),1)</f>
        <v>0</v>
      </c>
      <c s="125">
        <f>Предпосылки!BC$237*Предпосылки!$M261*Продажи!BD26*BD$19*(1+Чувствительность!$D$20)*IFERROR(LOOKUP(Предпосылки!$H$210,$C$13:$C$15,BD$13:BD$15),1)</f>
        <v>0</v>
      </c>
      <c s="125">
        <f>Предпосылки!BD$237*Предпосылки!$M261*Продажи!BE26*BE$19*(1+Чувствительность!$D$20)*IFERROR(LOOKUP(Предпосылки!$H$210,$C$13:$C$15,BE$13:BE$15),1)</f>
        <v>0</v>
      </c>
      <c s="125">
        <f>Предпосылки!BE$237*Предпосылки!$M261*Продажи!BF26*BF$19*(1+Чувствительность!$D$20)*IFERROR(LOOKUP(Предпосылки!$H$210,$C$13:$C$15,BF$13:BF$15),1)</f>
        <v>0</v>
      </c>
      <c s="125">
        <f>Предпосылки!BF$237*Предпосылки!$M261*Продажи!BG26*BG$19*(1+Чувствительность!$D$20)*IFERROR(LOOKUP(Предпосылки!$H$210,$C$13:$C$15,BG$13:BG$15),1)</f>
        <v>0</v>
      </c>
      <c s="125">
        <f>Предпосылки!BG$237*Предпосылки!$M261*Продажи!BH26*BH$19*(1+Чувствительность!$D$20)*IFERROR(LOOKUP(Предпосылки!$H$210,$C$13:$C$15,BH$13:BH$15),1)</f>
        <v>0</v>
      </c>
      <c s="125">
        <f>Предпосылки!BH$237*Предпосылки!$M261*Продажи!BI26*BI$19*(1+Чувствительность!$D$20)*IFERROR(LOOKUP(Предпосылки!$H$210,$C$13:$C$15,BI$13:BI$15),1)</f>
        <v>0</v>
      </c>
      <c s="125">
        <f>Предпосылки!BI$237*Предпосылки!$M261*Продажи!BJ26*BJ$19*(1+Чувствительность!$D$20)*IFERROR(LOOKUP(Предпосылки!$H$210,$C$13:$C$15,BJ$13:BJ$15),1)</f>
        <v>0</v>
      </c>
      <c s="125">
        <f>Предпосылки!BJ$237*Предпосылки!$M261*Продажи!BK26*BK$19*(1+Чувствительность!$D$20)*IFERROR(LOOKUP(Предпосылки!$H$210,$C$13:$C$15,BK$13:BK$15),1)</f>
        <v>0</v>
      </c>
      <c s="125">
        <f>Предпосылки!BK$237*Предпосылки!$M261*Продажи!BL26*BL$19*(1+Чувствительность!$D$20)*IFERROR(LOOKUP(Предпосылки!$H$210,$C$13:$C$15,BL$13:BL$15),1)</f>
        <v>0</v>
      </c>
      <c s="125">
        <f>Предпосылки!BL$237*Предпосылки!$M261*Продажи!BM26*BM$19*(1+Чувствительность!$D$20)*IFERROR(LOOKUP(Предпосылки!$H$210,$C$13:$C$15,BM$13:BM$15),1)</f>
        <v>0</v>
      </c>
    </row>
    <row r="239" spans="2:65" ht="15" customHeight="1">
      <c r="B239" s="12" t="str">
        <f t="shared" si="106"/>
        <v>Продукт 10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Предпосылки!D$237*Предпосылки!$M262*Продажи!E27*E$19*(1+Чувствительность!$D$20)*IFERROR(LOOKUP(Предпосылки!$H$210,$C$13:$C$15,E$13:E$15),1)</f>
        <v>0</v>
      </c>
      <c s="125">
        <f>Предпосылки!E$237*Предпосылки!$M262*Продажи!F27*F$19*(1+Чувствительность!$D$20)*IFERROR(LOOKUP(Предпосылки!$H$210,$C$13:$C$15,F$13:F$15),1)</f>
        <v>0</v>
      </c>
      <c s="125">
        <f>Предпосылки!F$237*Предпосылки!$M262*Продажи!G27*G$19*(1+Чувствительность!$D$20)*IFERROR(LOOKUP(Предпосылки!$H$210,$C$13:$C$15,G$13:G$15),1)</f>
        <v>0</v>
      </c>
      <c s="125">
        <f>Предпосылки!G$237*Предпосылки!$M262*Продажи!H27*H$19*(1+Чувствительность!$D$20)*IFERROR(LOOKUP(Предпосылки!$H$210,$C$13:$C$15,H$13:H$15),1)</f>
        <v>0</v>
      </c>
      <c s="125">
        <f>Предпосылки!H$237*Предпосылки!$M262*Продажи!I27*I$19*(1+Чувствительность!$D$20)*IFERROR(LOOKUP(Предпосылки!$H$210,$C$13:$C$15,I$13:I$15),1)</f>
        <v>0</v>
      </c>
      <c s="125">
        <f>Предпосылки!I$237*Предпосылки!$M262*Продажи!J27*J$19*(1+Чувствительность!$D$20)*IFERROR(LOOKUP(Предпосылки!$H$210,$C$13:$C$15,J$13:J$15),1)</f>
        <v>0</v>
      </c>
      <c s="125">
        <f>Предпосылки!J$237*Предпосылки!$M262*Продажи!K27*K$19*(1+Чувствительность!$D$20)*IFERROR(LOOKUP(Предпосылки!$H$210,$C$13:$C$15,K$13:K$15),1)</f>
        <v>0</v>
      </c>
      <c s="125">
        <f>Предпосылки!K$237*Предпосылки!$M262*Продажи!L27*L$19*(1+Чувствительность!$D$20)*IFERROR(LOOKUP(Предпосылки!$H$210,$C$13:$C$15,L$13:L$15),1)</f>
        <v>0</v>
      </c>
      <c s="125">
        <f>Предпосылки!L$237*Предпосылки!$M262*Продажи!M27*M$19*(1+Чувствительность!$D$20)*IFERROR(LOOKUP(Предпосылки!$H$210,$C$13:$C$15,M$13:M$15),1)</f>
        <v>0</v>
      </c>
      <c s="125">
        <f>Предпосылки!M$237*Предпосылки!$M262*Продажи!N27*N$19*(1+Чувствительность!$D$20)*IFERROR(LOOKUP(Предпосылки!$H$210,$C$13:$C$15,N$13:N$15),1)</f>
        <v>0</v>
      </c>
      <c s="125">
        <f>Предпосылки!N$237*Предпосылки!$M262*Продажи!O27*O$19*(1+Чувствительность!$D$20)*IFERROR(LOOKUP(Предпосылки!$H$210,$C$13:$C$15,O$13:O$15),1)</f>
        <v>0</v>
      </c>
      <c s="125">
        <f>Предпосылки!O$237*Предпосылки!$M262*Продажи!P27*P$19*(1+Чувствительность!$D$20)*IFERROR(LOOKUP(Предпосылки!$H$210,$C$13:$C$15,P$13:P$15),1)</f>
        <v>0</v>
      </c>
      <c s="125">
        <f>Предпосылки!P$237*Предпосылки!$M262*Продажи!Q27*Q$19*(1+Чувствительность!$D$20)*IFERROR(LOOKUP(Предпосылки!$H$210,$C$13:$C$15,Q$13:Q$15),1)</f>
        <v>0</v>
      </c>
      <c s="125">
        <f>Предпосылки!Q$237*Предпосылки!$M262*Продажи!R27*R$19*(1+Чувствительность!$D$20)*IFERROR(LOOKUP(Предпосылки!$H$210,$C$13:$C$15,R$13:R$15),1)</f>
        <v>0</v>
      </c>
      <c s="125">
        <f>Предпосылки!R$237*Предпосылки!$M262*Продажи!S27*S$19*(1+Чувствительность!$D$20)*IFERROR(LOOKUP(Предпосылки!$H$210,$C$13:$C$15,S$13:S$15),1)</f>
        <v>0</v>
      </c>
      <c s="125">
        <f>Предпосылки!S$237*Предпосылки!$M262*Продажи!T27*T$19*(1+Чувствительность!$D$20)*IFERROR(LOOKUP(Предпосылки!$H$210,$C$13:$C$15,T$13:T$15),1)</f>
        <v>0</v>
      </c>
      <c s="125">
        <f>Предпосылки!T$237*Предпосылки!$M262*Продажи!U27*U$19*(1+Чувствительность!$D$20)*IFERROR(LOOKUP(Предпосылки!$H$210,$C$13:$C$15,U$13:U$15),1)</f>
        <v>0</v>
      </c>
      <c s="125">
        <f>Предпосылки!U$237*Предпосылки!$M262*Продажи!V27*V$19*(1+Чувствительность!$D$20)*IFERROR(LOOKUP(Предпосылки!$H$210,$C$13:$C$15,V$13:V$15),1)</f>
        <v>0</v>
      </c>
      <c s="125">
        <f>Предпосылки!V$237*Предпосылки!$M262*Продажи!W27*W$19*(1+Чувствительность!$D$20)*IFERROR(LOOKUP(Предпосылки!$H$210,$C$13:$C$15,W$13:W$15),1)</f>
        <v>0</v>
      </c>
      <c s="125">
        <f>Предпосылки!W$237*Предпосылки!$M262*Продажи!X27*X$19*(1+Чувствительность!$D$20)*IFERROR(LOOKUP(Предпосылки!$H$210,$C$13:$C$15,X$13:X$15),1)</f>
        <v>0</v>
      </c>
      <c s="125">
        <f>Предпосылки!X$237*Предпосылки!$M262*Продажи!Y27*Y$19*(1+Чувствительность!$D$20)*IFERROR(LOOKUP(Предпосылки!$H$210,$C$13:$C$15,Y$13:Y$15),1)</f>
        <v>0</v>
      </c>
      <c s="125">
        <f>Предпосылки!Y$237*Предпосылки!$M262*Продажи!Z27*Z$19*(1+Чувствительность!$D$20)*IFERROR(LOOKUP(Предпосылки!$H$210,$C$13:$C$15,Z$13:Z$15),1)</f>
        <v>0</v>
      </c>
      <c s="125">
        <f>Предпосылки!Z$237*Предпосылки!$M262*Продажи!AA27*AA$19*(1+Чувствительность!$D$20)*IFERROR(LOOKUP(Предпосылки!$H$210,$C$13:$C$15,AA$13:AA$15),1)</f>
        <v>0</v>
      </c>
      <c s="125">
        <f>Предпосылки!AA$237*Предпосылки!$M262*Продажи!AB27*AB$19*(1+Чувствительность!$D$20)*IFERROR(LOOKUP(Предпосылки!$H$210,$C$13:$C$15,AB$13:AB$15),1)</f>
        <v>0</v>
      </c>
      <c s="125">
        <f>Предпосылки!AB$237*Предпосылки!$M262*Продажи!AC27*AC$19*(1+Чувствительность!$D$20)*IFERROR(LOOKUP(Предпосылки!$H$210,$C$13:$C$15,AC$13:AC$15),1)</f>
        <v>0</v>
      </c>
      <c s="125">
        <f>Предпосылки!AC$237*Предпосылки!$M262*Продажи!AD27*AD$19*(1+Чувствительность!$D$20)*IFERROR(LOOKUP(Предпосылки!$H$210,$C$13:$C$15,AD$13:AD$15),1)</f>
        <v>0</v>
      </c>
      <c s="125">
        <f>Предпосылки!AD$237*Предпосылки!$M262*Продажи!AE27*AE$19*(1+Чувствительность!$D$20)*IFERROR(LOOKUP(Предпосылки!$H$210,$C$13:$C$15,AE$13:AE$15),1)</f>
        <v>0</v>
      </c>
      <c s="125">
        <f>Предпосылки!AE$237*Предпосылки!$M262*Продажи!AF27*AF$19*(1+Чувствительность!$D$20)*IFERROR(LOOKUP(Предпосылки!$H$210,$C$13:$C$15,AF$13:AF$15),1)</f>
        <v>0</v>
      </c>
      <c s="125">
        <f>Предпосылки!AF$237*Предпосылки!$M262*Продажи!AG27*AG$19*(1+Чувствительность!$D$20)*IFERROR(LOOKUP(Предпосылки!$H$210,$C$13:$C$15,AG$13:AG$15),1)</f>
        <v>0</v>
      </c>
      <c s="125">
        <f>Предпосылки!AG$237*Предпосылки!$M262*Продажи!AH27*AH$19*(1+Чувствительность!$D$20)*IFERROR(LOOKUP(Предпосылки!$H$210,$C$13:$C$15,AH$13:AH$15),1)</f>
        <v>0</v>
      </c>
      <c s="125">
        <f>Предпосылки!AH$237*Предпосылки!$M262*Продажи!AI27*AI$19*(1+Чувствительность!$D$20)*IFERROR(LOOKUP(Предпосылки!$H$210,$C$13:$C$15,AI$13:AI$15),1)</f>
        <v>0</v>
      </c>
      <c s="125">
        <f>Предпосылки!AI$237*Предпосылки!$M262*Продажи!AJ27*AJ$19*(1+Чувствительность!$D$20)*IFERROR(LOOKUP(Предпосылки!$H$210,$C$13:$C$15,AJ$13:AJ$15),1)</f>
        <v>0</v>
      </c>
      <c s="125">
        <f>Предпосылки!AJ$237*Предпосылки!$M262*Продажи!AK27*AK$19*(1+Чувствительность!$D$20)*IFERROR(LOOKUP(Предпосылки!$H$210,$C$13:$C$15,AK$13:AK$15),1)</f>
        <v>0</v>
      </c>
      <c s="125">
        <f>Предпосылки!AK$237*Предпосылки!$M262*Продажи!AL27*AL$19*(1+Чувствительность!$D$20)*IFERROR(LOOKUP(Предпосылки!$H$210,$C$13:$C$15,AL$13:AL$15),1)</f>
        <v>0</v>
      </c>
      <c s="125">
        <f>Предпосылки!AL$237*Предпосылки!$M262*Продажи!AM27*AM$19*(1+Чувствительность!$D$20)*IFERROR(LOOKUP(Предпосылки!$H$210,$C$13:$C$15,AM$13:AM$15),1)</f>
        <v>0</v>
      </c>
      <c s="125">
        <f>Предпосылки!AM$237*Предпосылки!$M262*Продажи!AN27*AN$19*(1+Чувствительность!$D$20)*IFERROR(LOOKUP(Предпосылки!$H$210,$C$13:$C$15,AN$13:AN$15),1)</f>
        <v>0</v>
      </c>
      <c s="125">
        <f>Предпосылки!AN$237*Предпосылки!$M262*Продажи!AO27*AO$19*(1+Чувствительность!$D$20)*IFERROR(LOOKUP(Предпосылки!$H$210,$C$13:$C$15,AO$13:AO$15),1)</f>
        <v>0</v>
      </c>
      <c s="125">
        <f>Предпосылки!AO$237*Предпосылки!$M262*Продажи!AP27*AP$19*(1+Чувствительность!$D$20)*IFERROR(LOOKUP(Предпосылки!$H$210,$C$13:$C$15,AP$13:AP$15),1)</f>
        <v>0</v>
      </c>
      <c s="125">
        <f>Предпосылки!AP$237*Предпосылки!$M262*Продажи!AQ27*AQ$19*(1+Чувствительность!$D$20)*IFERROR(LOOKUP(Предпосылки!$H$210,$C$13:$C$15,AQ$13:AQ$15),1)</f>
        <v>0</v>
      </c>
      <c s="125">
        <f>Предпосылки!AQ$237*Предпосылки!$M262*Продажи!AR27*AR$19*(1+Чувствительность!$D$20)*IFERROR(LOOKUP(Предпосылки!$H$210,$C$13:$C$15,AR$13:AR$15),1)</f>
        <v>0</v>
      </c>
      <c s="125">
        <f>Предпосылки!AR$237*Предпосылки!$M262*Продажи!AS27*AS$19*(1+Чувствительность!$D$20)*IFERROR(LOOKUP(Предпосылки!$H$210,$C$13:$C$15,AS$13:AS$15),1)</f>
        <v>0</v>
      </c>
      <c s="125">
        <f>Предпосылки!AS$237*Предпосылки!$M262*Продажи!AT27*AT$19*(1+Чувствительность!$D$20)*IFERROR(LOOKUP(Предпосылки!$H$210,$C$13:$C$15,AT$13:AT$15),1)</f>
        <v>0</v>
      </c>
      <c s="125">
        <f>Предпосылки!AT$237*Предпосылки!$M262*Продажи!AU27*AU$19*(1+Чувствительность!$D$20)*IFERROR(LOOKUP(Предпосылки!$H$210,$C$13:$C$15,AU$13:AU$15),1)</f>
        <v>0</v>
      </c>
      <c s="125">
        <f>Предпосылки!AU$237*Предпосылки!$M262*Продажи!AV27*AV$19*(1+Чувствительность!$D$20)*IFERROR(LOOKUP(Предпосылки!$H$210,$C$13:$C$15,AV$13:AV$15),1)</f>
        <v>0</v>
      </c>
      <c s="125">
        <f>Предпосылки!AV$237*Предпосылки!$M262*Продажи!AW27*AW$19*(1+Чувствительность!$D$20)*IFERROR(LOOKUP(Предпосылки!$H$210,$C$13:$C$15,AW$13:AW$15),1)</f>
        <v>0</v>
      </c>
      <c s="125">
        <f>Предпосылки!AW$237*Предпосылки!$M262*Продажи!AX27*AX$19*(1+Чувствительность!$D$20)*IFERROR(LOOKUP(Предпосылки!$H$210,$C$13:$C$15,AX$13:AX$15),1)</f>
        <v>0</v>
      </c>
      <c s="125">
        <f>Предпосылки!AX$237*Предпосылки!$M262*Продажи!AY27*AY$19*(1+Чувствительность!$D$20)*IFERROR(LOOKUP(Предпосылки!$H$210,$C$13:$C$15,AY$13:AY$15),1)</f>
        <v>0</v>
      </c>
      <c s="125">
        <f>Предпосылки!AY$237*Предпосылки!$M262*Продажи!AZ27*AZ$19*(1+Чувствительность!$D$20)*IFERROR(LOOKUP(Предпосылки!$H$210,$C$13:$C$15,AZ$13:AZ$15),1)</f>
        <v>0</v>
      </c>
      <c s="125">
        <f>Предпосылки!AZ$237*Предпосылки!$M262*Продажи!BA27*BA$19*(1+Чувствительность!$D$20)*IFERROR(LOOKUP(Предпосылки!$H$210,$C$13:$C$15,BA$13:BA$15),1)</f>
        <v>0</v>
      </c>
      <c s="125">
        <f>Предпосылки!BA$237*Предпосылки!$M262*Продажи!BB27*BB$19*(1+Чувствительность!$D$20)*IFERROR(LOOKUP(Предпосылки!$H$210,$C$13:$C$15,BB$13:BB$15),1)</f>
        <v>0</v>
      </c>
      <c s="125">
        <f>Предпосылки!BB$237*Предпосылки!$M262*Продажи!BC27*BC$19*(1+Чувствительность!$D$20)*IFERROR(LOOKUP(Предпосылки!$H$210,$C$13:$C$15,BC$13:BC$15),1)</f>
        <v>0</v>
      </c>
      <c s="125">
        <f>Предпосылки!BC$237*Предпосылки!$M262*Продажи!BD27*BD$19*(1+Чувствительность!$D$20)*IFERROR(LOOKUP(Предпосылки!$H$210,$C$13:$C$15,BD$13:BD$15),1)</f>
        <v>0</v>
      </c>
      <c s="125">
        <f>Предпосылки!BD$237*Предпосылки!$M262*Продажи!BE27*BE$19*(1+Чувствительность!$D$20)*IFERROR(LOOKUP(Предпосылки!$H$210,$C$13:$C$15,BE$13:BE$15),1)</f>
        <v>0</v>
      </c>
      <c s="125">
        <f>Предпосылки!BE$237*Предпосылки!$M262*Продажи!BF27*BF$19*(1+Чувствительность!$D$20)*IFERROR(LOOKUP(Предпосылки!$H$210,$C$13:$C$15,BF$13:BF$15),1)</f>
        <v>0</v>
      </c>
      <c s="125">
        <f>Предпосылки!BF$237*Предпосылки!$M262*Продажи!BG27*BG$19*(1+Чувствительность!$D$20)*IFERROR(LOOKUP(Предпосылки!$H$210,$C$13:$C$15,BG$13:BG$15),1)</f>
        <v>0</v>
      </c>
      <c s="125">
        <f>Предпосылки!BG$237*Предпосылки!$M262*Продажи!BH27*BH$19*(1+Чувствительность!$D$20)*IFERROR(LOOKUP(Предпосылки!$H$210,$C$13:$C$15,BH$13:BH$15),1)</f>
        <v>0</v>
      </c>
      <c s="125">
        <f>Предпосылки!BH$237*Предпосылки!$M262*Продажи!BI27*BI$19*(1+Чувствительность!$D$20)*IFERROR(LOOKUP(Предпосылки!$H$210,$C$13:$C$15,BI$13:BI$15),1)</f>
        <v>0</v>
      </c>
      <c s="125">
        <f>Предпосылки!BI$237*Предпосылки!$M262*Продажи!BJ27*BJ$19*(1+Чувствительность!$D$20)*IFERROR(LOOKUP(Предпосылки!$H$210,$C$13:$C$15,BJ$13:BJ$15),1)</f>
        <v>0</v>
      </c>
      <c s="125">
        <f>Предпосылки!BJ$237*Предпосылки!$M262*Продажи!BK27*BK$19*(1+Чувствительность!$D$20)*IFERROR(LOOKUP(Предпосылки!$H$210,$C$13:$C$15,BK$13:BK$15),1)</f>
        <v>0</v>
      </c>
      <c s="125">
        <f>Предпосылки!BK$237*Предпосылки!$M262*Продажи!BL27*BL$19*(1+Чувствительность!$D$20)*IFERROR(LOOKUP(Предпосылки!$H$210,$C$13:$C$15,BL$13:BL$15),1)</f>
        <v>0</v>
      </c>
      <c s="125">
        <f>Предпосылки!BL$237*Предпосылки!$M262*Продажи!BM27*BM$19*(1+Чувствительность!$D$20)*IFERROR(LOOKUP(Предпосылки!$H$210,$C$13:$C$15,BM$13:BM$15),1)</f>
        <v>0</v>
      </c>
    </row>
    <row r="240" spans="2:65" ht="15" customHeight="1">
      <c r="B240" s="12" t="str">
        <f t="shared" si="106"/>
        <v>Продукт 11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Предпосылки!D$237*Предпосылки!$M263*Продажи!E28*E$19*(1+Чувствительность!$D$20)*IFERROR(LOOKUP(Предпосылки!$H$210,$C$13:$C$15,E$13:E$15),1)</f>
        <v>0</v>
      </c>
      <c s="125">
        <f>Предпосылки!E$237*Предпосылки!$M263*Продажи!F28*F$19*(1+Чувствительность!$D$20)*IFERROR(LOOKUP(Предпосылки!$H$210,$C$13:$C$15,F$13:F$15),1)</f>
        <v>0</v>
      </c>
      <c s="125">
        <f>Предпосылки!F$237*Предпосылки!$M263*Продажи!G28*G$19*(1+Чувствительность!$D$20)*IFERROR(LOOKUP(Предпосылки!$H$210,$C$13:$C$15,G$13:G$15),1)</f>
        <v>0</v>
      </c>
      <c s="125">
        <f>Предпосылки!G$237*Предпосылки!$M263*Продажи!H28*H$19*(1+Чувствительность!$D$20)*IFERROR(LOOKUP(Предпосылки!$H$210,$C$13:$C$15,H$13:H$15),1)</f>
        <v>0</v>
      </c>
      <c s="125">
        <f>Предпосылки!H$237*Предпосылки!$M263*Продажи!I28*I$19*(1+Чувствительность!$D$20)*IFERROR(LOOKUP(Предпосылки!$H$210,$C$13:$C$15,I$13:I$15),1)</f>
        <v>0</v>
      </c>
      <c s="125">
        <f>Предпосылки!I$237*Предпосылки!$M263*Продажи!J28*J$19*(1+Чувствительность!$D$20)*IFERROR(LOOKUP(Предпосылки!$H$210,$C$13:$C$15,J$13:J$15),1)</f>
        <v>0</v>
      </c>
      <c s="125">
        <f>Предпосылки!J$237*Предпосылки!$M263*Продажи!K28*K$19*(1+Чувствительность!$D$20)*IFERROR(LOOKUP(Предпосылки!$H$210,$C$13:$C$15,K$13:K$15),1)</f>
        <v>0</v>
      </c>
      <c s="125">
        <f>Предпосылки!K$237*Предпосылки!$M263*Продажи!L28*L$19*(1+Чувствительность!$D$20)*IFERROR(LOOKUP(Предпосылки!$H$210,$C$13:$C$15,L$13:L$15),1)</f>
        <v>0</v>
      </c>
      <c s="125">
        <f>Предпосылки!L$237*Предпосылки!$M263*Продажи!M28*M$19*(1+Чувствительность!$D$20)*IFERROR(LOOKUP(Предпосылки!$H$210,$C$13:$C$15,M$13:M$15),1)</f>
        <v>0</v>
      </c>
      <c s="125">
        <f>Предпосылки!M$237*Предпосылки!$M263*Продажи!N28*N$19*(1+Чувствительность!$D$20)*IFERROR(LOOKUP(Предпосылки!$H$210,$C$13:$C$15,N$13:N$15),1)</f>
        <v>0</v>
      </c>
      <c s="125">
        <f>Предпосылки!N$237*Предпосылки!$M263*Продажи!O28*O$19*(1+Чувствительность!$D$20)*IFERROR(LOOKUP(Предпосылки!$H$210,$C$13:$C$15,O$13:O$15),1)</f>
        <v>0</v>
      </c>
      <c s="125">
        <f>Предпосылки!O$237*Предпосылки!$M263*Продажи!P28*P$19*(1+Чувствительность!$D$20)*IFERROR(LOOKUP(Предпосылки!$H$210,$C$13:$C$15,P$13:P$15),1)</f>
        <v>0</v>
      </c>
      <c s="125">
        <f>Предпосылки!P$237*Предпосылки!$M263*Продажи!Q28*Q$19*(1+Чувствительность!$D$20)*IFERROR(LOOKUP(Предпосылки!$H$210,$C$13:$C$15,Q$13:Q$15),1)</f>
        <v>0</v>
      </c>
      <c s="125">
        <f>Предпосылки!Q$237*Предпосылки!$M263*Продажи!R28*R$19*(1+Чувствительность!$D$20)*IFERROR(LOOKUP(Предпосылки!$H$210,$C$13:$C$15,R$13:R$15),1)</f>
        <v>0</v>
      </c>
      <c s="125">
        <f>Предпосылки!R$237*Предпосылки!$M263*Продажи!S28*S$19*(1+Чувствительность!$D$20)*IFERROR(LOOKUP(Предпосылки!$H$210,$C$13:$C$15,S$13:S$15),1)</f>
        <v>0</v>
      </c>
      <c s="125">
        <f>Предпосылки!S$237*Предпосылки!$M263*Продажи!T28*T$19*(1+Чувствительность!$D$20)*IFERROR(LOOKUP(Предпосылки!$H$210,$C$13:$C$15,T$13:T$15),1)</f>
        <v>0</v>
      </c>
      <c s="125">
        <f>Предпосылки!T$237*Предпосылки!$M263*Продажи!U28*U$19*(1+Чувствительность!$D$20)*IFERROR(LOOKUP(Предпосылки!$H$210,$C$13:$C$15,U$13:U$15),1)</f>
        <v>0</v>
      </c>
      <c s="125">
        <f>Предпосылки!U$237*Предпосылки!$M263*Продажи!V28*V$19*(1+Чувствительность!$D$20)*IFERROR(LOOKUP(Предпосылки!$H$210,$C$13:$C$15,V$13:V$15),1)</f>
        <v>0</v>
      </c>
      <c s="125">
        <f>Предпосылки!V$237*Предпосылки!$M263*Продажи!W28*W$19*(1+Чувствительность!$D$20)*IFERROR(LOOKUP(Предпосылки!$H$210,$C$13:$C$15,W$13:W$15),1)</f>
        <v>0</v>
      </c>
      <c s="125">
        <f>Предпосылки!W$237*Предпосылки!$M263*Продажи!X28*X$19*(1+Чувствительность!$D$20)*IFERROR(LOOKUP(Предпосылки!$H$210,$C$13:$C$15,X$13:X$15),1)</f>
        <v>0</v>
      </c>
      <c s="125">
        <f>Предпосылки!X$237*Предпосылки!$M263*Продажи!Y28*Y$19*(1+Чувствительность!$D$20)*IFERROR(LOOKUP(Предпосылки!$H$210,$C$13:$C$15,Y$13:Y$15),1)</f>
        <v>0</v>
      </c>
      <c s="125">
        <f>Предпосылки!Y$237*Предпосылки!$M263*Продажи!Z28*Z$19*(1+Чувствительность!$D$20)*IFERROR(LOOKUP(Предпосылки!$H$210,$C$13:$C$15,Z$13:Z$15),1)</f>
        <v>0</v>
      </c>
      <c s="125">
        <f>Предпосылки!Z$237*Предпосылки!$M263*Продажи!AA28*AA$19*(1+Чувствительность!$D$20)*IFERROR(LOOKUP(Предпосылки!$H$210,$C$13:$C$15,AA$13:AA$15),1)</f>
        <v>0</v>
      </c>
      <c s="125">
        <f>Предпосылки!AA$237*Предпосылки!$M263*Продажи!AB28*AB$19*(1+Чувствительность!$D$20)*IFERROR(LOOKUP(Предпосылки!$H$210,$C$13:$C$15,AB$13:AB$15),1)</f>
        <v>0</v>
      </c>
      <c s="125">
        <f>Предпосылки!AB$237*Предпосылки!$M263*Продажи!AC28*AC$19*(1+Чувствительность!$D$20)*IFERROR(LOOKUP(Предпосылки!$H$210,$C$13:$C$15,AC$13:AC$15),1)</f>
        <v>0</v>
      </c>
      <c s="125">
        <f>Предпосылки!AC$237*Предпосылки!$M263*Продажи!AD28*AD$19*(1+Чувствительность!$D$20)*IFERROR(LOOKUP(Предпосылки!$H$210,$C$13:$C$15,AD$13:AD$15),1)</f>
        <v>0</v>
      </c>
      <c s="125">
        <f>Предпосылки!AD$237*Предпосылки!$M263*Продажи!AE28*AE$19*(1+Чувствительность!$D$20)*IFERROR(LOOKUP(Предпосылки!$H$210,$C$13:$C$15,AE$13:AE$15),1)</f>
        <v>0</v>
      </c>
      <c s="125">
        <f>Предпосылки!AE$237*Предпосылки!$M263*Продажи!AF28*AF$19*(1+Чувствительность!$D$20)*IFERROR(LOOKUP(Предпосылки!$H$210,$C$13:$C$15,AF$13:AF$15),1)</f>
        <v>0</v>
      </c>
      <c s="125">
        <f>Предпосылки!AF$237*Предпосылки!$M263*Продажи!AG28*AG$19*(1+Чувствительность!$D$20)*IFERROR(LOOKUP(Предпосылки!$H$210,$C$13:$C$15,AG$13:AG$15),1)</f>
        <v>0</v>
      </c>
      <c s="125">
        <f>Предпосылки!AG$237*Предпосылки!$M263*Продажи!AH28*AH$19*(1+Чувствительность!$D$20)*IFERROR(LOOKUP(Предпосылки!$H$210,$C$13:$C$15,AH$13:AH$15),1)</f>
        <v>0</v>
      </c>
      <c s="125">
        <f>Предпосылки!AH$237*Предпосылки!$M263*Продажи!AI28*AI$19*(1+Чувствительность!$D$20)*IFERROR(LOOKUP(Предпосылки!$H$210,$C$13:$C$15,AI$13:AI$15),1)</f>
        <v>0</v>
      </c>
      <c s="125">
        <f>Предпосылки!AI$237*Предпосылки!$M263*Продажи!AJ28*AJ$19*(1+Чувствительность!$D$20)*IFERROR(LOOKUP(Предпосылки!$H$210,$C$13:$C$15,AJ$13:AJ$15),1)</f>
        <v>0</v>
      </c>
      <c s="125">
        <f>Предпосылки!AJ$237*Предпосылки!$M263*Продажи!AK28*AK$19*(1+Чувствительность!$D$20)*IFERROR(LOOKUP(Предпосылки!$H$210,$C$13:$C$15,AK$13:AK$15),1)</f>
        <v>0</v>
      </c>
      <c s="125">
        <f>Предпосылки!AK$237*Предпосылки!$M263*Продажи!AL28*AL$19*(1+Чувствительность!$D$20)*IFERROR(LOOKUP(Предпосылки!$H$210,$C$13:$C$15,AL$13:AL$15),1)</f>
        <v>0</v>
      </c>
      <c s="125">
        <f>Предпосылки!AL$237*Предпосылки!$M263*Продажи!AM28*AM$19*(1+Чувствительность!$D$20)*IFERROR(LOOKUP(Предпосылки!$H$210,$C$13:$C$15,AM$13:AM$15),1)</f>
        <v>0</v>
      </c>
      <c s="125">
        <f>Предпосылки!AM$237*Предпосылки!$M263*Продажи!AN28*AN$19*(1+Чувствительность!$D$20)*IFERROR(LOOKUP(Предпосылки!$H$210,$C$13:$C$15,AN$13:AN$15),1)</f>
        <v>0</v>
      </c>
      <c s="125">
        <f>Предпосылки!AN$237*Предпосылки!$M263*Продажи!AO28*AO$19*(1+Чувствительность!$D$20)*IFERROR(LOOKUP(Предпосылки!$H$210,$C$13:$C$15,AO$13:AO$15),1)</f>
        <v>0</v>
      </c>
      <c s="125">
        <f>Предпосылки!AO$237*Предпосылки!$M263*Продажи!AP28*AP$19*(1+Чувствительность!$D$20)*IFERROR(LOOKUP(Предпосылки!$H$210,$C$13:$C$15,AP$13:AP$15),1)</f>
        <v>0</v>
      </c>
      <c s="125">
        <f>Предпосылки!AP$237*Предпосылки!$M263*Продажи!AQ28*AQ$19*(1+Чувствительность!$D$20)*IFERROR(LOOKUP(Предпосылки!$H$210,$C$13:$C$15,AQ$13:AQ$15),1)</f>
        <v>0</v>
      </c>
      <c s="125">
        <f>Предпосылки!AQ$237*Предпосылки!$M263*Продажи!AR28*AR$19*(1+Чувствительность!$D$20)*IFERROR(LOOKUP(Предпосылки!$H$210,$C$13:$C$15,AR$13:AR$15),1)</f>
        <v>0</v>
      </c>
      <c s="125">
        <f>Предпосылки!AR$237*Предпосылки!$M263*Продажи!AS28*AS$19*(1+Чувствительность!$D$20)*IFERROR(LOOKUP(Предпосылки!$H$210,$C$13:$C$15,AS$13:AS$15),1)</f>
        <v>0</v>
      </c>
      <c s="125">
        <f>Предпосылки!AS$237*Предпосылки!$M263*Продажи!AT28*AT$19*(1+Чувствительность!$D$20)*IFERROR(LOOKUP(Предпосылки!$H$210,$C$13:$C$15,AT$13:AT$15),1)</f>
        <v>0</v>
      </c>
      <c s="125">
        <f>Предпосылки!AT$237*Предпосылки!$M263*Продажи!AU28*AU$19*(1+Чувствительность!$D$20)*IFERROR(LOOKUP(Предпосылки!$H$210,$C$13:$C$15,AU$13:AU$15),1)</f>
        <v>0</v>
      </c>
      <c s="125">
        <f>Предпосылки!AU$237*Предпосылки!$M263*Продажи!AV28*AV$19*(1+Чувствительность!$D$20)*IFERROR(LOOKUP(Предпосылки!$H$210,$C$13:$C$15,AV$13:AV$15),1)</f>
        <v>0</v>
      </c>
      <c s="125">
        <f>Предпосылки!AV$237*Предпосылки!$M263*Продажи!AW28*AW$19*(1+Чувствительность!$D$20)*IFERROR(LOOKUP(Предпосылки!$H$210,$C$13:$C$15,AW$13:AW$15),1)</f>
        <v>0</v>
      </c>
      <c s="125">
        <f>Предпосылки!AW$237*Предпосылки!$M263*Продажи!AX28*AX$19*(1+Чувствительность!$D$20)*IFERROR(LOOKUP(Предпосылки!$H$210,$C$13:$C$15,AX$13:AX$15),1)</f>
        <v>0</v>
      </c>
      <c s="125">
        <f>Предпосылки!AX$237*Предпосылки!$M263*Продажи!AY28*AY$19*(1+Чувствительность!$D$20)*IFERROR(LOOKUP(Предпосылки!$H$210,$C$13:$C$15,AY$13:AY$15),1)</f>
        <v>0</v>
      </c>
      <c s="125">
        <f>Предпосылки!AY$237*Предпосылки!$M263*Продажи!AZ28*AZ$19*(1+Чувствительность!$D$20)*IFERROR(LOOKUP(Предпосылки!$H$210,$C$13:$C$15,AZ$13:AZ$15),1)</f>
        <v>0</v>
      </c>
      <c s="125">
        <f>Предпосылки!AZ$237*Предпосылки!$M263*Продажи!BA28*BA$19*(1+Чувствительность!$D$20)*IFERROR(LOOKUP(Предпосылки!$H$210,$C$13:$C$15,BA$13:BA$15),1)</f>
        <v>0</v>
      </c>
      <c s="125">
        <f>Предпосылки!BA$237*Предпосылки!$M263*Продажи!BB28*BB$19*(1+Чувствительность!$D$20)*IFERROR(LOOKUP(Предпосылки!$H$210,$C$13:$C$15,BB$13:BB$15),1)</f>
        <v>0</v>
      </c>
      <c s="125">
        <f>Предпосылки!BB$237*Предпосылки!$M263*Продажи!BC28*BC$19*(1+Чувствительность!$D$20)*IFERROR(LOOKUP(Предпосылки!$H$210,$C$13:$C$15,BC$13:BC$15),1)</f>
        <v>0</v>
      </c>
      <c s="125">
        <f>Предпосылки!BC$237*Предпосылки!$M263*Продажи!BD28*BD$19*(1+Чувствительность!$D$20)*IFERROR(LOOKUP(Предпосылки!$H$210,$C$13:$C$15,BD$13:BD$15),1)</f>
        <v>0</v>
      </c>
      <c s="125">
        <f>Предпосылки!BD$237*Предпосылки!$M263*Продажи!BE28*BE$19*(1+Чувствительность!$D$20)*IFERROR(LOOKUP(Предпосылки!$H$210,$C$13:$C$15,BE$13:BE$15),1)</f>
        <v>0</v>
      </c>
      <c s="125">
        <f>Предпосылки!BE$237*Предпосылки!$M263*Продажи!BF28*BF$19*(1+Чувствительность!$D$20)*IFERROR(LOOKUP(Предпосылки!$H$210,$C$13:$C$15,BF$13:BF$15),1)</f>
        <v>0</v>
      </c>
      <c s="125">
        <f>Предпосылки!BF$237*Предпосылки!$M263*Продажи!BG28*BG$19*(1+Чувствительность!$D$20)*IFERROR(LOOKUP(Предпосылки!$H$210,$C$13:$C$15,BG$13:BG$15),1)</f>
        <v>0</v>
      </c>
      <c s="125">
        <f>Предпосылки!BG$237*Предпосылки!$M263*Продажи!BH28*BH$19*(1+Чувствительность!$D$20)*IFERROR(LOOKUP(Предпосылки!$H$210,$C$13:$C$15,BH$13:BH$15),1)</f>
        <v>0</v>
      </c>
      <c s="125">
        <f>Предпосылки!BH$237*Предпосылки!$M263*Продажи!BI28*BI$19*(1+Чувствительность!$D$20)*IFERROR(LOOKUP(Предпосылки!$H$210,$C$13:$C$15,BI$13:BI$15),1)</f>
        <v>0</v>
      </c>
      <c s="125">
        <f>Предпосылки!BI$237*Предпосылки!$M263*Продажи!BJ28*BJ$19*(1+Чувствительность!$D$20)*IFERROR(LOOKUP(Предпосылки!$H$210,$C$13:$C$15,BJ$13:BJ$15),1)</f>
        <v>0</v>
      </c>
      <c s="125">
        <f>Предпосылки!BJ$237*Предпосылки!$M263*Продажи!BK28*BK$19*(1+Чувствительность!$D$20)*IFERROR(LOOKUP(Предпосылки!$H$210,$C$13:$C$15,BK$13:BK$15),1)</f>
        <v>0</v>
      </c>
      <c s="125">
        <f>Предпосылки!BK$237*Предпосылки!$M263*Продажи!BL28*BL$19*(1+Чувствительность!$D$20)*IFERROR(LOOKUP(Предпосылки!$H$210,$C$13:$C$15,BL$13:BL$15),1)</f>
        <v>0</v>
      </c>
      <c s="125">
        <f>Предпосылки!BL$237*Предпосылки!$M263*Продажи!BM28*BM$19*(1+Чувствительность!$D$20)*IFERROR(LOOKUP(Предпосылки!$H$210,$C$13:$C$15,BM$13:BM$15),1)</f>
        <v>0</v>
      </c>
    </row>
    <row r="241" spans="2:65" ht="15" customHeight="1">
      <c r="B241" s="12" t="str">
        <f t="shared" si="106"/>
        <v>Продукт 12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Предпосылки!D$237*Предпосылки!$M264*Продажи!E29*E$19*(1+Чувствительность!$D$20)*IFERROR(LOOKUP(Предпосылки!$H$210,$C$13:$C$15,E$13:E$15),1)</f>
        <v>0</v>
      </c>
      <c s="125">
        <f>Предпосылки!E$237*Предпосылки!$M264*Продажи!F29*F$19*(1+Чувствительность!$D$20)*IFERROR(LOOKUP(Предпосылки!$H$210,$C$13:$C$15,F$13:F$15),1)</f>
        <v>0</v>
      </c>
      <c s="125">
        <f>Предпосылки!F$237*Предпосылки!$M264*Продажи!G29*G$19*(1+Чувствительность!$D$20)*IFERROR(LOOKUP(Предпосылки!$H$210,$C$13:$C$15,G$13:G$15),1)</f>
        <v>0</v>
      </c>
      <c s="125">
        <f>Предпосылки!G$237*Предпосылки!$M264*Продажи!H29*H$19*(1+Чувствительность!$D$20)*IFERROR(LOOKUP(Предпосылки!$H$210,$C$13:$C$15,H$13:H$15),1)</f>
        <v>0</v>
      </c>
      <c s="125">
        <f>Предпосылки!H$237*Предпосылки!$M264*Продажи!I29*I$19*(1+Чувствительность!$D$20)*IFERROR(LOOKUP(Предпосылки!$H$210,$C$13:$C$15,I$13:I$15),1)</f>
        <v>0</v>
      </c>
      <c s="125">
        <f>Предпосылки!I$237*Предпосылки!$M264*Продажи!J29*J$19*(1+Чувствительность!$D$20)*IFERROR(LOOKUP(Предпосылки!$H$210,$C$13:$C$15,J$13:J$15),1)</f>
        <v>0</v>
      </c>
      <c s="125">
        <f>Предпосылки!J$237*Предпосылки!$M264*Продажи!K29*K$19*(1+Чувствительность!$D$20)*IFERROR(LOOKUP(Предпосылки!$H$210,$C$13:$C$15,K$13:K$15),1)</f>
        <v>0</v>
      </c>
      <c s="125">
        <f>Предпосылки!K$237*Предпосылки!$M264*Продажи!L29*L$19*(1+Чувствительность!$D$20)*IFERROR(LOOKUP(Предпосылки!$H$210,$C$13:$C$15,L$13:L$15),1)</f>
        <v>0</v>
      </c>
      <c s="125">
        <f>Предпосылки!L$237*Предпосылки!$M264*Продажи!M29*M$19*(1+Чувствительность!$D$20)*IFERROR(LOOKUP(Предпосылки!$H$210,$C$13:$C$15,M$13:M$15),1)</f>
        <v>0</v>
      </c>
      <c s="125">
        <f>Предпосылки!M$237*Предпосылки!$M264*Продажи!N29*N$19*(1+Чувствительность!$D$20)*IFERROR(LOOKUP(Предпосылки!$H$210,$C$13:$C$15,N$13:N$15),1)</f>
        <v>0</v>
      </c>
      <c s="125">
        <f>Предпосылки!N$237*Предпосылки!$M264*Продажи!O29*O$19*(1+Чувствительность!$D$20)*IFERROR(LOOKUP(Предпосылки!$H$210,$C$13:$C$15,O$13:O$15),1)</f>
        <v>0</v>
      </c>
      <c s="125">
        <f>Предпосылки!O$237*Предпосылки!$M264*Продажи!P29*P$19*(1+Чувствительность!$D$20)*IFERROR(LOOKUP(Предпосылки!$H$210,$C$13:$C$15,P$13:P$15),1)</f>
        <v>0</v>
      </c>
      <c s="125">
        <f>Предпосылки!P$237*Предпосылки!$M264*Продажи!Q29*Q$19*(1+Чувствительность!$D$20)*IFERROR(LOOKUP(Предпосылки!$H$210,$C$13:$C$15,Q$13:Q$15),1)</f>
        <v>0</v>
      </c>
      <c s="125">
        <f>Предпосылки!Q$237*Предпосылки!$M264*Продажи!R29*R$19*(1+Чувствительность!$D$20)*IFERROR(LOOKUP(Предпосылки!$H$210,$C$13:$C$15,R$13:R$15),1)</f>
        <v>0</v>
      </c>
      <c s="125">
        <f>Предпосылки!R$237*Предпосылки!$M264*Продажи!S29*S$19*(1+Чувствительность!$D$20)*IFERROR(LOOKUP(Предпосылки!$H$210,$C$13:$C$15,S$13:S$15),1)</f>
        <v>0</v>
      </c>
      <c s="125">
        <f>Предпосылки!S$237*Предпосылки!$M264*Продажи!T29*T$19*(1+Чувствительность!$D$20)*IFERROR(LOOKUP(Предпосылки!$H$210,$C$13:$C$15,T$13:T$15),1)</f>
        <v>0</v>
      </c>
      <c s="125">
        <f>Предпосылки!T$237*Предпосылки!$M264*Продажи!U29*U$19*(1+Чувствительность!$D$20)*IFERROR(LOOKUP(Предпосылки!$H$210,$C$13:$C$15,U$13:U$15),1)</f>
        <v>0</v>
      </c>
      <c s="125">
        <f>Предпосылки!U$237*Предпосылки!$M264*Продажи!V29*V$19*(1+Чувствительность!$D$20)*IFERROR(LOOKUP(Предпосылки!$H$210,$C$13:$C$15,V$13:V$15),1)</f>
        <v>0</v>
      </c>
      <c s="125">
        <f>Предпосылки!V$237*Предпосылки!$M264*Продажи!W29*W$19*(1+Чувствительность!$D$20)*IFERROR(LOOKUP(Предпосылки!$H$210,$C$13:$C$15,W$13:W$15),1)</f>
        <v>0</v>
      </c>
      <c s="125">
        <f>Предпосылки!W$237*Предпосылки!$M264*Продажи!X29*X$19*(1+Чувствительность!$D$20)*IFERROR(LOOKUP(Предпосылки!$H$210,$C$13:$C$15,X$13:X$15),1)</f>
        <v>0</v>
      </c>
      <c s="125">
        <f>Предпосылки!X$237*Предпосылки!$M264*Продажи!Y29*Y$19*(1+Чувствительность!$D$20)*IFERROR(LOOKUP(Предпосылки!$H$210,$C$13:$C$15,Y$13:Y$15),1)</f>
        <v>0</v>
      </c>
      <c s="125">
        <f>Предпосылки!Y$237*Предпосылки!$M264*Продажи!Z29*Z$19*(1+Чувствительность!$D$20)*IFERROR(LOOKUP(Предпосылки!$H$210,$C$13:$C$15,Z$13:Z$15),1)</f>
        <v>0</v>
      </c>
      <c s="125">
        <f>Предпосылки!Z$237*Предпосылки!$M264*Продажи!AA29*AA$19*(1+Чувствительность!$D$20)*IFERROR(LOOKUP(Предпосылки!$H$210,$C$13:$C$15,AA$13:AA$15),1)</f>
        <v>0</v>
      </c>
      <c s="125">
        <f>Предпосылки!AA$237*Предпосылки!$M264*Продажи!AB29*AB$19*(1+Чувствительность!$D$20)*IFERROR(LOOKUP(Предпосылки!$H$210,$C$13:$C$15,AB$13:AB$15),1)</f>
        <v>0</v>
      </c>
      <c s="125">
        <f>Предпосылки!AB$237*Предпосылки!$M264*Продажи!AC29*AC$19*(1+Чувствительность!$D$20)*IFERROR(LOOKUP(Предпосылки!$H$210,$C$13:$C$15,AC$13:AC$15),1)</f>
        <v>0</v>
      </c>
      <c s="125">
        <f>Предпосылки!AC$237*Предпосылки!$M264*Продажи!AD29*AD$19*(1+Чувствительность!$D$20)*IFERROR(LOOKUP(Предпосылки!$H$210,$C$13:$C$15,AD$13:AD$15),1)</f>
        <v>0</v>
      </c>
      <c s="125">
        <f>Предпосылки!AD$237*Предпосылки!$M264*Продажи!AE29*AE$19*(1+Чувствительность!$D$20)*IFERROR(LOOKUP(Предпосылки!$H$210,$C$13:$C$15,AE$13:AE$15),1)</f>
        <v>0</v>
      </c>
      <c s="125">
        <f>Предпосылки!AE$237*Предпосылки!$M264*Продажи!AF29*AF$19*(1+Чувствительность!$D$20)*IFERROR(LOOKUP(Предпосылки!$H$210,$C$13:$C$15,AF$13:AF$15),1)</f>
        <v>0</v>
      </c>
      <c s="125">
        <f>Предпосылки!AF$237*Предпосылки!$M264*Продажи!AG29*AG$19*(1+Чувствительность!$D$20)*IFERROR(LOOKUP(Предпосылки!$H$210,$C$13:$C$15,AG$13:AG$15),1)</f>
        <v>0</v>
      </c>
      <c s="125">
        <f>Предпосылки!AG$237*Предпосылки!$M264*Продажи!AH29*AH$19*(1+Чувствительность!$D$20)*IFERROR(LOOKUP(Предпосылки!$H$210,$C$13:$C$15,AH$13:AH$15),1)</f>
        <v>0</v>
      </c>
      <c s="125">
        <f>Предпосылки!AH$237*Предпосылки!$M264*Продажи!AI29*AI$19*(1+Чувствительность!$D$20)*IFERROR(LOOKUP(Предпосылки!$H$210,$C$13:$C$15,AI$13:AI$15),1)</f>
        <v>0</v>
      </c>
      <c s="125">
        <f>Предпосылки!AI$237*Предпосылки!$M264*Продажи!AJ29*AJ$19*(1+Чувствительность!$D$20)*IFERROR(LOOKUP(Предпосылки!$H$210,$C$13:$C$15,AJ$13:AJ$15),1)</f>
        <v>0</v>
      </c>
      <c s="125">
        <f>Предпосылки!AJ$237*Предпосылки!$M264*Продажи!AK29*AK$19*(1+Чувствительность!$D$20)*IFERROR(LOOKUP(Предпосылки!$H$210,$C$13:$C$15,AK$13:AK$15),1)</f>
        <v>0</v>
      </c>
      <c s="125">
        <f>Предпосылки!AK$237*Предпосылки!$M264*Продажи!AL29*AL$19*(1+Чувствительность!$D$20)*IFERROR(LOOKUP(Предпосылки!$H$210,$C$13:$C$15,AL$13:AL$15),1)</f>
        <v>0</v>
      </c>
      <c s="125">
        <f>Предпосылки!AL$237*Предпосылки!$M264*Продажи!AM29*AM$19*(1+Чувствительность!$D$20)*IFERROR(LOOKUP(Предпосылки!$H$210,$C$13:$C$15,AM$13:AM$15),1)</f>
        <v>0</v>
      </c>
      <c s="125">
        <f>Предпосылки!AM$237*Предпосылки!$M264*Продажи!AN29*AN$19*(1+Чувствительность!$D$20)*IFERROR(LOOKUP(Предпосылки!$H$210,$C$13:$C$15,AN$13:AN$15),1)</f>
        <v>0</v>
      </c>
      <c s="125">
        <f>Предпосылки!AN$237*Предпосылки!$M264*Продажи!AO29*AO$19*(1+Чувствительность!$D$20)*IFERROR(LOOKUP(Предпосылки!$H$210,$C$13:$C$15,AO$13:AO$15),1)</f>
        <v>0</v>
      </c>
      <c s="125">
        <f>Предпосылки!AO$237*Предпосылки!$M264*Продажи!AP29*AP$19*(1+Чувствительность!$D$20)*IFERROR(LOOKUP(Предпосылки!$H$210,$C$13:$C$15,AP$13:AP$15),1)</f>
        <v>0</v>
      </c>
      <c s="125">
        <f>Предпосылки!AP$237*Предпосылки!$M264*Продажи!AQ29*AQ$19*(1+Чувствительность!$D$20)*IFERROR(LOOKUP(Предпосылки!$H$210,$C$13:$C$15,AQ$13:AQ$15),1)</f>
        <v>0</v>
      </c>
      <c s="125">
        <f>Предпосылки!AQ$237*Предпосылки!$M264*Продажи!AR29*AR$19*(1+Чувствительность!$D$20)*IFERROR(LOOKUP(Предпосылки!$H$210,$C$13:$C$15,AR$13:AR$15),1)</f>
        <v>0</v>
      </c>
      <c s="125">
        <f>Предпосылки!AR$237*Предпосылки!$M264*Продажи!AS29*AS$19*(1+Чувствительность!$D$20)*IFERROR(LOOKUP(Предпосылки!$H$210,$C$13:$C$15,AS$13:AS$15),1)</f>
        <v>0</v>
      </c>
      <c s="125">
        <f>Предпосылки!AS$237*Предпосылки!$M264*Продажи!AT29*AT$19*(1+Чувствительность!$D$20)*IFERROR(LOOKUP(Предпосылки!$H$210,$C$13:$C$15,AT$13:AT$15),1)</f>
        <v>0</v>
      </c>
      <c s="125">
        <f>Предпосылки!AT$237*Предпосылки!$M264*Продажи!AU29*AU$19*(1+Чувствительность!$D$20)*IFERROR(LOOKUP(Предпосылки!$H$210,$C$13:$C$15,AU$13:AU$15),1)</f>
        <v>0</v>
      </c>
      <c s="125">
        <f>Предпосылки!AU$237*Предпосылки!$M264*Продажи!AV29*AV$19*(1+Чувствительность!$D$20)*IFERROR(LOOKUP(Предпосылки!$H$210,$C$13:$C$15,AV$13:AV$15),1)</f>
        <v>0</v>
      </c>
      <c s="125">
        <f>Предпосылки!AV$237*Предпосылки!$M264*Продажи!AW29*AW$19*(1+Чувствительность!$D$20)*IFERROR(LOOKUP(Предпосылки!$H$210,$C$13:$C$15,AW$13:AW$15),1)</f>
        <v>0</v>
      </c>
      <c s="125">
        <f>Предпосылки!AW$237*Предпосылки!$M264*Продажи!AX29*AX$19*(1+Чувствительность!$D$20)*IFERROR(LOOKUP(Предпосылки!$H$210,$C$13:$C$15,AX$13:AX$15),1)</f>
        <v>0</v>
      </c>
      <c s="125">
        <f>Предпосылки!AX$237*Предпосылки!$M264*Продажи!AY29*AY$19*(1+Чувствительность!$D$20)*IFERROR(LOOKUP(Предпосылки!$H$210,$C$13:$C$15,AY$13:AY$15),1)</f>
        <v>0</v>
      </c>
      <c s="125">
        <f>Предпосылки!AY$237*Предпосылки!$M264*Продажи!AZ29*AZ$19*(1+Чувствительность!$D$20)*IFERROR(LOOKUP(Предпосылки!$H$210,$C$13:$C$15,AZ$13:AZ$15),1)</f>
        <v>0</v>
      </c>
      <c s="125">
        <f>Предпосылки!AZ$237*Предпосылки!$M264*Продажи!BA29*BA$19*(1+Чувствительность!$D$20)*IFERROR(LOOKUP(Предпосылки!$H$210,$C$13:$C$15,BA$13:BA$15),1)</f>
        <v>0</v>
      </c>
      <c s="125">
        <f>Предпосылки!BA$237*Предпосылки!$M264*Продажи!BB29*BB$19*(1+Чувствительность!$D$20)*IFERROR(LOOKUP(Предпосылки!$H$210,$C$13:$C$15,BB$13:BB$15),1)</f>
        <v>0</v>
      </c>
      <c s="125">
        <f>Предпосылки!BB$237*Предпосылки!$M264*Продажи!BC29*BC$19*(1+Чувствительность!$D$20)*IFERROR(LOOKUP(Предпосылки!$H$210,$C$13:$C$15,BC$13:BC$15),1)</f>
        <v>0</v>
      </c>
      <c s="125">
        <f>Предпосылки!BC$237*Предпосылки!$M264*Продажи!BD29*BD$19*(1+Чувствительность!$D$20)*IFERROR(LOOKUP(Предпосылки!$H$210,$C$13:$C$15,BD$13:BD$15),1)</f>
        <v>0</v>
      </c>
      <c s="125">
        <f>Предпосылки!BD$237*Предпосылки!$M264*Продажи!BE29*BE$19*(1+Чувствительность!$D$20)*IFERROR(LOOKUP(Предпосылки!$H$210,$C$13:$C$15,BE$13:BE$15),1)</f>
        <v>0</v>
      </c>
      <c s="125">
        <f>Предпосылки!BE$237*Предпосылки!$M264*Продажи!BF29*BF$19*(1+Чувствительность!$D$20)*IFERROR(LOOKUP(Предпосылки!$H$210,$C$13:$C$15,BF$13:BF$15),1)</f>
        <v>0</v>
      </c>
      <c s="125">
        <f>Предпосылки!BF$237*Предпосылки!$M264*Продажи!BG29*BG$19*(1+Чувствительность!$D$20)*IFERROR(LOOKUP(Предпосылки!$H$210,$C$13:$C$15,BG$13:BG$15),1)</f>
        <v>0</v>
      </c>
      <c s="125">
        <f>Предпосылки!BG$237*Предпосылки!$M264*Продажи!BH29*BH$19*(1+Чувствительность!$D$20)*IFERROR(LOOKUP(Предпосылки!$H$210,$C$13:$C$15,BH$13:BH$15),1)</f>
        <v>0</v>
      </c>
      <c s="125">
        <f>Предпосылки!BH$237*Предпосылки!$M264*Продажи!BI29*BI$19*(1+Чувствительность!$D$20)*IFERROR(LOOKUP(Предпосылки!$H$210,$C$13:$C$15,BI$13:BI$15),1)</f>
        <v>0</v>
      </c>
      <c s="125">
        <f>Предпосылки!BI$237*Предпосылки!$M264*Продажи!BJ29*BJ$19*(1+Чувствительность!$D$20)*IFERROR(LOOKUP(Предпосылки!$H$210,$C$13:$C$15,BJ$13:BJ$15),1)</f>
        <v>0</v>
      </c>
      <c s="125">
        <f>Предпосылки!BJ$237*Предпосылки!$M264*Продажи!BK29*BK$19*(1+Чувствительность!$D$20)*IFERROR(LOOKUP(Предпосылки!$H$210,$C$13:$C$15,BK$13:BK$15),1)</f>
        <v>0</v>
      </c>
      <c s="125">
        <f>Предпосылки!BK$237*Предпосылки!$M264*Продажи!BL29*BL$19*(1+Чувствительность!$D$20)*IFERROR(LOOKUP(Предпосылки!$H$210,$C$13:$C$15,BL$13:BL$15),1)</f>
        <v>0</v>
      </c>
      <c s="125">
        <f>Предпосылки!BL$237*Предпосылки!$M264*Продажи!BM29*BM$19*(1+Чувствительность!$D$20)*IFERROR(LOOKUP(Предпосылки!$H$210,$C$13:$C$15,BM$13:BM$15),1)</f>
        <v>0</v>
      </c>
    </row>
    <row r="242" spans="2:65" ht="15" customHeight="1">
      <c r="B242" s="12" t="str">
        <f t="shared" si="106"/>
        <v>Продукт 13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Предпосылки!D$237*Предпосылки!$M265*Продажи!E30*E$19*(1+Чувствительность!$D$20)*IFERROR(LOOKUP(Предпосылки!$H$210,$C$13:$C$15,E$13:E$15),1)</f>
        <v>0</v>
      </c>
      <c s="125">
        <f>Предпосылки!E$237*Предпосылки!$M265*Продажи!F30*F$19*(1+Чувствительность!$D$20)*IFERROR(LOOKUP(Предпосылки!$H$210,$C$13:$C$15,F$13:F$15),1)</f>
        <v>0</v>
      </c>
      <c s="125">
        <f>Предпосылки!F$237*Предпосылки!$M265*Продажи!G30*G$19*(1+Чувствительность!$D$20)*IFERROR(LOOKUP(Предпосылки!$H$210,$C$13:$C$15,G$13:G$15),1)</f>
        <v>0</v>
      </c>
      <c s="125">
        <f>Предпосылки!G$237*Предпосылки!$M265*Продажи!H30*H$19*(1+Чувствительность!$D$20)*IFERROR(LOOKUP(Предпосылки!$H$210,$C$13:$C$15,H$13:H$15),1)</f>
        <v>0</v>
      </c>
      <c s="125">
        <f>Предпосылки!H$237*Предпосылки!$M265*Продажи!I30*I$19*(1+Чувствительность!$D$20)*IFERROR(LOOKUP(Предпосылки!$H$210,$C$13:$C$15,I$13:I$15),1)</f>
        <v>0</v>
      </c>
      <c s="125">
        <f>Предпосылки!I$237*Предпосылки!$M265*Продажи!J30*J$19*(1+Чувствительность!$D$20)*IFERROR(LOOKUP(Предпосылки!$H$210,$C$13:$C$15,J$13:J$15),1)</f>
        <v>0</v>
      </c>
      <c s="125">
        <f>Предпосылки!J$237*Предпосылки!$M265*Продажи!K30*K$19*(1+Чувствительность!$D$20)*IFERROR(LOOKUP(Предпосылки!$H$210,$C$13:$C$15,K$13:K$15),1)</f>
        <v>0</v>
      </c>
      <c s="125">
        <f>Предпосылки!K$237*Предпосылки!$M265*Продажи!L30*L$19*(1+Чувствительность!$D$20)*IFERROR(LOOKUP(Предпосылки!$H$210,$C$13:$C$15,L$13:L$15),1)</f>
        <v>0</v>
      </c>
      <c s="125">
        <f>Предпосылки!L$237*Предпосылки!$M265*Продажи!M30*M$19*(1+Чувствительность!$D$20)*IFERROR(LOOKUP(Предпосылки!$H$210,$C$13:$C$15,M$13:M$15),1)</f>
        <v>0</v>
      </c>
      <c s="125">
        <f>Предпосылки!M$237*Предпосылки!$M265*Продажи!N30*N$19*(1+Чувствительность!$D$20)*IFERROR(LOOKUP(Предпосылки!$H$210,$C$13:$C$15,N$13:N$15),1)</f>
        <v>0</v>
      </c>
      <c s="125">
        <f>Предпосылки!N$237*Предпосылки!$M265*Продажи!O30*O$19*(1+Чувствительность!$D$20)*IFERROR(LOOKUP(Предпосылки!$H$210,$C$13:$C$15,O$13:O$15),1)</f>
        <v>0</v>
      </c>
      <c s="125">
        <f>Предпосылки!O$237*Предпосылки!$M265*Продажи!P30*P$19*(1+Чувствительность!$D$20)*IFERROR(LOOKUP(Предпосылки!$H$210,$C$13:$C$15,P$13:P$15),1)</f>
        <v>0</v>
      </c>
      <c s="125">
        <f>Предпосылки!P$237*Предпосылки!$M265*Продажи!Q30*Q$19*(1+Чувствительность!$D$20)*IFERROR(LOOKUP(Предпосылки!$H$210,$C$13:$C$15,Q$13:Q$15),1)</f>
        <v>0</v>
      </c>
      <c s="125">
        <f>Предпосылки!Q$237*Предпосылки!$M265*Продажи!R30*R$19*(1+Чувствительность!$D$20)*IFERROR(LOOKUP(Предпосылки!$H$210,$C$13:$C$15,R$13:R$15),1)</f>
        <v>0</v>
      </c>
      <c s="125">
        <f>Предпосылки!R$237*Предпосылки!$M265*Продажи!S30*S$19*(1+Чувствительность!$D$20)*IFERROR(LOOKUP(Предпосылки!$H$210,$C$13:$C$15,S$13:S$15),1)</f>
        <v>0</v>
      </c>
      <c s="125">
        <f>Предпосылки!S$237*Предпосылки!$M265*Продажи!T30*T$19*(1+Чувствительность!$D$20)*IFERROR(LOOKUP(Предпосылки!$H$210,$C$13:$C$15,T$13:T$15),1)</f>
        <v>0</v>
      </c>
      <c s="125">
        <f>Предпосылки!T$237*Предпосылки!$M265*Продажи!U30*U$19*(1+Чувствительность!$D$20)*IFERROR(LOOKUP(Предпосылки!$H$210,$C$13:$C$15,U$13:U$15),1)</f>
        <v>0</v>
      </c>
      <c s="125">
        <f>Предпосылки!U$237*Предпосылки!$M265*Продажи!V30*V$19*(1+Чувствительность!$D$20)*IFERROR(LOOKUP(Предпосылки!$H$210,$C$13:$C$15,V$13:V$15),1)</f>
        <v>0</v>
      </c>
      <c s="125">
        <f>Предпосылки!V$237*Предпосылки!$M265*Продажи!W30*W$19*(1+Чувствительность!$D$20)*IFERROR(LOOKUP(Предпосылки!$H$210,$C$13:$C$15,W$13:W$15),1)</f>
        <v>0</v>
      </c>
      <c s="125">
        <f>Предпосылки!W$237*Предпосылки!$M265*Продажи!X30*X$19*(1+Чувствительность!$D$20)*IFERROR(LOOKUP(Предпосылки!$H$210,$C$13:$C$15,X$13:X$15),1)</f>
        <v>0</v>
      </c>
      <c s="125">
        <f>Предпосылки!X$237*Предпосылки!$M265*Продажи!Y30*Y$19*(1+Чувствительность!$D$20)*IFERROR(LOOKUP(Предпосылки!$H$210,$C$13:$C$15,Y$13:Y$15),1)</f>
        <v>0</v>
      </c>
      <c s="125">
        <f>Предпосылки!Y$237*Предпосылки!$M265*Продажи!Z30*Z$19*(1+Чувствительность!$D$20)*IFERROR(LOOKUP(Предпосылки!$H$210,$C$13:$C$15,Z$13:Z$15),1)</f>
        <v>0</v>
      </c>
      <c s="125">
        <f>Предпосылки!Z$237*Предпосылки!$M265*Продажи!AA30*AA$19*(1+Чувствительность!$D$20)*IFERROR(LOOKUP(Предпосылки!$H$210,$C$13:$C$15,AA$13:AA$15),1)</f>
        <v>0</v>
      </c>
      <c s="125">
        <f>Предпосылки!AA$237*Предпосылки!$M265*Продажи!AB30*AB$19*(1+Чувствительность!$D$20)*IFERROR(LOOKUP(Предпосылки!$H$210,$C$13:$C$15,AB$13:AB$15),1)</f>
        <v>0</v>
      </c>
      <c s="125">
        <f>Предпосылки!AB$237*Предпосылки!$M265*Продажи!AC30*AC$19*(1+Чувствительность!$D$20)*IFERROR(LOOKUP(Предпосылки!$H$210,$C$13:$C$15,AC$13:AC$15),1)</f>
        <v>0</v>
      </c>
      <c s="125">
        <f>Предпосылки!AC$237*Предпосылки!$M265*Продажи!AD30*AD$19*(1+Чувствительность!$D$20)*IFERROR(LOOKUP(Предпосылки!$H$210,$C$13:$C$15,AD$13:AD$15),1)</f>
        <v>0</v>
      </c>
      <c s="125">
        <f>Предпосылки!AD$237*Предпосылки!$M265*Продажи!AE30*AE$19*(1+Чувствительность!$D$20)*IFERROR(LOOKUP(Предпосылки!$H$210,$C$13:$C$15,AE$13:AE$15),1)</f>
        <v>0</v>
      </c>
      <c s="125">
        <f>Предпосылки!AE$237*Предпосылки!$M265*Продажи!AF30*AF$19*(1+Чувствительность!$D$20)*IFERROR(LOOKUP(Предпосылки!$H$210,$C$13:$C$15,AF$13:AF$15),1)</f>
        <v>0</v>
      </c>
      <c s="125">
        <f>Предпосылки!AF$237*Предпосылки!$M265*Продажи!AG30*AG$19*(1+Чувствительность!$D$20)*IFERROR(LOOKUP(Предпосылки!$H$210,$C$13:$C$15,AG$13:AG$15),1)</f>
        <v>0</v>
      </c>
      <c s="125">
        <f>Предпосылки!AG$237*Предпосылки!$M265*Продажи!AH30*AH$19*(1+Чувствительность!$D$20)*IFERROR(LOOKUP(Предпосылки!$H$210,$C$13:$C$15,AH$13:AH$15),1)</f>
        <v>0</v>
      </c>
      <c s="125">
        <f>Предпосылки!AH$237*Предпосылки!$M265*Продажи!AI30*AI$19*(1+Чувствительность!$D$20)*IFERROR(LOOKUP(Предпосылки!$H$210,$C$13:$C$15,AI$13:AI$15),1)</f>
        <v>0</v>
      </c>
      <c s="125">
        <f>Предпосылки!AI$237*Предпосылки!$M265*Продажи!AJ30*AJ$19*(1+Чувствительность!$D$20)*IFERROR(LOOKUP(Предпосылки!$H$210,$C$13:$C$15,AJ$13:AJ$15),1)</f>
        <v>0</v>
      </c>
      <c s="125">
        <f>Предпосылки!AJ$237*Предпосылки!$M265*Продажи!AK30*AK$19*(1+Чувствительность!$D$20)*IFERROR(LOOKUP(Предпосылки!$H$210,$C$13:$C$15,AK$13:AK$15),1)</f>
        <v>0</v>
      </c>
      <c s="125">
        <f>Предпосылки!AK$237*Предпосылки!$M265*Продажи!AL30*AL$19*(1+Чувствительность!$D$20)*IFERROR(LOOKUP(Предпосылки!$H$210,$C$13:$C$15,AL$13:AL$15),1)</f>
        <v>0</v>
      </c>
      <c s="125">
        <f>Предпосылки!AL$237*Предпосылки!$M265*Продажи!AM30*AM$19*(1+Чувствительность!$D$20)*IFERROR(LOOKUP(Предпосылки!$H$210,$C$13:$C$15,AM$13:AM$15),1)</f>
        <v>0</v>
      </c>
      <c s="125">
        <f>Предпосылки!AM$237*Предпосылки!$M265*Продажи!AN30*AN$19*(1+Чувствительность!$D$20)*IFERROR(LOOKUP(Предпосылки!$H$210,$C$13:$C$15,AN$13:AN$15),1)</f>
        <v>0</v>
      </c>
      <c s="125">
        <f>Предпосылки!AN$237*Предпосылки!$M265*Продажи!AO30*AO$19*(1+Чувствительность!$D$20)*IFERROR(LOOKUP(Предпосылки!$H$210,$C$13:$C$15,AO$13:AO$15),1)</f>
        <v>0</v>
      </c>
      <c s="125">
        <f>Предпосылки!AO$237*Предпосылки!$M265*Продажи!AP30*AP$19*(1+Чувствительность!$D$20)*IFERROR(LOOKUP(Предпосылки!$H$210,$C$13:$C$15,AP$13:AP$15),1)</f>
        <v>0</v>
      </c>
      <c s="125">
        <f>Предпосылки!AP$237*Предпосылки!$M265*Продажи!AQ30*AQ$19*(1+Чувствительность!$D$20)*IFERROR(LOOKUP(Предпосылки!$H$210,$C$13:$C$15,AQ$13:AQ$15),1)</f>
        <v>0</v>
      </c>
      <c s="125">
        <f>Предпосылки!AQ$237*Предпосылки!$M265*Продажи!AR30*AR$19*(1+Чувствительность!$D$20)*IFERROR(LOOKUP(Предпосылки!$H$210,$C$13:$C$15,AR$13:AR$15),1)</f>
        <v>0</v>
      </c>
      <c s="125">
        <f>Предпосылки!AR$237*Предпосылки!$M265*Продажи!AS30*AS$19*(1+Чувствительность!$D$20)*IFERROR(LOOKUP(Предпосылки!$H$210,$C$13:$C$15,AS$13:AS$15),1)</f>
        <v>0</v>
      </c>
      <c s="125">
        <f>Предпосылки!AS$237*Предпосылки!$M265*Продажи!AT30*AT$19*(1+Чувствительность!$D$20)*IFERROR(LOOKUP(Предпосылки!$H$210,$C$13:$C$15,AT$13:AT$15),1)</f>
        <v>0</v>
      </c>
      <c s="125">
        <f>Предпосылки!AT$237*Предпосылки!$M265*Продажи!AU30*AU$19*(1+Чувствительность!$D$20)*IFERROR(LOOKUP(Предпосылки!$H$210,$C$13:$C$15,AU$13:AU$15),1)</f>
        <v>0</v>
      </c>
      <c s="125">
        <f>Предпосылки!AU$237*Предпосылки!$M265*Продажи!AV30*AV$19*(1+Чувствительность!$D$20)*IFERROR(LOOKUP(Предпосылки!$H$210,$C$13:$C$15,AV$13:AV$15),1)</f>
        <v>0</v>
      </c>
      <c s="125">
        <f>Предпосылки!AV$237*Предпосылки!$M265*Продажи!AW30*AW$19*(1+Чувствительность!$D$20)*IFERROR(LOOKUP(Предпосылки!$H$210,$C$13:$C$15,AW$13:AW$15),1)</f>
        <v>0</v>
      </c>
      <c s="125">
        <f>Предпосылки!AW$237*Предпосылки!$M265*Продажи!AX30*AX$19*(1+Чувствительность!$D$20)*IFERROR(LOOKUP(Предпосылки!$H$210,$C$13:$C$15,AX$13:AX$15),1)</f>
        <v>0</v>
      </c>
      <c s="125">
        <f>Предпосылки!AX$237*Предпосылки!$M265*Продажи!AY30*AY$19*(1+Чувствительность!$D$20)*IFERROR(LOOKUP(Предпосылки!$H$210,$C$13:$C$15,AY$13:AY$15),1)</f>
        <v>0</v>
      </c>
      <c s="125">
        <f>Предпосылки!AY$237*Предпосылки!$M265*Продажи!AZ30*AZ$19*(1+Чувствительность!$D$20)*IFERROR(LOOKUP(Предпосылки!$H$210,$C$13:$C$15,AZ$13:AZ$15),1)</f>
        <v>0</v>
      </c>
      <c s="125">
        <f>Предпосылки!AZ$237*Предпосылки!$M265*Продажи!BA30*BA$19*(1+Чувствительность!$D$20)*IFERROR(LOOKUP(Предпосылки!$H$210,$C$13:$C$15,BA$13:BA$15),1)</f>
        <v>0</v>
      </c>
      <c s="125">
        <f>Предпосылки!BA$237*Предпосылки!$M265*Продажи!BB30*BB$19*(1+Чувствительность!$D$20)*IFERROR(LOOKUP(Предпосылки!$H$210,$C$13:$C$15,BB$13:BB$15),1)</f>
        <v>0</v>
      </c>
      <c s="125">
        <f>Предпосылки!BB$237*Предпосылки!$M265*Продажи!BC30*BC$19*(1+Чувствительность!$D$20)*IFERROR(LOOKUP(Предпосылки!$H$210,$C$13:$C$15,BC$13:BC$15),1)</f>
        <v>0</v>
      </c>
      <c s="125">
        <f>Предпосылки!BC$237*Предпосылки!$M265*Продажи!BD30*BD$19*(1+Чувствительность!$D$20)*IFERROR(LOOKUP(Предпосылки!$H$210,$C$13:$C$15,BD$13:BD$15),1)</f>
        <v>0</v>
      </c>
      <c s="125">
        <f>Предпосылки!BD$237*Предпосылки!$M265*Продажи!BE30*BE$19*(1+Чувствительность!$D$20)*IFERROR(LOOKUP(Предпосылки!$H$210,$C$13:$C$15,BE$13:BE$15),1)</f>
        <v>0</v>
      </c>
      <c s="125">
        <f>Предпосылки!BE$237*Предпосылки!$M265*Продажи!BF30*BF$19*(1+Чувствительность!$D$20)*IFERROR(LOOKUP(Предпосылки!$H$210,$C$13:$C$15,BF$13:BF$15),1)</f>
        <v>0</v>
      </c>
      <c s="125">
        <f>Предпосылки!BF$237*Предпосылки!$M265*Продажи!BG30*BG$19*(1+Чувствительность!$D$20)*IFERROR(LOOKUP(Предпосылки!$H$210,$C$13:$C$15,BG$13:BG$15),1)</f>
        <v>0</v>
      </c>
      <c s="125">
        <f>Предпосылки!BG$237*Предпосылки!$M265*Продажи!BH30*BH$19*(1+Чувствительность!$D$20)*IFERROR(LOOKUP(Предпосылки!$H$210,$C$13:$C$15,BH$13:BH$15),1)</f>
        <v>0</v>
      </c>
      <c s="125">
        <f>Предпосылки!BH$237*Предпосылки!$M265*Продажи!BI30*BI$19*(1+Чувствительность!$D$20)*IFERROR(LOOKUP(Предпосылки!$H$210,$C$13:$C$15,BI$13:BI$15),1)</f>
        <v>0</v>
      </c>
      <c s="125">
        <f>Предпосылки!BI$237*Предпосылки!$M265*Продажи!BJ30*BJ$19*(1+Чувствительность!$D$20)*IFERROR(LOOKUP(Предпосылки!$H$210,$C$13:$C$15,BJ$13:BJ$15),1)</f>
        <v>0</v>
      </c>
      <c s="125">
        <f>Предпосылки!BJ$237*Предпосылки!$M265*Продажи!BK30*BK$19*(1+Чувствительность!$D$20)*IFERROR(LOOKUP(Предпосылки!$H$210,$C$13:$C$15,BK$13:BK$15),1)</f>
        <v>0</v>
      </c>
      <c s="125">
        <f>Предпосылки!BK$237*Предпосылки!$M265*Продажи!BL30*BL$19*(1+Чувствительность!$D$20)*IFERROR(LOOKUP(Предпосылки!$H$210,$C$13:$C$15,BL$13:BL$15),1)</f>
        <v>0</v>
      </c>
      <c s="125">
        <f>Предпосылки!BL$237*Предпосылки!$M265*Продажи!BM30*BM$19*(1+Чувствительность!$D$20)*IFERROR(LOOKUP(Предпосылки!$H$210,$C$13:$C$15,BM$13:BM$15),1)</f>
        <v>0</v>
      </c>
    </row>
    <row r="243" spans="2:65" ht="15" customHeight="1">
      <c r="B243" s="12" t="str">
        <f t="shared" si="106"/>
        <v>Продукт 14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Предпосылки!D$237*Предпосылки!$M266*Продажи!E31*E$19*(1+Чувствительность!$D$20)*IFERROR(LOOKUP(Предпосылки!$H$210,$C$13:$C$15,E$13:E$15),1)</f>
        <v>0</v>
      </c>
      <c s="125">
        <f>Предпосылки!E$237*Предпосылки!$M266*Продажи!F31*F$19*(1+Чувствительность!$D$20)*IFERROR(LOOKUP(Предпосылки!$H$210,$C$13:$C$15,F$13:F$15),1)</f>
        <v>0</v>
      </c>
      <c s="125">
        <f>Предпосылки!F$237*Предпосылки!$M266*Продажи!G31*G$19*(1+Чувствительность!$D$20)*IFERROR(LOOKUP(Предпосылки!$H$210,$C$13:$C$15,G$13:G$15),1)</f>
        <v>0</v>
      </c>
      <c s="125">
        <f>Предпосылки!G$237*Предпосылки!$M266*Продажи!H31*H$19*(1+Чувствительность!$D$20)*IFERROR(LOOKUP(Предпосылки!$H$210,$C$13:$C$15,H$13:H$15),1)</f>
        <v>0</v>
      </c>
      <c s="125">
        <f>Предпосылки!H$237*Предпосылки!$M266*Продажи!I31*I$19*(1+Чувствительность!$D$20)*IFERROR(LOOKUP(Предпосылки!$H$210,$C$13:$C$15,I$13:I$15),1)</f>
        <v>0</v>
      </c>
      <c s="125">
        <f>Предпосылки!I$237*Предпосылки!$M266*Продажи!J31*J$19*(1+Чувствительность!$D$20)*IFERROR(LOOKUP(Предпосылки!$H$210,$C$13:$C$15,J$13:J$15),1)</f>
        <v>0</v>
      </c>
      <c s="125">
        <f>Предпосылки!J$237*Предпосылки!$M266*Продажи!K31*K$19*(1+Чувствительность!$D$20)*IFERROR(LOOKUP(Предпосылки!$H$210,$C$13:$C$15,K$13:K$15),1)</f>
        <v>0</v>
      </c>
      <c s="125">
        <f>Предпосылки!K$237*Предпосылки!$M266*Продажи!L31*L$19*(1+Чувствительность!$D$20)*IFERROR(LOOKUP(Предпосылки!$H$210,$C$13:$C$15,L$13:L$15),1)</f>
        <v>0</v>
      </c>
      <c s="125">
        <f>Предпосылки!L$237*Предпосылки!$M266*Продажи!M31*M$19*(1+Чувствительность!$D$20)*IFERROR(LOOKUP(Предпосылки!$H$210,$C$13:$C$15,M$13:M$15),1)</f>
        <v>0</v>
      </c>
      <c s="125">
        <f>Предпосылки!M$237*Предпосылки!$M266*Продажи!N31*N$19*(1+Чувствительность!$D$20)*IFERROR(LOOKUP(Предпосылки!$H$210,$C$13:$C$15,N$13:N$15),1)</f>
        <v>0</v>
      </c>
      <c s="125">
        <f>Предпосылки!N$237*Предпосылки!$M266*Продажи!O31*O$19*(1+Чувствительность!$D$20)*IFERROR(LOOKUP(Предпосылки!$H$210,$C$13:$C$15,O$13:O$15),1)</f>
        <v>0</v>
      </c>
      <c s="125">
        <f>Предпосылки!O$237*Предпосылки!$M266*Продажи!P31*P$19*(1+Чувствительность!$D$20)*IFERROR(LOOKUP(Предпосылки!$H$210,$C$13:$C$15,P$13:P$15),1)</f>
        <v>0</v>
      </c>
      <c s="125">
        <f>Предпосылки!P$237*Предпосылки!$M266*Продажи!Q31*Q$19*(1+Чувствительность!$D$20)*IFERROR(LOOKUP(Предпосылки!$H$210,$C$13:$C$15,Q$13:Q$15),1)</f>
        <v>0</v>
      </c>
      <c s="125">
        <f>Предпосылки!Q$237*Предпосылки!$M266*Продажи!R31*R$19*(1+Чувствительность!$D$20)*IFERROR(LOOKUP(Предпосылки!$H$210,$C$13:$C$15,R$13:R$15),1)</f>
        <v>0</v>
      </c>
      <c s="125">
        <f>Предпосылки!R$237*Предпосылки!$M266*Продажи!S31*S$19*(1+Чувствительность!$D$20)*IFERROR(LOOKUP(Предпосылки!$H$210,$C$13:$C$15,S$13:S$15),1)</f>
        <v>0</v>
      </c>
      <c s="125">
        <f>Предпосылки!S$237*Предпосылки!$M266*Продажи!T31*T$19*(1+Чувствительность!$D$20)*IFERROR(LOOKUP(Предпосылки!$H$210,$C$13:$C$15,T$13:T$15),1)</f>
        <v>0</v>
      </c>
      <c s="125">
        <f>Предпосылки!T$237*Предпосылки!$M266*Продажи!U31*U$19*(1+Чувствительность!$D$20)*IFERROR(LOOKUP(Предпосылки!$H$210,$C$13:$C$15,U$13:U$15),1)</f>
        <v>0</v>
      </c>
      <c s="125">
        <f>Предпосылки!U$237*Предпосылки!$M266*Продажи!V31*V$19*(1+Чувствительность!$D$20)*IFERROR(LOOKUP(Предпосылки!$H$210,$C$13:$C$15,V$13:V$15),1)</f>
        <v>0</v>
      </c>
      <c s="125">
        <f>Предпосылки!V$237*Предпосылки!$M266*Продажи!W31*W$19*(1+Чувствительность!$D$20)*IFERROR(LOOKUP(Предпосылки!$H$210,$C$13:$C$15,W$13:W$15),1)</f>
        <v>0</v>
      </c>
      <c s="125">
        <f>Предпосылки!W$237*Предпосылки!$M266*Продажи!X31*X$19*(1+Чувствительность!$D$20)*IFERROR(LOOKUP(Предпосылки!$H$210,$C$13:$C$15,X$13:X$15),1)</f>
        <v>0</v>
      </c>
      <c s="125">
        <f>Предпосылки!X$237*Предпосылки!$M266*Продажи!Y31*Y$19*(1+Чувствительность!$D$20)*IFERROR(LOOKUP(Предпосылки!$H$210,$C$13:$C$15,Y$13:Y$15),1)</f>
        <v>0</v>
      </c>
      <c s="125">
        <f>Предпосылки!Y$237*Предпосылки!$M266*Продажи!Z31*Z$19*(1+Чувствительность!$D$20)*IFERROR(LOOKUP(Предпосылки!$H$210,$C$13:$C$15,Z$13:Z$15),1)</f>
        <v>0</v>
      </c>
      <c s="125">
        <f>Предпосылки!Z$237*Предпосылки!$M266*Продажи!AA31*AA$19*(1+Чувствительность!$D$20)*IFERROR(LOOKUP(Предпосылки!$H$210,$C$13:$C$15,AA$13:AA$15),1)</f>
        <v>0</v>
      </c>
      <c s="125">
        <f>Предпосылки!AA$237*Предпосылки!$M266*Продажи!AB31*AB$19*(1+Чувствительность!$D$20)*IFERROR(LOOKUP(Предпосылки!$H$210,$C$13:$C$15,AB$13:AB$15),1)</f>
        <v>0</v>
      </c>
      <c s="125">
        <f>Предпосылки!AB$237*Предпосылки!$M266*Продажи!AC31*AC$19*(1+Чувствительность!$D$20)*IFERROR(LOOKUP(Предпосылки!$H$210,$C$13:$C$15,AC$13:AC$15),1)</f>
        <v>0</v>
      </c>
      <c s="125">
        <f>Предпосылки!AC$237*Предпосылки!$M266*Продажи!AD31*AD$19*(1+Чувствительность!$D$20)*IFERROR(LOOKUP(Предпосылки!$H$210,$C$13:$C$15,AD$13:AD$15),1)</f>
        <v>0</v>
      </c>
      <c s="125">
        <f>Предпосылки!AD$237*Предпосылки!$M266*Продажи!AE31*AE$19*(1+Чувствительность!$D$20)*IFERROR(LOOKUP(Предпосылки!$H$210,$C$13:$C$15,AE$13:AE$15),1)</f>
        <v>0</v>
      </c>
      <c s="125">
        <f>Предпосылки!AE$237*Предпосылки!$M266*Продажи!AF31*AF$19*(1+Чувствительность!$D$20)*IFERROR(LOOKUP(Предпосылки!$H$210,$C$13:$C$15,AF$13:AF$15),1)</f>
        <v>0</v>
      </c>
      <c s="125">
        <f>Предпосылки!AF$237*Предпосылки!$M266*Продажи!AG31*AG$19*(1+Чувствительность!$D$20)*IFERROR(LOOKUP(Предпосылки!$H$210,$C$13:$C$15,AG$13:AG$15),1)</f>
        <v>0</v>
      </c>
      <c s="125">
        <f>Предпосылки!AG$237*Предпосылки!$M266*Продажи!AH31*AH$19*(1+Чувствительность!$D$20)*IFERROR(LOOKUP(Предпосылки!$H$210,$C$13:$C$15,AH$13:AH$15),1)</f>
        <v>0</v>
      </c>
      <c s="125">
        <f>Предпосылки!AH$237*Предпосылки!$M266*Продажи!AI31*AI$19*(1+Чувствительность!$D$20)*IFERROR(LOOKUP(Предпосылки!$H$210,$C$13:$C$15,AI$13:AI$15),1)</f>
        <v>0</v>
      </c>
      <c s="125">
        <f>Предпосылки!AI$237*Предпосылки!$M266*Продажи!AJ31*AJ$19*(1+Чувствительность!$D$20)*IFERROR(LOOKUP(Предпосылки!$H$210,$C$13:$C$15,AJ$13:AJ$15),1)</f>
        <v>0</v>
      </c>
      <c s="125">
        <f>Предпосылки!AJ$237*Предпосылки!$M266*Продажи!AK31*AK$19*(1+Чувствительность!$D$20)*IFERROR(LOOKUP(Предпосылки!$H$210,$C$13:$C$15,AK$13:AK$15),1)</f>
        <v>0</v>
      </c>
      <c s="125">
        <f>Предпосылки!AK$237*Предпосылки!$M266*Продажи!AL31*AL$19*(1+Чувствительность!$D$20)*IFERROR(LOOKUP(Предпосылки!$H$210,$C$13:$C$15,AL$13:AL$15),1)</f>
        <v>0</v>
      </c>
      <c s="125">
        <f>Предпосылки!AL$237*Предпосылки!$M266*Продажи!AM31*AM$19*(1+Чувствительность!$D$20)*IFERROR(LOOKUP(Предпосылки!$H$210,$C$13:$C$15,AM$13:AM$15),1)</f>
        <v>0</v>
      </c>
      <c s="125">
        <f>Предпосылки!AM$237*Предпосылки!$M266*Продажи!AN31*AN$19*(1+Чувствительность!$D$20)*IFERROR(LOOKUP(Предпосылки!$H$210,$C$13:$C$15,AN$13:AN$15),1)</f>
        <v>0</v>
      </c>
      <c s="125">
        <f>Предпосылки!AN$237*Предпосылки!$M266*Продажи!AO31*AO$19*(1+Чувствительность!$D$20)*IFERROR(LOOKUP(Предпосылки!$H$210,$C$13:$C$15,AO$13:AO$15),1)</f>
        <v>0</v>
      </c>
      <c s="125">
        <f>Предпосылки!AO$237*Предпосылки!$M266*Продажи!AP31*AP$19*(1+Чувствительность!$D$20)*IFERROR(LOOKUP(Предпосылки!$H$210,$C$13:$C$15,AP$13:AP$15),1)</f>
        <v>0</v>
      </c>
      <c s="125">
        <f>Предпосылки!AP$237*Предпосылки!$M266*Продажи!AQ31*AQ$19*(1+Чувствительность!$D$20)*IFERROR(LOOKUP(Предпосылки!$H$210,$C$13:$C$15,AQ$13:AQ$15),1)</f>
        <v>0</v>
      </c>
      <c s="125">
        <f>Предпосылки!AQ$237*Предпосылки!$M266*Продажи!AR31*AR$19*(1+Чувствительность!$D$20)*IFERROR(LOOKUP(Предпосылки!$H$210,$C$13:$C$15,AR$13:AR$15),1)</f>
        <v>0</v>
      </c>
      <c s="125">
        <f>Предпосылки!AR$237*Предпосылки!$M266*Продажи!AS31*AS$19*(1+Чувствительность!$D$20)*IFERROR(LOOKUP(Предпосылки!$H$210,$C$13:$C$15,AS$13:AS$15),1)</f>
        <v>0</v>
      </c>
      <c s="125">
        <f>Предпосылки!AS$237*Предпосылки!$M266*Продажи!AT31*AT$19*(1+Чувствительность!$D$20)*IFERROR(LOOKUP(Предпосылки!$H$210,$C$13:$C$15,AT$13:AT$15),1)</f>
        <v>0</v>
      </c>
      <c s="125">
        <f>Предпосылки!AT$237*Предпосылки!$M266*Продажи!AU31*AU$19*(1+Чувствительность!$D$20)*IFERROR(LOOKUP(Предпосылки!$H$210,$C$13:$C$15,AU$13:AU$15),1)</f>
        <v>0</v>
      </c>
      <c s="125">
        <f>Предпосылки!AU$237*Предпосылки!$M266*Продажи!AV31*AV$19*(1+Чувствительность!$D$20)*IFERROR(LOOKUP(Предпосылки!$H$210,$C$13:$C$15,AV$13:AV$15),1)</f>
        <v>0</v>
      </c>
      <c s="125">
        <f>Предпосылки!AV$237*Предпосылки!$M266*Продажи!AW31*AW$19*(1+Чувствительность!$D$20)*IFERROR(LOOKUP(Предпосылки!$H$210,$C$13:$C$15,AW$13:AW$15),1)</f>
        <v>0</v>
      </c>
      <c s="125">
        <f>Предпосылки!AW$237*Предпосылки!$M266*Продажи!AX31*AX$19*(1+Чувствительность!$D$20)*IFERROR(LOOKUP(Предпосылки!$H$210,$C$13:$C$15,AX$13:AX$15),1)</f>
        <v>0</v>
      </c>
      <c s="125">
        <f>Предпосылки!AX$237*Предпосылки!$M266*Продажи!AY31*AY$19*(1+Чувствительность!$D$20)*IFERROR(LOOKUP(Предпосылки!$H$210,$C$13:$C$15,AY$13:AY$15),1)</f>
        <v>0</v>
      </c>
      <c s="125">
        <f>Предпосылки!AY$237*Предпосылки!$M266*Продажи!AZ31*AZ$19*(1+Чувствительность!$D$20)*IFERROR(LOOKUP(Предпосылки!$H$210,$C$13:$C$15,AZ$13:AZ$15),1)</f>
        <v>0</v>
      </c>
      <c s="125">
        <f>Предпосылки!AZ$237*Предпосылки!$M266*Продажи!BA31*BA$19*(1+Чувствительность!$D$20)*IFERROR(LOOKUP(Предпосылки!$H$210,$C$13:$C$15,BA$13:BA$15),1)</f>
        <v>0</v>
      </c>
      <c s="125">
        <f>Предпосылки!BA$237*Предпосылки!$M266*Продажи!BB31*BB$19*(1+Чувствительность!$D$20)*IFERROR(LOOKUP(Предпосылки!$H$210,$C$13:$C$15,BB$13:BB$15),1)</f>
        <v>0</v>
      </c>
      <c s="125">
        <f>Предпосылки!BB$237*Предпосылки!$M266*Продажи!BC31*BC$19*(1+Чувствительность!$D$20)*IFERROR(LOOKUP(Предпосылки!$H$210,$C$13:$C$15,BC$13:BC$15),1)</f>
        <v>0</v>
      </c>
      <c s="125">
        <f>Предпосылки!BC$237*Предпосылки!$M266*Продажи!BD31*BD$19*(1+Чувствительность!$D$20)*IFERROR(LOOKUP(Предпосылки!$H$210,$C$13:$C$15,BD$13:BD$15),1)</f>
        <v>0</v>
      </c>
      <c s="125">
        <f>Предпосылки!BD$237*Предпосылки!$M266*Продажи!BE31*BE$19*(1+Чувствительность!$D$20)*IFERROR(LOOKUP(Предпосылки!$H$210,$C$13:$C$15,BE$13:BE$15),1)</f>
        <v>0</v>
      </c>
      <c s="125">
        <f>Предпосылки!BE$237*Предпосылки!$M266*Продажи!BF31*BF$19*(1+Чувствительность!$D$20)*IFERROR(LOOKUP(Предпосылки!$H$210,$C$13:$C$15,BF$13:BF$15),1)</f>
        <v>0</v>
      </c>
      <c s="125">
        <f>Предпосылки!BF$237*Предпосылки!$M266*Продажи!BG31*BG$19*(1+Чувствительность!$D$20)*IFERROR(LOOKUP(Предпосылки!$H$210,$C$13:$C$15,BG$13:BG$15),1)</f>
        <v>0</v>
      </c>
      <c s="125">
        <f>Предпосылки!BG$237*Предпосылки!$M266*Продажи!BH31*BH$19*(1+Чувствительность!$D$20)*IFERROR(LOOKUP(Предпосылки!$H$210,$C$13:$C$15,BH$13:BH$15),1)</f>
        <v>0</v>
      </c>
      <c s="125">
        <f>Предпосылки!BH$237*Предпосылки!$M266*Продажи!BI31*BI$19*(1+Чувствительность!$D$20)*IFERROR(LOOKUP(Предпосылки!$H$210,$C$13:$C$15,BI$13:BI$15),1)</f>
        <v>0</v>
      </c>
      <c s="125">
        <f>Предпосылки!BI$237*Предпосылки!$M266*Продажи!BJ31*BJ$19*(1+Чувствительность!$D$20)*IFERROR(LOOKUP(Предпосылки!$H$210,$C$13:$C$15,BJ$13:BJ$15),1)</f>
        <v>0</v>
      </c>
      <c s="125">
        <f>Предпосылки!BJ$237*Предпосылки!$M266*Продажи!BK31*BK$19*(1+Чувствительность!$D$20)*IFERROR(LOOKUP(Предпосылки!$H$210,$C$13:$C$15,BK$13:BK$15),1)</f>
        <v>0</v>
      </c>
      <c s="125">
        <f>Предпосылки!BK$237*Предпосылки!$M266*Продажи!BL31*BL$19*(1+Чувствительность!$D$20)*IFERROR(LOOKUP(Предпосылки!$H$210,$C$13:$C$15,BL$13:BL$15),1)</f>
        <v>0</v>
      </c>
      <c s="125">
        <f>Предпосылки!BL$237*Предпосылки!$M266*Продажи!BM31*BM$19*(1+Чувствительность!$D$20)*IFERROR(LOOKUP(Предпосылки!$H$210,$C$13:$C$15,BM$13:BM$15),1)</f>
        <v>0</v>
      </c>
    </row>
    <row r="244" spans="2:65" ht="15" customHeight="1">
      <c r="B244" s="12" t="str">
        <f t="shared" si="106"/>
        <v>Продукт 15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Предпосылки!D$237*Предпосылки!$M267*Продажи!E32*E$19*(1+Чувствительность!$D$20)*IFERROR(LOOKUP(Предпосылки!$H$210,$C$13:$C$15,E$13:E$15),1)</f>
        <v>0</v>
      </c>
      <c s="125">
        <f>Предпосылки!E$237*Предпосылки!$M267*Продажи!F32*F$19*(1+Чувствительность!$D$20)*IFERROR(LOOKUP(Предпосылки!$H$210,$C$13:$C$15,F$13:F$15),1)</f>
        <v>0</v>
      </c>
      <c s="125">
        <f>Предпосылки!F$237*Предпосылки!$M267*Продажи!G32*G$19*(1+Чувствительность!$D$20)*IFERROR(LOOKUP(Предпосылки!$H$210,$C$13:$C$15,G$13:G$15),1)</f>
        <v>0</v>
      </c>
      <c s="125">
        <f>Предпосылки!G$237*Предпосылки!$M267*Продажи!H32*H$19*(1+Чувствительность!$D$20)*IFERROR(LOOKUP(Предпосылки!$H$210,$C$13:$C$15,H$13:H$15),1)</f>
        <v>0</v>
      </c>
      <c s="125">
        <f>Предпосылки!H$237*Предпосылки!$M267*Продажи!I32*I$19*(1+Чувствительность!$D$20)*IFERROR(LOOKUP(Предпосылки!$H$210,$C$13:$C$15,I$13:I$15),1)</f>
        <v>0</v>
      </c>
      <c s="125">
        <f>Предпосылки!I$237*Предпосылки!$M267*Продажи!J32*J$19*(1+Чувствительность!$D$20)*IFERROR(LOOKUP(Предпосылки!$H$210,$C$13:$C$15,J$13:J$15),1)</f>
        <v>0</v>
      </c>
      <c s="125">
        <f>Предпосылки!J$237*Предпосылки!$M267*Продажи!K32*K$19*(1+Чувствительность!$D$20)*IFERROR(LOOKUP(Предпосылки!$H$210,$C$13:$C$15,K$13:K$15),1)</f>
        <v>0</v>
      </c>
      <c s="125">
        <f>Предпосылки!K$237*Предпосылки!$M267*Продажи!L32*L$19*(1+Чувствительность!$D$20)*IFERROR(LOOKUP(Предпосылки!$H$210,$C$13:$C$15,L$13:L$15),1)</f>
        <v>0</v>
      </c>
      <c s="125">
        <f>Предпосылки!L$237*Предпосылки!$M267*Продажи!M32*M$19*(1+Чувствительность!$D$20)*IFERROR(LOOKUP(Предпосылки!$H$210,$C$13:$C$15,M$13:M$15),1)</f>
        <v>0</v>
      </c>
      <c s="125">
        <f>Предпосылки!M$237*Предпосылки!$M267*Продажи!N32*N$19*(1+Чувствительность!$D$20)*IFERROR(LOOKUP(Предпосылки!$H$210,$C$13:$C$15,N$13:N$15),1)</f>
        <v>0</v>
      </c>
      <c s="125">
        <f>Предпосылки!N$237*Предпосылки!$M267*Продажи!O32*O$19*(1+Чувствительность!$D$20)*IFERROR(LOOKUP(Предпосылки!$H$210,$C$13:$C$15,O$13:O$15),1)</f>
        <v>0</v>
      </c>
      <c s="125">
        <f>Предпосылки!O$237*Предпосылки!$M267*Продажи!P32*P$19*(1+Чувствительность!$D$20)*IFERROR(LOOKUP(Предпосылки!$H$210,$C$13:$C$15,P$13:P$15),1)</f>
        <v>0</v>
      </c>
      <c s="125">
        <f>Предпосылки!P$237*Предпосылки!$M267*Продажи!Q32*Q$19*(1+Чувствительность!$D$20)*IFERROR(LOOKUP(Предпосылки!$H$210,$C$13:$C$15,Q$13:Q$15),1)</f>
        <v>0</v>
      </c>
      <c s="125">
        <f>Предпосылки!Q$237*Предпосылки!$M267*Продажи!R32*R$19*(1+Чувствительность!$D$20)*IFERROR(LOOKUP(Предпосылки!$H$210,$C$13:$C$15,R$13:R$15),1)</f>
        <v>0</v>
      </c>
      <c s="125">
        <f>Предпосылки!R$237*Предпосылки!$M267*Продажи!S32*S$19*(1+Чувствительность!$D$20)*IFERROR(LOOKUP(Предпосылки!$H$210,$C$13:$C$15,S$13:S$15),1)</f>
        <v>0</v>
      </c>
      <c s="125">
        <f>Предпосылки!S$237*Предпосылки!$M267*Продажи!T32*T$19*(1+Чувствительность!$D$20)*IFERROR(LOOKUP(Предпосылки!$H$210,$C$13:$C$15,T$13:T$15),1)</f>
        <v>0</v>
      </c>
      <c s="125">
        <f>Предпосылки!T$237*Предпосылки!$M267*Продажи!U32*U$19*(1+Чувствительность!$D$20)*IFERROR(LOOKUP(Предпосылки!$H$210,$C$13:$C$15,U$13:U$15),1)</f>
        <v>0</v>
      </c>
      <c s="125">
        <f>Предпосылки!U$237*Предпосылки!$M267*Продажи!V32*V$19*(1+Чувствительность!$D$20)*IFERROR(LOOKUP(Предпосылки!$H$210,$C$13:$C$15,V$13:V$15),1)</f>
        <v>0</v>
      </c>
      <c s="125">
        <f>Предпосылки!V$237*Предпосылки!$M267*Продажи!W32*W$19*(1+Чувствительность!$D$20)*IFERROR(LOOKUP(Предпосылки!$H$210,$C$13:$C$15,W$13:W$15),1)</f>
        <v>0</v>
      </c>
      <c s="125">
        <f>Предпосылки!W$237*Предпосылки!$M267*Продажи!X32*X$19*(1+Чувствительность!$D$20)*IFERROR(LOOKUP(Предпосылки!$H$210,$C$13:$C$15,X$13:X$15),1)</f>
        <v>0</v>
      </c>
      <c s="125">
        <f>Предпосылки!X$237*Предпосылки!$M267*Продажи!Y32*Y$19*(1+Чувствительность!$D$20)*IFERROR(LOOKUP(Предпосылки!$H$210,$C$13:$C$15,Y$13:Y$15),1)</f>
        <v>0</v>
      </c>
      <c s="125">
        <f>Предпосылки!Y$237*Предпосылки!$M267*Продажи!Z32*Z$19*(1+Чувствительность!$D$20)*IFERROR(LOOKUP(Предпосылки!$H$210,$C$13:$C$15,Z$13:Z$15),1)</f>
        <v>0</v>
      </c>
      <c s="125">
        <f>Предпосылки!Z$237*Предпосылки!$M267*Продажи!AA32*AA$19*(1+Чувствительность!$D$20)*IFERROR(LOOKUP(Предпосылки!$H$210,$C$13:$C$15,AA$13:AA$15),1)</f>
        <v>0</v>
      </c>
      <c s="125">
        <f>Предпосылки!AA$237*Предпосылки!$M267*Продажи!AB32*AB$19*(1+Чувствительность!$D$20)*IFERROR(LOOKUP(Предпосылки!$H$210,$C$13:$C$15,AB$13:AB$15),1)</f>
        <v>0</v>
      </c>
      <c s="125">
        <f>Предпосылки!AB$237*Предпосылки!$M267*Продажи!AC32*AC$19*(1+Чувствительность!$D$20)*IFERROR(LOOKUP(Предпосылки!$H$210,$C$13:$C$15,AC$13:AC$15),1)</f>
        <v>0</v>
      </c>
      <c s="125">
        <f>Предпосылки!AC$237*Предпосылки!$M267*Продажи!AD32*AD$19*(1+Чувствительность!$D$20)*IFERROR(LOOKUP(Предпосылки!$H$210,$C$13:$C$15,AD$13:AD$15),1)</f>
        <v>0</v>
      </c>
      <c s="125">
        <f>Предпосылки!AD$237*Предпосылки!$M267*Продажи!AE32*AE$19*(1+Чувствительность!$D$20)*IFERROR(LOOKUP(Предпосылки!$H$210,$C$13:$C$15,AE$13:AE$15),1)</f>
        <v>0</v>
      </c>
      <c s="125">
        <f>Предпосылки!AE$237*Предпосылки!$M267*Продажи!AF32*AF$19*(1+Чувствительность!$D$20)*IFERROR(LOOKUP(Предпосылки!$H$210,$C$13:$C$15,AF$13:AF$15),1)</f>
        <v>0</v>
      </c>
      <c s="125">
        <f>Предпосылки!AF$237*Предпосылки!$M267*Продажи!AG32*AG$19*(1+Чувствительность!$D$20)*IFERROR(LOOKUP(Предпосылки!$H$210,$C$13:$C$15,AG$13:AG$15),1)</f>
        <v>0</v>
      </c>
      <c s="125">
        <f>Предпосылки!AG$237*Предпосылки!$M267*Продажи!AH32*AH$19*(1+Чувствительность!$D$20)*IFERROR(LOOKUP(Предпосылки!$H$210,$C$13:$C$15,AH$13:AH$15),1)</f>
        <v>0</v>
      </c>
      <c s="125">
        <f>Предпосылки!AH$237*Предпосылки!$M267*Продажи!AI32*AI$19*(1+Чувствительность!$D$20)*IFERROR(LOOKUP(Предпосылки!$H$210,$C$13:$C$15,AI$13:AI$15),1)</f>
        <v>0</v>
      </c>
      <c s="125">
        <f>Предпосылки!AI$237*Предпосылки!$M267*Продажи!AJ32*AJ$19*(1+Чувствительность!$D$20)*IFERROR(LOOKUP(Предпосылки!$H$210,$C$13:$C$15,AJ$13:AJ$15),1)</f>
        <v>0</v>
      </c>
      <c s="125">
        <f>Предпосылки!AJ$237*Предпосылки!$M267*Продажи!AK32*AK$19*(1+Чувствительность!$D$20)*IFERROR(LOOKUP(Предпосылки!$H$210,$C$13:$C$15,AK$13:AK$15),1)</f>
        <v>0</v>
      </c>
      <c s="125">
        <f>Предпосылки!AK$237*Предпосылки!$M267*Продажи!AL32*AL$19*(1+Чувствительность!$D$20)*IFERROR(LOOKUP(Предпосылки!$H$210,$C$13:$C$15,AL$13:AL$15),1)</f>
        <v>0</v>
      </c>
      <c s="125">
        <f>Предпосылки!AL$237*Предпосылки!$M267*Продажи!AM32*AM$19*(1+Чувствительность!$D$20)*IFERROR(LOOKUP(Предпосылки!$H$210,$C$13:$C$15,AM$13:AM$15),1)</f>
        <v>0</v>
      </c>
      <c s="125">
        <f>Предпосылки!AM$237*Предпосылки!$M267*Продажи!AN32*AN$19*(1+Чувствительность!$D$20)*IFERROR(LOOKUP(Предпосылки!$H$210,$C$13:$C$15,AN$13:AN$15),1)</f>
        <v>0</v>
      </c>
      <c s="125">
        <f>Предпосылки!AN$237*Предпосылки!$M267*Продажи!AO32*AO$19*(1+Чувствительность!$D$20)*IFERROR(LOOKUP(Предпосылки!$H$210,$C$13:$C$15,AO$13:AO$15),1)</f>
        <v>0</v>
      </c>
      <c s="125">
        <f>Предпосылки!AO$237*Предпосылки!$M267*Продажи!AP32*AP$19*(1+Чувствительность!$D$20)*IFERROR(LOOKUP(Предпосылки!$H$210,$C$13:$C$15,AP$13:AP$15),1)</f>
        <v>0</v>
      </c>
      <c s="125">
        <f>Предпосылки!AP$237*Предпосылки!$M267*Продажи!AQ32*AQ$19*(1+Чувствительность!$D$20)*IFERROR(LOOKUP(Предпосылки!$H$210,$C$13:$C$15,AQ$13:AQ$15),1)</f>
        <v>0</v>
      </c>
      <c s="125">
        <f>Предпосылки!AQ$237*Предпосылки!$M267*Продажи!AR32*AR$19*(1+Чувствительность!$D$20)*IFERROR(LOOKUP(Предпосылки!$H$210,$C$13:$C$15,AR$13:AR$15),1)</f>
        <v>0</v>
      </c>
      <c s="125">
        <f>Предпосылки!AR$237*Предпосылки!$M267*Продажи!AS32*AS$19*(1+Чувствительность!$D$20)*IFERROR(LOOKUP(Предпосылки!$H$210,$C$13:$C$15,AS$13:AS$15),1)</f>
        <v>0</v>
      </c>
      <c s="125">
        <f>Предпосылки!AS$237*Предпосылки!$M267*Продажи!AT32*AT$19*(1+Чувствительность!$D$20)*IFERROR(LOOKUP(Предпосылки!$H$210,$C$13:$C$15,AT$13:AT$15),1)</f>
        <v>0</v>
      </c>
      <c s="125">
        <f>Предпосылки!AT$237*Предпосылки!$M267*Продажи!AU32*AU$19*(1+Чувствительность!$D$20)*IFERROR(LOOKUP(Предпосылки!$H$210,$C$13:$C$15,AU$13:AU$15),1)</f>
        <v>0</v>
      </c>
      <c s="125">
        <f>Предпосылки!AU$237*Предпосылки!$M267*Продажи!AV32*AV$19*(1+Чувствительность!$D$20)*IFERROR(LOOKUP(Предпосылки!$H$210,$C$13:$C$15,AV$13:AV$15),1)</f>
        <v>0</v>
      </c>
      <c s="125">
        <f>Предпосылки!AV$237*Предпосылки!$M267*Продажи!AW32*AW$19*(1+Чувствительность!$D$20)*IFERROR(LOOKUP(Предпосылки!$H$210,$C$13:$C$15,AW$13:AW$15),1)</f>
        <v>0</v>
      </c>
      <c s="125">
        <f>Предпосылки!AW$237*Предпосылки!$M267*Продажи!AX32*AX$19*(1+Чувствительность!$D$20)*IFERROR(LOOKUP(Предпосылки!$H$210,$C$13:$C$15,AX$13:AX$15),1)</f>
        <v>0</v>
      </c>
      <c s="125">
        <f>Предпосылки!AX$237*Предпосылки!$M267*Продажи!AY32*AY$19*(1+Чувствительность!$D$20)*IFERROR(LOOKUP(Предпосылки!$H$210,$C$13:$C$15,AY$13:AY$15),1)</f>
        <v>0</v>
      </c>
      <c s="125">
        <f>Предпосылки!AY$237*Предпосылки!$M267*Продажи!AZ32*AZ$19*(1+Чувствительность!$D$20)*IFERROR(LOOKUP(Предпосылки!$H$210,$C$13:$C$15,AZ$13:AZ$15),1)</f>
        <v>0</v>
      </c>
      <c s="125">
        <f>Предпосылки!AZ$237*Предпосылки!$M267*Продажи!BA32*BA$19*(1+Чувствительность!$D$20)*IFERROR(LOOKUP(Предпосылки!$H$210,$C$13:$C$15,BA$13:BA$15),1)</f>
        <v>0</v>
      </c>
      <c s="125">
        <f>Предпосылки!BA$237*Предпосылки!$M267*Продажи!BB32*BB$19*(1+Чувствительность!$D$20)*IFERROR(LOOKUP(Предпосылки!$H$210,$C$13:$C$15,BB$13:BB$15),1)</f>
        <v>0</v>
      </c>
      <c s="125">
        <f>Предпосылки!BB$237*Предпосылки!$M267*Продажи!BC32*BC$19*(1+Чувствительность!$D$20)*IFERROR(LOOKUP(Предпосылки!$H$210,$C$13:$C$15,BC$13:BC$15),1)</f>
        <v>0</v>
      </c>
      <c s="125">
        <f>Предпосылки!BC$237*Предпосылки!$M267*Продажи!BD32*BD$19*(1+Чувствительность!$D$20)*IFERROR(LOOKUP(Предпосылки!$H$210,$C$13:$C$15,BD$13:BD$15),1)</f>
        <v>0</v>
      </c>
      <c s="125">
        <f>Предпосылки!BD$237*Предпосылки!$M267*Продажи!BE32*BE$19*(1+Чувствительность!$D$20)*IFERROR(LOOKUP(Предпосылки!$H$210,$C$13:$C$15,BE$13:BE$15),1)</f>
        <v>0</v>
      </c>
      <c s="125">
        <f>Предпосылки!BE$237*Предпосылки!$M267*Продажи!BF32*BF$19*(1+Чувствительность!$D$20)*IFERROR(LOOKUP(Предпосылки!$H$210,$C$13:$C$15,BF$13:BF$15),1)</f>
        <v>0</v>
      </c>
      <c s="125">
        <f>Предпосылки!BF$237*Предпосылки!$M267*Продажи!BG32*BG$19*(1+Чувствительность!$D$20)*IFERROR(LOOKUP(Предпосылки!$H$210,$C$13:$C$15,BG$13:BG$15),1)</f>
        <v>0</v>
      </c>
      <c s="125">
        <f>Предпосылки!BG$237*Предпосылки!$M267*Продажи!BH32*BH$19*(1+Чувствительность!$D$20)*IFERROR(LOOKUP(Предпосылки!$H$210,$C$13:$C$15,BH$13:BH$15),1)</f>
        <v>0</v>
      </c>
      <c s="125">
        <f>Предпосылки!BH$237*Предпосылки!$M267*Продажи!BI32*BI$19*(1+Чувствительность!$D$20)*IFERROR(LOOKUP(Предпосылки!$H$210,$C$13:$C$15,BI$13:BI$15),1)</f>
        <v>0</v>
      </c>
      <c s="125">
        <f>Предпосылки!BI$237*Предпосылки!$M267*Продажи!BJ32*BJ$19*(1+Чувствительность!$D$20)*IFERROR(LOOKUP(Предпосылки!$H$210,$C$13:$C$15,BJ$13:BJ$15),1)</f>
        <v>0</v>
      </c>
      <c s="125">
        <f>Предпосылки!BJ$237*Предпосылки!$M267*Продажи!BK32*BK$19*(1+Чувствительность!$D$20)*IFERROR(LOOKUP(Предпосылки!$H$210,$C$13:$C$15,BK$13:BK$15),1)</f>
        <v>0</v>
      </c>
      <c s="125">
        <f>Предпосылки!BK$237*Предпосылки!$M267*Продажи!BL32*BL$19*(1+Чувствительность!$D$20)*IFERROR(LOOKUP(Предпосылки!$H$210,$C$13:$C$15,BL$13:BL$15),1)</f>
        <v>0</v>
      </c>
      <c s="125">
        <f>Предпосылки!BL$237*Предпосылки!$M267*Продажи!BM32*BM$19*(1+Чувствительность!$D$20)*IFERROR(LOOKUP(Предпосылки!$H$210,$C$13:$C$15,BM$13:BM$15),1)</f>
        <v>0</v>
      </c>
    </row>
    <row r="245" spans="2:65" ht="15" customHeight="1">
      <c r="B245" s="12" t="str">
        <f t="shared" si="106"/>
        <v>Продукт 16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Предпосылки!D$237*Предпосылки!$M268*Продажи!E33*E$19*(1+Чувствительность!$D$20)*IFERROR(LOOKUP(Предпосылки!$H$210,$C$13:$C$15,E$13:E$15),1)</f>
        <v>0</v>
      </c>
      <c s="125">
        <f>Предпосылки!E$237*Предпосылки!$M268*Продажи!F33*F$19*(1+Чувствительность!$D$20)*IFERROR(LOOKUP(Предпосылки!$H$210,$C$13:$C$15,F$13:F$15),1)</f>
        <v>0</v>
      </c>
      <c s="125">
        <f>Предпосылки!F$237*Предпосылки!$M268*Продажи!G33*G$19*(1+Чувствительность!$D$20)*IFERROR(LOOKUP(Предпосылки!$H$210,$C$13:$C$15,G$13:G$15),1)</f>
        <v>0</v>
      </c>
      <c s="125">
        <f>Предпосылки!G$237*Предпосылки!$M268*Продажи!H33*H$19*(1+Чувствительность!$D$20)*IFERROR(LOOKUP(Предпосылки!$H$210,$C$13:$C$15,H$13:H$15),1)</f>
        <v>0</v>
      </c>
      <c s="125">
        <f>Предпосылки!H$237*Предпосылки!$M268*Продажи!I33*I$19*(1+Чувствительность!$D$20)*IFERROR(LOOKUP(Предпосылки!$H$210,$C$13:$C$15,I$13:I$15),1)</f>
        <v>0</v>
      </c>
      <c s="125">
        <f>Предпосылки!I$237*Предпосылки!$M268*Продажи!J33*J$19*(1+Чувствительность!$D$20)*IFERROR(LOOKUP(Предпосылки!$H$210,$C$13:$C$15,J$13:J$15),1)</f>
        <v>0</v>
      </c>
      <c s="125">
        <f>Предпосылки!J$237*Предпосылки!$M268*Продажи!K33*K$19*(1+Чувствительность!$D$20)*IFERROR(LOOKUP(Предпосылки!$H$210,$C$13:$C$15,K$13:K$15),1)</f>
        <v>0</v>
      </c>
      <c s="125">
        <f>Предпосылки!K$237*Предпосылки!$M268*Продажи!L33*L$19*(1+Чувствительность!$D$20)*IFERROR(LOOKUP(Предпосылки!$H$210,$C$13:$C$15,L$13:L$15),1)</f>
        <v>0</v>
      </c>
      <c s="125">
        <f>Предпосылки!L$237*Предпосылки!$M268*Продажи!M33*M$19*(1+Чувствительность!$D$20)*IFERROR(LOOKUP(Предпосылки!$H$210,$C$13:$C$15,M$13:M$15),1)</f>
        <v>0</v>
      </c>
      <c s="125">
        <f>Предпосылки!M$237*Предпосылки!$M268*Продажи!N33*N$19*(1+Чувствительность!$D$20)*IFERROR(LOOKUP(Предпосылки!$H$210,$C$13:$C$15,N$13:N$15),1)</f>
        <v>0</v>
      </c>
      <c s="125">
        <f>Предпосылки!N$237*Предпосылки!$M268*Продажи!O33*O$19*(1+Чувствительность!$D$20)*IFERROR(LOOKUP(Предпосылки!$H$210,$C$13:$C$15,O$13:O$15),1)</f>
        <v>0</v>
      </c>
      <c s="125">
        <f>Предпосылки!O$237*Предпосылки!$M268*Продажи!P33*P$19*(1+Чувствительность!$D$20)*IFERROR(LOOKUP(Предпосылки!$H$210,$C$13:$C$15,P$13:P$15),1)</f>
        <v>0</v>
      </c>
      <c s="125">
        <f>Предпосылки!P$237*Предпосылки!$M268*Продажи!Q33*Q$19*(1+Чувствительность!$D$20)*IFERROR(LOOKUP(Предпосылки!$H$210,$C$13:$C$15,Q$13:Q$15),1)</f>
        <v>0</v>
      </c>
      <c s="125">
        <f>Предпосылки!Q$237*Предпосылки!$M268*Продажи!R33*R$19*(1+Чувствительность!$D$20)*IFERROR(LOOKUP(Предпосылки!$H$210,$C$13:$C$15,R$13:R$15),1)</f>
        <v>0</v>
      </c>
      <c s="125">
        <f>Предпосылки!R$237*Предпосылки!$M268*Продажи!S33*S$19*(1+Чувствительность!$D$20)*IFERROR(LOOKUP(Предпосылки!$H$210,$C$13:$C$15,S$13:S$15),1)</f>
        <v>0</v>
      </c>
      <c s="125">
        <f>Предпосылки!S$237*Предпосылки!$M268*Продажи!T33*T$19*(1+Чувствительность!$D$20)*IFERROR(LOOKUP(Предпосылки!$H$210,$C$13:$C$15,T$13:T$15),1)</f>
        <v>0</v>
      </c>
      <c s="125">
        <f>Предпосылки!T$237*Предпосылки!$M268*Продажи!U33*U$19*(1+Чувствительность!$D$20)*IFERROR(LOOKUP(Предпосылки!$H$210,$C$13:$C$15,U$13:U$15),1)</f>
        <v>0</v>
      </c>
      <c s="125">
        <f>Предпосылки!U$237*Предпосылки!$M268*Продажи!V33*V$19*(1+Чувствительность!$D$20)*IFERROR(LOOKUP(Предпосылки!$H$210,$C$13:$C$15,V$13:V$15),1)</f>
        <v>0</v>
      </c>
      <c s="125">
        <f>Предпосылки!V$237*Предпосылки!$M268*Продажи!W33*W$19*(1+Чувствительность!$D$20)*IFERROR(LOOKUP(Предпосылки!$H$210,$C$13:$C$15,W$13:W$15),1)</f>
        <v>0</v>
      </c>
      <c s="125">
        <f>Предпосылки!W$237*Предпосылки!$M268*Продажи!X33*X$19*(1+Чувствительность!$D$20)*IFERROR(LOOKUP(Предпосылки!$H$210,$C$13:$C$15,X$13:X$15),1)</f>
        <v>0</v>
      </c>
      <c s="125">
        <f>Предпосылки!X$237*Предпосылки!$M268*Продажи!Y33*Y$19*(1+Чувствительность!$D$20)*IFERROR(LOOKUP(Предпосылки!$H$210,$C$13:$C$15,Y$13:Y$15),1)</f>
        <v>0</v>
      </c>
      <c s="125">
        <f>Предпосылки!Y$237*Предпосылки!$M268*Продажи!Z33*Z$19*(1+Чувствительность!$D$20)*IFERROR(LOOKUP(Предпосылки!$H$210,$C$13:$C$15,Z$13:Z$15),1)</f>
        <v>0</v>
      </c>
      <c s="125">
        <f>Предпосылки!Z$237*Предпосылки!$M268*Продажи!AA33*AA$19*(1+Чувствительность!$D$20)*IFERROR(LOOKUP(Предпосылки!$H$210,$C$13:$C$15,AA$13:AA$15),1)</f>
        <v>0</v>
      </c>
      <c s="125">
        <f>Предпосылки!AA$237*Предпосылки!$M268*Продажи!AB33*AB$19*(1+Чувствительность!$D$20)*IFERROR(LOOKUP(Предпосылки!$H$210,$C$13:$C$15,AB$13:AB$15),1)</f>
        <v>0</v>
      </c>
      <c s="125">
        <f>Предпосылки!AB$237*Предпосылки!$M268*Продажи!AC33*AC$19*(1+Чувствительность!$D$20)*IFERROR(LOOKUP(Предпосылки!$H$210,$C$13:$C$15,AC$13:AC$15),1)</f>
        <v>0</v>
      </c>
      <c s="125">
        <f>Предпосылки!AC$237*Предпосылки!$M268*Продажи!AD33*AD$19*(1+Чувствительность!$D$20)*IFERROR(LOOKUP(Предпосылки!$H$210,$C$13:$C$15,AD$13:AD$15),1)</f>
        <v>0</v>
      </c>
      <c s="125">
        <f>Предпосылки!AD$237*Предпосылки!$M268*Продажи!AE33*AE$19*(1+Чувствительность!$D$20)*IFERROR(LOOKUP(Предпосылки!$H$210,$C$13:$C$15,AE$13:AE$15),1)</f>
        <v>0</v>
      </c>
      <c s="125">
        <f>Предпосылки!AE$237*Предпосылки!$M268*Продажи!AF33*AF$19*(1+Чувствительность!$D$20)*IFERROR(LOOKUP(Предпосылки!$H$210,$C$13:$C$15,AF$13:AF$15),1)</f>
        <v>0</v>
      </c>
      <c s="125">
        <f>Предпосылки!AF$237*Предпосылки!$M268*Продажи!AG33*AG$19*(1+Чувствительность!$D$20)*IFERROR(LOOKUP(Предпосылки!$H$210,$C$13:$C$15,AG$13:AG$15),1)</f>
        <v>0</v>
      </c>
      <c s="125">
        <f>Предпосылки!AG$237*Предпосылки!$M268*Продажи!AH33*AH$19*(1+Чувствительность!$D$20)*IFERROR(LOOKUP(Предпосылки!$H$210,$C$13:$C$15,AH$13:AH$15),1)</f>
        <v>0</v>
      </c>
      <c s="125">
        <f>Предпосылки!AH$237*Предпосылки!$M268*Продажи!AI33*AI$19*(1+Чувствительность!$D$20)*IFERROR(LOOKUP(Предпосылки!$H$210,$C$13:$C$15,AI$13:AI$15),1)</f>
        <v>0</v>
      </c>
      <c s="125">
        <f>Предпосылки!AI$237*Предпосылки!$M268*Продажи!AJ33*AJ$19*(1+Чувствительность!$D$20)*IFERROR(LOOKUP(Предпосылки!$H$210,$C$13:$C$15,AJ$13:AJ$15),1)</f>
        <v>0</v>
      </c>
      <c s="125">
        <f>Предпосылки!AJ$237*Предпосылки!$M268*Продажи!AK33*AK$19*(1+Чувствительность!$D$20)*IFERROR(LOOKUP(Предпосылки!$H$210,$C$13:$C$15,AK$13:AK$15),1)</f>
        <v>0</v>
      </c>
      <c s="125">
        <f>Предпосылки!AK$237*Предпосылки!$M268*Продажи!AL33*AL$19*(1+Чувствительность!$D$20)*IFERROR(LOOKUP(Предпосылки!$H$210,$C$13:$C$15,AL$13:AL$15),1)</f>
        <v>0</v>
      </c>
      <c s="125">
        <f>Предпосылки!AL$237*Предпосылки!$M268*Продажи!AM33*AM$19*(1+Чувствительность!$D$20)*IFERROR(LOOKUP(Предпосылки!$H$210,$C$13:$C$15,AM$13:AM$15),1)</f>
        <v>0</v>
      </c>
      <c s="125">
        <f>Предпосылки!AM$237*Предпосылки!$M268*Продажи!AN33*AN$19*(1+Чувствительность!$D$20)*IFERROR(LOOKUP(Предпосылки!$H$210,$C$13:$C$15,AN$13:AN$15),1)</f>
        <v>0</v>
      </c>
      <c s="125">
        <f>Предпосылки!AN$237*Предпосылки!$M268*Продажи!AO33*AO$19*(1+Чувствительность!$D$20)*IFERROR(LOOKUP(Предпосылки!$H$210,$C$13:$C$15,AO$13:AO$15),1)</f>
        <v>0</v>
      </c>
      <c s="125">
        <f>Предпосылки!AO$237*Предпосылки!$M268*Продажи!AP33*AP$19*(1+Чувствительность!$D$20)*IFERROR(LOOKUP(Предпосылки!$H$210,$C$13:$C$15,AP$13:AP$15),1)</f>
        <v>0</v>
      </c>
      <c s="125">
        <f>Предпосылки!AP$237*Предпосылки!$M268*Продажи!AQ33*AQ$19*(1+Чувствительность!$D$20)*IFERROR(LOOKUP(Предпосылки!$H$210,$C$13:$C$15,AQ$13:AQ$15),1)</f>
        <v>0</v>
      </c>
      <c s="125">
        <f>Предпосылки!AQ$237*Предпосылки!$M268*Продажи!AR33*AR$19*(1+Чувствительность!$D$20)*IFERROR(LOOKUP(Предпосылки!$H$210,$C$13:$C$15,AR$13:AR$15),1)</f>
        <v>0</v>
      </c>
      <c s="125">
        <f>Предпосылки!AR$237*Предпосылки!$M268*Продажи!AS33*AS$19*(1+Чувствительность!$D$20)*IFERROR(LOOKUP(Предпосылки!$H$210,$C$13:$C$15,AS$13:AS$15),1)</f>
        <v>0</v>
      </c>
      <c s="125">
        <f>Предпосылки!AS$237*Предпосылки!$M268*Продажи!AT33*AT$19*(1+Чувствительность!$D$20)*IFERROR(LOOKUP(Предпосылки!$H$210,$C$13:$C$15,AT$13:AT$15),1)</f>
        <v>0</v>
      </c>
      <c s="125">
        <f>Предпосылки!AT$237*Предпосылки!$M268*Продажи!AU33*AU$19*(1+Чувствительность!$D$20)*IFERROR(LOOKUP(Предпосылки!$H$210,$C$13:$C$15,AU$13:AU$15),1)</f>
        <v>0</v>
      </c>
      <c s="125">
        <f>Предпосылки!AU$237*Предпосылки!$M268*Продажи!AV33*AV$19*(1+Чувствительность!$D$20)*IFERROR(LOOKUP(Предпосылки!$H$210,$C$13:$C$15,AV$13:AV$15),1)</f>
        <v>0</v>
      </c>
      <c s="125">
        <f>Предпосылки!AV$237*Предпосылки!$M268*Продажи!AW33*AW$19*(1+Чувствительность!$D$20)*IFERROR(LOOKUP(Предпосылки!$H$210,$C$13:$C$15,AW$13:AW$15),1)</f>
        <v>0</v>
      </c>
      <c s="125">
        <f>Предпосылки!AW$237*Предпосылки!$M268*Продажи!AX33*AX$19*(1+Чувствительность!$D$20)*IFERROR(LOOKUP(Предпосылки!$H$210,$C$13:$C$15,AX$13:AX$15),1)</f>
        <v>0</v>
      </c>
      <c s="125">
        <f>Предпосылки!AX$237*Предпосылки!$M268*Продажи!AY33*AY$19*(1+Чувствительность!$D$20)*IFERROR(LOOKUP(Предпосылки!$H$210,$C$13:$C$15,AY$13:AY$15),1)</f>
        <v>0</v>
      </c>
      <c s="125">
        <f>Предпосылки!AY$237*Предпосылки!$M268*Продажи!AZ33*AZ$19*(1+Чувствительность!$D$20)*IFERROR(LOOKUP(Предпосылки!$H$210,$C$13:$C$15,AZ$13:AZ$15),1)</f>
        <v>0</v>
      </c>
      <c s="125">
        <f>Предпосылки!AZ$237*Предпосылки!$M268*Продажи!BA33*BA$19*(1+Чувствительность!$D$20)*IFERROR(LOOKUP(Предпосылки!$H$210,$C$13:$C$15,BA$13:BA$15),1)</f>
        <v>0</v>
      </c>
      <c s="125">
        <f>Предпосылки!BA$237*Предпосылки!$M268*Продажи!BB33*BB$19*(1+Чувствительность!$D$20)*IFERROR(LOOKUP(Предпосылки!$H$210,$C$13:$C$15,BB$13:BB$15),1)</f>
        <v>0</v>
      </c>
      <c s="125">
        <f>Предпосылки!BB$237*Предпосылки!$M268*Продажи!BC33*BC$19*(1+Чувствительность!$D$20)*IFERROR(LOOKUP(Предпосылки!$H$210,$C$13:$C$15,BC$13:BC$15),1)</f>
        <v>0</v>
      </c>
      <c s="125">
        <f>Предпосылки!BC$237*Предпосылки!$M268*Продажи!BD33*BD$19*(1+Чувствительность!$D$20)*IFERROR(LOOKUP(Предпосылки!$H$210,$C$13:$C$15,BD$13:BD$15),1)</f>
        <v>0</v>
      </c>
      <c s="125">
        <f>Предпосылки!BD$237*Предпосылки!$M268*Продажи!BE33*BE$19*(1+Чувствительность!$D$20)*IFERROR(LOOKUP(Предпосылки!$H$210,$C$13:$C$15,BE$13:BE$15),1)</f>
        <v>0</v>
      </c>
      <c s="125">
        <f>Предпосылки!BE$237*Предпосылки!$M268*Продажи!BF33*BF$19*(1+Чувствительность!$D$20)*IFERROR(LOOKUP(Предпосылки!$H$210,$C$13:$C$15,BF$13:BF$15),1)</f>
        <v>0</v>
      </c>
      <c s="125">
        <f>Предпосылки!BF$237*Предпосылки!$M268*Продажи!BG33*BG$19*(1+Чувствительность!$D$20)*IFERROR(LOOKUP(Предпосылки!$H$210,$C$13:$C$15,BG$13:BG$15),1)</f>
        <v>0</v>
      </c>
      <c s="125">
        <f>Предпосылки!BG$237*Предпосылки!$M268*Продажи!BH33*BH$19*(1+Чувствительность!$D$20)*IFERROR(LOOKUP(Предпосылки!$H$210,$C$13:$C$15,BH$13:BH$15),1)</f>
        <v>0</v>
      </c>
      <c s="125">
        <f>Предпосылки!BH$237*Предпосылки!$M268*Продажи!BI33*BI$19*(1+Чувствительность!$D$20)*IFERROR(LOOKUP(Предпосылки!$H$210,$C$13:$C$15,BI$13:BI$15),1)</f>
        <v>0</v>
      </c>
      <c s="125">
        <f>Предпосылки!BI$237*Предпосылки!$M268*Продажи!BJ33*BJ$19*(1+Чувствительность!$D$20)*IFERROR(LOOKUP(Предпосылки!$H$210,$C$13:$C$15,BJ$13:BJ$15),1)</f>
        <v>0</v>
      </c>
      <c s="125">
        <f>Предпосылки!BJ$237*Предпосылки!$M268*Продажи!BK33*BK$19*(1+Чувствительность!$D$20)*IFERROR(LOOKUP(Предпосылки!$H$210,$C$13:$C$15,BK$13:BK$15),1)</f>
        <v>0</v>
      </c>
      <c s="125">
        <f>Предпосылки!BK$237*Предпосылки!$M268*Продажи!BL33*BL$19*(1+Чувствительность!$D$20)*IFERROR(LOOKUP(Предпосылки!$H$210,$C$13:$C$15,BL$13:BL$15),1)</f>
        <v>0</v>
      </c>
      <c s="125">
        <f>Предпосылки!BL$237*Предпосылки!$M268*Продажи!BM33*BM$19*(1+Чувствительность!$D$20)*IFERROR(LOOKUP(Предпосылки!$H$210,$C$13:$C$15,BM$13:BM$15),1)</f>
        <v>0</v>
      </c>
    </row>
    <row r="246" spans="2:65" ht="15" customHeight="1">
      <c r="B246" s="12" t="str">
        <f t="shared" si="106"/>
        <v>Продукт 17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Предпосылки!D$237*Предпосылки!$M269*Продажи!E34*E$19*(1+Чувствительность!$D$20)*IFERROR(LOOKUP(Предпосылки!$H$210,$C$13:$C$15,E$13:E$15),1)</f>
        <v>0</v>
      </c>
      <c s="125">
        <f>Предпосылки!E$237*Предпосылки!$M269*Продажи!F34*F$19*(1+Чувствительность!$D$20)*IFERROR(LOOKUP(Предпосылки!$H$210,$C$13:$C$15,F$13:F$15),1)</f>
        <v>0</v>
      </c>
      <c s="125">
        <f>Предпосылки!F$237*Предпосылки!$M269*Продажи!G34*G$19*(1+Чувствительность!$D$20)*IFERROR(LOOKUP(Предпосылки!$H$210,$C$13:$C$15,G$13:G$15),1)</f>
        <v>0</v>
      </c>
      <c s="125">
        <f>Предпосылки!G$237*Предпосылки!$M269*Продажи!H34*H$19*(1+Чувствительность!$D$20)*IFERROR(LOOKUP(Предпосылки!$H$210,$C$13:$C$15,H$13:H$15),1)</f>
        <v>0</v>
      </c>
      <c s="125">
        <f>Предпосылки!H$237*Предпосылки!$M269*Продажи!I34*I$19*(1+Чувствительность!$D$20)*IFERROR(LOOKUP(Предпосылки!$H$210,$C$13:$C$15,I$13:I$15),1)</f>
        <v>0</v>
      </c>
      <c s="125">
        <f>Предпосылки!I$237*Предпосылки!$M269*Продажи!J34*J$19*(1+Чувствительность!$D$20)*IFERROR(LOOKUP(Предпосылки!$H$210,$C$13:$C$15,J$13:J$15),1)</f>
        <v>0</v>
      </c>
      <c s="125">
        <f>Предпосылки!J$237*Предпосылки!$M269*Продажи!K34*K$19*(1+Чувствительность!$D$20)*IFERROR(LOOKUP(Предпосылки!$H$210,$C$13:$C$15,K$13:K$15),1)</f>
        <v>0</v>
      </c>
      <c s="125">
        <f>Предпосылки!K$237*Предпосылки!$M269*Продажи!L34*L$19*(1+Чувствительность!$D$20)*IFERROR(LOOKUP(Предпосылки!$H$210,$C$13:$C$15,L$13:L$15),1)</f>
        <v>0</v>
      </c>
      <c s="125">
        <f>Предпосылки!L$237*Предпосылки!$M269*Продажи!M34*M$19*(1+Чувствительность!$D$20)*IFERROR(LOOKUP(Предпосылки!$H$210,$C$13:$C$15,M$13:M$15),1)</f>
        <v>0</v>
      </c>
      <c s="125">
        <f>Предпосылки!M$237*Предпосылки!$M269*Продажи!N34*N$19*(1+Чувствительность!$D$20)*IFERROR(LOOKUP(Предпосылки!$H$210,$C$13:$C$15,N$13:N$15),1)</f>
        <v>0</v>
      </c>
      <c s="125">
        <f>Предпосылки!N$237*Предпосылки!$M269*Продажи!O34*O$19*(1+Чувствительность!$D$20)*IFERROR(LOOKUP(Предпосылки!$H$210,$C$13:$C$15,O$13:O$15),1)</f>
        <v>0</v>
      </c>
      <c s="125">
        <f>Предпосылки!O$237*Предпосылки!$M269*Продажи!P34*P$19*(1+Чувствительность!$D$20)*IFERROR(LOOKUP(Предпосылки!$H$210,$C$13:$C$15,P$13:P$15),1)</f>
        <v>0</v>
      </c>
      <c s="125">
        <f>Предпосылки!P$237*Предпосылки!$M269*Продажи!Q34*Q$19*(1+Чувствительность!$D$20)*IFERROR(LOOKUP(Предпосылки!$H$210,$C$13:$C$15,Q$13:Q$15),1)</f>
        <v>0</v>
      </c>
      <c s="125">
        <f>Предпосылки!Q$237*Предпосылки!$M269*Продажи!R34*R$19*(1+Чувствительность!$D$20)*IFERROR(LOOKUP(Предпосылки!$H$210,$C$13:$C$15,R$13:R$15),1)</f>
        <v>0</v>
      </c>
      <c s="125">
        <f>Предпосылки!R$237*Предпосылки!$M269*Продажи!S34*S$19*(1+Чувствительность!$D$20)*IFERROR(LOOKUP(Предпосылки!$H$210,$C$13:$C$15,S$13:S$15),1)</f>
        <v>0</v>
      </c>
      <c s="125">
        <f>Предпосылки!S$237*Предпосылки!$M269*Продажи!T34*T$19*(1+Чувствительность!$D$20)*IFERROR(LOOKUP(Предпосылки!$H$210,$C$13:$C$15,T$13:T$15),1)</f>
        <v>0</v>
      </c>
      <c s="125">
        <f>Предпосылки!T$237*Предпосылки!$M269*Продажи!U34*U$19*(1+Чувствительность!$D$20)*IFERROR(LOOKUP(Предпосылки!$H$210,$C$13:$C$15,U$13:U$15),1)</f>
        <v>0</v>
      </c>
      <c s="125">
        <f>Предпосылки!U$237*Предпосылки!$M269*Продажи!V34*V$19*(1+Чувствительность!$D$20)*IFERROR(LOOKUP(Предпосылки!$H$210,$C$13:$C$15,V$13:V$15),1)</f>
        <v>0</v>
      </c>
      <c s="125">
        <f>Предпосылки!V$237*Предпосылки!$M269*Продажи!W34*W$19*(1+Чувствительность!$D$20)*IFERROR(LOOKUP(Предпосылки!$H$210,$C$13:$C$15,W$13:W$15),1)</f>
        <v>0</v>
      </c>
      <c s="125">
        <f>Предпосылки!W$237*Предпосылки!$M269*Продажи!X34*X$19*(1+Чувствительность!$D$20)*IFERROR(LOOKUP(Предпосылки!$H$210,$C$13:$C$15,X$13:X$15),1)</f>
        <v>0</v>
      </c>
      <c s="125">
        <f>Предпосылки!X$237*Предпосылки!$M269*Продажи!Y34*Y$19*(1+Чувствительность!$D$20)*IFERROR(LOOKUP(Предпосылки!$H$210,$C$13:$C$15,Y$13:Y$15),1)</f>
        <v>0</v>
      </c>
      <c s="125">
        <f>Предпосылки!Y$237*Предпосылки!$M269*Продажи!Z34*Z$19*(1+Чувствительность!$D$20)*IFERROR(LOOKUP(Предпосылки!$H$210,$C$13:$C$15,Z$13:Z$15),1)</f>
        <v>0</v>
      </c>
      <c s="125">
        <f>Предпосылки!Z$237*Предпосылки!$M269*Продажи!AA34*AA$19*(1+Чувствительность!$D$20)*IFERROR(LOOKUP(Предпосылки!$H$210,$C$13:$C$15,AA$13:AA$15),1)</f>
        <v>0</v>
      </c>
      <c s="125">
        <f>Предпосылки!AA$237*Предпосылки!$M269*Продажи!AB34*AB$19*(1+Чувствительность!$D$20)*IFERROR(LOOKUP(Предпосылки!$H$210,$C$13:$C$15,AB$13:AB$15),1)</f>
        <v>0</v>
      </c>
      <c s="125">
        <f>Предпосылки!AB$237*Предпосылки!$M269*Продажи!AC34*AC$19*(1+Чувствительность!$D$20)*IFERROR(LOOKUP(Предпосылки!$H$210,$C$13:$C$15,AC$13:AC$15),1)</f>
        <v>0</v>
      </c>
      <c s="125">
        <f>Предпосылки!AC$237*Предпосылки!$M269*Продажи!AD34*AD$19*(1+Чувствительность!$D$20)*IFERROR(LOOKUP(Предпосылки!$H$210,$C$13:$C$15,AD$13:AD$15),1)</f>
        <v>0</v>
      </c>
      <c s="125">
        <f>Предпосылки!AD$237*Предпосылки!$M269*Продажи!AE34*AE$19*(1+Чувствительность!$D$20)*IFERROR(LOOKUP(Предпосылки!$H$210,$C$13:$C$15,AE$13:AE$15),1)</f>
        <v>0</v>
      </c>
      <c s="125">
        <f>Предпосылки!AE$237*Предпосылки!$M269*Продажи!AF34*AF$19*(1+Чувствительность!$D$20)*IFERROR(LOOKUP(Предпосылки!$H$210,$C$13:$C$15,AF$13:AF$15),1)</f>
        <v>0</v>
      </c>
      <c s="125">
        <f>Предпосылки!AF$237*Предпосылки!$M269*Продажи!AG34*AG$19*(1+Чувствительность!$D$20)*IFERROR(LOOKUP(Предпосылки!$H$210,$C$13:$C$15,AG$13:AG$15),1)</f>
        <v>0</v>
      </c>
      <c s="125">
        <f>Предпосылки!AG$237*Предпосылки!$M269*Продажи!AH34*AH$19*(1+Чувствительность!$D$20)*IFERROR(LOOKUP(Предпосылки!$H$210,$C$13:$C$15,AH$13:AH$15),1)</f>
        <v>0</v>
      </c>
      <c s="125">
        <f>Предпосылки!AH$237*Предпосылки!$M269*Продажи!AI34*AI$19*(1+Чувствительность!$D$20)*IFERROR(LOOKUP(Предпосылки!$H$210,$C$13:$C$15,AI$13:AI$15),1)</f>
        <v>0</v>
      </c>
      <c s="125">
        <f>Предпосылки!AI$237*Предпосылки!$M269*Продажи!AJ34*AJ$19*(1+Чувствительность!$D$20)*IFERROR(LOOKUP(Предпосылки!$H$210,$C$13:$C$15,AJ$13:AJ$15),1)</f>
        <v>0</v>
      </c>
      <c s="125">
        <f>Предпосылки!AJ$237*Предпосылки!$M269*Продажи!AK34*AK$19*(1+Чувствительность!$D$20)*IFERROR(LOOKUP(Предпосылки!$H$210,$C$13:$C$15,AK$13:AK$15),1)</f>
        <v>0</v>
      </c>
      <c s="125">
        <f>Предпосылки!AK$237*Предпосылки!$M269*Продажи!AL34*AL$19*(1+Чувствительность!$D$20)*IFERROR(LOOKUP(Предпосылки!$H$210,$C$13:$C$15,AL$13:AL$15),1)</f>
        <v>0</v>
      </c>
      <c s="125">
        <f>Предпосылки!AL$237*Предпосылки!$M269*Продажи!AM34*AM$19*(1+Чувствительность!$D$20)*IFERROR(LOOKUP(Предпосылки!$H$210,$C$13:$C$15,AM$13:AM$15),1)</f>
        <v>0</v>
      </c>
      <c s="125">
        <f>Предпосылки!AM$237*Предпосылки!$M269*Продажи!AN34*AN$19*(1+Чувствительность!$D$20)*IFERROR(LOOKUP(Предпосылки!$H$210,$C$13:$C$15,AN$13:AN$15),1)</f>
        <v>0</v>
      </c>
      <c s="125">
        <f>Предпосылки!AN$237*Предпосылки!$M269*Продажи!AO34*AO$19*(1+Чувствительность!$D$20)*IFERROR(LOOKUP(Предпосылки!$H$210,$C$13:$C$15,AO$13:AO$15),1)</f>
        <v>0</v>
      </c>
      <c s="125">
        <f>Предпосылки!AO$237*Предпосылки!$M269*Продажи!AP34*AP$19*(1+Чувствительность!$D$20)*IFERROR(LOOKUP(Предпосылки!$H$210,$C$13:$C$15,AP$13:AP$15),1)</f>
        <v>0</v>
      </c>
      <c s="125">
        <f>Предпосылки!AP$237*Предпосылки!$M269*Продажи!AQ34*AQ$19*(1+Чувствительность!$D$20)*IFERROR(LOOKUP(Предпосылки!$H$210,$C$13:$C$15,AQ$13:AQ$15),1)</f>
        <v>0</v>
      </c>
      <c s="125">
        <f>Предпосылки!AQ$237*Предпосылки!$M269*Продажи!AR34*AR$19*(1+Чувствительность!$D$20)*IFERROR(LOOKUP(Предпосылки!$H$210,$C$13:$C$15,AR$13:AR$15),1)</f>
        <v>0</v>
      </c>
      <c s="125">
        <f>Предпосылки!AR$237*Предпосылки!$M269*Продажи!AS34*AS$19*(1+Чувствительность!$D$20)*IFERROR(LOOKUP(Предпосылки!$H$210,$C$13:$C$15,AS$13:AS$15),1)</f>
        <v>0</v>
      </c>
      <c s="125">
        <f>Предпосылки!AS$237*Предпосылки!$M269*Продажи!AT34*AT$19*(1+Чувствительность!$D$20)*IFERROR(LOOKUP(Предпосылки!$H$210,$C$13:$C$15,AT$13:AT$15),1)</f>
        <v>0</v>
      </c>
      <c s="125">
        <f>Предпосылки!AT$237*Предпосылки!$M269*Продажи!AU34*AU$19*(1+Чувствительность!$D$20)*IFERROR(LOOKUP(Предпосылки!$H$210,$C$13:$C$15,AU$13:AU$15),1)</f>
        <v>0</v>
      </c>
      <c s="125">
        <f>Предпосылки!AU$237*Предпосылки!$M269*Продажи!AV34*AV$19*(1+Чувствительность!$D$20)*IFERROR(LOOKUP(Предпосылки!$H$210,$C$13:$C$15,AV$13:AV$15),1)</f>
        <v>0</v>
      </c>
      <c s="125">
        <f>Предпосылки!AV$237*Предпосылки!$M269*Продажи!AW34*AW$19*(1+Чувствительность!$D$20)*IFERROR(LOOKUP(Предпосылки!$H$210,$C$13:$C$15,AW$13:AW$15),1)</f>
        <v>0</v>
      </c>
      <c s="125">
        <f>Предпосылки!AW$237*Предпосылки!$M269*Продажи!AX34*AX$19*(1+Чувствительность!$D$20)*IFERROR(LOOKUP(Предпосылки!$H$210,$C$13:$C$15,AX$13:AX$15),1)</f>
        <v>0</v>
      </c>
      <c s="125">
        <f>Предпосылки!AX$237*Предпосылки!$M269*Продажи!AY34*AY$19*(1+Чувствительность!$D$20)*IFERROR(LOOKUP(Предпосылки!$H$210,$C$13:$C$15,AY$13:AY$15),1)</f>
        <v>0</v>
      </c>
      <c s="125">
        <f>Предпосылки!AY$237*Предпосылки!$M269*Продажи!AZ34*AZ$19*(1+Чувствительность!$D$20)*IFERROR(LOOKUP(Предпосылки!$H$210,$C$13:$C$15,AZ$13:AZ$15),1)</f>
        <v>0</v>
      </c>
      <c s="125">
        <f>Предпосылки!AZ$237*Предпосылки!$M269*Продажи!BA34*BA$19*(1+Чувствительность!$D$20)*IFERROR(LOOKUP(Предпосылки!$H$210,$C$13:$C$15,BA$13:BA$15),1)</f>
        <v>0</v>
      </c>
      <c s="125">
        <f>Предпосылки!BA$237*Предпосылки!$M269*Продажи!BB34*BB$19*(1+Чувствительность!$D$20)*IFERROR(LOOKUP(Предпосылки!$H$210,$C$13:$C$15,BB$13:BB$15),1)</f>
        <v>0</v>
      </c>
      <c s="125">
        <f>Предпосылки!BB$237*Предпосылки!$M269*Продажи!BC34*BC$19*(1+Чувствительность!$D$20)*IFERROR(LOOKUP(Предпосылки!$H$210,$C$13:$C$15,BC$13:BC$15),1)</f>
        <v>0</v>
      </c>
      <c s="125">
        <f>Предпосылки!BC$237*Предпосылки!$M269*Продажи!BD34*BD$19*(1+Чувствительность!$D$20)*IFERROR(LOOKUP(Предпосылки!$H$210,$C$13:$C$15,BD$13:BD$15),1)</f>
        <v>0</v>
      </c>
      <c s="125">
        <f>Предпосылки!BD$237*Предпосылки!$M269*Продажи!BE34*BE$19*(1+Чувствительность!$D$20)*IFERROR(LOOKUP(Предпосылки!$H$210,$C$13:$C$15,BE$13:BE$15),1)</f>
        <v>0</v>
      </c>
      <c s="125">
        <f>Предпосылки!BE$237*Предпосылки!$M269*Продажи!BF34*BF$19*(1+Чувствительность!$D$20)*IFERROR(LOOKUP(Предпосылки!$H$210,$C$13:$C$15,BF$13:BF$15),1)</f>
        <v>0</v>
      </c>
      <c s="125">
        <f>Предпосылки!BF$237*Предпосылки!$M269*Продажи!BG34*BG$19*(1+Чувствительность!$D$20)*IFERROR(LOOKUP(Предпосылки!$H$210,$C$13:$C$15,BG$13:BG$15),1)</f>
        <v>0</v>
      </c>
      <c s="125">
        <f>Предпосылки!BG$237*Предпосылки!$M269*Продажи!BH34*BH$19*(1+Чувствительность!$D$20)*IFERROR(LOOKUP(Предпосылки!$H$210,$C$13:$C$15,BH$13:BH$15),1)</f>
        <v>0</v>
      </c>
      <c s="125">
        <f>Предпосылки!BH$237*Предпосылки!$M269*Продажи!BI34*BI$19*(1+Чувствительность!$D$20)*IFERROR(LOOKUP(Предпосылки!$H$210,$C$13:$C$15,BI$13:BI$15),1)</f>
        <v>0</v>
      </c>
      <c s="125">
        <f>Предпосылки!BI$237*Предпосылки!$M269*Продажи!BJ34*BJ$19*(1+Чувствительность!$D$20)*IFERROR(LOOKUP(Предпосылки!$H$210,$C$13:$C$15,BJ$13:BJ$15),1)</f>
        <v>0</v>
      </c>
      <c s="125">
        <f>Предпосылки!BJ$237*Предпосылки!$M269*Продажи!BK34*BK$19*(1+Чувствительность!$D$20)*IFERROR(LOOKUP(Предпосылки!$H$210,$C$13:$C$15,BK$13:BK$15),1)</f>
        <v>0</v>
      </c>
      <c s="125">
        <f>Предпосылки!BK$237*Предпосылки!$M269*Продажи!BL34*BL$19*(1+Чувствительность!$D$20)*IFERROR(LOOKUP(Предпосылки!$H$210,$C$13:$C$15,BL$13:BL$15),1)</f>
        <v>0</v>
      </c>
      <c s="125">
        <f>Предпосылки!BL$237*Предпосылки!$M269*Продажи!BM34*BM$19*(1+Чувствительность!$D$20)*IFERROR(LOOKUP(Предпосылки!$H$210,$C$13:$C$15,BM$13:BM$15),1)</f>
        <v>0</v>
      </c>
    </row>
    <row r="247" spans="2:65" ht="15" customHeight="1">
      <c r="B247" s="12" t="str">
        <f t="shared" si="106"/>
        <v>Продукт 18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Предпосылки!D$237*Предпосылки!$M270*Продажи!E35*E$19*(1+Чувствительность!$D$20)*IFERROR(LOOKUP(Предпосылки!$H$210,$C$13:$C$15,E$13:E$15),1)</f>
        <v>0</v>
      </c>
      <c s="125">
        <f>Предпосылки!E$237*Предпосылки!$M270*Продажи!F35*F$19*(1+Чувствительность!$D$20)*IFERROR(LOOKUP(Предпосылки!$H$210,$C$13:$C$15,F$13:F$15),1)</f>
        <v>0</v>
      </c>
      <c s="125">
        <f>Предпосылки!F$237*Предпосылки!$M270*Продажи!G35*G$19*(1+Чувствительность!$D$20)*IFERROR(LOOKUP(Предпосылки!$H$210,$C$13:$C$15,G$13:G$15),1)</f>
        <v>0</v>
      </c>
      <c s="125">
        <f>Предпосылки!G$237*Предпосылки!$M270*Продажи!H35*H$19*(1+Чувствительность!$D$20)*IFERROR(LOOKUP(Предпосылки!$H$210,$C$13:$C$15,H$13:H$15),1)</f>
        <v>0</v>
      </c>
      <c s="125">
        <f>Предпосылки!H$237*Предпосылки!$M270*Продажи!I35*I$19*(1+Чувствительность!$D$20)*IFERROR(LOOKUP(Предпосылки!$H$210,$C$13:$C$15,I$13:I$15),1)</f>
        <v>0</v>
      </c>
      <c s="125">
        <f>Предпосылки!I$237*Предпосылки!$M270*Продажи!J35*J$19*(1+Чувствительность!$D$20)*IFERROR(LOOKUP(Предпосылки!$H$210,$C$13:$C$15,J$13:J$15),1)</f>
        <v>0</v>
      </c>
      <c s="125">
        <f>Предпосылки!J$237*Предпосылки!$M270*Продажи!K35*K$19*(1+Чувствительность!$D$20)*IFERROR(LOOKUP(Предпосылки!$H$210,$C$13:$C$15,K$13:K$15),1)</f>
        <v>0</v>
      </c>
      <c s="125">
        <f>Предпосылки!K$237*Предпосылки!$M270*Продажи!L35*L$19*(1+Чувствительность!$D$20)*IFERROR(LOOKUP(Предпосылки!$H$210,$C$13:$C$15,L$13:L$15),1)</f>
        <v>0</v>
      </c>
      <c s="125">
        <f>Предпосылки!L$237*Предпосылки!$M270*Продажи!M35*M$19*(1+Чувствительность!$D$20)*IFERROR(LOOKUP(Предпосылки!$H$210,$C$13:$C$15,M$13:M$15),1)</f>
        <v>0</v>
      </c>
      <c s="125">
        <f>Предпосылки!M$237*Предпосылки!$M270*Продажи!N35*N$19*(1+Чувствительность!$D$20)*IFERROR(LOOKUP(Предпосылки!$H$210,$C$13:$C$15,N$13:N$15),1)</f>
        <v>0</v>
      </c>
      <c s="125">
        <f>Предпосылки!N$237*Предпосылки!$M270*Продажи!O35*O$19*(1+Чувствительность!$D$20)*IFERROR(LOOKUP(Предпосылки!$H$210,$C$13:$C$15,O$13:O$15),1)</f>
        <v>0</v>
      </c>
      <c s="125">
        <f>Предпосылки!O$237*Предпосылки!$M270*Продажи!P35*P$19*(1+Чувствительность!$D$20)*IFERROR(LOOKUP(Предпосылки!$H$210,$C$13:$C$15,P$13:P$15),1)</f>
        <v>0</v>
      </c>
      <c s="125">
        <f>Предпосылки!P$237*Предпосылки!$M270*Продажи!Q35*Q$19*(1+Чувствительность!$D$20)*IFERROR(LOOKUP(Предпосылки!$H$210,$C$13:$C$15,Q$13:Q$15),1)</f>
        <v>0</v>
      </c>
      <c s="125">
        <f>Предпосылки!Q$237*Предпосылки!$M270*Продажи!R35*R$19*(1+Чувствительность!$D$20)*IFERROR(LOOKUP(Предпосылки!$H$210,$C$13:$C$15,R$13:R$15),1)</f>
        <v>0</v>
      </c>
      <c s="125">
        <f>Предпосылки!R$237*Предпосылки!$M270*Продажи!S35*S$19*(1+Чувствительность!$D$20)*IFERROR(LOOKUP(Предпосылки!$H$210,$C$13:$C$15,S$13:S$15),1)</f>
        <v>0</v>
      </c>
      <c s="125">
        <f>Предпосылки!S$237*Предпосылки!$M270*Продажи!T35*T$19*(1+Чувствительность!$D$20)*IFERROR(LOOKUP(Предпосылки!$H$210,$C$13:$C$15,T$13:T$15),1)</f>
        <v>0</v>
      </c>
      <c s="125">
        <f>Предпосылки!T$237*Предпосылки!$M270*Продажи!U35*U$19*(1+Чувствительность!$D$20)*IFERROR(LOOKUP(Предпосылки!$H$210,$C$13:$C$15,U$13:U$15),1)</f>
        <v>0</v>
      </c>
      <c s="125">
        <f>Предпосылки!U$237*Предпосылки!$M270*Продажи!V35*V$19*(1+Чувствительность!$D$20)*IFERROR(LOOKUP(Предпосылки!$H$210,$C$13:$C$15,V$13:V$15),1)</f>
        <v>0</v>
      </c>
      <c s="125">
        <f>Предпосылки!V$237*Предпосылки!$M270*Продажи!W35*W$19*(1+Чувствительность!$D$20)*IFERROR(LOOKUP(Предпосылки!$H$210,$C$13:$C$15,W$13:W$15),1)</f>
        <v>0</v>
      </c>
      <c s="125">
        <f>Предпосылки!W$237*Предпосылки!$M270*Продажи!X35*X$19*(1+Чувствительность!$D$20)*IFERROR(LOOKUP(Предпосылки!$H$210,$C$13:$C$15,X$13:X$15),1)</f>
        <v>0</v>
      </c>
      <c s="125">
        <f>Предпосылки!X$237*Предпосылки!$M270*Продажи!Y35*Y$19*(1+Чувствительность!$D$20)*IFERROR(LOOKUP(Предпосылки!$H$210,$C$13:$C$15,Y$13:Y$15),1)</f>
        <v>0</v>
      </c>
      <c s="125">
        <f>Предпосылки!Y$237*Предпосылки!$M270*Продажи!Z35*Z$19*(1+Чувствительность!$D$20)*IFERROR(LOOKUP(Предпосылки!$H$210,$C$13:$C$15,Z$13:Z$15),1)</f>
        <v>0</v>
      </c>
      <c s="125">
        <f>Предпосылки!Z$237*Предпосылки!$M270*Продажи!AA35*AA$19*(1+Чувствительность!$D$20)*IFERROR(LOOKUP(Предпосылки!$H$210,$C$13:$C$15,AA$13:AA$15),1)</f>
        <v>0</v>
      </c>
      <c s="125">
        <f>Предпосылки!AA$237*Предпосылки!$M270*Продажи!AB35*AB$19*(1+Чувствительность!$D$20)*IFERROR(LOOKUP(Предпосылки!$H$210,$C$13:$C$15,AB$13:AB$15),1)</f>
        <v>0</v>
      </c>
      <c s="125">
        <f>Предпосылки!AB$237*Предпосылки!$M270*Продажи!AC35*AC$19*(1+Чувствительность!$D$20)*IFERROR(LOOKUP(Предпосылки!$H$210,$C$13:$C$15,AC$13:AC$15),1)</f>
        <v>0</v>
      </c>
      <c s="125">
        <f>Предпосылки!AC$237*Предпосылки!$M270*Продажи!AD35*AD$19*(1+Чувствительность!$D$20)*IFERROR(LOOKUP(Предпосылки!$H$210,$C$13:$C$15,AD$13:AD$15),1)</f>
        <v>0</v>
      </c>
      <c s="125">
        <f>Предпосылки!AD$237*Предпосылки!$M270*Продажи!AE35*AE$19*(1+Чувствительность!$D$20)*IFERROR(LOOKUP(Предпосылки!$H$210,$C$13:$C$15,AE$13:AE$15),1)</f>
        <v>0</v>
      </c>
      <c s="125">
        <f>Предпосылки!AE$237*Предпосылки!$M270*Продажи!AF35*AF$19*(1+Чувствительность!$D$20)*IFERROR(LOOKUP(Предпосылки!$H$210,$C$13:$C$15,AF$13:AF$15),1)</f>
        <v>0</v>
      </c>
      <c s="125">
        <f>Предпосылки!AF$237*Предпосылки!$M270*Продажи!AG35*AG$19*(1+Чувствительность!$D$20)*IFERROR(LOOKUP(Предпосылки!$H$210,$C$13:$C$15,AG$13:AG$15),1)</f>
        <v>0</v>
      </c>
      <c s="125">
        <f>Предпосылки!AG$237*Предпосылки!$M270*Продажи!AH35*AH$19*(1+Чувствительность!$D$20)*IFERROR(LOOKUP(Предпосылки!$H$210,$C$13:$C$15,AH$13:AH$15),1)</f>
        <v>0</v>
      </c>
      <c s="125">
        <f>Предпосылки!AH$237*Предпосылки!$M270*Продажи!AI35*AI$19*(1+Чувствительность!$D$20)*IFERROR(LOOKUP(Предпосылки!$H$210,$C$13:$C$15,AI$13:AI$15),1)</f>
        <v>0</v>
      </c>
      <c s="125">
        <f>Предпосылки!AI$237*Предпосылки!$M270*Продажи!AJ35*AJ$19*(1+Чувствительность!$D$20)*IFERROR(LOOKUP(Предпосылки!$H$210,$C$13:$C$15,AJ$13:AJ$15),1)</f>
        <v>0</v>
      </c>
      <c s="125">
        <f>Предпосылки!AJ$237*Предпосылки!$M270*Продажи!AK35*AK$19*(1+Чувствительность!$D$20)*IFERROR(LOOKUP(Предпосылки!$H$210,$C$13:$C$15,AK$13:AK$15),1)</f>
        <v>0</v>
      </c>
      <c s="125">
        <f>Предпосылки!AK$237*Предпосылки!$M270*Продажи!AL35*AL$19*(1+Чувствительность!$D$20)*IFERROR(LOOKUP(Предпосылки!$H$210,$C$13:$C$15,AL$13:AL$15),1)</f>
        <v>0</v>
      </c>
      <c s="125">
        <f>Предпосылки!AL$237*Предпосылки!$M270*Продажи!AM35*AM$19*(1+Чувствительность!$D$20)*IFERROR(LOOKUP(Предпосылки!$H$210,$C$13:$C$15,AM$13:AM$15),1)</f>
        <v>0</v>
      </c>
      <c s="125">
        <f>Предпосылки!AM$237*Предпосылки!$M270*Продажи!AN35*AN$19*(1+Чувствительность!$D$20)*IFERROR(LOOKUP(Предпосылки!$H$210,$C$13:$C$15,AN$13:AN$15),1)</f>
        <v>0</v>
      </c>
      <c s="125">
        <f>Предпосылки!AN$237*Предпосылки!$M270*Продажи!AO35*AO$19*(1+Чувствительность!$D$20)*IFERROR(LOOKUP(Предпосылки!$H$210,$C$13:$C$15,AO$13:AO$15),1)</f>
        <v>0</v>
      </c>
      <c s="125">
        <f>Предпосылки!AO$237*Предпосылки!$M270*Продажи!AP35*AP$19*(1+Чувствительность!$D$20)*IFERROR(LOOKUP(Предпосылки!$H$210,$C$13:$C$15,AP$13:AP$15),1)</f>
        <v>0</v>
      </c>
      <c s="125">
        <f>Предпосылки!AP$237*Предпосылки!$M270*Продажи!AQ35*AQ$19*(1+Чувствительность!$D$20)*IFERROR(LOOKUP(Предпосылки!$H$210,$C$13:$C$15,AQ$13:AQ$15),1)</f>
        <v>0</v>
      </c>
      <c s="125">
        <f>Предпосылки!AQ$237*Предпосылки!$M270*Продажи!AR35*AR$19*(1+Чувствительность!$D$20)*IFERROR(LOOKUP(Предпосылки!$H$210,$C$13:$C$15,AR$13:AR$15),1)</f>
        <v>0</v>
      </c>
      <c s="125">
        <f>Предпосылки!AR$237*Предпосылки!$M270*Продажи!AS35*AS$19*(1+Чувствительность!$D$20)*IFERROR(LOOKUP(Предпосылки!$H$210,$C$13:$C$15,AS$13:AS$15),1)</f>
        <v>0</v>
      </c>
      <c s="125">
        <f>Предпосылки!AS$237*Предпосылки!$M270*Продажи!AT35*AT$19*(1+Чувствительность!$D$20)*IFERROR(LOOKUP(Предпосылки!$H$210,$C$13:$C$15,AT$13:AT$15),1)</f>
        <v>0</v>
      </c>
      <c s="125">
        <f>Предпосылки!AT$237*Предпосылки!$M270*Продажи!AU35*AU$19*(1+Чувствительность!$D$20)*IFERROR(LOOKUP(Предпосылки!$H$210,$C$13:$C$15,AU$13:AU$15),1)</f>
        <v>0</v>
      </c>
      <c s="125">
        <f>Предпосылки!AU$237*Предпосылки!$M270*Продажи!AV35*AV$19*(1+Чувствительность!$D$20)*IFERROR(LOOKUP(Предпосылки!$H$210,$C$13:$C$15,AV$13:AV$15),1)</f>
        <v>0</v>
      </c>
      <c s="125">
        <f>Предпосылки!AV$237*Предпосылки!$M270*Продажи!AW35*AW$19*(1+Чувствительность!$D$20)*IFERROR(LOOKUP(Предпосылки!$H$210,$C$13:$C$15,AW$13:AW$15),1)</f>
        <v>0</v>
      </c>
      <c s="125">
        <f>Предпосылки!AW$237*Предпосылки!$M270*Продажи!AX35*AX$19*(1+Чувствительность!$D$20)*IFERROR(LOOKUP(Предпосылки!$H$210,$C$13:$C$15,AX$13:AX$15),1)</f>
        <v>0</v>
      </c>
      <c s="125">
        <f>Предпосылки!AX$237*Предпосылки!$M270*Продажи!AY35*AY$19*(1+Чувствительность!$D$20)*IFERROR(LOOKUP(Предпосылки!$H$210,$C$13:$C$15,AY$13:AY$15),1)</f>
        <v>0</v>
      </c>
      <c s="125">
        <f>Предпосылки!AY$237*Предпосылки!$M270*Продажи!AZ35*AZ$19*(1+Чувствительность!$D$20)*IFERROR(LOOKUP(Предпосылки!$H$210,$C$13:$C$15,AZ$13:AZ$15),1)</f>
        <v>0</v>
      </c>
      <c s="125">
        <f>Предпосылки!AZ$237*Предпосылки!$M270*Продажи!BA35*BA$19*(1+Чувствительность!$D$20)*IFERROR(LOOKUP(Предпосылки!$H$210,$C$13:$C$15,BA$13:BA$15),1)</f>
        <v>0</v>
      </c>
      <c s="125">
        <f>Предпосылки!BA$237*Предпосылки!$M270*Продажи!BB35*BB$19*(1+Чувствительность!$D$20)*IFERROR(LOOKUP(Предпосылки!$H$210,$C$13:$C$15,BB$13:BB$15),1)</f>
        <v>0</v>
      </c>
      <c s="125">
        <f>Предпосылки!BB$237*Предпосылки!$M270*Продажи!BC35*BC$19*(1+Чувствительность!$D$20)*IFERROR(LOOKUP(Предпосылки!$H$210,$C$13:$C$15,BC$13:BC$15),1)</f>
        <v>0</v>
      </c>
      <c s="125">
        <f>Предпосылки!BC$237*Предпосылки!$M270*Продажи!BD35*BD$19*(1+Чувствительность!$D$20)*IFERROR(LOOKUP(Предпосылки!$H$210,$C$13:$C$15,BD$13:BD$15),1)</f>
        <v>0</v>
      </c>
      <c s="125">
        <f>Предпосылки!BD$237*Предпосылки!$M270*Продажи!BE35*BE$19*(1+Чувствительность!$D$20)*IFERROR(LOOKUP(Предпосылки!$H$210,$C$13:$C$15,BE$13:BE$15),1)</f>
        <v>0</v>
      </c>
      <c s="125">
        <f>Предпосылки!BE$237*Предпосылки!$M270*Продажи!BF35*BF$19*(1+Чувствительность!$D$20)*IFERROR(LOOKUP(Предпосылки!$H$210,$C$13:$C$15,BF$13:BF$15),1)</f>
        <v>0</v>
      </c>
      <c s="125">
        <f>Предпосылки!BF$237*Предпосылки!$M270*Продажи!BG35*BG$19*(1+Чувствительность!$D$20)*IFERROR(LOOKUP(Предпосылки!$H$210,$C$13:$C$15,BG$13:BG$15),1)</f>
        <v>0</v>
      </c>
      <c s="125">
        <f>Предпосылки!BG$237*Предпосылки!$M270*Продажи!BH35*BH$19*(1+Чувствительность!$D$20)*IFERROR(LOOKUP(Предпосылки!$H$210,$C$13:$C$15,BH$13:BH$15),1)</f>
        <v>0</v>
      </c>
      <c s="125">
        <f>Предпосылки!BH$237*Предпосылки!$M270*Продажи!BI35*BI$19*(1+Чувствительность!$D$20)*IFERROR(LOOKUP(Предпосылки!$H$210,$C$13:$C$15,BI$13:BI$15),1)</f>
        <v>0</v>
      </c>
      <c s="125">
        <f>Предпосылки!BI$237*Предпосылки!$M270*Продажи!BJ35*BJ$19*(1+Чувствительность!$D$20)*IFERROR(LOOKUP(Предпосылки!$H$210,$C$13:$C$15,BJ$13:BJ$15),1)</f>
        <v>0</v>
      </c>
      <c s="125">
        <f>Предпосылки!BJ$237*Предпосылки!$M270*Продажи!BK35*BK$19*(1+Чувствительность!$D$20)*IFERROR(LOOKUP(Предпосылки!$H$210,$C$13:$C$15,BK$13:BK$15),1)</f>
        <v>0</v>
      </c>
      <c s="125">
        <f>Предпосылки!BK$237*Предпосылки!$M270*Продажи!BL35*BL$19*(1+Чувствительность!$D$20)*IFERROR(LOOKUP(Предпосылки!$H$210,$C$13:$C$15,BL$13:BL$15),1)</f>
        <v>0</v>
      </c>
      <c s="125">
        <f>Предпосылки!BL$237*Предпосылки!$M270*Продажи!BM35*BM$19*(1+Чувствительность!$D$20)*IFERROR(LOOKUP(Предпосылки!$H$210,$C$13:$C$15,BM$13:BM$15),1)</f>
        <v>0</v>
      </c>
    </row>
    <row r="248" spans="2:65" ht="15" customHeight="1">
      <c r="B248" s="12" t="str">
        <f t="shared" si="106"/>
        <v>Продукт 19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Предпосылки!D$237*Предпосылки!$M271*Продажи!E36*E$19*(1+Чувствительность!$D$20)*IFERROR(LOOKUP(Предпосылки!$H$210,$C$13:$C$15,E$13:E$15),1)</f>
        <v>0</v>
      </c>
      <c s="125">
        <f>Предпосылки!E$237*Предпосылки!$M271*Продажи!F36*F$19*(1+Чувствительность!$D$20)*IFERROR(LOOKUP(Предпосылки!$H$210,$C$13:$C$15,F$13:F$15),1)</f>
        <v>0</v>
      </c>
      <c s="125">
        <f>Предпосылки!F$237*Предпосылки!$M271*Продажи!G36*G$19*(1+Чувствительность!$D$20)*IFERROR(LOOKUP(Предпосылки!$H$210,$C$13:$C$15,G$13:G$15),1)</f>
        <v>0</v>
      </c>
      <c s="125">
        <f>Предпосылки!G$237*Предпосылки!$M271*Продажи!H36*H$19*(1+Чувствительность!$D$20)*IFERROR(LOOKUP(Предпосылки!$H$210,$C$13:$C$15,H$13:H$15),1)</f>
        <v>0</v>
      </c>
      <c s="125">
        <f>Предпосылки!H$237*Предпосылки!$M271*Продажи!I36*I$19*(1+Чувствительность!$D$20)*IFERROR(LOOKUP(Предпосылки!$H$210,$C$13:$C$15,I$13:I$15),1)</f>
        <v>0</v>
      </c>
      <c s="125">
        <f>Предпосылки!I$237*Предпосылки!$M271*Продажи!J36*J$19*(1+Чувствительность!$D$20)*IFERROR(LOOKUP(Предпосылки!$H$210,$C$13:$C$15,J$13:J$15),1)</f>
        <v>0</v>
      </c>
      <c s="125">
        <f>Предпосылки!J$237*Предпосылки!$M271*Продажи!K36*K$19*(1+Чувствительность!$D$20)*IFERROR(LOOKUP(Предпосылки!$H$210,$C$13:$C$15,K$13:K$15),1)</f>
        <v>0</v>
      </c>
      <c s="125">
        <f>Предпосылки!K$237*Предпосылки!$M271*Продажи!L36*L$19*(1+Чувствительность!$D$20)*IFERROR(LOOKUP(Предпосылки!$H$210,$C$13:$C$15,L$13:L$15),1)</f>
        <v>0</v>
      </c>
      <c s="125">
        <f>Предпосылки!L$237*Предпосылки!$M271*Продажи!M36*M$19*(1+Чувствительность!$D$20)*IFERROR(LOOKUP(Предпосылки!$H$210,$C$13:$C$15,M$13:M$15),1)</f>
        <v>0</v>
      </c>
      <c s="125">
        <f>Предпосылки!M$237*Предпосылки!$M271*Продажи!N36*N$19*(1+Чувствительность!$D$20)*IFERROR(LOOKUP(Предпосылки!$H$210,$C$13:$C$15,N$13:N$15),1)</f>
        <v>0</v>
      </c>
      <c s="125">
        <f>Предпосылки!N$237*Предпосылки!$M271*Продажи!O36*O$19*(1+Чувствительность!$D$20)*IFERROR(LOOKUP(Предпосылки!$H$210,$C$13:$C$15,O$13:O$15),1)</f>
        <v>0</v>
      </c>
      <c s="125">
        <f>Предпосылки!O$237*Предпосылки!$M271*Продажи!P36*P$19*(1+Чувствительность!$D$20)*IFERROR(LOOKUP(Предпосылки!$H$210,$C$13:$C$15,P$13:P$15),1)</f>
        <v>0</v>
      </c>
      <c s="125">
        <f>Предпосылки!P$237*Предпосылки!$M271*Продажи!Q36*Q$19*(1+Чувствительность!$D$20)*IFERROR(LOOKUP(Предпосылки!$H$210,$C$13:$C$15,Q$13:Q$15),1)</f>
        <v>0</v>
      </c>
      <c s="125">
        <f>Предпосылки!Q$237*Предпосылки!$M271*Продажи!R36*R$19*(1+Чувствительность!$D$20)*IFERROR(LOOKUP(Предпосылки!$H$210,$C$13:$C$15,R$13:R$15),1)</f>
        <v>0</v>
      </c>
      <c s="125">
        <f>Предпосылки!R$237*Предпосылки!$M271*Продажи!S36*S$19*(1+Чувствительность!$D$20)*IFERROR(LOOKUP(Предпосылки!$H$210,$C$13:$C$15,S$13:S$15),1)</f>
        <v>0</v>
      </c>
      <c s="125">
        <f>Предпосылки!S$237*Предпосылки!$M271*Продажи!T36*T$19*(1+Чувствительность!$D$20)*IFERROR(LOOKUP(Предпосылки!$H$210,$C$13:$C$15,T$13:T$15),1)</f>
        <v>0</v>
      </c>
      <c s="125">
        <f>Предпосылки!T$237*Предпосылки!$M271*Продажи!U36*U$19*(1+Чувствительность!$D$20)*IFERROR(LOOKUP(Предпосылки!$H$210,$C$13:$C$15,U$13:U$15),1)</f>
        <v>0</v>
      </c>
      <c s="125">
        <f>Предпосылки!U$237*Предпосылки!$M271*Продажи!V36*V$19*(1+Чувствительность!$D$20)*IFERROR(LOOKUP(Предпосылки!$H$210,$C$13:$C$15,V$13:V$15),1)</f>
        <v>0</v>
      </c>
      <c s="125">
        <f>Предпосылки!V$237*Предпосылки!$M271*Продажи!W36*W$19*(1+Чувствительность!$D$20)*IFERROR(LOOKUP(Предпосылки!$H$210,$C$13:$C$15,W$13:W$15),1)</f>
        <v>0</v>
      </c>
      <c s="125">
        <f>Предпосылки!W$237*Предпосылки!$M271*Продажи!X36*X$19*(1+Чувствительность!$D$20)*IFERROR(LOOKUP(Предпосылки!$H$210,$C$13:$C$15,X$13:X$15),1)</f>
        <v>0</v>
      </c>
      <c s="125">
        <f>Предпосылки!X$237*Предпосылки!$M271*Продажи!Y36*Y$19*(1+Чувствительность!$D$20)*IFERROR(LOOKUP(Предпосылки!$H$210,$C$13:$C$15,Y$13:Y$15),1)</f>
        <v>0</v>
      </c>
      <c s="125">
        <f>Предпосылки!Y$237*Предпосылки!$M271*Продажи!Z36*Z$19*(1+Чувствительность!$D$20)*IFERROR(LOOKUP(Предпосылки!$H$210,$C$13:$C$15,Z$13:Z$15),1)</f>
        <v>0</v>
      </c>
      <c s="125">
        <f>Предпосылки!Z$237*Предпосылки!$M271*Продажи!AA36*AA$19*(1+Чувствительность!$D$20)*IFERROR(LOOKUP(Предпосылки!$H$210,$C$13:$C$15,AA$13:AA$15),1)</f>
        <v>0</v>
      </c>
      <c s="125">
        <f>Предпосылки!AA$237*Предпосылки!$M271*Продажи!AB36*AB$19*(1+Чувствительность!$D$20)*IFERROR(LOOKUP(Предпосылки!$H$210,$C$13:$C$15,AB$13:AB$15),1)</f>
        <v>0</v>
      </c>
      <c s="125">
        <f>Предпосылки!AB$237*Предпосылки!$M271*Продажи!AC36*AC$19*(1+Чувствительность!$D$20)*IFERROR(LOOKUP(Предпосылки!$H$210,$C$13:$C$15,AC$13:AC$15),1)</f>
        <v>0</v>
      </c>
      <c s="125">
        <f>Предпосылки!AC$237*Предпосылки!$M271*Продажи!AD36*AD$19*(1+Чувствительность!$D$20)*IFERROR(LOOKUP(Предпосылки!$H$210,$C$13:$C$15,AD$13:AD$15),1)</f>
        <v>0</v>
      </c>
      <c s="125">
        <f>Предпосылки!AD$237*Предпосылки!$M271*Продажи!AE36*AE$19*(1+Чувствительность!$D$20)*IFERROR(LOOKUP(Предпосылки!$H$210,$C$13:$C$15,AE$13:AE$15),1)</f>
        <v>0</v>
      </c>
      <c s="125">
        <f>Предпосылки!AE$237*Предпосылки!$M271*Продажи!AF36*AF$19*(1+Чувствительность!$D$20)*IFERROR(LOOKUP(Предпосылки!$H$210,$C$13:$C$15,AF$13:AF$15),1)</f>
        <v>0</v>
      </c>
      <c s="125">
        <f>Предпосылки!AF$237*Предпосылки!$M271*Продажи!AG36*AG$19*(1+Чувствительность!$D$20)*IFERROR(LOOKUP(Предпосылки!$H$210,$C$13:$C$15,AG$13:AG$15),1)</f>
        <v>0</v>
      </c>
      <c s="125">
        <f>Предпосылки!AG$237*Предпосылки!$M271*Продажи!AH36*AH$19*(1+Чувствительность!$D$20)*IFERROR(LOOKUP(Предпосылки!$H$210,$C$13:$C$15,AH$13:AH$15),1)</f>
        <v>0</v>
      </c>
      <c s="125">
        <f>Предпосылки!AH$237*Предпосылки!$M271*Продажи!AI36*AI$19*(1+Чувствительность!$D$20)*IFERROR(LOOKUP(Предпосылки!$H$210,$C$13:$C$15,AI$13:AI$15),1)</f>
        <v>0</v>
      </c>
      <c s="125">
        <f>Предпосылки!AI$237*Предпосылки!$M271*Продажи!AJ36*AJ$19*(1+Чувствительность!$D$20)*IFERROR(LOOKUP(Предпосылки!$H$210,$C$13:$C$15,AJ$13:AJ$15),1)</f>
        <v>0</v>
      </c>
      <c s="125">
        <f>Предпосылки!AJ$237*Предпосылки!$M271*Продажи!AK36*AK$19*(1+Чувствительность!$D$20)*IFERROR(LOOKUP(Предпосылки!$H$210,$C$13:$C$15,AK$13:AK$15),1)</f>
        <v>0</v>
      </c>
      <c s="125">
        <f>Предпосылки!AK$237*Предпосылки!$M271*Продажи!AL36*AL$19*(1+Чувствительность!$D$20)*IFERROR(LOOKUP(Предпосылки!$H$210,$C$13:$C$15,AL$13:AL$15),1)</f>
        <v>0</v>
      </c>
      <c s="125">
        <f>Предпосылки!AL$237*Предпосылки!$M271*Продажи!AM36*AM$19*(1+Чувствительность!$D$20)*IFERROR(LOOKUP(Предпосылки!$H$210,$C$13:$C$15,AM$13:AM$15),1)</f>
        <v>0</v>
      </c>
      <c s="125">
        <f>Предпосылки!AM$237*Предпосылки!$M271*Продажи!AN36*AN$19*(1+Чувствительность!$D$20)*IFERROR(LOOKUP(Предпосылки!$H$210,$C$13:$C$15,AN$13:AN$15),1)</f>
        <v>0</v>
      </c>
      <c s="125">
        <f>Предпосылки!AN$237*Предпосылки!$M271*Продажи!AO36*AO$19*(1+Чувствительность!$D$20)*IFERROR(LOOKUP(Предпосылки!$H$210,$C$13:$C$15,AO$13:AO$15),1)</f>
        <v>0</v>
      </c>
      <c s="125">
        <f>Предпосылки!AO$237*Предпосылки!$M271*Продажи!AP36*AP$19*(1+Чувствительность!$D$20)*IFERROR(LOOKUP(Предпосылки!$H$210,$C$13:$C$15,AP$13:AP$15),1)</f>
        <v>0</v>
      </c>
      <c s="125">
        <f>Предпосылки!AP$237*Предпосылки!$M271*Продажи!AQ36*AQ$19*(1+Чувствительность!$D$20)*IFERROR(LOOKUP(Предпосылки!$H$210,$C$13:$C$15,AQ$13:AQ$15),1)</f>
        <v>0</v>
      </c>
      <c s="125">
        <f>Предпосылки!AQ$237*Предпосылки!$M271*Продажи!AR36*AR$19*(1+Чувствительность!$D$20)*IFERROR(LOOKUP(Предпосылки!$H$210,$C$13:$C$15,AR$13:AR$15),1)</f>
        <v>0</v>
      </c>
      <c s="125">
        <f>Предпосылки!AR$237*Предпосылки!$M271*Продажи!AS36*AS$19*(1+Чувствительность!$D$20)*IFERROR(LOOKUP(Предпосылки!$H$210,$C$13:$C$15,AS$13:AS$15),1)</f>
        <v>0</v>
      </c>
      <c s="125">
        <f>Предпосылки!AS$237*Предпосылки!$M271*Продажи!AT36*AT$19*(1+Чувствительность!$D$20)*IFERROR(LOOKUP(Предпосылки!$H$210,$C$13:$C$15,AT$13:AT$15),1)</f>
        <v>0</v>
      </c>
      <c s="125">
        <f>Предпосылки!AT$237*Предпосылки!$M271*Продажи!AU36*AU$19*(1+Чувствительность!$D$20)*IFERROR(LOOKUP(Предпосылки!$H$210,$C$13:$C$15,AU$13:AU$15),1)</f>
        <v>0</v>
      </c>
      <c s="125">
        <f>Предпосылки!AU$237*Предпосылки!$M271*Продажи!AV36*AV$19*(1+Чувствительность!$D$20)*IFERROR(LOOKUP(Предпосылки!$H$210,$C$13:$C$15,AV$13:AV$15),1)</f>
        <v>0</v>
      </c>
      <c s="125">
        <f>Предпосылки!AV$237*Предпосылки!$M271*Продажи!AW36*AW$19*(1+Чувствительность!$D$20)*IFERROR(LOOKUP(Предпосылки!$H$210,$C$13:$C$15,AW$13:AW$15),1)</f>
        <v>0</v>
      </c>
      <c s="125">
        <f>Предпосылки!AW$237*Предпосылки!$M271*Продажи!AX36*AX$19*(1+Чувствительность!$D$20)*IFERROR(LOOKUP(Предпосылки!$H$210,$C$13:$C$15,AX$13:AX$15),1)</f>
        <v>0</v>
      </c>
      <c s="125">
        <f>Предпосылки!AX$237*Предпосылки!$M271*Продажи!AY36*AY$19*(1+Чувствительность!$D$20)*IFERROR(LOOKUP(Предпосылки!$H$210,$C$13:$C$15,AY$13:AY$15),1)</f>
        <v>0</v>
      </c>
      <c s="125">
        <f>Предпосылки!AY$237*Предпосылки!$M271*Продажи!AZ36*AZ$19*(1+Чувствительность!$D$20)*IFERROR(LOOKUP(Предпосылки!$H$210,$C$13:$C$15,AZ$13:AZ$15),1)</f>
        <v>0</v>
      </c>
      <c s="125">
        <f>Предпосылки!AZ$237*Предпосылки!$M271*Продажи!BA36*BA$19*(1+Чувствительность!$D$20)*IFERROR(LOOKUP(Предпосылки!$H$210,$C$13:$C$15,BA$13:BA$15),1)</f>
        <v>0</v>
      </c>
      <c s="125">
        <f>Предпосылки!BA$237*Предпосылки!$M271*Продажи!BB36*BB$19*(1+Чувствительность!$D$20)*IFERROR(LOOKUP(Предпосылки!$H$210,$C$13:$C$15,BB$13:BB$15),1)</f>
        <v>0</v>
      </c>
      <c s="125">
        <f>Предпосылки!BB$237*Предпосылки!$M271*Продажи!BC36*BC$19*(1+Чувствительность!$D$20)*IFERROR(LOOKUP(Предпосылки!$H$210,$C$13:$C$15,BC$13:BC$15),1)</f>
        <v>0</v>
      </c>
      <c s="125">
        <f>Предпосылки!BC$237*Предпосылки!$M271*Продажи!BD36*BD$19*(1+Чувствительность!$D$20)*IFERROR(LOOKUP(Предпосылки!$H$210,$C$13:$C$15,BD$13:BD$15),1)</f>
        <v>0</v>
      </c>
      <c s="125">
        <f>Предпосылки!BD$237*Предпосылки!$M271*Продажи!BE36*BE$19*(1+Чувствительность!$D$20)*IFERROR(LOOKUP(Предпосылки!$H$210,$C$13:$C$15,BE$13:BE$15),1)</f>
        <v>0</v>
      </c>
      <c s="125">
        <f>Предпосылки!BE$237*Предпосылки!$M271*Продажи!BF36*BF$19*(1+Чувствительность!$D$20)*IFERROR(LOOKUP(Предпосылки!$H$210,$C$13:$C$15,BF$13:BF$15),1)</f>
        <v>0</v>
      </c>
      <c s="125">
        <f>Предпосылки!BF$237*Предпосылки!$M271*Продажи!BG36*BG$19*(1+Чувствительность!$D$20)*IFERROR(LOOKUP(Предпосылки!$H$210,$C$13:$C$15,BG$13:BG$15),1)</f>
        <v>0</v>
      </c>
      <c s="125">
        <f>Предпосылки!BG$237*Предпосылки!$M271*Продажи!BH36*BH$19*(1+Чувствительность!$D$20)*IFERROR(LOOKUP(Предпосылки!$H$210,$C$13:$C$15,BH$13:BH$15),1)</f>
        <v>0</v>
      </c>
      <c s="125">
        <f>Предпосылки!BH$237*Предпосылки!$M271*Продажи!BI36*BI$19*(1+Чувствительность!$D$20)*IFERROR(LOOKUP(Предпосылки!$H$210,$C$13:$C$15,BI$13:BI$15),1)</f>
        <v>0</v>
      </c>
      <c s="125">
        <f>Предпосылки!BI$237*Предпосылки!$M271*Продажи!BJ36*BJ$19*(1+Чувствительность!$D$20)*IFERROR(LOOKUP(Предпосылки!$H$210,$C$13:$C$15,BJ$13:BJ$15),1)</f>
        <v>0</v>
      </c>
      <c s="125">
        <f>Предпосылки!BJ$237*Предпосылки!$M271*Продажи!BK36*BK$19*(1+Чувствительность!$D$20)*IFERROR(LOOKUP(Предпосылки!$H$210,$C$13:$C$15,BK$13:BK$15),1)</f>
        <v>0</v>
      </c>
      <c s="125">
        <f>Предпосылки!BK$237*Предпосылки!$M271*Продажи!BL36*BL$19*(1+Чувствительность!$D$20)*IFERROR(LOOKUP(Предпосылки!$H$210,$C$13:$C$15,BL$13:BL$15),1)</f>
        <v>0</v>
      </c>
      <c s="125">
        <f>Предпосылки!BL$237*Предпосылки!$M271*Продажи!BM36*BM$19*(1+Чувствительность!$D$20)*IFERROR(LOOKUP(Предпосылки!$H$210,$C$13:$C$15,BM$13:BM$15),1)</f>
        <v>0</v>
      </c>
    </row>
    <row r="249" spans="2:65" ht="15" customHeight="1">
      <c r="B249" s="12" t="str">
        <f t="shared" si="106"/>
        <v>Продукт 20</v>
      </c>
      <c s="124" t="str">
        <f t="shared" si="105"/>
        <v>тыс. руб.</v>
      </c>
      <c s="276">
        <f t="shared" si="107"/>
        <v>0</v>
      </c>
      <c s="125">
        <f>Предпосылки!D$237*Предпосылки!$M272*Продажи!E37*E$19*(1+Чувствительность!$D$20)*IFERROR(LOOKUP(Предпосылки!$H$210,$C$13:$C$15,E$13:E$15),1)</f>
        <v>0</v>
      </c>
      <c s="125">
        <f>Предпосылки!E$237*Предпосылки!$M272*Продажи!F37*F$19*(1+Чувствительность!$D$20)*IFERROR(LOOKUP(Предпосылки!$H$210,$C$13:$C$15,F$13:F$15),1)</f>
        <v>0</v>
      </c>
      <c s="125">
        <f>Предпосылки!F$237*Предпосылки!$M272*Продажи!G37*G$19*(1+Чувствительность!$D$20)*IFERROR(LOOKUP(Предпосылки!$H$210,$C$13:$C$15,G$13:G$15),1)</f>
        <v>0</v>
      </c>
      <c s="125">
        <f>Предпосылки!G$237*Предпосылки!$M272*Продажи!H37*H$19*(1+Чувствительность!$D$20)*IFERROR(LOOKUP(Предпосылки!$H$210,$C$13:$C$15,H$13:H$15),1)</f>
        <v>0</v>
      </c>
      <c s="125">
        <f>Предпосылки!H$237*Предпосылки!$M272*Продажи!I37*I$19*(1+Чувствительность!$D$20)*IFERROR(LOOKUP(Предпосылки!$H$210,$C$13:$C$15,I$13:I$15),1)</f>
        <v>0</v>
      </c>
      <c s="125">
        <f>Предпосылки!I$237*Предпосылки!$M272*Продажи!J37*J$19*(1+Чувствительность!$D$20)*IFERROR(LOOKUP(Предпосылки!$H$210,$C$13:$C$15,J$13:J$15),1)</f>
        <v>0</v>
      </c>
      <c s="125">
        <f>Предпосылки!J$237*Предпосылки!$M272*Продажи!K37*K$19*(1+Чувствительность!$D$20)*IFERROR(LOOKUP(Предпосылки!$H$210,$C$13:$C$15,K$13:K$15),1)</f>
        <v>0</v>
      </c>
      <c s="125">
        <f>Предпосылки!K$237*Предпосылки!$M272*Продажи!L37*L$19*(1+Чувствительность!$D$20)*IFERROR(LOOKUP(Предпосылки!$H$210,$C$13:$C$15,L$13:L$15),1)</f>
        <v>0</v>
      </c>
      <c s="125">
        <f>Предпосылки!L$237*Предпосылки!$M272*Продажи!M37*M$19*(1+Чувствительность!$D$20)*IFERROR(LOOKUP(Предпосылки!$H$210,$C$13:$C$15,M$13:M$15),1)</f>
        <v>0</v>
      </c>
      <c s="125">
        <f>Предпосылки!M$237*Предпосылки!$M272*Продажи!N37*N$19*(1+Чувствительность!$D$20)*IFERROR(LOOKUP(Предпосылки!$H$210,$C$13:$C$15,N$13:N$15),1)</f>
        <v>0</v>
      </c>
      <c s="125">
        <f>Предпосылки!N$237*Предпосылки!$M272*Продажи!O37*O$19*(1+Чувствительность!$D$20)*IFERROR(LOOKUP(Предпосылки!$H$210,$C$13:$C$15,O$13:O$15),1)</f>
        <v>0</v>
      </c>
      <c s="125">
        <f>Предпосылки!O$237*Предпосылки!$M272*Продажи!P37*P$19*(1+Чувствительность!$D$20)*IFERROR(LOOKUP(Предпосылки!$H$210,$C$13:$C$15,P$13:P$15),1)</f>
        <v>0</v>
      </c>
      <c s="125">
        <f>Предпосылки!P$237*Предпосылки!$M272*Продажи!Q37*Q$19*(1+Чувствительность!$D$20)*IFERROR(LOOKUP(Предпосылки!$H$210,$C$13:$C$15,Q$13:Q$15),1)</f>
        <v>0</v>
      </c>
      <c s="125">
        <f>Предпосылки!Q$237*Предпосылки!$M272*Продажи!R37*R$19*(1+Чувствительность!$D$20)*IFERROR(LOOKUP(Предпосылки!$H$210,$C$13:$C$15,R$13:R$15),1)</f>
        <v>0</v>
      </c>
      <c s="125">
        <f>Предпосылки!R$237*Предпосылки!$M272*Продажи!S37*S$19*(1+Чувствительность!$D$20)*IFERROR(LOOKUP(Предпосылки!$H$210,$C$13:$C$15,S$13:S$15),1)</f>
        <v>0</v>
      </c>
      <c s="125">
        <f>Предпосылки!S$237*Предпосылки!$M272*Продажи!T37*T$19*(1+Чувствительность!$D$20)*IFERROR(LOOKUP(Предпосылки!$H$210,$C$13:$C$15,T$13:T$15),1)</f>
        <v>0</v>
      </c>
      <c s="125">
        <f>Предпосылки!T$237*Предпосылки!$M272*Продажи!U37*U$19*(1+Чувствительность!$D$20)*IFERROR(LOOKUP(Предпосылки!$H$210,$C$13:$C$15,U$13:U$15),1)</f>
        <v>0</v>
      </c>
      <c s="125">
        <f>Предпосылки!U$237*Предпосылки!$M272*Продажи!V37*V$19*(1+Чувствительность!$D$20)*IFERROR(LOOKUP(Предпосылки!$H$210,$C$13:$C$15,V$13:V$15),1)</f>
        <v>0</v>
      </c>
      <c s="125">
        <f>Предпосылки!V$237*Предпосылки!$M272*Продажи!W37*W$19*(1+Чувствительность!$D$20)*IFERROR(LOOKUP(Предпосылки!$H$210,$C$13:$C$15,W$13:W$15),1)</f>
        <v>0</v>
      </c>
      <c s="125">
        <f>Предпосылки!W$237*Предпосылки!$M272*Продажи!X37*X$19*(1+Чувствительность!$D$20)*IFERROR(LOOKUP(Предпосылки!$H$210,$C$13:$C$15,X$13:X$15),1)</f>
        <v>0</v>
      </c>
      <c s="125">
        <f>Предпосылки!X$237*Предпосылки!$M272*Продажи!Y37*Y$19*(1+Чувствительность!$D$20)*IFERROR(LOOKUP(Предпосылки!$H$210,$C$13:$C$15,Y$13:Y$15),1)</f>
        <v>0</v>
      </c>
      <c s="125">
        <f>Предпосылки!Y$237*Предпосылки!$M272*Продажи!Z37*Z$19*(1+Чувствительность!$D$20)*IFERROR(LOOKUP(Предпосылки!$H$210,$C$13:$C$15,Z$13:Z$15),1)</f>
        <v>0</v>
      </c>
      <c s="125">
        <f>Предпосылки!Z$237*Предпосылки!$M272*Продажи!AA37*AA$19*(1+Чувствительность!$D$20)*IFERROR(LOOKUP(Предпосылки!$H$210,$C$13:$C$15,AA$13:AA$15),1)</f>
        <v>0</v>
      </c>
      <c s="125">
        <f>Предпосылки!AA$237*Предпосылки!$M272*Продажи!AB37*AB$19*(1+Чувствительность!$D$20)*IFERROR(LOOKUP(Предпосылки!$H$210,$C$13:$C$15,AB$13:AB$15),1)</f>
        <v>0</v>
      </c>
      <c s="125">
        <f>Предпосылки!AB$237*Предпосылки!$M272*Продажи!AC37*AC$19*(1+Чувствительность!$D$20)*IFERROR(LOOKUP(Предпосылки!$H$210,$C$13:$C$15,AC$13:AC$15),1)</f>
        <v>0</v>
      </c>
      <c s="125">
        <f>Предпосылки!AC$237*Предпосылки!$M272*Продажи!AD37*AD$19*(1+Чувствительность!$D$20)*IFERROR(LOOKUP(Предпосылки!$H$210,$C$13:$C$15,AD$13:AD$15),1)</f>
        <v>0</v>
      </c>
      <c s="125">
        <f>Предпосылки!AD$237*Предпосылки!$M272*Продажи!AE37*AE$19*(1+Чувствительность!$D$20)*IFERROR(LOOKUP(Предпосылки!$H$210,$C$13:$C$15,AE$13:AE$15),1)</f>
        <v>0</v>
      </c>
      <c s="125">
        <f>Предпосылки!AE$237*Предпосылки!$M272*Продажи!AF37*AF$19*(1+Чувствительность!$D$20)*IFERROR(LOOKUP(Предпосылки!$H$210,$C$13:$C$15,AF$13:AF$15),1)</f>
        <v>0</v>
      </c>
      <c s="125">
        <f>Предпосылки!AF$237*Предпосылки!$M272*Продажи!AG37*AG$19*(1+Чувствительность!$D$20)*IFERROR(LOOKUP(Предпосылки!$H$210,$C$13:$C$15,AG$13:AG$15),1)</f>
        <v>0</v>
      </c>
      <c s="125">
        <f>Предпосылки!AG$237*Предпосылки!$M272*Продажи!AH37*AH$19*(1+Чувствительность!$D$20)*IFERROR(LOOKUP(Предпосылки!$H$210,$C$13:$C$15,AH$13:AH$15),1)</f>
        <v>0</v>
      </c>
      <c s="125">
        <f>Предпосылки!AH$237*Предпосылки!$M272*Продажи!AI37*AI$19*(1+Чувствительность!$D$20)*IFERROR(LOOKUP(Предпосылки!$H$210,$C$13:$C$15,AI$13:AI$15),1)</f>
        <v>0</v>
      </c>
      <c s="125">
        <f>Предпосылки!AI$237*Предпосылки!$M272*Продажи!AJ37*AJ$19*(1+Чувствительность!$D$20)*IFERROR(LOOKUP(Предпосылки!$H$210,$C$13:$C$15,AJ$13:AJ$15),1)</f>
        <v>0</v>
      </c>
      <c s="125">
        <f>Предпосылки!AJ$237*Предпосылки!$M272*Продажи!AK37*AK$19*(1+Чувствительность!$D$20)*IFERROR(LOOKUP(Предпосылки!$H$210,$C$13:$C$15,AK$13:AK$15),1)</f>
        <v>0</v>
      </c>
      <c s="125">
        <f>Предпосылки!AK$237*Предпосылки!$M272*Продажи!AL37*AL$19*(1+Чувствительность!$D$20)*IFERROR(LOOKUP(Предпосылки!$H$210,$C$13:$C$15,AL$13:AL$15),1)</f>
        <v>0</v>
      </c>
      <c s="125">
        <f>Предпосылки!AL$237*Предпосылки!$M272*Продажи!AM37*AM$19*(1+Чувствительность!$D$20)*IFERROR(LOOKUP(Предпосылки!$H$210,$C$13:$C$15,AM$13:AM$15),1)</f>
        <v>0</v>
      </c>
      <c s="125">
        <f>Предпосылки!AM$237*Предпосылки!$M272*Продажи!AN37*AN$19*(1+Чувствительность!$D$20)*IFERROR(LOOKUP(Предпосылки!$H$210,$C$13:$C$15,AN$13:AN$15),1)</f>
        <v>0</v>
      </c>
      <c s="125">
        <f>Предпосылки!AN$237*Предпосылки!$M272*Продажи!AO37*AO$19*(1+Чувствительность!$D$20)*IFERROR(LOOKUP(Предпосылки!$H$210,$C$13:$C$15,AO$13:AO$15),1)</f>
        <v>0</v>
      </c>
      <c s="125">
        <f>Предпосылки!AO$237*Предпосылки!$M272*Продажи!AP37*AP$19*(1+Чувствительность!$D$20)*IFERROR(LOOKUP(Предпосылки!$H$210,$C$13:$C$15,AP$13:AP$15),1)</f>
        <v>0</v>
      </c>
      <c s="125">
        <f>Предпосылки!AP$237*Предпосылки!$M272*Продажи!AQ37*AQ$19*(1+Чувствительность!$D$20)*IFERROR(LOOKUP(Предпосылки!$H$210,$C$13:$C$15,AQ$13:AQ$15),1)</f>
        <v>0</v>
      </c>
      <c s="125">
        <f>Предпосылки!AQ$237*Предпосылки!$M272*Продажи!AR37*AR$19*(1+Чувствительность!$D$20)*IFERROR(LOOKUP(Предпосылки!$H$210,$C$13:$C$15,AR$13:AR$15),1)</f>
        <v>0</v>
      </c>
      <c s="125">
        <f>Предпосылки!AR$237*Предпосылки!$M272*Продажи!AS37*AS$19*(1+Чувствительность!$D$20)*IFERROR(LOOKUP(Предпосылки!$H$210,$C$13:$C$15,AS$13:AS$15),1)</f>
        <v>0</v>
      </c>
      <c s="125">
        <f>Предпосылки!AS$237*Предпосылки!$M272*Продажи!AT37*AT$19*(1+Чувствительность!$D$20)*IFERROR(LOOKUP(Предпосылки!$H$210,$C$13:$C$15,AT$13:AT$15),1)</f>
        <v>0</v>
      </c>
      <c s="125">
        <f>Предпосылки!AT$237*Предпосылки!$M272*Продажи!AU37*AU$19*(1+Чувствительность!$D$20)*IFERROR(LOOKUP(Предпосылки!$H$210,$C$13:$C$15,AU$13:AU$15),1)</f>
        <v>0</v>
      </c>
      <c s="125">
        <f>Предпосылки!AU$237*Предпосылки!$M272*Продажи!AV37*AV$19*(1+Чувствительность!$D$20)*IFERROR(LOOKUP(Предпосылки!$H$210,$C$13:$C$15,AV$13:AV$15),1)</f>
        <v>0</v>
      </c>
      <c s="125">
        <f>Предпосылки!AV$237*Предпосылки!$M272*Продажи!AW37*AW$19*(1+Чувствительность!$D$20)*IFERROR(LOOKUP(Предпосылки!$H$210,$C$13:$C$15,AW$13:AW$15),1)</f>
        <v>0</v>
      </c>
      <c s="125">
        <f>Предпосылки!AW$237*Предпосылки!$M272*Продажи!AX37*AX$19*(1+Чувствительность!$D$20)*IFERROR(LOOKUP(Предпосылки!$H$210,$C$13:$C$15,AX$13:AX$15),1)</f>
        <v>0</v>
      </c>
      <c s="125">
        <f>Предпосылки!AX$237*Предпосылки!$M272*Продажи!AY37*AY$19*(1+Чувствительность!$D$20)*IFERROR(LOOKUP(Предпосылки!$H$210,$C$13:$C$15,AY$13:AY$15),1)</f>
        <v>0</v>
      </c>
      <c s="125">
        <f>Предпосылки!AY$237*Предпосылки!$M272*Продажи!AZ37*AZ$19*(1+Чувствительность!$D$20)*IFERROR(LOOKUP(Предпосылки!$H$210,$C$13:$C$15,AZ$13:AZ$15),1)</f>
        <v>0</v>
      </c>
      <c s="125">
        <f>Предпосылки!AZ$237*Предпосылки!$M272*Продажи!BA37*BA$19*(1+Чувствительность!$D$20)*IFERROR(LOOKUP(Предпосылки!$H$210,$C$13:$C$15,BA$13:BA$15),1)</f>
        <v>0</v>
      </c>
      <c s="125">
        <f>Предпосылки!BA$237*Предпосылки!$M272*Продажи!BB37*BB$19*(1+Чувствительность!$D$20)*IFERROR(LOOKUP(Предпосылки!$H$210,$C$13:$C$15,BB$13:BB$15),1)</f>
        <v>0</v>
      </c>
      <c s="125">
        <f>Предпосылки!BB$237*Предпосылки!$M272*Продажи!BC37*BC$19*(1+Чувствительность!$D$20)*IFERROR(LOOKUP(Предпосылки!$H$210,$C$13:$C$15,BC$13:BC$15),1)</f>
        <v>0</v>
      </c>
      <c s="125">
        <f>Предпосылки!BC$237*Предпосылки!$M272*Продажи!BD37*BD$19*(1+Чувствительность!$D$20)*IFERROR(LOOKUP(Предпосылки!$H$210,$C$13:$C$15,BD$13:BD$15),1)</f>
        <v>0</v>
      </c>
      <c s="125">
        <f>Предпосылки!BD$237*Предпосылки!$M272*Продажи!BE37*BE$19*(1+Чувствительность!$D$20)*IFERROR(LOOKUP(Предпосылки!$H$210,$C$13:$C$15,BE$13:BE$15),1)</f>
        <v>0</v>
      </c>
      <c s="125">
        <f>Предпосылки!BE$237*Предпосылки!$M272*Продажи!BF37*BF$19*(1+Чувствительность!$D$20)*IFERROR(LOOKUP(Предпосылки!$H$210,$C$13:$C$15,BF$13:BF$15),1)</f>
        <v>0</v>
      </c>
      <c s="125">
        <f>Предпосылки!BF$237*Предпосылки!$M272*Продажи!BG37*BG$19*(1+Чувствительность!$D$20)*IFERROR(LOOKUP(Предпосылки!$H$210,$C$13:$C$15,BG$13:BG$15),1)</f>
        <v>0</v>
      </c>
      <c s="125">
        <f>Предпосылки!BG$237*Предпосылки!$M272*Продажи!BH37*BH$19*(1+Чувствительность!$D$20)*IFERROR(LOOKUP(Предпосылки!$H$210,$C$13:$C$15,BH$13:BH$15),1)</f>
        <v>0</v>
      </c>
      <c s="125">
        <f>Предпосылки!BH$237*Предпосылки!$M272*Продажи!BI37*BI$19*(1+Чувствительность!$D$20)*IFERROR(LOOKUP(Предпосылки!$H$210,$C$13:$C$15,BI$13:BI$15),1)</f>
        <v>0</v>
      </c>
      <c s="125">
        <f>Предпосылки!BI$237*Предпосылки!$M272*Продажи!BJ37*BJ$19*(1+Чувствительность!$D$20)*IFERROR(LOOKUP(Предпосылки!$H$210,$C$13:$C$15,BJ$13:BJ$15),1)</f>
        <v>0</v>
      </c>
      <c s="125">
        <f>Предпосылки!BJ$237*Предпосылки!$M272*Продажи!BK37*BK$19*(1+Чувствительность!$D$20)*IFERROR(LOOKUP(Предпосылки!$H$210,$C$13:$C$15,BK$13:BK$15),1)</f>
        <v>0</v>
      </c>
      <c s="125">
        <f>Предпосылки!BK$237*Предпосылки!$M272*Продажи!BL37*BL$19*(1+Чувствительность!$D$20)*IFERROR(LOOKUP(Предпосылки!$H$210,$C$13:$C$15,BL$13:BL$15),1)</f>
        <v>0</v>
      </c>
      <c s="125">
        <f>Предпосылки!BL$237*Предпосылки!$M272*Продажи!BM37*BM$19*(1+Чувствительность!$D$20)*IFERROR(LOOKUP(Предпосылки!$H$210,$C$13:$C$15,BM$13:BM$15),1)</f>
        <v>0</v>
      </c>
    </row>
    <row r="250" spans="2:65" ht="15" customHeight="1">
      <c r="B250" s="289" t="s">
        <v>454</v>
      </c>
      <c s="290" t="str">
        <f>Единица_измерения</f>
        <v>тыс. руб.</v>
      </c>
      <c s="291">
        <f>SUM(D230:D249)</f>
        <v>0</v>
      </c>
      <c s="276">
        <f>SUM(E230:E249)</f>
        <v>0</v>
      </c>
      <c s="276">
        <f t="shared" si="108" ref="F250:AG250">SUM(F230:F249)</f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8"/>
        <v>0</v>
      </c>
      <c s="276">
        <f t="shared" si="109" ref="AH250:BM250">SUM(AH230:AH249)</f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</row>
    <row r="251" ht="15" customHeight="1"/>
    <row r="252" spans="2:69" ht="14.45">
      <c r="B252" s="25" t="str">
        <f>Предпосылки!B238</f>
        <v>Операционные затраты 11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53" spans="2:65" ht="15" customHeight="1">
      <c r="B253" s="12" t="str">
        <f>B230</f>
        <v>Продукт 1</v>
      </c>
      <c s="124" t="str">
        <f t="shared" si="110" ref="C253:C272">Единица_измерения</f>
        <v>тыс. руб.</v>
      </c>
      <c s="276">
        <f>SUM(E253:BM253)</f>
        <v>0</v>
      </c>
      <c s="125">
        <f>Предпосылки!D$238*Предпосылки!$N253*Продажи!E18*E$19*(1+Чувствительность!$D$20)*IFERROR(LOOKUP(Предпосылки!$H$211,$C$13:$C$15,E$13:E$15),1)</f>
        <v>0</v>
      </c>
      <c s="125">
        <f>Предпосылки!E$238*Предпосылки!$N253*Продажи!F18*F$19*(1+Чувствительность!$D$20)*IFERROR(LOOKUP(Предпосылки!$H$211,$C$13:$C$15,F$13:F$15),1)</f>
        <v>0</v>
      </c>
      <c s="125">
        <f>Предпосылки!F$238*Предпосылки!$N253*Продажи!G18*G$19*(1+Чувствительность!$D$20)*IFERROR(LOOKUP(Предпосылки!$H$211,$C$13:$C$15,G$13:G$15),1)</f>
        <v>0</v>
      </c>
      <c s="125">
        <f>Предпосылки!G$238*Предпосылки!$N253*Продажи!H18*H$19*(1+Чувствительность!$D$20)*IFERROR(LOOKUP(Предпосылки!$H$211,$C$13:$C$15,H$13:H$15),1)</f>
        <v>0</v>
      </c>
      <c s="125">
        <f>Предпосылки!H$238*Предпосылки!$N253*Продажи!I18*I$19*(1+Чувствительность!$D$20)*IFERROR(LOOKUP(Предпосылки!$H$211,$C$13:$C$15,I$13:I$15),1)</f>
        <v>0</v>
      </c>
      <c s="125">
        <f>Предпосылки!I$238*Предпосылки!$N253*Продажи!J18*J$19*(1+Чувствительность!$D$20)*IFERROR(LOOKUP(Предпосылки!$H$211,$C$13:$C$15,J$13:J$15),1)</f>
        <v>0</v>
      </c>
      <c s="125">
        <f>Предпосылки!J$238*Предпосылки!$N253*Продажи!K18*K$19*(1+Чувствительность!$D$20)*IFERROR(LOOKUP(Предпосылки!$H$211,$C$13:$C$15,K$13:K$15),1)</f>
        <v>0</v>
      </c>
      <c s="125">
        <f>Предпосылки!K$238*Предпосылки!$N253*Продажи!L18*L$19*(1+Чувствительность!$D$20)*IFERROR(LOOKUP(Предпосылки!$H$211,$C$13:$C$15,L$13:L$15),1)</f>
        <v>0</v>
      </c>
      <c s="125">
        <f>Предпосылки!L$238*Предпосылки!$N253*Продажи!M18*M$19*(1+Чувствительность!$D$20)*IFERROR(LOOKUP(Предпосылки!$H$211,$C$13:$C$15,M$13:M$15),1)</f>
        <v>0</v>
      </c>
      <c s="125">
        <f>Предпосылки!M$238*Предпосылки!$N253*Продажи!N18*N$19*(1+Чувствительность!$D$20)*IFERROR(LOOKUP(Предпосылки!$H$211,$C$13:$C$15,N$13:N$15),1)</f>
        <v>0</v>
      </c>
      <c s="125">
        <f>Предпосылки!N$238*Предпосылки!$N253*Продажи!O18*O$19*(1+Чувствительность!$D$20)*IFERROR(LOOKUP(Предпосылки!$H$211,$C$13:$C$15,O$13:O$15),1)</f>
        <v>0</v>
      </c>
      <c s="125">
        <f>Предпосылки!O$238*Предпосылки!$N253*Продажи!P18*P$19*(1+Чувствительность!$D$20)*IFERROR(LOOKUP(Предпосылки!$H$211,$C$13:$C$15,P$13:P$15),1)</f>
        <v>0</v>
      </c>
      <c s="125">
        <f>Предпосылки!P$238*Предпосылки!$N253*Продажи!Q18*Q$19*(1+Чувствительность!$D$20)*IFERROR(LOOKUP(Предпосылки!$H$211,$C$13:$C$15,Q$13:Q$15),1)</f>
        <v>0</v>
      </c>
      <c s="125">
        <f>Предпосылки!Q$238*Предпосылки!$N253*Продажи!R18*R$19*(1+Чувствительность!$D$20)*IFERROR(LOOKUP(Предпосылки!$H$211,$C$13:$C$15,R$13:R$15),1)</f>
        <v>0</v>
      </c>
      <c s="125">
        <f>Предпосылки!R$238*Предпосылки!$N253*Продажи!S18*S$19*(1+Чувствительность!$D$20)*IFERROR(LOOKUP(Предпосылки!$H$211,$C$13:$C$15,S$13:S$15),1)</f>
        <v>0</v>
      </c>
      <c s="125">
        <f>Предпосылки!S$238*Предпосылки!$N253*Продажи!T18*T$19*(1+Чувствительность!$D$20)*IFERROR(LOOKUP(Предпосылки!$H$211,$C$13:$C$15,T$13:T$15),1)</f>
        <v>0</v>
      </c>
      <c s="125">
        <f>Предпосылки!T$238*Предпосылки!$N253*Продажи!U18*U$19*(1+Чувствительность!$D$20)*IFERROR(LOOKUP(Предпосылки!$H$211,$C$13:$C$15,U$13:U$15),1)</f>
        <v>0</v>
      </c>
      <c s="125">
        <f>Предпосылки!U$238*Предпосылки!$N253*Продажи!V18*V$19*(1+Чувствительность!$D$20)*IFERROR(LOOKUP(Предпосылки!$H$211,$C$13:$C$15,V$13:V$15),1)</f>
        <v>0</v>
      </c>
      <c s="125">
        <f>Предпосылки!V$238*Предпосылки!$N253*Продажи!W18*W$19*(1+Чувствительность!$D$20)*IFERROR(LOOKUP(Предпосылки!$H$211,$C$13:$C$15,W$13:W$15),1)</f>
        <v>0</v>
      </c>
      <c s="125">
        <f>Предпосылки!W$238*Предпосылки!$N253*Продажи!X18*X$19*(1+Чувствительность!$D$20)*IFERROR(LOOKUP(Предпосылки!$H$211,$C$13:$C$15,X$13:X$15),1)</f>
        <v>0</v>
      </c>
      <c s="125">
        <f>Предпосылки!X$238*Предпосылки!$N253*Продажи!Y18*Y$19*(1+Чувствительность!$D$20)*IFERROR(LOOKUP(Предпосылки!$H$211,$C$13:$C$15,Y$13:Y$15),1)</f>
        <v>0</v>
      </c>
      <c s="125">
        <f>Предпосылки!Y$238*Предпосылки!$N253*Продажи!Z18*Z$19*(1+Чувствительность!$D$20)*IFERROR(LOOKUP(Предпосылки!$H$211,$C$13:$C$15,Z$13:Z$15),1)</f>
        <v>0</v>
      </c>
      <c s="125">
        <f>Предпосылки!Z$238*Предпосылки!$N253*Продажи!AA18*AA$19*(1+Чувствительность!$D$20)*IFERROR(LOOKUP(Предпосылки!$H$211,$C$13:$C$15,AA$13:AA$15),1)</f>
        <v>0</v>
      </c>
      <c s="125">
        <f>Предпосылки!AA$238*Предпосылки!$N253*Продажи!AB18*AB$19*(1+Чувствительность!$D$20)*IFERROR(LOOKUP(Предпосылки!$H$211,$C$13:$C$15,AB$13:AB$15),1)</f>
        <v>0</v>
      </c>
      <c s="125">
        <f>Предпосылки!AB$238*Предпосылки!$N253*Продажи!AC18*AC$19*(1+Чувствительность!$D$20)*IFERROR(LOOKUP(Предпосылки!$H$211,$C$13:$C$15,AC$13:AC$15),1)</f>
        <v>0</v>
      </c>
      <c s="125">
        <f>Предпосылки!AC$238*Предпосылки!$N253*Продажи!AD18*AD$19*(1+Чувствительность!$D$20)*IFERROR(LOOKUP(Предпосылки!$H$211,$C$13:$C$15,AD$13:AD$15),1)</f>
        <v>0</v>
      </c>
      <c s="125">
        <f>Предпосылки!AD$238*Предпосылки!$N253*Продажи!AE18*AE$19*(1+Чувствительность!$D$20)*IFERROR(LOOKUP(Предпосылки!$H$211,$C$13:$C$15,AE$13:AE$15),1)</f>
        <v>0</v>
      </c>
      <c s="125">
        <f>Предпосылки!AE$238*Предпосылки!$N253*Продажи!AF18*AF$19*(1+Чувствительность!$D$20)*IFERROR(LOOKUP(Предпосылки!$H$211,$C$13:$C$15,AF$13:AF$15),1)</f>
        <v>0</v>
      </c>
      <c s="125">
        <f>Предпосылки!AF$238*Предпосылки!$N253*Продажи!AG18*AG$19*(1+Чувствительность!$D$20)*IFERROR(LOOKUP(Предпосылки!$H$211,$C$13:$C$15,AG$13:AG$15),1)</f>
        <v>0</v>
      </c>
      <c s="125">
        <f>Предпосылки!AG$238*Предпосылки!$N253*Продажи!AH18*AH$19*(1+Чувствительность!$D$20)*IFERROR(LOOKUP(Предпосылки!$H$211,$C$13:$C$15,AH$13:AH$15),1)</f>
        <v>0</v>
      </c>
      <c s="125">
        <f>Предпосылки!AH$238*Предпосылки!$N253*Продажи!AI18*AI$19*(1+Чувствительность!$D$20)*IFERROR(LOOKUP(Предпосылки!$H$211,$C$13:$C$15,AI$13:AI$15),1)</f>
        <v>0</v>
      </c>
      <c s="125">
        <f>Предпосылки!AI$238*Предпосылки!$N253*Продажи!AJ18*AJ$19*(1+Чувствительность!$D$20)*IFERROR(LOOKUP(Предпосылки!$H$211,$C$13:$C$15,AJ$13:AJ$15),1)</f>
        <v>0</v>
      </c>
      <c s="125">
        <f>Предпосылки!AJ$238*Предпосылки!$N253*Продажи!AK18*AK$19*(1+Чувствительность!$D$20)*IFERROR(LOOKUP(Предпосылки!$H$211,$C$13:$C$15,AK$13:AK$15),1)</f>
        <v>0</v>
      </c>
      <c s="125">
        <f>Предпосылки!AK$238*Предпосылки!$N253*Продажи!AL18*AL$19*(1+Чувствительность!$D$20)*IFERROR(LOOKUP(Предпосылки!$H$211,$C$13:$C$15,AL$13:AL$15),1)</f>
        <v>0</v>
      </c>
      <c s="125">
        <f>Предпосылки!AL$238*Предпосылки!$N253*Продажи!AM18*AM$19*(1+Чувствительность!$D$20)*IFERROR(LOOKUP(Предпосылки!$H$211,$C$13:$C$15,AM$13:AM$15),1)</f>
        <v>0</v>
      </c>
      <c s="125">
        <f>Предпосылки!AM$238*Предпосылки!$N253*Продажи!AN18*AN$19*(1+Чувствительность!$D$20)*IFERROR(LOOKUP(Предпосылки!$H$211,$C$13:$C$15,AN$13:AN$15),1)</f>
        <v>0</v>
      </c>
      <c s="125">
        <f>Предпосылки!AN$238*Предпосылки!$N253*Продажи!AO18*AO$19*(1+Чувствительность!$D$20)*IFERROR(LOOKUP(Предпосылки!$H$211,$C$13:$C$15,AO$13:AO$15),1)</f>
        <v>0</v>
      </c>
      <c s="125">
        <f>Предпосылки!AO$238*Предпосылки!$N253*Продажи!AP18*AP$19*(1+Чувствительность!$D$20)*IFERROR(LOOKUP(Предпосылки!$H$211,$C$13:$C$15,AP$13:AP$15),1)</f>
        <v>0</v>
      </c>
      <c s="125">
        <f>Предпосылки!AP$238*Предпосылки!$N253*Продажи!AQ18*AQ$19*(1+Чувствительность!$D$20)*IFERROR(LOOKUP(Предпосылки!$H$211,$C$13:$C$15,AQ$13:AQ$15),1)</f>
        <v>0</v>
      </c>
      <c s="125">
        <f>Предпосылки!AQ$238*Предпосылки!$N253*Продажи!AR18*AR$19*(1+Чувствительность!$D$20)*IFERROR(LOOKUP(Предпосылки!$H$211,$C$13:$C$15,AR$13:AR$15),1)</f>
        <v>0</v>
      </c>
      <c s="125">
        <f>Предпосылки!AR$238*Предпосылки!$N253*Продажи!AS18*AS$19*(1+Чувствительность!$D$20)*IFERROR(LOOKUP(Предпосылки!$H$211,$C$13:$C$15,AS$13:AS$15),1)</f>
        <v>0</v>
      </c>
      <c s="125">
        <f>Предпосылки!AS$238*Предпосылки!$N253*Продажи!AT18*AT$19*(1+Чувствительность!$D$20)*IFERROR(LOOKUP(Предпосылки!$H$211,$C$13:$C$15,AT$13:AT$15),1)</f>
        <v>0</v>
      </c>
      <c s="125">
        <f>Предпосылки!AT$238*Предпосылки!$N253*Продажи!AU18*AU$19*(1+Чувствительность!$D$20)*IFERROR(LOOKUP(Предпосылки!$H$211,$C$13:$C$15,AU$13:AU$15),1)</f>
        <v>0</v>
      </c>
      <c s="125">
        <f>Предпосылки!AU$238*Предпосылки!$N253*Продажи!AV18*AV$19*(1+Чувствительность!$D$20)*IFERROR(LOOKUP(Предпосылки!$H$211,$C$13:$C$15,AV$13:AV$15),1)</f>
        <v>0</v>
      </c>
      <c s="125">
        <f>Предпосылки!AV$238*Предпосылки!$N253*Продажи!AW18*AW$19*(1+Чувствительность!$D$20)*IFERROR(LOOKUP(Предпосылки!$H$211,$C$13:$C$15,AW$13:AW$15),1)</f>
        <v>0</v>
      </c>
      <c s="125">
        <f>Предпосылки!AW$238*Предпосылки!$N253*Продажи!AX18*AX$19*(1+Чувствительность!$D$20)*IFERROR(LOOKUP(Предпосылки!$H$211,$C$13:$C$15,AX$13:AX$15),1)</f>
        <v>0</v>
      </c>
      <c s="125">
        <f>Предпосылки!AX$238*Предпосылки!$N253*Продажи!AY18*AY$19*(1+Чувствительность!$D$20)*IFERROR(LOOKUP(Предпосылки!$H$211,$C$13:$C$15,AY$13:AY$15),1)</f>
        <v>0</v>
      </c>
      <c s="125">
        <f>Предпосылки!AY$238*Предпосылки!$N253*Продажи!AZ18*AZ$19*(1+Чувствительность!$D$20)*IFERROR(LOOKUP(Предпосылки!$H$211,$C$13:$C$15,AZ$13:AZ$15),1)</f>
        <v>0</v>
      </c>
      <c s="125">
        <f>Предпосылки!AZ$238*Предпосылки!$N253*Продажи!BA18*BA$19*(1+Чувствительность!$D$20)*IFERROR(LOOKUP(Предпосылки!$H$211,$C$13:$C$15,BA$13:BA$15),1)</f>
        <v>0</v>
      </c>
      <c s="125">
        <f>Предпосылки!BA$238*Предпосылки!$N253*Продажи!BB18*BB$19*(1+Чувствительность!$D$20)*IFERROR(LOOKUP(Предпосылки!$H$211,$C$13:$C$15,BB$13:BB$15),1)</f>
        <v>0</v>
      </c>
      <c s="125">
        <f>Предпосылки!BB$238*Предпосылки!$N253*Продажи!BC18*BC$19*(1+Чувствительность!$D$20)*IFERROR(LOOKUP(Предпосылки!$H$211,$C$13:$C$15,BC$13:BC$15),1)</f>
        <v>0</v>
      </c>
      <c s="125">
        <f>Предпосылки!BC$238*Предпосылки!$N253*Продажи!BD18*BD$19*(1+Чувствительность!$D$20)*IFERROR(LOOKUP(Предпосылки!$H$211,$C$13:$C$15,BD$13:BD$15),1)</f>
        <v>0</v>
      </c>
      <c s="125">
        <f>Предпосылки!BD$238*Предпосылки!$N253*Продажи!BE18*BE$19*(1+Чувствительность!$D$20)*IFERROR(LOOKUP(Предпосылки!$H$211,$C$13:$C$15,BE$13:BE$15),1)</f>
        <v>0</v>
      </c>
      <c s="125">
        <f>Предпосылки!BE$238*Предпосылки!$N253*Продажи!BF18*BF$19*(1+Чувствительность!$D$20)*IFERROR(LOOKUP(Предпосылки!$H$211,$C$13:$C$15,BF$13:BF$15),1)</f>
        <v>0</v>
      </c>
      <c s="125">
        <f>Предпосылки!BF$238*Предпосылки!$N253*Продажи!BG18*BG$19*(1+Чувствительность!$D$20)*IFERROR(LOOKUP(Предпосылки!$H$211,$C$13:$C$15,BG$13:BG$15),1)</f>
        <v>0</v>
      </c>
      <c s="125">
        <f>Предпосылки!BG$238*Предпосылки!$N253*Продажи!BH18*BH$19*(1+Чувствительность!$D$20)*IFERROR(LOOKUP(Предпосылки!$H$211,$C$13:$C$15,BH$13:BH$15),1)</f>
        <v>0</v>
      </c>
      <c s="125">
        <f>Предпосылки!BH$238*Предпосылки!$N253*Продажи!BI18*BI$19*(1+Чувствительность!$D$20)*IFERROR(LOOKUP(Предпосылки!$H$211,$C$13:$C$15,BI$13:BI$15),1)</f>
        <v>0</v>
      </c>
      <c s="125">
        <f>Предпосылки!BI$238*Предпосылки!$N253*Продажи!BJ18*BJ$19*(1+Чувствительность!$D$20)*IFERROR(LOOKUP(Предпосылки!$H$211,$C$13:$C$15,BJ$13:BJ$15),1)</f>
        <v>0</v>
      </c>
      <c s="125">
        <f>Предпосылки!BJ$238*Предпосылки!$N253*Продажи!BK18*BK$19*(1+Чувствительность!$D$20)*IFERROR(LOOKUP(Предпосылки!$H$211,$C$13:$C$15,BK$13:BK$15),1)</f>
        <v>0</v>
      </c>
      <c s="125">
        <f>Предпосылки!BK$238*Предпосылки!$N253*Продажи!BL18*BL$19*(1+Чувствительность!$D$20)*IFERROR(LOOKUP(Предпосылки!$H$211,$C$13:$C$15,BL$13:BL$15),1)</f>
        <v>0</v>
      </c>
      <c s="125">
        <f>Предпосылки!BL$238*Предпосылки!$N253*Продажи!BM18*BM$19*(1+Чувствительность!$D$20)*IFERROR(LOOKUP(Предпосылки!$H$211,$C$13:$C$15,BM$13:BM$15),1)</f>
        <v>0</v>
      </c>
    </row>
    <row r="254" spans="2:65" ht="15" customHeight="1">
      <c r="B254" s="12" t="str">
        <f t="shared" si="111" ref="B254:B272">B231</f>
        <v>Продукт 2</v>
      </c>
      <c s="124" t="str">
        <f t="shared" si="110"/>
        <v>тыс. руб.</v>
      </c>
      <c s="276">
        <f t="shared" si="112" ref="D254:D272">SUM(E254:BM254)</f>
        <v>0</v>
      </c>
      <c s="125">
        <f>Предпосылки!D$238*Предпосылки!$N254*Продажи!E19*E$19*(1+Чувствительность!$D$20)*IFERROR(LOOKUP(Предпосылки!$H$211,$C$13:$C$15,E$13:E$15),1)</f>
        <v>0</v>
      </c>
      <c s="125">
        <f>Предпосылки!E$238*Предпосылки!$N254*Продажи!F19*F$19*(1+Чувствительность!$D$20)*IFERROR(LOOKUP(Предпосылки!$H$211,$C$13:$C$15,F$13:F$15),1)</f>
        <v>0</v>
      </c>
      <c s="125">
        <f>Предпосылки!F$238*Предпосылки!$N254*Продажи!G19*G$19*(1+Чувствительность!$D$20)*IFERROR(LOOKUP(Предпосылки!$H$211,$C$13:$C$15,G$13:G$15),1)</f>
        <v>0</v>
      </c>
      <c s="125">
        <f>Предпосылки!G$238*Предпосылки!$N254*Продажи!H19*H$19*(1+Чувствительность!$D$20)*IFERROR(LOOKUP(Предпосылки!$H$211,$C$13:$C$15,H$13:H$15),1)</f>
        <v>0</v>
      </c>
      <c s="125">
        <f>Предпосылки!H$238*Предпосылки!$N254*Продажи!I19*I$19*(1+Чувствительность!$D$20)*IFERROR(LOOKUP(Предпосылки!$H$211,$C$13:$C$15,I$13:I$15),1)</f>
        <v>0</v>
      </c>
      <c s="125">
        <f>Предпосылки!I$238*Предпосылки!$N254*Продажи!J19*J$19*(1+Чувствительность!$D$20)*IFERROR(LOOKUP(Предпосылки!$H$211,$C$13:$C$15,J$13:J$15),1)</f>
        <v>0</v>
      </c>
      <c s="125">
        <f>Предпосылки!J$238*Предпосылки!$N254*Продажи!K19*K$19*(1+Чувствительность!$D$20)*IFERROR(LOOKUP(Предпосылки!$H$211,$C$13:$C$15,K$13:K$15),1)</f>
        <v>0</v>
      </c>
      <c s="125">
        <f>Предпосылки!K$238*Предпосылки!$N254*Продажи!L19*L$19*(1+Чувствительность!$D$20)*IFERROR(LOOKUP(Предпосылки!$H$211,$C$13:$C$15,L$13:L$15),1)</f>
        <v>0</v>
      </c>
      <c s="125">
        <f>Предпосылки!L$238*Предпосылки!$N254*Продажи!M19*M$19*(1+Чувствительность!$D$20)*IFERROR(LOOKUP(Предпосылки!$H$211,$C$13:$C$15,M$13:M$15),1)</f>
        <v>0</v>
      </c>
      <c s="125">
        <f>Предпосылки!M$238*Предпосылки!$N254*Продажи!N19*N$19*(1+Чувствительность!$D$20)*IFERROR(LOOKUP(Предпосылки!$H$211,$C$13:$C$15,N$13:N$15),1)</f>
        <v>0</v>
      </c>
      <c s="125">
        <f>Предпосылки!N$238*Предпосылки!$N254*Продажи!O19*O$19*(1+Чувствительность!$D$20)*IFERROR(LOOKUP(Предпосылки!$H$211,$C$13:$C$15,O$13:O$15),1)</f>
        <v>0</v>
      </c>
      <c s="125">
        <f>Предпосылки!O$238*Предпосылки!$N254*Продажи!P19*P$19*(1+Чувствительность!$D$20)*IFERROR(LOOKUP(Предпосылки!$H$211,$C$13:$C$15,P$13:P$15),1)</f>
        <v>0</v>
      </c>
      <c s="125">
        <f>Предпосылки!P$238*Предпосылки!$N254*Продажи!Q19*Q$19*(1+Чувствительность!$D$20)*IFERROR(LOOKUP(Предпосылки!$H$211,$C$13:$C$15,Q$13:Q$15),1)</f>
        <v>0</v>
      </c>
      <c s="125">
        <f>Предпосылки!Q$238*Предпосылки!$N254*Продажи!R19*R$19*(1+Чувствительность!$D$20)*IFERROR(LOOKUP(Предпосылки!$H$211,$C$13:$C$15,R$13:R$15),1)</f>
        <v>0</v>
      </c>
      <c s="125">
        <f>Предпосылки!R$238*Предпосылки!$N254*Продажи!S19*S$19*(1+Чувствительность!$D$20)*IFERROR(LOOKUP(Предпосылки!$H$211,$C$13:$C$15,S$13:S$15),1)</f>
        <v>0</v>
      </c>
      <c s="125">
        <f>Предпосылки!S$238*Предпосылки!$N254*Продажи!T19*T$19*(1+Чувствительность!$D$20)*IFERROR(LOOKUP(Предпосылки!$H$211,$C$13:$C$15,T$13:T$15),1)</f>
        <v>0</v>
      </c>
      <c s="125">
        <f>Предпосылки!T$238*Предпосылки!$N254*Продажи!U19*U$19*(1+Чувствительность!$D$20)*IFERROR(LOOKUP(Предпосылки!$H$211,$C$13:$C$15,U$13:U$15),1)</f>
        <v>0</v>
      </c>
      <c s="125">
        <f>Предпосылки!U$238*Предпосылки!$N254*Продажи!V19*V$19*(1+Чувствительность!$D$20)*IFERROR(LOOKUP(Предпосылки!$H$211,$C$13:$C$15,V$13:V$15),1)</f>
        <v>0</v>
      </c>
      <c s="125">
        <f>Предпосылки!V$238*Предпосылки!$N254*Продажи!W19*W$19*(1+Чувствительность!$D$20)*IFERROR(LOOKUP(Предпосылки!$H$211,$C$13:$C$15,W$13:W$15),1)</f>
        <v>0</v>
      </c>
      <c s="125">
        <f>Предпосылки!W$238*Предпосылки!$N254*Продажи!X19*X$19*(1+Чувствительность!$D$20)*IFERROR(LOOKUP(Предпосылки!$H$211,$C$13:$C$15,X$13:X$15),1)</f>
        <v>0</v>
      </c>
      <c s="125">
        <f>Предпосылки!X$238*Предпосылки!$N254*Продажи!Y19*Y$19*(1+Чувствительность!$D$20)*IFERROR(LOOKUP(Предпосылки!$H$211,$C$13:$C$15,Y$13:Y$15),1)</f>
        <v>0</v>
      </c>
      <c s="125">
        <f>Предпосылки!Y$238*Предпосылки!$N254*Продажи!Z19*Z$19*(1+Чувствительность!$D$20)*IFERROR(LOOKUP(Предпосылки!$H$211,$C$13:$C$15,Z$13:Z$15),1)</f>
        <v>0</v>
      </c>
      <c s="125">
        <f>Предпосылки!Z$238*Предпосылки!$N254*Продажи!AA19*AA$19*(1+Чувствительность!$D$20)*IFERROR(LOOKUP(Предпосылки!$H$211,$C$13:$C$15,AA$13:AA$15),1)</f>
        <v>0</v>
      </c>
      <c s="125">
        <f>Предпосылки!AA$238*Предпосылки!$N254*Продажи!AB19*AB$19*(1+Чувствительность!$D$20)*IFERROR(LOOKUP(Предпосылки!$H$211,$C$13:$C$15,AB$13:AB$15),1)</f>
        <v>0</v>
      </c>
      <c s="125">
        <f>Предпосылки!AB$238*Предпосылки!$N254*Продажи!AC19*AC$19*(1+Чувствительность!$D$20)*IFERROR(LOOKUP(Предпосылки!$H$211,$C$13:$C$15,AC$13:AC$15),1)</f>
        <v>0</v>
      </c>
      <c s="125">
        <f>Предпосылки!AC$238*Предпосылки!$N254*Продажи!AD19*AD$19*(1+Чувствительность!$D$20)*IFERROR(LOOKUP(Предпосылки!$H$211,$C$13:$C$15,AD$13:AD$15),1)</f>
        <v>0</v>
      </c>
      <c s="125">
        <f>Предпосылки!AD$238*Предпосылки!$N254*Продажи!AE19*AE$19*(1+Чувствительность!$D$20)*IFERROR(LOOKUP(Предпосылки!$H$211,$C$13:$C$15,AE$13:AE$15),1)</f>
        <v>0</v>
      </c>
      <c s="125">
        <f>Предпосылки!AE$238*Предпосылки!$N254*Продажи!AF19*AF$19*(1+Чувствительность!$D$20)*IFERROR(LOOKUP(Предпосылки!$H$211,$C$13:$C$15,AF$13:AF$15),1)</f>
        <v>0</v>
      </c>
      <c s="125">
        <f>Предпосылки!AF$238*Предпосылки!$N254*Продажи!AG19*AG$19*(1+Чувствительность!$D$20)*IFERROR(LOOKUP(Предпосылки!$H$211,$C$13:$C$15,AG$13:AG$15),1)</f>
        <v>0</v>
      </c>
      <c s="125">
        <f>Предпосылки!AG$238*Предпосылки!$N254*Продажи!AH19*AH$19*(1+Чувствительность!$D$20)*IFERROR(LOOKUP(Предпосылки!$H$211,$C$13:$C$15,AH$13:AH$15),1)</f>
        <v>0</v>
      </c>
      <c s="125">
        <f>Предпосылки!AH$238*Предпосылки!$N254*Продажи!AI19*AI$19*(1+Чувствительность!$D$20)*IFERROR(LOOKUP(Предпосылки!$H$211,$C$13:$C$15,AI$13:AI$15),1)</f>
        <v>0</v>
      </c>
      <c s="125">
        <f>Предпосылки!AI$238*Предпосылки!$N254*Продажи!AJ19*AJ$19*(1+Чувствительность!$D$20)*IFERROR(LOOKUP(Предпосылки!$H$211,$C$13:$C$15,AJ$13:AJ$15),1)</f>
        <v>0</v>
      </c>
      <c s="125">
        <f>Предпосылки!AJ$238*Предпосылки!$N254*Продажи!AK19*AK$19*(1+Чувствительность!$D$20)*IFERROR(LOOKUP(Предпосылки!$H$211,$C$13:$C$15,AK$13:AK$15),1)</f>
        <v>0</v>
      </c>
      <c s="125">
        <f>Предпосылки!AK$238*Предпосылки!$N254*Продажи!AL19*AL$19*(1+Чувствительность!$D$20)*IFERROR(LOOKUP(Предпосылки!$H$211,$C$13:$C$15,AL$13:AL$15),1)</f>
        <v>0</v>
      </c>
      <c s="125">
        <f>Предпосылки!AL$238*Предпосылки!$N254*Продажи!AM19*AM$19*(1+Чувствительность!$D$20)*IFERROR(LOOKUP(Предпосылки!$H$211,$C$13:$C$15,AM$13:AM$15),1)</f>
        <v>0</v>
      </c>
      <c s="125">
        <f>Предпосылки!AM$238*Предпосылки!$N254*Продажи!AN19*AN$19*(1+Чувствительность!$D$20)*IFERROR(LOOKUP(Предпосылки!$H$211,$C$13:$C$15,AN$13:AN$15),1)</f>
        <v>0</v>
      </c>
      <c s="125">
        <f>Предпосылки!AN$238*Предпосылки!$N254*Продажи!AO19*AO$19*(1+Чувствительность!$D$20)*IFERROR(LOOKUP(Предпосылки!$H$211,$C$13:$C$15,AO$13:AO$15),1)</f>
        <v>0</v>
      </c>
      <c s="125">
        <f>Предпосылки!AO$238*Предпосылки!$N254*Продажи!AP19*AP$19*(1+Чувствительность!$D$20)*IFERROR(LOOKUP(Предпосылки!$H$211,$C$13:$C$15,AP$13:AP$15),1)</f>
        <v>0</v>
      </c>
      <c s="125">
        <f>Предпосылки!AP$238*Предпосылки!$N254*Продажи!AQ19*AQ$19*(1+Чувствительность!$D$20)*IFERROR(LOOKUP(Предпосылки!$H$211,$C$13:$C$15,AQ$13:AQ$15),1)</f>
        <v>0</v>
      </c>
      <c s="125">
        <f>Предпосылки!AQ$238*Предпосылки!$N254*Продажи!AR19*AR$19*(1+Чувствительность!$D$20)*IFERROR(LOOKUP(Предпосылки!$H$211,$C$13:$C$15,AR$13:AR$15),1)</f>
        <v>0</v>
      </c>
      <c s="125">
        <f>Предпосылки!AR$238*Предпосылки!$N254*Продажи!AS19*AS$19*(1+Чувствительность!$D$20)*IFERROR(LOOKUP(Предпосылки!$H$211,$C$13:$C$15,AS$13:AS$15),1)</f>
        <v>0</v>
      </c>
      <c s="125">
        <f>Предпосылки!AS$238*Предпосылки!$N254*Продажи!AT19*AT$19*(1+Чувствительность!$D$20)*IFERROR(LOOKUP(Предпосылки!$H$211,$C$13:$C$15,AT$13:AT$15),1)</f>
        <v>0</v>
      </c>
      <c s="125">
        <f>Предпосылки!AT$238*Предпосылки!$N254*Продажи!AU19*AU$19*(1+Чувствительность!$D$20)*IFERROR(LOOKUP(Предпосылки!$H$211,$C$13:$C$15,AU$13:AU$15),1)</f>
        <v>0</v>
      </c>
      <c s="125">
        <f>Предпосылки!AU$238*Предпосылки!$N254*Продажи!AV19*AV$19*(1+Чувствительность!$D$20)*IFERROR(LOOKUP(Предпосылки!$H$211,$C$13:$C$15,AV$13:AV$15),1)</f>
        <v>0</v>
      </c>
      <c s="125">
        <f>Предпосылки!AV$238*Предпосылки!$N254*Продажи!AW19*AW$19*(1+Чувствительность!$D$20)*IFERROR(LOOKUP(Предпосылки!$H$211,$C$13:$C$15,AW$13:AW$15),1)</f>
        <v>0</v>
      </c>
      <c s="125">
        <f>Предпосылки!AW$238*Предпосылки!$N254*Продажи!AX19*AX$19*(1+Чувствительность!$D$20)*IFERROR(LOOKUP(Предпосылки!$H$211,$C$13:$C$15,AX$13:AX$15),1)</f>
        <v>0</v>
      </c>
      <c s="125">
        <f>Предпосылки!AX$238*Предпосылки!$N254*Продажи!AY19*AY$19*(1+Чувствительность!$D$20)*IFERROR(LOOKUP(Предпосылки!$H$211,$C$13:$C$15,AY$13:AY$15),1)</f>
        <v>0</v>
      </c>
      <c s="125">
        <f>Предпосылки!AY$238*Предпосылки!$N254*Продажи!AZ19*AZ$19*(1+Чувствительность!$D$20)*IFERROR(LOOKUP(Предпосылки!$H$211,$C$13:$C$15,AZ$13:AZ$15),1)</f>
        <v>0</v>
      </c>
      <c s="125">
        <f>Предпосылки!AZ$238*Предпосылки!$N254*Продажи!BA19*BA$19*(1+Чувствительность!$D$20)*IFERROR(LOOKUP(Предпосылки!$H$211,$C$13:$C$15,BA$13:BA$15),1)</f>
        <v>0</v>
      </c>
      <c s="125">
        <f>Предпосылки!BA$238*Предпосылки!$N254*Продажи!BB19*BB$19*(1+Чувствительность!$D$20)*IFERROR(LOOKUP(Предпосылки!$H$211,$C$13:$C$15,BB$13:BB$15),1)</f>
        <v>0</v>
      </c>
      <c s="125">
        <f>Предпосылки!BB$238*Предпосылки!$N254*Продажи!BC19*BC$19*(1+Чувствительность!$D$20)*IFERROR(LOOKUP(Предпосылки!$H$211,$C$13:$C$15,BC$13:BC$15),1)</f>
        <v>0</v>
      </c>
      <c s="125">
        <f>Предпосылки!BC$238*Предпосылки!$N254*Продажи!BD19*BD$19*(1+Чувствительность!$D$20)*IFERROR(LOOKUP(Предпосылки!$H$211,$C$13:$C$15,BD$13:BD$15),1)</f>
        <v>0</v>
      </c>
      <c s="125">
        <f>Предпосылки!BD$238*Предпосылки!$N254*Продажи!BE19*BE$19*(1+Чувствительность!$D$20)*IFERROR(LOOKUP(Предпосылки!$H$211,$C$13:$C$15,BE$13:BE$15),1)</f>
        <v>0</v>
      </c>
      <c s="125">
        <f>Предпосылки!BE$238*Предпосылки!$N254*Продажи!BF19*BF$19*(1+Чувствительность!$D$20)*IFERROR(LOOKUP(Предпосылки!$H$211,$C$13:$C$15,BF$13:BF$15),1)</f>
        <v>0</v>
      </c>
      <c s="125">
        <f>Предпосылки!BF$238*Предпосылки!$N254*Продажи!BG19*BG$19*(1+Чувствительность!$D$20)*IFERROR(LOOKUP(Предпосылки!$H$211,$C$13:$C$15,BG$13:BG$15),1)</f>
        <v>0</v>
      </c>
      <c s="125">
        <f>Предпосылки!BG$238*Предпосылки!$N254*Продажи!BH19*BH$19*(1+Чувствительность!$D$20)*IFERROR(LOOKUP(Предпосылки!$H$211,$C$13:$C$15,BH$13:BH$15),1)</f>
        <v>0</v>
      </c>
      <c s="125">
        <f>Предпосылки!BH$238*Предпосылки!$N254*Продажи!BI19*BI$19*(1+Чувствительность!$D$20)*IFERROR(LOOKUP(Предпосылки!$H$211,$C$13:$C$15,BI$13:BI$15),1)</f>
        <v>0</v>
      </c>
      <c s="125">
        <f>Предпосылки!BI$238*Предпосылки!$N254*Продажи!BJ19*BJ$19*(1+Чувствительность!$D$20)*IFERROR(LOOKUP(Предпосылки!$H$211,$C$13:$C$15,BJ$13:BJ$15),1)</f>
        <v>0</v>
      </c>
      <c s="125">
        <f>Предпосылки!BJ$238*Предпосылки!$N254*Продажи!BK19*BK$19*(1+Чувствительность!$D$20)*IFERROR(LOOKUP(Предпосылки!$H$211,$C$13:$C$15,BK$13:BK$15),1)</f>
        <v>0</v>
      </c>
      <c s="125">
        <f>Предпосылки!BK$238*Предпосылки!$N254*Продажи!BL19*BL$19*(1+Чувствительность!$D$20)*IFERROR(LOOKUP(Предпосылки!$H$211,$C$13:$C$15,BL$13:BL$15),1)</f>
        <v>0</v>
      </c>
      <c s="125">
        <f>Предпосылки!BL$238*Предпосылки!$N254*Продажи!BM19*BM$19*(1+Чувствительность!$D$20)*IFERROR(LOOKUP(Предпосылки!$H$211,$C$13:$C$15,BM$13:BM$15),1)</f>
        <v>0</v>
      </c>
    </row>
    <row r="255" spans="2:65" ht="15" customHeight="1">
      <c r="B255" s="12" t="str">
        <f t="shared" si="111"/>
        <v>Продукт 3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Предпосылки!D$238*Предпосылки!$N255*Продажи!E20*E$19*(1+Чувствительность!$D$20)*IFERROR(LOOKUP(Предпосылки!$H$211,$C$13:$C$15,E$13:E$15),1)</f>
        <v>0</v>
      </c>
      <c s="125">
        <f>Предпосылки!E$238*Предпосылки!$N255*Продажи!F20*F$19*(1+Чувствительность!$D$20)*IFERROR(LOOKUP(Предпосылки!$H$211,$C$13:$C$15,F$13:F$15),1)</f>
        <v>0</v>
      </c>
      <c s="125">
        <f>Предпосылки!F$238*Предпосылки!$N255*Продажи!G20*G$19*(1+Чувствительность!$D$20)*IFERROR(LOOKUP(Предпосылки!$H$211,$C$13:$C$15,G$13:G$15),1)</f>
        <v>0</v>
      </c>
      <c s="125">
        <f>Предпосылки!G$238*Предпосылки!$N255*Продажи!H20*H$19*(1+Чувствительность!$D$20)*IFERROR(LOOKUP(Предпосылки!$H$211,$C$13:$C$15,H$13:H$15),1)</f>
        <v>0</v>
      </c>
      <c s="125">
        <f>Предпосылки!H$238*Предпосылки!$N255*Продажи!I20*I$19*(1+Чувствительность!$D$20)*IFERROR(LOOKUP(Предпосылки!$H$211,$C$13:$C$15,I$13:I$15),1)</f>
        <v>0</v>
      </c>
      <c s="125">
        <f>Предпосылки!I$238*Предпосылки!$N255*Продажи!J20*J$19*(1+Чувствительность!$D$20)*IFERROR(LOOKUP(Предпосылки!$H$211,$C$13:$C$15,J$13:J$15),1)</f>
        <v>0</v>
      </c>
      <c s="125">
        <f>Предпосылки!J$238*Предпосылки!$N255*Продажи!K20*K$19*(1+Чувствительность!$D$20)*IFERROR(LOOKUP(Предпосылки!$H$211,$C$13:$C$15,K$13:K$15),1)</f>
        <v>0</v>
      </c>
      <c s="125">
        <f>Предпосылки!K$238*Предпосылки!$N255*Продажи!L20*L$19*(1+Чувствительность!$D$20)*IFERROR(LOOKUP(Предпосылки!$H$211,$C$13:$C$15,L$13:L$15),1)</f>
        <v>0</v>
      </c>
      <c s="125">
        <f>Предпосылки!L$238*Предпосылки!$N255*Продажи!M20*M$19*(1+Чувствительность!$D$20)*IFERROR(LOOKUP(Предпосылки!$H$211,$C$13:$C$15,M$13:M$15),1)</f>
        <v>0</v>
      </c>
      <c s="125">
        <f>Предпосылки!M$238*Предпосылки!$N255*Продажи!N20*N$19*(1+Чувствительность!$D$20)*IFERROR(LOOKUP(Предпосылки!$H$211,$C$13:$C$15,N$13:N$15),1)</f>
        <v>0</v>
      </c>
      <c s="125">
        <f>Предпосылки!N$238*Предпосылки!$N255*Продажи!O20*O$19*(1+Чувствительность!$D$20)*IFERROR(LOOKUP(Предпосылки!$H$211,$C$13:$C$15,O$13:O$15),1)</f>
        <v>0</v>
      </c>
      <c s="125">
        <f>Предпосылки!O$238*Предпосылки!$N255*Продажи!P20*P$19*(1+Чувствительность!$D$20)*IFERROR(LOOKUP(Предпосылки!$H$211,$C$13:$C$15,P$13:P$15),1)</f>
        <v>0</v>
      </c>
      <c s="125">
        <f>Предпосылки!P$238*Предпосылки!$N255*Продажи!Q20*Q$19*(1+Чувствительность!$D$20)*IFERROR(LOOKUP(Предпосылки!$H$211,$C$13:$C$15,Q$13:Q$15),1)</f>
        <v>0</v>
      </c>
      <c s="125">
        <f>Предпосылки!Q$238*Предпосылки!$N255*Продажи!R20*R$19*(1+Чувствительность!$D$20)*IFERROR(LOOKUP(Предпосылки!$H$211,$C$13:$C$15,R$13:R$15),1)</f>
        <v>0</v>
      </c>
      <c s="125">
        <f>Предпосылки!R$238*Предпосылки!$N255*Продажи!S20*S$19*(1+Чувствительность!$D$20)*IFERROR(LOOKUP(Предпосылки!$H$211,$C$13:$C$15,S$13:S$15),1)</f>
        <v>0</v>
      </c>
      <c s="125">
        <f>Предпосылки!S$238*Предпосылки!$N255*Продажи!T20*T$19*(1+Чувствительность!$D$20)*IFERROR(LOOKUP(Предпосылки!$H$211,$C$13:$C$15,T$13:T$15),1)</f>
        <v>0</v>
      </c>
      <c s="125">
        <f>Предпосылки!T$238*Предпосылки!$N255*Продажи!U20*U$19*(1+Чувствительность!$D$20)*IFERROR(LOOKUP(Предпосылки!$H$211,$C$13:$C$15,U$13:U$15),1)</f>
        <v>0</v>
      </c>
      <c s="125">
        <f>Предпосылки!U$238*Предпосылки!$N255*Продажи!V20*V$19*(1+Чувствительность!$D$20)*IFERROR(LOOKUP(Предпосылки!$H$211,$C$13:$C$15,V$13:V$15),1)</f>
        <v>0</v>
      </c>
      <c s="125">
        <f>Предпосылки!V$238*Предпосылки!$N255*Продажи!W20*W$19*(1+Чувствительность!$D$20)*IFERROR(LOOKUP(Предпосылки!$H$211,$C$13:$C$15,W$13:W$15),1)</f>
        <v>0</v>
      </c>
      <c s="125">
        <f>Предпосылки!W$238*Предпосылки!$N255*Продажи!X20*X$19*(1+Чувствительность!$D$20)*IFERROR(LOOKUP(Предпосылки!$H$211,$C$13:$C$15,X$13:X$15),1)</f>
        <v>0</v>
      </c>
      <c s="125">
        <f>Предпосылки!X$238*Предпосылки!$N255*Продажи!Y20*Y$19*(1+Чувствительность!$D$20)*IFERROR(LOOKUP(Предпосылки!$H$211,$C$13:$C$15,Y$13:Y$15),1)</f>
        <v>0</v>
      </c>
      <c s="125">
        <f>Предпосылки!Y$238*Предпосылки!$N255*Продажи!Z20*Z$19*(1+Чувствительность!$D$20)*IFERROR(LOOKUP(Предпосылки!$H$211,$C$13:$C$15,Z$13:Z$15),1)</f>
        <v>0</v>
      </c>
      <c s="125">
        <f>Предпосылки!Z$238*Предпосылки!$N255*Продажи!AA20*AA$19*(1+Чувствительность!$D$20)*IFERROR(LOOKUP(Предпосылки!$H$211,$C$13:$C$15,AA$13:AA$15),1)</f>
        <v>0</v>
      </c>
      <c s="125">
        <f>Предпосылки!AA$238*Предпосылки!$N255*Продажи!AB20*AB$19*(1+Чувствительность!$D$20)*IFERROR(LOOKUP(Предпосылки!$H$211,$C$13:$C$15,AB$13:AB$15),1)</f>
        <v>0</v>
      </c>
      <c s="125">
        <f>Предпосылки!AB$238*Предпосылки!$N255*Продажи!AC20*AC$19*(1+Чувствительность!$D$20)*IFERROR(LOOKUP(Предпосылки!$H$211,$C$13:$C$15,AC$13:AC$15),1)</f>
        <v>0</v>
      </c>
      <c s="125">
        <f>Предпосылки!AC$238*Предпосылки!$N255*Продажи!AD20*AD$19*(1+Чувствительность!$D$20)*IFERROR(LOOKUP(Предпосылки!$H$211,$C$13:$C$15,AD$13:AD$15),1)</f>
        <v>0</v>
      </c>
      <c s="125">
        <f>Предпосылки!AD$238*Предпосылки!$N255*Продажи!AE20*AE$19*(1+Чувствительность!$D$20)*IFERROR(LOOKUP(Предпосылки!$H$211,$C$13:$C$15,AE$13:AE$15),1)</f>
        <v>0</v>
      </c>
      <c s="125">
        <f>Предпосылки!AE$238*Предпосылки!$N255*Продажи!AF20*AF$19*(1+Чувствительность!$D$20)*IFERROR(LOOKUP(Предпосылки!$H$211,$C$13:$C$15,AF$13:AF$15),1)</f>
        <v>0</v>
      </c>
      <c s="125">
        <f>Предпосылки!AF$238*Предпосылки!$N255*Продажи!AG20*AG$19*(1+Чувствительность!$D$20)*IFERROR(LOOKUP(Предпосылки!$H$211,$C$13:$C$15,AG$13:AG$15),1)</f>
        <v>0</v>
      </c>
      <c s="125">
        <f>Предпосылки!AG$238*Предпосылки!$N255*Продажи!AH20*AH$19*(1+Чувствительность!$D$20)*IFERROR(LOOKUP(Предпосылки!$H$211,$C$13:$C$15,AH$13:AH$15),1)</f>
        <v>0</v>
      </c>
      <c s="125">
        <f>Предпосылки!AH$238*Предпосылки!$N255*Продажи!AI20*AI$19*(1+Чувствительность!$D$20)*IFERROR(LOOKUP(Предпосылки!$H$211,$C$13:$C$15,AI$13:AI$15),1)</f>
        <v>0</v>
      </c>
      <c s="125">
        <f>Предпосылки!AI$238*Предпосылки!$N255*Продажи!AJ20*AJ$19*(1+Чувствительность!$D$20)*IFERROR(LOOKUP(Предпосылки!$H$211,$C$13:$C$15,AJ$13:AJ$15),1)</f>
        <v>0</v>
      </c>
      <c s="125">
        <f>Предпосылки!AJ$238*Предпосылки!$N255*Продажи!AK20*AK$19*(1+Чувствительность!$D$20)*IFERROR(LOOKUP(Предпосылки!$H$211,$C$13:$C$15,AK$13:AK$15),1)</f>
        <v>0</v>
      </c>
      <c s="125">
        <f>Предпосылки!AK$238*Предпосылки!$N255*Продажи!AL20*AL$19*(1+Чувствительность!$D$20)*IFERROR(LOOKUP(Предпосылки!$H$211,$C$13:$C$15,AL$13:AL$15),1)</f>
        <v>0</v>
      </c>
      <c s="125">
        <f>Предпосылки!AL$238*Предпосылки!$N255*Продажи!AM20*AM$19*(1+Чувствительность!$D$20)*IFERROR(LOOKUP(Предпосылки!$H$211,$C$13:$C$15,AM$13:AM$15),1)</f>
        <v>0</v>
      </c>
      <c s="125">
        <f>Предпосылки!AM$238*Предпосылки!$N255*Продажи!AN20*AN$19*(1+Чувствительность!$D$20)*IFERROR(LOOKUP(Предпосылки!$H$211,$C$13:$C$15,AN$13:AN$15),1)</f>
        <v>0</v>
      </c>
      <c s="125">
        <f>Предпосылки!AN$238*Предпосылки!$N255*Продажи!AO20*AO$19*(1+Чувствительность!$D$20)*IFERROR(LOOKUP(Предпосылки!$H$211,$C$13:$C$15,AO$13:AO$15),1)</f>
        <v>0</v>
      </c>
      <c s="125">
        <f>Предпосылки!AO$238*Предпосылки!$N255*Продажи!AP20*AP$19*(1+Чувствительность!$D$20)*IFERROR(LOOKUP(Предпосылки!$H$211,$C$13:$C$15,AP$13:AP$15),1)</f>
        <v>0</v>
      </c>
      <c s="125">
        <f>Предпосылки!AP$238*Предпосылки!$N255*Продажи!AQ20*AQ$19*(1+Чувствительность!$D$20)*IFERROR(LOOKUP(Предпосылки!$H$211,$C$13:$C$15,AQ$13:AQ$15),1)</f>
        <v>0</v>
      </c>
      <c s="125">
        <f>Предпосылки!AQ$238*Предпосылки!$N255*Продажи!AR20*AR$19*(1+Чувствительность!$D$20)*IFERROR(LOOKUP(Предпосылки!$H$211,$C$13:$C$15,AR$13:AR$15),1)</f>
        <v>0</v>
      </c>
      <c s="125">
        <f>Предпосылки!AR$238*Предпосылки!$N255*Продажи!AS20*AS$19*(1+Чувствительность!$D$20)*IFERROR(LOOKUP(Предпосылки!$H$211,$C$13:$C$15,AS$13:AS$15),1)</f>
        <v>0</v>
      </c>
      <c s="125">
        <f>Предпосылки!AS$238*Предпосылки!$N255*Продажи!AT20*AT$19*(1+Чувствительность!$D$20)*IFERROR(LOOKUP(Предпосылки!$H$211,$C$13:$C$15,AT$13:AT$15),1)</f>
        <v>0</v>
      </c>
      <c s="125">
        <f>Предпосылки!AT$238*Предпосылки!$N255*Продажи!AU20*AU$19*(1+Чувствительность!$D$20)*IFERROR(LOOKUP(Предпосылки!$H$211,$C$13:$C$15,AU$13:AU$15),1)</f>
        <v>0</v>
      </c>
      <c s="125">
        <f>Предпосылки!AU$238*Предпосылки!$N255*Продажи!AV20*AV$19*(1+Чувствительность!$D$20)*IFERROR(LOOKUP(Предпосылки!$H$211,$C$13:$C$15,AV$13:AV$15),1)</f>
        <v>0</v>
      </c>
      <c s="125">
        <f>Предпосылки!AV$238*Предпосылки!$N255*Продажи!AW20*AW$19*(1+Чувствительность!$D$20)*IFERROR(LOOKUP(Предпосылки!$H$211,$C$13:$C$15,AW$13:AW$15),1)</f>
        <v>0</v>
      </c>
      <c s="125">
        <f>Предпосылки!AW$238*Предпосылки!$N255*Продажи!AX20*AX$19*(1+Чувствительность!$D$20)*IFERROR(LOOKUP(Предпосылки!$H$211,$C$13:$C$15,AX$13:AX$15),1)</f>
        <v>0</v>
      </c>
      <c s="125">
        <f>Предпосылки!AX$238*Предпосылки!$N255*Продажи!AY20*AY$19*(1+Чувствительность!$D$20)*IFERROR(LOOKUP(Предпосылки!$H$211,$C$13:$C$15,AY$13:AY$15),1)</f>
        <v>0</v>
      </c>
      <c s="125">
        <f>Предпосылки!AY$238*Предпосылки!$N255*Продажи!AZ20*AZ$19*(1+Чувствительность!$D$20)*IFERROR(LOOKUP(Предпосылки!$H$211,$C$13:$C$15,AZ$13:AZ$15),1)</f>
        <v>0</v>
      </c>
      <c s="125">
        <f>Предпосылки!AZ$238*Предпосылки!$N255*Продажи!BA20*BA$19*(1+Чувствительность!$D$20)*IFERROR(LOOKUP(Предпосылки!$H$211,$C$13:$C$15,BA$13:BA$15),1)</f>
        <v>0</v>
      </c>
      <c s="125">
        <f>Предпосылки!BA$238*Предпосылки!$N255*Продажи!BB20*BB$19*(1+Чувствительность!$D$20)*IFERROR(LOOKUP(Предпосылки!$H$211,$C$13:$C$15,BB$13:BB$15),1)</f>
        <v>0</v>
      </c>
      <c s="125">
        <f>Предпосылки!BB$238*Предпосылки!$N255*Продажи!BC20*BC$19*(1+Чувствительность!$D$20)*IFERROR(LOOKUP(Предпосылки!$H$211,$C$13:$C$15,BC$13:BC$15),1)</f>
        <v>0</v>
      </c>
      <c s="125">
        <f>Предпосылки!BC$238*Предпосылки!$N255*Продажи!BD20*BD$19*(1+Чувствительность!$D$20)*IFERROR(LOOKUP(Предпосылки!$H$211,$C$13:$C$15,BD$13:BD$15),1)</f>
        <v>0</v>
      </c>
      <c s="125">
        <f>Предпосылки!BD$238*Предпосылки!$N255*Продажи!BE20*BE$19*(1+Чувствительность!$D$20)*IFERROR(LOOKUP(Предпосылки!$H$211,$C$13:$C$15,BE$13:BE$15),1)</f>
        <v>0</v>
      </c>
      <c s="125">
        <f>Предпосылки!BE$238*Предпосылки!$N255*Продажи!BF20*BF$19*(1+Чувствительность!$D$20)*IFERROR(LOOKUP(Предпосылки!$H$211,$C$13:$C$15,BF$13:BF$15),1)</f>
        <v>0</v>
      </c>
      <c s="125">
        <f>Предпосылки!BF$238*Предпосылки!$N255*Продажи!BG20*BG$19*(1+Чувствительность!$D$20)*IFERROR(LOOKUP(Предпосылки!$H$211,$C$13:$C$15,BG$13:BG$15),1)</f>
        <v>0</v>
      </c>
      <c s="125">
        <f>Предпосылки!BG$238*Предпосылки!$N255*Продажи!BH20*BH$19*(1+Чувствительность!$D$20)*IFERROR(LOOKUP(Предпосылки!$H$211,$C$13:$C$15,BH$13:BH$15),1)</f>
        <v>0</v>
      </c>
      <c s="125">
        <f>Предпосылки!BH$238*Предпосылки!$N255*Продажи!BI20*BI$19*(1+Чувствительность!$D$20)*IFERROR(LOOKUP(Предпосылки!$H$211,$C$13:$C$15,BI$13:BI$15),1)</f>
        <v>0</v>
      </c>
      <c s="125">
        <f>Предпосылки!BI$238*Предпосылки!$N255*Продажи!BJ20*BJ$19*(1+Чувствительность!$D$20)*IFERROR(LOOKUP(Предпосылки!$H$211,$C$13:$C$15,BJ$13:BJ$15),1)</f>
        <v>0</v>
      </c>
      <c s="125">
        <f>Предпосылки!BJ$238*Предпосылки!$N255*Продажи!BK20*BK$19*(1+Чувствительность!$D$20)*IFERROR(LOOKUP(Предпосылки!$H$211,$C$13:$C$15,BK$13:BK$15),1)</f>
        <v>0</v>
      </c>
      <c s="125">
        <f>Предпосылки!BK$238*Предпосылки!$N255*Продажи!BL20*BL$19*(1+Чувствительность!$D$20)*IFERROR(LOOKUP(Предпосылки!$H$211,$C$13:$C$15,BL$13:BL$15),1)</f>
        <v>0</v>
      </c>
      <c s="125">
        <f>Предпосылки!BL$238*Предпосылки!$N255*Продажи!BM20*BM$19*(1+Чувствительность!$D$20)*IFERROR(LOOKUP(Предпосылки!$H$211,$C$13:$C$15,BM$13:BM$15),1)</f>
        <v>0</v>
      </c>
    </row>
    <row r="256" spans="2:65" ht="15" customHeight="1">
      <c r="B256" s="12" t="str">
        <f t="shared" si="111"/>
        <v>Продукт 4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Предпосылки!D$238*Предпосылки!$N256*Продажи!E21*E$19*(1+Чувствительность!$D$20)*IFERROR(LOOKUP(Предпосылки!$H$211,$C$13:$C$15,E$13:E$15),1)</f>
        <v>0</v>
      </c>
      <c s="125">
        <f>Предпосылки!E$238*Предпосылки!$N256*Продажи!F21*F$19*(1+Чувствительность!$D$20)*IFERROR(LOOKUP(Предпосылки!$H$211,$C$13:$C$15,F$13:F$15),1)</f>
        <v>0</v>
      </c>
      <c s="125">
        <f>Предпосылки!F$238*Предпосылки!$N256*Продажи!G21*G$19*(1+Чувствительность!$D$20)*IFERROR(LOOKUP(Предпосылки!$H$211,$C$13:$C$15,G$13:G$15),1)</f>
        <v>0</v>
      </c>
      <c s="125">
        <f>Предпосылки!G$238*Предпосылки!$N256*Продажи!H21*H$19*(1+Чувствительность!$D$20)*IFERROR(LOOKUP(Предпосылки!$H$211,$C$13:$C$15,H$13:H$15),1)</f>
        <v>0</v>
      </c>
      <c s="125">
        <f>Предпосылки!H$238*Предпосылки!$N256*Продажи!I21*I$19*(1+Чувствительность!$D$20)*IFERROR(LOOKUP(Предпосылки!$H$211,$C$13:$C$15,I$13:I$15),1)</f>
        <v>0</v>
      </c>
      <c s="125">
        <f>Предпосылки!I$238*Предпосылки!$N256*Продажи!J21*J$19*(1+Чувствительность!$D$20)*IFERROR(LOOKUP(Предпосылки!$H$211,$C$13:$C$15,J$13:J$15),1)</f>
        <v>0</v>
      </c>
      <c s="125">
        <f>Предпосылки!J$238*Предпосылки!$N256*Продажи!K21*K$19*(1+Чувствительность!$D$20)*IFERROR(LOOKUP(Предпосылки!$H$211,$C$13:$C$15,K$13:K$15),1)</f>
        <v>0</v>
      </c>
      <c s="125">
        <f>Предпосылки!K$238*Предпосылки!$N256*Продажи!L21*L$19*(1+Чувствительность!$D$20)*IFERROR(LOOKUP(Предпосылки!$H$211,$C$13:$C$15,L$13:L$15),1)</f>
        <v>0</v>
      </c>
      <c s="125">
        <f>Предпосылки!L$238*Предпосылки!$N256*Продажи!M21*M$19*(1+Чувствительность!$D$20)*IFERROR(LOOKUP(Предпосылки!$H$211,$C$13:$C$15,M$13:M$15),1)</f>
        <v>0</v>
      </c>
      <c s="125">
        <f>Предпосылки!M$238*Предпосылки!$N256*Продажи!N21*N$19*(1+Чувствительность!$D$20)*IFERROR(LOOKUP(Предпосылки!$H$211,$C$13:$C$15,N$13:N$15),1)</f>
        <v>0</v>
      </c>
      <c s="125">
        <f>Предпосылки!N$238*Предпосылки!$N256*Продажи!O21*O$19*(1+Чувствительность!$D$20)*IFERROR(LOOKUP(Предпосылки!$H$211,$C$13:$C$15,O$13:O$15),1)</f>
        <v>0</v>
      </c>
      <c s="125">
        <f>Предпосылки!O$238*Предпосылки!$N256*Продажи!P21*P$19*(1+Чувствительность!$D$20)*IFERROR(LOOKUP(Предпосылки!$H$211,$C$13:$C$15,P$13:P$15),1)</f>
        <v>0</v>
      </c>
      <c s="125">
        <f>Предпосылки!P$238*Предпосылки!$N256*Продажи!Q21*Q$19*(1+Чувствительность!$D$20)*IFERROR(LOOKUP(Предпосылки!$H$211,$C$13:$C$15,Q$13:Q$15),1)</f>
        <v>0</v>
      </c>
      <c s="125">
        <f>Предпосылки!Q$238*Предпосылки!$N256*Продажи!R21*R$19*(1+Чувствительность!$D$20)*IFERROR(LOOKUP(Предпосылки!$H$211,$C$13:$C$15,R$13:R$15),1)</f>
        <v>0</v>
      </c>
      <c s="125">
        <f>Предпосылки!R$238*Предпосылки!$N256*Продажи!S21*S$19*(1+Чувствительность!$D$20)*IFERROR(LOOKUP(Предпосылки!$H$211,$C$13:$C$15,S$13:S$15),1)</f>
        <v>0</v>
      </c>
      <c s="125">
        <f>Предпосылки!S$238*Предпосылки!$N256*Продажи!T21*T$19*(1+Чувствительность!$D$20)*IFERROR(LOOKUP(Предпосылки!$H$211,$C$13:$C$15,T$13:T$15),1)</f>
        <v>0</v>
      </c>
      <c s="125">
        <f>Предпосылки!T$238*Предпосылки!$N256*Продажи!U21*U$19*(1+Чувствительность!$D$20)*IFERROR(LOOKUP(Предпосылки!$H$211,$C$13:$C$15,U$13:U$15),1)</f>
        <v>0</v>
      </c>
      <c s="125">
        <f>Предпосылки!U$238*Предпосылки!$N256*Продажи!V21*V$19*(1+Чувствительность!$D$20)*IFERROR(LOOKUP(Предпосылки!$H$211,$C$13:$C$15,V$13:V$15),1)</f>
        <v>0</v>
      </c>
      <c s="125">
        <f>Предпосылки!V$238*Предпосылки!$N256*Продажи!W21*W$19*(1+Чувствительность!$D$20)*IFERROR(LOOKUP(Предпосылки!$H$211,$C$13:$C$15,W$13:W$15),1)</f>
        <v>0</v>
      </c>
      <c s="125">
        <f>Предпосылки!W$238*Предпосылки!$N256*Продажи!X21*X$19*(1+Чувствительность!$D$20)*IFERROR(LOOKUP(Предпосылки!$H$211,$C$13:$C$15,X$13:X$15),1)</f>
        <v>0</v>
      </c>
      <c s="125">
        <f>Предпосылки!X$238*Предпосылки!$N256*Продажи!Y21*Y$19*(1+Чувствительность!$D$20)*IFERROR(LOOKUP(Предпосылки!$H$211,$C$13:$C$15,Y$13:Y$15),1)</f>
        <v>0</v>
      </c>
      <c s="125">
        <f>Предпосылки!Y$238*Предпосылки!$N256*Продажи!Z21*Z$19*(1+Чувствительность!$D$20)*IFERROR(LOOKUP(Предпосылки!$H$211,$C$13:$C$15,Z$13:Z$15),1)</f>
        <v>0</v>
      </c>
      <c s="125">
        <f>Предпосылки!Z$238*Предпосылки!$N256*Продажи!AA21*AA$19*(1+Чувствительность!$D$20)*IFERROR(LOOKUP(Предпосылки!$H$211,$C$13:$C$15,AA$13:AA$15),1)</f>
        <v>0</v>
      </c>
      <c s="125">
        <f>Предпосылки!AA$238*Предпосылки!$N256*Продажи!AB21*AB$19*(1+Чувствительность!$D$20)*IFERROR(LOOKUP(Предпосылки!$H$211,$C$13:$C$15,AB$13:AB$15),1)</f>
        <v>0</v>
      </c>
      <c s="125">
        <f>Предпосылки!AB$238*Предпосылки!$N256*Продажи!AC21*AC$19*(1+Чувствительность!$D$20)*IFERROR(LOOKUP(Предпосылки!$H$211,$C$13:$C$15,AC$13:AC$15),1)</f>
        <v>0</v>
      </c>
      <c s="125">
        <f>Предпосылки!AC$238*Предпосылки!$N256*Продажи!AD21*AD$19*(1+Чувствительность!$D$20)*IFERROR(LOOKUP(Предпосылки!$H$211,$C$13:$C$15,AD$13:AD$15),1)</f>
        <v>0</v>
      </c>
      <c s="125">
        <f>Предпосылки!AD$238*Предпосылки!$N256*Продажи!AE21*AE$19*(1+Чувствительность!$D$20)*IFERROR(LOOKUP(Предпосылки!$H$211,$C$13:$C$15,AE$13:AE$15),1)</f>
        <v>0</v>
      </c>
      <c s="125">
        <f>Предпосылки!AE$238*Предпосылки!$N256*Продажи!AF21*AF$19*(1+Чувствительность!$D$20)*IFERROR(LOOKUP(Предпосылки!$H$211,$C$13:$C$15,AF$13:AF$15),1)</f>
        <v>0</v>
      </c>
      <c s="125">
        <f>Предпосылки!AF$238*Предпосылки!$N256*Продажи!AG21*AG$19*(1+Чувствительность!$D$20)*IFERROR(LOOKUP(Предпосылки!$H$211,$C$13:$C$15,AG$13:AG$15),1)</f>
        <v>0</v>
      </c>
      <c s="125">
        <f>Предпосылки!AG$238*Предпосылки!$N256*Продажи!AH21*AH$19*(1+Чувствительность!$D$20)*IFERROR(LOOKUP(Предпосылки!$H$211,$C$13:$C$15,AH$13:AH$15),1)</f>
        <v>0</v>
      </c>
      <c s="125">
        <f>Предпосылки!AH$238*Предпосылки!$N256*Продажи!AI21*AI$19*(1+Чувствительность!$D$20)*IFERROR(LOOKUP(Предпосылки!$H$211,$C$13:$C$15,AI$13:AI$15),1)</f>
        <v>0</v>
      </c>
      <c s="125">
        <f>Предпосылки!AI$238*Предпосылки!$N256*Продажи!AJ21*AJ$19*(1+Чувствительность!$D$20)*IFERROR(LOOKUP(Предпосылки!$H$211,$C$13:$C$15,AJ$13:AJ$15),1)</f>
        <v>0</v>
      </c>
      <c s="125">
        <f>Предпосылки!AJ$238*Предпосылки!$N256*Продажи!AK21*AK$19*(1+Чувствительность!$D$20)*IFERROR(LOOKUP(Предпосылки!$H$211,$C$13:$C$15,AK$13:AK$15),1)</f>
        <v>0</v>
      </c>
      <c s="125">
        <f>Предпосылки!AK$238*Предпосылки!$N256*Продажи!AL21*AL$19*(1+Чувствительность!$D$20)*IFERROR(LOOKUP(Предпосылки!$H$211,$C$13:$C$15,AL$13:AL$15),1)</f>
        <v>0</v>
      </c>
      <c s="125">
        <f>Предпосылки!AL$238*Предпосылки!$N256*Продажи!AM21*AM$19*(1+Чувствительность!$D$20)*IFERROR(LOOKUP(Предпосылки!$H$211,$C$13:$C$15,AM$13:AM$15),1)</f>
        <v>0</v>
      </c>
      <c s="125">
        <f>Предпосылки!AM$238*Предпосылки!$N256*Продажи!AN21*AN$19*(1+Чувствительность!$D$20)*IFERROR(LOOKUP(Предпосылки!$H$211,$C$13:$C$15,AN$13:AN$15),1)</f>
        <v>0</v>
      </c>
      <c s="125">
        <f>Предпосылки!AN$238*Предпосылки!$N256*Продажи!AO21*AO$19*(1+Чувствительность!$D$20)*IFERROR(LOOKUP(Предпосылки!$H$211,$C$13:$C$15,AO$13:AO$15),1)</f>
        <v>0</v>
      </c>
      <c s="125">
        <f>Предпосылки!AO$238*Предпосылки!$N256*Продажи!AP21*AP$19*(1+Чувствительность!$D$20)*IFERROR(LOOKUP(Предпосылки!$H$211,$C$13:$C$15,AP$13:AP$15),1)</f>
        <v>0</v>
      </c>
      <c s="125">
        <f>Предпосылки!AP$238*Предпосылки!$N256*Продажи!AQ21*AQ$19*(1+Чувствительность!$D$20)*IFERROR(LOOKUP(Предпосылки!$H$211,$C$13:$C$15,AQ$13:AQ$15),1)</f>
        <v>0</v>
      </c>
      <c s="125">
        <f>Предпосылки!AQ$238*Предпосылки!$N256*Продажи!AR21*AR$19*(1+Чувствительность!$D$20)*IFERROR(LOOKUP(Предпосылки!$H$211,$C$13:$C$15,AR$13:AR$15),1)</f>
        <v>0</v>
      </c>
      <c s="125">
        <f>Предпосылки!AR$238*Предпосылки!$N256*Продажи!AS21*AS$19*(1+Чувствительность!$D$20)*IFERROR(LOOKUP(Предпосылки!$H$211,$C$13:$C$15,AS$13:AS$15),1)</f>
        <v>0</v>
      </c>
      <c s="125">
        <f>Предпосылки!AS$238*Предпосылки!$N256*Продажи!AT21*AT$19*(1+Чувствительность!$D$20)*IFERROR(LOOKUP(Предпосылки!$H$211,$C$13:$C$15,AT$13:AT$15),1)</f>
        <v>0</v>
      </c>
      <c s="125">
        <f>Предпосылки!AT$238*Предпосылки!$N256*Продажи!AU21*AU$19*(1+Чувствительность!$D$20)*IFERROR(LOOKUP(Предпосылки!$H$211,$C$13:$C$15,AU$13:AU$15),1)</f>
        <v>0</v>
      </c>
      <c s="125">
        <f>Предпосылки!AU$238*Предпосылки!$N256*Продажи!AV21*AV$19*(1+Чувствительность!$D$20)*IFERROR(LOOKUP(Предпосылки!$H$211,$C$13:$C$15,AV$13:AV$15),1)</f>
        <v>0</v>
      </c>
      <c s="125">
        <f>Предпосылки!AV$238*Предпосылки!$N256*Продажи!AW21*AW$19*(1+Чувствительность!$D$20)*IFERROR(LOOKUP(Предпосылки!$H$211,$C$13:$C$15,AW$13:AW$15),1)</f>
        <v>0</v>
      </c>
      <c s="125">
        <f>Предпосылки!AW$238*Предпосылки!$N256*Продажи!AX21*AX$19*(1+Чувствительность!$D$20)*IFERROR(LOOKUP(Предпосылки!$H$211,$C$13:$C$15,AX$13:AX$15),1)</f>
        <v>0</v>
      </c>
      <c s="125">
        <f>Предпосылки!AX$238*Предпосылки!$N256*Продажи!AY21*AY$19*(1+Чувствительность!$D$20)*IFERROR(LOOKUP(Предпосылки!$H$211,$C$13:$C$15,AY$13:AY$15),1)</f>
        <v>0</v>
      </c>
      <c s="125">
        <f>Предпосылки!AY$238*Предпосылки!$N256*Продажи!AZ21*AZ$19*(1+Чувствительность!$D$20)*IFERROR(LOOKUP(Предпосылки!$H$211,$C$13:$C$15,AZ$13:AZ$15),1)</f>
        <v>0</v>
      </c>
      <c s="125">
        <f>Предпосылки!AZ$238*Предпосылки!$N256*Продажи!BA21*BA$19*(1+Чувствительность!$D$20)*IFERROR(LOOKUP(Предпосылки!$H$211,$C$13:$C$15,BA$13:BA$15),1)</f>
        <v>0</v>
      </c>
      <c s="125">
        <f>Предпосылки!BA$238*Предпосылки!$N256*Продажи!BB21*BB$19*(1+Чувствительность!$D$20)*IFERROR(LOOKUP(Предпосылки!$H$211,$C$13:$C$15,BB$13:BB$15),1)</f>
        <v>0</v>
      </c>
      <c s="125">
        <f>Предпосылки!BB$238*Предпосылки!$N256*Продажи!BC21*BC$19*(1+Чувствительность!$D$20)*IFERROR(LOOKUP(Предпосылки!$H$211,$C$13:$C$15,BC$13:BC$15),1)</f>
        <v>0</v>
      </c>
      <c s="125">
        <f>Предпосылки!BC$238*Предпосылки!$N256*Продажи!BD21*BD$19*(1+Чувствительность!$D$20)*IFERROR(LOOKUP(Предпосылки!$H$211,$C$13:$C$15,BD$13:BD$15),1)</f>
        <v>0</v>
      </c>
      <c s="125">
        <f>Предпосылки!BD$238*Предпосылки!$N256*Продажи!BE21*BE$19*(1+Чувствительность!$D$20)*IFERROR(LOOKUP(Предпосылки!$H$211,$C$13:$C$15,BE$13:BE$15),1)</f>
        <v>0</v>
      </c>
      <c s="125">
        <f>Предпосылки!BE$238*Предпосылки!$N256*Продажи!BF21*BF$19*(1+Чувствительность!$D$20)*IFERROR(LOOKUP(Предпосылки!$H$211,$C$13:$C$15,BF$13:BF$15),1)</f>
        <v>0</v>
      </c>
      <c s="125">
        <f>Предпосылки!BF$238*Предпосылки!$N256*Продажи!BG21*BG$19*(1+Чувствительность!$D$20)*IFERROR(LOOKUP(Предпосылки!$H$211,$C$13:$C$15,BG$13:BG$15),1)</f>
        <v>0</v>
      </c>
      <c s="125">
        <f>Предпосылки!BG$238*Предпосылки!$N256*Продажи!BH21*BH$19*(1+Чувствительность!$D$20)*IFERROR(LOOKUP(Предпосылки!$H$211,$C$13:$C$15,BH$13:BH$15),1)</f>
        <v>0</v>
      </c>
      <c s="125">
        <f>Предпосылки!BH$238*Предпосылки!$N256*Продажи!BI21*BI$19*(1+Чувствительность!$D$20)*IFERROR(LOOKUP(Предпосылки!$H$211,$C$13:$C$15,BI$13:BI$15),1)</f>
        <v>0</v>
      </c>
      <c s="125">
        <f>Предпосылки!BI$238*Предпосылки!$N256*Продажи!BJ21*BJ$19*(1+Чувствительность!$D$20)*IFERROR(LOOKUP(Предпосылки!$H$211,$C$13:$C$15,BJ$13:BJ$15),1)</f>
        <v>0</v>
      </c>
      <c s="125">
        <f>Предпосылки!BJ$238*Предпосылки!$N256*Продажи!BK21*BK$19*(1+Чувствительность!$D$20)*IFERROR(LOOKUP(Предпосылки!$H$211,$C$13:$C$15,BK$13:BK$15),1)</f>
        <v>0</v>
      </c>
      <c s="125">
        <f>Предпосылки!BK$238*Предпосылки!$N256*Продажи!BL21*BL$19*(1+Чувствительность!$D$20)*IFERROR(LOOKUP(Предпосылки!$H$211,$C$13:$C$15,BL$13:BL$15),1)</f>
        <v>0</v>
      </c>
      <c s="125">
        <f>Предпосылки!BL$238*Предпосылки!$N256*Продажи!BM21*BM$19*(1+Чувствительность!$D$20)*IFERROR(LOOKUP(Предпосылки!$H$211,$C$13:$C$15,BM$13:BM$15),1)</f>
        <v>0</v>
      </c>
    </row>
    <row r="257" spans="2:65" ht="15" customHeight="1">
      <c r="B257" s="12" t="str">
        <f t="shared" si="111"/>
        <v>Продукт 5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Предпосылки!D$238*Предпосылки!$N257*Продажи!E22*E$19*(1+Чувствительность!$D$20)*IFERROR(LOOKUP(Предпосылки!$H$211,$C$13:$C$15,E$13:E$15),1)</f>
        <v>0</v>
      </c>
      <c s="125">
        <f>Предпосылки!E$238*Предпосылки!$N257*Продажи!F22*F$19*(1+Чувствительность!$D$20)*IFERROR(LOOKUP(Предпосылки!$H$211,$C$13:$C$15,F$13:F$15),1)</f>
        <v>0</v>
      </c>
      <c s="125">
        <f>Предпосылки!F$238*Предпосылки!$N257*Продажи!G22*G$19*(1+Чувствительность!$D$20)*IFERROR(LOOKUP(Предпосылки!$H$211,$C$13:$C$15,G$13:G$15),1)</f>
        <v>0</v>
      </c>
      <c s="125">
        <f>Предпосылки!G$238*Предпосылки!$N257*Продажи!H22*H$19*(1+Чувствительность!$D$20)*IFERROR(LOOKUP(Предпосылки!$H$211,$C$13:$C$15,H$13:H$15),1)</f>
        <v>0</v>
      </c>
      <c s="125">
        <f>Предпосылки!H$238*Предпосылки!$N257*Продажи!I22*I$19*(1+Чувствительность!$D$20)*IFERROR(LOOKUP(Предпосылки!$H$211,$C$13:$C$15,I$13:I$15),1)</f>
        <v>0</v>
      </c>
      <c s="125">
        <f>Предпосылки!I$238*Предпосылки!$N257*Продажи!J22*J$19*(1+Чувствительность!$D$20)*IFERROR(LOOKUP(Предпосылки!$H$211,$C$13:$C$15,J$13:J$15),1)</f>
        <v>0</v>
      </c>
      <c s="125">
        <f>Предпосылки!J$238*Предпосылки!$N257*Продажи!K22*K$19*(1+Чувствительность!$D$20)*IFERROR(LOOKUP(Предпосылки!$H$211,$C$13:$C$15,K$13:K$15),1)</f>
        <v>0</v>
      </c>
      <c s="125">
        <f>Предпосылки!K$238*Предпосылки!$N257*Продажи!L22*L$19*(1+Чувствительность!$D$20)*IFERROR(LOOKUP(Предпосылки!$H$211,$C$13:$C$15,L$13:L$15),1)</f>
        <v>0</v>
      </c>
      <c s="125">
        <f>Предпосылки!L$238*Предпосылки!$N257*Продажи!M22*M$19*(1+Чувствительность!$D$20)*IFERROR(LOOKUP(Предпосылки!$H$211,$C$13:$C$15,M$13:M$15),1)</f>
        <v>0</v>
      </c>
      <c s="125">
        <f>Предпосылки!M$238*Предпосылки!$N257*Продажи!N22*N$19*(1+Чувствительность!$D$20)*IFERROR(LOOKUP(Предпосылки!$H$211,$C$13:$C$15,N$13:N$15),1)</f>
        <v>0</v>
      </c>
      <c s="125">
        <f>Предпосылки!N$238*Предпосылки!$N257*Продажи!O22*O$19*(1+Чувствительность!$D$20)*IFERROR(LOOKUP(Предпосылки!$H$211,$C$13:$C$15,O$13:O$15),1)</f>
        <v>0</v>
      </c>
      <c s="125">
        <f>Предпосылки!O$238*Предпосылки!$N257*Продажи!P22*P$19*(1+Чувствительность!$D$20)*IFERROR(LOOKUP(Предпосылки!$H$211,$C$13:$C$15,P$13:P$15),1)</f>
        <v>0</v>
      </c>
      <c s="125">
        <f>Предпосылки!P$238*Предпосылки!$N257*Продажи!Q22*Q$19*(1+Чувствительность!$D$20)*IFERROR(LOOKUP(Предпосылки!$H$211,$C$13:$C$15,Q$13:Q$15),1)</f>
        <v>0</v>
      </c>
      <c s="125">
        <f>Предпосылки!Q$238*Предпосылки!$N257*Продажи!R22*R$19*(1+Чувствительность!$D$20)*IFERROR(LOOKUP(Предпосылки!$H$211,$C$13:$C$15,R$13:R$15),1)</f>
        <v>0</v>
      </c>
      <c s="125">
        <f>Предпосылки!R$238*Предпосылки!$N257*Продажи!S22*S$19*(1+Чувствительность!$D$20)*IFERROR(LOOKUP(Предпосылки!$H$211,$C$13:$C$15,S$13:S$15),1)</f>
        <v>0</v>
      </c>
      <c s="125">
        <f>Предпосылки!S$238*Предпосылки!$N257*Продажи!T22*T$19*(1+Чувствительность!$D$20)*IFERROR(LOOKUP(Предпосылки!$H$211,$C$13:$C$15,T$13:T$15),1)</f>
        <v>0</v>
      </c>
      <c s="125">
        <f>Предпосылки!T$238*Предпосылки!$N257*Продажи!U22*U$19*(1+Чувствительность!$D$20)*IFERROR(LOOKUP(Предпосылки!$H$211,$C$13:$C$15,U$13:U$15),1)</f>
        <v>0</v>
      </c>
      <c s="125">
        <f>Предпосылки!U$238*Предпосылки!$N257*Продажи!V22*V$19*(1+Чувствительность!$D$20)*IFERROR(LOOKUP(Предпосылки!$H$211,$C$13:$C$15,V$13:V$15),1)</f>
        <v>0</v>
      </c>
      <c s="125">
        <f>Предпосылки!V$238*Предпосылки!$N257*Продажи!W22*W$19*(1+Чувствительность!$D$20)*IFERROR(LOOKUP(Предпосылки!$H$211,$C$13:$C$15,W$13:W$15),1)</f>
        <v>0</v>
      </c>
      <c s="125">
        <f>Предпосылки!W$238*Предпосылки!$N257*Продажи!X22*X$19*(1+Чувствительность!$D$20)*IFERROR(LOOKUP(Предпосылки!$H$211,$C$13:$C$15,X$13:X$15),1)</f>
        <v>0</v>
      </c>
      <c s="125">
        <f>Предпосылки!X$238*Предпосылки!$N257*Продажи!Y22*Y$19*(1+Чувствительность!$D$20)*IFERROR(LOOKUP(Предпосылки!$H$211,$C$13:$C$15,Y$13:Y$15),1)</f>
        <v>0</v>
      </c>
      <c s="125">
        <f>Предпосылки!Y$238*Предпосылки!$N257*Продажи!Z22*Z$19*(1+Чувствительность!$D$20)*IFERROR(LOOKUP(Предпосылки!$H$211,$C$13:$C$15,Z$13:Z$15),1)</f>
        <v>0</v>
      </c>
      <c s="125">
        <f>Предпосылки!Z$238*Предпосылки!$N257*Продажи!AA22*AA$19*(1+Чувствительность!$D$20)*IFERROR(LOOKUP(Предпосылки!$H$211,$C$13:$C$15,AA$13:AA$15),1)</f>
        <v>0</v>
      </c>
      <c s="125">
        <f>Предпосылки!AA$238*Предпосылки!$N257*Продажи!AB22*AB$19*(1+Чувствительность!$D$20)*IFERROR(LOOKUP(Предпосылки!$H$211,$C$13:$C$15,AB$13:AB$15),1)</f>
        <v>0</v>
      </c>
      <c s="125">
        <f>Предпосылки!AB$238*Предпосылки!$N257*Продажи!AC22*AC$19*(1+Чувствительность!$D$20)*IFERROR(LOOKUP(Предпосылки!$H$211,$C$13:$C$15,AC$13:AC$15),1)</f>
        <v>0</v>
      </c>
      <c s="125">
        <f>Предпосылки!AC$238*Предпосылки!$N257*Продажи!AD22*AD$19*(1+Чувствительность!$D$20)*IFERROR(LOOKUP(Предпосылки!$H$211,$C$13:$C$15,AD$13:AD$15),1)</f>
        <v>0</v>
      </c>
      <c s="125">
        <f>Предпосылки!AD$238*Предпосылки!$N257*Продажи!AE22*AE$19*(1+Чувствительность!$D$20)*IFERROR(LOOKUP(Предпосылки!$H$211,$C$13:$C$15,AE$13:AE$15),1)</f>
        <v>0</v>
      </c>
      <c s="125">
        <f>Предпосылки!AE$238*Предпосылки!$N257*Продажи!AF22*AF$19*(1+Чувствительность!$D$20)*IFERROR(LOOKUP(Предпосылки!$H$211,$C$13:$C$15,AF$13:AF$15),1)</f>
        <v>0</v>
      </c>
      <c s="125">
        <f>Предпосылки!AF$238*Предпосылки!$N257*Продажи!AG22*AG$19*(1+Чувствительность!$D$20)*IFERROR(LOOKUP(Предпосылки!$H$211,$C$13:$C$15,AG$13:AG$15),1)</f>
        <v>0</v>
      </c>
      <c s="125">
        <f>Предпосылки!AG$238*Предпосылки!$N257*Продажи!AH22*AH$19*(1+Чувствительность!$D$20)*IFERROR(LOOKUP(Предпосылки!$H$211,$C$13:$C$15,AH$13:AH$15),1)</f>
        <v>0</v>
      </c>
      <c s="125">
        <f>Предпосылки!AH$238*Предпосылки!$N257*Продажи!AI22*AI$19*(1+Чувствительность!$D$20)*IFERROR(LOOKUP(Предпосылки!$H$211,$C$13:$C$15,AI$13:AI$15),1)</f>
        <v>0</v>
      </c>
      <c s="125">
        <f>Предпосылки!AI$238*Предпосылки!$N257*Продажи!AJ22*AJ$19*(1+Чувствительность!$D$20)*IFERROR(LOOKUP(Предпосылки!$H$211,$C$13:$C$15,AJ$13:AJ$15),1)</f>
        <v>0</v>
      </c>
      <c s="125">
        <f>Предпосылки!AJ$238*Предпосылки!$N257*Продажи!AK22*AK$19*(1+Чувствительность!$D$20)*IFERROR(LOOKUP(Предпосылки!$H$211,$C$13:$C$15,AK$13:AK$15),1)</f>
        <v>0</v>
      </c>
      <c s="125">
        <f>Предпосылки!AK$238*Предпосылки!$N257*Продажи!AL22*AL$19*(1+Чувствительность!$D$20)*IFERROR(LOOKUP(Предпосылки!$H$211,$C$13:$C$15,AL$13:AL$15),1)</f>
        <v>0</v>
      </c>
      <c s="125">
        <f>Предпосылки!AL$238*Предпосылки!$N257*Продажи!AM22*AM$19*(1+Чувствительность!$D$20)*IFERROR(LOOKUP(Предпосылки!$H$211,$C$13:$C$15,AM$13:AM$15),1)</f>
        <v>0</v>
      </c>
      <c s="125">
        <f>Предпосылки!AM$238*Предпосылки!$N257*Продажи!AN22*AN$19*(1+Чувствительность!$D$20)*IFERROR(LOOKUP(Предпосылки!$H$211,$C$13:$C$15,AN$13:AN$15),1)</f>
        <v>0</v>
      </c>
      <c s="125">
        <f>Предпосылки!AN$238*Предпосылки!$N257*Продажи!AO22*AO$19*(1+Чувствительность!$D$20)*IFERROR(LOOKUP(Предпосылки!$H$211,$C$13:$C$15,AO$13:AO$15),1)</f>
        <v>0</v>
      </c>
      <c s="125">
        <f>Предпосылки!AO$238*Предпосылки!$N257*Продажи!AP22*AP$19*(1+Чувствительность!$D$20)*IFERROR(LOOKUP(Предпосылки!$H$211,$C$13:$C$15,AP$13:AP$15),1)</f>
        <v>0</v>
      </c>
      <c s="125">
        <f>Предпосылки!AP$238*Предпосылки!$N257*Продажи!AQ22*AQ$19*(1+Чувствительность!$D$20)*IFERROR(LOOKUP(Предпосылки!$H$211,$C$13:$C$15,AQ$13:AQ$15),1)</f>
        <v>0</v>
      </c>
      <c s="125">
        <f>Предпосылки!AQ$238*Предпосылки!$N257*Продажи!AR22*AR$19*(1+Чувствительность!$D$20)*IFERROR(LOOKUP(Предпосылки!$H$211,$C$13:$C$15,AR$13:AR$15),1)</f>
        <v>0</v>
      </c>
      <c s="125">
        <f>Предпосылки!AR$238*Предпосылки!$N257*Продажи!AS22*AS$19*(1+Чувствительность!$D$20)*IFERROR(LOOKUP(Предпосылки!$H$211,$C$13:$C$15,AS$13:AS$15),1)</f>
        <v>0</v>
      </c>
      <c s="125">
        <f>Предпосылки!AS$238*Предпосылки!$N257*Продажи!AT22*AT$19*(1+Чувствительность!$D$20)*IFERROR(LOOKUP(Предпосылки!$H$211,$C$13:$C$15,AT$13:AT$15),1)</f>
        <v>0</v>
      </c>
      <c s="125">
        <f>Предпосылки!AT$238*Предпосылки!$N257*Продажи!AU22*AU$19*(1+Чувствительность!$D$20)*IFERROR(LOOKUP(Предпосылки!$H$211,$C$13:$C$15,AU$13:AU$15),1)</f>
        <v>0</v>
      </c>
      <c s="125">
        <f>Предпосылки!AU$238*Предпосылки!$N257*Продажи!AV22*AV$19*(1+Чувствительность!$D$20)*IFERROR(LOOKUP(Предпосылки!$H$211,$C$13:$C$15,AV$13:AV$15),1)</f>
        <v>0</v>
      </c>
      <c s="125">
        <f>Предпосылки!AV$238*Предпосылки!$N257*Продажи!AW22*AW$19*(1+Чувствительность!$D$20)*IFERROR(LOOKUP(Предпосылки!$H$211,$C$13:$C$15,AW$13:AW$15),1)</f>
        <v>0</v>
      </c>
      <c s="125">
        <f>Предпосылки!AW$238*Предпосылки!$N257*Продажи!AX22*AX$19*(1+Чувствительность!$D$20)*IFERROR(LOOKUP(Предпосылки!$H$211,$C$13:$C$15,AX$13:AX$15),1)</f>
        <v>0</v>
      </c>
      <c s="125">
        <f>Предпосылки!AX$238*Предпосылки!$N257*Продажи!AY22*AY$19*(1+Чувствительность!$D$20)*IFERROR(LOOKUP(Предпосылки!$H$211,$C$13:$C$15,AY$13:AY$15),1)</f>
        <v>0</v>
      </c>
      <c s="125">
        <f>Предпосылки!AY$238*Предпосылки!$N257*Продажи!AZ22*AZ$19*(1+Чувствительность!$D$20)*IFERROR(LOOKUP(Предпосылки!$H$211,$C$13:$C$15,AZ$13:AZ$15),1)</f>
        <v>0</v>
      </c>
      <c s="125">
        <f>Предпосылки!AZ$238*Предпосылки!$N257*Продажи!BA22*BA$19*(1+Чувствительность!$D$20)*IFERROR(LOOKUP(Предпосылки!$H$211,$C$13:$C$15,BA$13:BA$15),1)</f>
        <v>0</v>
      </c>
      <c s="125">
        <f>Предпосылки!BA$238*Предпосылки!$N257*Продажи!BB22*BB$19*(1+Чувствительность!$D$20)*IFERROR(LOOKUP(Предпосылки!$H$211,$C$13:$C$15,BB$13:BB$15),1)</f>
        <v>0</v>
      </c>
      <c s="125">
        <f>Предпосылки!BB$238*Предпосылки!$N257*Продажи!BC22*BC$19*(1+Чувствительность!$D$20)*IFERROR(LOOKUP(Предпосылки!$H$211,$C$13:$C$15,BC$13:BC$15),1)</f>
        <v>0</v>
      </c>
      <c s="125">
        <f>Предпосылки!BC$238*Предпосылки!$N257*Продажи!BD22*BD$19*(1+Чувствительность!$D$20)*IFERROR(LOOKUP(Предпосылки!$H$211,$C$13:$C$15,BD$13:BD$15),1)</f>
        <v>0</v>
      </c>
      <c s="125">
        <f>Предпосылки!BD$238*Предпосылки!$N257*Продажи!BE22*BE$19*(1+Чувствительность!$D$20)*IFERROR(LOOKUP(Предпосылки!$H$211,$C$13:$C$15,BE$13:BE$15),1)</f>
        <v>0</v>
      </c>
      <c s="125">
        <f>Предпосылки!BE$238*Предпосылки!$N257*Продажи!BF22*BF$19*(1+Чувствительность!$D$20)*IFERROR(LOOKUP(Предпосылки!$H$211,$C$13:$C$15,BF$13:BF$15),1)</f>
        <v>0</v>
      </c>
      <c s="125">
        <f>Предпосылки!BF$238*Предпосылки!$N257*Продажи!BG22*BG$19*(1+Чувствительность!$D$20)*IFERROR(LOOKUP(Предпосылки!$H$211,$C$13:$C$15,BG$13:BG$15),1)</f>
        <v>0</v>
      </c>
      <c s="125">
        <f>Предпосылки!BG$238*Предпосылки!$N257*Продажи!BH22*BH$19*(1+Чувствительность!$D$20)*IFERROR(LOOKUP(Предпосылки!$H$211,$C$13:$C$15,BH$13:BH$15),1)</f>
        <v>0</v>
      </c>
      <c s="125">
        <f>Предпосылки!BH$238*Предпосылки!$N257*Продажи!BI22*BI$19*(1+Чувствительность!$D$20)*IFERROR(LOOKUP(Предпосылки!$H$211,$C$13:$C$15,BI$13:BI$15),1)</f>
        <v>0</v>
      </c>
      <c s="125">
        <f>Предпосылки!BI$238*Предпосылки!$N257*Продажи!BJ22*BJ$19*(1+Чувствительность!$D$20)*IFERROR(LOOKUP(Предпосылки!$H$211,$C$13:$C$15,BJ$13:BJ$15),1)</f>
        <v>0</v>
      </c>
      <c s="125">
        <f>Предпосылки!BJ$238*Предпосылки!$N257*Продажи!BK22*BK$19*(1+Чувствительность!$D$20)*IFERROR(LOOKUP(Предпосылки!$H$211,$C$13:$C$15,BK$13:BK$15),1)</f>
        <v>0</v>
      </c>
      <c s="125">
        <f>Предпосылки!BK$238*Предпосылки!$N257*Продажи!BL22*BL$19*(1+Чувствительность!$D$20)*IFERROR(LOOKUP(Предпосылки!$H$211,$C$13:$C$15,BL$13:BL$15),1)</f>
        <v>0</v>
      </c>
      <c s="125">
        <f>Предпосылки!BL$238*Предпосылки!$N257*Продажи!BM22*BM$19*(1+Чувствительность!$D$20)*IFERROR(LOOKUP(Предпосылки!$H$211,$C$13:$C$15,BM$13:BM$15),1)</f>
        <v>0</v>
      </c>
    </row>
    <row r="258" spans="2:65" ht="15" customHeight="1">
      <c r="B258" s="12" t="str">
        <f t="shared" si="111"/>
        <v>Продукт 6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Предпосылки!D$238*Предпосылки!$N258*Продажи!E23*E$19*(1+Чувствительность!$D$20)*IFERROR(LOOKUP(Предпосылки!$H$211,$C$13:$C$15,E$13:E$15),1)</f>
        <v>0</v>
      </c>
      <c s="125">
        <f>Предпосылки!E$238*Предпосылки!$N258*Продажи!F23*F$19*(1+Чувствительность!$D$20)*IFERROR(LOOKUP(Предпосылки!$H$211,$C$13:$C$15,F$13:F$15),1)</f>
        <v>0</v>
      </c>
      <c s="125">
        <f>Предпосылки!F$238*Предпосылки!$N258*Продажи!G23*G$19*(1+Чувствительность!$D$20)*IFERROR(LOOKUP(Предпосылки!$H$211,$C$13:$C$15,G$13:G$15),1)</f>
        <v>0</v>
      </c>
      <c s="125">
        <f>Предпосылки!G$238*Предпосылки!$N258*Продажи!H23*H$19*(1+Чувствительность!$D$20)*IFERROR(LOOKUP(Предпосылки!$H$211,$C$13:$C$15,H$13:H$15),1)</f>
        <v>0</v>
      </c>
      <c s="125">
        <f>Предпосылки!H$238*Предпосылки!$N258*Продажи!I23*I$19*(1+Чувствительность!$D$20)*IFERROR(LOOKUP(Предпосылки!$H$211,$C$13:$C$15,I$13:I$15),1)</f>
        <v>0</v>
      </c>
      <c s="125">
        <f>Предпосылки!I$238*Предпосылки!$N258*Продажи!J23*J$19*(1+Чувствительность!$D$20)*IFERROR(LOOKUP(Предпосылки!$H$211,$C$13:$C$15,J$13:J$15),1)</f>
        <v>0</v>
      </c>
      <c s="125">
        <f>Предпосылки!J$238*Предпосылки!$N258*Продажи!K23*K$19*(1+Чувствительность!$D$20)*IFERROR(LOOKUP(Предпосылки!$H$211,$C$13:$C$15,K$13:K$15),1)</f>
        <v>0</v>
      </c>
      <c s="125">
        <f>Предпосылки!K$238*Предпосылки!$N258*Продажи!L23*L$19*(1+Чувствительность!$D$20)*IFERROR(LOOKUP(Предпосылки!$H$211,$C$13:$C$15,L$13:L$15),1)</f>
        <v>0</v>
      </c>
      <c s="125">
        <f>Предпосылки!L$238*Предпосылки!$N258*Продажи!M23*M$19*(1+Чувствительность!$D$20)*IFERROR(LOOKUP(Предпосылки!$H$211,$C$13:$C$15,M$13:M$15),1)</f>
        <v>0</v>
      </c>
      <c s="125">
        <f>Предпосылки!M$238*Предпосылки!$N258*Продажи!N23*N$19*(1+Чувствительность!$D$20)*IFERROR(LOOKUP(Предпосылки!$H$211,$C$13:$C$15,N$13:N$15),1)</f>
        <v>0</v>
      </c>
      <c s="125">
        <f>Предпосылки!N$238*Предпосылки!$N258*Продажи!O23*O$19*(1+Чувствительность!$D$20)*IFERROR(LOOKUP(Предпосылки!$H$211,$C$13:$C$15,O$13:O$15),1)</f>
        <v>0</v>
      </c>
      <c s="125">
        <f>Предпосылки!O$238*Предпосылки!$N258*Продажи!P23*P$19*(1+Чувствительность!$D$20)*IFERROR(LOOKUP(Предпосылки!$H$211,$C$13:$C$15,P$13:P$15),1)</f>
        <v>0</v>
      </c>
      <c s="125">
        <f>Предпосылки!P$238*Предпосылки!$N258*Продажи!Q23*Q$19*(1+Чувствительность!$D$20)*IFERROR(LOOKUP(Предпосылки!$H$211,$C$13:$C$15,Q$13:Q$15),1)</f>
        <v>0</v>
      </c>
      <c s="125">
        <f>Предпосылки!Q$238*Предпосылки!$N258*Продажи!R23*R$19*(1+Чувствительность!$D$20)*IFERROR(LOOKUP(Предпосылки!$H$211,$C$13:$C$15,R$13:R$15),1)</f>
        <v>0</v>
      </c>
      <c s="125">
        <f>Предпосылки!R$238*Предпосылки!$N258*Продажи!S23*S$19*(1+Чувствительность!$D$20)*IFERROR(LOOKUP(Предпосылки!$H$211,$C$13:$C$15,S$13:S$15),1)</f>
        <v>0</v>
      </c>
      <c s="125">
        <f>Предпосылки!S$238*Предпосылки!$N258*Продажи!T23*T$19*(1+Чувствительность!$D$20)*IFERROR(LOOKUP(Предпосылки!$H$211,$C$13:$C$15,T$13:T$15),1)</f>
        <v>0</v>
      </c>
      <c s="125">
        <f>Предпосылки!T$238*Предпосылки!$N258*Продажи!U23*U$19*(1+Чувствительность!$D$20)*IFERROR(LOOKUP(Предпосылки!$H$211,$C$13:$C$15,U$13:U$15),1)</f>
        <v>0</v>
      </c>
      <c s="125">
        <f>Предпосылки!U$238*Предпосылки!$N258*Продажи!V23*V$19*(1+Чувствительность!$D$20)*IFERROR(LOOKUP(Предпосылки!$H$211,$C$13:$C$15,V$13:V$15),1)</f>
        <v>0</v>
      </c>
      <c s="125">
        <f>Предпосылки!V$238*Предпосылки!$N258*Продажи!W23*W$19*(1+Чувствительность!$D$20)*IFERROR(LOOKUP(Предпосылки!$H$211,$C$13:$C$15,W$13:W$15),1)</f>
        <v>0</v>
      </c>
      <c s="125">
        <f>Предпосылки!W$238*Предпосылки!$N258*Продажи!X23*X$19*(1+Чувствительность!$D$20)*IFERROR(LOOKUP(Предпосылки!$H$211,$C$13:$C$15,X$13:X$15),1)</f>
        <v>0</v>
      </c>
      <c s="125">
        <f>Предпосылки!X$238*Предпосылки!$N258*Продажи!Y23*Y$19*(1+Чувствительность!$D$20)*IFERROR(LOOKUP(Предпосылки!$H$211,$C$13:$C$15,Y$13:Y$15),1)</f>
        <v>0</v>
      </c>
      <c s="125">
        <f>Предпосылки!Y$238*Предпосылки!$N258*Продажи!Z23*Z$19*(1+Чувствительность!$D$20)*IFERROR(LOOKUP(Предпосылки!$H$211,$C$13:$C$15,Z$13:Z$15),1)</f>
        <v>0</v>
      </c>
      <c s="125">
        <f>Предпосылки!Z$238*Предпосылки!$N258*Продажи!AA23*AA$19*(1+Чувствительность!$D$20)*IFERROR(LOOKUP(Предпосылки!$H$211,$C$13:$C$15,AA$13:AA$15),1)</f>
        <v>0</v>
      </c>
      <c s="125">
        <f>Предпосылки!AA$238*Предпосылки!$N258*Продажи!AB23*AB$19*(1+Чувствительность!$D$20)*IFERROR(LOOKUP(Предпосылки!$H$211,$C$13:$C$15,AB$13:AB$15),1)</f>
        <v>0</v>
      </c>
      <c s="125">
        <f>Предпосылки!AB$238*Предпосылки!$N258*Продажи!AC23*AC$19*(1+Чувствительность!$D$20)*IFERROR(LOOKUP(Предпосылки!$H$211,$C$13:$C$15,AC$13:AC$15),1)</f>
        <v>0</v>
      </c>
      <c s="125">
        <f>Предпосылки!AC$238*Предпосылки!$N258*Продажи!AD23*AD$19*(1+Чувствительность!$D$20)*IFERROR(LOOKUP(Предпосылки!$H$211,$C$13:$C$15,AD$13:AD$15),1)</f>
        <v>0</v>
      </c>
      <c s="125">
        <f>Предпосылки!AD$238*Предпосылки!$N258*Продажи!AE23*AE$19*(1+Чувствительность!$D$20)*IFERROR(LOOKUP(Предпосылки!$H$211,$C$13:$C$15,AE$13:AE$15),1)</f>
        <v>0</v>
      </c>
      <c s="125">
        <f>Предпосылки!AE$238*Предпосылки!$N258*Продажи!AF23*AF$19*(1+Чувствительность!$D$20)*IFERROR(LOOKUP(Предпосылки!$H$211,$C$13:$C$15,AF$13:AF$15),1)</f>
        <v>0</v>
      </c>
      <c s="125">
        <f>Предпосылки!AF$238*Предпосылки!$N258*Продажи!AG23*AG$19*(1+Чувствительность!$D$20)*IFERROR(LOOKUP(Предпосылки!$H$211,$C$13:$C$15,AG$13:AG$15),1)</f>
        <v>0</v>
      </c>
      <c s="125">
        <f>Предпосылки!AG$238*Предпосылки!$N258*Продажи!AH23*AH$19*(1+Чувствительность!$D$20)*IFERROR(LOOKUP(Предпосылки!$H$211,$C$13:$C$15,AH$13:AH$15),1)</f>
        <v>0</v>
      </c>
      <c s="125">
        <f>Предпосылки!AH$238*Предпосылки!$N258*Продажи!AI23*AI$19*(1+Чувствительность!$D$20)*IFERROR(LOOKUP(Предпосылки!$H$211,$C$13:$C$15,AI$13:AI$15),1)</f>
        <v>0</v>
      </c>
      <c s="125">
        <f>Предпосылки!AI$238*Предпосылки!$N258*Продажи!AJ23*AJ$19*(1+Чувствительность!$D$20)*IFERROR(LOOKUP(Предпосылки!$H$211,$C$13:$C$15,AJ$13:AJ$15),1)</f>
        <v>0</v>
      </c>
      <c s="125">
        <f>Предпосылки!AJ$238*Предпосылки!$N258*Продажи!AK23*AK$19*(1+Чувствительность!$D$20)*IFERROR(LOOKUP(Предпосылки!$H$211,$C$13:$C$15,AK$13:AK$15),1)</f>
        <v>0</v>
      </c>
      <c s="125">
        <f>Предпосылки!AK$238*Предпосылки!$N258*Продажи!AL23*AL$19*(1+Чувствительность!$D$20)*IFERROR(LOOKUP(Предпосылки!$H$211,$C$13:$C$15,AL$13:AL$15),1)</f>
        <v>0</v>
      </c>
      <c s="125">
        <f>Предпосылки!AL$238*Предпосылки!$N258*Продажи!AM23*AM$19*(1+Чувствительность!$D$20)*IFERROR(LOOKUP(Предпосылки!$H$211,$C$13:$C$15,AM$13:AM$15),1)</f>
        <v>0</v>
      </c>
      <c s="125">
        <f>Предпосылки!AM$238*Предпосылки!$N258*Продажи!AN23*AN$19*(1+Чувствительность!$D$20)*IFERROR(LOOKUP(Предпосылки!$H$211,$C$13:$C$15,AN$13:AN$15),1)</f>
        <v>0</v>
      </c>
      <c s="125">
        <f>Предпосылки!AN$238*Предпосылки!$N258*Продажи!AO23*AO$19*(1+Чувствительность!$D$20)*IFERROR(LOOKUP(Предпосылки!$H$211,$C$13:$C$15,AO$13:AO$15),1)</f>
        <v>0</v>
      </c>
      <c s="125">
        <f>Предпосылки!AO$238*Предпосылки!$N258*Продажи!AP23*AP$19*(1+Чувствительность!$D$20)*IFERROR(LOOKUP(Предпосылки!$H$211,$C$13:$C$15,AP$13:AP$15),1)</f>
        <v>0</v>
      </c>
      <c s="125">
        <f>Предпосылки!AP$238*Предпосылки!$N258*Продажи!AQ23*AQ$19*(1+Чувствительность!$D$20)*IFERROR(LOOKUP(Предпосылки!$H$211,$C$13:$C$15,AQ$13:AQ$15),1)</f>
        <v>0</v>
      </c>
      <c s="125">
        <f>Предпосылки!AQ$238*Предпосылки!$N258*Продажи!AR23*AR$19*(1+Чувствительность!$D$20)*IFERROR(LOOKUP(Предпосылки!$H$211,$C$13:$C$15,AR$13:AR$15),1)</f>
        <v>0</v>
      </c>
      <c s="125">
        <f>Предпосылки!AR$238*Предпосылки!$N258*Продажи!AS23*AS$19*(1+Чувствительность!$D$20)*IFERROR(LOOKUP(Предпосылки!$H$211,$C$13:$C$15,AS$13:AS$15),1)</f>
        <v>0</v>
      </c>
      <c s="125">
        <f>Предпосылки!AS$238*Предпосылки!$N258*Продажи!AT23*AT$19*(1+Чувствительность!$D$20)*IFERROR(LOOKUP(Предпосылки!$H$211,$C$13:$C$15,AT$13:AT$15),1)</f>
        <v>0</v>
      </c>
      <c s="125">
        <f>Предпосылки!AT$238*Предпосылки!$N258*Продажи!AU23*AU$19*(1+Чувствительность!$D$20)*IFERROR(LOOKUP(Предпосылки!$H$211,$C$13:$C$15,AU$13:AU$15),1)</f>
        <v>0</v>
      </c>
      <c s="125">
        <f>Предпосылки!AU$238*Предпосылки!$N258*Продажи!AV23*AV$19*(1+Чувствительность!$D$20)*IFERROR(LOOKUP(Предпосылки!$H$211,$C$13:$C$15,AV$13:AV$15),1)</f>
        <v>0</v>
      </c>
      <c s="125">
        <f>Предпосылки!AV$238*Предпосылки!$N258*Продажи!AW23*AW$19*(1+Чувствительность!$D$20)*IFERROR(LOOKUP(Предпосылки!$H$211,$C$13:$C$15,AW$13:AW$15),1)</f>
        <v>0</v>
      </c>
      <c s="125">
        <f>Предпосылки!AW$238*Предпосылки!$N258*Продажи!AX23*AX$19*(1+Чувствительность!$D$20)*IFERROR(LOOKUP(Предпосылки!$H$211,$C$13:$C$15,AX$13:AX$15),1)</f>
        <v>0</v>
      </c>
      <c s="125">
        <f>Предпосылки!AX$238*Предпосылки!$N258*Продажи!AY23*AY$19*(1+Чувствительность!$D$20)*IFERROR(LOOKUP(Предпосылки!$H$211,$C$13:$C$15,AY$13:AY$15),1)</f>
        <v>0</v>
      </c>
      <c s="125">
        <f>Предпосылки!AY$238*Предпосылки!$N258*Продажи!AZ23*AZ$19*(1+Чувствительность!$D$20)*IFERROR(LOOKUP(Предпосылки!$H$211,$C$13:$C$15,AZ$13:AZ$15),1)</f>
        <v>0</v>
      </c>
      <c s="125">
        <f>Предпосылки!AZ$238*Предпосылки!$N258*Продажи!BA23*BA$19*(1+Чувствительность!$D$20)*IFERROR(LOOKUP(Предпосылки!$H$211,$C$13:$C$15,BA$13:BA$15),1)</f>
        <v>0</v>
      </c>
      <c s="125">
        <f>Предпосылки!BA$238*Предпосылки!$N258*Продажи!BB23*BB$19*(1+Чувствительность!$D$20)*IFERROR(LOOKUP(Предпосылки!$H$211,$C$13:$C$15,BB$13:BB$15),1)</f>
        <v>0</v>
      </c>
      <c s="125">
        <f>Предпосылки!BB$238*Предпосылки!$N258*Продажи!BC23*BC$19*(1+Чувствительность!$D$20)*IFERROR(LOOKUP(Предпосылки!$H$211,$C$13:$C$15,BC$13:BC$15),1)</f>
        <v>0</v>
      </c>
      <c s="125">
        <f>Предпосылки!BC$238*Предпосылки!$N258*Продажи!BD23*BD$19*(1+Чувствительность!$D$20)*IFERROR(LOOKUP(Предпосылки!$H$211,$C$13:$C$15,BD$13:BD$15),1)</f>
        <v>0</v>
      </c>
      <c s="125">
        <f>Предпосылки!BD$238*Предпосылки!$N258*Продажи!BE23*BE$19*(1+Чувствительность!$D$20)*IFERROR(LOOKUP(Предпосылки!$H$211,$C$13:$C$15,BE$13:BE$15),1)</f>
        <v>0</v>
      </c>
      <c s="125">
        <f>Предпосылки!BE$238*Предпосылки!$N258*Продажи!BF23*BF$19*(1+Чувствительность!$D$20)*IFERROR(LOOKUP(Предпосылки!$H$211,$C$13:$C$15,BF$13:BF$15),1)</f>
        <v>0</v>
      </c>
      <c s="125">
        <f>Предпосылки!BF$238*Предпосылки!$N258*Продажи!BG23*BG$19*(1+Чувствительность!$D$20)*IFERROR(LOOKUP(Предпосылки!$H$211,$C$13:$C$15,BG$13:BG$15),1)</f>
        <v>0</v>
      </c>
      <c s="125">
        <f>Предпосылки!BG$238*Предпосылки!$N258*Продажи!BH23*BH$19*(1+Чувствительность!$D$20)*IFERROR(LOOKUP(Предпосылки!$H$211,$C$13:$C$15,BH$13:BH$15),1)</f>
        <v>0</v>
      </c>
      <c s="125">
        <f>Предпосылки!BH$238*Предпосылки!$N258*Продажи!BI23*BI$19*(1+Чувствительность!$D$20)*IFERROR(LOOKUP(Предпосылки!$H$211,$C$13:$C$15,BI$13:BI$15),1)</f>
        <v>0</v>
      </c>
      <c s="125">
        <f>Предпосылки!BI$238*Предпосылки!$N258*Продажи!BJ23*BJ$19*(1+Чувствительность!$D$20)*IFERROR(LOOKUP(Предпосылки!$H$211,$C$13:$C$15,BJ$13:BJ$15),1)</f>
        <v>0</v>
      </c>
      <c s="125">
        <f>Предпосылки!BJ$238*Предпосылки!$N258*Продажи!BK23*BK$19*(1+Чувствительность!$D$20)*IFERROR(LOOKUP(Предпосылки!$H$211,$C$13:$C$15,BK$13:BK$15),1)</f>
        <v>0</v>
      </c>
      <c s="125">
        <f>Предпосылки!BK$238*Предпосылки!$N258*Продажи!BL23*BL$19*(1+Чувствительность!$D$20)*IFERROR(LOOKUP(Предпосылки!$H$211,$C$13:$C$15,BL$13:BL$15),1)</f>
        <v>0</v>
      </c>
      <c s="125">
        <f>Предпосылки!BL$238*Предпосылки!$N258*Продажи!BM23*BM$19*(1+Чувствительность!$D$20)*IFERROR(LOOKUP(Предпосылки!$H$211,$C$13:$C$15,BM$13:BM$15),1)</f>
        <v>0</v>
      </c>
    </row>
    <row r="259" spans="2:65" ht="15" customHeight="1">
      <c r="B259" s="12" t="str">
        <f t="shared" si="111"/>
        <v>Продукт 7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Предпосылки!D$238*Предпосылки!$N259*Продажи!E24*E$19*(1+Чувствительность!$D$20)*IFERROR(LOOKUP(Предпосылки!$H$211,$C$13:$C$15,E$13:E$15),1)</f>
        <v>0</v>
      </c>
      <c s="125">
        <f>Предпосылки!E$238*Предпосылки!$N259*Продажи!F24*F$19*(1+Чувствительность!$D$20)*IFERROR(LOOKUP(Предпосылки!$H$211,$C$13:$C$15,F$13:F$15),1)</f>
        <v>0</v>
      </c>
      <c s="125">
        <f>Предпосылки!F$238*Предпосылки!$N259*Продажи!G24*G$19*(1+Чувствительность!$D$20)*IFERROR(LOOKUP(Предпосылки!$H$211,$C$13:$C$15,G$13:G$15),1)</f>
        <v>0</v>
      </c>
      <c s="125">
        <f>Предпосылки!G$238*Предпосылки!$N259*Продажи!H24*H$19*(1+Чувствительность!$D$20)*IFERROR(LOOKUP(Предпосылки!$H$211,$C$13:$C$15,H$13:H$15),1)</f>
        <v>0</v>
      </c>
      <c s="125">
        <f>Предпосылки!H$238*Предпосылки!$N259*Продажи!I24*I$19*(1+Чувствительность!$D$20)*IFERROR(LOOKUP(Предпосылки!$H$211,$C$13:$C$15,I$13:I$15),1)</f>
        <v>0</v>
      </c>
      <c s="125">
        <f>Предпосылки!I$238*Предпосылки!$N259*Продажи!J24*J$19*(1+Чувствительность!$D$20)*IFERROR(LOOKUP(Предпосылки!$H$211,$C$13:$C$15,J$13:J$15),1)</f>
        <v>0</v>
      </c>
      <c s="125">
        <f>Предпосылки!J$238*Предпосылки!$N259*Продажи!K24*K$19*(1+Чувствительность!$D$20)*IFERROR(LOOKUP(Предпосылки!$H$211,$C$13:$C$15,K$13:K$15),1)</f>
        <v>0</v>
      </c>
      <c s="125">
        <f>Предпосылки!K$238*Предпосылки!$N259*Продажи!L24*L$19*(1+Чувствительность!$D$20)*IFERROR(LOOKUP(Предпосылки!$H$211,$C$13:$C$15,L$13:L$15),1)</f>
        <v>0</v>
      </c>
      <c s="125">
        <f>Предпосылки!L$238*Предпосылки!$N259*Продажи!M24*M$19*(1+Чувствительность!$D$20)*IFERROR(LOOKUP(Предпосылки!$H$211,$C$13:$C$15,M$13:M$15),1)</f>
        <v>0</v>
      </c>
      <c s="125">
        <f>Предпосылки!M$238*Предпосылки!$N259*Продажи!N24*N$19*(1+Чувствительность!$D$20)*IFERROR(LOOKUP(Предпосылки!$H$211,$C$13:$C$15,N$13:N$15),1)</f>
        <v>0</v>
      </c>
      <c s="125">
        <f>Предпосылки!N$238*Предпосылки!$N259*Продажи!O24*O$19*(1+Чувствительность!$D$20)*IFERROR(LOOKUP(Предпосылки!$H$211,$C$13:$C$15,O$13:O$15),1)</f>
        <v>0</v>
      </c>
      <c s="125">
        <f>Предпосылки!O$238*Предпосылки!$N259*Продажи!P24*P$19*(1+Чувствительность!$D$20)*IFERROR(LOOKUP(Предпосылки!$H$211,$C$13:$C$15,P$13:P$15),1)</f>
        <v>0</v>
      </c>
      <c s="125">
        <f>Предпосылки!P$238*Предпосылки!$N259*Продажи!Q24*Q$19*(1+Чувствительность!$D$20)*IFERROR(LOOKUP(Предпосылки!$H$211,$C$13:$C$15,Q$13:Q$15),1)</f>
        <v>0</v>
      </c>
      <c s="125">
        <f>Предпосылки!Q$238*Предпосылки!$N259*Продажи!R24*R$19*(1+Чувствительность!$D$20)*IFERROR(LOOKUP(Предпосылки!$H$211,$C$13:$C$15,R$13:R$15),1)</f>
        <v>0</v>
      </c>
      <c s="125">
        <f>Предпосылки!R$238*Предпосылки!$N259*Продажи!S24*S$19*(1+Чувствительность!$D$20)*IFERROR(LOOKUP(Предпосылки!$H$211,$C$13:$C$15,S$13:S$15),1)</f>
        <v>0</v>
      </c>
      <c s="125">
        <f>Предпосылки!S$238*Предпосылки!$N259*Продажи!T24*T$19*(1+Чувствительность!$D$20)*IFERROR(LOOKUP(Предпосылки!$H$211,$C$13:$C$15,T$13:T$15),1)</f>
        <v>0</v>
      </c>
      <c s="125">
        <f>Предпосылки!T$238*Предпосылки!$N259*Продажи!U24*U$19*(1+Чувствительность!$D$20)*IFERROR(LOOKUP(Предпосылки!$H$211,$C$13:$C$15,U$13:U$15),1)</f>
        <v>0</v>
      </c>
      <c s="125">
        <f>Предпосылки!U$238*Предпосылки!$N259*Продажи!V24*V$19*(1+Чувствительность!$D$20)*IFERROR(LOOKUP(Предпосылки!$H$211,$C$13:$C$15,V$13:V$15),1)</f>
        <v>0</v>
      </c>
      <c s="125">
        <f>Предпосылки!V$238*Предпосылки!$N259*Продажи!W24*W$19*(1+Чувствительность!$D$20)*IFERROR(LOOKUP(Предпосылки!$H$211,$C$13:$C$15,W$13:W$15),1)</f>
        <v>0</v>
      </c>
      <c s="125">
        <f>Предпосылки!W$238*Предпосылки!$N259*Продажи!X24*X$19*(1+Чувствительность!$D$20)*IFERROR(LOOKUP(Предпосылки!$H$211,$C$13:$C$15,X$13:X$15),1)</f>
        <v>0</v>
      </c>
      <c s="125">
        <f>Предпосылки!X$238*Предпосылки!$N259*Продажи!Y24*Y$19*(1+Чувствительность!$D$20)*IFERROR(LOOKUP(Предпосылки!$H$211,$C$13:$C$15,Y$13:Y$15),1)</f>
        <v>0</v>
      </c>
      <c s="125">
        <f>Предпосылки!Y$238*Предпосылки!$N259*Продажи!Z24*Z$19*(1+Чувствительность!$D$20)*IFERROR(LOOKUP(Предпосылки!$H$211,$C$13:$C$15,Z$13:Z$15),1)</f>
        <v>0</v>
      </c>
      <c s="125">
        <f>Предпосылки!Z$238*Предпосылки!$N259*Продажи!AA24*AA$19*(1+Чувствительность!$D$20)*IFERROR(LOOKUP(Предпосылки!$H$211,$C$13:$C$15,AA$13:AA$15),1)</f>
        <v>0</v>
      </c>
      <c s="125">
        <f>Предпосылки!AA$238*Предпосылки!$N259*Продажи!AB24*AB$19*(1+Чувствительность!$D$20)*IFERROR(LOOKUP(Предпосылки!$H$211,$C$13:$C$15,AB$13:AB$15),1)</f>
        <v>0</v>
      </c>
      <c s="125">
        <f>Предпосылки!AB$238*Предпосылки!$N259*Продажи!AC24*AC$19*(1+Чувствительность!$D$20)*IFERROR(LOOKUP(Предпосылки!$H$211,$C$13:$C$15,AC$13:AC$15),1)</f>
        <v>0</v>
      </c>
      <c s="125">
        <f>Предпосылки!AC$238*Предпосылки!$N259*Продажи!AD24*AD$19*(1+Чувствительность!$D$20)*IFERROR(LOOKUP(Предпосылки!$H$211,$C$13:$C$15,AD$13:AD$15),1)</f>
        <v>0</v>
      </c>
      <c s="125">
        <f>Предпосылки!AD$238*Предпосылки!$N259*Продажи!AE24*AE$19*(1+Чувствительность!$D$20)*IFERROR(LOOKUP(Предпосылки!$H$211,$C$13:$C$15,AE$13:AE$15),1)</f>
        <v>0</v>
      </c>
      <c s="125">
        <f>Предпосылки!AE$238*Предпосылки!$N259*Продажи!AF24*AF$19*(1+Чувствительность!$D$20)*IFERROR(LOOKUP(Предпосылки!$H$211,$C$13:$C$15,AF$13:AF$15),1)</f>
        <v>0</v>
      </c>
      <c s="125">
        <f>Предпосылки!AF$238*Предпосылки!$N259*Продажи!AG24*AG$19*(1+Чувствительность!$D$20)*IFERROR(LOOKUP(Предпосылки!$H$211,$C$13:$C$15,AG$13:AG$15),1)</f>
        <v>0</v>
      </c>
      <c s="125">
        <f>Предпосылки!AG$238*Предпосылки!$N259*Продажи!AH24*AH$19*(1+Чувствительность!$D$20)*IFERROR(LOOKUP(Предпосылки!$H$211,$C$13:$C$15,AH$13:AH$15),1)</f>
        <v>0</v>
      </c>
      <c s="125">
        <f>Предпосылки!AH$238*Предпосылки!$N259*Продажи!AI24*AI$19*(1+Чувствительность!$D$20)*IFERROR(LOOKUP(Предпосылки!$H$211,$C$13:$C$15,AI$13:AI$15),1)</f>
        <v>0</v>
      </c>
      <c s="125">
        <f>Предпосылки!AI$238*Предпосылки!$N259*Продажи!AJ24*AJ$19*(1+Чувствительность!$D$20)*IFERROR(LOOKUP(Предпосылки!$H$211,$C$13:$C$15,AJ$13:AJ$15),1)</f>
        <v>0</v>
      </c>
      <c s="125">
        <f>Предпосылки!AJ$238*Предпосылки!$N259*Продажи!AK24*AK$19*(1+Чувствительность!$D$20)*IFERROR(LOOKUP(Предпосылки!$H$211,$C$13:$C$15,AK$13:AK$15),1)</f>
        <v>0</v>
      </c>
      <c s="125">
        <f>Предпосылки!AK$238*Предпосылки!$N259*Продажи!AL24*AL$19*(1+Чувствительность!$D$20)*IFERROR(LOOKUP(Предпосылки!$H$211,$C$13:$C$15,AL$13:AL$15),1)</f>
        <v>0</v>
      </c>
      <c s="125">
        <f>Предпосылки!AL$238*Предпосылки!$N259*Продажи!AM24*AM$19*(1+Чувствительность!$D$20)*IFERROR(LOOKUP(Предпосылки!$H$211,$C$13:$C$15,AM$13:AM$15),1)</f>
        <v>0</v>
      </c>
      <c s="125">
        <f>Предпосылки!AM$238*Предпосылки!$N259*Продажи!AN24*AN$19*(1+Чувствительность!$D$20)*IFERROR(LOOKUP(Предпосылки!$H$211,$C$13:$C$15,AN$13:AN$15),1)</f>
        <v>0</v>
      </c>
      <c s="125">
        <f>Предпосылки!AN$238*Предпосылки!$N259*Продажи!AO24*AO$19*(1+Чувствительность!$D$20)*IFERROR(LOOKUP(Предпосылки!$H$211,$C$13:$C$15,AO$13:AO$15),1)</f>
        <v>0</v>
      </c>
      <c s="125">
        <f>Предпосылки!AO$238*Предпосылки!$N259*Продажи!AP24*AP$19*(1+Чувствительность!$D$20)*IFERROR(LOOKUP(Предпосылки!$H$211,$C$13:$C$15,AP$13:AP$15),1)</f>
        <v>0</v>
      </c>
      <c s="125">
        <f>Предпосылки!AP$238*Предпосылки!$N259*Продажи!AQ24*AQ$19*(1+Чувствительность!$D$20)*IFERROR(LOOKUP(Предпосылки!$H$211,$C$13:$C$15,AQ$13:AQ$15),1)</f>
        <v>0</v>
      </c>
      <c s="125">
        <f>Предпосылки!AQ$238*Предпосылки!$N259*Продажи!AR24*AR$19*(1+Чувствительность!$D$20)*IFERROR(LOOKUP(Предпосылки!$H$211,$C$13:$C$15,AR$13:AR$15),1)</f>
        <v>0</v>
      </c>
      <c s="125">
        <f>Предпосылки!AR$238*Предпосылки!$N259*Продажи!AS24*AS$19*(1+Чувствительность!$D$20)*IFERROR(LOOKUP(Предпосылки!$H$211,$C$13:$C$15,AS$13:AS$15),1)</f>
        <v>0</v>
      </c>
      <c s="125">
        <f>Предпосылки!AS$238*Предпосылки!$N259*Продажи!AT24*AT$19*(1+Чувствительность!$D$20)*IFERROR(LOOKUP(Предпосылки!$H$211,$C$13:$C$15,AT$13:AT$15),1)</f>
        <v>0</v>
      </c>
      <c s="125">
        <f>Предпосылки!AT$238*Предпосылки!$N259*Продажи!AU24*AU$19*(1+Чувствительность!$D$20)*IFERROR(LOOKUP(Предпосылки!$H$211,$C$13:$C$15,AU$13:AU$15),1)</f>
        <v>0</v>
      </c>
      <c s="125">
        <f>Предпосылки!AU$238*Предпосылки!$N259*Продажи!AV24*AV$19*(1+Чувствительность!$D$20)*IFERROR(LOOKUP(Предпосылки!$H$211,$C$13:$C$15,AV$13:AV$15),1)</f>
        <v>0</v>
      </c>
      <c s="125">
        <f>Предпосылки!AV$238*Предпосылки!$N259*Продажи!AW24*AW$19*(1+Чувствительность!$D$20)*IFERROR(LOOKUP(Предпосылки!$H$211,$C$13:$C$15,AW$13:AW$15),1)</f>
        <v>0</v>
      </c>
      <c s="125">
        <f>Предпосылки!AW$238*Предпосылки!$N259*Продажи!AX24*AX$19*(1+Чувствительность!$D$20)*IFERROR(LOOKUP(Предпосылки!$H$211,$C$13:$C$15,AX$13:AX$15),1)</f>
        <v>0</v>
      </c>
      <c s="125">
        <f>Предпосылки!AX$238*Предпосылки!$N259*Продажи!AY24*AY$19*(1+Чувствительность!$D$20)*IFERROR(LOOKUP(Предпосылки!$H$211,$C$13:$C$15,AY$13:AY$15),1)</f>
        <v>0</v>
      </c>
      <c s="125">
        <f>Предпосылки!AY$238*Предпосылки!$N259*Продажи!AZ24*AZ$19*(1+Чувствительность!$D$20)*IFERROR(LOOKUP(Предпосылки!$H$211,$C$13:$C$15,AZ$13:AZ$15),1)</f>
        <v>0</v>
      </c>
      <c s="125">
        <f>Предпосылки!AZ$238*Предпосылки!$N259*Продажи!BA24*BA$19*(1+Чувствительность!$D$20)*IFERROR(LOOKUP(Предпосылки!$H$211,$C$13:$C$15,BA$13:BA$15),1)</f>
        <v>0</v>
      </c>
      <c s="125">
        <f>Предпосылки!BA$238*Предпосылки!$N259*Продажи!BB24*BB$19*(1+Чувствительность!$D$20)*IFERROR(LOOKUP(Предпосылки!$H$211,$C$13:$C$15,BB$13:BB$15),1)</f>
        <v>0</v>
      </c>
      <c s="125">
        <f>Предпосылки!BB$238*Предпосылки!$N259*Продажи!BC24*BC$19*(1+Чувствительность!$D$20)*IFERROR(LOOKUP(Предпосылки!$H$211,$C$13:$C$15,BC$13:BC$15),1)</f>
        <v>0</v>
      </c>
      <c s="125">
        <f>Предпосылки!BC$238*Предпосылки!$N259*Продажи!BD24*BD$19*(1+Чувствительность!$D$20)*IFERROR(LOOKUP(Предпосылки!$H$211,$C$13:$C$15,BD$13:BD$15),1)</f>
        <v>0</v>
      </c>
      <c s="125">
        <f>Предпосылки!BD$238*Предпосылки!$N259*Продажи!BE24*BE$19*(1+Чувствительность!$D$20)*IFERROR(LOOKUP(Предпосылки!$H$211,$C$13:$C$15,BE$13:BE$15),1)</f>
        <v>0</v>
      </c>
      <c s="125">
        <f>Предпосылки!BE$238*Предпосылки!$N259*Продажи!BF24*BF$19*(1+Чувствительность!$D$20)*IFERROR(LOOKUP(Предпосылки!$H$211,$C$13:$C$15,BF$13:BF$15),1)</f>
        <v>0</v>
      </c>
      <c s="125">
        <f>Предпосылки!BF$238*Предпосылки!$N259*Продажи!BG24*BG$19*(1+Чувствительность!$D$20)*IFERROR(LOOKUP(Предпосылки!$H$211,$C$13:$C$15,BG$13:BG$15),1)</f>
        <v>0</v>
      </c>
      <c s="125">
        <f>Предпосылки!BG$238*Предпосылки!$N259*Продажи!BH24*BH$19*(1+Чувствительность!$D$20)*IFERROR(LOOKUP(Предпосылки!$H$211,$C$13:$C$15,BH$13:BH$15),1)</f>
        <v>0</v>
      </c>
      <c s="125">
        <f>Предпосылки!BH$238*Предпосылки!$N259*Продажи!BI24*BI$19*(1+Чувствительность!$D$20)*IFERROR(LOOKUP(Предпосылки!$H$211,$C$13:$C$15,BI$13:BI$15),1)</f>
        <v>0</v>
      </c>
      <c s="125">
        <f>Предпосылки!BI$238*Предпосылки!$N259*Продажи!BJ24*BJ$19*(1+Чувствительность!$D$20)*IFERROR(LOOKUP(Предпосылки!$H$211,$C$13:$C$15,BJ$13:BJ$15),1)</f>
        <v>0</v>
      </c>
      <c s="125">
        <f>Предпосылки!BJ$238*Предпосылки!$N259*Продажи!BK24*BK$19*(1+Чувствительность!$D$20)*IFERROR(LOOKUP(Предпосылки!$H$211,$C$13:$C$15,BK$13:BK$15),1)</f>
        <v>0</v>
      </c>
      <c s="125">
        <f>Предпосылки!BK$238*Предпосылки!$N259*Продажи!BL24*BL$19*(1+Чувствительность!$D$20)*IFERROR(LOOKUP(Предпосылки!$H$211,$C$13:$C$15,BL$13:BL$15),1)</f>
        <v>0</v>
      </c>
      <c s="125">
        <f>Предпосылки!BL$238*Предпосылки!$N259*Продажи!BM24*BM$19*(1+Чувствительность!$D$20)*IFERROR(LOOKUP(Предпосылки!$H$211,$C$13:$C$15,BM$13:BM$15),1)</f>
        <v>0</v>
      </c>
    </row>
    <row r="260" spans="2:65" ht="15" customHeight="1">
      <c r="B260" s="12" t="str">
        <f t="shared" si="111"/>
        <v>Продукт 8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Предпосылки!D$238*Предпосылки!$N260*Продажи!E25*E$19*(1+Чувствительность!$D$20)*IFERROR(LOOKUP(Предпосылки!$H$211,$C$13:$C$15,E$13:E$15),1)</f>
        <v>0</v>
      </c>
      <c s="125">
        <f>Предпосылки!E$238*Предпосылки!$N260*Продажи!F25*F$19*(1+Чувствительность!$D$20)*IFERROR(LOOKUP(Предпосылки!$H$211,$C$13:$C$15,F$13:F$15),1)</f>
        <v>0</v>
      </c>
      <c s="125">
        <f>Предпосылки!F$238*Предпосылки!$N260*Продажи!G25*G$19*(1+Чувствительность!$D$20)*IFERROR(LOOKUP(Предпосылки!$H$211,$C$13:$C$15,G$13:G$15),1)</f>
        <v>0</v>
      </c>
      <c s="125">
        <f>Предпосылки!G$238*Предпосылки!$N260*Продажи!H25*H$19*(1+Чувствительность!$D$20)*IFERROR(LOOKUP(Предпосылки!$H$211,$C$13:$C$15,H$13:H$15),1)</f>
        <v>0</v>
      </c>
      <c s="125">
        <f>Предпосылки!H$238*Предпосылки!$N260*Продажи!I25*I$19*(1+Чувствительность!$D$20)*IFERROR(LOOKUP(Предпосылки!$H$211,$C$13:$C$15,I$13:I$15),1)</f>
        <v>0</v>
      </c>
      <c s="125">
        <f>Предпосылки!I$238*Предпосылки!$N260*Продажи!J25*J$19*(1+Чувствительность!$D$20)*IFERROR(LOOKUP(Предпосылки!$H$211,$C$13:$C$15,J$13:J$15),1)</f>
        <v>0</v>
      </c>
      <c s="125">
        <f>Предпосылки!J$238*Предпосылки!$N260*Продажи!K25*K$19*(1+Чувствительность!$D$20)*IFERROR(LOOKUP(Предпосылки!$H$211,$C$13:$C$15,K$13:K$15),1)</f>
        <v>0</v>
      </c>
      <c s="125">
        <f>Предпосылки!K$238*Предпосылки!$N260*Продажи!L25*L$19*(1+Чувствительность!$D$20)*IFERROR(LOOKUP(Предпосылки!$H$211,$C$13:$C$15,L$13:L$15),1)</f>
        <v>0</v>
      </c>
      <c s="125">
        <f>Предпосылки!L$238*Предпосылки!$N260*Продажи!M25*M$19*(1+Чувствительность!$D$20)*IFERROR(LOOKUP(Предпосылки!$H$211,$C$13:$C$15,M$13:M$15),1)</f>
        <v>0</v>
      </c>
      <c s="125">
        <f>Предпосылки!M$238*Предпосылки!$N260*Продажи!N25*N$19*(1+Чувствительность!$D$20)*IFERROR(LOOKUP(Предпосылки!$H$211,$C$13:$C$15,N$13:N$15),1)</f>
        <v>0</v>
      </c>
      <c s="125">
        <f>Предпосылки!N$238*Предпосылки!$N260*Продажи!O25*O$19*(1+Чувствительность!$D$20)*IFERROR(LOOKUP(Предпосылки!$H$211,$C$13:$C$15,O$13:O$15),1)</f>
        <v>0</v>
      </c>
      <c s="125">
        <f>Предпосылки!O$238*Предпосылки!$N260*Продажи!P25*P$19*(1+Чувствительность!$D$20)*IFERROR(LOOKUP(Предпосылки!$H$211,$C$13:$C$15,P$13:P$15),1)</f>
        <v>0</v>
      </c>
      <c s="125">
        <f>Предпосылки!P$238*Предпосылки!$N260*Продажи!Q25*Q$19*(1+Чувствительность!$D$20)*IFERROR(LOOKUP(Предпосылки!$H$211,$C$13:$C$15,Q$13:Q$15),1)</f>
        <v>0</v>
      </c>
      <c s="125">
        <f>Предпосылки!Q$238*Предпосылки!$N260*Продажи!R25*R$19*(1+Чувствительность!$D$20)*IFERROR(LOOKUP(Предпосылки!$H$211,$C$13:$C$15,R$13:R$15),1)</f>
        <v>0</v>
      </c>
      <c s="125">
        <f>Предпосылки!R$238*Предпосылки!$N260*Продажи!S25*S$19*(1+Чувствительность!$D$20)*IFERROR(LOOKUP(Предпосылки!$H$211,$C$13:$C$15,S$13:S$15),1)</f>
        <v>0</v>
      </c>
      <c s="125">
        <f>Предпосылки!S$238*Предпосылки!$N260*Продажи!T25*T$19*(1+Чувствительность!$D$20)*IFERROR(LOOKUP(Предпосылки!$H$211,$C$13:$C$15,T$13:T$15),1)</f>
        <v>0</v>
      </c>
      <c s="125">
        <f>Предпосылки!T$238*Предпосылки!$N260*Продажи!U25*U$19*(1+Чувствительность!$D$20)*IFERROR(LOOKUP(Предпосылки!$H$211,$C$13:$C$15,U$13:U$15),1)</f>
        <v>0</v>
      </c>
      <c s="125">
        <f>Предпосылки!U$238*Предпосылки!$N260*Продажи!V25*V$19*(1+Чувствительность!$D$20)*IFERROR(LOOKUP(Предпосылки!$H$211,$C$13:$C$15,V$13:V$15),1)</f>
        <v>0</v>
      </c>
      <c s="125">
        <f>Предпосылки!V$238*Предпосылки!$N260*Продажи!W25*W$19*(1+Чувствительность!$D$20)*IFERROR(LOOKUP(Предпосылки!$H$211,$C$13:$C$15,W$13:W$15),1)</f>
        <v>0</v>
      </c>
      <c s="125">
        <f>Предпосылки!W$238*Предпосылки!$N260*Продажи!X25*X$19*(1+Чувствительность!$D$20)*IFERROR(LOOKUP(Предпосылки!$H$211,$C$13:$C$15,X$13:X$15),1)</f>
        <v>0</v>
      </c>
      <c s="125">
        <f>Предпосылки!X$238*Предпосылки!$N260*Продажи!Y25*Y$19*(1+Чувствительность!$D$20)*IFERROR(LOOKUP(Предпосылки!$H$211,$C$13:$C$15,Y$13:Y$15),1)</f>
        <v>0</v>
      </c>
      <c s="125">
        <f>Предпосылки!Y$238*Предпосылки!$N260*Продажи!Z25*Z$19*(1+Чувствительность!$D$20)*IFERROR(LOOKUP(Предпосылки!$H$211,$C$13:$C$15,Z$13:Z$15),1)</f>
        <v>0</v>
      </c>
      <c s="125">
        <f>Предпосылки!Z$238*Предпосылки!$N260*Продажи!AA25*AA$19*(1+Чувствительность!$D$20)*IFERROR(LOOKUP(Предпосылки!$H$211,$C$13:$C$15,AA$13:AA$15),1)</f>
        <v>0</v>
      </c>
      <c s="125">
        <f>Предпосылки!AA$238*Предпосылки!$N260*Продажи!AB25*AB$19*(1+Чувствительность!$D$20)*IFERROR(LOOKUP(Предпосылки!$H$211,$C$13:$C$15,AB$13:AB$15),1)</f>
        <v>0</v>
      </c>
      <c s="125">
        <f>Предпосылки!AB$238*Предпосылки!$N260*Продажи!AC25*AC$19*(1+Чувствительность!$D$20)*IFERROR(LOOKUP(Предпосылки!$H$211,$C$13:$C$15,AC$13:AC$15),1)</f>
        <v>0</v>
      </c>
      <c s="125">
        <f>Предпосылки!AC$238*Предпосылки!$N260*Продажи!AD25*AD$19*(1+Чувствительность!$D$20)*IFERROR(LOOKUP(Предпосылки!$H$211,$C$13:$C$15,AD$13:AD$15),1)</f>
        <v>0</v>
      </c>
      <c s="125">
        <f>Предпосылки!AD$238*Предпосылки!$N260*Продажи!AE25*AE$19*(1+Чувствительность!$D$20)*IFERROR(LOOKUP(Предпосылки!$H$211,$C$13:$C$15,AE$13:AE$15),1)</f>
        <v>0</v>
      </c>
      <c s="125">
        <f>Предпосылки!AE$238*Предпосылки!$N260*Продажи!AF25*AF$19*(1+Чувствительность!$D$20)*IFERROR(LOOKUP(Предпосылки!$H$211,$C$13:$C$15,AF$13:AF$15),1)</f>
        <v>0</v>
      </c>
      <c s="125">
        <f>Предпосылки!AF$238*Предпосылки!$N260*Продажи!AG25*AG$19*(1+Чувствительность!$D$20)*IFERROR(LOOKUP(Предпосылки!$H$211,$C$13:$C$15,AG$13:AG$15),1)</f>
        <v>0</v>
      </c>
      <c s="125">
        <f>Предпосылки!AG$238*Предпосылки!$N260*Продажи!AH25*AH$19*(1+Чувствительность!$D$20)*IFERROR(LOOKUP(Предпосылки!$H$211,$C$13:$C$15,AH$13:AH$15),1)</f>
        <v>0</v>
      </c>
      <c s="125">
        <f>Предпосылки!AH$238*Предпосылки!$N260*Продажи!AI25*AI$19*(1+Чувствительность!$D$20)*IFERROR(LOOKUP(Предпосылки!$H$211,$C$13:$C$15,AI$13:AI$15),1)</f>
        <v>0</v>
      </c>
      <c s="125">
        <f>Предпосылки!AI$238*Предпосылки!$N260*Продажи!AJ25*AJ$19*(1+Чувствительность!$D$20)*IFERROR(LOOKUP(Предпосылки!$H$211,$C$13:$C$15,AJ$13:AJ$15),1)</f>
        <v>0</v>
      </c>
      <c s="125">
        <f>Предпосылки!AJ$238*Предпосылки!$N260*Продажи!AK25*AK$19*(1+Чувствительность!$D$20)*IFERROR(LOOKUP(Предпосылки!$H$211,$C$13:$C$15,AK$13:AK$15),1)</f>
        <v>0</v>
      </c>
      <c s="125">
        <f>Предпосылки!AK$238*Предпосылки!$N260*Продажи!AL25*AL$19*(1+Чувствительность!$D$20)*IFERROR(LOOKUP(Предпосылки!$H$211,$C$13:$C$15,AL$13:AL$15),1)</f>
        <v>0</v>
      </c>
      <c s="125">
        <f>Предпосылки!AL$238*Предпосылки!$N260*Продажи!AM25*AM$19*(1+Чувствительность!$D$20)*IFERROR(LOOKUP(Предпосылки!$H$211,$C$13:$C$15,AM$13:AM$15),1)</f>
        <v>0</v>
      </c>
      <c s="125">
        <f>Предпосылки!AM$238*Предпосылки!$N260*Продажи!AN25*AN$19*(1+Чувствительность!$D$20)*IFERROR(LOOKUP(Предпосылки!$H$211,$C$13:$C$15,AN$13:AN$15),1)</f>
        <v>0</v>
      </c>
      <c s="125">
        <f>Предпосылки!AN$238*Предпосылки!$N260*Продажи!AO25*AO$19*(1+Чувствительность!$D$20)*IFERROR(LOOKUP(Предпосылки!$H$211,$C$13:$C$15,AO$13:AO$15),1)</f>
        <v>0</v>
      </c>
      <c s="125">
        <f>Предпосылки!AO$238*Предпосылки!$N260*Продажи!AP25*AP$19*(1+Чувствительность!$D$20)*IFERROR(LOOKUP(Предпосылки!$H$211,$C$13:$C$15,AP$13:AP$15),1)</f>
        <v>0</v>
      </c>
      <c s="125">
        <f>Предпосылки!AP$238*Предпосылки!$N260*Продажи!AQ25*AQ$19*(1+Чувствительность!$D$20)*IFERROR(LOOKUP(Предпосылки!$H$211,$C$13:$C$15,AQ$13:AQ$15),1)</f>
        <v>0</v>
      </c>
      <c s="125">
        <f>Предпосылки!AQ$238*Предпосылки!$N260*Продажи!AR25*AR$19*(1+Чувствительность!$D$20)*IFERROR(LOOKUP(Предпосылки!$H$211,$C$13:$C$15,AR$13:AR$15),1)</f>
        <v>0</v>
      </c>
      <c s="125">
        <f>Предпосылки!AR$238*Предпосылки!$N260*Продажи!AS25*AS$19*(1+Чувствительность!$D$20)*IFERROR(LOOKUP(Предпосылки!$H$211,$C$13:$C$15,AS$13:AS$15),1)</f>
        <v>0</v>
      </c>
      <c s="125">
        <f>Предпосылки!AS$238*Предпосылки!$N260*Продажи!AT25*AT$19*(1+Чувствительность!$D$20)*IFERROR(LOOKUP(Предпосылки!$H$211,$C$13:$C$15,AT$13:AT$15),1)</f>
        <v>0</v>
      </c>
      <c s="125">
        <f>Предпосылки!AT$238*Предпосылки!$N260*Продажи!AU25*AU$19*(1+Чувствительность!$D$20)*IFERROR(LOOKUP(Предпосылки!$H$211,$C$13:$C$15,AU$13:AU$15),1)</f>
        <v>0</v>
      </c>
      <c s="125">
        <f>Предпосылки!AU$238*Предпосылки!$N260*Продажи!AV25*AV$19*(1+Чувствительность!$D$20)*IFERROR(LOOKUP(Предпосылки!$H$211,$C$13:$C$15,AV$13:AV$15),1)</f>
        <v>0</v>
      </c>
      <c s="125">
        <f>Предпосылки!AV$238*Предпосылки!$N260*Продажи!AW25*AW$19*(1+Чувствительность!$D$20)*IFERROR(LOOKUP(Предпосылки!$H$211,$C$13:$C$15,AW$13:AW$15),1)</f>
        <v>0</v>
      </c>
      <c s="125">
        <f>Предпосылки!AW$238*Предпосылки!$N260*Продажи!AX25*AX$19*(1+Чувствительность!$D$20)*IFERROR(LOOKUP(Предпосылки!$H$211,$C$13:$C$15,AX$13:AX$15),1)</f>
        <v>0</v>
      </c>
      <c s="125">
        <f>Предпосылки!AX$238*Предпосылки!$N260*Продажи!AY25*AY$19*(1+Чувствительность!$D$20)*IFERROR(LOOKUP(Предпосылки!$H$211,$C$13:$C$15,AY$13:AY$15),1)</f>
        <v>0</v>
      </c>
      <c s="125">
        <f>Предпосылки!AY$238*Предпосылки!$N260*Продажи!AZ25*AZ$19*(1+Чувствительность!$D$20)*IFERROR(LOOKUP(Предпосылки!$H$211,$C$13:$C$15,AZ$13:AZ$15),1)</f>
        <v>0</v>
      </c>
      <c s="125">
        <f>Предпосылки!AZ$238*Предпосылки!$N260*Продажи!BA25*BA$19*(1+Чувствительность!$D$20)*IFERROR(LOOKUP(Предпосылки!$H$211,$C$13:$C$15,BA$13:BA$15),1)</f>
        <v>0</v>
      </c>
      <c s="125">
        <f>Предпосылки!BA$238*Предпосылки!$N260*Продажи!BB25*BB$19*(1+Чувствительность!$D$20)*IFERROR(LOOKUP(Предпосылки!$H$211,$C$13:$C$15,BB$13:BB$15),1)</f>
        <v>0</v>
      </c>
      <c s="125">
        <f>Предпосылки!BB$238*Предпосылки!$N260*Продажи!BC25*BC$19*(1+Чувствительность!$D$20)*IFERROR(LOOKUP(Предпосылки!$H$211,$C$13:$C$15,BC$13:BC$15),1)</f>
        <v>0</v>
      </c>
      <c s="125">
        <f>Предпосылки!BC$238*Предпосылки!$N260*Продажи!BD25*BD$19*(1+Чувствительность!$D$20)*IFERROR(LOOKUP(Предпосылки!$H$211,$C$13:$C$15,BD$13:BD$15),1)</f>
        <v>0</v>
      </c>
      <c s="125">
        <f>Предпосылки!BD$238*Предпосылки!$N260*Продажи!BE25*BE$19*(1+Чувствительность!$D$20)*IFERROR(LOOKUP(Предпосылки!$H$211,$C$13:$C$15,BE$13:BE$15),1)</f>
        <v>0</v>
      </c>
      <c s="125">
        <f>Предпосылки!BE$238*Предпосылки!$N260*Продажи!BF25*BF$19*(1+Чувствительность!$D$20)*IFERROR(LOOKUP(Предпосылки!$H$211,$C$13:$C$15,BF$13:BF$15),1)</f>
        <v>0</v>
      </c>
      <c s="125">
        <f>Предпосылки!BF$238*Предпосылки!$N260*Продажи!BG25*BG$19*(1+Чувствительность!$D$20)*IFERROR(LOOKUP(Предпосылки!$H$211,$C$13:$C$15,BG$13:BG$15),1)</f>
        <v>0</v>
      </c>
      <c s="125">
        <f>Предпосылки!BG$238*Предпосылки!$N260*Продажи!BH25*BH$19*(1+Чувствительность!$D$20)*IFERROR(LOOKUP(Предпосылки!$H$211,$C$13:$C$15,BH$13:BH$15),1)</f>
        <v>0</v>
      </c>
      <c s="125">
        <f>Предпосылки!BH$238*Предпосылки!$N260*Продажи!BI25*BI$19*(1+Чувствительность!$D$20)*IFERROR(LOOKUP(Предпосылки!$H$211,$C$13:$C$15,BI$13:BI$15),1)</f>
        <v>0</v>
      </c>
      <c s="125">
        <f>Предпосылки!BI$238*Предпосылки!$N260*Продажи!BJ25*BJ$19*(1+Чувствительность!$D$20)*IFERROR(LOOKUP(Предпосылки!$H$211,$C$13:$C$15,BJ$13:BJ$15),1)</f>
        <v>0</v>
      </c>
      <c s="125">
        <f>Предпосылки!BJ$238*Предпосылки!$N260*Продажи!BK25*BK$19*(1+Чувствительность!$D$20)*IFERROR(LOOKUP(Предпосылки!$H$211,$C$13:$C$15,BK$13:BK$15),1)</f>
        <v>0</v>
      </c>
      <c s="125">
        <f>Предпосылки!BK$238*Предпосылки!$N260*Продажи!BL25*BL$19*(1+Чувствительность!$D$20)*IFERROR(LOOKUP(Предпосылки!$H$211,$C$13:$C$15,BL$13:BL$15),1)</f>
        <v>0</v>
      </c>
      <c s="125">
        <f>Предпосылки!BL$238*Предпосылки!$N260*Продажи!BM25*BM$19*(1+Чувствительность!$D$20)*IFERROR(LOOKUP(Предпосылки!$H$211,$C$13:$C$15,BM$13:BM$15),1)</f>
        <v>0</v>
      </c>
    </row>
    <row r="261" spans="2:65" ht="15" customHeight="1">
      <c r="B261" s="12" t="str">
        <f t="shared" si="111"/>
        <v>Продукт 9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Предпосылки!D$238*Предпосылки!$N261*Продажи!E26*E$19*(1+Чувствительность!$D$20)*IFERROR(LOOKUP(Предпосылки!$H$211,$C$13:$C$15,E$13:E$15),1)</f>
        <v>0</v>
      </c>
      <c s="125">
        <f>Предпосылки!E$238*Предпосылки!$N261*Продажи!F26*F$19*(1+Чувствительность!$D$20)*IFERROR(LOOKUP(Предпосылки!$H$211,$C$13:$C$15,F$13:F$15),1)</f>
        <v>0</v>
      </c>
      <c s="125">
        <f>Предпосылки!F$238*Предпосылки!$N261*Продажи!G26*G$19*(1+Чувствительность!$D$20)*IFERROR(LOOKUP(Предпосылки!$H$211,$C$13:$C$15,G$13:G$15),1)</f>
        <v>0</v>
      </c>
      <c s="125">
        <f>Предпосылки!G$238*Предпосылки!$N261*Продажи!H26*H$19*(1+Чувствительность!$D$20)*IFERROR(LOOKUP(Предпосылки!$H$211,$C$13:$C$15,H$13:H$15),1)</f>
        <v>0</v>
      </c>
      <c s="125">
        <f>Предпосылки!H$238*Предпосылки!$N261*Продажи!I26*I$19*(1+Чувствительность!$D$20)*IFERROR(LOOKUP(Предпосылки!$H$211,$C$13:$C$15,I$13:I$15),1)</f>
        <v>0</v>
      </c>
      <c s="125">
        <f>Предпосылки!I$238*Предпосылки!$N261*Продажи!J26*J$19*(1+Чувствительность!$D$20)*IFERROR(LOOKUP(Предпосылки!$H$211,$C$13:$C$15,J$13:J$15),1)</f>
        <v>0</v>
      </c>
      <c s="125">
        <f>Предпосылки!J$238*Предпосылки!$N261*Продажи!K26*K$19*(1+Чувствительность!$D$20)*IFERROR(LOOKUP(Предпосылки!$H$211,$C$13:$C$15,K$13:K$15),1)</f>
        <v>0</v>
      </c>
      <c s="125">
        <f>Предпосылки!K$238*Предпосылки!$N261*Продажи!L26*L$19*(1+Чувствительность!$D$20)*IFERROR(LOOKUP(Предпосылки!$H$211,$C$13:$C$15,L$13:L$15),1)</f>
        <v>0</v>
      </c>
      <c s="125">
        <f>Предпосылки!L$238*Предпосылки!$N261*Продажи!M26*M$19*(1+Чувствительность!$D$20)*IFERROR(LOOKUP(Предпосылки!$H$211,$C$13:$C$15,M$13:M$15),1)</f>
        <v>0</v>
      </c>
      <c s="125">
        <f>Предпосылки!M$238*Предпосылки!$N261*Продажи!N26*N$19*(1+Чувствительность!$D$20)*IFERROR(LOOKUP(Предпосылки!$H$211,$C$13:$C$15,N$13:N$15),1)</f>
        <v>0</v>
      </c>
      <c s="125">
        <f>Предпосылки!N$238*Предпосылки!$N261*Продажи!O26*O$19*(1+Чувствительность!$D$20)*IFERROR(LOOKUP(Предпосылки!$H$211,$C$13:$C$15,O$13:O$15),1)</f>
        <v>0</v>
      </c>
      <c s="125">
        <f>Предпосылки!O$238*Предпосылки!$N261*Продажи!P26*P$19*(1+Чувствительность!$D$20)*IFERROR(LOOKUP(Предпосылки!$H$211,$C$13:$C$15,P$13:P$15),1)</f>
        <v>0</v>
      </c>
      <c s="125">
        <f>Предпосылки!P$238*Предпосылки!$N261*Продажи!Q26*Q$19*(1+Чувствительность!$D$20)*IFERROR(LOOKUP(Предпосылки!$H$211,$C$13:$C$15,Q$13:Q$15),1)</f>
        <v>0</v>
      </c>
      <c s="125">
        <f>Предпосылки!Q$238*Предпосылки!$N261*Продажи!R26*R$19*(1+Чувствительность!$D$20)*IFERROR(LOOKUP(Предпосылки!$H$211,$C$13:$C$15,R$13:R$15),1)</f>
        <v>0</v>
      </c>
      <c s="125">
        <f>Предпосылки!R$238*Предпосылки!$N261*Продажи!S26*S$19*(1+Чувствительность!$D$20)*IFERROR(LOOKUP(Предпосылки!$H$211,$C$13:$C$15,S$13:S$15),1)</f>
        <v>0</v>
      </c>
      <c s="125">
        <f>Предпосылки!S$238*Предпосылки!$N261*Продажи!T26*T$19*(1+Чувствительность!$D$20)*IFERROR(LOOKUP(Предпосылки!$H$211,$C$13:$C$15,T$13:T$15),1)</f>
        <v>0</v>
      </c>
      <c s="125">
        <f>Предпосылки!T$238*Предпосылки!$N261*Продажи!U26*U$19*(1+Чувствительность!$D$20)*IFERROR(LOOKUP(Предпосылки!$H$211,$C$13:$C$15,U$13:U$15),1)</f>
        <v>0</v>
      </c>
      <c s="125">
        <f>Предпосылки!U$238*Предпосылки!$N261*Продажи!V26*V$19*(1+Чувствительность!$D$20)*IFERROR(LOOKUP(Предпосылки!$H$211,$C$13:$C$15,V$13:V$15),1)</f>
        <v>0</v>
      </c>
      <c s="125">
        <f>Предпосылки!V$238*Предпосылки!$N261*Продажи!W26*W$19*(1+Чувствительность!$D$20)*IFERROR(LOOKUP(Предпосылки!$H$211,$C$13:$C$15,W$13:W$15),1)</f>
        <v>0</v>
      </c>
      <c s="125">
        <f>Предпосылки!W$238*Предпосылки!$N261*Продажи!X26*X$19*(1+Чувствительность!$D$20)*IFERROR(LOOKUP(Предпосылки!$H$211,$C$13:$C$15,X$13:X$15),1)</f>
        <v>0</v>
      </c>
      <c s="125">
        <f>Предпосылки!X$238*Предпосылки!$N261*Продажи!Y26*Y$19*(1+Чувствительность!$D$20)*IFERROR(LOOKUP(Предпосылки!$H$211,$C$13:$C$15,Y$13:Y$15),1)</f>
        <v>0</v>
      </c>
      <c s="125">
        <f>Предпосылки!Y$238*Предпосылки!$N261*Продажи!Z26*Z$19*(1+Чувствительность!$D$20)*IFERROR(LOOKUP(Предпосылки!$H$211,$C$13:$C$15,Z$13:Z$15),1)</f>
        <v>0</v>
      </c>
      <c s="125">
        <f>Предпосылки!Z$238*Предпосылки!$N261*Продажи!AA26*AA$19*(1+Чувствительность!$D$20)*IFERROR(LOOKUP(Предпосылки!$H$211,$C$13:$C$15,AA$13:AA$15),1)</f>
        <v>0</v>
      </c>
      <c s="125">
        <f>Предпосылки!AA$238*Предпосылки!$N261*Продажи!AB26*AB$19*(1+Чувствительность!$D$20)*IFERROR(LOOKUP(Предпосылки!$H$211,$C$13:$C$15,AB$13:AB$15),1)</f>
        <v>0</v>
      </c>
      <c s="125">
        <f>Предпосылки!AB$238*Предпосылки!$N261*Продажи!AC26*AC$19*(1+Чувствительность!$D$20)*IFERROR(LOOKUP(Предпосылки!$H$211,$C$13:$C$15,AC$13:AC$15),1)</f>
        <v>0</v>
      </c>
      <c s="125">
        <f>Предпосылки!AC$238*Предпосылки!$N261*Продажи!AD26*AD$19*(1+Чувствительность!$D$20)*IFERROR(LOOKUP(Предпосылки!$H$211,$C$13:$C$15,AD$13:AD$15),1)</f>
        <v>0</v>
      </c>
      <c s="125">
        <f>Предпосылки!AD$238*Предпосылки!$N261*Продажи!AE26*AE$19*(1+Чувствительность!$D$20)*IFERROR(LOOKUP(Предпосылки!$H$211,$C$13:$C$15,AE$13:AE$15),1)</f>
        <v>0</v>
      </c>
      <c s="125">
        <f>Предпосылки!AE$238*Предпосылки!$N261*Продажи!AF26*AF$19*(1+Чувствительность!$D$20)*IFERROR(LOOKUP(Предпосылки!$H$211,$C$13:$C$15,AF$13:AF$15),1)</f>
        <v>0</v>
      </c>
      <c s="125">
        <f>Предпосылки!AF$238*Предпосылки!$N261*Продажи!AG26*AG$19*(1+Чувствительность!$D$20)*IFERROR(LOOKUP(Предпосылки!$H$211,$C$13:$C$15,AG$13:AG$15),1)</f>
        <v>0</v>
      </c>
      <c s="125">
        <f>Предпосылки!AG$238*Предпосылки!$N261*Продажи!AH26*AH$19*(1+Чувствительность!$D$20)*IFERROR(LOOKUP(Предпосылки!$H$211,$C$13:$C$15,AH$13:AH$15),1)</f>
        <v>0</v>
      </c>
      <c s="125">
        <f>Предпосылки!AH$238*Предпосылки!$N261*Продажи!AI26*AI$19*(1+Чувствительность!$D$20)*IFERROR(LOOKUP(Предпосылки!$H$211,$C$13:$C$15,AI$13:AI$15),1)</f>
        <v>0</v>
      </c>
      <c s="125">
        <f>Предпосылки!AI$238*Предпосылки!$N261*Продажи!AJ26*AJ$19*(1+Чувствительность!$D$20)*IFERROR(LOOKUP(Предпосылки!$H$211,$C$13:$C$15,AJ$13:AJ$15),1)</f>
        <v>0</v>
      </c>
      <c s="125">
        <f>Предпосылки!AJ$238*Предпосылки!$N261*Продажи!AK26*AK$19*(1+Чувствительность!$D$20)*IFERROR(LOOKUP(Предпосылки!$H$211,$C$13:$C$15,AK$13:AK$15),1)</f>
        <v>0</v>
      </c>
      <c s="125">
        <f>Предпосылки!AK$238*Предпосылки!$N261*Продажи!AL26*AL$19*(1+Чувствительность!$D$20)*IFERROR(LOOKUP(Предпосылки!$H$211,$C$13:$C$15,AL$13:AL$15),1)</f>
        <v>0</v>
      </c>
      <c s="125">
        <f>Предпосылки!AL$238*Предпосылки!$N261*Продажи!AM26*AM$19*(1+Чувствительность!$D$20)*IFERROR(LOOKUP(Предпосылки!$H$211,$C$13:$C$15,AM$13:AM$15),1)</f>
        <v>0</v>
      </c>
      <c s="125">
        <f>Предпосылки!AM$238*Предпосылки!$N261*Продажи!AN26*AN$19*(1+Чувствительность!$D$20)*IFERROR(LOOKUP(Предпосылки!$H$211,$C$13:$C$15,AN$13:AN$15),1)</f>
        <v>0</v>
      </c>
      <c s="125">
        <f>Предпосылки!AN$238*Предпосылки!$N261*Продажи!AO26*AO$19*(1+Чувствительность!$D$20)*IFERROR(LOOKUP(Предпосылки!$H$211,$C$13:$C$15,AO$13:AO$15),1)</f>
        <v>0</v>
      </c>
      <c s="125">
        <f>Предпосылки!AO$238*Предпосылки!$N261*Продажи!AP26*AP$19*(1+Чувствительность!$D$20)*IFERROR(LOOKUP(Предпосылки!$H$211,$C$13:$C$15,AP$13:AP$15),1)</f>
        <v>0</v>
      </c>
      <c s="125">
        <f>Предпосылки!AP$238*Предпосылки!$N261*Продажи!AQ26*AQ$19*(1+Чувствительность!$D$20)*IFERROR(LOOKUP(Предпосылки!$H$211,$C$13:$C$15,AQ$13:AQ$15),1)</f>
        <v>0</v>
      </c>
      <c s="125">
        <f>Предпосылки!AQ$238*Предпосылки!$N261*Продажи!AR26*AR$19*(1+Чувствительность!$D$20)*IFERROR(LOOKUP(Предпосылки!$H$211,$C$13:$C$15,AR$13:AR$15),1)</f>
        <v>0</v>
      </c>
      <c s="125">
        <f>Предпосылки!AR$238*Предпосылки!$N261*Продажи!AS26*AS$19*(1+Чувствительность!$D$20)*IFERROR(LOOKUP(Предпосылки!$H$211,$C$13:$C$15,AS$13:AS$15),1)</f>
        <v>0</v>
      </c>
      <c s="125">
        <f>Предпосылки!AS$238*Предпосылки!$N261*Продажи!AT26*AT$19*(1+Чувствительность!$D$20)*IFERROR(LOOKUP(Предпосылки!$H$211,$C$13:$C$15,AT$13:AT$15),1)</f>
        <v>0</v>
      </c>
      <c s="125">
        <f>Предпосылки!AT$238*Предпосылки!$N261*Продажи!AU26*AU$19*(1+Чувствительность!$D$20)*IFERROR(LOOKUP(Предпосылки!$H$211,$C$13:$C$15,AU$13:AU$15),1)</f>
        <v>0</v>
      </c>
      <c s="125">
        <f>Предпосылки!AU$238*Предпосылки!$N261*Продажи!AV26*AV$19*(1+Чувствительность!$D$20)*IFERROR(LOOKUP(Предпосылки!$H$211,$C$13:$C$15,AV$13:AV$15),1)</f>
        <v>0</v>
      </c>
      <c s="125">
        <f>Предпосылки!AV$238*Предпосылки!$N261*Продажи!AW26*AW$19*(1+Чувствительность!$D$20)*IFERROR(LOOKUP(Предпосылки!$H$211,$C$13:$C$15,AW$13:AW$15),1)</f>
        <v>0</v>
      </c>
      <c s="125">
        <f>Предпосылки!AW$238*Предпосылки!$N261*Продажи!AX26*AX$19*(1+Чувствительность!$D$20)*IFERROR(LOOKUP(Предпосылки!$H$211,$C$13:$C$15,AX$13:AX$15),1)</f>
        <v>0</v>
      </c>
      <c s="125">
        <f>Предпосылки!AX$238*Предпосылки!$N261*Продажи!AY26*AY$19*(1+Чувствительность!$D$20)*IFERROR(LOOKUP(Предпосылки!$H$211,$C$13:$C$15,AY$13:AY$15),1)</f>
        <v>0</v>
      </c>
      <c s="125">
        <f>Предпосылки!AY$238*Предпосылки!$N261*Продажи!AZ26*AZ$19*(1+Чувствительность!$D$20)*IFERROR(LOOKUP(Предпосылки!$H$211,$C$13:$C$15,AZ$13:AZ$15),1)</f>
        <v>0</v>
      </c>
      <c s="125">
        <f>Предпосылки!AZ$238*Предпосылки!$N261*Продажи!BA26*BA$19*(1+Чувствительность!$D$20)*IFERROR(LOOKUP(Предпосылки!$H$211,$C$13:$C$15,BA$13:BA$15),1)</f>
        <v>0</v>
      </c>
      <c s="125">
        <f>Предпосылки!BA$238*Предпосылки!$N261*Продажи!BB26*BB$19*(1+Чувствительность!$D$20)*IFERROR(LOOKUP(Предпосылки!$H$211,$C$13:$C$15,BB$13:BB$15),1)</f>
        <v>0</v>
      </c>
      <c s="125">
        <f>Предпосылки!BB$238*Предпосылки!$N261*Продажи!BC26*BC$19*(1+Чувствительность!$D$20)*IFERROR(LOOKUP(Предпосылки!$H$211,$C$13:$C$15,BC$13:BC$15),1)</f>
        <v>0</v>
      </c>
      <c s="125">
        <f>Предпосылки!BC$238*Предпосылки!$N261*Продажи!BD26*BD$19*(1+Чувствительность!$D$20)*IFERROR(LOOKUP(Предпосылки!$H$211,$C$13:$C$15,BD$13:BD$15),1)</f>
        <v>0</v>
      </c>
      <c s="125">
        <f>Предпосылки!BD$238*Предпосылки!$N261*Продажи!BE26*BE$19*(1+Чувствительность!$D$20)*IFERROR(LOOKUP(Предпосылки!$H$211,$C$13:$C$15,BE$13:BE$15),1)</f>
        <v>0</v>
      </c>
      <c s="125">
        <f>Предпосылки!BE$238*Предпосылки!$N261*Продажи!BF26*BF$19*(1+Чувствительность!$D$20)*IFERROR(LOOKUP(Предпосылки!$H$211,$C$13:$C$15,BF$13:BF$15),1)</f>
        <v>0</v>
      </c>
      <c s="125">
        <f>Предпосылки!BF$238*Предпосылки!$N261*Продажи!BG26*BG$19*(1+Чувствительность!$D$20)*IFERROR(LOOKUP(Предпосылки!$H$211,$C$13:$C$15,BG$13:BG$15),1)</f>
        <v>0</v>
      </c>
      <c s="125">
        <f>Предпосылки!BG$238*Предпосылки!$N261*Продажи!BH26*BH$19*(1+Чувствительность!$D$20)*IFERROR(LOOKUP(Предпосылки!$H$211,$C$13:$C$15,BH$13:BH$15),1)</f>
        <v>0</v>
      </c>
      <c s="125">
        <f>Предпосылки!BH$238*Предпосылки!$N261*Продажи!BI26*BI$19*(1+Чувствительность!$D$20)*IFERROR(LOOKUP(Предпосылки!$H$211,$C$13:$C$15,BI$13:BI$15),1)</f>
        <v>0</v>
      </c>
      <c s="125">
        <f>Предпосылки!BI$238*Предпосылки!$N261*Продажи!BJ26*BJ$19*(1+Чувствительность!$D$20)*IFERROR(LOOKUP(Предпосылки!$H$211,$C$13:$C$15,BJ$13:BJ$15),1)</f>
        <v>0</v>
      </c>
      <c s="125">
        <f>Предпосылки!BJ$238*Предпосылки!$N261*Продажи!BK26*BK$19*(1+Чувствительность!$D$20)*IFERROR(LOOKUP(Предпосылки!$H$211,$C$13:$C$15,BK$13:BK$15),1)</f>
        <v>0</v>
      </c>
      <c s="125">
        <f>Предпосылки!BK$238*Предпосылки!$N261*Продажи!BL26*BL$19*(1+Чувствительность!$D$20)*IFERROR(LOOKUP(Предпосылки!$H$211,$C$13:$C$15,BL$13:BL$15),1)</f>
        <v>0</v>
      </c>
      <c s="125">
        <f>Предпосылки!BL$238*Предпосылки!$N261*Продажи!BM26*BM$19*(1+Чувствительность!$D$20)*IFERROR(LOOKUP(Предпосылки!$H$211,$C$13:$C$15,BM$13:BM$15),1)</f>
        <v>0</v>
      </c>
    </row>
    <row r="262" spans="2:65" ht="15" customHeight="1">
      <c r="B262" s="12" t="str">
        <f t="shared" si="111"/>
        <v>Продукт 10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Предпосылки!D$238*Предпосылки!$N262*Продажи!E27*E$19*(1+Чувствительность!$D$20)*IFERROR(LOOKUP(Предпосылки!$H$211,$C$13:$C$15,E$13:E$15),1)</f>
        <v>0</v>
      </c>
      <c s="125">
        <f>Предпосылки!E$238*Предпосылки!$N262*Продажи!F27*F$19*(1+Чувствительность!$D$20)*IFERROR(LOOKUP(Предпосылки!$H$211,$C$13:$C$15,F$13:F$15),1)</f>
        <v>0</v>
      </c>
      <c s="125">
        <f>Предпосылки!F$238*Предпосылки!$N262*Продажи!G27*G$19*(1+Чувствительность!$D$20)*IFERROR(LOOKUP(Предпосылки!$H$211,$C$13:$C$15,G$13:G$15),1)</f>
        <v>0</v>
      </c>
      <c s="125">
        <f>Предпосылки!G$238*Предпосылки!$N262*Продажи!H27*H$19*(1+Чувствительность!$D$20)*IFERROR(LOOKUP(Предпосылки!$H$211,$C$13:$C$15,H$13:H$15),1)</f>
        <v>0</v>
      </c>
      <c s="125">
        <f>Предпосылки!H$238*Предпосылки!$N262*Продажи!I27*I$19*(1+Чувствительность!$D$20)*IFERROR(LOOKUP(Предпосылки!$H$211,$C$13:$C$15,I$13:I$15),1)</f>
        <v>0</v>
      </c>
      <c s="125">
        <f>Предпосылки!I$238*Предпосылки!$N262*Продажи!J27*J$19*(1+Чувствительность!$D$20)*IFERROR(LOOKUP(Предпосылки!$H$211,$C$13:$C$15,J$13:J$15),1)</f>
        <v>0</v>
      </c>
      <c s="125">
        <f>Предпосылки!J$238*Предпосылки!$N262*Продажи!K27*K$19*(1+Чувствительность!$D$20)*IFERROR(LOOKUP(Предпосылки!$H$211,$C$13:$C$15,K$13:K$15),1)</f>
        <v>0</v>
      </c>
      <c s="125">
        <f>Предпосылки!K$238*Предпосылки!$N262*Продажи!L27*L$19*(1+Чувствительность!$D$20)*IFERROR(LOOKUP(Предпосылки!$H$211,$C$13:$C$15,L$13:L$15),1)</f>
        <v>0</v>
      </c>
      <c s="125">
        <f>Предпосылки!L$238*Предпосылки!$N262*Продажи!M27*M$19*(1+Чувствительность!$D$20)*IFERROR(LOOKUP(Предпосылки!$H$211,$C$13:$C$15,M$13:M$15),1)</f>
        <v>0</v>
      </c>
      <c s="125">
        <f>Предпосылки!M$238*Предпосылки!$N262*Продажи!N27*N$19*(1+Чувствительность!$D$20)*IFERROR(LOOKUP(Предпосылки!$H$211,$C$13:$C$15,N$13:N$15),1)</f>
        <v>0</v>
      </c>
      <c s="125">
        <f>Предпосылки!N$238*Предпосылки!$N262*Продажи!O27*O$19*(1+Чувствительность!$D$20)*IFERROR(LOOKUP(Предпосылки!$H$211,$C$13:$C$15,O$13:O$15),1)</f>
        <v>0</v>
      </c>
      <c s="125">
        <f>Предпосылки!O$238*Предпосылки!$N262*Продажи!P27*P$19*(1+Чувствительность!$D$20)*IFERROR(LOOKUP(Предпосылки!$H$211,$C$13:$C$15,P$13:P$15),1)</f>
        <v>0</v>
      </c>
      <c s="125">
        <f>Предпосылки!P$238*Предпосылки!$N262*Продажи!Q27*Q$19*(1+Чувствительность!$D$20)*IFERROR(LOOKUP(Предпосылки!$H$211,$C$13:$C$15,Q$13:Q$15),1)</f>
        <v>0</v>
      </c>
      <c s="125">
        <f>Предпосылки!Q$238*Предпосылки!$N262*Продажи!R27*R$19*(1+Чувствительность!$D$20)*IFERROR(LOOKUP(Предпосылки!$H$211,$C$13:$C$15,R$13:R$15),1)</f>
        <v>0</v>
      </c>
      <c s="125">
        <f>Предпосылки!R$238*Предпосылки!$N262*Продажи!S27*S$19*(1+Чувствительность!$D$20)*IFERROR(LOOKUP(Предпосылки!$H$211,$C$13:$C$15,S$13:S$15),1)</f>
        <v>0</v>
      </c>
      <c s="125">
        <f>Предпосылки!S$238*Предпосылки!$N262*Продажи!T27*T$19*(1+Чувствительность!$D$20)*IFERROR(LOOKUP(Предпосылки!$H$211,$C$13:$C$15,T$13:T$15),1)</f>
        <v>0</v>
      </c>
      <c s="125">
        <f>Предпосылки!T$238*Предпосылки!$N262*Продажи!U27*U$19*(1+Чувствительность!$D$20)*IFERROR(LOOKUP(Предпосылки!$H$211,$C$13:$C$15,U$13:U$15),1)</f>
        <v>0</v>
      </c>
      <c s="125">
        <f>Предпосылки!U$238*Предпосылки!$N262*Продажи!V27*V$19*(1+Чувствительность!$D$20)*IFERROR(LOOKUP(Предпосылки!$H$211,$C$13:$C$15,V$13:V$15),1)</f>
        <v>0</v>
      </c>
      <c s="125">
        <f>Предпосылки!V$238*Предпосылки!$N262*Продажи!W27*W$19*(1+Чувствительность!$D$20)*IFERROR(LOOKUP(Предпосылки!$H$211,$C$13:$C$15,W$13:W$15),1)</f>
        <v>0</v>
      </c>
      <c s="125">
        <f>Предпосылки!W$238*Предпосылки!$N262*Продажи!X27*X$19*(1+Чувствительность!$D$20)*IFERROR(LOOKUP(Предпосылки!$H$211,$C$13:$C$15,X$13:X$15),1)</f>
        <v>0</v>
      </c>
      <c s="125">
        <f>Предпосылки!X$238*Предпосылки!$N262*Продажи!Y27*Y$19*(1+Чувствительность!$D$20)*IFERROR(LOOKUP(Предпосылки!$H$211,$C$13:$C$15,Y$13:Y$15),1)</f>
        <v>0</v>
      </c>
      <c s="125">
        <f>Предпосылки!Y$238*Предпосылки!$N262*Продажи!Z27*Z$19*(1+Чувствительность!$D$20)*IFERROR(LOOKUP(Предпосылки!$H$211,$C$13:$C$15,Z$13:Z$15),1)</f>
        <v>0</v>
      </c>
      <c s="125">
        <f>Предпосылки!Z$238*Предпосылки!$N262*Продажи!AA27*AA$19*(1+Чувствительность!$D$20)*IFERROR(LOOKUP(Предпосылки!$H$211,$C$13:$C$15,AA$13:AA$15),1)</f>
        <v>0</v>
      </c>
      <c s="125">
        <f>Предпосылки!AA$238*Предпосылки!$N262*Продажи!AB27*AB$19*(1+Чувствительность!$D$20)*IFERROR(LOOKUP(Предпосылки!$H$211,$C$13:$C$15,AB$13:AB$15),1)</f>
        <v>0</v>
      </c>
      <c s="125">
        <f>Предпосылки!AB$238*Предпосылки!$N262*Продажи!AC27*AC$19*(1+Чувствительность!$D$20)*IFERROR(LOOKUP(Предпосылки!$H$211,$C$13:$C$15,AC$13:AC$15),1)</f>
        <v>0</v>
      </c>
      <c s="125">
        <f>Предпосылки!AC$238*Предпосылки!$N262*Продажи!AD27*AD$19*(1+Чувствительность!$D$20)*IFERROR(LOOKUP(Предпосылки!$H$211,$C$13:$C$15,AD$13:AD$15),1)</f>
        <v>0</v>
      </c>
      <c s="125">
        <f>Предпосылки!AD$238*Предпосылки!$N262*Продажи!AE27*AE$19*(1+Чувствительность!$D$20)*IFERROR(LOOKUP(Предпосылки!$H$211,$C$13:$C$15,AE$13:AE$15),1)</f>
        <v>0</v>
      </c>
      <c s="125">
        <f>Предпосылки!AE$238*Предпосылки!$N262*Продажи!AF27*AF$19*(1+Чувствительность!$D$20)*IFERROR(LOOKUP(Предпосылки!$H$211,$C$13:$C$15,AF$13:AF$15),1)</f>
        <v>0</v>
      </c>
      <c s="125">
        <f>Предпосылки!AF$238*Предпосылки!$N262*Продажи!AG27*AG$19*(1+Чувствительность!$D$20)*IFERROR(LOOKUP(Предпосылки!$H$211,$C$13:$C$15,AG$13:AG$15),1)</f>
        <v>0</v>
      </c>
      <c s="125">
        <f>Предпосылки!AG$238*Предпосылки!$N262*Продажи!AH27*AH$19*(1+Чувствительность!$D$20)*IFERROR(LOOKUP(Предпосылки!$H$211,$C$13:$C$15,AH$13:AH$15),1)</f>
        <v>0</v>
      </c>
      <c s="125">
        <f>Предпосылки!AH$238*Предпосылки!$N262*Продажи!AI27*AI$19*(1+Чувствительность!$D$20)*IFERROR(LOOKUP(Предпосылки!$H$211,$C$13:$C$15,AI$13:AI$15),1)</f>
        <v>0</v>
      </c>
      <c s="125">
        <f>Предпосылки!AI$238*Предпосылки!$N262*Продажи!AJ27*AJ$19*(1+Чувствительность!$D$20)*IFERROR(LOOKUP(Предпосылки!$H$211,$C$13:$C$15,AJ$13:AJ$15),1)</f>
        <v>0</v>
      </c>
      <c s="125">
        <f>Предпосылки!AJ$238*Предпосылки!$N262*Продажи!AK27*AK$19*(1+Чувствительность!$D$20)*IFERROR(LOOKUP(Предпосылки!$H$211,$C$13:$C$15,AK$13:AK$15),1)</f>
        <v>0</v>
      </c>
      <c s="125">
        <f>Предпосылки!AK$238*Предпосылки!$N262*Продажи!AL27*AL$19*(1+Чувствительность!$D$20)*IFERROR(LOOKUP(Предпосылки!$H$211,$C$13:$C$15,AL$13:AL$15),1)</f>
        <v>0</v>
      </c>
      <c s="125">
        <f>Предпосылки!AL$238*Предпосылки!$N262*Продажи!AM27*AM$19*(1+Чувствительность!$D$20)*IFERROR(LOOKUP(Предпосылки!$H$211,$C$13:$C$15,AM$13:AM$15),1)</f>
        <v>0</v>
      </c>
      <c s="125">
        <f>Предпосылки!AM$238*Предпосылки!$N262*Продажи!AN27*AN$19*(1+Чувствительность!$D$20)*IFERROR(LOOKUP(Предпосылки!$H$211,$C$13:$C$15,AN$13:AN$15),1)</f>
        <v>0</v>
      </c>
      <c s="125">
        <f>Предпосылки!AN$238*Предпосылки!$N262*Продажи!AO27*AO$19*(1+Чувствительность!$D$20)*IFERROR(LOOKUP(Предпосылки!$H$211,$C$13:$C$15,AO$13:AO$15),1)</f>
        <v>0</v>
      </c>
      <c s="125">
        <f>Предпосылки!AO$238*Предпосылки!$N262*Продажи!AP27*AP$19*(1+Чувствительность!$D$20)*IFERROR(LOOKUP(Предпосылки!$H$211,$C$13:$C$15,AP$13:AP$15),1)</f>
        <v>0</v>
      </c>
      <c s="125">
        <f>Предпосылки!AP$238*Предпосылки!$N262*Продажи!AQ27*AQ$19*(1+Чувствительность!$D$20)*IFERROR(LOOKUP(Предпосылки!$H$211,$C$13:$C$15,AQ$13:AQ$15),1)</f>
        <v>0</v>
      </c>
      <c s="125">
        <f>Предпосылки!AQ$238*Предпосылки!$N262*Продажи!AR27*AR$19*(1+Чувствительность!$D$20)*IFERROR(LOOKUP(Предпосылки!$H$211,$C$13:$C$15,AR$13:AR$15),1)</f>
        <v>0</v>
      </c>
      <c s="125">
        <f>Предпосылки!AR$238*Предпосылки!$N262*Продажи!AS27*AS$19*(1+Чувствительность!$D$20)*IFERROR(LOOKUP(Предпосылки!$H$211,$C$13:$C$15,AS$13:AS$15),1)</f>
        <v>0</v>
      </c>
      <c s="125">
        <f>Предпосылки!AS$238*Предпосылки!$N262*Продажи!AT27*AT$19*(1+Чувствительность!$D$20)*IFERROR(LOOKUP(Предпосылки!$H$211,$C$13:$C$15,AT$13:AT$15),1)</f>
        <v>0</v>
      </c>
      <c s="125">
        <f>Предпосылки!AT$238*Предпосылки!$N262*Продажи!AU27*AU$19*(1+Чувствительность!$D$20)*IFERROR(LOOKUP(Предпосылки!$H$211,$C$13:$C$15,AU$13:AU$15),1)</f>
        <v>0</v>
      </c>
      <c s="125">
        <f>Предпосылки!AU$238*Предпосылки!$N262*Продажи!AV27*AV$19*(1+Чувствительность!$D$20)*IFERROR(LOOKUP(Предпосылки!$H$211,$C$13:$C$15,AV$13:AV$15),1)</f>
        <v>0</v>
      </c>
      <c s="125">
        <f>Предпосылки!AV$238*Предпосылки!$N262*Продажи!AW27*AW$19*(1+Чувствительность!$D$20)*IFERROR(LOOKUP(Предпосылки!$H$211,$C$13:$C$15,AW$13:AW$15),1)</f>
        <v>0</v>
      </c>
      <c s="125">
        <f>Предпосылки!AW$238*Предпосылки!$N262*Продажи!AX27*AX$19*(1+Чувствительность!$D$20)*IFERROR(LOOKUP(Предпосылки!$H$211,$C$13:$C$15,AX$13:AX$15),1)</f>
        <v>0</v>
      </c>
      <c s="125">
        <f>Предпосылки!AX$238*Предпосылки!$N262*Продажи!AY27*AY$19*(1+Чувствительность!$D$20)*IFERROR(LOOKUP(Предпосылки!$H$211,$C$13:$C$15,AY$13:AY$15),1)</f>
        <v>0</v>
      </c>
      <c s="125">
        <f>Предпосылки!AY$238*Предпосылки!$N262*Продажи!AZ27*AZ$19*(1+Чувствительность!$D$20)*IFERROR(LOOKUP(Предпосылки!$H$211,$C$13:$C$15,AZ$13:AZ$15),1)</f>
        <v>0</v>
      </c>
      <c s="125">
        <f>Предпосылки!AZ$238*Предпосылки!$N262*Продажи!BA27*BA$19*(1+Чувствительность!$D$20)*IFERROR(LOOKUP(Предпосылки!$H$211,$C$13:$C$15,BA$13:BA$15),1)</f>
        <v>0</v>
      </c>
      <c s="125">
        <f>Предпосылки!BA$238*Предпосылки!$N262*Продажи!BB27*BB$19*(1+Чувствительность!$D$20)*IFERROR(LOOKUP(Предпосылки!$H$211,$C$13:$C$15,BB$13:BB$15),1)</f>
        <v>0</v>
      </c>
      <c s="125">
        <f>Предпосылки!BB$238*Предпосылки!$N262*Продажи!BC27*BC$19*(1+Чувствительность!$D$20)*IFERROR(LOOKUP(Предпосылки!$H$211,$C$13:$C$15,BC$13:BC$15),1)</f>
        <v>0</v>
      </c>
      <c s="125">
        <f>Предпосылки!BC$238*Предпосылки!$N262*Продажи!BD27*BD$19*(1+Чувствительность!$D$20)*IFERROR(LOOKUP(Предпосылки!$H$211,$C$13:$C$15,BD$13:BD$15),1)</f>
        <v>0</v>
      </c>
      <c s="125">
        <f>Предпосылки!BD$238*Предпосылки!$N262*Продажи!BE27*BE$19*(1+Чувствительность!$D$20)*IFERROR(LOOKUP(Предпосылки!$H$211,$C$13:$C$15,BE$13:BE$15),1)</f>
        <v>0</v>
      </c>
      <c s="125">
        <f>Предпосылки!BE$238*Предпосылки!$N262*Продажи!BF27*BF$19*(1+Чувствительность!$D$20)*IFERROR(LOOKUP(Предпосылки!$H$211,$C$13:$C$15,BF$13:BF$15),1)</f>
        <v>0</v>
      </c>
      <c s="125">
        <f>Предпосылки!BF$238*Предпосылки!$N262*Продажи!BG27*BG$19*(1+Чувствительность!$D$20)*IFERROR(LOOKUP(Предпосылки!$H$211,$C$13:$C$15,BG$13:BG$15),1)</f>
        <v>0</v>
      </c>
      <c s="125">
        <f>Предпосылки!BG$238*Предпосылки!$N262*Продажи!BH27*BH$19*(1+Чувствительность!$D$20)*IFERROR(LOOKUP(Предпосылки!$H$211,$C$13:$C$15,BH$13:BH$15),1)</f>
        <v>0</v>
      </c>
      <c s="125">
        <f>Предпосылки!BH$238*Предпосылки!$N262*Продажи!BI27*BI$19*(1+Чувствительность!$D$20)*IFERROR(LOOKUP(Предпосылки!$H$211,$C$13:$C$15,BI$13:BI$15),1)</f>
        <v>0</v>
      </c>
      <c s="125">
        <f>Предпосылки!BI$238*Предпосылки!$N262*Продажи!BJ27*BJ$19*(1+Чувствительность!$D$20)*IFERROR(LOOKUP(Предпосылки!$H$211,$C$13:$C$15,BJ$13:BJ$15),1)</f>
        <v>0</v>
      </c>
      <c s="125">
        <f>Предпосылки!BJ$238*Предпосылки!$N262*Продажи!BK27*BK$19*(1+Чувствительность!$D$20)*IFERROR(LOOKUP(Предпосылки!$H$211,$C$13:$C$15,BK$13:BK$15),1)</f>
        <v>0</v>
      </c>
      <c s="125">
        <f>Предпосылки!BK$238*Предпосылки!$N262*Продажи!BL27*BL$19*(1+Чувствительность!$D$20)*IFERROR(LOOKUP(Предпосылки!$H$211,$C$13:$C$15,BL$13:BL$15),1)</f>
        <v>0</v>
      </c>
      <c s="125">
        <f>Предпосылки!BL$238*Предпосылки!$N262*Продажи!BM27*BM$19*(1+Чувствительность!$D$20)*IFERROR(LOOKUP(Предпосылки!$H$211,$C$13:$C$15,BM$13:BM$15),1)</f>
        <v>0</v>
      </c>
    </row>
    <row r="263" spans="2:65" ht="15" customHeight="1">
      <c r="B263" s="12" t="str">
        <f t="shared" si="111"/>
        <v>Продукт 11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Предпосылки!D$238*Предпосылки!$N263*Продажи!E28*E$19*(1+Чувствительность!$D$20)*IFERROR(LOOKUP(Предпосылки!$H$211,$C$13:$C$15,E$13:E$15),1)</f>
        <v>0</v>
      </c>
      <c s="125">
        <f>Предпосылки!E$238*Предпосылки!$N263*Продажи!F28*F$19*(1+Чувствительность!$D$20)*IFERROR(LOOKUP(Предпосылки!$H$211,$C$13:$C$15,F$13:F$15),1)</f>
        <v>0</v>
      </c>
      <c s="125">
        <f>Предпосылки!F$238*Предпосылки!$N263*Продажи!G28*G$19*(1+Чувствительность!$D$20)*IFERROR(LOOKUP(Предпосылки!$H$211,$C$13:$C$15,G$13:G$15),1)</f>
        <v>0</v>
      </c>
      <c s="125">
        <f>Предпосылки!G$238*Предпосылки!$N263*Продажи!H28*H$19*(1+Чувствительность!$D$20)*IFERROR(LOOKUP(Предпосылки!$H$211,$C$13:$C$15,H$13:H$15),1)</f>
        <v>0</v>
      </c>
      <c s="125">
        <f>Предпосылки!H$238*Предпосылки!$N263*Продажи!I28*I$19*(1+Чувствительность!$D$20)*IFERROR(LOOKUP(Предпосылки!$H$211,$C$13:$C$15,I$13:I$15),1)</f>
        <v>0</v>
      </c>
      <c s="125">
        <f>Предпосылки!I$238*Предпосылки!$N263*Продажи!J28*J$19*(1+Чувствительность!$D$20)*IFERROR(LOOKUP(Предпосылки!$H$211,$C$13:$C$15,J$13:J$15),1)</f>
        <v>0</v>
      </c>
      <c s="125">
        <f>Предпосылки!J$238*Предпосылки!$N263*Продажи!K28*K$19*(1+Чувствительность!$D$20)*IFERROR(LOOKUP(Предпосылки!$H$211,$C$13:$C$15,K$13:K$15),1)</f>
        <v>0</v>
      </c>
      <c s="125">
        <f>Предпосылки!K$238*Предпосылки!$N263*Продажи!L28*L$19*(1+Чувствительность!$D$20)*IFERROR(LOOKUP(Предпосылки!$H$211,$C$13:$C$15,L$13:L$15),1)</f>
        <v>0</v>
      </c>
      <c s="125">
        <f>Предпосылки!L$238*Предпосылки!$N263*Продажи!M28*M$19*(1+Чувствительность!$D$20)*IFERROR(LOOKUP(Предпосылки!$H$211,$C$13:$C$15,M$13:M$15),1)</f>
        <v>0</v>
      </c>
      <c s="125">
        <f>Предпосылки!M$238*Предпосылки!$N263*Продажи!N28*N$19*(1+Чувствительность!$D$20)*IFERROR(LOOKUP(Предпосылки!$H$211,$C$13:$C$15,N$13:N$15),1)</f>
        <v>0</v>
      </c>
      <c s="125">
        <f>Предпосылки!N$238*Предпосылки!$N263*Продажи!O28*O$19*(1+Чувствительность!$D$20)*IFERROR(LOOKUP(Предпосылки!$H$211,$C$13:$C$15,O$13:O$15),1)</f>
        <v>0</v>
      </c>
      <c s="125">
        <f>Предпосылки!O$238*Предпосылки!$N263*Продажи!P28*P$19*(1+Чувствительность!$D$20)*IFERROR(LOOKUP(Предпосылки!$H$211,$C$13:$C$15,P$13:P$15),1)</f>
        <v>0</v>
      </c>
      <c s="125">
        <f>Предпосылки!P$238*Предпосылки!$N263*Продажи!Q28*Q$19*(1+Чувствительность!$D$20)*IFERROR(LOOKUP(Предпосылки!$H$211,$C$13:$C$15,Q$13:Q$15),1)</f>
        <v>0</v>
      </c>
      <c s="125">
        <f>Предпосылки!Q$238*Предпосылки!$N263*Продажи!R28*R$19*(1+Чувствительность!$D$20)*IFERROR(LOOKUP(Предпосылки!$H$211,$C$13:$C$15,R$13:R$15),1)</f>
        <v>0</v>
      </c>
      <c s="125">
        <f>Предпосылки!R$238*Предпосылки!$N263*Продажи!S28*S$19*(1+Чувствительность!$D$20)*IFERROR(LOOKUP(Предпосылки!$H$211,$C$13:$C$15,S$13:S$15),1)</f>
        <v>0</v>
      </c>
      <c s="125">
        <f>Предпосылки!S$238*Предпосылки!$N263*Продажи!T28*T$19*(1+Чувствительность!$D$20)*IFERROR(LOOKUP(Предпосылки!$H$211,$C$13:$C$15,T$13:T$15),1)</f>
        <v>0</v>
      </c>
      <c s="125">
        <f>Предпосылки!T$238*Предпосылки!$N263*Продажи!U28*U$19*(1+Чувствительность!$D$20)*IFERROR(LOOKUP(Предпосылки!$H$211,$C$13:$C$15,U$13:U$15),1)</f>
        <v>0</v>
      </c>
      <c s="125">
        <f>Предпосылки!U$238*Предпосылки!$N263*Продажи!V28*V$19*(1+Чувствительность!$D$20)*IFERROR(LOOKUP(Предпосылки!$H$211,$C$13:$C$15,V$13:V$15),1)</f>
        <v>0</v>
      </c>
      <c s="125">
        <f>Предпосылки!V$238*Предпосылки!$N263*Продажи!W28*W$19*(1+Чувствительность!$D$20)*IFERROR(LOOKUP(Предпосылки!$H$211,$C$13:$C$15,W$13:W$15),1)</f>
        <v>0</v>
      </c>
      <c s="125">
        <f>Предпосылки!W$238*Предпосылки!$N263*Продажи!X28*X$19*(1+Чувствительность!$D$20)*IFERROR(LOOKUP(Предпосылки!$H$211,$C$13:$C$15,X$13:X$15),1)</f>
        <v>0</v>
      </c>
      <c s="125">
        <f>Предпосылки!X$238*Предпосылки!$N263*Продажи!Y28*Y$19*(1+Чувствительность!$D$20)*IFERROR(LOOKUP(Предпосылки!$H$211,$C$13:$C$15,Y$13:Y$15),1)</f>
        <v>0</v>
      </c>
      <c s="125">
        <f>Предпосылки!Y$238*Предпосылки!$N263*Продажи!Z28*Z$19*(1+Чувствительность!$D$20)*IFERROR(LOOKUP(Предпосылки!$H$211,$C$13:$C$15,Z$13:Z$15),1)</f>
        <v>0</v>
      </c>
      <c s="125">
        <f>Предпосылки!Z$238*Предпосылки!$N263*Продажи!AA28*AA$19*(1+Чувствительность!$D$20)*IFERROR(LOOKUP(Предпосылки!$H$211,$C$13:$C$15,AA$13:AA$15),1)</f>
        <v>0</v>
      </c>
      <c s="125">
        <f>Предпосылки!AA$238*Предпосылки!$N263*Продажи!AB28*AB$19*(1+Чувствительность!$D$20)*IFERROR(LOOKUP(Предпосылки!$H$211,$C$13:$C$15,AB$13:AB$15),1)</f>
        <v>0</v>
      </c>
      <c s="125">
        <f>Предпосылки!AB$238*Предпосылки!$N263*Продажи!AC28*AC$19*(1+Чувствительность!$D$20)*IFERROR(LOOKUP(Предпосылки!$H$211,$C$13:$C$15,AC$13:AC$15),1)</f>
        <v>0</v>
      </c>
      <c s="125">
        <f>Предпосылки!AC$238*Предпосылки!$N263*Продажи!AD28*AD$19*(1+Чувствительность!$D$20)*IFERROR(LOOKUP(Предпосылки!$H$211,$C$13:$C$15,AD$13:AD$15),1)</f>
        <v>0</v>
      </c>
      <c s="125">
        <f>Предпосылки!AD$238*Предпосылки!$N263*Продажи!AE28*AE$19*(1+Чувствительность!$D$20)*IFERROR(LOOKUP(Предпосылки!$H$211,$C$13:$C$15,AE$13:AE$15),1)</f>
        <v>0</v>
      </c>
      <c s="125">
        <f>Предпосылки!AE$238*Предпосылки!$N263*Продажи!AF28*AF$19*(1+Чувствительность!$D$20)*IFERROR(LOOKUP(Предпосылки!$H$211,$C$13:$C$15,AF$13:AF$15),1)</f>
        <v>0</v>
      </c>
      <c s="125">
        <f>Предпосылки!AF$238*Предпосылки!$N263*Продажи!AG28*AG$19*(1+Чувствительность!$D$20)*IFERROR(LOOKUP(Предпосылки!$H$211,$C$13:$C$15,AG$13:AG$15),1)</f>
        <v>0</v>
      </c>
      <c s="125">
        <f>Предпосылки!AG$238*Предпосылки!$N263*Продажи!AH28*AH$19*(1+Чувствительность!$D$20)*IFERROR(LOOKUP(Предпосылки!$H$211,$C$13:$C$15,AH$13:AH$15),1)</f>
        <v>0</v>
      </c>
      <c s="125">
        <f>Предпосылки!AH$238*Предпосылки!$N263*Продажи!AI28*AI$19*(1+Чувствительность!$D$20)*IFERROR(LOOKUP(Предпосылки!$H$211,$C$13:$C$15,AI$13:AI$15),1)</f>
        <v>0</v>
      </c>
      <c s="125">
        <f>Предпосылки!AI$238*Предпосылки!$N263*Продажи!AJ28*AJ$19*(1+Чувствительность!$D$20)*IFERROR(LOOKUP(Предпосылки!$H$211,$C$13:$C$15,AJ$13:AJ$15),1)</f>
        <v>0</v>
      </c>
      <c s="125">
        <f>Предпосылки!AJ$238*Предпосылки!$N263*Продажи!AK28*AK$19*(1+Чувствительность!$D$20)*IFERROR(LOOKUP(Предпосылки!$H$211,$C$13:$C$15,AK$13:AK$15),1)</f>
        <v>0</v>
      </c>
      <c s="125">
        <f>Предпосылки!AK$238*Предпосылки!$N263*Продажи!AL28*AL$19*(1+Чувствительность!$D$20)*IFERROR(LOOKUP(Предпосылки!$H$211,$C$13:$C$15,AL$13:AL$15),1)</f>
        <v>0</v>
      </c>
      <c s="125">
        <f>Предпосылки!AL$238*Предпосылки!$N263*Продажи!AM28*AM$19*(1+Чувствительность!$D$20)*IFERROR(LOOKUP(Предпосылки!$H$211,$C$13:$C$15,AM$13:AM$15),1)</f>
        <v>0</v>
      </c>
      <c s="125">
        <f>Предпосылки!AM$238*Предпосылки!$N263*Продажи!AN28*AN$19*(1+Чувствительность!$D$20)*IFERROR(LOOKUP(Предпосылки!$H$211,$C$13:$C$15,AN$13:AN$15),1)</f>
        <v>0</v>
      </c>
      <c s="125">
        <f>Предпосылки!AN$238*Предпосылки!$N263*Продажи!AO28*AO$19*(1+Чувствительность!$D$20)*IFERROR(LOOKUP(Предпосылки!$H$211,$C$13:$C$15,AO$13:AO$15),1)</f>
        <v>0</v>
      </c>
      <c s="125">
        <f>Предпосылки!AO$238*Предпосылки!$N263*Продажи!AP28*AP$19*(1+Чувствительность!$D$20)*IFERROR(LOOKUP(Предпосылки!$H$211,$C$13:$C$15,AP$13:AP$15),1)</f>
        <v>0</v>
      </c>
      <c s="125">
        <f>Предпосылки!AP$238*Предпосылки!$N263*Продажи!AQ28*AQ$19*(1+Чувствительность!$D$20)*IFERROR(LOOKUP(Предпосылки!$H$211,$C$13:$C$15,AQ$13:AQ$15),1)</f>
        <v>0</v>
      </c>
      <c s="125">
        <f>Предпосылки!AQ$238*Предпосылки!$N263*Продажи!AR28*AR$19*(1+Чувствительность!$D$20)*IFERROR(LOOKUP(Предпосылки!$H$211,$C$13:$C$15,AR$13:AR$15),1)</f>
        <v>0</v>
      </c>
      <c s="125">
        <f>Предпосылки!AR$238*Предпосылки!$N263*Продажи!AS28*AS$19*(1+Чувствительность!$D$20)*IFERROR(LOOKUP(Предпосылки!$H$211,$C$13:$C$15,AS$13:AS$15),1)</f>
        <v>0</v>
      </c>
      <c s="125">
        <f>Предпосылки!AS$238*Предпосылки!$N263*Продажи!AT28*AT$19*(1+Чувствительность!$D$20)*IFERROR(LOOKUP(Предпосылки!$H$211,$C$13:$C$15,AT$13:AT$15),1)</f>
        <v>0</v>
      </c>
      <c s="125">
        <f>Предпосылки!AT$238*Предпосылки!$N263*Продажи!AU28*AU$19*(1+Чувствительность!$D$20)*IFERROR(LOOKUP(Предпосылки!$H$211,$C$13:$C$15,AU$13:AU$15),1)</f>
        <v>0</v>
      </c>
      <c s="125">
        <f>Предпосылки!AU$238*Предпосылки!$N263*Продажи!AV28*AV$19*(1+Чувствительность!$D$20)*IFERROR(LOOKUP(Предпосылки!$H$211,$C$13:$C$15,AV$13:AV$15),1)</f>
        <v>0</v>
      </c>
      <c s="125">
        <f>Предпосылки!AV$238*Предпосылки!$N263*Продажи!AW28*AW$19*(1+Чувствительность!$D$20)*IFERROR(LOOKUP(Предпосылки!$H$211,$C$13:$C$15,AW$13:AW$15),1)</f>
        <v>0</v>
      </c>
      <c s="125">
        <f>Предпосылки!AW$238*Предпосылки!$N263*Продажи!AX28*AX$19*(1+Чувствительность!$D$20)*IFERROR(LOOKUP(Предпосылки!$H$211,$C$13:$C$15,AX$13:AX$15),1)</f>
        <v>0</v>
      </c>
      <c s="125">
        <f>Предпосылки!AX$238*Предпосылки!$N263*Продажи!AY28*AY$19*(1+Чувствительность!$D$20)*IFERROR(LOOKUP(Предпосылки!$H$211,$C$13:$C$15,AY$13:AY$15),1)</f>
        <v>0</v>
      </c>
      <c s="125">
        <f>Предпосылки!AY$238*Предпосылки!$N263*Продажи!AZ28*AZ$19*(1+Чувствительность!$D$20)*IFERROR(LOOKUP(Предпосылки!$H$211,$C$13:$C$15,AZ$13:AZ$15),1)</f>
        <v>0</v>
      </c>
      <c s="125">
        <f>Предпосылки!AZ$238*Предпосылки!$N263*Продажи!BA28*BA$19*(1+Чувствительность!$D$20)*IFERROR(LOOKUP(Предпосылки!$H$211,$C$13:$C$15,BA$13:BA$15),1)</f>
        <v>0</v>
      </c>
      <c s="125">
        <f>Предпосылки!BA$238*Предпосылки!$N263*Продажи!BB28*BB$19*(1+Чувствительность!$D$20)*IFERROR(LOOKUP(Предпосылки!$H$211,$C$13:$C$15,BB$13:BB$15),1)</f>
        <v>0</v>
      </c>
      <c s="125">
        <f>Предпосылки!BB$238*Предпосылки!$N263*Продажи!BC28*BC$19*(1+Чувствительность!$D$20)*IFERROR(LOOKUP(Предпосылки!$H$211,$C$13:$C$15,BC$13:BC$15),1)</f>
        <v>0</v>
      </c>
      <c s="125">
        <f>Предпосылки!BC$238*Предпосылки!$N263*Продажи!BD28*BD$19*(1+Чувствительность!$D$20)*IFERROR(LOOKUP(Предпосылки!$H$211,$C$13:$C$15,BD$13:BD$15),1)</f>
        <v>0</v>
      </c>
      <c s="125">
        <f>Предпосылки!BD$238*Предпосылки!$N263*Продажи!BE28*BE$19*(1+Чувствительность!$D$20)*IFERROR(LOOKUP(Предпосылки!$H$211,$C$13:$C$15,BE$13:BE$15),1)</f>
        <v>0</v>
      </c>
      <c s="125">
        <f>Предпосылки!BE$238*Предпосылки!$N263*Продажи!BF28*BF$19*(1+Чувствительность!$D$20)*IFERROR(LOOKUP(Предпосылки!$H$211,$C$13:$C$15,BF$13:BF$15),1)</f>
        <v>0</v>
      </c>
      <c s="125">
        <f>Предпосылки!BF$238*Предпосылки!$N263*Продажи!BG28*BG$19*(1+Чувствительность!$D$20)*IFERROR(LOOKUP(Предпосылки!$H$211,$C$13:$C$15,BG$13:BG$15),1)</f>
        <v>0</v>
      </c>
      <c s="125">
        <f>Предпосылки!BG$238*Предпосылки!$N263*Продажи!BH28*BH$19*(1+Чувствительность!$D$20)*IFERROR(LOOKUP(Предпосылки!$H$211,$C$13:$C$15,BH$13:BH$15),1)</f>
        <v>0</v>
      </c>
      <c s="125">
        <f>Предпосылки!BH$238*Предпосылки!$N263*Продажи!BI28*BI$19*(1+Чувствительность!$D$20)*IFERROR(LOOKUP(Предпосылки!$H$211,$C$13:$C$15,BI$13:BI$15),1)</f>
        <v>0</v>
      </c>
      <c s="125">
        <f>Предпосылки!BI$238*Предпосылки!$N263*Продажи!BJ28*BJ$19*(1+Чувствительность!$D$20)*IFERROR(LOOKUP(Предпосылки!$H$211,$C$13:$C$15,BJ$13:BJ$15),1)</f>
        <v>0</v>
      </c>
      <c s="125">
        <f>Предпосылки!BJ$238*Предпосылки!$N263*Продажи!BK28*BK$19*(1+Чувствительность!$D$20)*IFERROR(LOOKUP(Предпосылки!$H$211,$C$13:$C$15,BK$13:BK$15),1)</f>
        <v>0</v>
      </c>
      <c s="125">
        <f>Предпосылки!BK$238*Предпосылки!$N263*Продажи!BL28*BL$19*(1+Чувствительность!$D$20)*IFERROR(LOOKUP(Предпосылки!$H$211,$C$13:$C$15,BL$13:BL$15),1)</f>
        <v>0</v>
      </c>
      <c s="125">
        <f>Предпосылки!BL$238*Предпосылки!$N263*Продажи!BM28*BM$19*(1+Чувствительность!$D$20)*IFERROR(LOOKUP(Предпосылки!$H$211,$C$13:$C$15,BM$13:BM$15),1)</f>
        <v>0</v>
      </c>
    </row>
    <row r="264" spans="2:65" ht="15" customHeight="1">
      <c r="B264" s="12" t="str">
        <f t="shared" si="111"/>
        <v>Продукт 12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Предпосылки!D$238*Предпосылки!$N264*Продажи!E29*E$19*(1+Чувствительность!$D$20)*IFERROR(LOOKUP(Предпосылки!$H$211,$C$13:$C$15,E$13:E$15),1)</f>
        <v>0</v>
      </c>
      <c s="125">
        <f>Предпосылки!E$238*Предпосылки!$N264*Продажи!F29*F$19*(1+Чувствительность!$D$20)*IFERROR(LOOKUP(Предпосылки!$H$211,$C$13:$C$15,F$13:F$15),1)</f>
        <v>0</v>
      </c>
      <c s="125">
        <f>Предпосылки!F$238*Предпосылки!$N264*Продажи!G29*G$19*(1+Чувствительность!$D$20)*IFERROR(LOOKUP(Предпосылки!$H$211,$C$13:$C$15,G$13:G$15),1)</f>
        <v>0</v>
      </c>
      <c s="125">
        <f>Предпосылки!G$238*Предпосылки!$N264*Продажи!H29*H$19*(1+Чувствительность!$D$20)*IFERROR(LOOKUP(Предпосылки!$H$211,$C$13:$C$15,H$13:H$15),1)</f>
        <v>0</v>
      </c>
      <c s="125">
        <f>Предпосылки!H$238*Предпосылки!$N264*Продажи!I29*I$19*(1+Чувствительность!$D$20)*IFERROR(LOOKUP(Предпосылки!$H$211,$C$13:$C$15,I$13:I$15),1)</f>
        <v>0</v>
      </c>
      <c s="125">
        <f>Предпосылки!I$238*Предпосылки!$N264*Продажи!J29*J$19*(1+Чувствительность!$D$20)*IFERROR(LOOKUP(Предпосылки!$H$211,$C$13:$C$15,J$13:J$15),1)</f>
        <v>0</v>
      </c>
      <c s="125">
        <f>Предпосылки!J$238*Предпосылки!$N264*Продажи!K29*K$19*(1+Чувствительность!$D$20)*IFERROR(LOOKUP(Предпосылки!$H$211,$C$13:$C$15,K$13:K$15),1)</f>
        <v>0</v>
      </c>
      <c s="125">
        <f>Предпосылки!K$238*Предпосылки!$N264*Продажи!L29*L$19*(1+Чувствительность!$D$20)*IFERROR(LOOKUP(Предпосылки!$H$211,$C$13:$C$15,L$13:L$15),1)</f>
        <v>0</v>
      </c>
      <c s="125">
        <f>Предпосылки!L$238*Предпосылки!$N264*Продажи!M29*M$19*(1+Чувствительность!$D$20)*IFERROR(LOOKUP(Предпосылки!$H$211,$C$13:$C$15,M$13:M$15),1)</f>
        <v>0</v>
      </c>
      <c s="125">
        <f>Предпосылки!M$238*Предпосылки!$N264*Продажи!N29*N$19*(1+Чувствительность!$D$20)*IFERROR(LOOKUP(Предпосылки!$H$211,$C$13:$C$15,N$13:N$15),1)</f>
        <v>0</v>
      </c>
      <c s="125">
        <f>Предпосылки!N$238*Предпосылки!$N264*Продажи!O29*O$19*(1+Чувствительность!$D$20)*IFERROR(LOOKUP(Предпосылки!$H$211,$C$13:$C$15,O$13:O$15),1)</f>
        <v>0</v>
      </c>
      <c s="125">
        <f>Предпосылки!O$238*Предпосылки!$N264*Продажи!P29*P$19*(1+Чувствительность!$D$20)*IFERROR(LOOKUP(Предпосылки!$H$211,$C$13:$C$15,P$13:P$15),1)</f>
        <v>0</v>
      </c>
      <c s="125">
        <f>Предпосылки!P$238*Предпосылки!$N264*Продажи!Q29*Q$19*(1+Чувствительность!$D$20)*IFERROR(LOOKUP(Предпосылки!$H$211,$C$13:$C$15,Q$13:Q$15),1)</f>
        <v>0</v>
      </c>
      <c s="125">
        <f>Предпосылки!Q$238*Предпосылки!$N264*Продажи!R29*R$19*(1+Чувствительность!$D$20)*IFERROR(LOOKUP(Предпосылки!$H$211,$C$13:$C$15,R$13:R$15),1)</f>
        <v>0</v>
      </c>
      <c s="125">
        <f>Предпосылки!R$238*Предпосылки!$N264*Продажи!S29*S$19*(1+Чувствительность!$D$20)*IFERROR(LOOKUP(Предпосылки!$H$211,$C$13:$C$15,S$13:S$15),1)</f>
        <v>0</v>
      </c>
      <c s="125">
        <f>Предпосылки!S$238*Предпосылки!$N264*Продажи!T29*T$19*(1+Чувствительность!$D$20)*IFERROR(LOOKUP(Предпосылки!$H$211,$C$13:$C$15,T$13:T$15),1)</f>
        <v>0</v>
      </c>
      <c s="125">
        <f>Предпосылки!T$238*Предпосылки!$N264*Продажи!U29*U$19*(1+Чувствительность!$D$20)*IFERROR(LOOKUP(Предпосылки!$H$211,$C$13:$C$15,U$13:U$15),1)</f>
        <v>0</v>
      </c>
      <c s="125">
        <f>Предпосылки!U$238*Предпосылки!$N264*Продажи!V29*V$19*(1+Чувствительность!$D$20)*IFERROR(LOOKUP(Предпосылки!$H$211,$C$13:$C$15,V$13:V$15),1)</f>
        <v>0</v>
      </c>
      <c s="125">
        <f>Предпосылки!V$238*Предпосылки!$N264*Продажи!W29*W$19*(1+Чувствительность!$D$20)*IFERROR(LOOKUP(Предпосылки!$H$211,$C$13:$C$15,W$13:W$15),1)</f>
        <v>0</v>
      </c>
      <c s="125">
        <f>Предпосылки!W$238*Предпосылки!$N264*Продажи!X29*X$19*(1+Чувствительность!$D$20)*IFERROR(LOOKUP(Предпосылки!$H$211,$C$13:$C$15,X$13:X$15),1)</f>
        <v>0</v>
      </c>
      <c s="125">
        <f>Предпосылки!X$238*Предпосылки!$N264*Продажи!Y29*Y$19*(1+Чувствительность!$D$20)*IFERROR(LOOKUP(Предпосылки!$H$211,$C$13:$C$15,Y$13:Y$15),1)</f>
        <v>0</v>
      </c>
      <c s="125">
        <f>Предпосылки!Y$238*Предпосылки!$N264*Продажи!Z29*Z$19*(1+Чувствительность!$D$20)*IFERROR(LOOKUP(Предпосылки!$H$211,$C$13:$C$15,Z$13:Z$15),1)</f>
        <v>0</v>
      </c>
      <c s="125">
        <f>Предпосылки!Z$238*Предпосылки!$N264*Продажи!AA29*AA$19*(1+Чувствительность!$D$20)*IFERROR(LOOKUP(Предпосылки!$H$211,$C$13:$C$15,AA$13:AA$15),1)</f>
        <v>0</v>
      </c>
      <c s="125">
        <f>Предпосылки!AA$238*Предпосылки!$N264*Продажи!AB29*AB$19*(1+Чувствительность!$D$20)*IFERROR(LOOKUP(Предпосылки!$H$211,$C$13:$C$15,AB$13:AB$15),1)</f>
        <v>0</v>
      </c>
      <c s="125">
        <f>Предпосылки!AB$238*Предпосылки!$N264*Продажи!AC29*AC$19*(1+Чувствительность!$D$20)*IFERROR(LOOKUP(Предпосылки!$H$211,$C$13:$C$15,AC$13:AC$15),1)</f>
        <v>0</v>
      </c>
      <c s="125">
        <f>Предпосылки!AC$238*Предпосылки!$N264*Продажи!AD29*AD$19*(1+Чувствительность!$D$20)*IFERROR(LOOKUP(Предпосылки!$H$211,$C$13:$C$15,AD$13:AD$15),1)</f>
        <v>0</v>
      </c>
      <c s="125">
        <f>Предпосылки!AD$238*Предпосылки!$N264*Продажи!AE29*AE$19*(1+Чувствительность!$D$20)*IFERROR(LOOKUP(Предпосылки!$H$211,$C$13:$C$15,AE$13:AE$15),1)</f>
        <v>0</v>
      </c>
      <c s="125">
        <f>Предпосылки!AE$238*Предпосылки!$N264*Продажи!AF29*AF$19*(1+Чувствительность!$D$20)*IFERROR(LOOKUP(Предпосылки!$H$211,$C$13:$C$15,AF$13:AF$15),1)</f>
        <v>0</v>
      </c>
      <c s="125">
        <f>Предпосылки!AF$238*Предпосылки!$N264*Продажи!AG29*AG$19*(1+Чувствительность!$D$20)*IFERROR(LOOKUP(Предпосылки!$H$211,$C$13:$C$15,AG$13:AG$15),1)</f>
        <v>0</v>
      </c>
      <c s="125">
        <f>Предпосылки!AG$238*Предпосылки!$N264*Продажи!AH29*AH$19*(1+Чувствительность!$D$20)*IFERROR(LOOKUP(Предпосылки!$H$211,$C$13:$C$15,AH$13:AH$15),1)</f>
        <v>0</v>
      </c>
      <c s="125">
        <f>Предпосылки!AH$238*Предпосылки!$N264*Продажи!AI29*AI$19*(1+Чувствительность!$D$20)*IFERROR(LOOKUP(Предпосылки!$H$211,$C$13:$C$15,AI$13:AI$15),1)</f>
        <v>0</v>
      </c>
      <c s="125">
        <f>Предпосылки!AI$238*Предпосылки!$N264*Продажи!AJ29*AJ$19*(1+Чувствительность!$D$20)*IFERROR(LOOKUP(Предпосылки!$H$211,$C$13:$C$15,AJ$13:AJ$15),1)</f>
        <v>0</v>
      </c>
      <c s="125">
        <f>Предпосылки!AJ$238*Предпосылки!$N264*Продажи!AK29*AK$19*(1+Чувствительность!$D$20)*IFERROR(LOOKUP(Предпосылки!$H$211,$C$13:$C$15,AK$13:AK$15),1)</f>
        <v>0</v>
      </c>
      <c s="125">
        <f>Предпосылки!AK$238*Предпосылки!$N264*Продажи!AL29*AL$19*(1+Чувствительность!$D$20)*IFERROR(LOOKUP(Предпосылки!$H$211,$C$13:$C$15,AL$13:AL$15),1)</f>
        <v>0</v>
      </c>
      <c s="125">
        <f>Предпосылки!AL$238*Предпосылки!$N264*Продажи!AM29*AM$19*(1+Чувствительность!$D$20)*IFERROR(LOOKUP(Предпосылки!$H$211,$C$13:$C$15,AM$13:AM$15),1)</f>
        <v>0</v>
      </c>
      <c s="125">
        <f>Предпосылки!AM$238*Предпосылки!$N264*Продажи!AN29*AN$19*(1+Чувствительность!$D$20)*IFERROR(LOOKUP(Предпосылки!$H$211,$C$13:$C$15,AN$13:AN$15),1)</f>
        <v>0</v>
      </c>
      <c s="125">
        <f>Предпосылки!AN$238*Предпосылки!$N264*Продажи!AO29*AO$19*(1+Чувствительность!$D$20)*IFERROR(LOOKUP(Предпосылки!$H$211,$C$13:$C$15,AO$13:AO$15),1)</f>
        <v>0</v>
      </c>
      <c s="125">
        <f>Предпосылки!AO$238*Предпосылки!$N264*Продажи!AP29*AP$19*(1+Чувствительность!$D$20)*IFERROR(LOOKUP(Предпосылки!$H$211,$C$13:$C$15,AP$13:AP$15),1)</f>
        <v>0</v>
      </c>
      <c s="125">
        <f>Предпосылки!AP$238*Предпосылки!$N264*Продажи!AQ29*AQ$19*(1+Чувствительность!$D$20)*IFERROR(LOOKUP(Предпосылки!$H$211,$C$13:$C$15,AQ$13:AQ$15),1)</f>
        <v>0</v>
      </c>
      <c s="125">
        <f>Предпосылки!AQ$238*Предпосылки!$N264*Продажи!AR29*AR$19*(1+Чувствительность!$D$20)*IFERROR(LOOKUP(Предпосылки!$H$211,$C$13:$C$15,AR$13:AR$15),1)</f>
        <v>0</v>
      </c>
      <c s="125">
        <f>Предпосылки!AR$238*Предпосылки!$N264*Продажи!AS29*AS$19*(1+Чувствительность!$D$20)*IFERROR(LOOKUP(Предпосылки!$H$211,$C$13:$C$15,AS$13:AS$15),1)</f>
        <v>0</v>
      </c>
      <c s="125">
        <f>Предпосылки!AS$238*Предпосылки!$N264*Продажи!AT29*AT$19*(1+Чувствительность!$D$20)*IFERROR(LOOKUP(Предпосылки!$H$211,$C$13:$C$15,AT$13:AT$15),1)</f>
        <v>0</v>
      </c>
      <c s="125">
        <f>Предпосылки!AT$238*Предпосылки!$N264*Продажи!AU29*AU$19*(1+Чувствительность!$D$20)*IFERROR(LOOKUP(Предпосылки!$H$211,$C$13:$C$15,AU$13:AU$15),1)</f>
        <v>0</v>
      </c>
      <c s="125">
        <f>Предпосылки!AU$238*Предпосылки!$N264*Продажи!AV29*AV$19*(1+Чувствительность!$D$20)*IFERROR(LOOKUP(Предпосылки!$H$211,$C$13:$C$15,AV$13:AV$15),1)</f>
        <v>0</v>
      </c>
      <c s="125">
        <f>Предпосылки!AV$238*Предпосылки!$N264*Продажи!AW29*AW$19*(1+Чувствительность!$D$20)*IFERROR(LOOKUP(Предпосылки!$H$211,$C$13:$C$15,AW$13:AW$15),1)</f>
        <v>0</v>
      </c>
      <c s="125">
        <f>Предпосылки!AW$238*Предпосылки!$N264*Продажи!AX29*AX$19*(1+Чувствительность!$D$20)*IFERROR(LOOKUP(Предпосылки!$H$211,$C$13:$C$15,AX$13:AX$15),1)</f>
        <v>0</v>
      </c>
      <c s="125">
        <f>Предпосылки!AX$238*Предпосылки!$N264*Продажи!AY29*AY$19*(1+Чувствительность!$D$20)*IFERROR(LOOKUP(Предпосылки!$H$211,$C$13:$C$15,AY$13:AY$15),1)</f>
        <v>0</v>
      </c>
      <c s="125">
        <f>Предпосылки!AY$238*Предпосылки!$N264*Продажи!AZ29*AZ$19*(1+Чувствительность!$D$20)*IFERROR(LOOKUP(Предпосылки!$H$211,$C$13:$C$15,AZ$13:AZ$15),1)</f>
        <v>0</v>
      </c>
      <c s="125">
        <f>Предпосылки!AZ$238*Предпосылки!$N264*Продажи!BA29*BA$19*(1+Чувствительность!$D$20)*IFERROR(LOOKUP(Предпосылки!$H$211,$C$13:$C$15,BA$13:BA$15),1)</f>
        <v>0</v>
      </c>
      <c s="125">
        <f>Предпосылки!BA$238*Предпосылки!$N264*Продажи!BB29*BB$19*(1+Чувствительность!$D$20)*IFERROR(LOOKUP(Предпосылки!$H$211,$C$13:$C$15,BB$13:BB$15),1)</f>
        <v>0</v>
      </c>
      <c s="125">
        <f>Предпосылки!BB$238*Предпосылки!$N264*Продажи!BC29*BC$19*(1+Чувствительность!$D$20)*IFERROR(LOOKUP(Предпосылки!$H$211,$C$13:$C$15,BC$13:BC$15),1)</f>
        <v>0</v>
      </c>
      <c s="125">
        <f>Предпосылки!BC$238*Предпосылки!$N264*Продажи!BD29*BD$19*(1+Чувствительность!$D$20)*IFERROR(LOOKUP(Предпосылки!$H$211,$C$13:$C$15,BD$13:BD$15),1)</f>
        <v>0</v>
      </c>
      <c s="125">
        <f>Предпосылки!BD$238*Предпосылки!$N264*Продажи!BE29*BE$19*(1+Чувствительность!$D$20)*IFERROR(LOOKUP(Предпосылки!$H$211,$C$13:$C$15,BE$13:BE$15),1)</f>
        <v>0</v>
      </c>
      <c s="125">
        <f>Предпосылки!BE$238*Предпосылки!$N264*Продажи!BF29*BF$19*(1+Чувствительность!$D$20)*IFERROR(LOOKUP(Предпосылки!$H$211,$C$13:$C$15,BF$13:BF$15),1)</f>
        <v>0</v>
      </c>
      <c s="125">
        <f>Предпосылки!BF$238*Предпосылки!$N264*Продажи!BG29*BG$19*(1+Чувствительность!$D$20)*IFERROR(LOOKUP(Предпосылки!$H$211,$C$13:$C$15,BG$13:BG$15),1)</f>
        <v>0</v>
      </c>
      <c s="125">
        <f>Предпосылки!BG$238*Предпосылки!$N264*Продажи!BH29*BH$19*(1+Чувствительность!$D$20)*IFERROR(LOOKUP(Предпосылки!$H$211,$C$13:$C$15,BH$13:BH$15),1)</f>
        <v>0</v>
      </c>
      <c s="125">
        <f>Предпосылки!BH$238*Предпосылки!$N264*Продажи!BI29*BI$19*(1+Чувствительность!$D$20)*IFERROR(LOOKUP(Предпосылки!$H$211,$C$13:$C$15,BI$13:BI$15),1)</f>
        <v>0</v>
      </c>
      <c s="125">
        <f>Предпосылки!BI$238*Предпосылки!$N264*Продажи!BJ29*BJ$19*(1+Чувствительность!$D$20)*IFERROR(LOOKUP(Предпосылки!$H$211,$C$13:$C$15,BJ$13:BJ$15),1)</f>
        <v>0</v>
      </c>
      <c s="125">
        <f>Предпосылки!BJ$238*Предпосылки!$N264*Продажи!BK29*BK$19*(1+Чувствительность!$D$20)*IFERROR(LOOKUP(Предпосылки!$H$211,$C$13:$C$15,BK$13:BK$15),1)</f>
        <v>0</v>
      </c>
      <c s="125">
        <f>Предпосылки!BK$238*Предпосылки!$N264*Продажи!BL29*BL$19*(1+Чувствительность!$D$20)*IFERROR(LOOKUP(Предпосылки!$H$211,$C$13:$C$15,BL$13:BL$15),1)</f>
        <v>0</v>
      </c>
      <c s="125">
        <f>Предпосылки!BL$238*Предпосылки!$N264*Продажи!BM29*BM$19*(1+Чувствительность!$D$20)*IFERROR(LOOKUP(Предпосылки!$H$211,$C$13:$C$15,BM$13:BM$15),1)</f>
        <v>0</v>
      </c>
    </row>
    <row r="265" spans="2:65" ht="15" customHeight="1">
      <c r="B265" s="12" t="str">
        <f t="shared" si="111"/>
        <v>Продукт 13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Предпосылки!D$238*Предпосылки!$N265*Продажи!E30*E$19*(1+Чувствительность!$D$20)*IFERROR(LOOKUP(Предпосылки!$H$211,$C$13:$C$15,E$13:E$15),1)</f>
        <v>0</v>
      </c>
      <c s="125">
        <f>Предпосылки!E$238*Предпосылки!$N265*Продажи!F30*F$19*(1+Чувствительность!$D$20)*IFERROR(LOOKUP(Предпосылки!$H$211,$C$13:$C$15,F$13:F$15),1)</f>
        <v>0</v>
      </c>
      <c s="125">
        <f>Предпосылки!F$238*Предпосылки!$N265*Продажи!G30*G$19*(1+Чувствительность!$D$20)*IFERROR(LOOKUP(Предпосылки!$H$211,$C$13:$C$15,G$13:G$15),1)</f>
        <v>0</v>
      </c>
      <c s="125">
        <f>Предпосылки!G$238*Предпосылки!$N265*Продажи!H30*H$19*(1+Чувствительность!$D$20)*IFERROR(LOOKUP(Предпосылки!$H$211,$C$13:$C$15,H$13:H$15),1)</f>
        <v>0</v>
      </c>
      <c s="125">
        <f>Предпосылки!H$238*Предпосылки!$N265*Продажи!I30*I$19*(1+Чувствительность!$D$20)*IFERROR(LOOKUP(Предпосылки!$H$211,$C$13:$C$15,I$13:I$15),1)</f>
        <v>0</v>
      </c>
      <c s="125">
        <f>Предпосылки!I$238*Предпосылки!$N265*Продажи!J30*J$19*(1+Чувствительность!$D$20)*IFERROR(LOOKUP(Предпосылки!$H$211,$C$13:$C$15,J$13:J$15),1)</f>
        <v>0</v>
      </c>
      <c s="125">
        <f>Предпосылки!J$238*Предпосылки!$N265*Продажи!K30*K$19*(1+Чувствительность!$D$20)*IFERROR(LOOKUP(Предпосылки!$H$211,$C$13:$C$15,K$13:K$15),1)</f>
        <v>0</v>
      </c>
      <c s="125">
        <f>Предпосылки!K$238*Предпосылки!$N265*Продажи!L30*L$19*(1+Чувствительность!$D$20)*IFERROR(LOOKUP(Предпосылки!$H$211,$C$13:$C$15,L$13:L$15),1)</f>
        <v>0</v>
      </c>
      <c s="125">
        <f>Предпосылки!L$238*Предпосылки!$N265*Продажи!M30*M$19*(1+Чувствительность!$D$20)*IFERROR(LOOKUP(Предпосылки!$H$211,$C$13:$C$15,M$13:M$15),1)</f>
        <v>0</v>
      </c>
      <c s="125">
        <f>Предпосылки!M$238*Предпосылки!$N265*Продажи!N30*N$19*(1+Чувствительность!$D$20)*IFERROR(LOOKUP(Предпосылки!$H$211,$C$13:$C$15,N$13:N$15),1)</f>
        <v>0</v>
      </c>
      <c s="125">
        <f>Предпосылки!N$238*Предпосылки!$N265*Продажи!O30*O$19*(1+Чувствительность!$D$20)*IFERROR(LOOKUP(Предпосылки!$H$211,$C$13:$C$15,O$13:O$15),1)</f>
        <v>0</v>
      </c>
      <c s="125">
        <f>Предпосылки!O$238*Предпосылки!$N265*Продажи!P30*P$19*(1+Чувствительность!$D$20)*IFERROR(LOOKUP(Предпосылки!$H$211,$C$13:$C$15,P$13:P$15),1)</f>
        <v>0</v>
      </c>
      <c s="125">
        <f>Предпосылки!P$238*Предпосылки!$N265*Продажи!Q30*Q$19*(1+Чувствительность!$D$20)*IFERROR(LOOKUP(Предпосылки!$H$211,$C$13:$C$15,Q$13:Q$15),1)</f>
        <v>0</v>
      </c>
      <c s="125">
        <f>Предпосылки!Q$238*Предпосылки!$N265*Продажи!R30*R$19*(1+Чувствительность!$D$20)*IFERROR(LOOKUP(Предпосылки!$H$211,$C$13:$C$15,R$13:R$15),1)</f>
        <v>0</v>
      </c>
      <c s="125">
        <f>Предпосылки!R$238*Предпосылки!$N265*Продажи!S30*S$19*(1+Чувствительность!$D$20)*IFERROR(LOOKUP(Предпосылки!$H$211,$C$13:$C$15,S$13:S$15),1)</f>
        <v>0</v>
      </c>
      <c s="125">
        <f>Предпосылки!S$238*Предпосылки!$N265*Продажи!T30*T$19*(1+Чувствительность!$D$20)*IFERROR(LOOKUP(Предпосылки!$H$211,$C$13:$C$15,T$13:T$15),1)</f>
        <v>0</v>
      </c>
      <c s="125">
        <f>Предпосылки!T$238*Предпосылки!$N265*Продажи!U30*U$19*(1+Чувствительность!$D$20)*IFERROR(LOOKUP(Предпосылки!$H$211,$C$13:$C$15,U$13:U$15),1)</f>
        <v>0</v>
      </c>
      <c s="125">
        <f>Предпосылки!U$238*Предпосылки!$N265*Продажи!V30*V$19*(1+Чувствительность!$D$20)*IFERROR(LOOKUP(Предпосылки!$H$211,$C$13:$C$15,V$13:V$15),1)</f>
        <v>0</v>
      </c>
      <c s="125">
        <f>Предпосылки!V$238*Предпосылки!$N265*Продажи!W30*W$19*(1+Чувствительность!$D$20)*IFERROR(LOOKUP(Предпосылки!$H$211,$C$13:$C$15,W$13:W$15),1)</f>
        <v>0</v>
      </c>
      <c s="125">
        <f>Предпосылки!W$238*Предпосылки!$N265*Продажи!X30*X$19*(1+Чувствительность!$D$20)*IFERROR(LOOKUP(Предпосылки!$H$211,$C$13:$C$15,X$13:X$15),1)</f>
        <v>0</v>
      </c>
      <c s="125">
        <f>Предпосылки!X$238*Предпосылки!$N265*Продажи!Y30*Y$19*(1+Чувствительность!$D$20)*IFERROR(LOOKUP(Предпосылки!$H$211,$C$13:$C$15,Y$13:Y$15),1)</f>
        <v>0</v>
      </c>
      <c s="125">
        <f>Предпосылки!Y$238*Предпосылки!$N265*Продажи!Z30*Z$19*(1+Чувствительность!$D$20)*IFERROR(LOOKUP(Предпосылки!$H$211,$C$13:$C$15,Z$13:Z$15),1)</f>
        <v>0</v>
      </c>
      <c s="125">
        <f>Предпосылки!Z$238*Предпосылки!$N265*Продажи!AA30*AA$19*(1+Чувствительность!$D$20)*IFERROR(LOOKUP(Предпосылки!$H$211,$C$13:$C$15,AA$13:AA$15),1)</f>
        <v>0</v>
      </c>
      <c s="125">
        <f>Предпосылки!AA$238*Предпосылки!$N265*Продажи!AB30*AB$19*(1+Чувствительность!$D$20)*IFERROR(LOOKUP(Предпосылки!$H$211,$C$13:$C$15,AB$13:AB$15),1)</f>
        <v>0</v>
      </c>
      <c s="125">
        <f>Предпосылки!AB$238*Предпосылки!$N265*Продажи!AC30*AC$19*(1+Чувствительность!$D$20)*IFERROR(LOOKUP(Предпосылки!$H$211,$C$13:$C$15,AC$13:AC$15),1)</f>
        <v>0</v>
      </c>
      <c s="125">
        <f>Предпосылки!AC$238*Предпосылки!$N265*Продажи!AD30*AD$19*(1+Чувствительность!$D$20)*IFERROR(LOOKUP(Предпосылки!$H$211,$C$13:$C$15,AD$13:AD$15),1)</f>
        <v>0</v>
      </c>
      <c s="125">
        <f>Предпосылки!AD$238*Предпосылки!$N265*Продажи!AE30*AE$19*(1+Чувствительность!$D$20)*IFERROR(LOOKUP(Предпосылки!$H$211,$C$13:$C$15,AE$13:AE$15),1)</f>
        <v>0</v>
      </c>
      <c s="125">
        <f>Предпосылки!AE$238*Предпосылки!$N265*Продажи!AF30*AF$19*(1+Чувствительность!$D$20)*IFERROR(LOOKUP(Предпосылки!$H$211,$C$13:$C$15,AF$13:AF$15),1)</f>
        <v>0</v>
      </c>
      <c s="125">
        <f>Предпосылки!AF$238*Предпосылки!$N265*Продажи!AG30*AG$19*(1+Чувствительность!$D$20)*IFERROR(LOOKUP(Предпосылки!$H$211,$C$13:$C$15,AG$13:AG$15),1)</f>
        <v>0</v>
      </c>
      <c s="125">
        <f>Предпосылки!AG$238*Предпосылки!$N265*Продажи!AH30*AH$19*(1+Чувствительность!$D$20)*IFERROR(LOOKUP(Предпосылки!$H$211,$C$13:$C$15,AH$13:AH$15),1)</f>
        <v>0</v>
      </c>
      <c s="125">
        <f>Предпосылки!AH$238*Предпосылки!$N265*Продажи!AI30*AI$19*(1+Чувствительность!$D$20)*IFERROR(LOOKUP(Предпосылки!$H$211,$C$13:$C$15,AI$13:AI$15),1)</f>
        <v>0</v>
      </c>
      <c s="125">
        <f>Предпосылки!AI$238*Предпосылки!$N265*Продажи!AJ30*AJ$19*(1+Чувствительность!$D$20)*IFERROR(LOOKUP(Предпосылки!$H$211,$C$13:$C$15,AJ$13:AJ$15),1)</f>
        <v>0</v>
      </c>
      <c s="125">
        <f>Предпосылки!AJ$238*Предпосылки!$N265*Продажи!AK30*AK$19*(1+Чувствительность!$D$20)*IFERROR(LOOKUP(Предпосылки!$H$211,$C$13:$C$15,AK$13:AK$15),1)</f>
        <v>0</v>
      </c>
      <c s="125">
        <f>Предпосылки!AK$238*Предпосылки!$N265*Продажи!AL30*AL$19*(1+Чувствительность!$D$20)*IFERROR(LOOKUP(Предпосылки!$H$211,$C$13:$C$15,AL$13:AL$15),1)</f>
        <v>0</v>
      </c>
      <c s="125">
        <f>Предпосылки!AL$238*Предпосылки!$N265*Продажи!AM30*AM$19*(1+Чувствительность!$D$20)*IFERROR(LOOKUP(Предпосылки!$H$211,$C$13:$C$15,AM$13:AM$15),1)</f>
        <v>0</v>
      </c>
      <c s="125">
        <f>Предпосылки!AM$238*Предпосылки!$N265*Продажи!AN30*AN$19*(1+Чувствительность!$D$20)*IFERROR(LOOKUP(Предпосылки!$H$211,$C$13:$C$15,AN$13:AN$15),1)</f>
        <v>0</v>
      </c>
      <c s="125">
        <f>Предпосылки!AN$238*Предпосылки!$N265*Продажи!AO30*AO$19*(1+Чувствительность!$D$20)*IFERROR(LOOKUP(Предпосылки!$H$211,$C$13:$C$15,AO$13:AO$15),1)</f>
        <v>0</v>
      </c>
      <c s="125">
        <f>Предпосылки!AO$238*Предпосылки!$N265*Продажи!AP30*AP$19*(1+Чувствительность!$D$20)*IFERROR(LOOKUP(Предпосылки!$H$211,$C$13:$C$15,AP$13:AP$15),1)</f>
        <v>0</v>
      </c>
      <c s="125">
        <f>Предпосылки!AP$238*Предпосылки!$N265*Продажи!AQ30*AQ$19*(1+Чувствительность!$D$20)*IFERROR(LOOKUP(Предпосылки!$H$211,$C$13:$C$15,AQ$13:AQ$15),1)</f>
        <v>0</v>
      </c>
      <c s="125">
        <f>Предпосылки!AQ$238*Предпосылки!$N265*Продажи!AR30*AR$19*(1+Чувствительность!$D$20)*IFERROR(LOOKUP(Предпосылки!$H$211,$C$13:$C$15,AR$13:AR$15),1)</f>
        <v>0</v>
      </c>
      <c s="125">
        <f>Предпосылки!AR$238*Предпосылки!$N265*Продажи!AS30*AS$19*(1+Чувствительность!$D$20)*IFERROR(LOOKUP(Предпосылки!$H$211,$C$13:$C$15,AS$13:AS$15),1)</f>
        <v>0</v>
      </c>
      <c s="125">
        <f>Предпосылки!AS$238*Предпосылки!$N265*Продажи!AT30*AT$19*(1+Чувствительность!$D$20)*IFERROR(LOOKUP(Предпосылки!$H$211,$C$13:$C$15,AT$13:AT$15),1)</f>
        <v>0</v>
      </c>
      <c s="125">
        <f>Предпосылки!AT$238*Предпосылки!$N265*Продажи!AU30*AU$19*(1+Чувствительность!$D$20)*IFERROR(LOOKUP(Предпосылки!$H$211,$C$13:$C$15,AU$13:AU$15),1)</f>
        <v>0</v>
      </c>
      <c s="125">
        <f>Предпосылки!AU$238*Предпосылки!$N265*Продажи!AV30*AV$19*(1+Чувствительность!$D$20)*IFERROR(LOOKUP(Предпосылки!$H$211,$C$13:$C$15,AV$13:AV$15),1)</f>
        <v>0</v>
      </c>
      <c s="125">
        <f>Предпосылки!AV$238*Предпосылки!$N265*Продажи!AW30*AW$19*(1+Чувствительность!$D$20)*IFERROR(LOOKUP(Предпосылки!$H$211,$C$13:$C$15,AW$13:AW$15),1)</f>
        <v>0</v>
      </c>
      <c s="125">
        <f>Предпосылки!AW$238*Предпосылки!$N265*Продажи!AX30*AX$19*(1+Чувствительность!$D$20)*IFERROR(LOOKUP(Предпосылки!$H$211,$C$13:$C$15,AX$13:AX$15),1)</f>
        <v>0</v>
      </c>
      <c s="125">
        <f>Предпосылки!AX$238*Предпосылки!$N265*Продажи!AY30*AY$19*(1+Чувствительность!$D$20)*IFERROR(LOOKUP(Предпосылки!$H$211,$C$13:$C$15,AY$13:AY$15),1)</f>
        <v>0</v>
      </c>
      <c s="125">
        <f>Предпосылки!AY$238*Предпосылки!$N265*Продажи!AZ30*AZ$19*(1+Чувствительность!$D$20)*IFERROR(LOOKUP(Предпосылки!$H$211,$C$13:$C$15,AZ$13:AZ$15),1)</f>
        <v>0</v>
      </c>
      <c s="125">
        <f>Предпосылки!AZ$238*Предпосылки!$N265*Продажи!BA30*BA$19*(1+Чувствительность!$D$20)*IFERROR(LOOKUP(Предпосылки!$H$211,$C$13:$C$15,BA$13:BA$15),1)</f>
        <v>0</v>
      </c>
      <c s="125">
        <f>Предпосылки!BA$238*Предпосылки!$N265*Продажи!BB30*BB$19*(1+Чувствительность!$D$20)*IFERROR(LOOKUP(Предпосылки!$H$211,$C$13:$C$15,BB$13:BB$15),1)</f>
        <v>0</v>
      </c>
      <c s="125">
        <f>Предпосылки!BB$238*Предпосылки!$N265*Продажи!BC30*BC$19*(1+Чувствительность!$D$20)*IFERROR(LOOKUP(Предпосылки!$H$211,$C$13:$C$15,BC$13:BC$15),1)</f>
        <v>0</v>
      </c>
      <c s="125">
        <f>Предпосылки!BC$238*Предпосылки!$N265*Продажи!BD30*BD$19*(1+Чувствительность!$D$20)*IFERROR(LOOKUP(Предпосылки!$H$211,$C$13:$C$15,BD$13:BD$15),1)</f>
        <v>0</v>
      </c>
      <c s="125">
        <f>Предпосылки!BD$238*Предпосылки!$N265*Продажи!BE30*BE$19*(1+Чувствительность!$D$20)*IFERROR(LOOKUP(Предпосылки!$H$211,$C$13:$C$15,BE$13:BE$15),1)</f>
        <v>0</v>
      </c>
      <c s="125">
        <f>Предпосылки!BE$238*Предпосылки!$N265*Продажи!BF30*BF$19*(1+Чувствительность!$D$20)*IFERROR(LOOKUP(Предпосылки!$H$211,$C$13:$C$15,BF$13:BF$15),1)</f>
        <v>0</v>
      </c>
      <c s="125">
        <f>Предпосылки!BF$238*Предпосылки!$N265*Продажи!BG30*BG$19*(1+Чувствительность!$D$20)*IFERROR(LOOKUP(Предпосылки!$H$211,$C$13:$C$15,BG$13:BG$15),1)</f>
        <v>0</v>
      </c>
      <c s="125">
        <f>Предпосылки!BG$238*Предпосылки!$N265*Продажи!BH30*BH$19*(1+Чувствительность!$D$20)*IFERROR(LOOKUP(Предпосылки!$H$211,$C$13:$C$15,BH$13:BH$15),1)</f>
        <v>0</v>
      </c>
      <c s="125">
        <f>Предпосылки!BH$238*Предпосылки!$N265*Продажи!BI30*BI$19*(1+Чувствительность!$D$20)*IFERROR(LOOKUP(Предпосылки!$H$211,$C$13:$C$15,BI$13:BI$15),1)</f>
        <v>0</v>
      </c>
      <c s="125">
        <f>Предпосылки!BI$238*Предпосылки!$N265*Продажи!BJ30*BJ$19*(1+Чувствительность!$D$20)*IFERROR(LOOKUP(Предпосылки!$H$211,$C$13:$C$15,BJ$13:BJ$15),1)</f>
        <v>0</v>
      </c>
      <c s="125">
        <f>Предпосылки!BJ$238*Предпосылки!$N265*Продажи!BK30*BK$19*(1+Чувствительность!$D$20)*IFERROR(LOOKUP(Предпосылки!$H$211,$C$13:$C$15,BK$13:BK$15),1)</f>
        <v>0</v>
      </c>
      <c s="125">
        <f>Предпосылки!BK$238*Предпосылки!$N265*Продажи!BL30*BL$19*(1+Чувствительность!$D$20)*IFERROR(LOOKUP(Предпосылки!$H$211,$C$13:$C$15,BL$13:BL$15),1)</f>
        <v>0</v>
      </c>
      <c s="125">
        <f>Предпосылки!BL$238*Предпосылки!$N265*Продажи!BM30*BM$19*(1+Чувствительность!$D$20)*IFERROR(LOOKUP(Предпосылки!$H$211,$C$13:$C$15,BM$13:BM$15),1)</f>
        <v>0</v>
      </c>
    </row>
    <row r="266" spans="2:65" ht="15" customHeight="1">
      <c r="B266" s="12" t="str">
        <f t="shared" si="111"/>
        <v>Продукт 14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Предпосылки!D$238*Предпосылки!$N266*Продажи!E31*E$19*(1+Чувствительность!$D$20)*IFERROR(LOOKUP(Предпосылки!$H$211,$C$13:$C$15,E$13:E$15),1)</f>
        <v>0</v>
      </c>
      <c s="125">
        <f>Предпосылки!E$238*Предпосылки!$N266*Продажи!F31*F$19*(1+Чувствительность!$D$20)*IFERROR(LOOKUP(Предпосылки!$H$211,$C$13:$C$15,F$13:F$15),1)</f>
        <v>0</v>
      </c>
      <c s="125">
        <f>Предпосылки!F$238*Предпосылки!$N266*Продажи!G31*G$19*(1+Чувствительность!$D$20)*IFERROR(LOOKUP(Предпосылки!$H$211,$C$13:$C$15,G$13:G$15),1)</f>
        <v>0</v>
      </c>
      <c s="125">
        <f>Предпосылки!G$238*Предпосылки!$N266*Продажи!H31*H$19*(1+Чувствительность!$D$20)*IFERROR(LOOKUP(Предпосылки!$H$211,$C$13:$C$15,H$13:H$15),1)</f>
        <v>0</v>
      </c>
      <c s="125">
        <f>Предпосылки!H$238*Предпосылки!$N266*Продажи!I31*I$19*(1+Чувствительность!$D$20)*IFERROR(LOOKUP(Предпосылки!$H$211,$C$13:$C$15,I$13:I$15),1)</f>
        <v>0</v>
      </c>
      <c s="125">
        <f>Предпосылки!I$238*Предпосылки!$N266*Продажи!J31*J$19*(1+Чувствительность!$D$20)*IFERROR(LOOKUP(Предпосылки!$H$211,$C$13:$C$15,J$13:J$15),1)</f>
        <v>0</v>
      </c>
      <c s="125">
        <f>Предпосылки!J$238*Предпосылки!$N266*Продажи!K31*K$19*(1+Чувствительность!$D$20)*IFERROR(LOOKUP(Предпосылки!$H$211,$C$13:$C$15,K$13:K$15),1)</f>
        <v>0</v>
      </c>
      <c s="125">
        <f>Предпосылки!K$238*Предпосылки!$N266*Продажи!L31*L$19*(1+Чувствительность!$D$20)*IFERROR(LOOKUP(Предпосылки!$H$211,$C$13:$C$15,L$13:L$15),1)</f>
        <v>0</v>
      </c>
      <c s="125">
        <f>Предпосылки!L$238*Предпосылки!$N266*Продажи!M31*M$19*(1+Чувствительность!$D$20)*IFERROR(LOOKUP(Предпосылки!$H$211,$C$13:$C$15,M$13:M$15),1)</f>
        <v>0</v>
      </c>
      <c s="125">
        <f>Предпосылки!M$238*Предпосылки!$N266*Продажи!N31*N$19*(1+Чувствительность!$D$20)*IFERROR(LOOKUP(Предпосылки!$H$211,$C$13:$C$15,N$13:N$15),1)</f>
        <v>0</v>
      </c>
      <c s="125">
        <f>Предпосылки!N$238*Предпосылки!$N266*Продажи!O31*O$19*(1+Чувствительность!$D$20)*IFERROR(LOOKUP(Предпосылки!$H$211,$C$13:$C$15,O$13:O$15),1)</f>
        <v>0</v>
      </c>
      <c s="125">
        <f>Предпосылки!O$238*Предпосылки!$N266*Продажи!P31*P$19*(1+Чувствительность!$D$20)*IFERROR(LOOKUP(Предпосылки!$H$211,$C$13:$C$15,P$13:P$15),1)</f>
        <v>0</v>
      </c>
      <c s="125">
        <f>Предпосылки!P$238*Предпосылки!$N266*Продажи!Q31*Q$19*(1+Чувствительность!$D$20)*IFERROR(LOOKUP(Предпосылки!$H$211,$C$13:$C$15,Q$13:Q$15),1)</f>
        <v>0</v>
      </c>
      <c s="125">
        <f>Предпосылки!Q$238*Предпосылки!$N266*Продажи!R31*R$19*(1+Чувствительность!$D$20)*IFERROR(LOOKUP(Предпосылки!$H$211,$C$13:$C$15,R$13:R$15),1)</f>
        <v>0</v>
      </c>
      <c s="125">
        <f>Предпосылки!R$238*Предпосылки!$N266*Продажи!S31*S$19*(1+Чувствительность!$D$20)*IFERROR(LOOKUP(Предпосылки!$H$211,$C$13:$C$15,S$13:S$15),1)</f>
        <v>0</v>
      </c>
      <c s="125">
        <f>Предпосылки!S$238*Предпосылки!$N266*Продажи!T31*T$19*(1+Чувствительность!$D$20)*IFERROR(LOOKUP(Предпосылки!$H$211,$C$13:$C$15,T$13:T$15),1)</f>
        <v>0</v>
      </c>
      <c s="125">
        <f>Предпосылки!T$238*Предпосылки!$N266*Продажи!U31*U$19*(1+Чувствительность!$D$20)*IFERROR(LOOKUP(Предпосылки!$H$211,$C$13:$C$15,U$13:U$15),1)</f>
        <v>0</v>
      </c>
      <c s="125">
        <f>Предпосылки!U$238*Предпосылки!$N266*Продажи!V31*V$19*(1+Чувствительность!$D$20)*IFERROR(LOOKUP(Предпосылки!$H$211,$C$13:$C$15,V$13:V$15),1)</f>
        <v>0</v>
      </c>
      <c s="125">
        <f>Предпосылки!V$238*Предпосылки!$N266*Продажи!W31*W$19*(1+Чувствительность!$D$20)*IFERROR(LOOKUP(Предпосылки!$H$211,$C$13:$C$15,W$13:W$15),1)</f>
        <v>0</v>
      </c>
      <c s="125">
        <f>Предпосылки!W$238*Предпосылки!$N266*Продажи!X31*X$19*(1+Чувствительность!$D$20)*IFERROR(LOOKUP(Предпосылки!$H$211,$C$13:$C$15,X$13:X$15),1)</f>
        <v>0</v>
      </c>
      <c s="125">
        <f>Предпосылки!X$238*Предпосылки!$N266*Продажи!Y31*Y$19*(1+Чувствительность!$D$20)*IFERROR(LOOKUP(Предпосылки!$H$211,$C$13:$C$15,Y$13:Y$15),1)</f>
        <v>0</v>
      </c>
      <c s="125">
        <f>Предпосылки!Y$238*Предпосылки!$N266*Продажи!Z31*Z$19*(1+Чувствительность!$D$20)*IFERROR(LOOKUP(Предпосылки!$H$211,$C$13:$C$15,Z$13:Z$15),1)</f>
        <v>0</v>
      </c>
      <c s="125">
        <f>Предпосылки!Z$238*Предпосылки!$N266*Продажи!AA31*AA$19*(1+Чувствительность!$D$20)*IFERROR(LOOKUP(Предпосылки!$H$211,$C$13:$C$15,AA$13:AA$15),1)</f>
        <v>0</v>
      </c>
      <c s="125">
        <f>Предпосылки!AA$238*Предпосылки!$N266*Продажи!AB31*AB$19*(1+Чувствительность!$D$20)*IFERROR(LOOKUP(Предпосылки!$H$211,$C$13:$C$15,AB$13:AB$15),1)</f>
        <v>0</v>
      </c>
      <c s="125">
        <f>Предпосылки!AB$238*Предпосылки!$N266*Продажи!AC31*AC$19*(1+Чувствительность!$D$20)*IFERROR(LOOKUP(Предпосылки!$H$211,$C$13:$C$15,AC$13:AC$15),1)</f>
        <v>0</v>
      </c>
      <c s="125">
        <f>Предпосылки!AC$238*Предпосылки!$N266*Продажи!AD31*AD$19*(1+Чувствительность!$D$20)*IFERROR(LOOKUP(Предпосылки!$H$211,$C$13:$C$15,AD$13:AD$15),1)</f>
        <v>0</v>
      </c>
      <c s="125">
        <f>Предпосылки!AD$238*Предпосылки!$N266*Продажи!AE31*AE$19*(1+Чувствительность!$D$20)*IFERROR(LOOKUP(Предпосылки!$H$211,$C$13:$C$15,AE$13:AE$15),1)</f>
        <v>0</v>
      </c>
      <c s="125">
        <f>Предпосылки!AE$238*Предпосылки!$N266*Продажи!AF31*AF$19*(1+Чувствительность!$D$20)*IFERROR(LOOKUP(Предпосылки!$H$211,$C$13:$C$15,AF$13:AF$15),1)</f>
        <v>0</v>
      </c>
      <c s="125">
        <f>Предпосылки!AF$238*Предпосылки!$N266*Продажи!AG31*AG$19*(1+Чувствительность!$D$20)*IFERROR(LOOKUP(Предпосылки!$H$211,$C$13:$C$15,AG$13:AG$15),1)</f>
        <v>0</v>
      </c>
      <c s="125">
        <f>Предпосылки!AG$238*Предпосылки!$N266*Продажи!AH31*AH$19*(1+Чувствительность!$D$20)*IFERROR(LOOKUP(Предпосылки!$H$211,$C$13:$C$15,AH$13:AH$15),1)</f>
        <v>0</v>
      </c>
      <c s="125">
        <f>Предпосылки!AH$238*Предпосылки!$N266*Продажи!AI31*AI$19*(1+Чувствительность!$D$20)*IFERROR(LOOKUP(Предпосылки!$H$211,$C$13:$C$15,AI$13:AI$15),1)</f>
        <v>0</v>
      </c>
      <c s="125">
        <f>Предпосылки!AI$238*Предпосылки!$N266*Продажи!AJ31*AJ$19*(1+Чувствительность!$D$20)*IFERROR(LOOKUP(Предпосылки!$H$211,$C$13:$C$15,AJ$13:AJ$15),1)</f>
        <v>0</v>
      </c>
      <c s="125">
        <f>Предпосылки!AJ$238*Предпосылки!$N266*Продажи!AK31*AK$19*(1+Чувствительность!$D$20)*IFERROR(LOOKUP(Предпосылки!$H$211,$C$13:$C$15,AK$13:AK$15),1)</f>
        <v>0</v>
      </c>
      <c s="125">
        <f>Предпосылки!AK$238*Предпосылки!$N266*Продажи!AL31*AL$19*(1+Чувствительность!$D$20)*IFERROR(LOOKUP(Предпосылки!$H$211,$C$13:$C$15,AL$13:AL$15),1)</f>
        <v>0</v>
      </c>
      <c s="125">
        <f>Предпосылки!AL$238*Предпосылки!$N266*Продажи!AM31*AM$19*(1+Чувствительность!$D$20)*IFERROR(LOOKUP(Предпосылки!$H$211,$C$13:$C$15,AM$13:AM$15),1)</f>
        <v>0</v>
      </c>
      <c s="125">
        <f>Предпосылки!AM$238*Предпосылки!$N266*Продажи!AN31*AN$19*(1+Чувствительность!$D$20)*IFERROR(LOOKUP(Предпосылки!$H$211,$C$13:$C$15,AN$13:AN$15),1)</f>
        <v>0</v>
      </c>
      <c s="125">
        <f>Предпосылки!AN$238*Предпосылки!$N266*Продажи!AO31*AO$19*(1+Чувствительность!$D$20)*IFERROR(LOOKUP(Предпосылки!$H$211,$C$13:$C$15,AO$13:AO$15),1)</f>
        <v>0</v>
      </c>
      <c s="125">
        <f>Предпосылки!AO$238*Предпосылки!$N266*Продажи!AP31*AP$19*(1+Чувствительность!$D$20)*IFERROR(LOOKUP(Предпосылки!$H$211,$C$13:$C$15,AP$13:AP$15),1)</f>
        <v>0</v>
      </c>
      <c s="125">
        <f>Предпосылки!AP$238*Предпосылки!$N266*Продажи!AQ31*AQ$19*(1+Чувствительность!$D$20)*IFERROR(LOOKUP(Предпосылки!$H$211,$C$13:$C$15,AQ$13:AQ$15),1)</f>
        <v>0</v>
      </c>
      <c s="125">
        <f>Предпосылки!AQ$238*Предпосылки!$N266*Продажи!AR31*AR$19*(1+Чувствительность!$D$20)*IFERROR(LOOKUP(Предпосылки!$H$211,$C$13:$C$15,AR$13:AR$15),1)</f>
        <v>0</v>
      </c>
      <c s="125">
        <f>Предпосылки!AR$238*Предпосылки!$N266*Продажи!AS31*AS$19*(1+Чувствительность!$D$20)*IFERROR(LOOKUP(Предпосылки!$H$211,$C$13:$C$15,AS$13:AS$15),1)</f>
        <v>0</v>
      </c>
      <c s="125">
        <f>Предпосылки!AS$238*Предпосылки!$N266*Продажи!AT31*AT$19*(1+Чувствительность!$D$20)*IFERROR(LOOKUP(Предпосылки!$H$211,$C$13:$C$15,AT$13:AT$15),1)</f>
        <v>0</v>
      </c>
      <c s="125">
        <f>Предпосылки!AT$238*Предпосылки!$N266*Продажи!AU31*AU$19*(1+Чувствительность!$D$20)*IFERROR(LOOKUP(Предпосылки!$H$211,$C$13:$C$15,AU$13:AU$15),1)</f>
        <v>0</v>
      </c>
      <c s="125">
        <f>Предпосылки!AU$238*Предпосылки!$N266*Продажи!AV31*AV$19*(1+Чувствительность!$D$20)*IFERROR(LOOKUP(Предпосылки!$H$211,$C$13:$C$15,AV$13:AV$15),1)</f>
        <v>0</v>
      </c>
      <c s="125">
        <f>Предпосылки!AV$238*Предпосылки!$N266*Продажи!AW31*AW$19*(1+Чувствительность!$D$20)*IFERROR(LOOKUP(Предпосылки!$H$211,$C$13:$C$15,AW$13:AW$15),1)</f>
        <v>0</v>
      </c>
      <c s="125">
        <f>Предпосылки!AW$238*Предпосылки!$N266*Продажи!AX31*AX$19*(1+Чувствительность!$D$20)*IFERROR(LOOKUP(Предпосылки!$H$211,$C$13:$C$15,AX$13:AX$15),1)</f>
        <v>0</v>
      </c>
      <c s="125">
        <f>Предпосылки!AX$238*Предпосылки!$N266*Продажи!AY31*AY$19*(1+Чувствительность!$D$20)*IFERROR(LOOKUP(Предпосылки!$H$211,$C$13:$C$15,AY$13:AY$15),1)</f>
        <v>0</v>
      </c>
      <c s="125">
        <f>Предпосылки!AY$238*Предпосылки!$N266*Продажи!AZ31*AZ$19*(1+Чувствительность!$D$20)*IFERROR(LOOKUP(Предпосылки!$H$211,$C$13:$C$15,AZ$13:AZ$15),1)</f>
        <v>0</v>
      </c>
      <c s="125">
        <f>Предпосылки!AZ$238*Предпосылки!$N266*Продажи!BA31*BA$19*(1+Чувствительность!$D$20)*IFERROR(LOOKUP(Предпосылки!$H$211,$C$13:$C$15,BA$13:BA$15),1)</f>
        <v>0</v>
      </c>
      <c s="125">
        <f>Предпосылки!BA$238*Предпосылки!$N266*Продажи!BB31*BB$19*(1+Чувствительность!$D$20)*IFERROR(LOOKUP(Предпосылки!$H$211,$C$13:$C$15,BB$13:BB$15),1)</f>
        <v>0</v>
      </c>
      <c s="125">
        <f>Предпосылки!BB$238*Предпосылки!$N266*Продажи!BC31*BC$19*(1+Чувствительность!$D$20)*IFERROR(LOOKUP(Предпосылки!$H$211,$C$13:$C$15,BC$13:BC$15),1)</f>
        <v>0</v>
      </c>
      <c s="125">
        <f>Предпосылки!BC$238*Предпосылки!$N266*Продажи!BD31*BD$19*(1+Чувствительность!$D$20)*IFERROR(LOOKUP(Предпосылки!$H$211,$C$13:$C$15,BD$13:BD$15),1)</f>
        <v>0</v>
      </c>
      <c s="125">
        <f>Предпосылки!BD$238*Предпосылки!$N266*Продажи!BE31*BE$19*(1+Чувствительность!$D$20)*IFERROR(LOOKUP(Предпосылки!$H$211,$C$13:$C$15,BE$13:BE$15),1)</f>
        <v>0</v>
      </c>
      <c s="125">
        <f>Предпосылки!BE$238*Предпосылки!$N266*Продажи!BF31*BF$19*(1+Чувствительность!$D$20)*IFERROR(LOOKUP(Предпосылки!$H$211,$C$13:$C$15,BF$13:BF$15),1)</f>
        <v>0</v>
      </c>
      <c s="125">
        <f>Предпосылки!BF$238*Предпосылки!$N266*Продажи!BG31*BG$19*(1+Чувствительность!$D$20)*IFERROR(LOOKUP(Предпосылки!$H$211,$C$13:$C$15,BG$13:BG$15),1)</f>
        <v>0</v>
      </c>
      <c s="125">
        <f>Предпосылки!BG$238*Предпосылки!$N266*Продажи!BH31*BH$19*(1+Чувствительность!$D$20)*IFERROR(LOOKUP(Предпосылки!$H$211,$C$13:$C$15,BH$13:BH$15),1)</f>
        <v>0</v>
      </c>
      <c s="125">
        <f>Предпосылки!BH$238*Предпосылки!$N266*Продажи!BI31*BI$19*(1+Чувствительность!$D$20)*IFERROR(LOOKUP(Предпосылки!$H$211,$C$13:$C$15,BI$13:BI$15),1)</f>
        <v>0</v>
      </c>
      <c s="125">
        <f>Предпосылки!BI$238*Предпосылки!$N266*Продажи!BJ31*BJ$19*(1+Чувствительность!$D$20)*IFERROR(LOOKUP(Предпосылки!$H$211,$C$13:$C$15,BJ$13:BJ$15),1)</f>
        <v>0</v>
      </c>
      <c s="125">
        <f>Предпосылки!BJ$238*Предпосылки!$N266*Продажи!BK31*BK$19*(1+Чувствительность!$D$20)*IFERROR(LOOKUP(Предпосылки!$H$211,$C$13:$C$15,BK$13:BK$15),1)</f>
        <v>0</v>
      </c>
      <c s="125">
        <f>Предпосылки!BK$238*Предпосылки!$N266*Продажи!BL31*BL$19*(1+Чувствительность!$D$20)*IFERROR(LOOKUP(Предпосылки!$H$211,$C$13:$C$15,BL$13:BL$15),1)</f>
        <v>0</v>
      </c>
      <c s="125">
        <f>Предпосылки!BL$238*Предпосылки!$N266*Продажи!BM31*BM$19*(1+Чувствительность!$D$20)*IFERROR(LOOKUP(Предпосылки!$H$211,$C$13:$C$15,BM$13:BM$15),1)</f>
        <v>0</v>
      </c>
    </row>
    <row r="267" spans="2:65" ht="15" customHeight="1">
      <c r="B267" s="12" t="str">
        <f t="shared" si="111"/>
        <v>Продукт 15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Предпосылки!D$238*Предпосылки!$N267*Продажи!E32*E$19*(1+Чувствительность!$D$20)*IFERROR(LOOKUP(Предпосылки!$H$211,$C$13:$C$15,E$13:E$15),1)</f>
        <v>0</v>
      </c>
      <c s="125">
        <f>Предпосылки!E$238*Предпосылки!$N267*Продажи!F32*F$19*(1+Чувствительность!$D$20)*IFERROR(LOOKUP(Предпосылки!$H$211,$C$13:$C$15,F$13:F$15),1)</f>
        <v>0</v>
      </c>
      <c s="125">
        <f>Предпосылки!F$238*Предпосылки!$N267*Продажи!G32*G$19*(1+Чувствительность!$D$20)*IFERROR(LOOKUP(Предпосылки!$H$211,$C$13:$C$15,G$13:G$15),1)</f>
        <v>0</v>
      </c>
      <c s="125">
        <f>Предпосылки!G$238*Предпосылки!$N267*Продажи!H32*H$19*(1+Чувствительность!$D$20)*IFERROR(LOOKUP(Предпосылки!$H$211,$C$13:$C$15,H$13:H$15),1)</f>
        <v>0</v>
      </c>
      <c s="125">
        <f>Предпосылки!H$238*Предпосылки!$N267*Продажи!I32*I$19*(1+Чувствительность!$D$20)*IFERROR(LOOKUP(Предпосылки!$H$211,$C$13:$C$15,I$13:I$15),1)</f>
        <v>0</v>
      </c>
      <c s="125">
        <f>Предпосылки!I$238*Предпосылки!$N267*Продажи!J32*J$19*(1+Чувствительность!$D$20)*IFERROR(LOOKUP(Предпосылки!$H$211,$C$13:$C$15,J$13:J$15),1)</f>
        <v>0</v>
      </c>
      <c s="125">
        <f>Предпосылки!J$238*Предпосылки!$N267*Продажи!K32*K$19*(1+Чувствительность!$D$20)*IFERROR(LOOKUP(Предпосылки!$H$211,$C$13:$C$15,K$13:K$15),1)</f>
        <v>0</v>
      </c>
      <c s="125">
        <f>Предпосылки!K$238*Предпосылки!$N267*Продажи!L32*L$19*(1+Чувствительность!$D$20)*IFERROR(LOOKUP(Предпосылки!$H$211,$C$13:$C$15,L$13:L$15),1)</f>
        <v>0</v>
      </c>
      <c s="125">
        <f>Предпосылки!L$238*Предпосылки!$N267*Продажи!M32*M$19*(1+Чувствительность!$D$20)*IFERROR(LOOKUP(Предпосылки!$H$211,$C$13:$C$15,M$13:M$15),1)</f>
        <v>0</v>
      </c>
      <c s="125">
        <f>Предпосылки!M$238*Предпосылки!$N267*Продажи!N32*N$19*(1+Чувствительность!$D$20)*IFERROR(LOOKUP(Предпосылки!$H$211,$C$13:$C$15,N$13:N$15),1)</f>
        <v>0</v>
      </c>
      <c s="125">
        <f>Предпосылки!N$238*Предпосылки!$N267*Продажи!O32*O$19*(1+Чувствительность!$D$20)*IFERROR(LOOKUP(Предпосылки!$H$211,$C$13:$C$15,O$13:O$15),1)</f>
        <v>0</v>
      </c>
      <c s="125">
        <f>Предпосылки!O$238*Предпосылки!$N267*Продажи!P32*P$19*(1+Чувствительность!$D$20)*IFERROR(LOOKUP(Предпосылки!$H$211,$C$13:$C$15,P$13:P$15),1)</f>
        <v>0</v>
      </c>
      <c s="125">
        <f>Предпосылки!P$238*Предпосылки!$N267*Продажи!Q32*Q$19*(1+Чувствительность!$D$20)*IFERROR(LOOKUP(Предпосылки!$H$211,$C$13:$C$15,Q$13:Q$15),1)</f>
        <v>0</v>
      </c>
      <c s="125">
        <f>Предпосылки!Q$238*Предпосылки!$N267*Продажи!R32*R$19*(1+Чувствительность!$D$20)*IFERROR(LOOKUP(Предпосылки!$H$211,$C$13:$C$15,R$13:R$15),1)</f>
        <v>0</v>
      </c>
      <c s="125">
        <f>Предпосылки!R$238*Предпосылки!$N267*Продажи!S32*S$19*(1+Чувствительность!$D$20)*IFERROR(LOOKUP(Предпосылки!$H$211,$C$13:$C$15,S$13:S$15),1)</f>
        <v>0</v>
      </c>
      <c s="125">
        <f>Предпосылки!S$238*Предпосылки!$N267*Продажи!T32*T$19*(1+Чувствительность!$D$20)*IFERROR(LOOKUP(Предпосылки!$H$211,$C$13:$C$15,T$13:T$15),1)</f>
        <v>0</v>
      </c>
      <c s="125">
        <f>Предпосылки!T$238*Предпосылки!$N267*Продажи!U32*U$19*(1+Чувствительность!$D$20)*IFERROR(LOOKUP(Предпосылки!$H$211,$C$13:$C$15,U$13:U$15),1)</f>
        <v>0</v>
      </c>
      <c s="125">
        <f>Предпосылки!U$238*Предпосылки!$N267*Продажи!V32*V$19*(1+Чувствительность!$D$20)*IFERROR(LOOKUP(Предпосылки!$H$211,$C$13:$C$15,V$13:V$15),1)</f>
        <v>0</v>
      </c>
      <c s="125">
        <f>Предпосылки!V$238*Предпосылки!$N267*Продажи!W32*W$19*(1+Чувствительность!$D$20)*IFERROR(LOOKUP(Предпосылки!$H$211,$C$13:$C$15,W$13:W$15),1)</f>
        <v>0</v>
      </c>
      <c s="125">
        <f>Предпосылки!W$238*Предпосылки!$N267*Продажи!X32*X$19*(1+Чувствительность!$D$20)*IFERROR(LOOKUP(Предпосылки!$H$211,$C$13:$C$15,X$13:X$15),1)</f>
        <v>0</v>
      </c>
      <c s="125">
        <f>Предпосылки!X$238*Предпосылки!$N267*Продажи!Y32*Y$19*(1+Чувствительность!$D$20)*IFERROR(LOOKUP(Предпосылки!$H$211,$C$13:$C$15,Y$13:Y$15),1)</f>
        <v>0</v>
      </c>
      <c s="125">
        <f>Предпосылки!Y$238*Предпосылки!$N267*Продажи!Z32*Z$19*(1+Чувствительность!$D$20)*IFERROR(LOOKUP(Предпосылки!$H$211,$C$13:$C$15,Z$13:Z$15),1)</f>
        <v>0</v>
      </c>
      <c s="125">
        <f>Предпосылки!Z$238*Предпосылки!$N267*Продажи!AA32*AA$19*(1+Чувствительность!$D$20)*IFERROR(LOOKUP(Предпосылки!$H$211,$C$13:$C$15,AA$13:AA$15),1)</f>
        <v>0</v>
      </c>
      <c s="125">
        <f>Предпосылки!AA$238*Предпосылки!$N267*Продажи!AB32*AB$19*(1+Чувствительность!$D$20)*IFERROR(LOOKUP(Предпосылки!$H$211,$C$13:$C$15,AB$13:AB$15),1)</f>
        <v>0</v>
      </c>
      <c s="125">
        <f>Предпосылки!AB$238*Предпосылки!$N267*Продажи!AC32*AC$19*(1+Чувствительность!$D$20)*IFERROR(LOOKUP(Предпосылки!$H$211,$C$13:$C$15,AC$13:AC$15),1)</f>
        <v>0</v>
      </c>
      <c s="125">
        <f>Предпосылки!AC$238*Предпосылки!$N267*Продажи!AD32*AD$19*(1+Чувствительность!$D$20)*IFERROR(LOOKUP(Предпосылки!$H$211,$C$13:$C$15,AD$13:AD$15),1)</f>
        <v>0</v>
      </c>
      <c s="125">
        <f>Предпосылки!AD$238*Предпосылки!$N267*Продажи!AE32*AE$19*(1+Чувствительность!$D$20)*IFERROR(LOOKUP(Предпосылки!$H$211,$C$13:$C$15,AE$13:AE$15),1)</f>
        <v>0</v>
      </c>
      <c s="125">
        <f>Предпосылки!AE$238*Предпосылки!$N267*Продажи!AF32*AF$19*(1+Чувствительность!$D$20)*IFERROR(LOOKUP(Предпосылки!$H$211,$C$13:$C$15,AF$13:AF$15),1)</f>
        <v>0</v>
      </c>
      <c s="125">
        <f>Предпосылки!AF$238*Предпосылки!$N267*Продажи!AG32*AG$19*(1+Чувствительность!$D$20)*IFERROR(LOOKUP(Предпосылки!$H$211,$C$13:$C$15,AG$13:AG$15),1)</f>
        <v>0</v>
      </c>
      <c s="125">
        <f>Предпосылки!AG$238*Предпосылки!$N267*Продажи!AH32*AH$19*(1+Чувствительность!$D$20)*IFERROR(LOOKUP(Предпосылки!$H$211,$C$13:$C$15,AH$13:AH$15),1)</f>
        <v>0</v>
      </c>
      <c s="125">
        <f>Предпосылки!AH$238*Предпосылки!$N267*Продажи!AI32*AI$19*(1+Чувствительность!$D$20)*IFERROR(LOOKUP(Предпосылки!$H$211,$C$13:$C$15,AI$13:AI$15),1)</f>
        <v>0</v>
      </c>
      <c s="125">
        <f>Предпосылки!AI$238*Предпосылки!$N267*Продажи!AJ32*AJ$19*(1+Чувствительность!$D$20)*IFERROR(LOOKUP(Предпосылки!$H$211,$C$13:$C$15,AJ$13:AJ$15),1)</f>
        <v>0</v>
      </c>
      <c s="125">
        <f>Предпосылки!AJ$238*Предпосылки!$N267*Продажи!AK32*AK$19*(1+Чувствительность!$D$20)*IFERROR(LOOKUP(Предпосылки!$H$211,$C$13:$C$15,AK$13:AK$15),1)</f>
        <v>0</v>
      </c>
      <c s="125">
        <f>Предпосылки!AK$238*Предпосылки!$N267*Продажи!AL32*AL$19*(1+Чувствительность!$D$20)*IFERROR(LOOKUP(Предпосылки!$H$211,$C$13:$C$15,AL$13:AL$15),1)</f>
        <v>0</v>
      </c>
      <c s="125">
        <f>Предпосылки!AL$238*Предпосылки!$N267*Продажи!AM32*AM$19*(1+Чувствительность!$D$20)*IFERROR(LOOKUP(Предпосылки!$H$211,$C$13:$C$15,AM$13:AM$15),1)</f>
        <v>0</v>
      </c>
      <c s="125">
        <f>Предпосылки!AM$238*Предпосылки!$N267*Продажи!AN32*AN$19*(1+Чувствительность!$D$20)*IFERROR(LOOKUP(Предпосылки!$H$211,$C$13:$C$15,AN$13:AN$15),1)</f>
        <v>0</v>
      </c>
      <c s="125">
        <f>Предпосылки!AN$238*Предпосылки!$N267*Продажи!AO32*AO$19*(1+Чувствительность!$D$20)*IFERROR(LOOKUP(Предпосылки!$H$211,$C$13:$C$15,AO$13:AO$15),1)</f>
        <v>0</v>
      </c>
      <c s="125">
        <f>Предпосылки!AO$238*Предпосылки!$N267*Продажи!AP32*AP$19*(1+Чувствительность!$D$20)*IFERROR(LOOKUP(Предпосылки!$H$211,$C$13:$C$15,AP$13:AP$15),1)</f>
        <v>0</v>
      </c>
      <c s="125">
        <f>Предпосылки!AP$238*Предпосылки!$N267*Продажи!AQ32*AQ$19*(1+Чувствительность!$D$20)*IFERROR(LOOKUP(Предпосылки!$H$211,$C$13:$C$15,AQ$13:AQ$15),1)</f>
        <v>0</v>
      </c>
      <c s="125">
        <f>Предпосылки!AQ$238*Предпосылки!$N267*Продажи!AR32*AR$19*(1+Чувствительность!$D$20)*IFERROR(LOOKUP(Предпосылки!$H$211,$C$13:$C$15,AR$13:AR$15),1)</f>
        <v>0</v>
      </c>
      <c s="125">
        <f>Предпосылки!AR$238*Предпосылки!$N267*Продажи!AS32*AS$19*(1+Чувствительность!$D$20)*IFERROR(LOOKUP(Предпосылки!$H$211,$C$13:$C$15,AS$13:AS$15),1)</f>
        <v>0</v>
      </c>
      <c s="125">
        <f>Предпосылки!AS$238*Предпосылки!$N267*Продажи!AT32*AT$19*(1+Чувствительность!$D$20)*IFERROR(LOOKUP(Предпосылки!$H$211,$C$13:$C$15,AT$13:AT$15),1)</f>
        <v>0</v>
      </c>
      <c s="125">
        <f>Предпосылки!AT$238*Предпосылки!$N267*Продажи!AU32*AU$19*(1+Чувствительность!$D$20)*IFERROR(LOOKUP(Предпосылки!$H$211,$C$13:$C$15,AU$13:AU$15),1)</f>
        <v>0</v>
      </c>
      <c s="125">
        <f>Предпосылки!AU$238*Предпосылки!$N267*Продажи!AV32*AV$19*(1+Чувствительность!$D$20)*IFERROR(LOOKUP(Предпосылки!$H$211,$C$13:$C$15,AV$13:AV$15),1)</f>
        <v>0</v>
      </c>
      <c s="125">
        <f>Предпосылки!AV$238*Предпосылки!$N267*Продажи!AW32*AW$19*(1+Чувствительность!$D$20)*IFERROR(LOOKUP(Предпосылки!$H$211,$C$13:$C$15,AW$13:AW$15),1)</f>
        <v>0</v>
      </c>
      <c s="125">
        <f>Предпосылки!AW$238*Предпосылки!$N267*Продажи!AX32*AX$19*(1+Чувствительность!$D$20)*IFERROR(LOOKUP(Предпосылки!$H$211,$C$13:$C$15,AX$13:AX$15),1)</f>
        <v>0</v>
      </c>
      <c s="125">
        <f>Предпосылки!AX$238*Предпосылки!$N267*Продажи!AY32*AY$19*(1+Чувствительность!$D$20)*IFERROR(LOOKUP(Предпосылки!$H$211,$C$13:$C$15,AY$13:AY$15),1)</f>
        <v>0</v>
      </c>
      <c s="125">
        <f>Предпосылки!AY$238*Предпосылки!$N267*Продажи!AZ32*AZ$19*(1+Чувствительность!$D$20)*IFERROR(LOOKUP(Предпосылки!$H$211,$C$13:$C$15,AZ$13:AZ$15),1)</f>
        <v>0</v>
      </c>
      <c s="125">
        <f>Предпосылки!AZ$238*Предпосылки!$N267*Продажи!BA32*BA$19*(1+Чувствительность!$D$20)*IFERROR(LOOKUP(Предпосылки!$H$211,$C$13:$C$15,BA$13:BA$15),1)</f>
        <v>0</v>
      </c>
      <c s="125">
        <f>Предпосылки!BA$238*Предпосылки!$N267*Продажи!BB32*BB$19*(1+Чувствительность!$D$20)*IFERROR(LOOKUP(Предпосылки!$H$211,$C$13:$C$15,BB$13:BB$15),1)</f>
        <v>0</v>
      </c>
      <c s="125">
        <f>Предпосылки!BB$238*Предпосылки!$N267*Продажи!BC32*BC$19*(1+Чувствительность!$D$20)*IFERROR(LOOKUP(Предпосылки!$H$211,$C$13:$C$15,BC$13:BC$15),1)</f>
        <v>0</v>
      </c>
      <c s="125">
        <f>Предпосылки!BC$238*Предпосылки!$N267*Продажи!BD32*BD$19*(1+Чувствительность!$D$20)*IFERROR(LOOKUP(Предпосылки!$H$211,$C$13:$C$15,BD$13:BD$15),1)</f>
        <v>0</v>
      </c>
      <c s="125">
        <f>Предпосылки!BD$238*Предпосылки!$N267*Продажи!BE32*BE$19*(1+Чувствительность!$D$20)*IFERROR(LOOKUP(Предпосылки!$H$211,$C$13:$C$15,BE$13:BE$15),1)</f>
        <v>0</v>
      </c>
      <c s="125">
        <f>Предпосылки!BE$238*Предпосылки!$N267*Продажи!BF32*BF$19*(1+Чувствительность!$D$20)*IFERROR(LOOKUP(Предпосылки!$H$211,$C$13:$C$15,BF$13:BF$15),1)</f>
        <v>0</v>
      </c>
      <c s="125">
        <f>Предпосылки!BF$238*Предпосылки!$N267*Продажи!BG32*BG$19*(1+Чувствительность!$D$20)*IFERROR(LOOKUP(Предпосылки!$H$211,$C$13:$C$15,BG$13:BG$15),1)</f>
        <v>0</v>
      </c>
      <c s="125">
        <f>Предпосылки!BG$238*Предпосылки!$N267*Продажи!BH32*BH$19*(1+Чувствительность!$D$20)*IFERROR(LOOKUP(Предпосылки!$H$211,$C$13:$C$15,BH$13:BH$15),1)</f>
        <v>0</v>
      </c>
      <c s="125">
        <f>Предпосылки!BH$238*Предпосылки!$N267*Продажи!BI32*BI$19*(1+Чувствительность!$D$20)*IFERROR(LOOKUP(Предпосылки!$H$211,$C$13:$C$15,BI$13:BI$15),1)</f>
        <v>0</v>
      </c>
      <c s="125">
        <f>Предпосылки!BI$238*Предпосылки!$N267*Продажи!BJ32*BJ$19*(1+Чувствительность!$D$20)*IFERROR(LOOKUP(Предпосылки!$H$211,$C$13:$C$15,BJ$13:BJ$15),1)</f>
        <v>0</v>
      </c>
      <c s="125">
        <f>Предпосылки!BJ$238*Предпосылки!$N267*Продажи!BK32*BK$19*(1+Чувствительность!$D$20)*IFERROR(LOOKUP(Предпосылки!$H$211,$C$13:$C$15,BK$13:BK$15),1)</f>
        <v>0</v>
      </c>
      <c s="125">
        <f>Предпосылки!BK$238*Предпосылки!$N267*Продажи!BL32*BL$19*(1+Чувствительность!$D$20)*IFERROR(LOOKUP(Предпосылки!$H$211,$C$13:$C$15,BL$13:BL$15),1)</f>
        <v>0</v>
      </c>
      <c s="125">
        <f>Предпосылки!BL$238*Предпосылки!$N267*Продажи!BM32*BM$19*(1+Чувствительность!$D$20)*IFERROR(LOOKUP(Предпосылки!$H$211,$C$13:$C$15,BM$13:BM$15),1)</f>
        <v>0</v>
      </c>
    </row>
    <row r="268" spans="2:65" ht="15" customHeight="1">
      <c r="B268" s="12" t="str">
        <f t="shared" si="111"/>
        <v>Продукт 16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Предпосылки!D$238*Предпосылки!$N268*Продажи!E33*E$19*(1+Чувствительность!$D$20)*IFERROR(LOOKUP(Предпосылки!$H$211,$C$13:$C$15,E$13:E$15),1)</f>
        <v>0</v>
      </c>
      <c s="125">
        <f>Предпосылки!E$238*Предпосылки!$N268*Продажи!F33*F$19*(1+Чувствительность!$D$20)*IFERROR(LOOKUP(Предпосылки!$H$211,$C$13:$C$15,F$13:F$15),1)</f>
        <v>0</v>
      </c>
      <c s="125">
        <f>Предпосылки!F$238*Предпосылки!$N268*Продажи!G33*G$19*(1+Чувствительность!$D$20)*IFERROR(LOOKUP(Предпосылки!$H$211,$C$13:$C$15,G$13:G$15),1)</f>
        <v>0</v>
      </c>
      <c s="125">
        <f>Предпосылки!G$238*Предпосылки!$N268*Продажи!H33*H$19*(1+Чувствительность!$D$20)*IFERROR(LOOKUP(Предпосылки!$H$211,$C$13:$C$15,H$13:H$15),1)</f>
        <v>0</v>
      </c>
      <c s="125">
        <f>Предпосылки!H$238*Предпосылки!$N268*Продажи!I33*I$19*(1+Чувствительность!$D$20)*IFERROR(LOOKUP(Предпосылки!$H$211,$C$13:$C$15,I$13:I$15),1)</f>
        <v>0</v>
      </c>
      <c s="125">
        <f>Предпосылки!I$238*Предпосылки!$N268*Продажи!J33*J$19*(1+Чувствительность!$D$20)*IFERROR(LOOKUP(Предпосылки!$H$211,$C$13:$C$15,J$13:J$15),1)</f>
        <v>0</v>
      </c>
      <c s="125">
        <f>Предпосылки!J$238*Предпосылки!$N268*Продажи!K33*K$19*(1+Чувствительность!$D$20)*IFERROR(LOOKUP(Предпосылки!$H$211,$C$13:$C$15,K$13:K$15),1)</f>
        <v>0</v>
      </c>
      <c s="125">
        <f>Предпосылки!K$238*Предпосылки!$N268*Продажи!L33*L$19*(1+Чувствительность!$D$20)*IFERROR(LOOKUP(Предпосылки!$H$211,$C$13:$C$15,L$13:L$15),1)</f>
        <v>0</v>
      </c>
      <c s="125">
        <f>Предпосылки!L$238*Предпосылки!$N268*Продажи!M33*M$19*(1+Чувствительность!$D$20)*IFERROR(LOOKUP(Предпосылки!$H$211,$C$13:$C$15,M$13:M$15),1)</f>
        <v>0</v>
      </c>
      <c s="125">
        <f>Предпосылки!M$238*Предпосылки!$N268*Продажи!N33*N$19*(1+Чувствительность!$D$20)*IFERROR(LOOKUP(Предпосылки!$H$211,$C$13:$C$15,N$13:N$15),1)</f>
        <v>0</v>
      </c>
      <c s="125">
        <f>Предпосылки!N$238*Предпосылки!$N268*Продажи!O33*O$19*(1+Чувствительность!$D$20)*IFERROR(LOOKUP(Предпосылки!$H$211,$C$13:$C$15,O$13:O$15),1)</f>
        <v>0</v>
      </c>
      <c s="125">
        <f>Предпосылки!O$238*Предпосылки!$N268*Продажи!P33*P$19*(1+Чувствительность!$D$20)*IFERROR(LOOKUP(Предпосылки!$H$211,$C$13:$C$15,P$13:P$15),1)</f>
        <v>0</v>
      </c>
      <c s="125">
        <f>Предпосылки!P$238*Предпосылки!$N268*Продажи!Q33*Q$19*(1+Чувствительность!$D$20)*IFERROR(LOOKUP(Предпосылки!$H$211,$C$13:$C$15,Q$13:Q$15),1)</f>
        <v>0</v>
      </c>
      <c s="125">
        <f>Предпосылки!Q$238*Предпосылки!$N268*Продажи!R33*R$19*(1+Чувствительность!$D$20)*IFERROR(LOOKUP(Предпосылки!$H$211,$C$13:$C$15,R$13:R$15),1)</f>
        <v>0</v>
      </c>
      <c s="125">
        <f>Предпосылки!R$238*Предпосылки!$N268*Продажи!S33*S$19*(1+Чувствительность!$D$20)*IFERROR(LOOKUP(Предпосылки!$H$211,$C$13:$C$15,S$13:S$15),1)</f>
        <v>0</v>
      </c>
      <c s="125">
        <f>Предпосылки!S$238*Предпосылки!$N268*Продажи!T33*T$19*(1+Чувствительность!$D$20)*IFERROR(LOOKUP(Предпосылки!$H$211,$C$13:$C$15,T$13:T$15),1)</f>
        <v>0</v>
      </c>
      <c s="125">
        <f>Предпосылки!T$238*Предпосылки!$N268*Продажи!U33*U$19*(1+Чувствительность!$D$20)*IFERROR(LOOKUP(Предпосылки!$H$211,$C$13:$C$15,U$13:U$15),1)</f>
        <v>0</v>
      </c>
      <c s="125">
        <f>Предпосылки!U$238*Предпосылки!$N268*Продажи!V33*V$19*(1+Чувствительность!$D$20)*IFERROR(LOOKUP(Предпосылки!$H$211,$C$13:$C$15,V$13:V$15),1)</f>
        <v>0</v>
      </c>
      <c s="125">
        <f>Предпосылки!V$238*Предпосылки!$N268*Продажи!W33*W$19*(1+Чувствительность!$D$20)*IFERROR(LOOKUP(Предпосылки!$H$211,$C$13:$C$15,W$13:W$15),1)</f>
        <v>0</v>
      </c>
      <c s="125">
        <f>Предпосылки!W$238*Предпосылки!$N268*Продажи!X33*X$19*(1+Чувствительность!$D$20)*IFERROR(LOOKUP(Предпосылки!$H$211,$C$13:$C$15,X$13:X$15),1)</f>
        <v>0</v>
      </c>
      <c s="125">
        <f>Предпосылки!X$238*Предпосылки!$N268*Продажи!Y33*Y$19*(1+Чувствительность!$D$20)*IFERROR(LOOKUP(Предпосылки!$H$211,$C$13:$C$15,Y$13:Y$15),1)</f>
        <v>0</v>
      </c>
      <c s="125">
        <f>Предпосылки!Y$238*Предпосылки!$N268*Продажи!Z33*Z$19*(1+Чувствительность!$D$20)*IFERROR(LOOKUP(Предпосылки!$H$211,$C$13:$C$15,Z$13:Z$15),1)</f>
        <v>0</v>
      </c>
      <c s="125">
        <f>Предпосылки!Z$238*Предпосылки!$N268*Продажи!AA33*AA$19*(1+Чувствительность!$D$20)*IFERROR(LOOKUP(Предпосылки!$H$211,$C$13:$C$15,AA$13:AA$15),1)</f>
        <v>0</v>
      </c>
      <c s="125">
        <f>Предпосылки!AA$238*Предпосылки!$N268*Продажи!AB33*AB$19*(1+Чувствительность!$D$20)*IFERROR(LOOKUP(Предпосылки!$H$211,$C$13:$C$15,AB$13:AB$15),1)</f>
        <v>0</v>
      </c>
      <c s="125">
        <f>Предпосылки!AB$238*Предпосылки!$N268*Продажи!AC33*AC$19*(1+Чувствительность!$D$20)*IFERROR(LOOKUP(Предпосылки!$H$211,$C$13:$C$15,AC$13:AC$15),1)</f>
        <v>0</v>
      </c>
      <c s="125">
        <f>Предпосылки!AC$238*Предпосылки!$N268*Продажи!AD33*AD$19*(1+Чувствительность!$D$20)*IFERROR(LOOKUP(Предпосылки!$H$211,$C$13:$C$15,AD$13:AD$15),1)</f>
        <v>0</v>
      </c>
      <c s="125">
        <f>Предпосылки!AD$238*Предпосылки!$N268*Продажи!AE33*AE$19*(1+Чувствительность!$D$20)*IFERROR(LOOKUP(Предпосылки!$H$211,$C$13:$C$15,AE$13:AE$15),1)</f>
        <v>0</v>
      </c>
      <c s="125">
        <f>Предпосылки!AE$238*Предпосылки!$N268*Продажи!AF33*AF$19*(1+Чувствительность!$D$20)*IFERROR(LOOKUP(Предпосылки!$H$211,$C$13:$C$15,AF$13:AF$15),1)</f>
        <v>0</v>
      </c>
      <c s="125">
        <f>Предпосылки!AF$238*Предпосылки!$N268*Продажи!AG33*AG$19*(1+Чувствительность!$D$20)*IFERROR(LOOKUP(Предпосылки!$H$211,$C$13:$C$15,AG$13:AG$15),1)</f>
        <v>0</v>
      </c>
      <c s="125">
        <f>Предпосылки!AG$238*Предпосылки!$N268*Продажи!AH33*AH$19*(1+Чувствительность!$D$20)*IFERROR(LOOKUP(Предпосылки!$H$211,$C$13:$C$15,AH$13:AH$15),1)</f>
        <v>0</v>
      </c>
      <c s="125">
        <f>Предпосылки!AH$238*Предпосылки!$N268*Продажи!AI33*AI$19*(1+Чувствительность!$D$20)*IFERROR(LOOKUP(Предпосылки!$H$211,$C$13:$C$15,AI$13:AI$15),1)</f>
        <v>0</v>
      </c>
      <c s="125">
        <f>Предпосылки!AI$238*Предпосылки!$N268*Продажи!AJ33*AJ$19*(1+Чувствительность!$D$20)*IFERROR(LOOKUP(Предпосылки!$H$211,$C$13:$C$15,AJ$13:AJ$15),1)</f>
        <v>0</v>
      </c>
      <c s="125">
        <f>Предпосылки!AJ$238*Предпосылки!$N268*Продажи!AK33*AK$19*(1+Чувствительность!$D$20)*IFERROR(LOOKUP(Предпосылки!$H$211,$C$13:$C$15,AK$13:AK$15),1)</f>
        <v>0</v>
      </c>
      <c s="125">
        <f>Предпосылки!AK$238*Предпосылки!$N268*Продажи!AL33*AL$19*(1+Чувствительность!$D$20)*IFERROR(LOOKUP(Предпосылки!$H$211,$C$13:$C$15,AL$13:AL$15),1)</f>
        <v>0</v>
      </c>
      <c s="125">
        <f>Предпосылки!AL$238*Предпосылки!$N268*Продажи!AM33*AM$19*(1+Чувствительность!$D$20)*IFERROR(LOOKUP(Предпосылки!$H$211,$C$13:$C$15,AM$13:AM$15),1)</f>
        <v>0</v>
      </c>
      <c s="125">
        <f>Предпосылки!AM$238*Предпосылки!$N268*Продажи!AN33*AN$19*(1+Чувствительность!$D$20)*IFERROR(LOOKUP(Предпосылки!$H$211,$C$13:$C$15,AN$13:AN$15),1)</f>
        <v>0</v>
      </c>
      <c s="125">
        <f>Предпосылки!AN$238*Предпосылки!$N268*Продажи!AO33*AO$19*(1+Чувствительность!$D$20)*IFERROR(LOOKUP(Предпосылки!$H$211,$C$13:$C$15,AO$13:AO$15),1)</f>
        <v>0</v>
      </c>
      <c s="125">
        <f>Предпосылки!AO$238*Предпосылки!$N268*Продажи!AP33*AP$19*(1+Чувствительность!$D$20)*IFERROR(LOOKUP(Предпосылки!$H$211,$C$13:$C$15,AP$13:AP$15),1)</f>
        <v>0</v>
      </c>
      <c s="125">
        <f>Предпосылки!AP$238*Предпосылки!$N268*Продажи!AQ33*AQ$19*(1+Чувствительность!$D$20)*IFERROR(LOOKUP(Предпосылки!$H$211,$C$13:$C$15,AQ$13:AQ$15),1)</f>
        <v>0</v>
      </c>
      <c s="125">
        <f>Предпосылки!AQ$238*Предпосылки!$N268*Продажи!AR33*AR$19*(1+Чувствительность!$D$20)*IFERROR(LOOKUP(Предпосылки!$H$211,$C$13:$C$15,AR$13:AR$15),1)</f>
        <v>0</v>
      </c>
      <c s="125">
        <f>Предпосылки!AR$238*Предпосылки!$N268*Продажи!AS33*AS$19*(1+Чувствительность!$D$20)*IFERROR(LOOKUP(Предпосылки!$H$211,$C$13:$C$15,AS$13:AS$15),1)</f>
        <v>0</v>
      </c>
      <c s="125">
        <f>Предпосылки!AS$238*Предпосылки!$N268*Продажи!AT33*AT$19*(1+Чувствительность!$D$20)*IFERROR(LOOKUP(Предпосылки!$H$211,$C$13:$C$15,AT$13:AT$15),1)</f>
        <v>0</v>
      </c>
      <c s="125">
        <f>Предпосылки!AT$238*Предпосылки!$N268*Продажи!AU33*AU$19*(1+Чувствительность!$D$20)*IFERROR(LOOKUP(Предпосылки!$H$211,$C$13:$C$15,AU$13:AU$15),1)</f>
        <v>0</v>
      </c>
      <c s="125">
        <f>Предпосылки!AU$238*Предпосылки!$N268*Продажи!AV33*AV$19*(1+Чувствительность!$D$20)*IFERROR(LOOKUP(Предпосылки!$H$211,$C$13:$C$15,AV$13:AV$15),1)</f>
        <v>0</v>
      </c>
      <c s="125">
        <f>Предпосылки!AV$238*Предпосылки!$N268*Продажи!AW33*AW$19*(1+Чувствительность!$D$20)*IFERROR(LOOKUP(Предпосылки!$H$211,$C$13:$C$15,AW$13:AW$15),1)</f>
        <v>0</v>
      </c>
      <c s="125">
        <f>Предпосылки!AW$238*Предпосылки!$N268*Продажи!AX33*AX$19*(1+Чувствительность!$D$20)*IFERROR(LOOKUP(Предпосылки!$H$211,$C$13:$C$15,AX$13:AX$15),1)</f>
        <v>0</v>
      </c>
      <c s="125">
        <f>Предпосылки!AX$238*Предпосылки!$N268*Продажи!AY33*AY$19*(1+Чувствительность!$D$20)*IFERROR(LOOKUP(Предпосылки!$H$211,$C$13:$C$15,AY$13:AY$15),1)</f>
        <v>0</v>
      </c>
      <c s="125">
        <f>Предпосылки!AY$238*Предпосылки!$N268*Продажи!AZ33*AZ$19*(1+Чувствительность!$D$20)*IFERROR(LOOKUP(Предпосылки!$H$211,$C$13:$C$15,AZ$13:AZ$15),1)</f>
        <v>0</v>
      </c>
      <c s="125">
        <f>Предпосылки!AZ$238*Предпосылки!$N268*Продажи!BA33*BA$19*(1+Чувствительность!$D$20)*IFERROR(LOOKUP(Предпосылки!$H$211,$C$13:$C$15,BA$13:BA$15),1)</f>
        <v>0</v>
      </c>
      <c s="125">
        <f>Предпосылки!BA$238*Предпосылки!$N268*Продажи!BB33*BB$19*(1+Чувствительность!$D$20)*IFERROR(LOOKUP(Предпосылки!$H$211,$C$13:$C$15,BB$13:BB$15),1)</f>
        <v>0</v>
      </c>
      <c s="125">
        <f>Предпосылки!BB$238*Предпосылки!$N268*Продажи!BC33*BC$19*(1+Чувствительность!$D$20)*IFERROR(LOOKUP(Предпосылки!$H$211,$C$13:$C$15,BC$13:BC$15),1)</f>
        <v>0</v>
      </c>
      <c s="125">
        <f>Предпосылки!BC$238*Предпосылки!$N268*Продажи!BD33*BD$19*(1+Чувствительность!$D$20)*IFERROR(LOOKUP(Предпосылки!$H$211,$C$13:$C$15,BD$13:BD$15),1)</f>
        <v>0</v>
      </c>
      <c s="125">
        <f>Предпосылки!BD$238*Предпосылки!$N268*Продажи!BE33*BE$19*(1+Чувствительность!$D$20)*IFERROR(LOOKUP(Предпосылки!$H$211,$C$13:$C$15,BE$13:BE$15),1)</f>
        <v>0</v>
      </c>
      <c s="125">
        <f>Предпосылки!BE$238*Предпосылки!$N268*Продажи!BF33*BF$19*(1+Чувствительность!$D$20)*IFERROR(LOOKUP(Предпосылки!$H$211,$C$13:$C$15,BF$13:BF$15),1)</f>
        <v>0</v>
      </c>
      <c s="125">
        <f>Предпосылки!BF$238*Предпосылки!$N268*Продажи!BG33*BG$19*(1+Чувствительность!$D$20)*IFERROR(LOOKUP(Предпосылки!$H$211,$C$13:$C$15,BG$13:BG$15),1)</f>
        <v>0</v>
      </c>
      <c s="125">
        <f>Предпосылки!BG$238*Предпосылки!$N268*Продажи!BH33*BH$19*(1+Чувствительность!$D$20)*IFERROR(LOOKUP(Предпосылки!$H$211,$C$13:$C$15,BH$13:BH$15),1)</f>
        <v>0</v>
      </c>
      <c s="125">
        <f>Предпосылки!BH$238*Предпосылки!$N268*Продажи!BI33*BI$19*(1+Чувствительность!$D$20)*IFERROR(LOOKUP(Предпосылки!$H$211,$C$13:$C$15,BI$13:BI$15),1)</f>
        <v>0</v>
      </c>
      <c s="125">
        <f>Предпосылки!BI$238*Предпосылки!$N268*Продажи!BJ33*BJ$19*(1+Чувствительность!$D$20)*IFERROR(LOOKUP(Предпосылки!$H$211,$C$13:$C$15,BJ$13:BJ$15),1)</f>
        <v>0</v>
      </c>
      <c s="125">
        <f>Предпосылки!BJ$238*Предпосылки!$N268*Продажи!BK33*BK$19*(1+Чувствительность!$D$20)*IFERROR(LOOKUP(Предпосылки!$H$211,$C$13:$C$15,BK$13:BK$15),1)</f>
        <v>0</v>
      </c>
      <c s="125">
        <f>Предпосылки!BK$238*Предпосылки!$N268*Продажи!BL33*BL$19*(1+Чувствительность!$D$20)*IFERROR(LOOKUP(Предпосылки!$H$211,$C$13:$C$15,BL$13:BL$15),1)</f>
        <v>0</v>
      </c>
      <c s="125">
        <f>Предпосылки!BL$238*Предпосылки!$N268*Продажи!BM33*BM$19*(1+Чувствительность!$D$20)*IFERROR(LOOKUP(Предпосылки!$H$211,$C$13:$C$15,BM$13:BM$15),1)</f>
        <v>0</v>
      </c>
    </row>
    <row r="269" spans="2:65" ht="15" customHeight="1">
      <c r="B269" s="12" t="str">
        <f t="shared" si="111"/>
        <v>Продукт 17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Предпосылки!D$238*Предпосылки!$N269*Продажи!E34*E$19*(1+Чувствительность!$D$20)*IFERROR(LOOKUP(Предпосылки!$H$211,$C$13:$C$15,E$13:E$15),1)</f>
        <v>0</v>
      </c>
      <c s="125">
        <f>Предпосылки!E$238*Предпосылки!$N269*Продажи!F34*F$19*(1+Чувствительность!$D$20)*IFERROR(LOOKUP(Предпосылки!$H$211,$C$13:$C$15,F$13:F$15),1)</f>
        <v>0</v>
      </c>
      <c s="125">
        <f>Предпосылки!F$238*Предпосылки!$N269*Продажи!G34*G$19*(1+Чувствительность!$D$20)*IFERROR(LOOKUP(Предпосылки!$H$211,$C$13:$C$15,G$13:G$15),1)</f>
        <v>0</v>
      </c>
      <c s="125">
        <f>Предпосылки!G$238*Предпосылки!$N269*Продажи!H34*H$19*(1+Чувствительность!$D$20)*IFERROR(LOOKUP(Предпосылки!$H$211,$C$13:$C$15,H$13:H$15),1)</f>
        <v>0</v>
      </c>
      <c s="125">
        <f>Предпосылки!H$238*Предпосылки!$N269*Продажи!I34*I$19*(1+Чувствительность!$D$20)*IFERROR(LOOKUP(Предпосылки!$H$211,$C$13:$C$15,I$13:I$15),1)</f>
        <v>0</v>
      </c>
      <c s="125">
        <f>Предпосылки!I$238*Предпосылки!$N269*Продажи!J34*J$19*(1+Чувствительность!$D$20)*IFERROR(LOOKUP(Предпосылки!$H$211,$C$13:$C$15,J$13:J$15),1)</f>
        <v>0</v>
      </c>
      <c s="125">
        <f>Предпосылки!J$238*Предпосылки!$N269*Продажи!K34*K$19*(1+Чувствительность!$D$20)*IFERROR(LOOKUP(Предпосылки!$H$211,$C$13:$C$15,K$13:K$15),1)</f>
        <v>0</v>
      </c>
      <c s="125">
        <f>Предпосылки!K$238*Предпосылки!$N269*Продажи!L34*L$19*(1+Чувствительность!$D$20)*IFERROR(LOOKUP(Предпосылки!$H$211,$C$13:$C$15,L$13:L$15),1)</f>
        <v>0</v>
      </c>
      <c s="125">
        <f>Предпосылки!L$238*Предпосылки!$N269*Продажи!M34*M$19*(1+Чувствительность!$D$20)*IFERROR(LOOKUP(Предпосылки!$H$211,$C$13:$C$15,M$13:M$15),1)</f>
        <v>0</v>
      </c>
      <c s="125">
        <f>Предпосылки!M$238*Предпосылки!$N269*Продажи!N34*N$19*(1+Чувствительность!$D$20)*IFERROR(LOOKUP(Предпосылки!$H$211,$C$13:$C$15,N$13:N$15),1)</f>
        <v>0</v>
      </c>
      <c s="125">
        <f>Предпосылки!N$238*Предпосылки!$N269*Продажи!O34*O$19*(1+Чувствительность!$D$20)*IFERROR(LOOKUP(Предпосылки!$H$211,$C$13:$C$15,O$13:O$15),1)</f>
        <v>0</v>
      </c>
      <c s="125">
        <f>Предпосылки!O$238*Предпосылки!$N269*Продажи!P34*P$19*(1+Чувствительность!$D$20)*IFERROR(LOOKUP(Предпосылки!$H$211,$C$13:$C$15,P$13:P$15),1)</f>
        <v>0</v>
      </c>
      <c s="125">
        <f>Предпосылки!P$238*Предпосылки!$N269*Продажи!Q34*Q$19*(1+Чувствительность!$D$20)*IFERROR(LOOKUP(Предпосылки!$H$211,$C$13:$C$15,Q$13:Q$15),1)</f>
        <v>0</v>
      </c>
      <c s="125">
        <f>Предпосылки!Q$238*Предпосылки!$N269*Продажи!R34*R$19*(1+Чувствительность!$D$20)*IFERROR(LOOKUP(Предпосылки!$H$211,$C$13:$C$15,R$13:R$15),1)</f>
        <v>0</v>
      </c>
      <c s="125">
        <f>Предпосылки!R$238*Предпосылки!$N269*Продажи!S34*S$19*(1+Чувствительность!$D$20)*IFERROR(LOOKUP(Предпосылки!$H$211,$C$13:$C$15,S$13:S$15),1)</f>
        <v>0</v>
      </c>
      <c s="125">
        <f>Предпосылки!S$238*Предпосылки!$N269*Продажи!T34*T$19*(1+Чувствительность!$D$20)*IFERROR(LOOKUP(Предпосылки!$H$211,$C$13:$C$15,T$13:T$15),1)</f>
        <v>0</v>
      </c>
      <c s="125">
        <f>Предпосылки!T$238*Предпосылки!$N269*Продажи!U34*U$19*(1+Чувствительность!$D$20)*IFERROR(LOOKUP(Предпосылки!$H$211,$C$13:$C$15,U$13:U$15),1)</f>
        <v>0</v>
      </c>
      <c s="125">
        <f>Предпосылки!U$238*Предпосылки!$N269*Продажи!V34*V$19*(1+Чувствительность!$D$20)*IFERROR(LOOKUP(Предпосылки!$H$211,$C$13:$C$15,V$13:V$15),1)</f>
        <v>0</v>
      </c>
      <c s="125">
        <f>Предпосылки!V$238*Предпосылки!$N269*Продажи!W34*W$19*(1+Чувствительность!$D$20)*IFERROR(LOOKUP(Предпосылки!$H$211,$C$13:$C$15,W$13:W$15),1)</f>
        <v>0</v>
      </c>
      <c s="125">
        <f>Предпосылки!W$238*Предпосылки!$N269*Продажи!X34*X$19*(1+Чувствительность!$D$20)*IFERROR(LOOKUP(Предпосылки!$H$211,$C$13:$C$15,X$13:X$15),1)</f>
        <v>0</v>
      </c>
      <c s="125">
        <f>Предпосылки!X$238*Предпосылки!$N269*Продажи!Y34*Y$19*(1+Чувствительность!$D$20)*IFERROR(LOOKUP(Предпосылки!$H$211,$C$13:$C$15,Y$13:Y$15),1)</f>
        <v>0</v>
      </c>
      <c s="125">
        <f>Предпосылки!Y$238*Предпосылки!$N269*Продажи!Z34*Z$19*(1+Чувствительность!$D$20)*IFERROR(LOOKUP(Предпосылки!$H$211,$C$13:$C$15,Z$13:Z$15),1)</f>
        <v>0</v>
      </c>
      <c s="125">
        <f>Предпосылки!Z$238*Предпосылки!$N269*Продажи!AA34*AA$19*(1+Чувствительность!$D$20)*IFERROR(LOOKUP(Предпосылки!$H$211,$C$13:$C$15,AA$13:AA$15),1)</f>
        <v>0</v>
      </c>
      <c s="125">
        <f>Предпосылки!AA$238*Предпосылки!$N269*Продажи!AB34*AB$19*(1+Чувствительность!$D$20)*IFERROR(LOOKUP(Предпосылки!$H$211,$C$13:$C$15,AB$13:AB$15),1)</f>
        <v>0</v>
      </c>
      <c s="125">
        <f>Предпосылки!AB$238*Предпосылки!$N269*Продажи!AC34*AC$19*(1+Чувствительность!$D$20)*IFERROR(LOOKUP(Предпосылки!$H$211,$C$13:$C$15,AC$13:AC$15),1)</f>
        <v>0</v>
      </c>
      <c s="125">
        <f>Предпосылки!AC$238*Предпосылки!$N269*Продажи!AD34*AD$19*(1+Чувствительность!$D$20)*IFERROR(LOOKUP(Предпосылки!$H$211,$C$13:$C$15,AD$13:AD$15),1)</f>
        <v>0</v>
      </c>
      <c s="125">
        <f>Предпосылки!AD$238*Предпосылки!$N269*Продажи!AE34*AE$19*(1+Чувствительность!$D$20)*IFERROR(LOOKUP(Предпосылки!$H$211,$C$13:$C$15,AE$13:AE$15),1)</f>
        <v>0</v>
      </c>
      <c s="125">
        <f>Предпосылки!AE$238*Предпосылки!$N269*Продажи!AF34*AF$19*(1+Чувствительность!$D$20)*IFERROR(LOOKUP(Предпосылки!$H$211,$C$13:$C$15,AF$13:AF$15),1)</f>
        <v>0</v>
      </c>
      <c s="125">
        <f>Предпосылки!AF$238*Предпосылки!$N269*Продажи!AG34*AG$19*(1+Чувствительность!$D$20)*IFERROR(LOOKUP(Предпосылки!$H$211,$C$13:$C$15,AG$13:AG$15),1)</f>
        <v>0</v>
      </c>
      <c s="125">
        <f>Предпосылки!AG$238*Предпосылки!$N269*Продажи!AH34*AH$19*(1+Чувствительность!$D$20)*IFERROR(LOOKUP(Предпосылки!$H$211,$C$13:$C$15,AH$13:AH$15),1)</f>
        <v>0</v>
      </c>
      <c s="125">
        <f>Предпосылки!AH$238*Предпосылки!$N269*Продажи!AI34*AI$19*(1+Чувствительность!$D$20)*IFERROR(LOOKUP(Предпосылки!$H$211,$C$13:$C$15,AI$13:AI$15),1)</f>
        <v>0</v>
      </c>
      <c s="125">
        <f>Предпосылки!AI$238*Предпосылки!$N269*Продажи!AJ34*AJ$19*(1+Чувствительность!$D$20)*IFERROR(LOOKUP(Предпосылки!$H$211,$C$13:$C$15,AJ$13:AJ$15),1)</f>
        <v>0</v>
      </c>
      <c s="125">
        <f>Предпосылки!AJ$238*Предпосылки!$N269*Продажи!AK34*AK$19*(1+Чувствительность!$D$20)*IFERROR(LOOKUP(Предпосылки!$H$211,$C$13:$C$15,AK$13:AK$15),1)</f>
        <v>0</v>
      </c>
      <c s="125">
        <f>Предпосылки!AK$238*Предпосылки!$N269*Продажи!AL34*AL$19*(1+Чувствительность!$D$20)*IFERROR(LOOKUP(Предпосылки!$H$211,$C$13:$C$15,AL$13:AL$15),1)</f>
        <v>0</v>
      </c>
      <c s="125">
        <f>Предпосылки!AL$238*Предпосылки!$N269*Продажи!AM34*AM$19*(1+Чувствительность!$D$20)*IFERROR(LOOKUP(Предпосылки!$H$211,$C$13:$C$15,AM$13:AM$15),1)</f>
        <v>0</v>
      </c>
      <c s="125">
        <f>Предпосылки!AM$238*Предпосылки!$N269*Продажи!AN34*AN$19*(1+Чувствительность!$D$20)*IFERROR(LOOKUP(Предпосылки!$H$211,$C$13:$C$15,AN$13:AN$15),1)</f>
        <v>0</v>
      </c>
      <c s="125">
        <f>Предпосылки!AN$238*Предпосылки!$N269*Продажи!AO34*AO$19*(1+Чувствительность!$D$20)*IFERROR(LOOKUP(Предпосылки!$H$211,$C$13:$C$15,AO$13:AO$15),1)</f>
        <v>0</v>
      </c>
      <c s="125">
        <f>Предпосылки!AO$238*Предпосылки!$N269*Продажи!AP34*AP$19*(1+Чувствительность!$D$20)*IFERROR(LOOKUP(Предпосылки!$H$211,$C$13:$C$15,AP$13:AP$15),1)</f>
        <v>0</v>
      </c>
      <c s="125">
        <f>Предпосылки!AP$238*Предпосылки!$N269*Продажи!AQ34*AQ$19*(1+Чувствительность!$D$20)*IFERROR(LOOKUP(Предпосылки!$H$211,$C$13:$C$15,AQ$13:AQ$15),1)</f>
        <v>0</v>
      </c>
      <c s="125">
        <f>Предпосылки!AQ$238*Предпосылки!$N269*Продажи!AR34*AR$19*(1+Чувствительность!$D$20)*IFERROR(LOOKUP(Предпосылки!$H$211,$C$13:$C$15,AR$13:AR$15),1)</f>
        <v>0</v>
      </c>
      <c s="125">
        <f>Предпосылки!AR$238*Предпосылки!$N269*Продажи!AS34*AS$19*(1+Чувствительность!$D$20)*IFERROR(LOOKUP(Предпосылки!$H$211,$C$13:$C$15,AS$13:AS$15),1)</f>
        <v>0</v>
      </c>
      <c s="125">
        <f>Предпосылки!AS$238*Предпосылки!$N269*Продажи!AT34*AT$19*(1+Чувствительность!$D$20)*IFERROR(LOOKUP(Предпосылки!$H$211,$C$13:$C$15,AT$13:AT$15),1)</f>
        <v>0</v>
      </c>
      <c s="125">
        <f>Предпосылки!AT$238*Предпосылки!$N269*Продажи!AU34*AU$19*(1+Чувствительность!$D$20)*IFERROR(LOOKUP(Предпосылки!$H$211,$C$13:$C$15,AU$13:AU$15),1)</f>
        <v>0</v>
      </c>
      <c s="125">
        <f>Предпосылки!AU$238*Предпосылки!$N269*Продажи!AV34*AV$19*(1+Чувствительность!$D$20)*IFERROR(LOOKUP(Предпосылки!$H$211,$C$13:$C$15,AV$13:AV$15),1)</f>
        <v>0</v>
      </c>
      <c s="125">
        <f>Предпосылки!AV$238*Предпосылки!$N269*Продажи!AW34*AW$19*(1+Чувствительность!$D$20)*IFERROR(LOOKUP(Предпосылки!$H$211,$C$13:$C$15,AW$13:AW$15),1)</f>
        <v>0</v>
      </c>
      <c s="125">
        <f>Предпосылки!AW$238*Предпосылки!$N269*Продажи!AX34*AX$19*(1+Чувствительность!$D$20)*IFERROR(LOOKUP(Предпосылки!$H$211,$C$13:$C$15,AX$13:AX$15),1)</f>
        <v>0</v>
      </c>
      <c s="125">
        <f>Предпосылки!AX$238*Предпосылки!$N269*Продажи!AY34*AY$19*(1+Чувствительность!$D$20)*IFERROR(LOOKUP(Предпосылки!$H$211,$C$13:$C$15,AY$13:AY$15),1)</f>
        <v>0</v>
      </c>
      <c s="125">
        <f>Предпосылки!AY$238*Предпосылки!$N269*Продажи!AZ34*AZ$19*(1+Чувствительность!$D$20)*IFERROR(LOOKUP(Предпосылки!$H$211,$C$13:$C$15,AZ$13:AZ$15),1)</f>
        <v>0</v>
      </c>
      <c s="125">
        <f>Предпосылки!AZ$238*Предпосылки!$N269*Продажи!BA34*BA$19*(1+Чувствительность!$D$20)*IFERROR(LOOKUP(Предпосылки!$H$211,$C$13:$C$15,BA$13:BA$15),1)</f>
        <v>0</v>
      </c>
      <c s="125">
        <f>Предпосылки!BA$238*Предпосылки!$N269*Продажи!BB34*BB$19*(1+Чувствительность!$D$20)*IFERROR(LOOKUP(Предпосылки!$H$211,$C$13:$C$15,BB$13:BB$15),1)</f>
        <v>0</v>
      </c>
      <c s="125">
        <f>Предпосылки!BB$238*Предпосылки!$N269*Продажи!BC34*BC$19*(1+Чувствительность!$D$20)*IFERROR(LOOKUP(Предпосылки!$H$211,$C$13:$C$15,BC$13:BC$15),1)</f>
        <v>0</v>
      </c>
      <c s="125">
        <f>Предпосылки!BC$238*Предпосылки!$N269*Продажи!BD34*BD$19*(1+Чувствительность!$D$20)*IFERROR(LOOKUP(Предпосылки!$H$211,$C$13:$C$15,BD$13:BD$15),1)</f>
        <v>0</v>
      </c>
      <c s="125">
        <f>Предпосылки!BD$238*Предпосылки!$N269*Продажи!BE34*BE$19*(1+Чувствительность!$D$20)*IFERROR(LOOKUP(Предпосылки!$H$211,$C$13:$C$15,BE$13:BE$15),1)</f>
        <v>0</v>
      </c>
      <c s="125">
        <f>Предпосылки!BE$238*Предпосылки!$N269*Продажи!BF34*BF$19*(1+Чувствительность!$D$20)*IFERROR(LOOKUP(Предпосылки!$H$211,$C$13:$C$15,BF$13:BF$15),1)</f>
        <v>0</v>
      </c>
      <c s="125">
        <f>Предпосылки!BF$238*Предпосылки!$N269*Продажи!BG34*BG$19*(1+Чувствительность!$D$20)*IFERROR(LOOKUP(Предпосылки!$H$211,$C$13:$C$15,BG$13:BG$15),1)</f>
        <v>0</v>
      </c>
      <c s="125">
        <f>Предпосылки!BG$238*Предпосылки!$N269*Продажи!BH34*BH$19*(1+Чувствительность!$D$20)*IFERROR(LOOKUP(Предпосылки!$H$211,$C$13:$C$15,BH$13:BH$15),1)</f>
        <v>0</v>
      </c>
      <c s="125">
        <f>Предпосылки!BH$238*Предпосылки!$N269*Продажи!BI34*BI$19*(1+Чувствительность!$D$20)*IFERROR(LOOKUP(Предпосылки!$H$211,$C$13:$C$15,BI$13:BI$15),1)</f>
        <v>0</v>
      </c>
      <c s="125">
        <f>Предпосылки!BI$238*Предпосылки!$N269*Продажи!BJ34*BJ$19*(1+Чувствительность!$D$20)*IFERROR(LOOKUP(Предпосылки!$H$211,$C$13:$C$15,BJ$13:BJ$15),1)</f>
        <v>0</v>
      </c>
      <c s="125">
        <f>Предпосылки!BJ$238*Предпосылки!$N269*Продажи!BK34*BK$19*(1+Чувствительность!$D$20)*IFERROR(LOOKUP(Предпосылки!$H$211,$C$13:$C$15,BK$13:BK$15),1)</f>
        <v>0</v>
      </c>
      <c s="125">
        <f>Предпосылки!BK$238*Предпосылки!$N269*Продажи!BL34*BL$19*(1+Чувствительность!$D$20)*IFERROR(LOOKUP(Предпосылки!$H$211,$C$13:$C$15,BL$13:BL$15),1)</f>
        <v>0</v>
      </c>
      <c s="125">
        <f>Предпосылки!BL$238*Предпосылки!$N269*Продажи!BM34*BM$19*(1+Чувствительность!$D$20)*IFERROR(LOOKUP(Предпосылки!$H$211,$C$13:$C$15,BM$13:BM$15),1)</f>
        <v>0</v>
      </c>
    </row>
    <row r="270" spans="2:65" ht="15" customHeight="1">
      <c r="B270" s="12" t="str">
        <f t="shared" si="111"/>
        <v>Продукт 18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Предпосылки!D$238*Предпосылки!$N270*Продажи!E35*E$19*(1+Чувствительность!$D$20)*IFERROR(LOOKUP(Предпосылки!$H$211,$C$13:$C$15,E$13:E$15),1)</f>
        <v>0</v>
      </c>
      <c s="125">
        <f>Предпосылки!E$238*Предпосылки!$N270*Продажи!F35*F$19*(1+Чувствительность!$D$20)*IFERROR(LOOKUP(Предпосылки!$H$211,$C$13:$C$15,F$13:F$15),1)</f>
        <v>0</v>
      </c>
      <c s="125">
        <f>Предпосылки!F$238*Предпосылки!$N270*Продажи!G35*G$19*(1+Чувствительность!$D$20)*IFERROR(LOOKUP(Предпосылки!$H$211,$C$13:$C$15,G$13:G$15),1)</f>
        <v>0</v>
      </c>
      <c s="125">
        <f>Предпосылки!G$238*Предпосылки!$N270*Продажи!H35*H$19*(1+Чувствительность!$D$20)*IFERROR(LOOKUP(Предпосылки!$H$211,$C$13:$C$15,H$13:H$15),1)</f>
        <v>0</v>
      </c>
      <c s="125">
        <f>Предпосылки!H$238*Предпосылки!$N270*Продажи!I35*I$19*(1+Чувствительность!$D$20)*IFERROR(LOOKUP(Предпосылки!$H$211,$C$13:$C$15,I$13:I$15),1)</f>
        <v>0</v>
      </c>
      <c s="125">
        <f>Предпосылки!I$238*Предпосылки!$N270*Продажи!J35*J$19*(1+Чувствительность!$D$20)*IFERROR(LOOKUP(Предпосылки!$H$211,$C$13:$C$15,J$13:J$15),1)</f>
        <v>0</v>
      </c>
      <c s="125">
        <f>Предпосылки!J$238*Предпосылки!$N270*Продажи!K35*K$19*(1+Чувствительность!$D$20)*IFERROR(LOOKUP(Предпосылки!$H$211,$C$13:$C$15,K$13:K$15),1)</f>
        <v>0</v>
      </c>
      <c s="125">
        <f>Предпосылки!K$238*Предпосылки!$N270*Продажи!L35*L$19*(1+Чувствительность!$D$20)*IFERROR(LOOKUP(Предпосылки!$H$211,$C$13:$C$15,L$13:L$15),1)</f>
        <v>0</v>
      </c>
      <c s="125">
        <f>Предпосылки!L$238*Предпосылки!$N270*Продажи!M35*M$19*(1+Чувствительность!$D$20)*IFERROR(LOOKUP(Предпосылки!$H$211,$C$13:$C$15,M$13:M$15),1)</f>
        <v>0</v>
      </c>
      <c s="125">
        <f>Предпосылки!M$238*Предпосылки!$N270*Продажи!N35*N$19*(1+Чувствительность!$D$20)*IFERROR(LOOKUP(Предпосылки!$H$211,$C$13:$C$15,N$13:N$15),1)</f>
        <v>0</v>
      </c>
      <c s="125">
        <f>Предпосылки!N$238*Предпосылки!$N270*Продажи!O35*O$19*(1+Чувствительность!$D$20)*IFERROR(LOOKUP(Предпосылки!$H$211,$C$13:$C$15,O$13:O$15),1)</f>
        <v>0</v>
      </c>
      <c s="125">
        <f>Предпосылки!O$238*Предпосылки!$N270*Продажи!P35*P$19*(1+Чувствительность!$D$20)*IFERROR(LOOKUP(Предпосылки!$H$211,$C$13:$C$15,P$13:P$15),1)</f>
        <v>0</v>
      </c>
      <c s="125">
        <f>Предпосылки!P$238*Предпосылки!$N270*Продажи!Q35*Q$19*(1+Чувствительность!$D$20)*IFERROR(LOOKUP(Предпосылки!$H$211,$C$13:$C$15,Q$13:Q$15),1)</f>
        <v>0</v>
      </c>
      <c s="125">
        <f>Предпосылки!Q$238*Предпосылки!$N270*Продажи!R35*R$19*(1+Чувствительность!$D$20)*IFERROR(LOOKUP(Предпосылки!$H$211,$C$13:$C$15,R$13:R$15),1)</f>
        <v>0</v>
      </c>
      <c s="125">
        <f>Предпосылки!R$238*Предпосылки!$N270*Продажи!S35*S$19*(1+Чувствительность!$D$20)*IFERROR(LOOKUP(Предпосылки!$H$211,$C$13:$C$15,S$13:S$15),1)</f>
        <v>0</v>
      </c>
      <c s="125">
        <f>Предпосылки!S$238*Предпосылки!$N270*Продажи!T35*T$19*(1+Чувствительность!$D$20)*IFERROR(LOOKUP(Предпосылки!$H$211,$C$13:$C$15,T$13:T$15),1)</f>
        <v>0</v>
      </c>
      <c s="125">
        <f>Предпосылки!T$238*Предпосылки!$N270*Продажи!U35*U$19*(1+Чувствительность!$D$20)*IFERROR(LOOKUP(Предпосылки!$H$211,$C$13:$C$15,U$13:U$15),1)</f>
        <v>0</v>
      </c>
      <c s="125">
        <f>Предпосылки!U$238*Предпосылки!$N270*Продажи!V35*V$19*(1+Чувствительность!$D$20)*IFERROR(LOOKUP(Предпосылки!$H$211,$C$13:$C$15,V$13:V$15),1)</f>
        <v>0</v>
      </c>
      <c s="125">
        <f>Предпосылки!V$238*Предпосылки!$N270*Продажи!W35*W$19*(1+Чувствительность!$D$20)*IFERROR(LOOKUP(Предпосылки!$H$211,$C$13:$C$15,W$13:W$15),1)</f>
        <v>0</v>
      </c>
      <c s="125">
        <f>Предпосылки!W$238*Предпосылки!$N270*Продажи!X35*X$19*(1+Чувствительность!$D$20)*IFERROR(LOOKUP(Предпосылки!$H$211,$C$13:$C$15,X$13:X$15),1)</f>
        <v>0</v>
      </c>
      <c s="125">
        <f>Предпосылки!X$238*Предпосылки!$N270*Продажи!Y35*Y$19*(1+Чувствительность!$D$20)*IFERROR(LOOKUP(Предпосылки!$H$211,$C$13:$C$15,Y$13:Y$15),1)</f>
        <v>0</v>
      </c>
      <c s="125">
        <f>Предпосылки!Y$238*Предпосылки!$N270*Продажи!Z35*Z$19*(1+Чувствительность!$D$20)*IFERROR(LOOKUP(Предпосылки!$H$211,$C$13:$C$15,Z$13:Z$15),1)</f>
        <v>0</v>
      </c>
      <c s="125">
        <f>Предпосылки!Z$238*Предпосылки!$N270*Продажи!AA35*AA$19*(1+Чувствительность!$D$20)*IFERROR(LOOKUP(Предпосылки!$H$211,$C$13:$C$15,AA$13:AA$15),1)</f>
        <v>0</v>
      </c>
      <c s="125">
        <f>Предпосылки!AA$238*Предпосылки!$N270*Продажи!AB35*AB$19*(1+Чувствительность!$D$20)*IFERROR(LOOKUP(Предпосылки!$H$211,$C$13:$C$15,AB$13:AB$15),1)</f>
        <v>0</v>
      </c>
      <c s="125">
        <f>Предпосылки!AB$238*Предпосылки!$N270*Продажи!AC35*AC$19*(1+Чувствительность!$D$20)*IFERROR(LOOKUP(Предпосылки!$H$211,$C$13:$C$15,AC$13:AC$15),1)</f>
        <v>0</v>
      </c>
      <c s="125">
        <f>Предпосылки!AC$238*Предпосылки!$N270*Продажи!AD35*AD$19*(1+Чувствительность!$D$20)*IFERROR(LOOKUP(Предпосылки!$H$211,$C$13:$C$15,AD$13:AD$15),1)</f>
        <v>0</v>
      </c>
      <c s="125">
        <f>Предпосылки!AD$238*Предпосылки!$N270*Продажи!AE35*AE$19*(1+Чувствительность!$D$20)*IFERROR(LOOKUP(Предпосылки!$H$211,$C$13:$C$15,AE$13:AE$15),1)</f>
        <v>0</v>
      </c>
      <c s="125">
        <f>Предпосылки!AE$238*Предпосылки!$N270*Продажи!AF35*AF$19*(1+Чувствительность!$D$20)*IFERROR(LOOKUP(Предпосылки!$H$211,$C$13:$C$15,AF$13:AF$15),1)</f>
        <v>0</v>
      </c>
      <c s="125">
        <f>Предпосылки!AF$238*Предпосылки!$N270*Продажи!AG35*AG$19*(1+Чувствительность!$D$20)*IFERROR(LOOKUP(Предпосылки!$H$211,$C$13:$C$15,AG$13:AG$15),1)</f>
        <v>0</v>
      </c>
      <c s="125">
        <f>Предпосылки!AG$238*Предпосылки!$N270*Продажи!AH35*AH$19*(1+Чувствительность!$D$20)*IFERROR(LOOKUP(Предпосылки!$H$211,$C$13:$C$15,AH$13:AH$15),1)</f>
        <v>0</v>
      </c>
      <c s="125">
        <f>Предпосылки!AH$238*Предпосылки!$N270*Продажи!AI35*AI$19*(1+Чувствительность!$D$20)*IFERROR(LOOKUP(Предпосылки!$H$211,$C$13:$C$15,AI$13:AI$15),1)</f>
        <v>0</v>
      </c>
      <c s="125">
        <f>Предпосылки!AI$238*Предпосылки!$N270*Продажи!AJ35*AJ$19*(1+Чувствительность!$D$20)*IFERROR(LOOKUP(Предпосылки!$H$211,$C$13:$C$15,AJ$13:AJ$15),1)</f>
        <v>0</v>
      </c>
      <c s="125">
        <f>Предпосылки!AJ$238*Предпосылки!$N270*Продажи!AK35*AK$19*(1+Чувствительность!$D$20)*IFERROR(LOOKUP(Предпосылки!$H$211,$C$13:$C$15,AK$13:AK$15),1)</f>
        <v>0</v>
      </c>
      <c s="125">
        <f>Предпосылки!AK$238*Предпосылки!$N270*Продажи!AL35*AL$19*(1+Чувствительность!$D$20)*IFERROR(LOOKUP(Предпосылки!$H$211,$C$13:$C$15,AL$13:AL$15),1)</f>
        <v>0</v>
      </c>
      <c s="125">
        <f>Предпосылки!AL$238*Предпосылки!$N270*Продажи!AM35*AM$19*(1+Чувствительность!$D$20)*IFERROR(LOOKUP(Предпосылки!$H$211,$C$13:$C$15,AM$13:AM$15),1)</f>
        <v>0</v>
      </c>
      <c s="125">
        <f>Предпосылки!AM$238*Предпосылки!$N270*Продажи!AN35*AN$19*(1+Чувствительность!$D$20)*IFERROR(LOOKUP(Предпосылки!$H$211,$C$13:$C$15,AN$13:AN$15),1)</f>
        <v>0</v>
      </c>
      <c s="125">
        <f>Предпосылки!AN$238*Предпосылки!$N270*Продажи!AO35*AO$19*(1+Чувствительность!$D$20)*IFERROR(LOOKUP(Предпосылки!$H$211,$C$13:$C$15,AO$13:AO$15),1)</f>
        <v>0</v>
      </c>
      <c s="125">
        <f>Предпосылки!AO$238*Предпосылки!$N270*Продажи!AP35*AP$19*(1+Чувствительность!$D$20)*IFERROR(LOOKUP(Предпосылки!$H$211,$C$13:$C$15,AP$13:AP$15),1)</f>
        <v>0</v>
      </c>
      <c s="125">
        <f>Предпосылки!AP$238*Предпосылки!$N270*Продажи!AQ35*AQ$19*(1+Чувствительность!$D$20)*IFERROR(LOOKUP(Предпосылки!$H$211,$C$13:$C$15,AQ$13:AQ$15),1)</f>
        <v>0</v>
      </c>
      <c s="125">
        <f>Предпосылки!AQ$238*Предпосылки!$N270*Продажи!AR35*AR$19*(1+Чувствительность!$D$20)*IFERROR(LOOKUP(Предпосылки!$H$211,$C$13:$C$15,AR$13:AR$15),1)</f>
        <v>0</v>
      </c>
      <c s="125">
        <f>Предпосылки!AR$238*Предпосылки!$N270*Продажи!AS35*AS$19*(1+Чувствительность!$D$20)*IFERROR(LOOKUP(Предпосылки!$H$211,$C$13:$C$15,AS$13:AS$15),1)</f>
        <v>0</v>
      </c>
      <c s="125">
        <f>Предпосылки!AS$238*Предпосылки!$N270*Продажи!AT35*AT$19*(1+Чувствительность!$D$20)*IFERROR(LOOKUP(Предпосылки!$H$211,$C$13:$C$15,AT$13:AT$15),1)</f>
        <v>0</v>
      </c>
      <c s="125">
        <f>Предпосылки!AT$238*Предпосылки!$N270*Продажи!AU35*AU$19*(1+Чувствительность!$D$20)*IFERROR(LOOKUP(Предпосылки!$H$211,$C$13:$C$15,AU$13:AU$15),1)</f>
        <v>0</v>
      </c>
      <c s="125">
        <f>Предпосылки!AU$238*Предпосылки!$N270*Продажи!AV35*AV$19*(1+Чувствительность!$D$20)*IFERROR(LOOKUP(Предпосылки!$H$211,$C$13:$C$15,AV$13:AV$15),1)</f>
        <v>0</v>
      </c>
      <c s="125">
        <f>Предпосылки!AV$238*Предпосылки!$N270*Продажи!AW35*AW$19*(1+Чувствительность!$D$20)*IFERROR(LOOKUP(Предпосылки!$H$211,$C$13:$C$15,AW$13:AW$15),1)</f>
        <v>0</v>
      </c>
      <c s="125">
        <f>Предпосылки!AW$238*Предпосылки!$N270*Продажи!AX35*AX$19*(1+Чувствительность!$D$20)*IFERROR(LOOKUP(Предпосылки!$H$211,$C$13:$C$15,AX$13:AX$15),1)</f>
        <v>0</v>
      </c>
      <c s="125">
        <f>Предпосылки!AX$238*Предпосылки!$N270*Продажи!AY35*AY$19*(1+Чувствительность!$D$20)*IFERROR(LOOKUP(Предпосылки!$H$211,$C$13:$C$15,AY$13:AY$15),1)</f>
        <v>0</v>
      </c>
      <c s="125">
        <f>Предпосылки!AY$238*Предпосылки!$N270*Продажи!AZ35*AZ$19*(1+Чувствительность!$D$20)*IFERROR(LOOKUP(Предпосылки!$H$211,$C$13:$C$15,AZ$13:AZ$15),1)</f>
        <v>0</v>
      </c>
      <c s="125">
        <f>Предпосылки!AZ$238*Предпосылки!$N270*Продажи!BA35*BA$19*(1+Чувствительность!$D$20)*IFERROR(LOOKUP(Предпосылки!$H$211,$C$13:$C$15,BA$13:BA$15),1)</f>
        <v>0</v>
      </c>
      <c s="125">
        <f>Предпосылки!BA$238*Предпосылки!$N270*Продажи!BB35*BB$19*(1+Чувствительность!$D$20)*IFERROR(LOOKUP(Предпосылки!$H$211,$C$13:$C$15,BB$13:BB$15),1)</f>
        <v>0</v>
      </c>
      <c s="125">
        <f>Предпосылки!BB$238*Предпосылки!$N270*Продажи!BC35*BC$19*(1+Чувствительность!$D$20)*IFERROR(LOOKUP(Предпосылки!$H$211,$C$13:$C$15,BC$13:BC$15),1)</f>
        <v>0</v>
      </c>
      <c s="125">
        <f>Предпосылки!BC$238*Предпосылки!$N270*Продажи!BD35*BD$19*(1+Чувствительность!$D$20)*IFERROR(LOOKUP(Предпосылки!$H$211,$C$13:$C$15,BD$13:BD$15),1)</f>
        <v>0</v>
      </c>
      <c s="125">
        <f>Предпосылки!BD$238*Предпосылки!$N270*Продажи!BE35*BE$19*(1+Чувствительность!$D$20)*IFERROR(LOOKUP(Предпосылки!$H$211,$C$13:$C$15,BE$13:BE$15),1)</f>
        <v>0</v>
      </c>
      <c s="125">
        <f>Предпосылки!BE$238*Предпосылки!$N270*Продажи!BF35*BF$19*(1+Чувствительность!$D$20)*IFERROR(LOOKUP(Предпосылки!$H$211,$C$13:$C$15,BF$13:BF$15),1)</f>
        <v>0</v>
      </c>
      <c s="125">
        <f>Предпосылки!BF$238*Предпосылки!$N270*Продажи!BG35*BG$19*(1+Чувствительность!$D$20)*IFERROR(LOOKUP(Предпосылки!$H$211,$C$13:$C$15,BG$13:BG$15),1)</f>
        <v>0</v>
      </c>
      <c s="125">
        <f>Предпосылки!BG$238*Предпосылки!$N270*Продажи!BH35*BH$19*(1+Чувствительность!$D$20)*IFERROR(LOOKUP(Предпосылки!$H$211,$C$13:$C$15,BH$13:BH$15),1)</f>
        <v>0</v>
      </c>
      <c s="125">
        <f>Предпосылки!BH$238*Предпосылки!$N270*Продажи!BI35*BI$19*(1+Чувствительность!$D$20)*IFERROR(LOOKUP(Предпосылки!$H$211,$C$13:$C$15,BI$13:BI$15),1)</f>
        <v>0</v>
      </c>
      <c s="125">
        <f>Предпосылки!BI$238*Предпосылки!$N270*Продажи!BJ35*BJ$19*(1+Чувствительность!$D$20)*IFERROR(LOOKUP(Предпосылки!$H$211,$C$13:$C$15,BJ$13:BJ$15),1)</f>
        <v>0</v>
      </c>
      <c s="125">
        <f>Предпосылки!BJ$238*Предпосылки!$N270*Продажи!BK35*BK$19*(1+Чувствительность!$D$20)*IFERROR(LOOKUP(Предпосылки!$H$211,$C$13:$C$15,BK$13:BK$15),1)</f>
        <v>0</v>
      </c>
      <c s="125">
        <f>Предпосылки!BK$238*Предпосылки!$N270*Продажи!BL35*BL$19*(1+Чувствительность!$D$20)*IFERROR(LOOKUP(Предпосылки!$H$211,$C$13:$C$15,BL$13:BL$15),1)</f>
        <v>0</v>
      </c>
      <c s="125">
        <f>Предпосылки!BL$238*Предпосылки!$N270*Продажи!BM35*BM$19*(1+Чувствительность!$D$20)*IFERROR(LOOKUP(Предпосылки!$H$211,$C$13:$C$15,BM$13:BM$15),1)</f>
        <v>0</v>
      </c>
    </row>
    <row r="271" spans="2:65" ht="15" customHeight="1">
      <c r="B271" s="12" t="str">
        <f t="shared" si="111"/>
        <v>Продукт 19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Предпосылки!D$238*Предпосылки!$N271*Продажи!E36*E$19*(1+Чувствительность!$D$20)*IFERROR(LOOKUP(Предпосылки!$H$211,$C$13:$C$15,E$13:E$15),1)</f>
        <v>0</v>
      </c>
      <c s="125">
        <f>Предпосылки!E$238*Предпосылки!$N271*Продажи!F36*F$19*(1+Чувствительность!$D$20)*IFERROR(LOOKUP(Предпосылки!$H$211,$C$13:$C$15,F$13:F$15),1)</f>
        <v>0</v>
      </c>
      <c s="125">
        <f>Предпосылки!F$238*Предпосылки!$N271*Продажи!G36*G$19*(1+Чувствительность!$D$20)*IFERROR(LOOKUP(Предпосылки!$H$211,$C$13:$C$15,G$13:G$15),1)</f>
        <v>0</v>
      </c>
      <c s="125">
        <f>Предпосылки!G$238*Предпосылки!$N271*Продажи!H36*H$19*(1+Чувствительность!$D$20)*IFERROR(LOOKUP(Предпосылки!$H$211,$C$13:$C$15,H$13:H$15),1)</f>
        <v>0</v>
      </c>
      <c s="125">
        <f>Предпосылки!H$238*Предпосылки!$N271*Продажи!I36*I$19*(1+Чувствительность!$D$20)*IFERROR(LOOKUP(Предпосылки!$H$211,$C$13:$C$15,I$13:I$15),1)</f>
        <v>0</v>
      </c>
      <c s="125">
        <f>Предпосылки!I$238*Предпосылки!$N271*Продажи!J36*J$19*(1+Чувствительность!$D$20)*IFERROR(LOOKUP(Предпосылки!$H$211,$C$13:$C$15,J$13:J$15),1)</f>
        <v>0</v>
      </c>
      <c s="125">
        <f>Предпосылки!J$238*Предпосылки!$N271*Продажи!K36*K$19*(1+Чувствительность!$D$20)*IFERROR(LOOKUP(Предпосылки!$H$211,$C$13:$C$15,K$13:K$15),1)</f>
        <v>0</v>
      </c>
      <c s="125">
        <f>Предпосылки!K$238*Предпосылки!$N271*Продажи!L36*L$19*(1+Чувствительность!$D$20)*IFERROR(LOOKUP(Предпосылки!$H$211,$C$13:$C$15,L$13:L$15),1)</f>
        <v>0</v>
      </c>
      <c s="125">
        <f>Предпосылки!L$238*Предпосылки!$N271*Продажи!M36*M$19*(1+Чувствительность!$D$20)*IFERROR(LOOKUP(Предпосылки!$H$211,$C$13:$C$15,M$13:M$15),1)</f>
        <v>0</v>
      </c>
      <c s="125">
        <f>Предпосылки!M$238*Предпосылки!$N271*Продажи!N36*N$19*(1+Чувствительность!$D$20)*IFERROR(LOOKUP(Предпосылки!$H$211,$C$13:$C$15,N$13:N$15),1)</f>
        <v>0</v>
      </c>
      <c s="125">
        <f>Предпосылки!N$238*Предпосылки!$N271*Продажи!O36*O$19*(1+Чувствительность!$D$20)*IFERROR(LOOKUP(Предпосылки!$H$211,$C$13:$C$15,O$13:O$15),1)</f>
        <v>0</v>
      </c>
      <c s="125">
        <f>Предпосылки!O$238*Предпосылки!$N271*Продажи!P36*P$19*(1+Чувствительность!$D$20)*IFERROR(LOOKUP(Предпосылки!$H$211,$C$13:$C$15,P$13:P$15),1)</f>
        <v>0</v>
      </c>
      <c s="125">
        <f>Предпосылки!P$238*Предпосылки!$N271*Продажи!Q36*Q$19*(1+Чувствительность!$D$20)*IFERROR(LOOKUP(Предпосылки!$H$211,$C$13:$C$15,Q$13:Q$15),1)</f>
        <v>0</v>
      </c>
      <c s="125">
        <f>Предпосылки!Q$238*Предпосылки!$N271*Продажи!R36*R$19*(1+Чувствительность!$D$20)*IFERROR(LOOKUP(Предпосылки!$H$211,$C$13:$C$15,R$13:R$15),1)</f>
        <v>0</v>
      </c>
      <c s="125">
        <f>Предпосылки!R$238*Предпосылки!$N271*Продажи!S36*S$19*(1+Чувствительность!$D$20)*IFERROR(LOOKUP(Предпосылки!$H$211,$C$13:$C$15,S$13:S$15),1)</f>
        <v>0</v>
      </c>
      <c s="125">
        <f>Предпосылки!S$238*Предпосылки!$N271*Продажи!T36*T$19*(1+Чувствительность!$D$20)*IFERROR(LOOKUP(Предпосылки!$H$211,$C$13:$C$15,T$13:T$15),1)</f>
        <v>0</v>
      </c>
      <c s="125">
        <f>Предпосылки!T$238*Предпосылки!$N271*Продажи!U36*U$19*(1+Чувствительность!$D$20)*IFERROR(LOOKUP(Предпосылки!$H$211,$C$13:$C$15,U$13:U$15),1)</f>
        <v>0</v>
      </c>
      <c s="125">
        <f>Предпосылки!U$238*Предпосылки!$N271*Продажи!V36*V$19*(1+Чувствительность!$D$20)*IFERROR(LOOKUP(Предпосылки!$H$211,$C$13:$C$15,V$13:V$15),1)</f>
        <v>0</v>
      </c>
      <c s="125">
        <f>Предпосылки!V$238*Предпосылки!$N271*Продажи!W36*W$19*(1+Чувствительность!$D$20)*IFERROR(LOOKUP(Предпосылки!$H$211,$C$13:$C$15,W$13:W$15),1)</f>
        <v>0</v>
      </c>
      <c s="125">
        <f>Предпосылки!W$238*Предпосылки!$N271*Продажи!X36*X$19*(1+Чувствительность!$D$20)*IFERROR(LOOKUP(Предпосылки!$H$211,$C$13:$C$15,X$13:X$15),1)</f>
        <v>0</v>
      </c>
      <c s="125">
        <f>Предпосылки!X$238*Предпосылки!$N271*Продажи!Y36*Y$19*(1+Чувствительность!$D$20)*IFERROR(LOOKUP(Предпосылки!$H$211,$C$13:$C$15,Y$13:Y$15),1)</f>
        <v>0</v>
      </c>
      <c s="125">
        <f>Предпосылки!Y$238*Предпосылки!$N271*Продажи!Z36*Z$19*(1+Чувствительность!$D$20)*IFERROR(LOOKUP(Предпосылки!$H$211,$C$13:$C$15,Z$13:Z$15),1)</f>
        <v>0</v>
      </c>
      <c s="125">
        <f>Предпосылки!Z$238*Предпосылки!$N271*Продажи!AA36*AA$19*(1+Чувствительность!$D$20)*IFERROR(LOOKUP(Предпосылки!$H$211,$C$13:$C$15,AA$13:AA$15),1)</f>
        <v>0</v>
      </c>
      <c s="125">
        <f>Предпосылки!AA$238*Предпосылки!$N271*Продажи!AB36*AB$19*(1+Чувствительность!$D$20)*IFERROR(LOOKUP(Предпосылки!$H$211,$C$13:$C$15,AB$13:AB$15),1)</f>
        <v>0</v>
      </c>
      <c s="125">
        <f>Предпосылки!AB$238*Предпосылки!$N271*Продажи!AC36*AC$19*(1+Чувствительность!$D$20)*IFERROR(LOOKUP(Предпосылки!$H$211,$C$13:$C$15,AC$13:AC$15),1)</f>
        <v>0</v>
      </c>
      <c s="125">
        <f>Предпосылки!AC$238*Предпосылки!$N271*Продажи!AD36*AD$19*(1+Чувствительность!$D$20)*IFERROR(LOOKUP(Предпосылки!$H$211,$C$13:$C$15,AD$13:AD$15),1)</f>
        <v>0</v>
      </c>
      <c s="125">
        <f>Предпосылки!AD$238*Предпосылки!$N271*Продажи!AE36*AE$19*(1+Чувствительность!$D$20)*IFERROR(LOOKUP(Предпосылки!$H$211,$C$13:$C$15,AE$13:AE$15),1)</f>
        <v>0</v>
      </c>
      <c s="125">
        <f>Предпосылки!AE$238*Предпосылки!$N271*Продажи!AF36*AF$19*(1+Чувствительность!$D$20)*IFERROR(LOOKUP(Предпосылки!$H$211,$C$13:$C$15,AF$13:AF$15),1)</f>
        <v>0</v>
      </c>
      <c s="125">
        <f>Предпосылки!AF$238*Предпосылки!$N271*Продажи!AG36*AG$19*(1+Чувствительность!$D$20)*IFERROR(LOOKUP(Предпосылки!$H$211,$C$13:$C$15,AG$13:AG$15),1)</f>
        <v>0</v>
      </c>
      <c s="125">
        <f>Предпосылки!AG$238*Предпосылки!$N271*Продажи!AH36*AH$19*(1+Чувствительность!$D$20)*IFERROR(LOOKUP(Предпосылки!$H$211,$C$13:$C$15,AH$13:AH$15),1)</f>
        <v>0</v>
      </c>
      <c s="125">
        <f>Предпосылки!AH$238*Предпосылки!$N271*Продажи!AI36*AI$19*(1+Чувствительность!$D$20)*IFERROR(LOOKUP(Предпосылки!$H$211,$C$13:$C$15,AI$13:AI$15),1)</f>
        <v>0</v>
      </c>
      <c s="125">
        <f>Предпосылки!AI$238*Предпосылки!$N271*Продажи!AJ36*AJ$19*(1+Чувствительность!$D$20)*IFERROR(LOOKUP(Предпосылки!$H$211,$C$13:$C$15,AJ$13:AJ$15),1)</f>
        <v>0</v>
      </c>
      <c s="125">
        <f>Предпосылки!AJ$238*Предпосылки!$N271*Продажи!AK36*AK$19*(1+Чувствительность!$D$20)*IFERROR(LOOKUP(Предпосылки!$H$211,$C$13:$C$15,AK$13:AK$15),1)</f>
        <v>0</v>
      </c>
      <c s="125">
        <f>Предпосылки!AK$238*Предпосылки!$N271*Продажи!AL36*AL$19*(1+Чувствительность!$D$20)*IFERROR(LOOKUP(Предпосылки!$H$211,$C$13:$C$15,AL$13:AL$15),1)</f>
        <v>0</v>
      </c>
      <c s="125">
        <f>Предпосылки!AL$238*Предпосылки!$N271*Продажи!AM36*AM$19*(1+Чувствительность!$D$20)*IFERROR(LOOKUP(Предпосылки!$H$211,$C$13:$C$15,AM$13:AM$15),1)</f>
        <v>0</v>
      </c>
      <c s="125">
        <f>Предпосылки!AM$238*Предпосылки!$N271*Продажи!AN36*AN$19*(1+Чувствительность!$D$20)*IFERROR(LOOKUP(Предпосылки!$H$211,$C$13:$C$15,AN$13:AN$15),1)</f>
        <v>0</v>
      </c>
      <c s="125">
        <f>Предпосылки!AN$238*Предпосылки!$N271*Продажи!AO36*AO$19*(1+Чувствительность!$D$20)*IFERROR(LOOKUP(Предпосылки!$H$211,$C$13:$C$15,AO$13:AO$15),1)</f>
        <v>0</v>
      </c>
      <c s="125">
        <f>Предпосылки!AO$238*Предпосылки!$N271*Продажи!AP36*AP$19*(1+Чувствительность!$D$20)*IFERROR(LOOKUP(Предпосылки!$H$211,$C$13:$C$15,AP$13:AP$15),1)</f>
        <v>0</v>
      </c>
      <c s="125">
        <f>Предпосылки!AP$238*Предпосылки!$N271*Продажи!AQ36*AQ$19*(1+Чувствительность!$D$20)*IFERROR(LOOKUP(Предпосылки!$H$211,$C$13:$C$15,AQ$13:AQ$15),1)</f>
        <v>0</v>
      </c>
      <c s="125">
        <f>Предпосылки!AQ$238*Предпосылки!$N271*Продажи!AR36*AR$19*(1+Чувствительность!$D$20)*IFERROR(LOOKUP(Предпосылки!$H$211,$C$13:$C$15,AR$13:AR$15),1)</f>
        <v>0</v>
      </c>
      <c s="125">
        <f>Предпосылки!AR$238*Предпосылки!$N271*Продажи!AS36*AS$19*(1+Чувствительность!$D$20)*IFERROR(LOOKUP(Предпосылки!$H$211,$C$13:$C$15,AS$13:AS$15),1)</f>
        <v>0</v>
      </c>
      <c s="125">
        <f>Предпосылки!AS$238*Предпосылки!$N271*Продажи!AT36*AT$19*(1+Чувствительность!$D$20)*IFERROR(LOOKUP(Предпосылки!$H$211,$C$13:$C$15,AT$13:AT$15),1)</f>
        <v>0</v>
      </c>
      <c s="125">
        <f>Предпосылки!AT$238*Предпосылки!$N271*Продажи!AU36*AU$19*(1+Чувствительность!$D$20)*IFERROR(LOOKUP(Предпосылки!$H$211,$C$13:$C$15,AU$13:AU$15),1)</f>
        <v>0</v>
      </c>
      <c s="125">
        <f>Предпосылки!AU$238*Предпосылки!$N271*Продажи!AV36*AV$19*(1+Чувствительность!$D$20)*IFERROR(LOOKUP(Предпосылки!$H$211,$C$13:$C$15,AV$13:AV$15),1)</f>
        <v>0</v>
      </c>
      <c s="125">
        <f>Предпосылки!AV$238*Предпосылки!$N271*Продажи!AW36*AW$19*(1+Чувствительность!$D$20)*IFERROR(LOOKUP(Предпосылки!$H$211,$C$13:$C$15,AW$13:AW$15),1)</f>
        <v>0</v>
      </c>
      <c s="125">
        <f>Предпосылки!AW$238*Предпосылки!$N271*Продажи!AX36*AX$19*(1+Чувствительность!$D$20)*IFERROR(LOOKUP(Предпосылки!$H$211,$C$13:$C$15,AX$13:AX$15),1)</f>
        <v>0</v>
      </c>
      <c s="125">
        <f>Предпосылки!AX$238*Предпосылки!$N271*Продажи!AY36*AY$19*(1+Чувствительность!$D$20)*IFERROR(LOOKUP(Предпосылки!$H$211,$C$13:$C$15,AY$13:AY$15),1)</f>
        <v>0</v>
      </c>
      <c s="125">
        <f>Предпосылки!AY$238*Предпосылки!$N271*Продажи!AZ36*AZ$19*(1+Чувствительность!$D$20)*IFERROR(LOOKUP(Предпосылки!$H$211,$C$13:$C$15,AZ$13:AZ$15),1)</f>
        <v>0</v>
      </c>
      <c s="125">
        <f>Предпосылки!AZ$238*Предпосылки!$N271*Продажи!BA36*BA$19*(1+Чувствительность!$D$20)*IFERROR(LOOKUP(Предпосылки!$H$211,$C$13:$C$15,BA$13:BA$15),1)</f>
        <v>0</v>
      </c>
      <c s="125">
        <f>Предпосылки!BA$238*Предпосылки!$N271*Продажи!BB36*BB$19*(1+Чувствительность!$D$20)*IFERROR(LOOKUP(Предпосылки!$H$211,$C$13:$C$15,BB$13:BB$15),1)</f>
        <v>0</v>
      </c>
      <c s="125">
        <f>Предпосылки!BB$238*Предпосылки!$N271*Продажи!BC36*BC$19*(1+Чувствительность!$D$20)*IFERROR(LOOKUP(Предпосылки!$H$211,$C$13:$C$15,BC$13:BC$15),1)</f>
        <v>0</v>
      </c>
      <c s="125">
        <f>Предпосылки!BC$238*Предпосылки!$N271*Продажи!BD36*BD$19*(1+Чувствительность!$D$20)*IFERROR(LOOKUP(Предпосылки!$H$211,$C$13:$C$15,BD$13:BD$15),1)</f>
        <v>0</v>
      </c>
      <c s="125">
        <f>Предпосылки!BD$238*Предпосылки!$N271*Продажи!BE36*BE$19*(1+Чувствительность!$D$20)*IFERROR(LOOKUP(Предпосылки!$H$211,$C$13:$C$15,BE$13:BE$15),1)</f>
        <v>0</v>
      </c>
      <c s="125">
        <f>Предпосылки!BE$238*Предпосылки!$N271*Продажи!BF36*BF$19*(1+Чувствительность!$D$20)*IFERROR(LOOKUP(Предпосылки!$H$211,$C$13:$C$15,BF$13:BF$15),1)</f>
        <v>0</v>
      </c>
      <c s="125">
        <f>Предпосылки!BF$238*Предпосылки!$N271*Продажи!BG36*BG$19*(1+Чувствительность!$D$20)*IFERROR(LOOKUP(Предпосылки!$H$211,$C$13:$C$15,BG$13:BG$15),1)</f>
        <v>0</v>
      </c>
      <c s="125">
        <f>Предпосылки!BG$238*Предпосылки!$N271*Продажи!BH36*BH$19*(1+Чувствительность!$D$20)*IFERROR(LOOKUP(Предпосылки!$H$211,$C$13:$C$15,BH$13:BH$15),1)</f>
        <v>0</v>
      </c>
      <c s="125">
        <f>Предпосылки!BH$238*Предпосылки!$N271*Продажи!BI36*BI$19*(1+Чувствительность!$D$20)*IFERROR(LOOKUP(Предпосылки!$H$211,$C$13:$C$15,BI$13:BI$15),1)</f>
        <v>0</v>
      </c>
      <c s="125">
        <f>Предпосылки!BI$238*Предпосылки!$N271*Продажи!BJ36*BJ$19*(1+Чувствительность!$D$20)*IFERROR(LOOKUP(Предпосылки!$H$211,$C$13:$C$15,BJ$13:BJ$15),1)</f>
        <v>0</v>
      </c>
      <c s="125">
        <f>Предпосылки!BJ$238*Предпосылки!$N271*Продажи!BK36*BK$19*(1+Чувствительность!$D$20)*IFERROR(LOOKUP(Предпосылки!$H$211,$C$13:$C$15,BK$13:BK$15),1)</f>
        <v>0</v>
      </c>
      <c s="125">
        <f>Предпосылки!BK$238*Предпосылки!$N271*Продажи!BL36*BL$19*(1+Чувствительность!$D$20)*IFERROR(LOOKUP(Предпосылки!$H$211,$C$13:$C$15,BL$13:BL$15),1)</f>
        <v>0</v>
      </c>
      <c s="125">
        <f>Предпосылки!BL$238*Предпосылки!$N271*Продажи!BM36*BM$19*(1+Чувствительность!$D$20)*IFERROR(LOOKUP(Предпосылки!$H$211,$C$13:$C$15,BM$13:BM$15),1)</f>
        <v>0</v>
      </c>
    </row>
    <row r="272" spans="2:65" ht="15" customHeight="1">
      <c r="B272" s="12" t="str">
        <f t="shared" si="111"/>
        <v>Продукт 20</v>
      </c>
      <c s="124" t="str">
        <f t="shared" si="110"/>
        <v>тыс. руб.</v>
      </c>
      <c s="276">
        <f t="shared" si="112"/>
        <v>0</v>
      </c>
      <c s="125">
        <f>Предпосылки!D$238*Предпосылки!$N272*Продажи!E37*E$19*(1+Чувствительность!$D$20)*IFERROR(LOOKUP(Предпосылки!$H$211,$C$13:$C$15,E$13:E$15),1)</f>
        <v>0</v>
      </c>
      <c s="125">
        <f>Предпосылки!E$238*Предпосылки!$N272*Продажи!F37*F$19*(1+Чувствительность!$D$20)*IFERROR(LOOKUP(Предпосылки!$H$211,$C$13:$C$15,F$13:F$15),1)</f>
        <v>0</v>
      </c>
      <c s="125">
        <f>Предпосылки!F$238*Предпосылки!$N272*Продажи!G37*G$19*(1+Чувствительность!$D$20)*IFERROR(LOOKUP(Предпосылки!$H$211,$C$13:$C$15,G$13:G$15),1)</f>
        <v>0</v>
      </c>
      <c s="125">
        <f>Предпосылки!G$238*Предпосылки!$N272*Продажи!H37*H$19*(1+Чувствительность!$D$20)*IFERROR(LOOKUP(Предпосылки!$H$211,$C$13:$C$15,H$13:H$15),1)</f>
        <v>0</v>
      </c>
      <c s="125">
        <f>Предпосылки!H$238*Предпосылки!$N272*Продажи!I37*I$19*(1+Чувствительность!$D$20)*IFERROR(LOOKUP(Предпосылки!$H$211,$C$13:$C$15,I$13:I$15),1)</f>
        <v>0</v>
      </c>
      <c s="125">
        <f>Предпосылки!I$238*Предпосылки!$N272*Продажи!J37*J$19*(1+Чувствительность!$D$20)*IFERROR(LOOKUP(Предпосылки!$H$211,$C$13:$C$15,J$13:J$15),1)</f>
        <v>0</v>
      </c>
      <c s="125">
        <f>Предпосылки!J$238*Предпосылки!$N272*Продажи!K37*K$19*(1+Чувствительность!$D$20)*IFERROR(LOOKUP(Предпосылки!$H$211,$C$13:$C$15,K$13:K$15),1)</f>
        <v>0</v>
      </c>
      <c s="125">
        <f>Предпосылки!K$238*Предпосылки!$N272*Продажи!L37*L$19*(1+Чувствительность!$D$20)*IFERROR(LOOKUP(Предпосылки!$H$211,$C$13:$C$15,L$13:L$15),1)</f>
        <v>0</v>
      </c>
      <c s="125">
        <f>Предпосылки!L$238*Предпосылки!$N272*Продажи!M37*M$19*(1+Чувствительность!$D$20)*IFERROR(LOOKUP(Предпосылки!$H$211,$C$13:$C$15,M$13:M$15),1)</f>
        <v>0</v>
      </c>
      <c s="125">
        <f>Предпосылки!M$238*Предпосылки!$N272*Продажи!N37*N$19*(1+Чувствительность!$D$20)*IFERROR(LOOKUP(Предпосылки!$H$211,$C$13:$C$15,N$13:N$15),1)</f>
        <v>0</v>
      </c>
      <c s="125">
        <f>Предпосылки!N$238*Предпосылки!$N272*Продажи!O37*O$19*(1+Чувствительность!$D$20)*IFERROR(LOOKUP(Предпосылки!$H$211,$C$13:$C$15,O$13:O$15),1)</f>
        <v>0</v>
      </c>
      <c s="125">
        <f>Предпосылки!O$238*Предпосылки!$N272*Продажи!P37*P$19*(1+Чувствительность!$D$20)*IFERROR(LOOKUP(Предпосылки!$H$211,$C$13:$C$15,P$13:P$15),1)</f>
        <v>0</v>
      </c>
      <c s="125">
        <f>Предпосылки!P$238*Предпосылки!$N272*Продажи!Q37*Q$19*(1+Чувствительность!$D$20)*IFERROR(LOOKUP(Предпосылки!$H$211,$C$13:$C$15,Q$13:Q$15),1)</f>
        <v>0</v>
      </c>
      <c s="125">
        <f>Предпосылки!Q$238*Предпосылки!$N272*Продажи!R37*R$19*(1+Чувствительность!$D$20)*IFERROR(LOOKUP(Предпосылки!$H$211,$C$13:$C$15,R$13:R$15),1)</f>
        <v>0</v>
      </c>
      <c s="125">
        <f>Предпосылки!R$238*Предпосылки!$N272*Продажи!S37*S$19*(1+Чувствительность!$D$20)*IFERROR(LOOKUP(Предпосылки!$H$211,$C$13:$C$15,S$13:S$15),1)</f>
        <v>0</v>
      </c>
      <c s="125">
        <f>Предпосылки!S$238*Предпосылки!$N272*Продажи!T37*T$19*(1+Чувствительность!$D$20)*IFERROR(LOOKUP(Предпосылки!$H$211,$C$13:$C$15,T$13:T$15),1)</f>
        <v>0</v>
      </c>
      <c s="125">
        <f>Предпосылки!T$238*Предпосылки!$N272*Продажи!U37*U$19*(1+Чувствительность!$D$20)*IFERROR(LOOKUP(Предпосылки!$H$211,$C$13:$C$15,U$13:U$15),1)</f>
        <v>0</v>
      </c>
      <c s="125">
        <f>Предпосылки!U$238*Предпосылки!$N272*Продажи!V37*V$19*(1+Чувствительность!$D$20)*IFERROR(LOOKUP(Предпосылки!$H$211,$C$13:$C$15,V$13:V$15),1)</f>
        <v>0</v>
      </c>
      <c s="125">
        <f>Предпосылки!V$238*Предпосылки!$N272*Продажи!W37*W$19*(1+Чувствительность!$D$20)*IFERROR(LOOKUP(Предпосылки!$H$211,$C$13:$C$15,W$13:W$15),1)</f>
        <v>0</v>
      </c>
      <c s="125">
        <f>Предпосылки!W$238*Предпосылки!$N272*Продажи!X37*X$19*(1+Чувствительность!$D$20)*IFERROR(LOOKUP(Предпосылки!$H$211,$C$13:$C$15,X$13:X$15),1)</f>
        <v>0</v>
      </c>
      <c s="125">
        <f>Предпосылки!X$238*Предпосылки!$N272*Продажи!Y37*Y$19*(1+Чувствительность!$D$20)*IFERROR(LOOKUP(Предпосылки!$H$211,$C$13:$C$15,Y$13:Y$15),1)</f>
        <v>0</v>
      </c>
      <c s="125">
        <f>Предпосылки!Y$238*Предпосылки!$N272*Продажи!Z37*Z$19*(1+Чувствительность!$D$20)*IFERROR(LOOKUP(Предпосылки!$H$211,$C$13:$C$15,Z$13:Z$15),1)</f>
        <v>0</v>
      </c>
      <c s="125">
        <f>Предпосылки!Z$238*Предпосылки!$N272*Продажи!AA37*AA$19*(1+Чувствительность!$D$20)*IFERROR(LOOKUP(Предпосылки!$H$211,$C$13:$C$15,AA$13:AA$15),1)</f>
        <v>0</v>
      </c>
      <c s="125">
        <f>Предпосылки!AA$238*Предпосылки!$N272*Продажи!AB37*AB$19*(1+Чувствительность!$D$20)*IFERROR(LOOKUP(Предпосылки!$H$211,$C$13:$C$15,AB$13:AB$15),1)</f>
        <v>0</v>
      </c>
      <c s="125">
        <f>Предпосылки!AB$238*Предпосылки!$N272*Продажи!AC37*AC$19*(1+Чувствительность!$D$20)*IFERROR(LOOKUP(Предпосылки!$H$211,$C$13:$C$15,AC$13:AC$15),1)</f>
        <v>0</v>
      </c>
      <c s="125">
        <f>Предпосылки!AC$238*Предпосылки!$N272*Продажи!AD37*AD$19*(1+Чувствительность!$D$20)*IFERROR(LOOKUP(Предпосылки!$H$211,$C$13:$C$15,AD$13:AD$15),1)</f>
        <v>0</v>
      </c>
      <c s="125">
        <f>Предпосылки!AD$238*Предпосылки!$N272*Продажи!AE37*AE$19*(1+Чувствительность!$D$20)*IFERROR(LOOKUP(Предпосылки!$H$211,$C$13:$C$15,AE$13:AE$15),1)</f>
        <v>0</v>
      </c>
      <c s="125">
        <f>Предпосылки!AE$238*Предпосылки!$N272*Продажи!AF37*AF$19*(1+Чувствительность!$D$20)*IFERROR(LOOKUP(Предпосылки!$H$211,$C$13:$C$15,AF$13:AF$15),1)</f>
        <v>0</v>
      </c>
      <c s="125">
        <f>Предпосылки!AF$238*Предпосылки!$N272*Продажи!AG37*AG$19*(1+Чувствительность!$D$20)*IFERROR(LOOKUP(Предпосылки!$H$211,$C$13:$C$15,AG$13:AG$15),1)</f>
        <v>0</v>
      </c>
      <c s="125">
        <f>Предпосылки!AG$238*Предпосылки!$N272*Продажи!AH37*AH$19*(1+Чувствительность!$D$20)*IFERROR(LOOKUP(Предпосылки!$H$211,$C$13:$C$15,AH$13:AH$15),1)</f>
        <v>0</v>
      </c>
      <c s="125">
        <f>Предпосылки!AH$238*Предпосылки!$N272*Продажи!AI37*AI$19*(1+Чувствительность!$D$20)*IFERROR(LOOKUP(Предпосылки!$H$211,$C$13:$C$15,AI$13:AI$15),1)</f>
        <v>0</v>
      </c>
      <c s="125">
        <f>Предпосылки!AI$238*Предпосылки!$N272*Продажи!AJ37*AJ$19*(1+Чувствительность!$D$20)*IFERROR(LOOKUP(Предпосылки!$H$211,$C$13:$C$15,AJ$13:AJ$15),1)</f>
        <v>0</v>
      </c>
      <c s="125">
        <f>Предпосылки!AJ$238*Предпосылки!$N272*Продажи!AK37*AK$19*(1+Чувствительность!$D$20)*IFERROR(LOOKUP(Предпосылки!$H$211,$C$13:$C$15,AK$13:AK$15),1)</f>
        <v>0</v>
      </c>
      <c s="125">
        <f>Предпосылки!AK$238*Предпосылки!$N272*Продажи!AL37*AL$19*(1+Чувствительность!$D$20)*IFERROR(LOOKUP(Предпосылки!$H$211,$C$13:$C$15,AL$13:AL$15),1)</f>
        <v>0</v>
      </c>
      <c s="125">
        <f>Предпосылки!AL$238*Предпосылки!$N272*Продажи!AM37*AM$19*(1+Чувствительность!$D$20)*IFERROR(LOOKUP(Предпосылки!$H$211,$C$13:$C$15,AM$13:AM$15),1)</f>
        <v>0</v>
      </c>
      <c s="125">
        <f>Предпосылки!AM$238*Предпосылки!$N272*Продажи!AN37*AN$19*(1+Чувствительность!$D$20)*IFERROR(LOOKUP(Предпосылки!$H$211,$C$13:$C$15,AN$13:AN$15),1)</f>
        <v>0</v>
      </c>
      <c s="125">
        <f>Предпосылки!AN$238*Предпосылки!$N272*Продажи!AO37*AO$19*(1+Чувствительность!$D$20)*IFERROR(LOOKUP(Предпосылки!$H$211,$C$13:$C$15,AO$13:AO$15),1)</f>
        <v>0</v>
      </c>
      <c s="125">
        <f>Предпосылки!AO$238*Предпосылки!$N272*Продажи!AP37*AP$19*(1+Чувствительность!$D$20)*IFERROR(LOOKUP(Предпосылки!$H$211,$C$13:$C$15,AP$13:AP$15),1)</f>
        <v>0</v>
      </c>
      <c s="125">
        <f>Предпосылки!AP$238*Предпосылки!$N272*Продажи!AQ37*AQ$19*(1+Чувствительность!$D$20)*IFERROR(LOOKUP(Предпосылки!$H$211,$C$13:$C$15,AQ$13:AQ$15),1)</f>
        <v>0</v>
      </c>
      <c s="125">
        <f>Предпосылки!AQ$238*Предпосылки!$N272*Продажи!AR37*AR$19*(1+Чувствительность!$D$20)*IFERROR(LOOKUP(Предпосылки!$H$211,$C$13:$C$15,AR$13:AR$15),1)</f>
        <v>0</v>
      </c>
      <c s="125">
        <f>Предпосылки!AR$238*Предпосылки!$N272*Продажи!AS37*AS$19*(1+Чувствительность!$D$20)*IFERROR(LOOKUP(Предпосылки!$H$211,$C$13:$C$15,AS$13:AS$15),1)</f>
        <v>0</v>
      </c>
      <c s="125">
        <f>Предпосылки!AS$238*Предпосылки!$N272*Продажи!AT37*AT$19*(1+Чувствительность!$D$20)*IFERROR(LOOKUP(Предпосылки!$H$211,$C$13:$C$15,AT$13:AT$15),1)</f>
        <v>0</v>
      </c>
      <c s="125">
        <f>Предпосылки!AT$238*Предпосылки!$N272*Продажи!AU37*AU$19*(1+Чувствительность!$D$20)*IFERROR(LOOKUP(Предпосылки!$H$211,$C$13:$C$15,AU$13:AU$15),1)</f>
        <v>0</v>
      </c>
      <c s="125">
        <f>Предпосылки!AU$238*Предпосылки!$N272*Продажи!AV37*AV$19*(1+Чувствительность!$D$20)*IFERROR(LOOKUP(Предпосылки!$H$211,$C$13:$C$15,AV$13:AV$15),1)</f>
        <v>0</v>
      </c>
      <c s="125">
        <f>Предпосылки!AV$238*Предпосылки!$N272*Продажи!AW37*AW$19*(1+Чувствительность!$D$20)*IFERROR(LOOKUP(Предпосылки!$H$211,$C$13:$C$15,AW$13:AW$15),1)</f>
        <v>0</v>
      </c>
      <c s="125">
        <f>Предпосылки!AW$238*Предпосылки!$N272*Продажи!AX37*AX$19*(1+Чувствительность!$D$20)*IFERROR(LOOKUP(Предпосылки!$H$211,$C$13:$C$15,AX$13:AX$15),1)</f>
        <v>0</v>
      </c>
      <c s="125">
        <f>Предпосылки!AX$238*Предпосылки!$N272*Продажи!AY37*AY$19*(1+Чувствительность!$D$20)*IFERROR(LOOKUP(Предпосылки!$H$211,$C$13:$C$15,AY$13:AY$15),1)</f>
        <v>0</v>
      </c>
      <c s="125">
        <f>Предпосылки!AY$238*Предпосылки!$N272*Продажи!AZ37*AZ$19*(1+Чувствительность!$D$20)*IFERROR(LOOKUP(Предпосылки!$H$211,$C$13:$C$15,AZ$13:AZ$15),1)</f>
        <v>0</v>
      </c>
      <c s="125">
        <f>Предпосылки!AZ$238*Предпосылки!$N272*Продажи!BA37*BA$19*(1+Чувствительность!$D$20)*IFERROR(LOOKUP(Предпосылки!$H$211,$C$13:$C$15,BA$13:BA$15),1)</f>
        <v>0</v>
      </c>
      <c s="125">
        <f>Предпосылки!BA$238*Предпосылки!$N272*Продажи!BB37*BB$19*(1+Чувствительность!$D$20)*IFERROR(LOOKUP(Предпосылки!$H$211,$C$13:$C$15,BB$13:BB$15),1)</f>
        <v>0</v>
      </c>
      <c s="125">
        <f>Предпосылки!BB$238*Предпосылки!$N272*Продажи!BC37*BC$19*(1+Чувствительность!$D$20)*IFERROR(LOOKUP(Предпосылки!$H$211,$C$13:$C$15,BC$13:BC$15),1)</f>
        <v>0</v>
      </c>
      <c s="125">
        <f>Предпосылки!BC$238*Предпосылки!$N272*Продажи!BD37*BD$19*(1+Чувствительность!$D$20)*IFERROR(LOOKUP(Предпосылки!$H$211,$C$13:$C$15,BD$13:BD$15),1)</f>
        <v>0</v>
      </c>
      <c s="125">
        <f>Предпосылки!BD$238*Предпосылки!$N272*Продажи!BE37*BE$19*(1+Чувствительность!$D$20)*IFERROR(LOOKUP(Предпосылки!$H$211,$C$13:$C$15,BE$13:BE$15),1)</f>
        <v>0</v>
      </c>
      <c s="125">
        <f>Предпосылки!BE$238*Предпосылки!$N272*Продажи!BF37*BF$19*(1+Чувствительность!$D$20)*IFERROR(LOOKUP(Предпосылки!$H$211,$C$13:$C$15,BF$13:BF$15),1)</f>
        <v>0</v>
      </c>
      <c s="125">
        <f>Предпосылки!BF$238*Предпосылки!$N272*Продажи!BG37*BG$19*(1+Чувствительность!$D$20)*IFERROR(LOOKUP(Предпосылки!$H$211,$C$13:$C$15,BG$13:BG$15),1)</f>
        <v>0</v>
      </c>
      <c s="125">
        <f>Предпосылки!BG$238*Предпосылки!$N272*Продажи!BH37*BH$19*(1+Чувствительность!$D$20)*IFERROR(LOOKUP(Предпосылки!$H$211,$C$13:$C$15,BH$13:BH$15),1)</f>
        <v>0</v>
      </c>
      <c s="125">
        <f>Предпосылки!BH$238*Предпосылки!$N272*Продажи!BI37*BI$19*(1+Чувствительность!$D$20)*IFERROR(LOOKUP(Предпосылки!$H$211,$C$13:$C$15,BI$13:BI$15),1)</f>
        <v>0</v>
      </c>
      <c s="125">
        <f>Предпосылки!BI$238*Предпосылки!$N272*Продажи!BJ37*BJ$19*(1+Чувствительность!$D$20)*IFERROR(LOOKUP(Предпосылки!$H$211,$C$13:$C$15,BJ$13:BJ$15),1)</f>
        <v>0</v>
      </c>
      <c s="125">
        <f>Предпосылки!BJ$238*Предпосылки!$N272*Продажи!BK37*BK$19*(1+Чувствительность!$D$20)*IFERROR(LOOKUP(Предпосылки!$H$211,$C$13:$C$15,BK$13:BK$15),1)</f>
        <v>0</v>
      </c>
      <c s="125">
        <f>Предпосылки!BK$238*Предпосылки!$N272*Продажи!BL37*BL$19*(1+Чувствительность!$D$20)*IFERROR(LOOKUP(Предпосылки!$H$211,$C$13:$C$15,BL$13:BL$15),1)</f>
        <v>0</v>
      </c>
      <c s="125">
        <f>Предпосылки!BL$238*Предпосылки!$N272*Продажи!BM37*BM$19*(1+Чувствительность!$D$20)*IFERROR(LOOKUP(Предпосылки!$H$211,$C$13:$C$15,BM$13:BM$15),1)</f>
        <v>0</v>
      </c>
    </row>
    <row r="273" spans="2:65" ht="15" customHeight="1">
      <c r="B273" s="289" t="s">
        <v>454</v>
      </c>
      <c s="290" t="str">
        <f>Единица_измерения</f>
        <v>тыс. руб.</v>
      </c>
      <c s="291">
        <f>SUM(D253:D272)</f>
        <v>0</v>
      </c>
      <c s="276">
        <f>SUM(E253:E272)</f>
        <v>0</v>
      </c>
      <c s="276">
        <f t="shared" si="113" ref="F273:AG273">SUM(F253:F272)</f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3"/>
        <v>0</v>
      </c>
      <c s="276">
        <f t="shared" si="114" ref="AH273:BM273">SUM(AH253:AH272)</f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  <c s="276">
        <f t="shared" si="114"/>
        <v>0</v>
      </c>
    </row>
    <row r="274" ht="15" customHeight="1"/>
    <row r="275" spans="2:69" ht="14.45">
      <c r="B275" s="25" t="str">
        <f>Предпосылки!B239</f>
        <v>Операционные затраты 12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6" spans="2:65" ht="15" customHeight="1">
      <c r="B276" s="12" t="str">
        <f>B253</f>
        <v>Продукт 1</v>
      </c>
      <c s="124" t="str">
        <f t="shared" si="115" ref="C276:C295">Единица_измерения</f>
        <v>тыс. руб.</v>
      </c>
      <c s="276">
        <f>SUM(E276:BM276)</f>
        <v>0</v>
      </c>
      <c s="125">
        <f>Предпосылки!D$239*Предпосылки!$O253*Продажи!E18*E$19*(1+Чувствительность!$D$20)*IFERROR(LOOKUP(Предпосылки!$H$212,$C$13:$C$15,E$13:E$15),1)</f>
        <v>0</v>
      </c>
      <c s="125">
        <f>Предпосылки!E$239*Предпосылки!$O253*Продажи!F18*F$19*(1+Чувствительность!$D$20)*IFERROR(LOOKUP(Предпосылки!$H$212,$C$13:$C$15,F$13:F$15),1)</f>
        <v>0</v>
      </c>
      <c s="125">
        <f>Предпосылки!F$239*Предпосылки!$O253*Продажи!G18*G$19*(1+Чувствительность!$D$20)*IFERROR(LOOKUP(Предпосылки!$H$212,$C$13:$C$15,G$13:G$15),1)</f>
        <v>0</v>
      </c>
      <c s="125">
        <f>Предпосылки!G$239*Предпосылки!$O253*Продажи!H18*H$19*(1+Чувствительность!$D$20)*IFERROR(LOOKUP(Предпосылки!$H$212,$C$13:$C$15,H$13:H$15),1)</f>
        <v>0</v>
      </c>
      <c s="125">
        <f>Предпосылки!H$239*Предпосылки!$O253*Продажи!I18*I$19*(1+Чувствительность!$D$20)*IFERROR(LOOKUP(Предпосылки!$H$212,$C$13:$C$15,I$13:I$15),1)</f>
        <v>0</v>
      </c>
      <c s="125">
        <f>Предпосылки!I$239*Предпосылки!$O253*Продажи!J18*J$19*(1+Чувствительность!$D$20)*IFERROR(LOOKUP(Предпосылки!$H$212,$C$13:$C$15,J$13:J$15),1)</f>
        <v>0</v>
      </c>
      <c s="125">
        <f>Предпосылки!J$239*Предпосылки!$O253*Продажи!K18*K$19*(1+Чувствительность!$D$20)*IFERROR(LOOKUP(Предпосылки!$H$212,$C$13:$C$15,K$13:K$15),1)</f>
        <v>0</v>
      </c>
      <c s="125">
        <f>Предпосылки!K$239*Предпосылки!$O253*Продажи!L18*L$19*(1+Чувствительность!$D$20)*IFERROR(LOOKUP(Предпосылки!$H$212,$C$13:$C$15,L$13:L$15),1)</f>
        <v>0</v>
      </c>
      <c s="125">
        <f>Предпосылки!L$239*Предпосылки!$O253*Продажи!M18*M$19*(1+Чувствительность!$D$20)*IFERROR(LOOKUP(Предпосылки!$H$212,$C$13:$C$15,M$13:M$15),1)</f>
        <v>0</v>
      </c>
      <c s="125">
        <f>Предпосылки!M$239*Предпосылки!$O253*Продажи!N18*N$19*(1+Чувствительность!$D$20)*IFERROR(LOOKUP(Предпосылки!$H$212,$C$13:$C$15,N$13:N$15),1)</f>
        <v>0</v>
      </c>
      <c s="125">
        <f>Предпосылки!N$239*Предпосылки!$O253*Продажи!O18*O$19*(1+Чувствительность!$D$20)*IFERROR(LOOKUP(Предпосылки!$H$212,$C$13:$C$15,O$13:O$15),1)</f>
        <v>0</v>
      </c>
      <c s="125">
        <f>Предпосылки!O$239*Предпосылки!$O253*Продажи!P18*P$19*(1+Чувствительность!$D$20)*IFERROR(LOOKUP(Предпосылки!$H$212,$C$13:$C$15,P$13:P$15),1)</f>
        <v>0</v>
      </c>
      <c s="125">
        <f>Предпосылки!P$239*Предпосылки!$O253*Продажи!Q18*Q$19*(1+Чувствительность!$D$20)*IFERROR(LOOKUP(Предпосылки!$H$212,$C$13:$C$15,Q$13:Q$15),1)</f>
        <v>0</v>
      </c>
      <c s="125">
        <f>Предпосылки!Q$239*Предпосылки!$O253*Продажи!R18*R$19*(1+Чувствительность!$D$20)*IFERROR(LOOKUP(Предпосылки!$H$212,$C$13:$C$15,R$13:R$15),1)</f>
        <v>0</v>
      </c>
      <c s="125">
        <f>Предпосылки!R$239*Предпосылки!$O253*Продажи!S18*S$19*(1+Чувствительность!$D$20)*IFERROR(LOOKUP(Предпосылки!$H$212,$C$13:$C$15,S$13:S$15),1)</f>
        <v>0</v>
      </c>
      <c s="125">
        <f>Предпосылки!S$239*Предпосылки!$O253*Продажи!T18*T$19*(1+Чувствительность!$D$20)*IFERROR(LOOKUP(Предпосылки!$H$212,$C$13:$C$15,T$13:T$15),1)</f>
        <v>0</v>
      </c>
      <c s="125">
        <f>Предпосылки!T$239*Предпосылки!$O253*Продажи!U18*U$19*(1+Чувствительность!$D$20)*IFERROR(LOOKUP(Предпосылки!$H$212,$C$13:$C$15,U$13:U$15),1)</f>
        <v>0</v>
      </c>
      <c s="125">
        <f>Предпосылки!U$239*Предпосылки!$O253*Продажи!V18*V$19*(1+Чувствительность!$D$20)*IFERROR(LOOKUP(Предпосылки!$H$212,$C$13:$C$15,V$13:V$15),1)</f>
        <v>0</v>
      </c>
      <c s="125">
        <f>Предпосылки!V$239*Предпосылки!$O253*Продажи!W18*W$19*(1+Чувствительность!$D$20)*IFERROR(LOOKUP(Предпосылки!$H$212,$C$13:$C$15,W$13:W$15),1)</f>
        <v>0</v>
      </c>
      <c s="125">
        <f>Предпосылки!W$239*Предпосылки!$O253*Продажи!X18*X$19*(1+Чувствительность!$D$20)*IFERROR(LOOKUP(Предпосылки!$H$212,$C$13:$C$15,X$13:X$15),1)</f>
        <v>0</v>
      </c>
      <c s="125">
        <f>Предпосылки!X$239*Предпосылки!$O253*Продажи!Y18*Y$19*(1+Чувствительность!$D$20)*IFERROR(LOOKUP(Предпосылки!$H$212,$C$13:$C$15,Y$13:Y$15),1)</f>
        <v>0</v>
      </c>
      <c s="125">
        <f>Предпосылки!Y$239*Предпосылки!$O253*Продажи!Z18*Z$19*(1+Чувствительность!$D$20)*IFERROR(LOOKUP(Предпосылки!$H$212,$C$13:$C$15,Z$13:Z$15),1)</f>
        <v>0</v>
      </c>
      <c s="125">
        <f>Предпосылки!Z$239*Предпосылки!$O253*Продажи!AA18*AA$19*(1+Чувствительность!$D$20)*IFERROR(LOOKUP(Предпосылки!$H$212,$C$13:$C$15,AA$13:AA$15),1)</f>
        <v>0</v>
      </c>
      <c s="125">
        <f>Предпосылки!AA$239*Предпосылки!$O253*Продажи!AB18*AB$19*(1+Чувствительность!$D$20)*IFERROR(LOOKUP(Предпосылки!$H$212,$C$13:$C$15,AB$13:AB$15),1)</f>
        <v>0</v>
      </c>
      <c s="125">
        <f>Предпосылки!AB$239*Предпосылки!$O253*Продажи!AC18*AC$19*(1+Чувствительность!$D$20)*IFERROR(LOOKUP(Предпосылки!$H$212,$C$13:$C$15,AC$13:AC$15),1)</f>
        <v>0</v>
      </c>
      <c s="125">
        <f>Предпосылки!AC$239*Предпосылки!$O253*Продажи!AD18*AD$19*(1+Чувствительность!$D$20)*IFERROR(LOOKUP(Предпосылки!$H$212,$C$13:$C$15,AD$13:AD$15),1)</f>
        <v>0</v>
      </c>
      <c s="125">
        <f>Предпосылки!AD$239*Предпосылки!$O253*Продажи!AE18*AE$19*(1+Чувствительность!$D$20)*IFERROR(LOOKUP(Предпосылки!$H$212,$C$13:$C$15,AE$13:AE$15),1)</f>
        <v>0</v>
      </c>
      <c s="125">
        <f>Предпосылки!AE$239*Предпосылки!$O253*Продажи!AF18*AF$19*(1+Чувствительность!$D$20)*IFERROR(LOOKUP(Предпосылки!$H$212,$C$13:$C$15,AF$13:AF$15),1)</f>
        <v>0</v>
      </c>
      <c s="125">
        <f>Предпосылки!AF$239*Предпосылки!$O253*Продажи!AG18*AG$19*(1+Чувствительность!$D$20)*IFERROR(LOOKUP(Предпосылки!$H$212,$C$13:$C$15,AG$13:AG$15),1)</f>
        <v>0</v>
      </c>
      <c s="125">
        <f>Предпосылки!AG$239*Предпосылки!$O253*Продажи!AH18*AH$19*(1+Чувствительность!$D$20)*IFERROR(LOOKUP(Предпосылки!$H$212,$C$13:$C$15,AH$13:AH$15),1)</f>
        <v>0</v>
      </c>
      <c s="125">
        <f>Предпосылки!AH$239*Предпосылки!$O253*Продажи!AI18*AI$19*(1+Чувствительность!$D$20)*IFERROR(LOOKUP(Предпосылки!$H$212,$C$13:$C$15,AI$13:AI$15),1)</f>
        <v>0</v>
      </c>
      <c s="125">
        <f>Предпосылки!AI$239*Предпосылки!$O253*Продажи!AJ18*AJ$19*(1+Чувствительность!$D$20)*IFERROR(LOOKUP(Предпосылки!$H$212,$C$13:$C$15,AJ$13:AJ$15),1)</f>
        <v>0</v>
      </c>
      <c s="125">
        <f>Предпосылки!AJ$239*Предпосылки!$O253*Продажи!AK18*AK$19*(1+Чувствительность!$D$20)*IFERROR(LOOKUP(Предпосылки!$H$212,$C$13:$C$15,AK$13:AK$15),1)</f>
        <v>0</v>
      </c>
      <c s="125">
        <f>Предпосылки!AK$239*Предпосылки!$O253*Продажи!AL18*AL$19*(1+Чувствительность!$D$20)*IFERROR(LOOKUP(Предпосылки!$H$212,$C$13:$C$15,AL$13:AL$15),1)</f>
        <v>0</v>
      </c>
      <c s="125">
        <f>Предпосылки!AL$239*Предпосылки!$O253*Продажи!AM18*AM$19*(1+Чувствительность!$D$20)*IFERROR(LOOKUP(Предпосылки!$H$212,$C$13:$C$15,AM$13:AM$15),1)</f>
        <v>0</v>
      </c>
      <c s="125">
        <f>Предпосылки!AM$239*Предпосылки!$O253*Продажи!AN18*AN$19*(1+Чувствительность!$D$20)*IFERROR(LOOKUP(Предпосылки!$H$212,$C$13:$C$15,AN$13:AN$15),1)</f>
        <v>0</v>
      </c>
      <c s="125">
        <f>Предпосылки!AN$239*Предпосылки!$O253*Продажи!AO18*AO$19*(1+Чувствительность!$D$20)*IFERROR(LOOKUP(Предпосылки!$H$212,$C$13:$C$15,AO$13:AO$15),1)</f>
        <v>0</v>
      </c>
      <c s="125">
        <f>Предпосылки!AO$239*Предпосылки!$O253*Продажи!AP18*AP$19*(1+Чувствительность!$D$20)*IFERROR(LOOKUP(Предпосылки!$H$212,$C$13:$C$15,AP$13:AP$15),1)</f>
        <v>0</v>
      </c>
      <c s="125">
        <f>Предпосылки!AP$239*Предпосылки!$O253*Продажи!AQ18*AQ$19*(1+Чувствительность!$D$20)*IFERROR(LOOKUP(Предпосылки!$H$212,$C$13:$C$15,AQ$13:AQ$15),1)</f>
        <v>0</v>
      </c>
      <c s="125">
        <f>Предпосылки!AQ$239*Предпосылки!$O253*Продажи!AR18*AR$19*(1+Чувствительность!$D$20)*IFERROR(LOOKUP(Предпосылки!$H$212,$C$13:$C$15,AR$13:AR$15),1)</f>
        <v>0</v>
      </c>
      <c s="125">
        <f>Предпосылки!AR$239*Предпосылки!$O253*Продажи!AS18*AS$19*(1+Чувствительность!$D$20)*IFERROR(LOOKUP(Предпосылки!$H$212,$C$13:$C$15,AS$13:AS$15),1)</f>
        <v>0</v>
      </c>
      <c s="125">
        <f>Предпосылки!AS$239*Предпосылки!$O253*Продажи!AT18*AT$19*(1+Чувствительность!$D$20)*IFERROR(LOOKUP(Предпосылки!$H$212,$C$13:$C$15,AT$13:AT$15),1)</f>
        <v>0</v>
      </c>
      <c s="125">
        <f>Предпосылки!AT$239*Предпосылки!$O253*Продажи!AU18*AU$19*(1+Чувствительность!$D$20)*IFERROR(LOOKUP(Предпосылки!$H$212,$C$13:$C$15,AU$13:AU$15),1)</f>
        <v>0</v>
      </c>
      <c s="125">
        <f>Предпосылки!AU$239*Предпосылки!$O253*Продажи!AV18*AV$19*(1+Чувствительность!$D$20)*IFERROR(LOOKUP(Предпосылки!$H$212,$C$13:$C$15,AV$13:AV$15),1)</f>
        <v>0</v>
      </c>
      <c s="125">
        <f>Предпосылки!AV$239*Предпосылки!$O253*Продажи!AW18*AW$19*(1+Чувствительность!$D$20)*IFERROR(LOOKUP(Предпосылки!$H$212,$C$13:$C$15,AW$13:AW$15),1)</f>
        <v>0</v>
      </c>
      <c s="125">
        <f>Предпосылки!AW$239*Предпосылки!$O253*Продажи!AX18*AX$19*(1+Чувствительность!$D$20)*IFERROR(LOOKUP(Предпосылки!$H$212,$C$13:$C$15,AX$13:AX$15),1)</f>
        <v>0</v>
      </c>
      <c s="125">
        <f>Предпосылки!AX$239*Предпосылки!$O253*Продажи!AY18*AY$19*(1+Чувствительность!$D$20)*IFERROR(LOOKUP(Предпосылки!$H$212,$C$13:$C$15,AY$13:AY$15),1)</f>
        <v>0</v>
      </c>
      <c s="125">
        <f>Предпосылки!AY$239*Предпосылки!$O253*Продажи!AZ18*AZ$19*(1+Чувствительность!$D$20)*IFERROR(LOOKUP(Предпосылки!$H$212,$C$13:$C$15,AZ$13:AZ$15),1)</f>
        <v>0</v>
      </c>
      <c s="125">
        <f>Предпосылки!AZ$239*Предпосылки!$O253*Продажи!BA18*BA$19*(1+Чувствительность!$D$20)*IFERROR(LOOKUP(Предпосылки!$H$212,$C$13:$C$15,BA$13:BA$15),1)</f>
        <v>0</v>
      </c>
      <c s="125">
        <f>Предпосылки!BA$239*Предпосылки!$O253*Продажи!BB18*BB$19*(1+Чувствительность!$D$20)*IFERROR(LOOKUP(Предпосылки!$H$212,$C$13:$C$15,BB$13:BB$15),1)</f>
        <v>0</v>
      </c>
      <c s="125">
        <f>Предпосылки!BB$239*Предпосылки!$O253*Продажи!BC18*BC$19*(1+Чувствительность!$D$20)*IFERROR(LOOKUP(Предпосылки!$H$212,$C$13:$C$15,BC$13:BC$15),1)</f>
        <v>0</v>
      </c>
      <c s="125">
        <f>Предпосылки!BC$239*Предпосылки!$O253*Продажи!BD18*BD$19*(1+Чувствительность!$D$20)*IFERROR(LOOKUP(Предпосылки!$H$212,$C$13:$C$15,BD$13:BD$15),1)</f>
        <v>0</v>
      </c>
      <c s="125">
        <f>Предпосылки!BD$239*Предпосылки!$O253*Продажи!BE18*BE$19*(1+Чувствительность!$D$20)*IFERROR(LOOKUP(Предпосылки!$H$212,$C$13:$C$15,BE$13:BE$15),1)</f>
        <v>0</v>
      </c>
      <c s="125">
        <f>Предпосылки!BE$239*Предпосылки!$O253*Продажи!BF18*BF$19*(1+Чувствительность!$D$20)*IFERROR(LOOKUP(Предпосылки!$H$212,$C$13:$C$15,BF$13:BF$15),1)</f>
        <v>0</v>
      </c>
      <c s="125">
        <f>Предпосылки!BF$239*Предпосылки!$O253*Продажи!BG18*BG$19*(1+Чувствительность!$D$20)*IFERROR(LOOKUP(Предпосылки!$H$212,$C$13:$C$15,BG$13:BG$15),1)</f>
        <v>0</v>
      </c>
      <c s="125">
        <f>Предпосылки!BG$239*Предпосылки!$O253*Продажи!BH18*BH$19*(1+Чувствительность!$D$20)*IFERROR(LOOKUP(Предпосылки!$H$212,$C$13:$C$15,BH$13:BH$15),1)</f>
        <v>0</v>
      </c>
      <c s="125">
        <f>Предпосылки!BH$239*Предпосылки!$O253*Продажи!BI18*BI$19*(1+Чувствительность!$D$20)*IFERROR(LOOKUP(Предпосылки!$H$212,$C$13:$C$15,BI$13:BI$15),1)</f>
        <v>0</v>
      </c>
      <c s="125">
        <f>Предпосылки!BI$239*Предпосылки!$O253*Продажи!BJ18*BJ$19*(1+Чувствительность!$D$20)*IFERROR(LOOKUP(Предпосылки!$H$212,$C$13:$C$15,BJ$13:BJ$15),1)</f>
        <v>0</v>
      </c>
      <c s="125">
        <f>Предпосылки!BJ$239*Предпосылки!$O253*Продажи!BK18*BK$19*(1+Чувствительность!$D$20)*IFERROR(LOOKUP(Предпосылки!$H$212,$C$13:$C$15,BK$13:BK$15),1)</f>
        <v>0</v>
      </c>
      <c s="125">
        <f>Предпосылки!BK$239*Предпосылки!$O253*Продажи!BL18*BL$19*(1+Чувствительность!$D$20)*IFERROR(LOOKUP(Предпосылки!$H$212,$C$13:$C$15,BL$13:BL$15),1)</f>
        <v>0</v>
      </c>
      <c s="125">
        <f>Предпосылки!BL$239*Предпосылки!$O253*Продажи!BM18*BM$19*(1+Чувствительность!$D$20)*IFERROR(LOOKUP(Предпосылки!$H$212,$C$13:$C$15,BM$13:BM$15),1)</f>
        <v>0</v>
      </c>
    </row>
    <row r="277" spans="2:65" ht="15" customHeight="1">
      <c r="B277" s="12" t="str">
        <f t="shared" si="116" ref="B277:B295">B254</f>
        <v>Продукт 2</v>
      </c>
      <c s="124" t="str">
        <f t="shared" si="115"/>
        <v>тыс. руб.</v>
      </c>
      <c s="276">
        <f t="shared" si="117" ref="D277:D295">SUM(E277:BM277)</f>
        <v>0</v>
      </c>
      <c s="125">
        <f>Предпосылки!D$239*Предпосылки!$O254*Продажи!E19*E$19*(1+Чувствительность!$D$20)*IFERROR(LOOKUP(Предпосылки!$H$212,$C$13:$C$15,E$13:E$15),1)</f>
        <v>0</v>
      </c>
      <c s="125">
        <f>Предпосылки!E$239*Предпосылки!$O254*Продажи!F19*F$19*(1+Чувствительность!$D$20)*IFERROR(LOOKUP(Предпосылки!$H$212,$C$13:$C$15,F$13:F$15),1)</f>
        <v>0</v>
      </c>
      <c s="125">
        <f>Предпосылки!F$239*Предпосылки!$O254*Продажи!G19*G$19*(1+Чувствительность!$D$20)*IFERROR(LOOKUP(Предпосылки!$H$212,$C$13:$C$15,G$13:G$15),1)</f>
        <v>0</v>
      </c>
      <c s="125">
        <f>Предпосылки!G$239*Предпосылки!$O254*Продажи!H19*H$19*(1+Чувствительность!$D$20)*IFERROR(LOOKUP(Предпосылки!$H$212,$C$13:$C$15,H$13:H$15),1)</f>
        <v>0</v>
      </c>
      <c s="125">
        <f>Предпосылки!H$239*Предпосылки!$O254*Продажи!I19*I$19*(1+Чувствительность!$D$20)*IFERROR(LOOKUP(Предпосылки!$H$212,$C$13:$C$15,I$13:I$15),1)</f>
        <v>0</v>
      </c>
      <c s="125">
        <f>Предпосылки!I$239*Предпосылки!$O254*Продажи!J19*J$19*(1+Чувствительность!$D$20)*IFERROR(LOOKUP(Предпосылки!$H$212,$C$13:$C$15,J$13:J$15),1)</f>
        <v>0</v>
      </c>
      <c s="125">
        <f>Предпосылки!J$239*Предпосылки!$O254*Продажи!K19*K$19*(1+Чувствительность!$D$20)*IFERROR(LOOKUP(Предпосылки!$H$212,$C$13:$C$15,K$13:K$15),1)</f>
        <v>0</v>
      </c>
      <c s="125">
        <f>Предпосылки!K$239*Предпосылки!$O254*Продажи!L19*L$19*(1+Чувствительность!$D$20)*IFERROR(LOOKUP(Предпосылки!$H$212,$C$13:$C$15,L$13:L$15),1)</f>
        <v>0</v>
      </c>
      <c s="125">
        <f>Предпосылки!L$239*Предпосылки!$O254*Продажи!M19*M$19*(1+Чувствительность!$D$20)*IFERROR(LOOKUP(Предпосылки!$H$212,$C$13:$C$15,M$13:M$15),1)</f>
        <v>0</v>
      </c>
      <c s="125">
        <f>Предпосылки!M$239*Предпосылки!$O254*Продажи!N19*N$19*(1+Чувствительность!$D$20)*IFERROR(LOOKUP(Предпосылки!$H$212,$C$13:$C$15,N$13:N$15),1)</f>
        <v>0</v>
      </c>
      <c s="125">
        <f>Предпосылки!N$239*Предпосылки!$O254*Продажи!O19*O$19*(1+Чувствительность!$D$20)*IFERROR(LOOKUP(Предпосылки!$H$212,$C$13:$C$15,O$13:O$15),1)</f>
        <v>0</v>
      </c>
      <c s="125">
        <f>Предпосылки!O$239*Предпосылки!$O254*Продажи!P19*P$19*(1+Чувствительность!$D$20)*IFERROR(LOOKUP(Предпосылки!$H$212,$C$13:$C$15,P$13:P$15),1)</f>
        <v>0</v>
      </c>
      <c s="125">
        <f>Предпосылки!P$239*Предпосылки!$O254*Продажи!Q19*Q$19*(1+Чувствительность!$D$20)*IFERROR(LOOKUP(Предпосылки!$H$212,$C$13:$C$15,Q$13:Q$15),1)</f>
        <v>0</v>
      </c>
      <c s="125">
        <f>Предпосылки!Q$239*Предпосылки!$O254*Продажи!R19*R$19*(1+Чувствительность!$D$20)*IFERROR(LOOKUP(Предпосылки!$H$212,$C$13:$C$15,R$13:R$15),1)</f>
        <v>0</v>
      </c>
      <c s="125">
        <f>Предпосылки!R$239*Предпосылки!$O254*Продажи!S19*S$19*(1+Чувствительность!$D$20)*IFERROR(LOOKUP(Предпосылки!$H$212,$C$13:$C$15,S$13:S$15),1)</f>
        <v>0</v>
      </c>
      <c s="125">
        <f>Предпосылки!S$239*Предпосылки!$O254*Продажи!T19*T$19*(1+Чувствительность!$D$20)*IFERROR(LOOKUP(Предпосылки!$H$212,$C$13:$C$15,T$13:T$15),1)</f>
        <v>0</v>
      </c>
      <c s="125">
        <f>Предпосылки!T$239*Предпосылки!$O254*Продажи!U19*U$19*(1+Чувствительность!$D$20)*IFERROR(LOOKUP(Предпосылки!$H$212,$C$13:$C$15,U$13:U$15),1)</f>
        <v>0</v>
      </c>
      <c s="125">
        <f>Предпосылки!U$239*Предпосылки!$O254*Продажи!V19*V$19*(1+Чувствительность!$D$20)*IFERROR(LOOKUP(Предпосылки!$H$212,$C$13:$C$15,V$13:V$15),1)</f>
        <v>0</v>
      </c>
      <c s="125">
        <f>Предпосылки!V$239*Предпосылки!$O254*Продажи!W19*W$19*(1+Чувствительность!$D$20)*IFERROR(LOOKUP(Предпосылки!$H$212,$C$13:$C$15,W$13:W$15),1)</f>
        <v>0</v>
      </c>
      <c s="125">
        <f>Предпосылки!W$239*Предпосылки!$O254*Продажи!X19*X$19*(1+Чувствительность!$D$20)*IFERROR(LOOKUP(Предпосылки!$H$212,$C$13:$C$15,X$13:X$15),1)</f>
        <v>0</v>
      </c>
      <c s="125">
        <f>Предпосылки!X$239*Предпосылки!$O254*Продажи!Y19*Y$19*(1+Чувствительность!$D$20)*IFERROR(LOOKUP(Предпосылки!$H$212,$C$13:$C$15,Y$13:Y$15),1)</f>
        <v>0</v>
      </c>
      <c s="125">
        <f>Предпосылки!Y$239*Предпосылки!$O254*Продажи!Z19*Z$19*(1+Чувствительность!$D$20)*IFERROR(LOOKUP(Предпосылки!$H$212,$C$13:$C$15,Z$13:Z$15),1)</f>
        <v>0</v>
      </c>
      <c s="125">
        <f>Предпосылки!Z$239*Предпосылки!$O254*Продажи!AA19*AA$19*(1+Чувствительность!$D$20)*IFERROR(LOOKUP(Предпосылки!$H$212,$C$13:$C$15,AA$13:AA$15),1)</f>
        <v>0</v>
      </c>
      <c s="125">
        <f>Предпосылки!AA$239*Предпосылки!$O254*Продажи!AB19*AB$19*(1+Чувствительность!$D$20)*IFERROR(LOOKUP(Предпосылки!$H$212,$C$13:$C$15,AB$13:AB$15),1)</f>
        <v>0</v>
      </c>
      <c s="125">
        <f>Предпосылки!AB$239*Предпосылки!$O254*Продажи!AC19*AC$19*(1+Чувствительность!$D$20)*IFERROR(LOOKUP(Предпосылки!$H$212,$C$13:$C$15,AC$13:AC$15),1)</f>
        <v>0</v>
      </c>
      <c s="125">
        <f>Предпосылки!AC$239*Предпосылки!$O254*Продажи!AD19*AD$19*(1+Чувствительность!$D$20)*IFERROR(LOOKUP(Предпосылки!$H$212,$C$13:$C$15,AD$13:AD$15),1)</f>
        <v>0</v>
      </c>
      <c s="125">
        <f>Предпосылки!AD$239*Предпосылки!$O254*Продажи!AE19*AE$19*(1+Чувствительность!$D$20)*IFERROR(LOOKUP(Предпосылки!$H$212,$C$13:$C$15,AE$13:AE$15),1)</f>
        <v>0</v>
      </c>
      <c s="125">
        <f>Предпосылки!AE$239*Предпосылки!$O254*Продажи!AF19*AF$19*(1+Чувствительность!$D$20)*IFERROR(LOOKUP(Предпосылки!$H$212,$C$13:$C$15,AF$13:AF$15),1)</f>
        <v>0</v>
      </c>
      <c s="125">
        <f>Предпосылки!AF$239*Предпосылки!$O254*Продажи!AG19*AG$19*(1+Чувствительность!$D$20)*IFERROR(LOOKUP(Предпосылки!$H$212,$C$13:$C$15,AG$13:AG$15),1)</f>
        <v>0</v>
      </c>
      <c s="125">
        <f>Предпосылки!AG$239*Предпосылки!$O254*Продажи!AH19*AH$19*(1+Чувствительность!$D$20)*IFERROR(LOOKUP(Предпосылки!$H$212,$C$13:$C$15,AH$13:AH$15),1)</f>
        <v>0</v>
      </c>
      <c s="125">
        <f>Предпосылки!AH$239*Предпосылки!$O254*Продажи!AI19*AI$19*(1+Чувствительность!$D$20)*IFERROR(LOOKUP(Предпосылки!$H$212,$C$13:$C$15,AI$13:AI$15),1)</f>
        <v>0</v>
      </c>
      <c s="125">
        <f>Предпосылки!AI$239*Предпосылки!$O254*Продажи!AJ19*AJ$19*(1+Чувствительность!$D$20)*IFERROR(LOOKUP(Предпосылки!$H$212,$C$13:$C$15,AJ$13:AJ$15),1)</f>
        <v>0</v>
      </c>
      <c s="125">
        <f>Предпосылки!AJ$239*Предпосылки!$O254*Продажи!AK19*AK$19*(1+Чувствительность!$D$20)*IFERROR(LOOKUP(Предпосылки!$H$212,$C$13:$C$15,AK$13:AK$15),1)</f>
        <v>0</v>
      </c>
      <c s="125">
        <f>Предпосылки!AK$239*Предпосылки!$O254*Продажи!AL19*AL$19*(1+Чувствительность!$D$20)*IFERROR(LOOKUP(Предпосылки!$H$212,$C$13:$C$15,AL$13:AL$15),1)</f>
        <v>0</v>
      </c>
      <c s="125">
        <f>Предпосылки!AL$239*Предпосылки!$O254*Продажи!AM19*AM$19*(1+Чувствительность!$D$20)*IFERROR(LOOKUP(Предпосылки!$H$212,$C$13:$C$15,AM$13:AM$15),1)</f>
        <v>0</v>
      </c>
      <c s="125">
        <f>Предпосылки!AM$239*Предпосылки!$O254*Продажи!AN19*AN$19*(1+Чувствительность!$D$20)*IFERROR(LOOKUP(Предпосылки!$H$212,$C$13:$C$15,AN$13:AN$15),1)</f>
        <v>0</v>
      </c>
      <c s="125">
        <f>Предпосылки!AN$239*Предпосылки!$O254*Продажи!AO19*AO$19*(1+Чувствительность!$D$20)*IFERROR(LOOKUP(Предпосылки!$H$212,$C$13:$C$15,AO$13:AO$15),1)</f>
        <v>0</v>
      </c>
      <c s="125">
        <f>Предпосылки!AO$239*Предпосылки!$O254*Продажи!AP19*AP$19*(1+Чувствительность!$D$20)*IFERROR(LOOKUP(Предпосылки!$H$212,$C$13:$C$15,AP$13:AP$15),1)</f>
        <v>0</v>
      </c>
      <c s="125">
        <f>Предпосылки!AP$239*Предпосылки!$O254*Продажи!AQ19*AQ$19*(1+Чувствительность!$D$20)*IFERROR(LOOKUP(Предпосылки!$H$212,$C$13:$C$15,AQ$13:AQ$15),1)</f>
        <v>0</v>
      </c>
      <c s="125">
        <f>Предпосылки!AQ$239*Предпосылки!$O254*Продажи!AR19*AR$19*(1+Чувствительность!$D$20)*IFERROR(LOOKUP(Предпосылки!$H$212,$C$13:$C$15,AR$13:AR$15),1)</f>
        <v>0</v>
      </c>
      <c s="125">
        <f>Предпосылки!AR$239*Предпосылки!$O254*Продажи!AS19*AS$19*(1+Чувствительность!$D$20)*IFERROR(LOOKUP(Предпосылки!$H$212,$C$13:$C$15,AS$13:AS$15),1)</f>
        <v>0</v>
      </c>
      <c s="125">
        <f>Предпосылки!AS$239*Предпосылки!$O254*Продажи!AT19*AT$19*(1+Чувствительность!$D$20)*IFERROR(LOOKUP(Предпосылки!$H$212,$C$13:$C$15,AT$13:AT$15),1)</f>
        <v>0</v>
      </c>
      <c s="125">
        <f>Предпосылки!AT$239*Предпосылки!$O254*Продажи!AU19*AU$19*(1+Чувствительность!$D$20)*IFERROR(LOOKUP(Предпосылки!$H$212,$C$13:$C$15,AU$13:AU$15),1)</f>
        <v>0</v>
      </c>
      <c s="125">
        <f>Предпосылки!AU$239*Предпосылки!$O254*Продажи!AV19*AV$19*(1+Чувствительность!$D$20)*IFERROR(LOOKUP(Предпосылки!$H$212,$C$13:$C$15,AV$13:AV$15),1)</f>
        <v>0</v>
      </c>
      <c s="125">
        <f>Предпосылки!AV$239*Предпосылки!$O254*Продажи!AW19*AW$19*(1+Чувствительность!$D$20)*IFERROR(LOOKUP(Предпосылки!$H$212,$C$13:$C$15,AW$13:AW$15),1)</f>
        <v>0</v>
      </c>
      <c s="125">
        <f>Предпосылки!AW$239*Предпосылки!$O254*Продажи!AX19*AX$19*(1+Чувствительность!$D$20)*IFERROR(LOOKUP(Предпосылки!$H$212,$C$13:$C$15,AX$13:AX$15),1)</f>
        <v>0</v>
      </c>
      <c s="125">
        <f>Предпосылки!AX$239*Предпосылки!$O254*Продажи!AY19*AY$19*(1+Чувствительность!$D$20)*IFERROR(LOOKUP(Предпосылки!$H$212,$C$13:$C$15,AY$13:AY$15),1)</f>
        <v>0</v>
      </c>
      <c s="125">
        <f>Предпосылки!AY$239*Предпосылки!$O254*Продажи!AZ19*AZ$19*(1+Чувствительность!$D$20)*IFERROR(LOOKUP(Предпосылки!$H$212,$C$13:$C$15,AZ$13:AZ$15),1)</f>
        <v>0</v>
      </c>
      <c s="125">
        <f>Предпосылки!AZ$239*Предпосылки!$O254*Продажи!BA19*BA$19*(1+Чувствительность!$D$20)*IFERROR(LOOKUP(Предпосылки!$H$212,$C$13:$C$15,BA$13:BA$15),1)</f>
        <v>0</v>
      </c>
      <c s="125">
        <f>Предпосылки!BA$239*Предпосылки!$O254*Продажи!BB19*BB$19*(1+Чувствительность!$D$20)*IFERROR(LOOKUP(Предпосылки!$H$212,$C$13:$C$15,BB$13:BB$15),1)</f>
        <v>0</v>
      </c>
      <c s="125">
        <f>Предпосылки!BB$239*Предпосылки!$O254*Продажи!BC19*BC$19*(1+Чувствительность!$D$20)*IFERROR(LOOKUP(Предпосылки!$H$212,$C$13:$C$15,BC$13:BC$15),1)</f>
        <v>0</v>
      </c>
      <c s="125">
        <f>Предпосылки!BC$239*Предпосылки!$O254*Продажи!BD19*BD$19*(1+Чувствительность!$D$20)*IFERROR(LOOKUP(Предпосылки!$H$212,$C$13:$C$15,BD$13:BD$15),1)</f>
        <v>0</v>
      </c>
      <c s="125">
        <f>Предпосылки!BD$239*Предпосылки!$O254*Продажи!BE19*BE$19*(1+Чувствительность!$D$20)*IFERROR(LOOKUP(Предпосылки!$H$212,$C$13:$C$15,BE$13:BE$15),1)</f>
        <v>0</v>
      </c>
      <c s="125">
        <f>Предпосылки!BE$239*Предпосылки!$O254*Продажи!BF19*BF$19*(1+Чувствительность!$D$20)*IFERROR(LOOKUP(Предпосылки!$H$212,$C$13:$C$15,BF$13:BF$15),1)</f>
        <v>0</v>
      </c>
      <c s="125">
        <f>Предпосылки!BF$239*Предпосылки!$O254*Продажи!BG19*BG$19*(1+Чувствительность!$D$20)*IFERROR(LOOKUP(Предпосылки!$H$212,$C$13:$C$15,BG$13:BG$15),1)</f>
        <v>0</v>
      </c>
      <c s="125">
        <f>Предпосылки!BG$239*Предпосылки!$O254*Продажи!BH19*BH$19*(1+Чувствительность!$D$20)*IFERROR(LOOKUP(Предпосылки!$H$212,$C$13:$C$15,BH$13:BH$15),1)</f>
        <v>0</v>
      </c>
      <c s="125">
        <f>Предпосылки!BH$239*Предпосылки!$O254*Продажи!BI19*BI$19*(1+Чувствительность!$D$20)*IFERROR(LOOKUP(Предпосылки!$H$212,$C$13:$C$15,BI$13:BI$15),1)</f>
        <v>0</v>
      </c>
      <c s="125">
        <f>Предпосылки!BI$239*Предпосылки!$O254*Продажи!BJ19*BJ$19*(1+Чувствительность!$D$20)*IFERROR(LOOKUP(Предпосылки!$H$212,$C$13:$C$15,BJ$13:BJ$15),1)</f>
        <v>0</v>
      </c>
      <c s="125">
        <f>Предпосылки!BJ$239*Предпосылки!$O254*Продажи!BK19*BK$19*(1+Чувствительность!$D$20)*IFERROR(LOOKUP(Предпосылки!$H$212,$C$13:$C$15,BK$13:BK$15),1)</f>
        <v>0</v>
      </c>
      <c s="125">
        <f>Предпосылки!BK$239*Предпосылки!$O254*Продажи!BL19*BL$19*(1+Чувствительность!$D$20)*IFERROR(LOOKUP(Предпосылки!$H$212,$C$13:$C$15,BL$13:BL$15),1)</f>
        <v>0</v>
      </c>
      <c s="125">
        <f>Предпосылки!BL$239*Предпосылки!$O254*Продажи!BM19*BM$19*(1+Чувствительность!$D$20)*IFERROR(LOOKUP(Предпосылки!$H$212,$C$13:$C$15,BM$13:BM$15),1)</f>
        <v>0</v>
      </c>
    </row>
    <row r="278" spans="2:65" ht="15" customHeight="1">
      <c r="B278" s="12" t="str">
        <f t="shared" si="116"/>
        <v>Продукт 3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Предпосылки!D$239*Предпосылки!$O255*Продажи!E20*E$19*(1+Чувствительность!$D$20)*IFERROR(LOOKUP(Предпосылки!$H$212,$C$13:$C$15,E$13:E$15),1)</f>
        <v>0</v>
      </c>
      <c s="125">
        <f>Предпосылки!E$239*Предпосылки!$O255*Продажи!F20*F$19*(1+Чувствительность!$D$20)*IFERROR(LOOKUP(Предпосылки!$H$212,$C$13:$C$15,F$13:F$15),1)</f>
        <v>0</v>
      </c>
      <c s="125">
        <f>Предпосылки!F$239*Предпосылки!$O255*Продажи!G20*G$19*(1+Чувствительность!$D$20)*IFERROR(LOOKUP(Предпосылки!$H$212,$C$13:$C$15,G$13:G$15),1)</f>
        <v>0</v>
      </c>
      <c s="125">
        <f>Предпосылки!G$239*Предпосылки!$O255*Продажи!H20*H$19*(1+Чувствительность!$D$20)*IFERROR(LOOKUP(Предпосылки!$H$212,$C$13:$C$15,H$13:H$15),1)</f>
        <v>0</v>
      </c>
      <c s="125">
        <f>Предпосылки!H$239*Предпосылки!$O255*Продажи!I20*I$19*(1+Чувствительность!$D$20)*IFERROR(LOOKUP(Предпосылки!$H$212,$C$13:$C$15,I$13:I$15),1)</f>
        <v>0</v>
      </c>
      <c s="125">
        <f>Предпосылки!I$239*Предпосылки!$O255*Продажи!J20*J$19*(1+Чувствительность!$D$20)*IFERROR(LOOKUP(Предпосылки!$H$212,$C$13:$C$15,J$13:J$15),1)</f>
        <v>0</v>
      </c>
      <c s="125">
        <f>Предпосылки!J$239*Предпосылки!$O255*Продажи!K20*K$19*(1+Чувствительность!$D$20)*IFERROR(LOOKUP(Предпосылки!$H$212,$C$13:$C$15,K$13:K$15),1)</f>
        <v>0</v>
      </c>
      <c s="125">
        <f>Предпосылки!K$239*Предпосылки!$O255*Продажи!L20*L$19*(1+Чувствительность!$D$20)*IFERROR(LOOKUP(Предпосылки!$H$212,$C$13:$C$15,L$13:L$15),1)</f>
        <v>0</v>
      </c>
      <c s="125">
        <f>Предпосылки!L$239*Предпосылки!$O255*Продажи!M20*M$19*(1+Чувствительность!$D$20)*IFERROR(LOOKUP(Предпосылки!$H$212,$C$13:$C$15,M$13:M$15),1)</f>
        <v>0</v>
      </c>
      <c s="125">
        <f>Предпосылки!M$239*Предпосылки!$O255*Продажи!N20*N$19*(1+Чувствительность!$D$20)*IFERROR(LOOKUP(Предпосылки!$H$212,$C$13:$C$15,N$13:N$15),1)</f>
        <v>0</v>
      </c>
      <c s="125">
        <f>Предпосылки!N$239*Предпосылки!$O255*Продажи!O20*O$19*(1+Чувствительность!$D$20)*IFERROR(LOOKUP(Предпосылки!$H$212,$C$13:$C$15,O$13:O$15),1)</f>
        <v>0</v>
      </c>
      <c s="125">
        <f>Предпосылки!O$239*Предпосылки!$O255*Продажи!P20*P$19*(1+Чувствительность!$D$20)*IFERROR(LOOKUP(Предпосылки!$H$212,$C$13:$C$15,P$13:P$15),1)</f>
        <v>0</v>
      </c>
      <c s="125">
        <f>Предпосылки!P$239*Предпосылки!$O255*Продажи!Q20*Q$19*(1+Чувствительность!$D$20)*IFERROR(LOOKUP(Предпосылки!$H$212,$C$13:$C$15,Q$13:Q$15),1)</f>
        <v>0</v>
      </c>
      <c s="125">
        <f>Предпосылки!Q$239*Предпосылки!$O255*Продажи!R20*R$19*(1+Чувствительность!$D$20)*IFERROR(LOOKUP(Предпосылки!$H$212,$C$13:$C$15,R$13:R$15),1)</f>
        <v>0</v>
      </c>
      <c s="125">
        <f>Предпосылки!R$239*Предпосылки!$O255*Продажи!S20*S$19*(1+Чувствительность!$D$20)*IFERROR(LOOKUP(Предпосылки!$H$212,$C$13:$C$15,S$13:S$15),1)</f>
        <v>0</v>
      </c>
      <c s="125">
        <f>Предпосылки!S$239*Предпосылки!$O255*Продажи!T20*T$19*(1+Чувствительность!$D$20)*IFERROR(LOOKUP(Предпосылки!$H$212,$C$13:$C$15,T$13:T$15),1)</f>
        <v>0</v>
      </c>
      <c s="125">
        <f>Предпосылки!T$239*Предпосылки!$O255*Продажи!U20*U$19*(1+Чувствительность!$D$20)*IFERROR(LOOKUP(Предпосылки!$H$212,$C$13:$C$15,U$13:U$15),1)</f>
        <v>0</v>
      </c>
      <c s="125">
        <f>Предпосылки!U$239*Предпосылки!$O255*Продажи!V20*V$19*(1+Чувствительность!$D$20)*IFERROR(LOOKUP(Предпосылки!$H$212,$C$13:$C$15,V$13:V$15),1)</f>
        <v>0</v>
      </c>
      <c s="125">
        <f>Предпосылки!V$239*Предпосылки!$O255*Продажи!W20*W$19*(1+Чувствительность!$D$20)*IFERROR(LOOKUP(Предпосылки!$H$212,$C$13:$C$15,W$13:W$15),1)</f>
        <v>0</v>
      </c>
      <c s="125">
        <f>Предпосылки!W$239*Предпосылки!$O255*Продажи!X20*X$19*(1+Чувствительность!$D$20)*IFERROR(LOOKUP(Предпосылки!$H$212,$C$13:$C$15,X$13:X$15),1)</f>
        <v>0</v>
      </c>
      <c s="125">
        <f>Предпосылки!X$239*Предпосылки!$O255*Продажи!Y20*Y$19*(1+Чувствительность!$D$20)*IFERROR(LOOKUP(Предпосылки!$H$212,$C$13:$C$15,Y$13:Y$15),1)</f>
        <v>0</v>
      </c>
      <c s="125">
        <f>Предпосылки!Y$239*Предпосылки!$O255*Продажи!Z20*Z$19*(1+Чувствительность!$D$20)*IFERROR(LOOKUP(Предпосылки!$H$212,$C$13:$C$15,Z$13:Z$15),1)</f>
        <v>0</v>
      </c>
      <c s="125">
        <f>Предпосылки!Z$239*Предпосылки!$O255*Продажи!AA20*AA$19*(1+Чувствительность!$D$20)*IFERROR(LOOKUP(Предпосылки!$H$212,$C$13:$C$15,AA$13:AA$15),1)</f>
        <v>0</v>
      </c>
      <c s="125">
        <f>Предпосылки!AA$239*Предпосылки!$O255*Продажи!AB20*AB$19*(1+Чувствительность!$D$20)*IFERROR(LOOKUP(Предпосылки!$H$212,$C$13:$C$15,AB$13:AB$15),1)</f>
        <v>0</v>
      </c>
      <c s="125">
        <f>Предпосылки!AB$239*Предпосылки!$O255*Продажи!AC20*AC$19*(1+Чувствительность!$D$20)*IFERROR(LOOKUP(Предпосылки!$H$212,$C$13:$C$15,AC$13:AC$15),1)</f>
        <v>0</v>
      </c>
      <c s="125">
        <f>Предпосылки!AC$239*Предпосылки!$O255*Продажи!AD20*AD$19*(1+Чувствительность!$D$20)*IFERROR(LOOKUP(Предпосылки!$H$212,$C$13:$C$15,AD$13:AD$15),1)</f>
        <v>0</v>
      </c>
      <c s="125">
        <f>Предпосылки!AD$239*Предпосылки!$O255*Продажи!AE20*AE$19*(1+Чувствительность!$D$20)*IFERROR(LOOKUP(Предпосылки!$H$212,$C$13:$C$15,AE$13:AE$15),1)</f>
        <v>0</v>
      </c>
      <c s="125">
        <f>Предпосылки!AE$239*Предпосылки!$O255*Продажи!AF20*AF$19*(1+Чувствительность!$D$20)*IFERROR(LOOKUP(Предпосылки!$H$212,$C$13:$C$15,AF$13:AF$15),1)</f>
        <v>0</v>
      </c>
      <c s="125">
        <f>Предпосылки!AF$239*Предпосылки!$O255*Продажи!AG20*AG$19*(1+Чувствительность!$D$20)*IFERROR(LOOKUP(Предпосылки!$H$212,$C$13:$C$15,AG$13:AG$15),1)</f>
        <v>0</v>
      </c>
      <c s="125">
        <f>Предпосылки!AG$239*Предпосылки!$O255*Продажи!AH20*AH$19*(1+Чувствительность!$D$20)*IFERROR(LOOKUP(Предпосылки!$H$212,$C$13:$C$15,AH$13:AH$15),1)</f>
        <v>0</v>
      </c>
      <c s="125">
        <f>Предпосылки!AH$239*Предпосылки!$O255*Продажи!AI20*AI$19*(1+Чувствительность!$D$20)*IFERROR(LOOKUP(Предпосылки!$H$212,$C$13:$C$15,AI$13:AI$15),1)</f>
        <v>0</v>
      </c>
      <c s="125">
        <f>Предпосылки!AI$239*Предпосылки!$O255*Продажи!AJ20*AJ$19*(1+Чувствительность!$D$20)*IFERROR(LOOKUP(Предпосылки!$H$212,$C$13:$C$15,AJ$13:AJ$15),1)</f>
        <v>0</v>
      </c>
      <c s="125">
        <f>Предпосылки!AJ$239*Предпосылки!$O255*Продажи!AK20*AK$19*(1+Чувствительность!$D$20)*IFERROR(LOOKUP(Предпосылки!$H$212,$C$13:$C$15,AK$13:AK$15),1)</f>
        <v>0</v>
      </c>
      <c s="125">
        <f>Предпосылки!AK$239*Предпосылки!$O255*Продажи!AL20*AL$19*(1+Чувствительность!$D$20)*IFERROR(LOOKUP(Предпосылки!$H$212,$C$13:$C$15,AL$13:AL$15),1)</f>
        <v>0</v>
      </c>
      <c s="125">
        <f>Предпосылки!AL$239*Предпосылки!$O255*Продажи!AM20*AM$19*(1+Чувствительность!$D$20)*IFERROR(LOOKUP(Предпосылки!$H$212,$C$13:$C$15,AM$13:AM$15),1)</f>
        <v>0</v>
      </c>
      <c s="125">
        <f>Предпосылки!AM$239*Предпосылки!$O255*Продажи!AN20*AN$19*(1+Чувствительность!$D$20)*IFERROR(LOOKUP(Предпосылки!$H$212,$C$13:$C$15,AN$13:AN$15),1)</f>
        <v>0</v>
      </c>
      <c s="125">
        <f>Предпосылки!AN$239*Предпосылки!$O255*Продажи!AO20*AO$19*(1+Чувствительность!$D$20)*IFERROR(LOOKUP(Предпосылки!$H$212,$C$13:$C$15,AO$13:AO$15),1)</f>
        <v>0</v>
      </c>
      <c s="125">
        <f>Предпосылки!AO$239*Предпосылки!$O255*Продажи!AP20*AP$19*(1+Чувствительность!$D$20)*IFERROR(LOOKUP(Предпосылки!$H$212,$C$13:$C$15,AP$13:AP$15),1)</f>
        <v>0</v>
      </c>
      <c s="125">
        <f>Предпосылки!AP$239*Предпосылки!$O255*Продажи!AQ20*AQ$19*(1+Чувствительность!$D$20)*IFERROR(LOOKUP(Предпосылки!$H$212,$C$13:$C$15,AQ$13:AQ$15),1)</f>
        <v>0</v>
      </c>
      <c s="125">
        <f>Предпосылки!AQ$239*Предпосылки!$O255*Продажи!AR20*AR$19*(1+Чувствительность!$D$20)*IFERROR(LOOKUP(Предпосылки!$H$212,$C$13:$C$15,AR$13:AR$15),1)</f>
        <v>0</v>
      </c>
      <c s="125">
        <f>Предпосылки!AR$239*Предпосылки!$O255*Продажи!AS20*AS$19*(1+Чувствительность!$D$20)*IFERROR(LOOKUP(Предпосылки!$H$212,$C$13:$C$15,AS$13:AS$15),1)</f>
        <v>0</v>
      </c>
      <c s="125">
        <f>Предпосылки!AS$239*Предпосылки!$O255*Продажи!AT20*AT$19*(1+Чувствительность!$D$20)*IFERROR(LOOKUP(Предпосылки!$H$212,$C$13:$C$15,AT$13:AT$15),1)</f>
        <v>0</v>
      </c>
      <c s="125">
        <f>Предпосылки!AT$239*Предпосылки!$O255*Продажи!AU20*AU$19*(1+Чувствительность!$D$20)*IFERROR(LOOKUP(Предпосылки!$H$212,$C$13:$C$15,AU$13:AU$15),1)</f>
        <v>0</v>
      </c>
      <c s="125">
        <f>Предпосылки!AU$239*Предпосылки!$O255*Продажи!AV20*AV$19*(1+Чувствительность!$D$20)*IFERROR(LOOKUP(Предпосылки!$H$212,$C$13:$C$15,AV$13:AV$15),1)</f>
        <v>0</v>
      </c>
      <c s="125">
        <f>Предпосылки!AV$239*Предпосылки!$O255*Продажи!AW20*AW$19*(1+Чувствительность!$D$20)*IFERROR(LOOKUP(Предпосылки!$H$212,$C$13:$C$15,AW$13:AW$15),1)</f>
        <v>0</v>
      </c>
      <c s="125">
        <f>Предпосылки!AW$239*Предпосылки!$O255*Продажи!AX20*AX$19*(1+Чувствительность!$D$20)*IFERROR(LOOKUP(Предпосылки!$H$212,$C$13:$C$15,AX$13:AX$15),1)</f>
        <v>0</v>
      </c>
      <c s="125">
        <f>Предпосылки!AX$239*Предпосылки!$O255*Продажи!AY20*AY$19*(1+Чувствительность!$D$20)*IFERROR(LOOKUP(Предпосылки!$H$212,$C$13:$C$15,AY$13:AY$15),1)</f>
        <v>0</v>
      </c>
      <c s="125">
        <f>Предпосылки!AY$239*Предпосылки!$O255*Продажи!AZ20*AZ$19*(1+Чувствительность!$D$20)*IFERROR(LOOKUP(Предпосылки!$H$212,$C$13:$C$15,AZ$13:AZ$15),1)</f>
        <v>0</v>
      </c>
      <c s="125">
        <f>Предпосылки!AZ$239*Предпосылки!$O255*Продажи!BA20*BA$19*(1+Чувствительность!$D$20)*IFERROR(LOOKUP(Предпосылки!$H$212,$C$13:$C$15,BA$13:BA$15),1)</f>
        <v>0</v>
      </c>
      <c s="125">
        <f>Предпосылки!BA$239*Предпосылки!$O255*Продажи!BB20*BB$19*(1+Чувствительность!$D$20)*IFERROR(LOOKUP(Предпосылки!$H$212,$C$13:$C$15,BB$13:BB$15),1)</f>
        <v>0</v>
      </c>
      <c s="125">
        <f>Предпосылки!BB$239*Предпосылки!$O255*Продажи!BC20*BC$19*(1+Чувствительность!$D$20)*IFERROR(LOOKUP(Предпосылки!$H$212,$C$13:$C$15,BC$13:BC$15),1)</f>
        <v>0</v>
      </c>
      <c s="125">
        <f>Предпосылки!BC$239*Предпосылки!$O255*Продажи!BD20*BD$19*(1+Чувствительность!$D$20)*IFERROR(LOOKUP(Предпосылки!$H$212,$C$13:$C$15,BD$13:BD$15),1)</f>
        <v>0</v>
      </c>
      <c s="125">
        <f>Предпосылки!BD$239*Предпосылки!$O255*Продажи!BE20*BE$19*(1+Чувствительность!$D$20)*IFERROR(LOOKUP(Предпосылки!$H$212,$C$13:$C$15,BE$13:BE$15),1)</f>
        <v>0</v>
      </c>
      <c s="125">
        <f>Предпосылки!BE$239*Предпосылки!$O255*Продажи!BF20*BF$19*(1+Чувствительность!$D$20)*IFERROR(LOOKUP(Предпосылки!$H$212,$C$13:$C$15,BF$13:BF$15),1)</f>
        <v>0</v>
      </c>
      <c s="125">
        <f>Предпосылки!BF$239*Предпосылки!$O255*Продажи!BG20*BG$19*(1+Чувствительность!$D$20)*IFERROR(LOOKUP(Предпосылки!$H$212,$C$13:$C$15,BG$13:BG$15),1)</f>
        <v>0</v>
      </c>
      <c s="125">
        <f>Предпосылки!BG$239*Предпосылки!$O255*Продажи!BH20*BH$19*(1+Чувствительность!$D$20)*IFERROR(LOOKUP(Предпосылки!$H$212,$C$13:$C$15,BH$13:BH$15),1)</f>
        <v>0</v>
      </c>
      <c s="125">
        <f>Предпосылки!BH$239*Предпосылки!$O255*Продажи!BI20*BI$19*(1+Чувствительность!$D$20)*IFERROR(LOOKUP(Предпосылки!$H$212,$C$13:$C$15,BI$13:BI$15),1)</f>
        <v>0</v>
      </c>
      <c s="125">
        <f>Предпосылки!BI$239*Предпосылки!$O255*Продажи!BJ20*BJ$19*(1+Чувствительность!$D$20)*IFERROR(LOOKUP(Предпосылки!$H$212,$C$13:$C$15,BJ$13:BJ$15),1)</f>
        <v>0</v>
      </c>
      <c s="125">
        <f>Предпосылки!BJ$239*Предпосылки!$O255*Продажи!BK20*BK$19*(1+Чувствительность!$D$20)*IFERROR(LOOKUP(Предпосылки!$H$212,$C$13:$C$15,BK$13:BK$15),1)</f>
        <v>0</v>
      </c>
      <c s="125">
        <f>Предпосылки!BK$239*Предпосылки!$O255*Продажи!BL20*BL$19*(1+Чувствительность!$D$20)*IFERROR(LOOKUP(Предпосылки!$H$212,$C$13:$C$15,BL$13:BL$15),1)</f>
        <v>0</v>
      </c>
      <c s="125">
        <f>Предпосылки!BL$239*Предпосылки!$O255*Продажи!BM20*BM$19*(1+Чувствительность!$D$20)*IFERROR(LOOKUP(Предпосылки!$H$212,$C$13:$C$15,BM$13:BM$15),1)</f>
        <v>0</v>
      </c>
    </row>
    <row r="279" spans="2:65" ht="15" customHeight="1">
      <c r="B279" s="12" t="str">
        <f t="shared" si="116"/>
        <v>Продукт 4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Предпосылки!D$239*Предпосылки!$O256*Продажи!E21*E$19*(1+Чувствительность!$D$20)*IFERROR(LOOKUP(Предпосылки!$H$212,$C$13:$C$15,E$13:E$15),1)</f>
        <v>0</v>
      </c>
      <c s="125">
        <f>Предпосылки!E$239*Предпосылки!$O256*Продажи!F21*F$19*(1+Чувствительность!$D$20)*IFERROR(LOOKUP(Предпосылки!$H$212,$C$13:$C$15,F$13:F$15),1)</f>
        <v>0</v>
      </c>
      <c s="125">
        <f>Предпосылки!F$239*Предпосылки!$O256*Продажи!G21*G$19*(1+Чувствительность!$D$20)*IFERROR(LOOKUP(Предпосылки!$H$212,$C$13:$C$15,G$13:G$15),1)</f>
        <v>0</v>
      </c>
      <c s="125">
        <f>Предпосылки!G$239*Предпосылки!$O256*Продажи!H21*H$19*(1+Чувствительность!$D$20)*IFERROR(LOOKUP(Предпосылки!$H$212,$C$13:$C$15,H$13:H$15),1)</f>
        <v>0</v>
      </c>
      <c s="125">
        <f>Предпосылки!H$239*Предпосылки!$O256*Продажи!I21*I$19*(1+Чувствительность!$D$20)*IFERROR(LOOKUP(Предпосылки!$H$212,$C$13:$C$15,I$13:I$15),1)</f>
        <v>0</v>
      </c>
      <c s="125">
        <f>Предпосылки!I$239*Предпосылки!$O256*Продажи!J21*J$19*(1+Чувствительность!$D$20)*IFERROR(LOOKUP(Предпосылки!$H$212,$C$13:$C$15,J$13:J$15),1)</f>
        <v>0</v>
      </c>
      <c s="125">
        <f>Предпосылки!J$239*Предпосылки!$O256*Продажи!K21*K$19*(1+Чувствительность!$D$20)*IFERROR(LOOKUP(Предпосылки!$H$212,$C$13:$C$15,K$13:K$15),1)</f>
        <v>0</v>
      </c>
      <c s="125">
        <f>Предпосылки!K$239*Предпосылки!$O256*Продажи!L21*L$19*(1+Чувствительность!$D$20)*IFERROR(LOOKUP(Предпосылки!$H$212,$C$13:$C$15,L$13:L$15),1)</f>
        <v>0</v>
      </c>
      <c s="125">
        <f>Предпосылки!L$239*Предпосылки!$O256*Продажи!M21*M$19*(1+Чувствительность!$D$20)*IFERROR(LOOKUP(Предпосылки!$H$212,$C$13:$C$15,M$13:M$15),1)</f>
        <v>0</v>
      </c>
      <c s="125">
        <f>Предпосылки!M$239*Предпосылки!$O256*Продажи!N21*N$19*(1+Чувствительность!$D$20)*IFERROR(LOOKUP(Предпосылки!$H$212,$C$13:$C$15,N$13:N$15),1)</f>
        <v>0</v>
      </c>
      <c s="125">
        <f>Предпосылки!N$239*Предпосылки!$O256*Продажи!O21*O$19*(1+Чувствительность!$D$20)*IFERROR(LOOKUP(Предпосылки!$H$212,$C$13:$C$15,O$13:O$15),1)</f>
        <v>0</v>
      </c>
      <c s="125">
        <f>Предпосылки!O$239*Предпосылки!$O256*Продажи!P21*P$19*(1+Чувствительность!$D$20)*IFERROR(LOOKUP(Предпосылки!$H$212,$C$13:$C$15,P$13:P$15),1)</f>
        <v>0</v>
      </c>
      <c s="125">
        <f>Предпосылки!P$239*Предпосылки!$O256*Продажи!Q21*Q$19*(1+Чувствительность!$D$20)*IFERROR(LOOKUP(Предпосылки!$H$212,$C$13:$C$15,Q$13:Q$15),1)</f>
        <v>0</v>
      </c>
      <c s="125">
        <f>Предпосылки!Q$239*Предпосылки!$O256*Продажи!R21*R$19*(1+Чувствительность!$D$20)*IFERROR(LOOKUP(Предпосылки!$H$212,$C$13:$C$15,R$13:R$15),1)</f>
        <v>0</v>
      </c>
      <c s="125">
        <f>Предпосылки!R$239*Предпосылки!$O256*Продажи!S21*S$19*(1+Чувствительность!$D$20)*IFERROR(LOOKUP(Предпосылки!$H$212,$C$13:$C$15,S$13:S$15),1)</f>
        <v>0</v>
      </c>
      <c s="125">
        <f>Предпосылки!S$239*Предпосылки!$O256*Продажи!T21*T$19*(1+Чувствительность!$D$20)*IFERROR(LOOKUP(Предпосылки!$H$212,$C$13:$C$15,T$13:T$15),1)</f>
        <v>0</v>
      </c>
      <c s="125">
        <f>Предпосылки!T$239*Предпосылки!$O256*Продажи!U21*U$19*(1+Чувствительность!$D$20)*IFERROR(LOOKUP(Предпосылки!$H$212,$C$13:$C$15,U$13:U$15),1)</f>
        <v>0</v>
      </c>
      <c s="125">
        <f>Предпосылки!U$239*Предпосылки!$O256*Продажи!V21*V$19*(1+Чувствительность!$D$20)*IFERROR(LOOKUP(Предпосылки!$H$212,$C$13:$C$15,V$13:V$15),1)</f>
        <v>0</v>
      </c>
      <c s="125">
        <f>Предпосылки!V$239*Предпосылки!$O256*Продажи!W21*W$19*(1+Чувствительность!$D$20)*IFERROR(LOOKUP(Предпосылки!$H$212,$C$13:$C$15,W$13:W$15),1)</f>
        <v>0</v>
      </c>
      <c s="125">
        <f>Предпосылки!W$239*Предпосылки!$O256*Продажи!X21*X$19*(1+Чувствительность!$D$20)*IFERROR(LOOKUP(Предпосылки!$H$212,$C$13:$C$15,X$13:X$15),1)</f>
        <v>0</v>
      </c>
      <c s="125">
        <f>Предпосылки!X$239*Предпосылки!$O256*Продажи!Y21*Y$19*(1+Чувствительность!$D$20)*IFERROR(LOOKUP(Предпосылки!$H$212,$C$13:$C$15,Y$13:Y$15),1)</f>
        <v>0</v>
      </c>
      <c s="125">
        <f>Предпосылки!Y$239*Предпосылки!$O256*Продажи!Z21*Z$19*(1+Чувствительность!$D$20)*IFERROR(LOOKUP(Предпосылки!$H$212,$C$13:$C$15,Z$13:Z$15),1)</f>
        <v>0</v>
      </c>
      <c s="125">
        <f>Предпосылки!Z$239*Предпосылки!$O256*Продажи!AA21*AA$19*(1+Чувствительность!$D$20)*IFERROR(LOOKUP(Предпосылки!$H$212,$C$13:$C$15,AA$13:AA$15),1)</f>
        <v>0</v>
      </c>
      <c s="125">
        <f>Предпосылки!AA$239*Предпосылки!$O256*Продажи!AB21*AB$19*(1+Чувствительность!$D$20)*IFERROR(LOOKUP(Предпосылки!$H$212,$C$13:$C$15,AB$13:AB$15),1)</f>
        <v>0</v>
      </c>
      <c s="125">
        <f>Предпосылки!AB$239*Предпосылки!$O256*Продажи!AC21*AC$19*(1+Чувствительность!$D$20)*IFERROR(LOOKUP(Предпосылки!$H$212,$C$13:$C$15,AC$13:AC$15),1)</f>
        <v>0</v>
      </c>
      <c s="125">
        <f>Предпосылки!AC$239*Предпосылки!$O256*Продажи!AD21*AD$19*(1+Чувствительность!$D$20)*IFERROR(LOOKUP(Предпосылки!$H$212,$C$13:$C$15,AD$13:AD$15),1)</f>
        <v>0</v>
      </c>
      <c s="125">
        <f>Предпосылки!AD$239*Предпосылки!$O256*Продажи!AE21*AE$19*(1+Чувствительность!$D$20)*IFERROR(LOOKUP(Предпосылки!$H$212,$C$13:$C$15,AE$13:AE$15),1)</f>
        <v>0</v>
      </c>
      <c s="125">
        <f>Предпосылки!AE$239*Предпосылки!$O256*Продажи!AF21*AF$19*(1+Чувствительность!$D$20)*IFERROR(LOOKUP(Предпосылки!$H$212,$C$13:$C$15,AF$13:AF$15),1)</f>
        <v>0</v>
      </c>
      <c s="125">
        <f>Предпосылки!AF$239*Предпосылки!$O256*Продажи!AG21*AG$19*(1+Чувствительность!$D$20)*IFERROR(LOOKUP(Предпосылки!$H$212,$C$13:$C$15,AG$13:AG$15),1)</f>
        <v>0</v>
      </c>
      <c s="125">
        <f>Предпосылки!AG$239*Предпосылки!$O256*Продажи!AH21*AH$19*(1+Чувствительность!$D$20)*IFERROR(LOOKUP(Предпосылки!$H$212,$C$13:$C$15,AH$13:AH$15),1)</f>
        <v>0</v>
      </c>
      <c s="125">
        <f>Предпосылки!AH$239*Предпосылки!$O256*Продажи!AI21*AI$19*(1+Чувствительность!$D$20)*IFERROR(LOOKUP(Предпосылки!$H$212,$C$13:$C$15,AI$13:AI$15),1)</f>
        <v>0</v>
      </c>
      <c s="125">
        <f>Предпосылки!AI$239*Предпосылки!$O256*Продажи!AJ21*AJ$19*(1+Чувствительность!$D$20)*IFERROR(LOOKUP(Предпосылки!$H$212,$C$13:$C$15,AJ$13:AJ$15),1)</f>
        <v>0</v>
      </c>
      <c s="125">
        <f>Предпосылки!AJ$239*Предпосылки!$O256*Продажи!AK21*AK$19*(1+Чувствительность!$D$20)*IFERROR(LOOKUP(Предпосылки!$H$212,$C$13:$C$15,AK$13:AK$15),1)</f>
        <v>0</v>
      </c>
      <c s="125">
        <f>Предпосылки!AK$239*Предпосылки!$O256*Продажи!AL21*AL$19*(1+Чувствительность!$D$20)*IFERROR(LOOKUP(Предпосылки!$H$212,$C$13:$C$15,AL$13:AL$15),1)</f>
        <v>0</v>
      </c>
      <c s="125">
        <f>Предпосылки!AL$239*Предпосылки!$O256*Продажи!AM21*AM$19*(1+Чувствительность!$D$20)*IFERROR(LOOKUP(Предпосылки!$H$212,$C$13:$C$15,AM$13:AM$15),1)</f>
        <v>0</v>
      </c>
      <c s="125">
        <f>Предпосылки!AM$239*Предпосылки!$O256*Продажи!AN21*AN$19*(1+Чувствительность!$D$20)*IFERROR(LOOKUP(Предпосылки!$H$212,$C$13:$C$15,AN$13:AN$15),1)</f>
        <v>0</v>
      </c>
      <c s="125">
        <f>Предпосылки!AN$239*Предпосылки!$O256*Продажи!AO21*AO$19*(1+Чувствительность!$D$20)*IFERROR(LOOKUP(Предпосылки!$H$212,$C$13:$C$15,AO$13:AO$15),1)</f>
        <v>0</v>
      </c>
      <c s="125">
        <f>Предпосылки!AO$239*Предпосылки!$O256*Продажи!AP21*AP$19*(1+Чувствительность!$D$20)*IFERROR(LOOKUP(Предпосылки!$H$212,$C$13:$C$15,AP$13:AP$15),1)</f>
        <v>0</v>
      </c>
      <c s="125">
        <f>Предпосылки!AP$239*Предпосылки!$O256*Продажи!AQ21*AQ$19*(1+Чувствительность!$D$20)*IFERROR(LOOKUP(Предпосылки!$H$212,$C$13:$C$15,AQ$13:AQ$15),1)</f>
        <v>0</v>
      </c>
      <c s="125">
        <f>Предпосылки!AQ$239*Предпосылки!$O256*Продажи!AR21*AR$19*(1+Чувствительность!$D$20)*IFERROR(LOOKUP(Предпосылки!$H$212,$C$13:$C$15,AR$13:AR$15),1)</f>
        <v>0</v>
      </c>
      <c s="125">
        <f>Предпосылки!AR$239*Предпосылки!$O256*Продажи!AS21*AS$19*(1+Чувствительность!$D$20)*IFERROR(LOOKUP(Предпосылки!$H$212,$C$13:$C$15,AS$13:AS$15),1)</f>
        <v>0</v>
      </c>
      <c s="125">
        <f>Предпосылки!AS$239*Предпосылки!$O256*Продажи!AT21*AT$19*(1+Чувствительность!$D$20)*IFERROR(LOOKUP(Предпосылки!$H$212,$C$13:$C$15,AT$13:AT$15),1)</f>
        <v>0</v>
      </c>
      <c s="125">
        <f>Предпосылки!AT$239*Предпосылки!$O256*Продажи!AU21*AU$19*(1+Чувствительность!$D$20)*IFERROR(LOOKUP(Предпосылки!$H$212,$C$13:$C$15,AU$13:AU$15),1)</f>
        <v>0</v>
      </c>
      <c s="125">
        <f>Предпосылки!AU$239*Предпосылки!$O256*Продажи!AV21*AV$19*(1+Чувствительность!$D$20)*IFERROR(LOOKUP(Предпосылки!$H$212,$C$13:$C$15,AV$13:AV$15),1)</f>
        <v>0</v>
      </c>
      <c s="125">
        <f>Предпосылки!AV$239*Предпосылки!$O256*Продажи!AW21*AW$19*(1+Чувствительность!$D$20)*IFERROR(LOOKUP(Предпосылки!$H$212,$C$13:$C$15,AW$13:AW$15),1)</f>
        <v>0</v>
      </c>
      <c s="125">
        <f>Предпосылки!AW$239*Предпосылки!$O256*Продажи!AX21*AX$19*(1+Чувствительность!$D$20)*IFERROR(LOOKUP(Предпосылки!$H$212,$C$13:$C$15,AX$13:AX$15),1)</f>
        <v>0</v>
      </c>
      <c s="125">
        <f>Предпосылки!AX$239*Предпосылки!$O256*Продажи!AY21*AY$19*(1+Чувствительность!$D$20)*IFERROR(LOOKUP(Предпосылки!$H$212,$C$13:$C$15,AY$13:AY$15),1)</f>
        <v>0</v>
      </c>
      <c s="125">
        <f>Предпосылки!AY$239*Предпосылки!$O256*Продажи!AZ21*AZ$19*(1+Чувствительность!$D$20)*IFERROR(LOOKUP(Предпосылки!$H$212,$C$13:$C$15,AZ$13:AZ$15),1)</f>
        <v>0</v>
      </c>
      <c s="125">
        <f>Предпосылки!AZ$239*Предпосылки!$O256*Продажи!BA21*BA$19*(1+Чувствительность!$D$20)*IFERROR(LOOKUP(Предпосылки!$H$212,$C$13:$C$15,BA$13:BA$15),1)</f>
        <v>0</v>
      </c>
      <c s="125">
        <f>Предпосылки!BA$239*Предпосылки!$O256*Продажи!BB21*BB$19*(1+Чувствительность!$D$20)*IFERROR(LOOKUP(Предпосылки!$H$212,$C$13:$C$15,BB$13:BB$15),1)</f>
        <v>0</v>
      </c>
      <c s="125">
        <f>Предпосылки!BB$239*Предпосылки!$O256*Продажи!BC21*BC$19*(1+Чувствительность!$D$20)*IFERROR(LOOKUP(Предпосылки!$H$212,$C$13:$C$15,BC$13:BC$15),1)</f>
        <v>0</v>
      </c>
      <c s="125">
        <f>Предпосылки!BC$239*Предпосылки!$O256*Продажи!BD21*BD$19*(1+Чувствительность!$D$20)*IFERROR(LOOKUP(Предпосылки!$H$212,$C$13:$C$15,BD$13:BD$15),1)</f>
        <v>0</v>
      </c>
      <c s="125">
        <f>Предпосылки!BD$239*Предпосылки!$O256*Продажи!BE21*BE$19*(1+Чувствительность!$D$20)*IFERROR(LOOKUP(Предпосылки!$H$212,$C$13:$C$15,BE$13:BE$15),1)</f>
        <v>0</v>
      </c>
      <c s="125">
        <f>Предпосылки!BE$239*Предпосылки!$O256*Продажи!BF21*BF$19*(1+Чувствительность!$D$20)*IFERROR(LOOKUP(Предпосылки!$H$212,$C$13:$C$15,BF$13:BF$15),1)</f>
        <v>0</v>
      </c>
      <c s="125">
        <f>Предпосылки!BF$239*Предпосылки!$O256*Продажи!BG21*BG$19*(1+Чувствительность!$D$20)*IFERROR(LOOKUP(Предпосылки!$H$212,$C$13:$C$15,BG$13:BG$15),1)</f>
        <v>0</v>
      </c>
      <c s="125">
        <f>Предпосылки!BG$239*Предпосылки!$O256*Продажи!BH21*BH$19*(1+Чувствительность!$D$20)*IFERROR(LOOKUP(Предпосылки!$H$212,$C$13:$C$15,BH$13:BH$15),1)</f>
        <v>0</v>
      </c>
      <c s="125">
        <f>Предпосылки!BH$239*Предпосылки!$O256*Продажи!BI21*BI$19*(1+Чувствительность!$D$20)*IFERROR(LOOKUP(Предпосылки!$H$212,$C$13:$C$15,BI$13:BI$15),1)</f>
        <v>0</v>
      </c>
      <c s="125">
        <f>Предпосылки!BI$239*Предпосылки!$O256*Продажи!BJ21*BJ$19*(1+Чувствительность!$D$20)*IFERROR(LOOKUP(Предпосылки!$H$212,$C$13:$C$15,BJ$13:BJ$15),1)</f>
        <v>0</v>
      </c>
      <c s="125">
        <f>Предпосылки!BJ$239*Предпосылки!$O256*Продажи!BK21*BK$19*(1+Чувствительность!$D$20)*IFERROR(LOOKUP(Предпосылки!$H$212,$C$13:$C$15,BK$13:BK$15),1)</f>
        <v>0</v>
      </c>
      <c s="125">
        <f>Предпосылки!BK$239*Предпосылки!$O256*Продажи!BL21*BL$19*(1+Чувствительность!$D$20)*IFERROR(LOOKUP(Предпосылки!$H$212,$C$13:$C$15,BL$13:BL$15),1)</f>
        <v>0</v>
      </c>
      <c s="125">
        <f>Предпосылки!BL$239*Предпосылки!$O256*Продажи!BM21*BM$19*(1+Чувствительность!$D$20)*IFERROR(LOOKUP(Предпосылки!$H$212,$C$13:$C$15,BM$13:BM$15),1)</f>
        <v>0</v>
      </c>
    </row>
    <row r="280" spans="2:65" ht="15" customHeight="1">
      <c r="B280" s="12" t="str">
        <f t="shared" si="116"/>
        <v>Продукт 5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Предпосылки!D$239*Предпосылки!$O257*Продажи!E22*E$19*(1+Чувствительность!$D$20)*IFERROR(LOOKUP(Предпосылки!$H$212,$C$13:$C$15,E$13:E$15),1)</f>
        <v>0</v>
      </c>
      <c s="125">
        <f>Предпосылки!E$239*Предпосылки!$O257*Продажи!F22*F$19*(1+Чувствительность!$D$20)*IFERROR(LOOKUP(Предпосылки!$H$212,$C$13:$C$15,F$13:F$15),1)</f>
        <v>0</v>
      </c>
      <c s="125">
        <f>Предпосылки!F$239*Предпосылки!$O257*Продажи!G22*G$19*(1+Чувствительность!$D$20)*IFERROR(LOOKUP(Предпосылки!$H$212,$C$13:$C$15,G$13:G$15),1)</f>
        <v>0</v>
      </c>
      <c s="125">
        <f>Предпосылки!G$239*Предпосылки!$O257*Продажи!H22*H$19*(1+Чувствительность!$D$20)*IFERROR(LOOKUP(Предпосылки!$H$212,$C$13:$C$15,H$13:H$15),1)</f>
        <v>0</v>
      </c>
      <c s="125">
        <f>Предпосылки!H$239*Предпосылки!$O257*Продажи!I22*I$19*(1+Чувствительность!$D$20)*IFERROR(LOOKUP(Предпосылки!$H$212,$C$13:$C$15,I$13:I$15),1)</f>
        <v>0</v>
      </c>
      <c s="125">
        <f>Предпосылки!I$239*Предпосылки!$O257*Продажи!J22*J$19*(1+Чувствительность!$D$20)*IFERROR(LOOKUP(Предпосылки!$H$212,$C$13:$C$15,J$13:J$15),1)</f>
        <v>0</v>
      </c>
      <c s="125">
        <f>Предпосылки!J$239*Предпосылки!$O257*Продажи!K22*K$19*(1+Чувствительность!$D$20)*IFERROR(LOOKUP(Предпосылки!$H$212,$C$13:$C$15,K$13:K$15),1)</f>
        <v>0</v>
      </c>
      <c s="125">
        <f>Предпосылки!K$239*Предпосылки!$O257*Продажи!L22*L$19*(1+Чувствительность!$D$20)*IFERROR(LOOKUP(Предпосылки!$H$212,$C$13:$C$15,L$13:L$15),1)</f>
        <v>0</v>
      </c>
      <c s="125">
        <f>Предпосылки!L$239*Предпосылки!$O257*Продажи!M22*M$19*(1+Чувствительность!$D$20)*IFERROR(LOOKUP(Предпосылки!$H$212,$C$13:$C$15,M$13:M$15),1)</f>
        <v>0</v>
      </c>
      <c s="125">
        <f>Предпосылки!M$239*Предпосылки!$O257*Продажи!N22*N$19*(1+Чувствительность!$D$20)*IFERROR(LOOKUP(Предпосылки!$H$212,$C$13:$C$15,N$13:N$15),1)</f>
        <v>0</v>
      </c>
      <c s="125">
        <f>Предпосылки!N$239*Предпосылки!$O257*Продажи!O22*O$19*(1+Чувствительность!$D$20)*IFERROR(LOOKUP(Предпосылки!$H$212,$C$13:$C$15,O$13:O$15),1)</f>
        <v>0</v>
      </c>
      <c s="125">
        <f>Предпосылки!O$239*Предпосылки!$O257*Продажи!P22*P$19*(1+Чувствительность!$D$20)*IFERROR(LOOKUP(Предпосылки!$H$212,$C$13:$C$15,P$13:P$15),1)</f>
        <v>0</v>
      </c>
      <c s="125">
        <f>Предпосылки!P$239*Предпосылки!$O257*Продажи!Q22*Q$19*(1+Чувствительность!$D$20)*IFERROR(LOOKUP(Предпосылки!$H$212,$C$13:$C$15,Q$13:Q$15),1)</f>
        <v>0</v>
      </c>
      <c s="125">
        <f>Предпосылки!Q$239*Предпосылки!$O257*Продажи!R22*R$19*(1+Чувствительность!$D$20)*IFERROR(LOOKUP(Предпосылки!$H$212,$C$13:$C$15,R$13:R$15),1)</f>
        <v>0</v>
      </c>
      <c s="125">
        <f>Предпосылки!R$239*Предпосылки!$O257*Продажи!S22*S$19*(1+Чувствительность!$D$20)*IFERROR(LOOKUP(Предпосылки!$H$212,$C$13:$C$15,S$13:S$15),1)</f>
        <v>0</v>
      </c>
      <c s="125">
        <f>Предпосылки!S$239*Предпосылки!$O257*Продажи!T22*T$19*(1+Чувствительность!$D$20)*IFERROR(LOOKUP(Предпосылки!$H$212,$C$13:$C$15,T$13:T$15),1)</f>
        <v>0</v>
      </c>
      <c s="125">
        <f>Предпосылки!T$239*Предпосылки!$O257*Продажи!U22*U$19*(1+Чувствительность!$D$20)*IFERROR(LOOKUP(Предпосылки!$H$212,$C$13:$C$15,U$13:U$15),1)</f>
        <v>0</v>
      </c>
      <c s="125">
        <f>Предпосылки!U$239*Предпосылки!$O257*Продажи!V22*V$19*(1+Чувствительность!$D$20)*IFERROR(LOOKUP(Предпосылки!$H$212,$C$13:$C$15,V$13:V$15),1)</f>
        <v>0</v>
      </c>
      <c s="125">
        <f>Предпосылки!V$239*Предпосылки!$O257*Продажи!W22*W$19*(1+Чувствительность!$D$20)*IFERROR(LOOKUP(Предпосылки!$H$212,$C$13:$C$15,W$13:W$15),1)</f>
        <v>0</v>
      </c>
      <c s="125">
        <f>Предпосылки!W$239*Предпосылки!$O257*Продажи!X22*X$19*(1+Чувствительность!$D$20)*IFERROR(LOOKUP(Предпосылки!$H$212,$C$13:$C$15,X$13:X$15),1)</f>
        <v>0</v>
      </c>
      <c s="125">
        <f>Предпосылки!X$239*Предпосылки!$O257*Продажи!Y22*Y$19*(1+Чувствительность!$D$20)*IFERROR(LOOKUP(Предпосылки!$H$212,$C$13:$C$15,Y$13:Y$15),1)</f>
        <v>0</v>
      </c>
      <c s="125">
        <f>Предпосылки!Y$239*Предпосылки!$O257*Продажи!Z22*Z$19*(1+Чувствительность!$D$20)*IFERROR(LOOKUP(Предпосылки!$H$212,$C$13:$C$15,Z$13:Z$15),1)</f>
        <v>0</v>
      </c>
      <c s="125">
        <f>Предпосылки!Z$239*Предпосылки!$O257*Продажи!AA22*AA$19*(1+Чувствительность!$D$20)*IFERROR(LOOKUP(Предпосылки!$H$212,$C$13:$C$15,AA$13:AA$15),1)</f>
        <v>0</v>
      </c>
      <c s="125">
        <f>Предпосылки!AA$239*Предпосылки!$O257*Продажи!AB22*AB$19*(1+Чувствительность!$D$20)*IFERROR(LOOKUP(Предпосылки!$H$212,$C$13:$C$15,AB$13:AB$15),1)</f>
        <v>0</v>
      </c>
      <c s="125">
        <f>Предпосылки!AB$239*Предпосылки!$O257*Продажи!AC22*AC$19*(1+Чувствительность!$D$20)*IFERROR(LOOKUP(Предпосылки!$H$212,$C$13:$C$15,AC$13:AC$15),1)</f>
        <v>0</v>
      </c>
      <c s="125">
        <f>Предпосылки!AC$239*Предпосылки!$O257*Продажи!AD22*AD$19*(1+Чувствительность!$D$20)*IFERROR(LOOKUP(Предпосылки!$H$212,$C$13:$C$15,AD$13:AD$15),1)</f>
        <v>0</v>
      </c>
      <c s="125">
        <f>Предпосылки!AD$239*Предпосылки!$O257*Продажи!AE22*AE$19*(1+Чувствительность!$D$20)*IFERROR(LOOKUP(Предпосылки!$H$212,$C$13:$C$15,AE$13:AE$15),1)</f>
        <v>0</v>
      </c>
      <c s="125">
        <f>Предпосылки!AE$239*Предпосылки!$O257*Продажи!AF22*AF$19*(1+Чувствительность!$D$20)*IFERROR(LOOKUP(Предпосылки!$H$212,$C$13:$C$15,AF$13:AF$15),1)</f>
        <v>0</v>
      </c>
      <c s="125">
        <f>Предпосылки!AF$239*Предпосылки!$O257*Продажи!AG22*AG$19*(1+Чувствительность!$D$20)*IFERROR(LOOKUP(Предпосылки!$H$212,$C$13:$C$15,AG$13:AG$15),1)</f>
        <v>0</v>
      </c>
      <c s="125">
        <f>Предпосылки!AG$239*Предпосылки!$O257*Продажи!AH22*AH$19*(1+Чувствительность!$D$20)*IFERROR(LOOKUP(Предпосылки!$H$212,$C$13:$C$15,AH$13:AH$15),1)</f>
        <v>0</v>
      </c>
      <c s="125">
        <f>Предпосылки!AH$239*Предпосылки!$O257*Продажи!AI22*AI$19*(1+Чувствительность!$D$20)*IFERROR(LOOKUP(Предпосылки!$H$212,$C$13:$C$15,AI$13:AI$15),1)</f>
        <v>0</v>
      </c>
      <c s="125">
        <f>Предпосылки!AI$239*Предпосылки!$O257*Продажи!AJ22*AJ$19*(1+Чувствительность!$D$20)*IFERROR(LOOKUP(Предпосылки!$H$212,$C$13:$C$15,AJ$13:AJ$15),1)</f>
        <v>0</v>
      </c>
      <c s="125">
        <f>Предпосылки!AJ$239*Предпосылки!$O257*Продажи!AK22*AK$19*(1+Чувствительность!$D$20)*IFERROR(LOOKUP(Предпосылки!$H$212,$C$13:$C$15,AK$13:AK$15),1)</f>
        <v>0</v>
      </c>
      <c s="125">
        <f>Предпосылки!AK$239*Предпосылки!$O257*Продажи!AL22*AL$19*(1+Чувствительность!$D$20)*IFERROR(LOOKUP(Предпосылки!$H$212,$C$13:$C$15,AL$13:AL$15),1)</f>
        <v>0</v>
      </c>
      <c s="125">
        <f>Предпосылки!AL$239*Предпосылки!$O257*Продажи!AM22*AM$19*(1+Чувствительность!$D$20)*IFERROR(LOOKUP(Предпосылки!$H$212,$C$13:$C$15,AM$13:AM$15),1)</f>
        <v>0</v>
      </c>
      <c s="125">
        <f>Предпосылки!AM$239*Предпосылки!$O257*Продажи!AN22*AN$19*(1+Чувствительность!$D$20)*IFERROR(LOOKUP(Предпосылки!$H$212,$C$13:$C$15,AN$13:AN$15),1)</f>
        <v>0</v>
      </c>
      <c s="125">
        <f>Предпосылки!AN$239*Предпосылки!$O257*Продажи!AO22*AO$19*(1+Чувствительность!$D$20)*IFERROR(LOOKUP(Предпосылки!$H$212,$C$13:$C$15,AO$13:AO$15),1)</f>
        <v>0</v>
      </c>
      <c s="125">
        <f>Предпосылки!AO$239*Предпосылки!$O257*Продажи!AP22*AP$19*(1+Чувствительность!$D$20)*IFERROR(LOOKUP(Предпосылки!$H$212,$C$13:$C$15,AP$13:AP$15),1)</f>
        <v>0</v>
      </c>
      <c s="125">
        <f>Предпосылки!AP$239*Предпосылки!$O257*Продажи!AQ22*AQ$19*(1+Чувствительность!$D$20)*IFERROR(LOOKUP(Предпосылки!$H$212,$C$13:$C$15,AQ$13:AQ$15),1)</f>
        <v>0</v>
      </c>
      <c s="125">
        <f>Предпосылки!AQ$239*Предпосылки!$O257*Продажи!AR22*AR$19*(1+Чувствительность!$D$20)*IFERROR(LOOKUP(Предпосылки!$H$212,$C$13:$C$15,AR$13:AR$15),1)</f>
        <v>0</v>
      </c>
      <c s="125">
        <f>Предпосылки!AR$239*Предпосылки!$O257*Продажи!AS22*AS$19*(1+Чувствительность!$D$20)*IFERROR(LOOKUP(Предпосылки!$H$212,$C$13:$C$15,AS$13:AS$15),1)</f>
        <v>0</v>
      </c>
      <c s="125">
        <f>Предпосылки!AS$239*Предпосылки!$O257*Продажи!AT22*AT$19*(1+Чувствительность!$D$20)*IFERROR(LOOKUP(Предпосылки!$H$212,$C$13:$C$15,AT$13:AT$15),1)</f>
        <v>0</v>
      </c>
      <c s="125">
        <f>Предпосылки!AT$239*Предпосылки!$O257*Продажи!AU22*AU$19*(1+Чувствительность!$D$20)*IFERROR(LOOKUP(Предпосылки!$H$212,$C$13:$C$15,AU$13:AU$15),1)</f>
        <v>0</v>
      </c>
      <c s="125">
        <f>Предпосылки!AU$239*Предпосылки!$O257*Продажи!AV22*AV$19*(1+Чувствительность!$D$20)*IFERROR(LOOKUP(Предпосылки!$H$212,$C$13:$C$15,AV$13:AV$15),1)</f>
        <v>0</v>
      </c>
      <c s="125">
        <f>Предпосылки!AV$239*Предпосылки!$O257*Продажи!AW22*AW$19*(1+Чувствительность!$D$20)*IFERROR(LOOKUP(Предпосылки!$H$212,$C$13:$C$15,AW$13:AW$15),1)</f>
        <v>0</v>
      </c>
      <c s="125">
        <f>Предпосылки!AW$239*Предпосылки!$O257*Продажи!AX22*AX$19*(1+Чувствительность!$D$20)*IFERROR(LOOKUP(Предпосылки!$H$212,$C$13:$C$15,AX$13:AX$15),1)</f>
        <v>0</v>
      </c>
      <c s="125">
        <f>Предпосылки!AX$239*Предпосылки!$O257*Продажи!AY22*AY$19*(1+Чувствительность!$D$20)*IFERROR(LOOKUP(Предпосылки!$H$212,$C$13:$C$15,AY$13:AY$15),1)</f>
        <v>0</v>
      </c>
      <c s="125">
        <f>Предпосылки!AY$239*Предпосылки!$O257*Продажи!AZ22*AZ$19*(1+Чувствительность!$D$20)*IFERROR(LOOKUP(Предпосылки!$H$212,$C$13:$C$15,AZ$13:AZ$15),1)</f>
        <v>0</v>
      </c>
      <c s="125">
        <f>Предпосылки!AZ$239*Предпосылки!$O257*Продажи!BA22*BA$19*(1+Чувствительность!$D$20)*IFERROR(LOOKUP(Предпосылки!$H$212,$C$13:$C$15,BA$13:BA$15),1)</f>
        <v>0</v>
      </c>
      <c s="125">
        <f>Предпосылки!BA$239*Предпосылки!$O257*Продажи!BB22*BB$19*(1+Чувствительность!$D$20)*IFERROR(LOOKUP(Предпосылки!$H$212,$C$13:$C$15,BB$13:BB$15),1)</f>
        <v>0</v>
      </c>
      <c s="125">
        <f>Предпосылки!BB$239*Предпосылки!$O257*Продажи!BC22*BC$19*(1+Чувствительность!$D$20)*IFERROR(LOOKUP(Предпосылки!$H$212,$C$13:$C$15,BC$13:BC$15),1)</f>
        <v>0</v>
      </c>
      <c s="125">
        <f>Предпосылки!BC$239*Предпосылки!$O257*Продажи!BD22*BD$19*(1+Чувствительность!$D$20)*IFERROR(LOOKUP(Предпосылки!$H$212,$C$13:$C$15,BD$13:BD$15),1)</f>
        <v>0</v>
      </c>
      <c s="125">
        <f>Предпосылки!BD$239*Предпосылки!$O257*Продажи!BE22*BE$19*(1+Чувствительность!$D$20)*IFERROR(LOOKUP(Предпосылки!$H$212,$C$13:$C$15,BE$13:BE$15),1)</f>
        <v>0</v>
      </c>
      <c s="125">
        <f>Предпосылки!BE$239*Предпосылки!$O257*Продажи!BF22*BF$19*(1+Чувствительность!$D$20)*IFERROR(LOOKUP(Предпосылки!$H$212,$C$13:$C$15,BF$13:BF$15),1)</f>
        <v>0</v>
      </c>
      <c s="125">
        <f>Предпосылки!BF$239*Предпосылки!$O257*Продажи!BG22*BG$19*(1+Чувствительность!$D$20)*IFERROR(LOOKUP(Предпосылки!$H$212,$C$13:$C$15,BG$13:BG$15),1)</f>
        <v>0</v>
      </c>
      <c s="125">
        <f>Предпосылки!BG$239*Предпосылки!$O257*Продажи!BH22*BH$19*(1+Чувствительность!$D$20)*IFERROR(LOOKUP(Предпосылки!$H$212,$C$13:$C$15,BH$13:BH$15),1)</f>
        <v>0</v>
      </c>
      <c s="125">
        <f>Предпосылки!BH$239*Предпосылки!$O257*Продажи!BI22*BI$19*(1+Чувствительность!$D$20)*IFERROR(LOOKUP(Предпосылки!$H$212,$C$13:$C$15,BI$13:BI$15),1)</f>
        <v>0</v>
      </c>
      <c s="125">
        <f>Предпосылки!BI$239*Предпосылки!$O257*Продажи!BJ22*BJ$19*(1+Чувствительность!$D$20)*IFERROR(LOOKUP(Предпосылки!$H$212,$C$13:$C$15,BJ$13:BJ$15),1)</f>
        <v>0</v>
      </c>
      <c s="125">
        <f>Предпосылки!BJ$239*Предпосылки!$O257*Продажи!BK22*BK$19*(1+Чувствительность!$D$20)*IFERROR(LOOKUP(Предпосылки!$H$212,$C$13:$C$15,BK$13:BK$15),1)</f>
        <v>0</v>
      </c>
      <c s="125">
        <f>Предпосылки!BK$239*Предпосылки!$O257*Продажи!BL22*BL$19*(1+Чувствительность!$D$20)*IFERROR(LOOKUP(Предпосылки!$H$212,$C$13:$C$15,BL$13:BL$15),1)</f>
        <v>0</v>
      </c>
      <c s="125">
        <f>Предпосылки!BL$239*Предпосылки!$O257*Продажи!BM22*BM$19*(1+Чувствительность!$D$20)*IFERROR(LOOKUP(Предпосылки!$H$212,$C$13:$C$15,BM$13:BM$15),1)</f>
        <v>0</v>
      </c>
    </row>
    <row r="281" spans="2:65" ht="15" customHeight="1">
      <c r="B281" s="12" t="str">
        <f t="shared" si="116"/>
        <v>Продукт 6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Предпосылки!D$239*Предпосылки!$O258*Продажи!E23*E$19*(1+Чувствительность!$D$20)*IFERROR(LOOKUP(Предпосылки!$H$212,$C$13:$C$15,E$13:E$15),1)</f>
        <v>0</v>
      </c>
      <c s="125">
        <f>Предпосылки!E$239*Предпосылки!$O258*Продажи!F23*F$19*(1+Чувствительность!$D$20)*IFERROR(LOOKUP(Предпосылки!$H$212,$C$13:$C$15,F$13:F$15),1)</f>
        <v>0</v>
      </c>
      <c s="125">
        <f>Предпосылки!F$239*Предпосылки!$O258*Продажи!G23*G$19*(1+Чувствительность!$D$20)*IFERROR(LOOKUP(Предпосылки!$H$212,$C$13:$C$15,G$13:G$15),1)</f>
        <v>0</v>
      </c>
      <c s="125">
        <f>Предпосылки!G$239*Предпосылки!$O258*Продажи!H23*H$19*(1+Чувствительность!$D$20)*IFERROR(LOOKUP(Предпосылки!$H$212,$C$13:$C$15,H$13:H$15),1)</f>
        <v>0</v>
      </c>
      <c s="125">
        <f>Предпосылки!H$239*Предпосылки!$O258*Продажи!I23*I$19*(1+Чувствительность!$D$20)*IFERROR(LOOKUP(Предпосылки!$H$212,$C$13:$C$15,I$13:I$15),1)</f>
        <v>0</v>
      </c>
      <c s="125">
        <f>Предпосылки!I$239*Предпосылки!$O258*Продажи!J23*J$19*(1+Чувствительность!$D$20)*IFERROR(LOOKUP(Предпосылки!$H$212,$C$13:$C$15,J$13:J$15),1)</f>
        <v>0</v>
      </c>
      <c s="125">
        <f>Предпосылки!J$239*Предпосылки!$O258*Продажи!K23*K$19*(1+Чувствительность!$D$20)*IFERROR(LOOKUP(Предпосылки!$H$212,$C$13:$C$15,K$13:K$15),1)</f>
        <v>0</v>
      </c>
      <c s="125">
        <f>Предпосылки!K$239*Предпосылки!$O258*Продажи!L23*L$19*(1+Чувствительность!$D$20)*IFERROR(LOOKUP(Предпосылки!$H$212,$C$13:$C$15,L$13:L$15),1)</f>
        <v>0</v>
      </c>
      <c s="125">
        <f>Предпосылки!L$239*Предпосылки!$O258*Продажи!M23*M$19*(1+Чувствительность!$D$20)*IFERROR(LOOKUP(Предпосылки!$H$212,$C$13:$C$15,M$13:M$15),1)</f>
        <v>0</v>
      </c>
      <c s="125">
        <f>Предпосылки!M$239*Предпосылки!$O258*Продажи!N23*N$19*(1+Чувствительность!$D$20)*IFERROR(LOOKUP(Предпосылки!$H$212,$C$13:$C$15,N$13:N$15),1)</f>
        <v>0</v>
      </c>
      <c s="125">
        <f>Предпосылки!N$239*Предпосылки!$O258*Продажи!O23*O$19*(1+Чувствительность!$D$20)*IFERROR(LOOKUP(Предпосылки!$H$212,$C$13:$C$15,O$13:O$15),1)</f>
        <v>0</v>
      </c>
      <c s="125">
        <f>Предпосылки!O$239*Предпосылки!$O258*Продажи!P23*P$19*(1+Чувствительность!$D$20)*IFERROR(LOOKUP(Предпосылки!$H$212,$C$13:$C$15,P$13:P$15),1)</f>
        <v>0</v>
      </c>
      <c s="125">
        <f>Предпосылки!P$239*Предпосылки!$O258*Продажи!Q23*Q$19*(1+Чувствительность!$D$20)*IFERROR(LOOKUP(Предпосылки!$H$212,$C$13:$C$15,Q$13:Q$15),1)</f>
        <v>0</v>
      </c>
      <c s="125">
        <f>Предпосылки!Q$239*Предпосылки!$O258*Продажи!R23*R$19*(1+Чувствительность!$D$20)*IFERROR(LOOKUP(Предпосылки!$H$212,$C$13:$C$15,R$13:R$15),1)</f>
        <v>0</v>
      </c>
      <c s="125">
        <f>Предпосылки!R$239*Предпосылки!$O258*Продажи!S23*S$19*(1+Чувствительность!$D$20)*IFERROR(LOOKUP(Предпосылки!$H$212,$C$13:$C$15,S$13:S$15),1)</f>
        <v>0</v>
      </c>
      <c s="125">
        <f>Предпосылки!S$239*Предпосылки!$O258*Продажи!T23*T$19*(1+Чувствительность!$D$20)*IFERROR(LOOKUP(Предпосылки!$H$212,$C$13:$C$15,T$13:T$15),1)</f>
        <v>0</v>
      </c>
      <c s="125">
        <f>Предпосылки!T$239*Предпосылки!$O258*Продажи!U23*U$19*(1+Чувствительность!$D$20)*IFERROR(LOOKUP(Предпосылки!$H$212,$C$13:$C$15,U$13:U$15),1)</f>
        <v>0</v>
      </c>
      <c s="125">
        <f>Предпосылки!U$239*Предпосылки!$O258*Продажи!V23*V$19*(1+Чувствительность!$D$20)*IFERROR(LOOKUP(Предпосылки!$H$212,$C$13:$C$15,V$13:V$15),1)</f>
        <v>0</v>
      </c>
      <c s="125">
        <f>Предпосылки!V$239*Предпосылки!$O258*Продажи!W23*W$19*(1+Чувствительность!$D$20)*IFERROR(LOOKUP(Предпосылки!$H$212,$C$13:$C$15,W$13:W$15),1)</f>
        <v>0</v>
      </c>
      <c s="125">
        <f>Предпосылки!W$239*Предпосылки!$O258*Продажи!X23*X$19*(1+Чувствительность!$D$20)*IFERROR(LOOKUP(Предпосылки!$H$212,$C$13:$C$15,X$13:X$15),1)</f>
        <v>0</v>
      </c>
      <c s="125">
        <f>Предпосылки!X$239*Предпосылки!$O258*Продажи!Y23*Y$19*(1+Чувствительность!$D$20)*IFERROR(LOOKUP(Предпосылки!$H$212,$C$13:$C$15,Y$13:Y$15),1)</f>
        <v>0</v>
      </c>
      <c s="125">
        <f>Предпосылки!Y$239*Предпосылки!$O258*Продажи!Z23*Z$19*(1+Чувствительность!$D$20)*IFERROR(LOOKUP(Предпосылки!$H$212,$C$13:$C$15,Z$13:Z$15),1)</f>
        <v>0</v>
      </c>
      <c s="125">
        <f>Предпосылки!Z$239*Предпосылки!$O258*Продажи!AA23*AA$19*(1+Чувствительность!$D$20)*IFERROR(LOOKUP(Предпосылки!$H$212,$C$13:$C$15,AA$13:AA$15),1)</f>
        <v>0</v>
      </c>
      <c s="125">
        <f>Предпосылки!AA$239*Предпосылки!$O258*Продажи!AB23*AB$19*(1+Чувствительность!$D$20)*IFERROR(LOOKUP(Предпосылки!$H$212,$C$13:$C$15,AB$13:AB$15),1)</f>
        <v>0</v>
      </c>
      <c s="125">
        <f>Предпосылки!AB$239*Предпосылки!$O258*Продажи!AC23*AC$19*(1+Чувствительность!$D$20)*IFERROR(LOOKUP(Предпосылки!$H$212,$C$13:$C$15,AC$13:AC$15),1)</f>
        <v>0</v>
      </c>
      <c s="125">
        <f>Предпосылки!AC$239*Предпосылки!$O258*Продажи!AD23*AD$19*(1+Чувствительность!$D$20)*IFERROR(LOOKUP(Предпосылки!$H$212,$C$13:$C$15,AD$13:AD$15),1)</f>
        <v>0</v>
      </c>
      <c s="125">
        <f>Предпосылки!AD$239*Предпосылки!$O258*Продажи!AE23*AE$19*(1+Чувствительность!$D$20)*IFERROR(LOOKUP(Предпосылки!$H$212,$C$13:$C$15,AE$13:AE$15),1)</f>
        <v>0</v>
      </c>
      <c s="125">
        <f>Предпосылки!AE$239*Предпосылки!$O258*Продажи!AF23*AF$19*(1+Чувствительность!$D$20)*IFERROR(LOOKUP(Предпосылки!$H$212,$C$13:$C$15,AF$13:AF$15),1)</f>
        <v>0</v>
      </c>
      <c s="125">
        <f>Предпосылки!AF$239*Предпосылки!$O258*Продажи!AG23*AG$19*(1+Чувствительность!$D$20)*IFERROR(LOOKUP(Предпосылки!$H$212,$C$13:$C$15,AG$13:AG$15),1)</f>
        <v>0</v>
      </c>
      <c s="125">
        <f>Предпосылки!AG$239*Предпосылки!$O258*Продажи!AH23*AH$19*(1+Чувствительность!$D$20)*IFERROR(LOOKUP(Предпосылки!$H$212,$C$13:$C$15,AH$13:AH$15),1)</f>
        <v>0</v>
      </c>
      <c s="125">
        <f>Предпосылки!AH$239*Предпосылки!$O258*Продажи!AI23*AI$19*(1+Чувствительность!$D$20)*IFERROR(LOOKUP(Предпосылки!$H$212,$C$13:$C$15,AI$13:AI$15),1)</f>
        <v>0</v>
      </c>
      <c s="125">
        <f>Предпосылки!AI$239*Предпосылки!$O258*Продажи!AJ23*AJ$19*(1+Чувствительность!$D$20)*IFERROR(LOOKUP(Предпосылки!$H$212,$C$13:$C$15,AJ$13:AJ$15),1)</f>
        <v>0</v>
      </c>
      <c s="125">
        <f>Предпосылки!AJ$239*Предпосылки!$O258*Продажи!AK23*AK$19*(1+Чувствительность!$D$20)*IFERROR(LOOKUP(Предпосылки!$H$212,$C$13:$C$15,AK$13:AK$15),1)</f>
        <v>0</v>
      </c>
      <c s="125">
        <f>Предпосылки!AK$239*Предпосылки!$O258*Продажи!AL23*AL$19*(1+Чувствительность!$D$20)*IFERROR(LOOKUP(Предпосылки!$H$212,$C$13:$C$15,AL$13:AL$15),1)</f>
        <v>0</v>
      </c>
      <c s="125">
        <f>Предпосылки!AL$239*Предпосылки!$O258*Продажи!AM23*AM$19*(1+Чувствительность!$D$20)*IFERROR(LOOKUP(Предпосылки!$H$212,$C$13:$C$15,AM$13:AM$15),1)</f>
        <v>0</v>
      </c>
      <c s="125">
        <f>Предпосылки!AM$239*Предпосылки!$O258*Продажи!AN23*AN$19*(1+Чувствительность!$D$20)*IFERROR(LOOKUP(Предпосылки!$H$212,$C$13:$C$15,AN$13:AN$15),1)</f>
        <v>0</v>
      </c>
      <c s="125">
        <f>Предпосылки!AN$239*Предпосылки!$O258*Продажи!AO23*AO$19*(1+Чувствительность!$D$20)*IFERROR(LOOKUP(Предпосылки!$H$212,$C$13:$C$15,AO$13:AO$15),1)</f>
        <v>0</v>
      </c>
      <c s="125">
        <f>Предпосылки!AO$239*Предпосылки!$O258*Продажи!AP23*AP$19*(1+Чувствительность!$D$20)*IFERROR(LOOKUP(Предпосылки!$H$212,$C$13:$C$15,AP$13:AP$15),1)</f>
        <v>0</v>
      </c>
      <c s="125">
        <f>Предпосылки!AP$239*Предпосылки!$O258*Продажи!AQ23*AQ$19*(1+Чувствительность!$D$20)*IFERROR(LOOKUP(Предпосылки!$H$212,$C$13:$C$15,AQ$13:AQ$15),1)</f>
        <v>0</v>
      </c>
      <c s="125">
        <f>Предпосылки!AQ$239*Предпосылки!$O258*Продажи!AR23*AR$19*(1+Чувствительность!$D$20)*IFERROR(LOOKUP(Предпосылки!$H$212,$C$13:$C$15,AR$13:AR$15),1)</f>
        <v>0</v>
      </c>
      <c s="125">
        <f>Предпосылки!AR$239*Предпосылки!$O258*Продажи!AS23*AS$19*(1+Чувствительность!$D$20)*IFERROR(LOOKUP(Предпосылки!$H$212,$C$13:$C$15,AS$13:AS$15),1)</f>
        <v>0</v>
      </c>
      <c s="125">
        <f>Предпосылки!AS$239*Предпосылки!$O258*Продажи!AT23*AT$19*(1+Чувствительность!$D$20)*IFERROR(LOOKUP(Предпосылки!$H$212,$C$13:$C$15,AT$13:AT$15),1)</f>
        <v>0</v>
      </c>
      <c s="125">
        <f>Предпосылки!AT$239*Предпосылки!$O258*Продажи!AU23*AU$19*(1+Чувствительность!$D$20)*IFERROR(LOOKUP(Предпосылки!$H$212,$C$13:$C$15,AU$13:AU$15),1)</f>
        <v>0</v>
      </c>
      <c s="125">
        <f>Предпосылки!AU$239*Предпосылки!$O258*Продажи!AV23*AV$19*(1+Чувствительность!$D$20)*IFERROR(LOOKUP(Предпосылки!$H$212,$C$13:$C$15,AV$13:AV$15),1)</f>
        <v>0</v>
      </c>
      <c s="125">
        <f>Предпосылки!AV$239*Предпосылки!$O258*Продажи!AW23*AW$19*(1+Чувствительность!$D$20)*IFERROR(LOOKUP(Предпосылки!$H$212,$C$13:$C$15,AW$13:AW$15),1)</f>
        <v>0</v>
      </c>
      <c s="125">
        <f>Предпосылки!AW$239*Предпосылки!$O258*Продажи!AX23*AX$19*(1+Чувствительность!$D$20)*IFERROR(LOOKUP(Предпосылки!$H$212,$C$13:$C$15,AX$13:AX$15),1)</f>
        <v>0</v>
      </c>
      <c s="125">
        <f>Предпосылки!AX$239*Предпосылки!$O258*Продажи!AY23*AY$19*(1+Чувствительность!$D$20)*IFERROR(LOOKUP(Предпосылки!$H$212,$C$13:$C$15,AY$13:AY$15),1)</f>
        <v>0</v>
      </c>
      <c s="125">
        <f>Предпосылки!AY$239*Предпосылки!$O258*Продажи!AZ23*AZ$19*(1+Чувствительность!$D$20)*IFERROR(LOOKUP(Предпосылки!$H$212,$C$13:$C$15,AZ$13:AZ$15),1)</f>
        <v>0</v>
      </c>
      <c s="125">
        <f>Предпосылки!AZ$239*Предпосылки!$O258*Продажи!BA23*BA$19*(1+Чувствительность!$D$20)*IFERROR(LOOKUP(Предпосылки!$H$212,$C$13:$C$15,BA$13:BA$15),1)</f>
        <v>0</v>
      </c>
      <c s="125">
        <f>Предпосылки!BA$239*Предпосылки!$O258*Продажи!BB23*BB$19*(1+Чувствительность!$D$20)*IFERROR(LOOKUP(Предпосылки!$H$212,$C$13:$C$15,BB$13:BB$15),1)</f>
        <v>0</v>
      </c>
      <c s="125">
        <f>Предпосылки!BB$239*Предпосылки!$O258*Продажи!BC23*BC$19*(1+Чувствительность!$D$20)*IFERROR(LOOKUP(Предпосылки!$H$212,$C$13:$C$15,BC$13:BC$15),1)</f>
        <v>0</v>
      </c>
      <c s="125">
        <f>Предпосылки!BC$239*Предпосылки!$O258*Продажи!BD23*BD$19*(1+Чувствительность!$D$20)*IFERROR(LOOKUP(Предпосылки!$H$212,$C$13:$C$15,BD$13:BD$15),1)</f>
        <v>0</v>
      </c>
      <c s="125">
        <f>Предпосылки!BD$239*Предпосылки!$O258*Продажи!BE23*BE$19*(1+Чувствительность!$D$20)*IFERROR(LOOKUP(Предпосылки!$H$212,$C$13:$C$15,BE$13:BE$15),1)</f>
        <v>0</v>
      </c>
      <c s="125">
        <f>Предпосылки!BE$239*Предпосылки!$O258*Продажи!BF23*BF$19*(1+Чувствительность!$D$20)*IFERROR(LOOKUP(Предпосылки!$H$212,$C$13:$C$15,BF$13:BF$15),1)</f>
        <v>0</v>
      </c>
      <c s="125">
        <f>Предпосылки!BF$239*Предпосылки!$O258*Продажи!BG23*BG$19*(1+Чувствительность!$D$20)*IFERROR(LOOKUP(Предпосылки!$H$212,$C$13:$C$15,BG$13:BG$15),1)</f>
        <v>0</v>
      </c>
      <c s="125">
        <f>Предпосылки!BG$239*Предпосылки!$O258*Продажи!BH23*BH$19*(1+Чувствительность!$D$20)*IFERROR(LOOKUP(Предпосылки!$H$212,$C$13:$C$15,BH$13:BH$15),1)</f>
        <v>0</v>
      </c>
      <c s="125">
        <f>Предпосылки!BH$239*Предпосылки!$O258*Продажи!BI23*BI$19*(1+Чувствительность!$D$20)*IFERROR(LOOKUP(Предпосылки!$H$212,$C$13:$C$15,BI$13:BI$15),1)</f>
        <v>0</v>
      </c>
      <c s="125">
        <f>Предпосылки!BI$239*Предпосылки!$O258*Продажи!BJ23*BJ$19*(1+Чувствительность!$D$20)*IFERROR(LOOKUP(Предпосылки!$H$212,$C$13:$C$15,BJ$13:BJ$15),1)</f>
        <v>0</v>
      </c>
      <c s="125">
        <f>Предпосылки!BJ$239*Предпосылки!$O258*Продажи!BK23*BK$19*(1+Чувствительность!$D$20)*IFERROR(LOOKUP(Предпосылки!$H$212,$C$13:$C$15,BK$13:BK$15),1)</f>
        <v>0</v>
      </c>
      <c s="125">
        <f>Предпосылки!BK$239*Предпосылки!$O258*Продажи!BL23*BL$19*(1+Чувствительность!$D$20)*IFERROR(LOOKUP(Предпосылки!$H$212,$C$13:$C$15,BL$13:BL$15),1)</f>
        <v>0</v>
      </c>
      <c s="125">
        <f>Предпосылки!BL$239*Предпосылки!$O258*Продажи!BM23*BM$19*(1+Чувствительность!$D$20)*IFERROR(LOOKUP(Предпосылки!$H$212,$C$13:$C$15,BM$13:BM$15),1)</f>
        <v>0</v>
      </c>
    </row>
    <row r="282" spans="2:65" ht="15" customHeight="1">
      <c r="B282" s="12" t="str">
        <f t="shared" si="116"/>
        <v>Продукт 7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Предпосылки!D$239*Предпосылки!$O259*Продажи!E24*E$19*(1+Чувствительность!$D$20)*IFERROR(LOOKUP(Предпосылки!$H$212,$C$13:$C$15,E$13:E$15),1)</f>
        <v>0</v>
      </c>
      <c s="125">
        <f>Предпосылки!E$239*Предпосылки!$O259*Продажи!F24*F$19*(1+Чувствительность!$D$20)*IFERROR(LOOKUP(Предпосылки!$H$212,$C$13:$C$15,F$13:F$15),1)</f>
        <v>0</v>
      </c>
      <c s="125">
        <f>Предпосылки!F$239*Предпосылки!$O259*Продажи!G24*G$19*(1+Чувствительность!$D$20)*IFERROR(LOOKUP(Предпосылки!$H$212,$C$13:$C$15,G$13:G$15),1)</f>
        <v>0</v>
      </c>
      <c s="125">
        <f>Предпосылки!G$239*Предпосылки!$O259*Продажи!H24*H$19*(1+Чувствительность!$D$20)*IFERROR(LOOKUP(Предпосылки!$H$212,$C$13:$C$15,H$13:H$15),1)</f>
        <v>0</v>
      </c>
      <c s="125">
        <f>Предпосылки!H$239*Предпосылки!$O259*Продажи!I24*I$19*(1+Чувствительность!$D$20)*IFERROR(LOOKUP(Предпосылки!$H$212,$C$13:$C$15,I$13:I$15),1)</f>
        <v>0</v>
      </c>
      <c s="125">
        <f>Предпосылки!I$239*Предпосылки!$O259*Продажи!J24*J$19*(1+Чувствительность!$D$20)*IFERROR(LOOKUP(Предпосылки!$H$212,$C$13:$C$15,J$13:J$15),1)</f>
        <v>0</v>
      </c>
      <c s="125">
        <f>Предпосылки!J$239*Предпосылки!$O259*Продажи!K24*K$19*(1+Чувствительность!$D$20)*IFERROR(LOOKUP(Предпосылки!$H$212,$C$13:$C$15,K$13:K$15),1)</f>
        <v>0</v>
      </c>
      <c s="125">
        <f>Предпосылки!K$239*Предпосылки!$O259*Продажи!L24*L$19*(1+Чувствительность!$D$20)*IFERROR(LOOKUP(Предпосылки!$H$212,$C$13:$C$15,L$13:L$15),1)</f>
        <v>0</v>
      </c>
      <c s="125">
        <f>Предпосылки!L$239*Предпосылки!$O259*Продажи!M24*M$19*(1+Чувствительность!$D$20)*IFERROR(LOOKUP(Предпосылки!$H$212,$C$13:$C$15,M$13:M$15),1)</f>
        <v>0</v>
      </c>
      <c s="125">
        <f>Предпосылки!M$239*Предпосылки!$O259*Продажи!N24*N$19*(1+Чувствительность!$D$20)*IFERROR(LOOKUP(Предпосылки!$H$212,$C$13:$C$15,N$13:N$15),1)</f>
        <v>0</v>
      </c>
      <c s="125">
        <f>Предпосылки!N$239*Предпосылки!$O259*Продажи!O24*O$19*(1+Чувствительность!$D$20)*IFERROR(LOOKUP(Предпосылки!$H$212,$C$13:$C$15,O$13:O$15),1)</f>
        <v>0</v>
      </c>
      <c s="125">
        <f>Предпосылки!O$239*Предпосылки!$O259*Продажи!P24*P$19*(1+Чувствительность!$D$20)*IFERROR(LOOKUP(Предпосылки!$H$212,$C$13:$C$15,P$13:P$15),1)</f>
        <v>0</v>
      </c>
      <c s="125">
        <f>Предпосылки!P$239*Предпосылки!$O259*Продажи!Q24*Q$19*(1+Чувствительность!$D$20)*IFERROR(LOOKUP(Предпосылки!$H$212,$C$13:$C$15,Q$13:Q$15),1)</f>
        <v>0</v>
      </c>
      <c s="125">
        <f>Предпосылки!Q$239*Предпосылки!$O259*Продажи!R24*R$19*(1+Чувствительность!$D$20)*IFERROR(LOOKUP(Предпосылки!$H$212,$C$13:$C$15,R$13:R$15),1)</f>
        <v>0</v>
      </c>
      <c s="125">
        <f>Предпосылки!R$239*Предпосылки!$O259*Продажи!S24*S$19*(1+Чувствительность!$D$20)*IFERROR(LOOKUP(Предпосылки!$H$212,$C$13:$C$15,S$13:S$15),1)</f>
        <v>0</v>
      </c>
      <c s="125">
        <f>Предпосылки!S$239*Предпосылки!$O259*Продажи!T24*T$19*(1+Чувствительность!$D$20)*IFERROR(LOOKUP(Предпосылки!$H$212,$C$13:$C$15,T$13:T$15),1)</f>
        <v>0</v>
      </c>
      <c s="125">
        <f>Предпосылки!T$239*Предпосылки!$O259*Продажи!U24*U$19*(1+Чувствительность!$D$20)*IFERROR(LOOKUP(Предпосылки!$H$212,$C$13:$C$15,U$13:U$15),1)</f>
        <v>0</v>
      </c>
      <c s="125">
        <f>Предпосылки!U$239*Предпосылки!$O259*Продажи!V24*V$19*(1+Чувствительность!$D$20)*IFERROR(LOOKUP(Предпосылки!$H$212,$C$13:$C$15,V$13:V$15),1)</f>
        <v>0</v>
      </c>
      <c s="125">
        <f>Предпосылки!V$239*Предпосылки!$O259*Продажи!W24*W$19*(1+Чувствительность!$D$20)*IFERROR(LOOKUP(Предпосылки!$H$212,$C$13:$C$15,W$13:W$15),1)</f>
        <v>0</v>
      </c>
      <c s="125">
        <f>Предпосылки!W$239*Предпосылки!$O259*Продажи!X24*X$19*(1+Чувствительность!$D$20)*IFERROR(LOOKUP(Предпосылки!$H$212,$C$13:$C$15,X$13:X$15),1)</f>
        <v>0</v>
      </c>
      <c s="125">
        <f>Предпосылки!X$239*Предпосылки!$O259*Продажи!Y24*Y$19*(1+Чувствительность!$D$20)*IFERROR(LOOKUP(Предпосылки!$H$212,$C$13:$C$15,Y$13:Y$15),1)</f>
        <v>0</v>
      </c>
      <c s="125">
        <f>Предпосылки!Y$239*Предпосылки!$O259*Продажи!Z24*Z$19*(1+Чувствительность!$D$20)*IFERROR(LOOKUP(Предпосылки!$H$212,$C$13:$C$15,Z$13:Z$15),1)</f>
        <v>0</v>
      </c>
      <c s="125">
        <f>Предпосылки!Z$239*Предпосылки!$O259*Продажи!AA24*AA$19*(1+Чувствительность!$D$20)*IFERROR(LOOKUP(Предпосылки!$H$212,$C$13:$C$15,AA$13:AA$15),1)</f>
        <v>0</v>
      </c>
      <c s="125">
        <f>Предпосылки!AA$239*Предпосылки!$O259*Продажи!AB24*AB$19*(1+Чувствительность!$D$20)*IFERROR(LOOKUP(Предпосылки!$H$212,$C$13:$C$15,AB$13:AB$15),1)</f>
        <v>0</v>
      </c>
      <c s="125">
        <f>Предпосылки!AB$239*Предпосылки!$O259*Продажи!AC24*AC$19*(1+Чувствительность!$D$20)*IFERROR(LOOKUP(Предпосылки!$H$212,$C$13:$C$15,AC$13:AC$15),1)</f>
        <v>0</v>
      </c>
      <c s="125">
        <f>Предпосылки!AC$239*Предпосылки!$O259*Продажи!AD24*AD$19*(1+Чувствительность!$D$20)*IFERROR(LOOKUP(Предпосылки!$H$212,$C$13:$C$15,AD$13:AD$15),1)</f>
        <v>0</v>
      </c>
      <c s="125">
        <f>Предпосылки!AD$239*Предпосылки!$O259*Продажи!AE24*AE$19*(1+Чувствительность!$D$20)*IFERROR(LOOKUP(Предпосылки!$H$212,$C$13:$C$15,AE$13:AE$15),1)</f>
        <v>0</v>
      </c>
      <c s="125">
        <f>Предпосылки!AE$239*Предпосылки!$O259*Продажи!AF24*AF$19*(1+Чувствительность!$D$20)*IFERROR(LOOKUP(Предпосылки!$H$212,$C$13:$C$15,AF$13:AF$15),1)</f>
        <v>0</v>
      </c>
      <c s="125">
        <f>Предпосылки!AF$239*Предпосылки!$O259*Продажи!AG24*AG$19*(1+Чувствительность!$D$20)*IFERROR(LOOKUP(Предпосылки!$H$212,$C$13:$C$15,AG$13:AG$15),1)</f>
        <v>0</v>
      </c>
      <c s="125">
        <f>Предпосылки!AG$239*Предпосылки!$O259*Продажи!AH24*AH$19*(1+Чувствительность!$D$20)*IFERROR(LOOKUP(Предпосылки!$H$212,$C$13:$C$15,AH$13:AH$15),1)</f>
        <v>0</v>
      </c>
      <c s="125">
        <f>Предпосылки!AH$239*Предпосылки!$O259*Продажи!AI24*AI$19*(1+Чувствительность!$D$20)*IFERROR(LOOKUP(Предпосылки!$H$212,$C$13:$C$15,AI$13:AI$15),1)</f>
        <v>0</v>
      </c>
      <c s="125">
        <f>Предпосылки!AI$239*Предпосылки!$O259*Продажи!AJ24*AJ$19*(1+Чувствительность!$D$20)*IFERROR(LOOKUP(Предпосылки!$H$212,$C$13:$C$15,AJ$13:AJ$15),1)</f>
        <v>0</v>
      </c>
      <c s="125">
        <f>Предпосылки!AJ$239*Предпосылки!$O259*Продажи!AK24*AK$19*(1+Чувствительность!$D$20)*IFERROR(LOOKUP(Предпосылки!$H$212,$C$13:$C$15,AK$13:AK$15),1)</f>
        <v>0</v>
      </c>
      <c s="125">
        <f>Предпосылки!AK$239*Предпосылки!$O259*Продажи!AL24*AL$19*(1+Чувствительность!$D$20)*IFERROR(LOOKUP(Предпосылки!$H$212,$C$13:$C$15,AL$13:AL$15),1)</f>
        <v>0</v>
      </c>
      <c s="125">
        <f>Предпосылки!AL$239*Предпосылки!$O259*Продажи!AM24*AM$19*(1+Чувствительность!$D$20)*IFERROR(LOOKUP(Предпосылки!$H$212,$C$13:$C$15,AM$13:AM$15),1)</f>
        <v>0</v>
      </c>
      <c s="125">
        <f>Предпосылки!AM$239*Предпосылки!$O259*Продажи!AN24*AN$19*(1+Чувствительность!$D$20)*IFERROR(LOOKUP(Предпосылки!$H$212,$C$13:$C$15,AN$13:AN$15),1)</f>
        <v>0</v>
      </c>
      <c s="125">
        <f>Предпосылки!AN$239*Предпосылки!$O259*Продажи!AO24*AO$19*(1+Чувствительность!$D$20)*IFERROR(LOOKUP(Предпосылки!$H$212,$C$13:$C$15,AO$13:AO$15),1)</f>
        <v>0</v>
      </c>
      <c s="125">
        <f>Предпосылки!AO$239*Предпосылки!$O259*Продажи!AP24*AP$19*(1+Чувствительность!$D$20)*IFERROR(LOOKUP(Предпосылки!$H$212,$C$13:$C$15,AP$13:AP$15),1)</f>
        <v>0</v>
      </c>
      <c s="125">
        <f>Предпосылки!AP$239*Предпосылки!$O259*Продажи!AQ24*AQ$19*(1+Чувствительность!$D$20)*IFERROR(LOOKUP(Предпосылки!$H$212,$C$13:$C$15,AQ$13:AQ$15),1)</f>
        <v>0</v>
      </c>
      <c s="125">
        <f>Предпосылки!AQ$239*Предпосылки!$O259*Продажи!AR24*AR$19*(1+Чувствительность!$D$20)*IFERROR(LOOKUP(Предпосылки!$H$212,$C$13:$C$15,AR$13:AR$15),1)</f>
        <v>0</v>
      </c>
      <c s="125">
        <f>Предпосылки!AR$239*Предпосылки!$O259*Продажи!AS24*AS$19*(1+Чувствительность!$D$20)*IFERROR(LOOKUP(Предпосылки!$H$212,$C$13:$C$15,AS$13:AS$15),1)</f>
        <v>0</v>
      </c>
      <c s="125">
        <f>Предпосылки!AS$239*Предпосылки!$O259*Продажи!AT24*AT$19*(1+Чувствительность!$D$20)*IFERROR(LOOKUP(Предпосылки!$H$212,$C$13:$C$15,AT$13:AT$15),1)</f>
        <v>0</v>
      </c>
      <c s="125">
        <f>Предпосылки!AT$239*Предпосылки!$O259*Продажи!AU24*AU$19*(1+Чувствительность!$D$20)*IFERROR(LOOKUP(Предпосылки!$H$212,$C$13:$C$15,AU$13:AU$15),1)</f>
        <v>0</v>
      </c>
      <c s="125">
        <f>Предпосылки!AU$239*Предпосылки!$O259*Продажи!AV24*AV$19*(1+Чувствительность!$D$20)*IFERROR(LOOKUP(Предпосылки!$H$212,$C$13:$C$15,AV$13:AV$15),1)</f>
        <v>0</v>
      </c>
      <c s="125">
        <f>Предпосылки!AV$239*Предпосылки!$O259*Продажи!AW24*AW$19*(1+Чувствительность!$D$20)*IFERROR(LOOKUP(Предпосылки!$H$212,$C$13:$C$15,AW$13:AW$15),1)</f>
        <v>0</v>
      </c>
      <c s="125">
        <f>Предпосылки!AW$239*Предпосылки!$O259*Продажи!AX24*AX$19*(1+Чувствительность!$D$20)*IFERROR(LOOKUP(Предпосылки!$H$212,$C$13:$C$15,AX$13:AX$15),1)</f>
        <v>0</v>
      </c>
      <c s="125">
        <f>Предпосылки!AX$239*Предпосылки!$O259*Продажи!AY24*AY$19*(1+Чувствительность!$D$20)*IFERROR(LOOKUP(Предпосылки!$H$212,$C$13:$C$15,AY$13:AY$15),1)</f>
        <v>0</v>
      </c>
      <c s="125">
        <f>Предпосылки!AY$239*Предпосылки!$O259*Продажи!AZ24*AZ$19*(1+Чувствительность!$D$20)*IFERROR(LOOKUP(Предпосылки!$H$212,$C$13:$C$15,AZ$13:AZ$15),1)</f>
        <v>0</v>
      </c>
      <c s="125">
        <f>Предпосылки!AZ$239*Предпосылки!$O259*Продажи!BA24*BA$19*(1+Чувствительность!$D$20)*IFERROR(LOOKUP(Предпосылки!$H$212,$C$13:$C$15,BA$13:BA$15),1)</f>
        <v>0</v>
      </c>
      <c s="125">
        <f>Предпосылки!BA$239*Предпосылки!$O259*Продажи!BB24*BB$19*(1+Чувствительность!$D$20)*IFERROR(LOOKUP(Предпосылки!$H$212,$C$13:$C$15,BB$13:BB$15),1)</f>
        <v>0</v>
      </c>
      <c s="125">
        <f>Предпосылки!BB$239*Предпосылки!$O259*Продажи!BC24*BC$19*(1+Чувствительность!$D$20)*IFERROR(LOOKUP(Предпосылки!$H$212,$C$13:$C$15,BC$13:BC$15),1)</f>
        <v>0</v>
      </c>
      <c s="125">
        <f>Предпосылки!BC$239*Предпосылки!$O259*Продажи!BD24*BD$19*(1+Чувствительность!$D$20)*IFERROR(LOOKUP(Предпосылки!$H$212,$C$13:$C$15,BD$13:BD$15),1)</f>
        <v>0</v>
      </c>
      <c s="125">
        <f>Предпосылки!BD$239*Предпосылки!$O259*Продажи!BE24*BE$19*(1+Чувствительность!$D$20)*IFERROR(LOOKUP(Предпосылки!$H$212,$C$13:$C$15,BE$13:BE$15),1)</f>
        <v>0</v>
      </c>
      <c s="125">
        <f>Предпосылки!BE$239*Предпосылки!$O259*Продажи!BF24*BF$19*(1+Чувствительность!$D$20)*IFERROR(LOOKUP(Предпосылки!$H$212,$C$13:$C$15,BF$13:BF$15),1)</f>
        <v>0</v>
      </c>
      <c s="125">
        <f>Предпосылки!BF$239*Предпосылки!$O259*Продажи!BG24*BG$19*(1+Чувствительность!$D$20)*IFERROR(LOOKUP(Предпосылки!$H$212,$C$13:$C$15,BG$13:BG$15),1)</f>
        <v>0</v>
      </c>
      <c s="125">
        <f>Предпосылки!BG$239*Предпосылки!$O259*Продажи!BH24*BH$19*(1+Чувствительность!$D$20)*IFERROR(LOOKUP(Предпосылки!$H$212,$C$13:$C$15,BH$13:BH$15),1)</f>
        <v>0</v>
      </c>
      <c s="125">
        <f>Предпосылки!BH$239*Предпосылки!$O259*Продажи!BI24*BI$19*(1+Чувствительность!$D$20)*IFERROR(LOOKUP(Предпосылки!$H$212,$C$13:$C$15,BI$13:BI$15),1)</f>
        <v>0</v>
      </c>
      <c s="125">
        <f>Предпосылки!BI$239*Предпосылки!$O259*Продажи!BJ24*BJ$19*(1+Чувствительность!$D$20)*IFERROR(LOOKUP(Предпосылки!$H$212,$C$13:$C$15,BJ$13:BJ$15),1)</f>
        <v>0</v>
      </c>
      <c s="125">
        <f>Предпосылки!BJ$239*Предпосылки!$O259*Продажи!BK24*BK$19*(1+Чувствительность!$D$20)*IFERROR(LOOKUP(Предпосылки!$H$212,$C$13:$C$15,BK$13:BK$15),1)</f>
        <v>0</v>
      </c>
      <c s="125">
        <f>Предпосылки!BK$239*Предпосылки!$O259*Продажи!BL24*BL$19*(1+Чувствительность!$D$20)*IFERROR(LOOKUP(Предпосылки!$H$212,$C$13:$C$15,BL$13:BL$15),1)</f>
        <v>0</v>
      </c>
      <c s="125">
        <f>Предпосылки!BL$239*Предпосылки!$O259*Продажи!BM24*BM$19*(1+Чувствительность!$D$20)*IFERROR(LOOKUP(Предпосылки!$H$212,$C$13:$C$15,BM$13:BM$15),1)</f>
        <v>0</v>
      </c>
    </row>
    <row r="283" spans="2:65" ht="15" customHeight="1">
      <c r="B283" s="12" t="str">
        <f t="shared" si="116"/>
        <v>Продукт 8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Предпосылки!D$239*Предпосылки!$O260*Продажи!E25*E$19*(1+Чувствительность!$D$20)*IFERROR(LOOKUP(Предпосылки!$H$212,$C$13:$C$15,E$13:E$15),1)</f>
        <v>0</v>
      </c>
      <c s="125">
        <f>Предпосылки!E$239*Предпосылки!$O260*Продажи!F25*F$19*(1+Чувствительность!$D$20)*IFERROR(LOOKUP(Предпосылки!$H$212,$C$13:$C$15,F$13:F$15),1)</f>
        <v>0</v>
      </c>
      <c s="125">
        <f>Предпосылки!F$239*Предпосылки!$O260*Продажи!G25*G$19*(1+Чувствительность!$D$20)*IFERROR(LOOKUP(Предпосылки!$H$212,$C$13:$C$15,G$13:G$15),1)</f>
        <v>0</v>
      </c>
      <c s="125">
        <f>Предпосылки!G$239*Предпосылки!$O260*Продажи!H25*H$19*(1+Чувствительность!$D$20)*IFERROR(LOOKUP(Предпосылки!$H$212,$C$13:$C$15,H$13:H$15),1)</f>
        <v>0</v>
      </c>
      <c s="125">
        <f>Предпосылки!H$239*Предпосылки!$O260*Продажи!I25*I$19*(1+Чувствительность!$D$20)*IFERROR(LOOKUP(Предпосылки!$H$212,$C$13:$C$15,I$13:I$15),1)</f>
        <v>0</v>
      </c>
      <c s="125">
        <f>Предпосылки!I$239*Предпосылки!$O260*Продажи!J25*J$19*(1+Чувствительность!$D$20)*IFERROR(LOOKUP(Предпосылки!$H$212,$C$13:$C$15,J$13:J$15),1)</f>
        <v>0</v>
      </c>
      <c s="125">
        <f>Предпосылки!J$239*Предпосылки!$O260*Продажи!K25*K$19*(1+Чувствительность!$D$20)*IFERROR(LOOKUP(Предпосылки!$H$212,$C$13:$C$15,K$13:K$15),1)</f>
        <v>0</v>
      </c>
      <c s="125">
        <f>Предпосылки!K$239*Предпосылки!$O260*Продажи!L25*L$19*(1+Чувствительность!$D$20)*IFERROR(LOOKUP(Предпосылки!$H$212,$C$13:$C$15,L$13:L$15),1)</f>
        <v>0</v>
      </c>
      <c s="125">
        <f>Предпосылки!L$239*Предпосылки!$O260*Продажи!M25*M$19*(1+Чувствительность!$D$20)*IFERROR(LOOKUP(Предпосылки!$H$212,$C$13:$C$15,M$13:M$15),1)</f>
        <v>0</v>
      </c>
      <c s="125">
        <f>Предпосылки!M$239*Предпосылки!$O260*Продажи!N25*N$19*(1+Чувствительность!$D$20)*IFERROR(LOOKUP(Предпосылки!$H$212,$C$13:$C$15,N$13:N$15),1)</f>
        <v>0</v>
      </c>
      <c s="125">
        <f>Предпосылки!N$239*Предпосылки!$O260*Продажи!O25*O$19*(1+Чувствительность!$D$20)*IFERROR(LOOKUP(Предпосылки!$H$212,$C$13:$C$15,O$13:O$15),1)</f>
        <v>0</v>
      </c>
      <c s="125">
        <f>Предпосылки!O$239*Предпосылки!$O260*Продажи!P25*P$19*(1+Чувствительность!$D$20)*IFERROR(LOOKUP(Предпосылки!$H$212,$C$13:$C$15,P$13:P$15),1)</f>
        <v>0</v>
      </c>
      <c s="125">
        <f>Предпосылки!P$239*Предпосылки!$O260*Продажи!Q25*Q$19*(1+Чувствительность!$D$20)*IFERROR(LOOKUP(Предпосылки!$H$212,$C$13:$C$15,Q$13:Q$15),1)</f>
        <v>0</v>
      </c>
      <c s="125">
        <f>Предпосылки!Q$239*Предпосылки!$O260*Продажи!R25*R$19*(1+Чувствительность!$D$20)*IFERROR(LOOKUP(Предпосылки!$H$212,$C$13:$C$15,R$13:R$15),1)</f>
        <v>0</v>
      </c>
      <c s="125">
        <f>Предпосылки!R$239*Предпосылки!$O260*Продажи!S25*S$19*(1+Чувствительность!$D$20)*IFERROR(LOOKUP(Предпосылки!$H$212,$C$13:$C$15,S$13:S$15),1)</f>
        <v>0</v>
      </c>
      <c s="125">
        <f>Предпосылки!S$239*Предпосылки!$O260*Продажи!T25*T$19*(1+Чувствительность!$D$20)*IFERROR(LOOKUP(Предпосылки!$H$212,$C$13:$C$15,T$13:T$15),1)</f>
        <v>0</v>
      </c>
      <c s="125">
        <f>Предпосылки!T$239*Предпосылки!$O260*Продажи!U25*U$19*(1+Чувствительность!$D$20)*IFERROR(LOOKUP(Предпосылки!$H$212,$C$13:$C$15,U$13:U$15),1)</f>
        <v>0</v>
      </c>
      <c s="125">
        <f>Предпосылки!U$239*Предпосылки!$O260*Продажи!V25*V$19*(1+Чувствительность!$D$20)*IFERROR(LOOKUP(Предпосылки!$H$212,$C$13:$C$15,V$13:V$15),1)</f>
        <v>0</v>
      </c>
      <c s="125">
        <f>Предпосылки!V$239*Предпосылки!$O260*Продажи!W25*W$19*(1+Чувствительность!$D$20)*IFERROR(LOOKUP(Предпосылки!$H$212,$C$13:$C$15,W$13:W$15),1)</f>
        <v>0</v>
      </c>
      <c s="125">
        <f>Предпосылки!W$239*Предпосылки!$O260*Продажи!X25*X$19*(1+Чувствительность!$D$20)*IFERROR(LOOKUP(Предпосылки!$H$212,$C$13:$C$15,X$13:X$15),1)</f>
        <v>0</v>
      </c>
      <c s="125">
        <f>Предпосылки!X$239*Предпосылки!$O260*Продажи!Y25*Y$19*(1+Чувствительность!$D$20)*IFERROR(LOOKUP(Предпосылки!$H$212,$C$13:$C$15,Y$13:Y$15),1)</f>
        <v>0</v>
      </c>
      <c s="125">
        <f>Предпосылки!Y$239*Предпосылки!$O260*Продажи!Z25*Z$19*(1+Чувствительность!$D$20)*IFERROR(LOOKUP(Предпосылки!$H$212,$C$13:$C$15,Z$13:Z$15),1)</f>
        <v>0</v>
      </c>
      <c s="125">
        <f>Предпосылки!Z$239*Предпосылки!$O260*Продажи!AA25*AA$19*(1+Чувствительность!$D$20)*IFERROR(LOOKUP(Предпосылки!$H$212,$C$13:$C$15,AA$13:AA$15),1)</f>
        <v>0</v>
      </c>
      <c s="125">
        <f>Предпосылки!AA$239*Предпосылки!$O260*Продажи!AB25*AB$19*(1+Чувствительность!$D$20)*IFERROR(LOOKUP(Предпосылки!$H$212,$C$13:$C$15,AB$13:AB$15),1)</f>
        <v>0</v>
      </c>
      <c s="125">
        <f>Предпосылки!AB$239*Предпосылки!$O260*Продажи!AC25*AC$19*(1+Чувствительность!$D$20)*IFERROR(LOOKUP(Предпосылки!$H$212,$C$13:$C$15,AC$13:AC$15),1)</f>
        <v>0</v>
      </c>
      <c s="125">
        <f>Предпосылки!AC$239*Предпосылки!$O260*Продажи!AD25*AD$19*(1+Чувствительность!$D$20)*IFERROR(LOOKUP(Предпосылки!$H$212,$C$13:$C$15,AD$13:AD$15),1)</f>
        <v>0</v>
      </c>
      <c s="125">
        <f>Предпосылки!AD$239*Предпосылки!$O260*Продажи!AE25*AE$19*(1+Чувствительность!$D$20)*IFERROR(LOOKUP(Предпосылки!$H$212,$C$13:$C$15,AE$13:AE$15),1)</f>
        <v>0</v>
      </c>
      <c s="125">
        <f>Предпосылки!AE$239*Предпосылки!$O260*Продажи!AF25*AF$19*(1+Чувствительность!$D$20)*IFERROR(LOOKUP(Предпосылки!$H$212,$C$13:$C$15,AF$13:AF$15),1)</f>
        <v>0</v>
      </c>
      <c s="125">
        <f>Предпосылки!AF$239*Предпосылки!$O260*Продажи!AG25*AG$19*(1+Чувствительность!$D$20)*IFERROR(LOOKUP(Предпосылки!$H$212,$C$13:$C$15,AG$13:AG$15),1)</f>
        <v>0</v>
      </c>
      <c s="125">
        <f>Предпосылки!AG$239*Предпосылки!$O260*Продажи!AH25*AH$19*(1+Чувствительность!$D$20)*IFERROR(LOOKUP(Предпосылки!$H$212,$C$13:$C$15,AH$13:AH$15),1)</f>
        <v>0</v>
      </c>
      <c s="125">
        <f>Предпосылки!AH$239*Предпосылки!$O260*Продажи!AI25*AI$19*(1+Чувствительность!$D$20)*IFERROR(LOOKUP(Предпосылки!$H$212,$C$13:$C$15,AI$13:AI$15),1)</f>
        <v>0</v>
      </c>
      <c s="125">
        <f>Предпосылки!AI$239*Предпосылки!$O260*Продажи!AJ25*AJ$19*(1+Чувствительность!$D$20)*IFERROR(LOOKUP(Предпосылки!$H$212,$C$13:$C$15,AJ$13:AJ$15),1)</f>
        <v>0</v>
      </c>
      <c s="125">
        <f>Предпосылки!AJ$239*Предпосылки!$O260*Продажи!AK25*AK$19*(1+Чувствительность!$D$20)*IFERROR(LOOKUP(Предпосылки!$H$212,$C$13:$C$15,AK$13:AK$15),1)</f>
        <v>0</v>
      </c>
      <c s="125">
        <f>Предпосылки!AK$239*Предпосылки!$O260*Продажи!AL25*AL$19*(1+Чувствительность!$D$20)*IFERROR(LOOKUP(Предпосылки!$H$212,$C$13:$C$15,AL$13:AL$15),1)</f>
        <v>0</v>
      </c>
      <c s="125">
        <f>Предпосылки!AL$239*Предпосылки!$O260*Продажи!AM25*AM$19*(1+Чувствительность!$D$20)*IFERROR(LOOKUP(Предпосылки!$H$212,$C$13:$C$15,AM$13:AM$15),1)</f>
        <v>0</v>
      </c>
      <c s="125">
        <f>Предпосылки!AM$239*Предпосылки!$O260*Продажи!AN25*AN$19*(1+Чувствительность!$D$20)*IFERROR(LOOKUP(Предпосылки!$H$212,$C$13:$C$15,AN$13:AN$15),1)</f>
        <v>0</v>
      </c>
      <c s="125">
        <f>Предпосылки!AN$239*Предпосылки!$O260*Продажи!AO25*AO$19*(1+Чувствительность!$D$20)*IFERROR(LOOKUP(Предпосылки!$H$212,$C$13:$C$15,AO$13:AO$15),1)</f>
        <v>0</v>
      </c>
      <c s="125">
        <f>Предпосылки!AO$239*Предпосылки!$O260*Продажи!AP25*AP$19*(1+Чувствительность!$D$20)*IFERROR(LOOKUP(Предпосылки!$H$212,$C$13:$C$15,AP$13:AP$15),1)</f>
        <v>0</v>
      </c>
      <c s="125">
        <f>Предпосылки!AP$239*Предпосылки!$O260*Продажи!AQ25*AQ$19*(1+Чувствительность!$D$20)*IFERROR(LOOKUP(Предпосылки!$H$212,$C$13:$C$15,AQ$13:AQ$15),1)</f>
        <v>0</v>
      </c>
      <c s="125">
        <f>Предпосылки!AQ$239*Предпосылки!$O260*Продажи!AR25*AR$19*(1+Чувствительность!$D$20)*IFERROR(LOOKUP(Предпосылки!$H$212,$C$13:$C$15,AR$13:AR$15),1)</f>
        <v>0</v>
      </c>
      <c s="125">
        <f>Предпосылки!AR$239*Предпосылки!$O260*Продажи!AS25*AS$19*(1+Чувствительность!$D$20)*IFERROR(LOOKUP(Предпосылки!$H$212,$C$13:$C$15,AS$13:AS$15),1)</f>
        <v>0</v>
      </c>
      <c s="125">
        <f>Предпосылки!AS$239*Предпосылки!$O260*Продажи!AT25*AT$19*(1+Чувствительность!$D$20)*IFERROR(LOOKUP(Предпосылки!$H$212,$C$13:$C$15,AT$13:AT$15),1)</f>
        <v>0</v>
      </c>
      <c s="125">
        <f>Предпосылки!AT$239*Предпосылки!$O260*Продажи!AU25*AU$19*(1+Чувствительность!$D$20)*IFERROR(LOOKUP(Предпосылки!$H$212,$C$13:$C$15,AU$13:AU$15),1)</f>
        <v>0</v>
      </c>
      <c s="125">
        <f>Предпосылки!AU$239*Предпосылки!$O260*Продажи!AV25*AV$19*(1+Чувствительность!$D$20)*IFERROR(LOOKUP(Предпосылки!$H$212,$C$13:$C$15,AV$13:AV$15),1)</f>
        <v>0</v>
      </c>
      <c s="125">
        <f>Предпосылки!AV$239*Предпосылки!$O260*Продажи!AW25*AW$19*(1+Чувствительность!$D$20)*IFERROR(LOOKUP(Предпосылки!$H$212,$C$13:$C$15,AW$13:AW$15),1)</f>
        <v>0</v>
      </c>
      <c s="125">
        <f>Предпосылки!AW$239*Предпосылки!$O260*Продажи!AX25*AX$19*(1+Чувствительность!$D$20)*IFERROR(LOOKUP(Предпосылки!$H$212,$C$13:$C$15,AX$13:AX$15),1)</f>
        <v>0</v>
      </c>
      <c s="125">
        <f>Предпосылки!AX$239*Предпосылки!$O260*Продажи!AY25*AY$19*(1+Чувствительность!$D$20)*IFERROR(LOOKUP(Предпосылки!$H$212,$C$13:$C$15,AY$13:AY$15),1)</f>
        <v>0</v>
      </c>
      <c s="125">
        <f>Предпосылки!AY$239*Предпосылки!$O260*Продажи!AZ25*AZ$19*(1+Чувствительность!$D$20)*IFERROR(LOOKUP(Предпосылки!$H$212,$C$13:$C$15,AZ$13:AZ$15),1)</f>
        <v>0</v>
      </c>
      <c s="125">
        <f>Предпосылки!AZ$239*Предпосылки!$O260*Продажи!BA25*BA$19*(1+Чувствительность!$D$20)*IFERROR(LOOKUP(Предпосылки!$H$212,$C$13:$C$15,BA$13:BA$15),1)</f>
        <v>0</v>
      </c>
      <c s="125">
        <f>Предпосылки!BA$239*Предпосылки!$O260*Продажи!BB25*BB$19*(1+Чувствительность!$D$20)*IFERROR(LOOKUP(Предпосылки!$H$212,$C$13:$C$15,BB$13:BB$15),1)</f>
        <v>0</v>
      </c>
      <c s="125">
        <f>Предпосылки!BB$239*Предпосылки!$O260*Продажи!BC25*BC$19*(1+Чувствительность!$D$20)*IFERROR(LOOKUP(Предпосылки!$H$212,$C$13:$C$15,BC$13:BC$15),1)</f>
        <v>0</v>
      </c>
      <c s="125">
        <f>Предпосылки!BC$239*Предпосылки!$O260*Продажи!BD25*BD$19*(1+Чувствительность!$D$20)*IFERROR(LOOKUP(Предпосылки!$H$212,$C$13:$C$15,BD$13:BD$15),1)</f>
        <v>0</v>
      </c>
      <c s="125">
        <f>Предпосылки!BD$239*Предпосылки!$O260*Продажи!BE25*BE$19*(1+Чувствительность!$D$20)*IFERROR(LOOKUP(Предпосылки!$H$212,$C$13:$C$15,BE$13:BE$15),1)</f>
        <v>0</v>
      </c>
      <c s="125">
        <f>Предпосылки!BE$239*Предпосылки!$O260*Продажи!BF25*BF$19*(1+Чувствительность!$D$20)*IFERROR(LOOKUP(Предпосылки!$H$212,$C$13:$C$15,BF$13:BF$15),1)</f>
        <v>0</v>
      </c>
      <c s="125">
        <f>Предпосылки!BF$239*Предпосылки!$O260*Продажи!BG25*BG$19*(1+Чувствительность!$D$20)*IFERROR(LOOKUP(Предпосылки!$H$212,$C$13:$C$15,BG$13:BG$15),1)</f>
        <v>0</v>
      </c>
      <c s="125">
        <f>Предпосылки!BG$239*Предпосылки!$O260*Продажи!BH25*BH$19*(1+Чувствительность!$D$20)*IFERROR(LOOKUP(Предпосылки!$H$212,$C$13:$C$15,BH$13:BH$15),1)</f>
        <v>0</v>
      </c>
      <c s="125">
        <f>Предпосылки!BH$239*Предпосылки!$O260*Продажи!BI25*BI$19*(1+Чувствительность!$D$20)*IFERROR(LOOKUP(Предпосылки!$H$212,$C$13:$C$15,BI$13:BI$15),1)</f>
        <v>0</v>
      </c>
      <c s="125">
        <f>Предпосылки!BI$239*Предпосылки!$O260*Продажи!BJ25*BJ$19*(1+Чувствительность!$D$20)*IFERROR(LOOKUP(Предпосылки!$H$212,$C$13:$C$15,BJ$13:BJ$15),1)</f>
        <v>0</v>
      </c>
      <c s="125">
        <f>Предпосылки!BJ$239*Предпосылки!$O260*Продажи!BK25*BK$19*(1+Чувствительность!$D$20)*IFERROR(LOOKUP(Предпосылки!$H$212,$C$13:$C$15,BK$13:BK$15),1)</f>
        <v>0</v>
      </c>
      <c s="125">
        <f>Предпосылки!BK$239*Предпосылки!$O260*Продажи!BL25*BL$19*(1+Чувствительность!$D$20)*IFERROR(LOOKUP(Предпосылки!$H$212,$C$13:$C$15,BL$13:BL$15),1)</f>
        <v>0</v>
      </c>
      <c s="125">
        <f>Предпосылки!BL$239*Предпосылки!$O260*Продажи!BM25*BM$19*(1+Чувствительность!$D$20)*IFERROR(LOOKUP(Предпосылки!$H$212,$C$13:$C$15,BM$13:BM$15),1)</f>
        <v>0</v>
      </c>
    </row>
    <row r="284" spans="2:65" ht="15" customHeight="1">
      <c r="B284" s="12" t="str">
        <f t="shared" si="116"/>
        <v>Продукт 9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Предпосылки!D$239*Предпосылки!$O261*Продажи!E26*E$19*(1+Чувствительность!$D$20)*IFERROR(LOOKUP(Предпосылки!$H$212,$C$13:$C$15,E$13:E$15),1)</f>
        <v>0</v>
      </c>
      <c s="125">
        <f>Предпосылки!E$239*Предпосылки!$O261*Продажи!F26*F$19*(1+Чувствительность!$D$20)*IFERROR(LOOKUP(Предпосылки!$H$212,$C$13:$C$15,F$13:F$15),1)</f>
        <v>0</v>
      </c>
      <c s="125">
        <f>Предпосылки!F$239*Предпосылки!$O261*Продажи!G26*G$19*(1+Чувствительность!$D$20)*IFERROR(LOOKUP(Предпосылки!$H$212,$C$13:$C$15,G$13:G$15),1)</f>
        <v>0</v>
      </c>
      <c s="125">
        <f>Предпосылки!G$239*Предпосылки!$O261*Продажи!H26*H$19*(1+Чувствительность!$D$20)*IFERROR(LOOKUP(Предпосылки!$H$212,$C$13:$C$15,H$13:H$15),1)</f>
        <v>0</v>
      </c>
      <c s="125">
        <f>Предпосылки!H$239*Предпосылки!$O261*Продажи!I26*I$19*(1+Чувствительность!$D$20)*IFERROR(LOOKUP(Предпосылки!$H$212,$C$13:$C$15,I$13:I$15),1)</f>
        <v>0</v>
      </c>
      <c s="125">
        <f>Предпосылки!I$239*Предпосылки!$O261*Продажи!J26*J$19*(1+Чувствительность!$D$20)*IFERROR(LOOKUP(Предпосылки!$H$212,$C$13:$C$15,J$13:J$15),1)</f>
        <v>0</v>
      </c>
      <c s="125">
        <f>Предпосылки!J$239*Предпосылки!$O261*Продажи!K26*K$19*(1+Чувствительность!$D$20)*IFERROR(LOOKUP(Предпосылки!$H$212,$C$13:$C$15,K$13:K$15),1)</f>
        <v>0</v>
      </c>
      <c s="125">
        <f>Предпосылки!K$239*Предпосылки!$O261*Продажи!L26*L$19*(1+Чувствительность!$D$20)*IFERROR(LOOKUP(Предпосылки!$H$212,$C$13:$C$15,L$13:L$15),1)</f>
        <v>0</v>
      </c>
      <c s="125">
        <f>Предпосылки!L$239*Предпосылки!$O261*Продажи!M26*M$19*(1+Чувствительность!$D$20)*IFERROR(LOOKUP(Предпосылки!$H$212,$C$13:$C$15,M$13:M$15),1)</f>
        <v>0</v>
      </c>
      <c s="125">
        <f>Предпосылки!M$239*Предпосылки!$O261*Продажи!N26*N$19*(1+Чувствительность!$D$20)*IFERROR(LOOKUP(Предпосылки!$H$212,$C$13:$C$15,N$13:N$15),1)</f>
        <v>0</v>
      </c>
      <c s="125">
        <f>Предпосылки!N$239*Предпосылки!$O261*Продажи!O26*O$19*(1+Чувствительность!$D$20)*IFERROR(LOOKUP(Предпосылки!$H$212,$C$13:$C$15,O$13:O$15),1)</f>
        <v>0</v>
      </c>
      <c s="125">
        <f>Предпосылки!O$239*Предпосылки!$O261*Продажи!P26*P$19*(1+Чувствительность!$D$20)*IFERROR(LOOKUP(Предпосылки!$H$212,$C$13:$C$15,P$13:P$15),1)</f>
        <v>0</v>
      </c>
      <c s="125">
        <f>Предпосылки!P$239*Предпосылки!$O261*Продажи!Q26*Q$19*(1+Чувствительность!$D$20)*IFERROR(LOOKUP(Предпосылки!$H$212,$C$13:$C$15,Q$13:Q$15),1)</f>
        <v>0</v>
      </c>
      <c s="125">
        <f>Предпосылки!Q$239*Предпосылки!$O261*Продажи!R26*R$19*(1+Чувствительность!$D$20)*IFERROR(LOOKUP(Предпосылки!$H$212,$C$13:$C$15,R$13:R$15),1)</f>
        <v>0</v>
      </c>
      <c s="125">
        <f>Предпосылки!R$239*Предпосылки!$O261*Продажи!S26*S$19*(1+Чувствительность!$D$20)*IFERROR(LOOKUP(Предпосылки!$H$212,$C$13:$C$15,S$13:S$15),1)</f>
        <v>0</v>
      </c>
      <c s="125">
        <f>Предпосылки!S$239*Предпосылки!$O261*Продажи!T26*T$19*(1+Чувствительность!$D$20)*IFERROR(LOOKUP(Предпосылки!$H$212,$C$13:$C$15,T$13:T$15),1)</f>
        <v>0</v>
      </c>
      <c s="125">
        <f>Предпосылки!T$239*Предпосылки!$O261*Продажи!U26*U$19*(1+Чувствительность!$D$20)*IFERROR(LOOKUP(Предпосылки!$H$212,$C$13:$C$15,U$13:U$15),1)</f>
        <v>0</v>
      </c>
      <c s="125">
        <f>Предпосылки!U$239*Предпосылки!$O261*Продажи!V26*V$19*(1+Чувствительность!$D$20)*IFERROR(LOOKUP(Предпосылки!$H$212,$C$13:$C$15,V$13:V$15),1)</f>
        <v>0</v>
      </c>
      <c s="125">
        <f>Предпосылки!V$239*Предпосылки!$O261*Продажи!W26*W$19*(1+Чувствительность!$D$20)*IFERROR(LOOKUP(Предпосылки!$H$212,$C$13:$C$15,W$13:W$15),1)</f>
        <v>0</v>
      </c>
      <c s="125">
        <f>Предпосылки!W$239*Предпосылки!$O261*Продажи!X26*X$19*(1+Чувствительность!$D$20)*IFERROR(LOOKUP(Предпосылки!$H$212,$C$13:$C$15,X$13:X$15),1)</f>
        <v>0</v>
      </c>
      <c s="125">
        <f>Предпосылки!X$239*Предпосылки!$O261*Продажи!Y26*Y$19*(1+Чувствительность!$D$20)*IFERROR(LOOKUP(Предпосылки!$H$212,$C$13:$C$15,Y$13:Y$15),1)</f>
        <v>0</v>
      </c>
      <c s="125">
        <f>Предпосылки!Y$239*Предпосылки!$O261*Продажи!Z26*Z$19*(1+Чувствительность!$D$20)*IFERROR(LOOKUP(Предпосылки!$H$212,$C$13:$C$15,Z$13:Z$15),1)</f>
        <v>0</v>
      </c>
      <c s="125">
        <f>Предпосылки!Z$239*Предпосылки!$O261*Продажи!AA26*AA$19*(1+Чувствительность!$D$20)*IFERROR(LOOKUP(Предпосылки!$H$212,$C$13:$C$15,AA$13:AA$15),1)</f>
        <v>0</v>
      </c>
      <c s="125">
        <f>Предпосылки!AA$239*Предпосылки!$O261*Продажи!AB26*AB$19*(1+Чувствительность!$D$20)*IFERROR(LOOKUP(Предпосылки!$H$212,$C$13:$C$15,AB$13:AB$15),1)</f>
        <v>0</v>
      </c>
      <c s="125">
        <f>Предпосылки!AB$239*Предпосылки!$O261*Продажи!AC26*AC$19*(1+Чувствительность!$D$20)*IFERROR(LOOKUP(Предпосылки!$H$212,$C$13:$C$15,AC$13:AC$15),1)</f>
        <v>0</v>
      </c>
      <c s="125">
        <f>Предпосылки!AC$239*Предпосылки!$O261*Продажи!AD26*AD$19*(1+Чувствительность!$D$20)*IFERROR(LOOKUP(Предпосылки!$H$212,$C$13:$C$15,AD$13:AD$15),1)</f>
        <v>0</v>
      </c>
      <c s="125">
        <f>Предпосылки!AD$239*Предпосылки!$O261*Продажи!AE26*AE$19*(1+Чувствительность!$D$20)*IFERROR(LOOKUP(Предпосылки!$H$212,$C$13:$C$15,AE$13:AE$15),1)</f>
        <v>0</v>
      </c>
      <c s="125">
        <f>Предпосылки!AE$239*Предпосылки!$O261*Продажи!AF26*AF$19*(1+Чувствительность!$D$20)*IFERROR(LOOKUP(Предпосылки!$H$212,$C$13:$C$15,AF$13:AF$15),1)</f>
        <v>0</v>
      </c>
      <c s="125">
        <f>Предпосылки!AF$239*Предпосылки!$O261*Продажи!AG26*AG$19*(1+Чувствительность!$D$20)*IFERROR(LOOKUP(Предпосылки!$H$212,$C$13:$C$15,AG$13:AG$15),1)</f>
        <v>0</v>
      </c>
      <c s="125">
        <f>Предпосылки!AG$239*Предпосылки!$O261*Продажи!AH26*AH$19*(1+Чувствительность!$D$20)*IFERROR(LOOKUP(Предпосылки!$H$212,$C$13:$C$15,AH$13:AH$15),1)</f>
        <v>0</v>
      </c>
      <c s="125">
        <f>Предпосылки!AH$239*Предпосылки!$O261*Продажи!AI26*AI$19*(1+Чувствительность!$D$20)*IFERROR(LOOKUP(Предпосылки!$H$212,$C$13:$C$15,AI$13:AI$15),1)</f>
        <v>0</v>
      </c>
      <c s="125">
        <f>Предпосылки!AI$239*Предпосылки!$O261*Продажи!AJ26*AJ$19*(1+Чувствительность!$D$20)*IFERROR(LOOKUP(Предпосылки!$H$212,$C$13:$C$15,AJ$13:AJ$15),1)</f>
        <v>0</v>
      </c>
      <c s="125">
        <f>Предпосылки!AJ$239*Предпосылки!$O261*Продажи!AK26*AK$19*(1+Чувствительность!$D$20)*IFERROR(LOOKUP(Предпосылки!$H$212,$C$13:$C$15,AK$13:AK$15),1)</f>
        <v>0</v>
      </c>
      <c s="125">
        <f>Предпосылки!AK$239*Предпосылки!$O261*Продажи!AL26*AL$19*(1+Чувствительность!$D$20)*IFERROR(LOOKUP(Предпосылки!$H$212,$C$13:$C$15,AL$13:AL$15),1)</f>
        <v>0</v>
      </c>
      <c s="125">
        <f>Предпосылки!AL$239*Предпосылки!$O261*Продажи!AM26*AM$19*(1+Чувствительность!$D$20)*IFERROR(LOOKUP(Предпосылки!$H$212,$C$13:$C$15,AM$13:AM$15),1)</f>
        <v>0</v>
      </c>
      <c s="125">
        <f>Предпосылки!AM$239*Предпосылки!$O261*Продажи!AN26*AN$19*(1+Чувствительность!$D$20)*IFERROR(LOOKUP(Предпосылки!$H$212,$C$13:$C$15,AN$13:AN$15),1)</f>
        <v>0</v>
      </c>
      <c s="125">
        <f>Предпосылки!AN$239*Предпосылки!$O261*Продажи!AO26*AO$19*(1+Чувствительность!$D$20)*IFERROR(LOOKUP(Предпосылки!$H$212,$C$13:$C$15,AO$13:AO$15),1)</f>
        <v>0</v>
      </c>
      <c s="125">
        <f>Предпосылки!AO$239*Предпосылки!$O261*Продажи!AP26*AP$19*(1+Чувствительность!$D$20)*IFERROR(LOOKUP(Предпосылки!$H$212,$C$13:$C$15,AP$13:AP$15),1)</f>
        <v>0</v>
      </c>
      <c s="125">
        <f>Предпосылки!AP$239*Предпосылки!$O261*Продажи!AQ26*AQ$19*(1+Чувствительность!$D$20)*IFERROR(LOOKUP(Предпосылки!$H$212,$C$13:$C$15,AQ$13:AQ$15),1)</f>
        <v>0</v>
      </c>
      <c s="125">
        <f>Предпосылки!AQ$239*Предпосылки!$O261*Продажи!AR26*AR$19*(1+Чувствительность!$D$20)*IFERROR(LOOKUP(Предпосылки!$H$212,$C$13:$C$15,AR$13:AR$15),1)</f>
        <v>0</v>
      </c>
      <c s="125">
        <f>Предпосылки!AR$239*Предпосылки!$O261*Продажи!AS26*AS$19*(1+Чувствительность!$D$20)*IFERROR(LOOKUP(Предпосылки!$H$212,$C$13:$C$15,AS$13:AS$15),1)</f>
        <v>0</v>
      </c>
      <c s="125">
        <f>Предпосылки!AS$239*Предпосылки!$O261*Продажи!AT26*AT$19*(1+Чувствительность!$D$20)*IFERROR(LOOKUP(Предпосылки!$H$212,$C$13:$C$15,AT$13:AT$15),1)</f>
        <v>0</v>
      </c>
      <c s="125">
        <f>Предпосылки!AT$239*Предпосылки!$O261*Продажи!AU26*AU$19*(1+Чувствительность!$D$20)*IFERROR(LOOKUP(Предпосылки!$H$212,$C$13:$C$15,AU$13:AU$15),1)</f>
        <v>0</v>
      </c>
      <c s="125">
        <f>Предпосылки!AU$239*Предпосылки!$O261*Продажи!AV26*AV$19*(1+Чувствительность!$D$20)*IFERROR(LOOKUP(Предпосылки!$H$212,$C$13:$C$15,AV$13:AV$15),1)</f>
        <v>0</v>
      </c>
      <c s="125">
        <f>Предпосылки!AV$239*Предпосылки!$O261*Продажи!AW26*AW$19*(1+Чувствительность!$D$20)*IFERROR(LOOKUP(Предпосылки!$H$212,$C$13:$C$15,AW$13:AW$15),1)</f>
        <v>0</v>
      </c>
      <c s="125">
        <f>Предпосылки!AW$239*Предпосылки!$O261*Продажи!AX26*AX$19*(1+Чувствительность!$D$20)*IFERROR(LOOKUP(Предпосылки!$H$212,$C$13:$C$15,AX$13:AX$15),1)</f>
        <v>0</v>
      </c>
      <c s="125">
        <f>Предпосылки!AX$239*Предпосылки!$O261*Продажи!AY26*AY$19*(1+Чувствительность!$D$20)*IFERROR(LOOKUP(Предпосылки!$H$212,$C$13:$C$15,AY$13:AY$15),1)</f>
        <v>0</v>
      </c>
      <c s="125">
        <f>Предпосылки!AY$239*Предпосылки!$O261*Продажи!AZ26*AZ$19*(1+Чувствительность!$D$20)*IFERROR(LOOKUP(Предпосылки!$H$212,$C$13:$C$15,AZ$13:AZ$15),1)</f>
        <v>0</v>
      </c>
      <c s="125">
        <f>Предпосылки!AZ$239*Предпосылки!$O261*Продажи!BA26*BA$19*(1+Чувствительность!$D$20)*IFERROR(LOOKUP(Предпосылки!$H$212,$C$13:$C$15,BA$13:BA$15),1)</f>
        <v>0</v>
      </c>
      <c s="125">
        <f>Предпосылки!BA$239*Предпосылки!$O261*Продажи!BB26*BB$19*(1+Чувствительность!$D$20)*IFERROR(LOOKUP(Предпосылки!$H$212,$C$13:$C$15,BB$13:BB$15),1)</f>
        <v>0</v>
      </c>
      <c s="125">
        <f>Предпосылки!BB$239*Предпосылки!$O261*Продажи!BC26*BC$19*(1+Чувствительность!$D$20)*IFERROR(LOOKUP(Предпосылки!$H$212,$C$13:$C$15,BC$13:BC$15),1)</f>
        <v>0</v>
      </c>
      <c s="125">
        <f>Предпосылки!BC$239*Предпосылки!$O261*Продажи!BD26*BD$19*(1+Чувствительность!$D$20)*IFERROR(LOOKUP(Предпосылки!$H$212,$C$13:$C$15,BD$13:BD$15),1)</f>
        <v>0</v>
      </c>
      <c s="125">
        <f>Предпосылки!BD$239*Предпосылки!$O261*Продажи!BE26*BE$19*(1+Чувствительность!$D$20)*IFERROR(LOOKUP(Предпосылки!$H$212,$C$13:$C$15,BE$13:BE$15),1)</f>
        <v>0</v>
      </c>
      <c s="125">
        <f>Предпосылки!BE$239*Предпосылки!$O261*Продажи!BF26*BF$19*(1+Чувствительность!$D$20)*IFERROR(LOOKUP(Предпосылки!$H$212,$C$13:$C$15,BF$13:BF$15),1)</f>
        <v>0</v>
      </c>
      <c s="125">
        <f>Предпосылки!BF$239*Предпосылки!$O261*Продажи!BG26*BG$19*(1+Чувствительность!$D$20)*IFERROR(LOOKUP(Предпосылки!$H$212,$C$13:$C$15,BG$13:BG$15),1)</f>
        <v>0</v>
      </c>
      <c s="125">
        <f>Предпосылки!BG$239*Предпосылки!$O261*Продажи!BH26*BH$19*(1+Чувствительность!$D$20)*IFERROR(LOOKUP(Предпосылки!$H$212,$C$13:$C$15,BH$13:BH$15),1)</f>
        <v>0</v>
      </c>
      <c s="125">
        <f>Предпосылки!BH$239*Предпосылки!$O261*Продажи!BI26*BI$19*(1+Чувствительность!$D$20)*IFERROR(LOOKUP(Предпосылки!$H$212,$C$13:$C$15,BI$13:BI$15),1)</f>
        <v>0</v>
      </c>
      <c s="125">
        <f>Предпосылки!BI$239*Предпосылки!$O261*Продажи!BJ26*BJ$19*(1+Чувствительность!$D$20)*IFERROR(LOOKUP(Предпосылки!$H$212,$C$13:$C$15,BJ$13:BJ$15),1)</f>
        <v>0</v>
      </c>
      <c s="125">
        <f>Предпосылки!BJ$239*Предпосылки!$O261*Продажи!BK26*BK$19*(1+Чувствительность!$D$20)*IFERROR(LOOKUP(Предпосылки!$H$212,$C$13:$C$15,BK$13:BK$15),1)</f>
        <v>0</v>
      </c>
      <c s="125">
        <f>Предпосылки!BK$239*Предпосылки!$O261*Продажи!BL26*BL$19*(1+Чувствительность!$D$20)*IFERROR(LOOKUP(Предпосылки!$H$212,$C$13:$C$15,BL$13:BL$15),1)</f>
        <v>0</v>
      </c>
      <c s="125">
        <f>Предпосылки!BL$239*Предпосылки!$O261*Продажи!BM26*BM$19*(1+Чувствительность!$D$20)*IFERROR(LOOKUP(Предпосылки!$H$212,$C$13:$C$15,BM$13:BM$15),1)</f>
        <v>0</v>
      </c>
    </row>
    <row r="285" spans="2:65" ht="15" customHeight="1">
      <c r="B285" s="12" t="str">
        <f t="shared" si="116"/>
        <v>Продукт 10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Предпосылки!D$239*Предпосылки!$O262*Продажи!E27*E$19*(1+Чувствительность!$D$20)*IFERROR(LOOKUP(Предпосылки!$H$212,$C$13:$C$15,E$13:E$15),1)</f>
        <v>0</v>
      </c>
      <c s="125">
        <f>Предпосылки!E$239*Предпосылки!$O262*Продажи!F27*F$19*(1+Чувствительность!$D$20)*IFERROR(LOOKUP(Предпосылки!$H$212,$C$13:$C$15,F$13:F$15),1)</f>
        <v>0</v>
      </c>
      <c s="125">
        <f>Предпосылки!F$239*Предпосылки!$O262*Продажи!G27*G$19*(1+Чувствительность!$D$20)*IFERROR(LOOKUP(Предпосылки!$H$212,$C$13:$C$15,G$13:G$15),1)</f>
        <v>0</v>
      </c>
      <c s="125">
        <f>Предпосылки!G$239*Предпосылки!$O262*Продажи!H27*H$19*(1+Чувствительность!$D$20)*IFERROR(LOOKUP(Предпосылки!$H$212,$C$13:$C$15,H$13:H$15),1)</f>
        <v>0</v>
      </c>
      <c s="125">
        <f>Предпосылки!H$239*Предпосылки!$O262*Продажи!I27*I$19*(1+Чувствительность!$D$20)*IFERROR(LOOKUP(Предпосылки!$H$212,$C$13:$C$15,I$13:I$15),1)</f>
        <v>0</v>
      </c>
      <c s="125">
        <f>Предпосылки!I$239*Предпосылки!$O262*Продажи!J27*J$19*(1+Чувствительность!$D$20)*IFERROR(LOOKUP(Предпосылки!$H$212,$C$13:$C$15,J$13:J$15),1)</f>
        <v>0</v>
      </c>
      <c s="125">
        <f>Предпосылки!J$239*Предпосылки!$O262*Продажи!K27*K$19*(1+Чувствительность!$D$20)*IFERROR(LOOKUP(Предпосылки!$H$212,$C$13:$C$15,K$13:K$15),1)</f>
        <v>0</v>
      </c>
      <c s="125">
        <f>Предпосылки!K$239*Предпосылки!$O262*Продажи!L27*L$19*(1+Чувствительность!$D$20)*IFERROR(LOOKUP(Предпосылки!$H$212,$C$13:$C$15,L$13:L$15),1)</f>
        <v>0</v>
      </c>
      <c s="125">
        <f>Предпосылки!L$239*Предпосылки!$O262*Продажи!M27*M$19*(1+Чувствительность!$D$20)*IFERROR(LOOKUP(Предпосылки!$H$212,$C$13:$C$15,M$13:M$15),1)</f>
        <v>0</v>
      </c>
      <c s="125">
        <f>Предпосылки!M$239*Предпосылки!$O262*Продажи!N27*N$19*(1+Чувствительность!$D$20)*IFERROR(LOOKUP(Предпосылки!$H$212,$C$13:$C$15,N$13:N$15),1)</f>
        <v>0</v>
      </c>
      <c s="125">
        <f>Предпосылки!N$239*Предпосылки!$O262*Продажи!O27*O$19*(1+Чувствительность!$D$20)*IFERROR(LOOKUP(Предпосылки!$H$212,$C$13:$C$15,O$13:O$15),1)</f>
        <v>0</v>
      </c>
      <c s="125">
        <f>Предпосылки!O$239*Предпосылки!$O262*Продажи!P27*P$19*(1+Чувствительность!$D$20)*IFERROR(LOOKUP(Предпосылки!$H$212,$C$13:$C$15,P$13:P$15),1)</f>
        <v>0</v>
      </c>
      <c s="125">
        <f>Предпосылки!P$239*Предпосылки!$O262*Продажи!Q27*Q$19*(1+Чувствительность!$D$20)*IFERROR(LOOKUP(Предпосылки!$H$212,$C$13:$C$15,Q$13:Q$15),1)</f>
        <v>0</v>
      </c>
      <c s="125">
        <f>Предпосылки!Q$239*Предпосылки!$O262*Продажи!R27*R$19*(1+Чувствительность!$D$20)*IFERROR(LOOKUP(Предпосылки!$H$212,$C$13:$C$15,R$13:R$15),1)</f>
        <v>0</v>
      </c>
      <c s="125">
        <f>Предпосылки!R$239*Предпосылки!$O262*Продажи!S27*S$19*(1+Чувствительность!$D$20)*IFERROR(LOOKUP(Предпосылки!$H$212,$C$13:$C$15,S$13:S$15),1)</f>
        <v>0</v>
      </c>
      <c s="125">
        <f>Предпосылки!S$239*Предпосылки!$O262*Продажи!T27*T$19*(1+Чувствительность!$D$20)*IFERROR(LOOKUP(Предпосылки!$H$212,$C$13:$C$15,T$13:T$15),1)</f>
        <v>0</v>
      </c>
      <c s="125">
        <f>Предпосылки!T$239*Предпосылки!$O262*Продажи!U27*U$19*(1+Чувствительность!$D$20)*IFERROR(LOOKUP(Предпосылки!$H$212,$C$13:$C$15,U$13:U$15),1)</f>
        <v>0</v>
      </c>
      <c s="125">
        <f>Предпосылки!U$239*Предпосылки!$O262*Продажи!V27*V$19*(1+Чувствительность!$D$20)*IFERROR(LOOKUP(Предпосылки!$H$212,$C$13:$C$15,V$13:V$15),1)</f>
        <v>0</v>
      </c>
      <c s="125">
        <f>Предпосылки!V$239*Предпосылки!$O262*Продажи!W27*W$19*(1+Чувствительность!$D$20)*IFERROR(LOOKUP(Предпосылки!$H$212,$C$13:$C$15,W$13:W$15),1)</f>
        <v>0</v>
      </c>
      <c s="125">
        <f>Предпосылки!W$239*Предпосылки!$O262*Продажи!X27*X$19*(1+Чувствительность!$D$20)*IFERROR(LOOKUP(Предпосылки!$H$212,$C$13:$C$15,X$13:X$15),1)</f>
        <v>0</v>
      </c>
      <c s="125">
        <f>Предпосылки!X$239*Предпосылки!$O262*Продажи!Y27*Y$19*(1+Чувствительность!$D$20)*IFERROR(LOOKUP(Предпосылки!$H$212,$C$13:$C$15,Y$13:Y$15),1)</f>
        <v>0</v>
      </c>
      <c s="125">
        <f>Предпосылки!Y$239*Предпосылки!$O262*Продажи!Z27*Z$19*(1+Чувствительность!$D$20)*IFERROR(LOOKUP(Предпосылки!$H$212,$C$13:$C$15,Z$13:Z$15),1)</f>
        <v>0</v>
      </c>
      <c s="125">
        <f>Предпосылки!Z$239*Предпосылки!$O262*Продажи!AA27*AA$19*(1+Чувствительность!$D$20)*IFERROR(LOOKUP(Предпосылки!$H$212,$C$13:$C$15,AA$13:AA$15),1)</f>
        <v>0</v>
      </c>
      <c s="125">
        <f>Предпосылки!AA$239*Предпосылки!$O262*Продажи!AB27*AB$19*(1+Чувствительность!$D$20)*IFERROR(LOOKUP(Предпосылки!$H$212,$C$13:$C$15,AB$13:AB$15),1)</f>
        <v>0</v>
      </c>
      <c s="125">
        <f>Предпосылки!AB$239*Предпосылки!$O262*Продажи!AC27*AC$19*(1+Чувствительность!$D$20)*IFERROR(LOOKUP(Предпосылки!$H$212,$C$13:$C$15,AC$13:AC$15),1)</f>
        <v>0</v>
      </c>
      <c s="125">
        <f>Предпосылки!AC$239*Предпосылки!$O262*Продажи!AD27*AD$19*(1+Чувствительность!$D$20)*IFERROR(LOOKUP(Предпосылки!$H$212,$C$13:$C$15,AD$13:AD$15),1)</f>
        <v>0</v>
      </c>
      <c s="125">
        <f>Предпосылки!AD$239*Предпосылки!$O262*Продажи!AE27*AE$19*(1+Чувствительность!$D$20)*IFERROR(LOOKUP(Предпосылки!$H$212,$C$13:$C$15,AE$13:AE$15),1)</f>
        <v>0</v>
      </c>
      <c s="125">
        <f>Предпосылки!AE$239*Предпосылки!$O262*Продажи!AF27*AF$19*(1+Чувствительность!$D$20)*IFERROR(LOOKUP(Предпосылки!$H$212,$C$13:$C$15,AF$13:AF$15),1)</f>
        <v>0</v>
      </c>
      <c s="125">
        <f>Предпосылки!AF$239*Предпосылки!$O262*Продажи!AG27*AG$19*(1+Чувствительность!$D$20)*IFERROR(LOOKUP(Предпосылки!$H$212,$C$13:$C$15,AG$13:AG$15),1)</f>
        <v>0</v>
      </c>
      <c s="125">
        <f>Предпосылки!AG$239*Предпосылки!$O262*Продажи!AH27*AH$19*(1+Чувствительность!$D$20)*IFERROR(LOOKUP(Предпосылки!$H$212,$C$13:$C$15,AH$13:AH$15),1)</f>
        <v>0</v>
      </c>
      <c s="125">
        <f>Предпосылки!AH$239*Предпосылки!$O262*Продажи!AI27*AI$19*(1+Чувствительность!$D$20)*IFERROR(LOOKUP(Предпосылки!$H$212,$C$13:$C$15,AI$13:AI$15),1)</f>
        <v>0</v>
      </c>
      <c s="125">
        <f>Предпосылки!AI$239*Предпосылки!$O262*Продажи!AJ27*AJ$19*(1+Чувствительность!$D$20)*IFERROR(LOOKUP(Предпосылки!$H$212,$C$13:$C$15,AJ$13:AJ$15),1)</f>
        <v>0</v>
      </c>
      <c s="125">
        <f>Предпосылки!AJ$239*Предпосылки!$O262*Продажи!AK27*AK$19*(1+Чувствительность!$D$20)*IFERROR(LOOKUP(Предпосылки!$H$212,$C$13:$C$15,AK$13:AK$15),1)</f>
        <v>0</v>
      </c>
      <c s="125">
        <f>Предпосылки!AK$239*Предпосылки!$O262*Продажи!AL27*AL$19*(1+Чувствительность!$D$20)*IFERROR(LOOKUP(Предпосылки!$H$212,$C$13:$C$15,AL$13:AL$15),1)</f>
        <v>0</v>
      </c>
      <c s="125">
        <f>Предпосылки!AL$239*Предпосылки!$O262*Продажи!AM27*AM$19*(1+Чувствительность!$D$20)*IFERROR(LOOKUP(Предпосылки!$H$212,$C$13:$C$15,AM$13:AM$15),1)</f>
        <v>0</v>
      </c>
      <c s="125">
        <f>Предпосылки!AM$239*Предпосылки!$O262*Продажи!AN27*AN$19*(1+Чувствительность!$D$20)*IFERROR(LOOKUP(Предпосылки!$H$212,$C$13:$C$15,AN$13:AN$15),1)</f>
        <v>0</v>
      </c>
      <c s="125">
        <f>Предпосылки!AN$239*Предпосылки!$O262*Продажи!AO27*AO$19*(1+Чувствительность!$D$20)*IFERROR(LOOKUP(Предпосылки!$H$212,$C$13:$C$15,AO$13:AO$15),1)</f>
        <v>0</v>
      </c>
      <c s="125">
        <f>Предпосылки!AO$239*Предпосылки!$O262*Продажи!AP27*AP$19*(1+Чувствительность!$D$20)*IFERROR(LOOKUP(Предпосылки!$H$212,$C$13:$C$15,AP$13:AP$15),1)</f>
        <v>0</v>
      </c>
      <c s="125">
        <f>Предпосылки!AP$239*Предпосылки!$O262*Продажи!AQ27*AQ$19*(1+Чувствительность!$D$20)*IFERROR(LOOKUP(Предпосылки!$H$212,$C$13:$C$15,AQ$13:AQ$15),1)</f>
        <v>0</v>
      </c>
      <c s="125">
        <f>Предпосылки!AQ$239*Предпосылки!$O262*Продажи!AR27*AR$19*(1+Чувствительность!$D$20)*IFERROR(LOOKUP(Предпосылки!$H$212,$C$13:$C$15,AR$13:AR$15),1)</f>
        <v>0</v>
      </c>
      <c s="125">
        <f>Предпосылки!AR$239*Предпосылки!$O262*Продажи!AS27*AS$19*(1+Чувствительность!$D$20)*IFERROR(LOOKUP(Предпосылки!$H$212,$C$13:$C$15,AS$13:AS$15),1)</f>
        <v>0</v>
      </c>
      <c s="125">
        <f>Предпосылки!AS$239*Предпосылки!$O262*Продажи!AT27*AT$19*(1+Чувствительность!$D$20)*IFERROR(LOOKUP(Предпосылки!$H$212,$C$13:$C$15,AT$13:AT$15),1)</f>
        <v>0</v>
      </c>
      <c s="125">
        <f>Предпосылки!AT$239*Предпосылки!$O262*Продажи!AU27*AU$19*(1+Чувствительность!$D$20)*IFERROR(LOOKUP(Предпосылки!$H$212,$C$13:$C$15,AU$13:AU$15),1)</f>
        <v>0</v>
      </c>
      <c s="125">
        <f>Предпосылки!AU$239*Предпосылки!$O262*Продажи!AV27*AV$19*(1+Чувствительность!$D$20)*IFERROR(LOOKUP(Предпосылки!$H$212,$C$13:$C$15,AV$13:AV$15),1)</f>
        <v>0</v>
      </c>
      <c s="125">
        <f>Предпосылки!AV$239*Предпосылки!$O262*Продажи!AW27*AW$19*(1+Чувствительность!$D$20)*IFERROR(LOOKUP(Предпосылки!$H$212,$C$13:$C$15,AW$13:AW$15),1)</f>
        <v>0</v>
      </c>
      <c s="125">
        <f>Предпосылки!AW$239*Предпосылки!$O262*Продажи!AX27*AX$19*(1+Чувствительность!$D$20)*IFERROR(LOOKUP(Предпосылки!$H$212,$C$13:$C$15,AX$13:AX$15),1)</f>
        <v>0</v>
      </c>
      <c s="125">
        <f>Предпосылки!AX$239*Предпосылки!$O262*Продажи!AY27*AY$19*(1+Чувствительность!$D$20)*IFERROR(LOOKUP(Предпосылки!$H$212,$C$13:$C$15,AY$13:AY$15),1)</f>
        <v>0</v>
      </c>
      <c s="125">
        <f>Предпосылки!AY$239*Предпосылки!$O262*Продажи!AZ27*AZ$19*(1+Чувствительность!$D$20)*IFERROR(LOOKUP(Предпосылки!$H$212,$C$13:$C$15,AZ$13:AZ$15),1)</f>
        <v>0</v>
      </c>
      <c s="125">
        <f>Предпосылки!AZ$239*Предпосылки!$O262*Продажи!BA27*BA$19*(1+Чувствительность!$D$20)*IFERROR(LOOKUP(Предпосылки!$H$212,$C$13:$C$15,BA$13:BA$15),1)</f>
        <v>0</v>
      </c>
      <c s="125">
        <f>Предпосылки!BA$239*Предпосылки!$O262*Продажи!BB27*BB$19*(1+Чувствительность!$D$20)*IFERROR(LOOKUP(Предпосылки!$H$212,$C$13:$C$15,BB$13:BB$15),1)</f>
        <v>0</v>
      </c>
      <c s="125">
        <f>Предпосылки!BB$239*Предпосылки!$O262*Продажи!BC27*BC$19*(1+Чувствительность!$D$20)*IFERROR(LOOKUP(Предпосылки!$H$212,$C$13:$C$15,BC$13:BC$15),1)</f>
        <v>0</v>
      </c>
      <c s="125">
        <f>Предпосылки!BC$239*Предпосылки!$O262*Продажи!BD27*BD$19*(1+Чувствительность!$D$20)*IFERROR(LOOKUP(Предпосылки!$H$212,$C$13:$C$15,BD$13:BD$15),1)</f>
        <v>0</v>
      </c>
      <c s="125">
        <f>Предпосылки!BD$239*Предпосылки!$O262*Продажи!BE27*BE$19*(1+Чувствительность!$D$20)*IFERROR(LOOKUP(Предпосылки!$H$212,$C$13:$C$15,BE$13:BE$15),1)</f>
        <v>0</v>
      </c>
      <c s="125">
        <f>Предпосылки!BE$239*Предпосылки!$O262*Продажи!BF27*BF$19*(1+Чувствительность!$D$20)*IFERROR(LOOKUP(Предпосылки!$H$212,$C$13:$C$15,BF$13:BF$15),1)</f>
        <v>0</v>
      </c>
      <c s="125">
        <f>Предпосылки!BF$239*Предпосылки!$O262*Продажи!BG27*BG$19*(1+Чувствительность!$D$20)*IFERROR(LOOKUP(Предпосылки!$H$212,$C$13:$C$15,BG$13:BG$15),1)</f>
        <v>0</v>
      </c>
      <c s="125">
        <f>Предпосылки!BG$239*Предпосылки!$O262*Продажи!BH27*BH$19*(1+Чувствительность!$D$20)*IFERROR(LOOKUP(Предпосылки!$H$212,$C$13:$C$15,BH$13:BH$15),1)</f>
        <v>0</v>
      </c>
      <c s="125">
        <f>Предпосылки!BH$239*Предпосылки!$O262*Продажи!BI27*BI$19*(1+Чувствительность!$D$20)*IFERROR(LOOKUP(Предпосылки!$H$212,$C$13:$C$15,BI$13:BI$15),1)</f>
        <v>0</v>
      </c>
      <c s="125">
        <f>Предпосылки!BI$239*Предпосылки!$O262*Продажи!BJ27*BJ$19*(1+Чувствительность!$D$20)*IFERROR(LOOKUP(Предпосылки!$H$212,$C$13:$C$15,BJ$13:BJ$15),1)</f>
        <v>0</v>
      </c>
      <c s="125">
        <f>Предпосылки!BJ$239*Предпосылки!$O262*Продажи!BK27*BK$19*(1+Чувствительность!$D$20)*IFERROR(LOOKUP(Предпосылки!$H$212,$C$13:$C$15,BK$13:BK$15),1)</f>
        <v>0</v>
      </c>
      <c s="125">
        <f>Предпосылки!BK$239*Предпосылки!$O262*Продажи!BL27*BL$19*(1+Чувствительность!$D$20)*IFERROR(LOOKUP(Предпосылки!$H$212,$C$13:$C$15,BL$13:BL$15),1)</f>
        <v>0</v>
      </c>
      <c s="125">
        <f>Предпосылки!BL$239*Предпосылки!$O262*Продажи!BM27*BM$19*(1+Чувствительность!$D$20)*IFERROR(LOOKUP(Предпосылки!$H$212,$C$13:$C$15,BM$13:BM$15),1)</f>
        <v>0</v>
      </c>
    </row>
    <row r="286" spans="2:65" ht="15" customHeight="1">
      <c r="B286" s="12" t="str">
        <f t="shared" si="116"/>
        <v>Продукт 11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Предпосылки!D$239*Предпосылки!$O263*Продажи!E28*E$19*(1+Чувствительность!$D$20)*IFERROR(LOOKUP(Предпосылки!$H$212,$C$13:$C$15,E$13:E$15),1)</f>
        <v>0</v>
      </c>
      <c s="125">
        <f>Предпосылки!E$239*Предпосылки!$O263*Продажи!F28*F$19*(1+Чувствительность!$D$20)*IFERROR(LOOKUP(Предпосылки!$H$212,$C$13:$C$15,F$13:F$15),1)</f>
        <v>0</v>
      </c>
      <c s="125">
        <f>Предпосылки!F$239*Предпосылки!$O263*Продажи!G28*G$19*(1+Чувствительность!$D$20)*IFERROR(LOOKUP(Предпосылки!$H$212,$C$13:$C$15,G$13:G$15),1)</f>
        <v>0</v>
      </c>
      <c s="125">
        <f>Предпосылки!G$239*Предпосылки!$O263*Продажи!H28*H$19*(1+Чувствительность!$D$20)*IFERROR(LOOKUP(Предпосылки!$H$212,$C$13:$C$15,H$13:H$15),1)</f>
        <v>0</v>
      </c>
      <c s="125">
        <f>Предпосылки!H$239*Предпосылки!$O263*Продажи!I28*I$19*(1+Чувствительность!$D$20)*IFERROR(LOOKUP(Предпосылки!$H$212,$C$13:$C$15,I$13:I$15),1)</f>
        <v>0</v>
      </c>
      <c s="125">
        <f>Предпосылки!I$239*Предпосылки!$O263*Продажи!J28*J$19*(1+Чувствительность!$D$20)*IFERROR(LOOKUP(Предпосылки!$H$212,$C$13:$C$15,J$13:J$15),1)</f>
        <v>0</v>
      </c>
      <c s="125">
        <f>Предпосылки!J$239*Предпосылки!$O263*Продажи!K28*K$19*(1+Чувствительность!$D$20)*IFERROR(LOOKUP(Предпосылки!$H$212,$C$13:$C$15,K$13:K$15),1)</f>
        <v>0</v>
      </c>
      <c s="125">
        <f>Предпосылки!K$239*Предпосылки!$O263*Продажи!L28*L$19*(1+Чувствительность!$D$20)*IFERROR(LOOKUP(Предпосылки!$H$212,$C$13:$C$15,L$13:L$15),1)</f>
        <v>0</v>
      </c>
      <c s="125">
        <f>Предпосылки!L$239*Предпосылки!$O263*Продажи!M28*M$19*(1+Чувствительность!$D$20)*IFERROR(LOOKUP(Предпосылки!$H$212,$C$13:$C$15,M$13:M$15),1)</f>
        <v>0</v>
      </c>
      <c s="125">
        <f>Предпосылки!M$239*Предпосылки!$O263*Продажи!N28*N$19*(1+Чувствительность!$D$20)*IFERROR(LOOKUP(Предпосылки!$H$212,$C$13:$C$15,N$13:N$15),1)</f>
        <v>0</v>
      </c>
      <c s="125">
        <f>Предпосылки!N$239*Предпосылки!$O263*Продажи!O28*O$19*(1+Чувствительность!$D$20)*IFERROR(LOOKUP(Предпосылки!$H$212,$C$13:$C$15,O$13:O$15),1)</f>
        <v>0</v>
      </c>
      <c s="125">
        <f>Предпосылки!O$239*Предпосылки!$O263*Продажи!P28*P$19*(1+Чувствительность!$D$20)*IFERROR(LOOKUP(Предпосылки!$H$212,$C$13:$C$15,P$13:P$15),1)</f>
        <v>0</v>
      </c>
      <c s="125">
        <f>Предпосылки!P$239*Предпосылки!$O263*Продажи!Q28*Q$19*(1+Чувствительность!$D$20)*IFERROR(LOOKUP(Предпосылки!$H$212,$C$13:$C$15,Q$13:Q$15),1)</f>
        <v>0</v>
      </c>
      <c s="125">
        <f>Предпосылки!Q$239*Предпосылки!$O263*Продажи!R28*R$19*(1+Чувствительность!$D$20)*IFERROR(LOOKUP(Предпосылки!$H$212,$C$13:$C$15,R$13:R$15),1)</f>
        <v>0</v>
      </c>
      <c s="125">
        <f>Предпосылки!R$239*Предпосылки!$O263*Продажи!S28*S$19*(1+Чувствительность!$D$20)*IFERROR(LOOKUP(Предпосылки!$H$212,$C$13:$C$15,S$13:S$15),1)</f>
        <v>0</v>
      </c>
      <c s="125">
        <f>Предпосылки!S$239*Предпосылки!$O263*Продажи!T28*T$19*(1+Чувствительность!$D$20)*IFERROR(LOOKUP(Предпосылки!$H$212,$C$13:$C$15,T$13:T$15),1)</f>
        <v>0</v>
      </c>
      <c s="125">
        <f>Предпосылки!T$239*Предпосылки!$O263*Продажи!U28*U$19*(1+Чувствительность!$D$20)*IFERROR(LOOKUP(Предпосылки!$H$212,$C$13:$C$15,U$13:U$15),1)</f>
        <v>0</v>
      </c>
      <c s="125">
        <f>Предпосылки!U$239*Предпосылки!$O263*Продажи!V28*V$19*(1+Чувствительность!$D$20)*IFERROR(LOOKUP(Предпосылки!$H$212,$C$13:$C$15,V$13:V$15),1)</f>
        <v>0</v>
      </c>
      <c s="125">
        <f>Предпосылки!V$239*Предпосылки!$O263*Продажи!W28*W$19*(1+Чувствительность!$D$20)*IFERROR(LOOKUP(Предпосылки!$H$212,$C$13:$C$15,W$13:W$15),1)</f>
        <v>0</v>
      </c>
      <c s="125">
        <f>Предпосылки!W$239*Предпосылки!$O263*Продажи!X28*X$19*(1+Чувствительность!$D$20)*IFERROR(LOOKUP(Предпосылки!$H$212,$C$13:$C$15,X$13:X$15),1)</f>
        <v>0</v>
      </c>
      <c s="125">
        <f>Предпосылки!X$239*Предпосылки!$O263*Продажи!Y28*Y$19*(1+Чувствительность!$D$20)*IFERROR(LOOKUP(Предпосылки!$H$212,$C$13:$C$15,Y$13:Y$15),1)</f>
        <v>0</v>
      </c>
      <c s="125">
        <f>Предпосылки!Y$239*Предпосылки!$O263*Продажи!Z28*Z$19*(1+Чувствительность!$D$20)*IFERROR(LOOKUP(Предпосылки!$H$212,$C$13:$C$15,Z$13:Z$15),1)</f>
        <v>0</v>
      </c>
      <c s="125">
        <f>Предпосылки!Z$239*Предпосылки!$O263*Продажи!AA28*AA$19*(1+Чувствительность!$D$20)*IFERROR(LOOKUP(Предпосылки!$H$212,$C$13:$C$15,AA$13:AA$15),1)</f>
        <v>0</v>
      </c>
      <c s="125">
        <f>Предпосылки!AA$239*Предпосылки!$O263*Продажи!AB28*AB$19*(1+Чувствительность!$D$20)*IFERROR(LOOKUP(Предпосылки!$H$212,$C$13:$C$15,AB$13:AB$15),1)</f>
        <v>0</v>
      </c>
      <c s="125">
        <f>Предпосылки!AB$239*Предпосылки!$O263*Продажи!AC28*AC$19*(1+Чувствительность!$D$20)*IFERROR(LOOKUP(Предпосылки!$H$212,$C$13:$C$15,AC$13:AC$15),1)</f>
        <v>0</v>
      </c>
      <c s="125">
        <f>Предпосылки!AC$239*Предпосылки!$O263*Продажи!AD28*AD$19*(1+Чувствительность!$D$20)*IFERROR(LOOKUP(Предпосылки!$H$212,$C$13:$C$15,AD$13:AD$15),1)</f>
        <v>0</v>
      </c>
      <c s="125">
        <f>Предпосылки!AD$239*Предпосылки!$O263*Продажи!AE28*AE$19*(1+Чувствительность!$D$20)*IFERROR(LOOKUP(Предпосылки!$H$212,$C$13:$C$15,AE$13:AE$15),1)</f>
        <v>0</v>
      </c>
      <c s="125">
        <f>Предпосылки!AE$239*Предпосылки!$O263*Продажи!AF28*AF$19*(1+Чувствительность!$D$20)*IFERROR(LOOKUP(Предпосылки!$H$212,$C$13:$C$15,AF$13:AF$15),1)</f>
        <v>0</v>
      </c>
      <c s="125">
        <f>Предпосылки!AF$239*Предпосылки!$O263*Продажи!AG28*AG$19*(1+Чувствительность!$D$20)*IFERROR(LOOKUP(Предпосылки!$H$212,$C$13:$C$15,AG$13:AG$15),1)</f>
        <v>0</v>
      </c>
      <c s="125">
        <f>Предпосылки!AG$239*Предпосылки!$O263*Продажи!AH28*AH$19*(1+Чувствительность!$D$20)*IFERROR(LOOKUP(Предпосылки!$H$212,$C$13:$C$15,AH$13:AH$15),1)</f>
        <v>0</v>
      </c>
      <c s="125">
        <f>Предпосылки!AH$239*Предпосылки!$O263*Продажи!AI28*AI$19*(1+Чувствительность!$D$20)*IFERROR(LOOKUP(Предпосылки!$H$212,$C$13:$C$15,AI$13:AI$15),1)</f>
        <v>0</v>
      </c>
      <c s="125">
        <f>Предпосылки!AI$239*Предпосылки!$O263*Продажи!AJ28*AJ$19*(1+Чувствительность!$D$20)*IFERROR(LOOKUP(Предпосылки!$H$212,$C$13:$C$15,AJ$13:AJ$15),1)</f>
        <v>0</v>
      </c>
      <c s="125">
        <f>Предпосылки!AJ$239*Предпосылки!$O263*Продажи!AK28*AK$19*(1+Чувствительность!$D$20)*IFERROR(LOOKUP(Предпосылки!$H$212,$C$13:$C$15,AK$13:AK$15),1)</f>
        <v>0</v>
      </c>
      <c s="125">
        <f>Предпосылки!AK$239*Предпосылки!$O263*Продажи!AL28*AL$19*(1+Чувствительность!$D$20)*IFERROR(LOOKUP(Предпосылки!$H$212,$C$13:$C$15,AL$13:AL$15),1)</f>
        <v>0</v>
      </c>
      <c s="125">
        <f>Предпосылки!AL$239*Предпосылки!$O263*Продажи!AM28*AM$19*(1+Чувствительность!$D$20)*IFERROR(LOOKUP(Предпосылки!$H$212,$C$13:$C$15,AM$13:AM$15),1)</f>
        <v>0</v>
      </c>
      <c s="125">
        <f>Предпосылки!AM$239*Предпосылки!$O263*Продажи!AN28*AN$19*(1+Чувствительность!$D$20)*IFERROR(LOOKUP(Предпосылки!$H$212,$C$13:$C$15,AN$13:AN$15),1)</f>
        <v>0</v>
      </c>
      <c s="125">
        <f>Предпосылки!AN$239*Предпосылки!$O263*Продажи!AO28*AO$19*(1+Чувствительность!$D$20)*IFERROR(LOOKUP(Предпосылки!$H$212,$C$13:$C$15,AO$13:AO$15),1)</f>
        <v>0</v>
      </c>
      <c s="125">
        <f>Предпосылки!AO$239*Предпосылки!$O263*Продажи!AP28*AP$19*(1+Чувствительность!$D$20)*IFERROR(LOOKUP(Предпосылки!$H$212,$C$13:$C$15,AP$13:AP$15),1)</f>
        <v>0</v>
      </c>
      <c s="125">
        <f>Предпосылки!AP$239*Предпосылки!$O263*Продажи!AQ28*AQ$19*(1+Чувствительность!$D$20)*IFERROR(LOOKUP(Предпосылки!$H$212,$C$13:$C$15,AQ$13:AQ$15),1)</f>
        <v>0</v>
      </c>
      <c s="125">
        <f>Предпосылки!AQ$239*Предпосылки!$O263*Продажи!AR28*AR$19*(1+Чувствительность!$D$20)*IFERROR(LOOKUP(Предпосылки!$H$212,$C$13:$C$15,AR$13:AR$15),1)</f>
        <v>0</v>
      </c>
      <c s="125">
        <f>Предпосылки!AR$239*Предпосылки!$O263*Продажи!AS28*AS$19*(1+Чувствительность!$D$20)*IFERROR(LOOKUP(Предпосылки!$H$212,$C$13:$C$15,AS$13:AS$15),1)</f>
        <v>0</v>
      </c>
      <c s="125">
        <f>Предпосылки!AS$239*Предпосылки!$O263*Продажи!AT28*AT$19*(1+Чувствительность!$D$20)*IFERROR(LOOKUP(Предпосылки!$H$212,$C$13:$C$15,AT$13:AT$15),1)</f>
        <v>0</v>
      </c>
      <c s="125">
        <f>Предпосылки!AT$239*Предпосылки!$O263*Продажи!AU28*AU$19*(1+Чувствительность!$D$20)*IFERROR(LOOKUP(Предпосылки!$H$212,$C$13:$C$15,AU$13:AU$15),1)</f>
        <v>0</v>
      </c>
      <c s="125">
        <f>Предпосылки!AU$239*Предпосылки!$O263*Продажи!AV28*AV$19*(1+Чувствительность!$D$20)*IFERROR(LOOKUP(Предпосылки!$H$212,$C$13:$C$15,AV$13:AV$15),1)</f>
        <v>0</v>
      </c>
      <c s="125">
        <f>Предпосылки!AV$239*Предпосылки!$O263*Продажи!AW28*AW$19*(1+Чувствительность!$D$20)*IFERROR(LOOKUP(Предпосылки!$H$212,$C$13:$C$15,AW$13:AW$15),1)</f>
        <v>0</v>
      </c>
      <c s="125">
        <f>Предпосылки!AW$239*Предпосылки!$O263*Продажи!AX28*AX$19*(1+Чувствительность!$D$20)*IFERROR(LOOKUP(Предпосылки!$H$212,$C$13:$C$15,AX$13:AX$15),1)</f>
        <v>0</v>
      </c>
      <c s="125">
        <f>Предпосылки!AX$239*Предпосылки!$O263*Продажи!AY28*AY$19*(1+Чувствительность!$D$20)*IFERROR(LOOKUP(Предпосылки!$H$212,$C$13:$C$15,AY$13:AY$15),1)</f>
        <v>0</v>
      </c>
      <c s="125">
        <f>Предпосылки!AY$239*Предпосылки!$O263*Продажи!AZ28*AZ$19*(1+Чувствительность!$D$20)*IFERROR(LOOKUP(Предпосылки!$H$212,$C$13:$C$15,AZ$13:AZ$15),1)</f>
        <v>0</v>
      </c>
      <c s="125">
        <f>Предпосылки!AZ$239*Предпосылки!$O263*Продажи!BA28*BA$19*(1+Чувствительность!$D$20)*IFERROR(LOOKUP(Предпосылки!$H$212,$C$13:$C$15,BA$13:BA$15),1)</f>
        <v>0</v>
      </c>
      <c s="125">
        <f>Предпосылки!BA$239*Предпосылки!$O263*Продажи!BB28*BB$19*(1+Чувствительность!$D$20)*IFERROR(LOOKUP(Предпосылки!$H$212,$C$13:$C$15,BB$13:BB$15),1)</f>
        <v>0</v>
      </c>
      <c s="125">
        <f>Предпосылки!BB$239*Предпосылки!$O263*Продажи!BC28*BC$19*(1+Чувствительность!$D$20)*IFERROR(LOOKUP(Предпосылки!$H$212,$C$13:$C$15,BC$13:BC$15),1)</f>
        <v>0</v>
      </c>
      <c s="125">
        <f>Предпосылки!BC$239*Предпосылки!$O263*Продажи!BD28*BD$19*(1+Чувствительность!$D$20)*IFERROR(LOOKUP(Предпосылки!$H$212,$C$13:$C$15,BD$13:BD$15),1)</f>
        <v>0</v>
      </c>
      <c s="125">
        <f>Предпосылки!BD$239*Предпосылки!$O263*Продажи!BE28*BE$19*(1+Чувствительность!$D$20)*IFERROR(LOOKUP(Предпосылки!$H$212,$C$13:$C$15,BE$13:BE$15),1)</f>
        <v>0</v>
      </c>
      <c s="125">
        <f>Предпосылки!BE$239*Предпосылки!$O263*Продажи!BF28*BF$19*(1+Чувствительность!$D$20)*IFERROR(LOOKUP(Предпосылки!$H$212,$C$13:$C$15,BF$13:BF$15),1)</f>
        <v>0</v>
      </c>
      <c s="125">
        <f>Предпосылки!BF$239*Предпосылки!$O263*Продажи!BG28*BG$19*(1+Чувствительность!$D$20)*IFERROR(LOOKUP(Предпосылки!$H$212,$C$13:$C$15,BG$13:BG$15),1)</f>
        <v>0</v>
      </c>
      <c s="125">
        <f>Предпосылки!BG$239*Предпосылки!$O263*Продажи!BH28*BH$19*(1+Чувствительность!$D$20)*IFERROR(LOOKUP(Предпосылки!$H$212,$C$13:$C$15,BH$13:BH$15),1)</f>
        <v>0</v>
      </c>
      <c s="125">
        <f>Предпосылки!BH$239*Предпосылки!$O263*Продажи!BI28*BI$19*(1+Чувствительность!$D$20)*IFERROR(LOOKUP(Предпосылки!$H$212,$C$13:$C$15,BI$13:BI$15),1)</f>
        <v>0</v>
      </c>
      <c s="125">
        <f>Предпосылки!BI$239*Предпосылки!$O263*Продажи!BJ28*BJ$19*(1+Чувствительность!$D$20)*IFERROR(LOOKUP(Предпосылки!$H$212,$C$13:$C$15,BJ$13:BJ$15),1)</f>
        <v>0</v>
      </c>
      <c s="125">
        <f>Предпосылки!BJ$239*Предпосылки!$O263*Продажи!BK28*BK$19*(1+Чувствительность!$D$20)*IFERROR(LOOKUP(Предпосылки!$H$212,$C$13:$C$15,BK$13:BK$15),1)</f>
        <v>0</v>
      </c>
      <c s="125">
        <f>Предпосылки!BK$239*Предпосылки!$O263*Продажи!BL28*BL$19*(1+Чувствительность!$D$20)*IFERROR(LOOKUP(Предпосылки!$H$212,$C$13:$C$15,BL$13:BL$15),1)</f>
        <v>0</v>
      </c>
      <c s="125">
        <f>Предпосылки!BL$239*Предпосылки!$O263*Продажи!BM28*BM$19*(1+Чувствительность!$D$20)*IFERROR(LOOKUP(Предпосылки!$H$212,$C$13:$C$15,BM$13:BM$15),1)</f>
        <v>0</v>
      </c>
    </row>
    <row r="287" spans="2:65" ht="15" customHeight="1">
      <c r="B287" s="12" t="str">
        <f t="shared" si="116"/>
        <v>Продукт 12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Предпосылки!D$239*Предпосылки!$O264*Продажи!E29*E$19*(1+Чувствительность!$D$20)*IFERROR(LOOKUP(Предпосылки!$H$212,$C$13:$C$15,E$13:E$15),1)</f>
        <v>0</v>
      </c>
      <c s="125">
        <f>Предпосылки!E$239*Предпосылки!$O264*Продажи!F29*F$19*(1+Чувствительность!$D$20)*IFERROR(LOOKUP(Предпосылки!$H$212,$C$13:$C$15,F$13:F$15),1)</f>
        <v>0</v>
      </c>
      <c s="125">
        <f>Предпосылки!F$239*Предпосылки!$O264*Продажи!G29*G$19*(1+Чувствительность!$D$20)*IFERROR(LOOKUP(Предпосылки!$H$212,$C$13:$C$15,G$13:G$15),1)</f>
        <v>0</v>
      </c>
      <c s="125">
        <f>Предпосылки!G$239*Предпосылки!$O264*Продажи!H29*H$19*(1+Чувствительность!$D$20)*IFERROR(LOOKUP(Предпосылки!$H$212,$C$13:$C$15,H$13:H$15),1)</f>
        <v>0</v>
      </c>
      <c s="125">
        <f>Предпосылки!H$239*Предпосылки!$O264*Продажи!I29*I$19*(1+Чувствительность!$D$20)*IFERROR(LOOKUP(Предпосылки!$H$212,$C$13:$C$15,I$13:I$15),1)</f>
        <v>0</v>
      </c>
      <c s="125">
        <f>Предпосылки!I$239*Предпосылки!$O264*Продажи!J29*J$19*(1+Чувствительность!$D$20)*IFERROR(LOOKUP(Предпосылки!$H$212,$C$13:$C$15,J$13:J$15),1)</f>
        <v>0</v>
      </c>
      <c s="125">
        <f>Предпосылки!J$239*Предпосылки!$O264*Продажи!K29*K$19*(1+Чувствительность!$D$20)*IFERROR(LOOKUP(Предпосылки!$H$212,$C$13:$C$15,K$13:K$15),1)</f>
        <v>0</v>
      </c>
      <c s="125">
        <f>Предпосылки!K$239*Предпосылки!$O264*Продажи!L29*L$19*(1+Чувствительность!$D$20)*IFERROR(LOOKUP(Предпосылки!$H$212,$C$13:$C$15,L$13:L$15),1)</f>
        <v>0</v>
      </c>
      <c s="125">
        <f>Предпосылки!L$239*Предпосылки!$O264*Продажи!M29*M$19*(1+Чувствительность!$D$20)*IFERROR(LOOKUP(Предпосылки!$H$212,$C$13:$C$15,M$13:M$15),1)</f>
        <v>0</v>
      </c>
      <c s="125">
        <f>Предпосылки!M$239*Предпосылки!$O264*Продажи!N29*N$19*(1+Чувствительность!$D$20)*IFERROR(LOOKUP(Предпосылки!$H$212,$C$13:$C$15,N$13:N$15),1)</f>
        <v>0</v>
      </c>
      <c s="125">
        <f>Предпосылки!N$239*Предпосылки!$O264*Продажи!O29*O$19*(1+Чувствительность!$D$20)*IFERROR(LOOKUP(Предпосылки!$H$212,$C$13:$C$15,O$13:O$15),1)</f>
        <v>0</v>
      </c>
      <c s="125">
        <f>Предпосылки!O$239*Предпосылки!$O264*Продажи!P29*P$19*(1+Чувствительность!$D$20)*IFERROR(LOOKUP(Предпосылки!$H$212,$C$13:$C$15,P$13:P$15),1)</f>
        <v>0</v>
      </c>
      <c s="125">
        <f>Предпосылки!P$239*Предпосылки!$O264*Продажи!Q29*Q$19*(1+Чувствительность!$D$20)*IFERROR(LOOKUP(Предпосылки!$H$212,$C$13:$C$15,Q$13:Q$15),1)</f>
        <v>0</v>
      </c>
      <c s="125">
        <f>Предпосылки!Q$239*Предпосылки!$O264*Продажи!R29*R$19*(1+Чувствительность!$D$20)*IFERROR(LOOKUP(Предпосылки!$H$212,$C$13:$C$15,R$13:R$15),1)</f>
        <v>0</v>
      </c>
      <c s="125">
        <f>Предпосылки!R$239*Предпосылки!$O264*Продажи!S29*S$19*(1+Чувствительность!$D$20)*IFERROR(LOOKUP(Предпосылки!$H$212,$C$13:$C$15,S$13:S$15),1)</f>
        <v>0</v>
      </c>
      <c s="125">
        <f>Предпосылки!S$239*Предпосылки!$O264*Продажи!T29*T$19*(1+Чувствительность!$D$20)*IFERROR(LOOKUP(Предпосылки!$H$212,$C$13:$C$15,T$13:T$15),1)</f>
        <v>0</v>
      </c>
      <c s="125">
        <f>Предпосылки!T$239*Предпосылки!$O264*Продажи!U29*U$19*(1+Чувствительность!$D$20)*IFERROR(LOOKUP(Предпосылки!$H$212,$C$13:$C$15,U$13:U$15),1)</f>
        <v>0</v>
      </c>
      <c s="125">
        <f>Предпосылки!U$239*Предпосылки!$O264*Продажи!V29*V$19*(1+Чувствительность!$D$20)*IFERROR(LOOKUP(Предпосылки!$H$212,$C$13:$C$15,V$13:V$15),1)</f>
        <v>0</v>
      </c>
      <c s="125">
        <f>Предпосылки!V$239*Предпосылки!$O264*Продажи!W29*W$19*(1+Чувствительность!$D$20)*IFERROR(LOOKUP(Предпосылки!$H$212,$C$13:$C$15,W$13:W$15),1)</f>
        <v>0</v>
      </c>
      <c s="125">
        <f>Предпосылки!W$239*Предпосылки!$O264*Продажи!X29*X$19*(1+Чувствительность!$D$20)*IFERROR(LOOKUP(Предпосылки!$H$212,$C$13:$C$15,X$13:X$15),1)</f>
        <v>0</v>
      </c>
      <c s="125">
        <f>Предпосылки!X$239*Предпосылки!$O264*Продажи!Y29*Y$19*(1+Чувствительность!$D$20)*IFERROR(LOOKUP(Предпосылки!$H$212,$C$13:$C$15,Y$13:Y$15),1)</f>
        <v>0</v>
      </c>
      <c s="125">
        <f>Предпосылки!Y$239*Предпосылки!$O264*Продажи!Z29*Z$19*(1+Чувствительность!$D$20)*IFERROR(LOOKUP(Предпосылки!$H$212,$C$13:$C$15,Z$13:Z$15),1)</f>
        <v>0</v>
      </c>
      <c s="125">
        <f>Предпосылки!Z$239*Предпосылки!$O264*Продажи!AA29*AA$19*(1+Чувствительность!$D$20)*IFERROR(LOOKUP(Предпосылки!$H$212,$C$13:$C$15,AA$13:AA$15),1)</f>
        <v>0</v>
      </c>
      <c s="125">
        <f>Предпосылки!AA$239*Предпосылки!$O264*Продажи!AB29*AB$19*(1+Чувствительность!$D$20)*IFERROR(LOOKUP(Предпосылки!$H$212,$C$13:$C$15,AB$13:AB$15),1)</f>
        <v>0</v>
      </c>
      <c s="125">
        <f>Предпосылки!AB$239*Предпосылки!$O264*Продажи!AC29*AC$19*(1+Чувствительность!$D$20)*IFERROR(LOOKUP(Предпосылки!$H$212,$C$13:$C$15,AC$13:AC$15),1)</f>
        <v>0</v>
      </c>
      <c s="125">
        <f>Предпосылки!AC$239*Предпосылки!$O264*Продажи!AD29*AD$19*(1+Чувствительность!$D$20)*IFERROR(LOOKUP(Предпосылки!$H$212,$C$13:$C$15,AD$13:AD$15),1)</f>
        <v>0</v>
      </c>
      <c s="125">
        <f>Предпосылки!AD$239*Предпосылки!$O264*Продажи!AE29*AE$19*(1+Чувствительность!$D$20)*IFERROR(LOOKUP(Предпосылки!$H$212,$C$13:$C$15,AE$13:AE$15),1)</f>
        <v>0</v>
      </c>
      <c s="125">
        <f>Предпосылки!AE$239*Предпосылки!$O264*Продажи!AF29*AF$19*(1+Чувствительность!$D$20)*IFERROR(LOOKUP(Предпосылки!$H$212,$C$13:$C$15,AF$13:AF$15),1)</f>
        <v>0</v>
      </c>
      <c s="125">
        <f>Предпосылки!AF$239*Предпосылки!$O264*Продажи!AG29*AG$19*(1+Чувствительность!$D$20)*IFERROR(LOOKUP(Предпосылки!$H$212,$C$13:$C$15,AG$13:AG$15),1)</f>
        <v>0</v>
      </c>
      <c s="125">
        <f>Предпосылки!AG$239*Предпосылки!$O264*Продажи!AH29*AH$19*(1+Чувствительность!$D$20)*IFERROR(LOOKUP(Предпосылки!$H$212,$C$13:$C$15,AH$13:AH$15),1)</f>
        <v>0</v>
      </c>
      <c s="125">
        <f>Предпосылки!AH$239*Предпосылки!$O264*Продажи!AI29*AI$19*(1+Чувствительность!$D$20)*IFERROR(LOOKUP(Предпосылки!$H$212,$C$13:$C$15,AI$13:AI$15),1)</f>
        <v>0</v>
      </c>
      <c s="125">
        <f>Предпосылки!AI$239*Предпосылки!$O264*Продажи!AJ29*AJ$19*(1+Чувствительность!$D$20)*IFERROR(LOOKUP(Предпосылки!$H$212,$C$13:$C$15,AJ$13:AJ$15),1)</f>
        <v>0</v>
      </c>
      <c s="125">
        <f>Предпосылки!AJ$239*Предпосылки!$O264*Продажи!AK29*AK$19*(1+Чувствительность!$D$20)*IFERROR(LOOKUP(Предпосылки!$H$212,$C$13:$C$15,AK$13:AK$15),1)</f>
        <v>0</v>
      </c>
      <c s="125">
        <f>Предпосылки!AK$239*Предпосылки!$O264*Продажи!AL29*AL$19*(1+Чувствительность!$D$20)*IFERROR(LOOKUP(Предпосылки!$H$212,$C$13:$C$15,AL$13:AL$15),1)</f>
        <v>0</v>
      </c>
      <c s="125">
        <f>Предпосылки!AL$239*Предпосылки!$O264*Продажи!AM29*AM$19*(1+Чувствительность!$D$20)*IFERROR(LOOKUP(Предпосылки!$H$212,$C$13:$C$15,AM$13:AM$15),1)</f>
        <v>0</v>
      </c>
      <c s="125">
        <f>Предпосылки!AM$239*Предпосылки!$O264*Продажи!AN29*AN$19*(1+Чувствительность!$D$20)*IFERROR(LOOKUP(Предпосылки!$H$212,$C$13:$C$15,AN$13:AN$15),1)</f>
        <v>0</v>
      </c>
      <c s="125">
        <f>Предпосылки!AN$239*Предпосылки!$O264*Продажи!AO29*AO$19*(1+Чувствительность!$D$20)*IFERROR(LOOKUP(Предпосылки!$H$212,$C$13:$C$15,AO$13:AO$15),1)</f>
        <v>0</v>
      </c>
      <c s="125">
        <f>Предпосылки!AO$239*Предпосылки!$O264*Продажи!AP29*AP$19*(1+Чувствительность!$D$20)*IFERROR(LOOKUP(Предпосылки!$H$212,$C$13:$C$15,AP$13:AP$15),1)</f>
        <v>0</v>
      </c>
      <c s="125">
        <f>Предпосылки!AP$239*Предпосылки!$O264*Продажи!AQ29*AQ$19*(1+Чувствительность!$D$20)*IFERROR(LOOKUP(Предпосылки!$H$212,$C$13:$C$15,AQ$13:AQ$15),1)</f>
        <v>0</v>
      </c>
      <c s="125">
        <f>Предпосылки!AQ$239*Предпосылки!$O264*Продажи!AR29*AR$19*(1+Чувствительность!$D$20)*IFERROR(LOOKUP(Предпосылки!$H$212,$C$13:$C$15,AR$13:AR$15),1)</f>
        <v>0</v>
      </c>
      <c s="125">
        <f>Предпосылки!AR$239*Предпосылки!$O264*Продажи!AS29*AS$19*(1+Чувствительность!$D$20)*IFERROR(LOOKUP(Предпосылки!$H$212,$C$13:$C$15,AS$13:AS$15),1)</f>
        <v>0</v>
      </c>
      <c s="125">
        <f>Предпосылки!AS$239*Предпосылки!$O264*Продажи!AT29*AT$19*(1+Чувствительность!$D$20)*IFERROR(LOOKUP(Предпосылки!$H$212,$C$13:$C$15,AT$13:AT$15),1)</f>
        <v>0</v>
      </c>
      <c s="125">
        <f>Предпосылки!AT$239*Предпосылки!$O264*Продажи!AU29*AU$19*(1+Чувствительность!$D$20)*IFERROR(LOOKUP(Предпосылки!$H$212,$C$13:$C$15,AU$13:AU$15),1)</f>
        <v>0</v>
      </c>
      <c s="125">
        <f>Предпосылки!AU$239*Предпосылки!$O264*Продажи!AV29*AV$19*(1+Чувствительность!$D$20)*IFERROR(LOOKUP(Предпосылки!$H$212,$C$13:$C$15,AV$13:AV$15),1)</f>
        <v>0</v>
      </c>
      <c s="125">
        <f>Предпосылки!AV$239*Предпосылки!$O264*Продажи!AW29*AW$19*(1+Чувствительность!$D$20)*IFERROR(LOOKUP(Предпосылки!$H$212,$C$13:$C$15,AW$13:AW$15),1)</f>
        <v>0</v>
      </c>
      <c s="125">
        <f>Предпосылки!AW$239*Предпосылки!$O264*Продажи!AX29*AX$19*(1+Чувствительность!$D$20)*IFERROR(LOOKUP(Предпосылки!$H$212,$C$13:$C$15,AX$13:AX$15),1)</f>
        <v>0</v>
      </c>
      <c s="125">
        <f>Предпосылки!AX$239*Предпосылки!$O264*Продажи!AY29*AY$19*(1+Чувствительность!$D$20)*IFERROR(LOOKUP(Предпосылки!$H$212,$C$13:$C$15,AY$13:AY$15),1)</f>
        <v>0</v>
      </c>
      <c s="125">
        <f>Предпосылки!AY$239*Предпосылки!$O264*Продажи!AZ29*AZ$19*(1+Чувствительность!$D$20)*IFERROR(LOOKUP(Предпосылки!$H$212,$C$13:$C$15,AZ$13:AZ$15),1)</f>
        <v>0</v>
      </c>
      <c s="125">
        <f>Предпосылки!AZ$239*Предпосылки!$O264*Продажи!BA29*BA$19*(1+Чувствительность!$D$20)*IFERROR(LOOKUP(Предпосылки!$H$212,$C$13:$C$15,BA$13:BA$15),1)</f>
        <v>0</v>
      </c>
      <c s="125">
        <f>Предпосылки!BA$239*Предпосылки!$O264*Продажи!BB29*BB$19*(1+Чувствительность!$D$20)*IFERROR(LOOKUP(Предпосылки!$H$212,$C$13:$C$15,BB$13:BB$15),1)</f>
        <v>0</v>
      </c>
      <c s="125">
        <f>Предпосылки!BB$239*Предпосылки!$O264*Продажи!BC29*BC$19*(1+Чувствительность!$D$20)*IFERROR(LOOKUP(Предпосылки!$H$212,$C$13:$C$15,BC$13:BC$15),1)</f>
        <v>0</v>
      </c>
      <c s="125">
        <f>Предпосылки!BC$239*Предпосылки!$O264*Продажи!BD29*BD$19*(1+Чувствительность!$D$20)*IFERROR(LOOKUP(Предпосылки!$H$212,$C$13:$C$15,BD$13:BD$15),1)</f>
        <v>0</v>
      </c>
      <c s="125">
        <f>Предпосылки!BD$239*Предпосылки!$O264*Продажи!BE29*BE$19*(1+Чувствительность!$D$20)*IFERROR(LOOKUP(Предпосылки!$H$212,$C$13:$C$15,BE$13:BE$15),1)</f>
        <v>0</v>
      </c>
      <c s="125">
        <f>Предпосылки!BE$239*Предпосылки!$O264*Продажи!BF29*BF$19*(1+Чувствительность!$D$20)*IFERROR(LOOKUP(Предпосылки!$H$212,$C$13:$C$15,BF$13:BF$15),1)</f>
        <v>0</v>
      </c>
      <c s="125">
        <f>Предпосылки!BF$239*Предпосылки!$O264*Продажи!BG29*BG$19*(1+Чувствительность!$D$20)*IFERROR(LOOKUP(Предпосылки!$H$212,$C$13:$C$15,BG$13:BG$15),1)</f>
        <v>0</v>
      </c>
      <c s="125">
        <f>Предпосылки!BG$239*Предпосылки!$O264*Продажи!BH29*BH$19*(1+Чувствительность!$D$20)*IFERROR(LOOKUP(Предпосылки!$H$212,$C$13:$C$15,BH$13:BH$15),1)</f>
        <v>0</v>
      </c>
      <c s="125">
        <f>Предпосылки!BH$239*Предпосылки!$O264*Продажи!BI29*BI$19*(1+Чувствительность!$D$20)*IFERROR(LOOKUP(Предпосылки!$H$212,$C$13:$C$15,BI$13:BI$15),1)</f>
        <v>0</v>
      </c>
      <c s="125">
        <f>Предпосылки!BI$239*Предпосылки!$O264*Продажи!BJ29*BJ$19*(1+Чувствительность!$D$20)*IFERROR(LOOKUP(Предпосылки!$H$212,$C$13:$C$15,BJ$13:BJ$15),1)</f>
        <v>0</v>
      </c>
      <c s="125">
        <f>Предпосылки!BJ$239*Предпосылки!$O264*Продажи!BK29*BK$19*(1+Чувствительность!$D$20)*IFERROR(LOOKUP(Предпосылки!$H$212,$C$13:$C$15,BK$13:BK$15),1)</f>
        <v>0</v>
      </c>
      <c s="125">
        <f>Предпосылки!BK$239*Предпосылки!$O264*Продажи!BL29*BL$19*(1+Чувствительность!$D$20)*IFERROR(LOOKUP(Предпосылки!$H$212,$C$13:$C$15,BL$13:BL$15),1)</f>
        <v>0</v>
      </c>
      <c s="125">
        <f>Предпосылки!BL$239*Предпосылки!$O264*Продажи!BM29*BM$19*(1+Чувствительность!$D$20)*IFERROR(LOOKUP(Предпосылки!$H$212,$C$13:$C$15,BM$13:BM$15),1)</f>
        <v>0</v>
      </c>
    </row>
    <row r="288" spans="2:65" ht="15" customHeight="1">
      <c r="B288" s="12" t="str">
        <f t="shared" si="116"/>
        <v>Продукт 13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Предпосылки!D$239*Предпосылки!$O265*Продажи!E30*E$19*(1+Чувствительность!$D$20)*IFERROR(LOOKUP(Предпосылки!$H$212,$C$13:$C$15,E$13:E$15),1)</f>
        <v>0</v>
      </c>
      <c s="125">
        <f>Предпосылки!E$239*Предпосылки!$O265*Продажи!F30*F$19*(1+Чувствительность!$D$20)*IFERROR(LOOKUP(Предпосылки!$H$212,$C$13:$C$15,F$13:F$15),1)</f>
        <v>0</v>
      </c>
      <c s="125">
        <f>Предпосылки!F$239*Предпосылки!$O265*Продажи!G30*G$19*(1+Чувствительность!$D$20)*IFERROR(LOOKUP(Предпосылки!$H$212,$C$13:$C$15,G$13:G$15),1)</f>
        <v>0</v>
      </c>
      <c s="125">
        <f>Предпосылки!G$239*Предпосылки!$O265*Продажи!H30*H$19*(1+Чувствительность!$D$20)*IFERROR(LOOKUP(Предпосылки!$H$212,$C$13:$C$15,H$13:H$15),1)</f>
        <v>0</v>
      </c>
      <c s="125">
        <f>Предпосылки!H$239*Предпосылки!$O265*Продажи!I30*I$19*(1+Чувствительность!$D$20)*IFERROR(LOOKUP(Предпосылки!$H$212,$C$13:$C$15,I$13:I$15),1)</f>
        <v>0</v>
      </c>
      <c s="125">
        <f>Предпосылки!I$239*Предпосылки!$O265*Продажи!J30*J$19*(1+Чувствительность!$D$20)*IFERROR(LOOKUP(Предпосылки!$H$212,$C$13:$C$15,J$13:J$15),1)</f>
        <v>0</v>
      </c>
      <c s="125">
        <f>Предпосылки!J$239*Предпосылки!$O265*Продажи!K30*K$19*(1+Чувствительность!$D$20)*IFERROR(LOOKUP(Предпосылки!$H$212,$C$13:$C$15,K$13:K$15),1)</f>
        <v>0</v>
      </c>
      <c s="125">
        <f>Предпосылки!K$239*Предпосылки!$O265*Продажи!L30*L$19*(1+Чувствительность!$D$20)*IFERROR(LOOKUP(Предпосылки!$H$212,$C$13:$C$15,L$13:L$15),1)</f>
        <v>0</v>
      </c>
      <c s="125">
        <f>Предпосылки!L$239*Предпосылки!$O265*Продажи!M30*M$19*(1+Чувствительность!$D$20)*IFERROR(LOOKUP(Предпосылки!$H$212,$C$13:$C$15,M$13:M$15),1)</f>
        <v>0</v>
      </c>
      <c s="125">
        <f>Предпосылки!M$239*Предпосылки!$O265*Продажи!N30*N$19*(1+Чувствительность!$D$20)*IFERROR(LOOKUP(Предпосылки!$H$212,$C$13:$C$15,N$13:N$15),1)</f>
        <v>0</v>
      </c>
      <c s="125">
        <f>Предпосылки!N$239*Предпосылки!$O265*Продажи!O30*O$19*(1+Чувствительность!$D$20)*IFERROR(LOOKUP(Предпосылки!$H$212,$C$13:$C$15,O$13:O$15),1)</f>
        <v>0</v>
      </c>
      <c s="125">
        <f>Предпосылки!O$239*Предпосылки!$O265*Продажи!P30*P$19*(1+Чувствительность!$D$20)*IFERROR(LOOKUP(Предпосылки!$H$212,$C$13:$C$15,P$13:P$15),1)</f>
        <v>0</v>
      </c>
      <c s="125">
        <f>Предпосылки!P$239*Предпосылки!$O265*Продажи!Q30*Q$19*(1+Чувствительность!$D$20)*IFERROR(LOOKUP(Предпосылки!$H$212,$C$13:$C$15,Q$13:Q$15),1)</f>
        <v>0</v>
      </c>
      <c s="125">
        <f>Предпосылки!Q$239*Предпосылки!$O265*Продажи!R30*R$19*(1+Чувствительность!$D$20)*IFERROR(LOOKUP(Предпосылки!$H$212,$C$13:$C$15,R$13:R$15),1)</f>
        <v>0</v>
      </c>
      <c s="125">
        <f>Предпосылки!R$239*Предпосылки!$O265*Продажи!S30*S$19*(1+Чувствительность!$D$20)*IFERROR(LOOKUP(Предпосылки!$H$212,$C$13:$C$15,S$13:S$15),1)</f>
        <v>0</v>
      </c>
      <c s="125">
        <f>Предпосылки!S$239*Предпосылки!$O265*Продажи!T30*T$19*(1+Чувствительность!$D$20)*IFERROR(LOOKUP(Предпосылки!$H$212,$C$13:$C$15,T$13:T$15),1)</f>
        <v>0</v>
      </c>
      <c s="125">
        <f>Предпосылки!T$239*Предпосылки!$O265*Продажи!U30*U$19*(1+Чувствительность!$D$20)*IFERROR(LOOKUP(Предпосылки!$H$212,$C$13:$C$15,U$13:U$15),1)</f>
        <v>0</v>
      </c>
      <c s="125">
        <f>Предпосылки!U$239*Предпосылки!$O265*Продажи!V30*V$19*(1+Чувствительность!$D$20)*IFERROR(LOOKUP(Предпосылки!$H$212,$C$13:$C$15,V$13:V$15),1)</f>
        <v>0</v>
      </c>
      <c s="125">
        <f>Предпосылки!V$239*Предпосылки!$O265*Продажи!W30*W$19*(1+Чувствительность!$D$20)*IFERROR(LOOKUP(Предпосылки!$H$212,$C$13:$C$15,W$13:W$15),1)</f>
        <v>0</v>
      </c>
      <c s="125">
        <f>Предпосылки!W$239*Предпосылки!$O265*Продажи!X30*X$19*(1+Чувствительность!$D$20)*IFERROR(LOOKUP(Предпосылки!$H$212,$C$13:$C$15,X$13:X$15),1)</f>
        <v>0</v>
      </c>
      <c s="125">
        <f>Предпосылки!X$239*Предпосылки!$O265*Продажи!Y30*Y$19*(1+Чувствительность!$D$20)*IFERROR(LOOKUP(Предпосылки!$H$212,$C$13:$C$15,Y$13:Y$15),1)</f>
        <v>0</v>
      </c>
      <c s="125">
        <f>Предпосылки!Y$239*Предпосылки!$O265*Продажи!Z30*Z$19*(1+Чувствительность!$D$20)*IFERROR(LOOKUP(Предпосылки!$H$212,$C$13:$C$15,Z$13:Z$15),1)</f>
        <v>0</v>
      </c>
      <c s="125">
        <f>Предпосылки!Z$239*Предпосылки!$O265*Продажи!AA30*AA$19*(1+Чувствительность!$D$20)*IFERROR(LOOKUP(Предпосылки!$H$212,$C$13:$C$15,AA$13:AA$15),1)</f>
        <v>0</v>
      </c>
      <c s="125">
        <f>Предпосылки!AA$239*Предпосылки!$O265*Продажи!AB30*AB$19*(1+Чувствительность!$D$20)*IFERROR(LOOKUP(Предпосылки!$H$212,$C$13:$C$15,AB$13:AB$15),1)</f>
        <v>0</v>
      </c>
      <c s="125">
        <f>Предпосылки!AB$239*Предпосылки!$O265*Продажи!AC30*AC$19*(1+Чувствительность!$D$20)*IFERROR(LOOKUP(Предпосылки!$H$212,$C$13:$C$15,AC$13:AC$15),1)</f>
        <v>0</v>
      </c>
      <c s="125">
        <f>Предпосылки!AC$239*Предпосылки!$O265*Продажи!AD30*AD$19*(1+Чувствительность!$D$20)*IFERROR(LOOKUP(Предпосылки!$H$212,$C$13:$C$15,AD$13:AD$15),1)</f>
        <v>0</v>
      </c>
      <c s="125">
        <f>Предпосылки!AD$239*Предпосылки!$O265*Продажи!AE30*AE$19*(1+Чувствительность!$D$20)*IFERROR(LOOKUP(Предпосылки!$H$212,$C$13:$C$15,AE$13:AE$15),1)</f>
        <v>0</v>
      </c>
      <c s="125">
        <f>Предпосылки!AE$239*Предпосылки!$O265*Продажи!AF30*AF$19*(1+Чувствительность!$D$20)*IFERROR(LOOKUP(Предпосылки!$H$212,$C$13:$C$15,AF$13:AF$15),1)</f>
        <v>0</v>
      </c>
      <c s="125">
        <f>Предпосылки!AF$239*Предпосылки!$O265*Продажи!AG30*AG$19*(1+Чувствительность!$D$20)*IFERROR(LOOKUP(Предпосылки!$H$212,$C$13:$C$15,AG$13:AG$15),1)</f>
        <v>0</v>
      </c>
      <c s="125">
        <f>Предпосылки!AG$239*Предпосылки!$O265*Продажи!AH30*AH$19*(1+Чувствительность!$D$20)*IFERROR(LOOKUP(Предпосылки!$H$212,$C$13:$C$15,AH$13:AH$15),1)</f>
        <v>0</v>
      </c>
      <c s="125">
        <f>Предпосылки!AH$239*Предпосылки!$O265*Продажи!AI30*AI$19*(1+Чувствительность!$D$20)*IFERROR(LOOKUP(Предпосылки!$H$212,$C$13:$C$15,AI$13:AI$15),1)</f>
        <v>0</v>
      </c>
      <c s="125">
        <f>Предпосылки!AI$239*Предпосылки!$O265*Продажи!AJ30*AJ$19*(1+Чувствительность!$D$20)*IFERROR(LOOKUP(Предпосылки!$H$212,$C$13:$C$15,AJ$13:AJ$15),1)</f>
        <v>0</v>
      </c>
      <c s="125">
        <f>Предпосылки!AJ$239*Предпосылки!$O265*Продажи!AK30*AK$19*(1+Чувствительность!$D$20)*IFERROR(LOOKUP(Предпосылки!$H$212,$C$13:$C$15,AK$13:AK$15),1)</f>
        <v>0</v>
      </c>
      <c s="125">
        <f>Предпосылки!AK$239*Предпосылки!$O265*Продажи!AL30*AL$19*(1+Чувствительность!$D$20)*IFERROR(LOOKUP(Предпосылки!$H$212,$C$13:$C$15,AL$13:AL$15),1)</f>
        <v>0</v>
      </c>
      <c s="125">
        <f>Предпосылки!AL$239*Предпосылки!$O265*Продажи!AM30*AM$19*(1+Чувствительность!$D$20)*IFERROR(LOOKUP(Предпосылки!$H$212,$C$13:$C$15,AM$13:AM$15),1)</f>
        <v>0</v>
      </c>
      <c s="125">
        <f>Предпосылки!AM$239*Предпосылки!$O265*Продажи!AN30*AN$19*(1+Чувствительность!$D$20)*IFERROR(LOOKUP(Предпосылки!$H$212,$C$13:$C$15,AN$13:AN$15),1)</f>
        <v>0</v>
      </c>
      <c s="125">
        <f>Предпосылки!AN$239*Предпосылки!$O265*Продажи!AO30*AO$19*(1+Чувствительность!$D$20)*IFERROR(LOOKUP(Предпосылки!$H$212,$C$13:$C$15,AO$13:AO$15),1)</f>
        <v>0</v>
      </c>
      <c s="125">
        <f>Предпосылки!AO$239*Предпосылки!$O265*Продажи!AP30*AP$19*(1+Чувствительность!$D$20)*IFERROR(LOOKUP(Предпосылки!$H$212,$C$13:$C$15,AP$13:AP$15),1)</f>
        <v>0</v>
      </c>
      <c s="125">
        <f>Предпосылки!AP$239*Предпосылки!$O265*Продажи!AQ30*AQ$19*(1+Чувствительность!$D$20)*IFERROR(LOOKUP(Предпосылки!$H$212,$C$13:$C$15,AQ$13:AQ$15),1)</f>
        <v>0</v>
      </c>
      <c s="125">
        <f>Предпосылки!AQ$239*Предпосылки!$O265*Продажи!AR30*AR$19*(1+Чувствительность!$D$20)*IFERROR(LOOKUP(Предпосылки!$H$212,$C$13:$C$15,AR$13:AR$15),1)</f>
        <v>0</v>
      </c>
      <c s="125">
        <f>Предпосылки!AR$239*Предпосылки!$O265*Продажи!AS30*AS$19*(1+Чувствительность!$D$20)*IFERROR(LOOKUP(Предпосылки!$H$212,$C$13:$C$15,AS$13:AS$15),1)</f>
        <v>0</v>
      </c>
      <c s="125">
        <f>Предпосылки!AS$239*Предпосылки!$O265*Продажи!AT30*AT$19*(1+Чувствительность!$D$20)*IFERROR(LOOKUP(Предпосылки!$H$212,$C$13:$C$15,AT$13:AT$15),1)</f>
        <v>0</v>
      </c>
      <c s="125">
        <f>Предпосылки!AT$239*Предпосылки!$O265*Продажи!AU30*AU$19*(1+Чувствительность!$D$20)*IFERROR(LOOKUP(Предпосылки!$H$212,$C$13:$C$15,AU$13:AU$15),1)</f>
        <v>0</v>
      </c>
      <c s="125">
        <f>Предпосылки!AU$239*Предпосылки!$O265*Продажи!AV30*AV$19*(1+Чувствительность!$D$20)*IFERROR(LOOKUP(Предпосылки!$H$212,$C$13:$C$15,AV$13:AV$15),1)</f>
        <v>0</v>
      </c>
      <c s="125">
        <f>Предпосылки!AV$239*Предпосылки!$O265*Продажи!AW30*AW$19*(1+Чувствительность!$D$20)*IFERROR(LOOKUP(Предпосылки!$H$212,$C$13:$C$15,AW$13:AW$15),1)</f>
        <v>0</v>
      </c>
      <c s="125">
        <f>Предпосылки!AW$239*Предпосылки!$O265*Продажи!AX30*AX$19*(1+Чувствительность!$D$20)*IFERROR(LOOKUP(Предпосылки!$H$212,$C$13:$C$15,AX$13:AX$15),1)</f>
        <v>0</v>
      </c>
      <c s="125">
        <f>Предпосылки!AX$239*Предпосылки!$O265*Продажи!AY30*AY$19*(1+Чувствительность!$D$20)*IFERROR(LOOKUP(Предпосылки!$H$212,$C$13:$C$15,AY$13:AY$15),1)</f>
        <v>0</v>
      </c>
      <c s="125">
        <f>Предпосылки!AY$239*Предпосылки!$O265*Продажи!AZ30*AZ$19*(1+Чувствительность!$D$20)*IFERROR(LOOKUP(Предпосылки!$H$212,$C$13:$C$15,AZ$13:AZ$15),1)</f>
        <v>0</v>
      </c>
      <c s="125">
        <f>Предпосылки!AZ$239*Предпосылки!$O265*Продажи!BA30*BA$19*(1+Чувствительность!$D$20)*IFERROR(LOOKUP(Предпосылки!$H$212,$C$13:$C$15,BA$13:BA$15),1)</f>
        <v>0</v>
      </c>
      <c s="125">
        <f>Предпосылки!BA$239*Предпосылки!$O265*Продажи!BB30*BB$19*(1+Чувствительность!$D$20)*IFERROR(LOOKUP(Предпосылки!$H$212,$C$13:$C$15,BB$13:BB$15),1)</f>
        <v>0</v>
      </c>
      <c s="125">
        <f>Предпосылки!BB$239*Предпосылки!$O265*Продажи!BC30*BC$19*(1+Чувствительность!$D$20)*IFERROR(LOOKUP(Предпосылки!$H$212,$C$13:$C$15,BC$13:BC$15),1)</f>
        <v>0</v>
      </c>
      <c s="125">
        <f>Предпосылки!BC$239*Предпосылки!$O265*Продажи!BD30*BD$19*(1+Чувствительность!$D$20)*IFERROR(LOOKUP(Предпосылки!$H$212,$C$13:$C$15,BD$13:BD$15),1)</f>
        <v>0</v>
      </c>
      <c s="125">
        <f>Предпосылки!BD$239*Предпосылки!$O265*Продажи!BE30*BE$19*(1+Чувствительность!$D$20)*IFERROR(LOOKUP(Предпосылки!$H$212,$C$13:$C$15,BE$13:BE$15),1)</f>
        <v>0</v>
      </c>
      <c s="125">
        <f>Предпосылки!BE$239*Предпосылки!$O265*Продажи!BF30*BF$19*(1+Чувствительность!$D$20)*IFERROR(LOOKUP(Предпосылки!$H$212,$C$13:$C$15,BF$13:BF$15),1)</f>
        <v>0</v>
      </c>
      <c s="125">
        <f>Предпосылки!BF$239*Предпосылки!$O265*Продажи!BG30*BG$19*(1+Чувствительность!$D$20)*IFERROR(LOOKUP(Предпосылки!$H$212,$C$13:$C$15,BG$13:BG$15),1)</f>
        <v>0</v>
      </c>
      <c s="125">
        <f>Предпосылки!BG$239*Предпосылки!$O265*Продажи!BH30*BH$19*(1+Чувствительность!$D$20)*IFERROR(LOOKUP(Предпосылки!$H$212,$C$13:$C$15,BH$13:BH$15),1)</f>
        <v>0</v>
      </c>
      <c s="125">
        <f>Предпосылки!BH$239*Предпосылки!$O265*Продажи!BI30*BI$19*(1+Чувствительность!$D$20)*IFERROR(LOOKUP(Предпосылки!$H$212,$C$13:$C$15,BI$13:BI$15),1)</f>
        <v>0</v>
      </c>
      <c s="125">
        <f>Предпосылки!BI$239*Предпосылки!$O265*Продажи!BJ30*BJ$19*(1+Чувствительность!$D$20)*IFERROR(LOOKUP(Предпосылки!$H$212,$C$13:$C$15,BJ$13:BJ$15),1)</f>
        <v>0</v>
      </c>
      <c s="125">
        <f>Предпосылки!BJ$239*Предпосылки!$O265*Продажи!BK30*BK$19*(1+Чувствительность!$D$20)*IFERROR(LOOKUP(Предпосылки!$H$212,$C$13:$C$15,BK$13:BK$15),1)</f>
        <v>0</v>
      </c>
      <c s="125">
        <f>Предпосылки!BK$239*Предпосылки!$O265*Продажи!BL30*BL$19*(1+Чувствительность!$D$20)*IFERROR(LOOKUP(Предпосылки!$H$212,$C$13:$C$15,BL$13:BL$15),1)</f>
        <v>0</v>
      </c>
      <c s="125">
        <f>Предпосылки!BL$239*Предпосылки!$O265*Продажи!BM30*BM$19*(1+Чувствительность!$D$20)*IFERROR(LOOKUP(Предпосылки!$H$212,$C$13:$C$15,BM$13:BM$15),1)</f>
        <v>0</v>
      </c>
    </row>
    <row r="289" spans="2:65" ht="15" customHeight="1">
      <c r="B289" s="12" t="str">
        <f t="shared" si="116"/>
        <v>Продукт 14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Предпосылки!D$239*Предпосылки!$O266*Продажи!E31*E$19*(1+Чувствительность!$D$20)*IFERROR(LOOKUP(Предпосылки!$H$212,$C$13:$C$15,E$13:E$15),1)</f>
        <v>0</v>
      </c>
      <c s="125">
        <f>Предпосылки!E$239*Предпосылки!$O266*Продажи!F31*F$19*(1+Чувствительность!$D$20)*IFERROR(LOOKUP(Предпосылки!$H$212,$C$13:$C$15,F$13:F$15),1)</f>
        <v>0</v>
      </c>
      <c s="125">
        <f>Предпосылки!F$239*Предпосылки!$O266*Продажи!G31*G$19*(1+Чувствительность!$D$20)*IFERROR(LOOKUP(Предпосылки!$H$212,$C$13:$C$15,G$13:G$15),1)</f>
        <v>0</v>
      </c>
      <c s="125">
        <f>Предпосылки!G$239*Предпосылки!$O266*Продажи!H31*H$19*(1+Чувствительность!$D$20)*IFERROR(LOOKUP(Предпосылки!$H$212,$C$13:$C$15,H$13:H$15),1)</f>
        <v>0</v>
      </c>
      <c s="125">
        <f>Предпосылки!H$239*Предпосылки!$O266*Продажи!I31*I$19*(1+Чувствительность!$D$20)*IFERROR(LOOKUP(Предпосылки!$H$212,$C$13:$C$15,I$13:I$15),1)</f>
        <v>0</v>
      </c>
      <c s="125">
        <f>Предпосылки!I$239*Предпосылки!$O266*Продажи!J31*J$19*(1+Чувствительность!$D$20)*IFERROR(LOOKUP(Предпосылки!$H$212,$C$13:$C$15,J$13:J$15),1)</f>
        <v>0</v>
      </c>
      <c s="125">
        <f>Предпосылки!J$239*Предпосылки!$O266*Продажи!K31*K$19*(1+Чувствительность!$D$20)*IFERROR(LOOKUP(Предпосылки!$H$212,$C$13:$C$15,K$13:K$15),1)</f>
        <v>0</v>
      </c>
      <c s="125">
        <f>Предпосылки!K$239*Предпосылки!$O266*Продажи!L31*L$19*(1+Чувствительность!$D$20)*IFERROR(LOOKUP(Предпосылки!$H$212,$C$13:$C$15,L$13:L$15),1)</f>
        <v>0</v>
      </c>
      <c s="125">
        <f>Предпосылки!L$239*Предпосылки!$O266*Продажи!M31*M$19*(1+Чувствительность!$D$20)*IFERROR(LOOKUP(Предпосылки!$H$212,$C$13:$C$15,M$13:M$15),1)</f>
        <v>0</v>
      </c>
      <c s="125">
        <f>Предпосылки!M$239*Предпосылки!$O266*Продажи!N31*N$19*(1+Чувствительность!$D$20)*IFERROR(LOOKUP(Предпосылки!$H$212,$C$13:$C$15,N$13:N$15),1)</f>
        <v>0</v>
      </c>
      <c s="125">
        <f>Предпосылки!N$239*Предпосылки!$O266*Продажи!O31*O$19*(1+Чувствительность!$D$20)*IFERROR(LOOKUP(Предпосылки!$H$212,$C$13:$C$15,O$13:O$15),1)</f>
        <v>0</v>
      </c>
      <c s="125">
        <f>Предпосылки!O$239*Предпосылки!$O266*Продажи!P31*P$19*(1+Чувствительность!$D$20)*IFERROR(LOOKUP(Предпосылки!$H$212,$C$13:$C$15,P$13:P$15),1)</f>
        <v>0</v>
      </c>
      <c s="125">
        <f>Предпосылки!P$239*Предпосылки!$O266*Продажи!Q31*Q$19*(1+Чувствительность!$D$20)*IFERROR(LOOKUP(Предпосылки!$H$212,$C$13:$C$15,Q$13:Q$15),1)</f>
        <v>0</v>
      </c>
      <c s="125">
        <f>Предпосылки!Q$239*Предпосылки!$O266*Продажи!R31*R$19*(1+Чувствительность!$D$20)*IFERROR(LOOKUP(Предпосылки!$H$212,$C$13:$C$15,R$13:R$15),1)</f>
        <v>0</v>
      </c>
      <c s="125">
        <f>Предпосылки!R$239*Предпосылки!$O266*Продажи!S31*S$19*(1+Чувствительность!$D$20)*IFERROR(LOOKUP(Предпосылки!$H$212,$C$13:$C$15,S$13:S$15),1)</f>
        <v>0</v>
      </c>
      <c s="125">
        <f>Предпосылки!S$239*Предпосылки!$O266*Продажи!T31*T$19*(1+Чувствительность!$D$20)*IFERROR(LOOKUP(Предпосылки!$H$212,$C$13:$C$15,T$13:T$15),1)</f>
        <v>0</v>
      </c>
      <c s="125">
        <f>Предпосылки!T$239*Предпосылки!$O266*Продажи!U31*U$19*(1+Чувствительность!$D$20)*IFERROR(LOOKUP(Предпосылки!$H$212,$C$13:$C$15,U$13:U$15),1)</f>
        <v>0</v>
      </c>
      <c s="125">
        <f>Предпосылки!U$239*Предпосылки!$O266*Продажи!V31*V$19*(1+Чувствительность!$D$20)*IFERROR(LOOKUP(Предпосылки!$H$212,$C$13:$C$15,V$13:V$15),1)</f>
        <v>0</v>
      </c>
      <c s="125">
        <f>Предпосылки!V$239*Предпосылки!$O266*Продажи!W31*W$19*(1+Чувствительность!$D$20)*IFERROR(LOOKUP(Предпосылки!$H$212,$C$13:$C$15,W$13:W$15),1)</f>
        <v>0</v>
      </c>
      <c s="125">
        <f>Предпосылки!W$239*Предпосылки!$O266*Продажи!X31*X$19*(1+Чувствительность!$D$20)*IFERROR(LOOKUP(Предпосылки!$H$212,$C$13:$C$15,X$13:X$15),1)</f>
        <v>0</v>
      </c>
      <c s="125">
        <f>Предпосылки!X$239*Предпосылки!$O266*Продажи!Y31*Y$19*(1+Чувствительность!$D$20)*IFERROR(LOOKUP(Предпосылки!$H$212,$C$13:$C$15,Y$13:Y$15),1)</f>
        <v>0</v>
      </c>
      <c s="125">
        <f>Предпосылки!Y$239*Предпосылки!$O266*Продажи!Z31*Z$19*(1+Чувствительность!$D$20)*IFERROR(LOOKUP(Предпосылки!$H$212,$C$13:$C$15,Z$13:Z$15),1)</f>
        <v>0</v>
      </c>
      <c s="125">
        <f>Предпосылки!Z$239*Предпосылки!$O266*Продажи!AA31*AA$19*(1+Чувствительность!$D$20)*IFERROR(LOOKUP(Предпосылки!$H$212,$C$13:$C$15,AA$13:AA$15),1)</f>
        <v>0</v>
      </c>
      <c s="125">
        <f>Предпосылки!AA$239*Предпосылки!$O266*Продажи!AB31*AB$19*(1+Чувствительность!$D$20)*IFERROR(LOOKUP(Предпосылки!$H$212,$C$13:$C$15,AB$13:AB$15),1)</f>
        <v>0</v>
      </c>
      <c s="125">
        <f>Предпосылки!AB$239*Предпосылки!$O266*Продажи!AC31*AC$19*(1+Чувствительность!$D$20)*IFERROR(LOOKUP(Предпосылки!$H$212,$C$13:$C$15,AC$13:AC$15),1)</f>
        <v>0</v>
      </c>
      <c s="125">
        <f>Предпосылки!AC$239*Предпосылки!$O266*Продажи!AD31*AD$19*(1+Чувствительность!$D$20)*IFERROR(LOOKUP(Предпосылки!$H$212,$C$13:$C$15,AD$13:AD$15),1)</f>
        <v>0</v>
      </c>
      <c s="125">
        <f>Предпосылки!AD$239*Предпосылки!$O266*Продажи!AE31*AE$19*(1+Чувствительность!$D$20)*IFERROR(LOOKUP(Предпосылки!$H$212,$C$13:$C$15,AE$13:AE$15),1)</f>
        <v>0</v>
      </c>
      <c s="125">
        <f>Предпосылки!AE$239*Предпосылки!$O266*Продажи!AF31*AF$19*(1+Чувствительность!$D$20)*IFERROR(LOOKUP(Предпосылки!$H$212,$C$13:$C$15,AF$13:AF$15),1)</f>
        <v>0</v>
      </c>
      <c s="125">
        <f>Предпосылки!AF$239*Предпосылки!$O266*Продажи!AG31*AG$19*(1+Чувствительность!$D$20)*IFERROR(LOOKUP(Предпосылки!$H$212,$C$13:$C$15,AG$13:AG$15),1)</f>
        <v>0</v>
      </c>
      <c s="125">
        <f>Предпосылки!AG$239*Предпосылки!$O266*Продажи!AH31*AH$19*(1+Чувствительность!$D$20)*IFERROR(LOOKUP(Предпосылки!$H$212,$C$13:$C$15,AH$13:AH$15),1)</f>
        <v>0</v>
      </c>
      <c s="125">
        <f>Предпосылки!AH$239*Предпосылки!$O266*Продажи!AI31*AI$19*(1+Чувствительность!$D$20)*IFERROR(LOOKUP(Предпосылки!$H$212,$C$13:$C$15,AI$13:AI$15),1)</f>
        <v>0</v>
      </c>
      <c s="125">
        <f>Предпосылки!AI$239*Предпосылки!$O266*Продажи!AJ31*AJ$19*(1+Чувствительность!$D$20)*IFERROR(LOOKUP(Предпосылки!$H$212,$C$13:$C$15,AJ$13:AJ$15),1)</f>
        <v>0</v>
      </c>
      <c s="125">
        <f>Предпосылки!AJ$239*Предпосылки!$O266*Продажи!AK31*AK$19*(1+Чувствительность!$D$20)*IFERROR(LOOKUP(Предпосылки!$H$212,$C$13:$C$15,AK$13:AK$15),1)</f>
        <v>0</v>
      </c>
      <c s="125">
        <f>Предпосылки!AK$239*Предпосылки!$O266*Продажи!AL31*AL$19*(1+Чувствительность!$D$20)*IFERROR(LOOKUP(Предпосылки!$H$212,$C$13:$C$15,AL$13:AL$15),1)</f>
        <v>0</v>
      </c>
      <c s="125">
        <f>Предпосылки!AL$239*Предпосылки!$O266*Продажи!AM31*AM$19*(1+Чувствительность!$D$20)*IFERROR(LOOKUP(Предпосылки!$H$212,$C$13:$C$15,AM$13:AM$15),1)</f>
        <v>0</v>
      </c>
      <c s="125">
        <f>Предпосылки!AM$239*Предпосылки!$O266*Продажи!AN31*AN$19*(1+Чувствительность!$D$20)*IFERROR(LOOKUP(Предпосылки!$H$212,$C$13:$C$15,AN$13:AN$15),1)</f>
        <v>0</v>
      </c>
      <c s="125">
        <f>Предпосылки!AN$239*Предпосылки!$O266*Продажи!AO31*AO$19*(1+Чувствительность!$D$20)*IFERROR(LOOKUP(Предпосылки!$H$212,$C$13:$C$15,AO$13:AO$15),1)</f>
        <v>0</v>
      </c>
      <c s="125">
        <f>Предпосылки!AO$239*Предпосылки!$O266*Продажи!AP31*AP$19*(1+Чувствительность!$D$20)*IFERROR(LOOKUP(Предпосылки!$H$212,$C$13:$C$15,AP$13:AP$15),1)</f>
        <v>0</v>
      </c>
      <c s="125">
        <f>Предпосылки!AP$239*Предпосылки!$O266*Продажи!AQ31*AQ$19*(1+Чувствительность!$D$20)*IFERROR(LOOKUP(Предпосылки!$H$212,$C$13:$C$15,AQ$13:AQ$15),1)</f>
        <v>0</v>
      </c>
      <c s="125">
        <f>Предпосылки!AQ$239*Предпосылки!$O266*Продажи!AR31*AR$19*(1+Чувствительность!$D$20)*IFERROR(LOOKUP(Предпосылки!$H$212,$C$13:$C$15,AR$13:AR$15),1)</f>
        <v>0</v>
      </c>
      <c s="125">
        <f>Предпосылки!AR$239*Предпосылки!$O266*Продажи!AS31*AS$19*(1+Чувствительность!$D$20)*IFERROR(LOOKUP(Предпосылки!$H$212,$C$13:$C$15,AS$13:AS$15),1)</f>
        <v>0</v>
      </c>
      <c s="125">
        <f>Предпосылки!AS$239*Предпосылки!$O266*Продажи!AT31*AT$19*(1+Чувствительность!$D$20)*IFERROR(LOOKUP(Предпосылки!$H$212,$C$13:$C$15,AT$13:AT$15),1)</f>
        <v>0</v>
      </c>
      <c s="125">
        <f>Предпосылки!AT$239*Предпосылки!$O266*Продажи!AU31*AU$19*(1+Чувствительность!$D$20)*IFERROR(LOOKUP(Предпосылки!$H$212,$C$13:$C$15,AU$13:AU$15),1)</f>
        <v>0</v>
      </c>
      <c s="125">
        <f>Предпосылки!AU$239*Предпосылки!$O266*Продажи!AV31*AV$19*(1+Чувствительность!$D$20)*IFERROR(LOOKUP(Предпосылки!$H$212,$C$13:$C$15,AV$13:AV$15),1)</f>
        <v>0</v>
      </c>
      <c s="125">
        <f>Предпосылки!AV$239*Предпосылки!$O266*Продажи!AW31*AW$19*(1+Чувствительность!$D$20)*IFERROR(LOOKUP(Предпосылки!$H$212,$C$13:$C$15,AW$13:AW$15),1)</f>
        <v>0</v>
      </c>
      <c s="125">
        <f>Предпосылки!AW$239*Предпосылки!$O266*Продажи!AX31*AX$19*(1+Чувствительность!$D$20)*IFERROR(LOOKUP(Предпосылки!$H$212,$C$13:$C$15,AX$13:AX$15),1)</f>
        <v>0</v>
      </c>
      <c s="125">
        <f>Предпосылки!AX$239*Предпосылки!$O266*Продажи!AY31*AY$19*(1+Чувствительность!$D$20)*IFERROR(LOOKUP(Предпосылки!$H$212,$C$13:$C$15,AY$13:AY$15),1)</f>
        <v>0</v>
      </c>
      <c s="125">
        <f>Предпосылки!AY$239*Предпосылки!$O266*Продажи!AZ31*AZ$19*(1+Чувствительность!$D$20)*IFERROR(LOOKUP(Предпосылки!$H$212,$C$13:$C$15,AZ$13:AZ$15),1)</f>
        <v>0</v>
      </c>
      <c s="125">
        <f>Предпосылки!AZ$239*Предпосылки!$O266*Продажи!BA31*BA$19*(1+Чувствительность!$D$20)*IFERROR(LOOKUP(Предпосылки!$H$212,$C$13:$C$15,BA$13:BA$15),1)</f>
        <v>0</v>
      </c>
      <c s="125">
        <f>Предпосылки!BA$239*Предпосылки!$O266*Продажи!BB31*BB$19*(1+Чувствительность!$D$20)*IFERROR(LOOKUP(Предпосылки!$H$212,$C$13:$C$15,BB$13:BB$15),1)</f>
        <v>0</v>
      </c>
      <c s="125">
        <f>Предпосылки!BB$239*Предпосылки!$O266*Продажи!BC31*BC$19*(1+Чувствительность!$D$20)*IFERROR(LOOKUP(Предпосылки!$H$212,$C$13:$C$15,BC$13:BC$15),1)</f>
        <v>0</v>
      </c>
      <c s="125">
        <f>Предпосылки!BC$239*Предпосылки!$O266*Продажи!BD31*BD$19*(1+Чувствительность!$D$20)*IFERROR(LOOKUP(Предпосылки!$H$212,$C$13:$C$15,BD$13:BD$15),1)</f>
        <v>0</v>
      </c>
      <c s="125">
        <f>Предпосылки!BD$239*Предпосылки!$O266*Продажи!BE31*BE$19*(1+Чувствительность!$D$20)*IFERROR(LOOKUP(Предпосылки!$H$212,$C$13:$C$15,BE$13:BE$15),1)</f>
        <v>0</v>
      </c>
      <c s="125">
        <f>Предпосылки!BE$239*Предпосылки!$O266*Продажи!BF31*BF$19*(1+Чувствительность!$D$20)*IFERROR(LOOKUP(Предпосылки!$H$212,$C$13:$C$15,BF$13:BF$15),1)</f>
        <v>0</v>
      </c>
      <c s="125">
        <f>Предпосылки!BF$239*Предпосылки!$O266*Продажи!BG31*BG$19*(1+Чувствительность!$D$20)*IFERROR(LOOKUP(Предпосылки!$H$212,$C$13:$C$15,BG$13:BG$15),1)</f>
        <v>0</v>
      </c>
      <c s="125">
        <f>Предпосылки!BG$239*Предпосылки!$O266*Продажи!BH31*BH$19*(1+Чувствительность!$D$20)*IFERROR(LOOKUP(Предпосылки!$H$212,$C$13:$C$15,BH$13:BH$15),1)</f>
        <v>0</v>
      </c>
      <c s="125">
        <f>Предпосылки!BH$239*Предпосылки!$O266*Продажи!BI31*BI$19*(1+Чувствительность!$D$20)*IFERROR(LOOKUP(Предпосылки!$H$212,$C$13:$C$15,BI$13:BI$15),1)</f>
        <v>0</v>
      </c>
      <c s="125">
        <f>Предпосылки!BI$239*Предпосылки!$O266*Продажи!BJ31*BJ$19*(1+Чувствительность!$D$20)*IFERROR(LOOKUP(Предпосылки!$H$212,$C$13:$C$15,BJ$13:BJ$15),1)</f>
        <v>0</v>
      </c>
      <c s="125">
        <f>Предпосылки!BJ$239*Предпосылки!$O266*Продажи!BK31*BK$19*(1+Чувствительность!$D$20)*IFERROR(LOOKUP(Предпосылки!$H$212,$C$13:$C$15,BK$13:BK$15),1)</f>
        <v>0</v>
      </c>
      <c s="125">
        <f>Предпосылки!BK$239*Предпосылки!$O266*Продажи!BL31*BL$19*(1+Чувствительность!$D$20)*IFERROR(LOOKUP(Предпосылки!$H$212,$C$13:$C$15,BL$13:BL$15),1)</f>
        <v>0</v>
      </c>
      <c s="125">
        <f>Предпосылки!BL$239*Предпосылки!$O266*Продажи!BM31*BM$19*(1+Чувствительность!$D$20)*IFERROR(LOOKUP(Предпосылки!$H$212,$C$13:$C$15,BM$13:BM$15),1)</f>
        <v>0</v>
      </c>
    </row>
    <row r="290" spans="2:65" ht="15" customHeight="1">
      <c r="B290" s="12" t="str">
        <f t="shared" si="116"/>
        <v>Продукт 15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Предпосылки!D$239*Предпосылки!$O267*Продажи!E32*E$19*(1+Чувствительность!$D$20)*IFERROR(LOOKUP(Предпосылки!$H$212,$C$13:$C$15,E$13:E$15),1)</f>
        <v>0</v>
      </c>
      <c s="125">
        <f>Предпосылки!E$239*Предпосылки!$O267*Продажи!F32*F$19*(1+Чувствительность!$D$20)*IFERROR(LOOKUP(Предпосылки!$H$212,$C$13:$C$15,F$13:F$15),1)</f>
        <v>0</v>
      </c>
      <c s="125">
        <f>Предпосылки!F$239*Предпосылки!$O267*Продажи!G32*G$19*(1+Чувствительность!$D$20)*IFERROR(LOOKUP(Предпосылки!$H$212,$C$13:$C$15,G$13:G$15),1)</f>
        <v>0</v>
      </c>
      <c s="125">
        <f>Предпосылки!G$239*Предпосылки!$O267*Продажи!H32*H$19*(1+Чувствительность!$D$20)*IFERROR(LOOKUP(Предпосылки!$H$212,$C$13:$C$15,H$13:H$15),1)</f>
        <v>0</v>
      </c>
      <c s="125">
        <f>Предпосылки!H$239*Предпосылки!$O267*Продажи!I32*I$19*(1+Чувствительность!$D$20)*IFERROR(LOOKUP(Предпосылки!$H$212,$C$13:$C$15,I$13:I$15),1)</f>
        <v>0</v>
      </c>
      <c s="125">
        <f>Предпосылки!I$239*Предпосылки!$O267*Продажи!J32*J$19*(1+Чувствительность!$D$20)*IFERROR(LOOKUP(Предпосылки!$H$212,$C$13:$C$15,J$13:J$15),1)</f>
        <v>0</v>
      </c>
      <c s="125">
        <f>Предпосылки!J$239*Предпосылки!$O267*Продажи!K32*K$19*(1+Чувствительность!$D$20)*IFERROR(LOOKUP(Предпосылки!$H$212,$C$13:$C$15,K$13:K$15),1)</f>
        <v>0</v>
      </c>
      <c s="125">
        <f>Предпосылки!K$239*Предпосылки!$O267*Продажи!L32*L$19*(1+Чувствительность!$D$20)*IFERROR(LOOKUP(Предпосылки!$H$212,$C$13:$C$15,L$13:L$15),1)</f>
        <v>0</v>
      </c>
      <c s="125">
        <f>Предпосылки!L$239*Предпосылки!$O267*Продажи!M32*M$19*(1+Чувствительность!$D$20)*IFERROR(LOOKUP(Предпосылки!$H$212,$C$13:$C$15,M$13:M$15),1)</f>
        <v>0</v>
      </c>
      <c s="125">
        <f>Предпосылки!M$239*Предпосылки!$O267*Продажи!N32*N$19*(1+Чувствительность!$D$20)*IFERROR(LOOKUP(Предпосылки!$H$212,$C$13:$C$15,N$13:N$15),1)</f>
        <v>0</v>
      </c>
      <c s="125">
        <f>Предпосылки!N$239*Предпосылки!$O267*Продажи!O32*O$19*(1+Чувствительность!$D$20)*IFERROR(LOOKUP(Предпосылки!$H$212,$C$13:$C$15,O$13:O$15),1)</f>
        <v>0</v>
      </c>
      <c s="125">
        <f>Предпосылки!O$239*Предпосылки!$O267*Продажи!P32*P$19*(1+Чувствительность!$D$20)*IFERROR(LOOKUP(Предпосылки!$H$212,$C$13:$C$15,P$13:P$15),1)</f>
        <v>0</v>
      </c>
      <c s="125">
        <f>Предпосылки!P$239*Предпосылки!$O267*Продажи!Q32*Q$19*(1+Чувствительность!$D$20)*IFERROR(LOOKUP(Предпосылки!$H$212,$C$13:$C$15,Q$13:Q$15),1)</f>
        <v>0</v>
      </c>
      <c s="125">
        <f>Предпосылки!Q$239*Предпосылки!$O267*Продажи!R32*R$19*(1+Чувствительность!$D$20)*IFERROR(LOOKUP(Предпосылки!$H$212,$C$13:$C$15,R$13:R$15),1)</f>
        <v>0</v>
      </c>
      <c s="125">
        <f>Предпосылки!R$239*Предпосылки!$O267*Продажи!S32*S$19*(1+Чувствительность!$D$20)*IFERROR(LOOKUP(Предпосылки!$H$212,$C$13:$C$15,S$13:S$15),1)</f>
        <v>0</v>
      </c>
      <c s="125">
        <f>Предпосылки!S$239*Предпосылки!$O267*Продажи!T32*T$19*(1+Чувствительность!$D$20)*IFERROR(LOOKUP(Предпосылки!$H$212,$C$13:$C$15,T$13:T$15),1)</f>
        <v>0</v>
      </c>
      <c s="125">
        <f>Предпосылки!T$239*Предпосылки!$O267*Продажи!U32*U$19*(1+Чувствительность!$D$20)*IFERROR(LOOKUP(Предпосылки!$H$212,$C$13:$C$15,U$13:U$15),1)</f>
        <v>0</v>
      </c>
      <c s="125">
        <f>Предпосылки!U$239*Предпосылки!$O267*Продажи!V32*V$19*(1+Чувствительность!$D$20)*IFERROR(LOOKUP(Предпосылки!$H$212,$C$13:$C$15,V$13:V$15),1)</f>
        <v>0</v>
      </c>
      <c s="125">
        <f>Предпосылки!V$239*Предпосылки!$O267*Продажи!W32*W$19*(1+Чувствительность!$D$20)*IFERROR(LOOKUP(Предпосылки!$H$212,$C$13:$C$15,W$13:W$15),1)</f>
        <v>0</v>
      </c>
      <c s="125">
        <f>Предпосылки!W$239*Предпосылки!$O267*Продажи!X32*X$19*(1+Чувствительность!$D$20)*IFERROR(LOOKUP(Предпосылки!$H$212,$C$13:$C$15,X$13:X$15),1)</f>
        <v>0</v>
      </c>
      <c s="125">
        <f>Предпосылки!X$239*Предпосылки!$O267*Продажи!Y32*Y$19*(1+Чувствительность!$D$20)*IFERROR(LOOKUP(Предпосылки!$H$212,$C$13:$C$15,Y$13:Y$15),1)</f>
        <v>0</v>
      </c>
      <c s="125">
        <f>Предпосылки!Y$239*Предпосылки!$O267*Продажи!Z32*Z$19*(1+Чувствительность!$D$20)*IFERROR(LOOKUP(Предпосылки!$H$212,$C$13:$C$15,Z$13:Z$15),1)</f>
        <v>0</v>
      </c>
      <c s="125">
        <f>Предпосылки!Z$239*Предпосылки!$O267*Продажи!AA32*AA$19*(1+Чувствительность!$D$20)*IFERROR(LOOKUP(Предпосылки!$H$212,$C$13:$C$15,AA$13:AA$15),1)</f>
        <v>0</v>
      </c>
      <c s="125">
        <f>Предпосылки!AA$239*Предпосылки!$O267*Продажи!AB32*AB$19*(1+Чувствительность!$D$20)*IFERROR(LOOKUP(Предпосылки!$H$212,$C$13:$C$15,AB$13:AB$15),1)</f>
        <v>0</v>
      </c>
      <c s="125">
        <f>Предпосылки!AB$239*Предпосылки!$O267*Продажи!AC32*AC$19*(1+Чувствительность!$D$20)*IFERROR(LOOKUP(Предпосылки!$H$212,$C$13:$C$15,AC$13:AC$15),1)</f>
        <v>0</v>
      </c>
      <c s="125">
        <f>Предпосылки!AC$239*Предпосылки!$O267*Продажи!AD32*AD$19*(1+Чувствительность!$D$20)*IFERROR(LOOKUP(Предпосылки!$H$212,$C$13:$C$15,AD$13:AD$15),1)</f>
        <v>0</v>
      </c>
      <c s="125">
        <f>Предпосылки!AD$239*Предпосылки!$O267*Продажи!AE32*AE$19*(1+Чувствительность!$D$20)*IFERROR(LOOKUP(Предпосылки!$H$212,$C$13:$C$15,AE$13:AE$15),1)</f>
        <v>0</v>
      </c>
      <c s="125">
        <f>Предпосылки!AE$239*Предпосылки!$O267*Продажи!AF32*AF$19*(1+Чувствительность!$D$20)*IFERROR(LOOKUP(Предпосылки!$H$212,$C$13:$C$15,AF$13:AF$15),1)</f>
        <v>0</v>
      </c>
      <c s="125">
        <f>Предпосылки!AF$239*Предпосылки!$O267*Продажи!AG32*AG$19*(1+Чувствительность!$D$20)*IFERROR(LOOKUP(Предпосылки!$H$212,$C$13:$C$15,AG$13:AG$15),1)</f>
        <v>0</v>
      </c>
      <c s="125">
        <f>Предпосылки!AG$239*Предпосылки!$O267*Продажи!AH32*AH$19*(1+Чувствительность!$D$20)*IFERROR(LOOKUP(Предпосылки!$H$212,$C$13:$C$15,AH$13:AH$15),1)</f>
        <v>0</v>
      </c>
      <c s="125">
        <f>Предпосылки!AH$239*Предпосылки!$O267*Продажи!AI32*AI$19*(1+Чувствительность!$D$20)*IFERROR(LOOKUP(Предпосылки!$H$212,$C$13:$C$15,AI$13:AI$15),1)</f>
        <v>0</v>
      </c>
      <c s="125">
        <f>Предпосылки!AI$239*Предпосылки!$O267*Продажи!AJ32*AJ$19*(1+Чувствительность!$D$20)*IFERROR(LOOKUP(Предпосылки!$H$212,$C$13:$C$15,AJ$13:AJ$15),1)</f>
        <v>0</v>
      </c>
      <c s="125">
        <f>Предпосылки!AJ$239*Предпосылки!$O267*Продажи!AK32*AK$19*(1+Чувствительность!$D$20)*IFERROR(LOOKUP(Предпосылки!$H$212,$C$13:$C$15,AK$13:AK$15),1)</f>
        <v>0</v>
      </c>
      <c s="125">
        <f>Предпосылки!AK$239*Предпосылки!$O267*Продажи!AL32*AL$19*(1+Чувствительность!$D$20)*IFERROR(LOOKUP(Предпосылки!$H$212,$C$13:$C$15,AL$13:AL$15),1)</f>
        <v>0</v>
      </c>
      <c s="125">
        <f>Предпосылки!AL$239*Предпосылки!$O267*Продажи!AM32*AM$19*(1+Чувствительность!$D$20)*IFERROR(LOOKUP(Предпосылки!$H$212,$C$13:$C$15,AM$13:AM$15),1)</f>
        <v>0</v>
      </c>
      <c s="125">
        <f>Предпосылки!AM$239*Предпосылки!$O267*Продажи!AN32*AN$19*(1+Чувствительность!$D$20)*IFERROR(LOOKUP(Предпосылки!$H$212,$C$13:$C$15,AN$13:AN$15),1)</f>
        <v>0</v>
      </c>
      <c s="125">
        <f>Предпосылки!AN$239*Предпосылки!$O267*Продажи!AO32*AO$19*(1+Чувствительность!$D$20)*IFERROR(LOOKUP(Предпосылки!$H$212,$C$13:$C$15,AO$13:AO$15),1)</f>
        <v>0</v>
      </c>
      <c s="125">
        <f>Предпосылки!AO$239*Предпосылки!$O267*Продажи!AP32*AP$19*(1+Чувствительность!$D$20)*IFERROR(LOOKUP(Предпосылки!$H$212,$C$13:$C$15,AP$13:AP$15),1)</f>
        <v>0</v>
      </c>
      <c s="125">
        <f>Предпосылки!AP$239*Предпосылки!$O267*Продажи!AQ32*AQ$19*(1+Чувствительность!$D$20)*IFERROR(LOOKUP(Предпосылки!$H$212,$C$13:$C$15,AQ$13:AQ$15),1)</f>
        <v>0</v>
      </c>
      <c s="125">
        <f>Предпосылки!AQ$239*Предпосылки!$O267*Продажи!AR32*AR$19*(1+Чувствительность!$D$20)*IFERROR(LOOKUP(Предпосылки!$H$212,$C$13:$C$15,AR$13:AR$15),1)</f>
        <v>0</v>
      </c>
      <c s="125">
        <f>Предпосылки!AR$239*Предпосылки!$O267*Продажи!AS32*AS$19*(1+Чувствительность!$D$20)*IFERROR(LOOKUP(Предпосылки!$H$212,$C$13:$C$15,AS$13:AS$15),1)</f>
        <v>0</v>
      </c>
      <c s="125">
        <f>Предпосылки!AS$239*Предпосылки!$O267*Продажи!AT32*AT$19*(1+Чувствительность!$D$20)*IFERROR(LOOKUP(Предпосылки!$H$212,$C$13:$C$15,AT$13:AT$15),1)</f>
        <v>0</v>
      </c>
      <c s="125">
        <f>Предпосылки!AT$239*Предпосылки!$O267*Продажи!AU32*AU$19*(1+Чувствительность!$D$20)*IFERROR(LOOKUP(Предпосылки!$H$212,$C$13:$C$15,AU$13:AU$15),1)</f>
        <v>0</v>
      </c>
      <c s="125">
        <f>Предпосылки!AU$239*Предпосылки!$O267*Продажи!AV32*AV$19*(1+Чувствительность!$D$20)*IFERROR(LOOKUP(Предпосылки!$H$212,$C$13:$C$15,AV$13:AV$15),1)</f>
        <v>0</v>
      </c>
      <c s="125">
        <f>Предпосылки!AV$239*Предпосылки!$O267*Продажи!AW32*AW$19*(1+Чувствительность!$D$20)*IFERROR(LOOKUP(Предпосылки!$H$212,$C$13:$C$15,AW$13:AW$15),1)</f>
        <v>0</v>
      </c>
      <c s="125">
        <f>Предпосылки!AW$239*Предпосылки!$O267*Продажи!AX32*AX$19*(1+Чувствительность!$D$20)*IFERROR(LOOKUP(Предпосылки!$H$212,$C$13:$C$15,AX$13:AX$15),1)</f>
        <v>0</v>
      </c>
      <c s="125">
        <f>Предпосылки!AX$239*Предпосылки!$O267*Продажи!AY32*AY$19*(1+Чувствительность!$D$20)*IFERROR(LOOKUP(Предпосылки!$H$212,$C$13:$C$15,AY$13:AY$15),1)</f>
        <v>0</v>
      </c>
      <c s="125">
        <f>Предпосылки!AY$239*Предпосылки!$O267*Продажи!AZ32*AZ$19*(1+Чувствительность!$D$20)*IFERROR(LOOKUP(Предпосылки!$H$212,$C$13:$C$15,AZ$13:AZ$15),1)</f>
        <v>0</v>
      </c>
      <c s="125">
        <f>Предпосылки!AZ$239*Предпосылки!$O267*Продажи!BA32*BA$19*(1+Чувствительность!$D$20)*IFERROR(LOOKUP(Предпосылки!$H$212,$C$13:$C$15,BA$13:BA$15),1)</f>
        <v>0</v>
      </c>
      <c s="125">
        <f>Предпосылки!BA$239*Предпосылки!$O267*Продажи!BB32*BB$19*(1+Чувствительность!$D$20)*IFERROR(LOOKUP(Предпосылки!$H$212,$C$13:$C$15,BB$13:BB$15),1)</f>
        <v>0</v>
      </c>
      <c s="125">
        <f>Предпосылки!BB$239*Предпосылки!$O267*Продажи!BC32*BC$19*(1+Чувствительность!$D$20)*IFERROR(LOOKUP(Предпосылки!$H$212,$C$13:$C$15,BC$13:BC$15),1)</f>
        <v>0</v>
      </c>
      <c s="125">
        <f>Предпосылки!BC$239*Предпосылки!$O267*Продажи!BD32*BD$19*(1+Чувствительность!$D$20)*IFERROR(LOOKUP(Предпосылки!$H$212,$C$13:$C$15,BD$13:BD$15),1)</f>
        <v>0</v>
      </c>
      <c s="125">
        <f>Предпосылки!BD$239*Предпосылки!$O267*Продажи!BE32*BE$19*(1+Чувствительность!$D$20)*IFERROR(LOOKUP(Предпосылки!$H$212,$C$13:$C$15,BE$13:BE$15),1)</f>
        <v>0</v>
      </c>
      <c s="125">
        <f>Предпосылки!BE$239*Предпосылки!$O267*Продажи!BF32*BF$19*(1+Чувствительность!$D$20)*IFERROR(LOOKUP(Предпосылки!$H$212,$C$13:$C$15,BF$13:BF$15),1)</f>
        <v>0</v>
      </c>
      <c s="125">
        <f>Предпосылки!BF$239*Предпосылки!$O267*Продажи!BG32*BG$19*(1+Чувствительность!$D$20)*IFERROR(LOOKUP(Предпосылки!$H$212,$C$13:$C$15,BG$13:BG$15),1)</f>
        <v>0</v>
      </c>
      <c s="125">
        <f>Предпосылки!BG$239*Предпосылки!$O267*Продажи!BH32*BH$19*(1+Чувствительность!$D$20)*IFERROR(LOOKUP(Предпосылки!$H$212,$C$13:$C$15,BH$13:BH$15),1)</f>
        <v>0</v>
      </c>
      <c s="125">
        <f>Предпосылки!BH$239*Предпосылки!$O267*Продажи!BI32*BI$19*(1+Чувствительность!$D$20)*IFERROR(LOOKUP(Предпосылки!$H$212,$C$13:$C$15,BI$13:BI$15),1)</f>
        <v>0</v>
      </c>
      <c s="125">
        <f>Предпосылки!BI$239*Предпосылки!$O267*Продажи!BJ32*BJ$19*(1+Чувствительность!$D$20)*IFERROR(LOOKUP(Предпосылки!$H$212,$C$13:$C$15,BJ$13:BJ$15),1)</f>
        <v>0</v>
      </c>
      <c s="125">
        <f>Предпосылки!BJ$239*Предпосылки!$O267*Продажи!BK32*BK$19*(1+Чувствительность!$D$20)*IFERROR(LOOKUP(Предпосылки!$H$212,$C$13:$C$15,BK$13:BK$15),1)</f>
        <v>0</v>
      </c>
      <c s="125">
        <f>Предпосылки!BK$239*Предпосылки!$O267*Продажи!BL32*BL$19*(1+Чувствительность!$D$20)*IFERROR(LOOKUP(Предпосылки!$H$212,$C$13:$C$15,BL$13:BL$15),1)</f>
        <v>0</v>
      </c>
      <c s="125">
        <f>Предпосылки!BL$239*Предпосылки!$O267*Продажи!BM32*BM$19*(1+Чувствительность!$D$20)*IFERROR(LOOKUP(Предпосылки!$H$212,$C$13:$C$15,BM$13:BM$15),1)</f>
        <v>0</v>
      </c>
    </row>
    <row r="291" spans="2:65" ht="15" customHeight="1">
      <c r="B291" s="12" t="str">
        <f t="shared" si="116"/>
        <v>Продукт 16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Предпосылки!D$239*Предпосылки!$O268*Продажи!E33*E$19*(1+Чувствительность!$D$20)*IFERROR(LOOKUP(Предпосылки!$H$212,$C$13:$C$15,E$13:E$15),1)</f>
        <v>0</v>
      </c>
      <c s="125">
        <f>Предпосылки!E$239*Предпосылки!$O268*Продажи!F33*F$19*(1+Чувствительность!$D$20)*IFERROR(LOOKUP(Предпосылки!$H$212,$C$13:$C$15,F$13:F$15),1)</f>
        <v>0</v>
      </c>
      <c s="125">
        <f>Предпосылки!F$239*Предпосылки!$O268*Продажи!G33*G$19*(1+Чувствительность!$D$20)*IFERROR(LOOKUP(Предпосылки!$H$212,$C$13:$C$15,G$13:G$15),1)</f>
        <v>0</v>
      </c>
      <c s="125">
        <f>Предпосылки!G$239*Предпосылки!$O268*Продажи!H33*H$19*(1+Чувствительность!$D$20)*IFERROR(LOOKUP(Предпосылки!$H$212,$C$13:$C$15,H$13:H$15),1)</f>
        <v>0</v>
      </c>
      <c s="125">
        <f>Предпосылки!H$239*Предпосылки!$O268*Продажи!I33*I$19*(1+Чувствительность!$D$20)*IFERROR(LOOKUP(Предпосылки!$H$212,$C$13:$C$15,I$13:I$15),1)</f>
        <v>0</v>
      </c>
      <c s="125">
        <f>Предпосылки!I$239*Предпосылки!$O268*Продажи!J33*J$19*(1+Чувствительность!$D$20)*IFERROR(LOOKUP(Предпосылки!$H$212,$C$13:$C$15,J$13:J$15),1)</f>
        <v>0</v>
      </c>
      <c s="125">
        <f>Предпосылки!J$239*Предпосылки!$O268*Продажи!K33*K$19*(1+Чувствительность!$D$20)*IFERROR(LOOKUP(Предпосылки!$H$212,$C$13:$C$15,K$13:K$15),1)</f>
        <v>0</v>
      </c>
      <c s="125">
        <f>Предпосылки!K$239*Предпосылки!$O268*Продажи!L33*L$19*(1+Чувствительность!$D$20)*IFERROR(LOOKUP(Предпосылки!$H$212,$C$13:$C$15,L$13:L$15),1)</f>
        <v>0</v>
      </c>
      <c s="125">
        <f>Предпосылки!L$239*Предпосылки!$O268*Продажи!M33*M$19*(1+Чувствительность!$D$20)*IFERROR(LOOKUP(Предпосылки!$H$212,$C$13:$C$15,M$13:M$15),1)</f>
        <v>0</v>
      </c>
      <c s="125">
        <f>Предпосылки!M$239*Предпосылки!$O268*Продажи!N33*N$19*(1+Чувствительность!$D$20)*IFERROR(LOOKUP(Предпосылки!$H$212,$C$13:$C$15,N$13:N$15),1)</f>
        <v>0</v>
      </c>
      <c s="125">
        <f>Предпосылки!N$239*Предпосылки!$O268*Продажи!O33*O$19*(1+Чувствительность!$D$20)*IFERROR(LOOKUP(Предпосылки!$H$212,$C$13:$C$15,O$13:O$15),1)</f>
        <v>0</v>
      </c>
      <c s="125">
        <f>Предпосылки!O$239*Предпосылки!$O268*Продажи!P33*P$19*(1+Чувствительность!$D$20)*IFERROR(LOOKUP(Предпосылки!$H$212,$C$13:$C$15,P$13:P$15),1)</f>
        <v>0</v>
      </c>
      <c s="125">
        <f>Предпосылки!P$239*Предпосылки!$O268*Продажи!Q33*Q$19*(1+Чувствительность!$D$20)*IFERROR(LOOKUP(Предпосылки!$H$212,$C$13:$C$15,Q$13:Q$15),1)</f>
        <v>0</v>
      </c>
      <c s="125">
        <f>Предпосылки!Q$239*Предпосылки!$O268*Продажи!R33*R$19*(1+Чувствительность!$D$20)*IFERROR(LOOKUP(Предпосылки!$H$212,$C$13:$C$15,R$13:R$15),1)</f>
        <v>0</v>
      </c>
      <c s="125">
        <f>Предпосылки!R$239*Предпосылки!$O268*Продажи!S33*S$19*(1+Чувствительность!$D$20)*IFERROR(LOOKUP(Предпосылки!$H$212,$C$13:$C$15,S$13:S$15),1)</f>
        <v>0</v>
      </c>
      <c s="125">
        <f>Предпосылки!S$239*Предпосылки!$O268*Продажи!T33*T$19*(1+Чувствительность!$D$20)*IFERROR(LOOKUP(Предпосылки!$H$212,$C$13:$C$15,T$13:T$15),1)</f>
        <v>0</v>
      </c>
      <c s="125">
        <f>Предпосылки!T$239*Предпосылки!$O268*Продажи!U33*U$19*(1+Чувствительность!$D$20)*IFERROR(LOOKUP(Предпосылки!$H$212,$C$13:$C$15,U$13:U$15),1)</f>
        <v>0</v>
      </c>
      <c s="125">
        <f>Предпосылки!U$239*Предпосылки!$O268*Продажи!V33*V$19*(1+Чувствительность!$D$20)*IFERROR(LOOKUP(Предпосылки!$H$212,$C$13:$C$15,V$13:V$15),1)</f>
        <v>0</v>
      </c>
      <c s="125">
        <f>Предпосылки!V$239*Предпосылки!$O268*Продажи!W33*W$19*(1+Чувствительность!$D$20)*IFERROR(LOOKUP(Предпосылки!$H$212,$C$13:$C$15,W$13:W$15),1)</f>
        <v>0</v>
      </c>
      <c s="125">
        <f>Предпосылки!W$239*Предпосылки!$O268*Продажи!X33*X$19*(1+Чувствительность!$D$20)*IFERROR(LOOKUP(Предпосылки!$H$212,$C$13:$C$15,X$13:X$15),1)</f>
        <v>0</v>
      </c>
      <c s="125">
        <f>Предпосылки!X$239*Предпосылки!$O268*Продажи!Y33*Y$19*(1+Чувствительность!$D$20)*IFERROR(LOOKUP(Предпосылки!$H$212,$C$13:$C$15,Y$13:Y$15),1)</f>
        <v>0</v>
      </c>
      <c s="125">
        <f>Предпосылки!Y$239*Предпосылки!$O268*Продажи!Z33*Z$19*(1+Чувствительность!$D$20)*IFERROR(LOOKUP(Предпосылки!$H$212,$C$13:$C$15,Z$13:Z$15),1)</f>
        <v>0</v>
      </c>
      <c s="125">
        <f>Предпосылки!Z$239*Предпосылки!$O268*Продажи!AA33*AA$19*(1+Чувствительность!$D$20)*IFERROR(LOOKUP(Предпосылки!$H$212,$C$13:$C$15,AA$13:AA$15),1)</f>
        <v>0</v>
      </c>
      <c s="125">
        <f>Предпосылки!AA$239*Предпосылки!$O268*Продажи!AB33*AB$19*(1+Чувствительность!$D$20)*IFERROR(LOOKUP(Предпосылки!$H$212,$C$13:$C$15,AB$13:AB$15),1)</f>
        <v>0</v>
      </c>
      <c s="125">
        <f>Предпосылки!AB$239*Предпосылки!$O268*Продажи!AC33*AC$19*(1+Чувствительность!$D$20)*IFERROR(LOOKUP(Предпосылки!$H$212,$C$13:$C$15,AC$13:AC$15),1)</f>
        <v>0</v>
      </c>
      <c s="125">
        <f>Предпосылки!AC$239*Предпосылки!$O268*Продажи!AD33*AD$19*(1+Чувствительность!$D$20)*IFERROR(LOOKUP(Предпосылки!$H$212,$C$13:$C$15,AD$13:AD$15),1)</f>
        <v>0</v>
      </c>
      <c s="125">
        <f>Предпосылки!AD$239*Предпосылки!$O268*Продажи!AE33*AE$19*(1+Чувствительность!$D$20)*IFERROR(LOOKUP(Предпосылки!$H$212,$C$13:$C$15,AE$13:AE$15),1)</f>
        <v>0</v>
      </c>
      <c s="125">
        <f>Предпосылки!AE$239*Предпосылки!$O268*Продажи!AF33*AF$19*(1+Чувствительность!$D$20)*IFERROR(LOOKUP(Предпосылки!$H$212,$C$13:$C$15,AF$13:AF$15),1)</f>
        <v>0</v>
      </c>
      <c s="125">
        <f>Предпосылки!AF$239*Предпосылки!$O268*Продажи!AG33*AG$19*(1+Чувствительность!$D$20)*IFERROR(LOOKUP(Предпосылки!$H$212,$C$13:$C$15,AG$13:AG$15),1)</f>
        <v>0</v>
      </c>
      <c s="125">
        <f>Предпосылки!AG$239*Предпосылки!$O268*Продажи!AH33*AH$19*(1+Чувствительность!$D$20)*IFERROR(LOOKUP(Предпосылки!$H$212,$C$13:$C$15,AH$13:AH$15),1)</f>
        <v>0</v>
      </c>
      <c s="125">
        <f>Предпосылки!AH$239*Предпосылки!$O268*Продажи!AI33*AI$19*(1+Чувствительность!$D$20)*IFERROR(LOOKUP(Предпосылки!$H$212,$C$13:$C$15,AI$13:AI$15),1)</f>
        <v>0</v>
      </c>
      <c s="125">
        <f>Предпосылки!AI$239*Предпосылки!$O268*Продажи!AJ33*AJ$19*(1+Чувствительность!$D$20)*IFERROR(LOOKUP(Предпосылки!$H$212,$C$13:$C$15,AJ$13:AJ$15),1)</f>
        <v>0</v>
      </c>
      <c s="125">
        <f>Предпосылки!AJ$239*Предпосылки!$O268*Продажи!AK33*AK$19*(1+Чувствительность!$D$20)*IFERROR(LOOKUP(Предпосылки!$H$212,$C$13:$C$15,AK$13:AK$15),1)</f>
        <v>0</v>
      </c>
      <c s="125">
        <f>Предпосылки!AK$239*Предпосылки!$O268*Продажи!AL33*AL$19*(1+Чувствительность!$D$20)*IFERROR(LOOKUP(Предпосылки!$H$212,$C$13:$C$15,AL$13:AL$15),1)</f>
        <v>0</v>
      </c>
      <c s="125">
        <f>Предпосылки!AL$239*Предпосылки!$O268*Продажи!AM33*AM$19*(1+Чувствительность!$D$20)*IFERROR(LOOKUP(Предпосылки!$H$212,$C$13:$C$15,AM$13:AM$15),1)</f>
        <v>0</v>
      </c>
      <c s="125">
        <f>Предпосылки!AM$239*Предпосылки!$O268*Продажи!AN33*AN$19*(1+Чувствительность!$D$20)*IFERROR(LOOKUP(Предпосылки!$H$212,$C$13:$C$15,AN$13:AN$15),1)</f>
        <v>0</v>
      </c>
      <c s="125">
        <f>Предпосылки!AN$239*Предпосылки!$O268*Продажи!AO33*AO$19*(1+Чувствительность!$D$20)*IFERROR(LOOKUP(Предпосылки!$H$212,$C$13:$C$15,AO$13:AO$15),1)</f>
        <v>0</v>
      </c>
      <c s="125">
        <f>Предпосылки!AO$239*Предпосылки!$O268*Продажи!AP33*AP$19*(1+Чувствительность!$D$20)*IFERROR(LOOKUP(Предпосылки!$H$212,$C$13:$C$15,AP$13:AP$15),1)</f>
        <v>0</v>
      </c>
      <c s="125">
        <f>Предпосылки!AP$239*Предпосылки!$O268*Продажи!AQ33*AQ$19*(1+Чувствительность!$D$20)*IFERROR(LOOKUP(Предпосылки!$H$212,$C$13:$C$15,AQ$13:AQ$15),1)</f>
        <v>0</v>
      </c>
      <c s="125">
        <f>Предпосылки!AQ$239*Предпосылки!$O268*Продажи!AR33*AR$19*(1+Чувствительность!$D$20)*IFERROR(LOOKUP(Предпосылки!$H$212,$C$13:$C$15,AR$13:AR$15),1)</f>
        <v>0</v>
      </c>
      <c s="125">
        <f>Предпосылки!AR$239*Предпосылки!$O268*Продажи!AS33*AS$19*(1+Чувствительность!$D$20)*IFERROR(LOOKUP(Предпосылки!$H$212,$C$13:$C$15,AS$13:AS$15),1)</f>
        <v>0</v>
      </c>
      <c s="125">
        <f>Предпосылки!AS$239*Предпосылки!$O268*Продажи!AT33*AT$19*(1+Чувствительность!$D$20)*IFERROR(LOOKUP(Предпосылки!$H$212,$C$13:$C$15,AT$13:AT$15),1)</f>
        <v>0</v>
      </c>
      <c s="125">
        <f>Предпосылки!AT$239*Предпосылки!$O268*Продажи!AU33*AU$19*(1+Чувствительность!$D$20)*IFERROR(LOOKUP(Предпосылки!$H$212,$C$13:$C$15,AU$13:AU$15),1)</f>
        <v>0</v>
      </c>
      <c s="125">
        <f>Предпосылки!AU$239*Предпосылки!$O268*Продажи!AV33*AV$19*(1+Чувствительность!$D$20)*IFERROR(LOOKUP(Предпосылки!$H$212,$C$13:$C$15,AV$13:AV$15),1)</f>
        <v>0</v>
      </c>
      <c s="125">
        <f>Предпосылки!AV$239*Предпосылки!$O268*Продажи!AW33*AW$19*(1+Чувствительность!$D$20)*IFERROR(LOOKUP(Предпосылки!$H$212,$C$13:$C$15,AW$13:AW$15),1)</f>
        <v>0</v>
      </c>
      <c s="125">
        <f>Предпосылки!AW$239*Предпосылки!$O268*Продажи!AX33*AX$19*(1+Чувствительность!$D$20)*IFERROR(LOOKUP(Предпосылки!$H$212,$C$13:$C$15,AX$13:AX$15),1)</f>
        <v>0</v>
      </c>
      <c s="125">
        <f>Предпосылки!AX$239*Предпосылки!$O268*Продажи!AY33*AY$19*(1+Чувствительность!$D$20)*IFERROR(LOOKUP(Предпосылки!$H$212,$C$13:$C$15,AY$13:AY$15),1)</f>
        <v>0</v>
      </c>
      <c s="125">
        <f>Предпосылки!AY$239*Предпосылки!$O268*Продажи!AZ33*AZ$19*(1+Чувствительность!$D$20)*IFERROR(LOOKUP(Предпосылки!$H$212,$C$13:$C$15,AZ$13:AZ$15),1)</f>
        <v>0</v>
      </c>
      <c s="125">
        <f>Предпосылки!AZ$239*Предпосылки!$O268*Продажи!BA33*BA$19*(1+Чувствительность!$D$20)*IFERROR(LOOKUP(Предпосылки!$H$212,$C$13:$C$15,BA$13:BA$15),1)</f>
        <v>0</v>
      </c>
      <c s="125">
        <f>Предпосылки!BA$239*Предпосылки!$O268*Продажи!BB33*BB$19*(1+Чувствительность!$D$20)*IFERROR(LOOKUP(Предпосылки!$H$212,$C$13:$C$15,BB$13:BB$15),1)</f>
        <v>0</v>
      </c>
      <c s="125">
        <f>Предпосылки!BB$239*Предпосылки!$O268*Продажи!BC33*BC$19*(1+Чувствительность!$D$20)*IFERROR(LOOKUP(Предпосылки!$H$212,$C$13:$C$15,BC$13:BC$15),1)</f>
        <v>0</v>
      </c>
      <c s="125">
        <f>Предпосылки!BC$239*Предпосылки!$O268*Продажи!BD33*BD$19*(1+Чувствительность!$D$20)*IFERROR(LOOKUP(Предпосылки!$H$212,$C$13:$C$15,BD$13:BD$15),1)</f>
        <v>0</v>
      </c>
      <c s="125">
        <f>Предпосылки!BD$239*Предпосылки!$O268*Продажи!BE33*BE$19*(1+Чувствительность!$D$20)*IFERROR(LOOKUP(Предпосылки!$H$212,$C$13:$C$15,BE$13:BE$15),1)</f>
        <v>0</v>
      </c>
      <c s="125">
        <f>Предпосылки!BE$239*Предпосылки!$O268*Продажи!BF33*BF$19*(1+Чувствительность!$D$20)*IFERROR(LOOKUP(Предпосылки!$H$212,$C$13:$C$15,BF$13:BF$15),1)</f>
        <v>0</v>
      </c>
      <c s="125">
        <f>Предпосылки!BF$239*Предпосылки!$O268*Продажи!BG33*BG$19*(1+Чувствительность!$D$20)*IFERROR(LOOKUP(Предпосылки!$H$212,$C$13:$C$15,BG$13:BG$15),1)</f>
        <v>0</v>
      </c>
      <c s="125">
        <f>Предпосылки!BG$239*Предпосылки!$O268*Продажи!BH33*BH$19*(1+Чувствительность!$D$20)*IFERROR(LOOKUP(Предпосылки!$H$212,$C$13:$C$15,BH$13:BH$15),1)</f>
        <v>0</v>
      </c>
      <c s="125">
        <f>Предпосылки!BH$239*Предпосылки!$O268*Продажи!BI33*BI$19*(1+Чувствительность!$D$20)*IFERROR(LOOKUP(Предпосылки!$H$212,$C$13:$C$15,BI$13:BI$15),1)</f>
        <v>0</v>
      </c>
      <c s="125">
        <f>Предпосылки!BI$239*Предпосылки!$O268*Продажи!BJ33*BJ$19*(1+Чувствительность!$D$20)*IFERROR(LOOKUP(Предпосылки!$H$212,$C$13:$C$15,BJ$13:BJ$15),1)</f>
        <v>0</v>
      </c>
      <c s="125">
        <f>Предпосылки!BJ$239*Предпосылки!$O268*Продажи!BK33*BK$19*(1+Чувствительность!$D$20)*IFERROR(LOOKUP(Предпосылки!$H$212,$C$13:$C$15,BK$13:BK$15),1)</f>
        <v>0</v>
      </c>
      <c s="125">
        <f>Предпосылки!BK$239*Предпосылки!$O268*Продажи!BL33*BL$19*(1+Чувствительность!$D$20)*IFERROR(LOOKUP(Предпосылки!$H$212,$C$13:$C$15,BL$13:BL$15),1)</f>
        <v>0</v>
      </c>
      <c s="125">
        <f>Предпосылки!BL$239*Предпосылки!$O268*Продажи!BM33*BM$19*(1+Чувствительность!$D$20)*IFERROR(LOOKUP(Предпосылки!$H$212,$C$13:$C$15,BM$13:BM$15),1)</f>
        <v>0</v>
      </c>
    </row>
    <row r="292" spans="2:65" ht="15" customHeight="1">
      <c r="B292" s="12" t="str">
        <f t="shared" si="116"/>
        <v>Продукт 17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Предпосылки!D$239*Предпосылки!$O269*Продажи!E34*E$19*(1+Чувствительность!$D$20)*IFERROR(LOOKUP(Предпосылки!$H$212,$C$13:$C$15,E$13:E$15),1)</f>
        <v>0</v>
      </c>
      <c s="125">
        <f>Предпосылки!E$239*Предпосылки!$O269*Продажи!F34*F$19*(1+Чувствительность!$D$20)*IFERROR(LOOKUP(Предпосылки!$H$212,$C$13:$C$15,F$13:F$15),1)</f>
        <v>0</v>
      </c>
      <c s="125">
        <f>Предпосылки!F$239*Предпосылки!$O269*Продажи!G34*G$19*(1+Чувствительность!$D$20)*IFERROR(LOOKUP(Предпосылки!$H$212,$C$13:$C$15,G$13:G$15),1)</f>
        <v>0</v>
      </c>
      <c s="125">
        <f>Предпосылки!G$239*Предпосылки!$O269*Продажи!H34*H$19*(1+Чувствительность!$D$20)*IFERROR(LOOKUP(Предпосылки!$H$212,$C$13:$C$15,H$13:H$15),1)</f>
        <v>0</v>
      </c>
      <c s="125">
        <f>Предпосылки!H$239*Предпосылки!$O269*Продажи!I34*I$19*(1+Чувствительность!$D$20)*IFERROR(LOOKUP(Предпосылки!$H$212,$C$13:$C$15,I$13:I$15),1)</f>
        <v>0</v>
      </c>
      <c s="125">
        <f>Предпосылки!I$239*Предпосылки!$O269*Продажи!J34*J$19*(1+Чувствительность!$D$20)*IFERROR(LOOKUP(Предпосылки!$H$212,$C$13:$C$15,J$13:J$15),1)</f>
        <v>0</v>
      </c>
      <c s="125">
        <f>Предпосылки!J$239*Предпосылки!$O269*Продажи!K34*K$19*(1+Чувствительность!$D$20)*IFERROR(LOOKUP(Предпосылки!$H$212,$C$13:$C$15,K$13:K$15),1)</f>
        <v>0</v>
      </c>
      <c s="125">
        <f>Предпосылки!K$239*Предпосылки!$O269*Продажи!L34*L$19*(1+Чувствительность!$D$20)*IFERROR(LOOKUP(Предпосылки!$H$212,$C$13:$C$15,L$13:L$15),1)</f>
        <v>0</v>
      </c>
      <c s="125">
        <f>Предпосылки!L$239*Предпосылки!$O269*Продажи!M34*M$19*(1+Чувствительность!$D$20)*IFERROR(LOOKUP(Предпосылки!$H$212,$C$13:$C$15,M$13:M$15),1)</f>
        <v>0</v>
      </c>
      <c s="125">
        <f>Предпосылки!M$239*Предпосылки!$O269*Продажи!N34*N$19*(1+Чувствительность!$D$20)*IFERROR(LOOKUP(Предпосылки!$H$212,$C$13:$C$15,N$13:N$15),1)</f>
        <v>0</v>
      </c>
      <c s="125">
        <f>Предпосылки!N$239*Предпосылки!$O269*Продажи!O34*O$19*(1+Чувствительность!$D$20)*IFERROR(LOOKUP(Предпосылки!$H$212,$C$13:$C$15,O$13:O$15),1)</f>
        <v>0</v>
      </c>
      <c s="125">
        <f>Предпосылки!O$239*Предпосылки!$O269*Продажи!P34*P$19*(1+Чувствительность!$D$20)*IFERROR(LOOKUP(Предпосылки!$H$212,$C$13:$C$15,P$13:P$15),1)</f>
        <v>0</v>
      </c>
      <c s="125">
        <f>Предпосылки!P$239*Предпосылки!$O269*Продажи!Q34*Q$19*(1+Чувствительность!$D$20)*IFERROR(LOOKUP(Предпосылки!$H$212,$C$13:$C$15,Q$13:Q$15),1)</f>
        <v>0</v>
      </c>
      <c s="125">
        <f>Предпосылки!Q$239*Предпосылки!$O269*Продажи!R34*R$19*(1+Чувствительность!$D$20)*IFERROR(LOOKUP(Предпосылки!$H$212,$C$13:$C$15,R$13:R$15),1)</f>
        <v>0</v>
      </c>
      <c s="125">
        <f>Предпосылки!R$239*Предпосылки!$O269*Продажи!S34*S$19*(1+Чувствительность!$D$20)*IFERROR(LOOKUP(Предпосылки!$H$212,$C$13:$C$15,S$13:S$15),1)</f>
        <v>0</v>
      </c>
      <c s="125">
        <f>Предпосылки!S$239*Предпосылки!$O269*Продажи!T34*T$19*(1+Чувствительность!$D$20)*IFERROR(LOOKUP(Предпосылки!$H$212,$C$13:$C$15,T$13:T$15),1)</f>
        <v>0</v>
      </c>
      <c s="125">
        <f>Предпосылки!T$239*Предпосылки!$O269*Продажи!U34*U$19*(1+Чувствительность!$D$20)*IFERROR(LOOKUP(Предпосылки!$H$212,$C$13:$C$15,U$13:U$15),1)</f>
        <v>0</v>
      </c>
      <c s="125">
        <f>Предпосылки!U$239*Предпосылки!$O269*Продажи!V34*V$19*(1+Чувствительность!$D$20)*IFERROR(LOOKUP(Предпосылки!$H$212,$C$13:$C$15,V$13:V$15),1)</f>
        <v>0</v>
      </c>
      <c s="125">
        <f>Предпосылки!V$239*Предпосылки!$O269*Продажи!W34*W$19*(1+Чувствительность!$D$20)*IFERROR(LOOKUP(Предпосылки!$H$212,$C$13:$C$15,W$13:W$15),1)</f>
        <v>0</v>
      </c>
      <c s="125">
        <f>Предпосылки!W$239*Предпосылки!$O269*Продажи!X34*X$19*(1+Чувствительность!$D$20)*IFERROR(LOOKUP(Предпосылки!$H$212,$C$13:$C$15,X$13:X$15),1)</f>
        <v>0</v>
      </c>
      <c s="125">
        <f>Предпосылки!X$239*Предпосылки!$O269*Продажи!Y34*Y$19*(1+Чувствительность!$D$20)*IFERROR(LOOKUP(Предпосылки!$H$212,$C$13:$C$15,Y$13:Y$15),1)</f>
        <v>0</v>
      </c>
      <c s="125">
        <f>Предпосылки!Y$239*Предпосылки!$O269*Продажи!Z34*Z$19*(1+Чувствительность!$D$20)*IFERROR(LOOKUP(Предпосылки!$H$212,$C$13:$C$15,Z$13:Z$15),1)</f>
        <v>0</v>
      </c>
      <c s="125">
        <f>Предпосылки!Z$239*Предпосылки!$O269*Продажи!AA34*AA$19*(1+Чувствительность!$D$20)*IFERROR(LOOKUP(Предпосылки!$H$212,$C$13:$C$15,AA$13:AA$15),1)</f>
        <v>0</v>
      </c>
      <c s="125">
        <f>Предпосылки!AA$239*Предпосылки!$O269*Продажи!AB34*AB$19*(1+Чувствительность!$D$20)*IFERROR(LOOKUP(Предпосылки!$H$212,$C$13:$C$15,AB$13:AB$15),1)</f>
        <v>0</v>
      </c>
      <c s="125">
        <f>Предпосылки!AB$239*Предпосылки!$O269*Продажи!AC34*AC$19*(1+Чувствительность!$D$20)*IFERROR(LOOKUP(Предпосылки!$H$212,$C$13:$C$15,AC$13:AC$15),1)</f>
        <v>0</v>
      </c>
      <c s="125">
        <f>Предпосылки!AC$239*Предпосылки!$O269*Продажи!AD34*AD$19*(1+Чувствительность!$D$20)*IFERROR(LOOKUP(Предпосылки!$H$212,$C$13:$C$15,AD$13:AD$15),1)</f>
        <v>0</v>
      </c>
      <c s="125">
        <f>Предпосылки!AD$239*Предпосылки!$O269*Продажи!AE34*AE$19*(1+Чувствительность!$D$20)*IFERROR(LOOKUP(Предпосылки!$H$212,$C$13:$C$15,AE$13:AE$15),1)</f>
        <v>0</v>
      </c>
      <c s="125">
        <f>Предпосылки!AE$239*Предпосылки!$O269*Продажи!AF34*AF$19*(1+Чувствительность!$D$20)*IFERROR(LOOKUP(Предпосылки!$H$212,$C$13:$C$15,AF$13:AF$15),1)</f>
        <v>0</v>
      </c>
      <c s="125">
        <f>Предпосылки!AF$239*Предпосылки!$O269*Продажи!AG34*AG$19*(1+Чувствительность!$D$20)*IFERROR(LOOKUP(Предпосылки!$H$212,$C$13:$C$15,AG$13:AG$15),1)</f>
        <v>0</v>
      </c>
      <c s="125">
        <f>Предпосылки!AG$239*Предпосылки!$O269*Продажи!AH34*AH$19*(1+Чувствительность!$D$20)*IFERROR(LOOKUP(Предпосылки!$H$212,$C$13:$C$15,AH$13:AH$15),1)</f>
        <v>0</v>
      </c>
      <c s="125">
        <f>Предпосылки!AH$239*Предпосылки!$O269*Продажи!AI34*AI$19*(1+Чувствительность!$D$20)*IFERROR(LOOKUP(Предпосылки!$H$212,$C$13:$C$15,AI$13:AI$15),1)</f>
        <v>0</v>
      </c>
      <c s="125">
        <f>Предпосылки!AI$239*Предпосылки!$O269*Продажи!AJ34*AJ$19*(1+Чувствительность!$D$20)*IFERROR(LOOKUP(Предпосылки!$H$212,$C$13:$C$15,AJ$13:AJ$15),1)</f>
        <v>0</v>
      </c>
      <c s="125">
        <f>Предпосылки!AJ$239*Предпосылки!$O269*Продажи!AK34*AK$19*(1+Чувствительность!$D$20)*IFERROR(LOOKUP(Предпосылки!$H$212,$C$13:$C$15,AK$13:AK$15),1)</f>
        <v>0</v>
      </c>
      <c s="125">
        <f>Предпосылки!AK$239*Предпосылки!$O269*Продажи!AL34*AL$19*(1+Чувствительность!$D$20)*IFERROR(LOOKUP(Предпосылки!$H$212,$C$13:$C$15,AL$13:AL$15),1)</f>
        <v>0</v>
      </c>
      <c s="125">
        <f>Предпосылки!AL$239*Предпосылки!$O269*Продажи!AM34*AM$19*(1+Чувствительность!$D$20)*IFERROR(LOOKUP(Предпосылки!$H$212,$C$13:$C$15,AM$13:AM$15),1)</f>
        <v>0</v>
      </c>
      <c s="125">
        <f>Предпосылки!AM$239*Предпосылки!$O269*Продажи!AN34*AN$19*(1+Чувствительность!$D$20)*IFERROR(LOOKUP(Предпосылки!$H$212,$C$13:$C$15,AN$13:AN$15),1)</f>
        <v>0</v>
      </c>
      <c s="125">
        <f>Предпосылки!AN$239*Предпосылки!$O269*Продажи!AO34*AO$19*(1+Чувствительность!$D$20)*IFERROR(LOOKUP(Предпосылки!$H$212,$C$13:$C$15,AO$13:AO$15),1)</f>
        <v>0</v>
      </c>
      <c s="125">
        <f>Предпосылки!AO$239*Предпосылки!$O269*Продажи!AP34*AP$19*(1+Чувствительность!$D$20)*IFERROR(LOOKUP(Предпосылки!$H$212,$C$13:$C$15,AP$13:AP$15),1)</f>
        <v>0</v>
      </c>
      <c s="125">
        <f>Предпосылки!AP$239*Предпосылки!$O269*Продажи!AQ34*AQ$19*(1+Чувствительность!$D$20)*IFERROR(LOOKUP(Предпосылки!$H$212,$C$13:$C$15,AQ$13:AQ$15),1)</f>
        <v>0</v>
      </c>
      <c s="125">
        <f>Предпосылки!AQ$239*Предпосылки!$O269*Продажи!AR34*AR$19*(1+Чувствительность!$D$20)*IFERROR(LOOKUP(Предпосылки!$H$212,$C$13:$C$15,AR$13:AR$15),1)</f>
        <v>0</v>
      </c>
      <c s="125">
        <f>Предпосылки!AR$239*Предпосылки!$O269*Продажи!AS34*AS$19*(1+Чувствительность!$D$20)*IFERROR(LOOKUP(Предпосылки!$H$212,$C$13:$C$15,AS$13:AS$15),1)</f>
        <v>0</v>
      </c>
      <c s="125">
        <f>Предпосылки!AS$239*Предпосылки!$O269*Продажи!AT34*AT$19*(1+Чувствительность!$D$20)*IFERROR(LOOKUP(Предпосылки!$H$212,$C$13:$C$15,AT$13:AT$15),1)</f>
        <v>0</v>
      </c>
      <c s="125">
        <f>Предпосылки!AT$239*Предпосылки!$O269*Продажи!AU34*AU$19*(1+Чувствительность!$D$20)*IFERROR(LOOKUP(Предпосылки!$H$212,$C$13:$C$15,AU$13:AU$15),1)</f>
        <v>0</v>
      </c>
      <c s="125">
        <f>Предпосылки!AU$239*Предпосылки!$O269*Продажи!AV34*AV$19*(1+Чувствительность!$D$20)*IFERROR(LOOKUP(Предпосылки!$H$212,$C$13:$C$15,AV$13:AV$15),1)</f>
        <v>0</v>
      </c>
      <c s="125">
        <f>Предпосылки!AV$239*Предпосылки!$O269*Продажи!AW34*AW$19*(1+Чувствительность!$D$20)*IFERROR(LOOKUP(Предпосылки!$H$212,$C$13:$C$15,AW$13:AW$15),1)</f>
        <v>0</v>
      </c>
      <c s="125">
        <f>Предпосылки!AW$239*Предпосылки!$O269*Продажи!AX34*AX$19*(1+Чувствительность!$D$20)*IFERROR(LOOKUP(Предпосылки!$H$212,$C$13:$C$15,AX$13:AX$15),1)</f>
        <v>0</v>
      </c>
      <c s="125">
        <f>Предпосылки!AX$239*Предпосылки!$O269*Продажи!AY34*AY$19*(1+Чувствительность!$D$20)*IFERROR(LOOKUP(Предпосылки!$H$212,$C$13:$C$15,AY$13:AY$15),1)</f>
        <v>0</v>
      </c>
      <c s="125">
        <f>Предпосылки!AY$239*Предпосылки!$O269*Продажи!AZ34*AZ$19*(1+Чувствительность!$D$20)*IFERROR(LOOKUP(Предпосылки!$H$212,$C$13:$C$15,AZ$13:AZ$15),1)</f>
        <v>0</v>
      </c>
      <c s="125">
        <f>Предпосылки!AZ$239*Предпосылки!$O269*Продажи!BA34*BA$19*(1+Чувствительность!$D$20)*IFERROR(LOOKUP(Предпосылки!$H$212,$C$13:$C$15,BA$13:BA$15),1)</f>
        <v>0</v>
      </c>
      <c s="125">
        <f>Предпосылки!BA$239*Предпосылки!$O269*Продажи!BB34*BB$19*(1+Чувствительность!$D$20)*IFERROR(LOOKUP(Предпосылки!$H$212,$C$13:$C$15,BB$13:BB$15),1)</f>
        <v>0</v>
      </c>
      <c s="125">
        <f>Предпосылки!BB$239*Предпосылки!$O269*Продажи!BC34*BC$19*(1+Чувствительность!$D$20)*IFERROR(LOOKUP(Предпосылки!$H$212,$C$13:$C$15,BC$13:BC$15),1)</f>
        <v>0</v>
      </c>
      <c s="125">
        <f>Предпосылки!BC$239*Предпосылки!$O269*Продажи!BD34*BD$19*(1+Чувствительность!$D$20)*IFERROR(LOOKUP(Предпосылки!$H$212,$C$13:$C$15,BD$13:BD$15),1)</f>
        <v>0</v>
      </c>
      <c s="125">
        <f>Предпосылки!BD$239*Предпосылки!$O269*Продажи!BE34*BE$19*(1+Чувствительность!$D$20)*IFERROR(LOOKUP(Предпосылки!$H$212,$C$13:$C$15,BE$13:BE$15),1)</f>
        <v>0</v>
      </c>
      <c s="125">
        <f>Предпосылки!BE$239*Предпосылки!$O269*Продажи!BF34*BF$19*(1+Чувствительность!$D$20)*IFERROR(LOOKUP(Предпосылки!$H$212,$C$13:$C$15,BF$13:BF$15),1)</f>
        <v>0</v>
      </c>
      <c s="125">
        <f>Предпосылки!BF$239*Предпосылки!$O269*Продажи!BG34*BG$19*(1+Чувствительность!$D$20)*IFERROR(LOOKUP(Предпосылки!$H$212,$C$13:$C$15,BG$13:BG$15),1)</f>
        <v>0</v>
      </c>
      <c s="125">
        <f>Предпосылки!BG$239*Предпосылки!$O269*Продажи!BH34*BH$19*(1+Чувствительность!$D$20)*IFERROR(LOOKUP(Предпосылки!$H$212,$C$13:$C$15,BH$13:BH$15),1)</f>
        <v>0</v>
      </c>
      <c s="125">
        <f>Предпосылки!BH$239*Предпосылки!$O269*Продажи!BI34*BI$19*(1+Чувствительность!$D$20)*IFERROR(LOOKUP(Предпосылки!$H$212,$C$13:$C$15,BI$13:BI$15),1)</f>
        <v>0</v>
      </c>
      <c s="125">
        <f>Предпосылки!BI$239*Предпосылки!$O269*Продажи!BJ34*BJ$19*(1+Чувствительность!$D$20)*IFERROR(LOOKUP(Предпосылки!$H$212,$C$13:$C$15,BJ$13:BJ$15),1)</f>
        <v>0</v>
      </c>
      <c s="125">
        <f>Предпосылки!BJ$239*Предпосылки!$O269*Продажи!BK34*BK$19*(1+Чувствительность!$D$20)*IFERROR(LOOKUP(Предпосылки!$H$212,$C$13:$C$15,BK$13:BK$15),1)</f>
        <v>0</v>
      </c>
      <c s="125">
        <f>Предпосылки!BK$239*Предпосылки!$O269*Продажи!BL34*BL$19*(1+Чувствительность!$D$20)*IFERROR(LOOKUP(Предпосылки!$H$212,$C$13:$C$15,BL$13:BL$15),1)</f>
        <v>0</v>
      </c>
      <c s="125">
        <f>Предпосылки!BL$239*Предпосылки!$O269*Продажи!BM34*BM$19*(1+Чувствительность!$D$20)*IFERROR(LOOKUP(Предпосылки!$H$212,$C$13:$C$15,BM$13:BM$15),1)</f>
        <v>0</v>
      </c>
    </row>
    <row r="293" spans="2:65" ht="15" customHeight="1">
      <c r="B293" s="12" t="str">
        <f t="shared" si="116"/>
        <v>Продукт 18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Предпосылки!D$239*Предпосылки!$O270*Продажи!E35*E$19*(1+Чувствительность!$D$20)*IFERROR(LOOKUP(Предпосылки!$H$212,$C$13:$C$15,E$13:E$15),1)</f>
        <v>0</v>
      </c>
      <c s="125">
        <f>Предпосылки!E$239*Предпосылки!$O270*Продажи!F35*F$19*(1+Чувствительность!$D$20)*IFERROR(LOOKUP(Предпосылки!$H$212,$C$13:$C$15,F$13:F$15),1)</f>
        <v>0</v>
      </c>
      <c s="125">
        <f>Предпосылки!F$239*Предпосылки!$O270*Продажи!G35*G$19*(1+Чувствительность!$D$20)*IFERROR(LOOKUP(Предпосылки!$H$212,$C$13:$C$15,G$13:G$15),1)</f>
        <v>0</v>
      </c>
      <c s="125">
        <f>Предпосылки!G$239*Предпосылки!$O270*Продажи!H35*H$19*(1+Чувствительность!$D$20)*IFERROR(LOOKUP(Предпосылки!$H$212,$C$13:$C$15,H$13:H$15),1)</f>
        <v>0</v>
      </c>
      <c s="125">
        <f>Предпосылки!H$239*Предпосылки!$O270*Продажи!I35*I$19*(1+Чувствительность!$D$20)*IFERROR(LOOKUP(Предпосылки!$H$212,$C$13:$C$15,I$13:I$15),1)</f>
        <v>0</v>
      </c>
      <c s="125">
        <f>Предпосылки!I$239*Предпосылки!$O270*Продажи!J35*J$19*(1+Чувствительность!$D$20)*IFERROR(LOOKUP(Предпосылки!$H$212,$C$13:$C$15,J$13:J$15),1)</f>
        <v>0</v>
      </c>
      <c s="125">
        <f>Предпосылки!J$239*Предпосылки!$O270*Продажи!K35*K$19*(1+Чувствительность!$D$20)*IFERROR(LOOKUP(Предпосылки!$H$212,$C$13:$C$15,K$13:K$15),1)</f>
        <v>0</v>
      </c>
      <c s="125">
        <f>Предпосылки!K$239*Предпосылки!$O270*Продажи!L35*L$19*(1+Чувствительность!$D$20)*IFERROR(LOOKUP(Предпосылки!$H$212,$C$13:$C$15,L$13:L$15),1)</f>
        <v>0</v>
      </c>
      <c s="125">
        <f>Предпосылки!L$239*Предпосылки!$O270*Продажи!M35*M$19*(1+Чувствительность!$D$20)*IFERROR(LOOKUP(Предпосылки!$H$212,$C$13:$C$15,M$13:M$15),1)</f>
        <v>0</v>
      </c>
      <c s="125">
        <f>Предпосылки!M$239*Предпосылки!$O270*Продажи!N35*N$19*(1+Чувствительность!$D$20)*IFERROR(LOOKUP(Предпосылки!$H$212,$C$13:$C$15,N$13:N$15),1)</f>
        <v>0</v>
      </c>
      <c s="125">
        <f>Предпосылки!N$239*Предпосылки!$O270*Продажи!O35*O$19*(1+Чувствительность!$D$20)*IFERROR(LOOKUP(Предпосылки!$H$212,$C$13:$C$15,O$13:O$15),1)</f>
        <v>0</v>
      </c>
      <c s="125">
        <f>Предпосылки!O$239*Предпосылки!$O270*Продажи!P35*P$19*(1+Чувствительность!$D$20)*IFERROR(LOOKUP(Предпосылки!$H$212,$C$13:$C$15,P$13:P$15),1)</f>
        <v>0</v>
      </c>
      <c s="125">
        <f>Предпосылки!P$239*Предпосылки!$O270*Продажи!Q35*Q$19*(1+Чувствительность!$D$20)*IFERROR(LOOKUP(Предпосылки!$H$212,$C$13:$C$15,Q$13:Q$15),1)</f>
        <v>0</v>
      </c>
      <c s="125">
        <f>Предпосылки!Q$239*Предпосылки!$O270*Продажи!R35*R$19*(1+Чувствительность!$D$20)*IFERROR(LOOKUP(Предпосылки!$H$212,$C$13:$C$15,R$13:R$15),1)</f>
        <v>0</v>
      </c>
      <c s="125">
        <f>Предпосылки!R$239*Предпосылки!$O270*Продажи!S35*S$19*(1+Чувствительность!$D$20)*IFERROR(LOOKUP(Предпосылки!$H$212,$C$13:$C$15,S$13:S$15),1)</f>
        <v>0</v>
      </c>
      <c s="125">
        <f>Предпосылки!S$239*Предпосылки!$O270*Продажи!T35*T$19*(1+Чувствительность!$D$20)*IFERROR(LOOKUP(Предпосылки!$H$212,$C$13:$C$15,T$13:T$15),1)</f>
        <v>0</v>
      </c>
      <c s="125">
        <f>Предпосылки!T$239*Предпосылки!$O270*Продажи!U35*U$19*(1+Чувствительность!$D$20)*IFERROR(LOOKUP(Предпосылки!$H$212,$C$13:$C$15,U$13:U$15),1)</f>
        <v>0</v>
      </c>
      <c s="125">
        <f>Предпосылки!U$239*Предпосылки!$O270*Продажи!V35*V$19*(1+Чувствительность!$D$20)*IFERROR(LOOKUP(Предпосылки!$H$212,$C$13:$C$15,V$13:V$15),1)</f>
        <v>0</v>
      </c>
      <c s="125">
        <f>Предпосылки!V$239*Предпосылки!$O270*Продажи!W35*W$19*(1+Чувствительность!$D$20)*IFERROR(LOOKUP(Предпосылки!$H$212,$C$13:$C$15,W$13:W$15),1)</f>
        <v>0</v>
      </c>
      <c s="125">
        <f>Предпосылки!W$239*Предпосылки!$O270*Продажи!X35*X$19*(1+Чувствительность!$D$20)*IFERROR(LOOKUP(Предпосылки!$H$212,$C$13:$C$15,X$13:X$15),1)</f>
        <v>0</v>
      </c>
      <c s="125">
        <f>Предпосылки!X$239*Предпосылки!$O270*Продажи!Y35*Y$19*(1+Чувствительность!$D$20)*IFERROR(LOOKUP(Предпосылки!$H$212,$C$13:$C$15,Y$13:Y$15),1)</f>
        <v>0</v>
      </c>
      <c s="125">
        <f>Предпосылки!Y$239*Предпосылки!$O270*Продажи!Z35*Z$19*(1+Чувствительность!$D$20)*IFERROR(LOOKUP(Предпосылки!$H$212,$C$13:$C$15,Z$13:Z$15),1)</f>
        <v>0</v>
      </c>
      <c s="125">
        <f>Предпосылки!Z$239*Предпосылки!$O270*Продажи!AA35*AA$19*(1+Чувствительность!$D$20)*IFERROR(LOOKUP(Предпосылки!$H$212,$C$13:$C$15,AA$13:AA$15),1)</f>
        <v>0</v>
      </c>
      <c s="125">
        <f>Предпосылки!AA$239*Предпосылки!$O270*Продажи!AB35*AB$19*(1+Чувствительность!$D$20)*IFERROR(LOOKUP(Предпосылки!$H$212,$C$13:$C$15,AB$13:AB$15),1)</f>
        <v>0</v>
      </c>
      <c s="125">
        <f>Предпосылки!AB$239*Предпосылки!$O270*Продажи!AC35*AC$19*(1+Чувствительность!$D$20)*IFERROR(LOOKUP(Предпосылки!$H$212,$C$13:$C$15,AC$13:AC$15),1)</f>
        <v>0</v>
      </c>
      <c s="125">
        <f>Предпосылки!AC$239*Предпосылки!$O270*Продажи!AD35*AD$19*(1+Чувствительность!$D$20)*IFERROR(LOOKUP(Предпосылки!$H$212,$C$13:$C$15,AD$13:AD$15),1)</f>
        <v>0</v>
      </c>
      <c s="125">
        <f>Предпосылки!AD$239*Предпосылки!$O270*Продажи!AE35*AE$19*(1+Чувствительность!$D$20)*IFERROR(LOOKUP(Предпосылки!$H$212,$C$13:$C$15,AE$13:AE$15),1)</f>
        <v>0</v>
      </c>
      <c s="125">
        <f>Предпосылки!AE$239*Предпосылки!$O270*Продажи!AF35*AF$19*(1+Чувствительность!$D$20)*IFERROR(LOOKUP(Предпосылки!$H$212,$C$13:$C$15,AF$13:AF$15),1)</f>
        <v>0</v>
      </c>
      <c s="125">
        <f>Предпосылки!AF$239*Предпосылки!$O270*Продажи!AG35*AG$19*(1+Чувствительность!$D$20)*IFERROR(LOOKUP(Предпосылки!$H$212,$C$13:$C$15,AG$13:AG$15),1)</f>
        <v>0</v>
      </c>
      <c s="125">
        <f>Предпосылки!AG$239*Предпосылки!$O270*Продажи!AH35*AH$19*(1+Чувствительность!$D$20)*IFERROR(LOOKUP(Предпосылки!$H$212,$C$13:$C$15,AH$13:AH$15),1)</f>
        <v>0</v>
      </c>
      <c s="125">
        <f>Предпосылки!AH$239*Предпосылки!$O270*Продажи!AI35*AI$19*(1+Чувствительность!$D$20)*IFERROR(LOOKUP(Предпосылки!$H$212,$C$13:$C$15,AI$13:AI$15),1)</f>
        <v>0</v>
      </c>
      <c s="125">
        <f>Предпосылки!AI$239*Предпосылки!$O270*Продажи!AJ35*AJ$19*(1+Чувствительность!$D$20)*IFERROR(LOOKUP(Предпосылки!$H$212,$C$13:$C$15,AJ$13:AJ$15),1)</f>
        <v>0</v>
      </c>
      <c s="125">
        <f>Предпосылки!AJ$239*Предпосылки!$O270*Продажи!AK35*AK$19*(1+Чувствительность!$D$20)*IFERROR(LOOKUP(Предпосылки!$H$212,$C$13:$C$15,AK$13:AK$15),1)</f>
        <v>0</v>
      </c>
      <c s="125">
        <f>Предпосылки!AK$239*Предпосылки!$O270*Продажи!AL35*AL$19*(1+Чувствительность!$D$20)*IFERROR(LOOKUP(Предпосылки!$H$212,$C$13:$C$15,AL$13:AL$15),1)</f>
        <v>0</v>
      </c>
      <c s="125">
        <f>Предпосылки!AL$239*Предпосылки!$O270*Продажи!AM35*AM$19*(1+Чувствительность!$D$20)*IFERROR(LOOKUP(Предпосылки!$H$212,$C$13:$C$15,AM$13:AM$15),1)</f>
        <v>0</v>
      </c>
      <c s="125">
        <f>Предпосылки!AM$239*Предпосылки!$O270*Продажи!AN35*AN$19*(1+Чувствительность!$D$20)*IFERROR(LOOKUP(Предпосылки!$H$212,$C$13:$C$15,AN$13:AN$15),1)</f>
        <v>0</v>
      </c>
      <c s="125">
        <f>Предпосылки!AN$239*Предпосылки!$O270*Продажи!AO35*AO$19*(1+Чувствительность!$D$20)*IFERROR(LOOKUP(Предпосылки!$H$212,$C$13:$C$15,AO$13:AO$15),1)</f>
        <v>0</v>
      </c>
      <c s="125">
        <f>Предпосылки!AO$239*Предпосылки!$O270*Продажи!AP35*AP$19*(1+Чувствительность!$D$20)*IFERROR(LOOKUP(Предпосылки!$H$212,$C$13:$C$15,AP$13:AP$15),1)</f>
        <v>0</v>
      </c>
      <c s="125">
        <f>Предпосылки!AP$239*Предпосылки!$O270*Продажи!AQ35*AQ$19*(1+Чувствительность!$D$20)*IFERROR(LOOKUP(Предпосылки!$H$212,$C$13:$C$15,AQ$13:AQ$15),1)</f>
        <v>0</v>
      </c>
      <c s="125">
        <f>Предпосылки!AQ$239*Предпосылки!$O270*Продажи!AR35*AR$19*(1+Чувствительность!$D$20)*IFERROR(LOOKUP(Предпосылки!$H$212,$C$13:$C$15,AR$13:AR$15),1)</f>
        <v>0</v>
      </c>
      <c s="125">
        <f>Предпосылки!AR$239*Предпосылки!$O270*Продажи!AS35*AS$19*(1+Чувствительность!$D$20)*IFERROR(LOOKUP(Предпосылки!$H$212,$C$13:$C$15,AS$13:AS$15),1)</f>
        <v>0</v>
      </c>
      <c s="125">
        <f>Предпосылки!AS$239*Предпосылки!$O270*Продажи!AT35*AT$19*(1+Чувствительность!$D$20)*IFERROR(LOOKUP(Предпосылки!$H$212,$C$13:$C$15,AT$13:AT$15),1)</f>
        <v>0</v>
      </c>
      <c s="125">
        <f>Предпосылки!AT$239*Предпосылки!$O270*Продажи!AU35*AU$19*(1+Чувствительность!$D$20)*IFERROR(LOOKUP(Предпосылки!$H$212,$C$13:$C$15,AU$13:AU$15),1)</f>
        <v>0</v>
      </c>
      <c s="125">
        <f>Предпосылки!AU$239*Предпосылки!$O270*Продажи!AV35*AV$19*(1+Чувствительность!$D$20)*IFERROR(LOOKUP(Предпосылки!$H$212,$C$13:$C$15,AV$13:AV$15),1)</f>
        <v>0</v>
      </c>
      <c s="125">
        <f>Предпосылки!AV$239*Предпосылки!$O270*Продажи!AW35*AW$19*(1+Чувствительность!$D$20)*IFERROR(LOOKUP(Предпосылки!$H$212,$C$13:$C$15,AW$13:AW$15),1)</f>
        <v>0</v>
      </c>
      <c s="125">
        <f>Предпосылки!AW$239*Предпосылки!$O270*Продажи!AX35*AX$19*(1+Чувствительность!$D$20)*IFERROR(LOOKUP(Предпосылки!$H$212,$C$13:$C$15,AX$13:AX$15),1)</f>
        <v>0</v>
      </c>
      <c s="125">
        <f>Предпосылки!AX$239*Предпосылки!$O270*Продажи!AY35*AY$19*(1+Чувствительность!$D$20)*IFERROR(LOOKUP(Предпосылки!$H$212,$C$13:$C$15,AY$13:AY$15),1)</f>
        <v>0</v>
      </c>
      <c s="125">
        <f>Предпосылки!AY$239*Предпосылки!$O270*Продажи!AZ35*AZ$19*(1+Чувствительность!$D$20)*IFERROR(LOOKUP(Предпосылки!$H$212,$C$13:$C$15,AZ$13:AZ$15),1)</f>
        <v>0</v>
      </c>
      <c s="125">
        <f>Предпосылки!AZ$239*Предпосылки!$O270*Продажи!BA35*BA$19*(1+Чувствительность!$D$20)*IFERROR(LOOKUP(Предпосылки!$H$212,$C$13:$C$15,BA$13:BA$15),1)</f>
        <v>0</v>
      </c>
      <c s="125">
        <f>Предпосылки!BA$239*Предпосылки!$O270*Продажи!BB35*BB$19*(1+Чувствительность!$D$20)*IFERROR(LOOKUP(Предпосылки!$H$212,$C$13:$C$15,BB$13:BB$15),1)</f>
        <v>0</v>
      </c>
      <c s="125">
        <f>Предпосылки!BB$239*Предпосылки!$O270*Продажи!BC35*BC$19*(1+Чувствительность!$D$20)*IFERROR(LOOKUP(Предпосылки!$H$212,$C$13:$C$15,BC$13:BC$15),1)</f>
        <v>0</v>
      </c>
      <c s="125">
        <f>Предпосылки!BC$239*Предпосылки!$O270*Продажи!BD35*BD$19*(1+Чувствительность!$D$20)*IFERROR(LOOKUP(Предпосылки!$H$212,$C$13:$C$15,BD$13:BD$15),1)</f>
        <v>0</v>
      </c>
      <c s="125">
        <f>Предпосылки!BD$239*Предпосылки!$O270*Продажи!BE35*BE$19*(1+Чувствительность!$D$20)*IFERROR(LOOKUP(Предпосылки!$H$212,$C$13:$C$15,BE$13:BE$15),1)</f>
        <v>0</v>
      </c>
      <c s="125">
        <f>Предпосылки!BE$239*Предпосылки!$O270*Продажи!BF35*BF$19*(1+Чувствительность!$D$20)*IFERROR(LOOKUP(Предпосылки!$H$212,$C$13:$C$15,BF$13:BF$15),1)</f>
        <v>0</v>
      </c>
      <c s="125">
        <f>Предпосылки!BF$239*Предпосылки!$O270*Продажи!BG35*BG$19*(1+Чувствительность!$D$20)*IFERROR(LOOKUP(Предпосылки!$H$212,$C$13:$C$15,BG$13:BG$15),1)</f>
        <v>0</v>
      </c>
      <c s="125">
        <f>Предпосылки!BG$239*Предпосылки!$O270*Продажи!BH35*BH$19*(1+Чувствительность!$D$20)*IFERROR(LOOKUP(Предпосылки!$H$212,$C$13:$C$15,BH$13:BH$15),1)</f>
        <v>0</v>
      </c>
      <c s="125">
        <f>Предпосылки!BH$239*Предпосылки!$O270*Продажи!BI35*BI$19*(1+Чувствительность!$D$20)*IFERROR(LOOKUP(Предпосылки!$H$212,$C$13:$C$15,BI$13:BI$15),1)</f>
        <v>0</v>
      </c>
      <c s="125">
        <f>Предпосылки!BI$239*Предпосылки!$O270*Продажи!BJ35*BJ$19*(1+Чувствительность!$D$20)*IFERROR(LOOKUP(Предпосылки!$H$212,$C$13:$C$15,BJ$13:BJ$15),1)</f>
        <v>0</v>
      </c>
      <c s="125">
        <f>Предпосылки!BJ$239*Предпосылки!$O270*Продажи!BK35*BK$19*(1+Чувствительность!$D$20)*IFERROR(LOOKUP(Предпосылки!$H$212,$C$13:$C$15,BK$13:BK$15),1)</f>
        <v>0</v>
      </c>
      <c s="125">
        <f>Предпосылки!BK$239*Предпосылки!$O270*Продажи!BL35*BL$19*(1+Чувствительность!$D$20)*IFERROR(LOOKUP(Предпосылки!$H$212,$C$13:$C$15,BL$13:BL$15),1)</f>
        <v>0</v>
      </c>
      <c s="125">
        <f>Предпосылки!BL$239*Предпосылки!$O270*Продажи!BM35*BM$19*(1+Чувствительность!$D$20)*IFERROR(LOOKUP(Предпосылки!$H$212,$C$13:$C$15,BM$13:BM$15),1)</f>
        <v>0</v>
      </c>
    </row>
    <row r="294" spans="2:65" ht="15" customHeight="1">
      <c r="B294" s="12" t="str">
        <f t="shared" si="116"/>
        <v>Продукт 19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Предпосылки!D$239*Предпосылки!$O271*Продажи!E36*E$19*(1+Чувствительность!$D$20)*IFERROR(LOOKUP(Предпосылки!$H$212,$C$13:$C$15,E$13:E$15),1)</f>
        <v>0</v>
      </c>
      <c s="125">
        <f>Предпосылки!E$239*Предпосылки!$O271*Продажи!F36*F$19*(1+Чувствительность!$D$20)*IFERROR(LOOKUP(Предпосылки!$H$212,$C$13:$C$15,F$13:F$15),1)</f>
        <v>0</v>
      </c>
      <c s="125">
        <f>Предпосылки!F$239*Предпосылки!$O271*Продажи!G36*G$19*(1+Чувствительность!$D$20)*IFERROR(LOOKUP(Предпосылки!$H$212,$C$13:$C$15,G$13:G$15),1)</f>
        <v>0</v>
      </c>
      <c s="125">
        <f>Предпосылки!G$239*Предпосылки!$O271*Продажи!H36*H$19*(1+Чувствительность!$D$20)*IFERROR(LOOKUP(Предпосылки!$H$212,$C$13:$C$15,H$13:H$15),1)</f>
        <v>0</v>
      </c>
      <c s="125">
        <f>Предпосылки!H$239*Предпосылки!$O271*Продажи!I36*I$19*(1+Чувствительность!$D$20)*IFERROR(LOOKUP(Предпосылки!$H$212,$C$13:$C$15,I$13:I$15),1)</f>
        <v>0</v>
      </c>
      <c s="125">
        <f>Предпосылки!I$239*Предпосылки!$O271*Продажи!J36*J$19*(1+Чувствительность!$D$20)*IFERROR(LOOKUP(Предпосылки!$H$212,$C$13:$C$15,J$13:J$15),1)</f>
        <v>0</v>
      </c>
      <c s="125">
        <f>Предпосылки!J$239*Предпосылки!$O271*Продажи!K36*K$19*(1+Чувствительность!$D$20)*IFERROR(LOOKUP(Предпосылки!$H$212,$C$13:$C$15,K$13:K$15),1)</f>
        <v>0</v>
      </c>
      <c s="125">
        <f>Предпосылки!K$239*Предпосылки!$O271*Продажи!L36*L$19*(1+Чувствительность!$D$20)*IFERROR(LOOKUP(Предпосылки!$H$212,$C$13:$C$15,L$13:L$15),1)</f>
        <v>0</v>
      </c>
      <c s="125">
        <f>Предпосылки!L$239*Предпосылки!$O271*Продажи!M36*M$19*(1+Чувствительность!$D$20)*IFERROR(LOOKUP(Предпосылки!$H$212,$C$13:$C$15,M$13:M$15),1)</f>
        <v>0</v>
      </c>
      <c s="125">
        <f>Предпосылки!M$239*Предпосылки!$O271*Продажи!N36*N$19*(1+Чувствительность!$D$20)*IFERROR(LOOKUP(Предпосылки!$H$212,$C$13:$C$15,N$13:N$15),1)</f>
        <v>0</v>
      </c>
      <c s="125">
        <f>Предпосылки!N$239*Предпосылки!$O271*Продажи!O36*O$19*(1+Чувствительность!$D$20)*IFERROR(LOOKUP(Предпосылки!$H$212,$C$13:$C$15,O$13:O$15),1)</f>
        <v>0</v>
      </c>
      <c s="125">
        <f>Предпосылки!O$239*Предпосылки!$O271*Продажи!P36*P$19*(1+Чувствительность!$D$20)*IFERROR(LOOKUP(Предпосылки!$H$212,$C$13:$C$15,P$13:P$15),1)</f>
        <v>0</v>
      </c>
      <c s="125">
        <f>Предпосылки!P$239*Предпосылки!$O271*Продажи!Q36*Q$19*(1+Чувствительность!$D$20)*IFERROR(LOOKUP(Предпосылки!$H$212,$C$13:$C$15,Q$13:Q$15),1)</f>
        <v>0</v>
      </c>
      <c s="125">
        <f>Предпосылки!Q$239*Предпосылки!$O271*Продажи!R36*R$19*(1+Чувствительность!$D$20)*IFERROR(LOOKUP(Предпосылки!$H$212,$C$13:$C$15,R$13:R$15),1)</f>
        <v>0</v>
      </c>
      <c s="125">
        <f>Предпосылки!R$239*Предпосылки!$O271*Продажи!S36*S$19*(1+Чувствительность!$D$20)*IFERROR(LOOKUP(Предпосылки!$H$212,$C$13:$C$15,S$13:S$15),1)</f>
        <v>0</v>
      </c>
      <c s="125">
        <f>Предпосылки!S$239*Предпосылки!$O271*Продажи!T36*T$19*(1+Чувствительность!$D$20)*IFERROR(LOOKUP(Предпосылки!$H$212,$C$13:$C$15,T$13:T$15),1)</f>
        <v>0</v>
      </c>
      <c s="125">
        <f>Предпосылки!T$239*Предпосылки!$O271*Продажи!U36*U$19*(1+Чувствительность!$D$20)*IFERROR(LOOKUP(Предпосылки!$H$212,$C$13:$C$15,U$13:U$15),1)</f>
        <v>0</v>
      </c>
      <c s="125">
        <f>Предпосылки!U$239*Предпосылки!$O271*Продажи!V36*V$19*(1+Чувствительность!$D$20)*IFERROR(LOOKUP(Предпосылки!$H$212,$C$13:$C$15,V$13:V$15),1)</f>
        <v>0</v>
      </c>
      <c s="125">
        <f>Предпосылки!V$239*Предпосылки!$O271*Продажи!W36*W$19*(1+Чувствительность!$D$20)*IFERROR(LOOKUP(Предпосылки!$H$212,$C$13:$C$15,W$13:W$15),1)</f>
        <v>0</v>
      </c>
      <c s="125">
        <f>Предпосылки!W$239*Предпосылки!$O271*Продажи!X36*X$19*(1+Чувствительность!$D$20)*IFERROR(LOOKUP(Предпосылки!$H$212,$C$13:$C$15,X$13:X$15),1)</f>
        <v>0</v>
      </c>
      <c s="125">
        <f>Предпосылки!X$239*Предпосылки!$O271*Продажи!Y36*Y$19*(1+Чувствительность!$D$20)*IFERROR(LOOKUP(Предпосылки!$H$212,$C$13:$C$15,Y$13:Y$15),1)</f>
        <v>0</v>
      </c>
      <c s="125">
        <f>Предпосылки!Y$239*Предпосылки!$O271*Продажи!Z36*Z$19*(1+Чувствительность!$D$20)*IFERROR(LOOKUP(Предпосылки!$H$212,$C$13:$C$15,Z$13:Z$15),1)</f>
        <v>0</v>
      </c>
      <c s="125">
        <f>Предпосылки!Z$239*Предпосылки!$O271*Продажи!AA36*AA$19*(1+Чувствительность!$D$20)*IFERROR(LOOKUP(Предпосылки!$H$212,$C$13:$C$15,AA$13:AA$15),1)</f>
        <v>0</v>
      </c>
      <c s="125">
        <f>Предпосылки!AA$239*Предпосылки!$O271*Продажи!AB36*AB$19*(1+Чувствительность!$D$20)*IFERROR(LOOKUP(Предпосылки!$H$212,$C$13:$C$15,AB$13:AB$15),1)</f>
        <v>0</v>
      </c>
      <c s="125">
        <f>Предпосылки!AB$239*Предпосылки!$O271*Продажи!AC36*AC$19*(1+Чувствительность!$D$20)*IFERROR(LOOKUP(Предпосылки!$H$212,$C$13:$C$15,AC$13:AC$15),1)</f>
        <v>0</v>
      </c>
      <c s="125">
        <f>Предпосылки!AC$239*Предпосылки!$O271*Продажи!AD36*AD$19*(1+Чувствительность!$D$20)*IFERROR(LOOKUP(Предпосылки!$H$212,$C$13:$C$15,AD$13:AD$15),1)</f>
        <v>0</v>
      </c>
      <c s="125">
        <f>Предпосылки!AD$239*Предпосылки!$O271*Продажи!AE36*AE$19*(1+Чувствительность!$D$20)*IFERROR(LOOKUP(Предпосылки!$H$212,$C$13:$C$15,AE$13:AE$15),1)</f>
        <v>0</v>
      </c>
      <c s="125">
        <f>Предпосылки!AE$239*Предпосылки!$O271*Продажи!AF36*AF$19*(1+Чувствительность!$D$20)*IFERROR(LOOKUP(Предпосылки!$H$212,$C$13:$C$15,AF$13:AF$15),1)</f>
        <v>0</v>
      </c>
      <c s="125">
        <f>Предпосылки!AF$239*Предпосылки!$O271*Продажи!AG36*AG$19*(1+Чувствительность!$D$20)*IFERROR(LOOKUP(Предпосылки!$H$212,$C$13:$C$15,AG$13:AG$15),1)</f>
        <v>0</v>
      </c>
      <c s="125">
        <f>Предпосылки!AG$239*Предпосылки!$O271*Продажи!AH36*AH$19*(1+Чувствительность!$D$20)*IFERROR(LOOKUP(Предпосылки!$H$212,$C$13:$C$15,AH$13:AH$15),1)</f>
        <v>0</v>
      </c>
      <c s="125">
        <f>Предпосылки!AH$239*Предпосылки!$O271*Продажи!AI36*AI$19*(1+Чувствительность!$D$20)*IFERROR(LOOKUP(Предпосылки!$H$212,$C$13:$C$15,AI$13:AI$15),1)</f>
        <v>0</v>
      </c>
      <c s="125">
        <f>Предпосылки!AI$239*Предпосылки!$O271*Продажи!AJ36*AJ$19*(1+Чувствительность!$D$20)*IFERROR(LOOKUP(Предпосылки!$H$212,$C$13:$C$15,AJ$13:AJ$15),1)</f>
        <v>0</v>
      </c>
      <c s="125">
        <f>Предпосылки!AJ$239*Предпосылки!$O271*Продажи!AK36*AK$19*(1+Чувствительность!$D$20)*IFERROR(LOOKUP(Предпосылки!$H$212,$C$13:$C$15,AK$13:AK$15),1)</f>
        <v>0</v>
      </c>
      <c s="125">
        <f>Предпосылки!AK$239*Предпосылки!$O271*Продажи!AL36*AL$19*(1+Чувствительность!$D$20)*IFERROR(LOOKUP(Предпосылки!$H$212,$C$13:$C$15,AL$13:AL$15),1)</f>
        <v>0</v>
      </c>
      <c s="125">
        <f>Предпосылки!AL$239*Предпосылки!$O271*Продажи!AM36*AM$19*(1+Чувствительность!$D$20)*IFERROR(LOOKUP(Предпосылки!$H$212,$C$13:$C$15,AM$13:AM$15),1)</f>
        <v>0</v>
      </c>
      <c s="125">
        <f>Предпосылки!AM$239*Предпосылки!$O271*Продажи!AN36*AN$19*(1+Чувствительность!$D$20)*IFERROR(LOOKUP(Предпосылки!$H$212,$C$13:$C$15,AN$13:AN$15),1)</f>
        <v>0</v>
      </c>
      <c s="125">
        <f>Предпосылки!AN$239*Предпосылки!$O271*Продажи!AO36*AO$19*(1+Чувствительность!$D$20)*IFERROR(LOOKUP(Предпосылки!$H$212,$C$13:$C$15,AO$13:AO$15),1)</f>
        <v>0</v>
      </c>
      <c s="125">
        <f>Предпосылки!AO$239*Предпосылки!$O271*Продажи!AP36*AP$19*(1+Чувствительность!$D$20)*IFERROR(LOOKUP(Предпосылки!$H$212,$C$13:$C$15,AP$13:AP$15),1)</f>
        <v>0</v>
      </c>
      <c s="125">
        <f>Предпосылки!AP$239*Предпосылки!$O271*Продажи!AQ36*AQ$19*(1+Чувствительность!$D$20)*IFERROR(LOOKUP(Предпосылки!$H$212,$C$13:$C$15,AQ$13:AQ$15),1)</f>
        <v>0</v>
      </c>
      <c s="125">
        <f>Предпосылки!AQ$239*Предпосылки!$O271*Продажи!AR36*AR$19*(1+Чувствительность!$D$20)*IFERROR(LOOKUP(Предпосылки!$H$212,$C$13:$C$15,AR$13:AR$15),1)</f>
        <v>0</v>
      </c>
      <c s="125">
        <f>Предпосылки!AR$239*Предпосылки!$O271*Продажи!AS36*AS$19*(1+Чувствительность!$D$20)*IFERROR(LOOKUP(Предпосылки!$H$212,$C$13:$C$15,AS$13:AS$15),1)</f>
        <v>0</v>
      </c>
      <c s="125">
        <f>Предпосылки!AS$239*Предпосылки!$O271*Продажи!AT36*AT$19*(1+Чувствительность!$D$20)*IFERROR(LOOKUP(Предпосылки!$H$212,$C$13:$C$15,AT$13:AT$15),1)</f>
        <v>0</v>
      </c>
      <c s="125">
        <f>Предпосылки!AT$239*Предпосылки!$O271*Продажи!AU36*AU$19*(1+Чувствительность!$D$20)*IFERROR(LOOKUP(Предпосылки!$H$212,$C$13:$C$15,AU$13:AU$15),1)</f>
        <v>0</v>
      </c>
      <c s="125">
        <f>Предпосылки!AU$239*Предпосылки!$O271*Продажи!AV36*AV$19*(1+Чувствительность!$D$20)*IFERROR(LOOKUP(Предпосылки!$H$212,$C$13:$C$15,AV$13:AV$15),1)</f>
        <v>0</v>
      </c>
      <c s="125">
        <f>Предпосылки!AV$239*Предпосылки!$O271*Продажи!AW36*AW$19*(1+Чувствительность!$D$20)*IFERROR(LOOKUP(Предпосылки!$H$212,$C$13:$C$15,AW$13:AW$15),1)</f>
        <v>0</v>
      </c>
      <c s="125">
        <f>Предпосылки!AW$239*Предпосылки!$O271*Продажи!AX36*AX$19*(1+Чувствительность!$D$20)*IFERROR(LOOKUP(Предпосылки!$H$212,$C$13:$C$15,AX$13:AX$15),1)</f>
        <v>0</v>
      </c>
      <c s="125">
        <f>Предпосылки!AX$239*Предпосылки!$O271*Продажи!AY36*AY$19*(1+Чувствительность!$D$20)*IFERROR(LOOKUP(Предпосылки!$H$212,$C$13:$C$15,AY$13:AY$15),1)</f>
        <v>0</v>
      </c>
      <c s="125">
        <f>Предпосылки!AY$239*Предпосылки!$O271*Продажи!AZ36*AZ$19*(1+Чувствительность!$D$20)*IFERROR(LOOKUP(Предпосылки!$H$212,$C$13:$C$15,AZ$13:AZ$15),1)</f>
        <v>0</v>
      </c>
      <c s="125">
        <f>Предпосылки!AZ$239*Предпосылки!$O271*Продажи!BA36*BA$19*(1+Чувствительность!$D$20)*IFERROR(LOOKUP(Предпосылки!$H$212,$C$13:$C$15,BA$13:BA$15),1)</f>
        <v>0</v>
      </c>
      <c s="125">
        <f>Предпосылки!BA$239*Предпосылки!$O271*Продажи!BB36*BB$19*(1+Чувствительность!$D$20)*IFERROR(LOOKUP(Предпосылки!$H$212,$C$13:$C$15,BB$13:BB$15),1)</f>
        <v>0</v>
      </c>
      <c s="125">
        <f>Предпосылки!BB$239*Предпосылки!$O271*Продажи!BC36*BC$19*(1+Чувствительность!$D$20)*IFERROR(LOOKUP(Предпосылки!$H$212,$C$13:$C$15,BC$13:BC$15),1)</f>
        <v>0</v>
      </c>
      <c s="125">
        <f>Предпосылки!BC$239*Предпосылки!$O271*Продажи!BD36*BD$19*(1+Чувствительность!$D$20)*IFERROR(LOOKUP(Предпосылки!$H$212,$C$13:$C$15,BD$13:BD$15),1)</f>
        <v>0</v>
      </c>
      <c s="125">
        <f>Предпосылки!BD$239*Предпосылки!$O271*Продажи!BE36*BE$19*(1+Чувствительность!$D$20)*IFERROR(LOOKUP(Предпосылки!$H$212,$C$13:$C$15,BE$13:BE$15),1)</f>
        <v>0</v>
      </c>
      <c s="125">
        <f>Предпосылки!BE$239*Предпосылки!$O271*Продажи!BF36*BF$19*(1+Чувствительность!$D$20)*IFERROR(LOOKUP(Предпосылки!$H$212,$C$13:$C$15,BF$13:BF$15),1)</f>
        <v>0</v>
      </c>
      <c s="125">
        <f>Предпосылки!BF$239*Предпосылки!$O271*Продажи!BG36*BG$19*(1+Чувствительность!$D$20)*IFERROR(LOOKUP(Предпосылки!$H$212,$C$13:$C$15,BG$13:BG$15),1)</f>
        <v>0</v>
      </c>
      <c s="125">
        <f>Предпосылки!BG$239*Предпосылки!$O271*Продажи!BH36*BH$19*(1+Чувствительность!$D$20)*IFERROR(LOOKUP(Предпосылки!$H$212,$C$13:$C$15,BH$13:BH$15),1)</f>
        <v>0</v>
      </c>
      <c s="125">
        <f>Предпосылки!BH$239*Предпосылки!$O271*Продажи!BI36*BI$19*(1+Чувствительность!$D$20)*IFERROR(LOOKUP(Предпосылки!$H$212,$C$13:$C$15,BI$13:BI$15),1)</f>
        <v>0</v>
      </c>
      <c s="125">
        <f>Предпосылки!BI$239*Предпосылки!$O271*Продажи!BJ36*BJ$19*(1+Чувствительность!$D$20)*IFERROR(LOOKUP(Предпосылки!$H$212,$C$13:$C$15,BJ$13:BJ$15),1)</f>
        <v>0</v>
      </c>
      <c s="125">
        <f>Предпосылки!BJ$239*Предпосылки!$O271*Продажи!BK36*BK$19*(1+Чувствительность!$D$20)*IFERROR(LOOKUP(Предпосылки!$H$212,$C$13:$C$15,BK$13:BK$15),1)</f>
        <v>0</v>
      </c>
      <c s="125">
        <f>Предпосылки!BK$239*Предпосылки!$O271*Продажи!BL36*BL$19*(1+Чувствительность!$D$20)*IFERROR(LOOKUP(Предпосылки!$H$212,$C$13:$C$15,BL$13:BL$15),1)</f>
        <v>0</v>
      </c>
      <c s="125">
        <f>Предпосылки!BL$239*Предпосылки!$O271*Продажи!BM36*BM$19*(1+Чувствительность!$D$20)*IFERROR(LOOKUP(Предпосылки!$H$212,$C$13:$C$15,BM$13:BM$15),1)</f>
        <v>0</v>
      </c>
    </row>
    <row r="295" spans="2:65" ht="15" customHeight="1">
      <c r="B295" s="12" t="str">
        <f t="shared" si="116"/>
        <v>Продукт 20</v>
      </c>
      <c s="124" t="str">
        <f t="shared" si="115"/>
        <v>тыс. руб.</v>
      </c>
      <c s="276">
        <f t="shared" si="117"/>
        <v>0</v>
      </c>
      <c s="125">
        <f>Предпосылки!D$239*Предпосылки!$O272*Продажи!E37*E$19*(1+Чувствительность!$D$20)*IFERROR(LOOKUP(Предпосылки!$H$212,$C$13:$C$15,E$13:E$15),1)</f>
        <v>0</v>
      </c>
      <c s="125">
        <f>Предпосылки!E$239*Предпосылки!$O272*Продажи!F37*F$19*(1+Чувствительность!$D$20)*IFERROR(LOOKUP(Предпосылки!$H$212,$C$13:$C$15,F$13:F$15),1)</f>
        <v>0</v>
      </c>
      <c s="125">
        <f>Предпосылки!F$239*Предпосылки!$O272*Продажи!G37*G$19*(1+Чувствительность!$D$20)*IFERROR(LOOKUP(Предпосылки!$H$212,$C$13:$C$15,G$13:G$15),1)</f>
        <v>0</v>
      </c>
      <c s="125">
        <f>Предпосылки!G$239*Предпосылки!$O272*Продажи!H37*H$19*(1+Чувствительность!$D$20)*IFERROR(LOOKUP(Предпосылки!$H$212,$C$13:$C$15,H$13:H$15),1)</f>
        <v>0</v>
      </c>
      <c s="125">
        <f>Предпосылки!H$239*Предпосылки!$O272*Продажи!I37*I$19*(1+Чувствительность!$D$20)*IFERROR(LOOKUP(Предпосылки!$H$212,$C$13:$C$15,I$13:I$15),1)</f>
        <v>0</v>
      </c>
      <c s="125">
        <f>Предпосылки!I$239*Предпосылки!$O272*Продажи!J37*J$19*(1+Чувствительность!$D$20)*IFERROR(LOOKUP(Предпосылки!$H$212,$C$13:$C$15,J$13:J$15),1)</f>
        <v>0</v>
      </c>
      <c s="125">
        <f>Предпосылки!J$239*Предпосылки!$O272*Продажи!K37*K$19*(1+Чувствительность!$D$20)*IFERROR(LOOKUP(Предпосылки!$H$212,$C$13:$C$15,K$13:K$15),1)</f>
        <v>0</v>
      </c>
      <c s="125">
        <f>Предпосылки!K$239*Предпосылки!$O272*Продажи!L37*L$19*(1+Чувствительность!$D$20)*IFERROR(LOOKUP(Предпосылки!$H$212,$C$13:$C$15,L$13:L$15),1)</f>
        <v>0</v>
      </c>
      <c s="125">
        <f>Предпосылки!L$239*Предпосылки!$O272*Продажи!M37*M$19*(1+Чувствительность!$D$20)*IFERROR(LOOKUP(Предпосылки!$H$212,$C$13:$C$15,M$13:M$15),1)</f>
        <v>0</v>
      </c>
      <c s="125">
        <f>Предпосылки!M$239*Предпосылки!$O272*Продажи!N37*N$19*(1+Чувствительность!$D$20)*IFERROR(LOOKUP(Предпосылки!$H$212,$C$13:$C$15,N$13:N$15),1)</f>
        <v>0</v>
      </c>
      <c s="125">
        <f>Предпосылки!N$239*Предпосылки!$O272*Продажи!O37*O$19*(1+Чувствительность!$D$20)*IFERROR(LOOKUP(Предпосылки!$H$212,$C$13:$C$15,O$13:O$15),1)</f>
        <v>0</v>
      </c>
      <c s="125">
        <f>Предпосылки!O$239*Предпосылки!$O272*Продажи!P37*P$19*(1+Чувствительность!$D$20)*IFERROR(LOOKUP(Предпосылки!$H$212,$C$13:$C$15,P$13:P$15),1)</f>
        <v>0</v>
      </c>
      <c s="125">
        <f>Предпосылки!P$239*Предпосылки!$O272*Продажи!Q37*Q$19*(1+Чувствительность!$D$20)*IFERROR(LOOKUP(Предпосылки!$H$212,$C$13:$C$15,Q$13:Q$15),1)</f>
        <v>0</v>
      </c>
      <c s="125">
        <f>Предпосылки!Q$239*Предпосылки!$O272*Продажи!R37*R$19*(1+Чувствительность!$D$20)*IFERROR(LOOKUP(Предпосылки!$H$212,$C$13:$C$15,R$13:R$15),1)</f>
        <v>0</v>
      </c>
      <c s="125">
        <f>Предпосылки!R$239*Предпосылки!$O272*Продажи!S37*S$19*(1+Чувствительность!$D$20)*IFERROR(LOOKUP(Предпосылки!$H$212,$C$13:$C$15,S$13:S$15),1)</f>
        <v>0</v>
      </c>
      <c s="125">
        <f>Предпосылки!S$239*Предпосылки!$O272*Продажи!T37*T$19*(1+Чувствительность!$D$20)*IFERROR(LOOKUP(Предпосылки!$H$212,$C$13:$C$15,T$13:T$15),1)</f>
        <v>0</v>
      </c>
      <c s="125">
        <f>Предпосылки!T$239*Предпосылки!$O272*Продажи!U37*U$19*(1+Чувствительность!$D$20)*IFERROR(LOOKUP(Предпосылки!$H$212,$C$13:$C$15,U$13:U$15),1)</f>
        <v>0</v>
      </c>
      <c s="125">
        <f>Предпосылки!U$239*Предпосылки!$O272*Продажи!V37*V$19*(1+Чувствительность!$D$20)*IFERROR(LOOKUP(Предпосылки!$H$212,$C$13:$C$15,V$13:V$15),1)</f>
        <v>0</v>
      </c>
      <c s="125">
        <f>Предпосылки!V$239*Предпосылки!$O272*Продажи!W37*W$19*(1+Чувствительность!$D$20)*IFERROR(LOOKUP(Предпосылки!$H$212,$C$13:$C$15,W$13:W$15),1)</f>
        <v>0</v>
      </c>
      <c s="125">
        <f>Предпосылки!W$239*Предпосылки!$O272*Продажи!X37*X$19*(1+Чувствительность!$D$20)*IFERROR(LOOKUP(Предпосылки!$H$212,$C$13:$C$15,X$13:X$15),1)</f>
        <v>0</v>
      </c>
      <c s="125">
        <f>Предпосылки!X$239*Предпосылки!$O272*Продажи!Y37*Y$19*(1+Чувствительность!$D$20)*IFERROR(LOOKUP(Предпосылки!$H$212,$C$13:$C$15,Y$13:Y$15),1)</f>
        <v>0</v>
      </c>
      <c s="125">
        <f>Предпосылки!Y$239*Предпосылки!$O272*Продажи!Z37*Z$19*(1+Чувствительность!$D$20)*IFERROR(LOOKUP(Предпосылки!$H$212,$C$13:$C$15,Z$13:Z$15),1)</f>
        <v>0</v>
      </c>
      <c s="125">
        <f>Предпосылки!Z$239*Предпосылки!$O272*Продажи!AA37*AA$19*(1+Чувствительность!$D$20)*IFERROR(LOOKUP(Предпосылки!$H$212,$C$13:$C$15,AA$13:AA$15),1)</f>
        <v>0</v>
      </c>
      <c s="125">
        <f>Предпосылки!AA$239*Предпосылки!$O272*Продажи!AB37*AB$19*(1+Чувствительность!$D$20)*IFERROR(LOOKUP(Предпосылки!$H$212,$C$13:$C$15,AB$13:AB$15),1)</f>
        <v>0</v>
      </c>
      <c s="125">
        <f>Предпосылки!AB$239*Предпосылки!$O272*Продажи!AC37*AC$19*(1+Чувствительность!$D$20)*IFERROR(LOOKUP(Предпосылки!$H$212,$C$13:$C$15,AC$13:AC$15),1)</f>
        <v>0</v>
      </c>
      <c s="125">
        <f>Предпосылки!AC$239*Предпосылки!$O272*Продажи!AD37*AD$19*(1+Чувствительность!$D$20)*IFERROR(LOOKUP(Предпосылки!$H$212,$C$13:$C$15,AD$13:AD$15),1)</f>
        <v>0</v>
      </c>
      <c s="125">
        <f>Предпосылки!AD$239*Предпосылки!$O272*Продажи!AE37*AE$19*(1+Чувствительность!$D$20)*IFERROR(LOOKUP(Предпосылки!$H$212,$C$13:$C$15,AE$13:AE$15),1)</f>
        <v>0</v>
      </c>
      <c s="125">
        <f>Предпосылки!AE$239*Предпосылки!$O272*Продажи!AF37*AF$19*(1+Чувствительность!$D$20)*IFERROR(LOOKUP(Предпосылки!$H$212,$C$13:$C$15,AF$13:AF$15),1)</f>
        <v>0</v>
      </c>
      <c s="125">
        <f>Предпосылки!AF$239*Предпосылки!$O272*Продажи!AG37*AG$19*(1+Чувствительность!$D$20)*IFERROR(LOOKUP(Предпосылки!$H$212,$C$13:$C$15,AG$13:AG$15),1)</f>
        <v>0</v>
      </c>
      <c s="125">
        <f>Предпосылки!AG$239*Предпосылки!$O272*Продажи!AH37*AH$19*(1+Чувствительность!$D$20)*IFERROR(LOOKUP(Предпосылки!$H$212,$C$13:$C$15,AH$13:AH$15),1)</f>
        <v>0</v>
      </c>
      <c s="125">
        <f>Предпосылки!AH$239*Предпосылки!$O272*Продажи!AI37*AI$19*(1+Чувствительность!$D$20)*IFERROR(LOOKUP(Предпосылки!$H$212,$C$13:$C$15,AI$13:AI$15),1)</f>
        <v>0</v>
      </c>
      <c s="125">
        <f>Предпосылки!AI$239*Предпосылки!$O272*Продажи!AJ37*AJ$19*(1+Чувствительность!$D$20)*IFERROR(LOOKUP(Предпосылки!$H$212,$C$13:$C$15,AJ$13:AJ$15),1)</f>
        <v>0</v>
      </c>
      <c s="125">
        <f>Предпосылки!AJ$239*Предпосылки!$O272*Продажи!AK37*AK$19*(1+Чувствительность!$D$20)*IFERROR(LOOKUP(Предпосылки!$H$212,$C$13:$C$15,AK$13:AK$15),1)</f>
        <v>0</v>
      </c>
      <c s="125">
        <f>Предпосылки!AK$239*Предпосылки!$O272*Продажи!AL37*AL$19*(1+Чувствительность!$D$20)*IFERROR(LOOKUP(Предпосылки!$H$212,$C$13:$C$15,AL$13:AL$15),1)</f>
        <v>0</v>
      </c>
      <c s="125">
        <f>Предпосылки!AL$239*Предпосылки!$O272*Продажи!AM37*AM$19*(1+Чувствительность!$D$20)*IFERROR(LOOKUP(Предпосылки!$H$212,$C$13:$C$15,AM$13:AM$15),1)</f>
        <v>0</v>
      </c>
      <c s="125">
        <f>Предпосылки!AM$239*Предпосылки!$O272*Продажи!AN37*AN$19*(1+Чувствительность!$D$20)*IFERROR(LOOKUP(Предпосылки!$H$212,$C$13:$C$15,AN$13:AN$15),1)</f>
        <v>0</v>
      </c>
      <c s="125">
        <f>Предпосылки!AN$239*Предпосылки!$O272*Продажи!AO37*AO$19*(1+Чувствительность!$D$20)*IFERROR(LOOKUP(Предпосылки!$H$212,$C$13:$C$15,AO$13:AO$15),1)</f>
        <v>0</v>
      </c>
      <c s="125">
        <f>Предпосылки!AO$239*Предпосылки!$O272*Продажи!AP37*AP$19*(1+Чувствительность!$D$20)*IFERROR(LOOKUP(Предпосылки!$H$212,$C$13:$C$15,AP$13:AP$15),1)</f>
        <v>0</v>
      </c>
      <c s="125">
        <f>Предпосылки!AP$239*Предпосылки!$O272*Продажи!AQ37*AQ$19*(1+Чувствительность!$D$20)*IFERROR(LOOKUP(Предпосылки!$H$212,$C$13:$C$15,AQ$13:AQ$15),1)</f>
        <v>0</v>
      </c>
      <c s="125">
        <f>Предпосылки!AQ$239*Предпосылки!$O272*Продажи!AR37*AR$19*(1+Чувствительность!$D$20)*IFERROR(LOOKUP(Предпосылки!$H$212,$C$13:$C$15,AR$13:AR$15),1)</f>
        <v>0</v>
      </c>
      <c s="125">
        <f>Предпосылки!AR$239*Предпосылки!$O272*Продажи!AS37*AS$19*(1+Чувствительность!$D$20)*IFERROR(LOOKUP(Предпосылки!$H$212,$C$13:$C$15,AS$13:AS$15),1)</f>
        <v>0</v>
      </c>
      <c s="125">
        <f>Предпосылки!AS$239*Предпосылки!$O272*Продажи!AT37*AT$19*(1+Чувствительность!$D$20)*IFERROR(LOOKUP(Предпосылки!$H$212,$C$13:$C$15,AT$13:AT$15),1)</f>
        <v>0</v>
      </c>
      <c s="125">
        <f>Предпосылки!AT$239*Предпосылки!$O272*Продажи!AU37*AU$19*(1+Чувствительность!$D$20)*IFERROR(LOOKUP(Предпосылки!$H$212,$C$13:$C$15,AU$13:AU$15),1)</f>
        <v>0</v>
      </c>
      <c s="125">
        <f>Предпосылки!AU$239*Предпосылки!$O272*Продажи!AV37*AV$19*(1+Чувствительность!$D$20)*IFERROR(LOOKUP(Предпосылки!$H$212,$C$13:$C$15,AV$13:AV$15),1)</f>
        <v>0</v>
      </c>
      <c s="125">
        <f>Предпосылки!AV$239*Предпосылки!$O272*Продажи!AW37*AW$19*(1+Чувствительность!$D$20)*IFERROR(LOOKUP(Предпосылки!$H$212,$C$13:$C$15,AW$13:AW$15),1)</f>
        <v>0</v>
      </c>
      <c s="125">
        <f>Предпосылки!AW$239*Предпосылки!$O272*Продажи!AX37*AX$19*(1+Чувствительность!$D$20)*IFERROR(LOOKUP(Предпосылки!$H$212,$C$13:$C$15,AX$13:AX$15),1)</f>
        <v>0</v>
      </c>
      <c s="125">
        <f>Предпосылки!AX$239*Предпосылки!$O272*Продажи!AY37*AY$19*(1+Чувствительность!$D$20)*IFERROR(LOOKUP(Предпосылки!$H$212,$C$13:$C$15,AY$13:AY$15),1)</f>
        <v>0</v>
      </c>
      <c s="125">
        <f>Предпосылки!AY$239*Предпосылки!$O272*Продажи!AZ37*AZ$19*(1+Чувствительность!$D$20)*IFERROR(LOOKUP(Предпосылки!$H$212,$C$13:$C$15,AZ$13:AZ$15),1)</f>
        <v>0</v>
      </c>
      <c s="125">
        <f>Предпосылки!AZ$239*Предпосылки!$O272*Продажи!BA37*BA$19*(1+Чувствительность!$D$20)*IFERROR(LOOKUP(Предпосылки!$H$212,$C$13:$C$15,BA$13:BA$15),1)</f>
        <v>0</v>
      </c>
      <c s="125">
        <f>Предпосылки!BA$239*Предпосылки!$O272*Продажи!BB37*BB$19*(1+Чувствительность!$D$20)*IFERROR(LOOKUP(Предпосылки!$H$212,$C$13:$C$15,BB$13:BB$15),1)</f>
        <v>0</v>
      </c>
      <c s="125">
        <f>Предпосылки!BB$239*Предпосылки!$O272*Продажи!BC37*BC$19*(1+Чувствительность!$D$20)*IFERROR(LOOKUP(Предпосылки!$H$212,$C$13:$C$15,BC$13:BC$15),1)</f>
        <v>0</v>
      </c>
      <c s="125">
        <f>Предпосылки!BC$239*Предпосылки!$O272*Продажи!BD37*BD$19*(1+Чувствительность!$D$20)*IFERROR(LOOKUP(Предпосылки!$H$212,$C$13:$C$15,BD$13:BD$15),1)</f>
        <v>0</v>
      </c>
      <c s="125">
        <f>Предпосылки!BD$239*Предпосылки!$O272*Продажи!BE37*BE$19*(1+Чувствительность!$D$20)*IFERROR(LOOKUP(Предпосылки!$H$212,$C$13:$C$15,BE$13:BE$15),1)</f>
        <v>0</v>
      </c>
      <c s="125">
        <f>Предпосылки!BE$239*Предпосылки!$O272*Продажи!BF37*BF$19*(1+Чувствительность!$D$20)*IFERROR(LOOKUP(Предпосылки!$H$212,$C$13:$C$15,BF$13:BF$15),1)</f>
        <v>0</v>
      </c>
      <c s="125">
        <f>Предпосылки!BF$239*Предпосылки!$O272*Продажи!BG37*BG$19*(1+Чувствительность!$D$20)*IFERROR(LOOKUP(Предпосылки!$H$212,$C$13:$C$15,BG$13:BG$15),1)</f>
        <v>0</v>
      </c>
      <c s="125">
        <f>Предпосылки!BG$239*Предпосылки!$O272*Продажи!BH37*BH$19*(1+Чувствительность!$D$20)*IFERROR(LOOKUP(Предпосылки!$H$212,$C$13:$C$15,BH$13:BH$15),1)</f>
        <v>0</v>
      </c>
      <c s="125">
        <f>Предпосылки!BH$239*Предпосылки!$O272*Продажи!BI37*BI$19*(1+Чувствительность!$D$20)*IFERROR(LOOKUP(Предпосылки!$H$212,$C$13:$C$15,BI$13:BI$15),1)</f>
        <v>0</v>
      </c>
      <c s="125">
        <f>Предпосылки!BI$239*Предпосылки!$O272*Продажи!BJ37*BJ$19*(1+Чувствительность!$D$20)*IFERROR(LOOKUP(Предпосылки!$H$212,$C$13:$C$15,BJ$13:BJ$15),1)</f>
        <v>0</v>
      </c>
      <c s="125">
        <f>Предпосылки!BJ$239*Предпосылки!$O272*Продажи!BK37*BK$19*(1+Чувствительность!$D$20)*IFERROR(LOOKUP(Предпосылки!$H$212,$C$13:$C$15,BK$13:BK$15),1)</f>
        <v>0</v>
      </c>
      <c s="125">
        <f>Предпосылки!BK$239*Предпосылки!$O272*Продажи!BL37*BL$19*(1+Чувствительность!$D$20)*IFERROR(LOOKUP(Предпосылки!$H$212,$C$13:$C$15,BL$13:BL$15),1)</f>
        <v>0</v>
      </c>
      <c s="125">
        <f>Предпосылки!BL$239*Предпосылки!$O272*Продажи!BM37*BM$19*(1+Чувствительность!$D$20)*IFERROR(LOOKUP(Предпосылки!$H$212,$C$13:$C$15,BM$13:BM$15),1)</f>
        <v>0</v>
      </c>
    </row>
    <row r="296" spans="2:65" ht="15" customHeight="1">
      <c r="B296" s="289" t="s">
        <v>454</v>
      </c>
      <c s="290" t="str">
        <f>Единица_измерения</f>
        <v>тыс. руб.</v>
      </c>
      <c s="291">
        <f>SUM(D276:D295)</f>
        <v>0</v>
      </c>
      <c s="276">
        <f>SUM(E276:E295)</f>
        <v>0</v>
      </c>
      <c s="276">
        <f t="shared" si="118" ref="F296:AG296">SUM(F276:F295)</f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9" ref="AH296:BM296">SUM(AH276:AH295)</f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  <c s="276">
        <f t="shared" si="119"/>
        <v>0</v>
      </c>
    </row>
    <row r="297" ht="15" customHeight="1"/>
    <row r="298" spans="2:69" ht="14.45">
      <c r="B298" s="25" t="str">
        <f>Предпосылки!B240</f>
        <v>Операционные затраты 13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99" spans="2:65" ht="15" customHeight="1">
      <c r="B299" s="12" t="str">
        <f>B276</f>
        <v>Продукт 1</v>
      </c>
      <c s="124" t="str">
        <f t="shared" si="120" ref="C299:C318">Единица_измерения</f>
        <v>тыс. руб.</v>
      </c>
      <c s="276">
        <f>SUM(E299:BM299)</f>
        <v>0</v>
      </c>
      <c s="125">
        <f>Предпосылки!D$240*Предпосылки!$P253*Продажи!E18*E$19*(1+Чувствительность!$D$20)*IFERROR(LOOKUP(Предпосылки!$H$213,$C$13:$C$15,E$13:E$15),1)</f>
        <v>0</v>
      </c>
      <c s="125">
        <f>Предпосылки!E$240*Предпосылки!$P253*Продажи!F18*F$19*(1+Чувствительность!$D$20)*IFERROR(LOOKUP(Предпосылки!$H$213,$C$13:$C$15,F$13:F$15),1)</f>
        <v>0</v>
      </c>
      <c s="125">
        <f>Предпосылки!F$240*Предпосылки!$P253*Продажи!G18*G$19*(1+Чувствительность!$D$20)*IFERROR(LOOKUP(Предпосылки!$H$213,$C$13:$C$15,G$13:G$15),1)</f>
        <v>0</v>
      </c>
      <c s="125">
        <f>Предпосылки!G$240*Предпосылки!$P253*Продажи!H18*H$19*(1+Чувствительность!$D$20)*IFERROR(LOOKUP(Предпосылки!$H$213,$C$13:$C$15,H$13:H$15),1)</f>
        <v>0</v>
      </c>
      <c s="125">
        <f>Предпосылки!H$240*Предпосылки!$P253*Продажи!I18*I$19*(1+Чувствительность!$D$20)*IFERROR(LOOKUP(Предпосылки!$H$213,$C$13:$C$15,I$13:I$15),1)</f>
        <v>0</v>
      </c>
      <c s="125">
        <f>Предпосылки!I$240*Предпосылки!$P253*Продажи!J18*J$19*(1+Чувствительность!$D$20)*IFERROR(LOOKUP(Предпосылки!$H$213,$C$13:$C$15,J$13:J$15),1)</f>
        <v>0</v>
      </c>
      <c s="125">
        <f>Предпосылки!J$240*Предпосылки!$P253*Продажи!K18*K$19*(1+Чувствительность!$D$20)*IFERROR(LOOKUP(Предпосылки!$H$213,$C$13:$C$15,K$13:K$15),1)</f>
        <v>0</v>
      </c>
      <c s="125">
        <f>Предпосылки!K$240*Предпосылки!$P253*Продажи!L18*L$19*(1+Чувствительность!$D$20)*IFERROR(LOOKUP(Предпосылки!$H$213,$C$13:$C$15,L$13:L$15),1)</f>
        <v>0</v>
      </c>
      <c s="125">
        <f>Предпосылки!L$240*Предпосылки!$P253*Продажи!M18*M$19*(1+Чувствительность!$D$20)*IFERROR(LOOKUP(Предпосылки!$H$213,$C$13:$C$15,M$13:M$15),1)</f>
        <v>0</v>
      </c>
      <c s="125">
        <f>Предпосылки!M$240*Предпосылки!$P253*Продажи!N18*N$19*(1+Чувствительность!$D$20)*IFERROR(LOOKUP(Предпосылки!$H$213,$C$13:$C$15,N$13:N$15),1)</f>
        <v>0</v>
      </c>
      <c s="125">
        <f>Предпосылки!N$240*Предпосылки!$P253*Продажи!O18*O$19*(1+Чувствительность!$D$20)*IFERROR(LOOKUP(Предпосылки!$H$213,$C$13:$C$15,O$13:O$15),1)</f>
        <v>0</v>
      </c>
      <c s="125">
        <f>Предпосылки!O$240*Предпосылки!$P253*Продажи!P18*P$19*(1+Чувствительность!$D$20)*IFERROR(LOOKUP(Предпосылки!$H$213,$C$13:$C$15,P$13:P$15),1)</f>
        <v>0</v>
      </c>
      <c s="125">
        <f>Предпосылки!P$240*Предпосылки!$P253*Продажи!Q18*Q$19*(1+Чувствительность!$D$20)*IFERROR(LOOKUP(Предпосылки!$H$213,$C$13:$C$15,Q$13:Q$15),1)</f>
        <v>0</v>
      </c>
      <c s="125">
        <f>Предпосылки!Q$240*Предпосылки!$P253*Продажи!R18*R$19*(1+Чувствительность!$D$20)*IFERROR(LOOKUP(Предпосылки!$H$213,$C$13:$C$15,R$13:R$15),1)</f>
        <v>0</v>
      </c>
      <c s="125">
        <f>Предпосылки!R$240*Предпосылки!$P253*Продажи!S18*S$19*(1+Чувствительность!$D$20)*IFERROR(LOOKUP(Предпосылки!$H$213,$C$13:$C$15,S$13:S$15),1)</f>
        <v>0</v>
      </c>
      <c s="125">
        <f>Предпосылки!S$240*Предпосылки!$P253*Продажи!T18*T$19*(1+Чувствительность!$D$20)*IFERROR(LOOKUP(Предпосылки!$H$213,$C$13:$C$15,T$13:T$15),1)</f>
        <v>0</v>
      </c>
      <c s="125">
        <f>Предпосылки!T$240*Предпосылки!$P253*Продажи!U18*U$19*(1+Чувствительность!$D$20)*IFERROR(LOOKUP(Предпосылки!$H$213,$C$13:$C$15,U$13:U$15),1)</f>
        <v>0</v>
      </c>
      <c s="125">
        <f>Предпосылки!U$240*Предпосылки!$P253*Продажи!V18*V$19*(1+Чувствительность!$D$20)*IFERROR(LOOKUP(Предпосылки!$H$213,$C$13:$C$15,V$13:V$15),1)</f>
        <v>0</v>
      </c>
      <c s="125">
        <f>Предпосылки!V$240*Предпосылки!$P253*Продажи!W18*W$19*(1+Чувствительность!$D$20)*IFERROR(LOOKUP(Предпосылки!$H$213,$C$13:$C$15,W$13:W$15),1)</f>
        <v>0</v>
      </c>
      <c s="125">
        <f>Предпосылки!W$240*Предпосылки!$P253*Продажи!X18*X$19*(1+Чувствительность!$D$20)*IFERROR(LOOKUP(Предпосылки!$H$213,$C$13:$C$15,X$13:X$15),1)</f>
        <v>0</v>
      </c>
      <c s="125">
        <f>Предпосылки!X$240*Предпосылки!$P253*Продажи!Y18*Y$19*(1+Чувствительность!$D$20)*IFERROR(LOOKUP(Предпосылки!$H$213,$C$13:$C$15,Y$13:Y$15),1)</f>
        <v>0</v>
      </c>
      <c s="125">
        <f>Предпосылки!Y$240*Предпосылки!$P253*Продажи!Z18*Z$19*(1+Чувствительность!$D$20)*IFERROR(LOOKUP(Предпосылки!$H$213,$C$13:$C$15,Z$13:Z$15),1)</f>
        <v>0</v>
      </c>
      <c s="125">
        <f>Предпосылки!Z$240*Предпосылки!$P253*Продажи!AA18*AA$19*(1+Чувствительность!$D$20)*IFERROR(LOOKUP(Предпосылки!$H$213,$C$13:$C$15,AA$13:AA$15),1)</f>
        <v>0</v>
      </c>
      <c s="125">
        <f>Предпосылки!AA$240*Предпосылки!$P253*Продажи!AB18*AB$19*(1+Чувствительность!$D$20)*IFERROR(LOOKUP(Предпосылки!$H$213,$C$13:$C$15,AB$13:AB$15),1)</f>
        <v>0</v>
      </c>
      <c s="125">
        <f>Предпосылки!AB$240*Предпосылки!$P253*Продажи!AC18*AC$19*(1+Чувствительность!$D$20)*IFERROR(LOOKUP(Предпосылки!$H$213,$C$13:$C$15,AC$13:AC$15),1)</f>
        <v>0</v>
      </c>
      <c s="125">
        <f>Предпосылки!AC$240*Предпосылки!$P253*Продажи!AD18*AD$19*(1+Чувствительность!$D$20)*IFERROR(LOOKUP(Предпосылки!$H$213,$C$13:$C$15,AD$13:AD$15),1)</f>
        <v>0</v>
      </c>
      <c s="125">
        <f>Предпосылки!AD$240*Предпосылки!$P253*Продажи!AE18*AE$19*(1+Чувствительность!$D$20)*IFERROR(LOOKUP(Предпосылки!$H$213,$C$13:$C$15,AE$13:AE$15),1)</f>
        <v>0</v>
      </c>
      <c s="125">
        <f>Предпосылки!AE$240*Предпосылки!$P253*Продажи!AF18*AF$19*(1+Чувствительность!$D$20)*IFERROR(LOOKUP(Предпосылки!$H$213,$C$13:$C$15,AF$13:AF$15),1)</f>
        <v>0</v>
      </c>
      <c s="125">
        <f>Предпосылки!AF$240*Предпосылки!$P253*Продажи!AG18*AG$19*(1+Чувствительность!$D$20)*IFERROR(LOOKUP(Предпосылки!$H$213,$C$13:$C$15,AG$13:AG$15),1)</f>
        <v>0</v>
      </c>
      <c s="125">
        <f>Предпосылки!AG$240*Предпосылки!$P253*Продажи!AH18*AH$19*(1+Чувствительность!$D$20)*IFERROR(LOOKUP(Предпосылки!$H$213,$C$13:$C$15,AH$13:AH$15),1)</f>
        <v>0</v>
      </c>
      <c s="125">
        <f>Предпосылки!AH$240*Предпосылки!$P253*Продажи!AI18*AI$19*(1+Чувствительность!$D$20)*IFERROR(LOOKUP(Предпосылки!$H$213,$C$13:$C$15,AI$13:AI$15),1)</f>
        <v>0</v>
      </c>
      <c s="125">
        <f>Предпосылки!AI$240*Предпосылки!$P253*Продажи!AJ18*AJ$19*(1+Чувствительность!$D$20)*IFERROR(LOOKUP(Предпосылки!$H$213,$C$13:$C$15,AJ$13:AJ$15),1)</f>
        <v>0</v>
      </c>
      <c s="125">
        <f>Предпосылки!AJ$240*Предпосылки!$P253*Продажи!AK18*AK$19*(1+Чувствительность!$D$20)*IFERROR(LOOKUP(Предпосылки!$H$213,$C$13:$C$15,AK$13:AK$15),1)</f>
        <v>0</v>
      </c>
      <c s="125">
        <f>Предпосылки!AK$240*Предпосылки!$P253*Продажи!AL18*AL$19*(1+Чувствительность!$D$20)*IFERROR(LOOKUP(Предпосылки!$H$213,$C$13:$C$15,AL$13:AL$15),1)</f>
        <v>0</v>
      </c>
      <c s="125">
        <f>Предпосылки!AL$240*Предпосылки!$P253*Продажи!AM18*AM$19*(1+Чувствительность!$D$20)*IFERROR(LOOKUP(Предпосылки!$H$213,$C$13:$C$15,AM$13:AM$15),1)</f>
        <v>0</v>
      </c>
      <c s="125">
        <f>Предпосылки!AM$240*Предпосылки!$P253*Продажи!AN18*AN$19*(1+Чувствительность!$D$20)*IFERROR(LOOKUP(Предпосылки!$H$213,$C$13:$C$15,AN$13:AN$15),1)</f>
        <v>0</v>
      </c>
      <c s="125">
        <f>Предпосылки!AN$240*Предпосылки!$P253*Продажи!AO18*AO$19*(1+Чувствительность!$D$20)*IFERROR(LOOKUP(Предпосылки!$H$213,$C$13:$C$15,AO$13:AO$15),1)</f>
        <v>0</v>
      </c>
      <c s="125">
        <f>Предпосылки!AO$240*Предпосылки!$P253*Продажи!AP18*AP$19*(1+Чувствительность!$D$20)*IFERROR(LOOKUP(Предпосылки!$H$213,$C$13:$C$15,AP$13:AP$15),1)</f>
        <v>0</v>
      </c>
      <c s="125">
        <f>Предпосылки!AP$240*Предпосылки!$P253*Продажи!AQ18*AQ$19*(1+Чувствительность!$D$20)*IFERROR(LOOKUP(Предпосылки!$H$213,$C$13:$C$15,AQ$13:AQ$15),1)</f>
        <v>0</v>
      </c>
      <c s="125">
        <f>Предпосылки!AQ$240*Предпосылки!$P253*Продажи!AR18*AR$19*(1+Чувствительность!$D$20)*IFERROR(LOOKUP(Предпосылки!$H$213,$C$13:$C$15,AR$13:AR$15),1)</f>
        <v>0</v>
      </c>
      <c s="125">
        <f>Предпосылки!AR$240*Предпосылки!$P253*Продажи!AS18*AS$19*(1+Чувствительность!$D$20)*IFERROR(LOOKUP(Предпосылки!$H$213,$C$13:$C$15,AS$13:AS$15),1)</f>
        <v>0</v>
      </c>
      <c s="125">
        <f>Предпосылки!AS$240*Предпосылки!$P253*Продажи!AT18*AT$19*(1+Чувствительность!$D$20)*IFERROR(LOOKUP(Предпосылки!$H$213,$C$13:$C$15,AT$13:AT$15),1)</f>
        <v>0</v>
      </c>
      <c s="125">
        <f>Предпосылки!AT$240*Предпосылки!$P253*Продажи!AU18*AU$19*(1+Чувствительность!$D$20)*IFERROR(LOOKUP(Предпосылки!$H$213,$C$13:$C$15,AU$13:AU$15),1)</f>
        <v>0</v>
      </c>
      <c s="125">
        <f>Предпосылки!AU$240*Предпосылки!$P253*Продажи!AV18*AV$19*(1+Чувствительность!$D$20)*IFERROR(LOOKUP(Предпосылки!$H$213,$C$13:$C$15,AV$13:AV$15),1)</f>
        <v>0</v>
      </c>
      <c s="125">
        <f>Предпосылки!AV$240*Предпосылки!$P253*Продажи!AW18*AW$19*(1+Чувствительность!$D$20)*IFERROR(LOOKUP(Предпосылки!$H$213,$C$13:$C$15,AW$13:AW$15),1)</f>
        <v>0</v>
      </c>
      <c s="125">
        <f>Предпосылки!AW$240*Предпосылки!$P253*Продажи!AX18*AX$19*(1+Чувствительность!$D$20)*IFERROR(LOOKUP(Предпосылки!$H$213,$C$13:$C$15,AX$13:AX$15),1)</f>
        <v>0</v>
      </c>
      <c s="125">
        <f>Предпосылки!AX$240*Предпосылки!$P253*Продажи!AY18*AY$19*(1+Чувствительность!$D$20)*IFERROR(LOOKUP(Предпосылки!$H$213,$C$13:$C$15,AY$13:AY$15),1)</f>
        <v>0</v>
      </c>
      <c s="125">
        <f>Предпосылки!AY$240*Предпосылки!$P253*Продажи!AZ18*AZ$19*(1+Чувствительность!$D$20)*IFERROR(LOOKUP(Предпосылки!$H$213,$C$13:$C$15,AZ$13:AZ$15),1)</f>
        <v>0</v>
      </c>
      <c s="125">
        <f>Предпосылки!AZ$240*Предпосылки!$P253*Продажи!BA18*BA$19*(1+Чувствительность!$D$20)*IFERROR(LOOKUP(Предпосылки!$H$213,$C$13:$C$15,BA$13:BA$15),1)</f>
        <v>0</v>
      </c>
      <c s="125">
        <f>Предпосылки!BA$240*Предпосылки!$P253*Продажи!BB18*BB$19*(1+Чувствительность!$D$20)*IFERROR(LOOKUP(Предпосылки!$H$213,$C$13:$C$15,BB$13:BB$15),1)</f>
        <v>0</v>
      </c>
      <c s="125">
        <f>Предпосылки!BB$240*Предпосылки!$P253*Продажи!BC18*BC$19*(1+Чувствительность!$D$20)*IFERROR(LOOKUP(Предпосылки!$H$213,$C$13:$C$15,BC$13:BC$15),1)</f>
        <v>0</v>
      </c>
      <c s="125">
        <f>Предпосылки!BC$240*Предпосылки!$P253*Продажи!BD18*BD$19*(1+Чувствительность!$D$20)*IFERROR(LOOKUP(Предпосылки!$H$213,$C$13:$C$15,BD$13:BD$15),1)</f>
        <v>0</v>
      </c>
      <c s="125">
        <f>Предпосылки!BD$240*Предпосылки!$P253*Продажи!BE18*BE$19*(1+Чувствительность!$D$20)*IFERROR(LOOKUP(Предпосылки!$H$213,$C$13:$C$15,BE$13:BE$15),1)</f>
        <v>0</v>
      </c>
      <c s="125">
        <f>Предпосылки!BE$240*Предпосылки!$P253*Продажи!BF18*BF$19*(1+Чувствительность!$D$20)*IFERROR(LOOKUP(Предпосылки!$H$213,$C$13:$C$15,BF$13:BF$15),1)</f>
        <v>0</v>
      </c>
      <c s="125">
        <f>Предпосылки!BF$240*Предпосылки!$P253*Продажи!BG18*BG$19*(1+Чувствительность!$D$20)*IFERROR(LOOKUP(Предпосылки!$H$213,$C$13:$C$15,BG$13:BG$15),1)</f>
        <v>0</v>
      </c>
      <c s="125">
        <f>Предпосылки!BG$240*Предпосылки!$P253*Продажи!BH18*BH$19*(1+Чувствительность!$D$20)*IFERROR(LOOKUP(Предпосылки!$H$213,$C$13:$C$15,BH$13:BH$15),1)</f>
        <v>0</v>
      </c>
      <c s="125">
        <f>Предпосылки!BH$240*Предпосылки!$P253*Продажи!BI18*BI$19*(1+Чувствительность!$D$20)*IFERROR(LOOKUP(Предпосылки!$H$213,$C$13:$C$15,BI$13:BI$15),1)</f>
        <v>0</v>
      </c>
      <c s="125">
        <f>Предпосылки!BI$240*Предпосылки!$P253*Продажи!BJ18*BJ$19*(1+Чувствительность!$D$20)*IFERROR(LOOKUP(Предпосылки!$H$213,$C$13:$C$15,BJ$13:BJ$15),1)</f>
        <v>0</v>
      </c>
      <c s="125">
        <f>Предпосылки!BJ$240*Предпосылки!$P253*Продажи!BK18*BK$19*(1+Чувствительность!$D$20)*IFERROR(LOOKUP(Предпосылки!$H$213,$C$13:$C$15,BK$13:BK$15),1)</f>
        <v>0</v>
      </c>
      <c s="125">
        <f>Предпосылки!BK$240*Предпосылки!$P253*Продажи!BL18*BL$19*(1+Чувствительность!$D$20)*IFERROR(LOOKUP(Предпосылки!$H$213,$C$13:$C$15,BL$13:BL$15),1)</f>
        <v>0</v>
      </c>
      <c s="125">
        <f>Предпосылки!BL$240*Предпосылки!$P253*Продажи!BM18*BM$19*(1+Чувствительность!$D$20)*IFERROR(LOOKUP(Предпосылки!$H$213,$C$13:$C$15,BM$13:BM$15),1)</f>
        <v>0</v>
      </c>
    </row>
    <row r="300" spans="2:65" ht="15" customHeight="1">
      <c r="B300" s="12" t="str">
        <f t="shared" si="121" ref="B300:B318">B277</f>
        <v>Продукт 2</v>
      </c>
      <c s="124" t="str">
        <f t="shared" si="120"/>
        <v>тыс. руб.</v>
      </c>
      <c s="276">
        <f t="shared" si="122" ref="D300:D318">SUM(E300:BM300)</f>
        <v>0</v>
      </c>
      <c s="125">
        <f>Предпосылки!D$240*Предпосылки!$P254*Продажи!E19*E$19*(1+Чувствительность!$D$20)*IFERROR(LOOKUP(Предпосылки!$H$213,$C$13:$C$15,E$13:E$15),1)</f>
        <v>0</v>
      </c>
      <c s="125">
        <f>Предпосылки!E$240*Предпосылки!$P254*Продажи!F19*F$19*(1+Чувствительность!$D$20)*IFERROR(LOOKUP(Предпосылки!$H$213,$C$13:$C$15,F$13:F$15),1)</f>
        <v>0</v>
      </c>
      <c s="125">
        <f>Предпосылки!F$240*Предпосылки!$P254*Продажи!G19*G$19*(1+Чувствительность!$D$20)*IFERROR(LOOKUP(Предпосылки!$H$213,$C$13:$C$15,G$13:G$15),1)</f>
        <v>0</v>
      </c>
      <c s="125">
        <f>Предпосылки!G$240*Предпосылки!$P254*Продажи!H19*H$19*(1+Чувствительность!$D$20)*IFERROR(LOOKUP(Предпосылки!$H$213,$C$13:$C$15,H$13:H$15),1)</f>
        <v>0</v>
      </c>
      <c s="125">
        <f>Предпосылки!H$240*Предпосылки!$P254*Продажи!I19*I$19*(1+Чувствительность!$D$20)*IFERROR(LOOKUP(Предпосылки!$H$213,$C$13:$C$15,I$13:I$15),1)</f>
        <v>0</v>
      </c>
      <c s="125">
        <f>Предпосылки!I$240*Предпосылки!$P254*Продажи!J19*J$19*(1+Чувствительность!$D$20)*IFERROR(LOOKUP(Предпосылки!$H$213,$C$13:$C$15,J$13:J$15),1)</f>
        <v>0</v>
      </c>
      <c s="125">
        <f>Предпосылки!J$240*Предпосылки!$P254*Продажи!K19*K$19*(1+Чувствительность!$D$20)*IFERROR(LOOKUP(Предпосылки!$H$213,$C$13:$C$15,K$13:K$15),1)</f>
        <v>0</v>
      </c>
      <c s="125">
        <f>Предпосылки!K$240*Предпосылки!$P254*Продажи!L19*L$19*(1+Чувствительность!$D$20)*IFERROR(LOOKUP(Предпосылки!$H$213,$C$13:$C$15,L$13:L$15),1)</f>
        <v>0</v>
      </c>
      <c s="125">
        <f>Предпосылки!L$240*Предпосылки!$P254*Продажи!M19*M$19*(1+Чувствительность!$D$20)*IFERROR(LOOKUP(Предпосылки!$H$213,$C$13:$C$15,M$13:M$15),1)</f>
        <v>0</v>
      </c>
      <c s="125">
        <f>Предпосылки!M$240*Предпосылки!$P254*Продажи!N19*N$19*(1+Чувствительность!$D$20)*IFERROR(LOOKUP(Предпосылки!$H$213,$C$13:$C$15,N$13:N$15),1)</f>
        <v>0</v>
      </c>
      <c s="125">
        <f>Предпосылки!N$240*Предпосылки!$P254*Продажи!O19*O$19*(1+Чувствительность!$D$20)*IFERROR(LOOKUP(Предпосылки!$H$213,$C$13:$C$15,O$13:O$15),1)</f>
        <v>0</v>
      </c>
      <c s="125">
        <f>Предпосылки!O$240*Предпосылки!$P254*Продажи!P19*P$19*(1+Чувствительность!$D$20)*IFERROR(LOOKUP(Предпосылки!$H$213,$C$13:$C$15,P$13:P$15),1)</f>
        <v>0</v>
      </c>
      <c s="125">
        <f>Предпосылки!P$240*Предпосылки!$P254*Продажи!Q19*Q$19*(1+Чувствительность!$D$20)*IFERROR(LOOKUP(Предпосылки!$H$213,$C$13:$C$15,Q$13:Q$15),1)</f>
        <v>0</v>
      </c>
      <c s="125">
        <f>Предпосылки!Q$240*Предпосылки!$P254*Продажи!R19*R$19*(1+Чувствительность!$D$20)*IFERROR(LOOKUP(Предпосылки!$H$213,$C$13:$C$15,R$13:R$15),1)</f>
        <v>0</v>
      </c>
      <c s="125">
        <f>Предпосылки!R$240*Предпосылки!$P254*Продажи!S19*S$19*(1+Чувствительность!$D$20)*IFERROR(LOOKUP(Предпосылки!$H$213,$C$13:$C$15,S$13:S$15),1)</f>
        <v>0</v>
      </c>
      <c s="125">
        <f>Предпосылки!S$240*Предпосылки!$P254*Продажи!T19*T$19*(1+Чувствительность!$D$20)*IFERROR(LOOKUP(Предпосылки!$H$213,$C$13:$C$15,T$13:T$15),1)</f>
        <v>0</v>
      </c>
      <c s="125">
        <f>Предпосылки!T$240*Предпосылки!$P254*Продажи!U19*U$19*(1+Чувствительность!$D$20)*IFERROR(LOOKUP(Предпосылки!$H$213,$C$13:$C$15,U$13:U$15),1)</f>
        <v>0</v>
      </c>
      <c s="125">
        <f>Предпосылки!U$240*Предпосылки!$P254*Продажи!V19*V$19*(1+Чувствительность!$D$20)*IFERROR(LOOKUP(Предпосылки!$H$213,$C$13:$C$15,V$13:V$15),1)</f>
        <v>0</v>
      </c>
      <c s="125">
        <f>Предпосылки!V$240*Предпосылки!$P254*Продажи!W19*W$19*(1+Чувствительность!$D$20)*IFERROR(LOOKUP(Предпосылки!$H$213,$C$13:$C$15,W$13:W$15),1)</f>
        <v>0</v>
      </c>
      <c s="125">
        <f>Предпосылки!W$240*Предпосылки!$P254*Продажи!X19*X$19*(1+Чувствительность!$D$20)*IFERROR(LOOKUP(Предпосылки!$H$213,$C$13:$C$15,X$13:X$15),1)</f>
        <v>0</v>
      </c>
      <c s="125">
        <f>Предпосылки!X$240*Предпосылки!$P254*Продажи!Y19*Y$19*(1+Чувствительность!$D$20)*IFERROR(LOOKUP(Предпосылки!$H$213,$C$13:$C$15,Y$13:Y$15),1)</f>
        <v>0</v>
      </c>
      <c s="125">
        <f>Предпосылки!Y$240*Предпосылки!$P254*Продажи!Z19*Z$19*(1+Чувствительность!$D$20)*IFERROR(LOOKUP(Предпосылки!$H$213,$C$13:$C$15,Z$13:Z$15),1)</f>
        <v>0</v>
      </c>
      <c s="125">
        <f>Предпосылки!Z$240*Предпосылки!$P254*Продажи!AA19*AA$19*(1+Чувствительность!$D$20)*IFERROR(LOOKUP(Предпосылки!$H$213,$C$13:$C$15,AA$13:AA$15),1)</f>
        <v>0</v>
      </c>
      <c s="125">
        <f>Предпосылки!AA$240*Предпосылки!$P254*Продажи!AB19*AB$19*(1+Чувствительность!$D$20)*IFERROR(LOOKUP(Предпосылки!$H$213,$C$13:$C$15,AB$13:AB$15),1)</f>
        <v>0</v>
      </c>
      <c s="125">
        <f>Предпосылки!AB$240*Предпосылки!$P254*Продажи!AC19*AC$19*(1+Чувствительность!$D$20)*IFERROR(LOOKUP(Предпосылки!$H$213,$C$13:$C$15,AC$13:AC$15),1)</f>
        <v>0</v>
      </c>
      <c s="125">
        <f>Предпосылки!AC$240*Предпосылки!$P254*Продажи!AD19*AD$19*(1+Чувствительность!$D$20)*IFERROR(LOOKUP(Предпосылки!$H$213,$C$13:$C$15,AD$13:AD$15),1)</f>
        <v>0</v>
      </c>
      <c s="125">
        <f>Предпосылки!AD$240*Предпосылки!$P254*Продажи!AE19*AE$19*(1+Чувствительность!$D$20)*IFERROR(LOOKUP(Предпосылки!$H$213,$C$13:$C$15,AE$13:AE$15),1)</f>
        <v>0</v>
      </c>
      <c s="125">
        <f>Предпосылки!AE$240*Предпосылки!$P254*Продажи!AF19*AF$19*(1+Чувствительность!$D$20)*IFERROR(LOOKUP(Предпосылки!$H$213,$C$13:$C$15,AF$13:AF$15),1)</f>
        <v>0</v>
      </c>
      <c s="125">
        <f>Предпосылки!AF$240*Предпосылки!$P254*Продажи!AG19*AG$19*(1+Чувствительность!$D$20)*IFERROR(LOOKUP(Предпосылки!$H$213,$C$13:$C$15,AG$13:AG$15),1)</f>
        <v>0</v>
      </c>
      <c s="125">
        <f>Предпосылки!AG$240*Предпосылки!$P254*Продажи!AH19*AH$19*(1+Чувствительность!$D$20)*IFERROR(LOOKUP(Предпосылки!$H$213,$C$13:$C$15,AH$13:AH$15),1)</f>
        <v>0</v>
      </c>
      <c s="125">
        <f>Предпосылки!AH$240*Предпосылки!$P254*Продажи!AI19*AI$19*(1+Чувствительность!$D$20)*IFERROR(LOOKUP(Предпосылки!$H$213,$C$13:$C$15,AI$13:AI$15),1)</f>
        <v>0</v>
      </c>
      <c s="125">
        <f>Предпосылки!AI$240*Предпосылки!$P254*Продажи!AJ19*AJ$19*(1+Чувствительность!$D$20)*IFERROR(LOOKUP(Предпосылки!$H$213,$C$13:$C$15,AJ$13:AJ$15),1)</f>
        <v>0</v>
      </c>
      <c s="125">
        <f>Предпосылки!AJ$240*Предпосылки!$P254*Продажи!AK19*AK$19*(1+Чувствительность!$D$20)*IFERROR(LOOKUP(Предпосылки!$H$213,$C$13:$C$15,AK$13:AK$15),1)</f>
        <v>0</v>
      </c>
      <c s="125">
        <f>Предпосылки!AK$240*Предпосылки!$P254*Продажи!AL19*AL$19*(1+Чувствительность!$D$20)*IFERROR(LOOKUP(Предпосылки!$H$213,$C$13:$C$15,AL$13:AL$15),1)</f>
        <v>0</v>
      </c>
      <c s="125">
        <f>Предпосылки!AL$240*Предпосылки!$P254*Продажи!AM19*AM$19*(1+Чувствительность!$D$20)*IFERROR(LOOKUP(Предпосылки!$H$213,$C$13:$C$15,AM$13:AM$15),1)</f>
        <v>0</v>
      </c>
      <c s="125">
        <f>Предпосылки!AM$240*Предпосылки!$P254*Продажи!AN19*AN$19*(1+Чувствительность!$D$20)*IFERROR(LOOKUP(Предпосылки!$H$213,$C$13:$C$15,AN$13:AN$15),1)</f>
        <v>0</v>
      </c>
      <c s="125">
        <f>Предпосылки!AN$240*Предпосылки!$P254*Продажи!AO19*AO$19*(1+Чувствительность!$D$20)*IFERROR(LOOKUP(Предпосылки!$H$213,$C$13:$C$15,AO$13:AO$15),1)</f>
        <v>0</v>
      </c>
      <c s="125">
        <f>Предпосылки!AO$240*Предпосылки!$P254*Продажи!AP19*AP$19*(1+Чувствительность!$D$20)*IFERROR(LOOKUP(Предпосылки!$H$213,$C$13:$C$15,AP$13:AP$15),1)</f>
        <v>0</v>
      </c>
      <c s="125">
        <f>Предпосылки!AP$240*Предпосылки!$P254*Продажи!AQ19*AQ$19*(1+Чувствительность!$D$20)*IFERROR(LOOKUP(Предпосылки!$H$213,$C$13:$C$15,AQ$13:AQ$15),1)</f>
        <v>0</v>
      </c>
      <c s="125">
        <f>Предпосылки!AQ$240*Предпосылки!$P254*Продажи!AR19*AR$19*(1+Чувствительность!$D$20)*IFERROR(LOOKUP(Предпосылки!$H$213,$C$13:$C$15,AR$13:AR$15),1)</f>
        <v>0</v>
      </c>
      <c s="125">
        <f>Предпосылки!AR$240*Предпосылки!$P254*Продажи!AS19*AS$19*(1+Чувствительность!$D$20)*IFERROR(LOOKUP(Предпосылки!$H$213,$C$13:$C$15,AS$13:AS$15),1)</f>
        <v>0</v>
      </c>
      <c s="125">
        <f>Предпосылки!AS$240*Предпосылки!$P254*Продажи!AT19*AT$19*(1+Чувствительность!$D$20)*IFERROR(LOOKUP(Предпосылки!$H$213,$C$13:$C$15,AT$13:AT$15),1)</f>
        <v>0</v>
      </c>
      <c s="125">
        <f>Предпосылки!AT$240*Предпосылки!$P254*Продажи!AU19*AU$19*(1+Чувствительность!$D$20)*IFERROR(LOOKUP(Предпосылки!$H$213,$C$13:$C$15,AU$13:AU$15),1)</f>
        <v>0</v>
      </c>
      <c s="125">
        <f>Предпосылки!AU$240*Предпосылки!$P254*Продажи!AV19*AV$19*(1+Чувствительность!$D$20)*IFERROR(LOOKUP(Предпосылки!$H$213,$C$13:$C$15,AV$13:AV$15),1)</f>
        <v>0</v>
      </c>
      <c s="125">
        <f>Предпосылки!AV$240*Предпосылки!$P254*Продажи!AW19*AW$19*(1+Чувствительность!$D$20)*IFERROR(LOOKUP(Предпосылки!$H$213,$C$13:$C$15,AW$13:AW$15),1)</f>
        <v>0</v>
      </c>
      <c s="125">
        <f>Предпосылки!AW$240*Предпосылки!$P254*Продажи!AX19*AX$19*(1+Чувствительность!$D$20)*IFERROR(LOOKUP(Предпосылки!$H$213,$C$13:$C$15,AX$13:AX$15),1)</f>
        <v>0</v>
      </c>
      <c s="125">
        <f>Предпосылки!AX$240*Предпосылки!$P254*Продажи!AY19*AY$19*(1+Чувствительность!$D$20)*IFERROR(LOOKUP(Предпосылки!$H$213,$C$13:$C$15,AY$13:AY$15),1)</f>
        <v>0</v>
      </c>
      <c s="125">
        <f>Предпосылки!AY$240*Предпосылки!$P254*Продажи!AZ19*AZ$19*(1+Чувствительность!$D$20)*IFERROR(LOOKUP(Предпосылки!$H$213,$C$13:$C$15,AZ$13:AZ$15),1)</f>
        <v>0</v>
      </c>
      <c s="125">
        <f>Предпосылки!AZ$240*Предпосылки!$P254*Продажи!BA19*BA$19*(1+Чувствительность!$D$20)*IFERROR(LOOKUP(Предпосылки!$H$213,$C$13:$C$15,BA$13:BA$15),1)</f>
        <v>0</v>
      </c>
      <c s="125">
        <f>Предпосылки!BA$240*Предпосылки!$P254*Продажи!BB19*BB$19*(1+Чувствительность!$D$20)*IFERROR(LOOKUP(Предпосылки!$H$213,$C$13:$C$15,BB$13:BB$15),1)</f>
        <v>0</v>
      </c>
      <c s="125">
        <f>Предпосылки!BB$240*Предпосылки!$P254*Продажи!BC19*BC$19*(1+Чувствительность!$D$20)*IFERROR(LOOKUP(Предпосылки!$H$213,$C$13:$C$15,BC$13:BC$15),1)</f>
        <v>0</v>
      </c>
      <c s="125">
        <f>Предпосылки!BC$240*Предпосылки!$P254*Продажи!BD19*BD$19*(1+Чувствительность!$D$20)*IFERROR(LOOKUP(Предпосылки!$H$213,$C$13:$C$15,BD$13:BD$15),1)</f>
        <v>0</v>
      </c>
      <c s="125">
        <f>Предпосылки!BD$240*Предпосылки!$P254*Продажи!BE19*BE$19*(1+Чувствительность!$D$20)*IFERROR(LOOKUP(Предпосылки!$H$213,$C$13:$C$15,BE$13:BE$15),1)</f>
        <v>0</v>
      </c>
      <c s="125">
        <f>Предпосылки!BE$240*Предпосылки!$P254*Продажи!BF19*BF$19*(1+Чувствительность!$D$20)*IFERROR(LOOKUP(Предпосылки!$H$213,$C$13:$C$15,BF$13:BF$15),1)</f>
        <v>0</v>
      </c>
      <c s="125">
        <f>Предпосылки!BF$240*Предпосылки!$P254*Продажи!BG19*BG$19*(1+Чувствительность!$D$20)*IFERROR(LOOKUP(Предпосылки!$H$213,$C$13:$C$15,BG$13:BG$15),1)</f>
        <v>0</v>
      </c>
      <c s="125">
        <f>Предпосылки!BG$240*Предпосылки!$P254*Продажи!BH19*BH$19*(1+Чувствительность!$D$20)*IFERROR(LOOKUP(Предпосылки!$H$213,$C$13:$C$15,BH$13:BH$15),1)</f>
        <v>0</v>
      </c>
      <c s="125">
        <f>Предпосылки!BH$240*Предпосылки!$P254*Продажи!BI19*BI$19*(1+Чувствительность!$D$20)*IFERROR(LOOKUP(Предпосылки!$H$213,$C$13:$C$15,BI$13:BI$15),1)</f>
        <v>0</v>
      </c>
      <c s="125">
        <f>Предпосылки!BI$240*Предпосылки!$P254*Продажи!BJ19*BJ$19*(1+Чувствительность!$D$20)*IFERROR(LOOKUP(Предпосылки!$H$213,$C$13:$C$15,BJ$13:BJ$15),1)</f>
        <v>0</v>
      </c>
      <c s="125">
        <f>Предпосылки!BJ$240*Предпосылки!$P254*Продажи!BK19*BK$19*(1+Чувствительность!$D$20)*IFERROR(LOOKUP(Предпосылки!$H$213,$C$13:$C$15,BK$13:BK$15),1)</f>
        <v>0</v>
      </c>
      <c s="125">
        <f>Предпосылки!BK$240*Предпосылки!$P254*Продажи!BL19*BL$19*(1+Чувствительность!$D$20)*IFERROR(LOOKUP(Предпосылки!$H$213,$C$13:$C$15,BL$13:BL$15),1)</f>
        <v>0</v>
      </c>
      <c s="125">
        <f>Предпосылки!BL$240*Предпосылки!$P254*Продажи!BM19*BM$19*(1+Чувствительность!$D$20)*IFERROR(LOOKUP(Предпосылки!$H$213,$C$13:$C$15,BM$13:BM$15),1)</f>
        <v>0</v>
      </c>
    </row>
    <row r="301" spans="2:65" ht="15" customHeight="1">
      <c r="B301" s="12" t="str">
        <f t="shared" si="121"/>
        <v>Продукт 3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Предпосылки!D$240*Предпосылки!$P255*Продажи!E20*E$19*(1+Чувствительность!$D$20)*IFERROR(LOOKUP(Предпосылки!$H$213,$C$13:$C$15,E$13:E$15),1)</f>
        <v>0</v>
      </c>
      <c s="125">
        <f>Предпосылки!E$240*Предпосылки!$P255*Продажи!F20*F$19*(1+Чувствительность!$D$20)*IFERROR(LOOKUP(Предпосылки!$H$213,$C$13:$C$15,F$13:F$15),1)</f>
        <v>0</v>
      </c>
      <c s="125">
        <f>Предпосылки!F$240*Предпосылки!$P255*Продажи!G20*G$19*(1+Чувствительность!$D$20)*IFERROR(LOOKUP(Предпосылки!$H$213,$C$13:$C$15,G$13:G$15),1)</f>
        <v>0</v>
      </c>
      <c s="125">
        <f>Предпосылки!G$240*Предпосылки!$P255*Продажи!H20*H$19*(1+Чувствительность!$D$20)*IFERROR(LOOKUP(Предпосылки!$H$213,$C$13:$C$15,H$13:H$15),1)</f>
        <v>0</v>
      </c>
      <c s="125">
        <f>Предпосылки!H$240*Предпосылки!$P255*Продажи!I20*I$19*(1+Чувствительность!$D$20)*IFERROR(LOOKUP(Предпосылки!$H$213,$C$13:$C$15,I$13:I$15),1)</f>
        <v>0</v>
      </c>
      <c s="125">
        <f>Предпосылки!I$240*Предпосылки!$P255*Продажи!J20*J$19*(1+Чувствительность!$D$20)*IFERROR(LOOKUP(Предпосылки!$H$213,$C$13:$C$15,J$13:J$15),1)</f>
        <v>0</v>
      </c>
      <c s="125">
        <f>Предпосылки!J$240*Предпосылки!$P255*Продажи!K20*K$19*(1+Чувствительность!$D$20)*IFERROR(LOOKUP(Предпосылки!$H$213,$C$13:$C$15,K$13:K$15),1)</f>
        <v>0</v>
      </c>
      <c s="125">
        <f>Предпосылки!K$240*Предпосылки!$P255*Продажи!L20*L$19*(1+Чувствительность!$D$20)*IFERROR(LOOKUP(Предпосылки!$H$213,$C$13:$C$15,L$13:L$15),1)</f>
        <v>0</v>
      </c>
      <c s="125">
        <f>Предпосылки!L$240*Предпосылки!$P255*Продажи!M20*M$19*(1+Чувствительность!$D$20)*IFERROR(LOOKUP(Предпосылки!$H$213,$C$13:$C$15,M$13:M$15),1)</f>
        <v>0</v>
      </c>
      <c s="125">
        <f>Предпосылки!M$240*Предпосылки!$P255*Продажи!N20*N$19*(1+Чувствительность!$D$20)*IFERROR(LOOKUP(Предпосылки!$H$213,$C$13:$C$15,N$13:N$15),1)</f>
        <v>0</v>
      </c>
      <c s="125">
        <f>Предпосылки!N$240*Предпосылки!$P255*Продажи!O20*O$19*(1+Чувствительность!$D$20)*IFERROR(LOOKUP(Предпосылки!$H$213,$C$13:$C$15,O$13:O$15),1)</f>
        <v>0</v>
      </c>
      <c s="125">
        <f>Предпосылки!O$240*Предпосылки!$P255*Продажи!P20*P$19*(1+Чувствительность!$D$20)*IFERROR(LOOKUP(Предпосылки!$H$213,$C$13:$C$15,P$13:P$15),1)</f>
        <v>0</v>
      </c>
      <c s="125">
        <f>Предпосылки!P$240*Предпосылки!$P255*Продажи!Q20*Q$19*(1+Чувствительность!$D$20)*IFERROR(LOOKUP(Предпосылки!$H$213,$C$13:$C$15,Q$13:Q$15),1)</f>
        <v>0</v>
      </c>
      <c s="125">
        <f>Предпосылки!Q$240*Предпосылки!$P255*Продажи!R20*R$19*(1+Чувствительность!$D$20)*IFERROR(LOOKUP(Предпосылки!$H$213,$C$13:$C$15,R$13:R$15),1)</f>
        <v>0</v>
      </c>
      <c s="125">
        <f>Предпосылки!R$240*Предпосылки!$P255*Продажи!S20*S$19*(1+Чувствительность!$D$20)*IFERROR(LOOKUP(Предпосылки!$H$213,$C$13:$C$15,S$13:S$15),1)</f>
        <v>0</v>
      </c>
      <c s="125">
        <f>Предпосылки!S$240*Предпосылки!$P255*Продажи!T20*T$19*(1+Чувствительность!$D$20)*IFERROR(LOOKUP(Предпосылки!$H$213,$C$13:$C$15,T$13:T$15),1)</f>
        <v>0</v>
      </c>
      <c s="125">
        <f>Предпосылки!T$240*Предпосылки!$P255*Продажи!U20*U$19*(1+Чувствительность!$D$20)*IFERROR(LOOKUP(Предпосылки!$H$213,$C$13:$C$15,U$13:U$15),1)</f>
        <v>0</v>
      </c>
      <c s="125">
        <f>Предпосылки!U$240*Предпосылки!$P255*Продажи!V20*V$19*(1+Чувствительность!$D$20)*IFERROR(LOOKUP(Предпосылки!$H$213,$C$13:$C$15,V$13:V$15),1)</f>
        <v>0</v>
      </c>
      <c s="125">
        <f>Предпосылки!V$240*Предпосылки!$P255*Продажи!W20*W$19*(1+Чувствительность!$D$20)*IFERROR(LOOKUP(Предпосылки!$H$213,$C$13:$C$15,W$13:W$15),1)</f>
        <v>0</v>
      </c>
      <c s="125">
        <f>Предпосылки!W$240*Предпосылки!$P255*Продажи!X20*X$19*(1+Чувствительность!$D$20)*IFERROR(LOOKUP(Предпосылки!$H$213,$C$13:$C$15,X$13:X$15),1)</f>
        <v>0</v>
      </c>
      <c s="125">
        <f>Предпосылки!X$240*Предпосылки!$P255*Продажи!Y20*Y$19*(1+Чувствительность!$D$20)*IFERROR(LOOKUP(Предпосылки!$H$213,$C$13:$C$15,Y$13:Y$15),1)</f>
        <v>0</v>
      </c>
      <c s="125">
        <f>Предпосылки!Y$240*Предпосылки!$P255*Продажи!Z20*Z$19*(1+Чувствительность!$D$20)*IFERROR(LOOKUP(Предпосылки!$H$213,$C$13:$C$15,Z$13:Z$15),1)</f>
        <v>0</v>
      </c>
      <c s="125">
        <f>Предпосылки!Z$240*Предпосылки!$P255*Продажи!AA20*AA$19*(1+Чувствительность!$D$20)*IFERROR(LOOKUP(Предпосылки!$H$213,$C$13:$C$15,AA$13:AA$15),1)</f>
        <v>0</v>
      </c>
      <c s="125">
        <f>Предпосылки!AA$240*Предпосылки!$P255*Продажи!AB20*AB$19*(1+Чувствительность!$D$20)*IFERROR(LOOKUP(Предпосылки!$H$213,$C$13:$C$15,AB$13:AB$15),1)</f>
        <v>0</v>
      </c>
      <c s="125">
        <f>Предпосылки!AB$240*Предпосылки!$P255*Продажи!AC20*AC$19*(1+Чувствительность!$D$20)*IFERROR(LOOKUP(Предпосылки!$H$213,$C$13:$C$15,AC$13:AC$15),1)</f>
        <v>0</v>
      </c>
      <c s="125">
        <f>Предпосылки!AC$240*Предпосылки!$P255*Продажи!AD20*AD$19*(1+Чувствительность!$D$20)*IFERROR(LOOKUP(Предпосылки!$H$213,$C$13:$C$15,AD$13:AD$15),1)</f>
        <v>0</v>
      </c>
      <c s="125">
        <f>Предпосылки!AD$240*Предпосылки!$P255*Продажи!AE20*AE$19*(1+Чувствительность!$D$20)*IFERROR(LOOKUP(Предпосылки!$H$213,$C$13:$C$15,AE$13:AE$15),1)</f>
        <v>0</v>
      </c>
      <c s="125">
        <f>Предпосылки!AE$240*Предпосылки!$P255*Продажи!AF20*AF$19*(1+Чувствительность!$D$20)*IFERROR(LOOKUP(Предпосылки!$H$213,$C$13:$C$15,AF$13:AF$15),1)</f>
        <v>0</v>
      </c>
      <c s="125">
        <f>Предпосылки!AF$240*Предпосылки!$P255*Продажи!AG20*AG$19*(1+Чувствительность!$D$20)*IFERROR(LOOKUP(Предпосылки!$H$213,$C$13:$C$15,AG$13:AG$15),1)</f>
        <v>0</v>
      </c>
      <c s="125">
        <f>Предпосылки!AG$240*Предпосылки!$P255*Продажи!AH20*AH$19*(1+Чувствительность!$D$20)*IFERROR(LOOKUP(Предпосылки!$H$213,$C$13:$C$15,AH$13:AH$15),1)</f>
        <v>0</v>
      </c>
      <c s="125">
        <f>Предпосылки!AH$240*Предпосылки!$P255*Продажи!AI20*AI$19*(1+Чувствительность!$D$20)*IFERROR(LOOKUP(Предпосылки!$H$213,$C$13:$C$15,AI$13:AI$15),1)</f>
        <v>0</v>
      </c>
      <c s="125">
        <f>Предпосылки!AI$240*Предпосылки!$P255*Продажи!AJ20*AJ$19*(1+Чувствительность!$D$20)*IFERROR(LOOKUP(Предпосылки!$H$213,$C$13:$C$15,AJ$13:AJ$15),1)</f>
        <v>0</v>
      </c>
      <c s="125">
        <f>Предпосылки!AJ$240*Предпосылки!$P255*Продажи!AK20*AK$19*(1+Чувствительность!$D$20)*IFERROR(LOOKUP(Предпосылки!$H$213,$C$13:$C$15,AK$13:AK$15),1)</f>
        <v>0</v>
      </c>
      <c s="125">
        <f>Предпосылки!AK$240*Предпосылки!$P255*Продажи!AL20*AL$19*(1+Чувствительность!$D$20)*IFERROR(LOOKUP(Предпосылки!$H$213,$C$13:$C$15,AL$13:AL$15),1)</f>
        <v>0</v>
      </c>
      <c s="125">
        <f>Предпосылки!AL$240*Предпосылки!$P255*Продажи!AM20*AM$19*(1+Чувствительность!$D$20)*IFERROR(LOOKUP(Предпосылки!$H$213,$C$13:$C$15,AM$13:AM$15),1)</f>
        <v>0</v>
      </c>
      <c s="125">
        <f>Предпосылки!AM$240*Предпосылки!$P255*Продажи!AN20*AN$19*(1+Чувствительность!$D$20)*IFERROR(LOOKUP(Предпосылки!$H$213,$C$13:$C$15,AN$13:AN$15),1)</f>
        <v>0</v>
      </c>
      <c s="125">
        <f>Предпосылки!AN$240*Предпосылки!$P255*Продажи!AO20*AO$19*(1+Чувствительность!$D$20)*IFERROR(LOOKUP(Предпосылки!$H$213,$C$13:$C$15,AO$13:AO$15),1)</f>
        <v>0</v>
      </c>
      <c s="125">
        <f>Предпосылки!AO$240*Предпосылки!$P255*Продажи!AP20*AP$19*(1+Чувствительность!$D$20)*IFERROR(LOOKUP(Предпосылки!$H$213,$C$13:$C$15,AP$13:AP$15),1)</f>
        <v>0</v>
      </c>
      <c s="125">
        <f>Предпосылки!AP$240*Предпосылки!$P255*Продажи!AQ20*AQ$19*(1+Чувствительность!$D$20)*IFERROR(LOOKUP(Предпосылки!$H$213,$C$13:$C$15,AQ$13:AQ$15),1)</f>
        <v>0</v>
      </c>
      <c s="125">
        <f>Предпосылки!AQ$240*Предпосылки!$P255*Продажи!AR20*AR$19*(1+Чувствительность!$D$20)*IFERROR(LOOKUP(Предпосылки!$H$213,$C$13:$C$15,AR$13:AR$15),1)</f>
        <v>0</v>
      </c>
      <c s="125">
        <f>Предпосылки!AR$240*Предпосылки!$P255*Продажи!AS20*AS$19*(1+Чувствительность!$D$20)*IFERROR(LOOKUP(Предпосылки!$H$213,$C$13:$C$15,AS$13:AS$15),1)</f>
        <v>0</v>
      </c>
      <c s="125">
        <f>Предпосылки!AS$240*Предпосылки!$P255*Продажи!AT20*AT$19*(1+Чувствительность!$D$20)*IFERROR(LOOKUP(Предпосылки!$H$213,$C$13:$C$15,AT$13:AT$15),1)</f>
        <v>0</v>
      </c>
      <c s="125">
        <f>Предпосылки!AT$240*Предпосылки!$P255*Продажи!AU20*AU$19*(1+Чувствительность!$D$20)*IFERROR(LOOKUP(Предпосылки!$H$213,$C$13:$C$15,AU$13:AU$15),1)</f>
        <v>0</v>
      </c>
      <c s="125">
        <f>Предпосылки!AU$240*Предпосылки!$P255*Продажи!AV20*AV$19*(1+Чувствительность!$D$20)*IFERROR(LOOKUP(Предпосылки!$H$213,$C$13:$C$15,AV$13:AV$15),1)</f>
        <v>0</v>
      </c>
      <c s="125">
        <f>Предпосылки!AV$240*Предпосылки!$P255*Продажи!AW20*AW$19*(1+Чувствительность!$D$20)*IFERROR(LOOKUP(Предпосылки!$H$213,$C$13:$C$15,AW$13:AW$15),1)</f>
        <v>0</v>
      </c>
      <c s="125">
        <f>Предпосылки!AW$240*Предпосылки!$P255*Продажи!AX20*AX$19*(1+Чувствительность!$D$20)*IFERROR(LOOKUP(Предпосылки!$H$213,$C$13:$C$15,AX$13:AX$15),1)</f>
        <v>0</v>
      </c>
      <c s="125">
        <f>Предпосылки!AX$240*Предпосылки!$P255*Продажи!AY20*AY$19*(1+Чувствительность!$D$20)*IFERROR(LOOKUP(Предпосылки!$H$213,$C$13:$C$15,AY$13:AY$15),1)</f>
        <v>0</v>
      </c>
      <c s="125">
        <f>Предпосылки!AY$240*Предпосылки!$P255*Продажи!AZ20*AZ$19*(1+Чувствительность!$D$20)*IFERROR(LOOKUP(Предпосылки!$H$213,$C$13:$C$15,AZ$13:AZ$15),1)</f>
        <v>0</v>
      </c>
      <c s="125">
        <f>Предпосылки!AZ$240*Предпосылки!$P255*Продажи!BA20*BA$19*(1+Чувствительность!$D$20)*IFERROR(LOOKUP(Предпосылки!$H$213,$C$13:$C$15,BA$13:BA$15),1)</f>
        <v>0</v>
      </c>
      <c s="125">
        <f>Предпосылки!BA$240*Предпосылки!$P255*Продажи!BB20*BB$19*(1+Чувствительность!$D$20)*IFERROR(LOOKUP(Предпосылки!$H$213,$C$13:$C$15,BB$13:BB$15),1)</f>
        <v>0</v>
      </c>
      <c s="125">
        <f>Предпосылки!BB$240*Предпосылки!$P255*Продажи!BC20*BC$19*(1+Чувствительность!$D$20)*IFERROR(LOOKUP(Предпосылки!$H$213,$C$13:$C$15,BC$13:BC$15),1)</f>
        <v>0</v>
      </c>
      <c s="125">
        <f>Предпосылки!BC$240*Предпосылки!$P255*Продажи!BD20*BD$19*(1+Чувствительность!$D$20)*IFERROR(LOOKUP(Предпосылки!$H$213,$C$13:$C$15,BD$13:BD$15),1)</f>
        <v>0</v>
      </c>
      <c s="125">
        <f>Предпосылки!BD$240*Предпосылки!$P255*Продажи!BE20*BE$19*(1+Чувствительность!$D$20)*IFERROR(LOOKUP(Предпосылки!$H$213,$C$13:$C$15,BE$13:BE$15),1)</f>
        <v>0</v>
      </c>
      <c s="125">
        <f>Предпосылки!BE$240*Предпосылки!$P255*Продажи!BF20*BF$19*(1+Чувствительность!$D$20)*IFERROR(LOOKUP(Предпосылки!$H$213,$C$13:$C$15,BF$13:BF$15),1)</f>
        <v>0</v>
      </c>
      <c s="125">
        <f>Предпосылки!BF$240*Предпосылки!$P255*Продажи!BG20*BG$19*(1+Чувствительность!$D$20)*IFERROR(LOOKUP(Предпосылки!$H$213,$C$13:$C$15,BG$13:BG$15),1)</f>
        <v>0</v>
      </c>
      <c s="125">
        <f>Предпосылки!BG$240*Предпосылки!$P255*Продажи!BH20*BH$19*(1+Чувствительность!$D$20)*IFERROR(LOOKUP(Предпосылки!$H$213,$C$13:$C$15,BH$13:BH$15),1)</f>
        <v>0</v>
      </c>
      <c s="125">
        <f>Предпосылки!BH$240*Предпосылки!$P255*Продажи!BI20*BI$19*(1+Чувствительность!$D$20)*IFERROR(LOOKUP(Предпосылки!$H$213,$C$13:$C$15,BI$13:BI$15),1)</f>
        <v>0</v>
      </c>
      <c s="125">
        <f>Предпосылки!BI$240*Предпосылки!$P255*Продажи!BJ20*BJ$19*(1+Чувствительность!$D$20)*IFERROR(LOOKUP(Предпосылки!$H$213,$C$13:$C$15,BJ$13:BJ$15),1)</f>
        <v>0</v>
      </c>
      <c s="125">
        <f>Предпосылки!BJ$240*Предпосылки!$P255*Продажи!BK20*BK$19*(1+Чувствительность!$D$20)*IFERROR(LOOKUP(Предпосылки!$H$213,$C$13:$C$15,BK$13:BK$15),1)</f>
        <v>0</v>
      </c>
      <c s="125">
        <f>Предпосылки!BK$240*Предпосылки!$P255*Продажи!BL20*BL$19*(1+Чувствительность!$D$20)*IFERROR(LOOKUP(Предпосылки!$H$213,$C$13:$C$15,BL$13:BL$15),1)</f>
        <v>0</v>
      </c>
      <c s="125">
        <f>Предпосылки!BL$240*Предпосылки!$P255*Продажи!BM20*BM$19*(1+Чувствительность!$D$20)*IFERROR(LOOKUP(Предпосылки!$H$213,$C$13:$C$15,BM$13:BM$15),1)</f>
        <v>0</v>
      </c>
    </row>
    <row r="302" spans="2:65" ht="15" customHeight="1">
      <c r="B302" s="12" t="str">
        <f t="shared" si="121"/>
        <v>Продукт 4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Предпосылки!D$240*Предпосылки!$P256*Продажи!E21*E$19*(1+Чувствительность!$D$20)*IFERROR(LOOKUP(Предпосылки!$H$213,$C$13:$C$15,E$13:E$15),1)</f>
        <v>0</v>
      </c>
      <c s="125">
        <f>Предпосылки!E$240*Предпосылки!$P256*Продажи!F21*F$19*(1+Чувствительность!$D$20)*IFERROR(LOOKUP(Предпосылки!$H$213,$C$13:$C$15,F$13:F$15),1)</f>
        <v>0</v>
      </c>
      <c s="125">
        <f>Предпосылки!F$240*Предпосылки!$P256*Продажи!G21*G$19*(1+Чувствительность!$D$20)*IFERROR(LOOKUP(Предпосылки!$H$213,$C$13:$C$15,G$13:G$15),1)</f>
        <v>0</v>
      </c>
      <c s="125">
        <f>Предпосылки!G$240*Предпосылки!$P256*Продажи!H21*H$19*(1+Чувствительность!$D$20)*IFERROR(LOOKUP(Предпосылки!$H$213,$C$13:$C$15,H$13:H$15),1)</f>
        <v>0</v>
      </c>
      <c s="125">
        <f>Предпосылки!H$240*Предпосылки!$P256*Продажи!I21*I$19*(1+Чувствительность!$D$20)*IFERROR(LOOKUP(Предпосылки!$H$213,$C$13:$C$15,I$13:I$15),1)</f>
        <v>0</v>
      </c>
      <c s="125">
        <f>Предпосылки!I$240*Предпосылки!$P256*Продажи!J21*J$19*(1+Чувствительность!$D$20)*IFERROR(LOOKUP(Предпосылки!$H$213,$C$13:$C$15,J$13:J$15),1)</f>
        <v>0</v>
      </c>
      <c s="125">
        <f>Предпосылки!J$240*Предпосылки!$P256*Продажи!K21*K$19*(1+Чувствительность!$D$20)*IFERROR(LOOKUP(Предпосылки!$H$213,$C$13:$C$15,K$13:K$15),1)</f>
        <v>0</v>
      </c>
      <c s="125">
        <f>Предпосылки!K$240*Предпосылки!$P256*Продажи!L21*L$19*(1+Чувствительность!$D$20)*IFERROR(LOOKUP(Предпосылки!$H$213,$C$13:$C$15,L$13:L$15),1)</f>
        <v>0</v>
      </c>
      <c s="125">
        <f>Предпосылки!L$240*Предпосылки!$P256*Продажи!M21*M$19*(1+Чувствительность!$D$20)*IFERROR(LOOKUP(Предпосылки!$H$213,$C$13:$C$15,M$13:M$15),1)</f>
        <v>0</v>
      </c>
      <c s="125">
        <f>Предпосылки!M$240*Предпосылки!$P256*Продажи!N21*N$19*(1+Чувствительность!$D$20)*IFERROR(LOOKUP(Предпосылки!$H$213,$C$13:$C$15,N$13:N$15),1)</f>
        <v>0</v>
      </c>
      <c s="125">
        <f>Предпосылки!N$240*Предпосылки!$P256*Продажи!O21*O$19*(1+Чувствительность!$D$20)*IFERROR(LOOKUP(Предпосылки!$H$213,$C$13:$C$15,O$13:O$15),1)</f>
        <v>0</v>
      </c>
      <c s="125">
        <f>Предпосылки!O$240*Предпосылки!$P256*Продажи!P21*P$19*(1+Чувствительность!$D$20)*IFERROR(LOOKUP(Предпосылки!$H$213,$C$13:$C$15,P$13:P$15),1)</f>
        <v>0</v>
      </c>
      <c s="125">
        <f>Предпосылки!P$240*Предпосылки!$P256*Продажи!Q21*Q$19*(1+Чувствительность!$D$20)*IFERROR(LOOKUP(Предпосылки!$H$213,$C$13:$C$15,Q$13:Q$15),1)</f>
        <v>0</v>
      </c>
      <c s="125">
        <f>Предпосылки!Q$240*Предпосылки!$P256*Продажи!R21*R$19*(1+Чувствительность!$D$20)*IFERROR(LOOKUP(Предпосылки!$H$213,$C$13:$C$15,R$13:R$15),1)</f>
        <v>0</v>
      </c>
      <c s="125">
        <f>Предпосылки!R$240*Предпосылки!$P256*Продажи!S21*S$19*(1+Чувствительность!$D$20)*IFERROR(LOOKUP(Предпосылки!$H$213,$C$13:$C$15,S$13:S$15),1)</f>
        <v>0</v>
      </c>
      <c s="125">
        <f>Предпосылки!S$240*Предпосылки!$P256*Продажи!T21*T$19*(1+Чувствительность!$D$20)*IFERROR(LOOKUP(Предпосылки!$H$213,$C$13:$C$15,T$13:T$15),1)</f>
        <v>0</v>
      </c>
      <c s="125">
        <f>Предпосылки!T$240*Предпосылки!$P256*Продажи!U21*U$19*(1+Чувствительность!$D$20)*IFERROR(LOOKUP(Предпосылки!$H$213,$C$13:$C$15,U$13:U$15),1)</f>
        <v>0</v>
      </c>
      <c s="125">
        <f>Предпосылки!U$240*Предпосылки!$P256*Продажи!V21*V$19*(1+Чувствительность!$D$20)*IFERROR(LOOKUP(Предпосылки!$H$213,$C$13:$C$15,V$13:V$15),1)</f>
        <v>0</v>
      </c>
      <c s="125">
        <f>Предпосылки!V$240*Предпосылки!$P256*Продажи!W21*W$19*(1+Чувствительность!$D$20)*IFERROR(LOOKUP(Предпосылки!$H$213,$C$13:$C$15,W$13:W$15),1)</f>
        <v>0</v>
      </c>
      <c s="125">
        <f>Предпосылки!W$240*Предпосылки!$P256*Продажи!X21*X$19*(1+Чувствительность!$D$20)*IFERROR(LOOKUP(Предпосылки!$H$213,$C$13:$C$15,X$13:X$15),1)</f>
        <v>0</v>
      </c>
      <c s="125">
        <f>Предпосылки!X$240*Предпосылки!$P256*Продажи!Y21*Y$19*(1+Чувствительность!$D$20)*IFERROR(LOOKUP(Предпосылки!$H$213,$C$13:$C$15,Y$13:Y$15),1)</f>
        <v>0</v>
      </c>
      <c s="125">
        <f>Предпосылки!Y$240*Предпосылки!$P256*Продажи!Z21*Z$19*(1+Чувствительность!$D$20)*IFERROR(LOOKUP(Предпосылки!$H$213,$C$13:$C$15,Z$13:Z$15),1)</f>
        <v>0</v>
      </c>
      <c s="125">
        <f>Предпосылки!Z$240*Предпосылки!$P256*Продажи!AA21*AA$19*(1+Чувствительность!$D$20)*IFERROR(LOOKUP(Предпосылки!$H$213,$C$13:$C$15,AA$13:AA$15),1)</f>
        <v>0</v>
      </c>
      <c s="125">
        <f>Предпосылки!AA$240*Предпосылки!$P256*Продажи!AB21*AB$19*(1+Чувствительность!$D$20)*IFERROR(LOOKUP(Предпосылки!$H$213,$C$13:$C$15,AB$13:AB$15),1)</f>
        <v>0</v>
      </c>
      <c s="125">
        <f>Предпосылки!AB$240*Предпосылки!$P256*Продажи!AC21*AC$19*(1+Чувствительность!$D$20)*IFERROR(LOOKUP(Предпосылки!$H$213,$C$13:$C$15,AC$13:AC$15),1)</f>
        <v>0</v>
      </c>
      <c s="125">
        <f>Предпосылки!AC$240*Предпосылки!$P256*Продажи!AD21*AD$19*(1+Чувствительность!$D$20)*IFERROR(LOOKUP(Предпосылки!$H$213,$C$13:$C$15,AD$13:AD$15),1)</f>
        <v>0</v>
      </c>
      <c s="125">
        <f>Предпосылки!AD$240*Предпосылки!$P256*Продажи!AE21*AE$19*(1+Чувствительность!$D$20)*IFERROR(LOOKUP(Предпосылки!$H$213,$C$13:$C$15,AE$13:AE$15),1)</f>
        <v>0</v>
      </c>
      <c s="125">
        <f>Предпосылки!AE$240*Предпосылки!$P256*Продажи!AF21*AF$19*(1+Чувствительность!$D$20)*IFERROR(LOOKUP(Предпосылки!$H$213,$C$13:$C$15,AF$13:AF$15),1)</f>
        <v>0</v>
      </c>
      <c s="125">
        <f>Предпосылки!AF$240*Предпосылки!$P256*Продажи!AG21*AG$19*(1+Чувствительность!$D$20)*IFERROR(LOOKUP(Предпосылки!$H$213,$C$13:$C$15,AG$13:AG$15),1)</f>
        <v>0</v>
      </c>
      <c s="125">
        <f>Предпосылки!AG$240*Предпосылки!$P256*Продажи!AH21*AH$19*(1+Чувствительность!$D$20)*IFERROR(LOOKUP(Предпосылки!$H$213,$C$13:$C$15,AH$13:AH$15),1)</f>
        <v>0</v>
      </c>
      <c s="125">
        <f>Предпосылки!AH$240*Предпосылки!$P256*Продажи!AI21*AI$19*(1+Чувствительность!$D$20)*IFERROR(LOOKUP(Предпосылки!$H$213,$C$13:$C$15,AI$13:AI$15),1)</f>
        <v>0</v>
      </c>
      <c s="125">
        <f>Предпосылки!AI$240*Предпосылки!$P256*Продажи!AJ21*AJ$19*(1+Чувствительность!$D$20)*IFERROR(LOOKUP(Предпосылки!$H$213,$C$13:$C$15,AJ$13:AJ$15),1)</f>
        <v>0</v>
      </c>
      <c s="125">
        <f>Предпосылки!AJ$240*Предпосылки!$P256*Продажи!AK21*AK$19*(1+Чувствительность!$D$20)*IFERROR(LOOKUP(Предпосылки!$H$213,$C$13:$C$15,AK$13:AK$15),1)</f>
        <v>0</v>
      </c>
      <c s="125">
        <f>Предпосылки!AK$240*Предпосылки!$P256*Продажи!AL21*AL$19*(1+Чувствительность!$D$20)*IFERROR(LOOKUP(Предпосылки!$H$213,$C$13:$C$15,AL$13:AL$15),1)</f>
        <v>0</v>
      </c>
      <c s="125">
        <f>Предпосылки!AL$240*Предпосылки!$P256*Продажи!AM21*AM$19*(1+Чувствительность!$D$20)*IFERROR(LOOKUP(Предпосылки!$H$213,$C$13:$C$15,AM$13:AM$15),1)</f>
        <v>0</v>
      </c>
      <c s="125">
        <f>Предпосылки!AM$240*Предпосылки!$P256*Продажи!AN21*AN$19*(1+Чувствительность!$D$20)*IFERROR(LOOKUP(Предпосылки!$H$213,$C$13:$C$15,AN$13:AN$15),1)</f>
        <v>0</v>
      </c>
      <c s="125">
        <f>Предпосылки!AN$240*Предпосылки!$P256*Продажи!AO21*AO$19*(1+Чувствительность!$D$20)*IFERROR(LOOKUP(Предпосылки!$H$213,$C$13:$C$15,AO$13:AO$15),1)</f>
        <v>0</v>
      </c>
      <c s="125">
        <f>Предпосылки!AO$240*Предпосылки!$P256*Продажи!AP21*AP$19*(1+Чувствительность!$D$20)*IFERROR(LOOKUP(Предпосылки!$H$213,$C$13:$C$15,AP$13:AP$15),1)</f>
        <v>0</v>
      </c>
      <c s="125">
        <f>Предпосылки!AP$240*Предпосылки!$P256*Продажи!AQ21*AQ$19*(1+Чувствительность!$D$20)*IFERROR(LOOKUP(Предпосылки!$H$213,$C$13:$C$15,AQ$13:AQ$15),1)</f>
        <v>0</v>
      </c>
      <c s="125">
        <f>Предпосылки!AQ$240*Предпосылки!$P256*Продажи!AR21*AR$19*(1+Чувствительность!$D$20)*IFERROR(LOOKUP(Предпосылки!$H$213,$C$13:$C$15,AR$13:AR$15),1)</f>
        <v>0</v>
      </c>
      <c s="125">
        <f>Предпосылки!AR$240*Предпосылки!$P256*Продажи!AS21*AS$19*(1+Чувствительность!$D$20)*IFERROR(LOOKUP(Предпосылки!$H$213,$C$13:$C$15,AS$13:AS$15),1)</f>
        <v>0</v>
      </c>
      <c s="125">
        <f>Предпосылки!AS$240*Предпосылки!$P256*Продажи!AT21*AT$19*(1+Чувствительность!$D$20)*IFERROR(LOOKUP(Предпосылки!$H$213,$C$13:$C$15,AT$13:AT$15),1)</f>
        <v>0</v>
      </c>
      <c s="125">
        <f>Предпосылки!AT$240*Предпосылки!$P256*Продажи!AU21*AU$19*(1+Чувствительность!$D$20)*IFERROR(LOOKUP(Предпосылки!$H$213,$C$13:$C$15,AU$13:AU$15),1)</f>
        <v>0</v>
      </c>
      <c s="125">
        <f>Предпосылки!AU$240*Предпосылки!$P256*Продажи!AV21*AV$19*(1+Чувствительность!$D$20)*IFERROR(LOOKUP(Предпосылки!$H$213,$C$13:$C$15,AV$13:AV$15),1)</f>
        <v>0</v>
      </c>
      <c s="125">
        <f>Предпосылки!AV$240*Предпосылки!$P256*Продажи!AW21*AW$19*(1+Чувствительность!$D$20)*IFERROR(LOOKUP(Предпосылки!$H$213,$C$13:$C$15,AW$13:AW$15),1)</f>
        <v>0</v>
      </c>
      <c s="125">
        <f>Предпосылки!AW$240*Предпосылки!$P256*Продажи!AX21*AX$19*(1+Чувствительность!$D$20)*IFERROR(LOOKUP(Предпосылки!$H$213,$C$13:$C$15,AX$13:AX$15),1)</f>
        <v>0</v>
      </c>
      <c s="125">
        <f>Предпосылки!AX$240*Предпосылки!$P256*Продажи!AY21*AY$19*(1+Чувствительность!$D$20)*IFERROR(LOOKUP(Предпосылки!$H$213,$C$13:$C$15,AY$13:AY$15),1)</f>
        <v>0</v>
      </c>
      <c s="125">
        <f>Предпосылки!AY$240*Предпосылки!$P256*Продажи!AZ21*AZ$19*(1+Чувствительность!$D$20)*IFERROR(LOOKUP(Предпосылки!$H$213,$C$13:$C$15,AZ$13:AZ$15),1)</f>
        <v>0</v>
      </c>
      <c s="125">
        <f>Предпосылки!AZ$240*Предпосылки!$P256*Продажи!BA21*BA$19*(1+Чувствительность!$D$20)*IFERROR(LOOKUP(Предпосылки!$H$213,$C$13:$C$15,BA$13:BA$15),1)</f>
        <v>0</v>
      </c>
      <c s="125">
        <f>Предпосылки!BA$240*Предпосылки!$P256*Продажи!BB21*BB$19*(1+Чувствительность!$D$20)*IFERROR(LOOKUP(Предпосылки!$H$213,$C$13:$C$15,BB$13:BB$15),1)</f>
        <v>0</v>
      </c>
      <c s="125">
        <f>Предпосылки!BB$240*Предпосылки!$P256*Продажи!BC21*BC$19*(1+Чувствительность!$D$20)*IFERROR(LOOKUP(Предпосылки!$H$213,$C$13:$C$15,BC$13:BC$15),1)</f>
        <v>0</v>
      </c>
      <c s="125">
        <f>Предпосылки!BC$240*Предпосылки!$P256*Продажи!BD21*BD$19*(1+Чувствительность!$D$20)*IFERROR(LOOKUP(Предпосылки!$H$213,$C$13:$C$15,BD$13:BD$15),1)</f>
        <v>0</v>
      </c>
      <c s="125">
        <f>Предпосылки!BD$240*Предпосылки!$P256*Продажи!BE21*BE$19*(1+Чувствительность!$D$20)*IFERROR(LOOKUP(Предпосылки!$H$213,$C$13:$C$15,BE$13:BE$15),1)</f>
        <v>0</v>
      </c>
      <c s="125">
        <f>Предпосылки!BE$240*Предпосылки!$P256*Продажи!BF21*BF$19*(1+Чувствительность!$D$20)*IFERROR(LOOKUP(Предпосылки!$H$213,$C$13:$C$15,BF$13:BF$15),1)</f>
        <v>0</v>
      </c>
      <c s="125">
        <f>Предпосылки!BF$240*Предпосылки!$P256*Продажи!BG21*BG$19*(1+Чувствительность!$D$20)*IFERROR(LOOKUP(Предпосылки!$H$213,$C$13:$C$15,BG$13:BG$15),1)</f>
        <v>0</v>
      </c>
      <c s="125">
        <f>Предпосылки!BG$240*Предпосылки!$P256*Продажи!BH21*BH$19*(1+Чувствительность!$D$20)*IFERROR(LOOKUP(Предпосылки!$H$213,$C$13:$C$15,BH$13:BH$15),1)</f>
        <v>0</v>
      </c>
      <c s="125">
        <f>Предпосылки!BH$240*Предпосылки!$P256*Продажи!BI21*BI$19*(1+Чувствительность!$D$20)*IFERROR(LOOKUP(Предпосылки!$H$213,$C$13:$C$15,BI$13:BI$15),1)</f>
        <v>0</v>
      </c>
      <c s="125">
        <f>Предпосылки!BI$240*Предпосылки!$P256*Продажи!BJ21*BJ$19*(1+Чувствительность!$D$20)*IFERROR(LOOKUP(Предпосылки!$H$213,$C$13:$C$15,BJ$13:BJ$15),1)</f>
        <v>0</v>
      </c>
      <c s="125">
        <f>Предпосылки!BJ$240*Предпосылки!$P256*Продажи!BK21*BK$19*(1+Чувствительность!$D$20)*IFERROR(LOOKUP(Предпосылки!$H$213,$C$13:$C$15,BK$13:BK$15),1)</f>
        <v>0</v>
      </c>
      <c s="125">
        <f>Предпосылки!BK$240*Предпосылки!$P256*Продажи!BL21*BL$19*(1+Чувствительность!$D$20)*IFERROR(LOOKUP(Предпосылки!$H$213,$C$13:$C$15,BL$13:BL$15),1)</f>
        <v>0</v>
      </c>
      <c s="125">
        <f>Предпосылки!BL$240*Предпосылки!$P256*Продажи!BM21*BM$19*(1+Чувствительность!$D$20)*IFERROR(LOOKUP(Предпосылки!$H$213,$C$13:$C$15,BM$13:BM$15),1)</f>
        <v>0</v>
      </c>
    </row>
    <row r="303" spans="2:65" ht="15" customHeight="1">
      <c r="B303" s="12" t="str">
        <f t="shared" si="121"/>
        <v>Продукт 5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Предпосылки!D$240*Предпосылки!$P257*Продажи!E22*E$19*(1+Чувствительность!$D$20)*IFERROR(LOOKUP(Предпосылки!$H$213,$C$13:$C$15,E$13:E$15),1)</f>
        <v>0</v>
      </c>
      <c s="125">
        <f>Предпосылки!E$240*Предпосылки!$P257*Продажи!F22*F$19*(1+Чувствительность!$D$20)*IFERROR(LOOKUP(Предпосылки!$H$213,$C$13:$C$15,F$13:F$15),1)</f>
        <v>0</v>
      </c>
      <c s="125">
        <f>Предпосылки!F$240*Предпосылки!$P257*Продажи!G22*G$19*(1+Чувствительность!$D$20)*IFERROR(LOOKUP(Предпосылки!$H$213,$C$13:$C$15,G$13:G$15),1)</f>
        <v>0</v>
      </c>
      <c s="125">
        <f>Предпосылки!G$240*Предпосылки!$P257*Продажи!H22*H$19*(1+Чувствительность!$D$20)*IFERROR(LOOKUP(Предпосылки!$H$213,$C$13:$C$15,H$13:H$15),1)</f>
        <v>0</v>
      </c>
      <c s="125">
        <f>Предпосылки!H$240*Предпосылки!$P257*Продажи!I22*I$19*(1+Чувствительность!$D$20)*IFERROR(LOOKUP(Предпосылки!$H$213,$C$13:$C$15,I$13:I$15),1)</f>
        <v>0</v>
      </c>
      <c s="125">
        <f>Предпосылки!I$240*Предпосылки!$P257*Продажи!J22*J$19*(1+Чувствительность!$D$20)*IFERROR(LOOKUP(Предпосылки!$H$213,$C$13:$C$15,J$13:J$15),1)</f>
        <v>0</v>
      </c>
      <c s="125">
        <f>Предпосылки!J$240*Предпосылки!$P257*Продажи!K22*K$19*(1+Чувствительность!$D$20)*IFERROR(LOOKUP(Предпосылки!$H$213,$C$13:$C$15,K$13:K$15),1)</f>
        <v>0</v>
      </c>
      <c s="125">
        <f>Предпосылки!K$240*Предпосылки!$P257*Продажи!L22*L$19*(1+Чувствительность!$D$20)*IFERROR(LOOKUP(Предпосылки!$H$213,$C$13:$C$15,L$13:L$15),1)</f>
        <v>0</v>
      </c>
      <c s="125">
        <f>Предпосылки!L$240*Предпосылки!$P257*Продажи!M22*M$19*(1+Чувствительность!$D$20)*IFERROR(LOOKUP(Предпосылки!$H$213,$C$13:$C$15,M$13:M$15),1)</f>
        <v>0</v>
      </c>
      <c s="125">
        <f>Предпосылки!M$240*Предпосылки!$P257*Продажи!N22*N$19*(1+Чувствительность!$D$20)*IFERROR(LOOKUP(Предпосылки!$H$213,$C$13:$C$15,N$13:N$15),1)</f>
        <v>0</v>
      </c>
      <c s="125">
        <f>Предпосылки!N$240*Предпосылки!$P257*Продажи!O22*O$19*(1+Чувствительность!$D$20)*IFERROR(LOOKUP(Предпосылки!$H$213,$C$13:$C$15,O$13:O$15),1)</f>
        <v>0</v>
      </c>
      <c s="125">
        <f>Предпосылки!O$240*Предпосылки!$P257*Продажи!P22*P$19*(1+Чувствительность!$D$20)*IFERROR(LOOKUP(Предпосылки!$H$213,$C$13:$C$15,P$13:P$15),1)</f>
        <v>0</v>
      </c>
      <c s="125">
        <f>Предпосылки!P$240*Предпосылки!$P257*Продажи!Q22*Q$19*(1+Чувствительность!$D$20)*IFERROR(LOOKUP(Предпосылки!$H$213,$C$13:$C$15,Q$13:Q$15),1)</f>
        <v>0</v>
      </c>
      <c s="125">
        <f>Предпосылки!Q$240*Предпосылки!$P257*Продажи!R22*R$19*(1+Чувствительность!$D$20)*IFERROR(LOOKUP(Предпосылки!$H$213,$C$13:$C$15,R$13:R$15),1)</f>
        <v>0</v>
      </c>
      <c s="125">
        <f>Предпосылки!R$240*Предпосылки!$P257*Продажи!S22*S$19*(1+Чувствительность!$D$20)*IFERROR(LOOKUP(Предпосылки!$H$213,$C$13:$C$15,S$13:S$15),1)</f>
        <v>0</v>
      </c>
      <c s="125">
        <f>Предпосылки!S$240*Предпосылки!$P257*Продажи!T22*T$19*(1+Чувствительность!$D$20)*IFERROR(LOOKUP(Предпосылки!$H$213,$C$13:$C$15,T$13:T$15),1)</f>
        <v>0</v>
      </c>
      <c s="125">
        <f>Предпосылки!T$240*Предпосылки!$P257*Продажи!U22*U$19*(1+Чувствительность!$D$20)*IFERROR(LOOKUP(Предпосылки!$H$213,$C$13:$C$15,U$13:U$15),1)</f>
        <v>0</v>
      </c>
      <c s="125">
        <f>Предпосылки!U$240*Предпосылки!$P257*Продажи!V22*V$19*(1+Чувствительность!$D$20)*IFERROR(LOOKUP(Предпосылки!$H$213,$C$13:$C$15,V$13:V$15),1)</f>
        <v>0</v>
      </c>
      <c s="125">
        <f>Предпосылки!V$240*Предпосылки!$P257*Продажи!W22*W$19*(1+Чувствительность!$D$20)*IFERROR(LOOKUP(Предпосылки!$H$213,$C$13:$C$15,W$13:W$15),1)</f>
        <v>0</v>
      </c>
      <c s="125">
        <f>Предпосылки!W$240*Предпосылки!$P257*Продажи!X22*X$19*(1+Чувствительность!$D$20)*IFERROR(LOOKUP(Предпосылки!$H$213,$C$13:$C$15,X$13:X$15),1)</f>
        <v>0</v>
      </c>
      <c s="125">
        <f>Предпосылки!X$240*Предпосылки!$P257*Продажи!Y22*Y$19*(1+Чувствительность!$D$20)*IFERROR(LOOKUP(Предпосылки!$H$213,$C$13:$C$15,Y$13:Y$15),1)</f>
        <v>0</v>
      </c>
      <c s="125">
        <f>Предпосылки!Y$240*Предпосылки!$P257*Продажи!Z22*Z$19*(1+Чувствительность!$D$20)*IFERROR(LOOKUP(Предпосылки!$H$213,$C$13:$C$15,Z$13:Z$15),1)</f>
        <v>0</v>
      </c>
      <c s="125">
        <f>Предпосылки!Z$240*Предпосылки!$P257*Продажи!AA22*AA$19*(1+Чувствительность!$D$20)*IFERROR(LOOKUP(Предпосылки!$H$213,$C$13:$C$15,AA$13:AA$15),1)</f>
        <v>0</v>
      </c>
      <c s="125">
        <f>Предпосылки!AA$240*Предпосылки!$P257*Продажи!AB22*AB$19*(1+Чувствительность!$D$20)*IFERROR(LOOKUP(Предпосылки!$H$213,$C$13:$C$15,AB$13:AB$15),1)</f>
        <v>0</v>
      </c>
      <c s="125">
        <f>Предпосылки!AB$240*Предпосылки!$P257*Продажи!AC22*AC$19*(1+Чувствительность!$D$20)*IFERROR(LOOKUP(Предпосылки!$H$213,$C$13:$C$15,AC$13:AC$15),1)</f>
        <v>0</v>
      </c>
      <c s="125">
        <f>Предпосылки!AC$240*Предпосылки!$P257*Продажи!AD22*AD$19*(1+Чувствительность!$D$20)*IFERROR(LOOKUP(Предпосылки!$H$213,$C$13:$C$15,AD$13:AD$15),1)</f>
        <v>0</v>
      </c>
      <c s="125">
        <f>Предпосылки!AD$240*Предпосылки!$P257*Продажи!AE22*AE$19*(1+Чувствительность!$D$20)*IFERROR(LOOKUP(Предпосылки!$H$213,$C$13:$C$15,AE$13:AE$15),1)</f>
        <v>0</v>
      </c>
      <c s="125">
        <f>Предпосылки!AE$240*Предпосылки!$P257*Продажи!AF22*AF$19*(1+Чувствительность!$D$20)*IFERROR(LOOKUP(Предпосылки!$H$213,$C$13:$C$15,AF$13:AF$15),1)</f>
        <v>0</v>
      </c>
      <c s="125">
        <f>Предпосылки!AF$240*Предпосылки!$P257*Продажи!AG22*AG$19*(1+Чувствительность!$D$20)*IFERROR(LOOKUP(Предпосылки!$H$213,$C$13:$C$15,AG$13:AG$15),1)</f>
        <v>0</v>
      </c>
      <c s="125">
        <f>Предпосылки!AG$240*Предпосылки!$P257*Продажи!AH22*AH$19*(1+Чувствительность!$D$20)*IFERROR(LOOKUP(Предпосылки!$H$213,$C$13:$C$15,AH$13:AH$15),1)</f>
        <v>0</v>
      </c>
      <c s="125">
        <f>Предпосылки!AH$240*Предпосылки!$P257*Продажи!AI22*AI$19*(1+Чувствительность!$D$20)*IFERROR(LOOKUP(Предпосылки!$H$213,$C$13:$C$15,AI$13:AI$15),1)</f>
        <v>0</v>
      </c>
      <c s="125">
        <f>Предпосылки!AI$240*Предпосылки!$P257*Продажи!AJ22*AJ$19*(1+Чувствительность!$D$20)*IFERROR(LOOKUP(Предпосылки!$H$213,$C$13:$C$15,AJ$13:AJ$15),1)</f>
        <v>0</v>
      </c>
      <c s="125">
        <f>Предпосылки!AJ$240*Предпосылки!$P257*Продажи!AK22*AK$19*(1+Чувствительность!$D$20)*IFERROR(LOOKUP(Предпосылки!$H$213,$C$13:$C$15,AK$13:AK$15),1)</f>
        <v>0</v>
      </c>
      <c s="125">
        <f>Предпосылки!AK$240*Предпосылки!$P257*Продажи!AL22*AL$19*(1+Чувствительность!$D$20)*IFERROR(LOOKUP(Предпосылки!$H$213,$C$13:$C$15,AL$13:AL$15),1)</f>
        <v>0</v>
      </c>
      <c s="125">
        <f>Предпосылки!AL$240*Предпосылки!$P257*Продажи!AM22*AM$19*(1+Чувствительность!$D$20)*IFERROR(LOOKUP(Предпосылки!$H$213,$C$13:$C$15,AM$13:AM$15),1)</f>
        <v>0</v>
      </c>
      <c s="125">
        <f>Предпосылки!AM$240*Предпосылки!$P257*Продажи!AN22*AN$19*(1+Чувствительность!$D$20)*IFERROR(LOOKUP(Предпосылки!$H$213,$C$13:$C$15,AN$13:AN$15),1)</f>
        <v>0</v>
      </c>
      <c s="125">
        <f>Предпосылки!AN$240*Предпосылки!$P257*Продажи!AO22*AO$19*(1+Чувствительность!$D$20)*IFERROR(LOOKUP(Предпосылки!$H$213,$C$13:$C$15,AO$13:AO$15),1)</f>
        <v>0</v>
      </c>
      <c s="125">
        <f>Предпосылки!AO$240*Предпосылки!$P257*Продажи!AP22*AP$19*(1+Чувствительность!$D$20)*IFERROR(LOOKUP(Предпосылки!$H$213,$C$13:$C$15,AP$13:AP$15),1)</f>
        <v>0</v>
      </c>
      <c s="125">
        <f>Предпосылки!AP$240*Предпосылки!$P257*Продажи!AQ22*AQ$19*(1+Чувствительность!$D$20)*IFERROR(LOOKUP(Предпосылки!$H$213,$C$13:$C$15,AQ$13:AQ$15),1)</f>
        <v>0</v>
      </c>
      <c s="125">
        <f>Предпосылки!AQ$240*Предпосылки!$P257*Продажи!AR22*AR$19*(1+Чувствительность!$D$20)*IFERROR(LOOKUP(Предпосылки!$H$213,$C$13:$C$15,AR$13:AR$15),1)</f>
        <v>0</v>
      </c>
      <c s="125">
        <f>Предпосылки!AR$240*Предпосылки!$P257*Продажи!AS22*AS$19*(1+Чувствительность!$D$20)*IFERROR(LOOKUP(Предпосылки!$H$213,$C$13:$C$15,AS$13:AS$15),1)</f>
        <v>0</v>
      </c>
      <c s="125">
        <f>Предпосылки!AS$240*Предпосылки!$P257*Продажи!AT22*AT$19*(1+Чувствительность!$D$20)*IFERROR(LOOKUP(Предпосылки!$H$213,$C$13:$C$15,AT$13:AT$15),1)</f>
        <v>0</v>
      </c>
      <c s="125">
        <f>Предпосылки!AT$240*Предпосылки!$P257*Продажи!AU22*AU$19*(1+Чувствительность!$D$20)*IFERROR(LOOKUP(Предпосылки!$H$213,$C$13:$C$15,AU$13:AU$15),1)</f>
        <v>0</v>
      </c>
      <c s="125">
        <f>Предпосылки!AU$240*Предпосылки!$P257*Продажи!AV22*AV$19*(1+Чувствительность!$D$20)*IFERROR(LOOKUP(Предпосылки!$H$213,$C$13:$C$15,AV$13:AV$15),1)</f>
        <v>0</v>
      </c>
      <c s="125">
        <f>Предпосылки!AV$240*Предпосылки!$P257*Продажи!AW22*AW$19*(1+Чувствительность!$D$20)*IFERROR(LOOKUP(Предпосылки!$H$213,$C$13:$C$15,AW$13:AW$15),1)</f>
        <v>0</v>
      </c>
      <c s="125">
        <f>Предпосылки!AW$240*Предпосылки!$P257*Продажи!AX22*AX$19*(1+Чувствительность!$D$20)*IFERROR(LOOKUP(Предпосылки!$H$213,$C$13:$C$15,AX$13:AX$15),1)</f>
        <v>0</v>
      </c>
      <c s="125">
        <f>Предпосылки!AX$240*Предпосылки!$P257*Продажи!AY22*AY$19*(1+Чувствительность!$D$20)*IFERROR(LOOKUP(Предпосылки!$H$213,$C$13:$C$15,AY$13:AY$15),1)</f>
        <v>0</v>
      </c>
      <c s="125">
        <f>Предпосылки!AY$240*Предпосылки!$P257*Продажи!AZ22*AZ$19*(1+Чувствительность!$D$20)*IFERROR(LOOKUP(Предпосылки!$H$213,$C$13:$C$15,AZ$13:AZ$15),1)</f>
        <v>0</v>
      </c>
      <c s="125">
        <f>Предпосылки!AZ$240*Предпосылки!$P257*Продажи!BA22*BA$19*(1+Чувствительность!$D$20)*IFERROR(LOOKUP(Предпосылки!$H$213,$C$13:$C$15,BA$13:BA$15),1)</f>
        <v>0</v>
      </c>
      <c s="125">
        <f>Предпосылки!BA$240*Предпосылки!$P257*Продажи!BB22*BB$19*(1+Чувствительность!$D$20)*IFERROR(LOOKUP(Предпосылки!$H$213,$C$13:$C$15,BB$13:BB$15),1)</f>
        <v>0</v>
      </c>
      <c s="125">
        <f>Предпосылки!BB$240*Предпосылки!$P257*Продажи!BC22*BC$19*(1+Чувствительность!$D$20)*IFERROR(LOOKUP(Предпосылки!$H$213,$C$13:$C$15,BC$13:BC$15),1)</f>
        <v>0</v>
      </c>
      <c s="125">
        <f>Предпосылки!BC$240*Предпосылки!$P257*Продажи!BD22*BD$19*(1+Чувствительность!$D$20)*IFERROR(LOOKUP(Предпосылки!$H$213,$C$13:$C$15,BD$13:BD$15),1)</f>
        <v>0</v>
      </c>
      <c s="125">
        <f>Предпосылки!BD$240*Предпосылки!$P257*Продажи!BE22*BE$19*(1+Чувствительность!$D$20)*IFERROR(LOOKUP(Предпосылки!$H$213,$C$13:$C$15,BE$13:BE$15),1)</f>
        <v>0</v>
      </c>
      <c s="125">
        <f>Предпосылки!BE$240*Предпосылки!$P257*Продажи!BF22*BF$19*(1+Чувствительность!$D$20)*IFERROR(LOOKUP(Предпосылки!$H$213,$C$13:$C$15,BF$13:BF$15),1)</f>
        <v>0</v>
      </c>
      <c s="125">
        <f>Предпосылки!BF$240*Предпосылки!$P257*Продажи!BG22*BG$19*(1+Чувствительность!$D$20)*IFERROR(LOOKUP(Предпосылки!$H$213,$C$13:$C$15,BG$13:BG$15),1)</f>
        <v>0</v>
      </c>
      <c s="125">
        <f>Предпосылки!BG$240*Предпосылки!$P257*Продажи!BH22*BH$19*(1+Чувствительность!$D$20)*IFERROR(LOOKUP(Предпосылки!$H$213,$C$13:$C$15,BH$13:BH$15),1)</f>
        <v>0</v>
      </c>
      <c s="125">
        <f>Предпосылки!BH$240*Предпосылки!$P257*Продажи!BI22*BI$19*(1+Чувствительность!$D$20)*IFERROR(LOOKUP(Предпосылки!$H$213,$C$13:$C$15,BI$13:BI$15),1)</f>
        <v>0</v>
      </c>
      <c s="125">
        <f>Предпосылки!BI$240*Предпосылки!$P257*Продажи!BJ22*BJ$19*(1+Чувствительность!$D$20)*IFERROR(LOOKUP(Предпосылки!$H$213,$C$13:$C$15,BJ$13:BJ$15),1)</f>
        <v>0</v>
      </c>
      <c s="125">
        <f>Предпосылки!BJ$240*Предпосылки!$P257*Продажи!BK22*BK$19*(1+Чувствительность!$D$20)*IFERROR(LOOKUP(Предпосылки!$H$213,$C$13:$C$15,BK$13:BK$15),1)</f>
        <v>0</v>
      </c>
      <c s="125">
        <f>Предпосылки!BK$240*Предпосылки!$P257*Продажи!BL22*BL$19*(1+Чувствительность!$D$20)*IFERROR(LOOKUP(Предпосылки!$H$213,$C$13:$C$15,BL$13:BL$15),1)</f>
        <v>0</v>
      </c>
      <c s="125">
        <f>Предпосылки!BL$240*Предпосылки!$P257*Продажи!BM22*BM$19*(1+Чувствительность!$D$20)*IFERROR(LOOKUP(Предпосылки!$H$213,$C$13:$C$15,BM$13:BM$15),1)</f>
        <v>0</v>
      </c>
    </row>
    <row r="304" spans="2:65" ht="15" customHeight="1">
      <c r="B304" s="12" t="str">
        <f t="shared" si="121"/>
        <v>Продукт 6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Предпосылки!D$240*Предпосылки!$P258*Продажи!E23*E$19*(1+Чувствительность!$D$20)*IFERROR(LOOKUP(Предпосылки!$H$213,$C$13:$C$15,E$13:E$15),1)</f>
        <v>0</v>
      </c>
      <c s="125">
        <f>Предпосылки!E$240*Предпосылки!$P258*Продажи!F23*F$19*(1+Чувствительность!$D$20)*IFERROR(LOOKUP(Предпосылки!$H$213,$C$13:$C$15,F$13:F$15),1)</f>
        <v>0</v>
      </c>
      <c s="125">
        <f>Предпосылки!F$240*Предпосылки!$P258*Продажи!G23*G$19*(1+Чувствительность!$D$20)*IFERROR(LOOKUP(Предпосылки!$H$213,$C$13:$C$15,G$13:G$15),1)</f>
        <v>0</v>
      </c>
      <c s="125">
        <f>Предпосылки!G$240*Предпосылки!$P258*Продажи!H23*H$19*(1+Чувствительность!$D$20)*IFERROR(LOOKUP(Предпосылки!$H$213,$C$13:$C$15,H$13:H$15),1)</f>
        <v>0</v>
      </c>
      <c s="125">
        <f>Предпосылки!H$240*Предпосылки!$P258*Продажи!I23*I$19*(1+Чувствительность!$D$20)*IFERROR(LOOKUP(Предпосылки!$H$213,$C$13:$C$15,I$13:I$15),1)</f>
        <v>0</v>
      </c>
      <c s="125">
        <f>Предпосылки!I$240*Предпосылки!$P258*Продажи!J23*J$19*(1+Чувствительность!$D$20)*IFERROR(LOOKUP(Предпосылки!$H$213,$C$13:$C$15,J$13:J$15),1)</f>
        <v>0</v>
      </c>
      <c s="125">
        <f>Предпосылки!J$240*Предпосылки!$P258*Продажи!K23*K$19*(1+Чувствительность!$D$20)*IFERROR(LOOKUP(Предпосылки!$H$213,$C$13:$C$15,K$13:K$15),1)</f>
        <v>0</v>
      </c>
      <c s="125">
        <f>Предпосылки!K$240*Предпосылки!$P258*Продажи!L23*L$19*(1+Чувствительность!$D$20)*IFERROR(LOOKUP(Предпосылки!$H$213,$C$13:$C$15,L$13:L$15),1)</f>
        <v>0</v>
      </c>
      <c s="125">
        <f>Предпосылки!L$240*Предпосылки!$P258*Продажи!M23*M$19*(1+Чувствительность!$D$20)*IFERROR(LOOKUP(Предпосылки!$H$213,$C$13:$C$15,M$13:M$15),1)</f>
        <v>0</v>
      </c>
      <c s="125">
        <f>Предпосылки!M$240*Предпосылки!$P258*Продажи!N23*N$19*(1+Чувствительность!$D$20)*IFERROR(LOOKUP(Предпосылки!$H$213,$C$13:$C$15,N$13:N$15),1)</f>
        <v>0</v>
      </c>
      <c s="125">
        <f>Предпосылки!N$240*Предпосылки!$P258*Продажи!O23*O$19*(1+Чувствительность!$D$20)*IFERROR(LOOKUP(Предпосылки!$H$213,$C$13:$C$15,O$13:O$15),1)</f>
        <v>0</v>
      </c>
      <c s="125">
        <f>Предпосылки!O$240*Предпосылки!$P258*Продажи!P23*P$19*(1+Чувствительность!$D$20)*IFERROR(LOOKUP(Предпосылки!$H$213,$C$13:$C$15,P$13:P$15),1)</f>
        <v>0</v>
      </c>
      <c s="125">
        <f>Предпосылки!P$240*Предпосылки!$P258*Продажи!Q23*Q$19*(1+Чувствительность!$D$20)*IFERROR(LOOKUP(Предпосылки!$H$213,$C$13:$C$15,Q$13:Q$15),1)</f>
        <v>0</v>
      </c>
      <c s="125">
        <f>Предпосылки!Q$240*Предпосылки!$P258*Продажи!R23*R$19*(1+Чувствительность!$D$20)*IFERROR(LOOKUP(Предпосылки!$H$213,$C$13:$C$15,R$13:R$15),1)</f>
        <v>0</v>
      </c>
      <c s="125">
        <f>Предпосылки!R$240*Предпосылки!$P258*Продажи!S23*S$19*(1+Чувствительность!$D$20)*IFERROR(LOOKUP(Предпосылки!$H$213,$C$13:$C$15,S$13:S$15),1)</f>
        <v>0</v>
      </c>
      <c s="125">
        <f>Предпосылки!S$240*Предпосылки!$P258*Продажи!T23*T$19*(1+Чувствительность!$D$20)*IFERROR(LOOKUP(Предпосылки!$H$213,$C$13:$C$15,T$13:T$15),1)</f>
        <v>0</v>
      </c>
      <c s="125">
        <f>Предпосылки!T$240*Предпосылки!$P258*Продажи!U23*U$19*(1+Чувствительность!$D$20)*IFERROR(LOOKUP(Предпосылки!$H$213,$C$13:$C$15,U$13:U$15),1)</f>
        <v>0</v>
      </c>
      <c s="125">
        <f>Предпосылки!U$240*Предпосылки!$P258*Продажи!V23*V$19*(1+Чувствительность!$D$20)*IFERROR(LOOKUP(Предпосылки!$H$213,$C$13:$C$15,V$13:V$15),1)</f>
        <v>0</v>
      </c>
      <c s="125">
        <f>Предпосылки!V$240*Предпосылки!$P258*Продажи!W23*W$19*(1+Чувствительность!$D$20)*IFERROR(LOOKUP(Предпосылки!$H$213,$C$13:$C$15,W$13:W$15),1)</f>
        <v>0</v>
      </c>
      <c s="125">
        <f>Предпосылки!W$240*Предпосылки!$P258*Продажи!X23*X$19*(1+Чувствительность!$D$20)*IFERROR(LOOKUP(Предпосылки!$H$213,$C$13:$C$15,X$13:X$15),1)</f>
        <v>0</v>
      </c>
      <c s="125">
        <f>Предпосылки!X$240*Предпосылки!$P258*Продажи!Y23*Y$19*(1+Чувствительность!$D$20)*IFERROR(LOOKUP(Предпосылки!$H$213,$C$13:$C$15,Y$13:Y$15),1)</f>
        <v>0</v>
      </c>
      <c s="125">
        <f>Предпосылки!Y$240*Предпосылки!$P258*Продажи!Z23*Z$19*(1+Чувствительность!$D$20)*IFERROR(LOOKUP(Предпосылки!$H$213,$C$13:$C$15,Z$13:Z$15),1)</f>
        <v>0</v>
      </c>
      <c s="125">
        <f>Предпосылки!Z$240*Предпосылки!$P258*Продажи!AA23*AA$19*(1+Чувствительность!$D$20)*IFERROR(LOOKUP(Предпосылки!$H$213,$C$13:$C$15,AA$13:AA$15),1)</f>
        <v>0</v>
      </c>
      <c s="125">
        <f>Предпосылки!AA$240*Предпосылки!$P258*Продажи!AB23*AB$19*(1+Чувствительность!$D$20)*IFERROR(LOOKUP(Предпосылки!$H$213,$C$13:$C$15,AB$13:AB$15),1)</f>
        <v>0</v>
      </c>
      <c s="125">
        <f>Предпосылки!AB$240*Предпосылки!$P258*Продажи!AC23*AC$19*(1+Чувствительность!$D$20)*IFERROR(LOOKUP(Предпосылки!$H$213,$C$13:$C$15,AC$13:AC$15),1)</f>
        <v>0</v>
      </c>
      <c s="125">
        <f>Предпосылки!AC$240*Предпосылки!$P258*Продажи!AD23*AD$19*(1+Чувствительность!$D$20)*IFERROR(LOOKUP(Предпосылки!$H$213,$C$13:$C$15,AD$13:AD$15),1)</f>
        <v>0</v>
      </c>
      <c s="125">
        <f>Предпосылки!AD$240*Предпосылки!$P258*Продажи!AE23*AE$19*(1+Чувствительность!$D$20)*IFERROR(LOOKUP(Предпосылки!$H$213,$C$13:$C$15,AE$13:AE$15),1)</f>
        <v>0</v>
      </c>
      <c s="125">
        <f>Предпосылки!AE$240*Предпосылки!$P258*Продажи!AF23*AF$19*(1+Чувствительность!$D$20)*IFERROR(LOOKUP(Предпосылки!$H$213,$C$13:$C$15,AF$13:AF$15),1)</f>
        <v>0</v>
      </c>
      <c s="125">
        <f>Предпосылки!AF$240*Предпосылки!$P258*Продажи!AG23*AG$19*(1+Чувствительность!$D$20)*IFERROR(LOOKUP(Предпосылки!$H$213,$C$13:$C$15,AG$13:AG$15),1)</f>
        <v>0</v>
      </c>
      <c s="125">
        <f>Предпосылки!AG$240*Предпосылки!$P258*Продажи!AH23*AH$19*(1+Чувствительность!$D$20)*IFERROR(LOOKUP(Предпосылки!$H$213,$C$13:$C$15,AH$13:AH$15),1)</f>
        <v>0</v>
      </c>
      <c s="125">
        <f>Предпосылки!AH$240*Предпосылки!$P258*Продажи!AI23*AI$19*(1+Чувствительность!$D$20)*IFERROR(LOOKUP(Предпосылки!$H$213,$C$13:$C$15,AI$13:AI$15),1)</f>
        <v>0</v>
      </c>
      <c s="125">
        <f>Предпосылки!AI$240*Предпосылки!$P258*Продажи!AJ23*AJ$19*(1+Чувствительность!$D$20)*IFERROR(LOOKUP(Предпосылки!$H$213,$C$13:$C$15,AJ$13:AJ$15),1)</f>
        <v>0</v>
      </c>
      <c s="125">
        <f>Предпосылки!AJ$240*Предпосылки!$P258*Продажи!AK23*AK$19*(1+Чувствительность!$D$20)*IFERROR(LOOKUP(Предпосылки!$H$213,$C$13:$C$15,AK$13:AK$15),1)</f>
        <v>0</v>
      </c>
      <c s="125">
        <f>Предпосылки!AK$240*Предпосылки!$P258*Продажи!AL23*AL$19*(1+Чувствительность!$D$20)*IFERROR(LOOKUP(Предпосылки!$H$213,$C$13:$C$15,AL$13:AL$15),1)</f>
        <v>0</v>
      </c>
      <c s="125">
        <f>Предпосылки!AL$240*Предпосылки!$P258*Продажи!AM23*AM$19*(1+Чувствительность!$D$20)*IFERROR(LOOKUP(Предпосылки!$H$213,$C$13:$C$15,AM$13:AM$15),1)</f>
        <v>0</v>
      </c>
      <c s="125">
        <f>Предпосылки!AM$240*Предпосылки!$P258*Продажи!AN23*AN$19*(1+Чувствительность!$D$20)*IFERROR(LOOKUP(Предпосылки!$H$213,$C$13:$C$15,AN$13:AN$15),1)</f>
        <v>0</v>
      </c>
      <c s="125">
        <f>Предпосылки!AN$240*Предпосылки!$P258*Продажи!AO23*AO$19*(1+Чувствительность!$D$20)*IFERROR(LOOKUP(Предпосылки!$H$213,$C$13:$C$15,AO$13:AO$15),1)</f>
        <v>0</v>
      </c>
      <c s="125">
        <f>Предпосылки!AO$240*Предпосылки!$P258*Продажи!AP23*AP$19*(1+Чувствительность!$D$20)*IFERROR(LOOKUP(Предпосылки!$H$213,$C$13:$C$15,AP$13:AP$15),1)</f>
        <v>0</v>
      </c>
      <c s="125">
        <f>Предпосылки!AP$240*Предпосылки!$P258*Продажи!AQ23*AQ$19*(1+Чувствительность!$D$20)*IFERROR(LOOKUP(Предпосылки!$H$213,$C$13:$C$15,AQ$13:AQ$15),1)</f>
        <v>0</v>
      </c>
      <c s="125">
        <f>Предпосылки!AQ$240*Предпосылки!$P258*Продажи!AR23*AR$19*(1+Чувствительность!$D$20)*IFERROR(LOOKUP(Предпосылки!$H$213,$C$13:$C$15,AR$13:AR$15),1)</f>
        <v>0</v>
      </c>
      <c s="125">
        <f>Предпосылки!AR$240*Предпосылки!$P258*Продажи!AS23*AS$19*(1+Чувствительность!$D$20)*IFERROR(LOOKUP(Предпосылки!$H$213,$C$13:$C$15,AS$13:AS$15),1)</f>
        <v>0</v>
      </c>
      <c s="125">
        <f>Предпосылки!AS$240*Предпосылки!$P258*Продажи!AT23*AT$19*(1+Чувствительность!$D$20)*IFERROR(LOOKUP(Предпосылки!$H$213,$C$13:$C$15,AT$13:AT$15),1)</f>
        <v>0</v>
      </c>
      <c s="125">
        <f>Предпосылки!AT$240*Предпосылки!$P258*Продажи!AU23*AU$19*(1+Чувствительность!$D$20)*IFERROR(LOOKUP(Предпосылки!$H$213,$C$13:$C$15,AU$13:AU$15),1)</f>
        <v>0</v>
      </c>
      <c s="125">
        <f>Предпосылки!AU$240*Предпосылки!$P258*Продажи!AV23*AV$19*(1+Чувствительность!$D$20)*IFERROR(LOOKUP(Предпосылки!$H$213,$C$13:$C$15,AV$13:AV$15),1)</f>
        <v>0</v>
      </c>
      <c s="125">
        <f>Предпосылки!AV$240*Предпосылки!$P258*Продажи!AW23*AW$19*(1+Чувствительность!$D$20)*IFERROR(LOOKUP(Предпосылки!$H$213,$C$13:$C$15,AW$13:AW$15),1)</f>
        <v>0</v>
      </c>
      <c s="125">
        <f>Предпосылки!AW$240*Предпосылки!$P258*Продажи!AX23*AX$19*(1+Чувствительность!$D$20)*IFERROR(LOOKUP(Предпосылки!$H$213,$C$13:$C$15,AX$13:AX$15),1)</f>
        <v>0</v>
      </c>
      <c s="125">
        <f>Предпосылки!AX$240*Предпосылки!$P258*Продажи!AY23*AY$19*(1+Чувствительность!$D$20)*IFERROR(LOOKUP(Предпосылки!$H$213,$C$13:$C$15,AY$13:AY$15),1)</f>
        <v>0</v>
      </c>
      <c s="125">
        <f>Предпосылки!AY$240*Предпосылки!$P258*Продажи!AZ23*AZ$19*(1+Чувствительность!$D$20)*IFERROR(LOOKUP(Предпосылки!$H$213,$C$13:$C$15,AZ$13:AZ$15),1)</f>
        <v>0</v>
      </c>
      <c s="125">
        <f>Предпосылки!AZ$240*Предпосылки!$P258*Продажи!BA23*BA$19*(1+Чувствительность!$D$20)*IFERROR(LOOKUP(Предпосылки!$H$213,$C$13:$C$15,BA$13:BA$15),1)</f>
        <v>0</v>
      </c>
      <c s="125">
        <f>Предпосылки!BA$240*Предпосылки!$P258*Продажи!BB23*BB$19*(1+Чувствительность!$D$20)*IFERROR(LOOKUP(Предпосылки!$H$213,$C$13:$C$15,BB$13:BB$15),1)</f>
        <v>0</v>
      </c>
      <c s="125">
        <f>Предпосылки!BB$240*Предпосылки!$P258*Продажи!BC23*BC$19*(1+Чувствительность!$D$20)*IFERROR(LOOKUP(Предпосылки!$H$213,$C$13:$C$15,BC$13:BC$15),1)</f>
        <v>0</v>
      </c>
      <c s="125">
        <f>Предпосылки!BC$240*Предпосылки!$P258*Продажи!BD23*BD$19*(1+Чувствительность!$D$20)*IFERROR(LOOKUP(Предпосылки!$H$213,$C$13:$C$15,BD$13:BD$15),1)</f>
        <v>0</v>
      </c>
      <c s="125">
        <f>Предпосылки!BD$240*Предпосылки!$P258*Продажи!BE23*BE$19*(1+Чувствительность!$D$20)*IFERROR(LOOKUP(Предпосылки!$H$213,$C$13:$C$15,BE$13:BE$15),1)</f>
        <v>0</v>
      </c>
      <c s="125">
        <f>Предпосылки!BE$240*Предпосылки!$P258*Продажи!BF23*BF$19*(1+Чувствительность!$D$20)*IFERROR(LOOKUP(Предпосылки!$H$213,$C$13:$C$15,BF$13:BF$15),1)</f>
        <v>0</v>
      </c>
      <c s="125">
        <f>Предпосылки!BF$240*Предпосылки!$P258*Продажи!BG23*BG$19*(1+Чувствительность!$D$20)*IFERROR(LOOKUP(Предпосылки!$H$213,$C$13:$C$15,BG$13:BG$15),1)</f>
        <v>0</v>
      </c>
      <c s="125">
        <f>Предпосылки!BG$240*Предпосылки!$P258*Продажи!BH23*BH$19*(1+Чувствительность!$D$20)*IFERROR(LOOKUP(Предпосылки!$H$213,$C$13:$C$15,BH$13:BH$15),1)</f>
        <v>0</v>
      </c>
      <c s="125">
        <f>Предпосылки!BH$240*Предпосылки!$P258*Продажи!BI23*BI$19*(1+Чувствительность!$D$20)*IFERROR(LOOKUP(Предпосылки!$H$213,$C$13:$C$15,BI$13:BI$15),1)</f>
        <v>0</v>
      </c>
      <c s="125">
        <f>Предпосылки!BI$240*Предпосылки!$P258*Продажи!BJ23*BJ$19*(1+Чувствительность!$D$20)*IFERROR(LOOKUP(Предпосылки!$H$213,$C$13:$C$15,BJ$13:BJ$15),1)</f>
        <v>0</v>
      </c>
      <c s="125">
        <f>Предпосылки!BJ$240*Предпосылки!$P258*Продажи!BK23*BK$19*(1+Чувствительность!$D$20)*IFERROR(LOOKUP(Предпосылки!$H$213,$C$13:$C$15,BK$13:BK$15),1)</f>
        <v>0</v>
      </c>
      <c s="125">
        <f>Предпосылки!BK$240*Предпосылки!$P258*Продажи!BL23*BL$19*(1+Чувствительность!$D$20)*IFERROR(LOOKUP(Предпосылки!$H$213,$C$13:$C$15,BL$13:BL$15),1)</f>
        <v>0</v>
      </c>
      <c s="125">
        <f>Предпосылки!BL$240*Предпосылки!$P258*Продажи!BM23*BM$19*(1+Чувствительность!$D$20)*IFERROR(LOOKUP(Предпосылки!$H$213,$C$13:$C$15,BM$13:BM$15),1)</f>
        <v>0</v>
      </c>
    </row>
    <row r="305" spans="2:65" ht="15" customHeight="1">
      <c r="B305" s="12" t="str">
        <f t="shared" si="121"/>
        <v>Продукт 7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Предпосылки!D$240*Предпосылки!$P259*Продажи!E24*E$19*(1+Чувствительность!$D$20)*IFERROR(LOOKUP(Предпосылки!$H$213,$C$13:$C$15,E$13:E$15),1)</f>
        <v>0</v>
      </c>
      <c s="125">
        <f>Предпосылки!E$240*Предпосылки!$P259*Продажи!F24*F$19*(1+Чувствительность!$D$20)*IFERROR(LOOKUP(Предпосылки!$H$213,$C$13:$C$15,F$13:F$15),1)</f>
        <v>0</v>
      </c>
      <c s="125">
        <f>Предпосылки!F$240*Предпосылки!$P259*Продажи!G24*G$19*(1+Чувствительность!$D$20)*IFERROR(LOOKUP(Предпосылки!$H$213,$C$13:$C$15,G$13:G$15),1)</f>
        <v>0</v>
      </c>
      <c s="125">
        <f>Предпосылки!G$240*Предпосылки!$P259*Продажи!H24*H$19*(1+Чувствительность!$D$20)*IFERROR(LOOKUP(Предпосылки!$H$213,$C$13:$C$15,H$13:H$15),1)</f>
        <v>0</v>
      </c>
      <c s="125">
        <f>Предпосылки!H$240*Предпосылки!$P259*Продажи!I24*I$19*(1+Чувствительность!$D$20)*IFERROR(LOOKUP(Предпосылки!$H$213,$C$13:$C$15,I$13:I$15),1)</f>
        <v>0</v>
      </c>
      <c s="125">
        <f>Предпосылки!I$240*Предпосылки!$P259*Продажи!J24*J$19*(1+Чувствительность!$D$20)*IFERROR(LOOKUP(Предпосылки!$H$213,$C$13:$C$15,J$13:J$15),1)</f>
        <v>0</v>
      </c>
      <c s="125">
        <f>Предпосылки!J$240*Предпосылки!$P259*Продажи!K24*K$19*(1+Чувствительность!$D$20)*IFERROR(LOOKUP(Предпосылки!$H$213,$C$13:$C$15,K$13:K$15),1)</f>
        <v>0</v>
      </c>
      <c s="125">
        <f>Предпосылки!K$240*Предпосылки!$P259*Продажи!L24*L$19*(1+Чувствительность!$D$20)*IFERROR(LOOKUP(Предпосылки!$H$213,$C$13:$C$15,L$13:L$15),1)</f>
        <v>0</v>
      </c>
      <c s="125">
        <f>Предпосылки!L$240*Предпосылки!$P259*Продажи!M24*M$19*(1+Чувствительность!$D$20)*IFERROR(LOOKUP(Предпосылки!$H$213,$C$13:$C$15,M$13:M$15),1)</f>
        <v>0</v>
      </c>
      <c s="125">
        <f>Предпосылки!M$240*Предпосылки!$P259*Продажи!N24*N$19*(1+Чувствительность!$D$20)*IFERROR(LOOKUP(Предпосылки!$H$213,$C$13:$C$15,N$13:N$15),1)</f>
        <v>0</v>
      </c>
      <c s="125">
        <f>Предпосылки!N$240*Предпосылки!$P259*Продажи!O24*O$19*(1+Чувствительность!$D$20)*IFERROR(LOOKUP(Предпосылки!$H$213,$C$13:$C$15,O$13:O$15),1)</f>
        <v>0</v>
      </c>
      <c s="125">
        <f>Предпосылки!O$240*Предпосылки!$P259*Продажи!P24*P$19*(1+Чувствительность!$D$20)*IFERROR(LOOKUP(Предпосылки!$H$213,$C$13:$C$15,P$13:P$15),1)</f>
        <v>0</v>
      </c>
      <c s="125">
        <f>Предпосылки!P$240*Предпосылки!$P259*Продажи!Q24*Q$19*(1+Чувствительность!$D$20)*IFERROR(LOOKUP(Предпосылки!$H$213,$C$13:$C$15,Q$13:Q$15),1)</f>
        <v>0</v>
      </c>
      <c s="125">
        <f>Предпосылки!Q$240*Предпосылки!$P259*Продажи!R24*R$19*(1+Чувствительность!$D$20)*IFERROR(LOOKUP(Предпосылки!$H$213,$C$13:$C$15,R$13:R$15),1)</f>
        <v>0</v>
      </c>
      <c s="125">
        <f>Предпосылки!R$240*Предпосылки!$P259*Продажи!S24*S$19*(1+Чувствительность!$D$20)*IFERROR(LOOKUP(Предпосылки!$H$213,$C$13:$C$15,S$13:S$15),1)</f>
        <v>0</v>
      </c>
      <c s="125">
        <f>Предпосылки!S$240*Предпосылки!$P259*Продажи!T24*T$19*(1+Чувствительность!$D$20)*IFERROR(LOOKUP(Предпосылки!$H$213,$C$13:$C$15,T$13:T$15),1)</f>
        <v>0</v>
      </c>
      <c s="125">
        <f>Предпосылки!T$240*Предпосылки!$P259*Продажи!U24*U$19*(1+Чувствительность!$D$20)*IFERROR(LOOKUP(Предпосылки!$H$213,$C$13:$C$15,U$13:U$15),1)</f>
        <v>0</v>
      </c>
      <c s="125">
        <f>Предпосылки!U$240*Предпосылки!$P259*Продажи!V24*V$19*(1+Чувствительность!$D$20)*IFERROR(LOOKUP(Предпосылки!$H$213,$C$13:$C$15,V$13:V$15),1)</f>
        <v>0</v>
      </c>
      <c s="125">
        <f>Предпосылки!V$240*Предпосылки!$P259*Продажи!W24*W$19*(1+Чувствительность!$D$20)*IFERROR(LOOKUP(Предпосылки!$H$213,$C$13:$C$15,W$13:W$15),1)</f>
        <v>0</v>
      </c>
      <c s="125">
        <f>Предпосылки!W$240*Предпосылки!$P259*Продажи!X24*X$19*(1+Чувствительность!$D$20)*IFERROR(LOOKUP(Предпосылки!$H$213,$C$13:$C$15,X$13:X$15),1)</f>
        <v>0</v>
      </c>
      <c s="125">
        <f>Предпосылки!X$240*Предпосылки!$P259*Продажи!Y24*Y$19*(1+Чувствительность!$D$20)*IFERROR(LOOKUP(Предпосылки!$H$213,$C$13:$C$15,Y$13:Y$15),1)</f>
        <v>0</v>
      </c>
      <c s="125">
        <f>Предпосылки!Y$240*Предпосылки!$P259*Продажи!Z24*Z$19*(1+Чувствительность!$D$20)*IFERROR(LOOKUP(Предпосылки!$H$213,$C$13:$C$15,Z$13:Z$15),1)</f>
        <v>0</v>
      </c>
      <c s="125">
        <f>Предпосылки!Z$240*Предпосылки!$P259*Продажи!AA24*AA$19*(1+Чувствительность!$D$20)*IFERROR(LOOKUP(Предпосылки!$H$213,$C$13:$C$15,AA$13:AA$15),1)</f>
        <v>0</v>
      </c>
      <c s="125">
        <f>Предпосылки!AA$240*Предпосылки!$P259*Продажи!AB24*AB$19*(1+Чувствительность!$D$20)*IFERROR(LOOKUP(Предпосылки!$H$213,$C$13:$C$15,AB$13:AB$15),1)</f>
        <v>0</v>
      </c>
      <c s="125">
        <f>Предпосылки!AB$240*Предпосылки!$P259*Продажи!AC24*AC$19*(1+Чувствительность!$D$20)*IFERROR(LOOKUP(Предпосылки!$H$213,$C$13:$C$15,AC$13:AC$15),1)</f>
        <v>0</v>
      </c>
      <c s="125">
        <f>Предпосылки!AC$240*Предпосылки!$P259*Продажи!AD24*AD$19*(1+Чувствительность!$D$20)*IFERROR(LOOKUP(Предпосылки!$H$213,$C$13:$C$15,AD$13:AD$15),1)</f>
        <v>0</v>
      </c>
      <c s="125">
        <f>Предпосылки!AD$240*Предпосылки!$P259*Продажи!AE24*AE$19*(1+Чувствительность!$D$20)*IFERROR(LOOKUP(Предпосылки!$H$213,$C$13:$C$15,AE$13:AE$15),1)</f>
        <v>0</v>
      </c>
      <c s="125">
        <f>Предпосылки!AE$240*Предпосылки!$P259*Продажи!AF24*AF$19*(1+Чувствительность!$D$20)*IFERROR(LOOKUP(Предпосылки!$H$213,$C$13:$C$15,AF$13:AF$15),1)</f>
        <v>0</v>
      </c>
      <c s="125">
        <f>Предпосылки!AF$240*Предпосылки!$P259*Продажи!AG24*AG$19*(1+Чувствительность!$D$20)*IFERROR(LOOKUP(Предпосылки!$H$213,$C$13:$C$15,AG$13:AG$15),1)</f>
        <v>0</v>
      </c>
      <c s="125">
        <f>Предпосылки!AG$240*Предпосылки!$P259*Продажи!AH24*AH$19*(1+Чувствительность!$D$20)*IFERROR(LOOKUP(Предпосылки!$H$213,$C$13:$C$15,AH$13:AH$15),1)</f>
        <v>0</v>
      </c>
      <c s="125">
        <f>Предпосылки!AH$240*Предпосылки!$P259*Продажи!AI24*AI$19*(1+Чувствительность!$D$20)*IFERROR(LOOKUP(Предпосылки!$H$213,$C$13:$C$15,AI$13:AI$15),1)</f>
        <v>0</v>
      </c>
      <c s="125">
        <f>Предпосылки!AI$240*Предпосылки!$P259*Продажи!AJ24*AJ$19*(1+Чувствительность!$D$20)*IFERROR(LOOKUP(Предпосылки!$H$213,$C$13:$C$15,AJ$13:AJ$15),1)</f>
        <v>0</v>
      </c>
      <c s="125">
        <f>Предпосылки!AJ$240*Предпосылки!$P259*Продажи!AK24*AK$19*(1+Чувствительность!$D$20)*IFERROR(LOOKUP(Предпосылки!$H$213,$C$13:$C$15,AK$13:AK$15),1)</f>
        <v>0</v>
      </c>
      <c s="125">
        <f>Предпосылки!AK$240*Предпосылки!$P259*Продажи!AL24*AL$19*(1+Чувствительность!$D$20)*IFERROR(LOOKUP(Предпосылки!$H$213,$C$13:$C$15,AL$13:AL$15),1)</f>
        <v>0</v>
      </c>
      <c s="125">
        <f>Предпосылки!AL$240*Предпосылки!$P259*Продажи!AM24*AM$19*(1+Чувствительность!$D$20)*IFERROR(LOOKUP(Предпосылки!$H$213,$C$13:$C$15,AM$13:AM$15),1)</f>
        <v>0</v>
      </c>
      <c s="125">
        <f>Предпосылки!AM$240*Предпосылки!$P259*Продажи!AN24*AN$19*(1+Чувствительность!$D$20)*IFERROR(LOOKUP(Предпосылки!$H$213,$C$13:$C$15,AN$13:AN$15),1)</f>
        <v>0</v>
      </c>
      <c s="125">
        <f>Предпосылки!AN$240*Предпосылки!$P259*Продажи!AO24*AO$19*(1+Чувствительность!$D$20)*IFERROR(LOOKUP(Предпосылки!$H$213,$C$13:$C$15,AO$13:AO$15),1)</f>
        <v>0</v>
      </c>
      <c s="125">
        <f>Предпосылки!AO$240*Предпосылки!$P259*Продажи!AP24*AP$19*(1+Чувствительность!$D$20)*IFERROR(LOOKUP(Предпосылки!$H$213,$C$13:$C$15,AP$13:AP$15),1)</f>
        <v>0</v>
      </c>
      <c s="125">
        <f>Предпосылки!AP$240*Предпосылки!$P259*Продажи!AQ24*AQ$19*(1+Чувствительность!$D$20)*IFERROR(LOOKUP(Предпосылки!$H$213,$C$13:$C$15,AQ$13:AQ$15),1)</f>
        <v>0</v>
      </c>
      <c s="125">
        <f>Предпосылки!AQ$240*Предпосылки!$P259*Продажи!AR24*AR$19*(1+Чувствительность!$D$20)*IFERROR(LOOKUP(Предпосылки!$H$213,$C$13:$C$15,AR$13:AR$15),1)</f>
        <v>0</v>
      </c>
      <c s="125">
        <f>Предпосылки!AR$240*Предпосылки!$P259*Продажи!AS24*AS$19*(1+Чувствительность!$D$20)*IFERROR(LOOKUP(Предпосылки!$H$213,$C$13:$C$15,AS$13:AS$15),1)</f>
        <v>0</v>
      </c>
      <c s="125">
        <f>Предпосылки!AS$240*Предпосылки!$P259*Продажи!AT24*AT$19*(1+Чувствительность!$D$20)*IFERROR(LOOKUP(Предпосылки!$H$213,$C$13:$C$15,AT$13:AT$15),1)</f>
        <v>0</v>
      </c>
      <c s="125">
        <f>Предпосылки!AT$240*Предпосылки!$P259*Продажи!AU24*AU$19*(1+Чувствительность!$D$20)*IFERROR(LOOKUP(Предпосылки!$H$213,$C$13:$C$15,AU$13:AU$15),1)</f>
        <v>0</v>
      </c>
      <c s="125">
        <f>Предпосылки!AU$240*Предпосылки!$P259*Продажи!AV24*AV$19*(1+Чувствительность!$D$20)*IFERROR(LOOKUP(Предпосылки!$H$213,$C$13:$C$15,AV$13:AV$15),1)</f>
        <v>0</v>
      </c>
      <c s="125">
        <f>Предпосылки!AV$240*Предпосылки!$P259*Продажи!AW24*AW$19*(1+Чувствительность!$D$20)*IFERROR(LOOKUP(Предпосылки!$H$213,$C$13:$C$15,AW$13:AW$15),1)</f>
        <v>0</v>
      </c>
      <c s="125">
        <f>Предпосылки!AW$240*Предпосылки!$P259*Продажи!AX24*AX$19*(1+Чувствительность!$D$20)*IFERROR(LOOKUP(Предпосылки!$H$213,$C$13:$C$15,AX$13:AX$15),1)</f>
        <v>0</v>
      </c>
      <c s="125">
        <f>Предпосылки!AX$240*Предпосылки!$P259*Продажи!AY24*AY$19*(1+Чувствительность!$D$20)*IFERROR(LOOKUP(Предпосылки!$H$213,$C$13:$C$15,AY$13:AY$15),1)</f>
        <v>0</v>
      </c>
      <c s="125">
        <f>Предпосылки!AY$240*Предпосылки!$P259*Продажи!AZ24*AZ$19*(1+Чувствительность!$D$20)*IFERROR(LOOKUP(Предпосылки!$H$213,$C$13:$C$15,AZ$13:AZ$15),1)</f>
        <v>0</v>
      </c>
      <c s="125">
        <f>Предпосылки!AZ$240*Предпосылки!$P259*Продажи!BA24*BA$19*(1+Чувствительность!$D$20)*IFERROR(LOOKUP(Предпосылки!$H$213,$C$13:$C$15,BA$13:BA$15),1)</f>
        <v>0</v>
      </c>
      <c s="125">
        <f>Предпосылки!BA$240*Предпосылки!$P259*Продажи!BB24*BB$19*(1+Чувствительность!$D$20)*IFERROR(LOOKUP(Предпосылки!$H$213,$C$13:$C$15,BB$13:BB$15),1)</f>
        <v>0</v>
      </c>
      <c s="125">
        <f>Предпосылки!BB$240*Предпосылки!$P259*Продажи!BC24*BC$19*(1+Чувствительность!$D$20)*IFERROR(LOOKUP(Предпосылки!$H$213,$C$13:$C$15,BC$13:BC$15),1)</f>
        <v>0</v>
      </c>
      <c s="125">
        <f>Предпосылки!BC$240*Предпосылки!$P259*Продажи!BD24*BD$19*(1+Чувствительность!$D$20)*IFERROR(LOOKUP(Предпосылки!$H$213,$C$13:$C$15,BD$13:BD$15),1)</f>
        <v>0</v>
      </c>
      <c s="125">
        <f>Предпосылки!BD$240*Предпосылки!$P259*Продажи!BE24*BE$19*(1+Чувствительность!$D$20)*IFERROR(LOOKUP(Предпосылки!$H$213,$C$13:$C$15,BE$13:BE$15),1)</f>
        <v>0</v>
      </c>
      <c s="125">
        <f>Предпосылки!BE$240*Предпосылки!$P259*Продажи!BF24*BF$19*(1+Чувствительность!$D$20)*IFERROR(LOOKUP(Предпосылки!$H$213,$C$13:$C$15,BF$13:BF$15),1)</f>
        <v>0</v>
      </c>
      <c s="125">
        <f>Предпосылки!BF$240*Предпосылки!$P259*Продажи!BG24*BG$19*(1+Чувствительность!$D$20)*IFERROR(LOOKUP(Предпосылки!$H$213,$C$13:$C$15,BG$13:BG$15),1)</f>
        <v>0</v>
      </c>
      <c s="125">
        <f>Предпосылки!BG$240*Предпосылки!$P259*Продажи!BH24*BH$19*(1+Чувствительность!$D$20)*IFERROR(LOOKUP(Предпосылки!$H$213,$C$13:$C$15,BH$13:BH$15),1)</f>
        <v>0</v>
      </c>
      <c s="125">
        <f>Предпосылки!BH$240*Предпосылки!$P259*Продажи!BI24*BI$19*(1+Чувствительность!$D$20)*IFERROR(LOOKUP(Предпосылки!$H$213,$C$13:$C$15,BI$13:BI$15),1)</f>
        <v>0</v>
      </c>
      <c s="125">
        <f>Предпосылки!BI$240*Предпосылки!$P259*Продажи!BJ24*BJ$19*(1+Чувствительность!$D$20)*IFERROR(LOOKUP(Предпосылки!$H$213,$C$13:$C$15,BJ$13:BJ$15),1)</f>
        <v>0</v>
      </c>
      <c s="125">
        <f>Предпосылки!BJ$240*Предпосылки!$P259*Продажи!BK24*BK$19*(1+Чувствительность!$D$20)*IFERROR(LOOKUP(Предпосылки!$H$213,$C$13:$C$15,BK$13:BK$15),1)</f>
        <v>0</v>
      </c>
      <c s="125">
        <f>Предпосылки!BK$240*Предпосылки!$P259*Продажи!BL24*BL$19*(1+Чувствительность!$D$20)*IFERROR(LOOKUP(Предпосылки!$H$213,$C$13:$C$15,BL$13:BL$15),1)</f>
        <v>0</v>
      </c>
      <c s="125">
        <f>Предпосылки!BL$240*Предпосылки!$P259*Продажи!BM24*BM$19*(1+Чувствительность!$D$20)*IFERROR(LOOKUP(Предпосылки!$H$213,$C$13:$C$15,BM$13:BM$15),1)</f>
        <v>0</v>
      </c>
    </row>
    <row r="306" spans="2:65" ht="15" customHeight="1">
      <c r="B306" s="12" t="str">
        <f t="shared" si="121"/>
        <v>Продукт 8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Предпосылки!D$240*Предпосылки!$P260*Продажи!E25*E$19*(1+Чувствительность!$D$20)*IFERROR(LOOKUP(Предпосылки!$H$213,$C$13:$C$15,E$13:E$15),1)</f>
        <v>0</v>
      </c>
      <c s="125">
        <f>Предпосылки!E$240*Предпосылки!$P260*Продажи!F25*F$19*(1+Чувствительность!$D$20)*IFERROR(LOOKUP(Предпосылки!$H$213,$C$13:$C$15,F$13:F$15),1)</f>
        <v>0</v>
      </c>
      <c s="125">
        <f>Предпосылки!F$240*Предпосылки!$P260*Продажи!G25*G$19*(1+Чувствительность!$D$20)*IFERROR(LOOKUP(Предпосылки!$H$213,$C$13:$C$15,G$13:G$15),1)</f>
        <v>0</v>
      </c>
      <c s="125">
        <f>Предпосылки!G$240*Предпосылки!$P260*Продажи!H25*H$19*(1+Чувствительность!$D$20)*IFERROR(LOOKUP(Предпосылки!$H$213,$C$13:$C$15,H$13:H$15),1)</f>
        <v>0</v>
      </c>
      <c s="125">
        <f>Предпосылки!H$240*Предпосылки!$P260*Продажи!I25*I$19*(1+Чувствительность!$D$20)*IFERROR(LOOKUP(Предпосылки!$H$213,$C$13:$C$15,I$13:I$15),1)</f>
        <v>0</v>
      </c>
      <c s="125">
        <f>Предпосылки!I$240*Предпосылки!$P260*Продажи!J25*J$19*(1+Чувствительность!$D$20)*IFERROR(LOOKUP(Предпосылки!$H$213,$C$13:$C$15,J$13:J$15),1)</f>
        <v>0</v>
      </c>
      <c s="125">
        <f>Предпосылки!J$240*Предпосылки!$P260*Продажи!K25*K$19*(1+Чувствительность!$D$20)*IFERROR(LOOKUP(Предпосылки!$H$213,$C$13:$C$15,K$13:K$15),1)</f>
        <v>0</v>
      </c>
      <c s="125">
        <f>Предпосылки!K$240*Предпосылки!$P260*Продажи!L25*L$19*(1+Чувствительность!$D$20)*IFERROR(LOOKUP(Предпосылки!$H$213,$C$13:$C$15,L$13:L$15),1)</f>
        <v>0</v>
      </c>
      <c s="125">
        <f>Предпосылки!L$240*Предпосылки!$P260*Продажи!M25*M$19*(1+Чувствительность!$D$20)*IFERROR(LOOKUP(Предпосылки!$H$213,$C$13:$C$15,M$13:M$15),1)</f>
        <v>0</v>
      </c>
      <c s="125">
        <f>Предпосылки!M$240*Предпосылки!$P260*Продажи!N25*N$19*(1+Чувствительность!$D$20)*IFERROR(LOOKUP(Предпосылки!$H$213,$C$13:$C$15,N$13:N$15),1)</f>
        <v>0</v>
      </c>
      <c s="125">
        <f>Предпосылки!N$240*Предпосылки!$P260*Продажи!O25*O$19*(1+Чувствительность!$D$20)*IFERROR(LOOKUP(Предпосылки!$H$213,$C$13:$C$15,O$13:O$15),1)</f>
        <v>0</v>
      </c>
      <c s="125">
        <f>Предпосылки!O$240*Предпосылки!$P260*Продажи!P25*P$19*(1+Чувствительность!$D$20)*IFERROR(LOOKUP(Предпосылки!$H$213,$C$13:$C$15,P$13:P$15),1)</f>
        <v>0</v>
      </c>
      <c s="125">
        <f>Предпосылки!P$240*Предпосылки!$P260*Продажи!Q25*Q$19*(1+Чувствительность!$D$20)*IFERROR(LOOKUP(Предпосылки!$H$213,$C$13:$C$15,Q$13:Q$15),1)</f>
        <v>0</v>
      </c>
      <c s="125">
        <f>Предпосылки!Q$240*Предпосылки!$P260*Продажи!R25*R$19*(1+Чувствительность!$D$20)*IFERROR(LOOKUP(Предпосылки!$H$213,$C$13:$C$15,R$13:R$15),1)</f>
        <v>0</v>
      </c>
      <c s="125">
        <f>Предпосылки!R$240*Предпосылки!$P260*Продажи!S25*S$19*(1+Чувствительность!$D$20)*IFERROR(LOOKUP(Предпосылки!$H$213,$C$13:$C$15,S$13:S$15),1)</f>
        <v>0</v>
      </c>
      <c s="125">
        <f>Предпосылки!S$240*Предпосылки!$P260*Продажи!T25*T$19*(1+Чувствительность!$D$20)*IFERROR(LOOKUP(Предпосылки!$H$213,$C$13:$C$15,T$13:T$15),1)</f>
        <v>0</v>
      </c>
      <c s="125">
        <f>Предпосылки!T$240*Предпосылки!$P260*Продажи!U25*U$19*(1+Чувствительность!$D$20)*IFERROR(LOOKUP(Предпосылки!$H$213,$C$13:$C$15,U$13:U$15),1)</f>
        <v>0</v>
      </c>
      <c s="125">
        <f>Предпосылки!U$240*Предпосылки!$P260*Продажи!V25*V$19*(1+Чувствительность!$D$20)*IFERROR(LOOKUP(Предпосылки!$H$213,$C$13:$C$15,V$13:V$15),1)</f>
        <v>0</v>
      </c>
      <c s="125">
        <f>Предпосылки!V$240*Предпосылки!$P260*Продажи!W25*W$19*(1+Чувствительность!$D$20)*IFERROR(LOOKUP(Предпосылки!$H$213,$C$13:$C$15,W$13:W$15),1)</f>
        <v>0</v>
      </c>
      <c s="125">
        <f>Предпосылки!W$240*Предпосылки!$P260*Продажи!X25*X$19*(1+Чувствительность!$D$20)*IFERROR(LOOKUP(Предпосылки!$H$213,$C$13:$C$15,X$13:X$15),1)</f>
        <v>0</v>
      </c>
      <c s="125">
        <f>Предпосылки!X$240*Предпосылки!$P260*Продажи!Y25*Y$19*(1+Чувствительность!$D$20)*IFERROR(LOOKUP(Предпосылки!$H$213,$C$13:$C$15,Y$13:Y$15),1)</f>
        <v>0</v>
      </c>
      <c s="125">
        <f>Предпосылки!Y$240*Предпосылки!$P260*Продажи!Z25*Z$19*(1+Чувствительность!$D$20)*IFERROR(LOOKUP(Предпосылки!$H$213,$C$13:$C$15,Z$13:Z$15),1)</f>
        <v>0</v>
      </c>
      <c s="125">
        <f>Предпосылки!Z$240*Предпосылки!$P260*Продажи!AA25*AA$19*(1+Чувствительность!$D$20)*IFERROR(LOOKUP(Предпосылки!$H$213,$C$13:$C$15,AA$13:AA$15),1)</f>
        <v>0</v>
      </c>
      <c s="125">
        <f>Предпосылки!AA$240*Предпосылки!$P260*Продажи!AB25*AB$19*(1+Чувствительность!$D$20)*IFERROR(LOOKUP(Предпосылки!$H$213,$C$13:$C$15,AB$13:AB$15),1)</f>
        <v>0</v>
      </c>
      <c s="125">
        <f>Предпосылки!AB$240*Предпосылки!$P260*Продажи!AC25*AC$19*(1+Чувствительность!$D$20)*IFERROR(LOOKUP(Предпосылки!$H$213,$C$13:$C$15,AC$13:AC$15),1)</f>
        <v>0</v>
      </c>
      <c s="125">
        <f>Предпосылки!AC$240*Предпосылки!$P260*Продажи!AD25*AD$19*(1+Чувствительность!$D$20)*IFERROR(LOOKUP(Предпосылки!$H$213,$C$13:$C$15,AD$13:AD$15),1)</f>
        <v>0</v>
      </c>
      <c s="125">
        <f>Предпосылки!AD$240*Предпосылки!$P260*Продажи!AE25*AE$19*(1+Чувствительность!$D$20)*IFERROR(LOOKUP(Предпосылки!$H$213,$C$13:$C$15,AE$13:AE$15),1)</f>
        <v>0</v>
      </c>
      <c s="125">
        <f>Предпосылки!AE$240*Предпосылки!$P260*Продажи!AF25*AF$19*(1+Чувствительность!$D$20)*IFERROR(LOOKUP(Предпосылки!$H$213,$C$13:$C$15,AF$13:AF$15),1)</f>
        <v>0</v>
      </c>
      <c s="125">
        <f>Предпосылки!AF$240*Предпосылки!$P260*Продажи!AG25*AG$19*(1+Чувствительность!$D$20)*IFERROR(LOOKUP(Предпосылки!$H$213,$C$13:$C$15,AG$13:AG$15),1)</f>
        <v>0</v>
      </c>
      <c s="125">
        <f>Предпосылки!AG$240*Предпосылки!$P260*Продажи!AH25*AH$19*(1+Чувствительность!$D$20)*IFERROR(LOOKUP(Предпосылки!$H$213,$C$13:$C$15,AH$13:AH$15),1)</f>
        <v>0</v>
      </c>
      <c s="125">
        <f>Предпосылки!AH$240*Предпосылки!$P260*Продажи!AI25*AI$19*(1+Чувствительность!$D$20)*IFERROR(LOOKUP(Предпосылки!$H$213,$C$13:$C$15,AI$13:AI$15),1)</f>
        <v>0</v>
      </c>
      <c s="125">
        <f>Предпосылки!AI$240*Предпосылки!$P260*Продажи!AJ25*AJ$19*(1+Чувствительность!$D$20)*IFERROR(LOOKUP(Предпосылки!$H$213,$C$13:$C$15,AJ$13:AJ$15),1)</f>
        <v>0</v>
      </c>
      <c s="125">
        <f>Предпосылки!AJ$240*Предпосылки!$P260*Продажи!AK25*AK$19*(1+Чувствительность!$D$20)*IFERROR(LOOKUP(Предпосылки!$H$213,$C$13:$C$15,AK$13:AK$15),1)</f>
        <v>0</v>
      </c>
      <c s="125">
        <f>Предпосылки!AK$240*Предпосылки!$P260*Продажи!AL25*AL$19*(1+Чувствительность!$D$20)*IFERROR(LOOKUP(Предпосылки!$H$213,$C$13:$C$15,AL$13:AL$15),1)</f>
        <v>0</v>
      </c>
      <c s="125">
        <f>Предпосылки!AL$240*Предпосылки!$P260*Продажи!AM25*AM$19*(1+Чувствительность!$D$20)*IFERROR(LOOKUP(Предпосылки!$H$213,$C$13:$C$15,AM$13:AM$15),1)</f>
        <v>0</v>
      </c>
      <c s="125">
        <f>Предпосылки!AM$240*Предпосылки!$P260*Продажи!AN25*AN$19*(1+Чувствительность!$D$20)*IFERROR(LOOKUP(Предпосылки!$H$213,$C$13:$C$15,AN$13:AN$15),1)</f>
        <v>0</v>
      </c>
      <c s="125">
        <f>Предпосылки!AN$240*Предпосылки!$P260*Продажи!AO25*AO$19*(1+Чувствительность!$D$20)*IFERROR(LOOKUP(Предпосылки!$H$213,$C$13:$C$15,AO$13:AO$15),1)</f>
        <v>0</v>
      </c>
      <c s="125">
        <f>Предпосылки!AO$240*Предпосылки!$P260*Продажи!AP25*AP$19*(1+Чувствительность!$D$20)*IFERROR(LOOKUP(Предпосылки!$H$213,$C$13:$C$15,AP$13:AP$15),1)</f>
        <v>0</v>
      </c>
      <c s="125">
        <f>Предпосылки!AP$240*Предпосылки!$P260*Продажи!AQ25*AQ$19*(1+Чувствительность!$D$20)*IFERROR(LOOKUP(Предпосылки!$H$213,$C$13:$C$15,AQ$13:AQ$15),1)</f>
        <v>0</v>
      </c>
      <c s="125">
        <f>Предпосылки!AQ$240*Предпосылки!$P260*Продажи!AR25*AR$19*(1+Чувствительность!$D$20)*IFERROR(LOOKUP(Предпосылки!$H$213,$C$13:$C$15,AR$13:AR$15),1)</f>
        <v>0</v>
      </c>
      <c s="125">
        <f>Предпосылки!AR$240*Предпосылки!$P260*Продажи!AS25*AS$19*(1+Чувствительность!$D$20)*IFERROR(LOOKUP(Предпосылки!$H$213,$C$13:$C$15,AS$13:AS$15),1)</f>
        <v>0</v>
      </c>
      <c s="125">
        <f>Предпосылки!AS$240*Предпосылки!$P260*Продажи!AT25*AT$19*(1+Чувствительность!$D$20)*IFERROR(LOOKUP(Предпосылки!$H$213,$C$13:$C$15,AT$13:AT$15),1)</f>
        <v>0</v>
      </c>
      <c s="125">
        <f>Предпосылки!AT$240*Предпосылки!$P260*Продажи!AU25*AU$19*(1+Чувствительность!$D$20)*IFERROR(LOOKUP(Предпосылки!$H$213,$C$13:$C$15,AU$13:AU$15),1)</f>
        <v>0</v>
      </c>
      <c s="125">
        <f>Предпосылки!AU$240*Предпосылки!$P260*Продажи!AV25*AV$19*(1+Чувствительность!$D$20)*IFERROR(LOOKUP(Предпосылки!$H$213,$C$13:$C$15,AV$13:AV$15),1)</f>
        <v>0</v>
      </c>
      <c s="125">
        <f>Предпосылки!AV$240*Предпосылки!$P260*Продажи!AW25*AW$19*(1+Чувствительность!$D$20)*IFERROR(LOOKUP(Предпосылки!$H$213,$C$13:$C$15,AW$13:AW$15),1)</f>
        <v>0</v>
      </c>
      <c s="125">
        <f>Предпосылки!AW$240*Предпосылки!$P260*Продажи!AX25*AX$19*(1+Чувствительность!$D$20)*IFERROR(LOOKUP(Предпосылки!$H$213,$C$13:$C$15,AX$13:AX$15),1)</f>
        <v>0</v>
      </c>
      <c s="125">
        <f>Предпосылки!AX$240*Предпосылки!$P260*Продажи!AY25*AY$19*(1+Чувствительность!$D$20)*IFERROR(LOOKUP(Предпосылки!$H$213,$C$13:$C$15,AY$13:AY$15),1)</f>
        <v>0</v>
      </c>
      <c s="125">
        <f>Предпосылки!AY$240*Предпосылки!$P260*Продажи!AZ25*AZ$19*(1+Чувствительность!$D$20)*IFERROR(LOOKUP(Предпосылки!$H$213,$C$13:$C$15,AZ$13:AZ$15),1)</f>
        <v>0</v>
      </c>
      <c s="125">
        <f>Предпосылки!AZ$240*Предпосылки!$P260*Продажи!BA25*BA$19*(1+Чувствительность!$D$20)*IFERROR(LOOKUP(Предпосылки!$H$213,$C$13:$C$15,BA$13:BA$15),1)</f>
        <v>0</v>
      </c>
      <c s="125">
        <f>Предпосылки!BA$240*Предпосылки!$P260*Продажи!BB25*BB$19*(1+Чувствительность!$D$20)*IFERROR(LOOKUP(Предпосылки!$H$213,$C$13:$C$15,BB$13:BB$15),1)</f>
        <v>0</v>
      </c>
      <c s="125">
        <f>Предпосылки!BB$240*Предпосылки!$P260*Продажи!BC25*BC$19*(1+Чувствительность!$D$20)*IFERROR(LOOKUP(Предпосылки!$H$213,$C$13:$C$15,BC$13:BC$15),1)</f>
        <v>0</v>
      </c>
      <c s="125">
        <f>Предпосылки!BC$240*Предпосылки!$P260*Продажи!BD25*BD$19*(1+Чувствительность!$D$20)*IFERROR(LOOKUP(Предпосылки!$H$213,$C$13:$C$15,BD$13:BD$15),1)</f>
        <v>0</v>
      </c>
      <c s="125">
        <f>Предпосылки!BD$240*Предпосылки!$P260*Продажи!BE25*BE$19*(1+Чувствительность!$D$20)*IFERROR(LOOKUP(Предпосылки!$H$213,$C$13:$C$15,BE$13:BE$15),1)</f>
        <v>0</v>
      </c>
      <c s="125">
        <f>Предпосылки!BE$240*Предпосылки!$P260*Продажи!BF25*BF$19*(1+Чувствительность!$D$20)*IFERROR(LOOKUP(Предпосылки!$H$213,$C$13:$C$15,BF$13:BF$15),1)</f>
        <v>0</v>
      </c>
      <c s="125">
        <f>Предпосылки!BF$240*Предпосылки!$P260*Продажи!BG25*BG$19*(1+Чувствительность!$D$20)*IFERROR(LOOKUP(Предпосылки!$H$213,$C$13:$C$15,BG$13:BG$15),1)</f>
        <v>0</v>
      </c>
      <c s="125">
        <f>Предпосылки!BG$240*Предпосылки!$P260*Продажи!BH25*BH$19*(1+Чувствительность!$D$20)*IFERROR(LOOKUP(Предпосылки!$H$213,$C$13:$C$15,BH$13:BH$15),1)</f>
        <v>0</v>
      </c>
      <c s="125">
        <f>Предпосылки!BH$240*Предпосылки!$P260*Продажи!BI25*BI$19*(1+Чувствительность!$D$20)*IFERROR(LOOKUP(Предпосылки!$H$213,$C$13:$C$15,BI$13:BI$15),1)</f>
        <v>0</v>
      </c>
      <c s="125">
        <f>Предпосылки!BI$240*Предпосылки!$P260*Продажи!BJ25*BJ$19*(1+Чувствительность!$D$20)*IFERROR(LOOKUP(Предпосылки!$H$213,$C$13:$C$15,BJ$13:BJ$15),1)</f>
        <v>0</v>
      </c>
      <c s="125">
        <f>Предпосылки!BJ$240*Предпосылки!$P260*Продажи!BK25*BK$19*(1+Чувствительность!$D$20)*IFERROR(LOOKUP(Предпосылки!$H$213,$C$13:$C$15,BK$13:BK$15),1)</f>
        <v>0</v>
      </c>
      <c s="125">
        <f>Предпосылки!BK$240*Предпосылки!$P260*Продажи!BL25*BL$19*(1+Чувствительность!$D$20)*IFERROR(LOOKUP(Предпосылки!$H$213,$C$13:$C$15,BL$13:BL$15),1)</f>
        <v>0</v>
      </c>
      <c s="125">
        <f>Предпосылки!BL$240*Предпосылки!$P260*Продажи!BM25*BM$19*(1+Чувствительность!$D$20)*IFERROR(LOOKUP(Предпосылки!$H$213,$C$13:$C$15,BM$13:BM$15),1)</f>
        <v>0</v>
      </c>
    </row>
    <row r="307" spans="2:65" ht="15" customHeight="1">
      <c r="B307" s="12" t="str">
        <f t="shared" si="121"/>
        <v>Продукт 9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Предпосылки!D$240*Предпосылки!$P261*Продажи!E26*E$19*(1+Чувствительность!$D$20)*IFERROR(LOOKUP(Предпосылки!$H$213,$C$13:$C$15,E$13:E$15),1)</f>
        <v>0</v>
      </c>
      <c s="125">
        <f>Предпосылки!E$240*Предпосылки!$P261*Продажи!F26*F$19*(1+Чувствительность!$D$20)*IFERROR(LOOKUP(Предпосылки!$H$213,$C$13:$C$15,F$13:F$15),1)</f>
        <v>0</v>
      </c>
      <c s="125">
        <f>Предпосылки!F$240*Предпосылки!$P261*Продажи!G26*G$19*(1+Чувствительность!$D$20)*IFERROR(LOOKUP(Предпосылки!$H$213,$C$13:$C$15,G$13:G$15),1)</f>
        <v>0</v>
      </c>
      <c s="125">
        <f>Предпосылки!G$240*Предпосылки!$P261*Продажи!H26*H$19*(1+Чувствительность!$D$20)*IFERROR(LOOKUP(Предпосылки!$H$213,$C$13:$C$15,H$13:H$15),1)</f>
        <v>0</v>
      </c>
      <c s="125">
        <f>Предпосылки!H$240*Предпосылки!$P261*Продажи!I26*I$19*(1+Чувствительность!$D$20)*IFERROR(LOOKUP(Предпосылки!$H$213,$C$13:$C$15,I$13:I$15),1)</f>
        <v>0</v>
      </c>
      <c s="125">
        <f>Предпосылки!I$240*Предпосылки!$P261*Продажи!J26*J$19*(1+Чувствительность!$D$20)*IFERROR(LOOKUP(Предпосылки!$H$213,$C$13:$C$15,J$13:J$15),1)</f>
        <v>0</v>
      </c>
      <c s="125">
        <f>Предпосылки!J$240*Предпосылки!$P261*Продажи!K26*K$19*(1+Чувствительность!$D$20)*IFERROR(LOOKUP(Предпосылки!$H$213,$C$13:$C$15,K$13:K$15),1)</f>
        <v>0</v>
      </c>
      <c s="125">
        <f>Предпосылки!K$240*Предпосылки!$P261*Продажи!L26*L$19*(1+Чувствительность!$D$20)*IFERROR(LOOKUP(Предпосылки!$H$213,$C$13:$C$15,L$13:L$15),1)</f>
        <v>0</v>
      </c>
      <c s="125">
        <f>Предпосылки!L$240*Предпосылки!$P261*Продажи!M26*M$19*(1+Чувствительность!$D$20)*IFERROR(LOOKUP(Предпосылки!$H$213,$C$13:$C$15,M$13:M$15),1)</f>
        <v>0</v>
      </c>
      <c s="125">
        <f>Предпосылки!M$240*Предпосылки!$P261*Продажи!N26*N$19*(1+Чувствительность!$D$20)*IFERROR(LOOKUP(Предпосылки!$H$213,$C$13:$C$15,N$13:N$15),1)</f>
        <v>0</v>
      </c>
      <c s="125">
        <f>Предпосылки!N$240*Предпосылки!$P261*Продажи!O26*O$19*(1+Чувствительность!$D$20)*IFERROR(LOOKUP(Предпосылки!$H$213,$C$13:$C$15,O$13:O$15),1)</f>
        <v>0</v>
      </c>
      <c s="125">
        <f>Предпосылки!O$240*Предпосылки!$P261*Продажи!P26*P$19*(1+Чувствительность!$D$20)*IFERROR(LOOKUP(Предпосылки!$H$213,$C$13:$C$15,P$13:P$15),1)</f>
        <v>0</v>
      </c>
      <c s="125">
        <f>Предпосылки!P$240*Предпосылки!$P261*Продажи!Q26*Q$19*(1+Чувствительность!$D$20)*IFERROR(LOOKUP(Предпосылки!$H$213,$C$13:$C$15,Q$13:Q$15),1)</f>
        <v>0</v>
      </c>
      <c s="125">
        <f>Предпосылки!Q$240*Предпосылки!$P261*Продажи!R26*R$19*(1+Чувствительность!$D$20)*IFERROR(LOOKUP(Предпосылки!$H$213,$C$13:$C$15,R$13:R$15),1)</f>
        <v>0</v>
      </c>
      <c s="125">
        <f>Предпосылки!R$240*Предпосылки!$P261*Продажи!S26*S$19*(1+Чувствительность!$D$20)*IFERROR(LOOKUP(Предпосылки!$H$213,$C$13:$C$15,S$13:S$15),1)</f>
        <v>0</v>
      </c>
      <c s="125">
        <f>Предпосылки!S$240*Предпосылки!$P261*Продажи!T26*T$19*(1+Чувствительность!$D$20)*IFERROR(LOOKUP(Предпосылки!$H$213,$C$13:$C$15,T$13:T$15),1)</f>
        <v>0</v>
      </c>
      <c s="125">
        <f>Предпосылки!T$240*Предпосылки!$P261*Продажи!U26*U$19*(1+Чувствительность!$D$20)*IFERROR(LOOKUP(Предпосылки!$H$213,$C$13:$C$15,U$13:U$15),1)</f>
        <v>0</v>
      </c>
      <c s="125">
        <f>Предпосылки!U$240*Предпосылки!$P261*Продажи!V26*V$19*(1+Чувствительность!$D$20)*IFERROR(LOOKUP(Предпосылки!$H$213,$C$13:$C$15,V$13:V$15),1)</f>
        <v>0</v>
      </c>
      <c s="125">
        <f>Предпосылки!V$240*Предпосылки!$P261*Продажи!W26*W$19*(1+Чувствительность!$D$20)*IFERROR(LOOKUP(Предпосылки!$H$213,$C$13:$C$15,W$13:W$15),1)</f>
        <v>0</v>
      </c>
      <c s="125">
        <f>Предпосылки!W$240*Предпосылки!$P261*Продажи!X26*X$19*(1+Чувствительность!$D$20)*IFERROR(LOOKUP(Предпосылки!$H$213,$C$13:$C$15,X$13:X$15),1)</f>
        <v>0</v>
      </c>
      <c s="125">
        <f>Предпосылки!X$240*Предпосылки!$P261*Продажи!Y26*Y$19*(1+Чувствительность!$D$20)*IFERROR(LOOKUP(Предпосылки!$H$213,$C$13:$C$15,Y$13:Y$15),1)</f>
        <v>0</v>
      </c>
      <c s="125">
        <f>Предпосылки!Y$240*Предпосылки!$P261*Продажи!Z26*Z$19*(1+Чувствительность!$D$20)*IFERROR(LOOKUP(Предпосылки!$H$213,$C$13:$C$15,Z$13:Z$15),1)</f>
        <v>0</v>
      </c>
      <c s="125">
        <f>Предпосылки!Z$240*Предпосылки!$P261*Продажи!AA26*AA$19*(1+Чувствительность!$D$20)*IFERROR(LOOKUP(Предпосылки!$H$213,$C$13:$C$15,AA$13:AA$15),1)</f>
        <v>0</v>
      </c>
      <c s="125">
        <f>Предпосылки!AA$240*Предпосылки!$P261*Продажи!AB26*AB$19*(1+Чувствительность!$D$20)*IFERROR(LOOKUP(Предпосылки!$H$213,$C$13:$C$15,AB$13:AB$15),1)</f>
        <v>0</v>
      </c>
      <c s="125">
        <f>Предпосылки!AB$240*Предпосылки!$P261*Продажи!AC26*AC$19*(1+Чувствительность!$D$20)*IFERROR(LOOKUP(Предпосылки!$H$213,$C$13:$C$15,AC$13:AC$15),1)</f>
        <v>0</v>
      </c>
      <c s="125">
        <f>Предпосылки!AC$240*Предпосылки!$P261*Продажи!AD26*AD$19*(1+Чувствительность!$D$20)*IFERROR(LOOKUP(Предпосылки!$H$213,$C$13:$C$15,AD$13:AD$15),1)</f>
        <v>0</v>
      </c>
      <c s="125">
        <f>Предпосылки!AD$240*Предпосылки!$P261*Продажи!AE26*AE$19*(1+Чувствительность!$D$20)*IFERROR(LOOKUP(Предпосылки!$H$213,$C$13:$C$15,AE$13:AE$15),1)</f>
        <v>0</v>
      </c>
      <c s="125">
        <f>Предпосылки!AE$240*Предпосылки!$P261*Продажи!AF26*AF$19*(1+Чувствительность!$D$20)*IFERROR(LOOKUP(Предпосылки!$H$213,$C$13:$C$15,AF$13:AF$15),1)</f>
        <v>0</v>
      </c>
      <c s="125">
        <f>Предпосылки!AF$240*Предпосылки!$P261*Продажи!AG26*AG$19*(1+Чувствительность!$D$20)*IFERROR(LOOKUP(Предпосылки!$H$213,$C$13:$C$15,AG$13:AG$15),1)</f>
        <v>0</v>
      </c>
      <c s="125">
        <f>Предпосылки!AG$240*Предпосылки!$P261*Продажи!AH26*AH$19*(1+Чувствительность!$D$20)*IFERROR(LOOKUP(Предпосылки!$H$213,$C$13:$C$15,AH$13:AH$15),1)</f>
        <v>0</v>
      </c>
      <c s="125">
        <f>Предпосылки!AH$240*Предпосылки!$P261*Продажи!AI26*AI$19*(1+Чувствительность!$D$20)*IFERROR(LOOKUP(Предпосылки!$H$213,$C$13:$C$15,AI$13:AI$15),1)</f>
        <v>0</v>
      </c>
      <c s="125">
        <f>Предпосылки!AI$240*Предпосылки!$P261*Продажи!AJ26*AJ$19*(1+Чувствительность!$D$20)*IFERROR(LOOKUP(Предпосылки!$H$213,$C$13:$C$15,AJ$13:AJ$15),1)</f>
        <v>0</v>
      </c>
      <c s="125">
        <f>Предпосылки!AJ$240*Предпосылки!$P261*Продажи!AK26*AK$19*(1+Чувствительность!$D$20)*IFERROR(LOOKUP(Предпосылки!$H$213,$C$13:$C$15,AK$13:AK$15),1)</f>
        <v>0</v>
      </c>
      <c s="125">
        <f>Предпосылки!AK$240*Предпосылки!$P261*Продажи!AL26*AL$19*(1+Чувствительность!$D$20)*IFERROR(LOOKUP(Предпосылки!$H$213,$C$13:$C$15,AL$13:AL$15),1)</f>
        <v>0</v>
      </c>
      <c s="125">
        <f>Предпосылки!AL$240*Предпосылки!$P261*Продажи!AM26*AM$19*(1+Чувствительность!$D$20)*IFERROR(LOOKUP(Предпосылки!$H$213,$C$13:$C$15,AM$13:AM$15),1)</f>
        <v>0</v>
      </c>
      <c s="125">
        <f>Предпосылки!AM$240*Предпосылки!$P261*Продажи!AN26*AN$19*(1+Чувствительность!$D$20)*IFERROR(LOOKUP(Предпосылки!$H$213,$C$13:$C$15,AN$13:AN$15),1)</f>
        <v>0</v>
      </c>
      <c s="125">
        <f>Предпосылки!AN$240*Предпосылки!$P261*Продажи!AO26*AO$19*(1+Чувствительность!$D$20)*IFERROR(LOOKUP(Предпосылки!$H$213,$C$13:$C$15,AO$13:AO$15),1)</f>
        <v>0</v>
      </c>
      <c s="125">
        <f>Предпосылки!AO$240*Предпосылки!$P261*Продажи!AP26*AP$19*(1+Чувствительность!$D$20)*IFERROR(LOOKUP(Предпосылки!$H$213,$C$13:$C$15,AP$13:AP$15),1)</f>
        <v>0</v>
      </c>
      <c s="125">
        <f>Предпосылки!AP$240*Предпосылки!$P261*Продажи!AQ26*AQ$19*(1+Чувствительность!$D$20)*IFERROR(LOOKUP(Предпосылки!$H$213,$C$13:$C$15,AQ$13:AQ$15),1)</f>
        <v>0</v>
      </c>
      <c s="125">
        <f>Предпосылки!AQ$240*Предпосылки!$P261*Продажи!AR26*AR$19*(1+Чувствительность!$D$20)*IFERROR(LOOKUP(Предпосылки!$H$213,$C$13:$C$15,AR$13:AR$15),1)</f>
        <v>0</v>
      </c>
      <c s="125">
        <f>Предпосылки!AR$240*Предпосылки!$P261*Продажи!AS26*AS$19*(1+Чувствительность!$D$20)*IFERROR(LOOKUP(Предпосылки!$H$213,$C$13:$C$15,AS$13:AS$15),1)</f>
        <v>0</v>
      </c>
      <c s="125">
        <f>Предпосылки!AS$240*Предпосылки!$P261*Продажи!AT26*AT$19*(1+Чувствительность!$D$20)*IFERROR(LOOKUP(Предпосылки!$H$213,$C$13:$C$15,AT$13:AT$15),1)</f>
        <v>0</v>
      </c>
      <c s="125">
        <f>Предпосылки!AT$240*Предпосылки!$P261*Продажи!AU26*AU$19*(1+Чувствительность!$D$20)*IFERROR(LOOKUP(Предпосылки!$H$213,$C$13:$C$15,AU$13:AU$15),1)</f>
        <v>0</v>
      </c>
      <c s="125">
        <f>Предпосылки!AU$240*Предпосылки!$P261*Продажи!AV26*AV$19*(1+Чувствительность!$D$20)*IFERROR(LOOKUP(Предпосылки!$H$213,$C$13:$C$15,AV$13:AV$15),1)</f>
        <v>0</v>
      </c>
      <c s="125">
        <f>Предпосылки!AV$240*Предпосылки!$P261*Продажи!AW26*AW$19*(1+Чувствительность!$D$20)*IFERROR(LOOKUP(Предпосылки!$H$213,$C$13:$C$15,AW$13:AW$15),1)</f>
        <v>0</v>
      </c>
      <c s="125">
        <f>Предпосылки!AW$240*Предпосылки!$P261*Продажи!AX26*AX$19*(1+Чувствительность!$D$20)*IFERROR(LOOKUP(Предпосылки!$H$213,$C$13:$C$15,AX$13:AX$15),1)</f>
        <v>0</v>
      </c>
      <c s="125">
        <f>Предпосылки!AX$240*Предпосылки!$P261*Продажи!AY26*AY$19*(1+Чувствительность!$D$20)*IFERROR(LOOKUP(Предпосылки!$H$213,$C$13:$C$15,AY$13:AY$15),1)</f>
        <v>0</v>
      </c>
      <c s="125">
        <f>Предпосылки!AY$240*Предпосылки!$P261*Продажи!AZ26*AZ$19*(1+Чувствительность!$D$20)*IFERROR(LOOKUP(Предпосылки!$H$213,$C$13:$C$15,AZ$13:AZ$15),1)</f>
        <v>0</v>
      </c>
      <c s="125">
        <f>Предпосылки!AZ$240*Предпосылки!$P261*Продажи!BA26*BA$19*(1+Чувствительность!$D$20)*IFERROR(LOOKUP(Предпосылки!$H$213,$C$13:$C$15,BA$13:BA$15),1)</f>
        <v>0</v>
      </c>
      <c s="125">
        <f>Предпосылки!BA$240*Предпосылки!$P261*Продажи!BB26*BB$19*(1+Чувствительность!$D$20)*IFERROR(LOOKUP(Предпосылки!$H$213,$C$13:$C$15,BB$13:BB$15),1)</f>
        <v>0</v>
      </c>
      <c s="125">
        <f>Предпосылки!BB$240*Предпосылки!$P261*Продажи!BC26*BC$19*(1+Чувствительность!$D$20)*IFERROR(LOOKUP(Предпосылки!$H$213,$C$13:$C$15,BC$13:BC$15),1)</f>
        <v>0</v>
      </c>
      <c s="125">
        <f>Предпосылки!BC$240*Предпосылки!$P261*Продажи!BD26*BD$19*(1+Чувствительность!$D$20)*IFERROR(LOOKUP(Предпосылки!$H$213,$C$13:$C$15,BD$13:BD$15),1)</f>
        <v>0</v>
      </c>
      <c s="125">
        <f>Предпосылки!BD$240*Предпосылки!$P261*Продажи!BE26*BE$19*(1+Чувствительность!$D$20)*IFERROR(LOOKUP(Предпосылки!$H$213,$C$13:$C$15,BE$13:BE$15),1)</f>
        <v>0</v>
      </c>
      <c s="125">
        <f>Предпосылки!BE$240*Предпосылки!$P261*Продажи!BF26*BF$19*(1+Чувствительность!$D$20)*IFERROR(LOOKUP(Предпосылки!$H$213,$C$13:$C$15,BF$13:BF$15),1)</f>
        <v>0</v>
      </c>
      <c s="125">
        <f>Предпосылки!BF$240*Предпосылки!$P261*Продажи!BG26*BG$19*(1+Чувствительность!$D$20)*IFERROR(LOOKUP(Предпосылки!$H$213,$C$13:$C$15,BG$13:BG$15),1)</f>
        <v>0</v>
      </c>
      <c s="125">
        <f>Предпосылки!BG$240*Предпосылки!$P261*Продажи!BH26*BH$19*(1+Чувствительность!$D$20)*IFERROR(LOOKUP(Предпосылки!$H$213,$C$13:$C$15,BH$13:BH$15),1)</f>
        <v>0</v>
      </c>
      <c s="125">
        <f>Предпосылки!BH$240*Предпосылки!$P261*Продажи!BI26*BI$19*(1+Чувствительность!$D$20)*IFERROR(LOOKUP(Предпосылки!$H$213,$C$13:$C$15,BI$13:BI$15),1)</f>
        <v>0</v>
      </c>
      <c s="125">
        <f>Предпосылки!BI$240*Предпосылки!$P261*Продажи!BJ26*BJ$19*(1+Чувствительность!$D$20)*IFERROR(LOOKUP(Предпосылки!$H$213,$C$13:$C$15,BJ$13:BJ$15),1)</f>
        <v>0</v>
      </c>
      <c s="125">
        <f>Предпосылки!BJ$240*Предпосылки!$P261*Продажи!BK26*BK$19*(1+Чувствительность!$D$20)*IFERROR(LOOKUP(Предпосылки!$H$213,$C$13:$C$15,BK$13:BK$15),1)</f>
        <v>0</v>
      </c>
      <c s="125">
        <f>Предпосылки!BK$240*Предпосылки!$P261*Продажи!BL26*BL$19*(1+Чувствительность!$D$20)*IFERROR(LOOKUP(Предпосылки!$H$213,$C$13:$C$15,BL$13:BL$15),1)</f>
        <v>0</v>
      </c>
      <c s="125">
        <f>Предпосылки!BL$240*Предпосылки!$P261*Продажи!BM26*BM$19*(1+Чувствительность!$D$20)*IFERROR(LOOKUP(Предпосылки!$H$213,$C$13:$C$15,BM$13:BM$15),1)</f>
        <v>0</v>
      </c>
    </row>
    <row r="308" spans="2:65" ht="15" customHeight="1">
      <c r="B308" s="12" t="str">
        <f t="shared" si="121"/>
        <v>Продукт 10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Предпосылки!D$240*Предпосылки!$P262*Продажи!E27*E$19*(1+Чувствительность!$D$20)*IFERROR(LOOKUP(Предпосылки!$H$213,$C$13:$C$15,E$13:E$15),1)</f>
        <v>0</v>
      </c>
      <c s="125">
        <f>Предпосылки!E$240*Предпосылки!$P262*Продажи!F27*F$19*(1+Чувствительность!$D$20)*IFERROR(LOOKUP(Предпосылки!$H$213,$C$13:$C$15,F$13:F$15),1)</f>
        <v>0</v>
      </c>
      <c s="125">
        <f>Предпосылки!F$240*Предпосылки!$P262*Продажи!G27*G$19*(1+Чувствительность!$D$20)*IFERROR(LOOKUP(Предпосылки!$H$213,$C$13:$C$15,G$13:G$15),1)</f>
        <v>0</v>
      </c>
      <c s="125">
        <f>Предпосылки!G$240*Предпосылки!$P262*Продажи!H27*H$19*(1+Чувствительность!$D$20)*IFERROR(LOOKUP(Предпосылки!$H$213,$C$13:$C$15,H$13:H$15),1)</f>
        <v>0</v>
      </c>
      <c s="125">
        <f>Предпосылки!H$240*Предпосылки!$P262*Продажи!I27*I$19*(1+Чувствительность!$D$20)*IFERROR(LOOKUP(Предпосылки!$H$213,$C$13:$C$15,I$13:I$15),1)</f>
        <v>0</v>
      </c>
      <c s="125">
        <f>Предпосылки!I$240*Предпосылки!$P262*Продажи!J27*J$19*(1+Чувствительность!$D$20)*IFERROR(LOOKUP(Предпосылки!$H$213,$C$13:$C$15,J$13:J$15),1)</f>
        <v>0</v>
      </c>
      <c s="125">
        <f>Предпосылки!J$240*Предпосылки!$P262*Продажи!K27*K$19*(1+Чувствительность!$D$20)*IFERROR(LOOKUP(Предпосылки!$H$213,$C$13:$C$15,K$13:K$15),1)</f>
        <v>0</v>
      </c>
      <c s="125">
        <f>Предпосылки!K$240*Предпосылки!$P262*Продажи!L27*L$19*(1+Чувствительность!$D$20)*IFERROR(LOOKUP(Предпосылки!$H$213,$C$13:$C$15,L$13:L$15),1)</f>
        <v>0</v>
      </c>
      <c s="125">
        <f>Предпосылки!L$240*Предпосылки!$P262*Продажи!M27*M$19*(1+Чувствительность!$D$20)*IFERROR(LOOKUP(Предпосылки!$H$213,$C$13:$C$15,M$13:M$15),1)</f>
        <v>0</v>
      </c>
      <c s="125">
        <f>Предпосылки!M$240*Предпосылки!$P262*Продажи!N27*N$19*(1+Чувствительность!$D$20)*IFERROR(LOOKUP(Предпосылки!$H$213,$C$13:$C$15,N$13:N$15),1)</f>
        <v>0</v>
      </c>
      <c s="125">
        <f>Предпосылки!N$240*Предпосылки!$P262*Продажи!O27*O$19*(1+Чувствительность!$D$20)*IFERROR(LOOKUP(Предпосылки!$H$213,$C$13:$C$15,O$13:O$15),1)</f>
        <v>0</v>
      </c>
      <c s="125">
        <f>Предпосылки!O$240*Предпосылки!$P262*Продажи!P27*P$19*(1+Чувствительность!$D$20)*IFERROR(LOOKUP(Предпосылки!$H$213,$C$13:$C$15,P$13:P$15),1)</f>
        <v>0</v>
      </c>
      <c s="125">
        <f>Предпосылки!P$240*Предпосылки!$P262*Продажи!Q27*Q$19*(1+Чувствительность!$D$20)*IFERROR(LOOKUP(Предпосылки!$H$213,$C$13:$C$15,Q$13:Q$15),1)</f>
        <v>0</v>
      </c>
      <c s="125">
        <f>Предпосылки!Q$240*Предпосылки!$P262*Продажи!R27*R$19*(1+Чувствительность!$D$20)*IFERROR(LOOKUP(Предпосылки!$H$213,$C$13:$C$15,R$13:R$15),1)</f>
        <v>0</v>
      </c>
      <c s="125">
        <f>Предпосылки!R$240*Предпосылки!$P262*Продажи!S27*S$19*(1+Чувствительность!$D$20)*IFERROR(LOOKUP(Предпосылки!$H$213,$C$13:$C$15,S$13:S$15),1)</f>
        <v>0</v>
      </c>
      <c s="125">
        <f>Предпосылки!S$240*Предпосылки!$P262*Продажи!T27*T$19*(1+Чувствительность!$D$20)*IFERROR(LOOKUP(Предпосылки!$H$213,$C$13:$C$15,T$13:T$15),1)</f>
        <v>0</v>
      </c>
      <c s="125">
        <f>Предпосылки!T$240*Предпосылки!$P262*Продажи!U27*U$19*(1+Чувствительность!$D$20)*IFERROR(LOOKUP(Предпосылки!$H$213,$C$13:$C$15,U$13:U$15),1)</f>
        <v>0</v>
      </c>
      <c s="125">
        <f>Предпосылки!U$240*Предпосылки!$P262*Продажи!V27*V$19*(1+Чувствительность!$D$20)*IFERROR(LOOKUP(Предпосылки!$H$213,$C$13:$C$15,V$13:V$15),1)</f>
        <v>0</v>
      </c>
      <c s="125">
        <f>Предпосылки!V$240*Предпосылки!$P262*Продажи!W27*W$19*(1+Чувствительность!$D$20)*IFERROR(LOOKUP(Предпосылки!$H$213,$C$13:$C$15,W$13:W$15),1)</f>
        <v>0</v>
      </c>
      <c s="125">
        <f>Предпосылки!W$240*Предпосылки!$P262*Продажи!X27*X$19*(1+Чувствительность!$D$20)*IFERROR(LOOKUP(Предпосылки!$H$213,$C$13:$C$15,X$13:X$15),1)</f>
        <v>0</v>
      </c>
      <c s="125">
        <f>Предпосылки!X$240*Предпосылки!$P262*Продажи!Y27*Y$19*(1+Чувствительность!$D$20)*IFERROR(LOOKUP(Предпосылки!$H$213,$C$13:$C$15,Y$13:Y$15),1)</f>
        <v>0</v>
      </c>
      <c s="125">
        <f>Предпосылки!Y$240*Предпосылки!$P262*Продажи!Z27*Z$19*(1+Чувствительность!$D$20)*IFERROR(LOOKUP(Предпосылки!$H$213,$C$13:$C$15,Z$13:Z$15),1)</f>
        <v>0</v>
      </c>
      <c s="125">
        <f>Предпосылки!Z$240*Предпосылки!$P262*Продажи!AA27*AA$19*(1+Чувствительность!$D$20)*IFERROR(LOOKUP(Предпосылки!$H$213,$C$13:$C$15,AA$13:AA$15),1)</f>
        <v>0</v>
      </c>
      <c s="125">
        <f>Предпосылки!AA$240*Предпосылки!$P262*Продажи!AB27*AB$19*(1+Чувствительность!$D$20)*IFERROR(LOOKUP(Предпосылки!$H$213,$C$13:$C$15,AB$13:AB$15),1)</f>
        <v>0</v>
      </c>
      <c s="125">
        <f>Предпосылки!AB$240*Предпосылки!$P262*Продажи!AC27*AC$19*(1+Чувствительность!$D$20)*IFERROR(LOOKUP(Предпосылки!$H$213,$C$13:$C$15,AC$13:AC$15),1)</f>
        <v>0</v>
      </c>
      <c s="125">
        <f>Предпосылки!AC$240*Предпосылки!$P262*Продажи!AD27*AD$19*(1+Чувствительность!$D$20)*IFERROR(LOOKUP(Предпосылки!$H$213,$C$13:$C$15,AD$13:AD$15),1)</f>
        <v>0</v>
      </c>
      <c s="125">
        <f>Предпосылки!AD$240*Предпосылки!$P262*Продажи!AE27*AE$19*(1+Чувствительность!$D$20)*IFERROR(LOOKUP(Предпосылки!$H$213,$C$13:$C$15,AE$13:AE$15),1)</f>
        <v>0</v>
      </c>
      <c s="125">
        <f>Предпосылки!AE$240*Предпосылки!$P262*Продажи!AF27*AF$19*(1+Чувствительность!$D$20)*IFERROR(LOOKUP(Предпосылки!$H$213,$C$13:$C$15,AF$13:AF$15),1)</f>
        <v>0</v>
      </c>
      <c s="125">
        <f>Предпосылки!AF$240*Предпосылки!$P262*Продажи!AG27*AG$19*(1+Чувствительность!$D$20)*IFERROR(LOOKUP(Предпосылки!$H$213,$C$13:$C$15,AG$13:AG$15),1)</f>
        <v>0</v>
      </c>
      <c s="125">
        <f>Предпосылки!AG$240*Предпосылки!$P262*Продажи!AH27*AH$19*(1+Чувствительность!$D$20)*IFERROR(LOOKUP(Предпосылки!$H$213,$C$13:$C$15,AH$13:AH$15),1)</f>
        <v>0</v>
      </c>
      <c s="125">
        <f>Предпосылки!AH$240*Предпосылки!$P262*Продажи!AI27*AI$19*(1+Чувствительность!$D$20)*IFERROR(LOOKUP(Предпосылки!$H$213,$C$13:$C$15,AI$13:AI$15),1)</f>
        <v>0</v>
      </c>
      <c s="125">
        <f>Предпосылки!AI$240*Предпосылки!$P262*Продажи!AJ27*AJ$19*(1+Чувствительность!$D$20)*IFERROR(LOOKUP(Предпосылки!$H$213,$C$13:$C$15,AJ$13:AJ$15),1)</f>
        <v>0</v>
      </c>
      <c s="125">
        <f>Предпосылки!AJ$240*Предпосылки!$P262*Продажи!AK27*AK$19*(1+Чувствительность!$D$20)*IFERROR(LOOKUP(Предпосылки!$H$213,$C$13:$C$15,AK$13:AK$15),1)</f>
        <v>0</v>
      </c>
      <c s="125">
        <f>Предпосылки!AK$240*Предпосылки!$P262*Продажи!AL27*AL$19*(1+Чувствительность!$D$20)*IFERROR(LOOKUP(Предпосылки!$H$213,$C$13:$C$15,AL$13:AL$15),1)</f>
        <v>0</v>
      </c>
      <c s="125">
        <f>Предпосылки!AL$240*Предпосылки!$P262*Продажи!AM27*AM$19*(1+Чувствительность!$D$20)*IFERROR(LOOKUP(Предпосылки!$H$213,$C$13:$C$15,AM$13:AM$15),1)</f>
        <v>0</v>
      </c>
      <c s="125">
        <f>Предпосылки!AM$240*Предпосылки!$P262*Продажи!AN27*AN$19*(1+Чувствительность!$D$20)*IFERROR(LOOKUP(Предпосылки!$H$213,$C$13:$C$15,AN$13:AN$15),1)</f>
        <v>0</v>
      </c>
      <c s="125">
        <f>Предпосылки!AN$240*Предпосылки!$P262*Продажи!AO27*AO$19*(1+Чувствительность!$D$20)*IFERROR(LOOKUP(Предпосылки!$H$213,$C$13:$C$15,AO$13:AO$15),1)</f>
        <v>0</v>
      </c>
      <c s="125">
        <f>Предпосылки!AO$240*Предпосылки!$P262*Продажи!AP27*AP$19*(1+Чувствительность!$D$20)*IFERROR(LOOKUP(Предпосылки!$H$213,$C$13:$C$15,AP$13:AP$15),1)</f>
        <v>0</v>
      </c>
      <c s="125">
        <f>Предпосылки!AP$240*Предпосылки!$P262*Продажи!AQ27*AQ$19*(1+Чувствительность!$D$20)*IFERROR(LOOKUP(Предпосылки!$H$213,$C$13:$C$15,AQ$13:AQ$15),1)</f>
        <v>0</v>
      </c>
      <c s="125">
        <f>Предпосылки!AQ$240*Предпосылки!$P262*Продажи!AR27*AR$19*(1+Чувствительность!$D$20)*IFERROR(LOOKUP(Предпосылки!$H$213,$C$13:$C$15,AR$13:AR$15),1)</f>
        <v>0</v>
      </c>
      <c s="125">
        <f>Предпосылки!AR$240*Предпосылки!$P262*Продажи!AS27*AS$19*(1+Чувствительность!$D$20)*IFERROR(LOOKUP(Предпосылки!$H$213,$C$13:$C$15,AS$13:AS$15),1)</f>
        <v>0</v>
      </c>
      <c s="125">
        <f>Предпосылки!AS$240*Предпосылки!$P262*Продажи!AT27*AT$19*(1+Чувствительность!$D$20)*IFERROR(LOOKUP(Предпосылки!$H$213,$C$13:$C$15,AT$13:AT$15),1)</f>
        <v>0</v>
      </c>
      <c s="125">
        <f>Предпосылки!AT$240*Предпосылки!$P262*Продажи!AU27*AU$19*(1+Чувствительность!$D$20)*IFERROR(LOOKUP(Предпосылки!$H$213,$C$13:$C$15,AU$13:AU$15),1)</f>
        <v>0</v>
      </c>
      <c s="125">
        <f>Предпосылки!AU$240*Предпосылки!$P262*Продажи!AV27*AV$19*(1+Чувствительность!$D$20)*IFERROR(LOOKUP(Предпосылки!$H$213,$C$13:$C$15,AV$13:AV$15),1)</f>
        <v>0</v>
      </c>
      <c s="125">
        <f>Предпосылки!AV$240*Предпосылки!$P262*Продажи!AW27*AW$19*(1+Чувствительность!$D$20)*IFERROR(LOOKUP(Предпосылки!$H$213,$C$13:$C$15,AW$13:AW$15),1)</f>
        <v>0</v>
      </c>
      <c s="125">
        <f>Предпосылки!AW$240*Предпосылки!$P262*Продажи!AX27*AX$19*(1+Чувствительность!$D$20)*IFERROR(LOOKUP(Предпосылки!$H$213,$C$13:$C$15,AX$13:AX$15),1)</f>
        <v>0</v>
      </c>
      <c s="125">
        <f>Предпосылки!AX$240*Предпосылки!$P262*Продажи!AY27*AY$19*(1+Чувствительность!$D$20)*IFERROR(LOOKUP(Предпосылки!$H$213,$C$13:$C$15,AY$13:AY$15),1)</f>
        <v>0</v>
      </c>
      <c s="125">
        <f>Предпосылки!AY$240*Предпосылки!$P262*Продажи!AZ27*AZ$19*(1+Чувствительность!$D$20)*IFERROR(LOOKUP(Предпосылки!$H$213,$C$13:$C$15,AZ$13:AZ$15),1)</f>
        <v>0</v>
      </c>
      <c s="125">
        <f>Предпосылки!AZ$240*Предпосылки!$P262*Продажи!BA27*BA$19*(1+Чувствительность!$D$20)*IFERROR(LOOKUP(Предпосылки!$H$213,$C$13:$C$15,BA$13:BA$15),1)</f>
        <v>0</v>
      </c>
      <c s="125">
        <f>Предпосылки!BA$240*Предпосылки!$P262*Продажи!BB27*BB$19*(1+Чувствительность!$D$20)*IFERROR(LOOKUP(Предпосылки!$H$213,$C$13:$C$15,BB$13:BB$15),1)</f>
        <v>0</v>
      </c>
      <c s="125">
        <f>Предпосылки!BB$240*Предпосылки!$P262*Продажи!BC27*BC$19*(1+Чувствительность!$D$20)*IFERROR(LOOKUP(Предпосылки!$H$213,$C$13:$C$15,BC$13:BC$15),1)</f>
        <v>0</v>
      </c>
      <c s="125">
        <f>Предпосылки!BC$240*Предпосылки!$P262*Продажи!BD27*BD$19*(1+Чувствительность!$D$20)*IFERROR(LOOKUP(Предпосылки!$H$213,$C$13:$C$15,BD$13:BD$15),1)</f>
        <v>0</v>
      </c>
      <c s="125">
        <f>Предпосылки!BD$240*Предпосылки!$P262*Продажи!BE27*BE$19*(1+Чувствительность!$D$20)*IFERROR(LOOKUP(Предпосылки!$H$213,$C$13:$C$15,BE$13:BE$15),1)</f>
        <v>0</v>
      </c>
      <c s="125">
        <f>Предпосылки!BE$240*Предпосылки!$P262*Продажи!BF27*BF$19*(1+Чувствительность!$D$20)*IFERROR(LOOKUP(Предпосылки!$H$213,$C$13:$C$15,BF$13:BF$15),1)</f>
        <v>0</v>
      </c>
      <c s="125">
        <f>Предпосылки!BF$240*Предпосылки!$P262*Продажи!BG27*BG$19*(1+Чувствительность!$D$20)*IFERROR(LOOKUP(Предпосылки!$H$213,$C$13:$C$15,BG$13:BG$15),1)</f>
        <v>0</v>
      </c>
      <c s="125">
        <f>Предпосылки!BG$240*Предпосылки!$P262*Продажи!BH27*BH$19*(1+Чувствительность!$D$20)*IFERROR(LOOKUP(Предпосылки!$H$213,$C$13:$C$15,BH$13:BH$15),1)</f>
        <v>0</v>
      </c>
      <c s="125">
        <f>Предпосылки!BH$240*Предпосылки!$P262*Продажи!BI27*BI$19*(1+Чувствительность!$D$20)*IFERROR(LOOKUP(Предпосылки!$H$213,$C$13:$C$15,BI$13:BI$15),1)</f>
        <v>0</v>
      </c>
      <c s="125">
        <f>Предпосылки!BI$240*Предпосылки!$P262*Продажи!BJ27*BJ$19*(1+Чувствительность!$D$20)*IFERROR(LOOKUP(Предпосылки!$H$213,$C$13:$C$15,BJ$13:BJ$15),1)</f>
        <v>0</v>
      </c>
      <c s="125">
        <f>Предпосылки!BJ$240*Предпосылки!$P262*Продажи!BK27*BK$19*(1+Чувствительность!$D$20)*IFERROR(LOOKUP(Предпосылки!$H$213,$C$13:$C$15,BK$13:BK$15),1)</f>
        <v>0</v>
      </c>
      <c s="125">
        <f>Предпосылки!BK$240*Предпосылки!$P262*Продажи!BL27*BL$19*(1+Чувствительность!$D$20)*IFERROR(LOOKUP(Предпосылки!$H$213,$C$13:$C$15,BL$13:BL$15),1)</f>
        <v>0</v>
      </c>
      <c s="125">
        <f>Предпосылки!BL$240*Предпосылки!$P262*Продажи!BM27*BM$19*(1+Чувствительность!$D$20)*IFERROR(LOOKUP(Предпосылки!$H$213,$C$13:$C$15,BM$13:BM$15),1)</f>
        <v>0</v>
      </c>
    </row>
    <row r="309" spans="2:65" ht="15" customHeight="1">
      <c r="B309" s="12" t="str">
        <f t="shared" si="121"/>
        <v>Продукт 11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Предпосылки!D$240*Предпосылки!$P263*Продажи!E28*E$19*(1+Чувствительность!$D$20)*IFERROR(LOOKUP(Предпосылки!$H$213,$C$13:$C$15,E$13:E$15),1)</f>
        <v>0</v>
      </c>
      <c s="125">
        <f>Предпосылки!E$240*Предпосылки!$P263*Продажи!F28*F$19*(1+Чувствительность!$D$20)*IFERROR(LOOKUP(Предпосылки!$H$213,$C$13:$C$15,F$13:F$15),1)</f>
        <v>0</v>
      </c>
      <c s="125">
        <f>Предпосылки!F$240*Предпосылки!$P263*Продажи!G28*G$19*(1+Чувствительность!$D$20)*IFERROR(LOOKUP(Предпосылки!$H$213,$C$13:$C$15,G$13:G$15),1)</f>
        <v>0</v>
      </c>
      <c s="125">
        <f>Предпосылки!G$240*Предпосылки!$P263*Продажи!H28*H$19*(1+Чувствительность!$D$20)*IFERROR(LOOKUP(Предпосылки!$H$213,$C$13:$C$15,H$13:H$15),1)</f>
        <v>0</v>
      </c>
      <c s="125">
        <f>Предпосылки!H$240*Предпосылки!$P263*Продажи!I28*I$19*(1+Чувствительность!$D$20)*IFERROR(LOOKUP(Предпосылки!$H$213,$C$13:$C$15,I$13:I$15),1)</f>
        <v>0</v>
      </c>
      <c s="125">
        <f>Предпосылки!I$240*Предпосылки!$P263*Продажи!J28*J$19*(1+Чувствительность!$D$20)*IFERROR(LOOKUP(Предпосылки!$H$213,$C$13:$C$15,J$13:J$15),1)</f>
        <v>0</v>
      </c>
      <c s="125">
        <f>Предпосылки!J$240*Предпосылки!$P263*Продажи!K28*K$19*(1+Чувствительность!$D$20)*IFERROR(LOOKUP(Предпосылки!$H$213,$C$13:$C$15,K$13:K$15),1)</f>
        <v>0</v>
      </c>
      <c s="125">
        <f>Предпосылки!K$240*Предпосылки!$P263*Продажи!L28*L$19*(1+Чувствительность!$D$20)*IFERROR(LOOKUP(Предпосылки!$H$213,$C$13:$C$15,L$13:L$15),1)</f>
        <v>0</v>
      </c>
      <c s="125">
        <f>Предпосылки!L$240*Предпосылки!$P263*Продажи!M28*M$19*(1+Чувствительность!$D$20)*IFERROR(LOOKUP(Предпосылки!$H$213,$C$13:$C$15,M$13:M$15),1)</f>
        <v>0</v>
      </c>
      <c s="125">
        <f>Предпосылки!M$240*Предпосылки!$P263*Продажи!N28*N$19*(1+Чувствительность!$D$20)*IFERROR(LOOKUP(Предпосылки!$H$213,$C$13:$C$15,N$13:N$15),1)</f>
        <v>0</v>
      </c>
      <c s="125">
        <f>Предпосылки!N$240*Предпосылки!$P263*Продажи!O28*O$19*(1+Чувствительность!$D$20)*IFERROR(LOOKUP(Предпосылки!$H$213,$C$13:$C$15,O$13:O$15),1)</f>
        <v>0</v>
      </c>
      <c s="125">
        <f>Предпосылки!O$240*Предпосылки!$P263*Продажи!P28*P$19*(1+Чувствительность!$D$20)*IFERROR(LOOKUP(Предпосылки!$H$213,$C$13:$C$15,P$13:P$15),1)</f>
        <v>0</v>
      </c>
      <c s="125">
        <f>Предпосылки!P$240*Предпосылки!$P263*Продажи!Q28*Q$19*(1+Чувствительность!$D$20)*IFERROR(LOOKUP(Предпосылки!$H$213,$C$13:$C$15,Q$13:Q$15),1)</f>
        <v>0</v>
      </c>
      <c s="125">
        <f>Предпосылки!Q$240*Предпосылки!$P263*Продажи!R28*R$19*(1+Чувствительность!$D$20)*IFERROR(LOOKUP(Предпосылки!$H$213,$C$13:$C$15,R$13:R$15),1)</f>
        <v>0</v>
      </c>
      <c s="125">
        <f>Предпосылки!R$240*Предпосылки!$P263*Продажи!S28*S$19*(1+Чувствительность!$D$20)*IFERROR(LOOKUP(Предпосылки!$H$213,$C$13:$C$15,S$13:S$15),1)</f>
        <v>0</v>
      </c>
      <c s="125">
        <f>Предпосылки!S$240*Предпосылки!$P263*Продажи!T28*T$19*(1+Чувствительность!$D$20)*IFERROR(LOOKUP(Предпосылки!$H$213,$C$13:$C$15,T$13:T$15),1)</f>
        <v>0</v>
      </c>
      <c s="125">
        <f>Предпосылки!T$240*Предпосылки!$P263*Продажи!U28*U$19*(1+Чувствительность!$D$20)*IFERROR(LOOKUP(Предпосылки!$H$213,$C$13:$C$15,U$13:U$15),1)</f>
        <v>0</v>
      </c>
      <c s="125">
        <f>Предпосылки!U$240*Предпосылки!$P263*Продажи!V28*V$19*(1+Чувствительность!$D$20)*IFERROR(LOOKUP(Предпосылки!$H$213,$C$13:$C$15,V$13:V$15),1)</f>
        <v>0</v>
      </c>
      <c s="125">
        <f>Предпосылки!V$240*Предпосылки!$P263*Продажи!W28*W$19*(1+Чувствительность!$D$20)*IFERROR(LOOKUP(Предпосылки!$H$213,$C$13:$C$15,W$13:W$15),1)</f>
        <v>0</v>
      </c>
      <c s="125">
        <f>Предпосылки!W$240*Предпосылки!$P263*Продажи!X28*X$19*(1+Чувствительность!$D$20)*IFERROR(LOOKUP(Предпосылки!$H$213,$C$13:$C$15,X$13:X$15),1)</f>
        <v>0</v>
      </c>
      <c s="125">
        <f>Предпосылки!X$240*Предпосылки!$P263*Продажи!Y28*Y$19*(1+Чувствительность!$D$20)*IFERROR(LOOKUP(Предпосылки!$H$213,$C$13:$C$15,Y$13:Y$15),1)</f>
        <v>0</v>
      </c>
      <c s="125">
        <f>Предпосылки!Y$240*Предпосылки!$P263*Продажи!Z28*Z$19*(1+Чувствительность!$D$20)*IFERROR(LOOKUP(Предпосылки!$H$213,$C$13:$C$15,Z$13:Z$15),1)</f>
        <v>0</v>
      </c>
      <c s="125">
        <f>Предпосылки!Z$240*Предпосылки!$P263*Продажи!AA28*AA$19*(1+Чувствительность!$D$20)*IFERROR(LOOKUP(Предпосылки!$H$213,$C$13:$C$15,AA$13:AA$15),1)</f>
        <v>0</v>
      </c>
      <c s="125">
        <f>Предпосылки!AA$240*Предпосылки!$P263*Продажи!AB28*AB$19*(1+Чувствительность!$D$20)*IFERROR(LOOKUP(Предпосылки!$H$213,$C$13:$C$15,AB$13:AB$15),1)</f>
        <v>0</v>
      </c>
      <c s="125">
        <f>Предпосылки!AB$240*Предпосылки!$P263*Продажи!AC28*AC$19*(1+Чувствительность!$D$20)*IFERROR(LOOKUP(Предпосылки!$H$213,$C$13:$C$15,AC$13:AC$15),1)</f>
        <v>0</v>
      </c>
      <c s="125">
        <f>Предпосылки!AC$240*Предпосылки!$P263*Продажи!AD28*AD$19*(1+Чувствительность!$D$20)*IFERROR(LOOKUP(Предпосылки!$H$213,$C$13:$C$15,AD$13:AD$15),1)</f>
        <v>0</v>
      </c>
      <c s="125">
        <f>Предпосылки!AD$240*Предпосылки!$P263*Продажи!AE28*AE$19*(1+Чувствительность!$D$20)*IFERROR(LOOKUP(Предпосылки!$H$213,$C$13:$C$15,AE$13:AE$15),1)</f>
        <v>0</v>
      </c>
      <c s="125">
        <f>Предпосылки!AE$240*Предпосылки!$P263*Продажи!AF28*AF$19*(1+Чувствительность!$D$20)*IFERROR(LOOKUP(Предпосылки!$H$213,$C$13:$C$15,AF$13:AF$15),1)</f>
        <v>0</v>
      </c>
      <c s="125">
        <f>Предпосылки!AF$240*Предпосылки!$P263*Продажи!AG28*AG$19*(1+Чувствительность!$D$20)*IFERROR(LOOKUP(Предпосылки!$H$213,$C$13:$C$15,AG$13:AG$15),1)</f>
        <v>0</v>
      </c>
      <c s="125">
        <f>Предпосылки!AG$240*Предпосылки!$P263*Продажи!AH28*AH$19*(1+Чувствительность!$D$20)*IFERROR(LOOKUP(Предпосылки!$H$213,$C$13:$C$15,AH$13:AH$15),1)</f>
        <v>0</v>
      </c>
      <c s="125">
        <f>Предпосылки!AH$240*Предпосылки!$P263*Продажи!AI28*AI$19*(1+Чувствительность!$D$20)*IFERROR(LOOKUP(Предпосылки!$H$213,$C$13:$C$15,AI$13:AI$15),1)</f>
        <v>0</v>
      </c>
      <c s="125">
        <f>Предпосылки!AI$240*Предпосылки!$P263*Продажи!AJ28*AJ$19*(1+Чувствительность!$D$20)*IFERROR(LOOKUP(Предпосылки!$H$213,$C$13:$C$15,AJ$13:AJ$15),1)</f>
        <v>0</v>
      </c>
      <c s="125">
        <f>Предпосылки!AJ$240*Предпосылки!$P263*Продажи!AK28*AK$19*(1+Чувствительность!$D$20)*IFERROR(LOOKUP(Предпосылки!$H$213,$C$13:$C$15,AK$13:AK$15),1)</f>
        <v>0</v>
      </c>
      <c s="125">
        <f>Предпосылки!AK$240*Предпосылки!$P263*Продажи!AL28*AL$19*(1+Чувствительность!$D$20)*IFERROR(LOOKUP(Предпосылки!$H$213,$C$13:$C$15,AL$13:AL$15),1)</f>
        <v>0</v>
      </c>
      <c s="125">
        <f>Предпосылки!AL$240*Предпосылки!$P263*Продажи!AM28*AM$19*(1+Чувствительность!$D$20)*IFERROR(LOOKUP(Предпосылки!$H$213,$C$13:$C$15,AM$13:AM$15),1)</f>
        <v>0</v>
      </c>
      <c s="125">
        <f>Предпосылки!AM$240*Предпосылки!$P263*Продажи!AN28*AN$19*(1+Чувствительность!$D$20)*IFERROR(LOOKUP(Предпосылки!$H$213,$C$13:$C$15,AN$13:AN$15),1)</f>
        <v>0</v>
      </c>
      <c s="125">
        <f>Предпосылки!AN$240*Предпосылки!$P263*Продажи!AO28*AO$19*(1+Чувствительность!$D$20)*IFERROR(LOOKUP(Предпосылки!$H$213,$C$13:$C$15,AO$13:AO$15),1)</f>
        <v>0</v>
      </c>
      <c s="125">
        <f>Предпосылки!AO$240*Предпосылки!$P263*Продажи!AP28*AP$19*(1+Чувствительность!$D$20)*IFERROR(LOOKUP(Предпосылки!$H$213,$C$13:$C$15,AP$13:AP$15),1)</f>
        <v>0</v>
      </c>
      <c s="125">
        <f>Предпосылки!AP$240*Предпосылки!$P263*Продажи!AQ28*AQ$19*(1+Чувствительность!$D$20)*IFERROR(LOOKUP(Предпосылки!$H$213,$C$13:$C$15,AQ$13:AQ$15),1)</f>
        <v>0</v>
      </c>
      <c s="125">
        <f>Предпосылки!AQ$240*Предпосылки!$P263*Продажи!AR28*AR$19*(1+Чувствительность!$D$20)*IFERROR(LOOKUP(Предпосылки!$H$213,$C$13:$C$15,AR$13:AR$15),1)</f>
        <v>0</v>
      </c>
      <c s="125">
        <f>Предпосылки!AR$240*Предпосылки!$P263*Продажи!AS28*AS$19*(1+Чувствительность!$D$20)*IFERROR(LOOKUP(Предпосылки!$H$213,$C$13:$C$15,AS$13:AS$15),1)</f>
        <v>0</v>
      </c>
      <c s="125">
        <f>Предпосылки!AS$240*Предпосылки!$P263*Продажи!AT28*AT$19*(1+Чувствительность!$D$20)*IFERROR(LOOKUP(Предпосылки!$H$213,$C$13:$C$15,AT$13:AT$15),1)</f>
        <v>0</v>
      </c>
      <c s="125">
        <f>Предпосылки!AT$240*Предпосылки!$P263*Продажи!AU28*AU$19*(1+Чувствительность!$D$20)*IFERROR(LOOKUP(Предпосылки!$H$213,$C$13:$C$15,AU$13:AU$15),1)</f>
        <v>0</v>
      </c>
      <c s="125">
        <f>Предпосылки!AU$240*Предпосылки!$P263*Продажи!AV28*AV$19*(1+Чувствительность!$D$20)*IFERROR(LOOKUP(Предпосылки!$H$213,$C$13:$C$15,AV$13:AV$15),1)</f>
        <v>0</v>
      </c>
      <c s="125">
        <f>Предпосылки!AV$240*Предпосылки!$P263*Продажи!AW28*AW$19*(1+Чувствительность!$D$20)*IFERROR(LOOKUP(Предпосылки!$H$213,$C$13:$C$15,AW$13:AW$15),1)</f>
        <v>0</v>
      </c>
      <c s="125">
        <f>Предпосылки!AW$240*Предпосылки!$P263*Продажи!AX28*AX$19*(1+Чувствительность!$D$20)*IFERROR(LOOKUP(Предпосылки!$H$213,$C$13:$C$15,AX$13:AX$15),1)</f>
        <v>0</v>
      </c>
      <c s="125">
        <f>Предпосылки!AX$240*Предпосылки!$P263*Продажи!AY28*AY$19*(1+Чувствительность!$D$20)*IFERROR(LOOKUP(Предпосылки!$H$213,$C$13:$C$15,AY$13:AY$15),1)</f>
        <v>0</v>
      </c>
      <c s="125">
        <f>Предпосылки!AY$240*Предпосылки!$P263*Продажи!AZ28*AZ$19*(1+Чувствительность!$D$20)*IFERROR(LOOKUP(Предпосылки!$H$213,$C$13:$C$15,AZ$13:AZ$15),1)</f>
        <v>0</v>
      </c>
      <c s="125">
        <f>Предпосылки!AZ$240*Предпосылки!$P263*Продажи!BA28*BA$19*(1+Чувствительность!$D$20)*IFERROR(LOOKUP(Предпосылки!$H$213,$C$13:$C$15,BA$13:BA$15),1)</f>
        <v>0</v>
      </c>
      <c s="125">
        <f>Предпосылки!BA$240*Предпосылки!$P263*Продажи!BB28*BB$19*(1+Чувствительность!$D$20)*IFERROR(LOOKUP(Предпосылки!$H$213,$C$13:$C$15,BB$13:BB$15),1)</f>
        <v>0</v>
      </c>
      <c s="125">
        <f>Предпосылки!BB$240*Предпосылки!$P263*Продажи!BC28*BC$19*(1+Чувствительность!$D$20)*IFERROR(LOOKUP(Предпосылки!$H$213,$C$13:$C$15,BC$13:BC$15),1)</f>
        <v>0</v>
      </c>
      <c s="125">
        <f>Предпосылки!BC$240*Предпосылки!$P263*Продажи!BD28*BD$19*(1+Чувствительность!$D$20)*IFERROR(LOOKUP(Предпосылки!$H$213,$C$13:$C$15,BD$13:BD$15),1)</f>
        <v>0</v>
      </c>
      <c s="125">
        <f>Предпосылки!BD$240*Предпосылки!$P263*Продажи!BE28*BE$19*(1+Чувствительность!$D$20)*IFERROR(LOOKUP(Предпосылки!$H$213,$C$13:$C$15,BE$13:BE$15),1)</f>
        <v>0</v>
      </c>
      <c s="125">
        <f>Предпосылки!BE$240*Предпосылки!$P263*Продажи!BF28*BF$19*(1+Чувствительность!$D$20)*IFERROR(LOOKUP(Предпосылки!$H$213,$C$13:$C$15,BF$13:BF$15),1)</f>
        <v>0</v>
      </c>
      <c s="125">
        <f>Предпосылки!BF$240*Предпосылки!$P263*Продажи!BG28*BG$19*(1+Чувствительность!$D$20)*IFERROR(LOOKUP(Предпосылки!$H$213,$C$13:$C$15,BG$13:BG$15),1)</f>
        <v>0</v>
      </c>
      <c s="125">
        <f>Предпосылки!BG$240*Предпосылки!$P263*Продажи!BH28*BH$19*(1+Чувствительность!$D$20)*IFERROR(LOOKUP(Предпосылки!$H$213,$C$13:$C$15,BH$13:BH$15),1)</f>
        <v>0</v>
      </c>
      <c s="125">
        <f>Предпосылки!BH$240*Предпосылки!$P263*Продажи!BI28*BI$19*(1+Чувствительность!$D$20)*IFERROR(LOOKUP(Предпосылки!$H$213,$C$13:$C$15,BI$13:BI$15),1)</f>
        <v>0</v>
      </c>
      <c s="125">
        <f>Предпосылки!BI$240*Предпосылки!$P263*Продажи!BJ28*BJ$19*(1+Чувствительность!$D$20)*IFERROR(LOOKUP(Предпосылки!$H$213,$C$13:$C$15,BJ$13:BJ$15),1)</f>
        <v>0</v>
      </c>
      <c s="125">
        <f>Предпосылки!BJ$240*Предпосылки!$P263*Продажи!BK28*BK$19*(1+Чувствительность!$D$20)*IFERROR(LOOKUP(Предпосылки!$H$213,$C$13:$C$15,BK$13:BK$15),1)</f>
        <v>0</v>
      </c>
      <c s="125">
        <f>Предпосылки!BK$240*Предпосылки!$P263*Продажи!BL28*BL$19*(1+Чувствительность!$D$20)*IFERROR(LOOKUP(Предпосылки!$H$213,$C$13:$C$15,BL$13:BL$15),1)</f>
        <v>0</v>
      </c>
      <c s="125">
        <f>Предпосылки!BL$240*Предпосылки!$P263*Продажи!BM28*BM$19*(1+Чувствительность!$D$20)*IFERROR(LOOKUP(Предпосылки!$H$213,$C$13:$C$15,BM$13:BM$15),1)</f>
        <v>0</v>
      </c>
    </row>
    <row r="310" spans="2:65" ht="15" customHeight="1">
      <c r="B310" s="12" t="str">
        <f t="shared" si="121"/>
        <v>Продукт 12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Предпосылки!D$240*Предпосылки!$P264*Продажи!E29*E$19*(1+Чувствительность!$D$20)*IFERROR(LOOKUP(Предпосылки!$H$213,$C$13:$C$15,E$13:E$15),1)</f>
        <v>0</v>
      </c>
      <c s="125">
        <f>Предпосылки!E$240*Предпосылки!$P264*Продажи!F29*F$19*(1+Чувствительность!$D$20)*IFERROR(LOOKUP(Предпосылки!$H$213,$C$13:$C$15,F$13:F$15),1)</f>
        <v>0</v>
      </c>
      <c s="125">
        <f>Предпосылки!F$240*Предпосылки!$P264*Продажи!G29*G$19*(1+Чувствительность!$D$20)*IFERROR(LOOKUP(Предпосылки!$H$213,$C$13:$C$15,G$13:G$15),1)</f>
        <v>0</v>
      </c>
      <c s="125">
        <f>Предпосылки!G$240*Предпосылки!$P264*Продажи!H29*H$19*(1+Чувствительность!$D$20)*IFERROR(LOOKUP(Предпосылки!$H$213,$C$13:$C$15,H$13:H$15),1)</f>
        <v>0</v>
      </c>
      <c s="125">
        <f>Предпосылки!H$240*Предпосылки!$P264*Продажи!I29*I$19*(1+Чувствительность!$D$20)*IFERROR(LOOKUP(Предпосылки!$H$213,$C$13:$C$15,I$13:I$15),1)</f>
        <v>0</v>
      </c>
      <c s="125">
        <f>Предпосылки!I$240*Предпосылки!$P264*Продажи!J29*J$19*(1+Чувствительность!$D$20)*IFERROR(LOOKUP(Предпосылки!$H$213,$C$13:$C$15,J$13:J$15),1)</f>
        <v>0</v>
      </c>
      <c s="125">
        <f>Предпосылки!J$240*Предпосылки!$P264*Продажи!K29*K$19*(1+Чувствительность!$D$20)*IFERROR(LOOKUP(Предпосылки!$H$213,$C$13:$C$15,K$13:K$15),1)</f>
        <v>0</v>
      </c>
      <c s="125">
        <f>Предпосылки!K$240*Предпосылки!$P264*Продажи!L29*L$19*(1+Чувствительность!$D$20)*IFERROR(LOOKUP(Предпосылки!$H$213,$C$13:$C$15,L$13:L$15),1)</f>
        <v>0</v>
      </c>
      <c s="125">
        <f>Предпосылки!L$240*Предпосылки!$P264*Продажи!M29*M$19*(1+Чувствительность!$D$20)*IFERROR(LOOKUP(Предпосылки!$H$213,$C$13:$C$15,M$13:M$15),1)</f>
        <v>0</v>
      </c>
      <c s="125">
        <f>Предпосылки!M$240*Предпосылки!$P264*Продажи!N29*N$19*(1+Чувствительность!$D$20)*IFERROR(LOOKUP(Предпосылки!$H$213,$C$13:$C$15,N$13:N$15),1)</f>
        <v>0</v>
      </c>
      <c s="125">
        <f>Предпосылки!N$240*Предпосылки!$P264*Продажи!O29*O$19*(1+Чувствительность!$D$20)*IFERROR(LOOKUP(Предпосылки!$H$213,$C$13:$C$15,O$13:O$15),1)</f>
        <v>0</v>
      </c>
      <c s="125">
        <f>Предпосылки!O$240*Предпосылки!$P264*Продажи!P29*P$19*(1+Чувствительность!$D$20)*IFERROR(LOOKUP(Предпосылки!$H$213,$C$13:$C$15,P$13:P$15),1)</f>
        <v>0</v>
      </c>
      <c s="125">
        <f>Предпосылки!P$240*Предпосылки!$P264*Продажи!Q29*Q$19*(1+Чувствительность!$D$20)*IFERROR(LOOKUP(Предпосылки!$H$213,$C$13:$C$15,Q$13:Q$15),1)</f>
        <v>0</v>
      </c>
      <c s="125">
        <f>Предпосылки!Q$240*Предпосылки!$P264*Продажи!R29*R$19*(1+Чувствительность!$D$20)*IFERROR(LOOKUP(Предпосылки!$H$213,$C$13:$C$15,R$13:R$15),1)</f>
        <v>0</v>
      </c>
      <c s="125">
        <f>Предпосылки!R$240*Предпосылки!$P264*Продажи!S29*S$19*(1+Чувствительность!$D$20)*IFERROR(LOOKUP(Предпосылки!$H$213,$C$13:$C$15,S$13:S$15),1)</f>
        <v>0</v>
      </c>
      <c s="125">
        <f>Предпосылки!S$240*Предпосылки!$P264*Продажи!T29*T$19*(1+Чувствительность!$D$20)*IFERROR(LOOKUP(Предпосылки!$H$213,$C$13:$C$15,T$13:T$15),1)</f>
        <v>0</v>
      </c>
      <c s="125">
        <f>Предпосылки!T$240*Предпосылки!$P264*Продажи!U29*U$19*(1+Чувствительность!$D$20)*IFERROR(LOOKUP(Предпосылки!$H$213,$C$13:$C$15,U$13:U$15),1)</f>
        <v>0</v>
      </c>
      <c s="125">
        <f>Предпосылки!U$240*Предпосылки!$P264*Продажи!V29*V$19*(1+Чувствительность!$D$20)*IFERROR(LOOKUP(Предпосылки!$H$213,$C$13:$C$15,V$13:V$15),1)</f>
        <v>0</v>
      </c>
      <c s="125">
        <f>Предпосылки!V$240*Предпосылки!$P264*Продажи!W29*W$19*(1+Чувствительность!$D$20)*IFERROR(LOOKUP(Предпосылки!$H$213,$C$13:$C$15,W$13:W$15),1)</f>
        <v>0</v>
      </c>
      <c s="125">
        <f>Предпосылки!W$240*Предпосылки!$P264*Продажи!X29*X$19*(1+Чувствительность!$D$20)*IFERROR(LOOKUP(Предпосылки!$H$213,$C$13:$C$15,X$13:X$15),1)</f>
        <v>0</v>
      </c>
      <c s="125">
        <f>Предпосылки!X$240*Предпосылки!$P264*Продажи!Y29*Y$19*(1+Чувствительность!$D$20)*IFERROR(LOOKUP(Предпосылки!$H$213,$C$13:$C$15,Y$13:Y$15),1)</f>
        <v>0</v>
      </c>
      <c s="125">
        <f>Предпосылки!Y$240*Предпосылки!$P264*Продажи!Z29*Z$19*(1+Чувствительность!$D$20)*IFERROR(LOOKUP(Предпосылки!$H$213,$C$13:$C$15,Z$13:Z$15),1)</f>
        <v>0</v>
      </c>
      <c s="125">
        <f>Предпосылки!Z$240*Предпосылки!$P264*Продажи!AA29*AA$19*(1+Чувствительность!$D$20)*IFERROR(LOOKUP(Предпосылки!$H$213,$C$13:$C$15,AA$13:AA$15),1)</f>
        <v>0</v>
      </c>
      <c s="125">
        <f>Предпосылки!AA$240*Предпосылки!$P264*Продажи!AB29*AB$19*(1+Чувствительность!$D$20)*IFERROR(LOOKUP(Предпосылки!$H$213,$C$13:$C$15,AB$13:AB$15),1)</f>
        <v>0</v>
      </c>
      <c s="125">
        <f>Предпосылки!AB$240*Предпосылки!$P264*Продажи!AC29*AC$19*(1+Чувствительность!$D$20)*IFERROR(LOOKUP(Предпосылки!$H$213,$C$13:$C$15,AC$13:AC$15),1)</f>
        <v>0</v>
      </c>
      <c s="125">
        <f>Предпосылки!AC$240*Предпосылки!$P264*Продажи!AD29*AD$19*(1+Чувствительность!$D$20)*IFERROR(LOOKUP(Предпосылки!$H$213,$C$13:$C$15,AD$13:AD$15),1)</f>
        <v>0</v>
      </c>
      <c s="125">
        <f>Предпосылки!AD$240*Предпосылки!$P264*Продажи!AE29*AE$19*(1+Чувствительность!$D$20)*IFERROR(LOOKUP(Предпосылки!$H$213,$C$13:$C$15,AE$13:AE$15),1)</f>
        <v>0</v>
      </c>
      <c s="125">
        <f>Предпосылки!AE$240*Предпосылки!$P264*Продажи!AF29*AF$19*(1+Чувствительность!$D$20)*IFERROR(LOOKUP(Предпосылки!$H$213,$C$13:$C$15,AF$13:AF$15),1)</f>
        <v>0</v>
      </c>
      <c s="125">
        <f>Предпосылки!AF$240*Предпосылки!$P264*Продажи!AG29*AG$19*(1+Чувствительность!$D$20)*IFERROR(LOOKUP(Предпосылки!$H$213,$C$13:$C$15,AG$13:AG$15),1)</f>
        <v>0</v>
      </c>
      <c s="125">
        <f>Предпосылки!AG$240*Предпосылки!$P264*Продажи!AH29*AH$19*(1+Чувствительность!$D$20)*IFERROR(LOOKUP(Предпосылки!$H$213,$C$13:$C$15,AH$13:AH$15),1)</f>
        <v>0</v>
      </c>
      <c s="125">
        <f>Предпосылки!AH$240*Предпосылки!$P264*Продажи!AI29*AI$19*(1+Чувствительность!$D$20)*IFERROR(LOOKUP(Предпосылки!$H$213,$C$13:$C$15,AI$13:AI$15),1)</f>
        <v>0</v>
      </c>
      <c s="125">
        <f>Предпосылки!AI$240*Предпосылки!$P264*Продажи!AJ29*AJ$19*(1+Чувствительность!$D$20)*IFERROR(LOOKUP(Предпосылки!$H$213,$C$13:$C$15,AJ$13:AJ$15),1)</f>
        <v>0</v>
      </c>
      <c s="125">
        <f>Предпосылки!AJ$240*Предпосылки!$P264*Продажи!AK29*AK$19*(1+Чувствительность!$D$20)*IFERROR(LOOKUP(Предпосылки!$H$213,$C$13:$C$15,AK$13:AK$15),1)</f>
        <v>0</v>
      </c>
      <c s="125">
        <f>Предпосылки!AK$240*Предпосылки!$P264*Продажи!AL29*AL$19*(1+Чувствительность!$D$20)*IFERROR(LOOKUP(Предпосылки!$H$213,$C$13:$C$15,AL$13:AL$15),1)</f>
        <v>0</v>
      </c>
      <c s="125">
        <f>Предпосылки!AL$240*Предпосылки!$P264*Продажи!AM29*AM$19*(1+Чувствительность!$D$20)*IFERROR(LOOKUP(Предпосылки!$H$213,$C$13:$C$15,AM$13:AM$15),1)</f>
        <v>0</v>
      </c>
      <c s="125">
        <f>Предпосылки!AM$240*Предпосылки!$P264*Продажи!AN29*AN$19*(1+Чувствительность!$D$20)*IFERROR(LOOKUP(Предпосылки!$H$213,$C$13:$C$15,AN$13:AN$15),1)</f>
        <v>0</v>
      </c>
      <c s="125">
        <f>Предпосылки!AN$240*Предпосылки!$P264*Продажи!AO29*AO$19*(1+Чувствительность!$D$20)*IFERROR(LOOKUP(Предпосылки!$H$213,$C$13:$C$15,AO$13:AO$15),1)</f>
        <v>0</v>
      </c>
      <c s="125">
        <f>Предпосылки!AO$240*Предпосылки!$P264*Продажи!AP29*AP$19*(1+Чувствительность!$D$20)*IFERROR(LOOKUP(Предпосылки!$H$213,$C$13:$C$15,AP$13:AP$15),1)</f>
        <v>0</v>
      </c>
      <c s="125">
        <f>Предпосылки!AP$240*Предпосылки!$P264*Продажи!AQ29*AQ$19*(1+Чувствительность!$D$20)*IFERROR(LOOKUP(Предпосылки!$H$213,$C$13:$C$15,AQ$13:AQ$15),1)</f>
        <v>0</v>
      </c>
      <c s="125">
        <f>Предпосылки!AQ$240*Предпосылки!$P264*Продажи!AR29*AR$19*(1+Чувствительность!$D$20)*IFERROR(LOOKUP(Предпосылки!$H$213,$C$13:$C$15,AR$13:AR$15),1)</f>
        <v>0</v>
      </c>
      <c s="125">
        <f>Предпосылки!AR$240*Предпосылки!$P264*Продажи!AS29*AS$19*(1+Чувствительность!$D$20)*IFERROR(LOOKUP(Предпосылки!$H$213,$C$13:$C$15,AS$13:AS$15),1)</f>
        <v>0</v>
      </c>
      <c s="125">
        <f>Предпосылки!AS$240*Предпосылки!$P264*Продажи!AT29*AT$19*(1+Чувствительность!$D$20)*IFERROR(LOOKUP(Предпосылки!$H$213,$C$13:$C$15,AT$13:AT$15),1)</f>
        <v>0</v>
      </c>
      <c s="125">
        <f>Предпосылки!AT$240*Предпосылки!$P264*Продажи!AU29*AU$19*(1+Чувствительность!$D$20)*IFERROR(LOOKUP(Предпосылки!$H$213,$C$13:$C$15,AU$13:AU$15),1)</f>
        <v>0</v>
      </c>
      <c s="125">
        <f>Предпосылки!AU$240*Предпосылки!$P264*Продажи!AV29*AV$19*(1+Чувствительность!$D$20)*IFERROR(LOOKUP(Предпосылки!$H$213,$C$13:$C$15,AV$13:AV$15),1)</f>
        <v>0</v>
      </c>
      <c s="125">
        <f>Предпосылки!AV$240*Предпосылки!$P264*Продажи!AW29*AW$19*(1+Чувствительность!$D$20)*IFERROR(LOOKUP(Предпосылки!$H$213,$C$13:$C$15,AW$13:AW$15),1)</f>
        <v>0</v>
      </c>
      <c s="125">
        <f>Предпосылки!AW$240*Предпосылки!$P264*Продажи!AX29*AX$19*(1+Чувствительность!$D$20)*IFERROR(LOOKUP(Предпосылки!$H$213,$C$13:$C$15,AX$13:AX$15),1)</f>
        <v>0</v>
      </c>
      <c s="125">
        <f>Предпосылки!AX$240*Предпосылки!$P264*Продажи!AY29*AY$19*(1+Чувствительность!$D$20)*IFERROR(LOOKUP(Предпосылки!$H$213,$C$13:$C$15,AY$13:AY$15),1)</f>
        <v>0</v>
      </c>
      <c s="125">
        <f>Предпосылки!AY$240*Предпосылки!$P264*Продажи!AZ29*AZ$19*(1+Чувствительность!$D$20)*IFERROR(LOOKUP(Предпосылки!$H$213,$C$13:$C$15,AZ$13:AZ$15),1)</f>
        <v>0</v>
      </c>
      <c s="125">
        <f>Предпосылки!AZ$240*Предпосылки!$P264*Продажи!BA29*BA$19*(1+Чувствительность!$D$20)*IFERROR(LOOKUP(Предпосылки!$H$213,$C$13:$C$15,BA$13:BA$15),1)</f>
        <v>0</v>
      </c>
      <c s="125">
        <f>Предпосылки!BA$240*Предпосылки!$P264*Продажи!BB29*BB$19*(1+Чувствительность!$D$20)*IFERROR(LOOKUP(Предпосылки!$H$213,$C$13:$C$15,BB$13:BB$15),1)</f>
        <v>0</v>
      </c>
      <c s="125">
        <f>Предпосылки!BB$240*Предпосылки!$P264*Продажи!BC29*BC$19*(1+Чувствительность!$D$20)*IFERROR(LOOKUP(Предпосылки!$H$213,$C$13:$C$15,BC$13:BC$15),1)</f>
        <v>0</v>
      </c>
      <c s="125">
        <f>Предпосылки!BC$240*Предпосылки!$P264*Продажи!BD29*BD$19*(1+Чувствительность!$D$20)*IFERROR(LOOKUP(Предпосылки!$H$213,$C$13:$C$15,BD$13:BD$15),1)</f>
        <v>0</v>
      </c>
      <c s="125">
        <f>Предпосылки!BD$240*Предпосылки!$P264*Продажи!BE29*BE$19*(1+Чувствительность!$D$20)*IFERROR(LOOKUP(Предпосылки!$H$213,$C$13:$C$15,BE$13:BE$15),1)</f>
        <v>0</v>
      </c>
      <c s="125">
        <f>Предпосылки!BE$240*Предпосылки!$P264*Продажи!BF29*BF$19*(1+Чувствительность!$D$20)*IFERROR(LOOKUP(Предпосылки!$H$213,$C$13:$C$15,BF$13:BF$15),1)</f>
        <v>0</v>
      </c>
      <c s="125">
        <f>Предпосылки!BF$240*Предпосылки!$P264*Продажи!BG29*BG$19*(1+Чувствительность!$D$20)*IFERROR(LOOKUP(Предпосылки!$H$213,$C$13:$C$15,BG$13:BG$15),1)</f>
        <v>0</v>
      </c>
      <c s="125">
        <f>Предпосылки!BG$240*Предпосылки!$P264*Продажи!BH29*BH$19*(1+Чувствительность!$D$20)*IFERROR(LOOKUP(Предпосылки!$H$213,$C$13:$C$15,BH$13:BH$15),1)</f>
        <v>0</v>
      </c>
      <c s="125">
        <f>Предпосылки!BH$240*Предпосылки!$P264*Продажи!BI29*BI$19*(1+Чувствительность!$D$20)*IFERROR(LOOKUP(Предпосылки!$H$213,$C$13:$C$15,BI$13:BI$15),1)</f>
        <v>0</v>
      </c>
      <c s="125">
        <f>Предпосылки!BI$240*Предпосылки!$P264*Продажи!BJ29*BJ$19*(1+Чувствительность!$D$20)*IFERROR(LOOKUP(Предпосылки!$H$213,$C$13:$C$15,BJ$13:BJ$15),1)</f>
        <v>0</v>
      </c>
      <c s="125">
        <f>Предпосылки!BJ$240*Предпосылки!$P264*Продажи!BK29*BK$19*(1+Чувствительность!$D$20)*IFERROR(LOOKUP(Предпосылки!$H$213,$C$13:$C$15,BK$13:BK$15),1)</f>
        <v>0</v>
      </c>
      <c s="125">
        <f>Предпосылки!BK$240*Предпосылки!$P264*Продажи!BL29*BL$19*(1+Чувствительность!$D$20)*IFERROR(LOOKUP(Предпосылки!$H$213,$C$13:$C$15,BL$13:BL$15),1)</f>
        <v>0</v>
      </c>
      <c s="125">
        <f>Предпосылки!BL$240*Предпосылки!$P264*Продажи!BM29*BM$19*(1+Чувствительность!$D$20)*IFERROR(LOOKUP(Предпосылки!$H$213,$C$13:$C$15,BM$13:BM$15),1)</f>
        <v>0</v>
      </c>
    </row>
    <row r="311" spans="2:65" ht="15" customHeight="1">
      <c r="B311" s="12" t="str">
        <f t="shared" si="121"/>
        <v>Продукт 13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Предпосылки!D$240*Предпосылки!$P265*Продажи!E30*E$19*(1+Чувствительность!$D$20)*IFERROR(LOOKUP(Предпосылки!$H$213,$C$13:$C$15,E$13:E$15),1)</f>
        <v>0</v>
      </c>
      <c s="125">
        <f>Предпосылки!E$240*Предпосылки!$P265*Продажи!F30*F$19*(1+Чувствительность!$D$20)*IFERROR(LOOKUP(Предпосылки!$H$213,$C$13:$C$15,F$13:F$15),1)</f>
        <v>0</v>
      </c>
      <c s="125">
        <f>Предпосылки!F$240*Предпосылки!$P265*Продажи!G30*G$19*(1+Чувствительность!$D$20)*IFERROR(LOOKUP(Предпосылки!$H$213,$C$13:$C$15,G$13:G$15),1)</f>
        <v>0</v>
      </c>
      <c s="125">
        <f>Предпосылки!G$240*Предпосылки!$P265*Продажи!H30*H$19*(1+Чувствительность!$D$20)*IFERROR(LOOKUP(Предпосылки!$H$213,$C$13:$C$15,H$13:H$15),1)</f>
        <v>0</v>
      </c>
      <c s="125">
        <f>Предпосылки!H$240*Предпосылки!$P265*Продажи!I30*I$19*(1+Чувствительность!$D$20)*IFERROR(LOOKUP(Предпосылки!$H$213,$C$13:$C$15,I$13:I$15),1)</f>
        <v>0</v>
      </c>
      <c s="125">
        <f>Предпосылки!I$240*Предпосылки!$P265*Продажи!J30*J$19*(1+Чувствительность!$D$20)*IFERROR(LOOKUP(Предпосылки!$H$213,$C$13:$C$15,J$13:J$15),1)</f>
        <v>0</v>
      </c>
      <c s="125">
        <f>Предпосылки!J$240*Предпосылки!$P265*Продажи!K30*K$19*(1+Чувствительность!$D$20)*IFERROR(LOOKUP(Предпосылки!$H$213,$C$13:$C$15,K$13:K$15),1)</f>
        <v>0</v>
      </c>
      <c s="125">
        <f>Предпосылки!K$240*Предпосылки!$P265*Продажи!L30*L$19*(1+Чувствительность!$D$20)*IFERROR(LOOKUP(Предпосылки!$H$213,$C$13:$C$15,L$13:L$15),1)</f>
        <v>0</v>
      </c>
      <c s="125">
        <f>Предпосылки!L$240*Предпосылки!$P265*Продажи!M30*M$19*(1+Чувствительность!$D$20)*IFERROR(LOOKUP(Предпосылки!$H$213,$C$13:$C$15,M$13:M$15),1)</f>
        <v>0</v>
      </c>
      <c s="125">
        <f>Предпосылки!M$240*Предпосылки!$P265*Продажи!N30*N$19*(1+Чувствительность!$D$20)*IFERROR(LOOKUP(Предпосылки!$H$213,$C$13:$C$15,N$13:N$15),1)</f>
        <v>0</v>
      </c>
      <c s="125">
        <f>Предпосылки!N$240*Предпосылки!$P265*Продажи!O30*O$19*(1+Чувствительность!$D$20)*IFERROR(LOOKUP(Предпосылки!$H$213,$C$13:$C$15,O$13:O$15),1)</f>
        <v>0</v>
      </c>
      <c s="125">
        <f>Предпосылки!O$240*Предпосылки!$P265*Продажи!P30*P$19*(1+Чувствительность!$D$20)*IFERROR(LOOKUP(Предпосылки!$H$213,$C$13:$C$15,P$13:P$15),1)</f>
        <v>0</v>
      </c>
      <c s="125">
        <f>Предпосылки!P$240*Предпосылки!$P265*Продажи!Q30*Q$19*(1+Чувствительность!$D$20)*IFERROR(LOOKUP(Предпосылки!$H$213,$C$13:$C$15,Q$13:Q$15),1)</f>
        <v>0</v>
      </c>
      <c s="125">
        <f>Предпосылки!Q$240*Предпосылки!$P265*Продажи!R30*R$19*(1+Чувствительность!$D$20)*IFERROR(LOOKUP(Предпосылки!$H$213,$C$13:$C$15,R$13:R$15),1)</f>
        <v>0</v>
      </c>
      <c s="125">
        <f>Предпосылки!R$240*Предпосылки!$P265*Продажи!S30*S$19*(1+Чувствительность!$D$20)*IFERROR(LOOKUP(Предпосылки!$H$213,$C$13:$C$15,S$13:S$15),1)</f>
        <v>0</v>
      </c>
      <c s="125">
        <f>Предпосылки!S$240*Предпосылки!$P265*Продажи!T30*T$19*(1+Чувствительность!$D$20)*IFERROR(LOOKUP(Предпосылки!$H$213,$C$13:$C$15,T$13:T$15),1)</f>
        <v>0</v>
      </c>
      <c s="125">
        <f>Предпосылки!T$240*Предпосылки!$P265*Продажи!U30*U$19*(1+Чувствительность!$D$20)*IFERROR(LOOKUP(Предпосылки!$H$213,$C$13:$C$15,U$13:U$15),1)</f>
        <v>0</v>
      </c>
      <c s="125">
        <f>Предпосылки!U$240*Предпосылки!$P265*Продажи!V30*V$19*(1+Чувствительность!$D$20)*IFERROR(LOOKUP(Предпосылки!$H$213,$C$13:$C$15,V$13:V$15),1)</f>
        <v>0</v>
      </c>
      <c s="125">
        <f>Предпосылки!V$240*Предпосылки!$P265*Продажи!W30*W$19*(1+Чувствительность!$D$20)*IFERROR(LOOKUP(Предпосылки!$H$213,$C$13:$C$15,W$13:W$15),1)</f>
        <v>0</v>
      </c>
      <c s="125">
        <f>Предпосылки!W$240*Предпосылки!$P265*Продажи!X30*X$19*(1+Чувствительность!$D$20)*IFERROR(LOOKUP(Предпосылки!$H$213,$C$13:$C$15,X$13:X$15),1)</f>
        <v>0</v>
      </c>
      <c s="125">
        <f>Предпосылки!X$240*Предпосылки!$P265*Продажи!Y30*Y$19*(1+Чувствительность!$D$20)*IFERROR(LOOKUP(Предпосылки!$H$213,$C$13:$C$15,Y$13:Y$15),1)</f>
        <v>0</v>
      </c>
      <c s="125">
        <f>Предпосылки!Y$240*Предпосылки!$P265*Продажи!Z30*Z$19*(1+Чувствительность!$D$20)*IFERROR(LOOKUP(Предпосылки!$H$213,$C$13:$C$15,Z$13:Z$15),1)</f>
        <v>0</v>
      </c>
      <c s="125">
        <f>Предпосылки!Z$240*Предпосылки!$P265*Продажи!AA30*AA$19*(1+Чувствительность!$D$20)*IFERROR(LOOKUP(Предпосылки!$H$213,$C$13:$C$15,AA$13:AA$15),1)</f>
        <v>0</v>
      </c>
      <c s="125">
        <f>Предпосылки!AA$240*Предпосылки!$P265*Продажи!AB30*AB$19*(1+Чувствительность!$D$20)*IFERROR(LOOKUP(Предпосылки!$H$213,$C$13:$C$15,AB$13:AB$15),1)</f>
        <v>0</v>
      </c>
      <c s="125">
        <f>Предпосылки!AB$240*Предпосылки!$P265*Продажи!AC30*AC$19*(1+Чувствительность!$D$20)*IFERROR(LOOKUP(Предпосылки!$H$213,$C$13:$C$15,AC$13:AC$15),1)</f>
        <v>0</v>
      </c>
      <c s="125">
        <f>Предпосылки!AC$240*Предпосылки!$P265*Продажи!AD30*AD$19*(1+Чувствительность!$D$20)*IFERROR(LOOKUP(Предпосылки!$H$213,$C$13:$C$15,AD$13:AD$15),1)</f>
        <v>0</v>
      </c>
      <c s="125">
        <f>Предпосылки!AD$240*Предпосылки!$P265*Продажи!AE30*AE$19*(1+Чувствительность!$D$20)*IFERROR(LOOKUP(Предпосылки!$H$213,$C$13:$C$15,AE$13:AE$15),1)</f>
        <v>0</v>
      </c>
      <c s="125">
        <f>Предпосылки!AE$240*Предпосылки!$P265*Продажи!AF30*AF$19*(1+Чувствительность!$D$20)*IFERROR(LOOKUP(Предпосылки!$H$213,$C$13:$C$15,AF$13:AF$15),1)</f>
        <v>0</v>
      </c>
      <c s="125">
        <f>Предпосылки!AF$240*Предпосылки!$P265*Продажи!AG30*AG$19*(1+Чувствительность!$D$20)*IFERROR(LOOKUP(Предпосылки!$H$213,$C$13:$C$15,AG$13:AG$15),1)</f>
        <v>0</v>
      </c>
      <c s="125">
        <f>Предпосылки!AG$240*Предпосылки!$P265*Продажи!AH30*AH$19*(1+Чувствительность!$D$20)*IFERROR(LOOKUP(Предпосылки!$H$213,$C$13:$C$15,AH$13:AH$15),1)</f>
        <v>0</v>
      </c>
      <c s="125">
        <f>Предпосылки!AH$240*Предпосылки!$P265*Продажи!AI30*AI$19*(1+Чувствительность!$D$20)*IFERROR(LOOKUP(Предпосылки!$H$213,$C$13:$C$15,AI$13:AI$15),1)</f>
        <v>0</v>
      </c>
      <c s="125">
        <f>Предпосылки!AI$240*Предпосылки!$P265*Продажи!AJ30*AJ$19*(1+Чувствительность!$D$20)*IFERROR(LOOKUP(Предпосылки!$H$213,$C$13:$C$15,AJ$13:AJ$15),1)</f>
        <v>0</v>
      </c>
      <c s="125">
        <f>Предпосылки!AJ$240*Предпосылки!$P265*Продажи!AK30*AK$19*(1+Чувствительность!$D$20)*IFERROR(LOOKUP(Предпосылки!$H$213,$C$13:$C$15,AK$13:AK$15),1)</f>
        <v>0</v>
      </c>
      <c s="125">
        <f>Предпосылки!AK$240*Предпосылки!$P265*Продажи!AL30*AL$19*(1+Чувствительность!$D$20)*IFERROR(LOOKUP(Предпосылки!$H$213,$C$13:$C$15,AL$13:AL$15),1)</f>
        <v>0</v>
      </c>
      <c s="125">
        <f>Предпосылки!AL$240*Предпосылки!$P265*Продажи!AM30*AM$19*(1+Чувствительность!$D$20)*IFERROR(LOOKUP(Предпосылки!$H$213,$C$13:$C$15,AM$13:AM$15),1)</f>
        <v>0</v>
      </c>
      <c s="125">
        <f>Предпосылки!AM$240*Предпосылки!$P265*Продажи!AN30*AN$19*(1+Чувствительность!$D$20)*IFERROR(LOOKUP(Предпосылки!$H$213,$C$13:$C$15,AN$13:AN$15),1)</f>
        <v>0</v>
      </c>
      <c s="125">
        <f>Предпосылки!AN$240*Предпосылки!$P265*Продажи!AO30*AO$19*(1+Чувствительность!$D$20)*IFERROR(LOOKUP(Предпосылки!$H$213,$C$13:$C$15,AO$13:AO$15),1)</f>
        <v>0</v>
      </c>
      <c s="125">
        <f>Предпосылки!AO$240*Предпосылки!$P265*Продажи!AP30*AP$19*(1+Чувствительность!$D$20)*IFERROR(LOOKUP(Предпосылки!$H$213,$C$13:$C$15,AP$13:AP$15),1)</f>
        <v>0</v>
      </c>
      <c s="125">
        <f>Предпосылки!AP$240*Предпосылки!$P265*Продажи!AQ30*AQ$19*(1+Чувствительность!$D$20)*IFERROR(LOOKUP(Предпосылки!$H$213,$C$13:$C$15,AQ$13:AQ$15),1)</f>
        <v>0</v>
      </c>
      <c s="125">
        <f>Предпосылки!AQ$240*Предпосылки!$P265*Продажи!AR30*AR$19*(1+Чувствительность!$D$20)*IFERROR(LOOKUP(Предпосылки!$H$213,$C$13:$C$15,AR$13:AR$15),1)</f>
        <v>0</v>
      </c>
      <c s="125">
        <f>Предпосылки!AR$240*Предпосылки!$P265*Продажи!AS30*AS$19*(1+Чувствительность!$D$20)*IFERROR(LOOKUP(Предпосылки!$H$213,$C$13:$C$15,AS$13:AS$15),1)</f>
        <v>0</v>
      </c>
      <c s="125">
        <f>Предпосылки!AS$240*Предпосылки!$P265*Продажи!AT30*AT$19*(1+Чувствительность!$D$20)*IFERROR(LOOKUP(Предпосылки!$H$213,$C$13:$C$15,AT$13:AT$15),1)</f>
        <v>0</v>
      </c>
      <c s="125">
        <f>Предпосылки!AT$240*Предпосылки!$P265*Продажи!AU30*AU$19*(1+Чувствительность!$D$20)*IFERROR(LOOKUP(Предпосылки!$H$213,$C$13:$C$15,AU$13:AU$15),1)</f>
        <v>0</v>
      </c>
      <c s="125">
        <f>Предпосылки!AU$240*Предпосылки!$P265*Продажи!AV30*AV$19*(1+Чувствительность!$D$20)*IFERROR(LOOKUP(Предпосылки!$H$213,$C$13:$C$15,AV$13:AV$15),1)</f>
        <v>0</v>
      </c>
      <c s="125">
        <f>Предпосылки!AV$240*Предпосылки!$P265*Продажи!AW30*AW$19*(1+Чувствительность!$D$20)*IFERROR(LOOKUP(Предпосылки!$H$213,$C$13:$C$15,AW$13:AW$15),1)</f>
        <v>0</v>
      </c>
      <c s="125">
        <f>Предпосылки!AW$240*Предпосылки!$P265*Продажи!AX30*AX$19*(1+Чувствительность!$D$20)*IFERROR(LOOKUP(Предпосылки!$H$213,$C$13:$C$15,AX$13:AX$15),1)</f>
        <v>0</v>
      </c>
      <c s="125">
        <f>Предпосылки!AX$240*Предпосылки!$P265*Продажи!AY30*AY$19*(1+Чувствительность!$D$20)*IFERROR(LOOKUP(Предпосылки!$H$213,$C$13:$C$15,AY$13:AY$15),1)</f>
        <v>0</v>
      </c>
      <c s="125">
        <f>Предпосылки!AY$240*Предпосылки!$P265*Продажи!AZ30*AZ$19*(1+Чувствительность!$D$20)*IFERROR(LOOKUP(Предпосылки!$H$213,$C$13:$C$15,AZ$13:AZ$15),1)</f>
        <v>0</v>
      </c>
      <c s="125">
        <f>Предпосылки!AZ$240*Предпосылки!$P265*Продажи!BA30*BA$19*(1+Чувствительность!$D$20)*IFERROR(LOOKUP(Предпосылки!$H$213,$C$13:$C$15,BA$13:BA$15),1)</f>
        <v>0</v>
      </c>
      <c s="125">
        <f>Предпосылки!BA$240*Предпосылки!$P265*Продажи!BB30*BB$19*(1+Чувствительность!$D$20)*IFERROR(LOOKUP(Предпосылки!$H$213,$C$13:$C$15,BB$13:BB$15),1)</f>
        <v>0</v>
      </c>
      <c s="125">
        <f>Предпосылки!BB$240*Предпосылки!$P265*Продажи!BC30*BC$19*(1+Чувствительность!$D$20)*IFERROR(LOOKUP(Предпосылки!$H$213,$C$13:$C$15,BC$13:BC$15),1)</f>
        <v>0</v>
      </c>
      <c s="125">
        <f>Предпосылки!BC$240*Предпосылки!$P265*Продажи!BD30*BD$19*(1+Чувствительность!$D$20)*IFERROR(LOOKUP(Предпосылки!$H$213,$C$13:$C$15,BD$13:BD$15),1)</f>
        <v>0</v>
      </c>
      <c s="125">
        <f>Предпосылки!BD$240*Предпосылки!$P265*Продажи!BE30*BE$19*(1+Чувствительность!$D$20)*IFERROR(LOOKUP(Предпосылки!$H$213,$C$13:$C$15,BE$13:BE$15),1)</f>
        <v>0</v>
      </c>
      <c s="125">
        <f>Предпосылки!BE$240*Предпосылки!$P265*Продажи!BF30*BF$19*(1+Чувствительность!$D$20)*IFERROR(LOOKUP(Предпосылки!$H$213,$C$13:$C$15,BF$13:BF$15),1)</f>
        <v>0</v>
      </c>
      <c s="125">
        <f>Предпосылки!BF$240*Предпосылки!$P265*Продажи!BG30*BG$19*(1+Чувствительность!$D$20)*IFERROR(LOOKUP(Предпосылки!$H$213,$C$13:$C$15,BG$13:BG$15),1)</f>
        <v>0</v>
      </c>
      <c s="125">
        <f>Предпосылки!BG$240*Предпосылки!$P265*Продажи!BH30*BH$19*(1+Чувствительность!$D$20)*IFERROR(LOOKUP(Предпосылки!$H$213,$C$13:$C$15,BH$13:BH$15),1)</f>
        <v>0</v>
      </c>
      <c s="125">
        <f>Предпосылки!BH$240*Предпосылки!$P265*Продажи!BI30*BI$19*(1+Чувствительность!$D$20)*IFERROR(LOOKUP(Предпосылки!$H$213,$C$13:$C$15,BI$13:BI$15),1)</f>
        <v>0</v>
      </c>
      <c s="125">
        <f>Предпосылки!BI$240*Предпосылки!$P265*Продажи!BJ30*BJ$19*(1+Чувствительность!$D$20)*IFERROR(LOOKUP(Предпосылки!$H$213,$C$13:$C$15,BJ$13:BJ$15),1)</f>
        <v>0</v>
      </c>
      <c s="125">
        <f>Предпосылки!BJ$240*Предпосылки!$P265*Продажи!BK30*BK$19*(1+Чувствительность!$D$20)*IFERROR(LOOKUP(Предпосылки!$H$213,$C$13:$C$15,BK$13:BK$15),1)</f>
        <v>0</v>
      </c>
      <c s="125">
        <f>Предпосылки!BK$240*Предпосылки!$P265*Продажи!BL30*BL$19*(1+Чувствительность!$D$20)*IFERROR(LOOKUP(Предпосылки!$H$213,$C$13:$C$15,BL$13:BL$15),1)</f>
        <v>0</v>
      </c>
      <c s="125">
        <f>Предпосылки!BL$240*Предпосылки!$P265*Продажи!BM30*BM$19*(1+Чувствительность!$D$20)*IFERROR(LOOKUP(Предпосылки!$H$213,$C$13:$C$15,BM$13:BM$15),1)</f>
        <v>0</v>
      </c>
    </row>
    <row r="312" spans="2:65" ht="15" customHeight="1">
      <c r="B312" s="12" t="str">
        <f t="shared" si="121"/>
        <v>Продукт 14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Предпосылки!D$240*Предпосылки!$P266*Продажи!E31*E$19*(1+Чувствительность!$D$20)*IFERROR(LOOKUP(Предпосылки!$H$213,$C$13:$C$15,E$13:E$15),1)</f>
        <v>0</v>
      </c>
      <c s="125">
        <f>Предпосылки!E$240*Предпосылки!$P266*Продажи!F31*F$19*(1+Чувствительность!$D$20)*IFERROR(LOOKUP(Предпосылки!$H$213,$C$13:$C$15,F$13:F$15),1)</f>
        <v>0</v>
      </c>
      <c s="125">
        <f>Предпосылки!F$240*Предпосылки!$P266*Продажи!G31*G$19*(1+Чувствительность!$D$20)*IFERROR(LOOKUP(Предпосылки!$H$213,$C$13:$C$15,G$13:G$15),1)</f>
        <v>0</v>
      </c>
      <c s="125">
        <f>Предпосылки!G$240*Предпосылки!$P266*Продажи!H31*H$19*(1+Чувствительность!$D$20)*IFERROR(LOOKUP(Предпосылки!$H$213,$C$13:$C$15,H$13:H$15),1)</f>
        <v>0</v>
      </c>
      <c s="125">
        <f>Предпосылки!H$240*Предпосылки!$P266*Продажи!I31*I$19*(1+Чувствительность!$D$20)*IFERROR(LOOKUP(Предпосылки!$H$213,$C$13:$C$15,I$13:I$15),1)</f>
        <v>0</v>
      </c>
      <c s="125">
        <f>Предпосылки!I$240*Предпосылки!$P266*Продажи!J31*J$19*(1+Чувствительность!$D$20)*IFERROR(LOOKUP(Предпосылки!$H$213,$C$13:$C$15,J$13:J$15),1)</f>
        <v>0</v>
      </c>
      <c s="125">
        <f>Предпосылки!J$240*Предпосылки!$P266*Продажи!K31*K$19*(1+Чувствительность!$D$20)*IFERROR(LOOKUP(Предпосылки!$H$213,$C$13:$C$15,K$13:K$15),1)</f>
        <v>0</v>
      </c>
      <c s="125">
        <f>Предпосылки!K$240*Предпосылки!$P266*Продажи!L31*L$19*(1+Чувствительность!$D$20)*IFERROR(LOOKUP(Предпосылки!$H$213,$C$13:$C$15,L$13:L$15),1)</f>
        <v>0</v>
      </c>
      <c s="125">
        <f>Предпосылки!L$240*Предпосылки!$P266*Продажи!M31*M$19*(1+Чувствительность!$D$20)*IFERROR(LOOKUP(Предпосылки!$H$213,$C$13:$C$15,M$13:M$15),1)</f>
        <v>0</v>
      </c>
      <c s="125">
        <f>Предпосылки!M$240*Предпосылки!$P266*Продажи!N31*N$19*(1+Чувствительность!$D$20)*IFERROR(LOOKUP(Предпосылки!$H$213,$C$13:$C$15,N$13:N$15),1)</f>
        <v>0</v>
      </c>
      <c s="125">
        <f>Предпосылки!N$240*Предпосылки!$P266*Продажи!O31*O$19*(1+Чувствительность!$D$20)*IFERROR(LOOKUP(Предпосылки!$H$213,$C$13:$C$15,O$13:O$15),1)</f>
        <v>0</v>
      </c>
      <c s="125">
        <f>Предпосылки!O$240*Предпосылки!$P266*Продажи!P31*P$19*(1+Чувствительность!$D$20)*IFERROR(LOOKUP(Предпосылки!$H$213,$C$13:$C$15,P$13:P$15),1)</f>
        <v>0</v>
      </c>
      <c s="125">
        <f>Предпосылки!P$240*Предпосылки!$P266*Продажи!Q31*Q$19*(1+Чувствительность!$D$20)*IFERROR(LOOKUP(Предпосылки!$H$213,$C$13:$C$15,Q$13:Q$15),1)</f>
        <v>0</v>
      </c>
      <c s="125">
        <f>Предпосылки!Q$240*Предпосылки!$P266*Продажи!R31*R$19*(1+Чувствительность!$D$20)*IFERROR(LOOKUP(Предпосылки!$H$213,$C$13:$C$15,R$13:R$15),1)</f>
        <v>0</v>
      </c>
      <c s="125">
        <f>Предпосылки!R$240*Предпосылки!$P266*Продажи!S31*S$19*(1+Чувствительность!$D$20)*IFERROR(LOOKUP(Предпосылки!$H$213,$C$13:$C$15,S$13:S$15),1)</f>
        <v>0</v>
      </c>
      <c s="125">
        <f>Предпосылки!S$240*Предпосылки!$P266*Продажи!T31*T$19*(1+Чувствительность!$D$20)*IFERROR(LOOKUP(Предпосылки!$H$213,$C$13:$C$15,T$13:T$15),1)</f>
        <v>0</v>
      </c>
      <c s="125">
        <f>Предпосылки!T$240*Предпосылки!$P266*Продажи!U31*U$19*(1+Чувствительность!$D$20)*IFERROR(LOOKUP(Предпосылки!$H$213,$C$13:$C$15,U$13:U$15),1)</f>
        <v>0</v>
      </c>
      <c s="125">
        <f>Предпосылки!U$240*Предпосылки!$P266*Продажи!V31*V$19*(1+Чувствительность!$D$20)*IFERROR(LOOKUP(Предпосылки!$H$213,$C$13:$C$15,V$13:V$15),1)</f>
        <v>0</v>
      </c>
      <c s="125">
        <f>Предпосылки!V$240*Предпосылки!$P266*Продажи!W31*W$19*(1+Чувствительность!$D$20)*IFERROR(LOOKUP(Предпосылки!$H$213,$C$13:$C$15,W$13:W$15),1)</f>
        <v>0</v>
      </c>
      <c s="125">
        <f>Предпосылки!W$240*Предпосылки!$P266*Продажи!X31*X$19*(1+Чувствительность!$D$20)*IFERROR(LOOKUP(Предпосылки!$H$213,$C$13:$C$15,X$13:X$15),1)</f>
        <v>0</v>
      </c>
      <c s="125">
        <f>Предпосылки!X$240*Предпосылки!$P266*Продажи!Y31*Y$19*(1+Чувствительность!$D$20)*IFERROR(LOOKUP(Предпосылки!$H$213,$C$13:$C$15,Y$13:Y$15),1)</f>
        <v>0</v>
      </c>
      <c s="125">
        <f>Предпосылки!Y$240*Предпосылки!$P266*Продажи!Z31*Z$19*(1+Чувствительность!$D$20)*IFERROR(LOOKUP(Предпосылки!$H$213,$C$13:$C$15,Z$13:Z$15),1)</f>
        <v>0</v>
      </c>
      <c s="125">
        <f>Предпосылки!Z$240*Предпосылки!$P266*Продажи!AA31*AA$19*(1+Чувствительность!$D$20)*IFERROR(LOOKUP(Предпосылки!$H$213,$C$13:$C$15,AA$13:AA$15),1)</f>
        <v>0</v>
      </c>
      <c s="125">
        <f>Предпосылки!AA$240*Предпосылки!$P266*Продажи!AB31*AB$19*(1+Чувствительность!$D$20)*IFERROR(LOOKUP(Предпосылки!$H$213,$C$13:$C$15,AB$13:AB$15),1)</f>
        <v>0</v>
      </c>
      <c s="125">
        <f>Предпосылки!AB$240*Предпосылки!$P266*Продажи!AC31*AC$19*(1+Чувствительность!$D$20)*IFERROR(LOOKUP(Предпосылки!$H$213,$C$13:$C$15,AC$13:AC$15),1)</f>
        <v>0</v>
      </c>
      <c s="125">
        <f>Предпосылки!AC$240*Предпосылки!$P266*Продажи!AD31*AD$19*(1+Чувствительность!$D$20)*IFERROR(LOOKUP(Предпосылки!$H$213,$C$13:$C$15,AD$13:AD$15),1)</f>
        <v>0</v>
      </c>
      <c s="125">
        <f>Предпосылки!AD$240*Предпосылки!$P266*Продажи!AE31*AE$19*(1+Чувствительность!$D$20)*IFERROR(LOOKUP(Предпосылки!$H$213,$C$13:$C$15,AE$13:AE$15),1)</f>
        <v>0</v>
      </c>
      <c s="125">
        <f>Предпосылки!AE$240*Предпосылки!$P266*Продажи!AF31*AF$19*(1+Чувствительность!$D$20)*IFERROR(LOOKUP(Предпосылки!$H$213,$C$13:$C$15,AF$13:AF$15),1)</f>
        <v>0</v>
      </c>
      <c s="125">
        <f>Предпосылки!AF$240*Предпосылки!$P266*Продажи!AG31*AG$19*(1+Чувствительность!$D$20)*IFERROR(LOOKUP(Предпосылки!$H$213,$C$13:$C$15,AG$13:AG$15),1)</f>
        <v>0</v>
      </c>
      <c s="125">
        <f>Предпосылки!AG$240*Предпосылки!$P266*Продажи!AH31*AH$19*(1+Чувствительность!$D$20)*IFERROR(LOOKUP(Предпосылки!$H$213,$C$13:$C$15,AH$13:AH$15),1)</f>
        <v>0</v>
      </c>
      <c s="125">
        <f>Предпосылки!AH$240*Предпосылки!$P266*Продажи!AI31*AI$19*(1+Чувствительность!$D$20)*IFERROR(LOOKUP(Предпосылки!$H$213,$C$13:$C$15,AI$13:AI$15),1)</f>
        <v>0</v>
      </c>
      <c s="125">
        <f>Предпосылки!AI$240*Предпосылки!$P266*Продажи!AJ31*AJ$19*(1+Чувствительность!$D$20)*IFERROR(LOOKUP(Предпосылки!$H$213,$C$13:$C$15,AJ$13:AJ$15),1)</f>
        <v>0</v>
      </c>
      <c s="125">
        <f>Предпосылки!AJ$240*Предпосылки!$P266*Продажи!AK31*AK$19*(1+Чувствительность!$D$20)*IFERROR(LOOKUP(Предпосылки!$H$213,$C$13:$C$15,AK$13:AK$15),1)</f>
        <v>0</v>
      </c>
      <c s="125">
        <f>Предпосылки!AK$240*Предпосылки!$P266*Продажи!AL31*AL$19*(1+Чувствительность!$D$20)*IFERROR(LOOKUP(Предпосылки!$H$213,$C$13:$C$15,AL$13:AL$15),1)</f>
        <v>0</v>
      </c>
      <c s="125">
        <f>Предпосылки!AL$240*Предпосылки!$P266*Продажи!AM31*AM$19*(1+Чувствительность!$D$20)*IFERROR(LOOKUP(Предпосылки!$H$213,$C$13:$C$15,AM$13:AM$15),1)</f>
        <v>0</v>
      </c>
      <c s="125">
        <f>Предпосылки!AM$240*Предпосылки!$P266*Продажи!AN31*AN$19*(1+Чувствительность!$D$20)*IFERROR(LOOKUP(Предпосылки!$H$213,$C$13:$C$15,AN$13:AN$15),1)</f>
        <v>0</v>
      </c>
      <c s="125">
        <f>Предпосылки!AN$240*Предпосылки!$P266*Продажи!AO31*AO$19*(1+Чувствительность!$D$20)*IFERROR(LOOKUP(Предпосылки!$H$213,$C$13:$C$15,AO$13:AO$15),1)</f>
        <v>0</v>
      </c>
      <c s="125">
        <f>Предпосылки!AO$240*Предпосылки!$P266*Продажи!AP31*AP$19*(1+Чувствительность!$D$20)*IFERROR(LOOKUP(Предпосылки!$H$213,$C$13:$C$15,AP$13:AP$15),1)</f>
        <v>0</v>
      </c>
      <c s="125">
        <f>Предпосылки!AP$240*Предпосылки!$P266*Продажи!AQ31*AQ$19*(1+Чувствительность!$D$20)*IFERROR(LOOKUP(Предпосылки!$H$213,$C$13:$C$15,AQ$13:AQ$15),1)</f>
        <v>0</v>
      </c>
      <c s="125">
        <f>Предпосылки!AQ$240*Предпосылки!$P266*Продажи!AR31*AR$19*(1+Чувствительность!$D$20)*IFERROR(LOOKUP(Предпосылки!$H$213,$C$13:$C$15,AR$13:AR$15),1)</f>
        <v>0</v>
      </c>
      <c s="125">
        <f>Предпосылки!AR$240*Предпосылки!$P266*Продажи!AS31*AS$19*(1+Чувствительность!$D$20)*IFERROR(LOOKUP(Предпосылки!$H$213,$C$13:$C$15,AS$13:AS$15),1)</f>
        <v>0</v>
      </c>
      <c s="125">
        <f>Предпосылки!AS$240*Предпосылки!$P266*Продажи!AT31*AT$19*(1+Чувствительность!$D$20)*IFERROR(LOOKUP(Предпосылки!$H$213,$C$13:$C$15,AT$13:AT$15),1)</f>
        <v>0</v>
      </c>
      <c s="125">
        <f>Предпосылки!AT$240*Предпосылки!$P266*Продажи!AU31*AU$19*(1+Чувствительность!$D$20)*IFERROR(LOOKUP(Предпосылки!$H$213,$C$13:$C$15,AU$13:AU$15),1)</f>
        <v>0</v>
      </c>
      <c s="125">
        <f>Предпосылки!AU$240*Предпосылки!$P266*Продажи!AV31*AV$19*(1+Чувствительность!$D$20)*IFERROR(LOOKUP(Предпосылки!$H$213,$C$13:$C$15,AV$13:AV$15),1)</f>
        <v>0</v>
      </c>
      <c s="125">
        <f>Предпосылки!AV$240*Предпосылки!$P266*Продажи!AW31*AW$19*(1+Чувствительность!$D$20)*IFERROR(LOOKUP(Предпосылки!$H$213,$C$13:$C$15,AW$13:AW$15),1)</f>
        <v>0</v>
      </c>
      <c s="125">
        <f>Предпосылки!AW$240*Предпосылки!$P266*Продажи!AX31*AX$19*(1+Чувствительность!$D$20)*IFERROR(LOOKUP(Предпосылки!$H$213,$C$13:$C$15,AX$13:AX$15),1)</f>
        <v>0</v>
      </c>
      <c s="125">
        <f>Предпосылки!AX$240*Предпосылки!$P266*Продажи!AY31*AY$19*(1+Чувствительность!$D$20)*IFERROR(LOOKUP(Предпосылки!$H$213,$C$13:$C$15,AY$13:AY$15),1)</f>
        <v>0</v>
      </c>
      <c s="125">
        <f>Предпосылки!AY$240*Предпосылки!$P266*Продажи!AZ31*AZ$19*(1+Чувствительность!$D$20)*IFERROR(LOOKUP(Предпосылки!$H$213,$C$13:$C$15,AZ$13:AZ$15),1)</f>
        <v>0</v>
      </c>
      <c s="125">
        <f>Предпосылки!AZ$240*Предпосылки!$P266*Продажи!BA31*BA$19*(1+Чувствительность!$D$20)*IFERROR(LOOKUP(Предпосылки!$H$213,$C$13:$C$15,BA$13:BA$15),1)</f>
        <v>0</v>
      </c>
      <c s="125">
        <f>Предпосылки!BA$240*Предпосылки!$P266*Продажи!BB31*BB$19*(1+Чувствительность!$D$20)*IFERROR(LOOKUP(Предпосылки!$H$213,$C$13:$C$15,BB$13:BB$15),1)</f>
        <v>0</v>
      </c>
      <c s="125">
        <f>Предпосылки!BB$240*Предпосылки!$P266*Продажи!BC31*BC$19*(1+Чувствительность!$D$20)*IFERROR(LOOKUP(Предпосылки!$H$213,$C$13:$C$15,BC$13:BC$15),1)</f>
        <v>0</v>
      </c>
      <c s="125">
        <f>Предпосылки!BC$240*Предпосылки!$P266*Продажи!BD31*BD$19*(1+Чувствительность!$D$20)*IFERROR(LOOKUP(Предпосылки!$H$213,$C$13:$C$15,BD$13:BD$15),1)</f>
        <v>0</v>
      </c>
      <c s="125">
        <f>Предпосылки!BD$240*Предпосылки!$P266*Продажи!BE31*BE$19*(1+Чувствительность!$D$20)*IFERROR(LOOKUP(Предпосылки!$H$213,$C$13:$C$15,BE$13:BE$15),1)</f>
        <v>0</v>
      </c>
      <c s="125">
        <f>Предпосылки!BE$240*Предпосылки!$P266*Продажи!BF31*BF$19*(1+Чувствительность!$D$20)*IFERROR(LOOKUP(Предпосылки!$H$213,$C$13:$C$15,BF$13:BF$15),1)</f>
        <v>0</v>
      </c>
      <c s="125">
        <f>Предпосылки!BF$240*Предпосылки!$P266*Продажи!BG31*BG$19*(1+Чувствительность!$D$20)*IFERROR(LOOKUP(Предпосылки!$H$213,$C$13:$C$15,BG$13:BG$15),1)</f>
        <v>0</v>
      </c>
      <c s="125">
        <f>Предпосылки!BG$240*Предпосылки!$P266*Продажи!BH31*BH$19*(1+Чувствительность!$D$20)*IFERROR(LOOKUP(Предпосылки!$H$213,$C$13:$C$15,BH$13:BH$15),1)</f>
        <v>0</v>
      </c>
      <c s="125">
        <f>Предпосылки!BH$240*Предпосылки!$P266*Продажи!BI31*BI$19*(1+Чувствительность!$D$20)*IFERROR(LOOKUP(Предпосылки!$H$213,$C$13:$C$15,BI$13:BI$15),1)</f>
        <v>0</v>
      </c>
      <c s="125">
        <f>Предпосылки!BI$240*Предпосылки!$P266*Продажи!BJ31*BJ$19*(1+Чувствительность!$D$20)*IFERROR(LOOKUP(Предпосылки!$H$213,$C$13:$C$15,BJ$13:BJ$15),1)</f>
        <v>0</v>
      </c>
      <c s="125">
        <f>Предпосылки!BJ$240*Предпосылки!$P266*Продажи!BK31*BK$19*(1+Чувствительность!$D$20)*IFERROR(LOOKUP(Предпосылки!$H$213,$C$13:$C$15,BK$13:BK$15),1)</f>
        <v>0</v>
      </c>
      <c s="125">
        <f>Предпосылки!BK$240*Предпосылки!$P266*Продажи!BL31*BL$19*(1+Чувствительность!$D$20)*IFERROR(LOOKUP(Предпосылки!$H$213,$C$13:$C$15,BL$13:BL$15),1)</f>
        <v>0</v>
      </c>
      <c s="125">
        <f>Предпосылки!BL$240*Предпосылки!$P266*Продажи!BM31*BM$19*(1+Чувствительность!$D$20)*IFERROR(LOOKUP(Предпосылки!$H$213,$C$13:$C$15,BM$13:BM$15),1)</f>
        <v>0</v>
      </c>
    </row>
    <row r="313" spans="2:65" ht="15" customHeight="1">
      <c r="B313" s="12" t="str">
        <f t="shared" si="121"/>
        <v>Продукт 15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Предпосылки!D$240*Предпосылки!$P267*Продажи!E32*E$19*(1+Чувствительность!$D$20)*IFERROR(LOOKUP(Предпосылки!$H$213,$C$13:$C$15,E$13:E$15),1)</f>
        <v>0</v>
      </c>
      <c s="125">
        <f>Предпосылки!E$240*Предпосылки!$P267*Продажи!F32*F$19*(1+Чувствительность!$D$20)*IFERROR(LOOKUP(Предпосылки!$H$213,$C$13:$C$15,F$13:F$15),1)</f>
        <v>0</v>
      </c>
      <c s="125">
        <f>Предпосылки!F$240*Предпосылки!$P267*Продажи!G32*G$19*(1+Чувствительность!$D$20)*IFERROR(LOOKUP(Предпосылки!$H$213,$C$13:$C$15,G$13:G$15),1)</f>
        <v>0</v>
      </c>
      <c s="125">
        <f>Предпосылки!G$240*Предпосылки!$P267*Продажи!H32*H$19*(1+Чувствительность!$D$20)*IFERROR(LOOKUP(Предпосылки!$H$213,$C$13:$C$15,H$13:H$15),1)</f>
        <v>0</v>
      </c>
      <c s="125">
        <f>Предпосылки!H$240*Предпосылки!$P267*Продажи!I32*I$19*(1+Чувствительность!$D$20)*IFERROR(LOOKUP(Предпосылки!$H$213,$C$13:$C$15,I$13:I$15),1)</f>
        <v>0</v>
      </c>
      <c s="125">
        <f>Предпосылки!I$240*Предпосылки!$P267*Продажи!J32*J$19*(1+Чувствительность!$D$20)*IFERROR(LOOKUP(Предпосылки!$H$213,$C$13:$C$15,J$13:J$15),1)</f>
        <v>0</v>
      </c>
      <c s="125">
        <f>Предпосылки!J$240*Предпосылки!$P267*Продажи!K32*K$19*(1+Чувствительность!$D$20)*IFERROR(LOOKUP(Предпосылки!$H$213,$C$13:$C$15,K$13:K$15),1)</f>
        <v>0</v>
      </c>
      <c s="125">
        <f>Предпосылки!K$240*Предпосылки!$P267*Продажи!L32*L$19*(1+Чувствительность!$D$20)*IFERROR(LOOKUP(Предпосылки!$H$213,$C$13:$C$15,L$13:L$15),1)</f>
        <v>0</v>
      </c>
      <c s="125">
        <f>Предпосылки!L$240*Предпосылки!$P267*Продажи!M32*M$19*(1+Чувствительность!$D$20)*IFERROR(LOOKUP(Предпосылки!$H$213,$C$13:$C$15,M$13:M$15),1)</f>
        <v>0</v>
      </c>
      <c s="125">
        <f>Предпосылки!M$240*Предпосылки!$P267*Продажи!N32*N$19*(1+Чувствительность!$D$20)*IFERROR(LOOKUP(Предпосылки!$H$213,$C$13:$C$15,N$13:N$15),1)</f>
        <v>0</v>
      </c>
      <c s="125">
        <f>Предпосылки!N$240*Предпосылки!$P267*Продажи!O32*O$19*(1+Чувствительность!$D$20)*IFERROR(LOOKUP(Предпосылки!$H$213,$C$13:$C$15,O$13:O$15),1)</f>
        <v>0</v>
      </c>
      <c s="125">
        <f>Предпосылки!O$240*Предпосылки!$P267*Продажи!P32*P$19*(1+Чувствительность!$D$20)*IFERROR(LOOKUP(Предпосылки!$H$213,$C$13:$C$15,P$13:P$15),1)</f>
        <v>0</v>
      </c>
      <c s="125">
        <f>Предпосылки!P$240*Предпосылки!$P267*Продажи!Q32*Q$19*(1+Чувствительность!$D$20)*IFERROR(LOOKUP(Предпосылки!$H$213,$C$13:$C$15,Q$13:Q$15),1)</f>
        <v>0</v>
      </c>
      <c s="125">
        <f>Предпосылки!Q$240*Предпосылки!$P267*Продажи!R32*R$19*(1+Чувствительность!$D$20)*IFERROR(LOOKUP(Предпосылки!$H$213,$C$13:$C$15,R$13:R$15),1)</f>
        <v>0</v>
      </c>
      <c s="125">
        <f>Предпосылки!R$240*Предпосылки!$P267*Продажи!S32*S$19*(1+Чувствительность!$D$20)*IFERROR(LOOKUP(Предпосылки!$H$213,$C$13:$C$15,S$13:S$15),1)</f>
        <v>0</v>
      </c>
      <c s="125">
        <f>Предпосылки!S$240*Предпосылки!$P267*Продажи!T32*T$19*(1+Чувствительность!$D$20)*IFERROR(LOOKUP(Предпосылки!$H$213,$C$13:$C$15,T$13:T$15),1)</f>
        <v>0</v>
      </c>
      <c s="125">
        <f>Предпосылки!T$240*Предпосылки!$P267*Продажи!U32*U$19*(1+Чувствительность!$D$20)*IFERROR(LOOKUP(Предпосылки!$H$213,$C$13:$C$15,U$13:U$15),1)</f>
        <v>0</v>
      </c>
      <c s="125">
        <f>Предпосылки!U$240*Предпосылки!$P267*Продажи!V32*V$19*(1+Чувствительность!$D$20)*IFERROR(LOOKUP(Предпосылки!$H$213,$C$13:$C$15,V$13:V$15),1)</f>
        <v>0</v>
      </c>
      <c s="125">
        <f>Предпосылки!V$240*Предпосылки!$P267*Продажи!W32*W$19*(1+Чувствительность!$D$20)*IFERROR(LOOKUP(Предпосылки!$H$213,$C$13:$C$15,W$13:W$15),1)</f>
        <v>0</v>
      </c>
      <c s="125">
        <f>Предпосылки!W$240*Предпосылки!$P267*Продажи!X32*X$19*(1+Чувствительность!$D$20)*IFERROR(LOOKUP(Предпосылки!$H$213,$C$13:$C$15,X$13:X$15),1)</f>
        <v>0</v>
      </c>
      <c s="125">
        <f>Предпосылки!X$240*Предпосылки!$P267*Продажи!Y32*Y$19*(1+Чувствительность!$D$20)*IFERROR(LOOKUP(Предпосылки!$H$213,$C$13:$C$15,Y$13:Y$15),1)</f>
        <v>0</v>
      </c>
      <c s="125">
        <f>Предпосылки!Y$240*Предпосылки!$P267*Продажи!Z32*Z$19*(1+Чувствительность!$D$20)*IFERROR(LOOKUP(Предпосылки!$H$213,$C$13:$C$15,Z$13:Z$15),1)</f>
        <v>0</v>
      </c>
      <c s="125">
        <f>Предпосылки!Z$240*Предпосылки!$P267*Продажи!AA32*AA$19*(1+Чувствительность!$D$20)*IFERROR(LOOKUP(Предпосылки!$H$213,$C$13:$C$15,AA$13:AA$15),1)</f>
        <v>0</v>
      </c>
      <c s="125">
        <f>Предпосылки!AA$240*Предпосылки!$P267*Продажи!AB32*AB$19*(1+Чувствительность!$D$20)*IFERROR(LOOKUP(Предпосылки!$H$213,$C$13:$C$15,AB$13:AB$15),1)</f>
        <v>0</v>
      </c>
      <c s="125">
        <f>Предпосылки!AB$240*Предпосылки!$P267*Продажи!AC32*AC$19*(1+Чувствительность!$D$20)*IFERROR(LOOKUP(Предпосылки!$H$213,$C$13:$C$15,AC$13:AC$15),1)</f>
        <v>0</v>
      </c>
      <c s="125">
        <f>Предпосылки!AC$240*Предпосылки!$P267*Продажи!AD32*AD$19*(1+Чувствительность!$D$20)*IFERROR(LOOKUP(Предпосылки!$H$213,$C$13:$C$15,AD$13:AD$15),1)</f>
        <v>0</v>
      </c>
      <c s="125">
        <f>Предпосылки!AD$240*Предпосылки!$P267*Продажи!AE32*AE$19*(1+Чувствительность!$D$20)*IFERROR(LOOKUP(Предпосылки!$H$213,$C$13:$C$15,AE$13:AE$15),1)</f>
        <v>0</v>
      </c>
      <c s="125">
        <f>Предпосылки!AE$240*Предпосылки!$P267*Продажи!AF32*AF$19*(1+Чувствительность!$D$20)*IFERROR(LOOKUP(Предпосылки!$H$213,$C$13:$C$15,AF$13:AF$15),1)</f>
        <v>0</v>
      </c>
      <c s="125">
        <f>Предпосылки!AF$240*Предпосылки!$P267*Продажи!AG32*AG$19*(1+Чувствительность!$D$20)*IFERROR(LOOKUP(Предпосылки!$H$213,$C$13:$C$15,AG$13:AG$15),1)</f>
        <v>0</v>
      </c>
      <c s="125">
        <f>Предпосылки!AG$240*Предпосылки!$P267*Продажи!AH32*AH$19*(1+Чувствительность!$D$20)*IFERROR(LOOKUP(Предпосылки!$H$213,$C$13:$C$15,AH$13:AH$15),1)</f>
        <v>0</v>
      </c>
      <c s="125">
        <f>Предпосылки!AH$240*Предпосылки!$P267*Продажи!AI32*AI$19*(1+Чувствительность!$D$20)*IFERROR(LOOKUP(Предпосылки!$H$213,$C$13:$C$15,AI$13:AI$15),1)</f>
        <v>0</v>
      </c>
      <c s="125">
        <f>Предпосылки!AI$240*Предпосылки!$P267*Продажи!AJ32*AJ$19*(1+Чувствительность!$D$20)*IFERROR(LOOKUP(Предпосылки!$H$213,$C$13:$C$15,AJ$13:AJ$15),1)</f>
        <v>0</v>
      </c>
      <c s="125">
        <f>Предпосылки!AJ$240*Предпосылки!$P267*Продажи!AK32*AK$19*(1+Чувствительность!$D$20)*IFERROR(LOOKUP(Предпосылки!$H$213,$C$13:$C$15,AK$13:AK$15),1)</f>
        <v>0</v>
      </c>
      <c s="125">
        <f>Предпосылки!AK$240*Предпосылки!$P267*Продажи!AL32*AL$19*(1+Чувствительность!$D$20)*IFERROR(LOOKUP(Предпосылки!$H$213,$C$13:$C$15,AL$13:AL$15),1)</f>
        <v>0</v>
      </c>
      <c s="125">
        <f>Предпосылки!AL$240*Предпосылки!$P267*Продажи!AM32*AM$19*(1+Чувствительность!$D$20)*IFERROR(LOOKUP(Предпосылки!$H$213,$C$13:$C$15,AM$13:AM$15),1)</f>
        <v>0</v>
      </c>
      <c s="125">
        <f>Предпосылки!AM$240*Предпосылки!$P267*Продажи!AN32*AN$19*(1+Чувствительность!$D$20)*IFERROR(LOOKUP(Предпосылки!$H$213,$C$13:$C$15,AN$13:AN$15),1)</f>
        <v>0</v>
      </c>
      <c s="125">
        <f>Предпосылки!AN$240*Предпосылки!$P267*Продажи!AO32*AO$19*(1+Чувствительность!$D$20)*IFERROR(LOOKUP(Предпосылки!$H$213,$C$13:$C$15,AO$13:AO$15),1)</f>
        <v>0</v>
      </c>
      <c s="125">
        <f>Предпосылки!AO$240*Предпосылки!$P267*Продажи!AP32*AP$19*(1+Чувствительность!$D$20)*IFERROR(LOOKUP(Предпосылки!$H$213,$C$13:$C$15,AP$13:AP$15),1)</f>
        <v>0</v>
      </c>
      <c s="125">
        <f>Предпосылки!AP$240*Предпосылки!$P267*Продажи!AQ32*AQ$19*(1+Чувствительность!$D$20)*IFERROR(LOOKUP(Предпосылки!$H$213,$C$13:$C$15,AQ$13:AQ$15),1)</f>
        <v>0</v>
      </c>
      <c s="125">
        <f>Предпосылки!AQ$240*Предпосылки!$P267*Продажи!AR32*AR$19*(1+Чувствительность!$D$20)*IFERROR(LOOKUP(Предпосылки!$H$213,$C$13:$C$15,AR$13:AR$15),1)</f>
        <v>0</v>
      </c>
      <c s="125">
        <f>Предпосылки!AR$240*Предпосылки!$P267*Продажи!AS32*AS$19*(1+Чувствительность!$D$20)*IFERROR(LOOKUP(Предпосылки!$H$213,$C$13:$C$15,AS$13:AS$15),1)</f>
        <v>0</v>
      </c>
      <c s="125">
        <f>Предпосылки!AS$240*Предпосылки!$P267*Продажи!AT32*AT$19*(1+Чувствительность!$D$20)*IFERROR(LOOKUP(Предпосылки!$H$213,$C$13:$C$15,AT$13:AT$15),1)</f>
        <v>0</v>
      </c>
      <c s="125">
        <f>Предпосылки!AT$240*Предпосылки!$P267*Продажи!AU32*AU$19*(1+Чувствительность!$D$20)*IFERROR(LOOKUP(Предпосылки!$H$213,$C$13:$C$15,AU$13:AU$15),1)</f>
        <v>0</v>
      </c>
      <c s="125">
        <f>Предпосылки!AU$240*Предпосылки!$P267*Продажи!AV32*AV$19*(1+Чувствительность!$D$20)*IFERROR(LOOKUP(Предпосылки!$H$213,$C$13:$C$15,AV$13:AV$15),1)</f>
        <v>0</v>
      </c>
      <c s="125">
        <f>Предпосылки!AV$240*Предпосылки!$P267*Продажи!AW32*AW$19*(1+Чувствительность!$D$20)*IFERROR(LOOKUP(Предпосылки!$H$213,$C$13:$C$15,AW$13:AW$15),1)</f>
        <v>0</v>
      </c>
      <c s="125">
        <f>Предпосылки!AW$240*Предпосылки!$P267*Продажи!AX32*AX$19*(1+Чувствительность!$D$20)*IFERROR(LOOKUP(Предпосылки!$H$213,$C$13:$C$15,AX$13:AX$15),1)</f>
        <v>0</v>
      </c>
      <c s="125">
        <f>Предпосылки!AX$240*Предпосылки!$P267*Продажи!AY32*AY$19*(1+Чувствительность!$D$20)*IFERROR(LOOKUP(Предпосылки!$H$213,$C$13:$C$15,AY$13:AY$15),1)</f>
        <v>0</v>
      </c>
      <c s="125">
        <f>Предпосылки!AY$240*Предпосылки!$P267*Продажи!AZ32*AZ$19*(1+Чувствительность!$D$20)*IFERROR(LOOKUP(Предпосылки!$H$213,$C$13:$C$15,AZ$13:AZ$15),1)</f>
        <v>0</v>
      </c>
      <c s="125">
        <f>Предпосылки!AZ$240*Предпосылки!$P267*Продажи!BA32*BA$19*(1+Чувствительность!$D$20)*IFERROR(LOOKUP(Предпосылки!$H$213,$C$13:$C$15,BA$13:BA$15),1)</f>
        <v>0</v>
      </c>
      <c s="125">
        <f>Предпосылки!BA$240*Предпосылки!$P267*Продажи!BB32*BB$19*(1+Чувствительность!$D$20)*IFERROR(LOOKUP(Предпосылки!$H$213,$C$13:$C$15,BB$13:BB$15),1)</f>
        <v>0</v>
      </c>
      <c s="125">
        <f>Предпосылки!BB$240*Предпосылки!$P267*Продажи!BC32*BC$19*(1+Чувствительность!$D$20)*IFERROR(LOOKUP(Предпосылки!$H$213,$C$13:$C$15,BC$13:BC$15),1)</f>
        <v>0</v>
      </c>
      <c s="125">
        <f>Предпосылки!BC$240*Предпосылки!$P267*Продажи!BD32*BD$19*(1+Чувствительность!$D$20)*IFERROR(LOOKUP(Предпосылки!$H$213,$C$13:$C$15,BD$13:BD$15),1)</f>
        <v>0</v>
      </c>
      <c s="125">
        <f>Предпосылки!BD$240*Предпосылки!$P267*Продажи!BE32*BE$19*(1+Чувствительность!$D$20)*IFERROR(LOOKUP(Предпосылки!$H$213,$C$13:$C$15,BE$13:BE$15),1)</f>
        <v>0</v>
      </c>
      <c s="125">
        <f>Предпосылки!BE$240*Предпосылки!$P267*Продажи!BF32*BF$19*(1+Чувствительность!$D$20)*IFERROR(LOOKUP(Предпосылки!$H$213,$C$13:$C$15,BF$13:BF$15),1)</f>
        <v>0</v>
      </c>
      <c s="125">
        <f>Предпосылки!BF$240*Предпосылки!$P267*Продажи!BG32*BG$19*(1+Чувствительность!$D$20)*IFERROR(LOOKUP(Предпосылки!$H$213,$C$13:$C$15,BG$13:BG$15),1)</f>
        <v>0</v>
      </c>
      <c s="125">
        <f>Предпосылки!BG$240*Предпосылки!$P267*Продажи!BH32*BH$19*(1+Чувствительность!$D$20)*IFERROR(LOOKUP(Предпосылки!$H$213,$C$13:$C$15,BH$13:BH$15),1)</f>
        <v>0</v>
      </c>
      <c s="125">
        <f>Предпосылки!BH$240*Предпосылки!$P267*Продажи!BI32*BI$19*(1+Чувствительность!$D$20)*IFERROR(LOOKUP(Предпосылки!$H$213,$C$13:$C$15,BI$13:BI$15),1)</f>
        <v>0</v>
      </c>
      <c s="125">
        <f>Предпосылки!BI$240*Предпосылки!$P267*Продажи!BJ32*BJ$19*(1+Чувствительность!$D$20)*IFERROR(LOOKUP(Предпосылки!$H$213,$C$13:$C$15,BJ$13:BJ$15),1)</f>
        <v>0</v>
      </c>
      <c s="125">
        <f>Предпосылки!BJ$240*Предпосылки!$P267*Продажи!BK32*BK$19*(1+Чувствительность!$D$20)*IFERROR(LOOKUP(Предпосылки!$H$213,$C$13:$C$15,BK$13:BK$15),1)</f>
        <v>0</v>
      </c>
      <c s="125">
        <f>Предпосылки!BK$240*Предпосылки!$P267*Продажи!BL32*BL$19*(1+Чувствительность!$D$20)*IFERROR(LOOKUP(Предпосылки!$H$213,$C$13:$C$15,BL$13:BL$15),1)</f>
        <v>0</v>
      </c>
      <c s="125">
        <f>Предпосылки!BL$240*Предпосылки!$P267*Продажи!BM32*BM$19*(1+Чувствительность!$D$20)*IFERROR(LOOKUP(Предпосылки!$H$213,$C$13:$C$15,BM$13:BM$15),1)</f>
        <v>0</v>
      </c>
    </row>
    <row r="314" spans="2:65" ht="15" customHeight="1">
      <c r="B314" s="12" t="str">
        <f t="shared" si="121"/>
        <v>Продукт 16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Предпосылки!D$240*Предпосылки!$P268*Продажи!E33*E$19*(1+Чувствительность!$D$20)*IFERROR(LOOKUP(Предпосылки!$H$213,$C$13:$C$15,E$13:E$15),1)</f>
        <v>0</v>
      </c>
      <c s="125">
        <f>Предпосылки!E$240*Предпосылки!$P268*Продажи!F33*F$19*(1+Чувствительность!$D$20)*IFERROR(LOOKUP(Предпосылки!$H$213,$C$13:$C$15,F$13:F$15),1)</f>
        <v>0</v>
      </c>
      <c s="125">
        <f>Предпосылки!F$240*Предпосылки!$P268*Продажи!G33*G$19*(1+Чувствительность!$D$20)*IFERROR(LOOKUP(Предпосылки!$H$213,$C$13:$C$15,G$13:G$15),1)</f>
        <v>0</v>
      </c>
      <c s="125">
        <f>Предпосылки!G$240*Предпосылки!$P268*Продажи!H33*H$19*(1+Чувствительность!$D$20)*IFERROR(LOOKUP(Предпосылки!$H$213,$C$13:$C$15,H$13:H$15),1)</f>
        <v>0</v>
      </c>
      <c s="125">
        <f>Предпосылки!H$240*Предпосылки!$P268*Продажи!I33*I$19*(1+Чувствительность!$D$20)*IFERROR(LOOKUP(Предпосылки!$H$213,$C$13:$C$15,I$13:I$15),1)</f>
        <v>0</v>
      </c>
      <c s="125">
        <f>Предпосылки!I$240*Предпосылки!$P268*Продажи!J33*J$19*(1+Чувствительность!$D$20)*IFERROR(LOOKUP(Предпосылки!$H$213,$C$13:$C$15,J$13:J$15),1)</f>
        <v>0</v>
      </c>
      <c s="125">
        <f>Предпосылки!J$240*Предпосылки!$P268*Продажи!K33*K$19*(1+Чувствительность!$D$20)*IFERROR(LOOKUP(Предпосылки!$H$213,$C$13:$C$15,K$13:K$15),1)</f>
        <v>0</v>
      </c>
      <c s="125">
        <f>Предпосылки!K$240*Предпосылки!$P268*Продажи!L33*L$19*(1+Чувствительность!$D$20)*IFERROR(LOOKUP(Предпосылки!$H$213,$C$13:$C$15,L$13:L$15),1)</f>
        <v>0</v>
      </c>
      <c s="125">
        <f>Предпосылки!L$240*Предпосылки!$P268*Продажи!M33*M$19*(1+Чувствительность!$D$20)*IFERROR(LOOKUP(Предпосылки!$H$213,$C$13:$C$15,M$13:M$15),1)</f>
        <v>0</v>
      </c>
      <c s="125">
        <f>Предпосылки!M$240*Предпосылки!$P268*Продажи!N33*N$19*(1+Чувствительность!$D$20)*IFERROR(LOOKUP(Предпосылки!$H$213,$C$13:$C$15,N$13:N$15),1)</f>
        <v>0</v>
      </c>
      <c s="125">
        <f>Предпосылки!N$240*Предпосылки!$P268*Продажи!O33*O$19*(1+Чувствительность!$D$20)*IFERROR(LOOKUP(Предпосылки!$H$213,$C$13:$C$15,O$13:O$15),1)</f>
        <v>0</v>
      </c>
      <c s="125">
        <f>Предпосылки!O$240*Предпосылки!$P268*Продажи!P33*P$19*(1+Чувствительность!$D$20)*IFERROR(LOOKUP(Предпосылки!$H$213,$C$13:$C$15,P$13:P$15),1)</f>
        <v>0</v>
      </c>
      <c s="125">
        <f>Предпосылки!P$240*Предпосылки!$P268*Продажи!Q33*Q$19*(1+Чувствительность!$D$20)*IFERROR(LOOKUP(Предпосылки!$H$213,$C$13:$C$15,Q$13:Q$15),1)</f>
        <v>0</v>
      </c>
      <c s="125">
        <f>Предпосылки!Q$240*Предпосылки!$P268*Продажи!R33*R$19*(1+Чувствительность!$D$20)*IFERROR(LOOKUP(Предпосылки!$H$213,$C$13:$C$15,R$13:R$15),1)</f>
        <v>0</v>
      </c>
      <c s="125">
        <f>Предпосылки!R$240*Предпосылки!$P268*Продажи!S33*S$19*(1+Чувствительность!$D$20)*IFERROR(LOOKUP(Предпосылки!$H$213,$C$13:$C$15,S$13:S$15),1)</f>
        <v>0</v>
      </c>
      <c s="125">
        <f>Предпосылки!S$240*Предпосылки!$P268*Продажи!T33*T$19*(1+Чувствительность!$D$20)*IFERROR(LOOKUP(Предпосылки!$H$213,$C$13:$C$15,T$13:T$15),1)</f>
        <v>0</v>
      </c>
      <c s="125">
        <f>Предпосылки!T$240*Предпосылки!$P268*Продажи!U33*U$19*(1+Чувствительность!$D$20)*IFERROR(LOOKUP(Предпосылки!$H$213,$C$13:$C$15,U$13:U$15),1)</f>
        <v>0</v>
      </c>
      <c s="125">
        <f>Предпосылки!U$240*Предпосылки!$P268*Продажи!V33*V$19*(1+Чувствительность!$D$20)*IFERROR(LOOKUP(Предпосылки!$H$213,$C$13:$C$15,V$13:V$15),1)</f>
        <v>0</v>
      </c>
      <c s="125">
        <f>Предпосылки!V$240*Предпосылки!$P268*Продажи!W33*W$19*(1+Чувствительность!$D$20)*IFERROR(LOOKUP(Предпосылки!$H$213,$C$13:$C$15,W$13:W$15),1)</f>
        <v>0</v>
      </c>
      <c s="125">
        <f>Предпосылки!W$240*Предпосылки!$P268*Продажи!X33*X$19*(1+Чувствительность!$D$20)*IFERROR(LOOKUP(Предпосылки!$H$213,$C$13:$C$15,X$13:X$15),1)</f>
        <v>0</v>
      </c>
      <c s="125">
        <f>Предпосылки!X$240*Предпосылки!$P268*Продажи!Y33*Y$19*(1+Чувствительность!$D$20)*IFERROR(LOOKUP(Предпосылки!$H$213,$C$13:$C$15,Y$13:Y$15),1)</f>
        <v>0</v>
      </c>
      <c s="125">
        <f>Предпосылки!Y$240*Предпосылки!$P268*Продажи!Z33*Z$19*(1+Чувствительность!$D$20)*IFERROR(LOOKUP(Предпосылки!$H$213,$C$13:$C$15,Z$13:Z$15),1)</f>
        <v>0</v>
      </c>
      <c s="125">
        <f>Предпосылки!Z$240*Предпосылки!$P268*Продажи!AA33*AA$19*(1+Чувствительность!$D$20)*IFERROR(LOOKUP(Предпосылки!$H$213,$C$13:$C$15,AA$13:AA$15),1)</f>
        <v>0</v>
      </c>
      <c s="125">
        <f>Предпосылки!AA$240*Предпосылки!$P268*Продажи!AB33*AB$19*(1+Чувствительность!$D$20)*IFERROR(LOOKUP(Предпосылки!$H$213,$C$13:$C$15,AB$13:AB$15),1)</f>
        <v>0</v>
      </c>
      <c s="125">
        <f>Предпосылки!AB$240*Предпосылки!$P268*Продажи!AC33*AC$19*(1+Чувствительность!$D$20)*IFERROR(LOOKUP(Предпосылки!$H$213,$C$13:$C$15,AC$13:AC$15),1)</f>
        <v>0</v>
      </c>
      <c s="125">
        <f>Предпосылки!AC$240*Предпосылки!$P268*Продажи!AD33*AD$19*(1+Чувствительность!$D$20)*IFERROR(LOOKUP(Предпосылки!$H$213,$C$13:$C$15,AD$13:AD$15),1)</f>
        <v>0</v>
      </c>
      <c s="125">
        <f>Предпосылки!AD$240*Предпосылки!$P268*Продажи!AE33*AE$19*(1+Чувствительность!$D$20)*IFERROR(LOOKUP(Предпосылки!$H$213,$C$13:$C$15,AE$13:AE$15),1)</f>
        <v>0</v>
      </c>
      <c s="125">
        <f>Предпосылки!AE$240*Предпосылки!$P268*Продажи!AF33*AF$19*(1+Чувствительность!$D$20)*IFERROR(LOOKUP(Предпосылки!$H$213,$C$13:$C$15,AF$13:AF$15),1)</f>
        <v>0</v>
      </c>
      <c s="125">
        <f>Предпосылки!AF$240*Предпосылки!$P268*Продажи!AG33*AG$19*(1+Чувствительность!$D$20)*IFERROR(LOOKUP(Предпосылки!$H$213,$C$13:$C$15,AG$13:AG$15),1)</f>
        <v>0</v>
      </c>
      <c s="125">
        <f>Предпосылки!AG$240*Предпосылки!$P268*Продажи!AH33*AH$19*(1+Чувствительность!$D$20)*IFERROR(LOOKUP(Предпосылки!$H$213,$C$13:$C$15,AH$13:AH$15),1)</f>
        <v>0</v>
      </c>
      <c s="125">
        <f>Предпосылки!AH$240*Предпосылки!$P268*Продажи!AI33*AI$19*(1+Чувствительность!$D$20)*IFERROR(LOOKUP(Предпосылки!$H$213,$C$13:$C$15,AI$13:AI$15),1)</f>
        <v>0</v>
      </c>
      <c s="125">
        <f>Предпосылки!AI$240*Предпосылки!$P268*Продажи!AJ33*AJ$19*(1+Чувствительность!$D$20)*IFERROR(LOOKUP(Предпосылки!$H$213,$C$13:$C$15,AJ$13:AJ$15),1)</f>
        <v>0</v>
      </c>
      <c s="125">
        <f>Предпосылки!AJ$240*Предпосылки!$P268*Продажи!AK33*AK$19*(1+Чувствительность!$D$20)*IFERROR(LOOKUP(Предпосылки!$H$213,$C$13:$C$15,AK$13:AK$15),1)</f>
        <v>0</v>
      </c>
      <c s="125">
        <f>Предпосылки!AK$240*Предпосылки!$P268*Продажи!AL33*AL$19*(1+Чувствительность!$D$20)*IFERROR(LOOKUP(Предпосылки!$H$213,$C$13:$C$15,AL$13:AL$15),1)</f>
        <v>0</v>
      </c>
      <c s="125">
        <f>Предпосылки!AL$240*Предпосылки!$P268*Продажи!AM33*AM$19*(1+Чувствительность!$D$20)*IFERROR(LOOKUP(Предпосылки!$H$213,$C$13:$C$15,AM$13:AM$15),1)</f>
        <v>0</v>
      </c>
      <c s="125">
        <f>Предпосылки!AM$240*Предпосылки!$P268*Продажи!AN33*AN$19*(1+Чувствительность!$D$20)*IFERROR(LOOKUP(Предпосылки!$H$213,$C$13:$C$15,AN$13:AN$15),1)</f>
        <v>0</v>
      </c>
      <c s="125">
        <f>Предпосылки!AN$240*Предпосылки!$P268*Продажи!AO33*AO$19*(1+Чувствительность!$D$20)*IFERROR(LOOKUP(Предпосылки!$H$213,$C$13:$C$15,AO$13:AO$15),1)</f>
        <v>0</v>
      </c>
      <c s="125">
        <f>Предпосылки!AO$240*Предпосылки!$P268*Продажи!AP33*AP$19*(1+Чувствительность!$D$20)*IFERROR(LOOKUP(Предпосылки!$H$213,$C$13:$C$15,AP$13:AP$15),1)</f>
        <v>0</v>
      </c>
      <c s="125">
        <f>Предпосылки!AP$240*Предпосылки!$P268*Продажи!AQ33*AQ$19*(1+Чувствительность!$D$20)*IFERROR(LOOKUP(Предпосылки!$H$213,$C$13:$C$15,AQ$13:AQ$15),1)</f>
        <v>0</v>
      </c>
      <c s="125">
        <f>Предпосылки!AQ$240*Предпосылки!$P268*Продажи!AR33*AR$19*(1+Чувствительность!$D$20)*IFERROR(LOOKUP(Предпосылки!$H$213,$C$13:$C$15,AR$13:AR$15),1)</f>
        <v>0</v>
      </c>
      <c s="125">
        <f>Предпосылки!AR$240*Предпосылки!$P268*Продажи!AS33*AS$19*(1+Чувствительность!$D$20)*IFERROR(LOOKUP(Предпосылки!$H$213,$C$13:$C$15,AS$13:AS$15),1)</f>
        <v>0</v>
      </c>
      <c s="125">
        <f>Предпосылки!AS$240*Предпосылки!$P268*Продажи!AT33*AT$19*(1+Чувствительность!$D$20)*IFERROR(LOOKUP(Предпосылки!$H$213,$C$13:$C$15,AT$13:AT$15),1)</f>
        <v>0</v>
      </c>
      <c s="125">
        <f>Предпосылки!AT$240*Предпосылки!$P268*Продажи!AU33*AU$19*(1+Чувствительность!$D$20)*IFERROR(LOOKUP(Предпосылки!$H$213,$C$13:$C$15,AU$13:AU$15),1)</f>
        <v>0</v>
      </c>
      <c s="125">
        <f>Предпосылки!AU$240*Предпосылки!$P268*Продажи!AV33*AV$19*(1+Чувствительность!$D$20)*IFERROR(LOOKUP(Предпосылки!$H$213,$C$13:$C$15,AV$13:AV$15),1)</f>
        <v>0</v>
      </c>
      <c s="125">
        <f>Предпосылки!AV$240*Предпосылки!$P268*Продажи!AW33*AW$19*(1+Чувствительность!$D$20)*IFERROR(LOOKUP(Предпосылки!$H$213,$C$13:$C$15,AW$13:AW$15),1)</f>
        <v>0</v>
      </c>
      <c s="125">
        <f>Предпосылки!AW$240*Предпосылки!$P268*Продажи!AX33*AX$19*(1+Чувствительность!$D$20)*IFERROR(LOOKUP(Предпосылки!$H$213,$C$13:$C$15,AX$13:AX$15),1)</f>
        <v>0</v>
      </c>
      <c s="125">
        <f>Предпосылки!AX$240*Предпосылки!$P268*Продажи!AY33*AY$19*(1+Чувствительность!$D$20)*IFERROR(LOOKUP(Предпосылки!$H$213,$C$13:$C$15,AY$13:AY$15),1)</f>
        <v>0</v>
      </c>
      <c s="125">
        <f>Предпосылки!AY$240*Предпосылки!$P268*Продажи!AZ33*AZ$19*(1+Чувствительность!$D$20)*IFERROR(LOOKUP(Предпосылки!$H$213,$C$13:$C$15,AZ$13:AZ$15),1)</f>
        <v>0</v>
      </c>
      <c s="125">
        <f>Предпосылки!AZ$240*Предпосылки!$P268*Продажи!BA33*BA$19*(1+Чувствительность!$D$20)*IFERROR(LOOKUP(Предпосылки!$H$213,$C$13:$C$15,BA$13:BA$15),1)</f>
        <v>0</v>
      </c>
      <c s="125">
        <f>Предпосылки!BA$240*Предпосылки!$P268*Продажи!BB33*BB$19*(1+Чувствительность!$D$20)*IFERROR(LOOKUP(Предпосылки!$H$213,$C$13:$C$15,BB$13:BB$15),1)</f>
        <v>0</v>
      </c>
      <c s="125">
        <f>Предпосылки!BB$240*Предпосылки!$P268*Продажи!BC33*BC$19*(1+Чувствительность!$D$20)*IFERROR(LOOKUP(Предпосылки!$H$213,$C$13:$C$15,BC$13:BC$15),1)</f>
        <v>0</v>
      </c>
      <c s="125">
        <f>Предпосылки!BC$240*Предпосылки!$P268*Продажи!BD33*BD$19*(1+Чувствительность!$D$20)*IFERROR(LOOKUP(Предпосылки!$H$213,$C$13:$C$15,BD$13:BD$15),1)</f>
        <v>0</v>
      </c>
      <c s="125">
        <f>Предпосылки!BD$240*Предпосылки!$P268*Продажи!BE33*BE$19*(1+Чувствительность!$D$20)*IFERROR(LOOKUP(Предпосылки!$H$213,$C$13:$C$15,BE$13:BE$15),1)</f>
        <v>0</v>
      </c>
      <c s="125">
        <f>Предпосылки!BE$240*Предпосылки!$P268*Продажи!BF33*BF$19*(1+Чувствительность!$D$20)*IFERROR(LOOKUP(Предпосылки!$H$213,$C$13:$C$15,BF$13:BF$15),1)</f>
        <v>0</v>
      </c>
      <c s="125">
        <f>Предпосылки!BF$240*Предпосылки!$P268*Продажи!BG33*BG$19*(1+Чувствительность!$D$20)*IFERROR(LOOKUP(Предпосылки!$H$213,$C$13:$C$15,BG$13:BG$15),1)</f>
        <v>0</v>
      </c>
      <c s="125">
        <f>Предпосылки!BG$240*Предпосылки!$P268*Продажи!BH33*BH$19*(1+Чувствительность!$D$20)*IFERROR(LOOKUP(Предпосылки!$H$213,$C$13:$C$15,BH$13:BH$15),1)</f>
        <v>0</v>
      </c>
      <c s="125">
        <f>Предпосылки!BH$240*Предпосылки!$P268*Продажи!BI33*BI$19*(1+Чувствительность!$D$20)*IFERROR(LOOKUP(Предпосылки!$H$213,$C$13:$C$15,BI$13:BI$15),1)</f>
        <v>0</v>
      </c>
      <c s="125">
        <f>Предпосылки!BI$240*Предпосылки!$P268*Продажи!BJ33*BJ$19*(1+Чувствительность!$D$20)*IFERROR(LOOKUP(Предпосылки!$H$213,$C$13:$C$15,BJ$13:BJ$15),1)</f>
        <v>0</v>
      </c>
      <c s="125">
        <f>Предпосылки!BJ$240*Предпосылки!$P268*Продажи!BK33*BK$19*(1+Чувствительность!$D$20)*IFERROR(LOOKUP(Предпосылки!$H$213,$C$13:$C$15,BK$13:BK$15),1)</f>
        <v>0</v>
      </c>
      <c s="125">
        <f>Предпосылки!BK$240*Предпосылки!$P268*Продажи!BL33*BL$19*(1+Чувствительность!$D$20)*IFERROR(LOOKUP(Предпосылки!$H$213,$C$13:$C$15,BL$13:BL$15),1)</f>
        <v>0</v>
      </c>
      <c s="125">
        <f>Предпосылки!BL$240*Предпосылки!$P268*Продажи!BM33*BM$19*(1+Чувствительность!$D$20)*IFERROR(LOOKUP(Предпосылки!$H$213,$C$13:$C$15,BM$13:BM$15),1)</f>
        <v>0</v>
      </c>
    </row>
    <row r="315" spans="2:65" ht="15" customHeight="1">
      <c r="B315" s="12" t="str">
        <f t="shared" si="121"/>
        <v>Продукт 17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Предпосылки!D$240*Предпосылки!$P269*Продажи!E34*E$19*(1+Чувствительность!$D$20)*IFERROR(LOOKUP(Предпосылки!$H$213,$C$13:$C$15,E$13:E$15),1)</f>
        <v>0</v>
      </c>
      <c s="125">
        <f>Предпосылки!E$240*Предпосылки!$P269*Продажи!F34*F$19*(1+Чувствительность!$D$20)*IFERROR(LOOKUP(Предпосылки!$H$213,$C$13:$C$15,F$13:F$15),1)</f>
        <v>0</v>
      </c>
      <c s="125">
        <f>Предпосылки!F$240*Предпосылки!$P269*Продажи!G34*G$19*(1+Чувствительность!$D$20)*IFERROR(LOOKUP(Предпосылки!$H$213,$C$13:$C$15,G$13:G$15),1)</f>
        <v>0</v>
      </c>
      <c s="125">
        <f>Предпосылки!G$240*Предпосылки!$P269*Продажи!H34*H$19*(1+Чувствительность!$D$20)*IFERROR(LOOKUP(Предпосылки!$H$213,$C$13:$C$15,H$13:H$15),1)</f>
        <v>0</v>
      </c>
      <c s="125">
        <f>Предпосылки!H$240*Предпосылки!$P269*Продажи!I34*I$19*(1+Чувствительность!$D$20)*IFERROR(LOOKUP(Предпосылки!$H$213,$C$13:$C$15,I$13:I$15),1)</f>
        <v>0</v>
      </c>
      <c s="125">
        <f>Предпосылки!I$240*Предпосылки!$P269*Продажи!J34*J$19*(1+Чувствительность!$D$20)*IFERROR(LOOKUP(Предпосылки!$H$213,$C$13:$C$15,J$13:J$15),1)</f>
        <v>0</v>
      </c>
      <c s="125">
        <f>Предпосылки!J$240*Предпосылки!$P269*Продажи!K34*K$19*(1+Чувствительность!$D$20)*IFERROR(LOOKUP(Предпосылки!$H$213,$C$13:$C$15,K$13:K$15),1)</f>
        <v>0</v>
      </c>
      <c s="125">
        <f>Предпосылки!K$240*Предпосылки!$P269*Продажи!L34*L$19*(1+Чувствительность!$D$20)*IFERROR(LOOKUP(Предпосылки!$H$213,$C$13:$C$15,L$13:L$15),1)</f>
        <v>0</v>
      </c>
      <c s="125">
        <f>Предпосылки!L$240*Предпосылки!$P269*Продажи!M34*M$19*(1+Чувствительность!$D$20)*IFERROR(LOOKUP(Предпосылки!$H$213,$C$13:$C$15,M$13:M$15),1)</f>
        <v>0</v>
      </c>
      <c s="125">
        <f>Предпосылки!M$240*Предпосылки!$P269*Продажи!N34*N$19*(1+Чувствительность!$D$20)*IFERROR(LOOKUP(Предпосылки!$H$213,$C$13:$C$15,N$13:N$15),1)</f>
        <v>0</v>
      </c>
      <c s="125">
        <f>Предпосылки!N$240*Предпосылки!$P269*Продажи!O34*O$19*(1+Чувствительность!$D$20)*IFERROR(LOOKUP(Предпосылки!$H$213,$C$13:$C$15,O$13:O$15),1)</f>
        <v>0</v>
      </c>
      <c s="125">
        <f>Предпосылки!O$240*Предпосылки!$P269*Продажи!P34*P$19*(1+Чувствительность!$D$20)*IFERROR(LOOKUP(Предпосылки!$H$213,$C$13:$C$15,P$13:P$15),1)</f>
        <v>0</v>
      </c>
      <c s="125">
        <f>Предпосылки!P$240*Предпосылки!$P269*Продажи!Q34*Q$19*(1+Чувствительность!$D$20)*IFERROR(LOOKUP(Предпосылки!$H$213,$C$13:$C$15,Q$13:Q$15),1)</f>
        <v>0</v>
      </c>
      <c s="125">
        <f>Предпосылки!Q$240*Предпосылки!$P269*Продажи!R34*R$19*(1+Чувствительность!$D$20)*IFERROR(LOOKUP(Предпосылки!$H$213,$C$13:$C$15,R$13:R$15),1)</f>
        <v>0</v>
      </c>
      <c s="125">
        <f>Предпосылки!R$240*Предпосылки!$P269*Продажи!S34*S$19*(1+Чувствительность!$D$20)*IFERROR(LOOKUP(Предпосылки!$H$213,$C$13:$C$15,S$13:S$15),1)</f>
        <v>0</v>
      </c>
      <c s="125">
        <f>Предпосылки!S$240*Предпосылки!$P269*Продажи!T34*T$19*(1+Чувствительность!$D$20)*IFERROR(LOOKUP(Предпосылки!$H$213,$C$13:$C$15,T$13:T$15),1)</f>
        <v>0</v>
      </c>
      <c s="125">
        <f>Предпосылки!T$240*Предпосылки!$P269*Продажи!U34*U$19*(1+Чувствительность!$D$20)*IFERROR(LOOKUP(Предпосылки!$H$213,$C$13:$C$15,U$13:U$15),1)</f>
        <v>0</v>
      </c>
      <c s="125">
        <f>Предпосылки!U$240*Предпосылки!$P269*Продажи!V34*V$19*(1+Чувствительность!$D$20)*IFERROR(LOOKUP(Предпосылки!$H$213,$C$13:$C$15,V$13:V$15),1)</f>
        <v>0</v>
      </c>
      <c s="125">
        <f>Предпосылки!V$240*Предпосылки!$P269*Продажи!W34*W$19*(1+Чувствительность!$D$20)*IFERROR(LOOKUP(Предпосылки!$H$213,$C$13:$C$15,W$13:W$15),1)</f>
        <v>0</v>
      </c>
      <c s="125">
        <f>Предпосылки!W$240*Предпосылки!$P269*Продажи!X34*X$19*(1+Чувствительность!$D$20)*IFERROR(LOOKUP(Предпосылки!$H$213,$C$13:$C$15,X$13:X$15),1)</f>
        <v>0</v>
      </c>
      <c s="125">
        <f>Предпосылки!X$240*Предпосылки!$P269*Продажи!Y34*Y$19*(1+Чувствительность!$D$20)*IFERROR(LOOKUP(Предпосылки!$H$213,$C$13:$C$15,Y$13:Y$15),1)</f>
        <v>0</v>
      </c>
      <c s="125">
        <f>Предпосылки!Y$240*Предпосылки!$P269*Продажи!Z34*Z$19*(1+Чувствительность!$D$20)*IFERROR(LOOKUP(Предпосылки!$H$213,$C$13:$C$15,Z$13:Z$15),1)</f>
        <v>0</v>
      </c>
      <c s="125">
        <f>Предпосылки!Z$240*Предпосылки!$P269*Продажи!AA34*AA$19*(1+Чувствительность!$D$20)*IFERROR(LOOKUP(Предпосылки!$H$213,$C$13:$C$15,AA$13:AA$15),1)</f>
        <v>0</v>
      </c>
      <c s="125">
        <f>Предпосылки!AA$240*Предпосылки!$P269*Продажи!AB34*AB$19*(1+Чувствительность!$D$20)*IFERROR(LOOKUP(Предпосылки!$H$213,$C$13:$C$15,AB$13:AB$15),1)</f>
        <v>0</v>
      </c>
      <c s="125">
        <f>Предпосылки!AB$240*Предпосылки!$P269*Продажи!AC34*AC$19*(1+Чувствительность!$D$20)*IFERROR(LOOKUP(Предпосылки!$H$213,$C$13:$C$15,AC$13:AC$15),1)</f>
        <v>0</v>
      </c>
      <c s="125">
        <f>Предпосылки!AC$240*Предпосылки!$P269*Продажи!AD34*AD$19*(1+Чувствительность!$D$20)*IFERROR(LOOKUP(Предпосылки!$H$213,$C$13:$C$15,AD$13:AD$15),1)</f>
        <v>0</v>
      </c>
      <c s="125">
        <f>Предпосылки!AD$240*Предпосылки!$P269*Продажи!AE34*AE$19*(1+Чувствительность!$D$20)*IFERROR(LOOKUP(Предпосылки!$H$213,$C$13:$C$15,AE$13:AE$15),1)</f>
        <v>0</v>
      </c>
      <c s="125">
        <f>Предпосылки!AE$240*Предпосылки!$P269*Продажи!AF34*AF$19*(1+Чувствительность!$D$20)*IFERROR(LOOKUP(Предпосылки!$H$213,$C$13:$C$15,AF$13:AF$15),1)</f>
        <v>0</v>
      </c>
      <c s="125">
        <f>Предпосылки!AF$240*Предпосылки!$P269*Продажи!AG34*AG$19*(1+Чувствительность!$D$20)*IFERROR(LOOKUP(Предпосылки!$H$213,$C$13:$C$15,AG$13:AG$15),1)</f>
        <v>0</v>
      </c>
      <c s="125">
        <f>Предпосылки!AG$240*Предпосылки!$P269*Продажи!AH34*AH$19*(1+Чувствительность!$D$20)*IFERROR(LOOKUP(Предпосылки!$H$213,$C$13:$C$15,AH$13:AH$15),1)</f>
        <v>0</v>
      </c>
      <c s="125">
        <f>Предпосылки!AH$240*Предпосылки!$P269*Продажи!AI34*AI$19*(1+Чувствительность!$D$20)*IFERROR(LOOKUP(Предпосылки!$H$213,$C$13:$C$15,AI$13:AI$15),1)</f>
        <v>0</v>
      </c>
      <c s="125">
        <f>Предпосылки!AI$240*Предпосылки!$P269*Продажи!AJ34*AJ$19*(1+Чувствительность!$D$20)*IFERROR(LOOKUP(Предпосылки!$H$213,$C$13:$C$15,AJ$13:AJ$15),1)</f>
        <v>0</v>
      </c>
      <c s="125">
        <f>Предпосылки!AJ$240*Предпосылки!$P269*Продажи!AK34*AK$19*(1+Чувствительность!$D$20)*IFERROR(LOOKUP(Предпосылки!$H$213,$C$13:$C$15,AK$13:AK$15),1)</f>
        <v>0</v>
      </c>
      <c s="125">
        <f>Предпосылки!AK$240*Предпосылки!$P269*Продажи!AL34*AL$19*(1+Чувствительность!$D$20)*IFERROR(LOOKUP(Предпосылки!$H$213,$C$13:$C$15,AL$13:AL$15),1)</f>
        <v>0</v>
      </c>
      <c s="125">
        <f>Предпосылки!AL$240*Предпосылки!$P269*Продажи!AM34*AM$19*(1+Чувствительность!$D$20)*IFERROR(LOOKUP(Предпосылки!$H$213,$C$13:$C$15,AM$13:AM$15),1)</f>
        <v>0</v>
      </c>
      <c s="125">
        <f>Предпосылки!AM$240*Предпосылки!$P269*Продажи!AN34*AN$19*(1+Чувствительность!$D$20)*IFERROR(LOOKUP(Предпосылки!$H$213,$C$13:$C$15,AN$13:AN$15),1)</f>
        <v>0</v>
      </c>
      <c s="125">
        <f>Предпосылки!AN$240*Предпосылки!$P269*Продажи!AO34*AO$19*(1+Чувствительность!$D$20)*IFERROR(LOOKUP(Предпосылки!$H$213,$C$13:$C$15,AO$13:AO$15),1)</f>
        <v>0</v>
      </c>
      <c s="125">
        <f>Предпосылки!AO$240*Предпосылки!$P269*Продажи!AP34*AP$19*(1+Чувствительность!$D$20)*IFERROR(LOOKUP(Предпосылки!$H$213,$C$13:$C$15,AP$13:AP$15),1)</f>
        <v>0</v>
      </c>
      <c s="125">
        <f>Предпосылки!AP$240*Предпосылки!$P269*Продажи!AQ34*AQ$19*(1+Чувствительность!$D$20)*IFERROR(LOOKUP(Предпосылки!$H$213,$C$13:$C$15,AQ$13:AQ$15),1)</f>
        <v>0</v>
      </c>
      <c s="125">
        <f>Предпосылки!AQ$240*Предпосылки!$P269*Продажи!AR34*AR$19*(1+Чувствительность!$D$20)*IFERROR(LOOKUP(Предпосылки!$H$213,$C$13:$C$15,AR$13:AR$15),1)</f>
        <v>0</v>
      </c>
      <c s="125">
        <f>Предпосылки!AR$240*Предпосылки!$P269*Продажи!AS34*AS$19*(1+Чувствительность!$D$20)*IFERROR(LOOKUP(Предпосылки!$H$213,$C$13:$C$15,AS$13:AS$15),1)</f>
        <v>0</v>
      </c>
      <c s="125">
        <f>Предпосылки!AS$240*Предпосылки!$P269*Продажи!AT34*AT$19*(1+Чувствительность!$D$20)*IFERROR(LOOKUP(Предпосылки!$H$213,$C$13:$C$15,AT$13:AT$15),1)</f>
        <v>0</v>
      </c>
      <c s="125">
        <f>Предпосылки!AT$240*Предпосылки!$P269*Продажи!AU34*AU$19*(1+Чувствительность!$D$20)*IFERROR(LOOKUP(Предпосылки!$H$213,$C$13:$C$15,AU$13:AU$15),1)</f>
        <v>0</v>
      </c>
      <c s="125">
        <f>Предпосылки!AU$240*Предпосылки!$P269*Продажи!AV34*AV$19*(1+Чувствительность!$D$20)*IFERROR(LOOKUP(Предпосылки!$H$213,$C$13:$C$15,AV$13:AV$15),1)</f>
        <v>0</v>
      </c>
      <c s="125">
        <f>Предпосылки!AV$240*Предпосылки!$P269*Продажи!AW34*AW$19*(1+Чувствительность!$D$20)*IFERROR(LOOKUP(Предпосылки!$H$213,$C$13:$C$15,AW$13:AW$15),1)</f>
        <v>0</v>
      </c>
      <c s="125">
        <f>Предпосылки!AW$240*Предпосылки!$P269*Продажи!AX34*AX$19*(1+Чувствительность!$D$20)*IFERROR(LOOKUP(Предпосылки!$H$213,$C$13:$C$15,AX$13:AX$15),1)</f>
        <v>0</v>
      </c>
      <c s="125">
        <f>Предпосылки!AX$240*Предпосылки!$P269*Продажи!AY34*AY$19*(1+Чувствительность!$D$20)*IFERROR(LOOKUP(Предпосылки!$H$213,$C$13:$C$15,AY$13:AY$15),1)</f>
        <v>0</v>
      </c>
      <c s="125">
        <f>Предпосылки!AY$240*Предпосылки!$P269*Продажи!AZ34*AZ$19*(1+Чувствительность!$D$20)*IFERROR(LOOKUP(Предпосылки!$H$213,$C$13:$C$15,AZ$13:AZ$15),1)</f>
        <v>0</v>
      </c>
      <c s="125">
        <f>Предпосылки!AZ$240*Предпосылки!$P269*Продажи!BA34*BA$19*(1+Чувствительность!$D$20)*IFERROR(LOOKUP(Предпосылки!$H$213,$C$13:$C$15,BA$13:BA$15),1)</f>
        <v>0</v>
      </c>
      <c s="125">
        <f>Предпосылки!BA$240*Предпосылки!$P269*Продажи!BB34*BB$19*(1+Чувствительность!$D$20)*IFERROR(LOOKUP(Предпосылки!$H$213,$C$13:$C$15,BB$13:BB$15),1)</f>
        <v>0</v>
      </c>
      <c s="125">
        <f>Предпосылки!BB$240*Предпосылки!$P269*Продажи!BC34*BC$19*(1+Чувствительность!$D$20)*IFERROR(LOOKUP(Предпосылки!$H$213,$C$13:$C$15,BC$13:BC$15),1)</f>
        <v>0</v>
      </c>
      <c s="125">
        <f>Предпосылки!BC$240*Предпосылки!$P269*Продажи!BD34*BD$19*(1+Чувствительность!$D$20)*IFERROR(LOOKUP(Предпосылки!$H$213,$C$13:$C$15,BD$13:BD$15),1)</f>
        <v>0</v>
      </c>
      <c s="125">
        <f>Предпосылки!BD$240*Предпосылки!$P269*Продажи!BE34*BE$19*(1+Чувствительность!$D$20)*IFERROR(LOOKUP(Предпосылки!$H$213,$C$13:$C$15,BE$13:BE$15),1)</f>
        <v>0</v>
      </c>
      <c s="125">
        <f>Предпосылки!BE$240*Предпосылки!$P269*Продажи!BF34*BF$19*(1+Чувствительность!$D$20)*IFERROR(LOOKUP(Предпосылки!$H$213,$C$13:$C$15,BF$13:BF$15),1)</f>
        <v>0</v>
      </c>
      <c s="125">
        <f>Предпосылки!BF$240*Предпосылки!$P269*Продажи!BG34*BG$19*(1+Чувствительность!$D$20)*IFERROR(LOOKUP(Предпосылки!$H$213,$C$13:$C$15,BG$13:BG$15),1)</f>
        <v>0</v>
      </c>
      <c s="125">
        <f>Предпосылки!BG$240*Предпосылки!$P269*Продажи!BH34*BH$19*(1+Чувствительность!$D$20)*IFERROR(LOOKUP(Предпосылки!$H$213,$C$13:$C$15,BH$13:BH$15),1)</f>
        <v>0</v>
      </c>
      <c s="125">
        <f>Предпосылки!BH$240*Предпосылки!$P269*Продажи!BI34*BI$19*(1+Чувствительность!$D$20)*IFERROR(LOOKUP(Предпосылки!$H$213,$C$13:$C$15,BI$13:BI$15),1)</f>
        <v>0</v>
      </c>
      <c s="125">
        <f>Предпосылки!BI$240*Предпосылки!$P269*Продажи!BJ34*BJ$19*(1+Чувствительность!$D$20)*IFERROR(LOOKUP(Предпосылки!$H$213,$C$13:$C$15,BJ$13:BJ$15),1)</f>
        <v>0</v>
      </c>
      <c s="125">
        <f>Предпосылки!BJ$240*Предпосылки!$P269*Продажи!BK34*BK$19*(1+Чувствительность!$D$20)*IFERROR(LOOKUP(Предпосылки!$H$213,$C$13:$C$15,BK$13:BK$15),1)</f>
        <v>0</v>
      </c>
      <c s="125">
        <f>Предпосылки!BK$240*Предпосылки!$P269*Продажи!BL34*BL$19*(1+Чувствительность!$D$20)*IFERROR(LOOKUP(Предпосылки!$H$213,$C$13:$C$15,BL$13:BL$15),1)</f>
        <v>0</v>
      </c>
      <c s="125">
        <f>Предпосылки!BL$240*Предпосылки!$P269*Продажи!BM34*BM$19*(1+Чувствительность!$D$20)*IFERROR(LOOKUP(Предпосылки!$H$213,$C$13:$C$15,BM$13:BM$15),1)</f>
        <v>0</v>
      </c>
    </row>
    <row r="316" spans="2:65" ht="15" customHeight="1">
      <c r="B316" s="12" t="str">
        <f t="shared" si="121"/>
        <v>Продукт 18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Предпосылки!D$240*Предпосылки!$P270*Продажи!E35*E$19*(1+Чувствительность!$D$20)*IFERROR(LOOKUP(Предпосылки!$H$213,$C$13:$C$15,E$13:E$15),1)</f>
        <v>0</v>
      </c>
      <c s="125">
        <f>Предпосылки!E$240*Предпосылки!$P270*Продажи!F35*F$19*(1+Чувствительность!$D$20)*IFERROR(LOOKUP(Предпосылки!$H$213,$C$13:$C$15,F$13:F$15),1)</f>
        <v>0</v>
      </c>
      <c s="125">
        <f>Предпосылки!F$240*Предпосылки!$P270*Продажи!G35*G$19*(1+Чувствительность!$D$20)*IFERROR(LOOKUP(Предпосылки!$H$213,$C$13:$C$15,G$13:G$15),1)</f>
        <v>0</v>
      </c>
      <c s="125">
        <f>Предпосылки!G$240*Предпосылки!$P270*Продажи!H35*H$19*(1+Чувствительность!$D$20)*IFERROR(LOOKUP(Предпосылки!$H$213,$C$13:$C$15,H$13:H$15),1)</f>
        <v>0</v>
      </c>
      <c s="125">
        <f>Предпосылки!H$240*Предпосылки!$P270*Продажи!I35*I$19*(1+Чувствительность!$D$20)*IFERROR(LOOKUP(Предпосылки!$H$213,$C$13:$C$15,I$13:I$15),1)</f>
        <v>0</v>
      </c>
      <c s="125">
        <f>Предпосылки!I$240*Предпосылки!$P270*Продажи!J35*J$19*(1+Чувствительность!$D$20)*IFERROR(LOOKUP(Предпосылки!$H$213,$C$13:$C$15,J$13:J$15),1)</f>
        <v>0</v>
      </c>
      <c s="125">
        <f>Предпосылки!J$240*Предпосылки!$P270*Продажи!K35*K$19*(1+Чувствительность!$D$20)*IFERROR(LOOKUP(Предпосылки!$H$213,$C$13:$C$15,K$13:K$15),1)</f>
        <v>0</v>
      </c>
      <c s="125">
        <f>Предпосылки!K$240*Предпосылки!$P270*Продажи!L35*L$19*(1+Чувствительность!$D$20)*IFERROR(LOOKUP(Предпосылки!$H$213,$C$13:$C$15,L$13:L$15),1)</f>
        <v>0</v>
      </c>
      <c s="125">
        <f>Предпосылки!L$240*Предпосылки!$P270*Продажи!M35*M$19*(1+Чувствительность!$D$20)*IFERROR(LOOKUP(Предпосылки!$H$213,$C$13:$C$15,M$13:M$15),1)</f>
        <v>0</v>
      </c>
      <c s="125">
        <f>Предпосылки!M$240*Предпосылки!$P270*Продажи!N35*N$19*(1+Чувствительность!$D$20)*IFERROR(LOOKUP(Предпосылки!$H$213,$C$13:$C$15,N$13:N$15),1)</f>
        <v>0</v>
      </c>
      <c s="125">
        <f>Предпосылки!N$240*Предпосылки!$P270*Продажи!O35*O$19*(1+Чувствительность!$D$20)*IFERROR(LOOKUP(Предпосылки!$H$213,$C$13:$C$15,O$13:O$15),1)</f>
        <v>0</v>
      </c>
      <c s="125">
        <f>Предпосылки!O$240*Предпосылки!$P270*Продажи!P35*P$19*(1+Чувствительность!$D$20)*IFERROR(LOOKUP(Предпосылки!$H$213,$C$13:$C$15,P$13:P$15),1)</f>
        <v>0</v>
      </c>
      <c s="125">
        <f>Предпосылки!P$240*Предпосылки!$P270*Продажи!Q35*Q$19*(1+Чувствительность!$D$20)*IFERROR(LOOKUP(Предпосылки!$H$213,$C$13:$C$15,Q$13:Q$15),1)</f>
        <v>0</v>
      </c>
      <c s="125">
        <f>Предпосылки!Q$240*Предпосылки!$P270*Продажи!R35*R$19*(1+Чувствительность!$D$20)*IFERROR(LOOKUP(Предпосылки!$H$213,$C$13:$C$15,R$13:R$15),1)</f>
        <v>0</v>
      </c>
      <c s="125">
        <f>Предпосылки!R$240*Предпосылки!$P270*Продажи!S35*S$19*(1+Чувствительность!$D$20)*IFERROR(LOOKUP(Предпосылки!$H$213,$C$13:$C$15,S$13:S$15),1)</f>
        <v>0</v>
      </c>
      <c s="125">
        <f>Предпосылки!S$240*Предпосылки!$P270*Продажи!T35*T$19*(1+Чувствительность!$D$20)*IFERROR(LOOKUP(Предпосылки!$H$213,$C$13:$C$15,T$13:T$15),1)</f>
        <v>0</v>
      </c>
      <c s="125">
        <f>Предпосылки!T$240*Предпосылки!$P270*Продажи!U35*U$19*(1+Чувствительность!$D$20)*IFERROR(LOOKUP(Предпосылки!$H$213,$C$13:$C$15,U$13:U$15),1)</f>
        <v>0</v>
      </c>
      <c s="125">
        <f>Предпосылки!U$240*Предпосылки!$P270*Продажи!V35*V$19*(1+Чувствительность!$D$20)*IFERROR(LOOKUP(Предпосылки!$H$213,$C$13:$C$15,V$13:V$15),1)</f>
        <v>0</v>
      </c>
      <c s="125">
        <f>Предпосылки!V$240*Предпосылки!$P270*Продажи!W35*W$19*(1+Чувствительность!$D$20)*IFERROR(LOOKUP(Предпосылки!$H$213,$C$13:$C$15,W$13:W$15),1)</f>
        <v>0</v>
      </c>
      <c s="125">
        <f>Предпосылки!W$240*Предпосылки!$P270*Продажи!X35*X$19*(1+Чувствительность!$D$20)*IFERROR(LOOKUP(Предпосылки!$H$213,$C$13:$C$15,X$13:X$15),1)</f>
        <v>0</v>
      </c>
      <c s="125">
        <f>Предпосылки!X$240*Предпосылки!$P270*Продажи!Y35*Y$19*(1+Чувствительность!$D$20)*IFERROR(LOOKUP(Предпосылки!$H$213,$C$13:$C$15,Y$13:Y$15),1)</f>
        <v>0</v>
      </c>
      <c s="125">
        <f>Предпосылки!Y$240*Предпосылки!$P270*Продажи!Z35*Z$19*(1+Чувствительность!$D$20)*IFERROR(LOOKUP(Предпосылки!$H$213,$C$13:$C$15,Z$13:Z$15),1)</f>
        <v>0</v>
      </c>
      <c s="125">
        <f>Предпосылки!Z$240*Предпосылки!$P270*Продажи!AA35*AA$19*(1+Чувствительность!$D$20)*IFERROR(LOOKUP(Предпосылки!$H$213,$C$13:$C$15,AA$13:AA$15),1)</f>
        <v>0</v>
      </c>
      <c s="125">
        <f>Предпосылки!AA$240*Предпосылки!$P270*Продажи!AB35*AB$19*(1+Чувствительность!$D$20)*IFERROR(LOOKUP(Предпосылки!$H$213,$C$13:$C$15,AB$13:AB$15),1)</f>
        <v>0</v>
      </c>
      <c s="125">
        <f>Предпосылки!AB$240*Предпосылки!$P270*Продажи!AC35*AC$19*(1+Чувствительность!$D$20)*IFERROR(LOOKUP(Предпосылки!$H$213,$C$13:$C$15,AC$13:AC$15),1)</f>
        <v>0</v>
      </c>
      <c s="125">
        <f>Предпосылки!AC$240*Предпосылки!$P270*Продажи!AD35*AD$19*(1+Чувствительность!$D$20)*IFERROR(LOOKUP(Предпосылки!$H$213,$C$13:$C$15,AD$13:AD$15),1)</f>
        <v>0</v>
      </c>
      <c s="125">
        <f>Предпосылки!AD$240*Предпосылки!$P270*Продажи!AE35*AE$19*(1+Чувствительность!$D$20)*IFERROR(LOOKUP(Предпосылки!$H$213,$C$13:$C$15,AE$13:AE$15),1)</f>
        <v>0</v>
      </c>
      <c s="125">
        <f>Предпосылки!AE$240*Предпосылки!$P270*Продажи!AF35*AF$19*(1+Чувствительность!$D$20)*IFERROR(LOOKUP(Предпосылки!$H$213,$C$13:$C$15,AF$13:AF$15),1)</f>
        <v>0</v>
      </c>
      <c s="125">
        <f>Предпосылки!AF$240*Предпосылки!$P270*Продажи!AG35*AG$19*(1+Чувствительность!$D$20)*IFERROR(LOOKUP(Предпосылки!$H$213,$C$13:$C$15,AG$13:AG$15),1)</f>
        <v>0</v>
      </c>
      <c s="125">
        <f>Предпосылки!AG$240*Предпосылки!$P270*Продажи!AH35*AH$19*(1+Чувствительность!$D$20)*IFERROR(LOOKUP(Предпосылки!$H$213,$C$13:$C$15,AH$13:AH$15),1)</f>
        <v>0</v>
      </c>
      <c s="125">
        <f>Предпосылки!AH$240*Предпосылки!$P270*Продажи!AI35*AI$19*(1+Чувствительность!$D$20)*IFERROR(LOOKUP(Предпосылки!$H$213,$C$13:$C$15,AI$13:AI$15),1)</f>
        <v>0</v>
      </c>
      <c s="125">
        <f>Предпосылки!AI$240*Предпосылки!$P270*Продажи!AJ35*AJ$19*(1+Чувствительность!$D$20)*IFERROR(LOOKUP(Предпосылки!$H$213,$C$13:$C$15,AJ$13:AJ$15),1)</f>
        <v>0</v>
      </c>
      <c s="125">
        <f>Предпосылки!AJ$240*Предпосылки!$P270*Продажи!AK35*AK$19*(1+Чувствительность!$D$20)*IFERROR(LOOKUP(Предпосылки!$H$213,$C$13:$C$15,AK$13:AK$15),1)</f>
        <v>0</v>
      </c>
      <c s="125">
        <f>Предпосылки!AK$240*Предпосылки!$P270*Продажи!AL35*AL$19*(1+Чувствительность!$D$20)*IFERROR(LOOKUP(Предпосылки!$H$213,$C$13:$C$15,AL$13:AL$15),1)</f>
        <v>0</v>
      </c>
      <c s="125">
        <f>Предпосылки!AL$240*Предпосылки!$P270*Продажи!AM35*AM$19*(1+Чувствительность!$D$20)*IFERROR(LOOKUP(Предпосылки!$H$213,$C$13:$C$15,AM$13:AM$15),1)</f>
        <v>0</v>
      </c>
      <c s="125">
        <f>Предпосылки!AM$240*Предпосылки!$P270*Продажи!AN35*AN$19*(1+Чувствительность!$D$20)*IFERROR(LOOKUP(Предпосылки!$H$213,$C$13:$C$15,AN$13:AN$15),1)</f>
        <v>0</v>
      </c>
      <c s="125">
        <f>Предпосылки!AN$240*Предпосылки!$P270*Продажи!AO35*AO$19*(1+Чувствительность!$D$20)*IFERROR(LOOKUP(Предпосылки!$H$213,$C$13:$C$15,AO$13:AO$15),1)</f>
        <v>0</v>
      </c>
      <c s="125">
        <f>Предпосылки!AO$240*Предпосылки!$P270*Продажи!AP35*AP$19*(1+Чувствительность!$D$20)*IFERROR(LOOKUP(Предпосылки!$H$213,$C$13:$C$15,AP$13:AP$15),1)</f>
        <v>0</v>
      </c>
      <c s="125">
        <f>Предпосылки!AP$240*Предпосылки!$P270*Продажи!AQ35*AQ$19*(1+Чувствительность!$D$20)*IFERROR(LOOKUP(Предпосылки!$H$213,$C$13:$C$15,AQ$13:AQ$15),1)</f>
        <v>0</v>
      </c>
      <c s="125">
        <f>Предпосылки!AQ$240*Предпосылки!$P270*Продажи!AR35*AR$19*(1+Чувствительность!$D$20)*IFERROR(LOOKUP(Предпосылки!$H$213,$C$13:$C$15,AR$13:AR$15),1)</f>
        <v>0</v>
      </c>
      <c s="125">
        <f>Предпосылки!AR$240*Предпосылки!$P270*Продажи!AS35*AS$19*(1+Чувствительность!$D$20)*IFERROR(LOOKUP(Предпосылки!$H$213,$C$13:$C$15,AS$13:AS$15),1)</f>
        <v>0</v>
      </c>
      <c s="125">
        <f>Предпосылки!AS$240*Предпосылки!$P270*Продажи!AT35*AT$19*(1+Чувствительность!$D$20)*IFERROR(LOOKUP(Предпосылки!$H$213,$C$13:$C$15,AT$13:AT$15),1)</f>
        <v>0</v>
      </c>
      <c s="125">
        <f>Предпосылки!AT$240*Предпосылки!$P270*Продажи!AU35*AU$19*(1+Чувствительность!$D$20)*IFERROR(LOOKUP(Предпосылки!$H$213,$C$13:$C$15,AU$13:AU$15),1)</f>
        <v>0</v>
      </c>
      <c s="125">
        <f>Предпосылки!AU$240*Предпосылки!$P270*Продажи!AV35*AV$19*(1+Чувствительность!$D$20)*IFERROR(LOOKUP(Предпосылки!$H$213,$C$13:$C$15,AV$13:AV$15),1)</f>
        <v>0</v>
      </c>
      <c s="125">
        <f>Предпосылки!AV$240*Предпосылки!$P270*Продажи!AW35*AW$19*(1+Чувствительность!$D$20)*IFERROR(LOOKUP(Предпосылки!$H$213,$C$13:$C$15,AW$13:AW$15),1)</f>
        <v>0</v>
      </c>
      <c s="125">
        <f>Предпосылки!AW$240*Предпосылки!$P270*Продажи!AX35*AX$19*(1+Чувствительность!$D$20)*IFERROR(LOOKUP(Предпосылки!$H$213,$C$13:$C$15,AX$13:AX$15),1)</f>
        <v>0</v>
      </c>
      <c s="125">
        <f>Предпосылки!AX$240*Предпосылки!$P270*Продажи!AY35*AY$19*(1+Чувствительность!$D$20)*IFERROR(LOOKUP(Предпосылки!$H$213,$C$13:$C$15,AY$13:AY$15),1)</f>
        <v>0</v>
      </c>
      <c s="125">
        <f>Предпосылки!AY$240*Предпосылки!$P270*Продажи!AZ35*AZ$19*(1+Чувствительность!$D$20)*IFERROR(LOOKUP(Предпосылки!$H$213,$C$13:$C$15,AZ$13:AZ$15),1)</f>
        <v>0</v>
      </c>
      <c s="125">
        <f>Предпосылки!AZ$240*Предпосылки!$P270*Продажи!BA35*BA$19*(1+Чувствительность!$D$20)*IFERROR(LOOKUP(Предпосылки!$H$213,$C$13:$C$15,BA$13:BA$15),1)</f>
        <v>0</v>
      </c>
      <c s="125">
        <f>Предпосылки!BA$240*Предпосылки!$P270*Продажи!BB35*BB$19*(1+Чувствительность!$D$20)*IFERROR(LOOKUP(Предпосылки!$H$213,$C$13:$C$15,BB$13:BB$15),1)</f>
        <v>0</v>
      </c>
      <c s="125">
        <f>Предпосылки!BB$240*Предпосылки!$P270*Продажи!BC35*BC$19*(1+Чувствительность!$D$20)*IFERROR(LOOKUP(Предпосылки!$H$213,$C$13:$C$15,BC$13:BC$15),1)</f>
        <v>0</v>
      </c>
      <c s="125">
        <f>Предпосылки!BC$240*Предпосылки!$P270*Продажи!BD35*BD$19*(1+Чувствительность!$D$20)*IFERROR(LOOKUP(Предпосылки!$H$213,$C$13:$C$15,BD$13:BD$15),1)</f>
        <v>0</v>
      </c>
      <c s="125">
        <f>Предпосылки!BD$240*Предпосылки!$P270*Продажи!BE35*BE$19*(1+Чувствительность!$D$20)*IFERROR(LOOKUP(Предпосылки!$H$213,$C$13:$C$15,BE$13:BE$15),1)</f>
        <v>0</v>
      </c>
      <c s="125">
        <f>Предпосылки!BE$240*Предпосылки!$P270*Продажи!BF35*BF$19*(1+Чувствительность!$D$20)*IFERROR(LOOKUP(Предпосылки!$H$213,$C$13:$C$15,BF$13:BF$15),1)</f>
        <v>0</v>
      </c>
      <c s="125">
        <f>Предпосылки!BF$240*Предпосылки!$P270*Продажи!BG35*BG$19*(1+Чувствительность!$D$20)*IFERROR(LOOKUP(Предпосылки!$H$213,$C$13:$C$15,BG$13:BG$15),1)</f>
        <v>0</v>
      </c>
      <c s="125">
        <f>Предпосылки!BG$240*Предпосылки!$P270*Продажи!BH35*BH$19*(1+Чувствительность!$D$20)*IFERROR(LOOKUP(Предпосылки!$H$213,$C$13:$C$15,BH$13:BH$15),1)</f>
        <v>0</v>
      </c>
      <c s="125">
        <f>Предпосылки!BH$240*Предпосылки!$P270*Продажи!BI35*BI$19*(1+Чувствительность!$D$20)*IFERROR(LOOKUP(Предпосылки!$H$213,$C$13:$C$15,BI$13:BI$15),1)</f>
        <v>0</v>
      </c>
      <c s="125">
        <f>Предпосылки!BI$240*Предпосылки!$P270*Продажи!BJ35*BJ$19*(1+Чувствительность!$D$20)*IFERROR(LOOKUP(Предпосылки!$H$213,$C$13:$C$15,BJ$13:BJ$15),1)</f>
        <v>0</v>
      </c>
      <c s="125">
        <f>Предпосылки!BJ$240*Предпосылки!$P270*Продажи!BK35*BK$19*(1+Чувствительность!$D$20)*IFERROR(LOOKUP(Предпосылки!$H$213,$C$13:$C$15,BK$13:BK$15),1)</f>
        <v>0</v>
      </c>
      <c s="125">
        <f>Предпосылки!BK$240*Предпосылки!$P270*Продажи!BL35*BL$19*(1+Чувствительность!$D$20)*IFERROR(LOOKUP(Предпосылки!$H$213,$C$13:$C$15,BL$13:BL$15),1)</f>
        <v>0</v>
      </c>
      <c s="125">
        <f>Предпосылки!BL$240*Предпосылки!$P270*Продажи!BM35*BM$19*(1+Чувствительность!$D$20)*IFERROR(LOOKUP(Предпосылки!$H$213,$C$13:$C$15,BM$13:BM$15),1)</f>
        <v>0</v>
      </c>
    </row>
    <row r="317" spans="2:65" ht="15" customHeight="1">
      <c r="B317" s="12" t="str">
        <f t="shared" si="121"/>
        <v>Продукт 19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Предпосылки!D$240*Предпосылки!$P271*Продажи!E36*E$19*(1+Чувствительность!$D$20)*IFERROR(LOOKUP(Предпосылки!$H$213,$C$13:$C$15,E$13:E$15),1)</f>
        <v>0</v>
      </c>
      <c s="125">
        <f>Предпосылки!E$240*Предпосылки!$P271*Продажи!F36*F$19*(1+Чувствительность!$D$20)*IFERROR(LOOKUP(Предпосылки!$H$213,$C$13:$C$15,F$13:F$15),1)</f>
        <v>0</v>
      </c>
      <c s="125">
        <f>Предпосылки!F$240*Предпосылки!$P271*Продажи!G36*G$19*(1+Чувствительность!$D$20)*IFERROR(LOOKUP(Предпосылки!$H$213,$C$13:$C$15,G$13:G$15),1)</f>
        <v>0</v>
      </c>
      <c s="125">
        <f>Предпосылки!G$240*Предпосылки!$P271*Продажи!H36*H$19*(1+Чувствительность!$D$20)*IFERROR(LOOKUP(Предпосылки!$H$213,$C$13:$C$15,H$13:H$15),1)</f>
        <v>0</v>
      </c>
      <c s="125">
        <f>Предпосылки!H$240*Предпосылки!$P271*Продажи!I36*I$19*(1+Чувствительность!$D$20)*IFERROR(LOOKUP(Предпосылки!$H$213,$C$13:$C$15,I$13:I$15),1)</f>
        <v>0</v>
      </c>
      <c s="125">
        <f>Предпосылки!I$240*Предпосылки!$P271*Продажи!J36*J$19*(1+Чувствительность!$D$20)*IFERROR(LOOKUP(Предпосылки!$H$213,$C$13:$C$15,J$13:J$15),1)</f>
        <v>0</v>
      </c>
      <c s="125">
        <f>Предпосылки!J$240*Предпосылки!$P271*Продажи!K36*K$19*(1+Чувствительность!$D$20)*IFERROR(LOOKUP(Предпосылки!$H$213,$C$13:$C$15,K$13:K$15),1)</f>
        <v>0</v>
      </c>
      <c s="125">
        <f>Предпосылки!K$240*Предпосылки!$P271*Продажи!L36*L$19*(1+Чувствительность!$D$20)*IFERROR(LOOKUP(Предпосылки!$H$213,$C$13:$C$15,L$13:L$15),1)</f>
        <v>0</v>
      </c>
      <c s="125">
        <f>Предпосылки!L$240*Предпосылки!$P271*Продажи!M36*M$19*(1+Чувствительность!$D$20)*IFERROR(LOOKUP(Предпосылки!$H$213,$C$13:$C$15,M$13:M$15),1)</f>
        <v>0</v>
      </c>
      <c s="125">
        <f>Предпосылки!M$240*Предпосылки!$P271*Продажи!N36*N$19*(1+Чувствительность!$D$20)*IFERROR(LOOKUP(Предпосылки!$H$213,$C$13:$C$15,N$13:N$15),1)</f>
        <v>0</v>
      </c>
      <c s="125">
        <f>Предпосылки!N$240*Предпосылки!$P271*Продажи!O36*O$19*(1+Чувствительность!$D$20)*IFERROR(LOOKUP(Предпосылки!$H$213,$C$13:$C$15,O$13:O$15),1)</f>
        <v>0</v>
      </c>
      <c s="125">
        <f>Предпосылки!O$240*Предпосылки!$P271*Продажи!P36*P$19*(1+Чувствительность!$D$20)*IFERROR(LOOKUP(Предпосылки!$H$213,$C$13:$C$15,P$13:P$15),1)</f>
        <v>0</v>
      </c>
      <c s="125">
        <f>Предпосылки!P$240*Предпосылки!$P271*Продажи!Q36*Q$19*(1+Чувствительность!$D$20)*IFERROR(LOOKUP(Предпосылки!$H$213,$C$13:$C$15,Q$13:Q$15),1)</f>
        <v>0</v>
      </c>
      <c s="125">
        <f>Предпосылки!Q$240*Предпосылки!$P271*Продажи!R36*R$19*(1+Чувствительность!$D$20)*IFERROR(LOOKUP(Предпосылки!$H$213,$C$13:$C$15,R$13:R$15),1)</f>
        <v>0</v>
      </c>
      <c s="125">
        <f>Предпосылки!R$240*Предпосылки!$P271*Продажи!S36*S$19*(1+Чувствительность!$D$20)*IFERROR(LOOKUP(Предпосылки!$H$213,$C$13:$C$15,S$13:S$15),1)</f>
        <v>0</v>
      </c>
      <c s="125">
        <f>Предпосылки!S$240*Предпосылки!$P271*Продажи!T36*T$19*(1+Чувствительность!$D$20)*IFERROR(LOOKUP(Предпосылки!$H$213,$C$13:$C$15,T$13:T$15),1)</f>
        <v>0</v>
      </c>
      <c s="125">
        <f>Предпосылки!T$240*Предпосылки!$P271*Продажи!U36*U$19*(1+Чувствительность!$D$20)*IFERROR(LOOKUP(Предпосылки!$H$213,$C$13:$C$15,U$13:U$15),1)</f>
        <v>0</v>
      </c>
      <c s="125">
        <f>Предпосылки!U$240*Предпосылки!$P271*Продажи!V36*V$19*(1+Чувствительность!$D$20)*IFERROR(LOOKUP(Предпосылки!$H$213,$C$13:$C$15,V$13:V$15),1)</f>
        <v>0</v>
      </c>
      <c s="125">
        <f>Предпосылки!V$240*Предпосылки!$P271*Продажи!W36*W$19*(1+Чувствительность!$D$20)*IFERROR(LOOKUP(Предпосылки!$H$213,$C$13:$C$15,W$13:W$15),1)</f>
        <v>0</v>
      </c>
      <c s="125">
        <f>Предпосылки!W$240*Предпосылки!$P271*Продажи!X36*X$19*(1+Чувствительность!$D$20)*IFERROR(LOOKUP(Предпосылки!$H$213,$C$13:$C$15,X$13:X$15),1)</f>
        <v>0</v>
      </c>
      <c s="125">
        <f>Предпосылки!X$240*Предпосылки!$P271*Продажи!Y36*Y$19*(1+Чувствительность!$D$20)*IFERROR(LOOKUP(Предпосылки!$H$213,$C$13:$C$15,Y$13:Y$15),1)</f>
        <v>0</v>
      </c>
      <c s="125">
        <f>Предпосылки!Y$240*Предпосылки!$P271*Продажи!Z36*Z$19*(1+Чувствительность!$D$20)*IFERROR(LOOKUP(Предпосылки!$H$213,$C$13:$C$15,Z$13:Z$15),1)</f>
        <v>0</v>
      </c>
      <c s="125">
        <f>Предпосылки!Z$240*Предпосылки!$P271*Продажи!AA36*AA$19*(1+Чувствительность!$D$20)*IFERROR(LOOKUP(Предпосылки!$H$213,$C$13:$C$15,AA$13:AA$15),1)</f>
        <v>0</v>
      </c>
      <c s="125">
        <f>Предпосылки!AA$240*Предпосылки!$P271*Продажи!AB36*AB$19*(1+Чувствительность!$D$20)*IFERROR(LOOKUP(Предпосылки!$H$213,$C$13:$C$15,AB$13:AB$15),1)</f>
        <v>0</v>
      </c>
      <c s="125">
        <f>Предпосылки!AB$240*Предпосылки!$P271*Продажи!AC36*AC$19*(1+Чувствительность!$D$20)*IFERROR(LOOKUP(Предпосылки!$H$213,$C$13:$C$15,AC$13:AC$15),1)</f>
        <v>0</v>
      </c>
      <c s="125">
        <f>Предпосылки!AC$240*Предпосылки!$P271*Продажи!AD36*AD$19*(1+Чувствительность!$D$20)*IFERROR(LOOKUP(Предпосылки!$H$213,$C$13:$C$15,AD$13:AD$15),1)</f>
        <v>0</v>
      </c>
      <c s="125">
        <f>Предпосылки!AD$240*Предпосылки!$P271*Продажи!AE36*AE$19*(1+Чувствительность!$D$20)*IFERROR(LOOKUP(Предпосылки!$H$213,$C$13:$C$15,AE$13:AE$15),1)</f>
        <v>0</v>
      </c>
      <c s="125">
        <f>Предпосылки!AE$240*Предпосылки!$P271*Продажи!AF36*AF$19*(1+Чувствительность!$D$20)*IFERROR(LOOKUP(Предпосылки!$H$213,$C$13:$C$15,AF$13:AF$15),1)</f>
        <v>0</v>
      </c>
      <c s="125">
        <f>Предпосылки!AF$240*Предпосылки!$P271*Продажи!AG36*AG$19*(1+Чувствительность!$D$20)*IFERROR(LOOKUP(Предпосылки!$H$213,$C$13:$C$15,AG$13:AG$15),1)</f>
        <v>0</v>
      </c>
      <c s="125">
        <f>Предпосылки!AG$240*Предпосылки!$P271*Продажи!AH36*AH$19*(1+Чувствительность!$D$20)*IFERROR(LOOKUP(Предпосылки!$H$213,$C$13:$C$15,AH$13:AH$15),1)</f>
        <v>0</v>
      </c>
      <c s="125">
        <f>Предпосылки!AH$240*Предпосылки!$P271*Продажи!AI36*AI$19*(1+Чувствительность!$D$20)*IFERROR(LOOKUP(Предпосылки!$H$213,$C$13:$C$15,AI$13:AI$15),1)</f>
        <v>0</v>
      </c>
      <c s="125">
        <f>Предпосылки!AI$240*Предпосылки!$P271*Продажи!AJ36*AJ$19*(1+Чувствительность!$D$20)*IFERROR(LOOKUP(Предпосылки!$H$213,$C$13:$C$15,AJ$13:AJ$15),1)</f>
        <v>0</v>
      </c>
      <c s="125">
        <f>Предпосылки!AJ$240*Предпосылки!$P271*Продажи!AK36*AK$19*(1+Чувствительность!$D$20)*IFERROR(LOOKUP(Предпосылки!$H$213,$C$13:$C$15,AK$13:AK$15),1)</f>
        <v>0</v>
      </c>
      <c s="125">
        <f>Предпосылки!AK$240*Предпосылки!$P271*Продажи!AL36*AL$19*(1+Чувствительность!$D$20)*IFERROR(LOOKUP(Предпосылки!$H$213,$C$13:$C$15,AL$13:AL$15),1)</f>
        <v>0</v>
      </c>
      <c s="125">
        <f>Предпосылки!AL$240*Предпосылки!$P271*Продажи!AM36*AM$19*(1+Чувствительность!$D$20)*IFERROR(LOOKUP(Предпосылки!$H$213,$C$13:$C$15,AM$13:AM$15),1)</f>
        <v>0</v>
      </c>
      <c s="125">
        <f>Предпосылки!AM$240*Предпосылки!$P271*Продажи!AN36*AN$19*(1+Чувствительность!$D$20)*IFERROR(LOOKUP(Предпосылки!$H$213,$C$13:$C$15,AN$13:AN$15),1)</f>
        <v>0</v>
      </c>
      <c s="125">
        <f>Предпосылки!AN$240*Предпосылки!$P271*Продажи!AO36*AO$19*(1+Чувствительность!$D$20)*IFERROR(LOOKUP(Предпосылки!$H$213,$C$13:$C$15,AO$13:AO$15),1)</f>
        <v>0</v>
      </c>
      <c s="125">
        <f>Предпосылки!AO$240*Предпосылки!$P271*Продажи!AP36*AP$19*(1+Чувствительность!$D$20)*IFERROR(LOOKUP(Предпосылки!$H$213,$C$13:$C$15,AP$13:AP$15),1)</f>
        <v>0</v>
      </c>
      <c s="125">
        <f>Предпосылки!AP$240*Предпосылки!$P271*Продажи!AQ36*AQ$19*(1+Чувствительность!$D$20)*IFERROR(LOOKUP(Предпосылки!$H$213,$C$13:$C$15,AQ$13:AQ$15),1)</f>
        <v>0</v>
      </c>
      <c s="125">
        <f>Предпосылки!AQ$240*Предпосылки!$P271*Продажи!AR36*AR$19*(1+Чувствительность!$D$20)*IFERROR(LOOKUP(Предпосылки!$H$213,$C$13:$C$15,AR$13:AR$15),1)</f>
        <v>0</v>
      </c>
      <c s="125">
        <f>Предпосылки!AR$240*Предпосылки!$P271*Продажи!AS36*AS$19*(1+Чувствительность!$D$20)*IFERROR(LOOKUP(Предпосылки!$H$213,$C$13:$C$15,AS$13:AS$15),1)</f>
        <v>0</v>
      </c>
      <c s="125">
        <f>Предпосылки!AS$240*Предпосылки!$P271*Продажи!AT36*AT$19*(1+Чувствительность!$D$20)*IFERROR(LOOKUP(Предпосылки!$H$213,$C$13:$C$15,AT$13:AT$15),1)</f>
        <v>0</v>
      </c>
      <c s="125">
        <f>Предпосылки!AT$240*Предпосылки!$P271*Продажи!AU36*AU$19*(1+Чувствительность!$D$20)*IFERROR(LOOKUP(Предпосылки!$H$213,$C$13:$C$15,AU$13:AU$15),1)</f>
        <v>0</v>
      </c>
      <c s="125">
        <f>Предпосылки!AU$240*Предпосылки!$P271*Продажи!AV36*AV$19*(1+Чувствительность!$D$20)*IFERROR(LOOKUP(Предпосылки!$H$213,$C$13:$C$15,AV$13:AV$15),1)</f>
        <v>0</v>
      </c>
      <c s="125">
        <f>Предпосылки!AV$240*Предпосылки!$P271*Продажи!AW36*AW$19*(1+Чувствительность!$D$20)*IFERROR(LOOKUP(Предпосылки!$H$213,$C$13:$C$15,AW$13:AW$15),1)</f>
        <v>0</v>
      </c>
      <c s="125">
        <f>Предпосылки!AW$240*Предпосылки!$P271*Продажи!AX36*AX$19*(1+Чувствительность!$D$20)*IFERROR(LOOKUP(Предпосылки!$H$213,$C$13:$C$15,AX$13:AX$15),1)</f>
        <v>0</v>
      </c>
      <c s="125">
        <f>Предпосылки!AX$240*Предпосылки!$P271*Продажи!AY36*AY$19*(1+Чувствительность!$D$20)*IFERROR(LOOKUP(Предпосылки!$H$213,$C$13:$C$15,AY$13:AY$15),1)</f>
        <v>0</v>
      </c>
      <c s="125">
        <f>Предпосылки!AY$240*Предпосылки!$P271*Продажи!AZ36*AZ$19*(1+Чувствительность!$D$20)*IFERROR(LOOKUP(Предпосылки!$H$213,$C$13:$C$15,AZ$13:AZ$15),1)</f>
        <v>0</v>
      </c>
      <c s="125">
        <f>Предпосылки!AZ$240*Предпосылки!$P271*Продажи!BA36*BA$19*(1+Чувствительность!$D$20)*IFERROR(LOOKUP(Предпосылки!$H$213,$C$13:$C$15,BA$13:BA$15),1)</f>
        <v>0</v>
      </c>
      <c s="125">
        <f>Предпосылки!BA$240*Предпосылки!$P271*Продажи!BB36*BB$19*(1+Чувствительность!$D$20)*IFERROR(LOOKUP(Предпосылки!$H$213,$C$13:$C$15,BB$13:BB$15),1)</f>
        <v>0</v>
      </c>
      <c s="125">
        <f>Предпосылки!BB$240*Предпосылки!$P271*Продажи!BC36*BC$19*(1+Чувствительность!$D$20)*IFERROR(LOOKUP(Предпосылки!$H$213,$C$13:$C$15,BC$13:BC$15),1)</f>
        <v>0</v>
      </c>
      <c s="125">
        <f>Предпосылки!BC$240*Предпосылки!$P271*Продажи!BD36*BD$19*(1+Чувствительность!$D$20)*IFERROR(LOOKUP(Предпосылки!$H$213,$C$13:$C$15,BD$13:BD$15),1)</f>
        <v>0</v>
      </c>
      <c s="125">
        <f>Предпосылки!BD$240*Предпосылки!$P271*Продажи!BE36*BE$19*(1+Чувствительность!$D$20)*IFERROR(LOOKUP(Предпосылки!$H$213,$C$13:$C$15,BE$13:BE$15),1)</f>
        <v>0</v>
      </c>
      <c s="125">
        <f>Предпосылки!BE$240*Предпосылки!$P271*Продажи!BF36*BF$19*(1+Чувствительность!$D$20)*IFERROR(LOOKUP(Предпосылки!$H$213,$C$13:$C$15,BF$13:BF$15),1)</f>
        <v>0</v>
      </c>
      <c s="125">
        <f>Предпосылки!BF$240*Предпосылки!$P271*Продажи!BG36*BG$19*(1+Чувствительность!$D$20)*IFERROR(LOOKUP(Предпосылки!$H$213,$C$13:$C$15,BG$13:BG$15),1)</f>
        <v>0</v>
      </c>
      <c s="125">
        <f>Предпосылки!BG$240*Предпосылки!$P271*Продажи!BH36*BH$19*(1+Чувствительность!$D$20)*IFERROR(LOOKUP(Предпосылки!$H$213,$C$13:$C$15,BH$13:BH$15),1)</f>
        <v>0</v>
      </c>
      <c s="125">
        <f>Предпосылки!BH$240*Предпосылки!$P271*Продажи!BI36*BI$19*(1+Чувствительность!$D$20)*IFERROR(LOOKUP(Предпосылки!$H$213,$C$13:$C$15,BI$13:BI$15),1)</f>
        <v>0</v>
      </c>
      <c s="125">
        <f>Предпосылки!BI$240*Предпосылки!$P271*Продажи!BJ36*BJ$19*(1+Чувствительность!$D$20)*IFERROR(LOOKUP(Предпосылки!$H$213,$C$13:$C$15,BJ$13:BJ$15),1)</f>
        <v>0</v>
      </c>
      <c s="125">
        <f>Предпосылки!BJ$240*Предпосылки!$P271*Продажи!BK36*BK$19*(1+Чувствительность!$D$20)*IFERROR(LOOKUP(Предпосылки!$H$213,$C$13:$C$15,BK$13:BK$15),1)</f>
        <v>0</v>
      </c>
      <c s="125">
        <f>Предпосылки!BK$240*Предпосылки!$P271*Продажи!BL36*BL$19*(1+Чувствительность!$D$20)*IFERROR(LOOKUP(Предпосылки!$H$213,$C$13:$C$15,BL$13:BL$15),1)</f>
        <v>0</v>
      </c>
      <c s="125">
        <f>Предпосылки!BL$240*Предпосылки!$P271*Продажи!BM36*BM$19*(1+Чувствительность!$D$20)*IFERROR(LOOKUP(Предпосылки!$H$213,$C$13:$C$15,BM$13:BM$15),1)</f>
        <v>0</v>
      </c>
    </row>
    <row r="318" spans="2:65" ht="15" customHeight="1">
      <c r="B318" s="12" t="str">
        <f t="shared" si="121"/>
        <v>Продукт 20</v>
      </c>
      <c s="124" t="str">
        <f t="shared" si="120"/>
        <v>тыс. руб.</v>
      </c>
      <c s="276">
        <f t="shared" si="122"/>
        <v>0</v>
      </c>
      <c s="125">
        <f>Предпосылки!D$240*Предпосылки!$P272*Продажи!E37*E$19*(1+Чувствительность!$D$20)*IFERROR(LOOKUP(Предпосылки!$H$213,$C$13:$C$15,E$13:E$15),1)</f>
        <v>0</v>
      </c>
      <c s="125">
        <f>Предпосылки!E$240*Предпосылки!$P272*Продажи!F37*F$19*(1+Чувствительность!$D$20)*IFERROR(LOOKUP(Предпосылки!$H$213,$C$13:$C$15,F$13:F$15),1)</f>
        <v>0</v>
      </c>
      <c s="125">
        <f>Предпосылки!F$240*Предпосылки!$P272*Продажи!G37*G$19*(1+Чувствительность!$D$20)*IFERROR(LOOKUP(Предпосылки!$H$213,$C$13:$C$15,G$13:G$15),1)</f>
        <v>0</v>
      </c>
      <c s="125">
        <f>Предпосылки!G$240*Предпосылки!$P272*Продажи!H37*H$19*(1+Чувствительность!$D$20)*IFERROR(LOOKUP(Предпосылки!$H$213,$C$13:$C$15,H$13:H$15),1)</f>
        <v>0</v>
      </c>
      <c s="125">
        <f>Предпосылки!H$240*Предпосылки!$P272*Продажи!I37*I$19*(1+Чувствительность!$D$20)*IFERROR(LOOKUP(Предпосылки!$H$213,$C$13:$C$15,I$13:I$15),1)</f>
        <v>0</v>
      </c>
      <c s="125">
        <f>Предпосылки!I$240*Предпосылки!$P272*Продажи!J37*J$19*(1+Чувствительность!$D$20)*IFERROR(LOOKUP(Предпосылки!$H$213,$C$13:$C$15,J$13:J$15),1)</f>
        <v>0</v>
      </c>
      <c s="125">
        <f>Предпосылки!J$240*Предпосылки!$P272*Продажи!K37*K$19*(1+Чувствительность!$D$20)*IFERROR(LOOKUP(Предпосылки!$H$213,$C$13:$C$15,K$13:K$15),1)</f>
        <v>0</v>
      </c>
      <c s="125">
        <f>Предпосылки!K$240*Предпосылки!$P272*Продажи!L37*L$19*(1+Чувствительность!$D$20)*IFERROR(LOOKUP(Предпосылки!$H$213,$C$13:$C$15,L$13:L$15),1)</f>
        <v>0</v>
      </c>
      <c s="125">
        <f>Предпосылки!L$240*Предпосылки!$P272*Продажи!M37*M$19*(1+Чувствительность!$D$20)*IFERROR(LOOKUP(Предпосылки!$H$213,$C$13:$C$15,M$13:M$15),1)</f>
        <v>0</v>
      </c>
      <c s="125">
        <f>Предпосылки!M$240*Предпосылки!$P272*Продажи!N37*N$19*(1+Чувствительность!$D$20)*IFERROR(LOOKUP(Предпосылки!$H$213,$C$13:$C$15,N$13:N$15),1)</f>
        <v>0</v>
      </c>
      <c s="125">
        <f>Предпосылки!N$240*Предпосылки!$P272*Продажи!O37*O$19*(1+Чувствительность!$D$20)*IFERROR(LOOKUP(Предпосылки!$H$213,$C$13:$C$15,O$13:O$15),1)</f>
        <v>0</v>
      </c>
      <c s="125">
        <f>Предпосылки!O$240*Предпосылки!$P272*Продажи!P37*P$19*(1+Чувствительность!$D$20)*IFERROR(LOOKUP(Предпосылки!$H$213,$C$13:$C$15,P$13:P$15),1)</f>
        <v>0</v>
      </c>
      <c s="125">
        <f>Предпосылки!P$240*Предпосылки!$P272*Продажи!Q37*Q$19*(1+Чувствительность!$D$20)*IFERROR(LOOKUP(Предпосылки!$H$213,$C$13:$C$15,Q$13:Q$15),1)</f>
        <v>0</v>
      </c>
      <c s="125">
        <f>Предпосылки!Q$240*Предпосылки!$P272*Продажи!R37*R$19*(1+Чувствительность!$D$20)*IFERROR(LOOKUP(Предпосылки!$H$213,$C$13:$C$15,R$13:R$15),1)</f>
        <v>0</v>
      </c>
      <c s="125">
        <f>Предпосылки!R$240*Предпосылки!$P272*Продажи!S37*S$19*(1+Чувствительность!$D$20)*IFERROR(LOOKUP(Предпосылки!$H$213,$C$13:$C$15,S$13:S$15),1)</f>
        <v>0</v>
      </c>
      <c s="125">
        <f>Предпосылки!S$240*Предпосылки!$P272*Продажи!T37*T$19*(1+Чувствительность!$D$20)*IFERROR(LOOKUP(Предпосылки!$H$213,$C$13:$C$15,T$13:T$15),1)</f>
        <v>0</v>
      </c>
      <c s="125">
        <f>Предпосылки!T$240*Предпосылки!$P272*Продажи!U37*U$19*(1+Чувствительность!$D$20)*IFERROR(LOOKUP(Предпосылки!$H$213,$C$13:$C$15,U$13:U$15),1)</f>
        <v>0</v>
      </c>
      <c s="125">
        <f>Предпосылки!U$240*Предпосылки!$P272*Продажи!V37*V$19*(1+Чувствительность!$D$20)*IFERROR(LOOKUP(Предпосылки!$H$213,$C$13:$C$15,V$13:V$15),1)</f>
        <v>0</v>
      </c>
      <c s="125">
        <f>Предпосылки!V$240*Предпосылки!$P272*Продажи!W37*W$19*(1+Чувствительность!$D$20)*IFERROR(LOOKUP(Предпосылки!$H$213,$C$13:$C$15,W$13:W$15),1)</f>
        <v>0</v>
      </c>
      <c s="125">
        <f>Предпосылки!W$240*Предпосылки!$P272*Продажи!X37*X$19*(1+Чувствительность!$D$20)*IFERROR(LOOKUP(Предпосылки!$H$213,$C$13:$C$15,X$13:X$15),1)</f>
        <v>0</v>
      </c>
      <c s="125">
        <f>Предпосылки!X$240*Предпосылки!$P272*Продажи!Y37*Y$19*(1+Чувствительность!$D$20)*IFERROR(LOOKUP(Предпосылки!$H$213,$C$13:$C$15,Y$13:Y$15),1)</f>
        <v>0</v>
      </c>
      <c s="125">
        <f>Предпосылки!Y$240*Предпосылки!$P272*Продажи!Z37*Z$19*(1+Чувствительность!$D$20)*IFERROR(LOOKUP(Предпосылки!$H$213,$C$13:$C$15,Z$13:Z$15),1)</f>
        <v>0</v>
      </c>
      <c s="125">
        <f>Предпосылки!Z$240*Предпосылки!$P272*Продажи!AA37*AA$19*(1+Чувствительность!$D$20)*IFERROR(LOOKUP(Предпосылки!$H$213,$C$13:$C$15,AA$13:AA$15),1)</f>
        <v>0</v>
      </c>
      <c s="125">
        <f>Предпосылки!AA$240*Предпосылки!$P272*Продажи!AB37*AB$19*(1+Чувствительность!$D$20)*IFERROR(LOOKUP(Предпосылки!$H$213,$C$13:$C$15,AB$13:AB$15),1)</f>
        <v>0</v>
      </c>
      <c s="125">
        <f>Предпосылки!AB$240*Предпосылки!$P272*Продажи!AC37*AC$19*(1+Чувствительность!$D$20)*IFERROR(LOOKUP(Предпосылки!$H$213,$C$13:$C$15,AC$13:AC$15),1)</f>
        <v>0</v>
      </c>
      <c s="125">
        <f>Предпосылки!AC$240*Предпосылки!$P272*Продажи!AD37*AD$19*(1+Чувствительность!$D$20)*IFERROR(LOOKUP(Предпосылки!$H$213,$C$13:$C$15,AD$13:AD$15),1)</f>
        <v>0</v>
      </c>
      <c s="125">
        <f>Предпосылки!AD$240*Предпосылки!$P272*Продажи!AE37*AE$19*(1+Чувствительность!$D$20)*IFERROR(LOOKUP(Предпосылки!$H$213,$C$13:$C$15,AE$13:AE$15),1)</f>
        <v>0</v>
      </c>
      <c s="125">
        <f>Предпосылки!AE$240*Предпосылки!$P272*Продажи!AF37*AF$19*(1+Чувствительность!$D$20)*IFERROR(LOOKUP(Предпосылки!$H$213,$C$13:$C$15,AF$13:AF$15),1)</f>
        <v>0</v>
      </c>
      <c s="125">
        <f>Предпосылки!AF$240*Предпосылки!$P272*Продажи!AG37*AG$19*(1+Чувствительность!$D$20)*IFERROR(LOOKUP(Предпосылки!$H$213,$C$13:$C$15,AG$13:AG$15),1)</f>
        <v>0</v>
      </c>
      <c s="125">
        <f>Предпосылки!AG$240*Предпосылки!$P272*Продажи!AH37*AH$19*(1+Чувствительность!$D$20)*IFERROR(LOOKUP(Предпосылки!$H$213,$C$13:$C$15,AH$13:AH$15),1)</f>
        <v>0</v>
      </c>
      <c s="125">
        <f>Предпосылки!AH$240*Предпосылки!$P272*Продажи!AI37*AI$19*(1+Чувствительность!$D$20)*IFERROR(LOOKUP(Предпосылки!$H$213,$C$13:$C$15,AI$13:AI$15),1)</f>
        <v>0</v>
      </c>
      <c s="125">
        <f>Предпосылки!AI$240*Предпосылки!$P272*Продажи!AJ37*AJ$19*(1+Чувствительность!$D$20)*IFERROR(LOOKUP(Предпосылки!$H$213,$C$13:$C$15,AJ$13:AJ$15),1)</f>
        <v>0</v>
      </c>
      <c s="125">
        <f>Предпосылки!AJ$240*Предпосылки!$P272*Продажи!AK37*AK$19*(1+Чувствительность!$D$20)*IFERROR(LOOKUP(Предпосылки!$H$213,$C$13:$C$15,AK$13:AK$15),1)</f>
        <v>0</v>
      </c>
      <c s="125">
        <f>Предпосылки!AK$240*Предпосылки!$P272*Продажи!AL37*AL$19*(1+Чувствительность!$D$20)*IFERROR(LOOKUP(Предпосылки!$H$213,$C$13:$C$15,AL$13:AL$15),1)</f>
        <v>0</v>
      </c>
      <c s="125">
        <f>Предпосылки!AL$240*Предпосылки!$P272*Продажи!AM37*AM$19*(1+Чувствительность!$D$20)*IFERROR(LOOKUP(Предпосылки!$H$213,$C$13:$C$15,AM$13:AM$15),1)</f>
        <v>0</v>
      </c>
      <c s="125">
        <f>Предпосылки!AM$240*Предпосылки!$P272*Продажи!AN37*AN$19*(1+Чувствительность!$D$20)*IFERROR(LOOKUP(Предпосылки!$H$213,$C$13:$C$15,AN$13:AN$15),1)</f>
        <v>0</v>
      </c>
      <c s="125">
        <f>Предпосылки!AN$240*Предпосылки!$P272*Продажи!AO37*AO$19*(1+Чувствительность!$D$20)*IFERROR(LOOKUP(Предпосылки!$H$213,$C$13:$C$15,AO$13:AO$15),1)</f>
        <v>0</v>
      </c>
      <c s="125">
        <f>Предпосылки!AO$240*Предпосылки!$P272*Продажи!AP37*AP$19*(1+Чувствительность!$D$20)*IFERROR(LOOKUP(Предпосылки!$H$213,$C$13:$C$15,AP$13:AP$15),1)</f>
        <v>0</v>
      </c>
      <c s="125">
        <f>Предпосылки!AP$240*Предпосылки!$P272*Продажи!AQ37*AQ$19*(1+Чувствительность!$D$20)*IFERROR(LOOKUP(Предпосылки!$H$213,$C$13:$C$15,AQ$13:AQ$15),1)</f>
        <v>0</v>
      </c>
      <c s="125">
        <f>Предпосылки!AQ$240*Предпосылки!$P272*Продажи!AR37*AR$19*(1+Чувствительность!$D$20)*IFERROR(LOOKUP(Предпосылки!$H$213,$C$13:$C$15,AR$13:AR$15),1)</f>
        <v>0</v>
      </c>
      <c s="125">
        <f>Предпосылки!AR$240*Предпосылки!$P272*Продажи!AS37*AS$19*(1+Чувствительность!$D$20)*IFERROR(LOOKUP(Предпосылки!$H$213,$C$13:$C$15,AS$13:AS$15),1)</f>
        <v>0</v>
      </c>
      <c s="125">
        <f>Предпосылки!AS$240*Предпосылки!$P272*Продажи!AT37*AT$19*(1+Чувствительность!$D$20)*IFERROR(LOOKUP(Предпосылки!$H$213,$C$13:$C$15,AT$13:AT$15),1)</f>
        <v>0</v>
      </c>
      <c s="125">
        <f>Предпосылки!AT$240*Предпосылки!$P272*Продажи!AU37*AU$19*(1+Чувствительность!$D$20)*IFERROR(LOOKUP(Предпосылки!$H$213,$C$13:$C$15,AU$13:AU$15),1)</f>
        <v>0</v>
      </c>
      <c s="125">
        <f>Предпосылки!AU$240*Предпосылки!$P272*Продажи!AV37*AV$19*(1+Чувствительность!$D$20)*IFERROR(LOOKUP(Предпосылки!$H$213,$C$13:$C$15,AV$13:AV$15),1)</f>
        <v>0</v>
      </c>
      <c s="125">
        <f>Предпосылки!AV$240*Предпосылки!$P272*Продажи!AW37*AW$19*(1+Чувствительность!$D$20)*IFERROR(LOOKUP(Предпосылки!$H$213,$C$13:$C$15,AW$13:AW$15),1)</f>
        <v>0</v>
      </c>
      <c s="125">
        <f>Предпосылки!AW$240*Предпосылки!$P272*Продажи!AX37*AX$19*(1+Чувствительность!$D$20)*IFERROR(LOOKUP(Предпосылки!$H$213,$C$13:$C$15,AX$13:AX$15),1)</f>
        <v>0</v>
      </c>
      <c s="125">
        <f>Предпосылки!AX$240*Предпосылки!$P272*Продажи!AY37*AY$19*(1+Чувствительность!$D$20)*IFERROR(LOOKUP(Предпосылки!$H$213,$C$13:$C$15,AY$13:AY$15),1)</f>
        <v>0</v>
      </c>
      <c s="125">
        <f>Предпосылки!AY$240*Предпосылки!$P272*Продажи!AZ37*AZ$19*(1+Чувствительность!$D$20)*IFERROR(LOOKUP(Предпосылки!$H$213,$C$13:$C$15,AZ$13:AZ$15),1)</f>
        <v>0</v>
      </c>
      <c s="125">
        <f>Предпосылки!AZ$240*Предпосылки!$P272*Продажи!BA37*BA$19*(1+Чувствительность!$D$20)*IFERROR(LOOKUP(Предпосылки!$H$213,$C$13:$C$15,BA$13:BA$15),1)</f>
        <v>0</v>
      </c>
      <c s="125">
        <f>Предпосылки!BA$240*Предпосылки!$P272*Продажи!BB37*BB$19*(1+Чувствительность!$D$20)*IFERROR(LOOKUP(Предпосылки!$H$213,$C$13:$C$15,BB$13:BB$15),1)</f>
        <v>0</v>
      </c>
      <c s="125">
        <f>Предпосылки!BB$240*Предпосылки!$P272*Продажи!BC37*BC$19*(1+Чувствительность!$D$20)*IFERROR(LOOKUP(Предпосылки!$H$213,$C$13:$C$15,BC$13:BC$15),1)</f>
        <v>0</v>
      </c>
      <c s="125">
        <f>Предпосылки!BC$240*Предпосылки!$P272*Продажи!BD37*BD$19*(1+Чувствительность!$D$20)*IFERROR(LOOKUP(Предпосылки!$H$213,$C$13:$C$15,BD$13:BD$15),1)</f>
        <v>0</v>
      </c>
      <c s="125">
        <f>Предпосылки!BD$240*Предпосылки!$P272*Продажи!BE37*BE$19*(1+Чувствительность!$D$20)*IFERROR(LOOKUP(Предпосылки!$H$213,$C$13:$C$15,BE$13:BE$15),1)</f>
        <v>0</v>
      </c>
      <c s="125">
        <f>Предпосылки!BE$240*Предпосылки!$P272*Продажи!BF37*BF$19*(1+Чувствительность!$D$20)*IFERROR(LOOKUP(Предпосылки!$H$213,$C$13:$C$15,BF$13:BF$15),1)</f>
        <v>0</v>
      </c>
      <c s="125">
        <f>Предпосылки!BF$240*Предпосылки!$P272*Продажи!BG37*BG$19*(1+Чувствительность!$D$20)*IFERROR(LOOKUP(Предпосылки!$H$213,$C$13:$C$15,BG$13:BG$15),1)</f>
        <v>0</v>
      </c>
      <c s="125">
        <f>Предпосылки!BG$240*Предпосылки!$P272*Продажи!BH37*BH$19*(1+Чувствительность!$D$20)*IFERROR(LOOKUP(Предпосылки!$H$213,$C$13:$C$15,BH$13:BH$15),1)</f>
        <v>0</v>
      </c>
      <c s="125">
        <f>Предпосылки!BH$240*Предпосылки!$P272*Продажи!BI37*BI$19*(1+Чувствительность!$D$20)*IFERROR(LOOKUP(Предпосылки!$H$213,$C$13:$C$15,BI$13:BI$15),1)</f>
        <v>0</v>
      </c>
      <c s="125">
        <f>Предпосылки!BI$240*Предпосылки!$P272*Продажи!BJ37*BJ$19*(1+Чувствительность!$D$20)*IFERROR(LOOKUP(Предпосылки!$H$213,$C$13:$C$15,BJ$13:BJ$15),1)</f>
        <v>0</v>
      </c>
      <c s="125">
        <f>Предпосылки!BJ$240*Предпосылки!$P272*Продажи!BK37*BK$19*(1+Чувствительность!$D$20)*IFERROR(LOOKUP(Предпосылки!$H$213,$C$13:$C$15,BK$13:BK$15),1)</f>
        <v>0</v>
      </c>
      <c s="125">
        <f>Предпосылки!BK$240*Предпосылки!$P272*Продажи!BL37*BL$19*(1+Чувствительность!$D$20)*IFERROR(LOOKUP(Предпосылки!$H$213,$C$13:$C$15,BL$13:BL$15),1)</f>
        <v>0</v>
      </c>
      <c s="125">
        <f>Предпосылки!BL$240*Предпосылки!$P272*Продажи!BM37*BM$19*(1+Чувствительность!$D$20)*IFERROR(LOOKUP(Предпосылки!$H$213,$C$13:$C$15,BM$13:BM$15),1)</f>
        <v>0</v>
      </c>
    </row>
    <row r="319" spans="2:65" ht="15" customHeight="1">
      <c r="B319" s="289" t="s">
        <v>454</v>
      </c>
      <c s="290" t="str">
        <f>Единица_измерения</f>
        <v>тыс. руб.</v>
      </c>
      <c s="291">
        <f>SUM(D299:D318)</f>
        <v>0</v>
      </c>
      <c s="276">
        <f>SUM(E299:E318)</f>
        <v>0</v>
      </c>
      <c s="276">
        <f t="shared" si="123" ref="F319:AG319">SUM(F299:F318)</f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3"/>
        <v>0</v>
      </c>
      <c s="276">
        <f t="shared" si="124" ref="AH319:BM319">SUM(AH299:AH318)</f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  <c s="276">
        <f t="shared" si="124"/>
        <v>0</v>
      </c>
    </row>
    <row r="320" ht="15" customHeight="1"/>
    <row r="321" spans="2:69" ht="14.45">
      <c r="B321" s="25" t="str">
        <f>Предпосылки!B241</f>
        <v>Операционные затраты 14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22" spans="2:65" ht="15" customHeight="1">
      <c r="B322" s="12" t="str">
        <f>B299</f>
        <v>Продукт 1</v>
      </c>
      <c s="124" t="str">
        <f t="shared" si="125" ref="C322:C341">Единица_измерения</f>
        <v>тыс. руб.</v>
      </c>
      <c s="276">
        <f>SUM(E322:BM322)</f>
        <v>0</v>
      </c>
      <c s="125">
        <f>Предпосылки!D$241*Предпосылки!$Q253*Продажи!E18*E$19*(1+Чувствительность!$D$20)*IFERROR(LOOKUP(Предпосылки!$H$214,$C$13:$C$15,E$13:E$15),1)</f>
        <v>0</v>
      </c>
      <c s="125">
        <f>Предпосылки!E$241*Предпосылки!$Q253*Продажи!F18*F$19*(1+Чувствительность!$D$20)*IFERROR(LOOKUP(Предпосылки!$H$214,$C$13:$C$15,F$13:F$15),1)</f>
        <v>0</v>
      </c>
      <c s="125">
        <f>Предпосылки!F$241*Предпосылки!$Q253*Продажи!G18*G$19*(1+Чувствительность!$D$20)*IFERROR(LOOKUP(Предпосылки!$H$214,$C$13:$C$15,G$13:G$15),1)</f>
        <v>0</v>
      </c>
      <c s="125">
        <f>Предпосылки!G$241*Предпосылки!$Q253*Продажи!H18*H$19*(1+Чувствительность!$D$20)*IFERROR(LOOKUP(Предпосылки!$H$214,$C$13:$C$15,H$13:H$15),1)</f>
        <v>0</v>
      </c>
      <c s="125">
        <f>Предпосылки!H$241*Предпосылки!$Q253*Продажи!I18*I$19*(1+Чувствительность!$D$20)*IFERROR(LOOKUP(Предпосылки!$H$214,$C$13:$C$15,I$13:I$15),1)</f>
        <v>0</v>
      </c>
      <c s="125">
        <f>Предпосылки!I$241*Предпосылки!$Q253*Продажи!J18*J$19*(1+Чувствительность!$D$20)*IFERROR(LOOKUP(Предпосылки!$H$214,$C$13:$C$15,J$13:J$15),1)</f>
        <v>0</v>
      </c>
      <c s="125">
        <f>Предпосылки!J$241*Предпосылки!$Q253*Продажи!K18*K$19*(1+Чувствительность!$D$20)*IFERROR(LOOKUP(Предпосылки!$H$214,$C$13:$C$15,K$13:K$15),1)</f>
        <v>0</v>
      </c>
      <c s="125">
        <f>Предпосылки!K$241*Предпосылки!$Q253*Продажи!L18*L$19*(1+Чувствительность!$D$20)*IFERROR(LOOKUP(Предпосылки!$H$214,$C$13:$C$15,L$13:L$15),1)</f>
        <v>0</v>
      </c>
      <c s="125">
        <f>Предпосылки!L$241*Предпосылки!$Q253*Продажи!M18*M$19*(1+Чувствительность!$D$20)*IFERROR(LOOKUP(Предпосылки!$H$214,$C$13:$C$15,M$13:M$15),1)</f>
        <v>0</v>
      </c>
      <c s="125">
        <f>Предпосылки!M$241*Предпосылки!$Q253*Продажи!N18*N$19*(1+Чувствительность!$D$20)*IFERROR(LOOKUP(Предпосылки!$H$214,$C$13:$C$15,N$13:N$15),1)</f>
        <v>0</v>
      </c>
      <c s="125">
        <f>Предпосылки!N$241*Предпосылки!$Q253*Продажи!O18*O$19*(1+Чувствительность!$D$20)*IFERROR(LOOKUP(Предпосылки!$H$214,$C$13:$C$15,O$13:O$15),1)</f>
        <v>0</v>
      </c>
      <c s="125">
        <f>Предпосылки!O$241*Предпосылки!$Q253*Продажи!P18*P$19*(1+Чувствительность!$D$20)*IFERROR(LOOKUP(Предпосылки!$H$214,$C$13:$C$15,P$13:P$15),1)</f>
        <v>0</v>
      </c>
      <c s="125">
        <f>Предпосылки!P$241*Предпосылки!$Q253*Продажи!Q18*Q$19*(1+Чувствительность!$D$20)*IFERROR(LOOKUP(Предпосылки!$H$214,$C$13:$C$15,Q$13:Q$15),1)</f>
        <v>0</v>
      </c>
      <c s="125">
        <f>Предпосылки!Q$241*Предпосылки!$Q253*Продажи!R18*R$19*(1+Чувствительность!$D$20)*IFERROR(LOOKUP(Предпосылки!$H$214,$C$13:$C$15,R$13:R$15),1)</f>
        <v>0</v>
      </c>
      <c s="125">
        <f>Предпосылки!R$241*Предпосылки!$Q253*Продажи!S18*S$19*(1+Чувствительность!$D$20)*IFERROR(LOOKUP(Предпосылки!$H$214,$C$13:$C$15,S$13:S$15),1)</f>
        <v>0</v>
      </c>
      <c s="125">
        <f>Предпосылки!S$241*Предпосылки!$Q253*Продажи!T18*T$19*(1+Чувствительность!$D$20)*IFERROR(LOOKUP(Предпосылки!$H$214,$C$13:$C$15,T$13:T$15),1)</f>
        <v>0</v>
      </c>
      <c s="125">
        <f>Предпосылки!T$241*Предпосылки!$Q253*Продажи!U18*U$19*(1+Чувствительность!$D$20)*IFERROR(LOOKUP(Предпосылки!$H$214,$C$13:$C$15,U$13:U$15),1)</f>
        <v>0</v>
      </c>
      <c s="125">
        <f>Предпосылки!U$241*Предпосылки!$Q253*Продажи!V18*V$19*(1+Чувствительность!$D$20)*IFERROR(LOOKUP(Предпосылки!$H$214,$C$13:$C$15,V$13:V$15),1)</f>
        <v>0</v>
      </c>
      <c s="125">
        <f>Предпосылки!V$241*Предпосылки!$Q253*Продажи!W18*W$19*(1+Чувствительность!$D$20)*IFERROR(LOOKUP(Предпосылки!$H$214,$C$13:$C$15,W$13:W$15),1)</f>
        <v>0</v>
      </c>
      <c s="125">
        <f>Предпосылки!W$241*Предпосылки!$Q253*Продажи!X18*X$19*(1+Чувствительность!$D$20)*IFERROR(LOOKUP(Предпосылки!$H$214,$C$13:$C$15,X$13:X$15),1)</f>
        <v>0</v>
      </c>
      <c s="125">
        <f>Предпосылки!X$241*Предпосылки!$Q253*Продажи!Y18*Y$19*(1+Чувствительность!$D$20)*IFERROR(LOOKUP(Предпосылки!$H$214,$C$13:$C$15,Y$13:Y$15),1)</f>
        <v>0</v>
      </c>
      <c s="125">
        <f>Предпосылки!Y$241*Предпосылки!$Q253*Продажи!Z18*Z$19*(1+Чувствительность!$D$20)*IFERROR(LOOKUP(Предпосылки!$H$214,$C$13:$C$15,Z$13:Z$15),1)</f>
        <v>0</v>
      </c>
      <c s="125">
        <f>Предпосылки!Z$241*Предпосылки!$Q253*Продажи!AA18*AA$19*(1+Чувствительность!$D$20)*IFERROR(LOOKUP(Предпосылки!$H$214,$C$13:$C$15,AA$13:AA$15),1)</f>
        <v>0</v>
      </c>
      <c s="125">
        <f>Предпосылки!AA$241*Предпосылки!$Q253*Продажи!AB18*AB$19*(1+Чувствительность!$D$20)*IFERROR(LOOKUP(Предпосылки!$H$214,$C$13:$C$15,AB$13:AB$15),1)</f>
        <v>0</v>
      </c>
      <c s="125">
        <f>Предпосылки!AB$241*Предпосылки!$Q253*Продажи!AC18*AC$19*(1+Чувствительность!$D$20)*IFERROR(LOOKUP(Предпосылки!$H$214,$C$13:$C$15,AC$13:AC$15),1)</f>
        <v>0</v>
      </c>
      <c s="125">
        <f>Предпосылки!AC$241*Предпосылки!$Q253*Продажи!AD18*AD$19*(1+Чувствительность!$D$20)*IFERROR(LOOKUP(Предпосылки!$H$214,$C$13:$C$15,AD$13:AD$15),1)</f>
        <v>0</v>
      </c>
      <c s="125">
        <f>Предпосылки!AD$241*Предпосылки!$Q253*Продажи!AE18*AE$19*(1+Чувствительность!$D$20)*IFERROR(LOOKUP(Предпосылки!$H$214,$C$13:$C$15,AE$13:AE$15),1)</f>
        <v>0</v>
      </c>
      <c s="125">
        <f>Предпосылки!AE$241*Предпосылки!$Q253*Продажи!AF18*AF$19*(1+Чувствительность!$D$20)*IFERROR(LOOKUP(Предпосылки!$H$214,$C$13:$C$15,AF$13:AF$15),1)</f>
        <v>0</v>
      </c>
      <c s="125">
        <f>Предпосылки!AF$241*Предпосылки!$Q253*Продажи!AG18*AG$19*(1+Чувствительность!$D$20)*IFERROR(LOOKUP(Предпосылки!$H$214,$C$13:$C$15,AG$13:AG$15),1)</f>
        <v>0</v>
      </c>
      <c s="125">
        <f>Предпосылки!AG$241*Предпосылки!$Q253*Продажи!AH18*AH$19*(1+Чувствительность!$D$20)*IFERROR(LOOKUP(Предпосылки!$H$214,$C$13:$C$15,AH$13:AH$15),1)</f>
        <v>0</v>
      </c>
      <c s="125">
        <f>Предпосылки!AH$241*Предпосылки!$Q253*Продажи!AI18*AI$19*(1+Чувствительность!$D$20)*IFERROR(LOOKUP(Предпосылки!$H$214,$C$13:$C$15,AI$13:AI$15),1)</f>
        <v>0</v>
      </c>
      <c s="125">
        <f>Предпосылки!AI$241*Предпосылки!$Q253*Продажи!AJ18*AJ$19*(1+Чувствительность!$D$20)*IFERROR(LOOKUP(Предпосылки!$H$214,$C$13:$C$15,AJ$13:AJ$15),1)</f>
        <v>0</v>
      </c>
      <c s="125">
        <f>Предпосылки!AJ$241*Предпосылки!$Q253*Продажи!AK18*AK$19*(1+Чувствительность!$D$20)*IFERROR(LOOKUP(Предпосылки!$H$214,$C$13:$C$15,AK$13:AK$15),1)</f>
        <v>0</v>
      </c>
      <c s="125">
        <f>Предпосылки!AK$241*Предпосылки!$Q253*Продажи!AL18*AL$19*(1+Чувствительность!$D$20)*IFERROR(LOOKUP(Предпосылки!$H$214,$C$13:$C$15,AL$13:AL$15),1)</f>
        <v>0</v>
      </c>
      <c s="125">
        <f>Предпосылки!AL$241*Предпосылки!$Q253*Продажи!AM18*AM$19*(1+Чувствительность!$D$20)*IFERROR(LOOKUP(Предпосылки!$H$214,$C$13:$C$15,AM$13:AM$15),1)</f>
        <v>0</v>
      </c>
      <c s="125">
        <f>Предпосылки!AM$241*Предпосылки!$Q253*Продажи!AN18*AN$19*(1+Чувствительность!$D$20)*IFERROR(LOOKUP(Предпосылки!$H$214,$C$13:$C$15,AN$13:AN$15),1)</f>
        <v>0</v>
      </c>
      <c s="125">
        <f>Предпосылки!AN$241*Предпосылки!$Q253*Продажи!AO18*AO$19*(1+Чувствительность!$D$20)*IFERROR(LOOKUP(Предпосылки!$H$214,$C$13:$C$15,AO$13:AO$15),1)</f>
        <v>0</v>
      </c>
      <c s="125">
        <f>Предпосылки!AO$241*Предпосылки!$Q253*Продажи!AP18*AP$19*(1+Чувствительность!$D$20)*IFERROR(LOOKUP(Предпосылки!$H$214,$C$13:$C$15,AP$13:AP$15),1)</f>
        <v>0</v>
      </c>
      <c s="125">
        <f>Предпосылки!AP$241*Предпосылки!$Q253*Продажи!AQ18*AQ$19*(1+Чувствительность!$D$20)*IFERROR(LOOKUP(Предпосылки!$H$214,$C$13:$C$15,AQ$13:AQ$15),1)</f>
        <v>0</v>
      </c>
      <c s="125">
        <f>Предпосылки!AQ$241*Предпосылки!$Q253*Продажи!AR18*AR$19*(1+Чувствительность!$D$20)*IFERROR(LOOKUP(Предпосылки!$H$214,$C$13:$C$15,AR$13:AR$15),1)</f>
        <v>0</v>
      </c>
      <c s="125">
        <f>Предпосылки!AR$241*Предпосылки!$Q253*Продажи!AS18*AS$19*(1+Чувствительность!$D$20)*IFERROR(LOOKUP(Предпосылки!$H$214,$C$13:$C$15,AS$13:AS$15),1)</f>
        <v>0</v>
      </c>
      <c s="125">
        <f>Предпосылки!AS$241*Предпосылки!$Q253*Продажи!AT18*AT$19*(1+Чувствительность!$D$20)*IFERROR(LOOKUP(Предпосылки!$H$214,$C$13:$C$15,AT$13:AT$15),1)</f>
        <v>0</v>
      </c>
      <c s="125">
        <f>Предпосылки!AT$241*Предпосылки!$Q253*Продажи!AU18*AU$19*(1+Чувствительность!$D$20)*IFERROR(LOOKUP(Предпосылки!$H$214,$C$13:$C$15,AU$13:AU$15),1)</f>
        <v>0</v>
      </c>
      <c s="125">
        <f>Предпосылки!AU$241*Предпосылки!$Q253*Продажи!AV18*AV$19*(1+Чувствительность!$D$20)*IFERROR(LOOKUP(Предпосылки!$H$214,$C$13:$C$15,AV$13:AV$15),1)</f>
        <v>0</v>
      </c>
      <c s="125">
        <f>Предпосылки!AV$241*Предпосылки!$Q253*Продажи!AW18*AW$19*(1+Чувствительность!$D$20)*IFERROR(LOOKUP(Предпосылки!$H$214,$C$13:$C$15,AW$13:AW$15),1)</f>
        <v>0</v>
      </c>
      <c s="125">
        <f>Предпосылки!AW$241*Предпосылки!$Q253*Продажи!AX18*AX$19*(1+Чувствительность!$D$20)*IFERROR(LOOKUP(Предпосылки!$H$214,$C$13:$C$15,AX$13:AX$15),1)</f>
        <v>0</v>
      </c>
      <c s="125">
        <f>Предпосылки!AX$241*Предпосылки!$Q253*Продажи!AY18*AY$19*(1+Чувствительность!$D$20)*IFERROR(LOOKUP(Предпосылки!$H$214,$C$13:$C$15,AY$13:AY$15),1)</f>
        <v>0</v>
      </c>
      <c s="125">
        <f>Предпосылки!AY$241*Предпосылки!$Q253*Продажи!AZ18*AZ$19*(1+Чувствительность!$D$20)*IFERROR(LOOKUP(Предпосылки!$H$214,$C$13:$C$15,AZ$13:AZ$15),1)</f>
        <v>0</v>
      </c>
      <c s="125">
        <f>Предпосылки!AZ$241*Предпосылки!$Q253*Продажи!BA18*BA$19*(1+Чувствительность!$D$20)*IFERROR(LOOKUP(Предпосылки!$H$214,$C$13:$C$15,BA$13:BA$15),1)</f>
        <v>0</v>
      </c>
      <c s="125">
        <f>Предпосылки!BA$241*Предпосылки!$Q253*Продажи!BB18*BB$19*(1+Чувствительность!$D$20)*IFERROR(LOOKUP(Предпосылки!$H$214,$C$13:$C$15,BB$13:BB$15),1)</f>
        <v>0</v>
      </c>
      <c s="125">
        <f>Предпосылки!BB$241*Предпосылки!$Q253*Продажи!BC18*BC$19*(1+Чувствительность!$D$20)*IFERROR(LOOKUP(Предпосылки!$H$214,$C$13:$C$15,BC$13:BC$15),1)</f>
        <v>0</v>
      </c>
      <c s="125">
        <f>Предпосылки!BC$241*Предпосылки!$Q253*Продажи!BD18*BD$19*(1+Чувствительность!$D$20)*IFERROR(LOOKUP(Предпосылки!$H$214,$C$13:$C$15,BD$13:BD$15),1)</f>
        <v>0</v>
      </c>
      <c s="125">
        <f>Предпосылки!BD$241*Предпосылки!$Q253*Продажи!BE18*BE$19*(1+Чувствительность!$D$20)*IFERROR(LOOKUP(Предпосылки!$H$214,$C$13:$C$15,BE$13:BE$15),1)</f>
        <v>0</v>
      </c>
      <c s="125">
        <f>Предпосылки!BE$241*Предпосылки!$Q253*Продажи!BF18*BF$19*(1+Чувствительность!$D$20)*IFERROR(LOOKUP(Предпосылки!$H$214,$C$13:$C$15,BF$13:BF$15),1)</f>
        <v>0</v>
      </c>
      <c s="125">
        <f>Предпосылки!BF$241*Предпосылки!$Q253*Продажи!BG18*BG$19*(1+Чувствительность!$D$20)*IFERROR(LOOKUP(Предпосылки!$H$214,$C$13:$C$15,BG$13:BG$15),1)</f>
        <v>0</v>
      </c>
      <c s="125">
        <f>Предпосылки!BG$241*Предпосылки!$Q253*Продажи!BH18*BH$19*(1+Чувствительность!$D$20)*IFERROR(LOOKUP(Предпосылки!$H$214,$C$13:$C$15,BH$13:BH$15),1)</f>
        <v>0</v>
      </c>
      <c s="125">
        <f>Предпосылки!BH$241*Предпосылки!$Q253*Продажи!BI18*BI$19*(1+Чувствительность!$D$20)*IFERROR(LOOKUP(Предпосылки!$H$214,$C$13:$C$15,BI$13:BI$15),1)</f>
        <v>0</v>
      </c>
      <c s="125">
        <f>Предпосылки!BI$241*Предпосылки!$Q253*Продажи!BJ18*BJ$19*(1+Чувствительность!$D$20)*IFERROR(LOOKUP(Предпосылки!$H$214,$C$13:$C$15,BJ$13:BJ$15),1)</f>
        <v>0</v>
      </c>
      <c s="125">
        <f>Предпосылки!BJ$241*Предпосылки!$Q253*Продажи!BK18*BK$19*(1+Чувствительность!$D$20)*IFERROR(LOOKUP(Предпосылки!$H$214,$C$13:$C$15,BK$13:BK$15),1)</f>
        <v>0</v>
      </c>
      <c s="125">
        <f>Предпосылки!BK$241*Предпосылки!$Q253*Продажи!BL18*BL$19*(1+Чувствительность!$D$20)*IFERROR(LOOKUP(Предпосылки!$H$214,$C$13:$C$15,BL$13:BL$15),1)</f>
        <v>0</v>
      </c>
      <c s="125">
        <f>Предпосылки!BL$241*Предпосылки!$Q253*Продажи!BM18*BM$19*(1+Чувствительность!$D$20)*IFERROR(LOOKUP(Предпосылки!$H$214,$C$13:$C$15,BM$13:BM$15),1)</f>
        <v>0</v>
      </c>
    </row>
    <row r="323" spans="2:65" ht="15" customHeight="1">
      <c r="B323" s="12" t="str">
        <f t="shared" si="126" ref="B323:B341">B300</f>
        <v>Продукт 2</v>
      </c>
      <c s="124" t="str">
        <f t="shared" si="125"/>
        <v>тыс. руб.</v>
      </c>
      <c s="276">
        <f t="shared" si="127" ref="D323:D341">SUM(E323:BM323)</f>
        <v>0</v>
      </c>
      <c s="125">
        <f>Предпосылки!D$241*Предпосылки!$Q254*Продажи!E19*E$19*(1+Чувствительность!$D$20)*IFERROR(LOOKUP(Предпосылки!$H$214,$C$13:$C$15,E$13:E$15),1)</f>
        <v>0</v>
      </c>
      <c s="125">
        <f>Предпосылки!E$241*Предпосылки!$Q254*Продажи!F19*F$19*(1+Чувствительность!$D$20)*IFERROR(LOOKUP(Предпосылки!$H$214,$C$13:$C$15,F$13:F$15),1)</f>
        <v>0</v>
      </c>
      <c s="125">
        <f>Предпосылки!F$241*Предпосылки!$Q254*Продажи!G19*G$19*(1+Чувствительность!$D$20)*IFERROR(LOOKUP(Предпосылки!$H$214,$C$13:$C$15,G$13:G$15),1)</f>
        <v>0</v>
      </c>
      <c s="125">
        <f>Предпосылки!G$241*Предпосылки!$Q254*Продажи!H19*H$19*(1+Чувствительность!$D$20)*IFERROR(LOOKUP(Предпосылки!$H$214,$C$13:$C$15,H$13:H$15),1)</f>
        <v>0</v>
      </c>
      <c s="125">
        <f>Предпосылки!H$241*Предпосылки!$Q254*Продажи!I19*I$19*(1+Чувствительность!$D$20)*IFERROR(LOOKUP(Предпосылки!$H$214,$C$13:$C$15,I$13:I$15),1)</f>
        <v>0</v>
      </c>
      <c s="125">
        <f>Предпосылки!I$241*Предпосылки!$Q254*Продажи!J19*J$19*(1+Чувствительность!$D$20)*IFERROR(LOOKUP(Предпосылки!$H$214,$C$13:$C$15,J$13:J$15),1)</f>
        <v>0</v>
      </c>
      <c s="125">
        <f>Предпосылки!J$241*Предпосылки!$Q254*Продажи!K19*K$19*(1+Чувствительность!$D$20)*IFERROR(LOOKUP(Предпосылки!$H$214,$C$13:$C$15,K$13:K$15),1)</f>
        <v>0</v>
      </c>
      <c s="125">
        <f>Предпосылки!K$241*Предпосылки!$Q254*Продажи!L19*L$19*(1+Чувствительность!$D$20)*IFERROR(LOOKUP(Предпосылки!$H$214,$C$13:$C$15,L$13:L$15),1)</f>
        <v>0</v>
      </c>
      <c s="125">
        <f>Предпосылки!L$241*Предпосылки!$Q254*Продажи!M19*M$19*(1+Чувствительность!$D$20)*IFERROR(LOOKUP(Предпосылки!$H$214,$C$13:$C$15,M$13:M$15),1)</f>
        <v>0</v>
      </c>
      <c s="125">
        <f>Предпосылки!M$241*Предпосылки!$Q254*Продажи!N19*N$19*(1+Чувствительность!$D$20)*IFERROR(LOOKUP(Предпосылки!$H$214,$C$13:$C$15,N$13:N$15),1)</f>
        <v>0</v>
      </c>
      <c s="125">
        <f>Предпосылки!N$241*Предпосылки!$Q254*Продажи!O19*O$19*(1+Чувствительность!$D$20)*IFERROR(LOOKUP(Предпосылки!$H$214,$C$13:$C$15,O$13:O$15),1)</f>
        <v>0</v>
      </c>
      <c s="125">
        <f>Предпосылки!O$241*Предпосылки!$Q254*Продажи!P19*P$19*(1+Чувствительность!$D$20)*IFERROR(LOOKUP(Предпосылки!$H$214,$C$13:$C$15,P$13:P$15),1)</f>
        <v>0</v>
      </c>
      <c s="125">
        <f>Предпосылки!P$241*Предпосылки!$Q254*Продажи!Q19*Q$19*(1+Чувствительность!$D$20)*IFERROR(LOOKUP(Предпосылки!$H$214,$C$13:$C$15,Q$13:Q$15),1)</f>
        <v>0</v>
      </c>
      <c s="125">
        <f>Предпосылки!Q$241*Предпосылки!$Q254*Продажи!R19*R$19*(1+Чувствительность!$D$20)*IFERROR(LOOKUP(Предпосылки!$H$214,$C$13:$C$15,R$13:R$15),1)</f>
        <v>0</v>
      </c>
      <c s="125">
        <f>Предпосылки!R$241*Предпосылки!$Q254*Продажи!S19*S$19*(1+Чувствительность!$D$20)*IFERROR(LOOKUP(Предпосылки!$H$214,$C$13:$C$15,S$13:S$15),1)</f>
        <v>0</v>
      </c>
      <c s="125">
        <f>Предпосылки!S$241*Предпосылки!$Q254*Продажи!T19*T$19*(1+Чувствительность!$D$20)*IFERROR(LOOKUP(Предпосылки!$H$214,$C$13:$C$15,T$13:T$15),1)</f>
        <v>0</v>
      </c>
      <c s="125">
        <f>Предпосылки!T$241*Предпосылки!$Q254*Продажи!U19*U$19*(1+Чувствительность!$D$20)*IFERROR(LOOKUP(Предпосылки!$H$214,$C$13:$C$15,U$13:U$15),1)</f>
        <v>0</v>
      </c>
      <c s="125">
        <f>Предпосылки!U$241*Предпосылки!$Q254*Продажи!V19*V$19*(1+Чувствительность!$D$20)*IFERROR(LOOKUP(Предпосылки!$H$214,$C$13:$C$15,V$13:V$15),1)</f>
        <v>0</v>
      </c>
      <c s="125">
        <f>Предпосылки!V$241*Предпосылки!$Q254*Продажи!W19*W$19*(1+Чувствительность!$D$20)*IFERROR(LOOKUP(Предпосылки!$H$214,$C$13:$C$15,W$13:W$15),1)</f>
        <v>0</v>
      </c>
      <c s="125">
        <f>Предпосылки!W$241*Предпосылки!$Q254*Продажи!X19*X$19*(1+Чувствительность!$D$20)*IFERROR(LOOKUP(Предпосылки!$H$214,$C$13:$C$15,X$13:X$15),1)</f>
        <v>0</v>
      </c>
      <c s="125">
        <f>Предпосылки!X$241*Предпосылки!$Q254*Продажи!Y19*Y$19*(1+Чувствительность!$D$20)*IFERROR(LOOKUP(Предпосылки!$H$214,$C$13:$C$15,Y$13:Y$15),1)</f>
        <v>0</v>
      </c>
      <c s="125">
        <f>Предпосылки!Y$241*Предпосылки!$Q254*Продажи!Z19*Z$19*(1+Чувствительность!$D$20)*IFERROR(LOOKUP(Предпосылки!$H$214,$C$13:$C$15,Z$13:Z$15),1)</f>
        <v>0</v>
      </c>
      <c s="125">
        <f>Предпосылки!Z$241*Предпосылки!$Q254*Продажи!AA19*AA$19*(1+Чувствительность!$D$20)*IFERROR(LOOKUP(Предпосылки!$H$214,$C$13:$C$15,AA$13:AA$15),1)</f>
        <v>0</v>
      </c>
      <c s="125">
        <f>Предпосылки!AA$241*Предпосылки!$Q254*Продажи!AB19*AB$19*(1+Чувствительность!$D$20)*IFERROR(LOOKUP(Предпосылки!$H$214,$C$13:$C$15,AB$13:AB$15),1)</f>
        <v>0</v>
      </c>
      <c s="125">
        <f>Предпосылки!AB$241*Предпосылки!$Q254*Продажи!AC19*AC$19*(1+Чувствительность!$D$20)*IFERROR(LOOKUP(Предпосылки!$H$214,$C$13:$C$15,AC$13:AC$15),1)</f>
        <v>0</v>
      </c>
      <c s="125">
        <f>Предпосылки!AC$241*Предпосылки!$Q254*Продажи!AD19*AD$19*(1+Чувствительность!$D$20)*IFERROR(LOOKUP(Предпосылки!$H$214,$C$13:$C$15,AD$13:AD$15),1)</f>
        <v>0</v>
      </c>
      <c s="125">
        <f>Предпосылки!AD$241*Предпосылки!$Q254*Продажи!AE19*AE$19*(1+Чувствительность!$D$20)*IFERROR(LOOKUP(Предпосылки!$H$214,$C$13:$C$15,AE$13:AE$15),1)</f>
        <v>0</v>
      </c>
      <c s="125">
        <f>Предпосылки!AE$241*Предпосылки!$Q254*Продажи!AF19*AF$19*(1+Чувствительность!$D$20)*IFERROR(LOOKUP(Предпосылки!$H$214,$C$13:$C$15,AF$13:AF$15),1)</f>
        <v>0</v>
      </c>
      <c s="125">
        <f>Предпосылки!AF$241*Предпосылки!$Q254*Продажи!AG19*AG$19*(1+Чувствительность!$D$20)*IFERROR(LOOKUP(Предпосылки!$H$214,$C$13:$C$15,AG$13:AG$15),1)</f>
        <v>0</v>
      </c>
      <c s="125">
        <f>Предпосылки!AG$241*Предпосылки!$Q254*Продажи!AH19*AH$19*(1+Чувствительность!$D$20)*IFERROR(LOOKUP(Предпосылки!$H$214,$C$13:$C$15,AH$13:AH$15),1)</f>
        <v>0</v>
      </c>
      <c s="125">
        <f>Предпосылки!AH$241*Предпосылки!$Q254*Продажи!AI19*AI$19*(1+Чувствительность!$D$20)*IFERROR(LOOKUP(Предпосылки!$H$214,$C$13:$C$15,AI$13:AI$15),1)</f>
        <v>0</v>
      </c>
      <c s="125">
        <f>Предпосылки!AI$241*Предпосылки!$Q254*Продажи!AJ19*AJ$19*(1+Чувствительность!$D$20)*IFERROR(LOOKUP(Предпосылки!$H$214,$C$13:$C$15,AJ$13:AJ$15),1)</f>
        <v>0</v>
      </c>
      <c s="125">
        <f>Предпосылки!AJ$241*Предпосылки!$Q254*Продажи!AK19*AK$19*(1+Чувствительность!$D$20)*IFERROR(LOOKUP(Предпосылки!$H$214,$C$13:$C$15,AK$13:AK$15),1)</f>
        <v>0</v>
      </c>
      <c s="125">
        <f>Предпосылки!AK$241*Предпосылки!$Q254*Продажи!AL19*AL$19*(1+Чувствительность!$D$20)*IFERROR(LOOKUP(Предпосылки!$H$214,$C$13:$C$15,AL$13:AL$15),1)</f>
        <v>0</v>
      </c>
      <c s="125">
        <f>Предпосылки!AL$241*Предпосылки!$Q254*Продажи!AM19*AM$19*(1+Чувствительность!$D$20)*IFERROR(LOOKUP(Предпосылки!$H$214,$C$13:$C$15,AM$13:AM$15),1)</f>
        <v>0</v>
      </c>
      <c s="125">
        <f>Предпосылки!AM$241*Предпосылки!$Q254*Продажи!AN19*AN$19*(1+Чувствительность!$D$20)*IFERROR(LOOKUP(Предпосылки!$H$214,$C$13:$C$15,AN$13:AN$15),1)</f>
        <v>0</v>
      </c>
      <c s="125">
        <f>Предпосылки!AN$241*Предпосылки!$Q254*Продажи!AO19*AO$19*(1+Чувствительность!$D$20)*IFERROR(LOOKUP(Предпосылки!$H$214,$C$13:$C$15,AO$13:AO$15),1)</f>
        <v>0</v>
      </c>
      <c s="125">
        <f>Предпосылки!AO$241*Предпосылки!$Q254*Продажи!AP19*AP$19*(1+Чувствительность!$D$20)*IFERROR(LOOKUP(Предпосылки!$H$214,$C$13:$C$15,AP$13:AP$15),1)</f>
        <v>0</v>
      </c>
      <c s="125">
        <f>Предпосылки!AP$241*Предпосылки!$Q254*Продажи!AQ19*AQ$19*(1+Чувствительность!$D$20)*IFERROR(LOOKUP(Предпосылки!$H$214,$C$13:$C$15,AQ$13:AQ$15),1)</f>
        <v>0</v>
      </c>
      <c s="125">
        <f>Предпосылки!AQ$241*Предпосылки!$Q254*Продажи!AR19*AR$19*(1+Чувствительность!$D$20)*IFERROR(LOOKUP(Предпосылки!$H$214,$C$13:$C$15,AR$13:AR$15),1)</f>
        <v>0</v>
      </c>
      <c s="125">
        <f>Предпосылки!AR$241*Предпосылки!$Q254*Продажи!AS19*AS$19*(1+Чувствительность!$D$20)*IFERROR(LOOKUP(Предпосылки!$H$214,$C$13:$C$15,AS$13:AS$15),1)</f>
        <v>0</v>
      </c>
      <c s="125">
        <f>Предпосылки!AS$241*Предпосылки!$Q254*Продажи!AT19*AT$19*(1+Чувствительность!$D$20)*IFERROR(LOOKUP(Предпосылки!$H$214,$C$13:$C$15,AT$13:AT$15),1)</f>
        <v>0</v>
      </c>
      <c s="125">
        <f>Предпосылки!AT$241*Предпосылки!$Q254*Продажи!AU19*AU$19*(1+Чувствительность!$D$20)*IFERROR(LOOKUP(Предпосылки!$H$214,$C$13:$C$15,AU$13:AU$15),1)</f>
        <v>0</v>
      </c>
      <c s="125">
        <f>Предпосылки!AU$241*Предпосылки!$Q254*Продажи!AV19*AV$19*(1+Чувствительность!$D$20)*IFERROR(LOOKUP(Предпосылки!$H$214,$C$13:$C$15,AV$13:AV$15),1)</f>
        <v>0</v>
      </c>
      <c s="125">
        <f>Предпосылки!AV$241*Предпосылки!$Q254*Продажи!AW19*AW$19*(1+Чувствительность!$D$20)*IFERROR(LOOKUP(Предпосылки!$H$214,$C$13:$C$15,AW$13:AW$15),1)</f>
        <v>0</v>
      </c>
      <c s="125">
        <f>Предпосылки!AW$241*Предпосылки!$Q254*Продажи!AX19*AX$19*(1+Чувствительность!$D$20)*IFERROR(LOOKUP(Предпосылки!$H$214,$C$13:$C$15,AX$13:AX$15),1)</f>
        <v>0</v>
      </c>
      <c s="125">
        <f>Предпосылки!AX$241*Предпосылки!$Q254*Продажи!AY19*AY$19*(1+Чувствительность!$D$20)*IFERROR(LOOKUP(Предпосылки!$H$214,$C$13:$C$15,AY$13:AY$15),1)</f>
        <v>0</v>
      </c>
      <c s="125">
        <f>Предпосылки!AY$241*Предпосылки!$Q254*Продажи!AZ19*AZ$19*(1+Чувствительность!$D$20)*IFERROR(LOOKUP(Предпосылки!$H$214,$C$13:$C$15,AZ$13:AZ$15),1)</f>
        <v>0</v>
      </c>
      <c s="125">
        <f>Предпосылки!AZ$241*Предпосылки!$Q254*Продажи!BA19*BA$19*(1+Чувствительность!$D$20)*IFERROR(LOOKUP(Предпосылки!$H$214,$C$13:$C$15,BA$13:BA$15),1)</f>
        <v>0</v>
      </c>
      <c s="125">
        <f>Предпосылки!BA$241*Предпосылки!$Q254*Продажи!BB19*BB$19*(1+Чувствительность!$D$20)*IFERROR(LOOKUP(Предпосылки!$H$214,$C$13:$C$15,BB$13:BB$15),1)</f>
        <v>0</v>
      </c>
      <c s="125">
        <f>Предпосылки!BB$241*Предпосылки!$Q254*Продажи!BC19*BC$19*(1+Чувствительность!$D$20)*IFERROR(LOOKUP(Предпосылки!$H$214,$C$13:$C$15,BC$13:BC$15),1)</f>
        <v>0</v>
      </c>
      <c s="125">
        <f>Предпосылки!BC$241*Предпосылки!$Q254*Продажи!BD19*BD$19*(1+Чувствительность!$D$20)*IFERROR(LOOKUP(Предпосылки!$H$214,$C$13:$C$15,BD$13:BD$15),1)</f>
        <v>0</v>
      </c>
      <c s="125">
        <f>Предпосылки!BD$241*Предпосылки!$Q254*Продажи!BE19*BE$19*(1+Чувствительность!$D$20)*IFERROR(LOOKUP(Предпосылки!$H$214,$C$13:$C$15,BE$13:BE$15),1)</f>
        <v>0</v>
      </c>
      <c s="125">
        <f>Предпосылки!BE$241*Предпосылки!$Q254*Продажи!BF19*BF$19*(1+Чувствительность!$D$20)*IFERROR(LOOKUP(Предпосылки!$H$214,$C$13:$C$15,BF$13:BF$15),1)</f>
        <v>0</v>
      </c>
      <c s="125">
        <f>Предпосылки!BF$241*Предпосылки!$Q254*Продажи!BG19*BG$19*(1+Чувствительность!$D$20)*IFERROR(LOOKUP(Предпосылки!$H$214,$C$13:$C$15,BG$13:BG$15),1)</f>
        <v>0</v>
      </c>
      <c s="125">
        <f>Предпосылки!BG$241*Предпосылки!$Q254*Продажи!BH19*BH$19*(1+Чувствительность!$D$20)*IFERROR(LOOKUP(Предпосылки!$H$214,$C$13:$C$15,BH$13:BH$15),1)</f>
        <v>0</v>
      </c>
      <c s="125">
        <f>Предпосылки!BH$241*Предпосылки!$Q254*Продажи!BI19*BI$19*(1+Чувствительность!$D$20)*IFERROR(LOOKUP(Предпосылки!$H$214,$C$13:$C$15,BI$13:BI$15),1)</f>
        <v>0</v>
      </c>
      <c s="125">
        <f>Предпосылки!BI$241*Предпосылки!$Q254*Продажи!BJ19*BJ$19*(1+Чувствительность!$D$20)*IFERROR(LOOKUP(Предпосылки!$H$214,$C$13:$C$15,BJ$13:BJ$15),1)</f>
        <v>0</v>
      </c>
      <c s="125">
        <f>Предпосылки!BJ$241*Предпосылки!$Q254*Продажи!BK19*BK$19*(1+Чувствительность!$D$20)*IFERROR(LOOKUP(Предпосылки!$H$214,$C$13:$C$15,BK$13:BK$15),1)</f>
        <v>0</v>
      </c>
      <c s="125">
        <f>Предпосылки!BK$241*Предпосылки!$Q254*Продажи!BL19*BL$19*(1+Чувствительность!$D$20)*IFERROR(LOOKUP(Предпосылки!$H$214,$C$13:$C$15,BL$13:BL$15),1)</f>
        <v>0</v>
      </c>
      <c s="125">
        <f>Предпосылки!BL$241*Предпосылки!$Q254*Продажи!BM19*BM$19*(1+Чувствительность!$D$20)*IFERROR(LOOKUP(Предпосылки!$H$214,$C$13:$C$15,BM$13:BM$15),1)</f>
        <v>0</v>
      </c>
    </row>
    <row r="324" spans="2:65" ht="15" customHeight="1">
      <c r="B324" s="12" t="str">
        <f t="shared" si="126"/>
        <v>Продукт 3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Предпосылки!D$241*Предпосылки!$Q255*Продажи!E20*E$19*(1+Чувствительность!$D$20)*IFERROR(LOOKUP(Предпосылки!$H$214,$C$13:$C$15,E$13:E$15),1)</f>
        <v>0</v>
      </c>
      <c s="125">
        <f>Предпосылки!E$241*Предпосылки!$Q255*Продажи!F20*F$19*(1+Чувствительность!$D$20)*IFERROR(LOOKUP(Предпосылки!$H$214,$C$13:$C$15,F$13:F$15),1)</f>
        <v>0</v>
      </c>
      <c s="125">
        <f>Предпосылки!F$241*Предпосылки!$Q255*Продажи!G20*G$19*(1+Чувствительность!$D$20)*IFERROR(LOOKUP(Предпосылки!$H$214,$C$13:$C$15,G$13:G$15),1)</f>
        <v>0</v>
      </c>
      <c s="125">
        <f>Предпосылки!G$241*Предпосылки!$Q255*Продажи!H20*H$19*(1+Чувствительность!$D$20)*IFERROR(LOOKUP(Предпосылки!$H$214,$C$13:$C$15,H$13:H$15),1)</f>
        <v>0</v>
      </c>
      <c s="125">
        <f>Предпосылки!H$241*Предпосылки!$Q255*Продажи!I20*I$19*(1+Чувствительность!$D$20)*IFERROR(LOOKUP(Предпосылки!$H$214,$C$13:$C$15,I$13:I$15),1)</f>
        <v>0</v>
      </c>
      <c s="125">
        <f>Предпосылки!I$241*Предпосылки!$Q255*Продажи!J20*J$19*(1+Чувствительность!$D$20)*IFERROR(LOOKUP(Предпосылки!$H$214,$C$13:$C$15,J$13:J$15),1)</f>
        <v>0</v>
      </c>
      <c s="125">
        <f>Предпосылки!J$241*Предпосылки!$Q255*Продажи!K20*K$19*(1+Чувствительность!$D$20)*IFERROR(LOOKUP(Предпосылки!$H$214,$C$13:$C$15,K$13:K$15),1)</f>
        <v>0</v>
      </c>
      <c s="125">
        <f>Предпосылки!K$241*Предпосылки!$Q255*Продажи!L20*L$19*(1+Чувствительность!$D$20)*IFERROR(LOOKUP(Предпосылки!$H$214,$C$13:$C$15,L$13:L$15),1)</f>
        <v>0</v>
      </c>
      <c s="125">
        <f>Предпосылки!L$241*Предпосылки!$Q255*Продажи!M20*M$19*(1+Чувствительность!$D$20)*IFERROR(LOOKUP(Предпосылки!$H$214,$C$13:$C$15,M$13:M$15),1)</f>
        <v>0</v>
      </c>
      <c s="125">
        <f>Предпосылки!M$241*Предпосылки!$Q255*Продажи!N20*N$19*(1+Чувствительность!$D$20)*IFERROR(LOOKUP(Предпосылки!$H$214,$C$13:$C$15,N$13:N$15),1)</f>
        <v>0</v>
      </c>
      <c s="125">
        <f>Предпосылки!N$241*Предпосылки!$Q255*Продажи!O20*O$19*(1+Чувствительность!$D$20)*IFERROR(LOOKUP(Предпосылки!$H$214,$C$13:$C$15,O$13:O$15),1)</f>
        <v>0</v>
      </c>
      <c s="125">
        <f>Предпосылки!O$241*Предпосылки!$Q255*Продажи!P20*P$19*(1+Чувствительность!$D$20)*IFERROR(LOOKUP(Предпосылки!$H$214,$C$13:$C$15,P$13:P$15),1)</f>
        <v>0</v>
      </c>
      <c s="125">
        <f>Предпосылки!P$241*Предпосылки!$Q255*Продажи!Q20*Q$19*(1+Чувствительность!$D$20)*IFERROR(LOOKUP(Предпосылки!$H$214,$C$13:$C$15,Q$13:Q$15),1)</f>
        <v>0</v>
      </c>
      <c s="125">
        <f>Предпосылки!Q$241*Предпосылки!$Q255*Продажи!R20*R$19*(1+Чувствительность!$D$20)*IFERROR(LOOKUP(Предпосылки!$H$214,$C$13:$C$15,R$13:R$15),1)</f>
        <v>0</v>
      </c>
      <c s="125">
        <f>Предпосылки!R$241*Предпосылки!$Q255*Продажи!S20*S$19*(1+Чувствительность!$D$20)*IFERROR(LOOKUP(Предпосылки!$H$214,$C$13:$C$15,S$13:S$15),1)</f>
        <v>0</v>
      </c>
      <c s="125">
        <f>Предпосылки!S$241*Предпосылки!$Q255*Продажи!T20*T$19*(1+Чувствительность!$D$20)*IFERROR(LOOKUP(Предпосылки!$H$214,$C$13:$C$15,T$13:T$15),1)</f>
        <v>0</v>
      </c>
      <c s="125">
        <f>Предпосылки!T$241*Предпосылки!$Q255*Продажи!U20*U$19*(1+Чувствительность!$D$20)*IFERROR(LOOKUP(Предпосылки!$H$214,$C$13:$C$15,U$13:U$15),1)</f>
        <v>0</v>
      </c>
      <c s="125">
        <f>Предпосылки!U$241*Предпосылки!$Q255*Продажи!V20*V$19*(1+Чувствительность!$D$20)*IFERROR(LOOKUP(Предпосылки!$H$214,$C$13:$C$15,V$13:V$15),1)</f>
        <v>0</v>
      </c>
      <c s="125">
        <f>Предпосылки!V$241*Предпосылки!$Q255*Продажи!W20*W$19*(1+Чувствительность!$D$20)*IFERROR(LOOKUP(Предпосылки!$H$214,$C$13:$C$15,W$13:W$15),1)</f>
        <v>0</v>
      </c>
      <c s="125">
        <f>Предпосылки!W$241*Предпосылки!$Q255*Продажи!X20*X$19*(1+Чувствительность!$D$20)*IFERROR(LOOKUP(Предпосылки!$H$214,$C$13:$C$15,X$13:X$15),1)</f>
        <v>0</v>
      </c>
      <c s="125">
        <f>Предпосылки!X$241*Предпосылки!$Q255*Продажи!Y20*Y$19*(1+Чувствительность!$D$20)*IFERROR(LOOKUP(Предпосылки!$H$214,$C$13:$C$15,Y$13:Y$15),1)</f>
        <v>0</v>
      </c>
      <c s="125">
        <f>Предпосылки!Y$241*Предпосылки!$Q255*Продажи!Z20*Z$19*(1+Чувствительность!$D$20)*IFERROR(LOOKUP(Предпосылки!$H$214,$C$13:$C$15,Z$13:Z$15),1)</f>
        <v>0</v>
      </c>
      <c s="125">
        <f>Предпосылки!Z$241*Предпосылки!$Q255*Продажи!AA20*AA$19*(1+Чувствительность!$D$20)*IFERROR(LOOKUP(Предпосылки!$H$214,$C$13:$C$15,AA$13:AA$15),1)</f>
        <v>0</v>
      </c>
      <c s="125">
        <f>Предпосылки!AA$241*Предпосылки!$Q255*Продажи!AB20*AB$19*(1+Чувствительность!$D$20)*IFERROR(LOOKUP(Предпосылки!$H$214,$C$13:$C$15,AB$13:AB$15),1)</f>
        <v>0</v>
      </c>
      <c s="125">
        <f>Предпосылки!AB$241*Предпосылки!$Q255*Продажи!AC20*AC$19*(1+Чувствительность!$D$20)*IFERROR(LOOKUP(Предпосылки!$H$214,$C$13:$C$15,AC$13:AC$15),1)</f>
        <v>0</v>
      </c>
      <c s="125">
        <f>Предпосылки!AC$241*Предпосылки!$Q255*Продажи!AD20*AD$19*(1+Чувствительность!$D$20)*IFERROR(LOOKUP(Предпосылки!$H$214,$C$13:$C$15,AD$13:AD$15),1)</f>
        <v>0</v>
      </c>
      <c s="125">
        <f>Предпосылки!AD$241*Предпосылки!$Q255*Продажи!AE20*AE$19*(1+Чувствительность!$D$20)*IFERROR(LOOKUP(Предпосылки!$H$214,$C$13:$C$15,AE$13:AE$15),1)</f>
        <v>0</v>
      </c>
      <c s="125">
        <f>Предпосылки!AE$241*Предпосылки!$Q255*Продажи!AF20*AF$19*(1+Чувствительность!$D$20)*IFERROR(LOOKUP(Предпосылки!$H$214,$C$13:$C$15,AF$13:AF$15),1)</f>
        <v>0</v>
      </c>
      <c s="125">
        <f>Предпосылки!AF$241*Предпосылки!$Q255*Продажи!AG20*AG$19*(1+Чувствительность!$D$20)*IFERROR(LOOKUP(Предпосылки!$H$214,$C$13:$C$15,AG$13:AG$15),1)</f>
        <v>0</v>
      </c>
      <c s="125">
        <f>Предпосылки!AG$241*Предпосылки!$Q255*Продажи!AH20*AH$19*(1+Чувствительность!$D$20)*IFERROR(LOOKUP(Предпосылки!$H$214,$C$13:$C$15,AH$13:AH$15),1)</f>
        <v>0</v>
      </c>
      <c s="125">
        <f>Предпосылки!AH$241*Предпосылки!$Q255*Продажи!AI20*AI$19*(1+Чувствительность!$D$20)*IFERROR(LOOKUP(Предпосылки!$H$214,$C$13:$C$15,AI$13:AI$15),1)</f>
        <v>0</v>
      </c>
      <c s="125">
        <f>Предпосылки!AI$241*Предпосылки!$Q255*Продажи!AJ20*AJ$19*(1+Чувствительность!$D$20)*IFERROR(LOOKUP(Предпосылки!$H$214,$C$13:$C$15,AJ$13:AJ$15),1)</f>
        <v>0</v>
      </c>
      <c s="125">
        <f>Предпосылки!AJ$241*Предпосылки!$Q255*Продажи!AK20*AK$19*(1+Чувствительность!$D$20)*IFERROR(LOOKUP(Предпосылки!$H$214,$C$13:$C$15,AK$13:AK$15),1)</f>
        <v>0</v>
      </c>
      <c s="125">
        <f>Предпосылки!AK$241*Предпосылки!$Q255*Продажи!AL20*AL$19*(1+Чувствительность!$D$20)*IFERROR(LOOKUP(Предпосылки!$H$214,$C$13:$C$15,AL$13:AL$15),1)</f>
        <v>0</v>
      </c>
      <c s="125">
        <f>Предпосылки!AL$241*Предпосылки!$Q255*Продажи!AM20*AM$19*(1+Чувствительность!$D$20)*IFERROR(LOOKUP(Предпосылки!$H$214,$C$13:$C$15,AM$13:AM$15),1)</f>
        <v>0</v>
      </c>
      <c s="125">
        <f>Предпосылки!AM$241*Предпосылки!$Q255*Продажи!AN20*AN$19*(1+Чувствительность!$D$20)*IFERROR(LOOKUP(Предпосылки!$H$214,$C$13:$C$15,AN$13:AN$15),1)</f>
        <v>0</v>
      </c>
      <c s="125">
        <f>Предпосылки!AN$241*Предпосылки!$Q255*Продажи!AO20*AO$19*(1+Чувствительность!$D$20)*IFERROR(LOOKUP(Предпосылки!$H$214,$C$13:$C$15,AO$13:AO$15),1)</f>
        <v>0</v>
      </c>
      <c s="125">
        <f>Предпосылки!AO$241*Предпосылки!$Q255*Продажи!AP20*AP$19*(1+Чувствительность!$D$20)*IFERROR(LOOKUP(Предпосылки!$H$214,$C$13:$C$15,AP$13:AP$15),1)</f>
        <v>0</v>
      </c>
      <c s="125">
        <f>Предпосылки!AP$241*Предпосылки!$Q255*Продажи!AQ20*AQ$19*(1+Чувствительность!$D$20)*IFERROR(LOOKUP(Предпосылки!$H$214,$C$13:$C$15,AQ$13:AQ$15),1)</f>
        <v>0</v>
      </c>
      <c s="125">
        <f>Предпосылки!AQ$241*Предпосылки!$Q255*Продажи!AR20*AR$19*(1+Чувствительность!$D$20)*IFERROR(LOOKUP(Предпосылки!$H$214,$C$13:$C$15,AR$13:AR$15),1)</f>
        <v>0</v>
      </c>
      <c s="125">
        <f>Предпосылки!AR$241*Предпосылки!$Q255*Продажи!AS20*AS$19*(1+Чувствительность!$D$20)*IFERROR(LOOKUP(Предпосылки!$H$214,$C$13:$C$15,AS$13:AS$15),1)</f>
        <v>0</v>
      </c>
      <c s="125">
        <f>Предпосылки!AS$241*Предпосылки!$Q255*Продажи!AT20*AT$19*(1+Чувствительность!$D$20)*IFERROR(LOOKUP(Предпосылки!$H$214,$C$13:$C$15,AT$13:AT$15),1)</f>
        <v>0</v>
      </c>
      <c s="125">
        <f>Предпосылки!AT$241*Предпосылки!$Q255*Продажи!AU20*AU$19*(1+Чувствительность!$D$20)*IFERROR(LOOKUP(Предпосылки!$H$214,$C$13:$C$15,AU$13:AU$15),1)</f>
        <v>0</v>
      </c>
      <c s="125">
        <f>Предпосылки!AU$241*Предпосылки!$Q255*Продажи!AV20*AV$19*(1+Чувствительность!$D$20)*IFERROR(LOOKUP(Предпосылки!$H$214,$C$13:$C$15,AV$13:AV$15),1)</f>
        <v>0</v>
      </c>
      <c s="125">
        <f>Предпосылки!AV$241*Предпосылки!$Q255*Продажи!AW20*AW$19*(1+Чувствительность!$D$20)*IFERROR(LOOKUP(Предпосылки!$H$214,$C$13:$C$15,AW$13:AW$15),1)</f>
        <v>0</v>
      </c>
      <c s="125">
        <f>Предпосылки!AW$241*Предпосылки!$Q255*Продажи!AX20*AX$19*(1+Чувствительность!$D$20)*IFERROR(LOOKUP(Предпосылки!$H$214,$C$13:$C$15,AX$13:AX$15),1)</f>
        <v>0</v>
      </c>
      <c s="125">
        <f>Предпосылки!AX$241*Предпосылки!$Q255*Продажи!AY20*AY$19*(1+Чувствительность!$D$20)*IFERROR(LOOKUP(Предпосылки!$H$214,$C$13:$C$15,AY$13:AY$15),1)</f>
        <v>0</v>
      </c>
      <c s="125">
        <f>Предпосылки!AY$241*Предпосылки!$Q255*Продажи!AZ20*AZ$19*(1+Чувствительность!$D$20)*IFERROR(LOOKUP(Предпосылки!$H$214,$C$13:$C$15,AZ$13:AZ$15),1)</f>
        <v>0</v>
      </c>
      <c s="125">
        <f>Предпосылки!AZ$241*Предпосылки!$Q255*Продажи!BA20*BA$19*(1+Чувствительность!$D$20)*IFERROR(LOOKUP(Предпосылки!$H$214,$C$13:$C$15,BA$13:BA$15),1)</f>
        <v>0</v>
      </c>
      <c s="125">
        <f>Предпосылки!BA$241*Предпосылки!$Q255*Продажи!BB20*BB$19*(1+Чувствительность!$D$20)*IFERROR(LOOKUP(Предпосылки!$H$214,$C$13:$C$15,BB$13:BB$15),1)</f>
        <v>0</v>
      </c>
      <c s="125">
        <f>Предпосылки!BB$241*Предпосылки!$Q255*Продажи!BC20*BC$19*(1+Чувствительность!$D$20)*IFERROR(LOOKUP(Предпосылки!$H$214,$C$13:$C$15,BC$13:BC$15),1)</f>
        <v>0</v>
      </c>
      <c s="125">
        <f>Предпосылки!BC$241*Предпосылки!$Q255*Продажи!BD20*BD$19*(1+Чувствительность!$D$20)*IFERROR(LOOKUP(Предпосылки!$H$214,$C$13:$C$15,BD$13:BD$15),1)</f>
        <v>0</v>
      </c>
      <c s="125">
        <f>Предпосылки!BD$241*Предпосылки!$Q255*Продажи!BE20*BE$19*(1+Чувствительность!$D$20)*IFERROR(LOOKUP(Предпосылки!$H$214,$C$13:$C$15,BE$13:BE$15),1)</f>
        <v>0</v>
      </c>
      <c s="125">
        <f>Предпосылки!BE$241*Предпосылки!$Q255*Продажи!BF20*BF$19*(1+Чувствительность!$D$20)*IFERROR(LOOKUP(Предпосылки!$H$214,$C$13:$C$15,BF$13:BF$15),1)</f>
        <v>0</v>
      </c>
      <c s="125">
        <f>Предпосылки!BF$241*Предпосылки!$Q255*Продажи!BG20*BG$19*(1+Чувствительность!$D$20)*IFERROR(LOOKUP(Предпосылки!$H$214,$C$13:$C$15,BG$13:BG$15),1)</f>
        <v>0</v>
      </c>
      <c s="125">
        <f>Предпосылки!BG$241*Предпосылки!$Q255*Продажи!BH20*BH$19*(1+Чувствительность!$D$20)*IFERROR(LOOKUP(Предпосылки!$H$214,$C$13:$C$15,BH$13:BH$15),1)</f>
        <v>0</v>
      </c>
      <c s="125">
        <f>Предпосылки!BH$241*Предпосылки!$Q255*Продажи!BI20*BI$19*(1+Чувствительность!$D$20)*IFERROR(LOOKUP(Предпосылки!$H$214,$C$13:$C$15,BI$13:BI$15),1)</f>
        <v>0</v>
      </c>
      <c s="125">
        <f>Предпосылки!BI$241*Предпосылки!$Q255*Продажи!BJ20*BJ$19*(1+Чувствительность!$D$20)*IFERROR(LOOKUP(Предпосылки!$H$214,$C$13:$C$15,BJ$13:BJ$15),1)</f>
        <v>0</v>
      </c>
      <c s="125">
        <f>Предпосылки!BJ$241*Предпосылки!$Q255*Продажи!BK20*BK$19*(1+Чувствительность!$D$20)*IFERROR(LOOKUP(Предпосылки!$H$214,$C$13:$C$15,BK$13:BK$15),1)</f>
        <v>0</v>
      </c>
      <c s="125">
        <f>Предпосылки!BK$241*Предпосылки!$Q255*Продажи!BL20*BL$19*(1+Чувствительность!$D$20)*IFERROR(LOOKUP(Предпосылки!$H$214,$C$13:$C$15,BL$13:BL$15),1)</f>
        <v>0</v>
      </c>
      <c s="125">
        <f>Предпосылки!BL$241*Предпосылки!$Q255*Продажи!BM20*BM$19*(1+Чувствительность!$D$20)*IFERROR(LOOKUP(Предпосылки!$H$214,$C$13:$C$15,BM$13:BM$15),1)</f>
        <v>0</v>
      </c>
    </row>
    <row r="325" spans="2:65" ht="15" customHeight="1">
      <c r="B325" s="12" t="str">
        <f t="shared" si="126"/>
        <v>Продукт 4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Предпосылки!D$241*Предпосылки!$Q256*Продажи!E21*E$19*(1+Чувствительность!$D$20)*IFERROR(LOOKUP(Предпосылки!$H$214,$C$13:$C$15,E$13:E$15),1)</f>
        <v>0</v>
      </c>
      <c s="125">
        <f>Предпосылки!E$241*Предпосылки!$Q256*Продажи!F21*F$19*(1+Чувствительность!$D$20)*IFERROR(LOOKUP(Предпосылки!$H$214,$C$13:$C$15,F$13:F$15),1)</f>
        <v>0</v>
      </c>
      <c s="125">
        <f>Предпосылки!F$241*Предпосылки!$Q256*Продажи!G21*G$19*(1+Чувствительность!$D$20)*IFERROR(LOOKUP(Предпосылки!$H$214,$C$13:$C$15,G$13:G$15),1)</f>
        <v>0</v>
      </c>
      <c s="125">
        <f>Предпосылки!G$241*Предпосылки!$Q256*Продажи!H21*H$19*(1+Чувствительность!$D$20)*IFERROR(LOOKUP(Предпосылки!$H$214,$C$13:$C$15,H$13:H$15),1)</f>
        <v>0</v>
      </c>
      <c s="125">
        <f>Предпосылки!H$241*Предпосылки!$Q256*Продажи!I21*I$19*(1+Чувствительность!$D$20)*IFERROR(LOOKUP(Предпосылки!$H$214,$C$13:$C$15,I$13:I$15),1)</f>
        <v>0</v>
      </c>
      <c s="125">
        <f>Предпосылки!I$241*Предпосылки!$Q256*Продажи!J21*J$19*(1+Чувствительность!$D$20)*IFERROR(LOOKUP(Предпосылки!$H$214,$C$13:$C$15,J$13:J$15),1)</f>
        <v>0</v>
      </c>
      <c s="125">
        <f>Предпосылки!J$241*Предпосылки!$Q256*Продажи!K21*K$19*(1+Чувствительность!$D$20)*IFERROR(LOOKUP(Предпосылки!$H$214,$C$13:$C$15,K$13:K$15),1)</f>
        <v>0</v>
      </c>
      <c s="125">
        <f>Предпосылки!K$241*Предпосылки!$Q256*Продажи!L21*L$19*(1+Чувствительность!$D$20)*IFERROR(LOOKUP(Предпосылки!$H$214,$C$13:$C$15,L$13:L$15),1)</f>
        <v>0</v>
      </c>
      <c s="125">
        <f>Предпосылки!L$241*Предпосылки!$Q256*Продажи!M21*M$19*(1+Чувствительность!$D$20)*IFERROR(LOOKUP(Предпосылки!$H$214,$C$13:$C$15,M$13:M$15),1)</f>
        <v>0</v>
      </c>
      <c s="125">
        <f>Предпосылки!M$241*Предпосылки!$Q256*Продажи!N21*N$19*(1+Чувствительность!$D$20)*IFERROR(LOOKUP(Предпосылки!$H$214,$C$13:$C$15,N$13:N$15),1)</f>
        <v>0</v>
      </c>
      <c s="125">
        <f>Предпосылки!N$241*Предпосылки!$Q256*Продажи!O21*O$19*(1+Чувствительность!$D$20)*IFERROR(LOOKUP(Предпосылки!$H$214,$C$13:$C$15,O$13:O$15),1)</f>
        <v>0</v>
      </c>
      <c s="125">
        <f>Предпосылки!O$241*Предпосылки!$Q256*Продажи!P21*P$19*(1+Чувствительность!$D$20)*IFERROR(LOOKUP(Предпосылки!$H$214,$C$13:$C$15,P$13:P$15),1)</f>
        <v>0</v>
      </c>
      <c s="125">
        <f>Предпосылки!P$241*Предпосылки!$Q256*Продажи!Q21*Q$19*(1+Чувствительность!$D$20)*IFERROR(LOOKUP(Предпосылки!$H$214,$C$13:$C$15,Q$13:Q$15),1)</f>
        <v>0</v>
      </c>
      <c s="125">
        <f>Предпосылки!Q$241*Предпосылки!$Q256*Продажи!R21*R$19*(1+Чувствительность!$D$20)*IFERROR(LOOKUP(Предпосылки!$H$214,$C$13:$C$15,R$13:R$15),1)</f>
        <v>0</v>
      </c>
      <c s="125">
        <f>Предпосылки!R$241*Предпосылки!$Q256*Продажи!S21*S$19*(1+Чувствительность!$D$20)*IFERROR(LOOKUP(Предпосылки!$H$214,$C$13:$C$15,S$13:S$15),1)</f>
        <v>0</v>
      </c>
      <c s="125">
        <f>Предпосылки!S$241*Предпосылки!$Q256*Продажи!T21*T$19*(1+Чувствительность!$D$20)*IFERROR(LOOKUP(Предпосылки!$H$214,$C$13:$C$15,T$13:T$15),1)</f>
        <v>0</v>
      </c>
      <c s="125">
        <f>Предпосылки!T$241*Предпосылки!$Q256*Продажи!U21*U$19*(1+Чувствительность!$D$20)*IFERROR(LOOKUP(Предпосылки!$H$214,$C$13:$C$15,U$13:U$15),1)</f>
        <v>0</v>
      </c>
      <c s="125">
        <f>Предпосылки!U$241*Предпосылки!$Q256*Продажи!V21*V$19*(1+Чувствительность!$D$20)*IFERROR(LOOKUP(Предпосылки!$H$214,$C$13:$C$15,V$13:V$15),1)</f>
        <v>0</v>
      </c>
      <c s="125">
        <f>Предпосылки!V$241*Предпосылки!$Q256*Продажи!W21*W$19*(1+Чувствительность!$D$20)*IFERROR(LOOKUP(Предпосылки!$H$214,$C$13:$C$15,W$13:W$15),1)</f>
        <v>0</v>
      </c>
      <c s="125">
        <f>Предпосылки!W$241*Предпосылки!$Q256*Продажи!X21*X$19*(1+Чувствительность!$D$20)*IFERROR(LOOKUP(Предпосылки!$H$214,$C$13:$C$15,X$13:X$15),1)</f>
        <v>0</v>
      </c>
      <c s="125">
        <f>Предпосылки!X$241*Предпосылки!$Q256*Продажи!Y21*Y$19*(1+Чувствительность!$D$20)*IFERROR(LOOKUP(Предпосылки!$H$214,$C$13:$C$15,Y$13:Y$15),1)</f>
        <v>0</v>
      </c>
      <c s="125">
        <f>Предпосылки!Y$241*Предпосылки!$Q256*Продажи!Z21*Z$19*(1+Чувствительность!$D$20)*IFERROR(LOOKUP(Предпосылки!$H$214,$C$13:$C$15,Z$13:Z$15),1)</f>
        <v>0</v>
      </c>
      <c s="125">
        <f>Предпосылки!Z$241*Предпосылки!$Q256*Продажи!AA21*AA$19*(1+Чувствительность!$D$20)*IFERROR(LOOKUP(Предпосылки!$H$214,$C$13:$C$15,AA$13:AA$15),1)</f>
        <v>0</v>
      </c>
      <c s="125">
        <f>Предпосылки!AA$241*Предпосылки!$Q256*Продажи!AB21*AB$19*(1+Чувствительность!$D$20)*IFERROR(LOOKUP(Предпосылки!$H$214,$C$13:$C$15,AB$13:AB$15),1)</f>
        <v>0</v>
      </c>
      <c s="125">
        <f>Предпосылки!AB$241*Предпосылки!$Q256*Продажи!AC21*AC$19*(1+Чувствительность!$D$20)*IFERROR(LOOKUP(Предпосылки!$H$214,$C$13:$C$15,AC$13:AC$15),1)</f>
        <v>0</v>
      </c>
      <c s="125">
        <f>Предпосылки!AC$241*Предпосылки!$Q256*Продажи!AD21*AD$19*(1+Чувствительность!$D$20)*IFERROR(LOOKUP(Предпосылки!$H$214,$C$13:$C$15,AD$13:AD$15),1)</f>
        <v>0</v>
      </c>
      <c s="125">
        <f>Предпосылки!AD$241*Предпосылки!$Q256*Продажи!AE21*AE$19*(1+Чувствительность!$D$20)*IFERROR(LOOKUP(Предпосылки!$H$214,$C$13:$C$15,AE$13:AE$15),1)</f>
        <v>0</v>
      </c>
      <c s="125">
        <f>Предпосылки!AE$241*Предпосылки!$Q256*Продажи!AF21*AF$19*(1+Чувствительность!$D$20)*IFERROR(LOOKUP(Предпосылки!$H$214,$C$13:$C$15,AF$13:AF$15),1)</f>
        <v>0</v>
      </c>
      <c s="125">
        <f>Предпосылки!AF$241*Предпосылки!$Q256*Продажи!AG21*AG$19*(1+Чувствительность!$D$20)*IFERROR(LOOKUP(Предпосылки!$H$214,$C$13:$C$15,AG$13:AG$15),1)</f>
        <v>0</v>
      </c>
      <c s="125">
        <f>Предпосылки!AG$241*Предпосылки!$Q256*Продажи!AH21*AH$19*(1+Чувствительность!$D$20)*IFERROR(LOOKUP(Предпосылки!$H$214,$C$13:$C$15,AH$13:AH$15),1)</f>
        <v>0</v>
      </c>
      <c s="125">
        <f>Предпосылки!AH$241*Предпосылки!$Q256*Продажи!AI21*AI$19*(1+Чувствительность!$D$20)*IFERROR(LOOKUP(Предпосылки!$H$214,$C$13:$C$15,AI$13:AI$15),1)</f>
        <v>0</v>
      </c>
      <c s="125">
        <f>Предпосылки!AI$241*Предпосылки!$Q256*Продажи!AJ21*AJ$19*(1+Чувствительность!$D$20)*IFERROR(LOOKUP(Предпосылки!$H$214,$C$13:$C$15,AJ$13:AJ$15),1)</f>
        <v>0</v>
      </c>
      <c s="125">
        <f>Предпосылки!AJ$241*Предпосылки!$Q256*Продажи!AK21*AK$19*(1+Чувствительность!$D$20)*IFERROR(LOOKUP(Предпосылки!$H$214,$C$13:$C$15,AK$13:AK$15),1)</f>
        <v>0</v>
      </c>
      <c s="125">
        <f>Предпосылки!AK$241*Предпосылки!$Q256*Продажи!AL21*AL$19*(1+Чувствительность!$D$20)*IFERROR(LOOKUP(Предпосылки!$H$214,$C$13:$C$15,AL$13:AL$15),1)</f>
        <v>0</v>
      </c>
      <c s="125">
        <f>Предпосылки!AL$241*Предпосылки!$Q256*Продажи!AM21*AM$19*(1+Чувствительность!$D$20)*IFERROR(LOOKUP(Предпосылки!$H$214,$C$13:$C$15,AM$13:AM$15),1)</f>
        <v>0</v>
      </c>
      <c s="125">
        <f>Предпосылки!AM$241*Предпосылки!$Q256*Продажи!AN21*AN$19*(1+Чувствительность!$D$20)*IFERROR(LOOKUP(Предпосылки!$H$214,$C$13:$C$15,AN$13:AN$15),1)</f>
        <v>0</v>
      </c>
      <c s="125">
        <f>Предпосылки!AN$241*Предпосылки!$Q256*Продажи!AO21*AO$19*(1+Чувствительность!$D$20)*IFERROR(LOOKUP(Предпосылки!$H$214,$C$13:$C$15,AO$13:AO$15),1)</f>
        <v>0</v>
      </c>
      <c s="125">
        <f>Предпосылки!AO$241*Предпосылки!$Q256*Продажи!AP21*AP$19*(1+Чувствительность!$D$20)*IFERROR(LOOKUP(Предпосылки!$H$214,$C$13:$C$15,AP$13:AP$15),1)</f>
        <v>0</v>
      </c>
      <c s="125">
        <f>Предпосылки!AP$241*Предпосылки!$Q256*Продажи!AQ21*AQ$19*(1+Чувствительность!$D$20)*IFERROR(LOOKUP(Предпосылки!$H$214,$C$13:$C$15,AQ$13:AQ$15),1)</f>
        <v>0</v>
      </c>
      <c s="125">
        <f>Предпосылки!AQ$241*Предпосылки!$Q256*Продажи!AR21*AR$19*(1+Чувствительность!$D$20)*IFERROR(LOOKUP(Предпосылки!$H$214,$C$13:$C$15,AR$13:AR$15),1)</f>
        <v>0</v>
      </c>
      <c s="125">
        <f>Предпосылки!AR$241*Предпосылки!$Q256*Продажи!AS21*AS$19*(1+Чувствительность!$D$20)*IFERROR(LOOKUP(Предпосылки!$H$214,$C$13:$C$15,AS$13:AS$15),1)</f>
        <v>0</v>
      </c>
      <c s="125">
        <f>Предпосылки!AS$241*Предпосылки!$Q256*Продажи!AT21*AT$19*(1+Чувствительность!$D$20)*IFERROR(LOOKUP(Предпосылки!$H$214,$C$13:$C$15,AT$13:AT$15),1)</f>
        <v>0</v>
      </c>
      <c s="125">
        <f>Предпосылки!AT$241*Предпосылки!$Q256*Продажи!AU21*AU$19*(1+Чувствительность!$D$20)*IFERROR(LOOKUP(Предпосылки!$H$214,$C$13:$C$15,AU$13:AU$15),1)</f>
        <v>0</v>
      </c>
      <c s="125">
        <f>Предпосылки!AU$241*Предпосылки!$Q256*Продажи!AV21*AV$19*(1+Чувствительность!$D$20)*IFERROR(LOOKUP(Предпосылки!$H$214,$C$13:$C$15,AV$13:AV$15),1)</f>
        <v>0</v>
      </c>
      <c s="125">
        <f>Предпосылки!AV$241*Предпосылки!$Q256*Продажи!AW21*AW$19*(1+Чувствительность!$D$20)*IFERROR(LOOKUP(Предпосылки!$H$214,$C$13:$C$15,AW$13:AW$15),1)</f>
        <v>0</v>
      </c>
      <c s="125">
        <f>Предпосылки!AW$241*Предпосылки!$Q256*Продажи!AX21*AX$19*(1+Чувствительность!$D$20)*IFERROR(LOOKUP(Предпосылки!$H$214,$C$13:$C$15,AX$13:AX$15),1)</f>
        <v>0</v>
      </c>
      <c s="125">
        <f>Предпосылки!AX$241*Предпосылки!$Q256*Продажи!AY21*AY$19*(1+Чувствительность!$D$20)*IFERROR(LOOKUP(Предпосылки!$H$214,$C$13:$C$15,AY$13:AY$15),1)</f>
        <v>0</v>
      </c>
      <c s="125">
        <f>Предпосылки!AY$241*Предпосылки!$Q256*Продажи!AZ21*AZ$19*(1+Чувствительность!$D$20)*IFERROR(LOOKUP(Предпосылки!$H$214,$C$13:$C$15,AZ$13:AZ$15),1)</f>
        <v>0</v>
      </c>
      <c s="125">
        <f>Предпосылки!AZ$241*Предпосылки!$Q256*Продажи!BA21*BA$19*(1+Чувствительность!$D$20)*IFERROR(LOOKUP(Предпосылки!$H$214,$C$13:$C$15,BA$13:BA$15),1)</f>
        <v>0</v>
      </c>
      <c s="125">
        <f>Предпосылки!BA$241*Предпосылки!$Q256*Продажи!BB21*BB$19*(1+Чувствительность!$D$20)*IFERROR(LOOKUP(Предпосылки!$H$214,$C$13:$C$15,BB$13:BB$15),1)</f>
        <v>0</v>
      </c>
      <c s="125">
        <f>Предпосылки!BB$241*Предпосылки!$Q256*Продажи!BC21*BC$19*(1+Чувствительность!$D$20)*IFERROR(LOOKUP(Предпосылки!$H$214,$C$13:$C$15,BC$13:BC$15),1)</f>
        <v>0</v>
      </c>
      <c s="125">
        <f>Предпосылки!BC$241*Предпосылки!$Q256*Продажи!BD21*BD$19*(1+Чувствительность!$D$20)*IFERROR(LOOKUP(Предпосылки!$H$214,$C$13:$C$15,BD$13:BD$15),1)</f>
        <v>0</v>
      </c>
      <c s="125">
        <f>Предпосылки!BD$241*Предпосылки!$Q256*Продажи!BE21*BE$19*(1+Чувствительность!$D$20)*IFERROR(LOOKUP(Предпосылки!$H$214,$C$13:$C$15,BE$13:BE$15),1)</f>
        <v>0</v>
      </c>
      <c s="125">
        <f>Предпосылки!BE$241*Предпосылки!$Q256*Продажи!BF21*BF$19*(1+Чувствительность!$D$20)*IFERROR(LOOKUP(Предпосылки!$H$214,$C$13:$C$15,BF$13:BF$15),1)</f>
        <v>0</v>
      </c>
      <c s="125">
        <f>Предпосылки!BF$241*Предпосылки!$Q256*Продажи!BG21*BG$19*(1+Чувствительность!$D$20)*IFERROR(LOOKUP(Предпосылки!$H$214,$C$13:$C$15,BG$13:BG$15),1)</f>
        <v>0</v>
      </c>
      <c s="125">
        <f>Предпосылки!BG$241*Предпосылки!$Q256*Продажи!BH21*BH$19*(1+Чувствительность!$D$20)*IFERROR(LOOKUP(Предпосылки!$H$214,$C$13:$C$15,BH$13:BH$15),1)</f>
        <v>0</v>
      </c>
      <c s="125">
        <f>Предпосылки!BH$241*Предпосылки!$Q256*Продажи!BI21*BI$19*(1+Чувствительность!$D$20)*IFERROR(LOOKUP(Предпосылки!$H$214,$C$13:$C$15,BI$13:BI$15),1)</f>
        <v>0</v>
      </c>
      <c s="125">
        <f>Предпосылки!BI$241*Предпосылки!$Q256*Продажи!BJ21*BJ$19*(1+Чувствительность!$D$20)*IFERROR(LOOKUP(Предпосылки!$H$214,$C$13:$C$15,BJ$13:BJ$15),1)</f>
        <v>0</v>
      </c>
      <c s="125">
        <f>Предпосылки!BJ$241*Предпосылки!$Q256*Продажи!BK21*BK$19*(1+Чувствительность!$D$20)*IFERROR(LOOKUP(Предпосылки!$H$214,$C$13:$C$15,BK$13:BK$15),1)</f>
        <v>0</v>
      </c>
      <c s="125">
        <f>Предпосылки!BK$241*Предпосылки!$Q256*Продажи!BL21*BL$19*(1+Чувствительность!$D$20)*IFERROR(LOOKUP(Предпосылки!$H$214,$C$13:$C$15,BL$13:BL$15),1)</f>
        <v>0</v>
      </c>
      <c s="125">
        <f>Предпосылки!BL$241*Предпосылки!$Q256*Продажи!BM21*BM$19*(1+Чувствительность!$D$20)*IFERROR(LOOKUP(Предпосылки!$H$214,$C$13:$C$15,BM$13:BM$15),1)</f>
        <v>0</v>
      </c>
    </row>
    <row r="326" spans="2:65" ht="15" customHeight="1">
      <c r="B326" s="12" t="str">
        <f t="shared" si="126"/>
        <v>Продукт 5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Предпосылки!D$241*Предпосылки!$Q257*Продажи!E22*E$19*(1+Чувствительность!$D$20)*IFERROR(LOOKUP(Предпосылки!$H$214,$C$13:$C$15,E$13:E$15),1)</f>
        <v>0</v>
      </c>
      <c s="125">
        <f>Предпосылки!E$241*Предпосылки!$Q257*Продажи!F22*F$19*(1+Чувствительность!$D$20)*IFERROR(LOOKUP(Предпосылки!$H$214,$C$13:$C$15,F$13:F$15),1)</f>
        <v>0</v>
      </c>
      <c s="125">
        <f>Предпосылки!F$241*Предпосылки!$Q257*Продажи!G22*G$19*(1+Чувствительность!$D$20)*IFERROR(LOOKUP(Предпосылки!$H$214,$C$13:$C$15,G$13:G$15),1)</f>
        <v>0</v>
      </c>
      <c s="125">
        <f>Предпосылки!G$241*Предпосылки!$Q257*Продажи!H22*H$19*(1+Чувствительность!$D$20)*IFERROR(LOOKUP(Предпосылки!$H$214,$C$13:$C$15,H$13:H$15),1)</f>
        <v>0</v>
      </c>
      <c s="125">
        <f>Предпосылки!H$241*Предпосылки!$Q257*Продажи!I22*I$19*(1+Чувствительность!$D$20)*IFERROR(LOOKUP(Предпосылки!$H$214,$C$13:$C$15,I$13:I$15),1)</f>
        <v>0</v>
      </c>
      <c s="125">
        <f>Предпосылки!I$241*Предпосылки!$Q257*Продажи!J22*J$19*(1+Чувствительность!$D$20)*IFERROR(LOOKUP(Предпосылки!$H$214,$C$13:$C$15,J$13:J$15),1)</f>
        <v>0</v>
      </c>
      <c s="125">
        <f>Предпосылки!J$241*Предпосылки!$Q257*Продажи!K22*K$19*(1+Чувствительность!$D$20)*IFERROR(LOOKUP(Предпосылки!$H$214,$C$13:$C$15,K$13:K$15),1)</f>
        <v>0</v>
      </c>
      <c s="125">
        <f>Предпосылки!K$241*Предпосылки!$Q257*Продажи!L22*L$19*(1+Чувствительность!$D$20)*IFERROR(LOOKUP(Предпосылки!$H$214,$C$13:$C$15,L$13:L$15),1)</f>
        <v>0</v>
      </c>
      <c s="125">
        <f>Предпосылки!L$241*Предпосылки!$Q257*Продажи!M22*M$19*(1+Чувствительность!$D$20)*IFERROR(LOOKUP(Предпосылки!$H$214,$C$13:$C$15,M$13:M$15),1)</f>
        <v>0</v>
      </c>
      <c s="125">
        <f>Предпосылки!M$241*Предпосылки!$Q257*Продажи!N22*N$19*(1+Чувствительность!$D$20)*IFERROR(LOOKUP(Предпосылки!$H$214,$C$13:$C$15,N$13:N$15),1)</f>
        <v>0</v>
      </c>
      <c s="125">
        <f>Предпосылки!N$241*Предпосылки!$Q257*Продажи!O22*O$19*(1+Чувствительность!$D$20)*IFERROR(LOOKUP(Предпосылки!$H$214,$C$13:$C$15,O$13:O$15),1)</f>
        <v>0</v>
      </c>
      <c s="125">
        <f>Предпосылки!O$241*Предпосылки!$Q257*Продажи!P22*P$19*(1+Чувствительность!$D$20)*IFERROR(LOOKUP(Предпосылки!$H$214,$C$13:$C$15,P$13:P$15),1)</f>
        <v>0</v>
      </c>
      <c s="125">
        <f>Предпосылки!P$241*Предпосылки!$Q257*Продажи!Q22*Q$19*(1+Чувствительность!$D$20)*IFERROR(LOOKUP(Предпосылки!$H$214,$C$13:$C$15,Q$13:Q$15),1)</f>
        <v>0</v>
      </c>
      <c s="125">
        <f>Предпосылки!Q$241*Предпосылки!$Q257*Продажи!R22*R$19*(1+Чувствительность!$D$20)*IFERROR(LOOKUP(Предпосылки!$H$214,$C$13:$C$15,R$13:R$15),1)</f>
        <v>0</v>
      </c>
      <c s="125">
        <f>Предпосылки!R$241*Предпосылки!$Q257*Продажи!S22*S$19*(1+Чувствительность!$D$20)*IFERROR(LOOKUP(Предпосылки!$H$214,$C$13:$C$15,S$13:S$15),1)</f>
        <v>0</v>
      </c>
      <c s="125">
        <f>Предпосылки!S$241*Предпосылки!$Q257*Продажи!T22*T$19*(1+Чувствительность!$D$20)*IFERROR(LOOKUP(Предпосылки!$H$214,$C$13:$C$15,T$13:T$15),1)</f>
        <v>0</v>
      </c>
      <c s="125">
        <f>Предпосылки!T$241*Предпосылки!$Q257*Продажи!U22*U$19*(1+Чувствительность!$D$20)*IFERROR(LOOKUP(Предпосылки!$H$214,$C$13:$C$15,U$13:U$15),1)</f>
        <v>0</v>
      </c>
      <c s="125">
        <f>Предпосылки!U$241*Предпосылки!$Q257*Продажи!V22*V$19*(1+Чувствительность!$D$20)*IFERROR(LOOKUP(Предпосылки!$H$214,$C$13:$C$15,V$13:V$15),1)</f>
        <v>0</v>
      </c>
      <c s="125">
        <f>Предпосылки!V$241*Предпосылки!$Q257*Продажи!W22*W$19*(1+Чувствительность!$D$20)*IFERROR(LOOKUP(Предпосылки!$H$214,$C$13:$C$15,W$13:W$15),1)</f>
        <v>0</v>
      </c>
      <c s="125">
        <f>Предпосылки!W$241*Предпосылки!$Q257*Продажи!X22*X$19*(1+Чувствительность!$D$20)*IFERROR(LOOKUP(Предпосылки!$H$214,$C$13:$C$15,X$13:X$15),1)</f>
        <v>0</v>
      </c>
      <c s="125">
        <f>Предпосылки!X$241*Предпосылки!$Q257*Продажи!Y22*Y$19*(1+Чувствительность!$D$20)*IFERROR(LOOKUP(Предпосылки!$H$214,$C$13:$C$15,Y$13:Y$15),1)</f>
        <v>0</v>
      </c>
      <c s="125">
        <f>Предпосылки!Y$241*Предпосылки!$Q257*Продажи!Z22*Z$19*(1+Чувствительность!$D$20)*IFERROR(LOOKUP(Предпосылки!$H$214,$C$13:$C$15,Z$13:Z$15),1)</f>
        <v>0</v>
      </c>
      <c s="125">
        <f>Предпосылки!Z$241*Предпосылки!$Q257*Продажи!AA22*AA$19*(1+Чувствительность!$D$20)*IFERROR(LOOKUP(Предпосылки!$H$214,$C$13:$C$15,AA$13:AA$15),1)</f>
        <v>0</v>
      </c>
      <c s="125">
        <f>Предпосылки!AA$241*Предпосылки!$Q257*Продажи!AB22*AB$19*(1+Чувствительность!$D$20)*IFERROR(LOOKUP(Предпосылки!$H$214,$C$13:$C$15,AB$13:AB$15),1)</f>
        <v>0</v>
      </c>
      <c s="125">
        <f>Предпосылки!AB$241*Предпосылки!$Q257*Продажи!AC22*AC$19*(1+Чувствительность!$D$20)*IFERROR(LOOKUP(Предпосылки!$H$214,$C$13:$C$15,AC$13:AC$15),1)</f>
        <v>0</v>
      </c>
      <c s="125">
        <f>Предпосылки!AC$241*Предпосылки!$Q257*Продажи!AD22*AD$19*(1+Чувствительность!$D$20)*IFERROR(LOOKUP(Предпосылки!$H$214,$C$13:$C$15,AD$13:AD$15),1)</f>
        <v>0</v>
      </c>
      <c s="125">
        <f>Предпосылки!AD$241*Предпосылки!$Q257*Продажи!AE22*AE$19*(1+Чувствительность!$D$20)*IFERROR(LOOKUP(Предпосылки!$H$214,$C$13:$C$15,AE$13:AE$15),1)</f>
        <v>0</v>
      </c>
      <c s="125">
        <f>Предпосылки!AE$241*Предпосылки!$Q257*Продажи!AF22*AF$19*(1+Чувствительность!$D$20)*IFERROR(LOOKUP(Предпосылки!$H$214,$C$13:$C$15,AF$13:AF$15),1)</f>
        <v>0</v>
      </c>
      <c s="125">
        <f>Предпосылки!AF$241*Предпосылки!$Q257*Продажи!AG22*AG$19*(1+Чувствительность!$D$20)*IFERROR(LOOKUP(Предпосылки!$H$214,$C$13:$C$15,AG$13:AG$15),1)</f>
        <v>0</v>
      </c>
      <c s="125">
        <f>Предпосылки!AG$241*Предпосылки!$Q257*Продажи!AH22*AH$19*(1+Чувствительность!$D$20)*IFERROR(LOOKUP(Предпосылки!$H$214,$C$13:$C$15,AH$13:AH$15),1)</f>
        <v>0</v>
      </c>
      <c s="125">
        <f>Предпосылки!AH$241*Предпосылки!$Q257*Продажи!AI22*AI$19*(1+Чувствительность!$D$20)*IFERROR(LOOKUP(Предпосылки!$H$214,$C$13:$C$15,AI$13:AI$15),1)</f>
        <v>0</v>
      </c>
      <c s="125">
        <f>Предпосылки!AI$241*Предпосылки!$Q257*Продажи!AJ22*AJ$19*(1+Чувствительность!$D$20)*IFERROR(LOOKUP(Предпосылки!$H$214,$C$13:$C$15,AJ$13:AJ$15),1)</f>
        <v>0</v>
      </c>
      <c s="125">
        <f>Предпосылки!AJ$241*Предпосылки!$Q257*Продажи!AK22*AK$19*(1+Чувствительность!$D$20)*IFERROR(LOOKUP(Предпосылки!$H$214,$C$13:$C$15,AK$13:AK$15),1)</f>
        <v>0</v>
      </c>
      <c s="125">
        <f>Предпосылки!AK$241*Предпосылки!$Q257*Продажи!AL22*AL$19*(1+Чувствительность!$D$20)*IFERROR(LOOKUP(Предпосылки!$H$214,$C$13:$C$15,AL$13:AL$15),1)</f>
        <v>0</v>
      </c>
      <c s="125">
        <f>Предпосылки!AL$241*Предпосылки!$Q257*Продажи!AM22*AM$19*(1+Чувствительность!$D$20)*IFERROR(LOOKUP(Предпосылки!$H$214,$C$13:$C$15,AM$13:AM$15),1)</f>
        <v>0</v>
      </c>
      <c s="125">
        <f>Предпосылки!AM$241*Предпосылки!$Q257*Продажи!AN22*AN$19*(1+Чувствительность!$D$20)*IFERROR(LOOKUP(Предпосылки!$H$214,$C$13:$C$15,AN$13:AN$15),1)</f>
        <v>0</v>
      </c>
      <c s="125">
        <f>Предпосылки!AN$241*Предпосылки!$Q257*Продажи!AO22*AO$19*(1+Чувствительность!$D$20)*IFERROR(LOOKUP(Предпосылки!$H$214,$C$13:$C$15,AO$13:AO$15),1)</f>
        <v>0</v>
      </c>
      <c s="125">
        <f>Предпосылки!AO$241*Предпосылки!$Q257*Продажи!AP22*AP$19*(1+Чувствительность!$D$20)*IFERROR(LOOKUP(Предпосылки!$H$214,$C$13:$C$15,AP$13:AP$15),1)</f>
        <v>0</v>
      </c>
      <c s="125">
        <f>Предпосылки!AP$241*Предпосылки!$Q257*Продажи!AQ22*AQ$19*(1+Чувствительность!$D$20)*IFERROR(LOOKUP(Предпосылки!$H$214,$C$13:$C$15,AQ$13:AQ$15),1)</f>
        <v>0</v>
      </c>
      <c s="125">
        <f>Предпосылки!AQ$241*Предпосылки!$Q257*Продажи!AR22*AR$19*(1+Чувствительность!$D$20)*IFERROR(LOOKUP(Предпосылки!$H$214,$C$13:$C$15,AR$13:AR$15),1)</f>
        <v>0</v>
      </c>
      <c s="125">
        <f>Предпосылки!AR$241*Предпосылки!$Q257*Продажи!AS22*AS$19*(1+Чувствительность!$D$20)*IFERROR(LOOKUP(Предпосылки!$H$214,$C$13:$C$15,AS$13:AS$15),1)</f>
        <v>0</v>
      </c>
      <c s="125">
        <f>Предпосылки!AS$241*Предпосылки!$Q257*Продажи!AT22*AT$19*(1+Чувствительность!$D$20)*IFERROR(LOOKUP(Предпосылки!$H$214,$C$13:$C$15,AT$13:AT$15),1)</f>
        <v>0</v>
      </c>
      <c s="125">
        <f>Предпосылки!AT$241*Предпосылки!$Q257*Продажи!AU22*AU$19*(1+Чувствительность!$D$20)*IFERROR(LOOKUP(Предпосылки!$H$214,$C$13:$C$15,AU$13:AU$15),1)</f>
        <v>0</v>
      </c>
      <c s="125">
        <f>Предпосылки!AU$241*Предпосылки!$Q257*Продажи!AV22*AV$19*(1+Чувствительность!$D$20)*IFERROR(LOOKUP(Предпосылки!$H$214,$C$13:$C$15,AV$13:AV$15),1)</f>
        <v>0</v>
      </c>
      <c s="125">
        <f>Предпосылки!AV$241*Предпосылки!$Q257*Продажи!AW22*AW$19*(1+Чувствительность!$D$20)*IFERROR(LOOKUP(Предпосылки!$H$214,$C$13:$C$15,AW$13:AW$15),1)</f>
        <v>0</v>
      </c>
      <c s="125">
        <f>Предпосылки!AW$241*Предпосылки!$Q257*Продажи!AX22*AX$19*(1+Чувствительность!$D$20)*IFERROR(LOOKUP(Предпосылки!$H$214,$C$13:$C$15,AX$13:AX$15),1)</f>
        <v>0</v>
      </c>
      <c s="125">
        <f>Предпосылки!AX$241*Предпосылки!$Q257*Продажи!AY22*AY$19*(1+Чувствительность!$D$20)*IFERROR(LOOKUP(Предпосылки!$H$214,$C$13:$C$15,AY$13:AY$15),1)</f>
        <v>0</v>
      </c>
      <c s="125">
        <f>Предпосылки!AY$241*Предпосылки!$Q257*Продажи!AZ22*AZ$19*(1+Чувствительность!$D$20)*IFERROR(LOOKUP(Предпосылки!$H$214,$C$13:$C$15,AZ$13:AZ$15),1)</f>
        <v>0</v>
      </c>
      <c s="125">
        <f>Предпосылки!AZ$241*Предпосылки!$Q257*Продажи!BA22*BA$19*(1+Чувствительность!$D$20)*IFERROR(LOOKUP(Предпосылки!$H$214,$C$13:$C$15,BA$13:BA$15),1)</f>
        <v>0</v>
      </c>
      <c s="125">
        <f>Предпосылки!BA$241*Предпосылки!$Q257*Продажи!BB22*BB$19*(1+Чувствительность!$D$20)*IFERROR(LOOKUP(Предпосылки!$H$214,$C$13:$C$15,BB$13:BB$15),1)</f>
        <v>0</v>
      </c>
      <c s="125">
        <f>Предпосылки!BB$241*Предпосылки!$Q257*Продажи!BC22*BC$19*(1+Чувствительность!$D$20)*IFERROR(LOOKUP(Предпосылки!$H$214,$C$13:$C$15,BC$13:BC$15),1)</f>
        <v>0</v>
      </c>
      <c s="125">
        <f>Предпосылки!BC$241*Предпосылки!$Q257*Продажи!BD22*BD$19*(1+Чувствительность!$D$20)*IFERROR(LOOKUP(Предпосылки!$H$214,$C$13:$C$15,BD$13:BD$15),1)</f>
        <v>0</v>
      </c>
      <c s="125">
        <f>Предпосылки!BD$241*Предпосылки!$Q257*Продажи!BE22*BE$19*(1+Чувствительность!$D$20)*IFERROR(LOOKUP(Предпосылки!$H$214,$C$13:$C$15,BE$13:BE$15),1)</f>
        <v>0</v>
      </c>
      <c s="125">
        <f>Предпосылки!BE$241*Предпосылки!$Q257*Продажи!BF22*BF$19*(1+Чувствительность!$D$20)*IFERROR(LOOKUP(Предпосылки!$H$214,$C$13:$C$15,BF$13:BF$15),1)</f>
        <v>0</v>
      </c>
      <c s="125">
        <f>Предпосылки!BF$241*Предпосылки!$Q257*Продажи!BG22*BG$19*(1+Чувствительность!$D$20)*IFERROR(LOOKUP(Предпосылки!$H$214,$C$13:$C$15,BG$13:BG$15),1)</f>
        <v>0</v>
      </c>
      <c s="125">
        <f>Предпосылки!BG$241*Предпосылки!$Q257*Продажи!BH22*BH$19*(1+Чувствительность!$D$20)*IFERROR(LOOKUP(Предпосылки!$H$214,$C$13:$C$15,BH$13:BH$15),1)</f>
        <v>0</v>
      </c>
      <c s="125">
        <f>Предпосылки!BH$241*Предпосылки!$Q257*Продажи!BI22*BI$19*(1+Чувствительность!$D$20)*IFERROR(LOOKUP(Предпосылки!$H$214,$C$13:$C$15,BI$13:BI$15),1)</f>
        <v>0</v>
      </c>
      <c s="125">
        <f>Предпосылки!BI$241*Предпосылки!$Q257*Продажи!BJ22*BJ$19*(1+Чувствительность!$D$20)*IFERROR(LOOKUP(Предпосылки!$H$214,$C$13:$C$15,BJ$13:BJ$15),1)</f>
        <v>0</v>
      </c>
      <c s="125">
        <f>Предпосылки!BJ$241*Предпосылки!$Q257*Продажи!BK22*BK$19*(1+Чувствительность!$D$20)*IFERROR(LOOKUP(Предпосылки!$H$214,$C$13:$C$15,BK$13:BK$15),1)</f>
        <v>0</v>
      </c>
      <c s="125">
        <f>Предпосылки!BK$241*Предпосылки!$Q257*Продажи!BL22*BL$19*(1+Чувствительность!$D$20)*IFERROR(LOOKUP(Предпосылки!$H$214,$C$13:$C$15,BL$13:BL$15),1)</f>
        <v>0</v>
      </c>
      <c s="125">
        <f>Предпосылки!BL$241*Предпосылки!$Q257*Продажи!BM22*BM$19*(1+Чувствительность!$D$20)*IFERROR(LOOKUP(Предпосылки!$H$214,$C$13:$C$15,BM$13:BM$15),1)</f>
        <v>0</v>
      </c>
    </row>
    <row r="327" spans="2:65" ht="15" customHeight="1">
      <c r="B327" s="12" t="str">
        <f t="shared" si="126"/>
        <v>Продукт 6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Предпосылки!D$241*Предпосылки!$Q258*Продажи!E23*E$19*(1+Чувствительность!$D$20)*IFERROR(LOOKUP(Предпосылки!$H$214,$C$13:$C$15,E$13:E$15),1)</f>
        <v>0</v>
      </c>
      <c s="125">
        <f>Предпосылки!E$241*Предпосылки!$Q258*Продажи!F23*F$19*(1+Чувствительность!$D$20)*IFERROR(LOOKUP(Предпосылки!$H$214,$C$13:$C$15,F$13:F$15),1)</f>
        <v>0</v>
      </c>
      <c s="125">
        <f>Предпосылки!F$241*Предпосылки!$Q258*Продажи!G23*G$19*(1+Чувствительность!$D$20)*IFERROR(LOOKUP(Предпосылки!$H$214,$C$13:$C$15,G$13:G$15),1)</f>
        <v>0</v>
      </c>
      <c s="125">
        <f>Предпосылки!G$241*Предпосылки!$Q258*Продажи!H23*H$19*(1+Чувствительность!$D$20)*IFERROR(LOOKUP(Предпосылки!$H$214,$C$13:$C$15,H$13:H$15),1)</f>
        <v>0</v>
      </c>
      <c s="125">
        <f>Предпосылки!H$241*Предпосылки!$Q258*Продажи!I23*I$19*(1+Чувствительность!$D$20)*IFERROR(LOOKUP(Предпосылки!$H$214,$C$13:$C$15,I$13:I$15),1)</f>
        <v>0</v>
      </c>
      <c s="125">
        <f>Предпосылки!I$241*Предпосылки!$Q258*Продажи!J23*J$19*(1+Чувствительность!$D$20)*IFERROR(LOOKUP(Предпосылки!$H$214,$C$13:$C$15,J$13:J$15),1)</f>
        <v>0</v>
      </c>
      <c s="125">
        <f>Предпосылки!J$241*Предпосылки!$Q258*Продажи!K23*K$19*(1+Чувствительность!$D$20)*IFERROR(LOOKUP(Предпосылки!$H$214,$C$13:$C$15,K$13:K$15),1)</f>
        <v>0</v>
      </c>
      <c s="125">
        <f>Предпосылки!K$241*Предпосылки!$Q258*Продажи!L23*L$19*(1+Чувствительность!$D$20)*IFERROR(LOOKUP(Предпосылки!$H$214,$C$13:$C$15,L$13:L$15),1)</f>
        <v>0</v>
      </c>
      <c s="125">
        <f>Предпосылки!L$241*Предпосылки!$Q258*Продажи!M23*M$19*(1+Чувствительность!$D$20)*IFERROR(LOOKUP(Предпосылки!$H$214,$C$13:$C$15,M$13:M$15),1)</f>
        <v>0</v>
      </c>
      <c s="125">
        <f>Предпосылки!M$241*Предпосылки!$Q258*Продажи!N23*N$19*(1+Чувствительность!$D$20)*IFERROR(LOOKUP(Предпосылки!$H$214,$C$13:$C$15,N$13:N$15),1)</f>
        <v>0</v>
      </c>
      <c s="125">
        <f>Предпосылки!N$241*Предпосылки!$Q258*Продажи!O23*O$19*(1+Чувствительность!$D$20)*IFERROR(LOOKUP(Предпосылки!$H$214,$C$13:$C$15,O$13:O$15),1)</f>
        <v>0</v>
      </c>
      <c s="125">
        <f>Предпосылки!O$241*Предпосылки!$Q258*Продажи!P23*P$19*(1+Чувствительность!$D$20)*IFERROR(LOOKUP(Предпосылки!$H$214,$C$13:$C$15,P$13:P$15),1)</f>
        <v>0</v>
      </c>
      <c s="125">
        <f>Предпосылки!P$241*Предпосылки!$Q258*Продажи!Q23*Q$19*(1+Чувствительность!$D$20)*IFERROR(LOOKUP(Предпосылки!$H$214,$C$13:$C$15,Q$13:Q$15),1)</f>
        <v>0</v>
      </c>
      <c s="125">
        <f>Предпосылки!Q$241*Предпосылки!$Q258*Продажи!R23*R$19*(1+Чувствительность!$D$20)*IFERROR(LOOKUP(Предпосылки!$H$214,$C$13:$C$15,R$13:R$15),1)</f>
        <v>0</v>
      </c>
      <c s="125">
        <f>Предпосылки!R$241*Предпосылки!$Q258*Продажи!S23*S$19*(1+Чувствительность!$D$20)*IFERROR(LOOKUP(Предпосылки!$H$214,$C$13:$C$15,S$13:S$15),1)</f>
        <v>0</v>
      </c>
      <c s="125">
        <f>Предпосылки!S$241*Предпосылки!$Q258*Продажи!T23*T$19*(1+Чувствительность!$D$20)*IFERROR(LOOKUP(Предпосылки!$H$214,$C$13:$C$15,T$13:T$15),1)</f>
        <v>0</v>
      </c>
      <c s="125">
        <f>Предпосылки!T$241*Предпосылки!$Q258*Продажи!U23*U$19*(1+Чувствительность!$D$20)*IFERROR(LOOKUP(Предпосылки!$H$214,$C$13:$C$15,U$13:U$15),1)</f>
        <v>0</v>
      </c>
      <c s="125">
        <f>Предпосылки!U$241*Предпосылки!$Q258*Продажи!V23*V$19*(1+Чувствительность!$D$20)*IFERROR(LOOKUP(Предпосылки!$H$214,$C$13:$C$15,V$13:V$15),1)</f>
        <v>0</v>
      </c>
      <c s="125">
        <f>Предпосылки!V$241*Предпосылки!$Q258*Продажи!W23*W$19*(1+Чувствительность!$D$20)*IFERROR(LOOKUP(Предпосылки!$H$214,$C$13:$C$15,W$13:W$15),1)</f>
        <v>0</v>
      </c>
      <c s="125">
        <f>Предпосылки!W$241*Предпосылки!$Q258*Продажи!X23*X$19*(1+Чувствительность!$D$20)*IFERROR(LOOKUP(Предпосылки!$H$214,$C$13:$C$15,X$13:X$15),1)</f>
        <v>0</v>
      </c>
      <c s="125">
        <f>Предпосылки!X$241*Предпосылки!$Q258*Продажи!Y23*Y$19*(1+Чувствительность!$D$20)*IFERROR(LOOKUP(Предпосылки!$H$214,$C$13:$C$15,Y$13:Y$15),1)</f>
        <v>0</v>
      </c>
      <c s="125">
        <f>Предпосылки!Y$241*Предпосылки!$Q258*Продажи!Z23*Z$19*(1+Чувствительность!$D$20)*IFERROR(LOOKUP(Предпосылки!$H$214,$C$13:$C$15,Z$13:Z$15),1)</f>
        <v>0</v>
      </c>
      <c s="125">
        <f>Предпосылки!Z$241*Предпосылки!$Q258*Продажи!AA23*AA$19*(1+Чувствительность!$D$20)*IFERROR(LOOKUP(Предпосылки!$H$214,$C$13:$C$15,AA$13:AA$15),1)</f>
        <v>0</v>
      </c>
      <c s="125">
        <f>Предпосылки!AA$241*Предпосылки!$Q258*Продажи!AB23*AB$19*(1+Чувствительность!$D$20)*IFERROR(LOOKUP(Предпосылки!$H$214,$C$13:$C$15,AB$13:AB$15),1)</f>
        <v>0</v>
      </c>
      <c s="125">
        <f>Предпосылки!AB$241*Предпосылки!$Q258*Продажи!AC23*AC$19*(1+Чувствительность!$D$20)*IFERROR(LOOKUP(Предпосылки!$H$214,$C$13:$C$15,AC$13:AC$15),1)</f>
        <v>0</v>
      </c>
      <c s="125">
        <f>Предпосылки!AC$241*Предпосылки!$Q258*Продажи!AD23*AD$19*(1+Чувствительность!$D$20)*IFERROR(LOOKUP(Предпосылки!$H$214,$C$13:$C$15,AD$13:AD$15),1)</f>
        <v>0</v>
      </c>
      <c s="125">
        <f>Предпосылки!AD$241*Предпосылки!$Q258*Продажи!AE23*AE$19*(1+Чувствительность!$D$20)*IFERROR(LOOKUP(Предпосылки!$H$214,$C$13:$C$15,AE$13:AE$15),1)</f>
        <v>0</v>
      </c>
      <c s="125">
        <f>Предпосылки!AE$241*Предпосылки!$Q258*Продажи!AF23*AF$19*(1+Чувствительность!$D$20)*IFERROR(LOOKUP(Предпосылки!$H$214,$C$13:$C$15,AF$13:AF$15),1)</f>
        <v>0</v>
      </c>
      <c s="125">
        <f>Предпосылки!AF$241*Предпосылки!$Q258*Продажи!AG23*AG$19*(1+Чувствительность!$D$20)*IFERROR(LOOKUP(Предпосылки!$H$214,$C$13:$C$15,AG$13:AG$15),1)</f>
        <v>0</v>
      </c>
      <c s="125">
        <f>Предпосылки!AG$241*Предпосылки!$Q258*Продажи!AH23*AH$19*(1+Чувствительность!$D$20)*IFERROR(LOOKUP(Предпосылки!$H$214,$C$13:$C$15,AH$13:AH$15),1)</f>
        <v>0</v>
      </c>
      <c s="125">
        <f>Предпосылки!AH$241*Предпосылки!$Q258*Продажи!AI23*AI$19*(1+Чувствительность!$D$20)*IFERROR(LOOKUP(Предпосылки!$H$214,$C$13:$C$15,AI$13:AI$15),1)</f>
        <v>0</v>
      </c>
      <c s="125">
        <f>Предпосылки!AI$241*Предпосылки!$Q258*Продажи!AJ23*AJ$19*(1+Чувствительность!$D$20)*IFERROR(LOOKUP(Предпосылки!$H$214,$C$13:$C$15,AJ$13:AJ$15),1)</f>
        <v>0</v>
      </c>
      <c s="125">
        <f>Предпосылки!AJ$241*Предпосылки!$Q258*Продажи!AK23*AK$19*(1+Чувствительность!$D$20)*IFERROR(LOOKUP(Предпосылки!$H$214,$C$13:$C$15,AK$13:AK$15),1)</f>
        <v>0</v>
      </c>
      <c s="125">
        <f>Предпосылки!AK$241*Предпосылки!$Q258*Продажи!AL23*AL$19*(1+Чувствительность!$D$20)*IFERROR(LOOKUP(Предпосылки!$H$214,$C$13:$C$15,AL$13:AL$15),1)</f>
        <v>0</v>
      </c>
      <c s="125">
        <f>Предпосылки!AL$241*Предпосылки!$Q258*Продажи!AM23*AM$19*(1+Чувствительность!$D$20)*IFERROR(LOOKUP(Предпосылки!$H$214,$C$13:$C$15,AM$13:AM$15),1)</f>
        <v>0</v>
      </c>
      <c s="125">
        <f>Предпосылки!AM$241*Предпосылки!$Q258*Продажи!AN23*AN$19*(1+Чувствительность!$D$20)*IFERROR(LOOKUP(Предпосылки!$H$214,$C$13:$C$15,AN$13:AN$15),1)</f>
        <v>0</v>
      </c>
      <c s="125">
        <f>Предпосылки!AN$241*Предпосылки!$Q258*Продажи!AO23*AO$19*(1+Чувствительность!$D$20)*IFERROR(LOOKUP(Предпосылки!$H$214,$C$13:$C$15,AO$13:AO$15),1)</f>
        <v>0</v>
      </c>
      <c s="125">
        <f>Предпосылки!AO$241*Предпосылки!$Q258*Продажи!AP23*AP$19*(1+Чувствительность!$D$20)*IFERROR(LOOKUP(Предпосылки!$H$214,$C$13:$C$15,AP$13:AP$15),1)</f>
        <v>0</v>
      </c>
      <c s="125">
        <f>Предпосылки!AP$241*Предпосылки!$Q258*Продажи!AQ23*AQ$19*(1+Чувствительность!$D$20)*IFERROR(LOOKUP(Предпосылки!$H$214,$C$13:$C$15,AQ$13:AQ$15),1)</f>
        <v>0</v>
      </c>
      <c s="125">
        <f>Предпосылки!AQ$241*Предпосылки!$Q258*Продажи!AR23*AR$19*(1+Чувствительность!$D$20)*IFERROR(LOOKUP(Предпосылки!$H$214,$C$13:$C$15,AR$13:AR$15),1)</f>
        <v>0</v>
      </c>
      <c s="125">
        <f>Предпосылки!AR$241*Предпосылки!$Q258*Продажи!AS23*AS$19*(1+Чувствительность!$D$20)*IFERROR(LOOKUP(Предпосылки!$H$214,$C$13:$C$15,AS$13:AS$15),1)</f>
        <v>0</v>
      </c>
      <c s="125">
        <f>Предпосылки!AS$241*Предпосылки!$Q258*Продажи!AT23*AT$19*(1+Чувствительность!$D$20)*IFERROR(LOOKUP(Предпосылки!$H$214,$C$13:$C$15,AT$13:AT$15),1)</f>
        <v>0</v>
      </c>
      <c s="125">
        <f>Предпосылки!AT$241*Предпосылки!$Q258*Продажи!AU23*AU$19*(1+Чувствительность!$D$20)*IFERROR(LOOKUP(Предпосылки!$H$214,$C$13:$C$15,AU$13:AU$15),1)</f>
        <v>0</v>
      </c>
      <c s="125">
        <f>Предпосылки!AU$241*Предпосылки!$Q258*Продажи!AV23*AV$19*(1+Чувствительность!$D$20)*IFERROR(LOOKUP(Предпосылки!$H$214,$C$13:$C$15,AV$13:AV$15),1)</f>
        <v>0</v>
      </c>
      <c s="125">
        <f>Предпосылки!AV$241*Предпосылки!$Q258*Продажи!AW23*AW$19*(1+Чувствительность!$D$20)*IFERROR(LOOKUP(Предпосылки!$H$214,$C$13:$C$15,AW$13:AW$15),1)</f>
        <v>0</v>
      </c>
      <c s="125">
        <f>Предпосылки!AW$241*Предпосылки!$Q258*Продажи!AX23*AX$19*(1+Чувствительность!$D$20)*IFERROR(LOOKUP(Предпосылки!$H$214,$C$13:$C$15,AX$13:AX$15),1)</f>
        <v>0</v>
      </c>
      <c s="125">
        <f>Предпосылки!AX$241*Предпосылки!$Q258*Продажи!AY23*AY$19*(1+Чувствительность!$D$20)*IFERROR(LOOKUP(Предпосылки!$H$214,$C$13:$C$15,AY$13:AY$15),1)</f>
        <v>0</v>
      </c>
      <c s="125">
        <f>Предпосылки!AY$241*Предпосылки!$Q258*Продажи!AZ23*AZ$19*(1+Чувствительность!$D$20)*IFERROR(LOOKUP(Предпосылки!$H$214,$C$13:$C$15,AZ$13:AZ$15),1)</f>
        <v>0</v>
      </c>
      <c s="125">
        <f>Предпосылки!AZ$241*Предпосылки!$Q258*Продажи!BA23*BA$19*(1+Чувствительность!$D$20)*IFERROR(LOOKUP(Предпосылки!$H$214,$C$13:$C$15,BA$13:BA$15),1)</f>
        <v>0</v>
      </c>
      <c s="125">
        <f>Предпосылки!BA$241*Предпосылки!$Q258*Продажи!BB23*BB$19*(1+Чувствительность!$D$20)*IFERROR(LOOKUP(Предпосылки!$H$214,$C$13:$C$15,BB$13:BB$15),1)</f>
        <v>0</v>
      </c>
      <c s="125">
        <f>Предпосылки!BB$241*Предпосылки!$Q258*Продажи!BC23*BC$19*(1+Чувствительность!$D$20)*IFERROR(LOOKUP(Предпосылки!$H$214,$C$13:$C$15,BC$13:BC$15),1)</f>
        <v>0</v>
      </c>
      <c s="125">
        <f>Предпосылки!BC$241*Предпосылки!$Q258*Продажи!BD23*BD$19*(1+Чувствительность!$D$20)*IFERROR(LOOKUP(Предпосылки!$H$214,$C$13:$C$15,BD$13:BD$15),1)</f>
        <v>0</v>
      </c>
      <c s="125">
        <f>Предпосылки!BD$241*Предпосылки!$Q258*Продажи!BE23*BE$19*(1+Чувствительность!$D$20)*IFERROR(LOOKUP(Предпосылки!$H$214,$C$13:$C$15,BE$13:BE$15),1)</f>
        <v>0</v>
      </c>
      <c s="125">
        <f>Предпосылки!BE$241*Предпосылки!$Q258*Продажи!BF23*BF$19*(1+Чувствительность!$D$20)*IFERROR(LOOKUP(Предпосылки!$H$214,$C$13:$C$15,BF$13:BF$15),1)</f>
        <v>0</v>
      </c>
      <c s="125">
        <f>Предпосылки!BF$241*Предпосылки!$Q258*Продажи!BG23*BG$19*(1+Чувствительность!$D$20)*IFERROR(LOOKUP(Предпосылки!$H$214,$C$13:$C$15,BG$13:BG$15),1)</f>
        <v>0</v>
      </c>
      <c s="125">
        <f>Предпосылки!BG$241*Предпосылки!$Q258*Продажи!BH23*BH$19*(1+Чувствительность!$D$20)*IFERROR(LOOKUP(Предпосылки!$H$214,$C$13:$C$15,BH$13:BH$15),1)</f>
        <v>0</v>
      </c>
      <c s="125">
        <f>Предпосылки!BH$241*Предпосылки!$Q258*Продажи!BI23*BI$19*(1+Чувствительность!$D$20)*IFERROR(LOOKUP(Предпосылки!$H$214,$C$13:$C$15,BI$13:BI$15),1)</f>
        <v>0</v>
      </c>
      <c s="125">
        <f>Предпосылки!BI$241*Предпосылки!$Q258*Продажи!BJ23*BJ$19*(1+Чувствительность!$D$20)*IFERROR(LOOKUP(Предпосылки!$H$214,$C$13:$C$15,BJ$13:BJ$15),1)</f>
        <v>0</v>
      </c>
      <c s="125">
        <f>Предпосылки!BJ$241*Предпосылки!$Q258*Продажи!BK23*BK$19*(1+Чувствительность!$D$20)*IFERROR(LOOKUP(Предпосылки!$H$214,$C$13:$C$15,BK$13:BK$15),1)</f>
        <v>0</v>
      </c>
      <c s="125">
        <f>Предпосылки!BK$241*Предпосылки!$Q258*Продажи!BL23*BL$19*(1+Чувствительность!$D$20)*IFERROR(LOOKUP(Предпосылки!$H$214,$C$13:$C$15,BL$13:BL$15),1)</f>
        <v>0</v>
      </c>
      <c s="125">
        <f>Предпосылки!BL$241*Предпосылки!$Q258*Продажи!BM23*BM$19*(1+Чувствительность!$D$20)*IFERROR(LOOKUP(Предпосылки!$H$214,$C$13:$C$15,BM$13:BM$15),1)</f>
        <v>0</v>
      </c>
    </row>
    <row r="328" spans="2:65" ht="15" customHeight="1">
      <c r="B328" s="12" t="str">
        <f t="shared" si="126"/>
        <v>Продукт 7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Предпосылки!D$241*Предпосылки!$Q259*Продажи!E24*E$19*(1+Чувствительность!$D$20)*IFERROR(LOOKUP(Предпосылки!$H$214,$C$13:$C$15,E$13:E$15),1)</f>
        <v>0</v>
      </c>
      <c s="125">
        <f>Предпосылки!E$241*Предпосылки!$Q259*Продажи!F24*F$19*(1+Чувствительность!$D$20)*IFERROR(LOOKUP(Предпосылки!$H$214,$C$13:$C$15,F$13:F$15),1)</f>
        <v>0</v>
      </c>
      <c s="125">
        <f>Предпосылки!F$241*Предпосылки!$Q259*Продажи!G24*G$19*(1+Чувствительность!$D$20)*IFERROR(LOOKUP(Предпосылки!$H$214,$C$13:$C$15,G$13:G$15),1)</f>
        <v>0</v>
      </c>
      <c s="125">
        <f>Предпосылки!G$241*Предпосылки!$Q259*Продажи!H24*H$19*(1+Чувствительность!$D$20)*IFERROR(LOOKUP(Предпосылки!$H$214,$C$13:$C$15,H$13:H$15),1)</f>
        <v>0</v>
      </c>
      <c s="125">
        <f>Предпосылки!H$241*Предпосылки!$Q259*Продажи!I24*I$19*(1+Чувствительность!$D$20)*IFERROR(LOOKUP(Предпосылки!$H$214,$C$13:$C$15,I$13:I$15),1)</f>
        <v>0</v>
      </c>
      <c s="125">
        <f>Предпосылки!I$241*Предпосылки!$Q259*Продажи!J24*J$19*(1+Чувствительность!$D$20)*IFERROR(LOOKUP(Предпосылки!$H$214,$C$13:$C$15,J$13:J$15),1)</f>
        <v>0</v>
      </c>
      <c s="125">
        <f>Предпосылки!J$241*Предпосылки!$Q259*Продажи!K24*K$19*(1+Чувствительность!$D$20)*IFERROR(LOOKUP(Предпосылки!$H$214,$C$13:$C$15,K$13:K$15),1)</f>
        <v>0</v>
      </c>
      <c s="125">
        <f>Предпосылки!K$241*Предпосылки!$Q259*Продажи!L24*L$19*(1+Чувствительность!$D$20)*IFERROR(LOOKUP(Предпосылки!$H$214,$C$13:$C$15,L$13:L$15),1)</f>
        <v>0</v>
      </c>
      <c s="125">
        <f>Предпосылки!L$241*Предпосылки!$Q259*Продажи!M24*M$19*(1+Чувствительность!$D$20)*IFERROR(LOOKUP(Предпосылки!$H$214,$C$13:$C$15,M$13:M$15),1)</f>
        <v>0</v>
      </c>
      <c s="125">
        <f>Предпосылки!M$241*Предпосылки!$Q259*Продажи!N24*N$19*(1+Чувствительность!$D$20)*IFERROR(LOOKUP(Предпосылки!$H$214,$C$13:$C$15,N$13:N$15),1)</f>
        <v>0</v>
      </c>
      <c s="125">
        <f>Предпосылки!N$241*Предпосылки!$Q259*Продажи!O24*O$19*(1+Чувствительность!$D$20)*IFERROR(LOOKUP(Предпосылки!$H$214,$C$13:$C$15,O$13:O$15),1)</f>
        <v>0</v>
      </c>
      <c s="125">
        <f>Предпосылки!O$241*Предпосылки!$Q259*Продажи!P24*P$19*(1+Чувствительность!$D$20)*IFERROR(LOOKUP(Предпосылки!$H$214,$C$13:$C$15,P$13:P$15),1)</f>
        <v>0</v>
      </c>
      <c s="125">
        <f>Предпосылки!P$241*Предпосылки!$Q259*Продажи!Q24*Q$19*(1+Чувствительность!$D$20)*IFERROR(LOOKUP(Предпосылки!$H$214,$C$13:$C$15,Q$13:Q$15),1)</f>
        <v>0</v>
      </c>
      <c s="125">
        <f>Предпосылки!Q$241*Предпосылки!$Q259*Продажи!R24*R$19*(1+Чувствительность!$D$20)*IFERROR(LOOKUP(Предпосылки!$H$214,$C$13:$C$15,R$13:R$15),1)</f>
        <v>0</v>
      </c>
      <c s="125">
        <f>Предпосылки!R$241*Предпосылки!$Q259*Продажи!S24*S$19*(1+Чувствительность!$D$20)*IFERROR(LOOKUP(Предпосылки!$H$214,$C$13:$C$15,S$13:S$15),1)</f>
        <v>0</v>
      </c>
      <c s="125">
        <f>Предпосылки!S$241*Предпосылки!$Q259*Продажи!T24*T$19*(1+Чувствительность!$D$20)*IFERROR(LOOKUP(Предпосылки!$H$214,$C$13:$C$15,T$13:T$15),1)</f>
        <v>0</v>
      </c>
      <c s="125">
        <f>Предпосылки!T$241*Предпосылки!$Q259*Продажи!U24*U$19*(1+Чувствительность!$D$20)*IFERROR(LOOKUP(Предпосылки!$H$214,$C$13:$C$15,U$13:U$15),1)</f>
        <v>0</v>
      </c>
      <c s="125">
        <f>Предпосылки!U$241*Предпосылки!$Q259*Продажи!V24*V$19*(1+Чувствительность!$D$20)*IFERROR(LOOKUP(Предпосылки!$H$214,$C$13:$C$15,V$13:V$15),1)</f>
        <v>0</v>
      </c>
      <c s="125">
        <f>Предпосылки!V$241*Предпосылки!$Q259*Продажи!W24*W$19*(1+Чувствительность!$D$20)*IFERROR(LOOKUP(Предпосылки!$H$214,$C$13:$C$15,W$13:W$15),1)</f>
        <v>0</v>
      </c>
      <c s="125">
        <f>Предпосылки!W$241*Предпосылки!$Q259*Продажи!X24*X$19*(1+Чувствительность!$D$20)*IFERROR(LOOKUP(Предпосылки!$H$214,$C$13:$C$15,X$13:X$15),1)</f>
        <v>0</v>
      </c>
      <c s="125">
        <f>Предпосылки!X$241*Предпосылки!$Q259*Продажи!Y24*Y$19*(1+Чувствительность!$D$20)*IFERROR(LOOKUP(Предпосылки!$H$214,$C$13:$C$15,Y$13:Y$15),1)</f>
        <v>0</v>
      </c>
      <c s="125">
        <f>Предпосылки!Y$241*Предпосылки!$Q259*Продажи!Z24*Z$19*(1+Чувствительность!$D$20)*IFERROR(LOOKUP(Предпосылки!$H$214,$C$13:$C$15,Z$13:Z$15),1)</f>
        <v>0</v>
      </c>
      <c s="125">
        <f>Предпосылки!Z$241*Предпосылки!$Q259*Продажи!AA24*AA$19*(1+Чувствительность!$D$20)*IFERROR(LOOKUP(Предпосылки!$H$214,$C$13:$C$15,AA$13:AA$15),1)</f>
        <v>0</v>
      </c>
      <c s="125">
        <f>Предпосылки!AA$241*Предпосылки!$Q259*Продажи!AB24*AB$19*(1+Чувствительность!$D$20)*IFERROR(LOOKUP(Предпосылки!$H$214,$C$13:$C$15,AB$13:AB$15),1)</f>
        <v>0</v>
      </c>
      <c s="125">
        <f>Предпосылки!AB$241*Предпосылки!$Q259*Продажи!AC24*AC$19*(1+Чувствительность!$D$20)*IFERROR(LOOKUP(Предпосылки!$H$214,$C$13:$C$15,AC$13:AC$15),1)</f>
        <v>0</v>
      </c>
      <c s="125">
        <f>Предпосылки!AC$241*Предпосылки!$Q259*Продажи!AD24*AD$19*(1+Чувствительность!$D$20)*IFERROR(LOOKUP(Предпосылки!$H$214,$C$13:$C$15,AD$13:AD$15),1)</f>
        <v>0</v>
      </c>
      <c s="125">
        <f>Предпосылки!AD$241*Предпосылки!$Q259*Продажи!AE24*AE$19*(1+Чувствительность!$D$20)*IFERROR(LOOKUP(Предпосылки!$H$214,$C$13:$C$15,AE$13:AE$15),1)</f>
        <v>0</v>
      </c>
      <c s="125">
        <f>Предпосылки!AE$241*Предпосылки!$Q259*Продажи!AF24*AF$19*(1+Чувствительность!$D$20)*IFERROR(LOOKUP(Предпосылки!$H$214,$C$13:$C$15,AF$13:AF$15),1)</f>
        <v>0</v>
      </c>
      <c s="125">
        <f>Предпосылки!AF$241*Предпосылки!$Q259*Продажи!AG24*AG$19*(1+Чувствительность!$D$20)*IFERROR(LOOKUP(Предпосылки!$H$214,$C$13:$C$15,AG$13:AG$15),1)</f>
        <v>0</v>
      </c>
      <c s="125">
        <f>Предпосылки!AG$241*Предпосылки!$Q259*Продажи!AH24*AH$19*(1+Чувствительность!$D$20)*IFERROR(LOOKUP(Предпосылки!$H$214,$C$13:$C$15,AH$13:AH$15),1)</f>
        <v>0</v>
      </c>
      <c s="125">
        <f>Предпосылки!AH$241*Предпосылки!$Q259*Продажи!AI24*AI$19*(1+Чувствительность!$D$20)*IFERROR(LOOKUP(Предпосылки!$H$214,$C$13:$C$15,AI$13:AI$15),1)</f>
        <v>0</v>
      </c>
      <c s="125">
        <f>Предпосылки!AI$241*Предпосылки!$Q259*Продажи!AJ24*AJ$19*(1+Чувствительность!$D$20)*IFERROR(LOOKUP(Предпосылки!$H$214,$C$13:$C$15,AJ$13:AJ$15),1)</f>
        <v>0</v>
      </c>
      <c s="125">
        <f>Предпосылки!AJ$241*Предпосылки!$Q259*Продажи!AK24*AK$19*(1+Чувствительность!$D$20)*IFERROR(LOOKUP(Предпосылки!$H$214,$C$13:$C$15,AK$13:AK$15),1)</f>
        <v>0</v>
      </c>
      <c s="125">
        <f>Предпосылки!AK$241*Предпосылки!$Q259*Продажи!AL24*AL$19*(1+Чувствительность!$D$20)*IFERROR(LOOKUP(Предпосылки!$H$214,$C$13:$C$15,AL$13:AL$15),1)</f>
        <v>0</v>
      </c>
      <c s="125">
        <f>Предпосылки!AL$241*Предпосылки!$Q259*Продажи!AM24*AM$19*(1+Чувствительность!$D$20)*IFERROR(LOOKUP(Предпосылки!$H$214,$C$13:$C$15,AM$13:AM$15),1)</f>
        <v>0</v>
      </c>
      <c s="125">
        <f>Предпосылки!AM$241*Предпосылки!$Q259*Продажи!AN24*AN$19*(1+Чувствительность!$D$20)*IFERROR(LOOKUP(Предпосылки!$H$214,$C$13:$C$15,AN$13:AN$15),1)</f>
        <v>0</v>
      </c>
      <c s="125">
        <f>Предпосылки!AN$241*Предпосылки!$Q259*Продажи!AO24*AO$19*(1+Чувствительность!$D$20)*IFERROR(LOOKUP(Предпосылки!$H$214,$C$13:$C$15,AO$13:AO$15),1)</f>
        <v>0</v>
      </c>
      <c s="125">
        <f>Предпосылки!AO$241*Предпосылки!$Q259*Продажи!AP24*AP$19*(1+Чувствительность!$D$20)*IFERROR(LOOKUP(Предпосылки!$H$214,$C$13:$C$15,AP$13:AP$15),1)</f>
        <v>0</v>
      </c>
      <c s="125">
        <f>Предпосылки!AP$241*Предпосылки!$Q259*Продажи!AQ24*AQ$19*(1+Чувствительность!$D$20)*IFERROR(LOOKUP(Предпосылки!$H$214,$C$13:$C$15,AQ$13:AQ$15),1)</f>
        <v>0</v>
      </c>
      <c s="125">
        <f>Предпосылки!AQ$241*Предпосылки!$Q259*Продажи!AR24*AR$19*(1+Чувствительность!$D$20)*IFERROR(LOOKUP(Предпосылки!$H$214,$C$13:$C$15,AR$13:AR$15),1)</f>
        <v>0</v>
      </c>
      <c s="125">
        <f>Предпосылки!AR$241*Предпосылки!$Q259*Продажи!AS24*AS$19*(1+Чувствительность!$D$20)*IFERROR(LOOKUP(Предпосылки!$H$214,$C$13:$C$15,AS$13:AS$15),1)</f>
        <v>0</v>
      </c>
      <c s="125">
        <f>Предпосылки!AS$241*Предпосылки!$Q259*Продажи!AT24*AT$19*(1+Чувствительность!$D$20)*IFERROR(LOOKUP(Предпосылки!$H$214,$C$13:$C$15,AT$13:AT$15),1)</f>
        <v>0</v>
      </c>
      <c s="125">
        <f>Предпосылки!AT$241*Предпосылки!$Q259*Продажи!AU24*AU$19*(1+Чувствительность!$D$20)*IFERROR(LOOKUP(Предпосылки!$H$214,$C$13:$C$15,AU$13:AU$15),1)</f>
        <v>0</v>
      </c>
      <c s="125">
        <f>Предпосылки!AU$241*Предпосылки!$Q259*Продажи!AV24*AV$19*(1+Чувствительность!$D$20)*IFERROR(LOOKUP(Предпосылки!$H$214,$C$13:$C$15,AV$13:AV$15),1)</f>
        <v>0</v>
      </c>
      <c s="125">
        <f>Предпосылки!AV$241*Предпосылки!$Q259*Продажи!AW24*AW$19*(1+Чувствительность!$D$20)*IFERROR(LOOKUP(Предпосылки!$H$214,$C$13:$C$15,AW$13:AW$15),1)</f>
        <v>0</v>
      </c>
      <c s="125">
        <f>Предпосылки!AW$241*Предпосылки!$Q259*Продажи!AX24*AX$19*(1+Чувствительность!$D$20)*IFERROR(LOOKUP(Предпосылки!$H$214,$C$13:$C$15,AX$13:AX$15),1)</f>
        <v>0</v>
      </c>
      <c s="125">
        <f>Предпосылки!AX$241*Предпосылки!$Q259*Продажи!AY24*AY$19*(1+Чувствительность!$D$20)*IFERROR(LOOKUP(Предпосылки!$H$214,$C$13:$C$15,AY$13:AY$15),1)</f>
        <v>0</v>
      </c>
      <c s="125">
        <f>Предпосылки!AY$241*Предпосылки!$Q259*Продажи!AZ24*AZ$19*(1+Чувствительность!$D$20)*IFERROR(LOOKUP(Предпосылки!$H$214,$C$13:$C$15,AZ$13:AZ$15),1)</f>
        <v>0</v>
      </c>
      <c s="125">
        <f>Предпосылки!AZ$241*Предпосылки!$Q259*Продажи!BA24*BA$19*(1+Чувствительность!$D$20)*IFERROR(LOOKUP(Предпосылки!$H$214,$C$13:$C$15,BA$13:BA$15),1)</f>
        <v>0</v>
      </c>
      <c s="125">
        <f>Предпосылки!BA$241*Предпосылки!$Q259*Продажи!BB24*BB$19*(1+Чувствительность!$D$20)*IFERROR(LOOKUP(Предпосылки!$H$214,$C$13:$C$15,BB$13:BB$15),1)</f>
        <v>0</v>
      </c>
      <c s="125">
        <f>Предпосылки!BB$241*Предпосылки!$Q259*Продажи!BC24*BC$19*(1+Чувствительность!$D$20)*IFERROR(LOOKUP(Предпосылки!$H$214,$C$13:$C$15,BC$13:BC$15),1)</f>
        <v>0</v>
      </c>
      <c s="125">
        <f>Предпосылки!BC$241*Предпосылки!$Q259*Продажи!BD24*BD$19*(1+Чувствительность!$D$20)*IFERROR(LOOKUP(Предпосылки!$H$214,$C$13:$C$15,BD$13:BD$15),1)</f>
        <v>0</v>
      </c>
      <c s="125">
        <f>Предпосылки!BD$241*Предпосылки!$Q259*Продажи!BE24*BE$19*(1+Чувствительность!$D$20)*IFERROR(LOOKUP(Предпосылки!$H$214,$C$13:$C$15,BE$13:BE$15),1)</f>
        <v>0</v>
      </c>
      <c s="125">
        <f>Предпосылки!BE$241*Предпосылки!$Q259*Продажи!BF24*BF$19*(1+Чувствительность!$D$20)*IFERROR(LOOKUP(Предпосылки!$H$214,$C$13:$C$15,BF$13:BF$15),1)</f>
        <v>0</v>
      </c>
      <c s="125">
        <f>Предпосылки!BF$241*Предпосылки!$Q259*Продажи!BG24*BG$19*(1+Чувствительность!$D$20)*IFERROR(LOOKUP(Предпосылки!$H$214,$C$13:$C$15,BG$13:BG$15),1)</f>
        <v>0</v>
      </c>
      <c s="125">
        <f>Предпосылки!BG$241*Предпосылки!$Q259*Продажи!BH24*BH$19*(1+Чувствительность!$D$20)*IFERROR(LOOKUP(Предпосылки!$H$214,$C$13:$C$15,BH$13:BH$15),1)</f>
        <v>0</v>
      </c>
      <c s="125">
        <f>Предпосылки!BH$241*Предпосылки!$Q259*Продажи!BI24*BI$19*(1+Чувствительность!$D$20)*IFERROR(LOOKUP(Предпосылки!$H$214,$C$13:$C$15,BI$13:BI$15),1)</f>
        <v>0</v>
      </c>
      <c s="125">
        <f>Предпосылки!BI$241*Предпосылки!$Q259*Продажи!BJ24*BJ$19*(1+Чувствительность!$D$20)*IFERROR(LOOKUP(Предпосылки!$H$214,$C$13:$C$15,BJ$13:BJ$15),1)</f>
        <v>0</v>
      </c>
      <c s="125">
        <f>Предпосылки!BJ$241*Предпосылки!$Q259*Продажи!BK24*BK$19*(1+Чувствительность!$D$20)*IFERROR(LOOKUP(Предпосылки!$H$214,$C$13:$C$15,BK$13:BK$15),1)</f>
        <v>0</v>
      </c>
      <c s="125">
        <f>Предпосылки!BK$241*Предпосылки!$Q259*Продажи!BL24*BL$19*(1+Чувствительность!$D$20)*IFERROR(LOOKUP(Предпосылки!$H$214,$C$13:$C$15,BL$13:BL$15),1)</f>
        <v>0</v>
      </c>
      <c s="125">
        <f>Предпосылки!BL$241*Предпосылки!$Q259*Продажи!BM24*BM$19*(1+Чувствительность!$D$20)*IFERROR(LOOKUP(Предпосылки!$H$214,$C$13:$C$15,BM$13:BM$15),1)</f>
        <v>0</v>
      </c>
    </row>
    <row r="329" spans="2:65" ht="15" customHeight="1">
      <c r="B329" s="12" t="str">
        <f t="shared" si="126"/>
        <v>Продукт 8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Предпосылки!D$241*Предпосылки!$Q260*Продажи!E25*E$19*(1+Чувствительность!$D$20)*IFERROR(LOOKUP(Предпосылки!$H$214,$C$13:$C$15,E$13:E$15),1)</f>
        <v>0</v>
      </c>
      <c s="125">
        <f>Предпосылки!E$241*Предпосылки!$Q260*Продажи!F25*F$19*(1+Чувствительность!$D$20)*IFERROR(LOOKUP(Предпосылки!$H$214,$C$13:$C$15,F$13:F$15),1)</f>
        <v>0</v>
      </c>
      <c s="125">
        <f>Предпосылки!F$241*Предпосылки!$Q260*Продажи!G25*G$19*(1+Чувствительность!$D$20)*IFERROR(LOOKUP(Предпосылки!$H$214,$C$13:$C$15,G$13:G$15),1)</f>
        <v>0</v>
      </c>
      <c s="125">
        <f>Предпосылки!G$241*Предпосылки!$Q260*Продажи!H25*H$19*(1+Чувствительность!$D$20)*IFERROR(LOOKUP(Предпосылки!$H$214,$C$13:$C$15,H$13:H$15),1)</f>
        <v>0</v>
      </c>
      <c s="125">
        <f>Предпосылки!H$241*Предпосылки!$Q260*Продажи!I25*I$19*(1+Чувствительность!$D$20)*IFERROR(LOOKUP(Предпосылки!$H$214,$C$13:$C$15,I$13:I$15),1)</f>
        <v>0</v>
      </c>
      <c s="125">
        <f>Предпосылки!I$241*Предпосылки!$Q260*Продажи!J25*J$19*(1+Чувствительность!$D$20)*IFERROR(LOOKUP(Предпосылки!$H$214,$C$13:$C$15,J$13:J$15),1)</f>
        <v>0</v>
      </c>
      <c s="125">
        <f>Предпосылки!J$241*Предпосылки!$Q260*Продажи!K25*K$19*(1+Чувствительность!$D$20)*IFERROR(LOOKUP(Предпосылки!$H$214,$C$13:$C$15,K$13:K$15),1)</f>
        <v>0</v>
      </c>
      <c s="125">
        <f>Предпосылки!K$241*Предпосылки!$Q260*Продажи!L25*L$19*(1+Чувствительность!$D$20)*IFERROR(LOOKUP(Предпосылки!$H$214,$C$13:$C$15,L$13:L$15),1)</f>
        <v>0</v>
      </c>
      <c s="125">
        <f>Предпосылки!L$241*Предпосылки!$Q260*Продажи!M25*M$19*(1+Чувствительность!$D$20)*IFERROR(LOOKUP(Предпосылки!$H$214,$C$13:$C$15,M$13:M$15),1)</f>
        <v>0</v>
      </c>
      <c s="125">
        <f>Предпосылки!M$241*Предпосылки!$Q260*Продажи!N25*N$19*(1+Чувствительность!$D$20)*IFERROR(LOOKUP(Предпосылки!$H$214,$C$13:$C$15,N$13:N$15),1)</f>
        <v>0</v>
      </c>
      <c s="125">
        <f>Предпосылки!N$241*Предпосылки!$Q260*Продажи!O25*O$19*(1+Чувствительность!$D$20)*IFERROR(LOOKUP(Предпосылки!$H$214,$C$13:$C$15,O$13:O$15),1)</f>
        <v>0</v>
      </c>
      <c s="125">
        <f>Предпосылки!O$241*Предпосылки!$Q260*Продажи!P25*P$19*(1+Чувствительность!$D$20)*IFERROR(LOOKUP(Предпосылки!$H$214,$C$13:$C$15,P$13:P$15),1)</f>
        <v>0</v>
      </c>
      <c s="125">
        <f>Предпосылки!P$241*Предпосылки!$Q260*Продажи!Q25*Q$19*(1+Чувствительность!$D$20)*IFERROR(LOOKUP(Предпосылки!$H$214,$C$13:$C$15,Q$13:Q$15),1)</f>
        <v>0</v>
      </c>
      <c s="125">
        <f>Предпосылки!Q$241*Предпосылки!$Q260*Продажи!R25*R$19*(1+Чувствительность!$D$20)*IFERROR(LOOKUP(Предпосылки!$H$214,$C$13:$C$15,R$13:R$15),1)</f>
        <v>0</v>
      </c>
      <c s="125">
        <f>Предпосылки!R$241*Предпосылки!$Q260*Продажи!S25*S$19*(1+Чувствительность!$D$20)*IFERROR(LOOKUP(Предпосылки!$H$214,$C$13:$C$15,S$13:S$15),1)</f>
        <v>0</v>
      </c>
      <c s="125">
        <f>Предпосылки!S$241*Предпосылки!$Q260*Продажи!T25*T$19*(1+Чувствительность!$D$20)*IFERROR(LOOKUP(Предпосылки!$H$214,$C$13:$C$15,T$13:T$15),1)</f>
        <v>0</v>
      </c>
      <c s="125">
        <f>Предпосылки!T$241*Предпосылки!$Q260*Продажи!U25*U$19*(1+Чувствительность!$D$20)*IFERROR(LOOKUP(Предпосылки!$H$214,$C$13:$C$15,U$13:U$15),1)</f>
        <v>0</v>
      </c>
      <c s="125">
        <f>Предпосылки!U$241*Предпосылки!$Q260*Продажи!V25*V$19*(1+Чувствительность!$D$20)*IFERROR(LOOKUP(Предпосылки!$H$214,$C$13:$C$15,V$13:V$15),1)</f>
        <v>0</v>
      </c>
      <c s="125">
        <f>Предпосылки!V$241*Предпосылки!$Q260*Продажи!W25*W$19*(1+Чувствительность!$D$20)*IFERROR(LOOKUP(Предпосылки!$H$214,$C$13:$C$15,W$13:W$15),1)</f>
        <v>0</v>
      </c>
      <c s="125">
        <f>Предпосылки!W$241*Предпосылки!$Q260*Продажи!X25*X$19*(1+Чувствительность!$D$20)*IFERROR(LOOKUP(Предпосылки!$H$214,$C$13:$C$15,X$13:X$15),1)</f>
        <v>0</v>
      </c>
      <c s="125">
        <f>Предпосылки!X$241*Предпосылки!$Q260*Продажи!Y25*Y$19*(1+Чувствительность!$D$20)*IFERROR(LOOKUP(Предпосылки!$H$214,$C$13:$C$15,Y$13:Y$15),1)</f>
        <v>0</v>
      </c>
      <c s="125">
        <f>Предпосылки!Y$241*Предпосылки!$Q260*Продажи!Z25*Z$19*(1+Чувствительность!$D$20)*IFERROR(LOOKUP(Предпосылки!$H$214,$C$13:$C$15,Z$13:Z$15),1)</f>
        <v>0</v>
      </c>
      <c s="125">
        <f>Предпосылки!Z$241*Предпосылки!$Q260*Продажи!AA25*AA$19*(1+Чувствительность!$D$20)*IFERROR(LOOKUP(Предпосылки!$H$214,$C$13:$C$15,AA$13:AA$15),1)</f>
        <v>0</v>
      </c>
      <c s="125">
        <f>Предпосылки!AA$241*Предпосылки!$Q260*Продажи!AB25*AB$19*(1+Чувствительность!$D$20)*IFERROR(LOOKUP(Предпосылки!$H$214,$C$13:$C$15,AB$13:AB$15),1)</f>
        <v>0</v>
      </c>
      <c s="125">
        <f>Предпосылки!AB$241*Предпосылки!$Q260*Продажи!AC25*AC$19*(1+Чувствительность!$D$20)*IFERROR(LOOKUP(Предпосылки!$H$214,$C$13:$C$15,AC$13:AC$15),1)</f>
        <v>0</v>
      </c>
      <c s="125">
        <f>Предпосылки!AC$241*Предпосылки!$Q260*Продажи!AD25*AD$19*(1+Чувствительность!$D$20)*IFERROR(LOOKUP(Предпосылки!$H$214,$C$13:$C$15,AD$13:AD$15),1)</f>
        <v>0</v>
      </c>
      <c s="125">
        <f>Предпосылки!AD$241*Предпосылки!$Q260*Продажи!AE25*AE$19*(1+Чувствительность!$D$20)*IFERROR(LOOKUP(Предпосылки!$H$214,$C$13:$C$15,AE$13:AE$15),1)</f>
        <v>0</v>
      </c>
      <c s="125">
        <f>Предпосылки!AE$241*Предпосылки!$Q260*Продажи!AF25*AF$19*(1+Чувствительность!$D$20)*IFERROR(LOOKUP(Предпосылки!$H$214,$C$13:$C$15,AF$13:AF$15),1)</f>
        <v>0</v>
      </c>
      <c s="125">
        <f>Предпосылки!AF$241*Предпосылки!$Q260*Продажи!AG25*AG$19*(1+Чувствительность!$D$20)*IFERROR(LOOKUP(Предпосылки!$H$214,$C$13:$C$15,AG$13:AG$15),1)</f>
        <v>0</v>
      </c>
      <c s="125">
        <f>Предпосылки!AG$241*Предпосылки!$Q260*Продажи!AH25*AH$19*(1+Чувствительность!$D$20)*IFERROR(LOOKUP(Предпосылки!$H$214,$C$13:$C$15,AH$13:AH$15),1)</f>
        <v>0</v>
      </c>
      <c s="125">
        <f>Предпосылки!AH$241*Предпосылки!$Q260*Продажи!AI25*AI$19*(1+Чувствительность!$D$20)*IFERROR(LOOKUP(Предпосылки!$H$214,$C$13:$C$15,AI$13:AI$15),1)</f>
        <v>0</v>
      </c>
      <c s="125">
        <f>Предпосылки!AI$241*Предпосылки!$Q260*Продажи!AJ25*AJ$19*(1+Чувствительность!$D$20)*IFERROR(LOOKUP(Предпосылки!$H$214,$C$13:$C$15,AJ$13:AJ$15),1)</f>
        <v>0</v>
      </c>
      <c s="125">
        <f>Предпосылки!AJ$241*Предпосылки!$Q260*Продажи!AK25*AK$19*(1+Чувствительность!$D$20)*IFERROR(LOOKUP(Предпосылки!$H$214,$C$13:$C$15,AK$13:AK$15),1)</f>
        <v>0</v>
      </c>
      <c s="125">
        <f>Предпосылки!AK$241*Предпосылки!$Q260*Продажи!AL25*AL$19*(1+Чувствительность!$D$20)*IFERROR(LOOKUP(Предпосылки!$H$214,$C$13:$C$15,AL$13:AL$15),1)</f>
        <v>0</v>
      </c>
      <c s="125">
        <f>Предпосылки!AL$241*Предпосылки!$Q260*Продажи!AM25*AM$19*(1+Чувствительность!$D$20)*IFERROR(LOOKUP(Предпосылки!$H$214,$C$13:$C$15,AM$13:AM$15),1)</f>
        <v>0</v>
      </c>
      <c s="125">
        <f>Предпосылки!AM$241*Предпосылки!$Q260*Продажи!AN25*AN$19*(1+Чувствительность!$D$20)*IFERROR(LOOKUP(Предпосылки!$H$214,$C$13:$C$15,AN$13:AN$15),1)</f>
        <v>0</v>
      </c>
      <c s="125">
        <f>Предпосылки!AN$241*Предпосылки!$Q260*Продажи!AO25*AO$19*(1+Чувствительность!$D$20)*IFERROR(LOOKUP(Предпосылки!$H$214,$C$13:$C$15,AO$13:AO$15),1)</f>
        <v>0</v>
      </c>
      <c s="125">
        <f>Предпосылки!AO$241*Предпосылки!$Q260*Продажи!AP25*AP$19*(1+Чувствительность!$D$20)*IFERROR(LOOKUP(Предпосылки!$H$214,$C$13:$C$15,AP$13:AP$15),1)</f>
        <v>0</v>
      </c>
      <c s="125">
        <f>Предпосылки!AP$241*Предпосылки!$Q260*Продажи!AQ25*AQ$19*(1+Чувствительность!$D$20)*IFERROR(LOOKUP(Предпосылки!$H$214,$C$13:$C$15,AQ$13:AQ$15),1)</f>
        <v>0</v>
      </c>
      <c s="125">
        <f>Предпосылки!AQ$241*Предпосылки!$Q260*Продажи!AR25*AR$19*(1+Чувствительность!$D$20)*IFERROR(LOOKUP(Предпосылки!$H$214,$C$13:$C$15,AR$13:AR$15),1)</f>
        <v>0</v>
      </c>
      <c s="125">
        <f>Предпосылки!AR$241*Предпосылки!$Q260*Продажи!AS25*AS$19*(1+Чувствительность!$D$20)*IFERROR(LOOKUP(Предпосылки!$H$214,$C$13:$C$15,AS$13:AS$15),1)</f>
        <v>0</v>
      </c>
      <c s="125">
        <f>Предпосылки!AS$241*Предпосылки!$Q260*Продажи!AT25*AT$19*(1+Чувствительность!$D$20)*IFERROR(LOOKUP(Предпосылки!$H$214,$C$13:$C$15,AT$13:AT$15),1)</f>
        <v>0</v>
      </c>
      <c s="125">
        <f>Предпосылки!AT$241*Предпосылки!$Q260*Продажи!AU25*AU$19*(1+Чувствительность!$D$20)*IFERROR(LOOKUP(Предпосылки!$H$214,$C$13:$C$15,AU$13:AU$15),1)</f>
        <v>0</v>
      </c>
      <c s="125">
        <f>Предпосылки!AU$241*Предпосылки!$Q260*Продажи!AV25*AV$19*(1+Чувствительность!$D$20)*IFERROR(LOOKUP(Предпосылки!$H$214,$C$13:$C$15,AV$13:AV$15),1)</f>
        <v>0</v>
      </c>
      <c s="125">
        <f>Предпосылки!AV$241*Предпосылки!$Q260*Продажи!AW25*AW$19*(1+Чувствительность!$D$20)*IFERROR(LOOKUP(Предпосылки!$H$214,$C$13:$C$15,AW$13:AW$15),1)</f>
        <v>0</v>
      </c>
      <c s="125">
        <f>Предпосылки!AW$241*Предпосылки!$Q260*Продажи!AX25*AX$19*(1+Чувствительность!$D$20)*IFERROR(LOOKUP(Предпосылки!$H$214,$C$13:$C$15,AX$13:AX$15),1)</f>
        <v>0</v>
      </c>
      <c s="125">
        <f>Предпосылки!AX$241*Предпосылки!$Q260*Продажи!AY25*AY$19*(1+Чувствительность!$D$20)*IFERROR(LOOKUP(Предпосылки!$H$214,$C$13:$C$15,AY$13:AY$15),1)</f>
        <v>0</v>
      </c>
      <c s="125">
        <f>Предпосылки!AY$241*Предпосылки!$Q260*Продажи!AZ25*AZ$19*(1+Чувствительность!$D$20)*IFERROR(LOOKUP(Предпосылки!$H$214,$C$13:$C$15,AZ$13:AZ$15),1)</f>
        <v>0</v>
      </c>
      <c s="125">
        <f>Предпосылки!AZ$241*Предпосылки!$Q260*Продажи!BA25*BA$19*(1+Чувствительность!$D$20)*IFERROR(LOOKUP(Предпосылки!$H$214,$C$13:$C$15,BA$13:BA$15),1)</f>
        <v>0</v>
      </c>
      <c s="125">
        <f>Предпосылки!BA$241*Предпосылки!$Q260*Продажи!BB25*BB$19*(1+Чувствительность!$D$20)*IFERROR(LOOKUP(Предпосылки!$H$214,$C$13:$C$15,BB$13:BB$15),1)</f>
        <v>0</v>
      </c>
      <c s="125">
        <f>Предпосылки!BB$241*Предпосылки!$Q260*Продажи!BC25*BC$19*(1+Чувствительность!$D$20)*IFERROR(LOOKUP(Предпосылки!$H$214,$C$13:$C$15,BC$13:BC$15),1)</f>
        <v>0</v>
      </c>
      <c s="125">
        <f>Предпосылки!BC$241*Предпосылки!$Q260*Продажи!BD25*BD$19*(1+Чувствительность!$D$20)*IFERROR(LOOKUP(Предпосылки!$H$214,$C$13:$C$15,BD$13:BD$15),1)</f>
        <v>0</v>
      </c>
      <c s="125">
        <f>Предпосылки!BD$241*Предпосылки!$Q260*Продажи!BE25*BE$19*(1+Чувствительность!$D$20)*IFERROR(LOOKUP(Предпосылки!$H$214,$C$13:$C$15,BE$13:BE$15),1)</f>
        <v>0</v>
      </c>
      <c s="125">
        <f>Предпосылки!BE$241*Предпосылки!$Q260*Продажи!BF25*BF$19*(1+Чувствительность!$D$20)*IFERROR(LOOKUP(Предпосылки!$H$214,$C$13:$C$15,BF$13:BF$15),1)</f>
        <v>0</v>
      </c>
      <c s="125">
        <f>Предпосылки!BF$241*Предпосылки!$Q260*Продажи!BG25*BG$19*(1+Чувствительность!$D$20)*IFERROR(LOOKUP(Предпосылки!$H$214,$C$13:$C$15,BG$13:BG$15),1)</f>
        <v>0</v>
      </c>
      <c s="125">
        <f>Предпосылки!BG$241*Предпосылки!$Q260*Продажи!BH25*BH$19*(1+Чувствительность!$D$20)*IFERROR(LOOKUP(Предпосылки!$H$214,$C$13:$C$15,BH$13:BH$15),1)</f>
        <v>0</v>
      </c>
      <c s="125">
        <f>Предпосылки!BH$241*Предпосылки!$Q260*Продажи!BI25*BI$19*(1+Чувствительность!$D$20)*IFERROR(LOOKUP(Предпосылки!$H$214,$C$13:$C$15,BI$13:BI$15),1)</f>
        <v>0</v>
      </c>
      <c s="125">
        <f>Предпосылки!BI$241*Предпосылки!$Q260*Продажи!BJ25*BJ$19*(1+Чувствительность!$D$20)*IFERROR(LOOKUP(Предпосылки!$H$214,$C$13:$C$15,BJ$13:BJ$15),1)</f>
        <v>0</v>
      </c>
      <c s="125">
        <f>Предпосылки!BJ$241*Предпосылки!$Q260*Продажи!BK25*BK$19*(1+Чувствительность!$D$20)*IFERROR(LOOKUP(Предпосылки!$H$214,$C$13:$C$15,BK$13:BK$15),1)</f>
        <v>0</v>
      </c>
      <c s="125">
        <f>Предпосылки!BK$241*Предпосылки!$Q260*Продажи!BL25*BL$19*(1+Чувствительность!$D$20)*IFERROR(LOOKUP(Предпосылки!$H$214,$C$13:$C$15,BL$13:BL$15),1)</f>
        <v>0</v>
      </c>
      <c s="125">
        <f>Предпосылки!BL$241*Предпосылки!$Q260*Продажи!BM25*BM$19*(1+Чувствительность!$D$20)*IFERROR(LOOKUP(Предпосылки!$H$214,$C$13:$C$15,BM$13:BM$15),1)</f>
        <v>0</v>
      </c>
    </row>
    <row r="330" spans="2:65" ht="15" customHeight="1">
      <c r="B330" s="12" t="str">
        <f t="shared" si="126"/>
        <v>Продукт 9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Предпосылки!D$241*Предпосылки!$Q261*Продажи!E26*E$19*(1+Чувствительность!$D$20)*IFERROR(LOOKUP(Предпосылки!$H$214,$C$13:$C$15,E$13:E$15),1)</f>
        <v>0</v>
      </c>
      <c s="125">
        <f>Предпосылки!E$241*Предпосылки!$Q261*Продажи!F26*F$19*(1+Чувствительность!$D$20)*IFERROR(LOOKUP(Предпосылки!$H$214,$C$13:$C$15,F$13:F$15),1)</f>
        <v>0</v>
      </c>
      <c s="125">
        <f>Предпосылки!F$241*Предпосылки!$Q261*Продажи!G26*G$19*(1+Чувствительность!$D$20)*IFERROR(LOOKUP(Предпосылки!$H$214,$C$13:$C$15,G$13:G$15),1)</f>
        <v>0</v>
      </c>
      <c s="125">
        <f>Предпосылки!G$241*Предпосылки!$Q261*Продажи!H26*H$19*(1+Чувствительность!$D$20)*IFERROR(LOOKUP(Предпосылки!$H$214,$C$13:$C$15,H$13:H$15),1)</f>
        <v>0</v>
      </c>
      <c s="125">
        <f>Предпосылки!H$241*Предпосылки!$Q261*Продажи!I26*I$19*(1+Чувствительность!$D$20)*IFERROR(LOOKUP(Предпосылки!$H$214,$C$13:$C$15,I$13:I$15),1)</f>
        <v>0</v>
      </c>
      <c s="125">
        <f>Предпосылки!I$241*Предпосылки!$Q261*Продажи!J26*J$19*(1+Чувствительность!$D$20)*IFERROR(LOOKUP(Предпосылки!$H$214,$C$13:$C$15,J$13:J$15),1)</f>
        <v>0</v>
      </c>
      <c s="125">
        <f>Предпосылки!J$241*Предпосылки!$Q261*Продажи!K26*K$19*(1+Чувствительность!$D$20)*IFERROR(LOOKUP(Предпосылки!$H$214,$C$13:$C$15,K$13:K$15),1)</f>
        <v>0</v>
      </c>
      <c s="125">
        <f>Предпосылки!K$241*Предпосылки!$Q261*Продажи!L26*L$19*(1+Чувствительность!$D$20)*IFERROR(LOOKUP(Предпосылки!$H$214,$C$13:$C$15,L$13:L$15),1)</f>
        <v>0</v>
      </c>
      <c s="125">
        <f>Предпосылки!L$241*Предпосылки!$Q261*Продажи!M26*M$19*(1+Чувствительность!$D$20)*IFERROR(LOOKUP(Предпосылки!$H$214,$C$13:$C$15,M$13:M$15),1)</f>
        <v>0</v>
      </c>
      <c s="125">
        <f>Предпосылки!M$241*Предпосылки!$Q261*Продажи!N26*N$19*(1+Чувствительность!$D$20)*IFERROR(LOOKUP(Предпосылки!$H$214,$C$13:$C$15,N$13:N$15),1)</f>
        <v>0</v>
      </c>
      <c s="125">
        <f>Предпосылки!N$241*Предпосылки!$Q261*Продажи!O26*O$19*(1+Чувствительность!$D$20)*IFERROR(LOOKUP(Предпосылки!$H$214,$C$13:$C$15,O$13:O$15),1)</f>
        <v>0</v>
      </c>
      <c s="125">
        <f>Предпосылки!O$241*Предпосылки!$Q261*Продажи!P26*P$19*(1+Чувствительность!$D$20)*IFERROR(LOOKUP(Предпосылки!$H$214,$C$13:$C$15,P$13:P$15),1)</f>
        <v>0</v>
      </c>
      <c s="125">
        <f>Предпосылки!P$241*Предпосылки!$Q261*Продажи!Q26*Q$19*(1+Чувствительность!$D$20)*IFERROR(LOOKUP(Предпосылки!$H$214,$C$13:$C$15,Q$13:Q$15),1)</f>
        <v>0</v>
      </c>
      <c s="125">
        <f>Предпосылки!Q$241*Предпосылки!$Q261*Продажи!R26*R$19*(1+Чувствительность!$D$20)*IFERROR(LOOKUP(Предпосылки!$H$214,$C$13:$C$15,R$13:R$15),1)</f>
        <v>0</v>
      </c>
      <c s="125">
        <f>Предпосылки!R$241*Предпосылки!$Q261*Продажи!S26*S$19*(1+Чувствительность!$D$20)*IFERROR(LOOKUP(Предпосылки!$H$214,$C$13:$C$15,S$13:S$15),1)</f>
        <v>0</v>
      </c>
      <c s="125">
        <f>Предпосылки!S$241*Предпосылки!$Q261*Продажи!T26*T$19*(1+Чувствительность!$D$20)*IFERROR(LOOKUP(Предпосылки!$H$214,$C$13:$C$15,T$13:T$15),1)</f>
        <v>0</v>
      </c>
      <c s="125">
        <f>Предпосылки!T$241*Предпосылки!$Q261*Продажи!U26*U$19*(1+Чувствительность!$D$20)*IFERROR(LOOKUP(Предпосылки!$H$214,$C$13:$C$15,U$13:U$15),1)</f>
        <v>0</v>
      </c>
      <c s="125">
        <f>Предпосылки!U$241*Предпосылки!$Q261*Продажи!V26*V$19*(1+Чувствительность!$D$20)*IFERROR(LOOKUP(Предпосылки!$H$214,$C$13:$C$15,V$13:V$15),1)</f>
        <v>0</v>
      </c>
      <c s="125">
        <f>Предпосылки!V$241*Предпосылки!$Q261*Продажи!W26*W$19*(1+Чувствительность!$D$20)*IFERROR(LOOKUP(Предпосылки!$H$214,$C$13:$C$15,W$13:W$15),1)</f>
        <v>0</v>
      </c>
      <c s="125">
        <f>Предпосылки!W$241*Предпосылки!$Q261*Продажи!X26*X$19*(1+Чувствительность!$D$20)*IFERROR(LOOKUP(Предпосылки!$H$214,$C$13:$C$15,X$13:X$15),1)</f>
        <v>0</v>
      </c>
      <c s="125">
        <f>Предпосылки!X$241*Предпосылки!$Q261*Продажи!Y26*Y$19*(1+Чувствительность!$D$20)*IFERROR(LOOKUP(Предпосылки!$H$214,$C$13:$C$15,Y$13:Y$15),1)</f>
        <v>0</v>
      </c>
      <c s="125">
        <f>Предпосылки!Y$241*Предпосылки!$Q261*Продажи!Z26*Z$19*(1+Чувствительность!$D$20)*IFERROR(LOOKUP(Предпосылки!$H$214,$C$13:$C$15,Z$13:Z$15),1)</f>
        <v>0</v>
      </c>
      <c s="125">
        <f>Предпосылки!Z$241*Предпосылки!$Q261*Продажи!AA26*AA$19*(1+Чувствительность!$D$20)*IFERROR(LOOKUP(Предпосылки!$H$214,$C$13:$C$15,AA$13:AA$15),1)</f>
        <v>0</v>
      </c>
      <c s="125">
        <f>Предпосылки!AA$241*Предпосылки!$Q261*Продажи!AB26*AB$19*(1+Чувствительность!$D$20)*IFERROR(LOOKUP(Предпосылки!$H$214,$C$13:$C$15,AB$13:AB$15),1)</f>
        <v>0</v>
      </c>
      <c s="125">
        <f>Предпосылки!AB$241*Предпосылки!$Q261*Продажи!AC26*AC$19*(1+Чувствительность!$D$20)*IFERROR(LOOKUP(Предпосылки!$H$214,$C$13:$C$15,AC$13:AC$15),1)</f>
        <v>0</v>
      </c>
      <c s="125">
        <f>Предпосылки!AC$241*Предпосылки!$Q261*Продажи!AD26*AD$19*(1+Чувствительность!$D$20)*IFERROR(LOOKUP(Предпосылки!$H$214,$C$13:$C$15,AD$13:AD$15),1)</f>
        <v>0</v>
      </c>
      <c s="125">
        <f>Предпосылки!AD$241*Предпосылки!$Q261*Продажи!AE26*AE$19*(1+Чувствительность!$D$20)*IFERROR(LOOKUP(Предпосылки!$H$214,$C$13:$C$15,AE$13:AE$15),1)</f>
        <v>0</v>
      </c>
      <c s="125">
        <f>Предпосылки!AE$241*Предпосылки!$Q261*Продажи!AF26*AF$19*(1+Чувствительность!$D$20)*IFERROR(LOOKUP(Предпосылки!$H$214,$C$13:$C$15,AF$13:AF$15),1)</f>
        <v>0</v>
      </c>
      <c s="125">
        <f>Предпосылки!AF$241*Предпосылки!$Q261*Продажи!AG26*AG$19*(1+Чувствительность!$D$20)*IFERROR(LOOKUP(Предпосылки!$H$214,$C$13:$C$15,AG$13:AG$15),1)</f>
        <v>0</v>
      </c>
      <c s="125">
        <f>Предпосылки!AG$241*Предпосылки!$Q261*Продажи!AH26*AH$19*(1+Чувствительность!$D$20)*IFERROR(LOOKUP(Предпосылки!$H$214,$C$13:$C$15,AH$13:AH$15),1)</f>
        <v>0</v>
      </c>
      <c s="125">
        <f>Предпосылки!AH$241*Предпосылки!$Q261*Продажи!AI26*AI$19*(1+Чувствительность!$D$20)*IFERROR(LOOKUP(Предпосылки!$H$214,$C$13:$C$15,AI$13:AI$15),1)</f>
        <v>0</v>
      </c>
      <c s="125">
        <f>Предпосылки!AI$241*Предпосылки!$Q261*Продажи!AJ26*AJ$19*(1+Чувствительность!$D$20)*IFERROR(LOOKUP(Предпосылки!$H$214,$C$13:$C$15,AJ$13:AJ$15),1)</f>
        <v>0</v>
      </c>
      <c s="125">
        <f>Предпосылки!AJ$241*Предпосылки!$Q261*Продажи!AK26*AK$19*(1+Чувствительность!$D$20)*IFERROR(LOOKUP(Предпосылки!$H$214,$C$13:$C$15,AK$13:AK$15),1)</f>
        <v>0</v>
      </c>
      <c s="125">
        <f>Предпосылки!AK$241*Предпосылки!$Q261*Продажи!AL26*AL$19*(1+Чувствительность!$D$20)*IFERROR(LOOKUP(Предпосылки!$H$214,$C$13:$C$15,AL$13:AL$15),1)</f>
        <v>0</v>
      </c>
      <c s="125">
        <f>Предпосылки!AL$241*Предпосылки!$Q261*Продажи!AM26*AM$19*(1+Чувствительность!$D$20)*IFERROR(LOOKUP(Предпосылки!$H$214,$C$13:$C$15,AM$13:AM$15),1)</f>
        <v>0</v>
      </c>
      <c s="125">
        <f>Предпосылки!AM$241*Предпосылки!$Q261*Продажи!AN26*AN$19*(1+Чувствительность!$D$20)*IFERROR(LOOKUP(Предпосылки!$H$214,$C$13:$C$15,AN$13:AN$15),1)</f>
        <v>0</v>
      </c>
      <c s="125">
        <f>Предпосылки!AN$241*Предпосылки!$Q261*Продажи!AO26*AO$19*(1+Чувствительность!$D$20)*IFERROR(LOOKUP(Предпосылки!$H$214,$C$13:$C$15,AO$13:AO$15),1)</f>
        <v>0</v>
      </c>
      <c s="125">
        <f>Предпосылки!AO$241*Предпосылки!$Q261*Продажи!AP26*AP$19*(1+Чувствительность!$D$20)*IFERROR(LOOKUP(Предпосылки!$H$214,$C$13:$C$15,AP$13:AP$15),1)</f>
        <v>0</v>
      </c>
      <c s="125">
        <f>Предпосылки!AP$241*Предпосылки!$Q261*Продажи!AQ26*AQ$19*(1+Чувствительность!$D$20)*IFERROR(LOOKUP(Предпосылки!$H$214,$C$13:$C$15,AQ$13:AQ$15),1)</f>
        <v>0</v>
      </c>
      <c s="125">
        <f>Предпосылки!AQ$241*Предпосылки!$Q261*Продажи!AR26*AR$19*(1+Чувствительность!$D$20)*IFERROR(LOOKUP(Предпосылки!$H$214,$C$13:$C$15,AR$13:AR$15),1)</f>
        <v>0</v>
      </c>
      <c s="125">
        <f>Предпосылки!AR$241*Предпосылки!$Q261*Продажи!AS26*AS$19*(1+Чувствительность!$D$20)*IFERROR(LOOKUP(Предпосылки!$H$214,$C$13:$C$15,AS$13:AS$15),1)</f>
        <v>0</v>
      </c>
      <c s="125">
        <f>Предпосылки!AS$241*Предпосылки!$Q261*Продажи!AT26*AT$19*(1+Чувствительность!$D$20)*IFERROR(LOOKUP(Предпосылки!$H$214,$C$13:$C$15,AT$13:AT$15),1)</f>
        <v>0</v>
      </c>
      <c s="125">
        <f>Предпосылки!AT$241*Предпосылки!$Q261*Продажи!AU26*AU$19*(1+Чувствительность!$D$20)*IFERROR(LOOKUP(Предпосылки!$H$214,$C$13:$C$15,AU$13:AU$15),1)</f>
        <v>0</v>
      </c>
      <c s="125">
        <f>Предпосылки!AU$241*Предпосылки!$Q261*Продажи!AV26*AV$19*(1+Чувствительность!$D$20)*IFERROR(LOOKUP(Предпосылки!$H$214,$C$13:$C$15,AV$13:AV$15),1)</f>
        <v>0</v>
      </c>
      <c s="125">
        <f>Предпосылки!AV$241*Предпосылки!$Q261*Продажи!AW26*AW$19*(1+Чувствительность!$D$20)*IFERROR(LOOKUP(Предпосылки!$H$214,$C$13:$C$15,AW$13:AW$15),1)</f>
        <v>0</v>
      </c>
      <c s="125">
        <f>Предпосылки!AW$241*Предпосылки!$Q261*Продажи!AX26*AX$19*(1+Чувствительность!$D$20)*IFERROR(LOOKUP(Предпосылки!$H$214,$C$13:$C$15,AX$13:AX$15),1)</f>
        <v>0</v>
      </c>
      <c s="125">
        <f>Предпосылки!AX$241*Предпосылки!$Q261*Продажи!AY26*AY$19*(1+Чувствительность!$D$20)*IFERROR(LOOKUP(Предпосылки!$H$214,$C$13:$C$15,AY$13:AY$15),1)</f>
        <v>0</v>
      </c>
      <c s="125">
        <f>Предпосылки!AY$241*Предпосылки!$Q261*Продажи!AZ26*AZ$19*(1+Чувствительность!$D$20)*IFERROR(LOOKUP(Предпосылки!$H$214,$C$13:$C$15,AZ$13:AZ$15),1)</f>
        <v>0</v>
      </c>
      <c s="125">
        <f>Предпосылки!AZ$241*Предпосылки!$Q261*Продажи!BA26*BA$19*(1+Чувствительность!$D$20)*IFERROR(LOOKUP(Предпосылки!$H$214,$C$13:$C$15,BA$13:BA$15),1)</f>
        <v>0</v>
      </c>
      <c s="125">
        <f>Предпосылки!BA$241*Предпосылки!$Q261*Продажи!BB26*BB$19*(1+Чувствительность!$D$20)*IFERROR(LOOKUP(Предпосылки!$H$214,$C$13:$C$15,BB$13:BB$15),1)</f>
        <v>0</v>
      </c>
      <c s="125">
        <f>Предпосылки!BB$241*Предпосылки!$Q261*Продажи!BC26*BC$19*(1+Чувствительность!$D$20)*IFERROR(LOOKUP(Предпосылки!$H$214,$C$13:$C$15,BC$13:BC$15),1)</f>
        <v>0</v>
      </c>
      <c s="125">
        <f>Предпосылки!BC$241*Предпосылки!$Q261*Продажи!BD26*BD$19*(1+Чувствительность!$D$20)*IFERROR(LOOKUP(Предпосылки!$H$214,$C$13:$C$15,BD$13:BD$15),1)</f>
        <v>0</v>
      </c>
      <c s="125">
        <f>Предпосылки!BD$241*Предпосылки!$Q261*Продажи!BE26*BE$19*(1+Чувствительность!$D$20)*IFERROR(LOOKUP(Предпосылки!$H$214,$C$13:$C$15,BE$13:BE$15),1)</f>
        <v>0</v>
      </c>
      <c s="125">
        <f>Предпосылки!BE$241*Предпосылки!$Q261*Продажи!BF26*BF$19*(1+Чувствительность!$D$20)*IFERROR(LOOKUP(Предпосылки!$H$214,$C$13:$C$15,BF$13:BF$15),1)</f>
        <v>0</v>
      </c>
      <c s="125">
        <f>Предпосылки!BF$241*Предпосылки!$Q261*Продажи!BG26*BG$19*(1+Чувствительность!$D$20)*IFERROR(LOOKUP(Предпосылки!$H$214,$C$13:$C$15,BG$13:BG$15),1)</f>
        <v>0</v>
      </c>
      <c s="125">
        <f>Предпосылки!BG$241*Предпосылки!$Q261*Продажи!BH26*BH$19*(1+Чувствительность!$D$20)*IFERROR(LOOKUP(Предпосылки!$H$214,$C$13:$C$15,BH$13:BH$15),1)</f>
        <v>0</v>
      </c>
      <c s="125">
        <f>Предпосылки!BH$241*Предпосылки!$Q261*Продажи!BI26*BI$19*(1+Чувствительность!$D$20)*IFERROR(LOOKUP(Предпосылки!$H$214,$C$13:$C$15,BI$13:BI$15),1)</f>
        <v>0</v>
      </c>
      <c s="125">
        <f>Предпосылки!BI$241*Предпосылки!$Q261*Продажи!BJ26*BJ$19*(1+Чувствительность!$D$20)*IFERROR(LOOKUP(Предпосылки!$H$214,$C$13:$C$15,BJ$13:BJ$15),1)</f>
        <v>0</v>
      </c>
      <c s="125">
        <f>Предпосылки!BJ$241*Предпосылки!$Q261*Продажи!BK26*BK$19*(1+Чувствительность!$D$20)*IFERROR(LOOKUP(Предпосылки!$H$214,$C$13:$C$15,BK$13:BK$15),1)</f>
        <v>0</v>
      </c>
      <c s="125">
        <f>Предпосылки!BK$241*Предпосылки!$Q261*Продажи!BL26*BL$19*(1+Чувствительность!$D$20)*IFERROR(LOOKUP(Предпосылки!$H$214,$C$13:$C$15,BL$13:BL$15),1)</f>
        <v>0</v>
      </c>
      <c s="125">
        <f>Предпосылки!BL$241*Предпосылки!$Q261*Продажи!BM26*BM$19*(1+Чувствительность!$D$20)*IFERROR(LOOKUP(Предпосылки!$H$214,$C$13:$C$15,BM$13:BM$15),1)</f>
        <v>0</v>
      </c>
    </row>
    <row r="331" spans="2:65" ht="15" customHeight="1">
      <c r="B331" s="12" t="str">
        <f t="shared" si="126"/>
        <v>Продукт 10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Предпосылки!D$241*Предпосылки!$Q262*Продажи!E27*E$19*(1+Чувствительность!$D$20)*IFERROR(LOOKUP(Предпосылки!$H$214,$C$13:$C$15,E$13:E$15),1)</f>
        <v>0</v>
      </c>
      <c s="125">
        <f>Предпосылки!E$241*Предпосылки!$Q262*Продажи!F27*F$19*(1+Чувствительность!$D$20)*IFERROR(LOOKUP(Предпосылки!$H$214,$C$13:$C$15,F$13:F$15),1)</f>
        <v>0</v>
      </c>
      <c s="125">
        <f>Предпосылки!F$241*Предпосылки!$Q262*Продажи!G27*G$19*(1+Чувствительность!$D$20)*IFERROR(LOOKUP(Предпосылки!$H$214,$C$13:$C$15,G$13:G$15),1)</f>
        <v>0</v>
      </c>
      <c s="125">
        <f>Предпосылки!G$241*Предпосылки!$Q262*Продажи!H27*H$19*(1+Чувствительность!$D$20)*IFERROR(LOOKUP(Предпосылки!$H$214,$C$13:$C$15,H$13:H$15),1)</f>
        <v>0</v>
      </c>
      <c s="125">
        <f>Предпосылки!H$241*Предпосылки!$Q262*Продажи!I27*I$19*(1+Чувствительность!$D$20)*IFERROR(LOOKUP(Предпосылки!$H$214,$C$13:$C$15,I$13:I$15),1)</f>
        <v>0</v>
      </c>
      <c s="125">
        <f>Предпосылки!I$241*Предпосылки!$Q262*Продажи!J27*J$19*(1+Чувствительность!$D$20)*IFERROR(LOOKUP(Предпосылки!$H$214,$C$13:$C$15,J$13:J$15),1)</f>
        <v>0</v>
      </c>
      <c s="125">
        <f>Предпосылки!J$241*Предпосылки!$Q262*Продажи!K27*K$19*(1+Чувствительность!$D$20)*IFERROR(LOOKUP(Предпосылки!$H$214,$C$13:$C$15,K$13:K$15),1)</f>
        <v>0</v>
      </c>
      <c s="125">
        <f>Предпосылки!K$241*Предпосылки!$Q262*Продажи!L27*L$19*(1+Чувствительность!$D$20)*IFERROR(LOOKUP(Предпосылки!$H$214,$C$13:$C$15,L$13:L$15),1)</f>
        <v>0</v>
      </c>
      <c s="125">
        <f>Предпосылки!L$241*Предпосылки!$Q262*Продажи!M27*M$19*(1+Чувствительность!$D$20)*IFERROR(LOOKUP(Предпосылки!$H$214,$C$13:$C$15,M$13:M$15),1)</f>
        <v>0</v>
      </c>
      <c s="125">
        <f>Предпосылки!M$241*Предпосылки!$Q262*Продажи!N27*N$19*(1+Чувствительность!$D$20)*IFERROR(LOOKUP(Предпосылки!$H$214,$C$13:$C$15,N$13:N$15),1)</f>
        <v>0</v>
      </c>
      <c s="125">
        <f>Предпосылки!N$241*Предпосылки!$Q262*Продажи!O27*O$19*(1+Чувствительность!$D$20)*IFERROR(LOOKUP(Предпосылки!$H$214,$C$13:$C$15,O$13:O$15),1)</f>
        <v>0</v>
      </c>
      <c s="125">
        <f>Предпосылки!O$241*Предпосылки!$Q262*Продажи!P27*P$19*(1+Чувствительность!$D$20)*IFERROR(LOOKUP(Предпосылки!$H$214,$C$13:$C$15,P$13:P$15),1)</f>
        <v>0</v>
      </c>
      <c s="125">
        <f>Предпосылки!P$241*Предпосылки!$Q262*Продажи!Q27*Q$19*(1+Чувствительность!$D$20)*IFERROR(LOOKUP(Предпосылки!$H$214,$C$13:$C$15,Q$13:Q$15),1)</f>
        <v>0</v>
      </c>
      <c s="125">
        <f>Предпосылки!Q$241*Предпосылки!$Q262*Продажи!R27*R$19*(1+Чувствительность!$D$20)*IFERROR(LOOKUP(Предпосылки!$H$214,$C$13:$C$15,R$13:R$15),1)</f>
        <v>0</v>
      </c>
      <c s="125">
        <f>Предпосылки!R$241*Предпосылки!$Q262*Продажи!S27*S$19*(1+Чувствительность!$D$20)*IFERROR(LOOKUP(Предпосылки!$H$214,$C$13:$C$15,S$13:S$15),1)</f>
        <v>0</v>
      </c>
      <c s="125">
        <f>Предпосылки!S$241*Предпосылки!$Q262*Продажи!T27*T$19*(1+Чувствительность!$D$20)*IFERROR(LOOKUP(Предпосылки!$H$214,$C$13:$C$15,T$13:T$15),1)</f>
        <v>0</v>
      </c>
      <c s="125">
        <f>Предпосылки!T$241*Предпосылки!$Q262*Продажи!U27*U$19*(1+Чувствительность!$D$20)*IFERROR(LOOKUP(Предпосылки!$H$214,$C$13:$C$15,U$13:U$15),1)</f>
        <v>0</v>
      </c>
      <c s="125">
        <f>Предпосылки!U$241*Предпосылки!$Q262*Продажи!V27*V$19*(1+Чувствительность!$D$20)*IFERROR(LOOKUP(Предпосылки!$H$214,$C$13:$C$15,V$13:V$15),1)</f>
        <v>0</v>
      </c>
      <c s="125">
        <f>Предпосылки!V$241*Предпосылки!$Q262*Продажи!W27*W$19*(1+Чувствительность!$D$20)*IFERROR(LOOKUP(Предпосылки!$H$214,$C$13:$C$15,W$13:W$15),1)</f>
        <v>0</v>
      </c>
      <c s="125">
        <f>Предпосылки!W$241*Предпосылки!$Q262*Продажи!X27*X$19*(1+Чувствительность!$D$20)*IFERROR(LOOKUP(Предпосылки!$H$214,$C$13:$C$15,X$13:X$15),1)</f>
        <v>0</v>
      </c>
      <c s="125">
        <f>Предпосылки!X$241*Предпосылки!$Q262*Продажи!Y27*Y$19*(1+Чувствительность!$D$20)*IFERROR(LOOKUP(Предпосылки!$H$214,$C$13:$C$15,Y$13:Y$15),1)</f>
        <v>0</v>
      </c>
      <c s="125">
        <f>Предпосылки!Y$241*Предпосылки!$Q262*Продажи!Z27*Z$19*(1+Чувствительность!$D$20)*IFERROR(LOOKUP(Предпосылки!$H$214,$C$13:$C$15,Z$13:Z$15),1)</f>
        <v>0</v>
      </c>
      <c s="125">
        <f>Предпосылки!Z$241*Предпосылки!$Q262*Продажи!AA27*AA$19*(1+Чувствительность!$D$20)*IFERROR(LOOKUP(Предпосылки!$H$214,$C$13:$C$15,AA$13:AA$15),1)</f>
        <v>0</v>
      </c>
      <c s="125">
        <f>Предпосылки!AA$241*Предпосылки!$Q262*Продажи!AB27*AB$19*(1+Чувствительность!$D$20)*IFERROR(LOOKUP(Предпосылки!$H$214,$C$13:$C$15,AB$13:AB$15),1)</f>
        <v>0</v>
      </c>
      <c s="125">
        <f>Предпосылки!AB$241*Предпосылки!$Q262*Продажи!AC27*AC$19*(1+Чувствительность!$D$20)*IFERROR(LOOKUP(Предпосылки!$H$214,$C$13:$C$15,AC$13:AC$15),1)</f>
        <v>0</v>
      </c>
      <c s="125">
        <f>Предпосылки!AC$241*Предпосылки!$Q262*Продажи!AD27*AD$19*(1+Чувствительность!$D$20)*IFERROR(LOOKUP(Предпосылки!$H$214,$C$13:$C$15,AD$13:AD$15),1)</f>
        <v>0</v>
      </c>
      <c s="125">
        <f>Предпосылки!AD$241*Предпосылки!$Q262*Продажи!AE27*AE$19*(1+Чувствительность!$D$20)*IFERROR(LOOKUP(Предпосылки!$H$214,$C$13:$C$15,AE$13:AE$15),1)</f>
        <v>0</v>
      </c>
      <c s="125">
        <f>Предпосылки!AE$241*Предпосылки!$Q262*Продажи!AF27*AF$19*(1+Чувствительность!$D$20)*IFERROR(LOOKUP(Предпосылки!$H$214,$C$13:$C$15,AF$13:AF$15),1)</f>
        <v>0</v>
      </c>
      <c s="125">
        <f>Предпосылки!AF$241*Предпосылки!$Q262*Продажи!AG27*AG$19*(1+Чувствительность!$D$20)*IFERROR(LOOKUP(Предпосылки!$H$214,$C$13:$C$15,AG$13:AG$15),1)</f>
        <v>0</v>
      </c>
      <c s="125">
        <f>Предпосылки!AG$241*Предпосылки!$Q262*Продажи!AH27*AH$19*(1+Чувствительность!$D$20)*IFERROR(LOOKUP(Предпосылки!$H$214,$C$13:$C$15,AH$13:AH$15),1)</f>
        <v>0</v>
      </c>
      <c s="125">
        <f>Предпосылки!AH$241*Предпосылки!$Q262*Продажи!AI27*AI$19*(1+Чувствительность!$D$20)*IFERROR(LOOKUP(Предпосылки!$H$214,$C$13:$C$15,AI$13:AI$15),1)</f>
        <v>0</v>
      </c>
      <c s="125">
        <f>Предпосылки!AI$241*Предпосылки!$Q262*Продажи!AJ27*AJ$19*(1+Чувствительность!$D$20)*IFERROR(LOOKUP(Предпосылки!$H$214,$C$13:$C$15,AJ$13:AJ$15),1)</f>
        <v>0</v>
      </c>
      <c s="125">
        <f>Предпосылки!AJ$241*Предпосылки!$Q262*Продажи!AK27*AK$19*(1+Чувствительность!$D$20)*IFERROR(LOOKUP(Предпосылки!$H$214,$C$13:$C$15,AK$13:AK$15),1)</f>
        <v>0</v>
      </c>
      <c s="125">
        <f>Предпосылки!AK$241*Предпосылки!$Q262*Продажи!AL27*AL$19*(1+Чувствительность!$D$20)*IFERROR(LOOKUP(Предпосылки!$H$214,$C$13:$C$15,AL$13:AL$15),1)</f>
        <v>0</v>
      </c>
      <c s="125">
        <f>Предпосылки!AL$241*Предпосылки!$Q262*Продажи!AM27*AM$19*(1+Чувствительность!$D$20)*IFERROR(LOOKUP(Предпосылки!$H$214,$C$13:$C$15,AM$13:AM$15),1)</f>
        <v>0</v>
      </c>
      <c s="125">
        <f>Предпосылки!AM$241*Предпосылки!$Q262*Продажи!AN27*AN$19*(1+Чувствительность!$D$20)*IFERROR(LOOKUP(Предпосылки!$H$214,$C$13:$C$15,AN$13:AN$15),1)</f>
        <v>0</v>
      </c>
      <c s="125">
        <f>Предпосылки!AN$241*Предпосылки!$Q262*Продажи!AO27*AO$19*(1+Чувствительность!$D$20)*IFERROR(LOOKUP(Предпосылки!$H$214,$C$13:$C$15,AO$13:AO$15),1)</f>
        <v>0</v>
      </c>
      <c s="125">
        <f>Предпосылки!AO$241*Предпосылки!$Q262*Продажи!AP27*AP$19*(1+Чувствительность!$D$20)*IFERROR(LOOKUP(Предпосылки!$H$214,$C$13:$C$15,AP$13:AP$15),1)</f>
        <v>0</v>
      </c>
      <c s="125">
        <f>Предпосылки!AP$241*Предпосылки!$Q262*Продажи!AQ27*AQ$19*(1+Чувствительность!$D$20)*IFERROR(LOOKUP(Предпосылки!$H$214,$C$13:$C$15,AQ$13:AQ$15),1)</f>
        <v>0</v>
      </c>
      <c s="125">
        <f>Предпосылки!AQ$241*Предпосылки!$Q262*Продажи!AR27*AR$19*(1+Чувствительность!$D$20)*IFERROR(LOOKUP(Предпосылки!$H$214,$C$13:$C$15,AR$13:AR$15),1)</f>
        <v>0</v>
      </c>
      <c s="125">
        <f>Предпосылки!AR$241*Предпосылки!$Q262*Продажи!AS27*AS$19*(1+Чувствительность!$D$20)*IFERROR(LOOKUP(Предпосылки!$H$214,$C$13:$C$15,AS$13:AS$15),1)</f>
        <v>0</v>
      </c>
      <c s="125">
        <f>Предпосылки!AS$241*Предпосылки!$Q262*Продажи!AT27*AT$19*(1+Чувствительность!$D$20)*IFERROR(LOOKUP(Предпосылки!$H$214,$C$13:$C$15,AT$13:AT$15),1)</f>
        <v>0</v>
      </c>
      <c s="125">
        <f>Предпосылки!AT$241*Предпосылки!$Q262*Продажи!AU27*AU$19*(1+Чувствительность!$D$20)*IFERROR(LOOKUP(Предпосылки!$H$214,$C$13:$C$15,AU$13:AU$15),1)</f>
        <v>0</v>
      </c>
      <c s="125">
        <f>Предпосылки!AU$241*Предпосылки!$Q262*Продажи!AV27*AV$19*(1+Чувствительность!$D$20)*IFERROR(LOOKUP(Предпосылки!$H$214,$C$13:$C$15,AV$13:AV$15),1)</f>
        <v>0</v>
      </c>
      <c s="125">
        <f>Предпосылки!AV$241*Предпосылки!$Q262*Продажи!AW27*AW$19*(1+Чувствительность!$D$20)*IFERROR(LOOKUP(Предпосылки!$H$214,$C$13:$C$15,AW$13:AW$15),1)</f>
        <v>0</v>
      </c>
      <c s="125">
        <f>Предпосылки!AW$241*Предпосылки!$Q262*Продажи!AX27*AX$19*(1+Чувствительность!$D$20)*IFERROR(LOOKUP(Предпосылки!$H$214,$C$13:$C$15,AX$13:AX$15),1)</f>
        <v>0</v>
      </c>
      <c s="125">
        <f>Предпосылки!AX$241*Предпосылки!$Q262*Продажи!AY27*AY$19*(1+Чувствительность!$D$20)*IFERROR(LOOKUP(Предпосылки!$H$214,$C$13:$C$15,AY$13:AY$15),1)</f>
        <v>0</v>
      </c>
      <c s="125">
        <f>Предпосылки!AY$241*Предпосылки!$Q262*Продажи!AZ27*AZ$19*(1+Чувствительность!$D$20)*IFERROR(LOOKUP(Предпосылки!$H$214,$C$13:$C$15,AZ$13:AZ$15),1)</f>
        <v>0</v>
      </c>
      <c s="125">
        <f>Предпосылки!AZ$241*Предпосылки!$Q262*Продажи!BA27*BA$19*(1+Чувствительность!$D$20)*IFERROR(LOOKUP(Предпосылки!$H$214,$C$13:$C$15,BA$13:BA$15),1)</f>
        <v>0</v>
      </c>
      <c s="125">
        <f>Предпосылки!BA$241*Предпосылки!$Q262*Продажи!BB27*BB$19*(1+Чувствительность!$D$20)*IFERROR(LOOKUP(Предпосылки!$H$214,$C$13:$C$15,BB$13:BB$15),1)</f>
        <v>0</v>
      </c>
      <c s="125">
        <f>Предпосылки!BB$241*Предпосылки!$Q262*Продажи!BC27*BC$19*(1+Чувствительность!$D$20)*IFERROR(LOOKUP(Предпосылки!$H$214,$C$13:$C$15,BC$13:BC$15),1)</f>
        <v>0</v>
      </c>
      <c s="125">
        <f>Предпосылки!BC$241*Предпосылки!$Q262*Продажи!BD27*BD$19*(1+Чувствительность!$D$20)*IFERROR(LOOKUP(Предпосылки!$H$214,$C$13:$C$15,BD$13:BD$15),1)</f>
        <v>0</v>
      </c>
      <c s="125">
        <f>Предпосылки!BD$241*Предпосылки!$Q262*Продажи!BE27*BE$19*(1+Чувствительность!$D$20)*IFERROR(LOOKUP(Предпосылки!$H$214,$C$13:$C$15,BE$13:BE$15),1)</f>
        <v>0</v>
      </c>
      <c s="125">
        <f>Предпосылки!BE$241*Предпосылки!$Q262*Продажи!BF27*BF$19*(1+Чувствительность!$D$20)*IFERROR(LOOKUP(Предпосылки!$H$214,$C$13:$C$15,BF$13:BF$15),1)</f>
        <v>0</v>
      </c>
      <c s="125">
        <f>Предпосылки!BF$241*Предпосылки!$Q262*Продажи!BG27*BG$19*(1+Чувствительность!$D$20)*IFERROR(LOOKUP(Предпосылки!$H$214,$C$13:$C$15,BG$13:BG$15),1)</f>
        <v>0</v>
      </c>
      <c s="125">
        <f>Предпосылки!BG$241*Предпосылки!$Q262*Продажи!BH27*BH$19*(1+Чувствительность!$D$20)*IFERROR(LOOKUP(Предпосылки!$H$214,$C$13:$C$15,BH$13:BH$15),1)</f>
        <v>0</v>
      </c>
      <c s="125">
        <f>Предпосылки!BH$241*Предпосылки!$Q262*Продажи!BI27*BI$19*(1+Чувствительность!$D$20)*IFERROR(LOOKUP(Предпосылки!$H$214,$C$13:$C$15,BI$13:BI$15),1)</f>
        <v>0</v>
      </c>
      <c s="125">
        <f>Предпосылки!BI$241*Предпосылки!$Q262*Продажи!BJ27*BJ$19*(1+Чувствительность!$D$20)*IFERROR(LOOKUP(Предпосылки!$H$214,$C$13:$C$15,BJ$13:BJ$15),1)</f>
        <v>0</v>
      </c>
      <c s="125">
        <f>Предпосылки!BJ$241*Предпосылки!$Q262*Продажи!BK27*BK$19*(1+Чувствительность!$D$20)*IFERROR(LOOKUP(Предпосылки!$H$214,$C$13:$C$15,BK$13:BK$15),1)</f>
        <v>0</v>
      </c>
      <c s="125">
        <f>Предпосылки!BK$241*Предпосылки!$Q262*Продажи!BL27*BL$19*(1+Чувствительность!$D$20)*IFERROR(LOOKUP(Предпосылки!$H$214,$C$13:$C$15,BL$13:BL$15),1)</f>
        <v>0</v>
      </c>
      <c s="125">
        <f>Предпосылки!BL$241*Предпосылки!$Q262*Продажи!BM27*BM$19*(1+Чувствительность!$D$20)*IFERROR(LOOKUP(Предпосылки!$H$214,$C$13:$C$15,BM$13:BM$15),1)</f>
        <v>0</v>
      </c>
    </row>
    <row r="332" spans="2:65" ht="15" customHeight="1">
      <c r="B332" s="12" t="str">
        <f t="shared" si="126"/>
        <v>Продукт 11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Предпосылки!D$241*Предпосылки!$Q263*Продажи!E28*E$19*(1+Чувствительность!$D$20)*IFERROR(LOOKUP(Предпосылки!$H$214,$C$13:$C$15,E$13:E$15),1)</f>
        <v>0</v>
      </c>
      <c s="125">
        <f>Предпосылки!E$241*Предпосылки!$Q263*Продажи!F28*F$19*(1+Чувствительность!$D$20)*IFERROR(LOOKUP(Предпосылки!$H$214,$C$13:$C$15,F$13:F$15),1)</f>
        <v>0</v>
      </c>
      <c s="125">
        <f>Предпосылки!F$241*Предпосылки!$Q263*Продажи!G28*G$19*(1+Чувствительность!$D$20)*IFERROR(LOOKUP(Предпосылки!$H$214,$C$13:$C$15,G$13:G$15),1)</f>
        <v>0</v>
      </c>
      <c s="125">
        <f>Предпосылки!G$241*Предпосылки!$Q263*Продажи!H28*H$19*(1+Чувствительность!$D$20)*IFERROR(LOOKUP(Предпосылки!$H$214,$C$13:$C$15,H$13:H$15),1)</f>
        <v>0</v>
      </c>
      <c s="125">
        <f>Предпосылки!H$241*Предпосылки!$Q263*Продажи!I28*I$19*(1+Чувствительность!$D$20)*IFERROR(LOOKUP(Предпосылки!$H$214,$C$13:$C$15,I$13:I$15),1)</f>
        <v>0</v>
      </c>
      <c s="125">
        <f>Предпосылки!I$241*Предпосылки!$Q263*Продажи!J28*J$19*(1+Чувствительность!$D$20)*IFERROR(LOOKUP(Предпосылки!$H$214,$C$13:$C$15,J$13:J$15),1)</f>
        <v>0</v>
      </c>
      <c s="125">
        <f>Предпосылки!J$241*Предпосылки!$Q263*Продажи!K28*K$19*(1+Чувствительность!$D$20)*IFERROR(LOOKUP(Предпосылки!$H$214,$C$13:$C$15,K$13:K$15),1)</f>
        <v>0</v>
      </c>
      <c s="125">
        <f>Предпосылки!K$241*Предпосылки!$Q263*Продажи!L28*L$19*(1+Чувствительность!$D$20)*IFERROR(LOOKUP(Предпосылки!$H$214,$C$13:$C$15,L$13:L$15),1)</f>
        <v>0</v>
      </c>
      <c s="125">
        <f>Предпосылки!L$241*Предпосылки!$Q263*Продажи!M28*M$19*(1+Чувствительность!$D$20)*IFERROR(LOOKUP(Предпосылки!$H$214,$C$13:$C$15,M$13:M$15),1)</f>
        <v>0</v>
      </c>
      <c s="125">
        <f>Предпосылки!M$241*Предпосылки!$Q263*Продажи!N28*N$19*(1+Чувствительность!$D$20)*IFERROR(LOOKUP(Предпосылки!$H$214,$C$13:$C$15,N$13:N$15),1)</f>
        <v>0</v>
      </c>
      <c s="125">
        <f>Предпосылки!N$241*Предпосылки!$Q263*Продажи!O28*O$19*(1+Чувствительность!$D$20)*IFERROR(LOOKUP(Предпосылки!$H$214,$C$13:$C$15,O$13:O$15),1)</f>
        <v>0</v>
      </c>
      <c s="125">
        <f>Предпосылки!O$241*Предпосылки!$Q263*Продажи!P28*P$19*(1+Чувствительность!$D$20)*IFERROR(LOOKUP(Предпосылки!$H$214,$C$13:$C$15,P$13:P$15),1)</f>
        <v>0</v>
      </c>
      <c s="125">
        <f>Предпосылки!P$241*Предпосылки!$Q263*Продажи!Q28*Q$19*(1+Чувствительность!$D$20)*IFERROR(LOOKUP(Предпосылки!$H$214,$C$13:$C$15,Q$13:Q$15),1)</f>
        <v>0</v>
      </c>
      <c s="125">
        <f>Предпосылки!Q$241*Предпосылки!$Q263*Продажи!R28*R$19*(1+Чувствительность!$D$20)*IFERROR(LOOKUP(Предпосылки!$H$214,$C$13:$C$15,R$13:R$15),1)</f>
        <v>0</v>
      </c>
      <c s="125">
        <f>Предпосылки!R$241*Предпосылки!$Q263*Продажи!S28*S$19*(1+Чувствительность!$D$20)*IFERROR(LOOKUP(Предпосылки!$H$214,$C$13:$C$15,S$13:S$15),1)</f>
        <v>0</v>
      </c>
      <c s="125">
        <f>Предпосылки!S$241*Предпосылки!$Q263*Продажи!T28*T$19*(1+Чувствительность!$D$20)*IFERROR(LOOKUP(Предпосылки!$H$214,$C$13:$C$15,T$13:T$15),1)</f>
        <v>0</v>
      </c>
      <c s="125">
        <f>Предпосылки!T$241*Предпосылки!$Q263*Продажи!U28*U$19*(1+Чувствительность!$D$20)*IFERROR(LOOKUP(Предпосылки!$H$214,$C$13:$C$15,U$13:U$15),1)</f>
        <v>0</v>
      </c>
      <c s="125">
        <f>Предпосылки!U$241*Предпосылки!$Q263*Продажи!V28*V$19*(1+Чувствительность!$D$20)*IFERROR(LOOKUP(Предпосылки!$H$214,$C$13:$C$15,V$13:V$15),1)</f>
        <v>0</v>
      </c>
      <c s="125">
        <f>Предпосылки!V$241*Предпосылки!$Q263*Продажи!W28*W$19*(1+Чувствительность!$D$20)*IFERROR(LOOKUP(Предпосылки!$H$214,$C$13:$C$15,W$13:W$15),1)</f>
        <v>0</v>
      </c>
      <c s="125">
        <f>Предпосылки!W$241*Предпосылки!$Q263*Продажи!X28*X$19*(1+Чувствительность!$D$20)*IFERROR(LOOKUP(Предпосылки!$H$214,$C$13:$C$15,X$13:X$15),1)</f>
        <v>0</v>
      </c>
      <c s="125">
        <f>Предпосылки!X$241*Предпосылки!$Q263*Продажи!Y28*Y$19*(1+Чувствительность!$D$20)*IFERROR(LOOKUP(Предпосылки!$H$214,$C$13:$C$15,Y$13:Y$15),1)</f>
        <v>0</v>
      </c>
      <c s="125">
        <f>Предпосылки!Y$241*Предпосылки!$Q263*Продажи!Z28*Z$19*(1+Чувствительность!$D$20)*IFERROR(LOOKUP(Предпосылки!$H$214,$C$13:$C$15,Z$13:Z$15),1)</f>
        <v>0</v>
      </c>
      <c s="125">
        <f>Предпосылки!Z$241*Предпосылки!$Q263*Продажи!AA28*AA$19*(1+Чувствительность!$D$20)*IFERROR(LOOKUP(Предпосылки!$H$214,$C$13:$C$15,AA$13:AA$15),1)</f>
        <v>0</v>
      </c>
      <c s="125">
        <f>Предпосылки!AA$241*Предпосылки!$Q263*Продажи!AB28*AB$19*(1+Чувствительность!$D$20)*IFERROR(LOOKUP(Предпосылки!$H$214,$C$13:$C$15,AB$13:AB$15),1)</f>
        <v>0</v>
      </c>
      <c s="125">
        <f>Предпосылки!AB$241*Предпосылки!$Q263*Продажи!AC28*AC$19*(1+Чувствительность!$D$20)*IFERROR(LOOKUP(Предпосылки!$H$214,$C$13:$C$15,AC$13:AC$15),1)</f>
        <v>0</v>
      </c>
      <c s="125">
        <f>Предпосылки!AC$241*Предпосылки!$Q263*Продажи!AD28*AD$19*(1+Чувствительность!$D$20)*IFERROR(LOOKUP(Предпосылки!$H$214,$C$13:$C$15,AD$13:AD$15),1)</f>
        <v>0</v>
      </c>
      <c s="125">
        <f>Предпосылки!AD$241*Предпосылки!$Q263*Продажи!AE28*AE$19*(1+Чувствительность!$D$20)*IFERROR(LOOKUP(Предпосылки!$H$214,$C$13:$C$15,AE$13:AE$15),1)</f>
        <v>0</v>
      </c>
      <c s="125">
        <f>Предпосылки!AE$241*Предпосылки!$Q263*Продажи!AF28*AF$19*(1+Чувствительность!$D$20)*IFERROR(LOOKUP(Предпосылки!$H$214,$C$13:$C$15,AF$13:AF$15),1)</f>
        <v>0</v>
      </c>
      <c s="125">
        <f>Предпосылки!AF$241*Предпосылки!$Q263*Продажи!AG28*AG$19*(1+Чувствительность!$D$20)*IFERROR(LOOKUP(Предпосылки!$H$214,$C$13:$C$15,AG$13:AG$15),1)</f>
        <v>0</v>
      </c>
      <c s="125">
        <f>Предпосылки!AG$241*Предпосылки!$Q263*Продажи!AH28*AH$19*(1+Чувствительность!$D$20)*IFERROR(LOOKUP(Предпосылки!$H$214,$C$13:$C$15,AH$13:AH$15),1)</f>
        <v>0</v>
      </c>
      <c s="125">
        <f>Предпосылки!AH$241*Предпосылки!$Q263*Продажи!AI28*AI$19*(1+Чувствительность!$D$20)*IFERROR(LOOKUP(Предпосылки!$H$214,$C$13:$C$15,AI$13:AI$15),1)</f>
        <v>0</v>
      </c>
      <c s="125">
        <f>Предпосылки!AI$241*Предпосылки!$Q263*Продажи!AJ28*AJ$19*(1+Чувствительность!$D$20)*IFERROR(LOOKUP(Предпосылки!$H$214,$C$13:$C$15,AJ$13:AJ$15),1)</f>
        <v>0</v>
      </c>
      <c s="125">
        <f>Предпосылки!AJ$241*Предпосылки!$Q263*Продажи!AK28*AK$19*(1+Чувствительность!$D$20)*IFERROR(LOOKUP(Предпосылки!$H$214,$C$13:$C$15,AK$13:AK$15),1)</f>
        <v>0</v>
      </c>
      <c s="125">
        <f>Предпосылки!AK$241*Предпосылки!$Q263*Продажи!AL28*AL$19*(1+Чувствительность!$D$20)*IFERROR(LOOKUP(Предпосылки!$H$214,$C$13:$C$15,AL$13:AL$15),1)</f>
        <v>0</v>
      </c>
      <c s="125">
        <f>Предпосылки!AL$241*Предпосылки!$Q263*Продажи!AM28*AM$19*(1+Чувствительность!$D$20)*IFERROR(LOOKUP(Предпосылки!$H$214,$C$13:$C$15,AM$13:AM$15),1)</f>
        <v>0</v>
      </c>
      <c s="125">
        <f>Предпосылки!AM$241*Предпосылки!$Q263*Продажи!AN28*AN$19*(1+Чувствительность!$D$20)*IFERROR(LOOKUP(Предпосылки!$H$214,$C$13:$C$15,AN$13:AN$15),1)</f>
        <v>0</v>
      </c>
      <c s="125">
        <f>Предпосылки!AN$241*Предпосылки!$Q263*Продажи!AO28*AO$19*(1+Чувствительность!$D$20)*IFERROR(LOOKUP(Предпосылки!$H$214,$C$13:$C$15,AO$13:AO$15),1)</f>
        <v>0</v>
      </c>
      <c s="125">
        <f>Предпосылки!AO$241*Предпосылки!$Q263*Продажи!AP28*AP$19*(1+Чувствительность!$D$20)*IFERROR(LOOKUP(Предпосылки!$H$214,$C$13:$C$15,AP$13:AP$15),1)</f>
        <v>0</v>
      </c>
      <c s="125">
        <f>Предпосылки!AP$241*Предпосылки!$Q263*Продажи!AQ28*AQ$19*(1+Чувствительность!$D$20)*IFERROR(LOOKUP(Предпосылки!$H$214,$C$13:$C$15,AQ$13:AQ$15),1)</f>
        <v>0</v>
      </c>
      <c s="125">
        <f>Предпосылки!AQ$241*Предпосылки!$Q263*Продажи!AR28*AR$19*(1+Чувствительность!$D$20)*IFERROR(LOOKUP(Предпосылки!$H$214,$C$13:$C$15,AR$13:AR$15),1)</f>
        <v>0</v>
      </c>
      <c s="125">
        <f>Предпосылки!AR$241*Предпосылки!$Q263*Продажи!AS28*AS$19*(1+Чувствительность!$D$20)*IFERROR(LOOKUP(Предпосылки!$H$214,$C$13:$C$15,AS$13:AS$15),1)</f>
        <v>0</v>
      </c>
      <c s="125">
        <f>Предпосылки!AS$241*Предпосылки!$Q263*Продажи!AT28*AT$19*(1+Чувствительность!$D$20)*IFERROR(LOOKUP(Предпосылки!$H$214,$C$13:$C$15,AT$13:AT$15),1)</f>
        <v>0</v>
      </c>
      <c s="125">
        <f>Предпосылки!AT$241*Предпосылки!$Q263*Продажи!AU28*AU$19*(1+Чувствительность!$D$20)*IFERROR(LOOKUP(Предпосылки!$H$214,$C$13:$C$15,AU$13:AU$15),1)</f>
        <v>0</v>
      </c>
      <c s="125">
        <f>Предпосылки!AU$241*Предпосылки!$Q263*Продажи!AV28*AV$19*(1+Чувствительность!$D$20)*IFERROR(LOOKUP(Предпосылки!$H$214,$C$13:$C$15,AV$13:AV$15),1)</f>
        <v>0</v>
      </c>
      <c s="125">
        <f>Предпосылки!AV$241*Предпосылки!$Q263*Продажи!AW28*AW$19*(1+Чувствительность!$D$20)*IFERROR(LOOKUP(Предпосылки!$H$214,$C$13:$C$15,AW$13:AW$15),1)</f>
        <v>0</v>
      </c>
      <c s="125">
        <f>Предпосылки!AW$241*Предпосылки!$Q263*Продажи!AX28*AX$19*(1+Чувствительность!$D$20)*IFERROR(LOOKUP(Предпосылки!$H$214,$C$13:$C$15,AX$13:AX$15),1)</f>
        <v>0</v>
      </c>
      <c s="125">
        <f>Предпосылки!AX$241*Предпосылки!$Q263*Продажи!AY28*AY$19*(1+Чувствительность!$D$20)*IFERROR(LOOKUP(Предпосылки!$H$214,$C$13:$C$15,AY$13:AY$15),1)</f>
        <v>0</v>
      </c>
      <c s="125">
        <f>Предпосылки!AY$241*Предпосылки!$Q263*Продажи!AZ28*AZ$19*(1+Чувствительность!$D$20)*IFERROR(LOOKUP(Предпосылки!$H$214,$C$13:$C$15,AZ$13:AZ$15),1)</f>
        <v>0</v>
      </c>
      <c s="125">
        <f>Предпосылки!AZ$241*Предпосылки!$Q263*Продажи!BA28*BA$19*(1+Чувствительность!$D$20)*IFERROR(LOOKUP(Предпосылки!$H$214,$C$13:$C$15,BA$13:BA$15),1)</f>
        <v>0</v>
      </c>
      <c s="125">
        <f>Предпосылки!BA$241*Предпосылки!$Q263*Продажи!BB28*BB$19*(1+Чувствительность!$D$20)*IFERROR(LOOKUP(Предпосылки!$H$214,$C$13:$C$15,BB$13:BB$15),1)</f>
        <v>0</v>
      </c>
      <c s="125">
        <f>Предпосылки!BB$241*Предпосылки!$Q263*Продажи!BC28*BC$19*(1+Чувствительность!$D$20)*IFERROR(LOOKUP(Предпосылки!$H$214,$C$13:$C$15,BC$13:BC$15),1)</f>
        <v>0</v>
      </c>
      <c s="125">
        <f>Предпосылки!BC$241*Предпосылки!$Q263*Продажи!BD28*BD$19*(1+Чувствительность!$D$20)*IFERROR(LOOKUP(Предпосылки!$H$214,$C$13:$C$15,BD$13:BD$15),1)</f>
        <v>0</v>
      </c>
      <c s="125">
        <f>Предпосылки!BD$241*Предпосылки!$Q263*Продажи!BE28*BE$19*(1+Чувствительность!$D$20)*IFERROR(LOOKUP(Предпосылки!$H$214,$C$13:$C$15,BE$13:BE$15),1)</f>
        <v>0</v>
      </c>
      <c s="125">
        <f>Предпосылки!BE$241*Предпосылки!$Q263*Продажи!BF28*BF$19*(1+Чувствительность!$D$20)*IFERROR(LOOKUP(Предпосылки!$H$214,$C$13:$C$15,BF$13:BF$15),1)</f>
        <v>0</v>
      </c>
      <c s="125">
        <f>Предпосылки!BF$241*Предпосылки!$Q263*Продажи!BG28*BG$19*(1+Чувствительность!$D$20)*IFERROR(LOOKUP(Предпосылки!$H$214,$C$13:$C$15,BG$13:BG$15),1)</f>
        <v>0</v>
      </c>
      <c s="125">
        <f>Предпосылки!BG$241*Предпосылки!$Q263*Продажи!BH28*BH$19*(1+Чувствительность!$D$20)*IFERROR(LOOKUP(Предпосылки!$H$214,$C$13:$C$15,BH$13:BH$15),1)</f>
        <v>0</v>
      </c>
      <c s="125">
        <f>Предпосылки!BH$241*Предпосылки!$Q263*Продажи!BI28*BI$19*(1+Чувствительность!$D$20)*IFERROR(LOOKUP(Предпосылки!$H$214,$C$13:$C$15,BI$13:BI$15),1)</f>
        <v>0</v>
      </c>
      <c s="125">
        <f>Предпосылки!BI$241*Предпосылки!$Q263*Продажи!BJ28*BJ$19*(1+Чувствительность!$D$20)*IFERROR(LOOKUP(Предпосылки!$H$214,$C$13:$C$15,BJ$13:BJ$15),1)</f>
        <v>0</v>
      </c>
      <c s="125">
        <f>Предпосылки!BJ$241*Предпосылки!$Q263*Продажи!BK28*BK$19*(1+Чувствительность!$D$20)*IFERROR(LOOKUP(Предпосылки!$H$214,$C$13:$C$15,BK$13:BK$15),1)</f>
        <v>0</v>
      </c>
      <c s="125">
        <f>Предпосылки!BK$241*Предпосылки!$Q263*Продажи!BL28*BL$19*(1+Чувствительность!$D$20)*IFERROR(LOOKUP(Предпосылки!$H$214,$C$13:$C$15,BL$13:BL$15),1)</f>
        <v>0</v>
      </c>
      <c s="125">
        <f>Предпосылки!BL$241*Предпосылки!$Q263*Продажи!BM28*BM$19*(1+Чувствительность!$D$20)*IFERROR(LOOKUP(Предпосылки!$H$214,$C$13:$C$15,BM$13:BM$15),1)</f>
        <v>0</v>
      </c>
    </row>
    <row r="333" spans="2:65" ht="15" customHeight="1">
      <c r="B333" s="12" t="str">
        <f t="shared" si="126"/>
        <v>Продукт 12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Предпосылки!D$241*Предпосылки!$Q264*Продажи!E29*E$19*(1+Чувствительность!$D$20)*IFERROR(LOOKUP(Предпосылки!$H$214,$C$13:$C$15,E$13:E$15),1)</f>
        <v>0</v>
      </c>
      <c s="125">
        <f>Предпосылки!E$241*Предпосылки!$Q264*Продажи!F29*F$19*(1+Чувствительность!$D$20)*IFERROR(LOOKUP(Предпосылки!$H$214,$C$13:$C$15,F$13:F$15),1)</f>
        <v>0</v>
      </c>
      <c s="125">
        <f>Предпосылки!F$241*Предпосылки!$Q264*Продажи!G29*G$19*(1+Чувствительность!$D$20)*IFERROR(LOOKUP(Предпосылки!$H$214,$C$13:$C$15,G$13:G$15),1)</f>
        <v>0</v>
      </c>
      <c s="125">
        <f>Предпосылки!G$241*Предпосылки!$Q264*Продажи!H29*H$19*(1+Чувствительность!$D$20)*IFERROR(LOOKUP(Предпосылки!$H$214,$C$13:$C$15,H$13:H$15),1)</f>
        <v>0</v>
      </c>
      <c s="125">
        <f>Предпосылки!H$241*Предпосылки!$Q264*Продажи!I29*I$19*(1+Чувствительность!$D$20)*IFERROR(LOOKUP(Предпосылки!$H$214,$C$13:$C$15,I$13:I$15),1)</f>
        <v>0</v>
      </c>
      <c s="125">
        <f>Предпосылки!I$241*Предпосылки!$Q264*Продажи!J29*J$19*(1+Чувствительность!$D$20)*IFERROR(LOOKUP(Предпосылки!$H$214,$C$13:$C$15,J$13:J$15),1)</f>
        <v>0</v>
      </c>
      <c s="125">
        <f>Предпосылки!J$241*Предпосылки!$Q264*Продажи!K29*K$19*(1+Чувствительность!$D$20)*IFERROR(LOOKUP(Предпосылки!$H$214,$C$13:$C$15,K$13:K$15),1)</f>
        <v>0</v>
      </c>
      <c s="125">
        <f>Предпосылки!K$241*Предпосылки!$Q264*Продажи!L29*L$19*(1+Чувствительность!$D$20)*IFERROR(LOOKUP(Предпосылки!$H$214,$C$13:$C$15,L$13:L$15),1)</f>
        <v>0</v>
      </c>
      <c s="125">
        <f>Предпосылки!L$241*Предпосылки!$Q264*Продажи!M29*M$19*(1+Чувствительность!$D$20)*IFERROR(LOOKUP(Предпосылки!$H$214,$C$13:$C$15,M$13:M$15),1)</f>
        <v>0</v>
      </c>
      <c s="125">
        <f>Предпосылки!M$241*Предпосылки!$Q264*Продажи!N29*N$19*(1+Чувствительность!$D$20)*IFERROR(LOOKUP(Предпосылки!$H$214,$C$13:$C$15,N$13:N$15),1)</f>
        <v>0</v>
      </c>
      <c s="125">
        <f>Предпосылки!N$241*Предпосылки!$Q264*Продажи!O29*O$19*(1+Чувствительность!$D$20)*IFERROR(LOOKUP(Предпосылки!$H$214,$C$13:$C$15,O$13:O$15),1)</f>
        <v>0</v>
      </c>
      <c s="125">
        <f>Предпосылки!O$241*Предпосылки!$Q264*Продажи!P29*P$19*(1+Чувствительность!$D$20)*IFERROR(LOOKUP(Предпосылки!$H$214,$C$13:$C$15,P$13:P$15),1)</f>
        <v>0</v>
      </c>
      <c s="125">
        <f>Предпосылки!P$241*Предпосылки!$Q264*Продажи!Q29*Q$19*(1+Чувствительность!$D$20)*IFERROR(LOOKUP(Предпосылки!$H$214,$C$13:$C$15,Q$13:Q$15),1)</f>
        <v>0</v>
      </c>
      <c s="125">
        <f>Предпосылки!Q$241*Предпосылки!$Q264*Продажи!R29*R$19*(1+Чувствительность!$D$20)*IFERROR(LOOKUP(Предпосылки!$H$214,$C$13:$C$15,R$13:R$15),1)</f>
        <v>0</v>
      </c>
      <c s="125">
        <f>Предпосылки!R$241*Предпосылки!$Q264*Продажи!S29*S$19*(1+Чувствительность!$D$20)*IFERROR(LOOKUP(Предпосылки!$H$214,$C$13:$C$15,S$13:S$15),1)</f>
        <v>0</v>
      </c>
      <c s="125">
        <f>Предпосылки!S$241*Предпосылки!$Q264*Продажи!T29*T$19*(1+Чувствительность!$D$20)*IFERROR(LOOKUP(Предпосылки!$H$214,$C$13:$C$15,T$13:T$15),1)</f>
        <v>0</v>
      </c>
      <c s="125">
        <f>Предпосылки!T$241*Предпосылки!$Q264*Продажи!U29*U$19*(1+Чувствительность!$D$20)*IFERROR(LOOKUP(Предпосылки!$H$214,$C$13:$C$15,U$13:U$15),1)</f>
        <v>0</v>
      </c>
      <c s="125">
        <f>Предпосылки!U$241*Предпосылки!$Q264*Продажи!V29*V$19*(1+Чувствительность!$D$20)*IFERROR(LOOKUP(Предпосылки!$H$214,$C$13:$C$15,V$13:V$15),1)</f>
        <v>0</v>
      </c>
      <c s="125">
        <f>Предпосылки!V$241*Предпосылки!$Q264*Продажи!W29*W$19*(1+Чувствительность!$D$20)*IFERROR(LOOKUP(Предпосылки!$H$214,$C$13:$C$15,W$13:W$15),1)</f>
        <v>0</v>
      </c>
      <c s="125">
        <f>Предпосылки!W$241*Предпосылки!$Q264*Продажи!X29*X$19*(1+Чувствительность!$D$20)*IFERROR(LOOKUP(Предпосылки!$H$214,$C$13:$C$15,X$13:X$15),1)</f>
        <v>0</v>
      </c>
      <c s="125">
        <f>Предпосылки!X$241*Предпосылки!$Q264*Продажи!Y29*Y$19*(1+Чувствительность!$D$20)*IFERROR(LOOKUP(Предпосылки!$H$214,$C$13:$C$15,Y$13:Y$15),1)</f>
        <v>0</v>
      </c>
      <c s="125">
        <f>Предпосылки!Y$241*Предпосылки!$Q264*Продажи!Z29*Z$19*(1+Чувствительность!$D$20)*IFERROR(LOOKUP(Предпосылки!$H$214,$C$13:$C$15,Z$13:Z$15),1)</f>
        <v>0</v>
      </c>
      <c s="125">
        <f>Предпосылки!Z$241*Предпосылки!$Q264*Продажи!AA29*AA$19*(1+Чувствительность!$D$20)*IFERROR(LOOKUP(Предпосылки!$H$214,$C$13:$C$15,AA$13:AA$15),1)</f>
        <v>0</v>
      </c>
      <c s="125">
        <f>Предпосылки!AA$241*Предпосылки!$Q264*Продажи!AB29*AB$19*(1+Чувствительность!$D$20)*IFERROR(LOOKUP(Предпосылки!$H$214,$C$13:$C$15,AB$13:AB$15),1)</f>
        <v>0</v>
      </c>
      <c s="125">
        <f>Предпосылки!AB$241*Предпосылки!$Q264*Продажи!AC29*AC$19*(1+Чувствительность!$D$20)*IFERROR(LOOKUP(Предпосылки!$H$214,$C$13:$C$15,AC$13:AC$15),1)</f>
        <v>0</v>
      </c>
      <c s="125">
        <f>Предпосылки!AC$241*Предпосылки!$Q264*Продажи!AD29*AD$19*(1+Чувствительность!$D$20)*IFERROR(LOOKUP(Предпосылки!$H$214,$C$13:$C$15,AD$13:AD$15),1)</f>
        <v>0</v>
      </c>
      <c s="125">
        <f>Предпосылки!AD$241*Предпосылки!$Q264*Продажи!AE29*AE$19*(1+Чувствительность!$D$20)*IFERROR(LOOKUP(Предпосылки!$H$214,$C$13:$C$15,AE$13:AE$15),1)</f>
        <v>0</v>
      </c>
      <c s="125">
        <f>Предпосылки!AE$241*Предпосылки!$Q264*Продажи!AF29*AF$19*(1+Чувствительность!$D$20)*IFERROR(LOOKUP(Предпосылки!$H$214,$C$13:$C$15,AF$13:AF$15),1)</f>
        <v>0</v>
      </c>
      <c s="125">
        <f>Предпосылки!AF$241*Предпосылки!$Q264*Продажи!AG29*AG$19*(1+Чувствительность!$D$20)*IFERROR(LOOKUP(Предпосылки!$H$214,$C$13:$C$15,AG$13:AG$15),1)</f>
        <v>0</v>
      </c>
      <c s="125">
        <f>Предпосылки!AG$241*Предпосылки!$Q264*Продажи!AH29*AH$19*(1+Чувствительность!$D$20)*IFERROR(LOOKUP(Предпосылки!$H$214,$C$13:$C$15,AH$13:AH$15),1)</f>
        <v>0</v>
      </c>
      <c s="125">
        <f>Предпосылки!AH$241*Предпосылки!$Q264*Продажи!AI29*AI$19*(1+Чувствительность!$D$20)*IFERROR(LOOKUP(Предпосылки!$H$214,$C$13:$C$15,AI$13:AI$15),1)</f>
        <v>0</v>
      </c>
      <c s="125">
        <f>Предпосылки!AI$241*Предпосылки!$Q264*Продажи!AJ29*AJ$19*(1+Чувствительность!$D$20)*IFERROR(LOOKUP(Предпосылки!$H$214,$C$13:$C$15,AJ$13:AJ$15),1)</f>
        <v>0</v>
      </c>
      <c s="125">
        <f>Предпосылки!AJ$241*Предпосылки!$Q264*Продажи!AK29*AK$19*(1+Чувствительность!$D$20)*IFERROR(LOOKUP(Предпосылки!$H$214,$C$13:$C$15,AK$13:AK$15),1)</f>
        <v>0</v>
      </c>
      <c s="125">
        <f>Предпосылки!AK$241*Предпосылки!$Q264*Продажи!AL29*AL$19*(1+Чувствительность!$D$20)*IFERROR(LOOKUP(Предпосылки!$H$214,$C$13:$C$15,AL$13:AL$15),1)</f>
        <v>0</v>
      </c>
      <c s="125">
        <f>Предпосылки!AL$241*Предпосылки!$Q264*Продажи!AM29*AM$19*(1+Чувствительность!$D$20)*IFERROR(LOOKUP(Предпосылки!$H$214,$C$13:$C$15,AM$13:AM$15),1)</f>
        <v>0</v>
      </c>
      <c s="125">
        <f>Предпосылки!AM$241*Предпосылки!$Q264*Продажи!AN29*AN$19*(1+Чувствительность!$D$20)*IFERROR(LOOKUP(Предпосылки!$H$214,$C$13:$C$15,AN$13:AN$15),1)</f>
        <v>0</v>
      </c>
      <c s="125">
        <f>Предпосылки!AN$241*Предпосылки!$Q264*Продажи!AO29*AO$19*(1+Чувствительность!$D$20)*IFERROR(LOOKUP(Предпосылки!$H$214,$C$13:$C$15,AO$13:AO$15),1)</f>
        <v>0</v>
      </c>
      <c s="125">
        <f>Предпосылки!AO$241*Предпосылки!$Q264*Продажи!AP29*AP$19*(1+Чувствительность!$D$20)*IFERROR(LOOKUP(Предпосылки!$H$214,$C$13:$C$15,AP$13:AP$15),1)</f>
        <v>0</v>
      </c>
      <c s="125">
        <f>Предпосылки!AP$241*Предпосылки!$Q264*Продажи!AQ29*AQ$19*(1+Чувствительность!$D$20)*IFERROR(LOOKUP(Предпосылки!$H$214,$C$13:$C$15,AQ$13:AQ$15),1)</f>
        <v>0</v>
      </c>
      <c s="125">
        <f>Предпосылки!AQ$241*Предпосылки!$Q264*Продажи!AR29*AR$19*(1+Чувствительность!$D$20)*IFERROR(LOOKUP(Предпосылки!$H$214,$C$13:$C$15,AR$13:AR$15),1)</f>
        <v>0</v>
      </c>
      <c s="125">
        <f>Предпосылки!AR$241*Предпосылки!$Q264*Продажи!AS29*AS$19*(1+Чувствительность!$D$20)*IFERROR(LOOKUP(Предпосылки!$H$214,$C$13:$C$15,AS$13:AS$15),1)</f>
        <v>0</v>
      </c>
      <c s="125">
        <f>Предпосылки!AS$241*Предпосылки!$Q264*Продажи!AT29*AT$19*(1+Чувствительность!$D$20)*IFERROR(LOOKUP(Предпосылки!$H$214,$C$13:$C$15,AT$13:AT$15),1)</f>
        <v>0</v>
      </c>
      <c s="125">
        <f>Предпосылки!AT$241*Предпосылки!$Q264*Продажи!AU29*AU$19*(1+Чувствительность!$D$20)*IFERROR(LOOKUP(Предпосылки!$H$214,$C$13:$C$15,AU$13:AU$15),1)</f>
        <v>0</v>
      </c>
      <c s="125">
        <f>Предпосылки!AU$241*Предпосылки!$Q264*Продажи!AV29*AV$19*(1+Чувствительность!$D$20)*IFERROR(LOOKUP(Предпосылки!$H$214,$C$13:$C$15,AV$13:AV$15),1)</f>
        <v>0</v>
      </c>
      <c s="125">
        <f>Предпосылки!AV$241*Предпосылки!$Q264*Продажи!AW29*AW$19*(1+Чувствительность!$D$20)*IFERROR(LOOKUP(Предпосылки!$H$214,$C$13:$C$15,AW$13:AW$15),1)</f>
        <v>0</v>
      </c>
      <c s="125">
        <f>Предпосылки!AW$241*Предпосылки!$Q264*Продажи!AX29*AX$19*(1+Чувствительность!$D$20)*IFERROR(LOOKUP(Предпосылки!$H$214,$C$13:$C$15,AX$13:AX$15),1)</f>
        <v>0</v>
      </c>
      <c s="125">
        <f>Предпосылки!AX$241*Предпосылки!$Q264*Продажи!AY29*AY$19*(1+Чувствительность!$D$20)*IFERROR(LOOKUP(Предпосылки!$H$214,$C$13:$C$15,AY$13:AY$15),1)</f>
        <v>0</v>
      </c>
      <c s="125">
        <f>Предпосылки!AY$241*Предпосылки!$Q264*Продажи!AZ29*AZ$19*(1+Чувствительность!$D$20)*IFERROR(LOOKUP(Предпосылки!$H$214,$C$13:$C$15,AZ$13:AZ$15),1)</f>
        <v>0</v>
      </c>
      <c s="125">
        <f>Предпосылки!AZ$241*Предпосылки!$Q264*Продажи!BA29*BA$19*(1+Чувствительность!$D$20)*IFERROR(LOOKUP(Предпосылки!$H$214,$C$13:$C$15,BA$13:BA$15),1)</f>
        <v>0</v>
      </c>
      <c s="125">
        <f>Предпосылки!BA$241*Предпосылки!$Q264*Продажи!BB29*BB$19*(1+Чувствительность!$D$20)*IFERROR(LOOKUP(Предпосылки!$H$214,$C$13:$C$15,BB$13:BB$15),1)</f>
        <v>0</v>
      </c>
      <c s="125">
        <f>Предпосылки!BB$241*Предпосылки!$Q264*Продажи!BC29*BC$19*(1+Чувствительность!$D$20)*IFERROR(LOOKUP(Предпосылки!$H$214,$C$13:$C$15,BC$13:BC$15),1)</f>
        <v>0</v>
      </c>
      <c s="125">
        <f>Предпосылки!BC$241*Предпосылки!$Q264*Продажи!BD29*BD$19*(1+Чувствительность!$D$20)*IFERROR(LOOKUP(Предпосылки!$H$214,$C$13:$C$15,BD$13:BD$15),1)</f>
        <v>0</v>
      </c>
      <c s="125">
        <f>Предпосылки!BD$241*Предпосылки!$Q264*Продажи!BE29*BE$19*(1+Чувствительность!$D$20)*IFERROR(LOOKUP(Предпосылки!$H$214,$C$13:$C$15,BE$13:BE$15),1)</f>
        <v>0</v>
      </c>
      <c s="125">
        <f>Предпосылки!BE$241*Предпосылки!$Q264*Продажи!BF29*BF$19*(1+Чувствительность!$D$20)*IFERROR(LOOKUP(Предпосылки!$H$214,$C$13:$C$15,BF$13:BF$15),1)</f>
        <v>0</v>
      </c>
      <c s="125">
        <f>Предпосылки!BF$241*Предпосылки!$Q264*Продажи!BG29*BG$19*(1+Чувствительность!$D$20)*IFERROR(LOOKUP(Предпосылки!$H$214,$C$13:$C$15,BG$13:BG$15),1)</f>
        <v>0</v>
      </c>
      <c s="125">
        <f>Предпосылки!BG$241*Предпосылки!$Q264*Продажи!BH29*BH$19*(1+Чувствительность!$D$20)*IFERROR(LOOKUP(Предпосылки!$H$214,$C$13:$C$15,BH$13:BH$15),1)</f>
        <v>0</v>
      </c>
      <c s="125">
        <f>Предпосылки!BH$241*Предпосылки!$Q264*Продажи!BI29*BI$19*(1+Чувствительность!$D$20)*IFERROR(LOOKUP(Предпосылки!$H$214,$C$13:$C$15,BI$13:BI$15),1)</f>
        <v>0</v>
      </c>
      <c s="125">
        <f>Предпосылки!BI$241*Предпосылки!$Q264*Продажи!BJ29*BJ$19*(1+Чувствительность!$D$20)*IFERROR(LOOKUP(Предпосылки!$H$214,$C$13:$C$15,BJ$13:BJ$15),1)</f>
        <v>0</v>
      </c>
      <c s="125">
        <f>Предпосылки!BJ$241*Предпосылки!$Q264*Продажи!BK29*BK$19*(1+Чувствительность!$D$20)*IFERROR(LOOKUP(Предпосылки!$H$214,$C$13:$C$15,BK$13:BK$15),1)</f>
        <v>0</v>
      </c>
      <c s="125">
        <f>Предпосылки!BK$241*Предпосылки!$Q264*Продажи!BL29*BL$19*(1+Чувствительность!$D$20)*IFERROR(LOOKUP(Предпосылки!$H$214,$C$13:$C$15,BL$13:BL$15),1)</f>
        <v>0</v>
      </c>
      <c s="125">
        <f>Предпосылки!BL$241*Предпосылки!$Q264*Продажи!BM29*BM$19*(1+Чувствительность!$D$20)*IFERROR(LOOKUP(Предпосылки!$H$214,$C$13:$C$15,BM$13:BM$15),1)</f>
        <v>0</v>
      </c>
    </row>
    <row r="334" spans="2:65" ht="15" customHeight="1">
      <c r="B334" s="12" t="str">
        <f t="shared" si="126"/>
        <v>Продукт 13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Предпосылки!D$241*Предпосылки!$Q265*Продажи!E30*E$19*(1+Чувствительность!$D$20)*IFERROR(LOOKUP(Предпосылки!$H$214,$C$13:$C$15,E$13:E$15),1)</f>
        <v>0</v>
      </c>
      <c s="125">
        <f>Предпосылки!E$241*Предпосылки!$Q265*Продажи!F30*F$19*(1+Чувствительность!$D$20)*IFERROR(LOOKUP(Предпосылки!$H$214,$C$13:$C$15,F$13:F$15),1)</f>
        <v>0</v>
      </c>
      <c s="125">
        <f>Предпосылки!F$241*Предпосылки!$Q265*Продажи!G30*G$19*(1+Чувствительность!$D$20)*IFERROR(LOOKUP(Предпосылки!$H$214,$C$13:$C$15,G$13:G$15),1)</f>
        <v>0</v>
      </c>
      <c s="125">
        <f>Предпосылки!G$241*Предпосылки!$Q265*Продажи!H30*H$19*(1+Чувствительность!$D$20)*IFERROR(LOOKUP(Предпосылки!$H$214,$C$13:$C$15,H$13:H$15),1)</f>
        <v>0</v>
      </c>
      <c s="125">
        <f>Предпосылки!H$241*Предпосылки!$Q265*Продажи!I30*I$19*(1+Чувствительность!$D$20)*IFERROR(LOOKUP(Предпосылки!$H$214,$C$13:$C$15,I$13:I$15),1)</f>
        <v>0</v>
      </c>
      <c s="125">
        <f>Предпосылки!I$241*Предпосылки!$Q265*Продажи!J30*J$19*(1+Чувствительность!$D$20)*IFERROR(LOOKUP(Предпосылки!$H$214,$C$13:$C$15,J$13:J$15),1)</f>
        <v>0</v>
      </c>
      <c s="125">
        <f>Предпосылки!J$241*Предпосылки!$Q265*Продажи!K30*K$19*(1+Чувствительность!$D$20)*IFERROR(LOOKUP(Предпосылки!$H$214,$C$13:$C$15,K$13:K$15),1)</f>
        <v>0</v>
      </c>
      <c s="125">
        <f>Предпосылки!K$241*Предпосылки!$Q265*Продажи!L30*L$19*(1+Чувствительность!$D$20)*IFERROR(LOOKUP(Предпосылки!$H$214,$C$13:$C$15,L$13:L$15),1)</f>
        <v>0</v>
      </c>
      <c s="125">
        <f>Предпосылки!L$241*Предпосылки!$Q265*Продажи!M30*M$19*(1+Чувствительность!$D$20)*IFERROR(LOOKUP(Предпосылки!$H$214,$C$13:$C$15,M$13:M$15),1)</f>
        <v>0</v>
      </c>
      <c s="125">
        <f>Предпосылки!M$241*Предпосылки!$Q265*Продажи!N30*N$19*(1+Чувствительность!$D$20)*IFERROR(LOOKUP(Предпосылки!$H$214,$C$13:$C$15,N$13:N$15),1)</f>
        <v>0</v>
      </c>
      <c s="125">
        <f>Предпосылки!N$241*Предпосылки!$Q265*Продажи!O30*O$19*(1+Чувствительность!$D$20)*IFERROR(LOOKUP(Предпосылки!$H$214,$C$13:$C$15,O$13:O$15),1)</f>
        <v>0</v>
      </c>
      <c s="125">
        <f>Предпосылки!O$241*Предпосылки!$Q265*Продажи!P30*P$19*(1+Чувствительность!$D$20)*IFERROR(LOOKUP(Предпосылки!$H$214,$C$13:$C$15,P$13:P$15),1)</f>
        <v>0</v>
      </c>
      <c s="125">
        <f>Предпосылки!P$241*Предпосылки!$Q265*Продажи!Q30*Q$19*(1+Чувствительность!$D$20)*IFERROR(LOOKUP(Предпосылки!$H$214,$C$13:$C$15,Q$13:Q$15),1)</f>
        <v>0</v>
      </c>
      <c s="125">
        <f>Предпосылки!Q$241*Предпосылки!$Q265*Продажи!R30*R$19*(1+Чувствительность!$D$20)*IFERROR(LOOKUP(Предпосылки!$H$214,$C$13:$C$15,R$13:R$15),1)</f>
        <v>0</v>
      </c>
      <c s="125">
        <f>Предпосылки!R$241*Предпосылки!$Q265*Продажи!S30*S$19*(1+Чувствительность!$D$20)*IFERROR(LOOKUP(Предпосылки!$H$214,$C$13:$C$15,S$13:S$15),1)</f>
        <v>0</v>
      </c>
      <c s="125">
        <f>Предпосылки!S$241*Предпосылки!$Q265*Продажи!T30*T$19*(1+Чувствительность!$D$20)*IFERROR(LOOKUP(Предпосылки!$H$214,$C$13:$C$15,T$13:T$15),1)</f>
        <v>0</v>
      </c>
      <c s="125">
        <f>Предпосылки!T$241*Предпосылки!$Q265*Продажи!U30*U$19*(1+Чувствительность!$D$20)*IFERROR(LOOKUP(Предпосылки!$H$214,$C$13:$C$15,U$13:U$15),1)</f>
        <v>0</v>
      </c>
      <c s="125">
        <f>Предпосылки!U$241*Предпосылки!$Q265*Продажи!V30*V$19*(1+Чувствительность!$D$20)*IFERROR(LOOKUP(Предпосылки!$H$214,$C$13:$C$15,V$13:V$15),1)</f>
        <v>0</v>
      </c>
      <c s="125">
        <f>Предпосылки!V$241*Предпосылки!$Q265*Продажи!W30*W$19*(1+Чувствительность!$D$20)*IFERROR(LOOKUP(Предпосылки!$H$214,$C$13:$C$15,W$13:W$15),1)</f>
        <v>0</v>
      </c>
      <c s="125">
        <f>Предпосылки!W$241*Предпосылки!$Q265*Продажи!X30*X$19*(1+Чувствительность!$D$20)*IFERROR(LOOKUP(Предпосылки!$H$214,$C$13:$C$15,X$13:X$15),1)</f>
        <v>0</v>
      </c>
      <c s="125">
        <f>Предпосылки!X$241*Предпосылки!$Q265*Продажи!Y30*Y$19*(1+Чувствительность!$D$20)*IFERROR(LOOKUP(Предпосылки!$H$214,$C$13:$C$15,Y$13:Y$15),1)</f>
        <v>0</v>
      </c>
      <c s="125">
        <f>Предпосылки!Y$241*Предпосылки!$Q265*Продажи!Z30*Z$19*(1+Чувствительность!$D$20)*IFERROR(LOOKUP(Предпосылки!$H$214,$C$13:$C$15,Z$13:Z$15),1)</f>
        <v>0</v>
      </c>
      <c s="125">
        <f>Предпосылки!Z$241*Предпосылки!$Q265*Продажи!AA30*AA$19*(1+Чувствительность!$D$20)*IFERROR(LOOKUP(Предпосылки!$H$214,$C$13:$C$15,AA$13:AA$15),1)</f>
        <v>0</v>
      </c>
      <c s="125">
        <f>Предпосылки!AA$241*Предпосылки!$Q265*Продажи!AB30*AB$19*(1+Чувствительность!$D$20)*IFERROR(LOOKUP(Предпосылки!$H$214,$C$13:$C$15,AB$13:AB$15),1)</f>
        <v>0</v>
      </c>
      <c s="125">
        <f>Предпосылки!AB$241*Предпосылки!$Q265*Продажи!AC30*AC$19*(1+Чувствительность!$D$20)*IFERROR(LOOKUP(Предпосылки!$H$214,$C$13:$C$15,AC$13:AC$15),1)</f>
        <v>0</v>
      </c>
      <c s="125">
        <f>Предпосылки!AC$241*Предпосылки!$Q265*Продажи!AD30*AD$19*(1+Чувствительность!$D$20)*IFERROR(LOOKUP(Предпосылки!$H$214,$C$13:$C$15,AD$13:AD$15),1)</f>
        <v>0</v>
      </c>
      <c s="125">
        <f>Предпосылки!AD$241*Предпосылки!$Q265*Продажи!AE30*AE$19*(1+Чувствительность!$D$20)*IFERROR(LOOKUP(Предпосылки!$H$214,$C$13:$C$15,AE$13:AE$15),1)</f>
        <v>0</v>
      </c>
      <c s="125">
        <f>Предпосылки!AE$241*Предпосылки!$Q265*Продажи!AF30*AF$19*(1+Чувствительность!$D$20)*IFERROR(LOOKUP(Предпосылки!$H$214,$C$13:$C$15,AF$13:AF$15),1)</f>
        <v>0</v>
      </c>
      <c s="125">
        <f>Предпосылки!AF$241*Предпосылки!$Q265*Продажи!AG30*AG$19*(1+Чувствительность!$D$20)*IFERROR(LOOKUP(Предпосылки!$H$214,$C$13:$C$15,AG$13:AG$15),1)</f>
        <v>0</v>
      </c>
      <c s="125">
        <f>Предпосылки!AG$241*Предпосылки!$Q265*Продажи!AH30*AH$19*(1+Чувствительность!$D$20)*IFERROR(LOOKUP(Предпосылки!$H$214,$C$13:$C$15,AH$13:AH$15),1)</f>
        <v>0</v>
      </c>
      <c s="125">
        <f>Предпосылки!AH$241*Предпосылки!$Q265*Продажи!AI30*AI$19*(1+Чувствительность!$D$20)*IFERROR(LOOKUP(Предпосылки!$H$214,$C$13:$C$15,AI$13:AI$15),1)</f>
        <v>0</v>
      </c>
      <c s="125">
        <f>Предпосылки!AI$241*Предпосылки!$Q265*Продажи!AJ30*AJ$19*(1+Чувствительность!$D$20)*IFERROR(LOOKUP(Предпосылки!$H$214,$C$13:$C$15,AJ$13:AJ$15),1)</f>
        <v>0</v>
      </c>
      <c s="125">
        <f>Предпосылки!AJ$241*Предпосылки!$Q265*Продажи!AK30*AK$19*(1+Чувствительность!$D$20)*IFERROR(LOOKUP(Предпосылки!$H$214,$C$13:$C$15,AK$13:AK$15),1)</f>
        <v>0</v>
      </c>
      <c s="125">
        <f>Предпосылки!AK$241*Предпосылки!$Q265*Продажи!AL30*AL$19*(1+Чувствительность!$D$20)*IFERROR(LOOKUP(Предпосылки!$H$214,$C$13:$C$15,AL$13:AL$15),1)</f>
        <v>0</v>
      </c>
      <c s="125">
        <f>Предпосылки!AL$241*Предпосылки!$Q265*Продажи!AM30*AM$19*(1+Чувствительность!$D$20)*IFERROR(LOOKUP(Предпосылки!$H$214,$C$13:$C$15,AM$13:AM$15),1)</f>
        <v>0</v>
      </c>
      <c s="125">
        <f>Предпосылки!AM$241*Предпосылки!$Q265*Продажи!AN30*AN$19*(1+Чувствительность!$D$20)*IFERROR(LOOKUP(Предпосылки!$H$214,$C$13:$C$15,AN$13:AN$15),1)</f>
        <v>0</v>
      </c>
      <c s="125">
        <f>Предпосылки!AN$241*Предпосылки!$Q265*Продажи!AO30*AO$19*(1+Чувствительность!$D$20)*IFERROR(LOOKUP(Предпосылки!$H$214,$C$13:$C$15,AO$13:AO$15),1)</f>
        <v>0</v>
      </c>
      <c s="125">
        <f>Предпосылки!AO$241*Предпосылки!$Q265*Продажи!AP30*AP$19*(1+Чувствительность!$D$20)*IFERROR(LOOKUP(Предпосылки!$H$214,$C$13:$C$15,AP$13:AP$15),1)</f>
        <v>0</v>
      </c>
      <c s="125">
        <f>Предпосылки!AP$241*Предпосылки!$Q265*Продажи!AQ30*AQ$19*(1+Чувствительность!$D$20)*IFERROR(LOOKUP(Предпосылки!$H$214,$C$13:$C$15,AQ$13:AQ$15),1)</f>
        <v>0</v>
      </c>
      <c s="125">
        <f>Предпосылки!AQ$241*Предпосылки!$Q265*Продажи!AR30*AR$19*(1+Чувствительность!$D$20)*IFERROR(LOOKUP(Предпосылки!$H$214,$C$13:$C$15,AR$13:AR$15),1)</f>
        <v>0</v>
      </c>
      <c s="125">
        <f>Предпосылки!AR$241*Предпосылки!$Q265*Продажи!AS30*AS$19*(1+Чувствительность!$D$20)*IFERROR(LOOKUP(Предпосылки!$H$214,$C$13:$C$15,AS$13:AS$15),1)</f>
        <v>0</v>
      </c>
      <c s="125">
        <f>Предпосылки!AS$241*Предпосылки!$Q265*Продажи!AT30*AT$19*(1+Чувствительность!$D$20)*IFERROR(LOOKUP(Предпосылки!$H$214,$C$13:$C$15,AT$13:AT$15),1)</f>
        <v>0</v>
      </c>
      <c s="125">
        <f>Предпосылки!AT$241*Предпосылки!$Q265*Продажи!AU30*AU$19*(1+Чувствительность!$D$20)*IFERROR(LOOKUP(Предпосылки!$H$214,$C$13:$C$15,AU$13:AU$15),1)</f>
        <v>0</v>
      </c>
      <c s="125">
        <f>Предпосылки!AU$241*Предпосылки!$Q265*Продажи!AV30*AV$19*(1+Чувствительность!$D$20)*IFERROR(LOOKUP(Предпосылки!$H$214,$C$13:$C$15,AV$13:AV$15),1)</f>
        <v>0</v>
      </c>
      <c s="125">
        <f>Предпосылки!AV$241*Предпосылки!$Q265*Продажи!AW30*AW$19*(1+Чувствительность!$D$20)*IFERROR(LOOKUP(Предпосылки!$H$214,$C$13:$C$15,AW$13:AW$15),1)</f>
        <v>0</v>
      </c>
      <c s="125">
        <f>Предпосылки!AW$241*Предпосылки!$Q265*Продажи!AX30*AX$19*(1+Чувствительность!$D$20)*IFERROR(LOOKUP(Предпосылки!$H$214,$C$13:$C$15,AX$13:AX$15),1)</f>
        <v>0</v>
      </c>
      <c s="125">
        <f>Предпосылки!AX$241*Предпосылки!$Q265*Продажи!AY30*AY$19*(1+Чувствительность!$D$20)*IFERROR(LOOKUP(Предпосылки!$H$214,$C$13:$C$15,AY$13:AY$15),1)</f>
        <v>0</v>
      </c>
      <c s="125">
        <f>Предпосылки!AY$241*Предпосылки!$Q265*Продажи!AZ30*AZ$19*(1+Чувствительность!$D$20)*IFERROR(LOOKUP(Предпосылки!$H$214,$C$13:$C$15,AZ$13:AZ$15),1)</f>
        <v>0</v>
      </c>
      <c s="125">
        <f>Предпосылки!AZ$241*Предпосылки!$Q265*Продажи!BA30*BA$19*(1+Чувствительность!$D$20)*IFERROR(LOOKUP(Предпосылки!$H$214,$C$13:$C$15,BA$13:BA$15),1)</f>
        <v>0</v>
      </c>
      <c s="125">
        <f>Предпосылки!BA$241*Предпосылки!$Q265*Продажи!BB30*BB$19*(1+Чувствительность!$D$20)*IFERROR(LOOKUP(Предпосылки!$H$214,$C$13:$C$15,BB$13:BB$15),1)</f>
        <v>0</v>
      </c>
      <c s="125">
        <f>Предпосылки!BB$241*Предпосылки!$Q265*Продажи!BC30*BC$19*(1+Чувствительность!$D$20)*IFERROR(LOOKUP(Предпосылки!$H$214,$C$13:$C$15,BC$13:BC$15),1)</f>
        <v>0</v>
      </c>
      <c s="125">
        <f>Предпосылки!BC$241*Предпосылки!$Q265*Продажи!BD30*BD$19*(1+Чувствительность!$D$20)*IFERROR(LOOKUP(Предпосылки!$H$214,$C$13:$C$15,BD$13:BD$15),1)</f>
        <v>0</v>
      </c>
      <c s="125">
        <f>Предпосылки!BD$241*Предпосылки!$Q265*Продажи!BE30*BE$19*(1+Чувствительность!$D$20)*IFERROR(LOOKUP(Предпосылки!$H$214,$C$13:$C$15,BE$13:BE$15),1)</f>
        <v>0</v>
      </c>
      <c s="125">
        <f>Предпосылки!BE$241*Предпосылки!$Q265*Продажи!BF30*BF$19*(1+Чувствительность!$D$20)*IFERROR(LOOKUP(Предпосылки!$H$214,$C$13:$C$15,BF$13:BF$15),1)</f>
        <v>0</v>
      </c>
      <c s="125">
        <f>Предпосылки!BF$241*Предпосылки!$Q265*Продажи!BG30*BG$19*(1+Чувствительность!$D$20)*IFERROR(LOOKUP(Предпосылки!$H$214,$C$13:$C$15,BG$13:BG$15),1)</f>
        <v>0</v>
      </c>
      <c s="125">
        <f>Предпосылки!BG$241*Предпосылки!$Q265*Продажи!BH30*BH$19*(1+Чувствительность!$D$20)*IFERROR(LOOKUP(Предпосылки!$H$214,$C$13:$C$15,BH$13:BH$15),1)</f>
        <v>0</v>
      </c>
      <c s="125">
        <f>Предпосылки!BH$241*Предпосылки!$Q265*Продажи!BI30*BI$19*(1+Чувствительность!$D$20)*IFERROR(LOOKUP(Предпосылки!$H$214,$C$13:$C$15,BI$13:BI$15),1)</f>
        <v>0</v>
      </c>
      <c s="125">
        <f>Предпосылки!BI$241*Предпосылки!$Q265*Продажи!BJ30*BJ$19*(1+Чувствительность!$D$20)*IFERROR(LOOKUP(Предпосылки!$H$214,$C$13:$C$15,BJ$13:BJ$15),1)</f>
        <v>0</v>
      </c>
      <c s="125">
        <f>Предпосылки!BJ$241*Предпосылки!$Q265*Продажи!BK30*BK$19*(1+Чувствительность!$D$20)*IFERROR(LOOKUP(Предпосылки!$H$214,$C$13:$C$15,BK$13:BK$15),1)</f>
        <v>0</v>
      </c>
      <c s="125">
        <f>Предпосылки!BK$241*Предпосылки!$Q265*Продажи!BL30*BL$19*(1+Чувствительность!$D$20)*IFERROR(LOOKUP(Предпосылки!$H$214,$C$13:$C$15,BL$13:BL$15),1)</f>
        <v>0</v>
      </c>
      <c s="125">
        <f>Предпосылки!BL$241*Предпосылки!$Q265*Продажи!BM30*BM$19*(1+Чувствительность!$D$20)*IFERROR(LOOKUP(Предпосылки!$H$214,$C$13:$C$15,BM$13:BM$15),1)</f>
        <v>0</v>
      </c>
    </row>
    <row r="335" spans="2:65" ht="15" customHeight="1">
      <c r="B335" s="12" t="str">
        <f t="shared" si="126"/>
        <v>Продукт 14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Предпосылки!D$241*Предпосылки!$Q266*Продажи!E31*E$19*(1+Чувствительность!$D$20)*IFERROR(LOOKUP(Предпосылки!$H$214,$C$13:$C$15,E$13:E$15),1)</f>
        <v>0</v>
      </c>
      <c s="125">
        <f>Предпосылки!E$241*Предпосылки!$Q266*Продажи!F31*F$19*(1+Чувствительность!$D$20)*IFERROR(LOOKUP(Предпосылки!$H$214,$C$13:$C$15,F$13:F$15),1)</f>
        <v>0</v>
      </c>
      <c s="125">
        <f>Предпосылки!F$241*Предпосылки!$Q266*Продажи!G31*G$19*(1+Чувствительность!$D$20)*IFERROR(LOOKUP(Предпосылки!$H$214,$C$13:$C$15,G$13:G$15),1)</f>
        <v>0</v>
      </c>
      <c s="125">
        <f>Предпосылки!G$241*Предпосылки!$Q266*Продажи!H31*H$19*(1+Чувствительность!$D$20)*IFERROR(LOOKUP(Предпосылки!$H$214,$C$13:$C$15,H$13:H$15),1)</f>
        <v>0</v>
      </c>
      <c s="125">
        <f>Предпосылки!H$241*Предпосылки!$Q266*Продажи!I31*I$19*(1+Чувствительность!$D$20)*IFERROR(LOOKUP(Предпосылки!$H$214,$C$13:$C$15,I$13:I$15),1)</f>
        <v>0</v>
      </c>
      <c s="125">
        <f>Предпосылки!I$241*Предпосылки!$Q266*Продажи!J31*J$19*(1+Чувствительность!$D$20)*IFERROR(LOOKUP(Предпосылки!$H$214,$C$13:$C$15,J$13:J$15),1)</f>
        <v>0</v>
      </c>
      <c s="125">
        <f>Предпосылки!J$241*Предпосылки!$Q266*Продажи!K31*K$19*(1+Чувствительность!$D$20)*IFERROR(LOOKUP(Предпосылки!$H$214,$C$13:$C$15,K$13:K$15),1)</f>
        <v>0</v>
      </c>
      <c s="125">
        <f>Предпосылки!K$241*Предпосылки!$Q266*Продажи!L31*L$19*(1+Чувствительность!$D$20)*IFERROR(LOOKUP(Предпосылки!$H$214,$C$13:$C$15,L$13:L$15),1)</f>
        <v>0</v>
      </c>
      <c s="125">
        <f>Предпосылки!L$241*Предпосылки!$Q266*Продажи!M31*M$19*(1+Чувствительность!$D$20)*IFERROR(LOOKUP(Предпосылки!$H$214,$C$13:$C$15,M$13:M$15),1)</f>
        <v>0</v>
      </c>
      <c s="125">
        <f>Предпосылки!M$241*Предпосылки!$Q266*Продажи!N31*N$19*(1+Чувствительность!$D$20)*IFERROR(LOOKUP(Предпосылки!$H$214,$C$13:$C$15,N$13:N$15),1)</f>
        <v>0</v>
      </c>
      <c s="125">
        <f>Предпосылки!N$241*Предпосылки!$Q266*Продажи!O31*O$19*(1+Чувствительность!$D$20)*IFERROR(LOOKUP(Предпосылки!$H$214,$C$13:$C$15,O$13:O$15),1)</f>
        <v>0</v>
      </c>
      <c s="125">
        <f>Предпосылки!O$241*Предпосылки!$Q266*Продажи!P31*P$19*(1+Чувствительность!$D$20)*IFERROR(LOOKUP(Предпосылки!$H$214,$C$13:$C$15,P$13:P$15),1)</f>
        <v>0</v>
      </c>
      <c s="125">
        <f>Предпосылки!P$241*Предпосылки!$Q266*Продажи!Q31*Q$19*(1+Чувствительность!$D$20)*IFERROR(LOOKUP(Предпосылки!$H$214,$C$13:$C$15,Q$13:Q$15),1)</f>
        <v>0</v>
      </c>
      <c s="125">
        <f>Предпосылки!Q$241*Предпосылки!$Q266*Продажи!R31*R$19*(1+Чувствительность!$D$20)*IFERROR(LOOKUP(Предпосылки!$H$214,$C$13:$C$15,R$13:R$15),1)</f>
        <v>0</v>
      </c>
      <c s="125">
        <f>Предпосылки!R$241*Предпосылки!$Q266*Продажи!S31*S$19*(1+Чувствительность!$D$20)*IFERROR(LOOKUP(Предпосылки!$H$214,$C$13:$C$15,S$13:S$15),1)</f>
        <v>0</v>
      </c>
      <c s="125">
        <f>Предпосылки!S$241*Предпосылки!$Q266*Продажи!T31*T$19*(1+Чувствительность!$D$20)*IFERROR(LOOKUP(Предпосылки!$H$214,$C$13:$C$15,T$13:T$15),1)</f>
        <v>0</v>
      </c>
      <c s="125">
        <f>Предпосылки!T$241*Предпосылки!$Q266*Продажи!U31*U$19*(1+Чувствительность!$D$20)*IFERROR(LOOKUP(Предпосылки!$H$214,$C$13:$C$15,U$13:U$15),1)</f>
        <v>0</v>
      </c>
      <c s="125">
        <f>Предпосылки!U$241*Предпосылки!$Q266*Продажи!V31*V$19*(1+Чувствительность!$D$20)*IFERROR(LOOKUP(Предпосылки!$H$214,$C$13:$C$15,V$13:V$15),1)</f>
        <v>0</v>
      </c>
      <c s="125">
        <f>Предпосылки!V$241*Предпосылки!$Q266*Продажи!W31*W$19*(1+Чувствительность!$D$20)*IFERROR(LOOKUP(Предпосылки!$H$214,$C$13:$C$15,W$13:W$15),1)</f>
        <v>0</v>
      </c>
      <c s="125">
        <f>Предпосылки!W$241*Предпосылки!$Q266*Продажи!X31*X$19*(1+Чувствительность!$D$20)*IFERROR(LOOKUP(Предпосылки!$H$214,$C$13:$C$15,X$13:X$15),1)</f>
        <v>0</v>
      </c>
      <c s="125">
        <f>Предпосылки!X$241*Предпосылки!$Q266*Продажи!Y31*Y$19*(1+Чувствительность!$D$20)*IFERROR(LOOKUP(Предпосылки!$H$214,$C$13:$C$15,Y$13:Y$15),1)</f>
        <v>0</v>
      </c>
      <c s="125">
        <f>Предпосылки!Y$241*Предпосылки!$Q266*Продажи!Z31*Z$19*(1+Чувствительность!$D$20)*IFERROR(LOOKUP(Предпосылки!$H$214,$C$13:$C$15,Z$13:Z$15),1)</f>
        <v>0</v>
      </c>
      <c s="125">
        <f>Предпосылки!Z$241*Предпосылки!$Q266*Продажи!AA31*AA$19*(1+Чувствительность!$D$20)*IFERROR(LOOKUP(Предпосылки!$H$214,$C$13:$C$15,AA$13:AA$15),1)</f>
        <v>0</v>
      </c>
      <c s="125">
        <f>Предпосылки!AA$241*Предпосылки!$Q266*Продажи!AB31*AB$19*(1+Чувствительность!$D$20)*IFERROR(LOOKUP(Предпосылки!$H$214,$C$13:$C$15,AB$13:AB$15),1)</f>
        <v>0</v>
      </c>
      <c s="125">
        <f>Предпосылки!AB$241*Предпосылки!$Q266*Продажи!AC31*AC$19*(1+Чувствительность!$D$20)*IFERROR(LOOKUP(Предпосылки!$H$214,$C$13:$C$15,AC$13:AC$15),1)</f>
        <v>0</v>
      </c>
      <c s="125">
        <f>Предпосылки!AC$241*Предпосылки!$Q266*Продажи!AD31*AD$19*(1+Чувствительность!$D$20)*IFERROR(LOOKUP(Предпосылки!$H$214,$C$13:$C$15,AD$13:AD$15),1)</f>
        <v>0</v>
      </c>
      <c s="125">
        <f>Предпосылки!AD$241*Предпосылки!$Q266*Продажи!AE31*AE$19*(1+Чувствительность!$D$20)*IFERROR(LOOKUP(Предпосылки!$H$214,$C$13:$C$15,AE$13:AE$15),1)</f>
        <v>0</v>
      </c>
      <c s="125">
        <f>Предпосылки!AE$241*Предпосылки!$Q266*Продажи!AF31*AF$19*(1+Чувствительность!$D$20)*IFERROR(LOOKUP(Предпосылки!$H$214,$C$13:$C$15,AF$13:AF$15),1)</f>
        <v>0</v>
      </c>
      <c s="125">
        <f>Предпосылки!AF$241*Предпосылки!$Q266*Продажи!AG31*AG$19*(1+Чувствительность!$D$20)*IFERROR(LOOKUP(Предпосылки!$H$214,$C$13:$C$15,AG$13:AG$15),1)</f>
        <v>0</v>
      </c>
      <c s="125">
        <f>Предпосылки!AG$241*Предпосылки!$Q266*Продажи!AH31*AH$19*(1+Чувствительность!$D$20)*IFERROR(LOOKUP(Предпосылки!$H$214,$C$13:$C$15,AH$13:AH$15),1)</f>
        <v>0</v>
      </c>
      <c s="125">
        <f>Предпосылки!AH$241*Предпосылки!$Q266*Продажи!AI31*AI$19*(1+Чувствительность!$D$20)*IFERROR(LOOKUP(Предпосылки!$H$214,$C$13:$C$15,AI$13:AI$15),1)</f>
        <v>0</v>
      </c>
      <c s="125">
        <f>Предпосылки!AI$241*Предпосылки!$Q266*Продажи!AJ31*AJ$19*(1+Чувствительность!$D$20)*IFERROR(LOOKUP(Предпосылки!$H$214,$C$13:$C$15,AJ$13:AJ$15),1)</f>
        <v>0</v>
      </c>
      <c s="125">
        <f>Предпосылки!AJ$241*Предпосылки!$Q266*Продажи!AK31*AK$19*(1+Чувствительность!$D$20)*IFERROR(LOOKUP(Предпосылки!$H$214,$C$13:$C$15,AK$13:AK$15),1)</f>
        <v>0</v>
      </c>
      <c s="125">
        <f>Предпосылки!AK$241*Предпосылки!$Q266*Продажи!AL31*AL$19*(1+Чувствительность!$D$20)*IFERROR(LOOKUP(Предпосылки!$H$214,$C$13:$C$15,AL$13:AL$15),1)</f>
        <v>0</v>
      </c>
      <c s="125">
        <f>Предпосылки!AL$241*Предпосылки!$Q266*Продажи!AM31*AM$19*(1+Чувствительность!$D$20)*IFERROR(LOOKUP(Предпосылки!$H$214,$C$13:$C$15,AM$13:AM$15),1)</f>
        <v>0</v>
      </c>
      <c s="125">
        <f>Предпосылки!AM$241*Предпосылки!$Q266*Продажи!AN31*AN$19*(1+Чувствительность!$D$20)*IFERROR(LOOKUP(Предпосылки!$H$214,$C$13:$C$15,AN$13:AN$15),1)</f>
        <v>0</v>
      </c>
      <c s="125">
        <f>Предпосылки!AN$241*Предпосылки!$Q266*Продажи!AO31*AO$19*(1+Чувствительность!$D$20)*IFERROR(LOOKUP(Предпосылки!$H$214,$C$13:$C$15,AO$13:AO$15),1)</f>
        <v>0</v>
      </c>
      <c s="125">
        <f>Предпосылки!AO$241*Предпосылки!$Q266*Продажи!AP31*AP$19*(1+Чувствительность!$D$20)*IFERROR(LOOKUP(Предпосылки!$H$214,$C$13:$C$15,AP$13:AP$15),1)</f>
        <v>0</v>
      </c>
      <c s="125">
        <f>Предпосылки!AP$241*Предпосылки!$Q266*Продажи!AQ31*AQ$19*(1+Чувствительность!$D$20)*IFERROR(LOOKUP(Предпосылки!$H$214,$C$13:$C$15,AQ$13:AQ$15),1)</f>
        <v>0</v>
      </c>
      <c s="125">
        <f>Предпосылки!AQ$241*Предпосылки!$Q266*Продажи!AR31*AR$19*(1+Чувствительность!$D$20)*IFERROR(LOOKUP(Предпосылки!$H$214,$C$13:$C$15,AR$13:AR$15),1)</f>
        <v>0</v>
      </c>
      <c s="125">
        <f>Предпосылки!AR$241*Предпосылки!$Q266*Продажи!AS31*AS$19*(1+Чувствительность!$D$20)*IFERROR(LOOKUP(Предпосылки!$H$214,$C$13:$C$15,AS$13:AS$15),1)</f>
        <v>0</v>
      </c>
      <c s="125">
        <f>Предпосылки!AS$241*Предпосылки!$Q266*Продажи!AT31*AT$19*(1+Чувствительность!$D$20)*IFERROR(LOOKUP(Предпосылки!$H$214,$C$13:$C$15,AT$13:AT$15),1)</f>
        <v>0</v>
      </c>
      <c s="125">
        <f>Предпосылки!AT$241*Предпосылки!$Q266*Продажи!AU31*AU$19*(1+Чувствительность!$D$20)*IFERROR(LOOKUP(Предпосылки!$H$214,$C$13:$C$15,AU$13:AU$15),1)</f>
        <v>0</v>
      </c>
      <c s="125">
        <f>Предпосылки!AU$241*Предпосылки!$Q266*Продажи!AV31*AV$19*(1+Чувствительность!$D$20)*IFERROR(LOOKUP(Предпосылки!$H$214,$C$13:$C$15,AV$13:AV$15),1)</f>
        <v>0</v>
      </c>
      <c s="125">
        <f>Предпосылки!AV$241*Предпосылки!$Q266*Продажи!AW31*AW$19*(1+Чувствительность!$D$20)*IFERROR(LOOKUP(Предпосылки!$H$214,$C$13:$C$15,AW$13:AW$15),1)</f>
        <v>0</v>
      </c>
      <c s="125">
        <f>Предпосылки!AW$241*Предпосылки!$Q266*Продажи!AX31*AX$19*(1+Чувствительность!$D$20)*IFERROR(LOOKUP(Предпосылки!$H$214,$C$13:$C$15,AX$13:AX$15),1)</f>
        <v>0</v>
      </c>
      <c s="125">
        <f>Предпосылки!AX$241*Предпосылки!$Q266*Продажи!AY31*AY$19*(1+Чувствительность!$D$20)*IFERROR(LOOKUP(Предпосылки!$H$214,$C$13:$C$15,AY$13:AY$15),1)</f>
        <v>0</v>
      </c>
      <c s="125">
        <f>Предпосылки!AY$241*Предпосылки!$Q266*Продажи!AZ31*AZ$19*(1+Чувствительность!$D$20)*IFERROR(LOOKUP(Предпосылки!$H$214,$C$13:$C$15,AZ$13:AZ$15),1)</f>
        <v>0</v>
      </c>
      <c s="125">
        <f>Предпосылки!AZ$241*Предпосылки!$Q266*Продажи!BA31*BA$19*(1+Чувствительность!$D$20)*IFERROR(LOOKUP(Предпосылки!$H$214,$C$13:$C$15,BA$13:BA$15),1)</f>
        <v>0</v>
      </c>
      <c s="125">
        <f>Предпосылки!BA$241*Предпосылки!$Q266*Продажи!BB31*BB$19*(1+Чувствительность!$D$20)*IFERROR(LOOKUP(Предпосылки!$H$214,$C$13:$C$15,BB$13:BB$15),1)</f>
        <v>0</v>
      </c>
      <c s="125">
        <f>Предпосылки!BB$241*Предпосылки!$Q266*Продажи!BC31*BC$19*(1+Чувствительность!$D$20)*IFERROR(LOOKUP(Предпосылки!$H$214,$C$13:$C$15,BC$13:BC$15),1)</f>
        <v>0</v>
      </c>
      <c s="125">
        <f>Предпосылки!BC$241*Предпосылки!$Q266*Продажи!BD31*BD$19*(1+Чувствительность!$D$20)*IFERROR(LOOKUP(Предпосылки!$H$214,$C$13:$C$15,BD$13:BD$15),1)</f>
        <v>0</v>
      </c>
      <c s="125">
        <f>Предпосылки!BD$241*Предпосылки!$Q266*Продажи!BE31*BE$19*(1+Чувствительность!$D$20)*IFERROR(LOOKUP(Предпосылки!$H$214,$C$13:$C$15,BE$13:BE$15),1)</f>
        <v>0</v>
      </c>
      <c s="125">
        <f>Предпосылки!BE$241*Предпосылки!$Q266*Продажи!BF31*BF$19*(1+Чувствительность!$D$20)*IFERROR(LOOKUP(Предпосылки!$H$214,$C$13:$C$15,BF$13:BF$15),1)</f>
        <v>0</v>
      </c>
      <c s="125">
        <f>Предпосылки!BF$241*Предпосылки!$Q266*Продажи!BG31*BG$19*(1+Чувствительность!$D$20)*IFERROR(LOOKUP(Предпосылки!$H$214,$C$13:$C$15,BG$13:BG$15),1)</f>
        <v>0</v>
      </c>
      <c s="125">
        <f>Предпосылки!BG$241*Предпосылки!$Q266*Продажи!BH31*BH$19*(1+Чувствительность!$D$20)*IFERROR(LOOKUP(Предпосылки!$H$214,$C$13:$C$15,BH$13:BH$15),1)</f>
        <v>0</v>
      </c>
      <c s="125">
        <f>Предпосылки!BH$241*Предпосылки!$Q266*Продажи!BI31*BI$19*(1+Чувствительность!$D$20)*IFERROR(LOOKUP(Предпосылки!$H$214,$C$13:$C$15,BI$13:BI$15),1)</f>
        <v>0</v>
      </c>
      <c s="125">
        <f>Предпосылки!BI$241*Предпосылки!$Q266*Продажи!BJ31*BJ$19*(1+Чувствительность!$D$20)*IFERROR(LOOKUP(Предпосылки!$H$214,$C$13:$C$15,BJ$13:BJ$15),1)</f>
        <v>0</v>
      </c>
      <c s="125">
        <f>Предпосылки!BJ$241*Предпосылки!$Q266*Продажи!BK31*BK$19*(1+Чувствительность!$D$20)*IFERROR(LOOKUP(Предпосылки!$H$214,$C$13:$C$15,BK$13:BK$15),1)</f>
        <v>0</v>
      </c>
      <c s="125">
        <f>Предпосылки!BK$241*Предпосылки!$Q266*Продажи!BL31*BL$19*(1+Чувствительность!$D$20)*IFERROR(LOOKUP(Предпосылки!$H$214,$C$13:$C$15,BL$13:BL$15),1)</f>
        <v>0</v>
      </c>
      <c s="125">
        <f>Предпосылки!BL$241*Предпосылки!$Q266*Продажи!BM31*BM$19*(1+Чувствительность!$D$20)*IFERROR(LOOKUP(Предпосылки!$H$214,$C$13:$C$15,BM$13:BM$15),1)</f>
        <v>0</v>
      </c>
    </row>
    <row r="336" spans="2:65" ht="15" customHeight="1">
      <c r="B336" s="12" t="str">
        <f t="shared" si="126"/>
        <v>Продукт 15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Предпосылки!D$241*Предпосылки!$Q267*Продажи!E32*E$19*(1+Чувствительность!$D$20)*IFERROR(LOOKUP(Предпосылки!$H$214,$C$13:$C$15,E$13:E$15),1)</f>
        <v>0</v>
      </c>
      <c s="125">
        <f>Предпосылки!E$241*Предпосылки!$Q267*Продажи!F32*F$19*(1+Чувствительность!$D$20)*IFERROR(LOOKUP(Предпосылки!$H$214,$C$13:$C$15,F$13:F$15),1)</f>
        <v>0</v>
      </c>
      <c s="125">
        <f>Предпосылки!F$241*Предпосылки!$Q267*Продажи!G32*G$19*(1+Чувствительность!$D$20)*IFERROR(LOOKUP(Предпосылки!$H$214,$C$13:$C$15,G$13:G$15),1)</f>
        <v>0</v>
      </c>
      <c s="125">
        <f>Предпосылки!G$241*Предпосылки!$Q267*Продажи!H32*H$19*(1+Чувствительность!$D$20)*IFERROR(LOOKUP(Предпосылки!$H$214,$C$13:$C$15,H$13:H$15),1)</f>
        <v>0</v>
      </c>
      <c s="125">
        <f>Предпосылки!H$241*Предпосылки!$Q267*Продажи!I32*I$19*(1+Чувствительность!$D$20)*IFERROR(LOOKUP(Предпосылки!$H$214,$C$13:$C$15,I$13:I$15),1)</f>
        <v>0</v>
      </c>
      <c s="125">
        <f>Предпосылки!I$241*Предпосылки!$Q267*Продажи!J32*J$19*(1+Чувствительность!$D$20)*IFERROR(LOOKUP(Предпосылки!$H$214,$C$13:$C$15,J$13:J$15),1)</f>
        <v>0</v>
      </c>
      <c s="125">
        <f>Предпосылки!J$241*Предпосылки!$Q267*Продажи!K32*K$19*(1+Чувствительность!$D$20)*IFERROR(LOOKUP(Предпосылки!$H$214,$C$13:$C$15,K$13:K$15),1)</f>
        <v>0</v>
      </c>
      <c s="125">
        <f>Предпосылки!K$241*Предпосылки!$Q267*Продажи!L32*L$19*(1+Чувствительность!$D$20)*IFERROR(LOOKUP(Предпосылки!$H$214,$C$13:$C$15,L$13:L$15),1)</f>
        <v>0</v>
      </c>
      <c s="125">
        <f>Предпосылки!L$241*Предпосылки!$Q267*Продажи!M32*M$19*(1+Чувствительность!$D$20)*IFERROR(LOOKUP(Предпосылки!$H$214,$C$13:$C$15,M$13:M$15),1)</f>
        <v>0</v>
      </c>
      <c s="125">
        <f>Предпосылки!M$241*Предпосылки!$Q267*Продажи!N32*N$19*(1+Чувствительность!$D$20)*IFERROR(LOOKUP(Предпосылки!$H$214,$C$13:$C$15,N$13:N$15),1)</f>
        <v>0</v>
      </c>
      <c s="125">
        <f>Предпосылки!N$241*Предпосылки!$Q267*Продажи!O32*O$19*(1+Чувствительность!$D$20)*IFERROR(LOOKUP(Предпосылки!$H$214,$C$13:$C$15,O$13:O$15),1)</f>
        <v>0</v>
      </c>
      <c s="125">
        <f>Предпосылки!O$241*Предпосылки!$Q267*Продажи!P32*P$19*(1+Чувствительность!$D$20)*IFERROR(LOOKUP(Предпосылки!$H$214,$C$13:$C$15,P$13:P$15),1)</f>
        <v>0</v>
      </c>
      <c s="125">
        <f>Предпосылки!P$241*Предпосылки!$Q267*Продажи!Q32*Q$19*(1+Чувствительность!$D$20)*IFERROR(LOOKUP(Предпосылки!$H$214,$C$13:$C$15,Q$13:Q$15),1)</f>
        <v>0</v>
      </c>
      <c s="125">
        <f>Предпосылки!Q$241*Предпосылки!$Q267*Продажи!R32*R$19*(1+Чувствительность!$D$20)*IFERROR(LOOKUP(Предпосылки!$H$214,$C$13:$C$15,R$13:R$15),1)</f>
        <v>0</v>
      </c>
      <c s="125">
        <f>Предпосылки!R$241*Предпосылки!$Q267*Продажи!S32*S$19*(1+Чувствительность!$D$20)*IFERROR(LOOKUP(Предпосылки!$H$214,$C$13:$C$15,S$13:S$15),1)</f>
        <v>0</v>
      </c>
      <c s="125">
        <f>Предпосылки!S$241*Предпосылки!$Q267*Продажи!T32*T$19*(1+Чувствительность!$D$20)*IFERROR(LOOKUP(Предпосылки!$H$214,$C$13:$C$15,T$13:T$15),1)</f>
        <v>0</v>
      </c>
      <c s="125">
        <f>Предпосылки!T$241*Предпосылки!$Q267*Продажи!U32*U$19*(1+Чувствительность!$D$20)*IFERROR(LOOKUP(Предпосылки!$H$214,$C$13:$C$15,U$13:U$15),1)</f>
        <v>0</v>
      </c>
      <c s="125">
        <f>Предпосылки!U$241*Предпосылки!$Q267*Продажи!V32*V$19*(1+Чувствительность!$D$20)*IFERROR(LOOKUP(Предпосылки!$H$214,$C$13:$C$15,V$13:V$15),1)</f>
        <v>0</v>
      </c>
      <c s="125">
        <f>Предпосылки!V$241*Предпосылки!$Q267*Продажи!W32*W$19*(1+Чувствительность!$D$20)*IFERROR(LOOKUP(Предпосылки!$H$214,$C$13:$C$15,W$13:W$15),1)</f>
        <v>0</v>
      </c>
      <c s="125">
        <f>Предпосылки!W$241*Предпосылки!$Q267*Продажи!X32*X$19*(1+Чувствительность!$D$20)*IFERROR(LOOKUP(Предпосылки!$H$214,$C$13:$C$15,X$13:X$15),1)</f>
        <v>0</v>
      </c>
      <c s="125">
        <f>Предпосылки!X$241*Предпосылки!$Q267*Продажи!Y32*Y$19*(1+Чувствительность!$D$20)*IFERROR(LOOKUP(Предпосылки!$H$214,$C$13:$C$15,Y$13:Y$15),1)</f>
        <v>0</v>
      </c>
      <c s="125">
        <f>Предпосылки!Y$241*Предпосылки!$Q267*Продажи!Z32*Z$19*(1+Чувствительность!$D$20)*IFERROR(LOOKUP(Предпосылки!$H$214,$C$13:$C$15,Z$13:Z$15),1)</f>
        <v>0</v>
      </c>
      <c s="125">
        <f>Предпосылки!Z$241*Предпосылки!$Q267*Продажи!AA32*AA$19*(1+Чувствительность!$D$20)*IFERROR(LOOKUP(Предпосылки!$H$214,$C$13:$C$15,AA$13:AA$15),1)</f>
        <v>0</v>
      </c>
      <c s="125">
        <f>Предпосылки!AA$241*Предпосылки!$Q267*Продажи!AB32*AB$19*(1+Чувствительность!$D$20)*IFERROR(LOOKUP(Предпосылки!$H$214,$C$13:$C$15,AB$13:AB$15),1)</f>
        <v>0</v>
      </c>
      <c s="125">
        <f>Предпосылки!AB$241*Предпосылки!$Q267*Продажи!AC32*AC$19*(1+Чувствительность!$D$20)*IFERROR(LOOKUP(Предпосылки!$H$214,$C$13:$C$15,AC$13:AC$15),1)</f>
        <v>0</v>
      </c>
      <c s="125">
        <f>Предпосылки!AC$241*Предпосылки!$Q267*Продажи!AD32*AD$19*(1+Чувствительность!$D$20)*IFERROR(LOOKUP(Предпосылки!$H$214,$C$13:$C$15,AD$13:AD$15),1)</f>
        <v>0</v>
      </c>
      <c s="125">
        <f>Предпосылки!AD$241*Предпосылки!$Q267*Продажи!AE32*AE$19*(1+Чувствительность!$D$20)*IFERROR(LOOKUP(Предпосылки!$H$214,$C$13:$C$15,AE$13:AE$15),1)</f>
        <v>0</v>
      </c>
      <c s="125">
        <f>Предпосылки!AE$241*Предпосылки!$Q267*Продажи!AF32*AF$19*(1+Чувствительность!$D$20)*IFERROR(LOOKUP(Предпосылки!$H$214,$C$13:$C$15,AF$13:AF$15),1)</f>
        <v>0</v>
      </c>
      <c s="125">
        <f>Предпосылки!AF$241*Предпосылки!$Q267*Продажи!AG32*AG$19*(1+Чувствительность!$D$20)*IFERROR(LOOKUP(Предпосылки!$H$214,$C$13:$C$15,AG$13:AG$15),1)</f>
        <v>0</v>
      </c>
      <c s="125">
        <f>Предпосылки!AG$241*Предпосылки!$Q267*Продажи!AH32*AH$19*(1+Чувствительность!$D$20)*IFERROR(LOOKUP(Предпосылки!$H$214,$C$13:$C$15,AH$13:AH$15),1)</f>
        <v>0</v>
      </c>
      <c s="125">
        <f>Предпосылки!AH$241*Предпосылки!$Q267*Продажи!AI32*AI$19*(1+Чувствительность!$D$20)*IFERROR(LOOKUP(Предпосылки!$H$214,$C$13:$C$15,AI$13:AI$15),1)</f>
        <v>0</v>
      </c>
      <c s="125">
        <f>Предпосылки!AI$241*Предпосылки!$Q267*Продажи!AJ32*AJ$19*(1+Чувствительность!$D$20)*IFERROR(LOOKUP(Предпосылки!$H$214,$C$13:$C$15,AJ$13:AJ$15),1)</f>
        <v>0</v>
      </c>
      <c s="125">
        <f>Предпосылки!AJ$241*Предпосылки!$Q267*Продажи!AK32*AK$19*(1+Чувствительность!$D$20)*IFERROR(LOOKUP(Предпосылки!$H$214,$C$13:$C$15,AK$13:AK$15),1)</f>
        <v>0</v>
      </c>
      <c s="125">
        <f>Предпосылки!AK$241*Предпосылки!$Q267*Продажи!AL32*AL$19*(1+Чувствительность!$D$20)*IFERROR(LOOKUP(Предпосылки!$H$214,$C$13:$C$15,AL$13:AL$15),1)</f>
        <v>0</v>
      </c>
      <c s="125">
        <f>Предпосылки!AL$241*Предпосылки!$Q267*Продажи!AM32*AM$19*(1+Чувствительность!$D$20)*IFERROR(LOOKUP(Предпосылки!$H$214,$C$13:$C$15,AM$13:AM$15),1)</f>
        <v>0</v>
      </c>
      <c s="125">
        <f>Предпосылки!AM$241*Предпосылки!$Q267*Продажи!AN32*AN$19*(1+Чувствительность!$D$20)*IFERROR(LOOKUP(Предпосылки!$H$214,$C$13:$C$15,AN$13:AN$15),1)</f>
        <v>0</v>
      </c>
      <c s="125">
        <f>Предпосылки!AN$241*Предпосылки!$Q267*Продажи!AO32*AO$19*(1+Чувствительность!$D$20)*IFERROR(LOOKUP(Предпосылки!$H$214,$C$13:$C$15,AO$13:AO$15),1)</f>
        <v>0</v>
      </c>
      <c s="125">
        <f>Предпосылки!AO$241*Предпосылки!$Q267*Продажи!AP32*AP$19*(1+Чувствительность!$D$20)*IFERROR(LOOKUP(Предпосылки!$H$214,$C$13:$C$15,AP$13:AP$15),1)</f>
        <v>0</v>
      </c>
      <c s="125">
        <f>Предпосылки!AP$241*Предпосылки!$Q267*Продажи!AQ32*AQ$19*(1+Чувствительность!$D$20)*IFERROR(LOOKUP(Предпосылки!$H$214,$C$13:$C$15,AQ$13:AQ$15),1)</f>
        <v>0</v>
      </c>
      <c s="125">
        <f>Предпосылки!AQ$241*Предпосылки!$Q267*Продажи!AR32*AR$19*(1+Чувствительность!$D$20)*IFERROR(LOOKUP(Предпосылки!$H$214,$C$13:$C$15,AR$13:AR$15),1)</f>
        <v>0</v>
      </c>
      <c s="125">
        <f>Предпосылки!AR$241*Предпосылки!$Q267*Продажи!AS32*AS$19*(1+Чувствительность!$D$20)*IFERROR(LOOKUP(Предпосылки!$H$214,$C$13:$C$15,AS$13:AS$15),1)</f>
        <v>0</v>
      </c>
      <c s="125">
        <f>Предпосылки!AS$241*Предпосылки!$Q267*Продажи!AT32*AT$19*(1+Чувствительность!$D$20)*IFERROR(LOOKUP(Предпосылки!$H$214,$C$13:$C$15,AT$13:AT$15),1)</f>
        <v>0</v>
      </c>
      <c s="125">
        <f>Предпосылки!AT$241*Предпосылки!$Q267*Продажи!AU32*AU$19*(1+Чувствительность!$D$20)*IFERROR(LOOKUP(Предпосылки!$H$214,$C$13:$C$15,AU$13:AU$15),1)</f>
        <v>0</v>
      </c>
      <c s="125">
        <f>Предпосылки!AU$241*Предпосылки!$Q267*Продажи!AV32*AV$19*(1+Чувствительность!$D$20)*IFERROR(LOOKUP(Предпосылки!$H$214,$C$13:$C$15,AV$13:AV$15),1)</f>
        <v>0</v>
      </c>
      <c s="125">
        <f>Предпосылки!AV$241*Предпосылки!$Q267*Продажи!AW32*AW$19*(1+Чувствительность!$D$20)*IFERROR(LOOKUP(Предпосылки!$H$214,$C$13:$C$15,AW$13:AW$15),1)</f>
        <v>0</v>
      </c>
      <c s="125">
        <f>Предпосылки!AW$241*Предпосылки!$Q267*Продажи!AX32*AX$19*(1+Чувствительность!$D$20)*IFERROR(LOOKUP(Предпосылки!$H$214,$C$13:$C$15,AX$13:AX$15),1)</f>
        <v>0</v>
      </c>
      <c s="125">
        <f>Предпосылки!AX$241*Предпосылки!$Q267*Продажи!AY32*AY$19*(1+Чувствительность!$D$20)*IFERROR(LOOKUP(Предпосылки!$H$214,$C$13:$C$15,AY$13:AY$15),1)</f>
        <v>0</v>
      </c>
      <c s="125">
        <f>Предпосылки!AY$241*Предпосылки!$Q267*Продажи!AZ32*AZ$19*(1+Чувствительность!$D$20)*IFERROR(LOOKUP(Предпосылки!$H$214,$C$13:$C$15,AZ$13:AZ$15),1)</f>
        <v>0</v>
      </c>
      <c s="125">
        <f>Предпосылки!AZ$241*Предпосылки!$Q267*Продажи!BA32*BA$19*(1+Чувствительность!$D$20)*IFERROR(LOOKUP(Предпосылки!$H$214,$C$13:$C$15,BA$13:BA$15),1)</f>
        <v>0</v>
      </c>
      <c s="125">
        <f>Предпосылки!BA$241*Предпосылки!$Q267*Продажи!BB32*BB$19*(1+Чувствительность!$D$20)*IFERROR(LOOKUP(Предпосылки!$H$214,$C$13:$C$15,BB$13:BB$15),1)</f>
        <v>0</v>
      </c>
      <c s="125">
        <f>Предпосылки!BB$241*Предпосылки!$Q267*Продажи!BC32*BC$19*(1+Чувствительность!$D$20)*IFERROR(LOOKUP(Предпосылки!$H$214,$C$13:$C$15,BC$13:BC$15),1)</f>
        <v>0</v>
      </c>
      <c s="125">
        <f>Предпосылки!BC$241*Предпосылки!$Q267*Продажи!BD32*BD$19*(1+Чувствительность!$D$20)*IFERROR(LOOKUP(Предпосылки!$H$214,$C$13:$C$15,BD$13:BD$15),1)</f>
        <v>0</v>
      </c>
      <c s="125">
        <f>Предпосылки!BD$241*Предпосылки!$Q267*Продажи!BE32*BE$19*(1+Чувствительность!$D$20)*IFERROR(LOOKUP(Предпосылки!$H$214,$C$13:$C$15,BE$13:BE$15),1)</f>
        <v>0</v>
      </c>
      <c s="125">
        <f>Предпосылки!BE$241*Предпосылки!$Q267*Продажи!BF32*BF$19*(1+Чувствительность!$D$20)*IFERROR(LOOKUP(Предпосылки!$H$214,$C$13:$C$15,BF$13:BF$15),1)</f>
        <v>0</v>
      </c>
      <c s="125">
        <f>Предпосылки!BF$241*Предпосылки!$Q267*Продажи!BG32*BG$19*(1+Чувствительность!$D$20)*IFERROR(LOOKUP(Предпосылки!$H$214,$C$13:$C$15,BG$13:BG$15),1)</f>
        <v>0</v>
      </c>
      <c s="125">
        <f>Предпосылки!BG$241*Предпосылки!$Q267*Продажи!BH32*BH$19*(1+Чувствительность!$D$20)*IFERROR(LOOKUP(Предпосылки!$H$214,$C$13:$C$15,BH$13:BH$15),1)</f>
        <v>0</v>
      </c>
      <c s="125">
        <f>Предпосылки!BH$241*Предпосылки!$Q267*Продажи!BI32*BI$19*(1+Чувствительность!$D$20)*IFERROR(LOOKUP(Предпосылки!$H$214,$C$13:$C$15,BI$13:BI$15),1)</f>
        <v>0</v>
      </c>
      <c s="125">
        <f>Предпосылки!BI$241*Предпосылки!$Q267*Продажи!BJ32*BJ$19*(1+Чувствительность!$D$20)*IFERROR(LOOKUP(Предпосылки!$H$214,$C$13:$C$15,BJ$13:BJ$15),1)</f>
        <v>0</v>
      </c>
      <c s="125">
        <f>Предпосылки!BJ$241*Предпосылки!$Q267*Продажи!BK32*BK$19*(1+Чувствительность!$D$20)*IFERROR(LOOKUP(Предпосылки!$H$214,$C$13:$C$15,BK$13:BK$15),1)</f>
        <v>0</v>
      </c>
      <c s="125">
        <f>Предпосылки!BK$241*Предпосылки!$Q267*Продажи!BL32*BL$19*(1+Чувствительность!$D$20)*IFERROR(LOOKUP(Предпосылки!$H$214,$C$13:$C$15,BL$13:BL$15),1)</f>
        <v>0</v>
      </c>
      <c s="125">
        <f>Предпосылки!BL$241*Предпосылки!$Q267*Продажи!BM32*BM$19*(1+Чувствительность!$D$20)*IFERROR(LOOKUP(Предпосылки!$H$214,$C$13:$C$15,BM$13:BM$15),1)</f>
        <v>0</v>
      </c>
    </row>
    <row r="337" spans="2:65" ht="15" customHeight="1">
      <c r="B337" s="12" t="str">
        <f t="shared" si="126"/>
        <v>Продукт 16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Предпосылки!D$241*Предпосылки!$Q268*Продажи!E33*E$19*(1+Чувствительность!$D$20)*IFERROR(LOOKUP(Предпосылки!$H$214,$C$13:$C$15,E$13:E$15),1)</f>
        <v>0</v>
      </c>
      <c s="125">
        <f>Предпосылки!E$241*Предпосылки!$Q268*Продажи!F33*F$19*(1+Чувствительность!$D$20)*IFERROR(LOOKUP(Предпосылки!$H$214,$C$13:$C$15,F$13:F$15),1)</f>
        <v>0</v>
      </c>
      <c s="125">
        <f>Предпосылки!F$241*Предпосылки!$Q268*Продажи!G33*G$19*(1+Чувствительность!$D$20)*IFERROR(LOOKUP(Предпосылки!$H$214,$C$13:$C$15,G$13:G$15),1)</f>
        <v>0</v>
      </c>
      <c s="125">
        <f>Предпосылки!G$241*Предпосылки!$Q268*Продажи!H33*H$19*(1+Чувствительность!$D$20)*IFERROR(LOOKUP(Предпосылки!$H$214,$C$13:$C$15,H$13:H$15),1)</f>
        <v>0</v>
      </c>
      <c s="125">
        <f>Предпосылки!H$241*Предпосылки!$Q268*Продажи!I33*I$19*(1+Чувствительность!$D$20)*IFERROR(LOOKUP(Предпосылки!$H$214,$C$13:$C$15,I$13:I$15),1)</f>
        <v>0</v>
      </c>
      <c s="125">
        <f>Предпосылки!I$241*Предпосылки!$Q268*Продажи!J33*J$19*(1+Чувствительность!$D$20)*IFERROR(LOOKUP(Предпосылки!$H$214,$C$13:$C$15,J$13:J$15),1)</f>
        <v>0</v>
      </c>
      <c s="125">
        <f>Предпосылки!J$241*Предпосылки!$Q268*Продажи!K33*K$19*(1+Чувствительность!$D$20)*IFERROR(LOOKUP(Предпосылки!$H$214,$C$13:$C$15,K$13:K$15),1)</f>
        <v>0</v>
      </c>
      <c s="125">
        <f>Предпосылки!K$241*Предпосылки!$Q268*Продажи!L33*L$19*(1+Чувствительность!$D$20)*IFERROR(LOOKUP(Предпосылки!$H$214,$C$13:$C$15,L$13:L$15),1)</f>
        <v>0</v>
      </c>
      <c s="125">
        <f>Предпосылки!L$241*Предпосылки!$Q268*Продажи!M33*M$19*(1+Чувствительность!$D$20)*IFERROR(LOOKUP(Предпосылки!$H$214,$C$13:$C$15,M$13:M$15),1)</f>
        <v>0</v>
      </c>
      <c s="125">
        <f>Предпосылки!M$241*Предпосылки!$Q268*Продажи!N33*N$19*(1+Чувствительность!$D$20)*IFERROR(LOOKUP(Предпосылки!$H$214,$C$13:$C$15,N$13:N$15),1)</f>
        <v>0</v>
      </c>
      <c s="125">
        <f>Предпосылки!N$241*Предпосылки!$Q268*Продажи!O33*O$19*(1+Чувствительность!$D$20)*IFERROR(LOOKUP(Предпосылки!$H$214,$C$13:$C$15,O$13:O$15),1)</f>
        <v>0</v>
      </c>
      <c s="125">
        <f>Предпосылки!O$241*Предпосылки!$Q268*Продажи!P33*P$19*(1+Чувствительность!$D$20)*IFERROR(LOOKUP(Предпосылки!$H$214,$C$13:$C$15,P$13:P$15),1)</f>
        <v>0</v>
      </c>
      <c s="125">
        <f>Предпосылки!P$241*Предпосылки!$Q268*Продажи!Q33*Q$19*(1+Чувствительность!$D$20)*IFERROR(LOOKUP(Предпосылки!$H$214,$C$13:$C$15,Q$13:Q$15),1)</f>
        <v>0</v>
      </c>
      <c s="125">
        <f>Предпосылки!Q$241*Предпосылки!$Q268*Продажи!R33*R$19*(1+Чувствительность!$D$20)*IFERROR(LOOKUP(Предпосылки!$H$214,$C$13:$C$15,R$13:R$15),1)</f>
        <v>0</v>
      </c>
      <c s="125">
        <f>Предпосылки!R$241*Предпосылки!$Q268*Продажи!S33*S$19*(1+Чувствительность!$D$20)*IFERROR(LOOKUP(Предпосылки!$H$214,$C$13:$C$15,S$13:S$15),1)</f>
        <v>0</v>
      </c>
      <c s="125">
        <f>Предпосылки!S$241*Предпосылки!$Q268*Продажи!T33*T$19*(1+Чувствительность!$D$20)*IFERROR(LOOKUP(Предпосылки!$H$214,$C$13:$C$15,T$13:T$15),1)</f>
        <v>0</v>
      </c>
      <c s="125">
        <f>Предпосылки!T$241*Предпосылки!$Q268*Продажи!U33*U$19*(1+Чувствительность!$D$20)*IFERROR(LOOKUP(Предпосылки!$H$214,$C$13:$C$15,U$13:U$15),1)</f>
        <v>0</v>
      </c>
      <c s="125">
        <f>Предпосылки!U$241*Предпосылки!$Q268*Продажи!V33*V$19*(1+Чувствительность!$D$20)*IFERROR(LOOKUP(Предпосылки!$H$214,$C$13:$C$15,V$13:V$15),1)</f>
        <v>0</v>
      </c>
      <c s="125">
        <f>Предпосылки!V$241*Предпосылки!$Q268*Продажи!W33*W$19*(1+Чувствительность!$D$20)*IFERROR(LOOKUP(Предпосылки!$H$214,$C$13:$C$15,W$13:W$15),1)</f>
        <v>0</v>
      </c>
      <c s="125">
        <f>Предпосылки!W$241*Предпосылки!$Q268*Продажи!X33*X$19*(1+Чувствительность!$D$20)*IFERROR(LOOKUP(Предпосылки!$H$214,$C$13:$C$15,X$13:X$15),1)</f>
        <v>0</v>
      </c>
      <c s="125">
        <f>Предпосылки!X$241*Предпосылки!$Q268*Продажи!Y33*Y$19*(1+Чувствительность!$D$20)*IFERROR(LOOKUP(Предпосылки!$H$214,$C$13:$C$15,Y$13:Y$15),1)</f>
        <v>0</v>
      </c>
      <c s="125">
        <f>Предпосылки!Y$241*Предпосылки!$Q268*Продажи!Z33*Z$19*(1+Чувствительность!$D$20)*IFERROR(LOOKUP(Предпосылки!$H$214,$C$13:$C$15,Z$13:Z$15),1)</f>
        <v>0</v>
      </c>
      <c s="125">
        <f>Предпосылки!Z$241*Предпосылки!$Q268*Продажи!AA33*AA$19*(1+Чувствительность!$D$20)*IFERROR(LOOKUP(Предпосылки!$H$214,$C$13:$C$15,AA$13:AA$15),1)</f>
        <v>0</v>
      </c>
      <c s="125">
        <f>Предпосылки!AA$241*Предпосылки!$Q268*Продажи!AB33*AB$19*(1+Чувствительность!$D$20)*IFERROR(LOOKUP(Предпосылки!$H$214,$C$13:$C$15,AB$13:AB$15),1)</f>
        <v>0</v>
      </c>
      <c s="125">
        <f>Предпосылки!AB$241*Предпосылки!$Q268*Продажи!AC33*AC$19*(1+Чувствительность!$D$20)*IFERROR(LOOKUP(Предпосылки!$H$214,$C$13:$C$15,AC$13:AC$15),1)</f>
        <v>0</v>
      </c>
      <c s="125">
        <f>Предпосылки!AC$241*Предпосылки!$Q268*Продажи!AD33*AD$19*(1+Чувствительность!$D$20)*IFERROR(LOOKUP(Предпосылки!$H$214,$C$13:$C$15,AD$13:AD$15),1)</f>
        <v>0</v>
      </c>
      <c s="125">
        <f>Предпосылки!AD$241*Предпосылки!$Q268*Продажи!AE33*AE$19*(1+Чувствительность!$D$20)*IFERROR(LOOKUP(Предпосылки!$H$214,$C$13:$C$15,AE$13:AE$15),1)</f>
        <v>0</v>
      </c>
      <c s="125">
        <f>Предпосылки!AE$241*Предпосылки!$Q268*Продажи!AF33*AF$19*(1+Чувствительность!$D$20)*IFERROR(LOOKUP(Предпосылки!$H$214,$C$13:$C$15,AF$13:AF$15),1)</f>
        <v>0</v>
      </c>
      <c s="125">
        <f>Предпосылки!AF$241*Предпосылки!$Q268*Продажи!AG33*AG$19*(1+Чувствительность!$D$20)*IFERROR(LOOKUP(Предпосылки!$H$214,$C$13:$C$15,AG$13:AG$15),1)</f>
        <v>0</v>
      </c>
      <c s="125">
        <f>Предпосылки!AG$241*Предпосылки!$Q268*Продажи!AH33*AH$19*(1+Чувствительность!$D$20)*IFERROR(LOOKUP(Предпосылки!$H$214,$C$13:$C$15,AH$13:AH$15),1)</f>
        <v>0</v>
      </c>
      <c s="125">
        <f>Предпосылки!AH$241*Предпосылки!$Q268*Продажи!AI33*AI$19*(1+Чувствительность!$D$20)*IFERROR(LOOKUP(Предпосылки!$H$214,$C$13:$C$15,AI$13:AI$15),1)</f>
        <v>0</v>
      </c>
      <c s="125">
        <f>Предпосылки!AI$241*Предпосылки!$Q268*Продажи!AJ33*AJ$19*(1+Чувствительность!$D$20)*IFERROR(LOOKUP(Предпосылки!$H$214,$C$13:$C$15,AJ$13:AJ$15),1)</f>
        <v>0</v>
      </c>
      <c s="125">
        <f>Предпосылки!AJ$241*Предпосылки!$Q268*Продажи!AK33*AK$19*(1+Чувствительность!$D$20)*IFERROR(LOOKUP(Предпосылки!$H$214,$C$13:$C$15,AK$13:AK$15),1)</f>
        <v>0</v>
      </c>
      <c s="125">
        <f>Предпосылки!AK$241*Предпосылки!$Q268*Продажи!AL33*AL$19*(1+Чувствительность!$D$20)*IFERROR(LOOKUP(Предпосылки!$H$214,$C$13:$C$15,AL$13:AL$15),1)</f>
        <v>0</v>
      </c>
      <c s="125">
        <f>Предпосылки!AL$241*Предпосылки!$Q268*Продажи!AM33*AM$19*(1+Чувствительность!$D$20)*IFERROR(LOOKUP(Предпосылки!$H$214,$C$13:$C$15,AM$13:AM$15),1)</f>
        <v>0</v>
      </c>
      <c s="125">
        <f>Предпосылки!AM$241*Предпосылки!$Q268*Продажи!AN33*AN$19*(1+Чувствительность!$D$20)*IFERROR(LOOKUP(Предпосылки!$H$214,$C$13:$C$15,AN$13:AN$15),1)</f>
        <v>0</v>
      </c>
      <c s="125">
        <f>Предпосылки!AN$241*Предпосылки!$Q268*Продажи!AO33*AO$19*(1+Чувствительность!$D$20)*IFERROR(LOOKUP(Предпосылки!$H$214,$C$13:$C$15,AO$13:AO$15),1)</f>
        <v>0</v>
      </c>
      <c s="125">
        <f>Предпосылки!AO$241*Предпосылки!$Q268*Продажи!AP33*AP$19*(1+Чувствительность!$D$20)*IFERROR(LOOKUP(Предпосылки!$H$214,$C$13:$C$15,AP$13:AP$15),1)</f>
        <v>0</v>
      </c>
      <c s="125">
        <f>Предпосылки!AP$241*Предпосылки!$Q268*Продажи!AQ33*AQ$19*(1+Чувствительность!$D$20)*IFERROR(LOOKUP(Предпосылки!$H$214,$C$13:$C$15,AQ$13:AQ$15),1)</f>
        <v>0</v>
      </c>
      <c s="125">
        <f>Предпосылки!AQ$241*Предпосылки!$Q268*Продажи!AR33*AR$19*(1+Чувствительность!$D$20)*IFERROR(LOOKUP(Предпосылки!$H$214,$C$13:$C$15,AR$13:AR$15),1)</f>
        <v>0</v>
      </c>
      <c s="125">
        <f>Предпосылки!AR$241*Предпосылки!$Q268*Продажи!AS33*AS$19*(1+Чувствительность!$D$20)*IFERROR(LOOKUP(Предпосылки!$H$214,$C$13:$C$15,AS$13:AS$15),1)</f>
        <v>0</v>
      </c>
      <c s="125">
        <f>Предпосылки!AS$241*Предпосылки!$Q268*Продажи!AT33*AT$19*(1+Чувствительность!$D$20)*IFERROR(LOOKUP(Предпосылки!$H$214,$C$13:$C$15,AT$13:AT$15),1)</f>
        <v>0</v>
      </c>
      <c s="125">
        <f>Предпосылки!AT$241*Предпосылки!$Q268*Продажи!AU33*AU$19*(1+Чувствительность!$D$20)*IFERROR(LOOKUP(Предпосылки!$H$214,$C$13:$C$15,AU$13:AU$15),1)</f>
        <v>0</v>
      </c>
      <c s="125">
        <f>Предпосылки!AU$241*Предпосылки!$Q268*Продажи!AV33*AV$19*(1+Чувствительность!$D$20)*IFERROR(LOOKUP(Предпосылки!$H$214,$C$13:$C$15,AV$13:AV$15),1)</f>
        <v>0</v>
      </c>
      <c s="125">
        <f>Предпосылки!AV$241*Предпосылки!$Q268*Продажи!AW33*AW$19*(1+Чувствительность!$D$20)*IFERROR(LOOKUP(Предпосылки!$H$214,$C$13:$C$15,AW$13:AW$15),1)</f>
        <v>0</v>
      </c>
      <c s="125">
        <f>Предпосылки!AW$241*Предпосылки!$Q268*Продажи!AX33*AX$19*(1+Чувствительность!$D$20)*IFERROR(LOOKUP(Предпосылки!$H$214,$C$13:$C$15,AX$13:AX$15),1)</f>
        <v>0</v>
      </c>
      <c s="125">
        <f>Предпосылки!AX$241*Предпосылки!$Q268*Продажи!AY33*AY$19*(1+Чувствительность!$D$20)*IFERROR(LOOKUP(Предпосылки!$H$214,$C$13:$C$15,AY$13:AY$15),1)</f>
        <v>0</v>
      </c>
      <c s="125">
        <f>Предпосылки!AY$241*Предпосылки!$Q268*Продажи!AZ33*AZ$19*(1+Чувствительность!$D$20)*IFERROR(LOOKUP(Предпосылки!$H$214,$C$13:$C$15,AZ$13:AZ$15),1)</f>
        <v>0</v>
      </c>
      <c s="125">
        <f>Предпосылки!AZ$241*Предпосылки!$Q268*Продажи!BA33*BA$19*(1+Чувствительность!$D$20)*IFERROR(LOOKUP(Предпосылки!$H$214,$C$13:$C$15,BA$13:BA$15),1)</f>
        <v>0</v>
      </c>
      <c s="125">
        <f>Предпосылки!BA$241*Предпосылки!$Q268*Продажи!BB33*BB$19*(1+Чувствительность!$D$20)*IFERROR(LOOKUP(Предпосылки!$H$214,$C$13:$C$15,BB$13:BB$15),1)</f>
        <v>0</v>
      </c>
      <c s="125">
        <f>Предпосылки!BB$241*Предпосылки!$Q268*Продажи!BC33*BC$19*(1+Чувствительность!$D$20)*IFERROR(LOOKUP(Предпосылки!$H$214,$C$13:$C$15,BC$13:BC$15),1)</f>
        <v>0</v>
      </c>
      <c s="125">
        <f>Предпосылки!BC$241*Предпосылки!$Q268*Продажи!BD33*BD$19*(1+Чувствительность!$D$20)*IFERROR(LOOKUP(Предпосылки!$H$214,$C$13:$C$15,BD$13:BD$15),1)</f>
        <v>0</v>
      </c>
      <c s="125">
        <f>Предпосылки!BD$241*Предпосылки!$Q268*Продажи!BE33*BE$19*(1+Чувствительность!$D$20)*IFERROR(LOOKUP(Предпосылки!$H$214,$C$13:$C$15,BE$13:BE$15),1)</f>
        <v>0</v>
      </c>
      <c s="125">
        <f>Предпосылки!BE$241*Предпосылки!$Q268*Продажи!BF33*BF$19*(1+Чувствительность!$D$20)*IFERROR(LOOKUP(Предпосылки!$H$214,$C$13:$C$15,BF$13:BF$15),1)</f>
        <v>0</v>
      </c>
      <c s="125">
        <f>Предпосылки!BF$241*Предпосылки!$Q268*Продажи!BG33*BG$19*(1+Чувствительность!$D$20)*IFERROR(LOOKUP(Предпосылки!$H$214,$C$13:$C$15,BG$13:BG$15),1)</f>
        <v>0</v>
      </c>
      <c s="125">
        <f>Предпосылки!BG$241*Предпосылки!$Q268*Продажи!BH33*BH$19*(1+Чувствительность!$D$20)*IFERROR(LOOKUP(Предпосылки!$H$214,$C$13:$C$15,BH$13:BH$15),1)</f>
        <v>0</v>
      </c>
      <c s="125">
        <f>Предпосылки!BH$241*Предпосылки!$Q268*Продажи!BI33*BI$19*(1+Чувствительность!$D$20)*IFERROR(LOOKUP(Предпосылки!$H$214,$C$13:$C$15,BI$13:BI$15),1)</f>
        <v>0</v>
      </c>
      <c s="125">
        <f>Предпосылки!BI$241*Предпосылки!$Q268*Продажи!BJ33*BJ$19*(1+Чувствительность!$D$20)*IFERROR(LOOKUP(Предпосылки!$H$214,$C$13:$C$15,BJ$13:BJ$15),1)</f>
        <v>0</v>
      </c>
      <c s="125">
        <f>Предпосылки!BJ$241*Предпосылки!$Q268*Продажи!BK33*BK$19*(1+Чувствительность!$D$20)*IFERROR(LOOKUP(Предпосылки!$H$214,$C$13:$C$15,BK$13:BK$15),1)</f>
        <v>0</v>
      </c>
      <c s="125">
        <f>Предпосылки!BK$241*Предпосылки!$Q268*Продажи!BL33*BL$19*(1+Чувствительность!$D$20)*IFERROR(LOOKUP(Предпосылки!$H$214,$C$13:$C$15,BL$13:BL$15),1)</f>
        <v>0</v>
      </c>
      <c s="125">
        <f>Предпосылки!BL$241*Предпосылки!$Q268*Продажи!BM33*BM$19*(1+Чувствительность!$D$20)*IFERROR(LOOKUP(Предпосылки!$H$214,$C$13:$C$15,BM$13:BM$15),1)</f>
        <v>0</v>
      </c>
    </row>
    <row r="338" spans="2:65" ht="15" customHeight="1">
      <c r="B338" s="12" t="str">
        <f t="shared" si="126"/>
        <v>Продукт 17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Предпосылки!D$241*Предпосылки!$Q269*Продажи!E34*E$19*(1+Чувствительность!$D$20)*IFERROR(LOOKUP(Предпосылки!$H$214,$C$13:$C$15,E$13:E$15),1)</f>
        <v>0</v>
      </c>
      <c s="125">
        <f>Предпосылки!E$241*Предпосылки!$Q269*Продажи!F34*F$19*(1+Чувствительность!$D$20)*IFERROR(LOOKUP(Предпосылки!$H$214,$C$13:$C$15,F$13:F$15),1)</f>
        <v>0</v>
      </c>
      <c s="125">
        <f>Предпосылки!F$241*Предпосылки!$Q269*Продажи!G34*G$19*(1+Чувствительность!$D$20)*IFERROR(LOOKUP(Предпосылки!$H$214,$C$13:$C$15,G$13:G$15),1)</f>
        <v>0</v>
      </c>
      <c s="125">
        <f>Предпосылки!G$241*Предпосылки!$Q269*Продажи!H34*H$19*(1+Чувствительность!$D$20)*IFERROR(LOOKUP(Предпосылки!$H$214,$C$13:$C$15,H$13:H$15),1)</f>
        <v>0</v>
      </c>
      <c s="125">
        <f>Предпосылки!H$241*Предпосылки!$Q269*Продажи!I34*I$19*(1+Чувствительность!$D$20)*IFERROR(LOOKUP(Предпосылки!$H$214,$C$13:$C$15,I$13:I$15),1)</f>
        <v>0</v>
      </c>
      <c s="125">
        <f>Предпосылки!I$241*Предпосылки!$Q269*Продажи!J34*J$19*(1+Чувствительность!$D$20)*IFERROR(LOOKUP(Предпосылки!$H$214,$C$13:$C$15,J$13:J$15),1)</f>
        <v>0</v>
      </c>
      <c s="125">
        <f>Предпосылки!J$241*Предпосылки!$Q269*Продажи!K34*K$19*(1+Чувствительность!$D$20)*IFERROR(LOOKUP(Предпосылки!$H$214,$C$13:$C$15,K$13:K$15),1)</f>
        <v>0</v>
      </c>
      <c s="125">
        <f>Предпосылки!K$241*Предпосылки!$Q269*Продажи!L34*L$19*(1+Чувствительность!$D$20)*IFERROR(LOOKUP(Предпосылки!$H$214,$C$13:$C$15,L$13:L$15),1)</f>
        <v>0</v>
      </c>
      <c s="125">
        <f>Предпосылки!L$241*Предпосылки!$Q269*Продажи!M34*M$19*(1+Чувствительность!$D$20)*IFERROR(LOOKUP(Предпосылки!$H$214,$C$13:$C$15,M$13:M$15),1)</f>
        <v>0</v>
      </c>
      <c s="125">
        <f>Предпосылки!M$241*Предпосылки!$Q269*Продажи!N34*N$19*(1+Чувствительность!$D$20)*IFERROR(LOOKUP(Предпосылки!$H$214,$C$13:$C$15,N$13:N$15),1)</f>
        <v>0</v>
      </c>
      <c s="125">
        <f>Предпосылки!N$241*Предпосылки!$Q269*Продажи!O34*O$19*(1+Чувствительность!$D$20)*IFERROR(LOOKUP(Предпосылки!$H$214,$C$13:$C$15,O$13:O$15),1)</f>
        <v>0</v>
      </c>
      <c s="125">
        <f>Предпосылки!O$241*Предпосылки!$Q269*Продажи!P34*P$19*(1+Чувствительность!$D$20)*IFERROR(LOOKUP(Предпосылки!$H$214,$C$13:$C$15,P$13:P$15),1)</f>
        <v>0</v>
      </c>
      <c s="125">
        <f>Предпосылки!P$241*Предпосылки!$Q269*Продажи!Q34*Q$19*(1+Чувствительность!$D$20)*IFERROR(LOOKUP(Предпосылки!$H$214,$C$13:$C$15,Q$13:Q$15),1)</f>
        <v>0</v>
      </c>
      <c s="125">
        <f>Предпосылки!Q$241*Предпосылки!$Q269*Продажи!R34*R$19*(1+Чувствительность!$D$20)*IFERROR(LOOKUP(Предпосылки!$H$214,$C$13:$C$15,R$13:R$15),1)</f>
        <v>0</v>
      </c>
      <c s="125">
        <f>Предпосылки!R$241*Предпосылки!$Q269*Продажи!S34*S$19*(1+Чувствительность!$D$20)*IFERROR(LOOKUP(Предпосылки!$H$214,$C$13:$C$15,S$13:S$15),1)</f>
        <v>0</v>
      </c>
      <c s="125">
        <f>Предпосылки!S$241*Предпосылки!$Q269*Продажи!T34*T$19*(1+Чувствительность!$D$20)*IFERROR(LOOKUP(Предпосылки!$H$214,$C$13:$C$15,T$13:T$15),1)</f>
        <v>0</v>
      </c>
      <c s="125">
        <f>Предпосылки!T$241*Предпосылки!$Q269*Продажи!U34*U$19*(1+Чувствительность!$D$20)*IFERROR(LOOKUP(Предпосылки!$H$214,$C$13:$C$15,U$13:U$15),1)</f>
        <v>0</v>
      </c>
      <c s="125">
        <f>Предпосылки!U$241*Предпосылки!$Q269*Продажи!V34*V$19*(1+Чувствительность!$D$20)*IFERROR(LOOKUP(Предпосылки!$H$214,$C$13:$C$15,V$13:V$15),1)</f>
        <v>0</v>
      </c>
      <c s="125">
        <f>Предпосылки!V$241*Предпосылки!$Q269*Продажи!W34*W$19*(1+Чувствительность!$D$20)*IFERROR(LOOKUP(Предпосылки!$H$214,$C$13:$C$15,W$13:W$15),1)</f>
        <v>0</v>
      </c>
      <c s="125">
        <f>Предпосылки!W$241*Предпосылки!$Q269*Продажи!X34*X$19*(1+Чувствительность!$D$20)*IFERROR(LOOKUP(Предпосылки!$H$214,$C$13:$C$15,X$13:X$15),1)</f>
        <v>0</v>
      </c>
      <c s="125">
        <f>Предпосылки!X$241*Предпосылки!$Q269*Продажи!Y34*Y$19*(1+Чувствительность!$D$20)*IFERROR(LOOKUP(Предпосылки!$H$214,$C$13:$C$15,Y$13:Y$15),1)</f>
        <v>0</v>
      </c>
      <c s="125">
        <f>Предпосылки!Y$241*Предпосылки!$Q269*Продажи!Z34*Z$19*(1+Чувствительность!$D$20)*IFERROR(LOOKUP(Предпосылки!$H$214,$C$13:$C$15,Z$13:Z$15),1)</f>
        <v>0</v>
      </c>
      <c s="125">
        <f>Предпосылки!Z$241*Предпосылки!$Q269*Продажи!AA34*AA$19*(1+Чувствительность!$D$20)*IFERROR(LOOKUP(Предпосылки!$H$214,$C$13:$C$15,AA$13:AA$15),1)</f>
        <v>0</v>
      </c>
      <c s="125">
        <f>Предпосылки!AA$241*Предпосылки!$Q269*Продажи!AB34*AB$19*(1+Чувствительность!$D$20)*IFERROR(LOOKUP(Предпосылки!$H$214,$C$13:$C$15,AB$13:AB$15),1)</f>
        <v>0</v>
      </c>
      <c s="125">
        <f>Предпосылки!AB$241*Предпосылки!$Q269*Продажи!AC34*AC$19*(1+Чувствительность!$D$20)*IFERROR(LOOKUP(Предпосылки!$H$214,$C$13:$C$15,AC$13:AC$15),1)</f>
        <v>0</v>
      </c>
      <c s="125">
        <f>Предпосылки!AC$241*Предпосылки!$Q269*Продажи!AD34*AD$19*(1+Чувствительность!$D$20)*IFERROR(LOOKUP(Предпосылки!$H$214,$C$13:$C$15,AD$13:AD$15),1)</f>
        <v>0</v>
      </c>
      <c s="125">
        <f>Предпосылки!AD$241*Предпосылки!$Q269*Продажи!AE34*AE$19*(1+Чувствительность!$D$20)*IFERROR(LOOKUP(Предпосылки!$H$214,$C$13:$C$15,AE$13:AE$15),1)</f>
        <v>0</v>
      </c>
      <c s="125">
        <f>Предпосылки!AE$241*Предпосылки!$Q269*Продажи!AF34*AF$19*(1+Чувствительность!$D$20)*IFERROR(LOOKUP(Предпосылки!$H$214,$C$13:$C$15,AF$13:AF$15),1)</f>
        <v>0</v>
      </c>
      <c s="125">
        <f>Предпосылки!AF$241*Предпосылки!$Q269*Продажи!AG34*AG$19*(1+Чувствительность!$D$20)*IFERROR(LOOKUP(Предпосылки!$H$214,$C$13:$C$15,AG$13:AG$15),1)</f>
        <v>0</v>
      </c>
      <c s="125">
        <f>Предпосылки!AG$241*Предпосылки!$Q269*Продажи!AH34*AH$19*(1+Чувствительность!$D$20)*IFERROR(LOOKUP(Предпосылки!$H$214,$C$13:$C$15,AH$13:AH$15),1)</f>
        <v>0</v>
      </c>
      <c s="125">
        <f>Предпосылки!AH$241*Предпосылки!$Q269*Продажи!AI34*AI$19*(1+Чувствительность!$D$20)*IFERROR(LOOKUP(Предпосылки!$H$214,$C$13:$C$15,AI$13:AI$15),1)</f>
        <v>0</v>
      </c>
      <c s="125">
        <f>Предпосылки!AI$241*Предпосылки!$Q269*Продажи!AJ34*AJ$19*(1+Чувствительность!$D$20)*IFERROR(LOOKUP(Предпосылки!$H$214,$C$13:$C$15,AJ$13:AJ$15),1)</f>
        <v>0</v>
      </c>
      <c s="125">
        <f>Предпосылки!AJ$241*Предпосылки!$Q269*Продажи!AK34*AK$19*(1+Чувствительность!$D$20)*IFERROR(LOOKUP(Предпосылки!$H$214,$C$13:$C$15,AK$13:AK$15),1)</f>
        <v>0</v>
      </c>
      <c s="125">
        <f>Предпосылки!AK$241*Предпосылки!$Q269*Продажи!AL34*AL$19*(1+Чувствительность!$D$20)*IFERROR(LOOKUP(Предпосылки!$H$214,$C$13:$C$15,AL$13:AL$15),1)</f>
        <v>0</v>
      </c>
      <c s="125">
        <f>Предпосылки!AL$241*Предпосылки!$Q269*Продажи!AM34*AM$19*(1+Чувствительность!$D$20)*IFERROR(LOOKUP(Предпосылки!$H$214,$C$13:$C$15,AM$13:AM$15),1)</f>
        <v>0</v>
      </c>
      <c s="125">
        <f>Предпосылки!AM$241*Предпосылки!$Q269*Продажи!AN34*AN$19*(1+Чувствительность!$D$20)*IFERROR(LOOKUP(Предпосылки!$H$214,$C$13:$C$15,AN$13:AN$15),1)</f>
        <v>0</v>
      </c>
      <c s="125">
        <f>Предпосылки!AN$241*Предпосылки!$Q269*Продажи!AO34*AO$19*(1+Чувствительность!$D$20)*IFERROR(LOOKUP(Предпосылки!$H$214,$C$13:$C$15,AO$13:AO$15),1)</f>
        <v>0</v>
      </c>
      <c s="125">
        <f>Предпосылки!AO$241*Предпосылки!$Q269*Продажи!AP34*AP$19*(1+Чувствительность!$D$20)*IFERROR(LOOKUP(Предпосылки!$H$214,$C$13:$C$15,AP$13:AP$15),1)</f>
        <v>0</v>
      </c>
      <c s="125">
        <f>Предпосылки!AP$241*Предпосылки!$Q269*Продажи!AQ34*AQ$19*(1+Чувствительность!$D$20)*IFERROR(LOOKUP(Предпосылки!$H$214,$C$13:$C$15,AQ$13:AQ$15),1)</f>
        <v>0</v>
      </c>
      <c s="125">
        <f>Предпосылки!AQ$241*Предпосылки!$Q269*Продажи!AR34*AR$19*(1+Чувствительность!$D$20)*IFERROR(LOOKUP(Предпосылки!$H$214,$C$13:$C$15,AR$13:AR$15),1)</f>
        <v>0</v>
      </c>
      <c s="125">
        <f>Предпосылки!AR$241*Предпосылки!$Q269*Продажи!AS34*AS$19*(1+Чувствительность!$D$20)*IFERROR(LOOKUP(Предпосылки!$H$214,$C$13:$C$15,AS$13:AS$15),1)</f>
        <v>0</v>
      </c>
      <c s="125">
        <f>Предпосылки!AS$241*Предпосылки!$Q269*Продажи!AT34*AT$19*(1+Чувствительность!$D$20)*IFERROR(LOOKUP(Предпосылки!$H$214,$C$13:$C$15,AT$13:AT$15),1)</f>
        <v>0</v>
      </c>
      <c s="125">
        <f>Предпосылки!AT$241*Предпосылки!$Q269*Продажи!AU34*AU$19*(1+Чувствительность!$D$20)*IFERROR(LOOKUP(Предпосылки!$H$214,$C$13:$C$15,AU$13:AU$15),1)</f>
        <v>0</v>
      </c>
      <c s="125">
        <f>Предпосылки!AU$241*Предпосылки!$Q269*Продажи!AV34*AV$19*(1+Чувствительность!$D$20)*IFERROR(LOOKUP(Предпосылки!$H$214,$C$13:$C$15,AV$13:AV$15),1)</f>
        <v>0</v>
      </c>
      <c s="125">
        <f>Предпосылки!AV$241*Предпосылки!$Q269*Продажи!AW34*AW$19*(1+Чувствительность!$D$20)*IFERROR(LOOKUP(Предпосылки!$H$214,$C$13:$C$15,AW$13:AW$15),1)</f>
        <v>0</v>
      </c>
      <c s="125">
        <f>Предпосылки!AW$241*Предпосылки!$Q269*Продажи!AX34*AX$19*(1+Чувствительность!$D$20)*IFERROR(LOOKUP(Предпосылки!$H$214,$C$13:$C$15,AX$13:AX$15),1)</f>
        <v>0</v>
      </c>
      <c s="125">
        <f>Предпосылки!AX$241*Предпосылки!$Q269*Продажи!AY34*AY$19*(1+Чувствительность!$D$20)*IFERROR(LOOKUP(Предпосылки!$H$214,$C$13:$C$15,AY$13:AY$15),1)</f>
        <v>0</v>
      </c>
      <c s="125">
        <f>Предпосылки!AY$241*Предпосылки!$Q269*Продажи!AZ34*AZ$19*(1+Чувствительность!$D$20)*IFERROR(LOOKUP(Предпосылки!$H$214,$C$13:$C$15,AZ$13:AZ$15),1)</f>
        <v>0</v>
      </c>
      <c s="125">
        <f>Предпосылки!AZ$241*Предпосылки!$Q269*Продажи!BA34*BA$19*(1+Чувствительность!$D$20)*IFERROR(LOOKUP(Предпосылки!$H$214,$C$13:$C$15,BA$13:BA$15),1)</f>
        <v>0</v>
      </c>
      <c s="125">
        <f>Предпосылки!BA$241*Предпосылки!$Q269*Продажи!BB34*BB$19*(1+Чувствительность!$D$20)*IFERROR(LOOKUP(Предпосылки!$H$214,$C$13:$C$15,BB$13:BB$15),1)</f>
        <v>0</v>
      </c>
      <c s="125">
        <f>Предпосылки!BB$241*Предпосылки!$Q269*Продажи!BC34*BC$19*(1+Чувствительность!$D$20)*IFERROR(LOOKUP(Предпосылки!$H$214,$C$13:$C$15,BC$13:BC$15),1)</f>
        <v>0</v>
      </c>
      <c s="125">
        <f>Предпосылки!BC$241*Предпосылки!$Q269*Продажи!BD34*BD$19*(1+Чувствительность!$D$20)*IFERROR(LOOKUP(Предпосылки!$H$214,$C$13:$C$15,BD$13:BD$15),1)</f>
        <v>0</v>
      </c>
      <c s="125">
        <f>Предпосылки!BD$241*Предпосылки!$Q269*Продажи!BE34*BE$19*(1+Чувствительность!$D$20)*IFERROR(LOOKUP(Предпосылки!$H$214,$C$13:$C$15,BE$13:BE$15),1)</f>
        <v>0</v>
      </c>
      <c s="125">
        <f>Предпосылки!BE$241*Предпосылки!$Q269*Продажи!BF34*BF$19*(1+Чувствительность!$D$20)*IFERROR(LOOKUP(Предпосылки!$H$214,$C$13:$C$15,BF$13:BF$15),1)</f>
        <v>0</v>
      </c>
      <c s="125">
        <f>Предпосылки!BF$241*Предпосылки!$Q269*Продажи!BG34*BG$19*(1+Чувствительность!$D$20)*IFERROR(LOOKUP(Предпосылки!$H$214,$C$13:$C$15,BG$13:BG$15),1)</f>
        <v>0</v>
      </c>
      <c s="125">
        <f>Предпосылки!BG$241*Предпосылки!$Q269*Продажи!BH34*BH$19*(1+Чувствительность!$D$20)*IFERROR(LOOKUP(Предпосылки!$H$214,$C$13:$C$15,BH$13:BH$15),1)</f>
        <v>0</v>
      </c>
      <c s="125">
        <f>Предпосылки!BH$241*Предпосылки!$Q269*Продажи!BI34*BI$19*(1+Чувствительность!$D$20)*IFERROR(LOOKUP(Предпосылки!$H$214,$C$13:$C$15,BI$13:BI$15),1)</f>
        <v>0</v>
      </c>
      <c s="125">
        <f>Предпосылки!BI$241*Предпосылки!$Q269*Продажи!BJ34*BJ$19*(1+Чувствительность!$D$20)*IFERROR(LOOKUP(Предпосылки!$H$214,$C$13:$C$15,BJ$13:BJ$15),1)</f>
        <v>0</v>
      </c>
      <c s="125">
        <f>Предпосылки!BJ$241*Предпосылки!$Q269*Продажи!BK34*BK$19*(1+Чувствительность!$D$20)*IFERROR(LOOKUP(Предпосылки!$H$214,$C$13:$C$15,BK$13:BK$15),1)</f>
        <v>0</v>
      </c>
      <c s="125">
        <f>Предпосылки!BK$241*Предпосылки!$Q269*Продажи!BL34*BL$19*(1+Чувствительность!$D$20)*IFERROR(LOOKUP(Предпосылки!$H$214,$C$13:$C$15,BL$13:BL$15),1)</f>
        <v>0</v>
      </c>
      <c s="125">
        <f>Предпосылки!BL$241*Предпосылки!$Q269*Продажи!BM34*BM$19*(1+Чувствительность!$D$20)*IFERROR(LOOKUP(Предпосылки!$H$214,$C$13:$C$15,BM$13:BM$15),1)</f>
        <v>0</v>
      </c>
    </row>
    <row r="339" spans="2:65" ht="15" customHeight="1">
      <c r="B339" s="12" t="str">
        <f t="shared" si="126"/>
        <v>Продукт 18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Предпосылки!D$241*Предпосылки!$Q270*Продажи!E35*E$19*(1+Чувствительность!$D$20)*IFERROR(LOOKUP(Предпосылки!$H$214,$C$13:$C$15,E$13:E$15),1)</f>
        <v>0</v>
      </c>
      <c s="125">
        <f>Предпосылки!E$241*Предпосылки!$Q270*Продажи!F35*F$19*(1+Чувствительность!$D$20)*IFERROR(LOOKUP(Предпосылки!$H$214,$C$13:$C$15,F$13:F$15),1)</f>
        <v>0</v>
      </c>
      <c s="125">
        <f>Предпосылки!F$241*Предпосылки!$Q270*Продажи!G35*G$19*(1+Чувствительность!$D$20)*IFERROR(LOOKUP(Предпосылки!$H$214,$C$13:$C$15,G$13:G$15),1)</f>
        <v>0</v>
      </c>
      <c s="125">
        <f>Предпосылки!G$241*Предпосылки!$Q270*Продажи!H35*H$19*(1+Чувствительность!$D$20)*IFERROR(LOOKUP(Предпосылки!$H$214,$C$13:$C$15,H$13:H$15),1)</f>
        <v>0</v>
      </c>
      <c s="125">
        <f>Предпосылки!H$241*Предпосылки!$Q270*Продажи!I35*I$19*(1+Чувствительность!$D$20)*IFERROR(LOOKUP(Предпосылки!$H$214,$C$13:$C$15,I$13:I$15),1)</f>
        <v>0</v>
      </c>
      <c s="125">
        <f>Предпосылки!I$241*Предпосылки!$Q270*Продажи!J35*J$19*(1+Чувствительность!$D$20)*IFERROR(LOOKUP(Предпосылки!$H$214,$C$13:$C$15,J$13:J$15),1)</f>
        <v>0</v>
      </c>
      <c s="125">
        <f>Предпосылки!J$241*Предпосылки!$Q270*Продажи!K35*K$19*(1+Чувствительность!$D$20)*IFERROR(LOOKUP(Предпосылки!$H$214,$C$13:$C$15,K$13:K$15),1)</f>
        <v>0</v>
      </c>
      <c s="125">
        <f>Предпосылки!K$241*Предпосылки!$Q270*Продажи!L35*L$19*(1+Чувствительность!$D$20)*IFERROR(LOOKUP(Предпосылки!$H$214,$C$13:$C$15,L$13:L$15),1)</f>
        <v>0</v>
      </c>
      <c s="125">
        <f>Предпосылки!L$241*Предпосылки!$Q270*Продажи!M35*M$19*(1+Чувствительность!$D$20)*IFERROR(LOOKUP(Предпосылки!$H$214,$C$13:$C$15,M$13:M$15),1)</f>
        <v>0</v>
      </c>
      <c s="125">
        <f>Предпосылки!M$241*Предпосылки!$Q270*Продажи!N35*N$19*(1+Чувствительность!$D$20)*IFERROR(LOOKUP(Предпосылки!$H$214,$C$13:$C$15,N$13:N$15),1)</f>
        <v>0</v>
      </c>
      <c s="125">
        <f>Предпосылки!N$241*Предпосылки!$Q270*Продажи!O35*O$19*(1+Чувствительность!$D$20)*IFERROR(LOOKUP(Предпосылки!$H$214,$C$13:$C$15,O$13:O$15),1)</f>
        <v>0</v>
      </c>
      <c s="125">
        <f>Предпосылки!O$241*Предпосылки!$Q270*Продажи!P35*P$19*(1+Чувствительность!$D$20)*IFERROR(LOOKUP(Предпосылки!$H$214,$C$13:$C$15,P$13:P$15),1)</f>
        <v>0</v>
      </c>
      <c s="125">
        <f>Предпосылки!P$241*Предпосылки!$Q270*Продажи!Q35*Q$19*(1+Чувствительность!$D$20)*IFERROR(LOOKUP(Предпосылки!$H$214,$C$13:$C$15,Q$13:Q$15),1)</f>
        <v>0</v>
      </c>
      <c s="125">
        <f>Предпосылки!Q$241*Предпосылки!$Q270*Продажи!R35*R$19*(1+Чувствительность!$D$20)*IFERROR(LOOKUP(Предпосылки!$H$214,$C$13:$C$15,R$13:R$15),1)</f>
        <v>0</v>
      </c>
      <c s="125">
        <f>Предпосылки!R$241*Предпосылки!$Q270*Продажи!S35*S$19*(1+Чувствительность!$D$20)*IFERROR(LOOKUP(Предпосылки!$H$214,$C$13:$C$15,S$13:S$15),1)</f>
        <v>0</v>
      </c>
      <c s="125">
        <f>Предпосылки!S$241*Предпосылки!$Q270*Продажи!T35*T$19*(1+Чувствительность!$D$20)*IFERROR(LOOKUP(Предпосылки!$H$214,$C$13:$C$15,T$13:T$15),1)</f>
        <v>0</v>
      </c>
      <c s="125">
        <f>Предпосылки!T$241*Предпосылки!$Q270*Продажи!U35*U$19*(1+Чувствительность!$D$20)*IFERROR(LOOKUP(Предпосылки!$H$214,$C$13:$C$15,U$13:U$15),1)</f>
        <v>0</v>
      </c>
      <c s="125">
        <f>Предпосылки!U$241*Предпосылки!$Q270*Продажи!V35*V$19*(1+Чувствительность!$D$20)*IFERROR(LOOKUP(Предпосылки!$H$214,$C$13:$C$15,V$13:V$15),1)</f>
        <v>0</v>
      </c>
      <c s="125">
        <f>Предпосылки!V$241*Предпосылки!$Q270*Продажи!W35*W$19*(1+Чувствительность!$D$20)*IFERROR(LOOKUP(Предпосылки!$H$214,$C$13:$C$15,W$13:W$15),1)</f>
        <v>0</v>
      </c>
      <c s="125">
        <f>Предпосылки!W$241*Предпосылки!$Q270*Продажи!X35*X$19*(1+Чувствительность!$D$20)*IFERROR(LOOKUP(Предпосылки!$H$214,$C$13:$C$15,X$13:X$15),1)</f>
        <v>0</v>
      </c>
      <c s="125">
        <f>Предпосылки!X$241*Предпосылки!$Q270*Продажи!Y35*Y$19*(1+Чувствительность!$D$20)*IFERROR(LOOKUP(Предпосылки!$H$214,$C$13:$C$15,Y$13:Y$15),1)</f>
        <v>0</v>
      </c>
      <c s="125">
        <f>Предпосылки!Y$241*Предпосылки!$Q270*Продажи!Z35*Z$19*(1+Чувствительность!$D$20)*IFERROR(LOOKUP(Предпосылки!$H$214,$C$13:$C$15,Z$13:Z$15),1)</f>
        <v>0</v>
      </c>
      <c s="125">
        <f>Предпосылки!Z$241*Предпосылки!$Q270*Продажи!AA35*AA$19*(1+Чувствительность!$D$20)*IFERROR(LOOKUP(Предпосылки!$H$214,$C$13:$C$15,AA$13:AA$15),1)</f>
        <v>0</v>
      </c>
      <c s="125">
        <f>Предпосылки!AA$241*Предпосылки!$Q270*Продажи!AB35*AB$19*(1+Чувствительность!$D$20)*IFERROR(LOOKUP(Предпосылки!$H$214,$C$13:$C$15,AB$13:AB$15),1)</f>
        <v>0</v>
      </c>
      <c s="125">
        <f>Предпосылки!AB$241*Предпосылки!$Q270*Продажи!AC35*AC$19*(1+Чувствительность!$D$20)*IFERROR(LOOKUP(Предпосылки!$H$214,$C$13:$C$15,AC$13:AC$15),1)</f>
        <v>0</v>
      </c>
      <c s="125">
        <f>Предпосылки!AC$241*Предпосылки!$Q270*Продажи!AD35*AD$19*(1+Чувствительность!$D$20)*IFERROR(LOOKUP(Предпосылки!$H$214,$C$13:$C$15,AD$13:AD$15),1)</f>
        <v>0</v>
      </c>
      <c s="125">
        <f>Предпосылки!AD$241*Предпосылки!$Q270*Продажи!AE35*AE$19*(1+Чувствительность!$D$20)*IFERROR(LOOKUP(Предпосылки!$H$214,$C$13:$C$15,AE$13:AE$15),1)</f>
        <v>0</v>
      </c>
      <c s="125">
        <f>Предпосылки!AE$241*Предпосылки!$Q270*Продажи!AF35*AF$19*(1+Чувствительность!$D$20)*IFERROR(LOOKUP(Предпосылки!$H$214,$C$13:$C$15,AF$13:AF$15),1)</f>
        <v>0</v>
      </c>
      <c s="125">
        <f>Предпосылки!AF$241*Предпосылки!$Q270*Продажи!AG35*AG$19*(1+Чувствительность!$D$20)*IFERROR(LOOKUP(Предпосылки!$H$214,$C$13:$C$15,AG$13:AG$15),1)</f>
        <v>0</v>
      </c>
      <c s="125">
        <f>Предпосылки!AG$241*Предпосылки!$Q270*Продажи!AH35*AH$19*(1+Чувствительность!$D$20)*IFERROR(LOOKUP(Предпосылки!$H$214,$C$13:$C$15,AH$13:AH$15),1)</f>
        <v>0</v>
      </c>
      <c s="125">
        <f>Предпосылки!AH$241*Предпосылки!$Q270*Продажи!AI35*AI$19*(1+Чувствительность!$D$20)*IFERROR(LOOKUP(Предпосылки!$H$214,$C$13:$C$15,AI$13:AI$15),1)</f>
        <v>0</v>
      </c>
      <c s="125">
        <f>Предпосылки!AI$241*Предпосылки!$Q270*Продажи!AJ35*AJ$19*(1+Чувствительность!$D$20)*IFERROR(LOOKUP(Предпосылки!$H$214,$C$13:$C$15,AJ$13:AJ$15),1)</f>
        <v>0</v>
      </c>
      <c s="125">
        <f>Предпосылки!AJ$241*Предпосылки!$Q270*Продажи!AK35*AK$19*(1+Чувствительность!$D$20)*IFERROR(LOOKUP(Предпосылки!$H$214,$C$13:$C$15,AK$13:AK$15),1)</f>
        <v>0</v>
      </c>
      <c s="125">
        <f>Предпосылки!AK$241*Предпосылки!$Q270*Продажи!AL35*AL$19*(1+Чувствительность!$D$20)*IFERROR(LOOKUP(Предпосылки!$H$214,$C$13:$C$15,AL$13:AL$15),1)</f>
        <v>0</v>
      </c>
      <c s="125">
        <f>Предпосылки!AL$241*Предпосылки!$Q270*Продажи!AM35*AM$19*(1+Чувствительность!$D$20)*IFERROR(LOOKUP(Предпосылки!$H$214,$C$13:$C$15,AM$13:AM$15),1)</f>
        <v>0</v>
      </c>
      <c s="125">
        <f>Предпосылки!AM$241*Предпосылки!$Q270*Продажи!AN35*AN$19*(1+Чувствительность!$D$20)*IFERROR(LOOKUP(Предпосылки!$H$214,$C$13:$C$15,AN$13:AN$15),1)</f>
        <v>0</v>
      </c>
      <c s="125">
        <f>Предпосылки!AN$241*Предпосылки!$Q270*Продажи!AO35*AO$19*(1+Чувствительность!$D$20)*IFERROR(LOOKUP(Предпосылки!$H$214,$C$13:$C$15,AO$13:AO$15),1)</f>
        <v>0</v>
      </c>
      <c s="125">
        <f>Предпосылки!AO$241*Предпосылки!$Q270*Продажи!AP35*AP$19*(1+Чувствительность!$D$20)*IFERROR(LOOKUP(Предпосылки!$H$214,$C$13:$C$15,AP$13:AP$15),1)</f>
        <v>0</v>
      </c>
      <c s="125">
        <f>Предпосылки!AP$241*Предпосылки!$Q270*Продажи!AQ35*AQ$19*(1+Чувствительность!$D$20)*IFERROR(LOOKUP(Предпосылки!$H$214,$C$13:$C$15,AQ$13:AQ$15),1)</f>
        <v>0</v>
      </c>
      <c s="125">
        <f>Предпосылки!AQ$241*Предпосылки!$Q270*Продажи!AR35*AR$19*(1+Чувствительность!$D$20)*IFERROR(LOOKUP(Предпосылки!$H$214,$C$13:$C$15,AR$13:AR$15),1)</f>
        <v>0</v>
      </c>
      <c s="125">
        <f>Предпосылки!AR$241*Предпосылки!$Q270*Продажи!AS35*AS$19*(1+Чувствительность!$D$20)*IFERROR(LOOKUP(Предпосылки!$H$214,$C$13:$C$15,AS$13:AS$15),1)</f>
        <v>0</v>
      </c>
      <c s="125">
        <f>Предпосылки!AS$241*Предпосылки!$Q270*Продажи!AT35*AT$19*(1+Чувствительность!$D$20)*IFERROR(LOOKUP(Предпосылки!$H$214,$C$13:$C$15,AT$13:AT$15),1)</f>
        <v>0</v>
      </c>
      <c s="125">
        <f>Предпосылки!AT$241*Предпосылки!$Q270*Продажи!AU35*AU$19*(1+Чувствительность!$D$20)*IFERROR(LOOKUP(Предпосылки!$H$214,$C$13:$C$15,AU$13:AU$15),1)</f>
        <v>0</v>
      </c>
      <c s="125">
        <f>Предпосылки!AU$241*Предпосылки!$Q270*Продажи!AV35*AV$19*(1+Чувствительность!$D$20)*IFERROR(LOOKUP(Предпосылки!$H$214,$C$13:$C$15,AV$13:AV$15),1)</f>
        <v>0</v>
      </c>
      <c s="125">
        <f>Предпосылки!AV$241*Предпосылки!$Q270*Продажи!AW35*AW$19*(1+Чувствительность!$D$20)*IFERROR(LOOKUP(Предпосылки!$H$214,$C$13:$C$15,AW$13:AW$15),1)</f>
        <v>0</v>
      </c>
      <c s="125">
        <f>Предпосылки!AW$241*Предпосылки!$Q270*Продажи!AX35*AX$19*(1+Чувствительность!$D$20)*IFERROR(LOOKUP(Предпосылки!$H$214,$C$13:$C$15,AX$13:AX$15),1)</f>
        <v>0</v>
      </c>
      <c s="125">
        <f>Предпосылки!AX$241*Предпосылки!$Q270*Продажи!AY35*AY$19*(1+Чувствительность!$D$20)*IFERROR(LOOKUP(Предпосылки!$H$214,$C$13:$C$15,AY$13:AY$15),1)</f>
        <v>0</v>
      </c>
      <c s="125">
        <f>Предпосылки!AY$241*Предпосылки!$Q270*Продажи!AZ35*AZ$19*(1+Чувствительность!$D$20)*IFERROR(LOOKUP(Предпосылки!$H$214,$C$13:$C$15,AZ$13:AZ$15),1)</f>
        <v>0</v>
      </c>
      <c s="125">
        <f>Предпосылки!AZ$241*Предпосылки!$Q270*Продажи!BA35*BA$19*(1+Чувствительность!$D$20)*IFERROR(LOOKUP(Предпосылки!$H$214,$C$13:$C$15,BA$13:BA$15),1)</f>
        <v>0</v>
      </c>
      <c s="125">
        <f>Предпосылки!BA$241*Предпосылки!$Q270*Продажи!BB35*BB$19*(1+Чувствительность!$D$20)*IFERROR(LOOKUP(Предпосылки!$H$214,$C$13:$C$15,BB$13:BB$15),1)</f>
        <v>0</v>
      </c>
      <c s="125">
        <f>Предпосылки!BB$241*Предпосылки!$Q270*Продажи!BC35*BC$19*(1+Чувствительность!$D$20)*IFERROR(LOOKUP(Предпосылки!$H$214,$C$13:$C$15,BC$13:BC$15),1)</f>
        <v>0</v>
      </c>
      <c s="125">
        <f>Предпосылки!BC$241*Предпосылки!$Q270*Продажи!BD35*BD$19*(1+Чувствительность!$D$20)*IFERROR(LOOKUP(Предпосылки!$H$214,$C$13:$C$15,BD$13:BD$15),1)</f>
        <v>0</v>
      </c>
      <c s="125">
        <f>Предпосылки!BD$241*Предпосылки!$Q270*Продажи!BE35*BE$19*(1+Чувствительность!$D$20)*IFERROR(LOOKUP(Предпосылки!$H$214,$C$13:$C$15,BE$13:BE$15),1)</f>
        <v>0</v>
      </c>
      <c s="125">
        <f>Предпосылки!BE$241*Предпосылки!$Q270*Продажи!BF35*BF$19*(1+Чувствительность!$D$20)*IFERROR(LOOKUP(Предпосылки!$H$214,$C$13:$C$15,BF$13:BF$15),1)</f>
        <v>0</v>
      </c>
      <c s="125">
        <f>Предпосылки!BF$241*Предпосылки!$Q270*Продажи!BG35*BG$19*(1+Чувствительность!$D$20)*IFERROR(LOOKUP(Предпосылки!$H$214,$C$13:$C$15,BG$13:BG$15),1)</f>
        <v>0</v>
      </c>
      <c s="125">
        <f>Предпосылки!BG$241*Предпосылки!$Q270*Продажи!BH35*BH$19*(1+Чувствительность!$D$20)*IFERROR(LOOKUP(Предпосылки!$H$214,$C$13:$C$15,BH$13:BH$15),1)</f>
        <v>0</v>
      </c>
      <c s="125">
        <f>Предпосылки!BH$241*Предпосылки!$Q270*Продажи!BI35*BI$19*(1+Чувствительность!$D$20)*IFERROR(LOOKUP(Предпосылки!$H$214,$C$13:$C$15,BI$13:BI$15),1)</f>
        <v>0</v>
      </c>
      <c s="125">
        <f>Предпосылки!BI$241*Предпосылки!$Q270*Продажи!BJ35*BJ$19*(1+Чувствительность!$D$20)*IFERROR(LOOKUP(Предпосылки!$H$214,$C$13:$C$15,BJ$13:BJ$15),1)</f>
        <v>0</v>
      </c>
      <c s="125">
        <f>Предпосылки!BJ$241*Предпосылки!$Q270*Продажи!BK35*BK$19*(1+Чувствительность!$D$20)*IFERROR(LOOKUP(Предпосылки!$H$214,$C$13:$C$15,BK$13:BK$15),1)</f>
        <v>0</v>
      </c>
      <c s="125">
        <f>Предпосылки!BK$241*Предпосылки!$Q270*Продажи!BL35*BL$19*(1+Чувствительность!$D$20)*IFERROR(LOOKUP(Предпосылки!$H$214,$C$13:$C$15,BL$13:BL$15),1)</f>
        <v>0</v>
      </c>
      <c s="125">
        <f>Предпосылки!BL$241*Предпосылки!$Q270*Продажи!BM35*BM$19*(1+Чувствительность!$D$20)*IFERROR(LOOKUP(Предпосылки!$H$214,$C$13:$C$15,BM$13:BM$15),1)</f>
        <v>0</v>
      </c>
    </row>
    <row r="340" spans="2:65" ht="15" customHeight="1">
      <c r="B340" s="12" t="str">
        <f t="shared" si="126"/>
        <v>Продукт 19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Предпосылки!D$241*Предпосылки!$Q271*Продажи!E36*E$19*(1+Чувствительность!$D$20)*IFERROR(LOOKUP(Предпосылки!$H$214,$C$13:$C$15,E$13:E$15),1)</f>
        <v>0</v>
      </c>
      <c s="125">
        <f>Предпосылки!E$241*Предпосылки!$Q271*Продажи!F36*F$19*(1+Чувствительность!$D$20)*IFERROR(LOOKUP(Предпосылки!$H$214,$C$13:$C$15,F$13:F$15),1)</f>
        <v>0</v>
      </c>
      <c s="125">
        <f>Предпосылки!F$241*Предпосылки!$Q271*Продажи!G36*G$19*(1+Чувствительность!$D$20)*IFERROR(LOOKUP(Предпосылки!$H$214,$C$13:$C$15,G$13:G$15),1)</f>
        <v>0</v>
      </c>
      <c s="125">
        <f>Предпосылки!G$241*Предпосылки!$Q271*Продажи!H36*H$19*(1+Чувствительность!$D$20)*IFERROR(LOOKUP(Предпосылки!$H$214,$C$13:$C$15,H$13:H$15),1)</f>
        <v>0</v>
      </c>
      <c s="125">
        <f>Предпосылки!H$241*Предпосылки!$Q271*Продажи!I36*I$19*(1+Чувствительность!$D$20)*IFERROR(LOOKUP(Предпосылки!$H$214,$C$13:$C$15,I$13:I$15),1)</f>
        <v>0</v>
      </c>
      <c s="125">
        <f>Предпосылки!I$241*Предпосылки!$Q271*Продажи!J36*J$19*(1+Чувствительность!$D$20)*IFERROR(LOOKUP(Предпосылки!$H$214,$C$13:$C$15,J$13:J$15),1)</f>
        <v>0</v>
      </c>
      <c s="125">
        <f>Предпосылки!J$241*Предпосылки!$Q271*Продажи!K36*K$19*(1+Чувствительность!$D$20)*IFERROR(LOOKUP(Предпосылки!$H$214,$C$13:$C$15,K$13:K$15),1)</f>
        <v>0</v>
      </c>
      <c s="125">
        <f>Предпосылки!K$241*Предпосылки!$Q271*Продажи!L36*L$19*(1+Чувствительность!$D$20)*IFERROR(LOOKUP(Предпосылки!$H$214,$C$13:$C$15,L$13:L$15),1)</f>
        <v>0</v>
      </c>
      <c s="125">
        <f>Предпосылки!L$241*Предпосылки!$Q271*Продажи!M36*M$19*(1+Чувствительность!$D$20)*IFERROR(LOOKUP(Предпосылки!$H$214,$C$13:$C$15,M$13:M$15),1)</f>
        <v>0</v>
      </c>
      <c s="125">
        <f>Предпосылки!M$241*Предпосылки!$Q271*Продажи!N36*N$19*(1+Чувствительность!$D$20)*IFERROR(LOOKUP(Предпосылки!$H$214,$C$13:$C$15,N$13:N$15),1)</f>
        <v>0</v>
      </c>
      <c s="125">
        <f>Предпосылки!N$241*Предпосылки!$Q271*Продажи!O36*O$19*(1+Чувствительность!$D$20)*IFERROR(LOOKUP(Предпосылки!$H$214,$C$13:$C$15,O$13:O$15),1)</f>
        <v>0</v>
      </c>
      <c s="125">
        <f>Предпосылки!O$241*Предпосылки!$Q271*Продажи!P36*P$19*(1+Чувствительность!$D$20)*IFERROR(LOOKUP(Предпосылки!$H$214,$C$13:$C$15,P$13:P$15),1)</f>
        <v>0</v>
      </c>
      <c s="125">
        <f>Предпосылки!P$241*Предпосылки!$Q271*Продажи!Q36*Q$19*(1+Чувствительность!$D$20)*IFERROR(LOOKUP(Предпосылки!$H$214,$C$13:$C$15,Q$13:Q$15),1)</f>
        <v>0</v>
      </c>
      <c s="125">
        <f>Предпосылки!Q$241*Предпосылки!$Q271*Продажи!R36*R$19*(1+Чувствительность!$D$20)*IFERROR(LOOKUP(Предпосылки!$H$214,$C$13:$C$15,R$13:R$15),1)</f>
        <v>0</v>
      </c>
      <c s="125">
        <f>Предпосылки!R$241*Предпосылки!$Q271*Продажи!S36*S$19*(1+Чувствительность!$D$20)*IFERROR(LOOKUP(Предпосылки!$H$214,$C$13:$C$15,S$13:S$15),1)</f>
        <v>0</v>
      </c>
      <c s="125">
        <f>Предпосылки!S$241*Предпосылки!$Q271*Продажи!T36*T$19*(1+Чувствительность!$D$20)*IFERROR(LOOKUP(Предпосылки!$H$214,$C$13:$C$15,T$13:T$15),1)</f>
        <v>0</v>
      </c>
      <c s="125">
        <f>Предпосылки!T$241*Предпосылки!$Q271*Продажи!U36*U$19*(1+Чувствительность!$D$20)*IFERROR(LOOKUP(Предпосылки!$H$214,$C$13:$C$15,U$13:U$15),1)</f>
        <v>0</v>
      </c>
      <c s="125">
        <f>Предпосылки!U$241*Предпосылки!$Q271*Продажи!V36*V$19*(1+Чувствительность!$D$20)*IFERROR(LOOKUP(Предпосылки!$H$214,$C$13:$C$15,V$13:V$15),1)</f>
        <v>0</v>
      </c>
      <c s="125">
        <f>Предпосылки!V$241*Предпосылки!$Q271*Продажи!W36*W$19*(1+Чувствительность!$D$20)*IFERROR(LOOKUP(Предпосылки!$H$214,$C$13:$C$15,W$13:W$15),1)</f>
        <v>0</v>
      </c>
      <c s="125">
        <f>Предпосылки!W$241*Предпосылки!$Q271*Продажи!X36*X$19*(1+Чувствительность!$D$20)*IFERROR(LOOKUP(Предпосылки!$H$214,$C$13:$C$15,X$13:X$15),1)</f>
        <v>0</v>
      </c>
      <c s="125">
        <f>Предпосылки!X$241*Предпосылки!$Q271*Продажи!Y36*Y$19*(1+Чувствительность!$D$20)*IFERROR(LOOKUP(Предпосылки!$H$214,$C$13:$C$15,Y$13:Y$15),1)</f>
        <v>0</v>
      </c>
      <c s="125">
        <f>Предпосылки!Y$241*Предпосылки!$Q271*Продажи!Z36*Z$19*(1+Чувствительность!$D$20)*IFERROR(LOOKUP(Предпосылки!$H$214,$C$13:$C$15,Z$13:Z$15),1)</f>
        <v>0</v>
      </c>
      <c s="125">
        <f>Предпосылки!Z$241*Предпосылки!$Q271*Продажи!AA36*AA$19*(1+Чувствительность!$D$20)*IFERROR(LOOKUP(Предпосылки!$H$214,$C$13:$C$15,AA$13:AA$15),1)</f>
        <v>0</v>
      </c>
      <c s="125">
        <f>Предпосылки!AA$241*Предпосылки!$Q271*Продажи!AB36*AB$19*(1+Чувствительность!$D$20)*IFERROR(LOOKUP(Предпосылки!$H$214,$C$13:$C$15,AB$13:AB$15),1)</f>
        <v>0</v>
      </c>
      <c s="125">
        <f>Предпосылки!AB$241*Предпосылки!$Q271*Продажи!AC36*AC$19*(1+Чувствительность!$D$20)*IFERROR(LOOKUP(Предпосылки!$H$214,$C$13:$C$15,AC$13:AC$15),1)</f>
        <v>0</v>
      </c>
      <c s="125">
        <f>Предпосылки!AC$241*Предпосылки!$Q271*Продажи!AD36*AD$19*(1+Чувствительность!$D$20)*IFERROR(LOOKUP(Предпосылки!$H$214,$C$13:$C$15,AD$13:AD$15),1)</f>
        <v>0</v>
      </c>
      <c s="125">
        <f>Предпосылки!AD$241*Предпосылки!$Q271*Продажи!AE36*AE$19*(1+Чувствительность!$D$20)*IFERROR(LOOKUP(Предпосылки!$H$214,$C$13:$C$15,AE$13:AE$15),1)</f>
        <v>0</v>
      </c>
      <c s="125">
        <f>Предпосылки!AE$241*Предпосылки!$Q271*Продажи!AF36*AF$19*(1+Чувствительность!$D$20)*IFERROR(LOOKUP(Предпосылки!$H$214,$C$13:$C$15,AF$13:AF$15),1)</f>
        <v>0</v>
      </c>
      <c s="125">
        <f>Предпосылки!AF$241*Предпосылки!$Q271*Продажи!AG36*AG$19*(1+Чувствительность!$D$20)*IFERROR(LOOKUP(Предпосылки!$H$214,$C$13:$C$15,AG$13:AG$15),1)</f>
        <v>0</v>
      </c>
      <c s="125">
        <f>Предпосылки!AG$241*Предпосылки!$Q271*Продажи!AH36*AH$19*(1+Чувствительность!$D$20)*IFERROR(LOOKUP(Предпосылки!$H$214,$C$13:$C$15,AH$13:AH$15),1)</f>
        <v>0</v>
      </c>
      <c s="125">
        <f>Предпосылки!AH$241*Предпосылки!$Q271*Продажи!AI36*AI$19*(1+Чувствительность!$D$20)*IFERROR(LOOKUP(Предпосылки!$H$214,$C$13:$C$15,AI$13:AI$15),1)</f>
        <v>0</v>
      </c>
      <c s="125">
        <f>Предпосылки!AI$241*Предпосылки!$Q271*Продажи!AJ36*AJ$19*(1+Чувствительность!$D$20)*IFERROR(LOOKUP(Предпосылки!$H$214,$C$13:$C$15,AJ$13:AJ$15),1)</f>
        <v>0</v>
      </c>
      <c s="125">
        <f>Предпосылки!AJ$241*Предпосылки!$Q271*Продажи!AK36*AK$19*(1+Чувствительность!$D$20)*IFERROR(LOOKUP(Предпосылки!$H$214,$C$13:$C$15,AK$13:AK$15),1)</f>
        <v>0</v>
      </c>
      <c s="125">
        <f>Предпосылки!AK$241*Предпосылки!$Q271*Продажи!AL36*AL$19*(1+Чувствительность!$D$20)*IFERROR(LOOKUP(Предпосылки!$H$214,$C$13:$C$15,AL$13:AL$15),1)</f>
        <v>0</v>
      </c>
      <c s="125">
        <f>Предпосылки!AL$241*Предпосылки!$Q271*Продажи!AM36*AM$19*(1+Чувствительность!$D$20)*IFERROR(LOOKUP(Предпосылки!$H$214,$C$13:$C$15,AM$13:AM$15),1)</f>
        <v>0</v>
      </c>
      <c s="125">
        <f>Предпосылки!AM$241*Предпосылки!$Q271*Продажи!AN36*AN$19*(1+Чувствительность!$D$20)*IFERROR(LOOKUP(Предпосылки!$H$214,$C$13:$C$15,AN$13:AN$15),1)</f>
        <v>0</v>
      </c>
      <c s="125">
        <f>Предпосылки!AN$241*Предпосылки!$Q271*Продажи!AO36*AO$19*(1+Чувствительность!$D$20)*IFERROR(LOOKUP(Предпосылки!$H$214,$C$13:$C$15,AO$13:AO$15),1)</f>
        <v>0</v>
      </c>
      <c s="125">
        <f>Предпосылки!AO$241*Предпосылки!$Q271*Продажи!AP36*AP$19*(1+Чувствительность!$D$20)*IFERROR(LOOKUP(Предпосылки!$H$214,$C$13:$C$15,AP$13:AP$15),1)</f>
        <v>0</v>
      </c>
      <c s="125">
        <f>Предпосылки!AP$241*Предпосылки!$Q271*Продажи!AQ36*AQ$19*(1+Чувствительность!$D$20)*IFERROR(LOOKUP(Предпосылки!$H$214,$C$13:$C$15,AQ$13:AQ$15),1)</f>
        <v>0</v>
      </c>
      <c s="125">
        <f>Предпосылки!AQ$241*Предпосылки!$Q271*Продажи!AR36*AR$19*(1+Чувствительность!$D$20)*IFERROR(LOOKUP(Предпосылки!$H$214,$C$13:$C$15,AR$13:AR$15),1)</f>
        <v>0</v>
      </c>
      <c s="125">
        <f>Предпосылки!AR$241*Предпосылки!$Q271*Продажи!AS36*AS$19*(1+Чувствительность!$D$20)*IFERROR(LOOKUP(Предпосылки!$H$214,$C$13:$C$15,AS$13:AS$15),1)</f>
        <v>0</v>
      </c>
      <c s="125">
        <f>Предпосылки!AS$241*Предпосылки!$Q271*Продажи!AT36*AT$19*(1+Чувствительность!$D$20)*IFERROR(LOOKUP(Предпосылки!$H$214,$C$13:$C$15,AT$13:AT$15),1)</f>
        <v>0</v>
      </c>
      <c s="125">
        <f>Предпосылки!AT$241*Предпосылки!$Q271*Продажи!AU36*AU$19*(1+Чувствительность!$D$20)*IFERROR(LOOKUP(Предпосылки!$H$214,$C$13:$C$15,AU$13:AU$15),1)</f>
        <v>0</v>
      </c>
      <c s="125">
        <f>Предпосылки!AU$241*Предпосылки!$Q271*Продажи!AV36*AV$19*(1+Чувствительность!$D$20)*IFERROR(LOOKUP(Предпосылки!$H$214,$C$13:$C$15,AV$13:AV$15),1)</f>
        <v>0</v>
      </c>
      <c s="125">
        <f>Предпосылки!AV$241*Предпосылки!$Q271*Продажи!AW36*AW$19*(1+Чувствительность!$D$20)*IFERROR(LOOKUP(Предпосылки!$H$214,$C$13:$C$15,AW$13:AW$15),1)</f>
        <v>0</v>
      </c>
      <c s="125">
        <f>Предпосылки!AW$241*Предпосылки!$Q271*Продажи!AX36*AX$19*(1+Чувствительность!$D$20)*IFERROR(LOOKUP(Предпосылки!$H$214,$C$13:$C$15,AX$13:AX$15),1)</f>
        <v>0</v>
      </c>
      <c s="125">
        <f>Предпосылки!AX$241*Предпосылки!$Q271*Продажи!AY36*AY$19*(1+Чувствительность!$D$20)*IFERROR(LOOKUP(Предпосылки!$H$214,$C$13:$C$15,AY$13:AY$15),1)</f>
        <v>0</v>
      </c>
      <c s="125">
        <f>Предпосылки!AY$241*Предпосылки!$Q271*Продажи!AZ36*AZ$19*(1+Чувствительность!$D$20)*IFERROR(LOOKUP(Предпосылки!$H$214,$C$13:$C$15,AZ$13:AZ$15),1)</f>
        <v>0</v>
      </c>
      <c s="125">
        <f>Предпосылки!AZ$241*Предпосылки!$Q271*Продажи!BA36*BA$19*(1+Чувствительность!$D$20)*IFERROR(LOOKUP(Предпосылки!$H$214,$C$13:$C$15,BA$13:BA$15),1)</f>
        <v>0</v>
      </c>
      <c s="125">
        <f>Предпосылки!BA$241*Предпосылки!$Q271*Продажи!BB36*BB$19*(1+Чувствительность!$D$20)*IFERROR(LOOKUP(Предпосылки!$H$214,$C$13:$C$15,BB$13:BB$15),1)</f>
        <v>0</v>
      </c>
      <c s="125">
        <f>Предпосылки!BB$241*Предпосылки!$Q271*Продажи!BC36*BC$19*(1+Чувствительность!$D$20)*IFERROR(LOOKUP(Предпосылки!$H$214,$C$13:$C$15,BC$13:BC$15),1)</f>
        <v>0</v>
      </c>
      <c s="125">
        <f>Предпосылки!BC$241*Предпосылки!$Q271*Продажи!BD36*BD$19*(1+Чувствительность!$D$20)*IFERROR(LOOKUP(Предпосылки!$H$214,$C$13:$C$15,BD$13:BD$15),1)</f>
        <v>0</v>
      </c>
      <c s="125">
        <f>Предпосылки!BD$241*Предпосылки!$Q271*Продажи!BE36*BE$19*(1+Чувствительность!$D$20)*IFERROR(LOOKUP(Предпосылки!$H$214,$C$13:$C$15,BE$13:BE$15),1)</f>
        <v>0</v>
      </c>
      <c s="125">
        <f>Предпосылки!BE$241*Предпосылки!$Q271*Продажи!BF36*BF$19*(1+Чувствительность!$D$20)*IFERROR(LOOKUP(Предпосылки!$H$214,$C$13:$C$15,BF$13:BF$15),1)</f>
        <v>0</v>
      </c>
      <c s="125">
        <f>Предпосылки!BF$241*Предпосылки!$Q271*Продажи!BG36*BG$19*(1+Чувствительность!$D$20)*IFERROR(LOOKUP(Предпосылки!$H$214,$C$13:$C$15,BG$13:BG$15),1)</f>
        <v>0</v>
      </c>
      <c s="125">
        <f>Предпосылки!BG$241*Предпосылки!$Q271*Продажи!BH36*BH$19*(1+Чувствительность!$D$20)*IFERROR(LOOKUP(Предпосылки!$H$214,$C$13:$C$15,BH$13:BH$15),1)</f>
        <v>0</v>
      </c>
      <c s="125">
        <f>Предпосылки!BH$241*Предпосылки!$Q271*Продажи!BI36*BI$19*(1+Чувствительность!$D$20)*IFERROR(LOOKUP(Предпосылки!$H$214,$C$13:$C$15,BI$13:BI$15),1)</f>
        <v>0</v>
      </c>
      <c s="125">
        <f>Предпосылки!BI$241*Предпосылки!$Q271*Продажи!BJ36*BJ$19*(1+Чувствительность!$D$20)*IFERROR(LOOKUP(Предпосылки!$H$214,$C$13:$C$15,BJ$13:BJ$15),1)</f>
        <v>0</v>
      </c>
      <c s="125">
        <f>Предпосылки!BJ$241*Предпосылки!$Q271*Продажи!BK36*BK$19*(1+Чувствительность!$D$20)*IFERROR(LOOKUP(Предпосылки!$H$214,$C$13:$C$15,BK$13:BK$15),1)</f>
        <v>0</v>
      </c>
      <c s="125">
        <f>Предпосылки!BK$241*Предпосылки!$Q271*Продажи!BL36*BL$19*(1+Чувствительность!$D$20)*IFERROR(LOOKUP(Предпосылки!$H$214,$C$13:$C$15,BL$13:BL$15),1)</f>
        <v>0</v>
      </c>
      <c s="125">
        <f>Предпосылки!BL$241*Предпосылки!$Q271*Продажи!BM36*BM$19*(1+Чувствительность!$D$20)*IFERROR(LOOKUP(Предпосылки!$H$214,$C$13:$C$15,BM$13:BM$15),1)</f>
        <v>0</v>
      </c>
    </row>
    <row r="341" spans="2:65" ht="15" customHeight="1">
      <c r="B341" s="12" t="str">
        <f t="shared" si="126"/>
        <v>Продукт 20</v>
      </c>
      <c s="124" t="str">
        <f t="shared" si="125"/>
        <v>тыс. руб.</v>
      </c>
      <c s="276">
        <f t="shared" si="127"/>
        <v>0</v>
      </c>
      <c s="125">
        <f>Предпосылки!D$241*Предпосылки!$Q272*Продажи!E37*E$19*(1+Чувствительность!$D$20)*IFERROR(LOOKUP(Предпосылки!$H$214,$C$13:$C$15,E$13:E$15),1)</f>
        <v>0</v>
      </c>
      <c s="125">
        <f>Предпосылки!E$241*Предпосылки!$Q272*Продажи!F37*F$19*(1+Чувствительность!$D$20)*IFERROR(LOOKUP(Предпосылки!$H$214,$C$13:$C$15,F$13:F$15),1)</f>
        <v>0</v>
      </c>
      <c s="125">
        <f>Предпосылки!F$241*Предпосылки!$Q272*Продажи!G37*G$19*(1+Чувствительность!$D$20)*IFERROR(LOOKUP(Предпосылки!$H$214,$C$13:$C$15,G$13:G$15),1)</f>
        <v>0</v>
      </c>
      <c s="125">
        <f>Предпосылки!G$241*Предпосылки!$Q272*Продажи!H37*H$19*(1+Чувствительность!$D$20)*IFERROR(LOOKUP(Предпосылки!$H$214,$C$13:$C$15,H$13:H$15),1)</f>
        <v>0</v>
      </c>
      <c s="125">
        <f>Предпосылки!H$241*Предпосылки!$Q272*Продажи!I37*I$19*(1+Чувствительность!$D$20)*IFERROR(LOOKUP(Предпосылки!$H$214,$C$13:$C$15,I$13:I$15),1)</f>
        <v>0</v>
      </c>
      <c s="125">
        <f>Предпосылки!I$241*Предпосылки!$Q272*Продажи!J37*J$19*(1+Чувствительность!$D$20)*IFERROR(LOOKUP(Предпосылки!$H$214,$C$13:$C$15,J$13:J$15),1)</f>
        <v>0</v>
      </c>
      <c s="125">
        <f>Предпосылки!J$241*Предпосылки!$Q272*Продажи!K37*K$19*(1+Чувствительность!$D$20)*IFERROR(LOOKUP(Предпосылки!$H$214,$C$13:$C$15,K$13:K$15),1)</f>
        <v>0</v>
      </c>
      <c s="125">
        <f>Предпосылки!K$241*Предпосылки!$Q272*Продажи!L37*L$19*(1+Чувствительность!$D$20)*IFERROR(LOOKUP(Предпосылки!$H$214,$C$13:$C$15,L$13:L$15),1)</f>
        <v>0</v>
      </c>
      <c s="125">
        <f>Предпосылки!L$241*Предпосылки!$Q272*Продажи!M37*M$19*(1+Чувствительность!$D$20)*IFERROR(LOOKUP(Предпосылки!$H$214,$C$13:$C$15,M$13:M$15),1)</f>
        <v>0</v>
      </c>
      <c s="125">
        <f>Предпосылки!M$241*Предпосылки!$Q272*Продажи!N37*N$19*(1+Чувствительность!$D$20)*IFERROR(LOOKUP(Предпосылки!$H$214,$C$13:$C$15,N$13:N$15),1)</f>
        <v>0</v>
      </c>
      <c s="125">
        <f>Предпосылки!N$241*Предпосылки!$Q272*Продажи!O37*O$19*(1+Чувствительность!$D$20)*IFERROR(LOOKUP(Предпосылки!$H$214,$C$13:$C$15,O$13:O$15),1)</f>
        <v>0</v>
      </c>
      <c s="125">
        <f>Предпосылки!O$241*Предпосылки!$Q272*Продажи!P37*P$19*(1+Чувствительность!$D$20)*IFERROR(LOOKUP(Предпосылки!$H$214,$C$13:$C$15,P$13:P$15),1)</f>
        <v>0</v>
      </c>
      <c s="125">
        <f>Предпосылки!P$241*Предпосылки!$Q272*Продажи!Q37*Q$19*(1+Чувствительность!$D$20)*IFERROR(LOOKUP(Предпосылки!$H$214,$C$13:$C$15,Q$13:Q$15),1)</f>
        <v>0</v>
      </c>
      <c s="125">
        <f>Предпосылки!Q$241*Предпосылки!$Q272*Продажи!R37*R$19*(1+Чувствительность!$D$20)*IFERROR(LOOKUP(Предпосылки!$H$214,$C$13:$C$15,R$13:R$15),1)</f>
        <v>0</v>
      </c>
      <c s="125">
        <f>Предпосылки!R$241*Предпосылки!$Q272*Продажи!S37*S$19*(1+Чувствительность!$D$20)*IFERROR(LOOKUP(Предпосылки!$H$214,$C$13:$C$15,S$13:S$15),1)</f>
        <v>0</v>
      </c>
      <c s="125">
        <f>Предпосылки!S$241*Предпосылки!$Q272*Продажи!T37*T$19*(1+Чувствительность!$D$20)*IFERROR(LOOKUP(Предпосылки!$H$214,$C$13:$C$15,T$13:T$15),1)</f>
        <v>0</v>
      </c>
      <c s="125">
        <f>Предпосылки!T$241*Предпосылки!$Q272*Продажи!U37*U$19*(1+Чувствительность!$D$20)*IFERROR(LOOKUP(Предпосылки!$H$214,$C$13:$C$15,U$13:U$15),1)</f>
        <v>0</v>
      </c>
      <c s="125">
        <f>Предпосылки!U$241*Предпосылки!$Q272*Продажи!V37*V$19*(1+Чувствительность!$D$20)*IFERROR(LOOKUP(Предпосылки!$H$214,$C$13:$C$15,V$13:V$15),1)</f>
        <v>0</v>
      </c>
      <c s="125">
        <f>Предпосылки!V$241*Предпосылки!$Q272*Продажи!W37*W$19*(1+Чувствительность!$D$20)*IFERROR(LOOKUP(Предпосылки!$H$214,$C$13:$C$15,W$13:W$15),1)</f>
        <v>0</v>
      </c>
      <c s="125">
        <f>Предпосылки!W$241*Предпосылки!$Q272*Продажи!X37*X$19*(1+Чувствительность!$D$20)*IFERROR(LOOKUP(Предпосылки!$H$214,$C$13:$C$15,X$13:X$15),1)</f>
        <v>0</v>
      </c>
      <c s="125">
        <f>Предпосылки!X$241*Предпосылки!$Q272*Продажи!Y37*Y$19*(1+Чувствительность!$D$20)*IFERROR(LOOKUP(Предпосылки!$H$214,$C$13:$C$15,Y$13:Y$15),1)</f>
        <v>0</v>
      </c>
      <c s="125">
        <f>Предпосылки!Y$241*Предпосылки!$Q272*Продажи!Z37*Z$19*(1+Чувствительность!$D$20)*IFERROR(LOOKUP(Предпосылки!$H$214,$C$13:$C$15,Z$13:Z$15),1)</f>
        <v>0</v>
      </c>
      <c s="125">
        <f>Предпосылки!Z$241*Предпосылки!$Q272*Продажи!AA37*AA$19*(1+Чувствительность!$D$20)*IFERROR(LOOKUP(Предпосылки!$H$214,$C$13:$C$15,AA$13:AA$15),1)</f>
        <v>0</v>
      </c>
      <c s="125">
        <f>Предпосылки!AA$241*Предпосылки!$Q272*Продажи!AB37*AB$19*(1+Чувствительность!$D$20)*IFERROR(LOOKUP(Предпосылки!$H$214,$C$13:$C$15,AB$13:AB$15),1)</f>
        <v>0</v>
      </c>
      <c s="125">
        <f>Предпосылки!AB$241*Предпосылки!$Q272*Продажи!AC37*AC$19*(1+Чувствительность!$D$20)*IFERROR(LOOKUP(Предпосылки!$H$214,$C$13:$C$15,AC$13:AC$15),1)</f>
        <v>0</v>
      </c>
      <c s="125">
        <f>Предпосылки!AC$241*Предпосылки!$Q272*Продажи!AD37*AD$19*(1+Чувствительность!$D$20)*IFERROR(LOOKUP(Предпосылки!$H$214,$C$13:$C$15,AD$13:AD$15),1)</f>
        <v>0</v>
      </c>
      <c s="125">
        <f>Предпосылки!AD$241*Предпосылки!$Q272*Продажи!AE37*AE$19*(1+Чувствительность!$D$20)*IFERROR(LOOKUP(Предпосылки!$H$214,$C$13:$C$15,AE$13:AE$15),1)</f>
        <v>0</v>
      </c>
      <c s="125">
        <f>Предпосылки!AE$241*Предпосылки!$Q272*Продажи!AF37*AF$19*(1+Чувствительность!$D$20)*IFERROR(LOOKUP(Предпосылки!$H$214,$C$13:$C$15,AF$13:AF$15),1)</f>
        <v>0</v>
      </c>
      <c s="125">
        <f>Предпосылки!AF$241*Предпосылки!$Q272*Продажи!AG37*AG$19*(1+Чувствительность!$D$20)*IFERROR(LOOKUP(Предпосылки!$H$214,$C$13:$C$15,AG$13:AG$15),1)</f>
        <v>0</v>
      </c>
      <c s="125">
        <f>Предпосылки!AG$241*Предпосылки!$Q272*Продажи!AH37*AH$19*(1+Чувствительность!$D$20)*IFERROR(LOOKUP(Предпосылки!$H$214,$C$13:$C$15,AH$13:AH$15),1)</f>
        <v>0</v>
      </c>
      <c s="125">
        <f>Предпосылки!AH$241*Предпосылки!$Q272*Продажи!AI37*AI$19*(1+Чувствительность!$D$20)*IFERROR(LOOKUP(Предпосылки!$H$214,$C$13:$C$15,AI$13:AI$15),1)</f>
        <v>0</v>
      </c>
      <c s="125">
        <f>Предпосылки!AI$241*Предпосылки!$Q272*Продажи!AJ37*AJ$19*(1+Чувствительность!$D$20)*IFERROR(LOOKUP(Предпосылки!$H$214,$C$13:$C$15,AJ$13:AJ$15),1)</f>
        <v>0</v>
      </c>
      <c s="125">
        <f>Предпосылки!AJ$241*Предпосылки!$Q272*Продажи!AK37*AK$19*(1+Чувствительность!$D$20)*IFERROR(LOOKUP(Предпосылки!$H$214,$C$13:$C$15,AK$13:AK$15),1)</f>
        <v>0</v>
      </c>
      <c s="125">
        <f>Предпосылки!AK$241*Предпосылки!$Q272*Продажи!AL37*AL$19*(1+Чувствительность!$D$20)*IFERROR(LOOKUP(Предпосылки!$H$214,$C$13:$C$15,AL$13:AL$15),1)</f>
        <v>0</v>
      </c>
      <c s="125">
        <f>Предпосылки!AL$241*Предпосылки!$Q272*Продажи!AM37*AM$19*(1+Чувствительность!$D$20)*IFERROR(LOOKUP(Предпосылки!$H$214,$C$13:$C$15,AM$13:AM$15),1)</f>
        <v>0</v>
      </c>
      <c s="125">
        <f>Предпосылки!AM$241*Предпосылки!$Q272*Продажи!AN37*AN$19*(1+Чувствительность!$D$20)*IFERROR(LOOKUP(Предпосылки!$H$214,$C$13:$C$15,AN$13:AN$15),1)</f>
        <v>0</v>
      </c>
      <c s="125">
        <f>Предпосылки!AN$241*Предпосылки!$Q272*Продажи!AO37*AO$19*(1+Чувствительность!$D$20)*IFERROR(LOOKUP(Предпосылки!$H$214,$C$13:$C$15,AO$13:AO$15),1)</f>
        <v>0</v>
      </c>
      <c s="125">
        <f>Предпосылки!AO$241*Предпосылки!$Q272*Продажи!AP37*AP$19*(1+Чувствительность!$D$20)*IFERROR(LOOKUP(Предпосылки!$H$214,$C$13:$C$15,AP$13:AP$15),1)</f>
        <v>0</v>
      </c>
      <c s="125">
        <f>Предпосылки!AP$241*Предпосылки!$Q272*Продажи!AQ37*AQ$19*(1+Чувствительность!$D$20)*IFERROR(LOOKUP(Предпосылки!$H$214,$C$13:$C$15,AQ$13:AQ$15),1)</f>
        <v>0</v>
      </c>
      <c s="125">
        <f>Предпосылки!AQ$241*Предпосылки!$Q272*Продажи!AR37*AR$19*(1+Чувствительность!$D$20)*IFERROR(LOOKUP(Предпосылки!$H$214,$C$13:$C$15,AR$13:AR$15),1)</f>
        <v>0</v>
      </c>
      <c s="125">
        <f>Предпосылки!AR$241*Предпосылки!$Q272*Продажи!AS37*AS$19*(1+Чувствительность!$D$20)*IFERROR(LOOKUP(Предпосылки!$H$214,$C$13:$C$15,AS$13:AS$15),1)</f>
        <v>0</v>
      </c>
      <c s="125">
        <f>Предпосылки!AS$241*Предпосылки!$Q272*Продажи!AT37*AT$19*(1+Чувствительность!$D$20)*IFERROR(LOOKUP(Предпосылки!$H$214,$C$13:$C$15,AT$13:AT$15),1)</f>
        <v>0</v>
      </c>
      <c s="125">
        <f>Предпосылки!AT$241*Предпосылки!$Q272*Продажи!AU37*AU$19*(1+Чувствительность!$D$20)*IFERROR(LOOKUP(Предпосылки!$H$214,$C$13:$C$15,AU$13:AU$15),1)</f>
        <v>0</v>
      </c>
      <c s="125">
        <f>Предпосылки!AU$241*Предпосылки!$Q272*Продажи!AV37*AV$19*(1+Чувствительность!$D$20)*IFERROR(LOOKUP(Предпосылки!$H$214,$C$13:$C$15,AV$13:AV$15),1)</f>
        <v>0</v>
      </c>
      <c s="125">
        <f>Предпосылки!AV$241*Предпосылки!$Q272*Продажи!AW37*AW$19*(1+Чувствительность!$D$20)*IFERROR(LOOKUP(Предпосылки!$H$214,$C$13:$C$15,AW$13:AW$15),1)</f>
        <v>0</v>
      </c>
      <c s="125">
        <f>Предпосылки!AW$241*Предпосылки!$Q272*Продажи!AX37*AX$19*(1+Чувствительность!$D$20)*IFERROR(LOOKUP(Предпосылки!$H$214,$C$13:$C$15,AX$13:AX$15),1)</f>
        <v>0</v>
      </c>
      <c s="125">
        <f>Предпосылки!AX$241*Предпосылки!$Q272*Продажи!AY37*AY$19*(1+Чувствительность!$D$20)*IFERROR(LOOKUP(Предпосылки!$H$214,$C$13:$C$15,AY$13:AY$15),1)</f>
        <v>0</v>
      </c>
      <c s="125">
        <f>Предпосылки!AY$241*Предпосылки!$Q272*Продажи!AZ37*AZ$19*(1+Чувствительность!$D$20)*IFERROR(LOOKUP(Предпосылки!$H$214,$C$13:$C$15,AZ$13:AZ$15),1)</f>
        <v>0</v>
      </c>
      <c s="125">
        <f>Предпосылки!AZ$241*Предпосылки!$Q272*Продажи!BA37*BA$19*(1+Чувствительность!$D$20)*IFERROR(LOOKUP(Предпосылки!$H$214,$C$13:$C$15,BA$13:BA$15),1)</f>
        <v>0</v>
      </c>
      <c s="125">
        <f>Предпосылки!BA$241*Предпосылки!$Q272*Продажи!BB37*BB$19*(1+Чувствительность!$D$20)*IFERROR(LOOKUP(Предпосылки!$H$214,$C$13:$C$15,BB$13:BB$15),1)</f>
        <v>0</v>
      </c>
      <c s="125">
        <f>Предпосылки!BB$241*Предпосылки!$Q272*Продажи!BC37*BC$19*(1+Чувствительность!$D$20)*IFERROR(LOOKUP(Предпосылки!$H$214,$C$13:$C$15,BC$13:BC$15),1)</f>
        <v>0</v>
      </c>
      <c s="125">
        <f>Предпосылки!BC$241*Предпосылки!$Q272*Продажи!BD37*BD$19*(1+Чувствительность!$D$20)*IFERROR(LOOKUP(Предпосылки!$H$214,$C$13:$C$15,BD$13:BD$15),1)</f>
        <v>0</v>
      </c>
      <c s="125">
        <f>Предпосылки!BD$241*Предпосылки!$Q272*Продажи!BE37*BE$19*(1+Чувствительность!$D$20)*IFERROR(LOOKUP(Предпосылки!$H$214,$C$13:$C$15,BE$13:BE$15),1)</f>
        <v>0</v>
      </c>
      <c s="125">
        <f>Предпосылки!BE$241*Предпосылки!$Q272*Продажи!BF37*BF$19*(1+Чувствительность!$D$20)*IFERROR(LOOKUP(Предпосылки!$H$214,$C$13:$C$15,BF$13:BF$15),1)</f>
        <v>0</v>
      </c>
      <c s="125">
        <f>Предпосылки!BF$241*Предпосылки!$Q272*Продажи!BG37*BG$19*(1+Чувствительность!$D$20)*IFERROR(LOOKUP(Предпосылки!$H$214,$C$13:$C$15,BG$13:BG$15),1)</f>
        <v>0</v>
      </c>
      <c s="125">
        <f>Предпосылки!BG$241*Предпосылки!$Q272*Продажи!BH37*BH$19*(1+Чувствительность!$D$20)*IFERROR(LOOKUP(Предпосылки!$H$214,$C$13:$C$15,BH$13:BH$15),1)</f>
        <v>0</v>
      </c>
      <c s="125">
        <f>Предпосылки!BH$241*Предпосылки!$Q272*Продажи!BI37*BI$19*(1+Чувствительность!$D$20)*IFERROR(LOOKUP(Предпосылки!$H$214,$C$13:$C$15,BI$13:BI$15),1)</f>
        <v>0</v>
      </c>
      <c s="125">
        <f>Предпосылки!BI$241*Предпосылки!$Q272*Продажи!BJ37*BJ$19*(1+Чувствительность!$D$20)*IFERROR(LOOKUP(Предпосылки!$H$214,$C$13:$C$15,BJ$13:BJ$15),1)</f>
        <v>0</v>
      </c>
      <c s="125">
        <f>Предпосылки!BJ$241*Предпосылки!$Q272*Продажи!BK37*BK$19*(1+Чувствительность!$D$20)*IFERROR(LOOKUP(Предпосылки!$H$214,$C$13:$C$15,BK$13:BK$15),1)</f>
        <v>0</v>
      </c>
      <c s="125">
        <f>Предпосылки!BK$241*Предпосылки!$Q272*Продажи!BL37*BL$19*(1+Чувствительность!$D$20)*IFERROR(LOOKUP(Предпосылки!$H$214,$C$13:$C$15,BL$13:BL$15),1)</f>
        <v>0</v>
      </c>
      <c s="125">
        <f>Предпосылки!BL$241*Предпосылки!$Q272*Продажи!BM37*BM$19*(1+Чувствительность!$D$20)*IFERROR(LOOKUP(Предпосылки!$H$214,$C$13:$C$15,BM$13:BM$15),1)</f>
        <v>0</v>
      </c>
    </row>
    <row r="342" spans="2:65" ht="15" customHeight="1">
      <c r="B342" s="289" t="s">
        <v>454</v>
      </c>
      <c s="290" t="str">
        <f>Единица_измерения</f>
        <v>тыс. руб.</v>
      </c>
      <c s="291">
        <f>SUM(D322:D341)</f>
        <v>0</v>
      </c>
      <c s="276">
        <f>SUM(E322:E341)</f>
        <v>0</v>
      </c>
      <c s="276">
        <f t="shared" si="128" ref="F342:AG342">SUM(F322:F341)</f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8"/>
        <v>0</v>
      </c>
      <c s="276">
        <f t="shared" si="129" ref="AH342:BM342">SUM(AH322:AH341)</f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</row>
    <row r="343" spans="7:7" ht="15" customHeight="1">
      <c r="G343" s="19"/>
    </row>
    <row r="344" spans="2:69" ht="14.45">
      <c r="B344" s="25" t="str">
        <f>Предпосылки!B242</f>
        <v>Операционные затраты 15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5" spans="2:65" ht="15" customHeight="1">
      <c r="B345" s="12" t="str">
        <f>B322</f>
        <v>Продукт 1</v>
      </c>
      <c s="124" t="str">
        <f t="shared" si="130" ref="C345:C364">Единица_измерения</f>
        <v>тыс. руб.</v>
      </c>
      <c s="276">
        <f>SUM(E345:BM345)</f>
        <v>0</v>
      </c>
      <c s="125">
        <f>Предпосылки!D$242*Предпосылки!$R253*Продажи!E18*E$19*(1+Чувствительность!$D$20)*IFERROR(LOOKUP(Предпосылки!$H$215,$C$13:$C$15,E$13:E$15),1)</f>
        <v>0</v>
      </c>
      <c s="125">
        <f>Предпосылки!E$242*Предпосылки!$R253*Продажи!F18*F$19*(1+Чувствительность!$D$20)*IFERROR(LOOKUP(Предпосылки!$H$215,$C$13:$C$15,F$13:F$15),1)</f>
        <v>0</v>
      </c>
      <c s="125">
        <f>Предпосылки!F$242*Предпосылки!$R253*Продажи!G18*G$19*(1+Чувствительность!$D$20)*IFERROR(LOOKUP(Предпосылки!$H$215,$C$13:$C$15,G$13:G$15),1)</f>
        <v>0</v>
      </c>
      <c s="125">
        <f>Предпосылки!G$242*Предпосылки!$R253*Продажи!H18*H$19*(1+Чувствительность!$D$20)*IFERROR(LOOKUP(Предпосылки!$H$215,$C$13:$C$15,H$13:H$15),1)</f>
        <v>0</v>
      </c>
      <c s="125">
        <f>Предпосылки!H$242*Предпосылки!$R253*Продажи!I18*I$19*(1+Чувствительность!$D$20)*IFERROR(LOOKUP(Предпосылки!$H$215,$C$13:$C$15,I$13:I$15),1)</f>
        <v>0</v>
      </c>
      <c s="125">
        <f>Предпосылки!I$242*Предпосылки!$R253*Продажи!J18*J$19*(1+Чувствительность!$D$20)*IFERROR(LOOKUP(Предпосылки!$H$215,$C$13:$C$15,J$13:J$15),1)</f>
        <v>0</v>
      </c>
      <c s="125">
        <f>Предпосылки!J$242*Предпосылки!$R253*Продажи!K18*K$19*(1+Чувствительность!$D$20)*IFERROR(LOOKUP(Предпосылки!$H$215,$C$13:$C$15,K$13:K$15),1)</f>
        <v>0</v>
      </c>
      <c s="125">
        <f>Предпосылки!K$242*Предпосылки!$R253*Продажи!L18*L$19*(1+Чувствительность!$D$20)*IFERROR(LOOKUP(Предпосылки!$H$215,$C$13:$C$15,L$13:L$15),1)</f>
        <v>0</v>
      </c>
      <c s="125">
        <f>Предпосылки!L$242*Предпосылки!$R253*Продажи!M18*M$19*(1+Чувствительность!$D$20)*IFERROR(LOOKUP(Предпосылки!$H$215,$C$13:$C$15,M$13:M$15),1)</f>
        <v>0</v>
      </c>
      <c s="125">
        <f>Предпосылки!M$242*Предпосылки!$R253*Продажи!N18*N$19*(1+Чувствительность!$D$20)*IFERROR(LOOKUP(Предпосылки!$H$215,$C$13:$C$15,N$13:N$15),1)</f>
        <v>0</v>
      </c>
      <c s="125">
        <f>Предпосылки!N$242*Предпосылки!$R253*Продажи!O18*O$19*(1+Чувствительность!$D$20)*IFERROR(LOOKUP(Предпосылки!$H$215,$C$13:$C$15,O$13:O$15),1)</f>
        <v>0</v>
      </c>
      <c s="125">
        <f>Предпосылки!O$242*Предпосылки!$R253*Продажи!P18*P$19*(1+Чувствительность!$D$20)*IFERROR(LOOKUP(Предпосылки!$H$215,$C$13:$C$15,P$13:P$15),1)</f>
        <v>0</v>
      </c>
      <c s="125">
        <f>Предпосылки!P$242*Предпосылки!$R253*Продажи!Q18*Q$19*(1+Чувствительность!$D$20)*IFERROR(LOOKUP(Предпосылки!$H$215,$C$13:$C$15,Q$13:Q$15),1)</f>
        <v>0</v>
      </c>
      <c s="125">
        <f>Предпосылки!Q$242*Предпосылки!$R253*Продажи!R18*R$19*(1+Чувствительность!$D$20)*IFERROR(LOOKUP(Предпосылки!$H$215,$C$13:$C$15,R$13:R$15),1)</f>
        <v>0</v>
      </c>
      <c s="125">
        <f>Предпосылки!R$242*Предпосылки!$R253*Продажи!S18*S$19*(1+Чувствительность!$D$20)*IFERROR(LOOKUP(Предпосылки!$H$215,$C$13:$C$15,S$13:S$15),1)</f>
        <v>0</v>
      </c>
      <c s="125">
        <f>Предпосылки!S$242*Предпосылки!$R253*Продажи!T18*T$19*(1+Чувствительность!$D$20)*IFERROR(LOOKUP(Предпосылки!$H$215,$C$13:$C$15,T$13:T$15),1)</f>
        <v>0</v>
      </c>
      <c s="125">
        <f>Предпосылки!T$242*Предпосылки!$R253*Продажи!U18*U$19*(1+Чувствительность!$D$20)*IFERROR(LOOKUP(Предпосылки!$H$215,$C$13:$C$15,U$13:U$15),1)</f>
        <v>0</v>
      </c>
      <c s="125">
        <f>Предпосылки!U$242*Предпосылки!$R253*Продажи!V18*V$19*(1+Чувствительность!$D$20)*IFERROR(LOOKUP(Предпосылки!$H$215,$C$13:$C$15,V$13:V$15),1)</f>
        <v>0</v>
      </c>
      <c s="125">
        <f>Предпосылки!V$242*Предпосылки!$R253*Продажи!W18*W$19*(1+Чувствительность!$D$20)*IFERROR(LOOKUP(Предпосылки!$H$215,$C$13:$C$15,W$13:W$15),1)</f>
        <v>0</v>
      </c>
      <c s="125">
        <f>Предпосылки!W$242*Предпосылки!$R253*Продажи!X18*X$19*(1+Чувствительность!$D$20)*IFERROR(LOOKUP(Предпосылки!$H$215,$C$13:$C$15,X$13:X$15),1)</f>
        <v>0</v>
      </c>
      <c s="125">
        <f>Предпосылки!X$242*Предпосылки!$R253*Продажи!Y18*Y$19*(1+Чувствительность!$D$20)*IFERROR(LOOKUP(Предпосылки!$H$215,$C$13:$C$15,Y$13:Y$15),1)</f>
        <v>0</v>
      </c>
      <c s="125">
        <f>Предпосылки!Y$242*Предпосылки!$R253*Продажи!Z18*Z$19*(1+Чувствительность!$D$20)*IFERROR(LOOKUP(Предпосылки!$H$215,$C$13:$C$15,Z$13:Z$15),1)</f>
        <v>0</v>
      </c>
      <c s="125">
        <f>Предпосылки!Z$242*Предпосылки!$R253*Продажи!AA18*AA$19*(1+Чувствительность!$D$20)*IFERROR(LOOKUP(Предпосылки!$H$215,$C$13:$C$15,AA$13:AA$15),1)</f>
        <v>0</v>
      </c>
      <c s="125">
        <f>Предпосылки!AA$242*Предпосылки!$R253*Продажи!AB18*AB$19*(1+Чувствительность!$D$20)*IFERROR(LOOKUP(Предпосылки!$H$215,$C$13:$C$15,AB$13:AB$15),1)</f>
        <v>0</v>
      </c>
      <c s="125">
        <f>Предпосылки!AB$242*Предпосылки!$R253*Продажи!AC18*AC$19*(1+Чувствительность!$D$20)*IFERROR(LOOKUP(Предпосылки!$H$215,$C$13:$C$15,AC$13:AC$15),1)</f>
        <v>0</v>
      </c>
      <c s="125">
        <f>Предпосылки!AC$242*Предпосылки!$R253*Продажи!AD18*AD$19*(1+Чувствительность!$D$20)*IFERROR(LOOKUP(Предпосылки!$H$215,$C$13:$C$15,AD$13:AD$15),1)</f>
        <v>0</v>
      </c>
      <c s="125">
        <f>Предпосылки!AD$242*Предпосылки!$R253*Продажи!AE18*AE$19*(1+Чувствительность!$D$20)*IFERROR(LOOKUP(Предпосылки!$H$215,$C$13:$C$15,AE$13:AE$15),1)</f>
        <v>0</v>
      </c>
      <c s="125">
        <f>Предпосылки!AE$242*Предпосылки!$R253*Продажи!AF18*AF$19*(1+Чувствительность!$D$20)*IFERROR(LOOKUP(Предпосылки!$H$215,$C$13:$C$15,AF$13:AF$15),1)</f>
        <v>0</v>
      </c>
      <c s="125">
        <f>Предпосылки!AF$242*Предпосылки!$R253*Продажи!AG18*AG$19*(1+Чувствительность!$D$20)*IFERROR(LOOKUP(Предпосылки!$H$215,$C$13:$C$15,AG$13:AG$15),1)</f>
        <v>0</v>
      </c>
      <c s="125">
        <f>Предпосылки!AG$242*Предпосылки!$R253*Продажи!AH18*AH$19*(1+Чувствительность!$D$20)*IFERROR(LOOKUP(Предпосылки!$H$215,$C$13:$C$15,AH$13:AH$15),1)</f>
        <v>0</v>
      </c>
      <c s="125">
        <f>Предпосылки!AH$242*Предпосылки!$R253*Продажи!AI18*AI$19*(1+Чувствительность!$D$20)*IFERROR(LOOKUP(Предпосылки!$H$215,$C$13:$C$15,AI$13:AI$15),1)</f>
        <v>0</v>
      </c>
      <c s="125">
        <f>Предпосылки!AI$242*Предпосылки!$R253*Продажи!AJ18*AJ$19*(1+Чувствительность!$D$20)*IFERROR(LOOKUP(Предпосылки!$H$215,$C$13:$C$15,AJ$13:AJ$15),1)</f>
        <v>0</v>
      </c>
      <c s="125">
        <f>Предпосылки!AJ$242*Предпосылки!$R253*Продажи!AK18*AK$19*(1+Чувствительность!$D$20)*IFERROR(LOOKUP(Предпосылки!$H$215,$C$13:$C$15,AK$13:AK$15),1)</f>
        <v>0</v>
      </c>
      <c s="125">
        <f>Предпосылки!AK$242*Предпосылки!$R253*Продажи!AL18*AL$19*(1+Чувствительность!$D$20)*IFERROR(LOOKUP(Предпосылки!$H$215,$C$13:$C$15,AL$13:AL$15),1)</f>
        <v>0</v>
      </c>
      <c s="125">
        <f>Предпосылки!AL$242*Предпосылки!$R253*Продажи!AM18*AM$19*(1+Чувствительность!$D$20)*IFERROR(LOOKUP(Предпосылки!$H$215,$C$13:$C$15,AM$13:AM$15),1)</f>
        <v>0</v>
      </c>
      <c s="125">
        <f>Предпосылки!AM$242*Предпосылки!$R253*Продажи!AN18*AN$19*(1+Чувствительность!$D$20)*IFERROR(LOOKUP(Предпосылки!$H$215,$C$13:$C$15,AN$13:AN$15),1)</f>
        <v>0</v>
      </c>
      <c s="125">
        <f>Предпосылки!AN$242*Предпосылки!$R253*Продажи!AO18*AO$19*(1+Чувствительность!$D$20)*IFERROR(LOOKUP(Предпосылки!$H$215,$C$13:$C$15,AO$13:AO$15),1)</f>
        <v>0</v>
      </c>
      <c s="125">
        <f>Предпосылки!AO$242*Предпосылки!$R253*Продажи!AP18*AP$19*(1+Чувствительность!$D$20)*IFERROR(LOOKUP(Предпосылки!$H$215,$C$13:$C$15,AP$13:AP$15),1)</f>
        <v>0</v>
      </c>
      <c s="125">
        <f>Предпосылки!AP$242*Предпосылки!$R253*Продажи!AQ18*AQ$19*(1+Чувствительность!$D$20)*IFERROR(LOOKUP(Предпосылки!$H$215,$C$13:$C$15,AQ$13:AQ$15),1)</f>
        <v>0</v>
      </c>
      <c s="125">
        <f>Предпосылки!AQ$242*Предпосылки!$R253*Продажи!AR18*AR$19*(1+Чувствительность!$D$20)*IFERROR(LOOKUP(Предпосылки!$H$215,$C$13:$C$15,AR$13:AR$15),1)</f>
        <v>0</v>
      </c>
      <c s="125">
        <f>Предпосылки!AR$242*Предпосылки!$R253*Продажи!AS18*AS$19*(1+Чувствительность!$D$20)*IFERROR(LOOKUP(Предпосылки!$H$215,$C$13:$C$15,AS$13:AS$15),1)</f>
        <v>0</v>
      </c>
      <c s="125">
        <f>Предпосылки!AS$242*Предпосылки!$R253*Продажи!AT18*AT$19*(1+Чувствительность!$D$20)*IFERROR(LOOKUP(Предпосылки!$H$215,$C$13:$C$15,AT$13:AT$15),1)</f>
        <v>0</v>
      </c>
      <c s="125">
        <f>Предпосылки!AT$242*Предпосылки!$R253*Продажи!AU18*AU$19*(1+Чувствительность!$D$20)*IFERROR(LOOKUP(Предпосылки!$H$215,$C$13:$C$15,AU$13:AU$15),1)</f>
        <v>0</v>
      </c>
      <c s="125">
        <f>Предпосылки!AU$242*Предпосылки!$R253*Продажи!AV18*AV$19*(1+Чувствительность!$D$20)*IFERROR(LOOKUP(Предпосылки!$H$215,$C$13:$C$15,AV$13:AV$15),1)</f>
        <v>0</v>
      </c>
      <c s="125">
        <f>Предпосылки!AV$242*Предпосылки!$R253*Продажи!AW18*AW$19*(1+Чувствительность!$D$20)*IFERROR(LOOKUP(Предпосылки!$H$215,$C$13:$C$15,AW$13:AW$15),1)</f>
        <v>0</v>
      </c>
      <c s="125">
        <f>Предпосылки!AW$242*Предпосылки!$R253*Продажи!AX18*AX$19*(1+Чувствительность!$D$20)*IFERROR(LOOKUP(Предпосылки!$H$215,$C$13:$C$15,AX$13:AX$15),1)</f>
        <v>0</v>
      </c>
      <c s="125">
        <f>Предпосылки!AX$242*Предпосылки!$R253*Продажи!AY18*AY$19*(1+Чувствительность!$D$20)*IFERROR(LOOKUP(Предпосылки!$H$215,$C$13:$C$15,AY$13:AY$15),1)</f>
        <v>0</v>
      </c>
      <c s="125">
        <f>Предпосылки!AY$242*Предпосылки!$R253*Продажи!AZ18*AZ$19*(1+Чувствительность!$D$20)*IFERROR(LOOKUP(Предпосылки!$H$215,$C$13:$C$15,AZ$13:AZ$15),1)</f>
        <v>0</v>
      </c>
      <c s="125">
        <f>Предпосылки!AZ$242*Предпосылки!$R253*Продажи!BA18*BA$19*(1+Чувствительность!$D$20)*IFERROR(LOOKUP(Предпосылки!$H$215,$C$13:$C$15,BA$13:BA$15),1)</f>
        <v>0</v>
      </c>
      <c s="125">
        <f>Предпосылки!BA$242*Предпосылки!$R253*Продажи!BB18*BB$19*(1+Чувствительность!$D$20)*IFERROR(LOOKUP(Предпосылки!$H$215,$C$13:$C$15,BB$13:BB$15),1)</f>
        <v>0</v>
      </c>
      <c s="125">
        <f>Предпосылки!BB$242*Предпосылки!$R253*Продажи!BC18*BC$19*(1+Чувствительность!$D$20)*IFERROR(LOOKUP(Предпосылки!$H$215,$C$13:$C$15,BC$13:BC$15),1)</f>
        <v>0</v>
      </c>
      <c s="125">
        <f>Предпосылки!BC$242*Предпосылки!$R253*Продажи!BD18*BD$19*(1+Чувствительность!$D$20)*IFERROR(LOOKUP(Предпосылки!$H$215,$C$13:$C$15,BD$13:BD$15),1)</f>
        <v>0</v>
      </c>
      <c s="125">
        <f>Предпосылки!BD$242*Предпосылки!$R253*Продажи!BE18*BE$19*(1+Чувствительность!$D$20)*IFERROR(LOOKUP(Предпосылки!$H$215,$C$13:$C$15,BE$13:BE$15),1)</f>
        <v>0</v>
      </c>
      <c s="125">
        <f>Предпосылки!BE$242*Предпосылки!$R253*Продажи!BF18*BF$19*(1+Чувствительность!$D$20)*IFERROR(LOOKUP(Предпосылки!$H$215,$C$13:$C$15,BF$13:BF$15),1)</f>
        <v>0</v>
      </c>
      <c s="125">
        <f>Предпосылки!BF$242*Предпосылки!$R253*Продажи!BG18*BG$19*(1+Чувствительность!$D$20)*IFERROR(LOOKUP(Предпосылки!$H$215,$C$13:$C$15,BG$13:BG$15),1)</f>
        <v>0</v>
      </c>
      <c s="125">
        <f>Предпосылки!BG$242*Предпосылки!$R253*Продажи!BH18*BH$19*(1+Чувствительность!$D$20)*IFERROR(LOOKUP(Предпосылки!$H$215,$C$13:$C$15,BH$13:BH$15),1)</f>
        <v>0</v>
      </c>
      <c s="125">
        <f>Предпосылки!BH$242*Предпосылки!$R253*Продажи!BI18*BI$19*(1+Чувствительность!$D$20)*IFERROR(LOOKUP(Предпосылки!$H$215,$C$13:$C$15,BI$13:BI$15),1)</f>
        <v>0</v>
      </c>
      <c s="125">
        <f>Предпосылки!BI$242*Предпосылки!$R253*Продажи!BJ18*BJ$19*(1+Чувствительность!$D$20)*IFERROR(LOOKUP(Предпосылки!$H$215,$C$13:$C$15,BJ$13:BJ$15),1)</f>
        <v>0</v>
      </c>
      <c s="125">
        <f>Предпосылки!BJ$242*Предпосылки!$R253*Продажи!BK18*BK$19*(1+Чувствительность!$D$20)*IFERROR(LOOKUP(Предпосылки!$H$215,$C$13:$C$15,BK$13:BK$15),1)</f>
        <v>0</v>
      </c>
      <c s="125">
        <f>Предпосылки!BK$242*Предпосылки!$R253*Продажи!BL18*BL$19*(1+Чувствительность!$D$20)*IFERROR(LOOKUP(Предпосылки!$H$215,$C$13:$C$15,BL$13:BL$15),1)</f>
        <v>0</v>
      </c>
      <c s="125">
        <f>Предпосылки!BL$242*Предпосылки!$R253*Продажи!BM18*BM$19*(1+Чувствительность!$D$20)*IFERROR(LOOKUP(Предпосылки!$H$215,$C$13:$C$15,BM$13:BM$15),1)</f>
        <v>0</v>
      </c>
    </row>
    <row r="346" spans="2:65" ht="15" customHeight="1">
      <c r="B346" s="12" t="str">
        <f t="shared" si="131" ref="B346:B364">B323</f>
        <v>Продукт 2</v>
      </c>
      <c s="124" t="str">
        <f t="shared" si="130"/>
        <v>тыс. руб.</v>
      </c>
      <c s="276">
        <f t="shared" si="132" ref="D346:D364">SUM(E346:BM346)</f>
        <v>0</v>
      </c>
      <c s="125">
        <f>Предпосылки!D$242*Предпосылки!$R254*Продажи!E19*E$19*(1+Чувствительность!$D$20)*IFERROR(LOOKUP(Предпосылки!$H$215,$C$13:$C$15,E$13:E$15),1)</f>
        <v>0</v>
      </c>
      <c s="125">
        <f>Предпосылки!E$242*Предпосылки!$R254*Продажи!F19*F$19*(1+Чувствительность!$D$20)*IFERROR(LOOKUP(Предпосылки!$H$215,$C$13:$C$15,F$13:F$15),1)</f>
        <v>0</v>
      </c>
      <c s="125">
        <f>Предпосылки!F$242*Предпосылки!$R254*Продажи!G19*G$19*(1+Чувствительность!$D$20)*IFERROR(LOOKUP(Предпосылки!$H$215,$C$13:$C$15,G$13:G$15),1)</f>
        <v>0</v>
      </c>
      <c s="125">
        <f>Предпосылки!G$242*Предпосылки!$R254*Продажи!H19*H$19*(1+Чувствительность!$D$20)*IFERROR(LOOKUP(Предпосылки!$H$215,$C$13:$C$15,H$13:H$15),1)</f>
        <v>0</v>
      </c>
      <c s="125">
        <f>Предпосылки!H$242*Предпосылки!$R254*Продажи!I19*I$19*(1+Чувствительность!$D$20)*IFERROR(LOOKUP(Предпосылки!$H$215,$C$13:$C$15,I$13:I$15),1)</f>
        <v>0</v>
      </c>
      <c s="125">
        <f>Предпосылки!I$242*Предпосылки!$R254*Продажи!J19*J$19*(1+Чувствительность!$D$20)*IFERROR(LOOKUP(Предпосылки!$H$215,$C$13:$C$15,J$13:J$15),1)</f>
        <v>0</v>
      </c>
      <c s="125">
        <f>Предпосылки!J$242*Предпосылки!$R254*Продажи!K19*K$19*(1+Чувствительность!$D$20)*IFERROR(LOOKUP(Предпосылки!$H$215,$C$13:$C$15,K$13:K$15),1)</f>
        <v>0</v>
      </c>
      <c s="125">
        <f>Предпосылки!K$242*Предпосылки!$R254*Продажи!L19*L$19*(1+Чувствительность!$D$20)*IFERROR(LOOKUP(Предпосылки!$H$215,$C$13:$C$15,L$13:L$15),1)</f>
        <v>0</v>
      </c>
      <c s="125">
        <f>Предпосылки!L$242*Предпосылки!$R254*Продажи!M19*M$19*(1+Чувствительность!$D$20)*IFERROR(LOOKUP(Предпосылки!$H$215,$C$13:$C$15,M$13:M$15),1)</f>
        <v>0</v>
      </c>
      <c s="125">
        <f>Предпосылки!M$242*Предпосылки!$R254*Продажи!N19*N$19*(1+Чувствительность!$D$20)*IFERROR(LOOKUP(Предпосылки!$H$215,$C$13:$C$15,N$13:N$15),1)</f>
        <v>0</v>
      </c>
      <c s="125">
        <f>Предпосылки!N$242*Предпосылки!$R254*Продажи!O19*O$19*(1+Чувствительность!$D$20)*IFERROR(LOOKUP(Предпосылки!$H$215,$C$13:$C$15,O$13:O$15),1)</f>
        <v>0</v>
      </c>
      <c s="125">
        <f>Предпосылки!O$242*Предпосылки!$R254*Продажи!P19*P$19*(1+Чувствительность!$D$20)*IFERROR(LOOKUP(Предпосылки!$H$215,$C$13:$C$15,P$13:P$15),1)</f>
        <v>0</v>
      </c>
      <c s="125">
        <f>Предпосылки!P$242*Предпосылки!$R254*Продажи!Q19*Q$19*(1+Чувствительность!$D$20)*IFERROR(LOOKUP(Предпосылки!$H$215,$C$13:$C$15,Q$13:Q$15),1)</f>
        <v>0</v>
      </c>
      <c s="125">
        <f>Предпосылки!Q$242*Предпосылки!$R254*Продажи!R19*R$19*(1+Чувствительность!$D$20)*IFERROR(LOOKUP(Предпосылки!$H$215,$C$13:$C$15,R$13:R$15),1)</f>
        <v>0</v>
      </c>
      <c s="125">
        <f>Предпосылки!R$242*Предпосылки!$R254*Продажи!S19*S$19*(1+Чувствительность!$D$20)*IFERROR(LOOKUP(Предпосылки!$H$215,$C$13:$C$15,S$13:S$15),1)</f>
        <v>0</v>
      </c>
      <c s="125">
        <f>Предпосылки!S$242*Предпосылки!$R254*Продажи!T19*T$19*(1+Чувствительность!$D$20)*IFERROR(LOOKUP(Предпосылки!$H$215,$C$13:$C$15,T$13:T$15),1)</f>
        <v>0</v>
      </c>
      <c s="125">
        <f>Предпосылки!T$242*Предпосылки!$R254*Продажи!U19*U$19*(1+Чувствительность!$D$20)*IFERROR(LOOKUP(Предпосылки!$H$215,$C$13:$C$15,U$13:U$15),1)</f>
        <v>0</v>
      </c>
      <c s="125">
        <f>Предпосылки!U$242*Предпосылки!$R254*Продажи!V19*V$19*(1+Чувствительность!$D$20)*IFERROR(LOOKUP(Предпосылки!$H$215,$C$13:$C$15,V$13:V$15),1)</f>
        <v>0</v>
      </c>
      <c s="125">
        <f>Предпосылки!V$242*Предпосылки!$R254*Продажи!W19*W$19*(1+Чувствительность!$D$20)*IFERROR(LOOKUP(Предпосылки!$H$215,$C$13:$C$15,W$13:W$15),1)</f>
        <v>0</v>
      </c>
      <c s="125">
        <f>Предпосылки!W$242*Предпосылки!$R254*Продажи!X19*X$19*(1+Чувствительность!$D$20)*IFERROR(LOOKUP(Предпосылки!$H$215,$C$13:$C$15,X$13:X$15),1)</f>
        <v>0</v>
      </c>
      <c s="125">
        <f>Предпосылки!X$242*Предпосылки!$R254*Продажи!Y19*Y$19*(1+Чувствительность!$D$20)*IFERROR(LOOKUP(Предпосылки!$H$215,$C$13:$C$15,Y$13:Y$15),1)</f>
        <v>0</v>
      </c>
      <c s="125">
        <f>Предпосылки!Y$242*Предпосылки!$R254*Продажи!Z19*Z$19*(1+Чувствительность!$D$20)*IFERROR(LOOKUP(Предпосылки!$H$215,$C$13:$C$15,Z$13:Z$15),1)</f>
        <v>0</v>
      </c>
      <c s="125">
        <f>Предпосылки!Z$242*Предпосылки!$R254*Продажи!AA19*AA$19*(1+Чувствительность!$D$20)*IFERROR(LOOKUP(Предпосылки!$H$215,$C$13:$C$15,AA$13:AA$15),1)</f>
        <v>0</v>
      </c>
      <c s="125">
        <f>Предпосылки!AA$242*Предпосылки!$R254*Продажи!AB19*AB$19*(1+Чувствительность!$D$20)*IFERROR(LOOKUP(Предпосылки!$H$215,$C$13:$C$15,AB$13:AB$15),1)</f>
        <v>0</v>
      </c>
      <c s="125">
        <f>Предпосылки!AB$242*Предпосылки!$R254*Продажи!AC19*AC$19*(1+Чувствительность!$D$20)*IFERROR(LOOKUP(Предпосылки!$H$215,$C$13:$C$15,AC$13:AC$15),1)</f>
        <v>0</v>
      </c>
      <c s="125">
        <f>Предпосылки!AC$242*Предпосылки!$R254*Продажи!AD19*AD$19*(1+Чувствительность!$D$20)*IFERROR(LOOKUP(Предпосылки!$H$215,$C$13:$C$15,AD$13:AD$15),1)</f>
        <v>0</v>
      </c>
      <c s="125">
        <f>Предпосылки!AD$242*Предпосылки!$R254*Продажи!AE19*AE$19*(1+Чувствительность!$D$20)*IFERROR(LOOKUP(Предпосылки!$H$215,$C$13:$C$15,AE$13:AE$15),1)</f>
        <v>0</v>
      </c>
      <c s="125">
        <f>Предпосылки!AE$242*Предпосылки!$R254*Продажи!AF19*AF$19*(1+Чувствительность!$D$20)*IFERROR(LOOKUP(Предпосылки!$H$215,$C$13:$C$15,AF$13:AF$15),1)</f>
        <v>0</v>
      </c>
      <c s="125">
        <f>Предпосылки!AF$242*Предпосылки!$R254*Продажи!AG19*AG$19*(1+Чувствительность!$D$20)*IFERROR(LOOKUP(Предпосылки!$H$215,$C$13:$C$15,AG$13:AG$15),1)</f>
        <v>0</v>
      </c>
      <c s="125">
        <f>Предпосылки!AG$242*Предпосылки!$R254*Продажи!AH19*AH$19*(1+Чувствительность!$D$20)*IFERROR(LOOKUP(Предпосылки!$H$215,$C$13:$C$15,AH$13:AH$15),1)</f>
        <v>0</v>
      </c>
      <c s="125">
        <f>Предпосылки!AH$242*Предпосылки!$R254*Продажи!AI19*AI$19*(1+Чувствительность!$D$20)*IFERROR(LOOKUP(Предпосылки!$H$215,$C$13:$C$15,AI$13:AI$15),1)</f>
        <v>0</v>
      </c>
      <c s="125">
        <f>Предпосылки!AI$242*Предпосылки!$R254*Продажи!AJ19*AJ$19*(1+Чувствительность!$D$20)*IFERROR(LOOKUP(Предпосылки!$H$215,$C$13:$C$15,AJ$13:AJ$15),1)</f>
        <v>0</v>
      </c>
      <c s="125">
        <f>Предпосылки!AJ$242*Предпосылки!$R254*Продажи!AK19*AK$19*(1+Чувствительность!$D$20)*IFERROR(LOOKUP(Предпосылки!$H$215,$C$13:$C$15,AK$13:AK$15),1)</f>
        <v>0</v>
      </c>
      <c s="125">
        <f>Предпосылки!AK$242*Предпосылки!$R254*Продажи!AL19*AL$19*(1+Чувствительность!$D$20)*IFERROR(LOOKUP(Предпосылки!$H$215,$C$13:$C$15,AL$13:AL$15),1)</f>
        <v>0</v>
      </c>
      <c s="125">
        <f>Предпосылки!AL$242*Предпосылки!$R254*Продажи!AM19*AM$19*(1+Чувствительность!$D$20)*IFERROR(LOOKUP(Предпосылки!$H$215,$C$13:$C$15,AM$13:AM$15),1)</f>
        <v>0</v>
      </c>
      <c s="125">
        <f>Предпосылки!AM$242*Предпосылки!$R254*Продажи!AN19*AN$19*(1+Чувствительность!$D$20)*IFERROR(LOOKUP(Предпосылки!$H$215,$C$13:$C$15,AN$13:AN$15),1)</f>
        <v>0</v>
      </c>
      <c s="125">
        <f>Предпосылки!AN$242*Предпосылки!$R254*Продажи!AO19*AO$19*(1+Чувствительность!$D$20)*IFERROR(LOOKUP(Предпосылки!$H$215,$C$13:$C$15,AO$13:AO$15),1)</f>
        <v>0</v>
      </c>
      <c s="125">
        <f>Предпосылки!AO$242*Предпосылки!$R254*Продажи!AP19*AP$19*(1+Чувствительность!$D$20)*IFERROR(LOOKUP(Предпосылки!$H$215,$C$13:$C$15,AP$13:AP$15),1)</f>
        <v>0</v>
      </c>
      <c s="125">
        <f>Предпосылки!AP$242*Предпосылки!$R254*Продажи!AQ19*AQ$19*(1+Чувствительность!$D$20)*IFERROR(LOOKUP(Предпосылки!$H$215,$C$13:$C$15,AQ$13:AQ$15),1)</f>
        <v>0</v>
      </c>
      <c s="125">
        <f>Предпосылки!AQ$242*Предпосылки!$R254*Продажи!AR19*AR$19*(1+Чувствительность!$D$20)*IFERROR(LOOKUP(Предпосылки!$H$215,$C$13:$C$15,AR$13:AR$15),1)</f>
        <v>0</v>
      </c>
      <c s="125">
        <f>Предпосылки!AR$242*Предпосылки!$R254*Продажи!AS19*AS$19*(1+Чувствительность!$D$20)*IFERROR(LOOKUP(Предпосылки!$H$215,$C$13:$C$15,AS$13:AS$15),1)</f>
        <v>0</v>
      </c>
      <c s="125">
        <f>Предпосылки!AS$242*Предпосылки!$R254*Продажи!AT19*AT$19*(1+Чувствительность!$D$20)*IFERROR(LOOKUP(Предпосылки!$H$215,$C$13:$C$15,AT$13:AT$15),1)</f>
        <v>0</v>
      </c>
      <c s="125">
        <f>Предпосылки!AT$242*Предпосылки!$R254*Продажи!AU19*AU$19*(1+Чувствительность!$D$20)*IFERROR(LOOKUP(Предпосылки!$H$215,$C$13:$C$15,AU$13:AU$15),1)</f>
        <v>0</v>
      </c>
      <c s="125">
        <f>Предпосылки!AU$242*Предпосылки!$R254*Продажи!AV19*AV$19*(1+Чувствительность!$D$20)*IFERROR(LOOKUP(Предпосылки!$H$215,$C$13:$C$15,AV$13:AV$15),1)</f>
        <v>0</v>
      </c>
      <c s="125">
        <f>Предпосылки!AV$242*Предпосылки!$R254*Продажи!AW19*AW$19*(1+Чувствительность!$D$20)*IFERROR(LOOKUP(Предпосылки!$H$215,$C$13:$C$15,AW$13:AW$15),1)</f>
        <v>0</v>
      </c>
      <c s="125">
        <f>Предпосылки!AW$242*Предпосылки!$R254*Продажи!AX19*AX$19*(1+Чувствительность!$D$20)*IFERROR(LOOKUP(Предпосылки!$H$215,$C$13:$C$15,AX$13:AX$15),1)</f>
        <v>0</v>
      </c>
      <c s="125">
        <f>Предпосылки!AX$242*Предпосылки!$R254*Продажи!AY19*AY$19*(1+Чувствительность!$D$20)*IFERROR(LOOKUP(Предпосылки!$H$215,$C$13:$C$15,AY$13:AY$15),1)</f>
        <v>0</v>
      </c>
      <c s="125">
        <f>Предпосылки!AY$242*Предпосылки!$R254*Продажи!AZ19*AZ$19*(1+Чувствительность!$D$20)*IFERROR(LOOKUP(Предпосылки!$H$215,$C$13:$C$15,AZ$13:AZ$15),1)</f>
        <v>0</v>
      </c>
      <c s="125">
        <f>Предпосылки!AZ$242*Предпосылки!$R254*Продажи!BA19*BA$19*(1+Чувствительность!$D$20)*IFERROR(LOOKUP(Предпосылки!$H$215,$C$13:$C$15,BA$13:BA$15),1)</f>
        <v>0</v>
      </c>
      <c s="125">
        <f>Предпосылки!BA$242*Предпосылки!$R254*Продажи!BB19*BB$19*(1+Чувствительность!$D$20)*IFERROR(LOOKUP(Предпосылки!$H$215,$C$13:$C$15,BB$13:BB$15),1)</f>
        <v>0</v>
      </c>
      <c s="125">
        <f>Предпосылки!BB$242*Предпосылки!$R254*Продажи!BC19*BC$19*(1+Чувствительность!$D$20)*IFERROR(LOOKUP(Предпосылки!$H$215,$C$13:$C$15,BC$13:BC$15),1)</f>
        <v>0</v>
      </c>
      <c s="125">
        <f>Предпосылки!BC$242*Предпосылки!$R254*Продажи!BD19*BD$19*(1+Чувствительность!$D$20)*IFERROR(LOOKUP(Предпосылки!$H$215,$C$13:$C$15,BD$13:BD$15),1)</f>
        <v>0</v>
      </c>
      <c s="125">
        <f>Предпосылки!BD$242*Предпосылки!$R254*Продажи!BE19*BE$19*(1+Чувствительность!$D$20)*IFERROR(LOOKUP(Предпосылки!$H$215,$C$13:$C$15,BE$13:BE$15),1)</f>
        <v>0</v>
      </c>
      <c s="125">
        <f>Предпосылки!BE$242*Предпосылки!$R254*Продажи!BF19*BF$19*(1+Чувствительность!$D$20)*IFERROR(LOOKUP(Предпосылки!$H$215,$C$13:$C$15,BF$13:BF$15),1)</f>
        <v>0</v>
      </c>
      <c s="125">
        <f>Предпосылки!BF$242*Предпосылки!$R254*Продажи!BG19*BG$19*(1+Чувствительность!$D$20)*IFERROR(LOOKUP(Предпосылки!$H$215,$C$13:$C$15,BG$13:BG$15),1)</f>
        <v>0</v>
      </c>
      <c s="125">
        <f>Предпосылки!BG$242*Предпосылки!$R254*Продажи!BH19*BH$19*(1+Чувствительность!$D$20)*IFERROR(LOOKUP(Предпосылки!$H$215,$C$13:$C$15,BH$13:BH$15),1)</f>
        <v>0</v>
      </c>
      <c s="125">
        <f>Предпосылки!BH$242*Предпосылки!$R254*Продажи!BI19*BI$19*(1+Чувствительность!$D$20)*IFERROR(LOOKUP(Предпосылки!$H$215,$C$13:$C$15,BI$13:BI$15),1)</f>
        <v>0</v>
      </c>
      <c s="125">
        <f>Предпосылки!BI$242*Предпосылки!$R254*Продажи!BJ19*BJ$19*(1+Чувствительность!$D$20)*IFERROR(LOOKUP(Предпосылки!$H$215,$C$13:$C$15,BJ$13:BJ$15),1)</f>
        <v>0</v>
      </c>
      <c s="125">
        <f>Предпосылки!BJ$242*Предпосылки!$R254*Продажи!BK19*BK$19*(1+Чувствительность!$D$20)*IFERROR(LOOKUP(Предпосылки!$H$215,$C$13:$C$15,BK$13:BK$15),1)</f>
        <v>0</v>
      </c>
      <c s="125">
        <f>Предпосылки!BK$242*Предпосылки!$R254*Продажи!BL19*BL$19*(1+Чувствительность!$D$20)*IFERROR(LOOKUP(Предпосылки!$H$215,$C$13:$C$15,BL$13:BL$15),1)</f>
        <v>0</v>
      </c>
      <c s="125">
        <f>Предпосылки!BL$242*Предпосылки!$R254*Продажи!BM19*BM$19*(1+Чувствительность!$D$20)*IFERROR(LOOKUP(Предпосылки!$H$215,$C$13:$C$15,BM$13:BM$15),1)</f>
        <v>0</v>
      </c>
    </row>
    <row r="347" spans="2:65" ht="15" customHeight="1">
      <c r="B347" s="12" t="str">
        <f t="shared" si="131"/>
        <v>Продукт 3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Предпосылки!D$242*Предпосылки!$R255*Продажи!E20*E$19*(1+Чувствительность!$D$20)*IFERROR(LOOKUP(Предпосылки!$H$215,$C$13:$C$15,E$13:E$15),1)</f>
        <v>0</v>
      </c>
      <c s="125">
        <f>Предпосылки!E$242*Предпосылки!$R255*Продажи!F20*F$19*(1+Чувствительность!$D$20)*IFERROR(LOOKUP(Предпосылки!$H$215,$C$13:$C$15,F$13:F$15),1)</f>
        <v>0</v>
      </c>
      <c s="125">
        <f>Предпосылки!F$242*Предпосылки!$R255*Продажи!G20*G$19*(1+Чувствительность!$D$20)*IFERROR(LOOKUP(Предпосылки!$H$215,$C$13:$C$15,G$13:G$15),1)</f>
        <v>0</v>
      </c>
      <c s="125">
        <f>Предпосылки!G$242*Предпосылки!$R255*Продажи!H20*H$19*(1+Чувствительность!$D$20)*IFERROR(LOOKUP(Предпосылки!$H$215,$C$13:$C$15,H$13:H$15),1)</f>
        <v>0</v>
      </c>
      <c s="125">
        <f>Предпосылки!H$242*Предпосылки!$R255*Продажи!I20*I$19*(1+Чувствительность!$D$20)*IFERROR(LOOKUP(Предпосылки!$H$215,$C$13:$C$15,I$13:I$15),1)</f>
        <v>0</v>
      </c>
      <c s="125">
        <f>Предпосылки!I$242*Предпосылки!$R255*Продажи!J20*J$19*(1+Чувствительность!$D$20)*IFERROR(LOOKUP(Предпосылки!$H$215,$C$13:$C$15,J$13:J$15),1)</f>
        <v>0</v>
      </c>
      <c s="125">
        <f>Предпосылки!J$242*Предпосылки!$R255*Продажи!K20*K$19*(1+Чувствительность!$D$20)*IFERROR(LOOKUP(Предпосылки!$H$215,$C$13:$C$15,K$13:K$15),1)</f>
        <v>0</v>
      </c>
      <c s="125">
        <f>Предпосылки!K$242*Предпосылки!$R255*Продажи!L20*L$19*(1+Чувствительность!$D$20)*IFERROR(LOOKUP(Предпосылки!$H$215,$C$13:$C$15,L$13:L$15),1)</f>
        <v>0</v>
      </c>
      <c s="125">
        <f>Предпосылки!L$242*Предпосылки!$R255*Продажи!M20*M$19*(1+Чувствительность!$D$20)*IFERROR(LOOKUP(Предпосылки!$H$215,$C$13:$C$15,M$13:M$15),1)</f>
        <v>0</v>
      </c>
      <c s="125">
        <f>Предпосылки!M$242*Предпосылки!$R255*Продажи!N20*N$19*(1+Чувствительность!$D$20)*IFERROR(LOOKUP(Предпосылки!$H$215,$C$13:$C$15,N$13:N$15),1)</f>
        <v>0</v>
      </c>
      <c s="125">
        <f>Предпосылки!N$242*Предпосылки!$R255*Продажи!O20*O$19*(1+Чувствительность!$D$20)*IFERROR(LOOKUP(Предпосылки!$H$215,$C$13:$C$15,O$13:O$15),1)</f>
        <v>0</v>
      </c>
      <c s="125">
        <f>Предпосылки!O$242*Предпосылки!$R255*Продажи!P20*P$19*(1+Чувствительность!$D$20)*IFERROR(LOOKUP(Предпосылки!$H$215,$C$13:$C$15,P$13:P$15),1)</f>
        <v>0</v>
      </c>
      <c s="125">
        <f>Предпосылки!P$242*Предпосылки!$R255*Продажи!Q20*Q$19*(1+Чувствительность!$D$20)*IFERROR(LOOKUP(Предпосылки!$H$215,$C$13:$C$15,Q$13:Q$15),1)</f>
        <v>0</v>
      </c>
      <c s="125">
        <f>Предпосылки!Q$242*Предпосылки!$R255*Продажи!R20*R$19*(1+Чувствительность!$D$20)*IFERROR(LOOKUP(Предпосылки!$H$215,$C$13:$C$15,R$13:R$15),1)</f>
        <v>0</v>
      </c>
      <c s="125">
        <f>Предпосылки!R$242*Предпосылки!$R255*Продажи!S20*S$19*(1+Чувствительность!$D$20)*IFERROR(LOOKUP(Предпосылки!$H$215,$C$13:$C$15,S$13:S$15),1)</f>
        <v>0</v>
      </c>
      <c s="125">
        <f>Предпосылки!S$242*Предпосылки!$R255*Продажи!T20*T$19*(1+Чувствительность!$D$20)*IFERROR(LOOKUP(Предпосылки!$H$215,$C$13:$C$15,T$13:T$15),1)</f>
        <v>0</v>
      </c>
      <c s="125">
        <f>Предпосылки!T$242*Предпосылки!$R255*Продажи!U20*U$19*(1+Чувствительность!$D$20)*IFERROR(LOOKUP(Предпосылки!$H$215,$C$13:$C$15,U$13:U$15),1)</f>
        <v>0</v>
      </c>
      <c s="125">
        <f>Предпосылки!U$242*Предпосылки!$R255*Продажи!V20*V$19*(1+Чувствительность!$D$20)*IFERROR(LOOKUP(Предпосылки!$H$215,$C$13:$C$15,V$13:V$15),1)</f>
        <v>0</v>
      </c>
      <c s="125">
        <f>Предпосылки!V$242*Предпосылки!$R255*Продажи!W20*W$19*(1+Чувствительность!$D$20)*IFERROR(LOOKUP(Предпосылки!$H$215,$C$13:$C$15,W$13:W$15),1)</f>
        <v>0</v>
      </c>
      <c s="125">
        <f>Предпосылки!W$242*Предпосылки!$R255*Продажи!X20*X$19*(1+Чувствительность!$D$20)*IFERROR(LOOKUP(Предпосылки!$H$215,$C$13:$C$15,X$13:X$15),1)</f>
        <v>0</v>
      </c>
      <c s="125">
        <f>Предпосылки!X$242*Предпосылки!$R255*Продажи!Y20*Y$19*(1+Чувствительность!$D$20)*IFERROR(LOOKUP(Предпосылки!$H$215,$C$13:$C$15,Y$13:Y$15),1)</f>
        <v>0</v>
      </c>
      <c s="125">
        <f>Предпосылки!Y$242*Предпосылки!$R255*Продажи!Z20*Z$19*(1+Чувствительность!$D$20)*IFERROR(LOOKUP(Предпосылки!$H$215,$C$13:$C$15,Z$13:Z$15),1)</f>
        <v>0</v>
      </c>
      <c s="125">
        <f>Предпосылки!Z$242*Предпосылки!$R255*Продажи!AA20*AA$19*(1+Чувствительность!$D$20)*IFERROR(LOOKUP(Предпосылки!$H$215,$C$13:$C$15,AA$13:AA$15),1)</f>
        <v>0</v>
      </c>
      <c s="125">
        <f>Предпосылки!AA$242*Предпосылки!$R255*Продажи!AB20*AB$19*(1+Чувствительность!$D$20)*IFERROR(LOOKUP(Предпосылки!$H$215,$C$13:$C$15,AB$13:AB$15),1)</f>
        <v>0</v>
      </c>
      <c s="125">
        <f>Предпосылки!AB$242*Предпосылки!$R255*Продажи!AC20*AC$19*(1+Чувствительность!$D$20)*IFERROR(LOOKUP(Предпосылки!$H$215,$C$13:$C$15,AC$13:AC$15),1)</f>
        <v>0</v>
      </c>
      <c s="125">
        <f>Предпосылки!AC$242*Предпосылки!$R255*Продажи!AD20*AD$19*(1+Чувствительность!$D$20)*IFERROR(LOOKUP(Предпосылки!$H$215,$C$13:$C$15,AD$13:AD$15),1)</f>
        <v>0</v>
      </c>
      <c s="125">
        <f>Предпосылки!AD$242*Предпосылки!$R255*Продажи!AE20*AE$19*(1+Чувствительность!$D$20)*IFERROR(LOOKUP(Предпосылки!$H$215,$C$13:$C$15,AE$13:AE$15),1)</f>
        <v>0</v>
      </c>
      <c s="125">
        <f>Предпосылки!AE$242*Предпосылки!$R255*Продажи!AF20*AF$19*(1+Чувствительность!$D$20)*IFERROR(LOOKUP(Предпосылки!$H$215,$C$13:$C$15,AF$13:AF$15),1)</f>
        <v>0</v>
      </c>
      <c s="125">
        <f>Предпосылки!AF$242*Предпосылки!$R255*Продажи!AG20*AG$19*(1+Чувствительность!$D$20)*IFERROR(LOOKUP(Предпосылки!$H$215,$C$13:$C$15,AG$13:AG$15),1)</f>
        <v>0</v>
      </c>
      <c s="125">
        <f>Предпосылки!AG$242*Предпосылки!$R255*Продажи!AH20*AH$19*(1+Чувствительность!$D$20)*IFERROR(LOOKUP(Предпосылки!$H$215,$C$13:$C$15,AH$13:AH$15),1)</f>
        <v>0</v>
      </c>
      <c s="125">
        <f>Предпосылки!AH$242*Предпосылки!$R255*Продажи!AI20*AI$19*(1+Чувствительность!$D$20)*IFERROR(LOOKUP(Предпосылки!$H$215,$C$13:$C$15,AI$13:AI$15),1)</f>
        <v>0</v>
      </c>
      <c s="125">
        <f>Предпосылки!AI$242*Предпосылки!$R255*Продажи!AJ20*AJ$19*(1+Чувствительность!$D$20)*IFERROR(LOOKUP(Предпосылки!$H$215,$C$13:$C$15,AJ$13:AJ$15),1)</f>
        <v>0</v>
      </c>
      <c s="125">
        <f>Предпосылки!AJ$242*Предпосылки!$R255*Продажи!AK20*AK$19*(1+Чувствительность!$D$20)*IFERROR(LOOKUP(Предпосылки!$H$215,$C$13:$C$15,AK$13:AK$15),1)</f>
        <v>0</v>
      </c>
      <c s="125">
        <f>Предпосылки!AK$242*Предпосылки!$R255*Продажи!AL20*AL$19*(1+Чувствительность!$D$20)*IFERROR(LOOKUP(Предпосылки!$H$215,$C$13:$C$15,AL$13:AL$15),1)</f>
        <v>0</v>
      </c>
      <c s="125">
        <f>Предпосылки!AL$242*Предпосылки!$R255*Продажи!AM20*AM$19*(1+Чувствительность!$D$20)*IFERROR(LOOKUP(Предпосылки!$H$215,$C$13:$C$15,AM$13:AM$15),1)</f>
        <v>0</v>
      </c>
      <c s="125">
        <f>Предпосылки!AM$242*Предпосылки!$R255*Продажи!AN20*AN$19*(1+Чувствительность!$D$20)*IFERROR(LOOKUP(Предпосылки!$H$215,$C$13:$C$15,AN$13:AN$15),1)</f>
        <v>0</v>
      </c>
      <c s="125">
        <f>Предпосылки!AN$242*Предпосылки!$R255*Продажи!AO20*AO$19*(1+Чувствительность!$D$20)*IFERROR(LOOKUP(Предпосылки!$H$215,$C$13:$C$15,AO$13:AO$15),1)</f>
        <v>0</v>
      </c>
      <c s="125">
        <f>Предпосылки!AO$242*Предпосылки!$R255*Продажи!AP20*AP$19*(1+Чувствительность!$D$20)*IFERROR(LOOKUP(Предпосылки!$H$215,$C$13:$C$15,AP$13:AP$15),1)</f>
        <v>0</v>
      </c>
      <c s="125">
        <f>Предпосылки!AP$242*Предпосылки!$R255*Продажи!AQ20*AQ$19*(1+Чувствительность!$D$20)*IFERROR(LOOKUP(Предпосылки!$H$215,$C$13:$C$15,AQ$13:AQ$15),1)</f>
        <v>0</v>
      </c>
      <c s="125">
        <f>Предпосылки!AQ$242*Предпосылки!$R255*Продажи!AR20*AR$19*(1+Чувствительность!$D$20)*IFERROR(LOOKUP(Предпосылки!$H$215,$C$13:$C$15,AR$13:AR$15),1)</f>
        <v>0</v>
      </c>
      <c s="125">
        <f>Предпосылки!AR$242*Предпосылки!$R255*Продажи!AS20*AS$19*(1+Чувствительность!$D$20)*IFERROR(LOOKUP(Предпосылки!$H$215,$C$13:$C$15,AS$13:AS$15),1)</f>
        <v>0</v>
      </c>
      <c s="125">
        <f>Предпосылки!AS$242*Предпосылки!$R255*Продажи!AT20*AT$19*(1+Чувствительность!$D$20)*IFERROR(LOOKUP(Предпосылки!$H$215,$C$13:$C$15,AT$13:AT$15),1)</f>
        <v>0</v>
      </c>
      <c s="125">
        <f>Предпосылки!AT$242*Предпосылки!$R255*Продажи!AU20*AU$19*(1+Чувствительность!$D$20)*IFERROR(LOOKUP(Предпосылки!$H$215,$C$13:$C$15,AU$13:AU$15),1)</f>
        <v>0</v>
      </c>
      <c s="125">
        <f>Предпосылки!AU$242*Предпосылки!$R255*Продажи!AV20*AV$19*(1+Чувствительность!$D$20)*IFERROR(LOOKUP(Предпосылки!$H$215,$C$13:$C$15,AV$13:AV$15),1)</f>
        <v>0</v>
      </c>
      <c s="125">
        <f>Предпосылки!AV$242*Предпосылки!$R255*Продажи!AW20*AW$19*(1+Чувствительность!$D$20)*IFERROR(LOOKUP(Предпосылки!$H$215,$C$13:$C$15,AW$13:AW$15),1)</f>
        <v>0</v>
      </c>
      <c s="125">
        <f>Предпосылки!AW$242*Предпосылки!$R255*Продажи!AX20*AX$19*(1+Чувствительность!$D$20)*IFERROR(LOOKUP(Предпосылки!$H$215,$C$13:$C$15,AX$13:AX$15),1)</f>
        <v>0</v>
      </c>
      <c s="125">
        <f>Предпосылки!AX$242*Предпосылки!$R255*Продажи!AY20*AY$19*(1+Чувствительность!$D$20)*IFERROR(LOOKUP(Предпосылки!$H$215,$C$13:$C$15,AY$13:AY$15),1)</f>
        <v>0</v>
      </c>
      <c s="125">
        <f>Предпосылки!AY$242*Предпосылки!$R255*Продажи!AZ20*AZ$19*(1+Чувствительность!$D$20)*IFERROR(LOOKUP(Предпосылки!$H$215,$C$13:$C$15,AZ$13:AZ$15),1)</f>
        <v>0</v>
      </c>
      <c s="125">
        <f>Предпосылки!AZ$242*Предпосылки!$R255*Продажи!BA20*BA$19*(1+Чувствительность!$D$20)*IFERROR(LOOKUP(Предпосылки!$H$215,$C$13:$C$15,BA$13:BA$15),1)</f>
        <v>0</v>
      </c>
      <c s="125">
        <f>Предпосылки!BA$242*Предпосылки!$R255*Продажи!BB20*BB$19*(1+Чувствительность!$D$20)*IFERROR(LOOKUP(Предпосылки!$H$215,$C$13:$C$15,BB$13:BB$15),1)</f>
        <v>0</v>
      </c>
      <c s="125">
        <f>Предпосылки!BB$242*Предпосылки!$R255*Продажи!BC20*BC$19*(1+Чувствительность!$D$20)*IFERROR(LOOKUP(Предпосылки!$H$215,$C$13:$C$15,BC$13:BC$15),1)</f>
        <v>0</v>
      </c>
      <c s="125">
        <f>Предпосылки!BC$242*Предпосылки!$R255*Продажи!BD20*BD$19*(1+Чувствительность!$D$20)*IFERROR(LOOKUP(Предпосылки!$H$215,$C$13:$C$15,BD$13:BD$15),1)</f>
        <v>0</v>
      </c>
      <c s="125">
        <f>Предпосылки!BD$242*Предпосылки!$R255*Продажи!BE20*BE$19*(1+Чувствительность!$D$20)*IFERROR(LOOKUP(Предпосылки!$H$215,$C$13:$C$15,BE$13:BE$15),1)</f>
        <v>0</v>
      </c>
      <c s="125">
        <f>Предпосылки!BE$242*Предпосылки!$R255*Продажи!BF20*BF$19*(1+Чувствительность!$D$20)*IFERROR(LOOKUP(Предпосылки!$H$215,$C$13:$C$15,BF$13:BF$15),1)</f>
        <v>0</v>
      </c>
      <c s="125">
        <f>Предпосылки!BF$242*Предпосылки!$R255*Продажи!BG20*BG$19*(1+Чувствительность!$D$20)*IFERROR(LOOKUP(Предпосылки!$H$215,$C$13:$C$15,BG$13:BG$15),1)</f>
        <v>0</v>
      </c>
      <c s="125">
        <f>Предпосылки!BG$242*Предпосылки!$R255*Продажи!BH20*BH$19*(1+Чувствительность!$D$20)*IFERROR(LOOKUP(Предпосылки!$H$215,$C$13:$C$15,BH$13:BH$15),1)</f>
        <v>0</v>
      </c>
      <c s="125">
        <f>Предпосылки!BH$242*Предпосылки!$R255*Продажи!BI20*BI$19*(1+Чувствительность!$D$20)*IFERROR(LOOKUP(Предпосылки!$H$215,$C$13:$C$15,BI$13:BI$15),1)</f>
        <v>0</v>
      </c>
      <c s="125">
        <f>Предпосылки!BI$242*Предпосылки!$R255*Продажи!BJ20*BJ$19*(1+Чувствительность!$D$20)*IFERROR(LOOKUP(Предпосылки!$H$215,$C$13:$C$15,BJ$13:BJ$15),1)</f>
        <v>0</v>
      </c>
      <c s="125">
        <f>Предпосылки!BJ$242*Предпосылки!$R255*Продажи!BK20*BK$19*(1+Чувствительность!$D$20)*IFERROR(LOOKUP(Предпосылки!$H$215,$C$13:$C$15,BK$13:BK$15),1)</f>
        <v>0</v>
      </c>
      <c s="125">
        <f>Предпосылки!BK$242*Предпосылки!$R255*Продажи!BL20*BL$19*(1+Чувствительность!$D$20)*IFERROR(LOOKUP(Предпосылки!$H$215,$C$13:$C$15,BL$13:BL$15),1)</f>
        <v>0</v>
      </c>
      <c s="125">
        <f>Предпосылки!BL$242*Предпосылки!$R255*Продажи!BM20*BM$19*(1+Чувствительность!$D$20)*IFERROR(LOOKUP(Предпосылки!$H$215,$C$13:$C$15,BM$13:BM$15),1)</f>
        <v>0</v>
      </c>
    </row>
    <row r="348" spans="2:65" ht="15" customHeight="1">
      <c r="B348" s="12" t="str">
        <f t="shared" si="131"/>
        <v>Продукт 4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Предпосылки!D$242*Предпосылки!$R256*Продажи!E21*E$19*(1+Чувствительность!$D$20)*IFERROR(LOOKUP(Предпосылки!$H$215,$C$13:$C$15,E$13:E$15),1)</f>
        <v>0</v>
      </c>
      <c s="125">
        <f>Предпосылки!E$242*Предпосылки!$R256*Продажи!F21*F$19*(1+Чувствительность!$D$20)*IFERROR(LOOKUP(Предпосылки!$H$215,$C$13:$C$15,F$13:F$15),1)</f>
        <v>0</v>
      </c>
      <c s="125">
        <f>Предпосылки!F$242*Предпосылки!$R256*Продажи!G21*G$19*(1+Чувствительность!$D$20)*IFERROR(LOOKUP(Предпосылки!$H$215,$C$13:$C$15,G$13:G$15),1)</f>
        <v>0</v>
      </c>
      <c s="125">
        <f>Предпосылки!G$242*Предпосылки!$R256*Продажи!H21*H$19*(1+Чувствительность!$D$20)*IFERROR(LOOKUP(Предпосылки!$H$215,$C$13:$C$15,H$13:H$15),1)</f>
        <v>0</v>
      </c>
      <c s="125">
        <f>Предпосылки!H$242*Предпосылки!$R256*Продажи!I21*I$19*(1+Чувствительность!$D$20)*IFERROR(LOOKUP(Предпосылки!$H$215,$C$13:$C$15,I$13:I$15),1)</f>
        <v>0</v>
      </c>
      <c s="125">
        <f>Предпосылки!I$242*Предпосылки!$R256*Продажи!J21*J$19*(1+Чувствительность!$D$20)*IFERROR(LOOKUP(Предпосылки!$H$215,$C$13:$C$15,J$13:J$15),1)</f>
        <v>0</v>
      </c>
      <c s="125">
        <f>Предпосылки!J$242*Предпосылки!$R256*Продажи!K21*K$19*(1+Чувствительность!$D$20)*IFERROR(LOOKUP(Предпосылки!$H$215,$C$13:$C$15,K$13:K$15),1)</f>
        <v>0</v>
      </c>
      <c s="125">
        <f>Предпосылки!K$242*Предпосылки!$R256*Продажи!L21*L$19*(1+Чувствительность!$D$20)*IFERROR(LOOKUP(Предпосылки!$H$215,$C$13:$C$15,L$13:L$15),1)</f>
        <v>0</v>
      </c>
      <c s="125">
        <f>Предпосылки!L$242*Предпосылки!$R256*Продажи!M21*M$19*(1+Чувствительность!$D$20)*IFERROR(LOOKUP(Предпосылки!$H$215,$C$13:$C$15,M$13:M$15),1)</f>
        <v>0</v>
      </c>
      <c s="125">
        <f>Предпосылки!M$242*Предпосылки!$R256*Продажи!N21*N$19*(1+Чувствительность!$D$20)*IFERROR(LOOKUP(Предпосылки!$H$215,$C$13:$C$15,N$13:N$15),1)</f>
        <v>0</v>
      </c>
      <c s="125">
        <f>Предпосылки!N$242*Предпосылки!$R256*Продажи!O21*O$19*(1+Чувствительность!$D$20)*IFERROR(LOOKUP(Предпосылки!$H$215,$C$13:$C$15,O$13:O$15),1)</f>
        <v>0</v>
      </c>
      <c s="125">
        <f>Предпосылки!O$242*Предпосылки!$R256*Продажи!P21*P$19*(1+Чувствительность!$D$20)*IFERROR(LOOKUP(Предпосылки!$H$215,$C$13:$C$15,P$13:P$15),1)</f>
        <v>0</v>
      </c>
      <c s="125">
        <f>Предпосылки!P$242*Предпосылки!$R256*Продажи!Q21*Q$19*(1+Чувствительность!$D$20)*IFERROR(LOOKUP(Предпосылки!$H$215,$C$13:$C$15,Q$13:Q$15),1)</f>
        <v>0</v>
      </c>
      <c s="125">
        <f>Предпосылки!Q$242*Предпосылки!$R256*Продажи!R21*R$19*(1+Чувствительность!$D$20)*IFERROR(LOOKUP(Предпосылки!$H$215,$C$13:$C$15,R$13:R$15),1)</f>
        <v>0</v>
      </c>
      <c s="125">
        <f>Предпосылки!R$242*Предпосылки!$R256*Продажи!S21*S$19*(1+Чувствительность!$D$20)*IFERROR(LOOKUP(Предпосылки!$H$215,$C$13:$C$15,S$13:S$15),1)</f>
        <v>0</v>
      </c>
      <c s="125">
        <f>Предпосылки!S$242*Предпосылки!$R256*Продажи!T21*T$19*(1+Чувствительность!$D$20)*IFERROR(LOOKUP(Предпосылки!$H$215,$C$13:$C$15,T$13:T$15),1)</f>
        <v>0</v>
      </c>
      <c s="125">
        <f>Предпосылки!T$242*Предпосылки!$R256*Продажи!U21*U$19*(1+Чувствительность!$D$20)*IFERROR(LOOKUP(Предпосылки!$H$215,$C$13:$C$15,U$13:U$15),1)</f>
        <v>0</v>
      </c>
      <c s="125">
        <f>Предпосылки!U$242*Предпосылки!$R256*Продажи!V21*V$19*(1+Чувствительность!$D$20)*IFERROR(LOOKUP(Предпосылки!$H$215,$C$13:$C$15,V$13:V$15),1)</f>
        <v>0</v>
      </c>
      <c s="125">
        <f>Предпосылки!V$242*Предпосылки!$R256*Продажи!W21*W$19*(1+Чувствительность!$D$20)*IFERROR(LOOKUP(Предпосылки!$H$215,$C$13:$C$15,W$13:W$15),1)</f>
        <v>0</v>
      </c>
      <c s="125">
        <f>Предпосылки!W$242*Предпосылки!$R256*Продажи!X21*X$19*(1+Чувствительность!$D$20)*IFERROR(LOOKUP(Предпосылки!$H$215,$C$13:$C$15,X$13:X$15),1)</f>
        <v>0</v>
      </c>
      <c s="125">
        <f>Предпосылки!X$242*Предпосылки!$R256*Продажи!Y21*Y$19*(1+Чувствительность!$D$20)*IFERROR(LOOKUP(Предпосылки!$H$215,$C$13:$C$15,Y$13:Y$15),1)</f>
        <v>0</v>
      </c>
      <c s="125">
        <f>Предпосылки!Y$242*Предпосылки!$R256*Продажи!Z21*Z$19*(1+Чувствительность!$D$20)*IFERROR(LOOKUP(Предпосылки!$H$215,$C$13:$C$15,Z$13:Z$15),1)</f>
        <v>0</v>
      </c>
      <c s="125">
        <f>Предпосылки!Z$242*Предпосылки!$R256*Продажи!AA21*AA$19*(1+Чувствительность!$D$20)*IFERROR(LOOKUP(Предпосылки!$H$215,$C$13:$C$15,AA$13:AA$15),1)</f>
        <v>0</v>
      </c>
      <c s="125">
        <f>Предпосылки!AA$242*Предпосылки!$R256*Продажи!AB21*AB$19*(1+Чувствительность!$D$20)*IFERROR(LOOKUP(Предпосылки!$H$215,$C$13:$C$15,AB$13:AB$15),1)</f>
        <v>0</v>
      </c>
      <c s="125">
        <f>Предпосылки!AB$242*Предпосылки!$R256*Продажи!AC21*AC$19*(1+Чувствительность!$D$20)*IFERROR(LOOKUP(Предпосылки!$H$215,$C$13:$C$15,AC$13:AC$15),1)</f>
        <v>0</v>
      </c>
      <c s="125">
        <f>Предпосылки!AC$242*Предпосылки!$R256*Продажи!AD21*AD$19*(1+Чувствительность!$D$20)*IFERROR(LOOKUP(Предпосылки!$H$215,$C$13:$C$15,AD$13:AD$15),1)</f>
        <v>0</v>
      </c>
      <c s="125">
        <f>Предпосылки!AD$242*Предпосылки!$R256*Продажи!AE21*AE$19*(1+Чувствительность!$D$20)*IFERROR(LOOKUP(Предпосылки!$H$215,$C$13:$C$15,AE$13:AE$15),1)</f>
        <v>0</v>
      </c>
      <c s="125">
        <f>Предпосылки!AE$242*Предпосылки!$R256*Продажи!AF21*AF$19*(1+Чувствительность!$D$20)*IFERROR(LOOKUP(Предпосылки!$H$215,$C$13:$C$15,AF$13:AF$15),1)</f>
        <v>0</v>
      </c>
      <c s="125">
        <f>Предпосылки!AF$242*Предпосылки!$R256*Продажи!AG21*AG$19*(1+Чувствительность!$D$20)*IFERROR(LOOKUP(Предпосылки!$H$215,$C$13:$C$15,AG$13:AG$15),1)</f>
        <v>0</v>
      </c>
      <c s="125">
        <f>Предпосылки!AG$242*Предпосылки!$R256*Продажи!AH21*AH$19*(1+Чувствительность!$D$20)*IFERROR(LOOKUP(Предпосылки!$H$215,$C$13:$C$15,AH$13:AH$15),1)</f>
        <v>0</v>
      </c>
      <c s="125">
        <f>Предпосылки!AH$242*Предпосылки!$R256*Продажи!AI21*AI$19*(1+Чувствительность!$D$20)*IFERROR(LOOKUP(Предпосылки!$H$215,$C$13:$C$15,AI$13:AI$15),1)</f>
        <v>0</v>
      </c>
      <c s="125">
        <f>Предпосылки!AI$242*Предпосылки!$R256*Продажи!AJ21*AJ$19*(1+Чувствительность!$D$20)*IFERROR(LOOKUP(Предпосылки!$H$215,$C$13:$C$15,AJ$13:AJ$15),1)</f>
        <v>0</v>
      </c>
      <c s="125">
        <f>Предпосылки!AJ$242*Предпосылки!$R256*Продажи!AK21*AK$19*(1+Чувствительность!$D$20)*IFERROR(LOOKUP(Предпосылки!$H$215,$C$13:$C$15,AK$13:AK$15),1)</f>
        <v>0</v>
      </c>
      <c s="125">
        <f>Предпосылки!AK$242*Предпосылки!$R256*Продажи!AL21*AL$19*(1+Чувствительность!$D$20)*IFERROR(LOOKUP(Предпосылки!$H$215,$C$13:$C$15,AL$13:AL$15),1)</f>
        <v>0</v>
      </c>
      <c s="125">
        <f>Предпосылки!AL$242*Предпосылки!$R256*Продажи!AM21*AM$19*(1+Чувствительность!$D$20)*IFERROR(LOOKUP(Предпосылки!$H$215,$C$13:$C$15,AM$13:AM$15),1)</f>
        <v>0</v>
      </c>
      <c s="125">
        <f>Предпосылки!AM$242*Предпосылки!$R256*Продажи!AN21*AN$19*(1+Чувствительность!$D$20)*IFERROR(LOOKUP(Предпосылки!$H$215,$C$13:$C$15,AN$13:AN$15),1)</f>
        <v>0</v>
      </c>
      <c s="125">
        <f>Предпосылки!AN$242*Предпосылки!$R256*Продажи!AO21*AO$19*(1+Чувствительность!$D$20)*IFERROR(LOOKUP(Предпосылки!$H$215,$C$13:$C$15,AO$13:AO$15),1)</f>
        <v>0</v>
      </c>
      <c s="125">
        <f>Предпосылки!AO$242*Предпосылки!$R256*Продажи!AP21*AP$19*(1+Чувствительность!$D$20)*IFERROR(LOOKUP(Предпосылки!$H$215,$C$13:$C$15,AP$13:AP$15),1)</f>
        <v>0</v>
      </c>
      <c s="125">
        <f>Предпосылки!AP$242*Предпосылки!$R256*Продажи!AQ21*AQ$19*(1+Чувствительность!$D$20)*IFERROR(LOOKUP(Предпосылки!$H$215,$C$13:$C$15,AQ$13:AQ$15),1)</f>
        <v>0</v>
      </c>
      <c s="125">
        <f>Предпосылки!AQ$242*Предпосылки!$R256*Продажи!AR21*AR$19*(1+Чувствительность!$D$20)*IFERROR(LOOKUP(Предпосылки!$H$215,$C$13:$C$15,AR$13:AR$15),1)</f>
        <v>0</v>
      </c>
      <c s="125">
        <f>Предпосылки!AR$242*Предпосылки!$R256*Продажи!AS21*AS$19*(1+Чувствительность!$D$20)*IFERROR(LOOKUP(Предпосылки!$H$215,$C$13:$C$15,AS$13:AS$15),1)</f>
        <v>0</v>
      </c>
      <c s="125">
        <f>Предпосылки!AS$242*Предпосылки!$R256*Продажи!AT21*AT$19*(1+Чувствительность!$D$20)*IFERROR(LOOKUP(Предпосылки!$H$215,$C$13:$C$15,AT$13:AT$15),1)</f>
        <v>0</v>
      </c>
      <c s="125">
        <f>Предпосылки!AT$242*Предпосылки!$R256*Продажи!AU21*AU$19*(1+Чувствительность!$D$20)*IFERROR(LOOKUP(Предпосылки!$H$215,$C$13:$C$15,AU$13:AU$15),1)</f>
        <v>0</v>
      </c>
      <c s="125">
        <f>Предпосылки!AU$242*Предпосылки!$R256*Продажи!AV21*AV$19*(1+Чувствительность!$D$20)*IFERROR(LOOKUP(Предпосылки!$H$215,$C$13:$C$15,AV$13:AV$15),1)</f>
        <v>0</v>
      </c>
      <c s="125">
        <f>Предпосылки!AV$242*Предпосылки!$R256*Продажи!AW21*AW$19*(1+Чувствительность!$D$20)*IFERROR(LOOKUP(Предпосылки!$H$215,$C$13:$C$15,AW$13:AW$15),1)</f>
        <v>0</v>
      </c>
      <c s="125">
        <f>Предпосылки!AW$242*Предпосылки!$R256*Продажи!AX21*AX$19*(1+Чувствительность!$D$20)*IFERROR(LOOKUP(Предпосылки!$H$215,$C$13:$C$15,AX$13:AX$15),1)</f>
        <v>0</v>
      </c>
      <c s="125">
        <f>Предпосылки!AX$242*Предпосылки!$R256*Продажи!AY21*AY$19*(1+Чувствительность!$D$20)*IFERROR(LOOKUP(Предпосылки!$H$215,$C$13:$C$15,AY$13:AY$15),1)</f>
        <v>0</v>
      </c>
      <c s="125">
        <f>Предпосылки!AY$242*Предпосылки!$R256*Продажи!AZ21*AZ$19*(1+Чувствительность!$D$20)*IFERROR(LOOKUP(Предпосылки!$H$215,$C$13:$C$15,AZ$13:AZ$15),1)</f>
        <v>0</v>
      </c>
      <c s="125">
        <f>Предпосылки!AZ$242*Предпосылки!$R256*Продажи!BA21*BA$19*(1+Чувствительность!$D$20)*IFERROR(LOOKUP(Предпосылки!$H$215,$C$13:$C$15,BA$13:BA$15),1)</f>
        <v>0</v>
      </c>
      <c s="125">
        <f>Предпосылки!BA$242*Предпосылки!$R256*Продажи!BB21*BB$19*(1+Чувствительность!$D$20)*IFERROR(LOOKUP(Предпосылки!$H$215,$C$13:$C$15,BB$13:BB$15),1)</f>
        <v>0</v>
      </c>
      <c s="125">
        <f>Предпосылки!BB$242*Предпосылки!$R256*Продажи!BC21*BC$19*(1+Чувствительность!$D$20)*IFERROR(LOOKUP(Предпосылки!$H$215,$C$13:$C$15,BC$13:BC$15),1)</f>
        <v>0</v>
      </c>
      <c s="125">
        <f>Предпосылки!BC$242*Предпосылки!$R256*Продажи!BD21*BD$19*(1+Чувствительность!$D$20)*IFERROR(LOOKUP(Предпосылки!$H$215,$C$13:$C$15,BD$13:BD$15),1)</f>
        <v>0</v>
      </c>
      <c s="125">
        <f>Предпосылки!BD$242*Предпосылки!$R256*Продажи!BE21*BE$19*(1+Чувствительность!$D$20)*IFERROR(LOOKUP(Предпосылки!$H$215,$C$13:$C$15,BE$13:BE$15),1)</f>
        <v>0</v>
      </c>
      <c s="125">
        <f>Предпосылки!BE$242*Предпосылки!$R256*Продажи!BF21*BF$19*(1+Чувствительность!$D$20)*IFERROR(LOOKUP(Предпосылки!$H$215,$C$13:$C$15,BF$13:BF$15),1)</f>
        <v>0</v>
      </c>
      <c s="125">
        <f>Предпосылки!BF$242*Предпосылки!$R256*Продажи!BG21*BG$19*(1+Чувствительность!$D$20)*IFERROR(LOOKUP(Предпосылки!$H$215,$C$13:$C$15,BG$13:BG$15),1)</f>
        <v>0</v>
      </c>
      <c s="125">
        <f>Предпосылки!BG$242*Предпосылки!$R256*Продажи!BH21*BH$19*(1+Чувствительность!$D$20)*IFERROR(LOOKUP(Предпосылки!$H$215,$C$13:$C$15,BH$13:BH$15),1)</f>
        <v>0</v>
      </c>
      <c s="125">
        <f>Предпосылки!BH$242*Предпосылки!$R256*Продажи!BI21*BI$19*(1+Чувствительность!$D$20)*IFERROR(LOOKUP(Предпосылки!$H$215,$C$13:$C$15,BI$13:BI$15),1)</f>
        <v>0</v>
      </c>
      <c s="125">
        <f>Предпосылки!BI$242*Предпосылки!$R256*Продажи!BJ21*BJ$19*(1+Чувствительность!$D$20)*IFERROR(LOOKUP(Предпосылки!$H$215,$C$13:$C$15,BJ$13:BJ$15),1)</f>
        <v>0</v>
      </c>
      <c s="125">
        <f>Предпосылки!BJ$242*Предпосылки!$R256*Продажи!BK21*BK$19*(1+Чувствительность!$D$20)*IFERROR(LOOKUP(Предпосылки!$H$215,$C$13:$C$15,BK$13:BK$15),1)</f>
        <v>0</v>
      </c>
      <c s="125">
        <f>Предпосылки!BK$242*Предпосылки!$R256*Продажи!BL21*BL$19*(1+Чувствительность!$D$20)*IFERROR(LOOKUP(Предпосылки!$H$215,$C$13:$C$15,BL$13:BL$15),1)</f>
        <v>0</v>
      </c>
      <c s="125">
        <f>Предпосылки!BL$242*Предпосылки!$R256*Продажи!BM21*BM$19*(1+Чувствительность!$D$20)*IFERROR(LOOKUP(Предпосылки!$H$215,$C$13:$C$15,BM$13:BM$15),1)</f>
        <v>0</v>
      </c>
    </row>
    <row r="349" spans="2:65" ht="15" customHeight="1">
      <c r="B349" s="12" t="str">
        <f t="shared" si="131"/>
        <v>Продукт 5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Предпосылки!D$242*Предпосылки!$R257*Продажи!E22*E$19*(1+Чувствительность!$D$20)*IFERROR(LOOKUP(Предпосылки!$H$215,$C$13:$C$15,E$13:E$15),1)</f>
        <v>0</v>
      </c>
      <c s="125">
        <f>Предпосылки!E$242*Предпосылки!$R257*Продажи!F22*F$19*(1+Чувствительность!$D$20)*IFERROR(LOOKUP(Предпосылки!$H$215,$C$13:$C$15,F$13:F$15),1)</f>
        <v>0</v>
      </c>
      <c s="125">
        <f>Предпосылки!F$242*Предпосылки!$R257*Продажи!G22*G$19*(1+Чувствительность!$D$20)*IFERROR(LOOKUP(Предпосылки!$H$215,$C$13:$C$15,G$13:G$15),1)</f>
        <v>0</v>
      </c>
      <c s="125">
        <f>Предпосылки!G$242*Предпосылки!$R257*Продажи!H22*H$19*(1+Чувствительность!$D$20)*IFERROR(LOOKUP(Предпосылки!$H$215,$C$13:$C$15,H$13:H$15),1)</f>
        <v>0</v>
      </c>
      <c s="125">
        <f>Предпосылки!H$242*Предпосылки!$R257*Продажи!I22*I$19*(1+Чувствительность!$D$20)*IFERROR(LOOKUP(Предпосылки!$H$215,$C$13:$C$15,I$13:I$15),1)</f>
        <v>0</v>
      </c>
      <c s="125">
        <f>Предпосылки!I$242*Предпосылки!$R257*Продажи!J22*J$19*(1+Чувствительность!$D$20)*IFERROR(LOOKUP(Предпосылки!$H$215,$C$13:$C$15,J$13:J$15),1)</f>
        <v>0</v>
      </c>
      <c s="125">
        <f>Предпосылки!J$242*Предпосылки!$R257*Продажи!K22*K$19*(1+Чувствительность!$D$20)*IFERROR(LOOKUP(Предпосылки!$H$215,$C$13:$C$15,K$13:K$15),1)</f>
        <v>0</v>
      </c>
      <c s="125">
        <f>Предпосылки!K$242*Предпосылки!$R257*Продажи!L22*L$19*(1+Чувствительность!$D$20)*IFERROR(LOOKUP(Предпосылки!$H$215,$C$13:$C$15,L$13:L$15),1)</f>
        <v>0</v>
      </c>
      <c s="125">
        <f>Предпосылки!L$242*Предпосылки!$R257*Продажи!M22*M$19*(1+Чувствительность!$D$20)*IFERROR(LOOKUP(Предпосылки!$H$215,$C$13:$C$15,M$13:M$15),1)</f>
        <v>0</v>
      </c>
      <c s="125">
        <f>Предпосылки!M$242*Предпосылки!$R257*Продажи!N22*N$19*(1+Чувствительность!$D$20)*IFERROR(LOOKUP(Предпосылки!$H$215,$C$13:$C$15,N$13:N$15),1)</f>
        <v>0</v>
      </c>
      <c s="125">
        <f>Предпосылки!N$242*Предпосылки!$R257*Продажи!O22*O$19*(1+Чувствительность!$D$20)*IFERROR(LOOKUP(Предпосылки!$H$215,$C$13:$C$15,O$13:O$15),1)</f>
        <v>0</v>
      </c>
      <c s="125">
        <f>Предпосылки!O$242*Предпосылки!$R257*Продажи!P22*P$19*(1+Чувствительность!$D$20)*IFERROR(LOOKUP(Предпосылки!$H$215,$C$13:$C$15,P$13:P$15),1)</f>
        <v>0</v>
      </c>
      <c s="125">
        <f>Предпосылки!P$242*Предпосылки!$R257*Продажи!Q22*Q$19*(1+Чувствительность!$D$20)*IFERROR(LOOKUP(Предпосылки!$H$215,$C$13:$C$15,Q$13:Q$15),1)</f>
        <v>0</v>
      </c>
      <c s="125">
        <f>Предпосылки!Q$242*Предпосылки!$R257*Продажи!R22*R$19*(1+Чувствительность!$D$20)*IFERROR(LOOKUP(Предпосылки!$H$215,$C$13:$C$15,R$13:R$15),1)</f>
        <v>0</v>
      </c>
      <c s="125">
        <f>Предпосылки!R$242*Предпосылки!$R257*Продажи!S22*S$19*(1+Чувствительность!$D$20)*IFERROR(LOOKUP(Предпосылки!$H$215,$C$13:$C$15,S$13:S$15),1)</f>
        <v>0</v>
      </c>
      <c s="125">
        <f>Предпосылки!S$242*Предпосылки!$R257*Продажи!T22*T$19*(1+Чувствительность!$D$20)*IFERROR(LOOKUP(Предпосылки!$H$215,$C$13:$C$15,T$13:T$15),1)</f>
        <v>0</v>
      </c>
      <c s="125">
        <f>Предпосылки!T$242*Предпосылки!$R257*Продажи!U22*U$19*(1+Чувствительность!$D$20)*IFERROR(LOOKUP(Предпосылки!$H$215,$C$13:$C$15,U$13:U$15),1)</f>
        <v>0</v>
      </c>
      <c s="125">
        <f>Предпосылки!U$242*Предпосылки!$R257*Продажи!V22*V$19*(1+Чувствительность!$D$20)*IFERROR(LOOKUP(Предпосылки!$H$215,$C$13:$C$15,V$13:V$15),1)</f>
        <v>0</v>
      </c>
      <c s="125">
        <f>Предпосылки!V$242*Предпосылки!$R257*Продажи!W22*W$19*(1+Чувствительность!$D$20)*IFERROR(LOOKUP(Предпосылки!$H$215,$C$13:$C$15,W$13:W$15),1)</f>
        <v>0</v>
      </c>
      <c s="125">
        <f>Предпосылки!W$242*Предпосылки!$R257*Продажи!X22*X$19*(1+Чувствительность!$D$20)*IFERROR(LOOKUP(Предпосылки!$H$215,$C$13:$C$15,X$13:X$15),1)</f>
        <v>0</v>
      </c>
      <c s="125">
        <f>Предпосылки!X$242*Предпосылки!$R257*Продажи!Y22*Y$19*(1+Чувствительность!$D$20)*IFERROR(LOOKUP(Предпосылки!$H$215,$C$13:$C$15,Y$13:Y$15),1)</f>
        <v>0</v>
      </c>
      <c s="125">
        <f>Предпосылки!Y$242*Предпосылки!$R257*Продажи!Z22*Z$19*(1+Чувствительность!$D$20)*IFERROR(LOOKUP(Предпосылки!$H$215,$C$13:$C$15,Z$13:Z$15),1)</f>
        <v>0</v>
      </c>
      <c s="125">
        <f>Предпосылки!Z$242*Предпосылки!$R257*Продажи!AA22*AA$19*(1+Чувствительность!$D$20)*IFERROR(LOOKUP(Предпосылки!$H$215,$C$13:$C$15,AA$13:AA$15),1)</f>
        <v>0</v>
      </c>
      <c s="125">
        <f>Предпосылки!AA$242*Предпосылки!$R257*Продажи!AB22*AB$19*(1+Чувствительность!$D$20)*IFERROR(LOOKUP(Предпосылки!$H$215,$C$13:$C$15,AB$13:AB$15),1)</f>
        <v>0</v>
      </c>
      <c s="125">
        <f>Предпосылки!AB$242*Предпосылки!$R257*Продажи!AC22*AC$19*(1+Чувствительность!$D$20)*IFERROR(LOOKUP(Предпосылки!$H$215,$C$13:$C$15,AC$13:AC$15),1)</f>
        <v>0</v>
      </c>
      <c s="125">
        <f>Предпосылки!AC$242*Предпосылки!$R257*Продажи!AD22*AD$19*(1+Чувствительность!$D$20)*IFERROR(LOOKUP(Предпосылки!$H$215,$C$13:$C$15,AD$13:AD$15),1)</f>
        <v>0</v>
      </c>
      <c s="125">
        <f>Предпосылки!AD$242*Предпосылки!$R257*Продажи!AE22*AE$19*(1+Чувствительность!$D$20)*IFERROR(LOOKUP(Предпосылки!$H$215,$C$13:$C$15,AE$13:AE$15),1)</f>
        <v>0</v>
      </c>
      <c s="125">
        <f>Предпосылки!AE$242*Предпосылки!$R257*Продажи!AF22*AF$19*(1+Чувствительность!$D$20)*IFERROR(LOOKUP(Предпосылки!$H$215,$C$13:$C$15,AF$13:AF$15),1)</f>
        <v>0</v>
      </c>
      <c s="125">
        <f>Предпосылки!AF$242*Предпосылки!$R257*Продажи!AG22*AG$19*(1+Чувствительность!$D$20)*IFERROR(LOOKUP(Предпосылки!$H$215,$C$13:$C$15,AG$13:AG$15),1)</f>
        <v>0</v>
      </c>
      <c s="125">
        <f>Предпосылки!AG$242*Предпосылки!$R257*Продажи!AH22*AH$19*(1+Чувствительность!$D$20)*IFERROR(LOOKUP(Предпосылки!$H$215,$C$13:$C$15,AH$13:AH$15),1)</f>
        <v>0</v>
      </c>
      <c s="125">
        <f>Предпосылки!AH$242*Предпосылки!$R257*Продажи!AI22*AI$19*(1+Чувствительность!$D$20)*IFERROR(LOOKUP(Предпосылки!$H$215,$C$13:$C$15,AI$13:AI$15),1)</f>
        <v>0</v>
      </c>
      <c s="125">
        <f>Предпосылки!AI$242*Предпосылки!$R257*Продажи!AJ22*AJ$19*(1+Чувствительность!$D$20)*IFERROR(LOOKUP(Предпосылки!$H$215,$C$13:$C$15,AJ$13:AJ$15),1)</f>
        <v>0</v>
      </c>
      <c s="125">
        <f>Предпосылки!AJ$242*Предпосылки!$R257*Продажи!AK22*AK$19*(1+Чувствительность!$D$20)*IFERROR(LOOKUP(Предпосылки!$H$215,$C$13:$C$15,AK$13:AK$15),1)</f>
        <v>0</v>
      </c>
      <c s="125">
        <f>Предпосылки!AK$242*Предпосылки!$R257*Продажи!AL22*AL$19*(1+Чувствительность!$D$20)*IFERROR(LOOKUP(Предпосылки!$H$215,$C$13:$C$15,AL$13:AL$15),1)</f>
        <v>0</v>
      </c>
      <c s="125">
        <f>Предпосылки!AL$242*Предпосылки!$R257*Продажи!AM22*AM$19*(1+Чувствительность!$D$20)*IFERROR(LOOKUP(Предпосылки!$H$215,$C$13:$C$15,AM$13:AM$15),1)</f>
        <v>0</v>
      </c>
      <c s="125">
        <f>Предпосылки!AM$242*Предпосылки!$R257*Продажи!AN22*AN$19*(1+Чувствительность!$D$20)*IFERROR(LOOKUP(Предпосылки!$H$215,$C$13:$C$15,AN$13:AN$15),1)</f>
        <v>0</v>
      </c>
      <c s="125">
        <f>Предпосылки!AN$242*Предпосылки!$R257*Продажи!AO22*AO$19*(1+Чувствительность!$D$20)*IFERROR(LOOKUP(Предпосылки!$H$215,$C$13:$C$15,AO$13:AO$15),1)</f>
        <v>0</v>
      </c>
      <c s="125">
        <f>Предпосылки!AO$242*Предпосылки!$R257*Продажи!AP22*AP$19*(1+Чувствительность!$D$20)*IFERROR(LOOKUP(Предпосылки!$H$215,$C$13:$C$15,AP$13:AP$15),1)</f>
        <v>0</v>
      </c>
      <c s="125">
        <f>Предпосылки!AP$242*Предпосылки!$R257*Продажи!AQ22*AQ$19*(1+Чувствительность!$D$20)*IFERROR(LOOKUP(Предпосылки!$H$215,$C$13:$C$15,AQ$13:AQ$15),1)</f>
        <v>0</v>
      </c>
      <c s="125">
        <f>Предпосылки!AQ$242*Предпосылки!$R257*Продажи!AR22*AR$19*(1+Чувствительность!$D$20)*IFERROR(LOOKUP(Предпосылки!$H$215,$C$13:$C$15,AR$13:AR$15),1)</f>
        <v>0</v>
      </c>
      <c s="125">
        <f>Предпосылки!AR$242*Предпосылки!$R257*Продажи!AS22*AS$19*(1+Чувствительность!$D$20)*IFERROR(LOOKUP(Предпосылки!$H$215,$C$13:$C$15,AS$13:AS$15),1)</f>
        <v>0</v>
      </c>
      <c s="125">
        <f>Предпосылки!AS$242*Предпосылки!$R257*Продажи!AT22*AT$19*(1+Чувствительность!$D$20)*IFERROR(LOOKUP(Предпосылки!$H$215,$C$13:$C$15,AT$13:AT$15),1)</f>
        <v>0</v>
      </c>
      <c s="125">
        <f>Предпосылки!AT$242*Предпосылки!$R257*Продажи!AU22*AU$19*(1+Чувствительность!$D$20)*IFERROR(LOOKUP(Предпосылки!$H$215,$C$13:$C$15,AU$13:AU$15),1)</f>
        <v>0</v>
      </c>
      <c s="125">
        <f>Предпосылки!AU$242*Предпосылки!$R257*Продажи!AV22*AV$19*(1+Чувствительность!$D$20)*IFERROR(LOOKUP(Предпосылки!$H$215,$C$13:$C$15,AV$13:AV$15),1)</f>
        <v>0</v>
      </c>
      <c s="125">
        <f>Предпосылки!AV$242*Предпосылки!$R257*Продажи!AW22*AW$19*(1+Чувствительность!$D$20)*IFERROR(LOOKUP(Предпосылки!$H$215,$C$13:$C$15,AW$13:AW$15),1)</f>
        <v>0</v>
      </c>
      <c s="125">
        <f>Предпосылки!AW$242*Предпосылки!$R257*Продажи!AX22*AX$19*(1+Чувствительность!$D$20)*IFERROR(LOOKUP(Предпосылки!$H$215,$C$13:$C$15,AX$13:AX$15),1)</f>
        <v>0</v>
      </c>
      <c s="125">
        <f>Предпосылки!AX$242*Предпосылки!$R257*Продажи!AY22*AY$19*(1+Чувствительность!$D$20)*IFERROR(LOOKUP(Предпосылки!$H$215,$C$13:$C$15,AY$13:AY$15),1)</f>
        <v>0</v>
      </c>
      <c s="125">
        <f>Предпосылки!AY$242*Предпосылки!$R257*Продажи!AZ22*AZ$19*(1+Чувствительность!$D$20)*IFERROR(LOOKUP(Предпосылки!$H$215,$C$13:$C$15,AZ$13:AZ$15),1)</f>
        <v>0</v>
      </c>
      <c s="125">
        <f>Предпосылки!AZ$242*Предпосылки!$R257*Продажи!BA22*BA$19*(1+Чувствительность!$D$20)*IFERROR(LOOKUP(Предпосылки!$H$215,$C$13:$C$15,BA$13:BA$15),1)</f>
        <v>0</v>
      </c>
      <c s="125">
        <f>Предпосылки!BA$242*Предпосылки!$R257*Продажи!BB22*BB$19*(1+Чувствительность!$D$20)*IFERROR(LOOKUP(Предпосылки!$H$215,$C$13:$C$15,BB$13:BB$15),1)</f>
        <v>0</v>
      </c>
      <c s="125">
        <f>Предпосылки!BB$242*Предпосылки!$R257*Продажи!BC22*BC$19*(1+Чувствительность!$D$20)*IFERROR(LOOKUP(Предпосылки!$H$215,$C$13:$C$15,BC$13:BC$15),1)</f>
        <v>0</v>
      </c>
      <c s="125">
        <f>Предпосылки!BC$242*Предпосылки!$R257*Продажи!BD22*BD$19*(1+Чувствительность!$D$20)*IFERROR(LOOKUP(Предпосылки!$H$215,$C$13:$C$15,BD$13:BD$15),1)</f>
        <v>0</v>
      </c>
      <c s="125">
        <f>Предпосылки!BD$242*Предпосылки!$R257*Продажи!BE22*BE$19*(1+Чувствительность!$D$20)*IFERROR(LOOKUP(Предпосылки!$H$215,$C$13:$C$15,BE$13:BE$15),1)</f>
        <v>0</v>
      </c>
      <c s="125">
        <f>Предпосылки!BE$242*Предпосылки!$R257*Продажи!BF22*BF$19*(1+Чувствительность!$D$20)*IFERROR(LOOKUP(Предпосылки!$H$215,$C$13:$C$15,BF$13:BF$15),1)</f>
        <v>0</v>
      </c>
      <c s="125">
        <f>Предпосылки!BF$242*Предпосылки!$R257*Продажи!BG22*BG$19*(1+Чувствительность!$D$20)*IFERROR(LOOKUP(Предпосылки!$H$215,$C$13:$C$15,BG$13:BG$15),1)</f>
        <v>0</v>
      </c>
      <c s="125">
        <f>Предпосылки!BG$242*Предпосылки!$R257*Продажи!BH22*BH$19*(1+Чувствительность!$D$20)*IFERROR(LOOKUP(Предпосылки!$H$215,$C$13:$C$15,BH$13:BH$15),1)</f>
        <v>0</v>
      </c>
      <c s="125">
        <f>Предпосылки!BH$242*Предпосылки!$R257*Продажи!BI22*BI$19*(1+Чувствительность!$D$20)*IFERROR(LOOKUP(Предпосылки!$H$215,$C$13:$C$15,BI$13:BI$15),1)</f>
        <v>0</v>
      </c>
      <c s="125">
        <f>Предпосылки!BI$242*Предпосылки!$R257*Продажи!BJ22*BJ$19*(1+Чувствительность!$D$20)*IFERROR(LOOKUP(Предпосылки!$H$215,$C$13:$C$15,BJ$13:BJ$15),1)</f>
        <v>0</v>
      </c>
      <c s="125">
        <f>Предпосылки!BJ$242*Предпосылки!$R257*Продажи!BK22*BK$19*(1+Чувствительность!$D$20)*IFERROR(LOOKUP(Предпосылки!$H$215,$C$13:$C$15,BK$13:BK$15),1)</f>
        <v>0</v>
      </c>
      <c s="125">
        <f>Предпосылки!BK$242*Предпосылки!$R257*Продажи!BL22*BL$19*(1+Чувствительность!$D$20)*IFERROR(LOOKUP(Предпосылки!$H$215,$C$13:$C$15,BL$13:BL$15),1)</f>
        <v>0</v>
      </c>
      <c s="125">
        <f>Предпосылки!BL$242*Предпосылки!$R257*Продажи!BM22*BM$19*(1+Чувствительность!$D$20)*IFERROR(LOOKUP(Предпосылки!$H$215,$C$13:$C$15,BM$13:BM$15),1)</f>
        <v>0</v>
      </c>
    </row>
    <row r="350" spans="2:65" ht="15" customHeight="1">
      <c r="B350" s="12" t="str">
        <f t="shared" si="131"/>
        <v>Продукт 6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Предпосылки!D$242*Предпосылки!$R258*Продажи!E23*E$19*(1+Чувствительность!$D$20)*IFERROR(LOOKUP(Предпосылки!$H$215,$C$13:$C$15,E$13:E$15),1)</f>
        <v>0</v>
      </c>
      <c s="125">
        <f>Предпосылки!E$242*Предпосылки!$R258*Продажи!F23*F$19*(1+Чувствительность!$D$20)*IFERROR(LOOKUP(Предпосылки!$H$215,$C$13:$C$15,F$13:F$15),1)</f>
        <v>0</v>
      </c>
      <c s="125">
        <f>Предпосылки!F$242*Предпосылки!$R258*Продажи!G23*G$19*(1+Чувствительность!$D$20)*IFERROR(LOOKUP(Предпосылки!$H$215,$C$13:$C$15,G$13:G$15),1)</f>
        <v>0</v>
      </c>
      <c s="125">
        <f>Предпосылки!G$242*Предпосылки!$R258*Продажи!H23*H$19*(1+Чувствительность!$D$20)*IFERROR(LOOKUP(Предпосылки!$H$215,$C$13:$C$15,H$13:H$15),1)</f>
        <v>0</v>
      </c>
      <c s="125">
        <f>Предпосылки!H$242*Предпосылки!$R258*Продажи!I23*I$19*(1+Чувствительность!$D$20)*IFERROR(LOOKUP(Предпосылки!$H$215,$C$13:$C$15,I$13:I$15),1)</f>
        <v>0</v>
      </c>
      <c s="125">
        <f>Предпосылки!I$242*Предпосылки!$R258*Продажи!J23*J$19*(1+Чувствительность!$D$20)*IFERROR(LOOKUP(Предпосылки!$H$215,$C$13:$C$15,J$13:J$15),1)</f>
        <v>0</v>
      </c>
      <c s="125">
        <f>Предпосылки!J$242*Предпосылки!$R258*Продажи!K23*K$19*(1+Чувствительность!$D$20)*IFERROR(LOOKUP(Предпосылки!$H$215,$C$13:$C$15,K$13:K$15),1)</f>
        <v>0</v>
      </c>
      <c s="125">
        <f>Предпосылки!K$242*Предпосылки!$R258*Продажи!L23*L$19*(1+Чувствительность!$D$20)*IFERROR(LOOKUP(Предпосылки!$H$215,$C$13:$C$15,L$13:L$15),1)</f>
        <v>0</v>
      </c>
      <c s="125">
        <f>Предпосылки!L$242*Предпосылки!$R258*Продажи!M23*M$19*(1+Чувствительность!$D$20)*IFERROR(LOOKUP(Предпосылки!$H$215,$C$13:$C$15,M$13:M$15),1)</f>
        <v>0</v>
      </c>
      <c s="125">
        <f>Предпосылки!M$242*Предпосылки!$R258*Продажи!N23*N$19*(1+Чувствительность!$D$20)*IFERROR(LOOKUP(Предпосылки!$H$215,$C$13:$C$15,N$13:N$15),1)</f>
        <v>0</v>
      </c>
      <c s="125">
        <f>Предпосылки!N$242*Предпосылки!$R258*Продажи!O23*O$19*(1+Чувствительность!$D$20)*IFERROR(LOOKUP(Предпосылки!$H$215,$C$13:$C$15,O$13:O$15),1)</f>
        <v>0</v>
      </c>
      <c s="125">
        <f>Предпосылки!O$242*Предпосылки!$R258*Продажи!P23*P$19*(1+Чувствительность!$D$20)*IFERROR(LOOKUP(Предпосылки!$H$215,$C$13:$C$15,P$13:P$15),1)</f>
        <v>0</v>
      </c>
      <c s="125">
        <f>Предпосылки!P$242*Предпосылки!$R258*Продажи!Q23*Q$19*(1+Чувствительность!$D$20)*IFERROR(LOOKUP(Предпосылки!$H$215,$C$13:$C$15,Q$13:Q$15),1)</f>
        <v>0</v>
      </c>
      <c s="125">
        <f>Предпосылки!Q$242*Предпосылки!$R258*Продажи!R23*R$19*(1+Чувствительность!$D$20)*IFERROR(LOOKUP(Предпосылки!$H$215,$C$13:$C$15,R$13:R$15),1)</f>
        <v>0</v>
      </c>
      <c s="125">
        <f>Предпосылки!R$242*Предпосылки!$R258*Продажи!S23*S$19*(1+Чувствительность!$D$20)*IFERROR(LOOKUP(Предпосылки!$H$215,$C$13:$C$15,S$13:S$15),1)</f>
        <v>0</v>
      </c>
      <c s="125">
        <f>Предпосылки!S$242*Предпосылки!$R258*Продажи!T23*T$19*(1+Чувствительность!$D$20)*IFERROR(LOOKUP(Предпосылки!$H$215,$C$13:$C$15,T$13:T$15),1)</f>
        <v>0</v>
      </c>
      <c s="125">
        <f>Предпосылки!T$242*Предпосылки!$R258*Продажи!U23*U$19*(1+Чувствительность!$D$20)*IFERROR(LOOKUP(Предпосылки!$H$215,$C$13:$C$15,U$13:U$15),1)</f>
        <v>0</v>
      </c>
      <c s="125">
        <f>Предпосылки!U$242*Предпосылки!$R258*Продажи!V23*V$19*(1+Чувствительность!$D$20)*IFERROR(LOOKUP(Предпосылки!$H$215,$C$13:$C$15,V$13:V$15),1)</f>
        <v>0</v>
      </c>
      <c s="125">
        <f>Предпосылки!V$242*Предпосылки!$R258*Продажи!W23*W$19*(1+Чувствительность!$D$20)*IFERROR(LOOKUP(Предпосылки!$H$215,$C$13:$C$15,W$13:W$15),1)</f>
        <v>0</v>
      </c>
      <c s="125">
        <f>Предпосылки!W$242*Предпосылки!$R258*Продажи!X23*X$19*(1+Чувствительность!$D$20)*IFERROR(LOOKUP(Предпосылки!$H$215,$C$13:$C$15,X$13:X$15),1)</f>
        <v>0</v>
      </c>
      <c s="125">
        <f>Предпосылки!X$242*Предпосылки!$R258*Продажи!Y23*Y$19*(1+Чувствительность!$D$20)*IFERROR(LOOKUP(Предпосылки!$H$215,$C$13:$C$15,Y$13:Y$15),1)</f>
        <v>0</v>
      </c>
      <c s="125">
        <f>Предпосылки!Y$242*Предпосылки!$R258*Продажи!Z23*Z$19*(1+Чувствительность!$D$20)*IFERROR(LOOKUP(Предпосылки!$H$215,$C$13:$C$15,Z$13:Z$15),1)</f>
        <v>0</v>
      </c>
      <c s="125">
        <f>Предпосылки!Z$242*Предпосылки!$R258*Продажи!AA23*AA$19*(1+Чувствительность!$D$20)*IFERROR(LOOKUP(Предпосылки!$H$215,$C$13:$C$15,AA$13:AA$15),1)</f>
        <v>0</v>
      </c>
      <c s="125">
        <f>Предпосылки!AA$242*Предпосылки!$R258*Продажи!AB23*AB$19*(1+Чувствительность!$D$20)*IFERROR(LOOKUP(Предпосылки!$H$215,$C$13:$C$15,AB$13:AB$15),1)</f>
        <v>0</v>
      </c>
      <c s="125">
        <f>Предпосылки!AB$242*Предпосылки!$R258*Продажи!AC23*AC$19*(1+Чувствительность!$D$20)*IFERROR(LOOKUP(Предпосылки!$H$215,$C$13:$C$15,AC$13:AC$15),1)</f>
        <v>0</v>
      </c>
      <c s="125">
        <f>Предпосылки!AC$242*Предпосылки!$R258*Продажи!AD23*AD$19*(1+Чувствительность!$D$20)*IFERROR(LOOKUP(Предпосылки!$H$215,$C$13:$C$15,AD$13:AD$15),1)</f>
        <v>0</v>
      </c>
      <c s="125">
        <f>Предпосылки!AD$242*Предпосылки!$R258*Продажи!AE23*AE$19*(1+Чувствительность!$D$20)*IFERROR(LOOKUP(Предпосылки!$H$215,$C$13:$C$15,AE$13:AE$15),1)</f>
        <v>0</v>
      </c>
      <c s="125">
        <f>Предпосылки!AE$242*Предпосылки!$R258*Продажи!AF23*AF$19*(1+Чувствительность!$D$20)*IFERROR(LOOKUP(Предпосылки!$H$215,$C$13:$C$15,AF$13:AF$15),1)</f>
        <v>0</v>
      </c>
      <c s="125">
        <f>Предпосылки!AF$242*Предпосылки!$R258*Продажи!AG23*AG$19*(1+Чувствительность!$D$20)*IFERROR(LOOKUP(Предпосылки!$H$215,$C$13:$C$15,AG$13:AG$15),1)</f>
        <v>0</v>
      </c>
      <c s="125">
        <f>Предпосылки!AG$242*Предпосылки!$R258*Продажи!AH23*AH$19*(1+Чувствительность!$D$20)*IFERROR(LOOKUP(Предпосылки!$H$215,$C$13:$C$15,AH$13:AH$15),1)</f>
        <v>0</v>
      </c>
      <c s="125">
        <f>Предпосылки!AH$242*Предпосылки!$R258*Продажи!AI23*AI$19*(1+Чувствительность!$D$20)*IFERROR(LOOKUP(Предпосылки!$H$215,$C$13:$C$15,AI$13:AI$15),1)</f>
        <v>0</v>
      </c>
      <c s="125">
        <f>Предпосылки!AI$242*Предпосылки!$R258*Продажи!AJ23*AJ$19*(1+Чувствительность!$D$20)*IFERROR(LOOKUP(Предпосылки!$H$215,$C$13:$C$15,AJ$13:AJ$15),1)</f>
        <v>0</v>
      </c>
      <c s="125">
        <f>Предпосылки!AJ$242*Предпосылки!$R258*Продажи!AK23*AK$19*(1+Чувствительность!$D$20)*IFERROR(LOOKUP(Предпосылки!$H$215,$C$13:$C$15,AK$13:AK$15),1)</f>
        <v>0</v>
      </c>
      <c s="125">
        <f>Предпосылки!AK$242*Предпосылки!$R258*Продажи!AL23*AL$19*(1+Чувствительность!$D$20)*IFERROR(LOOKUP(Предпосылки!$H$215,$C$13:$C$15,AL$13:AL$15),1)</f>
        <v>0</v>
      </c>
      <c s="125">
        <f>Предпосылки!AL$242*Предпосылки!$R258*Продажи!AM23*AM$19*(1+Чувствительность!$D$20)*IFERROR(LOOKUP(Предпосылки!$H$215,$C$13:$C$15,AM$13:AM$15),1)</f>
        <v>0</v>
      </c>
      <c s="125">
        <f>Предпосылки!AM$242*Предпосылки!$R258*Продажи!AN23*AN$19*(1+Чувствительность!$D$20)*IFERROR(LOOKUP(Предпосылки!$H$215,$C$13:$C$15,AN$13:AN$15),1)</f>
        <v>0</v>
      </c>
      <c s="125">
        <f>Предпосылки!AN$242*Предпосылки!$R258*Продажи!AO23*AO$19*(1+Чувствительность!$D$20)*IFERROR(LOOKUP(Предпосылки!$H$215,$C$13:$C$15,AO$13:AO$15),1)</f>
        <v>0</v>
      </c>
      <c s="125">
        <f>Предпосылки!AO$242*Предпосылки!$R258*Продажи!AP23*AP$19*(1+Чувствительность!$D$20)*IFERROR(LOOKUP(Предпосылки!$H$215,$C$13:$C$15,AP$13:AP$15),1)</f>
        <v>0</v>
      </c>
      <c s="125">
        <f>Предпосылки!AP$242*Предпосылки!$R258*Продажи!AQ23*AQ$19*(1+Чувствительность!$D$20)*IFERROR(LOOKUP(Предпосылки!$H$215,$C$13:$C$15,AQ$13:AQ$15),1)</f>
        <v>0</v>
      </c>
      <c s="125">
        <f>Предпосылки!AQ$242*Предпосылки!$R258*Продажи!AR23*AR$19*(1+Чувствительность!$D$20)*IFERROR(LOOKUP(Предпосылки!$H$215,$C$13:$C$15,AR$13:AR$15),1)</f>
        <v>0</v>
      </c>
      <c s="125">
        <f>Предпосылки!AR$242*Предпосылки!$R258*Продажи!AS23*AS$19*(1+Чувствительность!$D$20)*IFERROR(LOOKUP(Предпосылки!$H$215,$C$13:$C$15,AS$13:AS$15),1)</f>
        <v>0</v>
      </c>
      <c s="125">
        <f>Предпосылки!AS$242*Предпосылки!$R258*Продажи!AT23*AT$19*(1+Чувствительность!$D$20)*IFERROR(LOOKUP(Предпосылки!$H$215,$C$13:$C$15,AT$13:AT$15),1)</f>
        <v>0</v>
      </c>
      <c s="125">
        <f>Предпосылки!AT$242*Предпосылки!$R258*Продажи!AU23*AU$19*(1+Чувствительность!$D$20)*IFERROR(LOOKUP(Предпосылки!$H$215,$C$13:$C$15,AU$13:AU$15),1)</f>
        <v>0</v>
      </c>
      <c s="125">
        <f>Предпосылки!AU$242*Предпосылки!$R258*Продажи!AV23*AV$19*(1+Чувствительность!$D$20)*IFERROR(LOOKUP(Предпосылки!$H$215,$C$13:$C$15,AV$13:AV$15),1)</f>
        <v>0</v>
      </c>
      <c s="125">
        <f>Предпосылки!AV$242*Предпосылки!$R258*Продажи!AW23*AW$19*(1+Чувствительность!$D$20)*IFERROR(LOOKUP(Предпосылки!$H$215,$C$13:$C$15,AW$13:AW$15),1)</f>
        <v>0</v>
      </c>
      <c s="125">
        <f>Предпосылки!AW$242*Предпосылки!$R258*Продажи!AX23*AX$19*(1+Чувствительность!$D$20)*IFERROR(LOOKUP(Предпосылки!$H$215,$C$13:$C$15,AX$13:AX$15),1)</f>
        <v>0</v>
      </c>
      <c s="125">
        <f>Предпосылки!AX$242*Предпосылки!$R258*Продажи!AY23*AY$19*(1+Чувствительность!$D$20)*IFERROR(LOOKUP(Предпосылки!$H$215,$C$13:$C$15,AY$13:AY$15),1)</f>
        <v>0</v>
      </c>
      <c s="125">
        <f>Предпосылки!AY$242*Предпосылки!$R258*Продажи!AZ23*AZ$19*(1+Чувствительность!$D$20)*IFERROR(LOOKUP(Предпосылки!$H$215,$C$13:$C$15,AZ$13:AZ$15),1)</f>
        <v>0</v>
      </c>
      <c s="125">
        <f>Предпосылки!AZ$242*Предпосылки!$R258*Продажи!BA23*BA$19*(1+Чувствительность!$D$20)*IFERROR(LOOKUP(Предпосылки!$H$215,$C$13:$C$15,BA$13:BA$15),1)</f>
        <v>0</v>
      </c>
      <c s="125">
        <f>Предпосылки!BA$242*Предпосылки!$R258*Продажи!BB23*BB$19*(1+Чувствительность!$D$20)*IFERROR(LOOKUP(Предпосылки!$H$215,$C$13:$C$15,BB$13:BB$15),1)</f>
        <v>0</v>
      </c>
      <c s="125">
        <f>Предпосылки!BB$242*Предпосылки!$R258*Продажи!BC23*BC$19*(1+Чувствительность!$D$20)*IFERROR(LOOKUP(Предпосылки!$H$215,$C$13:$C$15,BC$13:BC$15),1)</f>
        <v>0</v>
      </c>
      <c s="125">
        <f>Предпосылки!BC$242*Предпосылки!$R258*Продажи!BD23*BD$19*(1+Чувствительность!$D$20)*IFERROR(LOOKUP(Предпосылки!$H$215,$C$13:$C$15,BD$13:BD$15),1)</f>
        <v>0</v>
      </c>
      <c s="125">
        <f>Предпосылки!BD$242*Предпосылки!$R258*Продажи!BE23*BE$19*(1+Чувствительность!$D$20)*IFERROR(LOOKUP(Предпосылки!$H$215,$C$13:$C$15,BE$13:BE$15),1)</f>
        <v>0</v>
      </c>
      <c s="125">
        <f>Предпосылки!BE$242*Предпосылки!$R258*Продажи!BF23*BF$19*(1+Чувствительность!$D$20)*IFERROR(LOOKUP(Предпосылки!$H$215,$C$13:$C$15,BF$13:BF$15),1)</f>
        <v>0</v>
      </c>
      <c s="125">
        <f>Предпосылки!BF$242*Предпосылки!$R258*Продажи!BG23*BG$19*(1+Чувствительность!$D$20)*IFERROR(LOOKUP(Предпосылки!$H$215,$C$13:$C$15,BG$13:BG$15),1)</f>
        <v>0</v>
      </c>
      <c s="125">
        <f>Предпосылки!BG$242*Предпосылки!$R258*Продажи!BH23*BH$19*(1+Чувствительность!$D$20)*IFERROR(LOOKUP(Предпосылки!$H$215,$C$13:$C$15,BH$13:BH$15),1)</f>
        <v>0</v>
      </c>
      <c s="125">
        <f>Предпосылки!BH$242*Предпосылки!$R258*Продажи!BI23*BI$19*(1+Чувствительность!$D$20)*IFERROR(LOOKUP(Предпосылки!$H$215,$C$13:$C$15,BI$13:BI$15),1)</f>
        <v>0</v>
      </c>
      <c s="125">
        <f>Предпосылки!BI$242*Предпосылки!$R258*Продажи!BJ23*BJ$19*(1+Чувствительность!$D$20)*IFERROR(LOOKUP(Предпосылки!$H$215,$C$13:$C$15,BJ$13:BJ$15),1)</f>
        <v>0</v>
      </c>
      <c s="125">
        <f>Предпосылки!BJ$242*Предпосылки!$R258*Продажи!BK23*BK$19*(1+Чувствительность!$D$20)*IFERROR(LOOKUP(Предпосылки!$H$215,$C$13:$C$15,BK$13:BK$15),1)</f>
        <v>0</v>
      </c>
      <c s="125">
        <f>Предпосылки!BK$242*Предпосылки!$R258*Продажи!BL23*BL$19*(1+Чувствительность!$D$20)*IFERROR(LOOKUP(Предпосылки!$H$215,$C$13:$C$15,BL$13:BL$15),1)</f>
        <v>0</v>
      </c>
      <c s="125">
        <f>Предпосылки!BL$242*Предпосылки!$R258*Продажи!BM23*BM$19*(1+Чувствительность!$D$20)*IFERROR(LOOKUP(Предпосылки!$H$215,$C$13:$C$15,BM$13:BM$15),1)</f>
        <v>0</v>
      </c>
    </row>
    <row r="351" spans="2:65" ht="15" customHeight="1">
      <c r="B351" s="12" t="str">
        <f t="shared" si="131"/>
        <v>Продукт 7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Предпосылки!D$242*Предпосылки!$R259*Продажи!E24*E$19*(1+Чувствительность!$D$20)*IFERROR(LOOKUP(Предпосылки!$H$215,$C$13:$C$15,E$13:E$15),1)</f>
        <v>0</v>
      </c>
      <c s="125">
        <f>Предпосылки!E$242*Предпосылки!$R259*Продажи!F24*F$19*(1+Чувствительность!$D$20)*IFERROR(LOOKUP(Предпосылки!$H$215,$C$13:$C$15,F$13:F$15),1)</f>
        <v>0</v>
      </c>
      <c s="125">
        <f>Предпосылки!F$242*Предпосылки!$R259*Продажи!G24*G$19*(1+Чувствительность!$D$20)*IFERROR(LOOKUP(Предпосылки!$H$215,$C$13:$C$15,G$13:G$15),1)</f>
        <v>0</v>
      </c>
      <c s="125">
        <f>Предпосылки!G$242*Предпосылки!$R259*Продажи!H24*H$19*(1+Чувствительность!$D$20)*IFERROR(LOOKUP(Предпосылки!$H$215,$C$13:$C$15,H$13:H$15),1)</f>
        <v>0</v>
      </c>
      <c s="125">
        <f>Предпосылки!H$242*Предпосылки!$R259*Продажи!I24*I$19*(1+Чувствительность!$D$20)*IFERROR(LOOKUP(Предпосылки!$H$215,$C$13:$C$15,I$13:I$15),1)</f>
        <v>0</v>
      </c>
      <c s="125">
        <f>Предпосылки!I$242*Предпосылки!$R259*Продажи!J24*J$19*(1+Чувствительность!$D$20)*IFERROR(LOOKUP(Предпосылки!$H$215,$C$13:$C$15,J$13:J$15),1)</f>
        <v>0</v>
      </c>
      <c s="125">
        <f>Предпосылки!J$242*Предпосылки!$R259*Продажи!K24*K$19*(1+Чувствительность!$D$20)*IFERROR(LOOKUP(Предпосылки!$H$215,$C$13:$C$15,K$13:K$15),1)</f>
        <v>0</v>
      </c>
      <c s="125">
        <f>Предпосылки!K$242*Предпосылки!$R259*Продажи!L24*L$19*(1+Чувствительность!$D$20)*IFERROR(LOOKUP(Предпосылки!$H$215,$C$13:$C$15,L$13:L$15),1)</f>
        <v>0</v>
      </c>
      <c s="125">
        <f>Предпосылки!L$242*Предпосылки!$R259*Продажи!M24*M$19*(1+Чувствительность!$D$20)*IFERROR(LOOKUP(Предпосылки!$H$215,$C$13:$C$15,M$13:M$15),1)</f>
        <v>0</v>
      </c>
      <c s="125">
        <f>Предпосылки!M$242*Предпосылки!$R259*Продажи!N24*N$19*(1+Чувствительность!$D$20)*IFERROR(LOOKUP(Предпосылки!$H$215,$C$13:$C$15,N$13:N$15),1)</f>
        <v>0</v>
      </c>
      <c s="125">
        <f>Предпосылки!N$242*Предпосылки!$R259*Продажи!O24*O$19*(1+Чувствительность!$D$20)*IFERROR(LOOKUP(Предпосылки!$H$215,$C$13:$C$15,O$13:O$15),1)</f>
        <v>0</v>
      </c>
      <c s="125">
        <f>Предпосылки!O$242*Предпосылки!$R259*Продажи!P24*P$19*(1+Чувствительность!$D$20)*IFERROR(LOOKUP(Предпосылки!$H$215,$C$13:$C$15,P$13:P$15),1)</f>
        <v>0</v>
      </c>
      <c s="125">
        <f>Предпосылки!P$242*Предпосылки!$R259*Продажи!Q24*Q$19*(1+Чувствительность!$D$20)*IFERROR(LOOKUP(Предпосылки!$H$215,$C$13:$C$15,Q$13:Q$15),1)</f>
        <v>0</v>
      </c>
      <c s="125">
        <f>Предпосылки!Q$242*Предпосылки!$R259*Продажи!R24*R$19*(1+Чувствительность!$D$20)*IFERROR(LOOKUP(Предпосылки!$H$215,$C$13:$C$15,R$13:R$15),1)</f>
        <v>0</v>
      </c>
      <c s="125">
        <f>Предпосылки!R$242*Предпосылки!$R259*Продажи!S24*S$19*(1+Чувствительность!$D$20)*IFERROR(LOOKUP(Предпосылки!$H$215,$C$13:$C$15,S$13:S$15),1)</f>
        <v>0</v>
      </c>
      <c s="125">
        <f>Предпосылки!S$242*Предпосылки!$R259*Продажи!T24*T$19*(1+Чувствительность!$D$20)*IFERROR(LOOKUP(Предпосылки!$H$215,$C$13:$C$15,T$13:T$15),1)</f>
        <v>0</v>
      </c>
      <c s="125">
        <f>Предпосылки!T$242*Предпосылки!$R259*Продажи!U24*U$19*(1+Чувствительность!$D$20)*IFERROR(LOOKUP(Предпосылки!$H$215,$C$13:$C$15,U$13:U$15),1)</f>
        <v>0</v>
      </c>
      <c s="125">
        <f>Предпосылки!U$242*Предпосылки!$R259*Продажи!V24*V$19*(1+Чувствительность!$D$20)*IFERROR(LOOKUP(Предпосылки!$H$215,$C$13:$C$15,V$13:V$15),1)</f>
        <v>0</v>
      </c>
      <c s="125">
        <f>Предпосылки!V$242*Предпосылки!$R259*Продажи!W24*W$19*(1+Чувствительность!$D$20)*IFERROR(LOOKUP(Предпосылки!$H$215,$C$13:$C$15,W$13:W$15),1)</f>
        <v>0</v>
      </c>
      <c s="125">
        <f>Предпосылки!W$242*Предпосылки!$R259*Продажи!X24*X$19*(1+Чувствительность!$D$20)*IFERROR(LOOKUP(Предпосылки!$H$215,$C$13:$C$15,X$13:X$15),1)</f>
        <v>0</v>
      </c>
      <c s="125">
        <f>Предпосылки!X$242*Предпосылки!$R259*Продажи!Y24*Y$19*(1+Чувствительность!$D$20)*IFERROR(LOOKUP(Предпосылки!$H$215,$C$13:$C$15,Y$13:Y$15),1)</f>
        <v>0</v>
      </c>
      <c s="125">
        <f>Предпосылки!Y$242*Предпосылки!$R259*Продажи!Z24*Z$19*(1+Чувствительность!$D$20)*IFERROR(LOOKUP(Предпосылки!$H$215,$C$13:$C$15,Z$13:Z$15),1)</f>
        <v>0</v>
      </c>
      <c s="125">
        <f>Предпосылки!Z$242*Предпосылки!$R259*Продажи!AA24*AA$19*(1+Чувствительность!$D$20)*IFERROR(LOOKUP(Предпосылки!$H$215,$C$13:$C$15,AA$13:AA$15),1)</f>
        <v>0</v>
      </c>
      <c s="125">
        <f>Предпосылки!AA$242*Предпосылки!$R259*Продажи!AB24*AB$19*(1+Чувствительность!$D$20)*IFERROR(LOOKUP(Предпосылки!$H$215,$C$13:$C$15,AB$13:AB$15),1)</f>
        <v>0</v>
      </c>
      <c s="125">
        <f>Предпосылки!AB$242*Предпосылки!$R259*Продажи!AC24*AC$19*(1+Чувствительность!$D$20)*IFERROR(LOOKUP(Предпосылки!$H$215,$C$13:$C$15,AC$13:AC$15),1)</f>
        <v>0</v>
      </c>
      <c s="125">
        <f>Предпосылки!AC$242*Предпосылки!$R259*Продажи!AD24*AD$19*(1+Чувствительность!$D$20)*IFERROR(LOOKUP(Предпосылки!$H$215,$C$13:$C$15,AD$13:AD$15),1)</f>
        <v>0</v>
      </c>
      <c s="125">
        <f>Предпосылки!AD$242*Предпосылки!$R259*Продажи!AE24*AE$19*(1+Чувствительность!$D$20)*IFERROR(LOOKUP(Предпосылки!$H$215,$C$13:$C$15,AE$13:AE$15),1)</f>
        <v>0</v>
      </c>
      <c s="125">
        <f>Предпосылки!AE$242*Предпосылки!$R259*Продажи!AF24*AF$19*(1+Чувствительность!$D$20)*IFERROR(LOOKUP(Предпосылки!$H$215,$C$13:$C$15,AF$13:AF$15),1)</f>
        <v>0</v>
      </c>
      <c s="125">
        <f>Предпосылки!AF$242*Предпосылки!$R259*Продажи!AG24*AG$19*(1+Чувствительность!$D$20)*IFERROR(LOOKUP(Предпосылки!$H$215,$C$13:$C$15,AG$13:AG$15),1)</f>
        <v>0</v>
      </c>
      <c s="125">
        <f>Предпосылки!AG$242*Предпосылки!$R259*Продажи!AH24*AH$19*(1+Чувствительность!$D$20)*IFERROR(LOOKUP(Предпосылки!$H$215,$C$13:$C$15,AH$13:AH$15),1)</f>
        <v>0</v>
      </c>
      <c s="125">
        <f>Предпосылки!AH$242*Предпосылки!$R259*Продажи!AI24*AI$19*(1+Чувствительность!$D$20)*IFERROR(LOOKUP(Предпосылки!$H$215,$C$13:$C$15,AI$13:AI$15),1)</f>
        <v>0</v>
      </c>
      <c s="125">
        <f>Предпосылки!AI$242*Предпосылки!$R259*Продажи!AJ24*AJ$19*(1+Чувствительность!$D$20)*IFERROR(LOOKUP(Предпосылки!$H$215,$C$13:$C$15,AJ$13:AJ$15),1)</f>
        <v>0</v>
      </c>
      <c s="125">
        <f>Предпосылки!AJ$242*Предпосылки!$R259*Продажи!AK24*AK$19*(1+Чувствительность!$D$20)*IFERROR(LOOKUP(Предпосылки!$H$215,$C$13:$C$15,AK$13:AK$15),1)</f>
        <v>0</v>
      </c>
      <c s="125">
        <f>Предпосылки!AK$242*Предпосылки!$R259*Продажи!AL24*AL$19*(1+Чувствительность!$D$20)*IFERROR(LOOKUP(Предпосылки!$H$215,$C$13:$C$15,AL$13:AL$15),1)</f>
        <v>0</v>
      </c>
      <c s="125">
        <f>Предпосылки!AL$242*Предпосылки!$R259*Продажи!AM24*AM$19*(1+Чувствительность!$D$20)*IFERROR(LOOKUP(Предпосылки!$H$215,$C$13:$C$15,AM$13:AM$15),1)</f>
        <v>0</v>
      </c>
      <c s="125">
        <f>Предпосылки!AM$242*Предпосылки!$R259*Продажи!AN24*AN$19*(1+Чувствительность!$D$20)*IFERROR(LOOKUP(Предпосылки!$H$215,$C$13:$C$15,AN$13:AN$15),1)</f>
        <v>0</v>
      </c>
      <c s="125">
        <f>Предпосылки!AN$242*Предпосылки!$R259*Продажи!AO24*AO$19*(1+Чувствительность!$D$20)*IFERROR(LOOKUP(Предпосылки!$H$215,$C$13:$C$15,AO$13:AO$15),1)</f>
        <v>0</v>
      </c>
      <c s="125">
        <f>Предпосылки!AO$242*Предпосылки!$R259*Продажи!AP24*AP$19*(1+Чувствительность!$D$20)*IFERROR(LOOKUP(Предпосылки!$H$215,$C$13:$C$15,AP$13:AP$15),1)</f>
        <v>0</v>
      </c>
      <c s="125">
        <f>Предпосылки!AP$242*Предпосылки!$R259*Продажи!AQ24*AQ$19*(1+Чувствительность!$D$20)*IFERROR(LOOKUP(Предпосылки!$H$215,$C$13:$C$15,AQ$13:AQ$15),1)</f>
        <v>0</v>
      </c>
      <c s="125">
        <f>Предпосылки!AQ$242*Предпосылки!$R259*Продажи!AR24*AR$19*(1+Чувствительность!$D$20)*IFERROR(LOOKUP(Предпосылки!$H$215,$C$13:$C$15,AR$13:AR$15),1)</f>
        <v>0</v>
      </c>
      <c s="125">
        <f>Предпосылки!AR$242*Предпосылки!$R259*Продажи!AS24*AS$19*(1+Чувствительность!$D$20)*IFERROR(LOOKUP(Предпосылки!$H$215,$C$13:$C$15,AS$13:AS$15),1)</f>
        <v>0</v>
      </c>
      <c s="125">
        <f>Предпосылки!AS$242*Предпосылки!$R259*Продажи!AT24*AT$19*(1+Чувствительность!$D$20)*IFERROR(LOOKUP(Предпосылки!$H$215,$C$13:$C$15,AT$13:AT$15),1)</f>
        <v>0</v>
      </c>
      <c s="125">
        <f>Предпосылки!AT$242*Предпосылки!$R259*Продажи!AU24*AU$19*(1+Чувствительность!$D$20)*IFERROR(LOOKUP(Предпосылки!$H$215,$C$13:$C$15,AU$13:AU$15),1)</f>
        <v>0</v>
      </c>
      <c s="125">
        <f>Предпосылки!AU$242*Предпосылки!$R259*Продажи!AV24*AV$19*(1+Чувствительность!$D$20)*IFERROR(LOOKUP(Предпосылки!$H$215,$C$13:$C$15,AV$13:AV$15),1)</f>
        <v>0</v>
      </c>
      <c s="125">
        <f>Предпосылки!AV$242*Предпосылки!$R259*Продажи!AW24*AW$19*(1+Чувствительность!$D$20)*IFERROR(LOOKUP(Предпосылки!$H$215,$C$13:$C$15,AW$13:AW$15),1)</f>
        <v>0</v>
      </c>
      <c s="125">
        <f>Предпосылки!AW$242*Предпосылки!$R259*Продажи!AX24*AX$19*(1+Чувствительность!$D$20)*IFERROR(LOOKUP(Предпосылки!$H$215,$C$13:$C$15,AX$13:AX$15),1)</f>
        <v>0</v>
      </c>
      <c s="125">
        <f>Предпосылки!AX$242*Предпосылки!$R259*Продажи!AY24*AY$19*(1+Чувствительность!$D$20)*IFERROR(LOOKUP(Предпосылки!$H$215,$C$13:$C$15,AY$13:AY$15),1)</f>
        <v>0</v>
      </c>
      <c s="125">
        <f>Предпосылки!AY$242*Предпосылки!$R259*Продажи!AZ24*AZ$19*(1+Чувствительность!$D$20)*IFERROR(LOOKUP(Предпосылки!$H$215,$C$13:$C$15,AZ$13:AZ$15),1)</f>
        <v>0</v>
      </c>
      <c s="125">
        <f>Предпосылки!AZ$242*Предпосылки!$R259*Продажи!BA24*BA$19*(1+Чувствительность!$D$20)*IFERROR(LOOKUP(Предпосылки!$H$215,$C$13:$C$15,BA$13:BA$15),1)</f>
        <v>0</v>
      </c>
      <c s="125">
        <f>Предпосылки!BA$242*Предпосылки!$R259*Продажи!BB24*BB$19*(1+Чувствительность!$D$20)*IFERROR(LOOKUP(Предпосылки!$H$215,$C$13:$C$15,BB$13:BB$15),1)</f>
        <v>0</v>
      </c>
      <c s="125">
        <f>Предпосылки!BB$242*Предпосылки!$R259*Продажи!BC24*BC$19*(1+Чувствительность!$D$20)*IFERROR(LOOKUP(Предпосылки!$H$215,$C$13:$C$15,BC$13:BC$15),1)</f>
        <v>0</v>
      </c>
      <c s="125">
        <f>Предпосылки!BC$242*Предпосылки!$R259*Продажи!BD24*BD$19*(1+Чувствительность!$D$20)*IFERROR(LOOKUP(Предпосылки!$H$215,$C$13:$C$15,BD$13:BD$15),1)</f>
        <v>0</v>
      </c>
      <c s="125">
        <f>Предпосылки!BD$242*Предпосылки!$R259*Продажи!BE24*BE$19*(1+Чувствительность!$D$20)*IFERROR(LOOKUP(Предпосылки!$H$215,$C$13:$C$15,BE$13:BE$15),1)</f>
        <v>0</v>
      </c>
      <c s="125">
        <f>Предпосылки!BE$242*Предпосылки!$R259*Продажи!BF24*BF$19*(1+Чувствительность!$D$20)*IFERROR(LOOKUP(Предпосылки!$H$215,$C$13:$C$15,BF$13:BF$15),1)</f>
        <v>0</v>
      </c>
      <c s="125">
        <f>Предпосылки!BF$242*Предпосылки!$R259*Продажи!BG24*BG$19*(1+Чувствительность!$D$20)*IFERROR(LOOKUP(Предпосылки!$H$215,$C$13:$C$15,BG$13:BG$15),1)</f>
        <v>0</v>
      </c>
      <c s="125">
        <f>Предпосылки!BG$242*Предпосылки!$R259*Продажи!BH24*BH$19*(1+Чувствительность!$D$20)*IFERROR(LOOKUP(Предпосылки!$H$215,$C$13:$C$15,BH$13:BH$15),1)</f>
        <v>0</v>
      </c>
      <c s="125">
        <f>Предпосылки!BH$242*Предпосылки!$R259*Продажи!BI24*BI$19*(1+Чувствительность!$D$20)*IFERROR(LOOKUP(Предпосылки!$H$215,$C$13:$C$15,BI$13:BI$15),1)</f>
        <v>0</v>
      </c>
      <c s="125">
        <f>Предпосылки!BI$242*Предпосылки!$R259*Продажи!BJ24*BJ$19*(1+Чувствительность!$D$20)*IFERROR(LOOKUP(Предпосылки!$H$215,$C$13:$C$15,BJ$13:BJ$15),1)</f>
        <v>0</v>
      </c>
      <c s="125">
        <f>Предпосылки!BJ$242*Предпосылки!$R259*Продажи!BK24*BK$19*(1+Чувствительность!$D$20)*IFERROR(LOOKUP(Предпосылки!$H$215,$C$13:$C$15,BK$13:BK$15),1)</f>
        <v>0</v>
      </c>
      <c s="125">
        <f>Предпосылки!BK$242*Предпосылки!$R259*Продажи!BL24*BL$19*(1+Чувствительность!$D$20)*IFERROR(LOOKUP(Предпосылки!$H$215,$C$13:$C$15,BL$13:BL$15),1)</f>
        <v>0</v>
      </c>
      <c s="125">
        <f>Предпосылки!BL$242*Предпосылки!$R259*Продажи!BM24*BM$19*(1+Чувствительность!$D$20)*IFERROR(LOOKUP(Предпосылки!$H$215,$C$13:$C$15,BM$13:BM$15),1)</f>
        <v>0</v>
      </c>
    </row>
    <row r="352" spans="2:65" ht="15" customHeight="1">
      <c r="B352" s="12" t="str">
        <f t="shared" si="131"/>
        <v>Продукт 8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Предпосылки!D$242*Предпосылки!$R260*Продажи!E25*E$19*(1+Чувствительность!$D$20)*IFERROR(LOOKUP(Предпосылки!$H$215,$C$13:$C$15,E$13:E$15),1)</f>
        <v>0</v>
      </c>
      <c s="125">
        <f>Предпосылки!E$242*Предпосылки!$R260*Продажи!F25*F$19*(1+Чувствительность!$D$20)*IFERROR(LOOKUP(Предпосылки!$H$215,$C$13:$C$15,F$13:F$15),1)</f>
        <v>0</v>
      </c>
      <c s="125">
        <f>Предпосылки!F$242*Предпосылки!$R260*Продажи!G25*G$19*(1+Чувствительность!$D$20)*IFERROR(LOOKUP(Предпосылки!$H$215,$C$13:$C$15,G$13:G$15),1)</f>
        <v>0</v>
      </c>
      <c s="125">
        <f>Предпосылки!G$242*Предпосылки!$R260*Продажи!H25*H$19*(1+Чувствительность!$D$20)*IFERROR(LOOKUP(Предпосылки!$H$215,$C$13:$C$15,H$13:H$15),1)</f>
        <v>0</v>
      </c>
      <c s="125">
        <f>Предпосылки!H$242*Предпосылки!$R260*Продажи!I25*I$19*(1+Чувствительность!$D$20)*IFERROR(LOOKUP(Предпосылки!$H$215,$C$13:$C$15,I$13:I$15),1)</f>
        <v>0</v>
      </c>
      <c s="125">
        <f>Предпосылки!I$242*Предпосылки!$R260*Продажи!J25*J$19*(1+Чувствительность!$D$20)*IFERROR(LOOKUP(Предпосылки!$H$215,$C$13:$C$15,J$13:J$15),1)</f>
        <v>0</v>
      </c>
      <c s="125">
        <f>Предпосылки!J$242*Предпосылки!$R260*Продажи!K25*K$19*(1+Чувствительность!$D$20)*IFERROR(LOOKUP(Предпосылки!$H$215,$C$13:$C$15,K$13:K$15),1)</f>
        <v>0</v>
      </c>
      <c s="125">
        <f>Предпосылки!K$242*Предпосылки!$R260*Продажи!L25*L$19*(1+Чувствительность!$D$20)*IFERROR(LOOKUP(Предпосылки!$H$215,$C$13:$C$15,L$13:L$15),1)</f>
        <v>0</v>
      </c>
      <c s="125">
        <f>Предпосылки!L$242*Предпосылки!$R260*Продажи!M25*M$19*(1+Чувствительность!$D$20)*IFERROR(LOOKUP(Предпосылки!$H$215,$C$13:$C$15,M$13:M$15),1)</f>
        <v>0</v>
      </c>
      <c s="125">
        <f>Предпосылки!M$242*Предпосылки!$R260*Продажи!N25*N$19*(1+Чувствительность!$D$20)*IFERROR(LOOKUP(Предпосылки!$H$215,$C$13:$C$15,N$13:N$15),1)</f>
        <v>0</v>
      </c>
      <c s="125">
        <f>Предпосылки!N$242*Предпосылки!$R260*Продажи!O25*O$19*(1+Чувствительность!$D$20)*IFERROR(LOOKUP(Предпосылки!$H$215,$C$13:$C$15,O$13:O$15),1)</f>
        <v>0</v>
      </c>
      <c s="125">
        <f>Предпосылки!O$242*Предпосылки!$R260*Продажи!P25*P$19*(1+Чувствительность!$D$20)*IFERROR(LOOKUP(Предпосылки!$H$215,$C$13:$C$15,P$13:P$15),1)</f>
        <v>0</v>
      </c>
      <c s="125">
        <f>Предпосылки!P$242*Предпосылки!$R260*Продажи!Q25*Q$19*(1+Чувствительность!$D$20)*IFERROR(LOOKUP(Предпосылки!$H$215,$C$13:$C$15,Q$13:Q$15),1)</f>
        <v>0</v>
      </c>
      <c s="125">
        <f>Предпосылки!Q$242*Предпосылки!$R260*Продажи!R25*R$19*(1+Чувствительность!$D$20)*IFERROR(LOOKUP(Предпосылки!$H$215,$C$13:$C$15,R$13:R$15),1)</f>
        <v>0</v>
      </c>
      <c s="125">
        <f>Предпосылки!R$242*Предпосылки!$R260*Продажи!S25*S$19*(1+Чувствительность!$D$20)*IFERROR(LOOKUP(Предпосылки!$H$215,$C$13:$C$15,S$13:S$15),1)</f>
        <v>0</v>
      </c>
      <c s="125">
        <f>Предпосылки!S$242*Предпосылки!$R260*Продажи!T25*T$19*(1+Чувствительность!$D$20)*IFERROR(LOOKUP(Предпосылки!$H$215,$C$13:$C$15,T$13:T$15),1)</f>
        <v>0</v>
      </c>
      <c s="125">
        <f>Предпосылки!T$242*Предпосылки!$R260*Продажи!U25*U$19*(1+Чувствительность!$D$20)*IFERROR(LOOKUP(Предпосылки!$H$215,$C$13:$C$15,U$13:U$15),1)</f>
        <v>0</v>
      </c>
      <c s="125">
        <f>Предпосылки!U$242*Предпосылки!$R260*Продажи!V25*V$19*(1+Чувствительность!$D$20)*IFERROR(LOOKUP(Предпосылки!$H$215,$C$13:$C$15,V$13:V$15),1)</f>
        <v>0</v>
      </c>
      <c s="125">
        <f>Предпосылки!V$242*Предпосылки!$R260*Продажи!W25*W$19*(1+Чувствительность!$D$20)*IFERROR(LOOKUP(Предпосылки!$H$215,$C$13:$C$15,W$13:W$15),1)</f>
        <v>0</v>
      </c>
      <c s="125">
        <f>Предпосылки!W$242*Предпосылки!$R260*Продажи!X25*X$19*(1+Чувствительность!$D$20)*IFERROR(LOOKUP(Предпосылки!$H$215,$C$13:$C$15,X$13:X$15),1)</f>
        <v>0</v>
      </c>
      <c s="125">
        <f>Предпосылки!X$242*Предпосылки!$R260*Продажи!Y25*Y$19*(1+Чувствительность!$D$20)*IFERROR(LOOKUP(Предпосылки!$H$215,$C$13:$C$15,Y$13:Y$15),1)</f>
        <v>0</v>
      </c>
      <c s="125">
        <f>Предпосылки!Y$242*Предпосылки!$R260*Продажи!Z25*Z$19*(1+Чувствительность!$D$20)*IFERROR(LOOKUP(Предпосылки!$H$215,$C$13:$C$15,Z$13:Z$15),1)</f>
        <v>0</v>
      </c>
      <c s="125">
        <f>Предпосылки!Z$242*Предпосылки!$R260*Продажи!AA25*AA$19*(1+Чувствительность!$D$20)*IFERROR(LOOKUP(Предпосылки!$H$215,$C$13:$C$15,AA$13:AA$15),1)</f>
        <v>0</v>
      </c>
      <c s="125">
        <f>Предпосылки!AA$242*Предпосылки!$R260*Продажи!AB25*AB$19*(1+Чувствительность!$D$20)*IFERROR(LOOKUP(Предпосылки!$H$215,$C$13:$C$15,AB$13:AB$15),1)</f>
        <v>0</v>
      </c>
      <c s="125">
        <f>Предпосылки!AB$242*Предпосылки!$R260*Продажи!AC25*AC$19*(1+Чувствительность!$D$20)*IFERROR(LOOKUP(Предпосылки!$H$215,$C$13:$C$15,AC$13:AC$15),1)</f>
        <v>0</v>
      </c>
      <c s="125">
        <f>Предпосылки!AC$242*Предпосылки!$R260*Продажи!AD25*AD$19*(1+Чувствительность!$D$20)*IFERROR(LOOKUP(Предпосылки!$H$215,$C$13:$C$15,AD$13:AD$15),1)</f>
        <v>0</v>
      </c>
      <c s="125">
        <f>Предпосылки!AD$242*Предпосылки!$R260*Продажи!AE25*AE$19*(1+Чувствительность!$D$20)*IFERROR(LOOKUP(Предпосылки!$H$215,$C$13:$C$15,AE$13:AE$15),1)</f>
        <v>0</v>
      </c>
      <c s="125">
        <f>Предпосылки!AE$242*Предпосылки!$R260*Продажи!AF25*AF$19*(1+Чувствительность!$D$20)*IFERROR(LOOKUP(Предпосылки!$H$215,$C$13:$C$15,AF$13:AF$15),1)</f>
        <v>0</v>
      </c>
      <c s="125">
        <f>Предпосылки!AF$242*Предпосылки!$R260*Продажи!AG25*AG$19*(1+Чувствительность!$D$20)*IFERROR(LOOKUP(Предпосылки!$H$215,$C$13:$C$15,AG$13:AG$15),1)</f>
        <v>0</v>
      </c>
      <c s="125">
        <f>Предпосылки!AG$242*Предпосылки!$R260*Продажи!AH25*AH$19*(1+Чувствительность!$D$20)*IFERROR(LOOKUP(Предпосылки!$H$215,$C$13:$C$15,AH$13:AH$15),1)</f>
        <v>0</v>
      </c>
      <c s="125">
        <f>Предпосылки!AH$242*Предпосылки!$R260*Продажи!AI25*AI$19*(1+Чувствительность!$D$20)*IFERROR(LOOKUP(Предпосылки!$H$215,$C$13:$C$15,AI$13:AI$15),1)</f>
        <v>0</v>
      </c>
      <c s="125">
        <f>Предпосылки!AI$242*Предпосылки!$R260*Продажи!AJ25*AJ$19*(1+Чувствительность!$D$20)*IFERROR(LOOKUP(Предпосылки!$H$215,$C$13:$C$15,AJ$13:AJ$15),1)</f>
        <v>0</v>
      </c>
      <c s="125">
        <f>Предпосылки!AJ$242*Предпосылки!$R260*Продажи!AK25*AK$19*(1+Чувствительность!$D$20)*IFERROR(LOOKUP(Предпосылки!$H$215,$C$13:$C$15,AK$13:AK$15),1)</f>
        <v>0</v>
      </c>
      <c s="125">
        <f>Предпосылки!AK$242*Предпосылки!$R260*Продажи!AL25*AL$19*(1+Чувствительность!$D$20)*IFERROR(LOOKUP(Предпосылки!$H$215,$C$13:$C$15,AL$13:AL$15),1)</f>
        <v>0</v>
      </c>
      <c s="125">
        <f>Предпосылки!AL$242*Предпосылки!$R260*Продажи!AM25*AM$19*(1+Чувствительность!$D$20)*IFERROR(LOOKUP(Предпосылки!$H$215,$C$13:$C$15,AM$13:AM$15),1)</f>
        <v>0</v>
      </c>
      <c s="125">
        <f>Предпосылки!AM$242*Предпосылки!$R260*Продажи!AN25*AN$19*(1+Чувствительность!$D$20)*IFERROR(LOOKUP(Предпосылки!$H$215,$C$13:$C$15,AN$13:AN$15),1)</f>
        <v>0</v>
      </c>
      <c s="125">
        <f>Предпосылки!AN$242*Предпосылки!$R260*Продажи!AO25*AO$19*(1+Чувствительность!$D$20)*IFERROR(LOOKUP(Предпосылки!$H$215,$C$13:$C$15,AO$13:AO$15),1)</f>
        <v>0</v>
      </c>
      <c s="125">
        <f>Предпосылки!AO$242*Предпосылки!$R260*Продажи!AP25*AP$19*(1+Чувствительность!$D$20)*IFERROR(LOOKUP(Предпосылки!$H$215,$C$13:$C$15,AP$13:AP$15),1)</f>
        <v>0</v>
      </c>
      <c s="125">
        <f>Предпосылки!AP$242*Предпосылки!$R260*Продажи!AQ25*AQ$19*(1+Чувствительность!$D$20)*IFERROR(LOOKUP(Предпосылки!$H$215,$C$13:$C$15,AQ$13:AQ$15),1)</f>
        <v>0</v>
      </c>
      <c s="125">
        <f>Предпосылки!AQ$242*Предпосылки!$R260*Продажи!AR25*AR$19*(1+Чувствительность!$D$20)*IFERROR(LOOKUP(Предпосылки!$H$215,$C$13:$C$15,AR$13:AR$15),1)</f>
        <v>0</v>
      </c>
      <c s="125">
        <f>Предпосылки!AR$242*Предпосылки!$R260*Продажи!AS25*AS$19*(1+Чувствительность!$D$20)*IFERROR(LOOKUP(Предпосылки!$H$215,$C$13:$C$15,AS$13:AS$15),1)</f>
        <v>0</v>
      </c>
      <c s="125">
        <f>Предпосылки!AS$242*Предпосылки!$R260*Продажи!AT25*AT$19*(1+Чувствительность!$D$20)*IFERROR(LOOKUP(Предпосылки!$H$215,$C$13:$C$15,AT$13:AT$15),1)</f>
        <v>0</v>
      </c>
      <c s="125">
        <f>Предпосылки!AT$242*Предпосылки!$R260*Продажи!AU25*AU$19*(1+Чувствительность!$D$20)*IFERROR(LOOKUP(Предпосылки!$H$215,$C$13:$C$15,AU$13:AU$15),1)</f>
        <v>0</v>
      </c>
      <c s="125">
        <f>Предпосылки!AU$242*Предпосылки!$R260*Продажи!AV25*AV$19*(1+Чувствительность!$D$20)*IFERROR(LOOKUP(Предпосылки!$H$215,$C$13:$C$15,AV$13:AV$15),1)</f>
        <v>0</v>
      </c>
      <c s="125">
        <f>Предпосылки!AV$242*Предпосылки!$R260*Продажи!AW25*AW$19*(1+Чувствительность!$D$20)*IFERROR(LOOKUP(Предпосылки!$H$215,$C$13:$C$15,AW$13:AW$15),1)</f>
        <v>0</v>
      </c>
      <c s="125">
        <f>Предпосылки!AW$242*Предпосылки!$R260*Продажи!AX25*AX$19*(1+Чувствительность!$D$20)*IFERROR(LOOKUP(Предпосылки!$H$215,$C$13:$C$15,AX$13:AX$15),1)</f>
        <v>0</v>
      </c>
      <c s="125">
        <f>Предпосылки!AX$242*Предпосылки!$R260*Продажи!AY25*AY$19*(1+Чувствительность!$D$20)*IFERROR(LOOKUP(Предпосылки!$H$215,$C$13:$C$15,AY$13:AY$15),1)</f>
        <v>0</v>
      </c>
      <c s="125">
        <f>Предпосылки!AY$242*Предпосылки!$R260*Продажи!AZ25*AZ$19*(1+Чувствительность!$D$20)*IFERROR(LOOKUP(Предпосылки!$H$215,$C$13:$C$15,AZ$13:AZ$15),1)</f>
        <v>0</v>
      </c>
      <c s="125">
        <f>Предпосылки!AZ$242*Предпосылки!$R260*Продажи!BA25*BA$19*(1+Чувствительность!$D$20)*IFERROR(LOOKUP(Предпосылки!$H$215,$C$13:$C$15,BA$13:BA$15),1)</f>
        <v>0</v>
      </c>
      <c s="125">
        <f>Предпосылки!BA$242*Предпосылки!$R260*Продажи!BB25*BB$19*(1+Чувствительность!$D$20)*IFERROR(LOOKUP(Предпосылки!$H$215,$C$13:$C$15,BB$13:BB$15),1)</f>
        <v>0</v>
      </c>
      <c s="125">
        <f>Предпосылки!BB$242*Предпосылки!$R260*Продажи!BC25*BC$19*(1+Чувствительность!$D$20)*IFERROR(LOOKUP(Предпосылки!$H$215,$C$13:$C$15,BC$13:BC$15),1)</f>
        <v>0</v>
      </c>
      <c s="125">
        <f>Предпосылки!BC$242*Предпосылки!$R260*Продажи!BD25*BD$19*(1+Чувствительность!$D$20)*IFERROR(LOOKUP(Предпосылки!$H$215,$C$13:$C$15,BD$13:BD$15),1)</f>
        <v>0</v>
      </c>
      <c s="125">
        <f>Предпосылки!BD$242*Предпосылки!$R260*Продажи!BE25*BE$19*(1+Чувствительность!$D$20)*IFERROR(LOOKUP(Предпосылки!$H$215,$C$13:$C$15,BE$13:BE$15),1)</f>
        <v>0</v>
      </c>
      <c s="125">
        <f>Предпосылки!BE$242*Предпосылки!$R260*Продажи!BF25*BF$19*(1+Чувствительность!$D$20)*IFERROR(LOOKUP(Предпосылки!$H$215,$C$13:$C$15,BF$13:BF$15),1)</f>
        <v>0</v>
      </c>
      <c s="125">
        <f>Предпосылки!BF$242*Предпосылки!$R260*Продажи!BG25*BG$19*(1+Чувствительность!$D$20)*IFERROR(LOOKUP(Предпосылки!$H$215,$C$13:$C$15,BG$13:BG$15),1)</f>
        <v>0</v>
      </c>
      <c s="125">
        <f>Предпосылки!BG$242*Предпосылки!$R260*Продажи!BH25*BH$19*(1+Чувствительность!$D$20)*IFERROR(LOOKUP(Предпосылки!$H$215,$C$13:$C$15,BH$13:BH$15),1)</f>
        <v>0</v>
      </c>
      <c s="125">
        <f>Предпосылки!BH$242*Предпосылки!$R260*Продажи!BI25*BI$19*(1+Чувствительность!$D$20)*IFERROR(LOOKUP(Предпосылки!$H$215,$C$13:$C$15,BI$13:BI$15),1)</f>
        <v>0</v>
      </c>
      <c s="125">
        <f>Предпосылки!BI$242*Предпосылки!$R260*Продажи!BJ25*BJ$19*(1+Чувствительность!$D$20)*IFERROR(LOOKUP(Предпосылки!$H$215,$C$13:$C$15,BJ$13:BJ$15),1)</f>
        <v>0</v>
      </c>
      <c s="125">
        <f>Предпосылки!BJ$242*Предпосылки!$R260*Продажи!BK25*BK$19*(1+Чувствительность!$D$20)*IFERROR(LOOKUP(Предпосылки!$H$215,$C$13:$C$15,BK$13:BK$15),1)</f>
        <v>0</v>
      </c>
      <c s="125">
        <f>Предпосылки!BK$242*Предпосылки!$R260*Продажи!BL25*BL$19*(1+Чувствительность!$D$20)*IFERROR(LOOKUP(Предпосылки!$H$215,$C$13:$C$15,BL$13:BL$15),1)</f>
        <v>0</v>
      </c>
      <c s="125">
        <f>Предпосылки!BL$242*Предпосылки!$R260*Продажи!BM25*BM$19*(1+Чувствительность!$D$20)*IFERROR(LOOKUP(Предпосылки!$H$215,$C$13:$C$15,BM$13:BM$15),1)</f>
        <v>0</v>
      </c>
    </row>
    <row r="353" spans="2:65" ht="15" customHeight="1">
      <c r="B353" s="12" t="str">
        <f t="shared" si="131"/>
        <v>Продукт 9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Предпосылки!D$242*Предпосылки!$R261*Продажи!E26*E$19*(1+Чувствительность!$D$20)*IFERROR(LOOKUP(Предпосылки!$H$215,$C$13:$C$15,E$13:E$15),1)</f>
        <v>0</v>
      </c>
      <c s="125">
        <f>Предпосылки!E$242*Предпосылки!$R261*Продажи!F26*F$19*(1+Чувствительность!$D$20)*IFERROR(LOOKUP(Предпосылки!$H$215,$C$13:$C$15,F$13:F$15),1)</f>
        <v>0</v>
      </c>
      <c s="125">
        <f>Предпосылки!F$242*Предпосылки!$R261*Продажи!G26*G$19*(1+Чувствительность!$D$20)*IFERROR(LOOKUP(Предпосылки!$H$215,$C$13:$C$15,G$13:G$15),1)</f>
        <v>0</v>
      </c>
      <c s="125">
        <f>Предпосылки!G$242*Предпосылки!$R261*Продажи!H26*H$19*(1+Чувствительность!$D$20)*IFERROR(LOOKUP(Предпосылки!$H$215,$C$13:$C$15,H$13:H$15),1)</f>
        <v>0</v>
      </c>
      <c s="125">
        <f>Предпосылки!H$242*Предпосылки!$R261*Продажи!I26*I$19*(1+Чувствительность!$D$20)*IFERROR(LOOKUP(Предпосылки!$H$215,$C$13:$C$15,I$13:I$15),1)</f>
        <v>0</v>
      </c>
      <c s="125">
        <f>Предпосылки!I$242*Предпосылки!$R261*Продажи!J26*J$19*(1+Чувствительность!$D$20)*IFERROR(LOOKUP(Предпосылки!$H$215,$C$13:$C$15,J$13:J$15),1)</f>
        <v>0</v>
      </c>
      <c s="125">
        <f>Предпосылки!J$242*Предпосылки!$R261*Продажи!K26*K$19*(1+Чувствительность!$D$20)*IFERROR(LOOKUP(Предпосылки!$H$215,$C$13:$C$15,K$13:K$15),1)</f>
        <v>0</v>
      </c>
      <c s="125">
        <f>Предпосылки!K$242*Предпосылки!$R261*Продажи!L26*L$19*(1+Чувствительность!$D$20)*IFERROR(LOOKUP(Предпосылки!$H$215,$C$13:$C$15,L$13:L$15),1)</f>
        <v>0</v>
      </c>
      <c s="125">
        <f>Предпосылки!L$242*Предпосылки!$R261*Продажи!M26*M$19*(1+Чувствительность!$D$20)*IFERROR(LOOKUP(Предпосылки!$H$215,$C$13:$C$15,M$13:M$15),1)</f>
        <v>0</v>
      </c>
      <c s="125">
        <f>Предпосылки!M$242*Предпосылки!$R261*Продажи!N26*N$19*(1+Чувствительность!$D$20)*IFERROR(LOOKUP(Предпосылки!$H$215,$C$13:$C$15,N$13:N$15),1)</f>
        <v>0</v>
      </c>
      <c s="125">
        <f>Предпосылки!N$242*Предпосылки!$R261*Продажи!O26*O$19*(1+Чувствительность!$D$20)*IFERROR(LOOKUP(Предпосылки!$H$215,$C$13:$C$15,O$13:O$15),1)</f>
        <v>0</v>
      </c>
      <c s="125">
        <f>Предпосылки!O$242*Предпосылки!$R261*Продажи!P26*P$19*(1+Чувствительность!$D$20)*IFERROR(LOOKUP(Предпосылки!$H$215,$C$13:$C$15,P$13:P$15),1)</f>
        <v>0</v>
      </c>
      <c s="125">
        <f>Предпосылки!P$242*Предпосылки!$R261*Продажи!Q26*Q$19*(1+Чувствительность!$D$20)*IFERROR(LOOKUP(Предпосылки!$H$215,$C$13:$C$15,Q$13:Q$15),1)</f>
        <v>0</v>
      </c>
      <c s="125">
        <f>Предпосылки!Q$242*Предпосылки!$R261*Продажи!R26*R$19*(1+Чувствительность!$D$20)*IFERROR(LOOKUP(Предпосылки!$H$215,$C$13:$C$15,R$13:R$15),1)</f>
        <v>0</v>
      </c>
      <c s="125">
        <f>Предпосылки!R$242*Предпосылки!$R261*Продажи!S26*S$19*(1+Чувствительность!$D$20)*IFERROR(LOOKUP(Предпосылки!$H$215,$C$13:$C$15,S$13:S$15),1)</f>
        <v>0</v>
      </c>
      <c s="125">
        <f>Предпосылки!S$242*Предпосылки!$R261*Продажи!T26*T$19*(1+Чувствительность!$D$20)*IFERROR(LOOKUP(Предпосылки!$H$215,$C$13:$C$15,T$13:T$15),1)</f>
        <v>0</v>
      </c>
      <c s="125">
        <f>Предпосылки!T$242*Предпосылки!$R261*Продажи!U26*U$19*(1+Чувствительность!$D$20)*IFERROR(LOOKUP(Предпосылки!$H$215,$C$13:$C$15,U$13:U$15),1)</f>
        <v>0</v>
      </c>
      <c s="125">
        <f>Предпосылки!U$242*Предпосылки!$R261*Продажи!V26*V$19*(1+Чувствительность!$D$20)*IFERROR(LOOKUP(Предпосылки!$H$215,$C$13:$C$15,V$13:V$15),1)</f>
        <v>0</v>
      </c>
      <c s="125">
        <f>Предпосылки!V$242*Предпосылки!$R261*Продажи!W26*W$19*(1+Чувствительность!$D$20)*IFERROR(LOOKUP(Предпосылки!$H$215,$C$13:$C$15,W$13:W$15),1)</f>
        <v>0</v>
      </c>
      <c s="125">
        <f>Предпосылки!W$242*Предпосылки!$R261*Продажи!X26*X$19*(1+Чувствительность!$D$20)*IFERROR(LOOKUP(Предпосылки!$H$215,$C$13:$C$15,X$13:X$15),1)</f>
        <v>0</v>
      </c>
      <c s="125">
        <f>Предпосылки!X$242*Предпосылки!$R261*Продажи!Y26*Y$19*(1+Чувствительность!$D$20)*IFERROR(LOOKUP(Предпосылки!$H$215,$C$13:$C$15,Y$13:Y$15),1)</f>
        <v>0</v>
      </c>
      <c s="125">
        <f>Предпосылки!Y$242*Предпосылки!$R261*Продажи!Z26*Z$19*(1+Чувствительность!$D$20)*IFERROR(LOOKUP(Предпосылки!$H$215,$C$13:$C$15,Z$13:Z$15),1)</f>
        <v>0</v>
      </c>
      <c s="125">
        <f>Предпосылки!Z$242*Предпосылки!$R261*Продажи!AA26*AA$19*(1+Чувствительность!$D$20)*IFERROR(LOOKUP(Предпосылки!$H$215,$C$13:$C$15,AA$13:AA$15),1)</f>
        <v>0</v>
      </c>
      <c s="125">
        <f>Предпосылки!AA$242*Предпосылки!$R261*Продажи!AB26*AB$19*(1+Чувствительность!$D$20)*IFERROR(LOOKUP(Предпосылки!$H$215,$C$13:$C$15,AB$13:AB$15),1)</f>
        <v>0</v>
      </c>
      <c s="125">
        <f>Предпосылки!AB$242*Предпосылки!$R261*Продажи!AC26*AC$19*(1+Чувствительность!$D$20)*IFERROR(LOOKUP(Предпосылки!$H$215,$C$13:$C$15,AC$13:AC$15),1)</f>
        <v>0</v>
      </c>
      <c s="125">
        <f>Предпосылки!AC$242*Предпосылки!$R261*Продажи!AD26*AD$19*(1+Чувствительность!$D$20)*IFERROR(LOOKUP(Предпосылки!$H$215,$C$13:$C$15,AD$13:AD$15),1)</f>
        <v>0</v>
      </c>
      <c s="125">
        <f>Предпосылки!AD$242*Предпосылки!$R261*Продажи!AE26*AE$19*(1+Чувствительность!$D$20)*IFERROR(LOOKUP(Предпосылки!$H$215,$C$13:$C$15,AE$13:AE$15),1)</f>
        <v>0</v>
      </c>
      <c s="125">
        <f>Предпосылки!AE$242*Предпосылки!$R261*Продажи!AF26*AF$19*(1+Чувствительность!$D$20)*IFERROR(LOOKUP(Предпосылки!$H$215,$C$13:$C$15,AF$13:AF$15),1)</f>
        <v>0</v>
      </c>
      <c s="125">
        <f>Предпосылки!AF$242*Предпосылки!$R261*Продажи!AG26*AG$19*(1+Чувствительность!$D$20)*IFERROR(LOOKUP(Предпосылки!$H$215,$C$13:$C$15,AG$13:AG$15),1)</f>
        <v>0</v>
      </c>
      <c s="125">
        <f>Предпосылки!AG$242*Предпосылки!$R261*Продажи!AH26*AH$19*(1+Чувствительность!$D$20)*IFERROR(LOOKUP(Предпосылки!$H$215,$C$13:$C$15,AH$13:AH$15),1)</f>
        <v>0</v>
      </c>
      <c s="125">
        <f>Предпосылки!AH$242*Предпосылки!$R261*Продажи!AI26*AI$19*(1+Чувствительность!$D$20)*IFERROR(LOOKUP(Предпосылки!$H$215,$C$13:$C$15,AI$13:AI$15),1)</f>
        <v>0</v>
      </c>
      <c s="125">
        <f>Предпосылки!AI$242*Предпосылки!$R261*Продажи!AJ26*AJ$19*(1+Чувствительность!$D$20)*IFERROR(LOOKUP(Предпосылки!$H$215,$C$13:$C$15,AJ$13:AJ$15),1)</f>
        <v>0</v>
      </c>
      <c s="125">
        <f>Предпосылки!AJ$242*Предпосылки!$R261*Продажи!AK26*AK$19*(1+Чувствительность!$D$20)*IFERROR(LOOKUP(Предпосылки!$H$215,$C$13:$C$15,AK$13:AK$15),1)</f>
        <v>0</v>
      </c>
      <c s="125">
        <f>Предпосылки!AK$242*Предпосылки!$R261*Продажи!AL26*AL$19*(1+Чувствительность!$D$20)*IFERROR(LOOKUP(Предпосылки!$H$215,$C$13:$C$15,AL$13:AL$15),1)</f>
        <v>0</v>
      </c>
      <c s="125">
        <f>Предпосылки!AL$242*Предпосылки!$R261*Продажи!AM26*AM$19*(1+Чувствительность!$D$20)*IFERROR(LOOKUP(Предпосылки!$H$215,$C$13:$C$15,AM$13:AM$15),1)</f>
        <v>0</v>
      </c>
      <c s="125">
        <f>Предпосылки!AM$242*Предпосылки!$R261*Продажи!AN26*AN$19*(1+Чувствительность!$D$20)*IFERROR(LOOKUP(Предпосылки!$H$215,$C$13:$C$15,AN$13:AN$15),1)</f>
        <v>0</v>
      </c>
      <c s="125">
        <f>Предпосылки!AN$242*Предпосылки!$R261*Продажи!AO26*AO$19*(1+Чувствительность!$D$20)*IFERROR(LOOKUP(Предпосылки!$H$215,$C$13:$C$15,AO$13:AO$15),1)</f>
        <v>0</v>
      </c>
      <c s="125">
        <f>Предпосылки!AO$242*Предпосылки!$R261*Продажи!AP26*AP$19*(1+Чувствительность!$D$20)*IFERROR(LOOKUP(Предпосылки!$H$215,$C$13:$C$15,AP$13:AP$15),1)</f>
        <v>0</v>
      </c>
      <c s="125">
        <f>Предпосылки!AP$242*Предпосылки!$R261*Продажи!AQ26*AQ$19*(1+Чувствительность!$D$20)*IFERROR(LOOKUP(Предпосылки!$H$215,$C$13:$C$15,AQ$13:AQ$15),1)</f>
        <v>0</v>
      </c>
      <c s="125">
        <f>Предпосылки!AQ$242*Предпосылки!$R261*Продажи!AR26*AR$19*(1+Чувствительность!$D$20)*IFERROR(LOOKUP(Предпосылки!$H$215,$C$13:$C$15,AR$13:AR$15),1)</f>
        <v>0</v>
      </c>
      <c s="125">
        <f>Предпосылки!AR$242*Предпосылки!$R261*Продажи!AS26*AS$19*(1+Чувствительность!$D$20)*IFERROR(LOOKUP(Предпосылки!$H$215,$C$13:$C$15,AS$13:AS$15),1)</f>
        <v>0</v>
      </c>
      <c s="125">
        <f>Предпосылки!AS$242*Предпосылки!$R261*Продажи!AT26*AT$19*(1+Чувствительность!$D$20)*IFERROR(LOOKUP(Предпосылки!$H$215,$C$13:$C$15,AT$13:AT$15),1)</f>
        <v>0</v>
      </c>
      <c s="125">
        <f>Предпосылки!AT$242*Предпосылки!$R261*Продажи!AU26*AU$19*(1+Чувствительность!$D$20)*IFERROR(LOOKUP(Предпосылки!$H$215,$C$13:$C$15,AU$13:AU$15),1)</f>
        <v>0</v>
      </c>
      <c s="125">
        <f>Предпосылки!AU$242*Предпосылки!$R261*Продажи!AV26*AV$19*(1+Чувствительность!$D$20)*IFERROR(LOOKUP(Предпосылки!$H$215,$C$13:$C$15,AV$13:AV$15),1)</f>
        <v>0</v>
      </c>
      <c s="125">
        <f>Предпосылки!AV$242*Предпосылки!$R261*Продажи!AW26*AW$19*(1+Чувствительность!$D$20)*IFERROR(LOOKUP(Предпосылки!$H$215,$C$13:$C$15,AW$13:AW$15),1)</f>
        <v>0</v>
      </c>
      <c s="125">
        <f>Предпосылки!AW$242*Предпосылки!$R261*Продажи!AX26*AX$19*(1+Чувствительность!$D$20)*IFERROR(LOOKUP(Предпосылки!$H$215,$C$13:$C$15,AX$13:AX$15),1)</f>
        <v>0</v>
      </c>
      <c s="125">
        <f>Предпосылки!AX$242*Предпосылки!$R261*Продажи!AY26*AY$19*(1+Чувствительность!$D$20)*IFERROR(LOOKUP(Предпосылки!$H$215,$C$13:$C$15,AY$13:AY$15),1)</f>
        <v>0</v>
      </c>
      <c s="125">
        <f>Предпосылки!AY$242*Предпосылки!$R261*Продажи!AZ26*AZ$19*(1+Чувствительность!$D$20)*IFERROR(LOOKUP(Предпосылки!$H$215,$C$13:$C$15,AZ$13:AZ$15),1)</f>
        <v>0</v>
      </c>
      <c s="125">
        <f>Предпосылки!AZ$242*Предпосылки!$R261*Продажи!BA26*BA$19*(1+Чувствительность!$D$20)*IFERROR(LOOKUP(Предпосылки!$H$215,$C$13:$C$15,BA$13:BA$15),1)</f>
        <v>0</v>
      </c>
      <c s="125">
        <f>Предпосылки!BA$242*Предпосылки!$R261*Продажи!BB26*BB$19*(1+Чувствительность!$D$20)*IFERROR(LOOKUP(Предпосылки!$H$215,$C$13:$C$15,BB$13:BB$15),1)</f>
        <v>0</v>
      </c>
      <c s="125">
        <f>Предпосылки!BB$242*Предпосылки!$R261*Продажи!BC26*BC$19*(1+Чувствительность!$D$20)*IFERROR(LOOKUP(Предпосылки!$H$215,$C$13:$C$15,BC$13:BC$15),1)</f>
        <v>0</v>
      </c>
      <c s="125">
        <f>Предпосылки!BC$242*Предпосылки!$R261*Продажи!BD26*BD$19*(1+Чувствительность!$D$20)*IFERROR(LOOKUP(Предпосылки!$H$215,$C$13:$C$15,BD$13:BD$15),1)</f>
        <v>0</v>
      </c>
      <c s="125">
        <f>Предпосылки!BD$242*Предпосылки!$R261*Продажи!BE26*BE$19*(1+Чувствительность!$D$20)*IFERROR(LOOKUP(Предпосылки!$H$215,$C$13:$C$15,BE$13:BE$15),1)</f>
        <v>0</v>
      </c>
      <c s="125">
        <f>Предпосылки!BE$242*Предпосылки!$R261*Продажи!BF26*BF$19*(1+Чувствительность!$D$20)*IFERROR(LOOKUP(Предпосылки!$H$215,$C$13:$C$15,BF$13:BF$15),1)</f>
        <v>0</v>
      </c>
      <c s="125">
        <f>Предпосылки!BF$242*Предпосылки!$R261*Продажи!BG26*BG$19*(1+Чувствительность!$D$20)*IFERROR(LOOKUP(Предпосылки!$H$215,$C$13:$C$15,BG$13:BG$15),1)</f>
        <v>0</v>
      </c>
      <c s="125">
        <f>Предпосылки!BG$242*Предпосылки!$R261*Продажи!BH26*BH$19*(1+Чувствительность!$D$20)*IFERROR(LOOKUP(Предпосылки!$H$215,$C$13:$C$15,BH$13:BH$15),1)</f>
        <v>0</v>
      </c>
      <c s="125">
        <f>Предпосылки!BH$242*Предпосылки!$R261*Продажи!BI26*BI$19*(1+Чувствительность!$D$20)*IFERROR(LOOKUP(Предпосылки!$H$215,$C$13:$C$15,BI$13:BI$15),1)</f>
        <v>0</v>
      </c>
      <c s="125">
        <f>Предпосылки!BI$242*Предпосылки!$R261*Продажи!BJ26*BJ$19*(1+Чувствительность!$D$20)*IFERROR(LOOKUP(Предпосылки!$H$215,$C$13:$C$15,BJ$13:BJ$15),1)</f>
        <v>0</v>
      </c>
      <c s="125">
        <f>Предпосылки!BJ$242*Предпосылки!$R261*Продажи!BK26*BK$19*(1+Чувствительность!$D$20)*IFERROR(LOOKUP(Предпосылки!$H$215,$C$13:$C$15,BK$13:BK$15),1)</f>
        <v>0</v>
      </c>
      <c s="125">
        <f>Предпосылки!BK$242*Предпосылки!$R261*Продажи!BL26*BL$19*(1+Чувствительность!$D$20)*IFERROR(LOOKUP(Предпосылки!$H$215,$C$13:$C$15,BL$13:BL$15),1)</f>
        <v>0</v>
      </c>
      <c s="125">
        <f>Предпосылки!BL$242*Предпосылки!$R261*Продажи!BM26*BM$19*(1+Чувствительность!$D$20)*IFERROR(LOOKUP(Предпосылки!$H$215,$C$13:$C$15,BM$13:BM$15),1)</f>
        <v>0</v>
      </c>
    </row>
    <row r="354" spans="2:65" ht="15" customHeight="1">
      <c r="B354" s="12" t="str">
        <f t="shared" si="131"/>
        <v>Продукт 10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Предпосылки!D$242*Предпосылки!$R262*Продажи!E27*E$19*(1+Чувствительность!$D$20)*IFERROR(LOOKUP(Предпосылки!$H$215,$C$13:$C$15,E$13:E$15),1)</f>
        <v>0</v>
      </c>
      <c s="125">
        <f>Предпосылки!E$242*Предпосылки!$R262*Продажи!F27*F$19*(1+Чувствительность!$D$20)*IFERROR(LOOKUP(Предпосылки!$H$215,$C$13:$C$15,F$13:F$15),1)</f>
        <v>0</v>
      </c>
      <c s="125">
        <f>Предпосылки!F$242*Предпосылки!$R262*Продажи!G27*G$19*(1+Чувствительность!$D$20)*IFERROR(LOOKUP(Предпосылки!$H$215,$C$13:$C$15,G$13:G$15),1)</f>
        <v>0</v>
      </c>
      <c s="125">
        <f>Предпосылки!G$242*Предпосылки!$R262*Продажи!H27*H$19*(1+Чувствительность!$D$20)*IFERROR(LOOKUP(Предпосылки!$H$215,$C$13:$C$15,H$13:H$15),1)</f>
        <v>0</v>
      </c>
      <c s="125">
        <f>Предпосылки!H$242*Предпосылки!$R262*Продажи!I27*I$19*(1+Чувствительность!$D$20)*IFERROR(LOOKUP(Предпосылки!$H$215,$C$13:$C$15,I$13:I$15),1)</f>
        <v>0</v>
      </c>
      <c s="125">
        <f>Предпосылки!I$242*Предпосылки!$R262*Продажи!J27*J$19*(1+Чувствительность!$D$20)*IFERROR(LOOKUP(Предпосылки!$H$215,$C$13:$C$15,J$13:J$15),1)</f>
        <v>0</v>
      </c>
      <c s="125">
        <f>Предпосылки!J$242*Предпосылки!$R262*Продажи!K27*K$19*(1+Чувствительность!$D$20)*IFERROR(LOOKUP(Предпосылки!$H$215,$C$13:$C$15,K$13:K$15),1)</f>
        <v>0</v>
      </c>
      <c s="125">
        <f>Предпосылки!K$242*Предпосылки!$R262*Продажи!L27*L$19*(1+Чувствительность!$D$20)*IFERROR(LOOKUP(Предпосылки!$H$215,$C$13:$C$15,L$13:L$15),1)</f>
        <v>0</v>
      </c>
      <c s="125">
        <f>Предпосылки!L$242*Предпосылки!$R262*Продажи!M27*M$19*(1+Чувствительность!$D$20)*IFERROR(LOOKUP(Предпосылки!$H$215,$C$13:$C$15,M$13:M$15),1)</f>
        <v>0</v>
      </c>
      <c s="125">
        <f>Предпосылки!M$242*Предпосылки!$R262*Продажи!N27*N$19*(1+Чувствительность!$D$20)*IFERROR(LOOKUP(Предпосылки!$H$215,$C$13:$C$15,N$13:N$15),1)</f>
        <v>0</v>
      </c>
      <c s="125">
        <f>Предпосылки!N$242*Предпосылки!$R262*Продажи!O27*O$19*(1+Чувствительность!$D$20)*IFERROR(LOOKUP(Предпосылки!$H$215,$C$13:$C$15,O$13:O$15),1)</f>
        <v>0</v>
      </c>
      <c s="125">
        <f>Предпосылки!O$242*Предпосылки!$R262*Продажи!P27*P$19*(1+Чувствительность!$D$20)*IFERROR(LOOKUP(Предпосылки!$H$215,$C$13:$C$15,P$13:P$15),1)</f>
        <v>0</v>
      </c>
      <c s="125">
        <f>Предпосылки!P$242*Предпосылки!$R262*Продажи!Q27*Q$19*(1+Чувствительность!$D$20)*IFERROR(LOOKUP(Предпосылки!$H$215,$C$13:$C$15,Q$13:Q$15),1)</f>
        <v>0</v>
      </c>
      <c s="125">
        <f>Предпосылки!Q$242*Предпосылки!$R262*Продажи!R27*R$19*(1+Чувствительность!$D$20)*IFERROR(LOOKUP(Предпосылки!$H$215,$C$13:$C$15,R$13:R$15),1)</f>
        <v>0</v>
      </c>
      <c s="125">
        <f>Предпосылки!R$242*Предпосылки!$R262*Продажи!S27*S$19*(1+Чувствительность!$D$20)*IFERROR(LOOKUP(Предпосылки!$H$215,$C$13:$C$15,S$13:S$15),1)</f>
        <v>0</v>
      </c>
      <c s="125">
        <f>Предпосылки!S$242*Предпосылки!$R262*Продажи!T27*T$19*(1+Чувствительность!$D$20)*IFERROR(LOOKUP(Предпосылки!$H$215,$C$13:$C$15,T$13:T$15),1)</f>
        <v>0</v>
      </c>
      <c s="125">
        <f>Предпосылки!T$242*Предпосылки!$R262*Продажи!U27*U$19*(1+Чувствительность!$D$20)*IFERROR(LOOKUP(Предпосылки!$H$215,$C$13:$C$15,U$13:U$15),1)</f>
        <v>0</v>
      </c>
      <c s="125">
        <f>Предпосылки!U$242*Предпосылки!$R262*Продажи!V27*V$19*(1+Чувствительность!$D$20)*IFERROR(LOOKUP(Предпосылки!$H$215,$C$13:$C$15,V$13:V$15),1)</f>
        <v>0</v>
      </c>
      <c s="125">
        <f>Предпосылки!V$242*Предпосылки!$R262*Продажи!W27*W$19*(1+Чувствительность!$D$20)*IFERROR(LOOKUP(Предпосылки!$H$215,$C$13:$C$15,W$13:W$15),1)</f>
        <v>0</v>
      </c>
      <c s="125">
        <f>Предпосылки!W$242*Предпосылки!$R262*Продажи!X27*X$19*(1+Чувствительность!$D$20)*IFERROR(LOOKUP(Предпосылки!$H$215,$C$13:$C$15,X$13:X$15),1)</f>
        <v>0</v>
      </c>
      <c s="125">
        <f>Предпосылки!X$242*Предпосылки!$R262*Продажи!Y27*Y$19*(1+Чувствительность!$D$20)*IFERROR(LOOKUP(Предпосылки!$H$215,$C$13:$C$15,Y$13:Y$15),1)</f>
        <v>0</v>
      </c>
      <c s="125">
        <f>Предпосылки!Y$242*Предпосылки!$R262*Продажи!Z27*Z$19*(1+Чувствительность!$D$20)*IFERROR(LOOKUP(Предпосылки!$H$215,$C$13:$C$15,Z$13:Z$15),1)</f>
        <v>0</v>
      </c>
      <c s="125">
        <f>Предпосылки!Z$242*Предпосылки!$R262*Продажи!AA27*AA$19*(1+Чувствительность!$D$20)*IFERROR(LOOKUP(Предпосылки!$H$215,$C$13:$C$15,AA$13:AA$15),1)</f>
        <v>0</v>
      </c>
      <c s="125">
        <f>Предпосылки!AA$242*Предпосылки!$R262*Продажи!AB27*AB$19*(1+Чувствительность!$D$20)*IFERROR(LOOKUP(Предпосылки!$H$215,$C$13:$C$15,AB$13:AB$15),1)</f>
        <v>0</v>
      </c>
      <c s="125">
        <f>Предпосылки!AB$242*Предпосылки!$R262*Продажи!AC27*AC$19*(1+Чувствительность!$D$20)*IFERROR(LOOKUP(Предпосылки!$H$215,$C$13:$C$15,AC$13:AC$15),1)</f>
        <v>0</v>
      </c>
      <c s="125">
        <f>Предпосылки!AC$242*Предпосылки!$R262*Продажи!AD27*AD$19*(1+Чувствительность!$D$20)*IFERROR(LOOKUP(Предпосылки!$H$215,$C$13:$C$15,AD$13:AD$15),1)</f>
        <v>0</v>
      </c>
      <c s="125">
        <f>Предпосылки!AD$242*Предпосылки!$R262*Продажи!AE27*AE$19*(1+Чувствительность!$D$20)*IFERROR(LOOKUP(Предпосылки!$H$215,$C$13:$C$15,AE$13:AE$15),1)</f>
        <v>0</v>
      </c>
      <c s="125">
        <f>Предпосылки!AE$242*Предпосылки!$R262*Продажи!AF27*AF$19*(1+Чувствительность!$D$20)*IFERROR(LOOKUP(Предпосылки!$H$215,$C$13:$C$15,AF$13:AF$15),1)</f>
        <v>0</v>
      </c>
      <c s="125">
        <f>Предпосылки!AF$242*Предпосылки!$R262*Продажи!AG27*AG$19*(1+Чувствительность!$D$20)*IFERROR(LOOKUP(Предпосылки!$H$215,$C$13:$C$15,AG$13:AG$15),1)</f>
        <v>0</v>
      </c>
      <c s="125">
        <f>Предпосылки!AG$242*Предпосылки!$R262*Продажи!AH27*AH$19*(1+Чувствительность!$D$20)*IFERROR(LOOKUP(Предпосылки!$H$215,$C$13:$C$15,AH$13:AH$15),1)</f>
        <v>0</v>
      </c>
      <c s="125">
        <f>Предпосылки!AH$242*Предпосылки!$R262*Продажи!AI27*AI$19*(1+Чувствительность!$D$20)*IFERROR(LOOKUP(Предпосылки!$H$215,$C$13:$C$15,AI$13:AI$15),1)</f>
        <v>0</v>
      </c>
      <c s="125">
        <f>Предпосылки!AI$242*Предпосылки!$R262*Продажи!AJ27*AJ$19*(1+Чувствительность!$D$20)*IFERROR(LOOKUP(Предпосылки!$H$215,$C$13:$C$15,AJ$13:AJ$15),1)</f>
        <v>0</v>
      </c>
      <c s="125">
        <f>Предпосылки!AJ$242*Предпосылки!$R262*Продажи!AK27*AK$19*(1+Чувствительность!$D$20)*IFERROR(LOOKUP(Предпосылки!$H$215,$C$13:$C$15,AK$13:AK$15),1)</f>
        <v>0</v>
      </c>
      <c s="125">
        <f>Предпосылки!AK$242*Предпосылки!$R262*Продажи!AL27*AL$19*(1+Чувствительность!$D$20)*IFERROR(LOOKUP(Предпосылки!$H$215,$C$13:$C$15,AL$13:AL$15),1)</f>
        <v>0</v>
      </c>
      <c s="125">
        <f>Предпосылки!AL$242*Предпосылки!$R262*Продажи!AM27*AM$19*(1+Чувствительность!$D$20)*IFERROR(LOOKUP(Предпосылки!$H$215,$C$13:$C$15,AM$13:AM$15),1)</f>
        <v>0</v>
      </c>
      <c s="125">
        <f>Предпосылки!AM$242*Предпосылки!$R262*Продажи!AN27*AN$19*(1+Чувствительность!$D$20)*IFERROR(LOOKUP(Предпосылки!$H$215,$C$13:$C$15,AN$13:AN$15),1)</f>
        <v>0</v>
      </c>
      <c s="125">
        <f>Предпосылки!AN$242*Предпосылки!$R262*Продажи!AO27*AO$19*(1+Чувствительность!$D$20)*IFERROR(LOOKUP(Предпосылки!$H$215,$C$13:$C$15,AO$13:AO$15),1)</f>
        <v>0</v>
      </c>
      <c s="125">
        <f>Предпосылки!AO$242*Предпосылки!$R262*Продажи!AP27*AP$19*(1+Чувствительность!$D$20)*IFERROR(LOOKUP(Предпосылки!$H$215,$C$13:$C$15,AP$13:AP$15),1)</f>
        <v>0</v>
      </c>
      <c s="125">
        <f>Предпосылки!AP$242*Предпосылки!$R262*Продажи!AQ27*AQ$19*(1+Чувствительность!$D$20)*IFERROR(LOOKUP(Предпосылки!$H$215,$C$13:$C$15,AQ$13:AQ$15),1)</f>
        <v>0</v>
      </c>
      <c s="125">
        <f>Предпосылки!AQ$242*Предпосылки!$R262*Продажи!AR27*AR$19*(1+Чувствительность!$D$20)*IFERROR(LOOKUP(Предпосылки!$H$215,$C$13:$C$15,AR$13:AR$15),1)</f>
        <v>0</v>
      </c>
      <c s="125">
        <f>Предпосылки!AR$242*Предпосылки!$R262*Продажи!AS27*AS$19*(1+Чувствительность!$D$20)*IFERROR(LOOKUP(Предпосылки!$H$215,$C$13:$C$15,AS$13:AS$15),1)</f>
        <v>0</v>
      </c>
      <c s="125">
        <f>Предпосылки!AS$242*Предпосылки!$R262*Продажи!AT27*AT$19*(1+Чувствительность!$D$20)*IFERROR(LOOKUP(Предпосылки!$H$215,$C$13:$C$15,AT$13:AT$15),1)</f>
        <v>0</v>
      </c>
      <c s="125">
        <f>Предпосылки!AT$242*Предпосылки!$R262*Продажи!AU27*AU$19*(1+Чувствительность!$D$20)*IFERROR(LOOKUP(Предпосылки!$H$215,$C$13:$C$15,AU$13:AU$15),1)</f>
        <v>0</v>
      </c>
      <c s="125">
        <f>Предпосылки!AU$242*Предпосылки!$R262*Продажи!AV27*AV$19*(1+Чувствительность!$D$20)*IFERROR(LOOKUP(Предпосылки!$H$215,$C$13:$C$15,AV$13:AV$15),1)</f>
        <v>0</v>
      </c>
      <c s="125">
        <f>Предпосылки!AV$242*Предпосылки!$R262*Продажи!AW27*AW$19*(1+Чувствительность!$D$20)*IFERROR(LOOKUP(Предпосылки!$H$215,$C$13:$C$15,AW$13:AW$15),1)</f>
        <v>0</v>
      </c>
      <c s="125">
        <f>Предпосылки!AW$242*Предпосылки!$R262*Продажи!AX27*AX$19*(1+Чувствительность!$D$20)*IFERROR(LOOKUP(Предпосылки!$H$215,$C$13:$C$15,AX$13:AX$15),1)</f>
        <v>0</v>
      </c>
      <c s="125">
        <f>Предпосылки!AX$242*Предпосылки!$R262*Продажи!AY27*AY$19*(1+Чувствительность!$D$20)*IFERROR(LOOKUP(Предпосылки!$H$215,$C$13:$C$15,AY$13:AY$15),1)</f>
        <v>0</v>
      </c>
      <c s="125">
        <f>Предпосылки!AY$242*Предпосылки!$R262*Продажи!AZ27*AZ$19*(1+Чувствительность!$D$20)*IFERROR(LOOKUP(Предпосылки!$H$215,$C$13:$C$15,AZ$13:AZ$15),1)</f>
        <v>0</v>
      </c>
      <c s="125">
        <f>Предпосылки!AZ$242*Предпосылки!$R262*Продажи!BA27*BA$19*(1+Чувствительность!$D$20)*IFERROR(LOOKUP(Предпосылки!$H$215,$C$13:$C$15,BA$13:BA$15),1)</f>
        <v>0</v>
      </c>
      <c s="125">
        <f>Предпосылки!BA$242*Предпосылки!$R262*Продажи!BB27*BB$19*(1+Чувствительность!$D$20)*IFERROR(LOOKUP(Предпосылки!$H$215,$C$13:$C$15,BB$13:BB$15),1)</f>
        <v>0</v>
      </c>
      <c s="125">
        <f>Предпосылки!BB$242*Предпосылки!$R262*Продажи!BC27*BC$19*(1+Чувствительность!$D$20)*IFERROR(LOOKUP(Предпосылки!$H$215,$C$13:$C$15,BC$13:BC$15),1)</f>
        <v>0</v>
      </c>
      <c s="125">
        <f>Предпосылки!BC$242*Предпосылки!$R262*Продажи!BD27*BD$19*(1+Чувствительность!$D$20)*IFERROR(LOOKUP(Предпосылки!$H$215,$C$13:$C$15,BD$13:BD$15),1)</f>
        <v>0</v>
      </c>
      <c s="125">
        <f>Предпосылки!BD$242*Предпосылки!$R262*Продажи!BE27*BE$19*(1+Чувствительность!$D$20)*IFERROR(LOOKUP(Предпосылки!$H$215,$C$13:$C$15,BE$13:BE$15),1)</f>
        <v>0</v>
      </c>
      <c s="125">
        <f>Предпосылки!BE$242*Предпосылки!$R262*Продажи!BF27*BF$19*(1+Чувствительность!$D$20)*IFERROR(LOOKUP(Предпосылки!$H$215,$C$13:$C$15,BF$13:BF$15),1)</f>
        <v>0</v>
      </c>
      <c s="125">
        <f>Предпосылки!BF$242*Предпосылки!$R262*Продажи!BG27*BG$19*(1+Чувствительность!$D$20)*IFERROR(LOOKUP(Предпосылки!$H$215,$C$13:$C$15,BG$13:BG$15),1)</f>
        <v>0</v>
      </c>
      <c s="125">
        <f>Предпосылки!BG$242*Предпосылки!$R262*Продажи!BH27*BH$19*(1+Чувствительность!$D$20)*IFERROR(LOOKUP(Предпосылки!$H$215,$C$13:$C$15,BH$13:BH$15),1)</f>
        <v>0</v>
      </c>
      <c s="125">
        <f>Предпосылки!BH$242*Предпосылки!$R262*Продажи!BI27*BI$19*(1+Чувствительность!$D$20)*IFERROR(LOOKUP(Предпосылки!$H$215,$C$13:$C$15,BI$13:BI$15),1)</f>
        <v>0</v>
      </c>
      <c s="125">
        <f>Предпосылки!BI$242*Предпосылки!$R262*Продажи!BJ27*BJ$19*(1+Чувствительность!$D$20)*IFERROR(LOOKUP(Предпосылки!$H$215,$C$13:$C$15,BJ$13:BJ$15),1)</f>
        <v>0</v>
      </c>
      <c s="125">
        <f>Предпосылки!BJ$242*Предпосылки!$R262*Продажи!BK27*BK$19*(1+Чувствительность!$D$20)*IFERROR(LOOKUP(Предпосылки!$H$215,$C$13:$C$15,BK$13:BK$15),1)</f>
        <v>0</v>
      </c>
      <c s="125">
        <f>Предпосылки!BK$242*Предпосылки!$R262*Продажи!BL27*BL$19*(1+Чувствительность!$D$20)*IFERROR(LOOKUP(Предпосылки!$H$215,$C$13:$C$15,BL$13:BL$15),1)</f>
        <v>0</v>
      </c>
      <c s="125">
        <f>Предпосылки!BL$242*Предпосылки!$R262*Продажи!BM27*BM$19*(1+Чувствительность!$D$20)*IFERROR(LOOKUP(Предпосылки!$H$215,$C$13:$C$15,BM$13:BM$15),1)</f>
        <v>0</v>
      </c>
    </row>
    <row r="355" spans="2:65" ht="15" customHeight="1">
      <c r="B355" s="12" t="str">
        <f t="shared" si="131"/>
        <v>Продукт 11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Предпосылки!D$242*Предпосылки!$R263*Продажи!E28*E$19*(1+Чувствительность!$D$20)*IFERROR(LOOKUP(Предпосылки!$H$215,$C$13:$C$15,E$13:E$15),1)</f>
        <v>0</v>
      </c>
      <c s="125">
        <f>Предпосылки!E$242*Предпосылки!$R263*Продажи!F28*F$19*(1+Чувствительность!$D$20)*IFERROR(LOOKUP(Предпосылки!$H$215,$C$13:$C$15,F$13:F$15),1)</f>
        <v>0</v>
      </c>
      <c s="125">
        <f>Предпосылки!F$242*Предпосылки!$R263*Продажи!G28*G$19*(1+Чувствительность!$D$20)*IFERROR(LOOKUP(Предпосылки!$H$215,$C$13:$C$15,G$13:G$15),1)</f>
        <v>0</v>
      </c>
      <c s="125">
        <f>Предпосылки!G$242*Предпосылки!$R263*Продажи!H28*H$19*(1+Чувствительность!$D$20)*IFERROR(LOOKUP(Предпосылки!$H$215,$C$13:$C$15,H$13:H$15),1)</f>
        <v>0</v>
      </c>
      <c s="125">
        <f>Предпосылки!H$242*Предпосылки!$R263*Продажи!I28*I$19*(1+Чувствительность!$D$20)*IFERROR(LOOKUP(Предпосылки!$H$215,$C$13:$C$15,I$13:I$15),1)</f>
        <v>0</v>
      </c>
      <c s="125">
        <f>Предпосылки!I$242*Предпосылки!$R263*Продажи!J28*J$19*(1+Чувствительность!$D$20)*IFERROR(LOOKUP(Предпосылки!$H$215,$C$13:$C$15,J$13:J$15),1)</f>
        <v>0</v>
      </c>
      <c s="125">
        <f>Предпосылки!J$242*Предпосылки!$R263*Продажи!K28*K$19*(1+Чувствительность!$D$20)*IFERROR(LOOKUP(Предпосылки!$H$215,$C$13:$C$15,K$13:K$15),1)</f>
        <v>0</v>
      </c>
      <c s="125">
        <f>Предпосылки!K$242*Предпосылки!$R263*Продажи!L28*L$19*(1+Чувствительность!$D$20)*IFERROR(LOOKUP(Предпосылки!$H$215,$C$13:$C$15,L$13:L$15),1)</f>
        <v>0</v>
      </c>
      <c s="125">
        <f>Предпосылки!L$242*Предпосылки!$R263*Продажи!M28*M$19*(1+Чувствительность!$D$20)*IFERROR(LOOKUP(Предпосылки!$H$215,$C$13:$C$15,M$13:M$15),1)</f>
        <v>0</v>
      </c>
      <c s="125">
        <f>Предпосылки!M$242*Предпосылки!$R263*Продажи!N28*N$19*(1+Чувствительность!$D$20)*IFERROR(LOOKUP(Предпосылки!$H$215,$C$13:$C$15,N$13:N$15),1)</f>
        <v>0</v>
      </c>
      <c s="125">
        <f>Предпосылки!N$242*Предпосылки!$R263*Продажи!O28*O$19*(1+Чувствительность!$D$20)*IFERROR(LOOKUP(Предпосылки!$H$215,$C$13:$C$15,O$13:O$15),1)</f>
        <v>0</v>
      </c>
      <c s="125">
        <f>Предпосылки!O$242*Предпосылки!$R263*Продажи!P28*P$19*(1+Чувствительность!$D$20)*IFERROR(LOOKUP(Предпосылки!$H$215,$C$13:$C$15,P$13:P$15),1)</f>
        <v>0</v>
      </c>
      <c s="125">
        <f>Предпосылки!P$242*Предпосылки!$R263*Продажи!Q28*Q$19*(1+Чувствительность!$D$20)*IFERROR(LOOKUP(Предпосылки!$H$215,$C$13:$C$15,Q$13:Q$15),1)</f>
        <v>0</v>
      </c>
      <c s="125">
        <f>Предпосылки!Q$242*Предпосылки!$R263*Продажи!R28*R$19*(1+Чувствительность!$D$20)*IFERROR(LOOKUP(Предпосылки!$H$215,$C$13:$C$15,R$13:R$15),1)</f>
        <v>0</v>
      </c>
      <c s="125">
        <f>Предпосылки!R$242*Предпосылки!$R263*Продажи!S28*S$19*(1+Чувствительность!$D$20)*IFERROR(LOOKUP(Предпосылки!$H$215,$C$13:$C$15,S$13:S$15),1)</f>
        <v>0</v>
      </c>
      <c s="125">
        <f>Предпосылки!S$242*Предпосылки!$R263*Продажи!T28*T$19*(1+Чувствительность!$D$20)*IFERROR(LOOKUP(Предпосылки!$H$215,$C$13:$C$15,T$13:T$15),1)</f>
        <v>0</v>
      </c>
      <c s="125">
        <f>Предпосылки!T$242*Предпосылки!$R263*Продажи!U28*U$19*(1+Чувствительность!$D$20)*IFERROR(LOOKUP(Предпосылки!$H$215,$C$13:$C$15,U$13:U$15),1)</f>
        <v>0</v>
      </c>
      <c s="125">
        <f>Предпосылки!U$242*Предпосылки!$R263*Продажи!V28*V$19*(1+Чувствительность!$D$20)*IFERROR(LOOKUP(Предпосылки!$H$215,$C$13:$C$15,V$13:V$15),1)</f>
        <v>0</v>
      </c>
      <c s="125">
        <f>Предпосылки!V$242*Предпосылки!$R263*Продажи!W28*W$19*(1+Чувствительность!$D$20)*IFERROR(LOOKUP(Предпосылки!$H$215,$C$13:$C$15,W$13:W$15),1)</f>
        <v>0</v>
      </c>
      <c s="125">
        <f>Предпосылки!W$242*Предпосылки!$R263*Продажи!X28*X$19*(1+Чувствительность!$D$20)*IFERROR(LOOKUP(Предпосылки!$H$215,$C$13:$C$15,X$13:X$15),1)</f>
        <v>0</v>
      </c>
      <c s="125">
        <f>Предпосылки!X$242*Предпосылки!$R263*Продажи!Y28*Y$19*(1+Чувствительность!$D$20)*IFERROR(LOOKUP(Предпосылки!$H$215,$C$13:$C$15,Y$13:Y$15),1)</f>
        <v>0</v>
      </c>
      <c s="125">
        <f>Предпосылки!Y$242*Предпосылки!$R263*Продажи!Z28*Z$19*(1+Чувствительность!$D$20)*IFERROR(LOOKUP(Предпосылки!$H$215,$C$13:$C$15,Z$13:Z$15),1)</f>
        <v>0</v>
      </c>
      <c s="125">
        <f>Предпосылки!Z$242*Предпосылки!$R263*Продажи!AA28*AA$19*(1+Чувствительность!$D$20)*IFERROR(LOOKUP(Предпосылки!$H$215,$C$13:$C$15,AA$13:AA$15),1)</f>
        <v>0</v>
      </c>
      <c s="125">
        <f>Предпосылки!AA$242*Предпосылки!$R263*Продажи!AB28*AB$19*(1+Чувствительность!$D$20)*IFERROR(LOOKUP(Предпосылки!$H$215,$C$13:$C$15,AB$13:AB$15),1)</f>
        <v>0</v>
      </c>
      <c s="125">
        <f>Предпосылки!AB$242*Предпосылки!$R263*Продажи!AC28*AC$19*(1+Чувствительность!$D$20)*IFERROR(LOOKUP(Предпосылки!$H$215,$C$13:$C$15,AC$13:AC$15),1)</f>
        <v>0</v>
      </c>
      <c s="125">
        <f>Предпосылки!AC$242*Предпосылки!$R263*Продажи!AD28*AD$19*(1+Чувствительность!$D$20)*IFERROR(LOOKUP(Предпосылки!$H$215,$C$13:$C$15,AD$13:AD$15),1)</f>
        <v>0</v>
      </c>
      <c s="125">
        <f>Предпосылки!AD$242*Предпосылки!$R263*Продажи!AE28*AE$19*(1+Чувствительность!$D$20)*IFERROR(LOOKUP(Предпосылки!$H$215,$C$13:$C$15,AE$13:AE$15),1)</f>
        <v>0</v>
      </c>
      <c s="125">
        <f>Предпосылки!AE$242*Предпосылки!$R263*Продажи!AF28*AF$19*(1+Чувствительность!$D$20)*IFERROR(LOOKUP(Предпосылки!$H$215,$C$13:$C$15,AF$13:AF$15),1)</f>
        <v>0</v>
      </c>
      <c s="125">
        <f>Предпосылки!AF$242*Предпосылки!$R263*Продажи!AG28*AG$19*(1+Чувствительность!$D$20)*IFERROR(LOOKUP(Предпосылки!$H$215,$C$13:$C$15,AG$13:AG$15),1)</f>
        <v>0</v>
      </c>
      <c s="125">
        <f>Предпосылки!AG$242*Предпосылки!$R263*Продажи!AH28*AH$19*(1+Чувствительность!$D$20)*IFERROR(LOOKUP(Предпосылки!$H$215,$C$13:$C$15,AH$13:AH$15),1)</f>
        <v>0</v>
      </c>
      <c s="125">
        <f>Предпосылки!AH$242*Предпосылки!$R263*Продажи!AI28*AI$19*(1+Чувствительность!$D$20)*IFERROR(LOOKUP(Предпосылки!$H$215,$C$13:$C$15,AI$13:AI$15),1)</f>
        <v>0</v>
      </c>
      <c s="125">
        <f>Предпосылки!AI$242*Предпосылки!$R263*Продажи!AJ28*AJ$19*(1+Чувствительность!$D$20)*IFERROR(LOOKUP(Предпосылки!$H$215,$C$13:$C$15,AJ$13:AJ$15),1)</f>
        <v>0</v>
      </c>
      <c s="125">
        <f>Предпосылки!AJ$242*Предпосылки!$R263*Продажи!AK28*AK$19*(1+Чувствительность!$D$20)*IFERROR(LOOKUP(Предпосылки!$H$215,$C$13:$C$15,AK$13:AK$15),1)</f>
        <v>0</v>
      </c>
      <c s="125">
        <f>Предпосылки!AK$242*Предпосылки!$R263*Продажи!AL28*AL$19*(1+Чувствительность!$D$20)*IFERROR(LOOKUP(Предпосылки!$H$215,$C$13:$C$15,AL$13:AL$15),1)</f>
        <v>0</v>
      </c>
      <c s="125">
        <f>Предпосылки!AL$242*Предпосылки!$R263*Продажи!AM28*AM$19*(1+Чувствительность!$D$20)*IFERROR(LOOKUP(Предпосылки!$H$215,$C$13:$C$15,AM$13:AM$15),1)</f>
        <v>0</v>
      </c>
      <c s="125">
        <f>Предпосылки!AM$242*Предпосылки!$R263*Продажи!AN28*AN$19*(1+Чувствительность!$D$20)*IFERROR(LOOKUP(Предпосылки!$H$215,$C$13:$C$15,AN$13:AN$15),1)</f>
        <v>0</v>
      </c>
      <c s="125">
        <f>Предпосылки!AN$242*Предпосылки!$R263*Продажи!AO28*AO$19*(1+Чувствительность!$D$20)*IFERROR(LOOKUP(Предпосылки!$H$215,$C$13:$C$15,AO$13:AO$15),1)</f>
        <v>0</v>
      </c>
      <c s="125">
        <f>Предпосылки!AO$242*Предпосылки!$R263*Продажи!AP28*AP$19*(1+Чувствительность!$D$20)*IFERROR(LOOKUP(Предпосылки!$H$215,$C$13:$C$15,AP$13:AP$15),1)</f>
        <v>0</v>
      </c>
      <c s="125">
        <f>Предпосылки!AP$242*Предпосылки!$R263*Продажи!AQ28*AQ$19*(1+Чувствительность!$D$20)*IFERROR(LOOKUP(Предпосылки!$H$215,$C$13:$C$15,AQ$13:AQ$15),1)</f>
        <v>0</v>
      </c>
      <c s="125">
        <f>Предпосылки!AQ$242*Предпосылки!$R263*Продажи!AR28*AR$19*(1+Чувствительность!$D$20)*IFERROR(LOOKUP(Предпосылки!$H$215,$C$13:$C$15,AR$13:AR$15),1)</f>
        <v>0</v>
      </c>
      <c s="125">
        <f>Предпосылки!AR$242*Предпосылки!$R263*Продажи!AS28*AS$19*(1+Чувствительность!$D$20)*IFERROR(LOOKUP(Предпосылки!$H$215,$C$13:$C$15,AS$13:AS$15),1)</f>
        <v>0</v>
      </c>
      <c s="125">
        <f>Предпосылки!AS$242*Предпосылки!$R263*Продажи!AT28*AT$19*(1+Чувствительность!$D$20)*IFERROR(LOOKUP(Предпосылки!$H$215,$C$13:$C$15,AT$13:AT$15),1)</f>
        <v>0</v>
      </c>
      <c s="125">
        <f>Предпосылки!AT$242*Предпосылки!$R263*Продажи!AU28*AU$19*(1+Чувствительность!$D$20)*IFERROR(LOOKUP(Предпосылки!$H$215,$C$13:$C$15,AU$13:AU$15),1)</f>
        <v>0</v>
      </c>
      <c s="125">
        <f>Предпосылки!AU$242*Предпосылки!$R263*Продажи!AV28*AV$19*(1+Чувствительность!$D$20)*IFERROR(LOOKUP(Предпосылки!$H$215,$C$13:$C$15,AV$13:AV$15),1)</f>
        <v>0</v>
      </c>
      <c s="125">
        <f>Предпосылки!AV$242*Предпосылки!$R263*Продажи!AW28*AW$19*(1+Чувствительность!$D$20)*IFERROR(LOOKUP(Предпосылки!$H$215,$C$13:$C$15,AW$13:AW$15),1)</f>
        <v>0</v>
      </c>
      <c s="125">
        <f>Предпосылки!AW$242*Предпосылки!$R263*Продажи!AX28*AX$19*(1+Чувствительность!$D$20)*IFERROR(LOOKUP(Предпосылки!$H$215,$C$13:$C$15,AX$13:AX$15),1)</f>
        <v>0</v>
      </c>
      <c s="125">
        <f>Предпосылки!AX$242*Предпосылки!$R263*Продажи!AY28*AY$19*(1+Чувствительность!$D$20)*IFERROR(LOOKUP(Предпосылки!$H$215,$C$13:$C$15,AY$13:AY$15),1)</f>
        <v>0</v>
      </c>
      <c s="125">
        <f>Предпосылки!AY$242*Предпосылки!$R263*Продажи!AZ28*AZ$19*(1+Чувствительность!$D$20)*IFERROR(LOOKUP(Предпосылки!$H$215,$C$13:$C$15,AZ$13:AZ$15),1)</f>
        <v>0</v>
      </c>
      <c s="125">
        <f>Предпосылки!AZ$242*Предпосылки!$R263*Продажи!BA28*BA$19*(1+Чувствительность!$D$20)*IFERROR(LOOKUP(Предпосылки!$H$215,$C$13:$C$15,BA$13:BA$15),1)</f>
        <v>0</v>
      </c>
      <c s="125">
        <f>Предпосылки!BA$242*Предпосылки!$R263*Продажи!BB28*BB$19*(1+Чувствительность!$D$20)*IFERROR(LOOKUP(Предпосылки!$H$215,$C$13:$C$15,BB$13:BB$15),1)</f>
        <v>0</v>
      </c>
      <c s="125">
        <f>Предпосылки!BB$242*Предпосылки!$R263*Продажи!BC28*BC$19*(1+Чувствительность!$D$20)*IFERROR(LOOKUP(Предпосылки!$H$215,$C$13:$C$15,BC$13:BC$15),1)</f>
        <v>0</v>
      </c>
      <c s="125">
        <f>Предпосылки!BC$242*Предпосылки!$R263*Продажи!BD28*BD$19*(1+Чувствительность!$D$20)*IFERROR(LOOKUP(Предпосылки!$H$215,$C$13:$C$15,BD$13:BD$15),1)</f>
        <v>0</v>
      </c>
      <c s="125">
        <f>Предпосылки!BD$242*Предпосылки!$R263*Продажи!BE28*BE$19*(1+Чувствительность!$D$20)*IFERROR(LOOKUP(Предпосылки!$H$215,$C$13:$C$15,BE$13:BE$15),1)</f>
        <v>0</v>
      </c>
      <c s="125">
        <f>Предпосылки!BE$242*Предпосылки!$R263*Продажи!BF28*BF$19*(1+Чувствительность!$D$20)*IFERROR(LOOKUP(Предпосылки!$H$215,$C$13:$C$15,BF$13:BF$15),1)</f>
        <v>0</v>
      </c>
      <c s="125">
        <f>Предпосылки!BF$242*Предпосылки!$R263*Продажи!BG28*BG$19*(1+Чувствительность!$D$20)*IFERROR(LOOKUP(Предпосылки!$H$215,$C$13:$C$15,BG$13:BG$15),1)</f>
        <v>0</v>
      </c>
      <c s="125">
        <f>Предпосылки!BG$242*Предпосылки!$R263*Продажи!BH28*BH$19*(1+Чувствительность!$D$20)*IFERROR(LOOKUP(Предпосылки!$H$215,$C$13:$C$15,BH$13:BH$15),1)</f>
        <v>0</v>
      </c>
      <c s="125">
        <f>Предпосылки!BH$242*Предпосылки!$R263*Продажи!BI28*BI$19*(1+Чувствительность!$D$20)*IFERROR(LOOKUP(Предпосылки!$H$215,$C$13:$C$15,BI$13:BI$15),1)</f>
        <v>0</v>
      </c>
      <c s="125">
        <f>Предпосылки!BI$242*Предпосылки!$R263*Продажи!BJ28*BJ$19*(1+Чувствительность!$D$20)*IFERROR(LOOKUP(Предпосылки!$H$215,$C$13:$C$15,BJ$13:BJ$15),1)</f>
        <v>0</v>
      </c>
      <c s="125">
        <f>Предпосылки!BJ$242*Предпосылки!$R263*Продажи!BK28*BK$19*(1+Чувствительность!$D$20)*IFERROR(LOOKUP(Предпосылки!$H$215,$C$13:$C$15,BK$13:BK$15),1)</f>
        <v>0</v>
      </c>
      <c s="125">
        <f>Предпосылки!BK$242*Предпосылки!$R263*Продажи!BL28*BL$19*(1+Чувствительность!$D$20)*IFERROR(LOOKUP(Предпосылки!$H$215,$C$13:$C$15,BL$13:BL$15),1)</f>
        <v>0</v>
      </c>
      <c s="125">
        <f>Предпосылки!BL$242*Предпосылки!$R263*Продажи!BM28*BM$19*(1+Чувствительность!$D$20)*IFERROR(LOOKUP(Предпосылки!$H$215,$C$13:$C$15,BM$13:BM$15),1)</f>
        <v>0</v>
      </c>
    </row>
    <row r="356" spans="2:65" ht="15" customHeight="1">
      <c r="B356" s="12" t="str">
        <f t="shared" si="131"/>
        <v>Продукт 12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Предпосылки!D$242*Предпосылки!$R264*Продажи!E29*E$19*(1+Чувствительность!$D$20)*IFERROR(LOOKUP(Предпосылки!$H$215,$C$13:$C$15,E$13:E$15),1)</f>
        <v>0</v>
      </c>
      <c s="125">
        <f>Предпосылки!E$242*Предпосылки!$R264*Продажи!F29*F$19*(1+Чувствительность!$D$20)*IFERROR(LOOKUP(Предпосылки!$H$215,$C$13:$C$15,F$13:F$15),1)</f>
        <v>0</v>
      </c>
      <c s="125">
        <f>Предпосылки!F$242*Предпосылки!$R264*Продажи!G29*G$19*(1+Чувствительность!$D$20)*IFERROR(LOOKUP(Предпосылки!$H$215,$C$13:$C$15,G$13:G$15),1)</f>
        <v>0</v>
      </c>
      <c s="125">
        <f>Предпосылки!G$242*Предпосылки!$R264*Продажи!H29*H$19*(1+Чувствительность!$D$20)*IFERROR(LOOKUP(Предпосылки!$H$215,$C$13:$C$15,H$13:H$15),1)</f>
        <v>0</v>
      </c>
      <c s="125">
        <f>Предпосылки!H$242*Предпосылки!$R264*Продажи!I29*I$19*(1+Чувствительность!$D$20)*IFERROR(LOOKUP(Предпосылки!$H$215,$C$13:$C$15,I$13:I$15),1)</f>
        <v>0</v>
      </c>
      <c s="125">
        <f>Предпосылки!I$242*Предпосылки!$R264*Продажи!J29*J$19*(1+Чувствительность!$D$20)*IFERROR(LOOKUP(Предпосылки!$H$215,$C$13:$C$15,J$13:J$15),1)</f>
        <v>0</v>
      </c>
      <c s="125">
        <f>Предпосылки!J$242*Предпосылки!$R264*Продажи!K29*K$19*(1+Чувствительность!$D$20)*IFERROR(LOOKUP(Предпосылки!$H$215,$C$13:$C$15,K$13:K$15),1)</f>
        <v>0</v>
      </c>
      <c s="125">
        <f>Предпосылки!K$242*Предпосылки!$R264*Продажи!L29*L$19*(1+Чувствительность!$D$20)*IFERROR(LOOKUP(Предпосылки!$H$215,$C$13:$C$15,L$13:L$15),1)</f>
        <v>0</v>
      </c>
      <c s="125">
        <f>Предпосылки!L$242*Предпосылки!$R264*Продажи!M29*M$19*(1+Чувствительность!$D$20)*IFERROR(LOOKUP(Предпосылки!$H$215,$C$13:$C$15,M$13:M$15),1)</f>
        <v>0</v>
      </c>
      <c s="125">
        <f>Предпосылки!M$242*Предпосылки!$R264*Продажи!N29*N$19*(1+Чувствительность!$D$20)*IFERROR(LOOKUP(Предпосылки!$H$215,$C$13:$C$15,N$13:N$15),1)</f>
        <v>0</v>
      </c>
      <c s="125">
        <f>Предпосылки!N$242*Предпосылки!$R264*Продажи!O29*O$19*(1+Чувствительность!$D$20)*IFERROR(LOOKUP(Предпосылки!$H$215,$C$13:$C$15,O$13:O$15),1)</f>
        <v>0</v>
      </c>
      <c s="125">
        <f>Предпосылки!O$242*Предпосылки!$R264*Продажи!P29*P$19*(1+Чувствительность!$D$20)*IFERROR(LOOKUP(Предпосылки!$H$215,$C$13:$C$15,P$13:P$15),1)</f>
        <v>0</v>
      </c>
      <c s="125">
        <f>Предпосылки!P$242*Предпосылки!$R264*Продажи!Q29*Q$19*(1+Чувствительность!$D$20)*IFERROR(LOOKUP(Предпосылки!$H$215,$C$13:$C$15,Q$13:Q$15),1)</f>
        <v>0</v>
      </c>
      <c s="125">
        <f>Предпосылки!Q$242*Предпосылки!$R264*Продажи!R29*R$19*(1+Чувствительность!$D$20)*IFERROR(LOOKUP(Предпосылки!$H$215,$C$13:$C$15,R$13:R$15),1)</f>
        <v>0</v>
      </c>
      <c s="125">
        <f>Предпосылки!R$242*Предпосылки!$R264*Продажи!S29*S$19*(1+Чувствительность!$D$20)*IFERROR(LOOKUP(Предпосылки!$H$215,$C$13:$C$15,S$13:S$15),1)</f>
        <v>0</v>
      </c>
      <c s="125">
        <f>Предпосылки!S$242*Предпосылки!$R264*Продажи!T29*T$19*(1+Чувствительность!$D$20)*IFERROR(LOOKUP(Предпосылки!$H$215,$C$13:$C$15,T$13:T$15),1)</f>
        <v>0</v>
      </c>
      <c s="125">
        <f>Предпосылки!T$242*Предпосылки!$R264*Продажи!U29*U$19*(1+Чувствительность!$D$20)*IFERROR(LOOKUP(Предпосылки!$H$215,$C$13:$C$15,U$13:U$15),1)</f>
        <v>0</v>
      </c>
      <c s="125">
        <f>Предпосылки!U$242*Предпосылки!$R264*Продажи!V29*V$19*(1+Чувствительность!$D$20)*IFERROR(LOOKUP(Предпосылки!$H$215,$C$13:$C$15,V$13:V$15),1)</f>
        <v>0</v>
      </c>
      <c s="125">
        <f>Предпосылки!V$242*Предпосылки!$R264*Продажи!W29*W$19*(1+Чувствительность!$D$20)*IFERROR(LOOKUP(Предпосылки!$H$215,$C$13:$C$15,W$13:W$15),1)</f>
        <v>0</v>
      </c>
      <c s="125">
        <f>Предпосылки!W$242*Предпосылки!$R264*Продажи!X29*X$19*(1+Чувствительность!$D$20)*IFERROR(LOOKUP(Предпосылки!$H$215,$C$13:$C$15,X$13:X$15),1)</f>
        <v>0</v>
      </c>
      <c s="125">
        <f>Предпосылки!X$242*Предпосылки!$R264*Продажи!Y29*Y$19*(1+Чувствительность!$D$20)*IFERROR(LOOKUP(Предпосылки!$H$215,$C$13:$C$15,Y$13:Y$15),1)</f>
        <v>0</v>
      </c>
      <c s="125">
        <f>Предпосылки!Y$242*Предпосылки!$R264*Продажи!Z29*Z$19*(1+Чувствительность!$D$20)*IFERROR(LOOKUP(Предпосылки!$H$215,$C$13:$C$15,Z$13:Z$15),1)</f>
        <v>0</v>
      </c>
      <c s="125">
        <f>Предпосылки!Z$242*Предпосылки!$R264*Продажи!AA29*AA$19*(1+Чувствительность!$D$20)*IFERROR(LOOKUP(Предпосылки!$H$215,$C$13:$C$15,AA$13:AA$15),1)</f>
        <v>0</v>
      </c>
      <c s="125">
        <f>Предпосылки!AA$242*Предпосылки!$R264*Продажи!AB29*AB$19*(1+Чувствительность!$D$20)*IFERROR(LOOKUP(Предпосылки!$H$215,$C$13:$C$15,AB$13:AB$15),1)</f>
        <v>0</v>
      </c>
      <c s="125">
        <f>Предпосылки!AB$242*Предпосылки!$R264*Продажи!AC29*AC$19*(1+Чувствительность!$D$20)*IFERROR(LOOKUP(Предпосылки!$H$215,$C$13:$C$15,AC$13:AC$15),1)</f>
        <v>0</v>
      </c>
      <c s="125">
        <f>Предпосылки!AC$242*Предпосылки!$R264*Продажи!AD29*AD$19*(1+Чувствительность!$D$20)*IFERROR(LOOKUP(Предпосылки!$H$215,$C$13:$C$15,AD$13:AD$15),1)</f>
        <v>0</v>
      </c>
      <c s="125">
        <f>Предпосылки!AD$242*Предпосылки!$R264*Продажи!AE29*AE$19*(1+Чувствительность!$D$20)*IFERROR(LOOKUP(Предпосылки!$H$215,$C$13:$C$15,AE$13:AE$15),1)</f>
        <v>0</v>
      </c>
      <c s="125">
        <f>Предпосылки!AE$242*Предпосылки!$R264*Продажи!AF29*AF$19*(1+Чувствительность!$D$20)*IFERROR(LOOKUP(Предпосылки!$H$215,$C$13:$C$15,AF$13:AF$15),1)</f>
        <v>0</v>
      </c>
      <c s="125">
        <f>Предпосылки!AF$242*Предпосылки!$R264*Продажи!AG29*AG$19*(1+Чувствительность!$D$20)*IFERROR(LOOKUP(Предпосылки!$H$215,$C$13:$C$15,AG$13:AG$15),1)</f>
        <v>0</v>
      </c>
      <c s="125">
        <f>Предпосылки!AG$242*Предпосылки!$R264*Продажи!AH29*AH$19*(1+Чувствительность!$D$20)*IFERROR(LOOKUP(Предпосылки!$H$215,$C$13:$C$15,AH$13:AH$15),1)</f>
        <v>0</v>
      </c>
      <c s="125">
        <f>Предпосылки!AH$242*Предпосылки!$R264*Продажи!AI29*AI$19*(1+Чувствительность!$D$20)*IFERROR(LOOKUP(Предпосылки!$H$215,$C$13:$C$15,AI$13:AI$15),1)</f>
        <v>0</v>
      </c>
      <c s="125">
        <f>Предпосылки!AI$242*Предпосылки!$R264*Продажи!AJ29*AJ$19*(1+Чувствительность!$D$20)*IFERROR(LOOKUP(Предпосылки!$H$215,$C$13:$C$15,AJ$13:AJ$15),1)</f>
        <v>0</v>
      </c>
      <c s="125">
        <f>Предпосылки!AJ$242*Предпосылки!$R264*Продажи!AK29*AK$19*(1+Чувствительность!$D$20)*IFERROR(LOOKUP(Предпосылки!$H$215,$C$13:$C$15,AK$13:AK$15),1)</f>
        <v>0</v>
      </c>
      <c s="125">
        <f>Предпосылки!AK$242*Предпосылки!$R264*Продажи!AL29*AL$19*(1+Чувствительность!$D$20)*IFERROR(LOOKUP(Предпосылки!$H$215,$C$13:$C$15,AL$13:AL$15),1)</f>
        <v>0</v>
      </c>
      <c s="125">
        <f>Предпосылки!AL$242*Предпосылки!$R264*Продажи!AM29*AM$19*(1+Чувствительность!$D$20)*IFERROR(LOOKUP(Предпосылки!$H$215,$C$13:$C$15,AM$13:AM$15),1)</f>
        <v>0</v>
      </c>
      <c s="125">
        <f>Предпосылки!AM$242*Предпосылки!$R264*Продажи!AN29*AN$19*(1+Чувствительность!$D$20)*IFERROR(LOOKUP(Предпосылки!$H$215,$C$13:$C$15,AN$13:AN$15),1)</f>
        <v>0</v>
      </c>
      <c s="125">
        <f>Предпосылки!AN$242*Предпосылки!$R264*Продажи!AO29*AO$19*(1+Чувствительность!$D$20)*IFERROR(LOOKUP(Предпосылки!$H$215,$C$13:$C$15,AO$13:AO$15),1)</f>
        <v>0</v>
      </c>
      <c s="125">
        <f>Предпосылки!AO$242*Предпосылки!$R264*Продажи!AP29*AP$19*(1+Чувствительность!$D$20)*IFERROR(LOOKUP(Предпосылки!$H$215,$C$13:$C$15,AP$13:AP$15),1)</f>
        <v>0</v>
      </c>
      <c s="125">
        <f>Предпосылки!AP$242*Предпосылки!$R264*Продажи!AQ29*AQ$19*(1+Чувствительность!$D$20)*IFERROR(LOOKUP(Предпосылки!$H$215,$C$13:$C$15,AQ$13:AQ$15),1)</f>
        <v>0</v>
      </c>
      <c s="125">
        <f>Предпосылки!AQ$242*Предпосылки!$R264*Продажи!AR29*AR$19*(1+Чувствительность!$D$20)*IFERROR(LOOKUP(Предпосылки!$H$215,$C$13:$C$15,AR$13:AR$15),1)</f>
        <v>0</v>
      </c>
      <c s="125">
        <f>Предпосылки!AR$242*Предпосылки!$R264*Продажи!AS29*AS$19*(1+Чувствительность!$D$20)*IFERROR(LOOKUP(Предпосылки!$H$215,$C$13:$C$15,AS$13:AS$15),1)</f>
        <v>0</v>
      </c>
      <c s="125">
        <f>Предпосылки!AS$242*Предпосылки!$R264*Продажи!AT29*AT$19*(1+Чувствительность!$D$20)*IFERROR(LOOKUP(Предпосылки!$H$215,$C$13:$C$15,AT$13:AT$15),1)</f>
        <v>0</v>
      </c>
      <c s="125">
        <f>Предпосылки!AT$242*Предпосылки!$R264*Продажи!AU29*AU$19*(1+Чувствительность!$D$20)*IFERROR(LOOKUP(Предпосылки!$H$215,$C$13:$C$15,AU$13:AU$15),1)</f>
        <v>0</v>
      </c>
      <c s="125">
        <f>Предпосылки!AU$242*Предпосылки!$R264*Продажи!AV29*AV$19*(1+Чувствительность!$D$20)*IFERROR(LOOKUP(Предпосылки!$H$215,$C$13:$C$15,AV$13:AV$15),1)</f>
        <v>0</v>
      </c>
      <c s="125">
        <f>Предпосылки!AV$242*Предпосылки!$R264*Продажи!AW29*AW$19*(1+Чувствительность!$D$20)*IFERROR(LOOKUP(Предпосылки!$H$215,$C$13:$C$15,AW$13:AW$15),1)</f>
        <v>0</v>
      </c>
      <c s="125">
        <f>Предпосылки!AW$242*Предпосылки!$R264*Продажи!AX29*AX$19*(1+Чувствительность!$D$20)*IFERROR(LOOKUP(Предпосылки!$H$215,$C$13:$C$15,AX$13:AX$15),1)</f>
        <v>0</v>
      </c>
      <c s="125">
        <f>Предпосылки!AX$242*Предпосылки!$R264*Продажи!AY29*AY$19*(1+Чувствительность!$D$20)*IFERROR(LOOKUP(Предпосылки!$H$215,$C$13:$C$15,AY$13:AY$15),1)</f>
        <v>0</v>
      </c>
      <c s="125">
        <f>Предпосылки!AY$242*Предпосылки!$R264*Продажи!AZ29*AZ$19*(1+Чувствительность!$D$20)*IFERROR(LOOKUP(Предпосылки!$H$215,$C$13:$C$15,AZ$13:AZ$15),1)</f>
        <v>0</v>
      </c>
      <c s="125">
        <f>Предпосылки!AZ$242*Предпосылки!$R264*Продажи!BA29*BA$19*(1+Чувствительность!$D$20)*IFERROR(LOOKUP(Предпосылки!$H$215,$C$13:$C$15,BA$13:BA$15),1)</f>
        <v>0</v>
      </c>
      <c s="125">
        <f>Предпосылки!BA$242*Предпосылки!$R264*Продажи!BB29*BB$19*(1+Чувствительность!$D$20)*IFERROR(LOOKUP(Предпосылки!$H$215,$C$13:$C$15,BB$13:BB$15),1)</f>
        <v>0</v>
      </c>
      <c s="125">
        <f>Предпосылки!BB$242*Предпосылки!$R264*Продажи!BC29*BC$19*(1+Чувствительность!$D$20)*IFERROR(LOOKUP(Предпосылки!$H$215,$C$13:$C$15,BC$13:BC$15),1)</f>
        <v>0</v>
      </c>
      <c s="125">
        <f>Предпосылки!BC$242*Предпосылки!$R264*Продажи!BD29*BD$19*(1+Чувствительность!$D$20)*IFERROR(LOOKUP(Предпосылки!$H$215,$C$13:$C$15,BD$13:BD$15),1)</f>
        <v>0</v>
      </c>
      <c s="125">
        <f>Предпосылки!BD$242*Предпосылки!$R264*Продажи!BE29*BE$19*(1+Чувствительность!$D$20)*IFERROR(LOOKUP(Предпосылки!$H$215,$C$13:$C$15,BE$13:BE$15),1)</f>
        <v>0</v>
      </c>
      <c s="125">
        <f>Предпосылки!BE$242*Предпосылки!$R264*Продажи!BF29*BF$19*(1+Чувствительность!$D$20)*IFERROR(LOOKUP(Предпосылки!$H$215,$C$13:$C$15,BF$13:BF$15),1)</f>
        <v>0</v>
      </c>
      <c s="125">
        <f>Предпосылки!BF$242*Предпосылки!$R264*Продажи!BG29*BG$19*(1+Чувствительность!$D$20)*IFERROR(LOOKUP(Предпосылки!$H$215,$C$13:$C$15,BG$13:BG$15),1)</f>
        <v>0</v>
      </c>
      <c s="125">
        <f>Предпосылки!BG$242*Предпосылки!$R264*Продажи!BH29*BH$19*(1+Чувствительность!$D$20)*IFERROR(LOOKUP(Предпосылки!$H$215,$C$13:$C$15,BH$13:BH$15),1)</f>
        <v>0</v>
      </c>
      <c s="125">
        <f>Предпосылки!BH$242*Предпосылки!$R264*Продажи!BI29*BI$19*(1+Чувствительность!$D$20)*IFERROR(LOOKUP(Предпосылки!$H$215,$C$13:$C$15,BI$13:BI$15),1)</f>
        <v>0</v>
      </c>
      <c s="125">
        <f>Предпосылки!BI$242*Предпосылки!$R264*Продажи!BJ29*BJ$19*(1+Чувствительность!$D$20)*IFERROR(LOOKUP(Предпосылки!$H$215,$C$13:$C$15,BJ$13:BJ$15),1)</f>
        <v>0</v>
      </c>
      <c s="125">
        <f>Предпосылки!BJ$242*Предпосылки!$R264*Продажи!BK29*BK$19*(1+Чувствительность!$D$20)*IFERROR(LOOKUP(Предпосылки!$H$215,$C$13:$C$15,BK$13:BK$15),1)</f>
        <v>0</v>
      </c>
      <c s="125">
        <f>Предпосылки!BK$242*Предпосылки!$R264*Продажи!BL29*BL$19*(1+Чувствительность!$D$20)*IFERROR(LOOKUP(Предпосылки!$H$215,$C$13:$C$15,BL$13:BL$15),1)</f>
        <v>0</v>
      </c>
      <c s="125">
        <f>Предпосылки!BL$242*Предпосылки!$R264*Продажи!BM29*BM$19*(1+Чувствительность!$D$20)*IFERROR(LOOKUP(Предпосылки!$H$215,$C$13:$C$15,BM$13:BM$15),1)</f>
        <v>0</v>
      </c>
    </row>
    <row r="357" spans="2:65" ht="15" customHeight="1">
      <c r="B357" s="12" t="str">
        <f t="shared" si="131"/>
        <v>Продукт 13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Предпосылки!D$242*Предпосылки!$R265*Продажи!E30*E$19*(1+Чувствительность!$D$20)*IFERROR(LOOKUP(Предпосылки!$H$215,$C$13:$C$15,E$13:E$15),1)</f>
        <v>0</v>
      </c>
      <c s="125">
        <f>Предпосылки!E$242*Предпосылки!$R265*Продажи!F30*F$19*(1+Чувствительность!$D$20)*IFERROR(LOOKUP(Предпосылки!$H$215,$C$13:$C$15,F$13:F$15),1)</f>
        <v>0</v>
      </c>
      <c s="125">
        <f>Предпосылки!F$242*Предпосылки!$R265*Продажи!G30*G$19*(1+Чувствительность!$D$20)*IFERROR(LOOKUP(Предпосылки!$H$215,$C$13:$C$15,G$13:G$15),1)</f>
        <v>0</v>
      </c>
      <c s="125">
        <f>Предпосылки!G$242*Предпосылки!$R265*Продажи!H30*H$19*(1+Чувствительность!$D$20)*IFERROR(LOOKUP(Предпосылки!$H$215,$C$13:$C$15,H$13:H$15),1)</f>
        <v>0</v>
      </c>
      <c s="125">
        <f>Предпосылки!H$242*Предпосылки!$R265*Продажи!I30*I$19*(1+Чувствительность!$D$20)*IFERROR(LOOKUP(Предпосылки!$H$215,$C$13:$C$15,I$13:I$15),1)</f>
        <v>0</v>
      </c>
      <c s="125">
        <f>Предпосылки!I$242*Предпосылки!$R265*Продажи!J30*J$19*(1+Чувствительность!$D$20)*IFERROR(LOOKUP(Предпосылки!$H$215,$C$13:$C$15,J$13:J$15),1)</f>
        <v>0</v>
      </c>
      <c s="125">
        <f>Предпосылки!J$242*Предпосылки!$R265*Продажи!K30*K$19*(1+Чувствительность!$D$20)*IFERROR(LOOKUP(Предпосылки!$H$215,$C$13:$C$15,K$13:K$15),1)</f>
        <v>0</v>
      </c>
      <c s="125">
        <f>Предпосылки!K$242*Предпосылки!$R265*Продажи!L30*L$19*(1+Чувствительность!$D$20)*IFERROR(LOOKUP(Предпосылки!$H$215,$C$13:$C$15,L$13:L$15),1)</f>
        <v>0</v>
      </c>
      <c s="125">
        <f>Предпосылки!L$242*Предпосылки!$R265*Продажи!M30*M$19*(1+Чувствительность!$D$20)*IFERROR(LOOKUP(Предпосылки!$H$215,$C$13:$C$15,M$13:M$15),1)</f>
        <v>0</v>
      </c>
      <c s="125">
        <f>Предпосылки!M$242*Предпосылки!$R265*Продажи!N30*N$19*(1+Чувствительность!$D$20)*IFERROR(LOOKUP(Предпосылки!$H$215,$C$13:$C$15,N$13:N$15),1)</f>
        <v>0</v>
      </c>
      <c s="125">
        <f>Предпосылки!N$242*Предпосылки!$R265*Продажи!O30*O$19*(1+Чувствительность!$D$20)*IFERROR(LOOKUP(Предпосылки!$H$215,$C$13:$C$15,O$13:O$15),1)</f>
        <v>0</v>
      </c>
      <c s="125">
        <f>Предпосылки!O$242*Предпосылки!$R265*Продажи!P30*P$19*(1+Чувствительность!$D$20)*IFERROR(LOOKUP(Предпосылки!$H$215,$C$13:$C$15,P$13:P$15),1)</f>
        <v>0</v>
      </c>
      <c s="125">
        <f>Предпосылки!P$242*Предпосылки!$R265*Продажи!Q30*Q$19*(1+Чувствительность!$D$20)*IFERROR(LOOKUP(Предпосылки!$H$215,$C$13:$C$15,Q$13:Q$15),1)</f>
        <v>0</v>
      </c>
      <c s="125">
        <f>Предпосылки!Q$242*Предпосылки!$R265*Продажи!R30*R$19*(1+Чувствительность!$D$20)*IFERROR(LOOKUP(Предпосылки!$H$215,$C$13:$C$15,R$13:R$15),1)</f>
        <v>0</v>
      </c>
      <c s="125">
        <f>Предпосылки!R$242*Предпосылки!$R265*Продажи!S30*S$19*(1+Чувствительность!$D$20)*IFERROR(LOOKUP(Предпосылки!$H$215,$C$13:$C$15,S$13:S$15),1)</f>
        <v>0</v>
      </c>
      <c s="125">
        <f>Предпосылки!S$242*Предпосылки!$R265*Продажи!T30*T$19*(1+Чувствительность!$D$20)*IFERROR(LOOKUP(Предпосылки!$H$215,$C$13:$C$15,T$13:T$15),1)</f>
        <v>0</v>
      </c>
      <c s="125">
        <f>Предпосылки!T$242*Предпосылки!$R265*Продажи!U30*U$19*(1+Чувствительность!$D$20)*IFERROR(LOOKUP(Предпосылки!$H$215,$C$13:$C$15,U$13:U$15),1)</f>
        <v>0</v>
      </c>
      <c s="125">
        <f>Предпосылки!U$242*Предпосылки!$R265*Продажи!V30*V$19*(1+Чувствительность!$D$20)*IFERROR(LOOKUP(Предпосылки!$H$215,$C$13:$C$15,V$13:V$15),1)</f>
        <v>0</v>
      </c>
      <c s="125">
        <f>Предпосылки!V$242*Предпосылки!$R265*Продажи!W30*W$19*(1+Чувствительность!$D$20)*IFERROR(LOOKUP(Предпосылки!$H$215,$C$13:$C$15,W$13:W$15),1)</f>
        <v>0</v>
      </c>
      <c s="125">
        <f>Предпосылки!W$242*Предпосылки!$R265*Продажи!X30*X$19*(1+Чувствительность!$D$20)*IFERROR(LOOKUP(Предпосылки!$H$215,$C$13:$C$15,X$13:X$15),1)</f>
        <v>0</v>
      </c>
      <c s="125">
        <f>Предпосылки!X$242*Предпосылки!$R265*Продажи!Y30*Y$19*(1+Чувствительность!$D$20)*IFERROR(LOOKUP(Предпосылки!$H$215,$C$13:$C$15,Y$13:Y$15),1)</f>
        <v>0</v>
      </c>
      <c s="125">
        <f>Предпосылки!Y$242*Предпосылки!$R265*Продажи!Z30*Z$19*(1+Чувствительность!$D$20)*IFERROR(LOOKUP(Предпосылки!$H$215,$C$13:$C$15,Z$13:Z$15),1)</f>
        <v>0</v>
      </c>
      <c s="125">
        <f>Предпосылки!Z$242*Предпосылки!$R265*Продажи!AA30*AA$19*(1+Чувствительность!$D$20)*IFERROR(LOOKUP(Предпосылки!$H$215,$C$13:$C$15,AA$13:AA$15),1)</f>
        <v>0</v>
      </c>
      <c s="125">
        <f>Предпосылки!AA$242*Предпосылки!$R265*Продажи!AB30*AB$19*(1+Чувствительность!$D$20)*IFERROR(LOOKUP(Предпосылки!$H$215,$C$13:$C$15,AB$13:AB$15),1)</f>
        <v>0</v>
      </c>
      <c s="125">
        <f>Предпосылки!AB$242*Предпосылки!$R265*Продажи!AC30*AC$19*(1+Чувствительность!$D$20)*IFERROR(LOOKUP(Предпосылки!$H$215,$C$13:$C$15,AC$13:AC$15),1)</f>
        <v>0</v>
      </c>
      <c s="125">
        <f>Предпосылки!AC$242*Предпосылки!$R265*Продажи!AD30*AD$19*(1+Чувствительность!$D$20)*IFERROR(LOOKUP(Предпосылки!$H$215,$C$13:$C$15,AD$13:AD$15),1)</f>
        <v>0</v>
      </c>
      <c s="125">
        <f>Предпосылки!AD$242*Предпосылки!$R265*Продажи!AE30*AE$19*(1+Чувствительность!$D$20)*IFERROR(LOOKUP(Предпосылки!$H$215,$C$13:$C$15,AE$13:AE$15),1)</f>
        <v>0</v>
      </c>
      <c s="125">
        <f>Предпосылки!AE$242*Предпосылки!$R265*Продажи!AF30*AF$19*(1+Чувствительность!$D$20)*IFERROR(LOOKUP(Предпосылки!$H$215,$C$13:$C$15,AF$13:AF$15),1)</f>
        <v>0</v>
      </c>
      <c s="125">
        <f>Предпосылки!AF$242*Предпосылки!$R265*Продажи!AG30*AG$19*(1+Чувствительность!$D$20)*IFERROR(LOOKUP(Предпосылки!$H$215,$C$13:$C$15,AG$13:AG$15),1)</f>
        <v>0</v>
      </c>
      <c s="125">
        <f>Предпосылки!AG$242*Предпосылки!$R265*Продажи!AH30*AH$19*(1+Чувствительность!$D$20)*IFERROR(LOOKUP(Предпосылки!$H$215,$C$13:$C$15,AH$13:AH$15),1)</f>
        <v>0</v>
      </c>
      <c s="125">
        <f>Предпосылки!AH$242*Предпосылки!$R265*Продажи!AI30*AI$19*(1+Чувствительность!$D$20)*IFERROR(LOOKUP(Предпосылки!$H$215,$C$13:$C$15,AI$13:AI$15),1)</f>
        <v>0</v>
      </c>
      <c s="125">
        <f>Предпосылки!AI$242*Предпосылки!$R265*Продажи!AJ30*AJ$19*(1+Чувствительность!$D$20)*IFERROR(LOOKUP(Предпосылки!$H$215,$C$13:$C$15,AJ$13:AJ$15),1)</f>
        <v>0</v>
      </c>
      <c s="125">
        <f>Предпосылки!AJ$242*Предпосылки!$R265*Продажи!AK30*AK$19*(1+Чувствительность!$D$20)*IFERROR(LOOKUP(Предпосылки!$H$215,$C$13:$C$15,AK$13:AK$15),1)</f>
        <v>0</v>
      </c>
      <c s="125">
        <f>Предпосылки!AK$242*Предпосылки!$R265*Продажи!AL30*AL$19*(1+Чувствительность!$D$20)*IFERROR(LOOKUP(Предпосылки!$H$215,$C$13:$C$15,AL$13:AL$15),1)</f>
        <v>0</v>
      </c>
      <c s="125">
        <f>Предпосылки!AL$242*Предпосылки!$R265*Продажи!AM30*AM$19*(1+Чувствительность!$D$20)*IFERROR(LOOKUP(Предпосылки!$H$215,$C$13:$C$15,AM$13:AM$15),1)</f>
        <v>0</v>
      </c>
      <c s="125">
        <f>Предпосылки!AM$242*Предпосылки!$R265*Продажи!AN30*AN$19*(1+Чувствительность!$D$20)*IFERROR(LOOKUP(Предпосылки!$H$215,$C$13:$C$15,AN$13:AN$15),1)</f>
        <v>0</v>
      </c>
      <c s="125">
        <f>Предпосылки!AN$242*Предпосылки!$R265*Продажи!AO30*AO$19*(1+Чувствительность!$D$20)*IFERROR(LOOKUP(Предпосылки!$H$215,$C$13:$C$15,AO$13:AO$15),1)</f>
        <v>0</v>
      </c>
      <c s="125">
        <f>Предпосылки!AO$242*Предпосылки!$R265*Продажи!AP30*AP$19*(1+Чувствительность!$D$20)*IFERROR(LOOKUP(Предпосылки!$H$215,$C$13:$C$15,AP$13:AP$15),1)</f>
        <v>0</v>
      </c>
      <c s="125">
        <f>Предпосылки!AP$242*Предпосылки!$R265*Продажи!AQ30*AQ$19*(1+Чувствительность!$D$20)*IFERROR(LOOKUP(Предпосылки!$H$215,$C$13:$C$15,AQ$13:AQ$15),1)</f>
        <v>0</v>
      </c>
      <c s="125">
        <f>Предпосылки!AQ$242*Предпосылки!$R265*Продажи!AR30*AR$19*(1+Чувствительность!$D$20)*IFERROR(LOOKUP(Предпосылки!$H$215,$C$13:$C$15,AR$13:AR$15),1)</f>
        <v>0</v>
      </c>
      <c s="125">
        <f>Предпосылки!AR$242*Предпосылки!$R265*Продажи!AS30*AS$19*(1+Чувствительность!$D$20)*IFERROR(LOOKUP(Предпосылки!$H$215,$C$13:$C$15,AS$13:AS$15),1)</f>
        <v>0</v>
      </c>
      <c s="125">
        <f>Предпосылки!AS$242*Предпосылки!$R265*Продажи!AT30*AT$19*(1+Чувствительность!$D$20)*IFERROR(LOOKUP(Предпосылки!$H$215,$C$13:$C$15,AT$13:AT$15),1)</f>
        <v>0</v>
      </c>
      <c s="125">
        <f>Предпосылки!AT$242*Предпосылки!$R265*Продажи!AU30*AU$19*(1+Чувствительность!$D$20)*IFERROR(LOOKUP(Предпосылки!$H$215,$C$13:$C$15,AU$13:AU$15),1)</f>
        <v>0</v>
      </c>
      <c s="125">
        <f>Предпосылки!AU$242*Предпосылки!$R265*Продажи!AV30*AV$19*(1+Чувствительность!$D$20)*IFERROR(LOOKUP(Предпосылки!$H$215,$C$13:$C$15,AV$13:AV$15),1)</f>
        <v>0</v>
      </c>
      <c s="125">
        <f>Предпосылки!AV$242*Предпосылки!$R265*Продажи!AW30*AW$19*(1+Чувствительность!$D$20)*IFERROR(LOOKUP(Предпосылки!$H$215,$C$13:$C$15,AW$13:AW$15),1)</f>
        <v>0</v>
      </c>
      <c s="125">
        <f>Предпосылки!AW$242*Предпосылки!$R265*Продажи!AX30*AX$19*(1+Чувствительность!$D$20)*IFERROR(LOOKUP(Предпосылки!$H$215,$C$13:$C$15,AX$13:AX$15),1)</f>
        <v>0</v>
      </c>
      <c s="125">
        <f>Предпосылки!AX$242*Предпосылки!$R265*Продажи!AY30*AY$19*(1+Чувствительность!$D$20)*IFERROR(LOOKUP(Предпосылки!$H$215,$C$13:$C$15,AY$13:AY$15),1)</f>
        <v>0</v>
      </c>
      <c s="125">
        <f>Предпосылки!AY$242*Предпосылки!$R265*Продажи!AZ30*AZ$19*(1+Чувствительность!$D$20)*IFERROR(LOOKUP(Предпосылки!$H$215,$C$13:$C$15,AZ$13:AZ$15),1)</f>
        <v>0</v>
      </c>
      <c s="125">
        <f>Предпосылки!AZ$242*Предпосылки!$R265*Продажи!BA30*BA$19*(1+Чувствительность!$D$20)*IFERROR(LOOKUP(Предпосылки!$H$215,$C$13:$C$15,BA$13:BA$15),1)</f>
        <v>0</v>
      </c>
      <c s="125">
        <f>Предпосылки!BA$242*Предпосылки!$R265*Продажи!BB30*BB$19*(1+Чувствительность!$D$20)*IFERROR(LOOKUP(Предпосылки!$H$215,$C$13:$C$15,BB$13:BB$15),1)</f>
        <v>0</v>
      </c>
      <c s="125">
        <f>Предпосылки!BB$242*Предпосылки!$R265*Продажи!BC30*BC$19*(1+Чувствительность!$D$20)*IFERROR(LOOKUP(Предпосылки!$H$215,$C$13:$C$15,BC$13:BC$15),1)</f>
        <v>0</v>
      </c>
      <c s="125">
        <f>Предпосылки!BC$242*Предпосылки!$R265*Продажи!BD30*BD$19*(1+Чувствительность!$D$20)*IFERROR(LOOKUP(Предпосылки!$H$215,$C$13:$C$15,BD$13:BD$15),1)</f>
        <v>0</v>
      </c>
      <c s="125">
        <f>Предпосылки!BD$242*Предпосылки!$R265*Продажи!BE30*BE$19*(1+Чувствительность!$D$20)*IFERROR(LOOKUP(Предпосылки!$H$215,$C$13:$C$15,BE$13:BE$15),1)</f>
        <v>0</v>
      </c>
      <c s="125">
        <f>Предпосылки!BE$242*Предпосылки!$R265*Продажи!BF30*BF$19*(1+Чувствительность!$D$20)*IFERROR(LOOKUP(Предпосылки!$H$215,$C$13:$C$15,BF$13:BF$15),1)</f>
        <v>0</v>
      </c>
      <c s="125">
        <f>Предпосылки!BF$242*Предпосылки!$R265*Продажи!BG30*BG$19*(1+Чувствительность!$D$20)*IFERROR(LOOKUP(Предпосылки!$H$215,$C$13:$C$15,BG$13:BG$15),1)</f>
        <v>0</v>
      </c>
      <c s="125">
        <f>Предпосылки!BG$242*Предпосылки!$R265*Продажи!BH30*BH$19*(1+Чувствительность!$D$20)*IFERROR(LOOKUP(Предпосылки!$H$215,$C$13:$C$15,BH$13:BH$15),1)</f>
        <v>0</v>
      </c>
      <c s="125">
        <f>Предпосылки!BH$242*Предпосылки!$R265*Продажи!BI30*BI$19*(1+Чувствительность!$D$20)*IFERROR(LOOKUP(Предпосылки!$H$215,$C$13:$C$15,BI$13:BI$15),1)</f>
        <v>0</v>
      </c>
      <c s="125">
        <f>Предпосылки!BI$242*Предпосылки!$R265*Продажи!BJ30*BJ$19*(1+Чувствительность!$D$20)*IFERROR(LOOKUP(Предпосылки!$H$215,$C$13:$C$15,BJ$13:BJ$15),1)</f>
        <v>0</v>
      </c>
      <c s="125">
        <f>Предпосылки!BJ$242*Предпосылки!$R265*Продажи!BK30*BK$19*(1+Чувствительность!$D$20)*IFERROR(LOOKUP(Предпосылки!$H$215,$C$13:$C$15,BK$13:BK$15),1)</f>
        <v>0</v>
      </c>
      <c s="125">
        <f>Предпосылки!BK$242*Предпосылки!$R265*Продажи!BL30*BL$19*(1+Чувствительность!$D$20)*IFERROR(LOOKUP(Предпосылки!$H$215,$C$13:$C$15,BL$13:BL$15),1)</f>
        <v>0</v>
      </c>
      <c s="125">
        <f>Предпосылки!BL$242*Предпосылки!$R265*Продажи!BM30*BM$19*(1+Чувствительность!$D$20)*IFERROR(LOOKUP(Предпосылки!$H$215,$C$13:$C$15,BM$13:BM$15),1)</f>
        <v>0</v>
      </c>
    </row>
    <row r="358" spans="2:65" ht="15" customHeight="1">
      <c r="B358" s="12" t="str">
        <f t="shared" si="131"/>
        <v>Продукт 14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Предпосылки!D$242*Предпосылки!$R266*Продажи!E31*E$19*(1+Чувствительность!$D$20)*IFERROR(LOOKUP(Предпосылки!$H$215,$C$13:$C$15,E$13:E$15),1)</f>
        <v>0</v>
      </c>
      <c s="125">
        <f>Предпосылки!E$242*Предпосылки!$R266*Продажи!F31*F$19*(1+Чувствительность!$D$20)*IFERROR(LOOKUP(Предпосылки!$H$215,$C$13:$C$15,F$13:F$15),1)</f>
        <v>0</v>
      </c>
      <c s="125">
        <f>Предпосылки!F$242*Предпосылки!$R266*Продажи!G31*G$19*(1+Чувствительность!$D$20)*IFERROR(LOOKUP(Предпосылки!$H$215,$C$13:$C$15,G$13:G$15),1)</f>
        <v>0</v>
      </c>
      <c s="125">
        <f>Предпосылки!G$242*Предпосылки!$R266*Продажи!H31*H$19*(1+Чувствительность!$D$20)*IFERROR(LOOKUP(Предпосылки!$H$215,$C$13:$C$15,H$13:H$15),1)</f>
        <v>0</v>
      </c>
      <c s="125">
        <f>Предпосылки!H$242*Предпосылки!$R266*Продажи!I31*I$19*(1+Чувствительность!$D$20)*IFERROR(LOOKUP(Предпосылки!$H$215,$C$13:$C$15,I$13:I$15),1)</f>
        <v>0</v>
      </c>
      <c s="125">
        <f>Предпосылки!I$242*Предпосылки!$R266*Продажи!J31*J$19*(1+Чувствительность!$D$20)*IFERROR(LOOKUP(Предпосылки!$H$215,$C$13:$C$15,J$13:J$15),1)</f>
        <v>0</v>
      </c>
      <c s="125">
        <f>Предпосылки!J$242*Предпосылки!$R266*Продажи!K31*K$19*(1+Чувствительность!$D$20)*IFERROR(LOOKUP(Предпосылки!$H$215,$C$13:$C$15,K$13:K$15),1)</f>
        <v>0</v>
      </c>
      <c s="125">
        <f>Предпосылки!K$242*Предпосылки!$R266*Продажи!L31*L$19*(1+Чувствительность!$D$20)*IFERROR(LOOKUP(Предпосылки!$H$215,$C$13:$C$15,L$13:L$15),1)</f>
        <v>0</v>
      </c>
      <c s="125">
        <f>Предпосылки!L$242*Предпосылки!$R266*Продажи!M31*M$19*(1+Чувствительность!$D$20)*IFERROR(LOOKUP(Предпосылки!$H$215,$C$13:$C$15,M$13:M$15),1)</f>
        <v>0</v>
      </c>
      <c s="125">
        <f>Предпосылки!M$242*Предпосылки!$R266*Продажи!N31*N$19*(1+Чувствительность!$D$20)*IFERROR(LOOKUP(Предпосылки!$H$215,$C$13:$C$15,N$13:N$15),1)</f>
        <v>0</v>
      </c>
      <c s="125">
        <f>Предпосылки!N$242*Предпосылки!$R266*Продажи!O31*O$19*(1+Чувствительность!$D$20)*IFERROR(LOOKUP(Предпосылки!$H$215,$C$13:$C$15,O$13:O$15),1)</f>
        <v>0</v>
      </c>
      <c s="125">
        <f>Предпосылки!O$242*Предпосылки!$R266*Продажи!P31*P$19*(1+Чувствительность!$D$20)*IFERROR(LOOKUP(Предпосылки!$H$215,$C$13:$C$15,P$13:P$15),1)</f>
        <v>0</v>
      </c>
      <c s="125">
        <f>Предпосылки!P$242*Предпосылки!$R266*Продажи!Q31*Q$19*(1+Чувствительность!$D$20)*IFERROR(LOOKUP(Предпосылки!$H$215,$C$13:$C$15,Q$13:Q$15),1)</f>
        <v>0</v>
      </c>
      <c s="125">
        <f>Предпосылки!Q$242*Предпосылки!$R266*Продажи!R31*R$19*(1+Чувствительность!$D$20)*IFERROR(LOOKUP(Предпосылки!$H$215,$C$13:$C$15,R$13:R$15),1)</f>
        <v>0</v>
      </c>
      <c s="125">
        <f>Предпосылки!R$242*Предпосылки!$R266*Продажи!S31*S$19*(1+Чувствительность!$D$20)*IFERROR(LOOKUP(Предпосылки!$H$215,$C$13:$C$15,S$13:S$15),1)</f>
        <v>0</v>
      </c>
      <c s="125">
        <f>Предпосылки!S$242*Предпосылки!$R266*Продажи!T31*T$19*(1+Чувствительность!$D$20)*IFERROR(LOOKUP(Предпосылки!$H$215,$C$13:$C$15,T$13:T$15),1)</f>
        <v>0</v>
      </c>
      <c s="125">
        <f>Предпосылки!T$242*Предпосылки!$R266*Продажи!U31*U$19*(1+Чувствительность!$D$20)*IFERROR(LOOKUP(Предпосылки!$H$215,$C$13:$C$15,U$13:U$15),1)</f>
        <v>0</v>
      </c>
      <c s="125">
        <f>Предпосылки!U$242*Предпосылки!$R266*Продажи!V31*V$19*(1+Чувствительность!$D$20)*IFERROR(LOOKUP(Предпосылки!$H$215,$C$13:$C$15,V$13:V$15),1)</f>
        <v>0</v>
      </c>
      <c s="125">
        <f>Предпосылки!V$242*Предпосылки!$R266*Продажи!W31*W$19*(1+Чувствительность!$D$20)*IFERROR(LOOKUP(Предпосылки!$H$215,$C$13:$C$15,W$13:W$15),1)</f>
        <v>0</v>
      </c>
      <c s="125">
        <f>Предпосылки!W$242*Предпосылки!$R266*Продажи!X31*X$19*(1+Чувствительность!$D$20)*IFERROR(LOOKUP(Предпосылки!$H$215,$C$13:$C$15,X$13:X$15),1)</f>
        <v>0</v>
      </c>
      <c s="125">
        <f>Предпосылки!X$242*Предпосылки!$R266*Продажи!Y31*Y$19*(1+Чувствительность!$D$20)*IFERROR(LOOKUP(Предпосылки!$H$215,$C$13:$C$15,Y$13:Y$15),1)</f>
        <v>0</v>
      </c>
      <c s="125">
        <f>Предпосылки!Y$242*Предпосылки!$R266*Продажи!Z31*Z$19*(1+Чувствительность!$D$20)*IFERROR(LOOKUP(Предпосылки!$H$215,$C$13:$C$15,Z$13:Z$15),1)</f>
        <v>0</v>
      </c>
      <c s="125">
        <f>Предпосылки!Z$242*Предпосылки!$R266*Продажи!AA31*AA$19*(1+Чувствительность!$D$20)*IFERROR(LOOKUP(Предпосылки!$H$215,$C$13:$C$15,AA$13:AA$15),1)</f>
        <v>0</v>
      </c>
      <c s="125">
        <f>Предпосылки!AA$242*Предпосылки!$R266*Продажи!AB31*AB$19*(1+Чувствительность!$D$20)*IFERROR(LOOKUP(Предпосылки!$H$215,$C$13:$C$15,AB$13:AB$15),1)</f>
        <v>0</v>
      </c>
      <c s="125">
        <f>Предпосылки!AB$242*Предпосылки!$R266*Продажи!AC31*AC$19*(1+Чувствительность!$D$20)*IFERROR(LOOKUP(Предпосылки!$H$215,$C$13:$C$15,AC$13:AC$15),1)</f>
        <v>0</v>
      </c>
      <c s="125">
        <f>Предпосылки!AC$242*Предпосылки!$R266*Продажи!AD31*AD$19*(1+Чувствительность!$D$20)*IFERROR(LOOKUP(Предпосылки!$H$215,$C$13:$C$15,AD$13:AD$15),1)</f>
        <v>0</v>
      </c>
      <c s="125">
        <f>Предпосылки!AD$242*Предпосылки!$R266*Продажи!AE31*AE$19*(1+Чувствительность!$D$20)*IFERROR(LOOKUP(Предпосылки!$H$215,$C$13:$C$15,AE$13:AE$15),1)</f>
        <v>0</v>
      </c>
      <c s="125">
        <f>Предпосылки!AE$242*Предпосылки!$R266*Продажи!AF31*AF$19*(1+Чувствительность!$D$20)*IFERROR(LOOKUP(Предпосылки!$H$215,$C$13:$C$15,AF$13:AF$15),1)</f>
        <v>0</v>
      </c>
      <c s="125">
        <f>Предпосылки!AF$242*Предпосылки!$R266*Продажи!AG31*AG$19*(1+Чувствительность!$D$20)*IFERROR(LOOKUP(Предпосылки!$H$215,$C$13:$C$15,AG$13:AG$15),1)</f>
        <v>0</v>
      </c>
      <c s="125">
        <f>Предпосылки!AG$242*Предпосылки!$R266*Продажи!AH31*AH$19*(1+Чувствительность!$D$20)*IFERROR(LOOKUP(Предпосылки!$H$215,$C$13:$C$15,AH$13:AH$15),1)</f>
        <v>0</v>
      </c>
      <c s="125">
        <f>Предпосылки!AH$242*Предпосылки!$R266*Продажи!AI31*AI$19*(1+Чувствительность!$D$20)*IFERROR(LOOKUP(Предпосылки!$H$215,$C$13:$C$15,AI$13:AI$15),1)</f>
        <v>0</v>
      </c>
      <c s="125">
        <f>Предпосылки!AI$242*Предпосылки!$R266*Продажи!AJ31*AJ$19*(1+Чувствительность!$D$20)*IFERROR(LOOKUP(Предпосылки!$H$215,$C$13:$C$15,AJ$13:AJ$15),1)</f>
        <v>0</v>
      </c>
      <c s="125">
        <f>Предпосылки!AJ$242*Предпосылки!$R266*Продажи!AK31*AK$19*(1+Чувствительность!$D$20)*IFERROR(LOOKUP(Предпосылки!$H$215,$C$13:$C$15,AK$13:AK$15),1)</f>
        <v>0</v>
      </c>
      <c s="125">
        <f>Предпосылки!AK$242*Предпосылки!$R266*Продажи!AL31*AL$19*(1+Чувствительность!$D$20)*IFERROR(LOOKUP(Предпосылки!$H$215,$C$13:$C$15,AL$13:AL$15),1)</f>
        <v>0</v>
      </c>
      <c s="125">
        <f>Предпосылки!AL$242*Предпосылки!$R266*Продажи!AM31*AM$19*(1+Чувствительность!$D$20)*IFERROR(LOOKUP(Предпосылки!$H$215,$C$13:$C$15,AM$13:AM$15),1)</f>
        <v>0</v>
      </c>
      <c s="125">
        <f>Предпосылки!AM$242*Предпосылки!$R266*Продажи!AN31*AN$19*(1+Чувствительность!$D$20)*IFERROR(LOOKUP(Предпосылки!$H$215,$C$13:$C$15,AN$13:AN$15),1)</f>
        <v>0</v>
      </c>
      <c s="125">
        <f>Предпосылки!AN$242*Предпосылки!$R266*Продажи!AO31*AO$19*(1+Чувствительность!$D$20)*IFERROR(LOOKUP(Предпосылки!$H$215,$C$13:$C$15,AO$13:AO$15),1)</f>
        <v>0</v>
      </c>
      <c s="125">
        <f>Предпосылки!AO$242*Предпосылки!$R266*Продажи!AP31*AP$19*(1+Чувствительность!$D$20)*IFERROR(LOOKUP(Предпосылки!$H$215,$C$13:$C$15,AP$13:AP$15),1)</f>
        <v>0</v>
      </c>
      <c s="125">
        <f>Предпосылки!AP$242*Предпосылки!$R266*Продажи!AQ31*AQ$19*(1+Чувствительность!$D$20)*IFERROR(LOOKUP(Предпосылки!$H$215,$C$13:$C$15,AQ$13:AQ$15),1)</f>
        <v>0</v>
      </c>
      <c s="125">
        <f>Предпосылки!AQ$242*Предпосылки!$R266*Продажи!AR31*AR$19*(1+Чувствительность!$D$20)*IFERROR(LOOKUP(Предпосылки!$H$215,$C$13:$C$15,AR$13:AR$15),1)</f>
        <v>0</v>
      </c>
      <c s="125">
        <f>Предпосылки!AR$242*Предпосылки!$R266*Продажи!AS31*AS$19*(1+Чувствительность!$D$20)*IFERROR(LOOKUP(Предпосылки!$H$215,$C$13:$C$15,AS$13:AS$15),1)</f>
        <v>0</v>
      </c>
      <c s="125">
        <f>Предпосылки!AS$242*Предпосылки!$R266*Продажи!AT31*AT$19*(1+Чувствительность!$D$20)*IFERROR(LOOKUP(Предпосылки!$H$215,$C$13:$C$15,AT$13:AT$15),1)</f>
        <v>0</v>
      </c>
      <c s="125">
        <f>Предпосылки!AT$242*Предпосылки!$R266*Продажи!AU31*AU$19*(1+Чувствительность!$D$20)*IFERROR(LOOKUP(Предпосылки!$H$215,$C$13:$C$15,AU$13:AU$15),1)</f>
        <v>0</v>
      </c>
      <c s="125">
        <f>Предпосылки!AU$242*Предпосылки!$R266*Продажи!AV31*AV$19*(1+Чувствительность!$D$20)*IFERROR(LOOKUP(Предпосылки!$H$215,$C$13:$C$15,AV$13:AV$15),1)</f>
        <v>0</v>
      </c>
      <c s="125">
        <f>Предпосылки!AV$242*Предпосылки!$R266*Продажи!AW31*AW$19*(1+Чувствительность!$D$20)*IFERROR(LOOKUP(Предпосылки!$H$215,$C$13:$C$15,AW$13:AW$15),1)</f>
        <v>0</v>
      </c>
      <c s="125">
        <f>Предпосылки!AW$242*Предпосылки!$R266*Продажи!AX31*AX$19*(1+Чувствительность!$D$20)*IFERROR(LOOKUP(Предпосылки!$H$215,$C$13:$C$15,AX$13:AX$15),1)</f>
        <v>0</v>
      </c>
      <c s="125">
        <f>Предпосылки!AX$242*Предпосылки!$R266*Продажи!AY31*AY$19*(1+Чувствительность!$D$20)*IFERROR(LOOKUP(Предпосылки!$H$215,$C$13:$C$15,AY$13:AY$15),1)</f>
        <v>0</v>
      </c>
      <c s="125">
        <f>Предпосылки!AY$242*Предпосылки!$R266*Продажи!AZ31*AZ$19*(1+Чувствительность!$D$20)*IFERROR(LOOKUP(Предпосылки!$H$215,$C$13:$C$15,AZ$13:AZ$15),1)</f>
        <v>0</v>
      </c>
      <c s="125">
        <f>Предпосылки!AZ$242*Предпосылки!$R266*Продажи!BA31*BA$19*(1+Чувствительность!$D$20)*IFERROR(LOOKUP(Предпосылки!$H$215,$C$13:$C$15,BA$13:BA$15),1)</f>
        <v>0</v>
      </c>
      <c s="125">
        <f>Предпосылки!BA$242*Предпосылки!$R266*Продажи!BB31*BB$19*(1+Чувствительность!$D$20)*IFERROR(LOOKUP(Предпосылки!$H$215,$C$13:$C$15,BB$13:BB$15),1)</f>
        <v>0</v>
      </c>
      <c s="125">
        <f>Предпосылки!BB$242*Предпосылки!$R266*Продажи!BC31*BC$19*(1+Чувствительность!$D$20)*IFERROR(LOOKUP(Предпосылки!$H$215,$C$13:$C$15,BC$13:BC$15),1)</f>
        <v>0</v>
      </c>
      <c s="125">
        <f>Предпосылки!BC$242*Предпосылки!$R266*Продажи!BD31*BD$19*(1+Чувствительность!$D$20)*IFERROR(LOOKUP(Предпосылки!$H$215,$C$13:$C$15,BD$13:BD$15),1)</f>
        <v>0</v>
      </c>
      <c s="125">
        <f>Предпосылки!BD$242*Предпосылки!$R266*Продажи!BE31*BE$19*(1+Чувствительность!$D$20)*IFERROR(LOOKUP(Предпосылки!$H$215,$C$13:$C$15,BE$13:BE$15),1)</f>
        <v>0</v>
      </c>
      <c s="125">
        <f>Предпосылки!BE$242*Предпосылки!$R266*Продажи!BF31*BF$19*(1+Чувствительность!$D$20)*IFERROR(LOOKUP(Предпосылки!$H$215,$C$13:$C$15,BF$13:BF$15),1)</f>
        <v>0</v>
      </c>
      <c s="125">
        <f>Предпосылки!BF$242*Предпосылки!$R266*Продажи!BG31*BG$19*(1+Чувствительность!$D$20)*IFERROR(LOOKUP(Предпосылки!$H$215,$C$13:$C$15,BG$13:BG$15),1)</f>
        <v>0</v>
      </c>
      <c s="125">
        <f>Предпосылки!BG$242*Предпосылки!$R266*Продажи!BH31*BH$19*(1+Чувствительность!$D$20)*IFERROR(LOOKUP(Предпосылки!$H$215,$C$13:$C$15,BH$13:BH$15),1)</f>
        <v>0</v>
      </c>
      <c s="125">
        <f>Предпосылки!BH$242*Предпосылки!$R266*Продажи!BI31*BI$19*(1+Чувствительность!$D$20)*IFERROR(LOOKUP(Предпосылки!$H$215,$C$13:$C$15,BI$13:BI$15),1)</f>
        <v>0</v>
      </c>
      <c s="125">
        <f>Предпосылки!BI$242*Предпосылки!$R266*Продажи!BJ31*BJ$19*(1+Чувствительность!$D$20)*IFERROR(LOOKUP(Предпосылки!$H$215,$C$13:$C$15,BJ$13:BJ$15),1)</f>
        <v>0</v>
      </c>
      <c s="125">
        <f>Предпосылки!BJ$242*Предпосылки!$R266*Продажи!BK31*BK$19*(1+Чувствительность!$D$20)*IFERROR(LOOKUP(Предпосылки!$H$215,$C$13:$C$15,BK$13:BK$15),1)</f>
        <v>0</v>
      </c>
      <c s="125">
        <f>Предпосылки!BK$242*Предпосылки!$R266*Продажи!BL31*BL$19*(1+Чувствительность!$D$20)*IFERROR(LOOKUP(Предпосылки!$H$215,$C$13:$C$15,BL$13:BL$15),1)</f>
        <v>0</v>
      </c>
      <c s="125">
        <f>Предпосылки!BL$242*Предпосылки!$R266*Продажи!BM31*BM$19*(1+Чувствительность!$D$20)*IFERROR(LOOKUP(Предпосылки!$H$215,$C$13:$C$15,BM$13:BM$15),1)</f>
        <v>0</v>
      </c>
    </row>
    <row r="359" spans="2:65" ht="15" customHeight="1">
      <c r="B359" s="12" t="str">
        <f t="shared" si="131"/>
        <v>Продукт 15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Предпосылки!D$242*Предпосылки!$R267*Продажи!E32*E$19*(1+Чувствительность!$D$20)*IFERROR(LOOKUP(Предпосылки!$H$215,$C$13:$C$15,E$13:E$15),1)</f>
        <v>0</v>
      </c>
      <c s="125">
        <f>Предпосылки!E$242*Предпосылки!$R267*Продажи!F32*F$19*(1+Чувствительность!$D$20)*IFERROR(LOOKUP(Предпосылки!$H$215,$C$13:$C$15,F$13:F$15),1)</f>
        <v>0</v>
      </c>
      <c s="125">
        <f>Предпосылки!F$242*Предпосылки!$R267*Продажи!G32*G$19*(1+Чувствительность!$D$20)*IFERROR(LOOKUP(Предпосылки!$H$215,$C$13:$C$15,G$13:G$15),1)</f>
        <v>0</v>
      </c>
      <c s="125">
        <f>Предпосылки!G$242*Предпосылки!$R267*Продажи!H32*H$19*(1+Чувствительность!$D$20)*IFERROR(LOOKUP(Предпосылки!$H$215,$C$13:$C$15,H$13:H$15),1)</f>
        <v>0</v>
      </c>
      <c s="125">
        <f>Предпосылки!H$242*Предпосылки!$R267*Продажи!I32*I$19*(1+Чувствительность!$D$20)*IFERROR(LOOKUP(Предпосылки!$H$215,$C$13:$C$15,I$13:I$15),1)</f>
        <v>0</v>
      </c>
      <c s="125">
        <f>Предпосылки!I$242*Предпосылки!$R267*Продажи!J32*J$19*(1+Чувствительность!$D$20)*IFERROR(LOOKUP(Предпосылки!$H$215,$C$13:$C$15,J$13:J$15),1)</f>
        <v>0</v>
      </c>
      <c s="125">
        <f>Предпосылки!J$242*Предпосылки!$R267*Продажи!K32*K$19*(1+Чувствительность!$D$20)*IFERROR(LOOKUP(Предпосылки!$H$215,$C$13:$C$15,K$13:K$15),1)</f>
        <v>0</v>
      </c>
      <c s="125">
        <f>Предпосылки!K$242*Предпосылки!$R267*Продажи!L32*L$19*(1+Чувствительность!$D$20)*IFERROR(LOOKUP(Предпосылки!$H$215,$C$13:$C$15,L$13:L$15),1)</f>
        <v>0</v>
      </c>
      <c s="125">
        <f>Предпосылки!L$242*Предпосылки!$R267*Продажи!M32*M$19*(1+Чувствительность!$D$20)*IFERROR(LOOKUP(Предпосылки!$H$215,$C$13:$C$15,M$13:M$15),1)</f>
        <v>0</v>
      </c>
      <c s="125">
        <f>Предпосылки!M$242*Предпосылки!$R267*Продажи!N32*N$19*(1+Чувствительность!$D$20)*IFERROR(LOOKUP(Предпосылки!$H$215,$C$13:$C$15,N$13:N$15),1)</f>
        <v>0</v>
      </c>
      <c s="125">
        <f>Предпосылки!N$242*Предпосылки!$R267*Продажи!O32*O$19*(1+Чувствительность!$D$20)*IFERROR(LOOKUP(Предпосылки!$H$215,$C$13:$C$15,O$13:O$15),1)</f>
        <v>0</v>
      </c>
      <c s="125">
        <f>Предпосылки!O$242*Предпосылки!$R267*Продажи!P32*P$19*(1+Чувствительность!$D$20)*IFERROR(LOOKUP(Предпосылки!$H$215,$C$13:$C$15,P$13:P$15),1)</f>
        <v>0</v>
      </c>
      <c s="125">
        <f>Предпосылки!P$242*Предпосылки!$R267*Продажи!Q32*Q$19*(1+Чувствительность!$D$20)*IFERROR(LOOKUP(Предпосылки!$H$215,$C$13:$C$15,Q$13:Q$15),1)</f>
        <v>0</v>
      </c>
      <c s="125">
        <f>Предпосылки!Q$242*Предпосылки!$R267*Продажи!R32*R$19*(1+Чувствительность!$D$20)*IFERROR(LOOKUP(Предпосылки!$H$215,$C$13:$C$15,R$13:R$15),1)</f>
        <v>0</v>
      </c>
      <c s="125">
        <f>Предпосылки!R$242*Предпосылки!$R267*Продажи!S32*S$19*(1+Чувствительность!$D$20)*IFERROR(LOOKUP(Предпосылки!$H$215,$C$13:$C$15,S$13:S$15),1)</f>
        <v>0</v>
      </c>
      <c s="125">
        <f>Предпосылки!S$242*Предпосылки!$R267*Продажи!T32*T$19*(1+Чувствительность!$D$20)*IFERROR(LOOKUP(Предпосылки!$H$215,$C$13:$C$15,T$13:T$15),1)</f>
        <v>0</v>
      </c>
      <c s="125">
        <f>Предпосылки!T$242*Предпосылки!$R267*Продажи!U32*U$19*(1+Чувствительность!$D$20)*IFERROR(LOOKUP(Предпосылки!$H$215,$C$13:$C$15,U$13:U$15),1)</f>
        <v>0</v>
      </c>
      <c s="125">
        <f>Предпосылки!U$242*Предпосылки!$R267*Продажи!V32*V$19*(1+Чувствительность!$D$20)*IFERROR(LOOKUP(Предпосылки!$H$215,$C$13:$C$15,V$13:V$15),1)</f>
        <v>0</v>
      </c>
      <c s="125">
        <f>Предпосылки!V$242*Предпосылки!$R267*Продажи!W32*W$19*(1+Чувствительность!$D$20)*IFERROR(LOOKUP(Предпосылки!$H$215,$C$13:$C$15,W$13:W$15),1)</f>
        <v>0</v>
      </c>
      <c s="125">
        <f>Предпосылки!W$242*Предпосылки!$R267*Продажи!X32*X$19*(1+Чувствительность!$D$20)*IFERROR(LOOKUP(Предпосылки!$H$215,$C$13:$C$15,X$13:X$15),1)</f>
        <v>0</v>
      </c>
      <c s="125">
        <f>Предпосылки!X$242*Предпосылки!$R267*Продажи!Y32*Y$19*(1+Чувствительность!$D$20)*IFERROR(LOOKUP(Предпосылки!$H$215,$C$13:$C$15,Y$13:Y$15),1)</f>
        <v>0</v>
      </c>
      <c s="125">
        <f>Предпосылки!Y$242*Предпосылки!$R267*Продажи!Z32*Z$19*(1+Чувствительность!$D$20)*IFERROR(LOOKUP(Предпосылки!$H$215,$C$13:$C$15,Z$13:Z$15),1)</f>
        <v>0</v>
      </c>
      <c s="125">
        <f>Предпосылки!Z$242*Предпосылки!$R267*Продажи!AA32*AA$19*(1+Чувствительность!$D$20)*IFERROR(LOOKUP(Предпосылки!$H$215,$C$13:$C$15,AA$13:AA$15),1)</f>
        <v>0</v>
      </c>
      <c s="125">
        <f>Предпосылки!AA$242*Предпосылки!$R267*Продажи!AB32*AB$19*(1+Чувствительность!$D$20)*IFERROR(LOOKUP(Предпосылки!$H$215,$C$13:$C$15,AB$13:AB$15),1)</f>
        <v>0</v>
      </c>
      <c s="125">
        <f>Предпосылки!AB$242*Предпосылки!$R267*Продажи!AC32*AC$19*(1+Чувствительность!$D$20)*IFERROR(LOOKUP(Предпосылки!$H$215,$C$13:$C$15,AC$13:AC$15),1)</f>
        <v>0</v>
      </c>
      <c s="125">
        <f>Предпосылки!AC$242*Предпосылки!$R267*Продажи!AD32*AD$19*(1+Чувствительность!$D$20)*IFERROR(LOOKUP(Предпосылки!$H$215,$C$13:$C$15,AD$13:AD$15),1)</f>
        <v>0</v>
      </c>
      <c s="125">
        <f>Предпосылки!AD$242*Предпосылки!$R267*Продажи!AE32*AE$19*(1+Чувствительность!$D$20)*IFERROR(LOOKUP(Предпосылки!$H$215,$C$13:$C$15,AE$13:AE$15),1)</f>
        <v>0</v>
      </c>
      <c s="125">
        <f>Предпосылки!AE$242*Предпосылки!$R267*Продажи!AF32*AF$19*(1+Чувствительность!$D$20)*IFERROR(LOOKUP(Предпосылки!$H$215,$C$13:$C$15,AF$13:AF$15),1)</f>
        <v>0</v>
      </c>
      <c s="125">
        <f>Предпосылки!AF$242*Предпосылки!$R267*Продажи!AG32*AG$19*(1+Чувствительность!$D$20)*IFERROR(LOOKUP(Предпосылки!$H$215,$C$13:$C$15,AG$13:AG$15),1)</f>
        <v>0</v>
      </c>
      <c s="125">
        <f>Предпосылки!AG$242*Предпосылки!$R267*Продажи!AH32*AH$19*(1+Чувствительность!$D$20)*IFERROR(LOOKUP(Предпосылки!$H$215,$C$13:$C$15,AH$13:AH$15),1)</f>
        <v>0</v>
      </c>
      <c s="125">
        <f>Предпосылки!AH$242*Предпосылки!$R267*Продажи!AI32*AI$19*(1+Чувствительность!$D$20)*IFERROR(LOOKUP(Предпосылки!$H$215,$C$13:$C$15,AI$13:AI$15),1)</f>
        <v>0</v>
      </c>
      <c s="125">
        <f>Предпосылки!AI$242*Предпосылки!$R267*Продажи!AJ32*AJ$19*(1+Чувствительность!$D$20)*IFERROR(LOOKUP(Предпосылки!$H$215,$C$13:$C$15,AJ$13:AJ$15),1)</f>
        <v>0</v>
      </c>
      <c s="125">
        <f>Предпосылки!AJ$242*Предпосылки!$R267*Продажи!AK32*AK$19*(1+Чувствительность!$D$20)*IFERROR(LOOKUP(Предпосылки!$H$215,$C$13:$C$15,AK$13:AK$15),1)</f>
        <v>0</v>
      </c>
      <c s="125">
        <f>Предпосылки!AK$242*Предпосылки!$R267*Продажи!AL32*AL$19*(1+Чувствительность!$D$20)*IFERROR(LOOKUP(Предпосылки!$H$215,$C$13:$C$15,AL$13:AL$15),1)</f>
        <v>0</v>
      </c>
      <c s="125">
        <f>Предпосылки!AL$242*Предпосылки!$R267*Продажи!AM32*AM$19*(1+Чувствительность!$D$20)*IFERROR(LOOKUP(Предпосылки!$H$215,$C$13:$C$15,AM$13:AM$15),1)</f>
        <v>0</v>
      </c>
      <c s="125">
        <f>Предпосылки!AM$242*Предпосылки!$R267*Продажи!AN32*AN$19*(1+Чувствительность!$D$20)*IFERROR(LOOKUP(Предпосылки!$H$215,$C$13:$C$15,AN$13:AN$15),1)</f>
        <v>0</v>
      </c>
      <c s="125">
        <f>Предпосылки!AN$242*Предпосылки!$R267*Продажи!AO32*AO$19*(1+Чувствительность!$D$20)*IFERROR(LOOKUP(Предпосылки!$H$215,$C$13:$C$15,AO$13:AO$15),1)</f>
        <v>0</v>
      </c>
      <c s="125">
        <f>Предпосылки!AO$242*Предпосылки!$R267*Продажи!AP32*AP$19*(1+Чувствительность!$D$20)*IFERROR(LOOKUP(Предпосылки!$H$215,$C$13:$C$15,AP$13:AP$15),1)</f>
        <v>0</v>
      </c>
      <c s="125">
        <f>Предпосылки!AP$242*Предпосылки!$R267*Продажи!AQ32*AQ$19*(1+Чувствительность!$D$20)*IFERROR(LOOKUP(Предпосылки!$H$215,$C$13:$C$15,AQ$13:AQ$15),1)</f>
        <v>0</v>
      </c>
      <c s="125">
        <f>Предпосылки!AQ$242*Предпосылки!$R267*Продажи!AR32*AR$19*(1+Чувствительность!$D$20)*IFERROR(LOOKUP(Предпосылки!$H$215,$C$13:$C$15,AR$13:AR$15),1)</f>
        <v>0</v>
      </c>
      <c s="125">
        <f>Предпосылки!AR$242*Предпосылки!$R267*Продажи!AS32*AS$19*(1+Чувствительность!$D$20)*IFERROR(LOOKUP(Предпосылки!$H$215,$C$13:$C$15,AS$13:AS$15),1)</f>
        <v>0</v>
      </c>
      <c s="125">
        <f>Предпосылки!AS$242*Предпосылки!$R267*Продажи!AT32*AT$19*(1+Чувствительность!$D$20)*IFERROR(LOOKUP(Предпосылки!$H$215,$C$13:$C$15,AT$13:AT$15),1)</f>
        <v>0</v>
      </c>
      <c s="125">
        <f>Предпосылки!AT$242*Предпосылки!$R267*Продажи!AU32*AU$19*(1+Чувствительность!$D$20)*IFERROR(LOOKUP(Предпосылки!$H$215,$C$13:$C$15,AU$13:AU$15),1)</f>
        <v>0</v>
      </c>
      <c s="125">
        <f>Предпосылки!AU$242*Предпосылки!$R267*Продажи!AV32*AV$19*(1+Чувствительность!$D$20)*IFERROR(LOOKUP(Предпосылки!$H$215,$C$13:$C$15,AV$13:AV$15),1)</f>
        <v>0</v>
      </c>
      <c s="125">
        <f>Предпосылки!AV$242*Предпосылки!$R267*Продажи!AW32*AW$19*(1+Чувствительность!$D$20)*IFERROR(LOOKUP(Предпосылки!$H$215,$C$13:$C$15,AW$13:AW$15),1)</f>
        <v>0</v>
      </c>
      <c s="125">
        <f>Предпосылки!AW$242*Предпосылки!$R267*Продажи!AX32*AX$19*(1+Чувствительность!$D$20)*IFERROR(LOOKUP(Предпосылки!$H$215,$C$13:$C$15,AX$13:AX$15),1)</f>
        <v>0</v>
      </c>
      <c s="125">
        <f>Предпосылки!AX$242*Предпосылки!$R267*Продажи!AY32*AY$19*(1+Чувствительность!$D$20)*IFERROR(LOOKUP(Предпосылки!$H$215,$C$13:$C$15,AY$13:AY$15),1)</f>
        <v>0</v>
      </c>
      <c s="125">
        <f>Предпосылки!AY$242*Предпосылки!$R267*Продажи!AZ32*AZ$19*(1+Чувствительность!$D$20)*IFERROR(LOOKUP(Предпосылки!$H$215,$C$13:$C$15,AZ$13:AZ$15),1)</f>
        <v>0</v>
      </c>
      <c s="125">
        <f>Предпосылки!AZ$242*Предпосылки!$R267*Продажи!BA32*BA$19*(1+Чувствительность!$D$20)*IFERROR(LOOKUP(Предпосылки!$H$215,$C$13:$C$15,BA$13:BA$15),1)</f>
        <v>0</v>
      </c>
      <c s="125">
        <f>Предпосылки!BA$242*Предпосылки!$R267*Продажи!BB32*BB$19*(1+Чувствительность!$D$20)*IFERROR(LOOKUP(Предпосылки!$H$215,$C$13:$C$15,BB$13:BB$15),1)</f>
        <v>0</v>
      </c>
      <c s="125">
        <f>Предпосылки!BB$242*Предпосылки!$R267*Продажи!BC32*BC$19*(1+Чувствительность!$D$20)*IFERROR(LOOKUP(Предпосылки!$H$215,$C$13:$C$15,BC$13:BC$15),1)</f>
        <v>0</v>
      </c>
      <c s="125">
        <f>Предпосылки!BC$242*Предпосылки!$R267*Продажи!BD32*BD$19*(1+Чувствительность!$D$20)*IFERROR(LOOKUP(Предпосылки!$H$215,$C$13:$C$15,BD$13:BD$15),1)</f>
        <v>0</v>
      </c>
      <c s="125">
        <f>Предпосылки!BD$242*Предпосылки!$R267*Продажи!BE32*BE$19*(1+Чувствительность!$D$20)*IFERROR(LOOKUP(Предпосылки!$H$215,$C$13:$C$15,BE$13:BE$15),1)</f>
        <v>0</v>
      </c>
      <c s="125">
        <f>Предпосылки!BE$242*Предпосылки!$R267*Продажи!BF32*BF$19*(1+Чувствительность!$D$20)*IFERROR(LOOKUP(Предпосылки!$H$215,$C$13:$C$15,BF$13:BF$15),1)</f>
        <v>0</v>
      </c>
      <c s="125">
        <f>Предпосылки!BF$242*Предпосылки!$R267*Продажи!BG32*BG$19*(1+Чувствительность!$D$20)*IFERROR(LOOKUP(Предпосылки!$H$215,$C$13:$C$15,BG$13:BG$15),1)</f>
        <v>0</v>
      </c>
      <c s="125">
        <f>Предпосылки!BG$242*Предпосылки!$R267*Продажи!BH32*BH$19*(1+Чувствительность!$D$20)*IFERROR(LOOKUP(Предпосылки!$H$215,$C$13:$C$15,BH$13:BH$15),1)</f>
        <v>0</v>
      </c>
      <c s="125">
        <f>Предпосылки!BH$242*Предпосылки!$R267*Продажи!BI32*BI$19*(1+Чувствительность!$D$20)*IFERROR(LOOKUP(Предпосылки!$H$215,$C$13:$C$15,BI$13:BI$15),1)</f>
        <v>0</v>
      </c>
      <c s="125">
        <f>Предпосылки!BI$242*Предпосылки!$R267*Продажи!BJ32*BJ$19*(1+Чувствительность!$D$20)*IFERROR(LOOKUP(Предпосылки!$H$215,$C$13:$C$15,BJ$13:BJ$15),1)</f>
        <v>0</v>
      </c>
      <c s="125">
        <f>Предпосылки!BJ$242*Предпосылки!$R267*Продажи!BK32*BK$19*(1+Чувствительность!$D$20)*IFERROR(LOOKUP(Предпосылки!$H$215,$C$13:$C$15,BK$13:BK$15),1)</f>
        <v>0</v>
      </c>
      <c s="125">
        <f>Предпосылки!BK$242*Предпосылки!$R267*Продажи!BL32*BL$19*(1+Чувствительность!$D$20)*IFERROR(LOOKUP(Предпосылки!$H$215,$C$13:$C$15,BL$13:BL$15),1)</f>
        <v>0</v>
      </c>
      <c s="125">
        <f>Предпосылки!BL$242*Предпосылки!$R267*Продажи!BM32*BM$19*(1+Чувствительность!$D$20)*IFERROR(LOOKUP(Предпосылки!$H$215,$C$13:$C$15,BM$13:BM$15),1)</f>
        <v>0</v>
      </c>
    </row>
    <row r="360" spans="2:65" ht="15" customHeight="1">
      <c r="B360" s="12" t="str">
        <f t="shared" si="131"/>
        <v>Продукт 16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Предпосылки!D$242*Предпосылки!$R268*Продажи!E33*E$19*(1+Чувствительность!$D$20)*IFERROR(LOOKUP(Предпосылки!$H$215,$C$13:$C$15,E$13:E$15),1)</f>
        <v>0</v>
      </c>
      <c s="125">
        <f>Предпосылки!E$242*Предпосылки!$R268*Продажи!F33*F$19*(1+Чувствительность!$D$20)*IFERROR(LOOKUP(Предпосылки!$H$215,$C$13:$C$15,F$13:F$15),1)</f>
        <v>0</v>
      </c>
      <c s="125">
        <f>Предпосылки!F$242*Предпосылки!$R268*Продажи!G33*G$19*(1+Чувствительность!$D$20)*IFERROR(LOOKUP(Предпосылки!$H$215,$C$13:$C$15,G$13:G$15),1)</f>
        <v>0</v>
      </c>
      <c s="125">
        <f>Предпосылки!G$242*Предпосылки!$R268*Продажи!H33*H$19*(1+Чувствительность!$D$20)*IFERROR(LOOKUP(Предпосылки!$H$215,$C$13:$C$15,H$13:H$15),1)</f>
        <v>0</v>
      </c>
      <c s="125">
        <f>Предпосылки!H$242*Предпосылки!$R268*Продажи!I33*I$19*(1+Чувствительность!$D$20)*IFERROR(LOOKUP(Предпосылки!$H$215,$C$13:$C$15,I$13:I$15),1)</f>
        <v>0</v>
      </c>
      <c s="125">
        <f>Предпосылки!I$242*Предпосылки!$R268*Продажи!J33*J$19*(1+Чувствительность!$D$20)*IFERROR(LOOKUP(Предпосылки!$H$215,$C$13:$C$15,J$13:J$15),1)</f>
        <v>0</v>
      </c>
      <c s="125">
        <f>Предпосылки!J$242*Предпосылки!$R268*Продажи!K33*K$19*(1+Чувствительность!$D$20)*IFERROR(LOOKUP(Предпосылки!$H$215,$C$13:$C$15,K$13:K$15),1)</f>
        <v>0</v>
      </c>
      <c s="125">
        <f>Предпосылки!K$242*Предпосылки!$R268*Продажи!L33*L$19*(1+Чувствительность!$D$20)*IFERROR(LOOKUP(Предпосылки!$H$215,$C$13:$C$15,L$13:L$15),1)</f>
        <v>0</v>
      </c>
      <c s="125">
        <f>Предпосылки!L$242*Предпосылки!$R268*Продажи!M33*M$19*(1+Чувствительность!$D$20)*IFERROR(LOOKUP(Предпосылки!$H$215,$C$13:$C$15,M$13:M$15),1)</f>
        <v>0</v>
      </c>
      <c s="125">
        <f>Предпосылки!M$242*Предпосылки!$R268*Продажи!N33*N$19*(1+Чувствительность!$D$20)*IFERROR(LOOKUP(Предпосылки!$H$215,$C$13:$C$15,N$13:N$15),1)</f>
        <v>0</v>
      </c>
      <c s="125">
        <f>Предпосылки!N$242*Предпосылки!$R268*Продажи!O33*O$19*(1+Чувствительность!$D$20)*IFERROR(LOOKUP(Предпосылки!$H$215,$C$13:$C$15,O$13:O$15),1)</f>
        <v>0</v>
      </c>
      <c s="125">
        <f>Предпосылки!O$242*Предпосылки!$R268*Продажи!P33*P$19*(1+Чувствительность!$D$20)*IFERROR(LOOKUP(Предпосылки!$H$215,$C$13:$C$15,P$13:P$15),1)</f>
        <v>0</v>
      </c>
      <c s="125">
        <f>Предпосылки!P$242*Предпосылки!$R268*Продажи!Q33*Q$19*(1+Чувствительность!$D$20)*IFERROR(LOOKUP(Предпосылки!$H$215,$C$13:$C$15,Q$13:Q$15),1)</f>
        <v>0</v>
      </c>
      <c s="125">
        <f>Предпосылки!Q$242*Предпосылки!$R268*Продажи!R33*R$19*(1+Чувствительность!$D$20)*IFERROR(LOOKUP(Предпосылки!$H$215,$C$13:$C$15,R$13:R$15),1)</f>
        <v>0</v>
      </c>
      <c s="125">
        <f>Предпосылки!R$242*Предпосылки!$R268*Продажи!S33*S$19*(1+Чувствительность!$D$20)*IFERROR(LOOKUP(Предпосылки!$H$215,$C$13:$C$15,S$13:S$15),1)</f>
        <v>0</v>
      </c>
      <c s="125">
        <f>Предпосылки!S$242*Предпосылки!$R268*Продажи!T33*T$19*(1+Чувствительность!$D$20)*IFERROR(LOOKUP(Предпосылки!$H$215,$C$13:$C$15,T$13:T$15),1)</f>
        <v>0</v>
      </c>
      <c s="125">
        <f>Предпосылки!T$242*Предпосылки!$R268*Продажи!U33*U$19*(1+Чувствительность!$D$20)*IFERROR(LOOKUP(Предпосылки!$H$215,$C$13:$C$15,U$13:U$15),1)</f>
        <v>0</v>
      </c>
      <c s="125">
        <f>Предпосылки!U$242*Предпосылки!$R268*Продажи!V33*V$19*(1+Чувствительность!$D$20)*IFERROR(LOOKUP(Предпосылки!$H$215,$C$13:$C$15,V$13:V$15),1)</f>
        <v>0</v>
      </c>
      <c s="125">
        <f>Предпосылки!V$242*Предпосылки!$R268*Продажи!W33*W$19*(1+Чувствительность!$D$20)*IFERROR(LOOKUP(Предпосылки!$H$215,$C$13:$C$15,W$13:W$15),1)</f>
        <v>0</v>
      </c>
      <c s="125">
        <f>Предпосылки!W$242*Предпосылки!$R268*Продажи!X33*X$19*(1+Чувствительность!$D$20)*IFERROR(LOOKUP(Предпосылки!$H$215,$C$13:$C$15,X$13:X$15),1)</f>
        <v>0</v>
      </c>
      <c s="125">
        <f>Предпосылки!X$242*Предпосылки!$R268*Продажи!Y33*Y$19*(1+Чувствительность!$D$20)*IFERROR(LOOKUP(Предпосылки!$H$215,$C$13:$C$15,Y$13:Y$15),1)</f>
        <v>0</v>
      </c>
      <c s="125">
        <f>Предпосылки!Y$242*Предпосылки!$R268*Продажи!Z33*Z$19*(1+Чувствительность!$D$20)*IFERROR(LOOKUP(Предпосылки!$H$215,$C$13:$C$15,Z$13:Z$15),1)</f>
        <v>0</v>
      </c>
      <c s="125">
        <f>Предпосылки!Z$242*Предпосылки!$R268*Продажи!AA33*AA$19*(1+Чувствительность!$D$20)*IFERROR(LOOKUP(Предпосылки!$H$215,$C$13:$C$15,AA$13:AA$15),1)</f>
        <v>0</v>
      </c>
      <c s="125">
        <f>Предпосылки!AA$242*Предпосылки!$R268*Продажи!AB33*AB$19*(1+Чувствительность!$D$20)*IFERROR(LOOKUP(Предпосылки!$H$215,$C$13:$C$15,AB$13:AB$15),1)</f>
        <v>0</v>
      </c>
      <c s="125">
        <f>Предпосылки!AB$242*Предпосылки!$R268*Продажи!AC33*AC$19*(1+Чувствительность!$D$20)*IFERROR(LOOKUP(Предпосылки!$H$215,$C$13:$C$15,AC$13:AC$15),1)</f>
        <v>0</v>
      </c>
      <c s="125">
        <f>Предпосылки!AC$242*Предпосылки!$R268*Продажи!AD33*AD$19*(1+Чувствительность!$D$20)*IFERROR(LOOKUP(Предпосылки!$H$215,$C$13:$C$15,AD$13:AD$15),1)</f>
        <v>0</v>
      </c>
      <c s="125">
        <f>Предпосылки!AD$242*Предпосылки!$R268*Продажи!AE33*AE$19*(1+Чувствительность!$D$20)*IFERROR(LOOKUP(Предпосылки!$H$215,$C$13:$C$15,AE$13:AE$15),1)</f>
        <v>0</v>
      </c>
      <c s="125">
        <f>Предпосылки!AE$242*Предпосылки!$R268*Продажи!AF33*AF$19*(1+Чувствительность!$D$20)*IFERROR(LOOKUP(Предпосылки!$H$215,$C$13:$C$15,AF$13:AF$15),1)</f>
        <v>0</v>
      </c>
      <c s="125">
        <f>Предпосылки!AF$242*Предпосылки!$R268*Продажи!AG33*AG$19*(1+Чувствительность!$D$20)*IFERROR(LOOKUP(Предпосылки!$H$215,$C$13:$C$15,AG$13:AG$15),1)</f>
        <v>0</v>
      </c>
      <c s="125">
        <f>Предпосылки!AG$242*Предпосылки!$R268*Продажи!AH33*AH$19*(1+Чувствительность!$D$20)*IFERROR(LOOKUP(Предпосылки!$H$215,$C$13:$C$15,AH$13:AH$15),1)</f>
        <v>0</v>
      </c>
      <c s="125">
        <f>Предпосылки!AH$242*Предпосылки!$R268*Продажи!AI33*AI$19*(1+Чувствительность!$D$20)*IFERROR(LOOKUP(Предпосылки!$H$215,$C$13:$C$15,AI$13:AI$15),1)</f>
        <v>0</v>
      </c>
      <c s="125">
        <f>Предпосылки!AI$242*Предпосылки!$R268*Продажи!AJ33*AJ$19*(1+Чувствительность!$D$20)*IFERROR(LOOKUP(Предпосылки!$H$215,$C$13:$C$15,AJ$13:AJ$15),1)</f>
        <v>0</v>
      </c>
      <c s="125">
        <f>Предпосылки!AJ$242*Предпосылки!$R268*Продажи!AK33*AK$19*(1+Чувствительность!$D$20)*IFERROR(LOOKUP(Предпосылки!$H$215,$C$13:$C$15,AK$13:AK$15),1)</f>
        <v>0</v>
      </c>
      <c s="125">
        <f>Предпосылки!AK$242*Предпосылки!$R268*Продажи!AL33*AL$19*(1+Чувствительность!$D$20)*IFERROR(LOOKUP(Предпосылки!$H$215,$C$13:$C$15,AL$13:AL$15),1)</f>
        <v>0</v>
      </c>
      <c s="125">
        <f>Предпосылки!AL$242*Предпосылки!$R268*Продажи!AM33*AM$19*(1+Чувствительность!$D$20)*IFERROR(LOOKUP(Предпосылки!$H$215,$C$13:$C$15,AM$13:AM$15),1)</f>
        <v>0</v>
      </c>
      <c s="125">
        <f>Предпосылки!AM$242*Предпосылки!$R268*Продажи!AN33*AN$19*(1+Чувствительность!$D$20)*IFERROR(LOOKUP(Предпосылки!$H$215,$C$13:$C$15,AN$13:AN$15),1)</f>
        <v>0</v>
      </c>
      <c s="125">
        <f>Предпосылки!AN$242*Предпосылки!$R268*Продажи!AO33*AO$19*(1+Чувствительность!$D$20)*IFERROR(LOOKUP(Предпосылки!$H$215,$C$13:$C$15,AO$13:AO$15),1)</f>
        <v>0</v>
      </c>
      <c s="125">
        <f>Предпосылки!AO$242*Предпосылки!$R268*Продажи!AP33*AP$19*(1+Чувствительность!$D$20)*IFERROR(LOOKUP(Предпосылки!$H$215,$C$13:$C$15,AP$13:AP$15),1)</f>
        <v>0</v>
      </c>
      <c s="125">
        <f>Предпосылки!AP$242*Предпосылки!$R268*Продажи!AQ33*AQ$19*(1+Чувствительность!$D$20)*IFERROR(LOOKUP(Предпосылки!$H$215,$C$13:$C$15,AQ$13:AQ$15),1)</f>
        <v>0</v>
      </c>
      <c s="125">
        <f>Предпосылки!AQ$242*Предпосылки!$R268*Продажи!AR33*AR$19*(1+Чувствительность!$D$20)*IFERROR(LOOKUP(Предпосылки!$H$215,$C$13:$C$15,AR$13:AR$15),1)</f>
        <v>0</v>
      </c>
      <c s="125">
        <f>Предпосылки!AR$242*Предпосылки!$R268*Продажи!AS33*AS$19*(1+Чувствительность!$D$20)*IFERROR(LOOKUP(Предпосылки!$H$215,$C$13:$C$15,AS$13:AS$15),1)</f>
        <v>0</v>
      </c>
      <c s="125">
        <f>Предпосылки!AS$242*Предпосылки!$R268*Продажи!AT33*AT$19*(1+Чувствительность!$D$20)*IFERROR(LOOKUP(Предпосылки!$H$215,$C$13:$C$15,AT$13:AT$15),1)</f>
        <v>0</v>
      </c>
      <c s="125">
        <f>Предпосылки!AT$242*Предпосылки!$R268*Продажи!AU33*AU$19*(1+Чувствительность!$D$20)*IFERROR(LOOKUP(Предпосылки!$H$215,$C$13:$C$15,AU$13:AU$15),1)</f>
        <v>0</v>
      </c>
      <c s="125">
        <f>Предпосылки!AU$242*Предпосылки!$R268*Продажи!AV33*AV$19*(1+Чувствительность!$D$20)*IFERROR(LOOKUP(Предпосылки!$H$215,$C$13:$C$15,AV$13:AV$15),1)</f>
        <v>0</v>
      </c>
      <c s="125">
        <f>Предпосылки!AV$242*Предпосылки!$R268*Продажи!AW33*AW$19*(1+Чувствительность!$D$20)*IFERROR(LOOKUP(Предпосылки!$H$215,$C$13:$C$15,AW$13:AW$15),1)</f>
        <v>0</v>
      </c>
      <c s="125">
        <f>Предпосылки!AW$242*Предпосылки!$R268*Продажи!AX33*AX$19*(1+Чувствительность!$D$20)*IFERROR(LOOKUP(Предпосылки!$H$215,$C$13:$C$15,AX$13:AX$15),1)</f>
        <v>0</v>
      </c>
      <c s="125">
        <f>Предпосылки!AX$242*Предпосылки!$R268*Продажи!AY33*AY$19*(1+Чувствительность!$D$20)*IFERROR(LOOKUP(Предпосылки!$H$215,$C$13:$C$15,AY$13:AY$15),1)</f>
        <v>0</v>
      </c>
      <c s="125">
        <f>Предпосылки!AY$242*Предпосылки!$R268*Продажи!AZ33*AZ$19*(1+Чувствительность!$D$20)*IFERROR(LOOKUP(Предпосылки!$H$215,$C$13:$C$15,AZ$13:AZ$15),1)</f>
        <v>0</v>
      </c>
      <c s="125">
        <f>Предпосылки!AZ$242*Предпосылки!$R268*Продажи!BA33*BA$19*(1+Чувствительность!$D$20)*IFERROR(LOOKUP(Предпосылки!$H$215,$C$13:$C$15,BA$13:BA$15),1)</f>
        <v>0</v>
      </c>
      <c s="125">
        <f>Предпосылки!BA$242*Предпосылки!$R268*Продажи!BB33*BB$19*(1+Чувствительность!$D$20)*IFERROR(LOOKUP(Предпосылки!$H$215,$C$13:$C$15,BB$13:BB$15),1)</f>
        <v>0</v>
      </c>
      <c s="125">
        <f>Предпосылки!BB$242*Предпосылки!$R268*Продажи!BC33*BC$19*(1+Чувствительность!$D$20)*IFERROR(LOOKUP(Предпосылки!$H$215,$C$13:$C$15,BC$13:BC$15),1)</f>
        <v>0</v>
      </c>
      <c s="125">
        <f>Предпосылки!BC$242*Предпосылки!$R268*Продажи!BD33*BD$19*(1+Чувствительность!$D$20)*IFERROR(LOOKUP(Предпосылки!$H$215,$C$13:$C$15,BD$13:BD$15),1)</f>
        <v>0</v>
      </c>
      <c s="125">
        <f>Предпосылки!BD$242*Предпосылки!$R268*Продажи!BE33*BE$19*(1+Чувствительность!$D$20)*IFERROR(LOOKUP(Предпосылки!$H$215,$C$13:$C$15,BE$13:BE$15),1)</f>
        <v>0</v>
      </c>
      <c s="125">
        <f>Предпосылки!BE$242*Предпосылки!$R268*Продажи!BF33*BF$19*(1+Чувствительность!$D$20)*IFERROR(LOOKUP(Предпосылки!$H$215,$C$13:$C$15,BF$13:BF$15),1)</f>
        <v>0</v>
      </c>
      <c s="125">
        <f>Предпосылки!BF$242*Предпосылки!$R268*Продажи!BG33*BG$19*(1+Чувствительность!$D$20)*IFERROR(LOOKUP(Предпосылки!$H$215,$C$13:$C$15,BG$13:BG$15),1)</f>
        <v>0</v>
      </c>
      <c s="125">
        <f>Предпосылки!BG$242*Предпосылки!$R268*Продажи!BH33*BH$19*(1+Чувствительность!$D$20)*IFERROR(LOOKUP(Предпосылки!$H$215,$C$13:$C$15,BH$13:BH$15),1)</f>
        <v>0</v>
      </c>
      <c s="125">
        <f>Предпосылки!BH$242*Предпосылки!$R268*Продажи!BI33*BI$19*(1+Чувствительность!$D$20)*IFERROR(LOOKUP(Предпосылки!$H$215,$C$13:$C$15,BI$13:BI$15),1)</f>
        <v>0</v>
      </c>
      <c s="125">
        <f>Предпосылки!BI$242*Предпосылки!$R268*Продажи!BJ33*BJ$19*(1+Чувствительность!$D$20)*IFERROR(LOOKUP(Предпосылки!$H$215,$C$13:$C$15,BJ$13:BJ$15),1)</f>
        <v>0</v>
      </c>
      <c s="125">
        <f>Предпосылки!BJ$242*Предпосылки!$R268*Продажи!BK33*BK$19*(1+Чувствительность!$D$20)*IFERROR(LOOKUP(Предпосылки!$H$215,$C$13:$C$15,BK$13:BK$15),1)</f>
        <v>0</v>
      </c>
      <c s="125">
        <f>Предпосылки!BK$242*Предпосылки!$R268*Продажи!BL33*BL$19*(1+Чувствительность!$D$20)*IFERROR(LOOKUP(Предпосылки!$H$215,$C$13:$C$15,BL$13:BL$15),1)</f>
        <v>0</v>
      </c>
      <c s="125">
        <f>Предпосылки!BL$242*Предпосылки!$R268*Продажи!BM33*BM$19*(1+Чувствительность!$D$20)*IFERROR(LOOKUP(Предпосылки!$H$215,$C$13:$C$15,BM$13:BM$15),1)</f>
        <v>0</v>
      </c>
    </row>
    <row r="361" spans="2:65" ht="15" customHeight="1">
      <c r="B361" s="12" t="str">
        <f t="shared" si="131"/>
        <v>Продукт 17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Предпосылки!D$242*Предпосылки!$R269*Продажи!E34*E$19*(1+Чувствительность!$D$20)*IFERROR(LOOKUP(Предпосылки!$H$215,$C$13:$C$15,E$13:E$15),1)</f>
        <v>0</v>
      </c>
      <c s="125">
        <f>Предпосылки!E$242*Предпосылки!$R269*Продажи!F34*F$19*(1+Чувствительность!$D$20)*IFERROR(LOOKUP(Предпосылки!$H$215,$C$13:$C$15,F$13:F$15),1)</f>
        <v>0</v>
      </c>
      <c s="125">
        <f>Предпосылки!F$242*Предпосылки!$R269*Продажи!G34*G$19*(1+Чувствительность!$D$20)*IFERROR(LOOKUP(Предпосылки!$H$215,$C$13:$C$15,G$13:G$15),1)</f>
        <v>0</v>
      </c>
      <c s="125">
        <f>Предпосылки!G$242*Предпосылки!$R269*Продажи!H34*H$19*(1+Чувствительность!$D$20)*IFERROR(LOOKUP(Предпосылки!$H$215,$C$13:$C$15,H$13:H$15),1)</f>
        <v>0</v>
      </c>
      <c s="125">
        <f>Предпосылки!H$242*Предпосылки!$R269*Продажи!I34*I$19*(1+Чувствительность!$D$20)*IFERROR(LOOKUP(Предпосылки!$H$215,$C$13:$C$15,I$13:I$15),1)</f>
        <v>0</v>
      </c>
      <c s="125">
        <f>Предпосылки!I$242*Предпосылки!$R269*Продажи!J34*J$19*(1+Чувствительность!$D$20)*IFERROR(LOOKUP(Предпосылки!$H$215,$C$13:$C$15,J$13:J$15),1)</f>
        <v>0</v>
      </c>
      <c s="125">
        <f>Предпосылки!J$242*Предпосылки!$R269*Продажи!K34*K$19*(1+Чувствительность!$D$20)*IFERROR(LOOKUP(Предпосылки!$H$215,$C$13:$C$15,K$13:K$15),1)</f>
        <v>0</v>
      </c>
      <c s="125">
        <f>Предпосылки!K$242*Предпосылки!$R269*Продажи!L34*L$19*(1+Чувствительность!$D$20)*IFERROR(LOOKUP(Предпосылки!$H$215,$C$13:$C$15,L$13:L$15),1)</f>
        <v>0</v>
      </c>
      <c s="125">
        <f>Предпосылки!L$242*Предпосылки!$R269*Продажи!M34*M$19*(1+Чувствительность!$D$20)*IFERROR(LOOKUP(Предпосылки!$H$215,$C$13:$C$15,M$13:M$15),1)</f>
        <v>0</v>
      </c>
      <c s="125">
        <f>Предпосылки!M$242*Предпосылки!$R269*Продажи!N34*N$19*(1+Чувствительность!$D$20)*IFERROR(LOOKUP(Предпосылки!$H$215,$C$13:$C$15,N$13:N$15),1)</f>
        <v>0</v>
      </c>
      <c s="125">
        <f>Предпосылки!N$242*Предпосылки!$R269*Продажи!O34*O$19*(1+Чувствительность!$D$20)*IFERROR(LOOKUP(Предпосылки!$H$215,$C$13:$C$15,O$13:O$15),1)</f>
        <v>0</v>
      </c>
      <c s="125">
        <f>Предпосылки!O$242*Предпосылки!$R269*Продажи!P34*P$19*(1+Чувствительность!$D$20)*IFERROR(LOOKUP(Предпосылки!$H$215,$C$13:$C$15,P$13:P$15),1)</f>
        <v>0</v>
      </c>
      <c s="125">
        <f>Предпосылки!P$242*Предпосылки!$R269*Продажи!Q34*Q$19*(1+Чувствительность!$D$20)*IFERROR(LOOKUP(Предпосылки!$H$215,$C$13:$C$15,Q$13:Q$15),1)</f>
        <v>0</v>
      </c>
      <c s="125">
        <f>Предпосылки!Q$242*Предпосылки!$R269*Продажи!R34*R$19*(1+Чувствительность!$D$20)*IFERROR(LOOKUP(Предпосылки!$H$215,$C$13:$C$15,R$13:R$15),1)</f>
        <v>0</v>
      </c>
      <c s="125">
        <f>Предпосылки!R$242*Предпосылки!$R269*Продажи!S34*S$19*(1+Чувствительность!$D$20)*IFERROR(LOOKUP(Предпосылки!$H$215,$C$13:$C$15,S$13:S$15),1)</f>
        <v>0</v>
      </c>
      <c s="125">
        <f>Предпосылки!S$242*Предпосылки!$R269*Продажи!T34*T$19*(1+Чувствительность!$D$20)*IFERROR(LOOKUP(Предпосылки!$H$215,$C$13:$C$15,T$13:T$15),1)</f>
        <v>0</v>
      </c>
      <c s="125">
        <f>Предпосылки!T$242*Предпосылки!$R269*Продажи!U34*U$19*(1+Чувствительность!$D$20)*IFERROR(LOOKUP(Предпосылки!$H$215,$C$13:$C$15,U$13:U$15),1)</f>
        <v>0</v>
      </c>
      <c s="125">
        <f>Предпосылки!U$242*Предпосылки!$R269*Продажи!V34*V$19*(1+Чувствительность!$D$20)*IFERROR(LOOKUP(Предпосылки!$H$215,$C$13:$C$15,V$13:V$15),1)</f>
        <v>0</v>
      </c>
      <c s="125">
        <f>Предпосылки!V$242*Предпосылки!$R269*Продажи!W34*W$19*(1+Чувствительность!$D$20)*IFERROR(LOOKUP(Предпосылки!$H$215,$C$13:$C$15,W$13:W$15),1)</f>
        <v>0</v>
      </c>
      <c s="125">
        <f>Предпосылки!W$242*Предпосылки!$R269*Продажи!X34*X$19*(1+Чувствительность!$D$20)*IFERROR(LOOKUP(Предпосылки!$H$215,$C$13:$C$15,X$13:X$15),1)</f>
        <v>0</v>
      </c>
      <c s="125">
        <f>Предпосылки!X$242*Предпосылки!$R269*Продажи!Y34*Y$19*(1+Чувствительность!$D$20)*IFERROR(LOOKUP(Предпосылки!$H$215,$C$13:$C$15,Y$13:Y$15),1)</f>
        <v>0</v>
      </c>
      <c s="125">
        <f>Предпосылки!Y$242*Предпосылки!$R269*Продажи!Z34*Z$19*(1+Чувствительность!$D$20)*IFERROR(LOOKUP(Предпосылки!$H$215,$C$13:$C$15,Z$13:Z$15),1)</f>
        <v>0</v>
      </c>
      <c s="125">
        <f>Предпосылки!Z$242*Предпосылки!$R269*Продажи!AA34*AA$19*(1+Чувствительность!$D$20)*IFERROR(LOOKUP(Предпосылки!$H$215,$C$13:$C$15,AA$13:AA$15),1)</f>
        <v>0</v>
      </c>
      <c s="125">
        <f>Предпосылки!AA$242*Предпосылки!$R269*Продажи!AB34*AB$19*(1+Чувствительность!$D$20)*IFERROR(LOOKUP(Предпосылки!$H$215,$C$13:$C$15,AB$13:AB$15),1)</f>
        <v>0</v>
      </c>
      <c s="125">
        <f>Предпосылки!AB$242*Предпосылки!$R269*Продажи!AC34*AC$19*(1+Чувствительность!$D$20)*IFERROR(LOOKUP(Предпосылки!$H$215,$C$13:$C$15,AC$13:AC$15),1)</f>
        <v>0</v>
      </c>
      <c s="125">
        <f>Предпосылки!AC$242*Предпосылки!$R269*Продажи!AD34*AD$19*(1+Чувствительность!$D$20)*IFERROR(LOOKUP(Предпосылки!$H$215,$C$13:$C$15,AD$13:AD$15),1)</f>
        <v>0</v>
      </c>
      <c s="125">
        <f>Предпосылки!AD$242*Предпосылки!$R269*Продажи!AE34*AE$19*(1+Чувствительность!$D$20)*IFERROR(LOOKUP(Предпосылки!$H$215,$C$13:$C$15,AE$13:AE$15),1)</f>
        <v>0</v>
      </c>
      <c s="125">
        <f>Предпосылки!AE$242*Предпосылки!$R269*Продажи!AF34*AF$19*(1+Чувствительность!$D$20)*IFERROR(LOOKUP(Предпосылки!$H$215,$C$13:$C$15,AF$13:AF$15),1)</f>
        <v>0</v>
      </c>
      <c s="125">
        <f>Предпосылки!AF$242*Предпосылки!$R269*Продажи!AG34*AG$19*(1+Чувствительность!$D$20)*IFERROR(LOOKUP(Предпосылки!$H$215,$C$13:$C$15,AG$13:AG$15),1)</f>
        <v>0</v>
      </c>
      <c s="125">
        <f>Предпосылки!AG$242*Предпосылки!$R269*Продажи!AH34*AH$19*(1+Чувствительность!$D$20)*IFERROR(LOOKUP(Предпосылки!$H$215,$C$13:$C$15,AH$13:AH$15),1)</f>
        <v>0</v>
      </c>
      <c s="125">
        <f>Предпосылки!AH$242*Предпосылки!$R269*Продажи!AI34*AI$19*(1+Чувствительность!$D$20)*IFERROR(LOOKUP(Предпосылки!$H$215,$C$13:$C$15,AI$13:AI$15),1)</f>
        <v>0</v>
      </c>
      <c s="125">
        <f>Предпосылки!AI$242*Предпосылки!$R269*Продажи!AJ34*AJ$19*(1+Чувствительность!$D$20)*IFERROR(LOOKUP(Предпосылки!$H$215,$C$13:$C$15,AJ$13:AJ$15),1)</f>
        <v>0</v>
      </c>
      <c s="125">
        <f>Предпосылки!AJ$242*Предпосылки!$R269*Продажи!AK34*AK$19*(1+Чувствительность!$D$20)*IFERROR(LOOKUP(Предпосылки!$H$215,$C$13:$C$15,AK$13:AK$15),1)</f>
        <v>0</v>
      </c>
      <c s="125">
        <f>Предпосылки!AK$242*Предпосылки!$R269*Продажи!AL34*AL$19*(1+Чувствительность!$D$20)*IFERROR(LOOKUP(Предпосылки!$H$215,$C$13:$C$15,AL$13:AL$15),1)</f>
        <v>0</v>
      </c>
      <c s="125">
        <f>Предпосылки!AL$242*Предпосылки!$R269*Продажи!AM34*AM$19*(1+Чувствительность!$D$20)*IFERROR(LOOKUP(Предпосылки!$H$215,$C$13:$C$15,AM$13:AM$15),1)</f>
        <v>0</v>
      </c>
      <c s="125">
        <f>Предпосылки!AM$242*Предпосылки!$R269*Продажи!AN34*AN$19*(1+Чувствительность!$D$20)*IFERROR(LOOKUP(Предпосылки!$H$215,$C$13:$C$15,AN$13:AN$15),1)</f>
        <v>0</v>
      </c>
      <c s="125">
        <f>Предпосылки!AN$242*Предпосылки!$R269*Продажи!AO34*AO$19*(1+Чувствительность!$D$20)*IFERROR(LOOKUP(Предпосылки!$H$215,$C$13:$C$15,AO$13:AO$15),1)</f>
        <v>0</v>
      </c>
      <c s="125">
        <f>Предпосылки!AO$242*Предпосылки!$R269*Продажи!AP34*AP$19*(1+Чувствительность!$D$20)*IFERROR(LOOKUP(Предпосылки!$H$215,$C$13:$C$15,AP$13:AP$15),1)</f>
        <v>0</v>
      </c>
      <c s="125">
        <f>Предпосылки!AP$242*Предпосылки!$R269*Продажи!AQ34*AQ$19*(1+Чувствительность!$D$20)*IFERROR(LOOKUP(Предпосылки!$H$215,$C$13:$C$15,AQ$13:AQ$15),1)</f>
        <v>0</v>
      </c>
      <c s="125">
        <f>Предпосылки!AQ$242*Предпосылки!$R269*Продажи!AR34*AR$19*(1+Чувствительность!$D$20)*IFERROR(LOOKUP(Предпосылки!$H$215,$C$13:$C$15,AR$13:AR$15),1)</f>
        <v>0</v>
      </c>
      <c s="125">
        <f>Предпосылки!AR$242*Предпосылки!$R269*Продажи!AS34*AS$19*(1+Чувствительность!$D$20)*IFERROR(LOOKUP(Предпосылки!$H$215,$C$13:$C$15,AS$13:AS$15),1)</f>
        <v>0</v>
      </c>
      <c s="125">
        <f>Предпосылки!AS$242*Предпосылки!$R269*Продажи!AT34*AT$19*(1+Чувствительность!$D$20)*IFERROR(LOOKUP(Предпосылки!$H$215,$C$13:$C$15,AT$13:AT$15),1)</f>
        <v>0</v>
      </c>
      <c s="125">
        <f>Предпосылки!AT$242*Предпосылки!$R269*Продажи!AU34*AU$19*(1+Чувствительность!$D$20)*IFERROR(LOOKUP(Предпосылки!$H$215,$C$13:$C$15,AU$13:AU$15),1)</f>
        <v>0</v>
      </c>
      <c s="125">
        <f>Предпосылки!AU$242*Предпосылки!$R269*Продажи!AV34*AV$19*(1+Чувствительность!$D$20)*IFERROR(LOOKUP(Предпосылки!$H$215,$C$13:$C$15,AV$13:AV$15),1)</f>
        <v>0</v>
      </c>
      <c s="125">
        <f>Предпосылки!AV$242*Предпосылки!$R269*Продажи!AW34*AW$19*(1+Чувствительность!$D$20)*IFERROR(LOOKUP(Предпосылки!$H$215,$C$13:$C$15,AW$13:AW$15),1)</f>
        <v>0</v>
      </c>
      <c s="125">
        <f>Предпосылки!AW$242*Предпосылки!$R269*Продажи!AX34*AX$19*(1+Чувствительность!$D$20)*IFERROR(LOOKUP(Предпосылки!$H$215,$C$13:$C$15,AX$13:AX$15),1)</f>
        <v>0</v>
      </c>
      <c s="125">
        <f>Предпосылки!AX$242*Предпосылки!$R269*Продажи!AY34*AY$19*(1+Чувствительность!$D$20)*IFERROR(LOOKUP(Предпосылки!$H$215,$C$13:$C$15,AY$13:AY$15),1)</f>
        <v>0</v>
      </c>
      <c s="125">
        <f>Предпосылки!AY$242*Предпосылки!$R269*Продажи!AZ34*AZ$19*(1+Чувствительность!$D$20)*IFERROR(LOOKUP(Предпосылки!$H$215,$C$13:$C$15,AZ$13:AZ$15),1)</f>
        <v>0</v>
      </c>
      <c s="125">
        <f>Предпосылки!AZ$242*Предпосылки!$R269*Продажи!BA34*BA$19*(1+Чувствительность!$D$20)*IFERROR(LOOKUP(Предпосылки!$H$215,$C$13:$C$15,BA$13:BA$15),1)</f>
        <v>0</v>
      </c>
      <c s="125">
        <f>Предпосылки!BA$242*Предпосылки!$R269*Продажи!BB34*BB$19*(1+Чувствительность!$D$20)*IFERROR(LOOKUP(Предпосылки!$H$215,$C$13:$C$15,BB$13:BB$15),1)</f>
        <v>0</v>
      </c>
      <c s="125">
        <f>Предпосылки!BB$242*Предпосылки!$R269*Продажи!BC34*BC$19*(1+Чувствительность!$D$20)*IFERROR(LOOKUP(Предпосылки!$H$215,$C$13:$C$15,BC$13:BC$15),1)</f>
        <v>0</v>
      </c>
      <c s="125">
        <f>Предпосылки!BC$242*Предпосылки!$R269*Продажи!BD34*BD$19*(1+Чувствительность!$D$20)*IFERROR(LOOKUP(Предпосылки!$H$215,$C$13:$C$15,BD$13:BD$15),1)</f>
        <v>0</v>
      </c>
      <c s="125">
        <f>Предпосылки!BD$242*Предпосылки!$R269*Продажи!BE34*BE$19*(1+Чувствительность!$D$20)*IFERROR(LOOKUP(Предпосылки!$H$215,$C$13:$C$15,BE$13:BE$15),1)</f>
        <v>0</v>
      </c>
      <c s="125">
        <f>Предпосылки!BE$242*Предпосылки!$R269*Продажи!BF34*BF$19*(1+Чувствительность!$D$20)*IFERROR(LOOKUP(Предпосылки!$H$215,$C$13:$C$15,BF$13:BF$15),1)</f>
        <v>0</v>
      </c>
      <c s="125">
        <f>Предпосылки!BF$242*Предпосылки!$R269*Продажи!BG34*BG$19*(1+Чувствительность!$D$20)*IFERROR(LOOKUP(Предпосылки!$H$215,$C$13:$C$15,BG$13:BG$15),1)</f>
        <v>0</v>
      </c>
      <c s="125">
        <f>Предпосылки!BG$242*Предпосылки!$R269*Продажи!BH34*BH$19*(1+Чувствительность!$D$20)*IFERROR(LOOKUP(Предпосылки!$H$215,$C$13:$C$15,BH$13:BH$15),1)</f>
        <v>0</v>
      </c>
      <c s="125">
        <f>Предпосылки!BH$242*Предпосылки!$R269*Продажи!BI34*BI$19*(1+Чувствительность!$D$20)*IFERROR(LOOKUP(Предпосылки!$H$215,$C$13:$C$15,BI$13:BI$15),1)</f>
        <v>0</v>
      </c>
      <c s="125">
        <f>Предпосылки!BI$242*Предпосылки!$R269*Продажи!BJ34*BJ$19*(1+Чувствительность!$D$20)*IFERROR(LOOKUP(Предпосылки!$H$215,$C$13:$C$15,BJ$13:BJ$15),1)</f>
        <v>0</v>
      </c>
      <c s="125">
        <f>Предпосылки!BJ$242*Предпосылки!$R269*Продажи!BK34*BK$19*(1+Чувствительность!$D$20)*IFERROR(LOOKUP(Предпосылки!$H$215,$C$13:$C$15,BK$13:BK$15),1)</f>
        <v>0</v>
      </c>
      <c s="125">
        <f>Предпосылки!BK$242*Предпосылки!$R269*Продажи!BL34*BL$19*(1+Чувствительность!$D$20)*IFERROR(LOOKUP(Предпосылки!$H$215,$C$13:$C$15,BL$13:BL$15),1)</f>
        <v>0</v>
      </c>
      <c s="125">
        <f>Предпосылки!BL$242*Предпосылки!$R269*Продажи!BM34*BM$19*(1+Чувствительность!$D$20)*IFERROR(LOOKUP(Предпосылки!$H$215,$C$13:$C$15,BM$13:BM$15),1)</f>
        <v>0</v>
      </c>
    </row>
    <row r="362" spans="2:65" ht="15" customHeight="1">
      <c r="B362" s="12" t="str">
        <f t="shared" si="131"/>
        <v>Продукт 18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Предпосылки!D$242*Предпосылки!$R270*Продажи!E35*E$19*(1+Чувствительность!$D$20)*IFERROR(LOOKUP(Предпосылки!$H$215,$C$13:$C$15,E$13:E$15),1)</f>
        <v>0</v>
      </c>
      <c s="125">
        <f>Предпосылки!E$242*Предпосылки!$R270*Продажи!F35*F$19*(1+Чувствительность!$D$20)*IFERROR(LOOKUP(Предпосылки!$H$215,$C$13:$C$15,F$13:F$15),1)</f>
        <v>0</v>
      </c>
      <c s="125">
        <f>Предпосылки!F$242*Предпосылки!$R270*Продажи!G35*G$19*(1+Чувствительность!$D$20)*IFERROR(LOOKUP(Предпосылки!$H$215,$C$13:$C$15,G$13:G$15),1)</f>
        <v>0</v>
      </c>
      <c s="125">
        <f>Предпосылки!G$242*Предпосылки!$R270*Продажи!H35*H$19*(1+Чувствительность!$D$20)*IFERROR(LOOKUP(Предпосылки!$H$215,$C$13:$C$15,H$13:H$15),1)</f>
        <v>0</v>
      </c>
      <c s="125">
        <f>Предпосылки!H$242*Предпосылки!$R270*Продажи!I35*I$19*(1+Чувствительность!$D$20)*IFERROR(LOOKUP(Предпосылки!$H$215,$C$13:$C$15,I$13:I$15),1)</f>
        <v>0</v>
      </c>
      <c s="125">
        <f>Предпосылки!I$242*Предпосылки!$R270*Продажи!J35*J$19*(1+Чувствительность!$D$20)*IFERROR(LOOKUP(Предпосылки!$H$215,$C$13:$C$15,J$13:J$15),1)</f>
        <v>0</v>
      </c>
      <c s="125">
        <f>Предпосылки!J$242*Предпосылки!$R270*Продажи!K35*K$19*(1+Чувствительность!$D$20)*IFERROR(LOOKUP(Предпосылки!$H$215,$C$13:$C$15,K$13:K$15),1)</f>
        <v>0</v>
      </c>
      <c s="125">
        <f>Предпосылки!K$242*Предпосылки!$R270*Продажи!L35*L$19*(1+Чувствительность!$D$20)*IFERROR(LOOKUP(Предпосылки!$H$215,$C$13:$C$15,L$13:L$15),1)</f>
        <v>0</v>
      </c>
      <c s="125">
        <f>Предпосылки!L$242*Предпосылки!$R270*Продажи!M35*M$19*(1+Чувствительность!$D$20)*IFERROR(LOOKUP(Предпосылки!$H$215,$C$13:$C$15,M$13:M$15),1)</f>
        <v>0</v>
      </c>
      <c s="125">
        <f>Предпосылки!M$242*Предпосылки!$R270*Продажи!N35*N$19*(1+Чувствительность!$D$20)*IFERROR(LOOKUP(Предпосылки!$H$215,$C$13:$C$15,N$13:N$15),1)</f>
        <v>0</v>
      </c>
      <c s="125">
        <f>Предпосылки!N$242*Предпосылки!$R270*Продажи!O35*O$19*(1+Чувствительность!$D$20)*IFERROR(LOOKUP(Предпосылки!$H$215,$C$13:$C$15,O$13:O$15),1)</f>
        <v>0</v>
      </c>
      <c s="125">
        <f>Предпосылки!O$242*Предпосылки!$R270*Продажи!P35*P$19*(1+Чувствительность!$D$20)*IFERROR(LOOKUP(Предпосылки!$H$215,$C$13:$C$15,P$13:P$15),1)</f>
        <v>0</v>
      </c>
      <c s="125">
        <f>Предпосылки!P$242*Предпосылки!$R270*Продажи!Q35*Q$19*(1+Чувствительность!$D$20)*IFERROR(LOOKUP(Предпосылки!$H$215,$C$13:$C$15,Q$13:Q$15),1)</f>
        <v>0</v>
      </c>
      <c s="125">
        <f>Предпосылки!Q$242*Предпосылки!$R270*Продажи!R35*R$19*(1+Чувствительность!$D$20)*IFERROR(LOOKUP(Предпосылки!$H$215,$C$13:$C$15,R$13:R$15),1)</f>
        <v>0</v>
      </c>
      <c s="125">
        <f>Предпосылки!R$242*Предпосылки!$R270*Продажи!S35*S$19*(1+Чувствительность!$D$20)*IFERROR(LOOKUP(Предпосылки!$H$215,$C$13:$C$15,S$13:S$15),1)</f>
        <v>0</v>
      </c>
      <c s="125">
        <f>Предпосылки!S$242*Предпосылки!$R270*Продажи!T35*T$19*(1+Чувствительность!$D$20)*IFERROR(LOOKUP(Предпосылки!$H$215,$C$13:$C$15,T$13:T$15),1)</f>
        <v>0</v>
      </c>
      <c s="125">
        <f>Предпосылки!T$242*Предпосылки!$R270*Продажи!U35*U$19*(1+Чувствительность!$D$20)*IFERROR(LOOKUP(Предпосылки!$H$215,$C$13:$C$15,U$13:U$15),1)</f>
        <v>0</v>
      </c>
      <c s="125">
        <f>Предпосылки!U$242*Предпосылки!$R270*Продажи!V35*V$19*(1+Чувствительность!$D$20)*IFERROR(LOOKUP(Предпосылки!$H$215,$C$13:$C$15,V$13:V$15),1)</f>
        <v>0</v>
      </c>
      <c s="125">
        <f>Предпосылки!V$242*Предпосылки!$R270*Продажи!W35*W$19*(1+Чувствительность!$D$20)*IFERROR(LOOKUP(Предпосылки!$H$215,$C$13:$C$15,W$13:W$15),1)</f>
        <v>0</v>
      </c>
      <c s="125">
        <f>Предпосылки!W$242*Предпосылки!$R270*Продажи!X35*X$19*(1+Чувствительность!$D$20)*IFERROR(LOOKUP(Предпосылки!$H$215,$C$13:$C$15,X$13:X$15),1)</f>
        <v>0</v>
      </c>
      <c s="125">
        <f>Предпосылки!X$242*Предпосылки!$R270*Продажи!Y35*Y$19*(1+Чувствительность!$D$20)*IFERROR(LOOKUP(Предпосылки!$H$215,$C$13:$C$15,Y$13:Y$15),1)</f>
        <v>0</v>
      </c>
      <c s="125">
        <f>Предпосылки!Y$242*Предпосылки!$R270*Продажи!Z35*Z$19*(1+Чувствительность!$D$20)*IFERROR(LOOKUP(Предпосылки!$H$215,$C$13:$C$15,Z$13:Z$15),1)</f>
        <v>0</v>
      </c>
      <c s="125">
        <f>Предпосылки!Z$242*Предпосылки!$R270*Продажи!AA35*AA$19*(1+Чувствительность!$D$20)*IFERROR(LOOKUP(Предпосылки!$H$215,$C$13:$C$15,AA$13:AA$15),1)</f>
        <v>0</v>
      </c>
      <c s="125">
        <f>Предпосылки!AA$242*Предпосылки!$R270*Продажи!AB35*AB$19*(1+Чувствительность!$D$20)*IFERROR(LOOKUP(Предпосылки!$H$215,$C$13:$C$15,AB$13:AB$15),1)</f>
        <v>0</v>
      </c>
      <c s="125">
        <f>Предпосылки!AB$242*Предпосылки!$R270*Продажи!AC35*AC$19*(1+Чувствительность!$D$20)*IFERROR(LOOKUP(Предпосылки!$H$215,$C$13:$C$15,AC$13:AC$15),1)</f>
        <v>0</v>
      </c>
      <c s="125">
        <f>Предпосылки!AC$242*Предпосылки!$R270*Продажи!AD35*AD$19*(1+Чувствительность!$D$20)*IFERROR(LOOKUP(Предпосылки!$H$215,$C$13:$C$15,AD$13:AD$15),1)</f>
        <v>0</v>
      </c>
      <c s="125">
        <f>Предпосылки!AD$242*Предпосылки!$R270*Продажи!AE35*AE$19*(1+Чувствительность!$D$20)*IFERROR(LOOKUP(Предпосылки!$H$215,$C$13:$C$15,AE$13:AE$15),1)</f>
        <v>0</v>
      </c>
      <c s="125">
        <f>Предпосылки!AE$242*Предпосылки!$R270*Продажи!AF35*AF$19*(1+Чувствительность!$D$20)*IFERROR(LOOKUP(Предпосылки!$H$215,$C$13:$C$15,AF$13:AF$15),1)</f>
        <v>0</v>
      </c>
      <c s="125">
        <f>Предпосылки!AF$242*Предпосылки!$R270*Продажи!AG35*AG$19*(1+Чувствительность!$D$20)*IFERROR(LOOKUP(Предпосылки!$H$215,$C$13:$C$15,AG$13:AG$15),1)</f>
        <v>0</v>
      </c>
      <c s="125">
        <f>Предпосылки!AG$242*Предпосылки!$R270*Продажи!AH35*AH$19*(1+Чувствительность!$D$20)*IFERROR(LOOKUP(Предпосылки!$H$215,$C$13:$C$15,AH$13:AH$15),1)</f>
        <v>0</v>
      </c>
      <c s="125">
        <f>Предпосылки!AH$242*Предпосылки!$R270*Продажи!AI35*AI$19*(1+Чувствительность!$D$20)*IFERROR(LOOKUP(Предпосылки!$H$215,$C$13:$C$15,AI$13:AI$15),1)</f>
        <v>0</v>
      </c>
      <c s="125">
        <f>Предпосылки!AI$242*Предпосылки!$R270*Продажи!AJ35*AJ$19*(1+Чувствительность!$D$20)*IFERROR(LOOKUP(Предпосылки!$H$215,$C$13:$C$15,AJ$13:AJ$15),1)</f>
        <v>0</v>
      </c>
      <c s="125">
        <f>Предпосылки!AJ$242*Предпосылки!$R270*Продажи!AK35*AK$19*(1+Чувствительность!$D$20)*IFERROR(LOOKUP(Предпосылки!$H$215,$C$13:$C$15,AK$13:AK$15),1)</f>
        <v>0</v>
      </c>
      <c s="125">
        <f>Предпосылки!AK$242*Предпосылки!$R270*Продажи!AL35*AL$19*(1+Чувствительность!$D$20)*IFERROR(LOOKUP(Предпосылки!$H$215,$C$13:$C$15,AL$13:AL$15),1)</f>
        <v>0</v>
      </c>
      <c s="125">
        <f>Предпосылки!AL$242*Предпосылки!$R270*Продажи!AM35*AM$19*(1+Чувствительность!$D$20)*IFERROR(LOOKUP(Предпосылки!$H$215,$C$13:$C$15,AM$13:AM$15),1)</f>
        <v>0</v>
      </c>
      <c s="125">
        <f>Предпосылки!AM$242*Предпосылки!$R270*Продажи!AN35*AN$19*(1+Чувствительность!$D$20)*IFERROR(LOOKUP(Предпосылки!$H$215,$C$13:$C$15,AN$13:AN$15),1)</f>
        <v>0</v>
      </c>
      <c s="125">
        <f>Предпосылки!AN$242*Предпосылки!$R270*Продажи!AO35*AO$19*(1+Чувствительность!$D$20)*IFERROR(LOOKUP(Предпосылки!$H$215,$C$13:$C$15,AO$13:AO$15),1)</f>
        <v>0</v>
      </c>
      <c s="125">
        <f>Предпосылки!AO$242*Предпосылки!$R270*Продажи!AP35*AP$19*(1+Чувствительность!$D$20)*IFERROR(LOOKUP(Предпосылки!$H$215,$C$13:$C$15,AP$13:AP$15),1)</f>
        <v>0</v>
      </c>
      <c s="125">
        <f>Предпосылки!AP$242*Предпосылки!$R270*Продажи!AQ35*AQ$19*(1+Чувствительность!$D$20)*IFERROR(LOOKUP(Предпосылки!$H$215,$C$13:$C$15,AQ$13:AQ$15),1)</f>
        <v>0</v>
      </c>
      <c s="125">
        <f>Предпосылки!AQ$242*Предпосылки!$R270*Продажи!AR35*AR$19*(1+Чувствительность!$D$20)*IFERROR(LOOKUP(Предпосылки!$H$215,$C$13:$C$15,AR$13:AR$15),1)</f>
        <v>0</v>
      </c>
      <c s="125">
        <f>Предпосылки!AR$242*Предпосылки!$R270*Продажи!AS35*AS$19*(1+Чувствительность!$D$20)*IFERROR(LOOKUP(Предпосылки!$H$215,$C$13:$C$15,AS$13:AS$15),1)</f>
        <v>0</v>
      </c>
      <c s="125">
        <f>Предпосылки!AS$242*Предпосылки!$R270*Продажи!AT35*AT$19*(1+Чувствительность!$D$20)*IFERROR(LOOKUP(Предпосылки!$H$215,$C$13:$C$15,AT$13:AT$15),1)</f>
        <v>0</v>
      </c>
      <c s="125">
        <f>Предпосылки!AT$242*Предпосылки!$R270*Продажи!AU35*AU$19*(1+Чувствительность!$D$20)*IFERROR(LOOKUP(Предпосылки!$H$215,$C$13:$C$15,AU$13:AU$15),1)</f>
        <v>0</v>
      </c>
      <c s="125">
        <f>Предпосылки!AU$242*Предпосылки!$R270*Продажи!AV35*AV$19*(1+Чувствительность!$D$20)*IFERROR(LOOKUP(Предпосылки!$H$215,$C$13:$C$15,AV$13:AV$15),1)</f>
        <v>0</v>
      </c>
      <c s="125">
        <f>Предпосылки!AV$242*Предпосылки!$R270*Продажи!AW35*AW$19*(1+Чувствительность!$D$20)*IFERROR(LOOKUP(Предпосылки!$H$215,$C$13:$C$15,AW$13:AW$15),1)</f>
        <v>0</v>
      </c>
      <c s="125">
        <f>Предпосылки!AW$242*Предпосылки!$R270*Продажи!AX35*AX$19*(1+Чувствительность!$D$20)*IFERROR(LOOKUP(Предпосылки!$H$215,$C$13:$C$15,AX$13:AX$15),1)</f>
        <v>0</v>
      </c>
      <c s="125">
        <f>Предпосылки!AX$242*Предпосылки!$R270*Продажи!AY35*AY$19*(1+Чувствительность!$D$20)*IFERROR(LOOKUP(Предпосылки!$H$215,$C$13:$C$15,AY$13:AY$15),1)</f>
        <v>0</v>
      </c>
      <c s="125">
        <f>Предпосылки!AY$242*Предпосылки!$R270*Продажи!AZ35*AZ$19*(1+Чувствительность!$D$20)*IFERROR(LOOKUP(Предпосылки!$H$215,$C$13:$C$15,AZ$13:AZ$15),1)</f>
        <v>0</v>
      </c>
      <c s="125">
        <f>Предпосылки!AZ$242*Предпосылки!$R270*Продажи!BA35*BA$19*(1+Чувствительность!$D$20)*IFERROR(LOOKUP(Предпосылки!$H$215,$C$13:$C$15,BA$13:BA$15),1)</f>
        <v>0</v>
      </c>
      <c s="125">
        <f>Предпосылки!BA$242*Предпосылки!$R270*Продажи!BB35*BB$19*(1+Чувствительность!$D$20)*IFERROR(LOOKUP(Предпосылки!$H$215,$C$13:$C$15,BB$13:BB$15),1)</f>
        <v>0</v>
      </c>
      <c s="125">
        <f>Предпосылки!BB$242*Предпосылки!$R270*Продажи!BC35*BC$19*(1+Чувствительность!$D$20)*IFERROR(LOOKUP(Предпосылки!$H$215,$C$13:$C$15,BC$13:BC$15),1)</f>
        <v>0</v>
      </c>
      <c s="125">
        <f>Предпосылки!BC$242*Предпосылки!$R270*Продажи!BD35*BD$19*(1+Чувствительность!$D$20)*IFERROR(LOOKUP(Предпосылки!$H$215,$C$13:$C$15,BD$13:BD$15),1)</f>
        <v>0</v>
      </c>
      <c s="125">
        <f>Предпосылки!BD$242*Предпосылки!$R270*Продажи!BE35*BE$19*(1+Чувствительность!$D$20)*IFERROR(LOOKUP(Предпосылки!$H$215,$C$13:$C$15,BE$13:BE$15),1)</f>
        <v>0</v>
      </c>
      <c s="125">
        <f>Предпосылки!BE$242*Предпосылки!$R270*Продажи!BF35*BF$19*(1+Чувствительность!$D$20)*IFERROR(LOOKUP(Предпосылки!$H$215,$C$13:$C$15,BF$13:BF$15),1)</f>
        <v>0</v>
      </c>
      <c s="125">
        <f>Предпосылки!BF$242*Предпосылки!$R270*Продажи!BG35*BG$19*(1+Чувствительность!$D$20)*IFERROR(LOOKUP(Предпосылки!$H$215,$C$13:$C$15,BG$13:BG$15),1)</f>
        <v>0</v>
      </c>
      <c s="125">
        <f>Предпосылки!BG$242*Предпосылки!$R270*Продажи!BH35*BH$19*(1+Чувствительность!$D$20)*IFERROR(LOOKUP(Предпосылки!$H$215,$C$13:$C$15,BH$13:BH$15),1)</f>
        <v>0</v>
      </c>
      <c s="125">
        <f>Предпосылки!BH$242*Предпосылки!$R270*Продажи!BI35*BI$19*(1+Чувствительность!$D$20)*IFERROR(LOOKUP(Предпосылки!$H$215,$C$13:$C$15,BI$13:BI$15),1)</f>
        <v>0</v>
      </c>
      <c s="125">
        <f>Предпосылки!BI$242*Предпосылки!$R270*Продажи!BJ35*BJ$19*(1+Чувствительность!$D$20)*IFERROR(LOOKUP(Предпосылки!$H$215,$C$13:$C$15,BJ$13:BJ$15),1)</f>
        <v>0</v>
      </c>
      <c s="125">
        <f>Предпосылки!BJ$242*Предпосылки!$R270*Продажи!BK35*BK$19*(1+Чувствительность!$D$20)*IFERROR(LOOKUP(Предпосылки!$H$215,$C$13:$C$15,BK$13:BK$15),1)</f>
        <v>0</v>
      </c>
      <c s="125">
        <f>Предпосылки!BK$242*Предпосылки!$R270*Продажи!BL35*BL$19*(1+Чувствительность!$D$20)*IFERROR(LOOKUP(Предпосылки!$H$215,$C$13:$C$15,BL$13:BL$15),1)</f>
        <v>0</v>
      </c>
      <c s="125">
        <f>Предпосылки!BL$242*Предпосылки!$R270*Продажи!BM35*BM$19*(1+Чувствительность!$D$20)*IFERROR(LOOKUP(Предпосылки!$H$215,$C$13:$C$15,BM$13:BM$15),1)</f>
        <v>0</v>
      </c>
    </row>
    <row r="363" spans="2:65" ht="15" customHeight="1">
      <c r="B363" s="12" t="str">
        <f t="shared" si="131"/>
        <v>Продукт 19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Предпосылки!D$242*Предпосылки!$R271*Продажи!E36*E$19*(1+Чувствительность!$D$20)*IFERROR(LOOKUP(Предпосылки!$H$215,$C$13:$C$15,E$13:E$15),1)</f>
        <v>0</v>
      </c>
      <c s="125">
        <f>Предпосылки!E$242*Предпосылки!$R271*Продажи!F36*F$19*(1+Чувствительность!$D$20)*IFERROR(LOOKUP(Предпосылки!$H$215,$C$13:$C$15,F$13:F$15),1)</f>
        <v>0</v>
      </c>
      <c s="125">
        <f>Предпосылки!F$242*Предпосылки!$R271*Продажи!G36*G$19*(1+Чувствительность!$D$20)*IFERROR(LOOKUP(Предпосылки!$H$215,$C$13:$C$15,G$13:G$15),1)</f>
        <v>0</v>
      </c>
      <c s="125">
        <f>Предпосылки!G$242*Предпосылки!$R271*Продажи!H36*H$19*(1+Чувствительность!$D$20)*IFERROR(LOOKUP(Предпосылки!$H$215,$C$13:$C$15,H$13:H$15),1)</f>
        <v>0</v>
      </c>
      <c s="125">
        <f>Предпосылки!H$242*Предпосылки!$R271*Продажи!I36*I$19*(1+Чувствительность!$D$20)*IFERROR(LOOKUP(Предпосылки!$H$215,$C$13:$C$15,I$13:I$15),1)</f>
        <v>0</v>
      </c>
      <c s="125">
        <f>Предпосылки!I$242*Предпосылки!$R271*Продажи!J36*J$19*(1+Чувствительность!$D$20)*IFERROR(LOOKUP(Предпосылки!$H$215,$C$13:$C$15,J$13:J$15),1)</f>
        <v>0</v>
      </c>
      <c s="125">
        <f>Предпосылки!J$242*Предпосылки!$R271*Продажи!K36*K$19*(1+Чувствительность!$D$20)*IFERROR(LOOKUP(Предпосылки!$H$215,$C$13:$C$15,K$13:K$15),1)</f>
        <v>0</v>
      </c>
      <c s="125">
        <f>Предпосылки!K$242*Предпосылки!$R271*Продажи!L36*L$19*(1+Чувствительность!$D$20)*IFERROR(LOOKUP(Предпосылки!$H$215,$C$13:$C$15,L$13:L$15),1)</f>
        <v>0</v>
      </c>
      <c s="125">
        <f>Предпосылки!L$242*Предпосылки!$R271*Продажи!M36*M$19*(1+Чувствительность!$D$20)*IFERROR(LOOKUP(Предпосылки!$H$215,$C$13:$C$15,M$13:M$15),1)</f>
        <v>0</v>
      </c>
      <c s="125">
        <f>Предпосылки!M$242*Предпосылки!$R271*Продажи!N36*N$19*(1+Чувствительность!$D$20)*IFERROR(LOOKUP(Предпосылки!$H$215,$C$13:$C$15,N$13:N$15),1)</f>
        <v>0</v>
      </c>
      <c s="125">
        <f>Предпосылки!N$242*Предпосылки!$R271*Продажи!O36*O$19*(1+Чувствительность!$D$20)*IFERROR(LOOKUP(Предпосылки!$H$215,$C$13:$C$15,O$13:O$15),1)</f>
        <v>0</v>
      </c>
      <c s="125">
        <f>Предпосылки!O$242*Предпосылки!$R271*Продажи!P36*P$19*(1+Чувствительность!$D$20)*IFERROR(LOOKUP(Предпосылки!$H$215,$C$13:$C$15,P$13:P$15),1)</f>
        <v>0</v>
      </c>
      <c s="125">
        <f>Предпосылки!P$242*Предпосылки!$R271*Продажи!Q36*Q$19*(1+Чувствительность!$D$20)*IFERROR(LOOKUP(Предпосылки!$H$215,$C$13:$C$15,Q$13:Q$15),1)</f>
        <v>0</v>
      </c>
      <c s="125">
        <f>Предпосылки!Q$242*Предпосылки!$R271*Продажи!R36*R$19*(1+Чувствительность!$D$20)*IFERROR(LOOKUP(Предпосылки!$H$215,$C$13:$C$15,R$13:R$15),1)</f>
        <v>0</v>
      </c>
      <c s="125">
        <f>Предпосылки!R$242*Предпосылки!$R271*Продажи!S36*S$19*(1+Чувствительность!$D$20)*IFERROR(LOOKUP(Предпосылки!$H$215,$C$13:$C$15,S$13:S$15),1)</f>
        <v>0</v>
      </c>
      <c s="125">
        <f>Предпосылки!S$242*Предпосылки!$R271*Продажи!T36*T$19*(1+Чувствительность!$D$20)*IFERROR(LOOKUP(Предпосылки!$H$215,$C$13:$C$15,T$13:T$15),1)</f>
        <v>0</v>
      </c>
      <c s="125">
        <f>Предпосылки!T$242*Предпосылки!$R271*Продажи!U36*U$19*(1+Чувствительность!$D$20)*IFERROR(LOOKUP(Предпосылки!$H$215,$C$13:$C$15,U$13:U$15),1)</f>
        <v>0</v>
      </c>
      <c s="125">
        <f>Предпосылки!U$242*Предпосылки!$R271*Продажи!V36*V$19*(1+Чувствительность!$D$20)*IFERROR(LOOKUP(Предпосылки!$H$215,$C$13:$C$15,V$13:V$15),1)</f>
        <v>0</v>
      </c>
      <c s="125">
        <f>Предпосылки!V$242*Предпосылки!$R271*Продажи!W36*W$19*(1+Чувствительность!$D$20)*IFERROR(LOOKUP(Предпосылки!$H$215,$C$13:$C$15,W$13:W$15),1)</f>
        <v>0</v>
      </c>
      <c s="125">
        <f>Предпосылки!W$242*Предпосылки!$R271*Продажи!X36*X$19*(1+Чувствительность!$D$20)*IFERROR(LOOKUP(Предпосылки!$H$215,$C$13:$C$15,X$13:X$15),1)</f>
        <v>0</v>
      </c>
      <c s="125">
        <f>Предпосылки!X$242*Предпосылки!$R271*Продажи!Y36*Y$19*(1+Чувствительность!$D$20)*IFERROR(LOOKUP(Предпосылки!$H$215,$C$13:$C$15,Y$13:Y$15),1)</f>
        <v>0</v>
      </c>
      <c s="125">
        <f>Предпосылки!Y$242*Предпосылки!$R271*Продажи!Z36*Z$19*(1+Чувствительность!$D$20)*IFERROR(LOOKUP(Предпосылки!$H$215,$C$13:$C$15,Z$13:Z$15),1)</f>
        <v>0</v>
      </c>
      <c s="125">
        <f>Предпосылки!Z$242*Предпосылки!$R271*Продажи!AA36*AA$19*(1+Чувствительность!$D$20)*IFERROR(LOOKUP(Предпосылки!$H$215,$C$13:$C$15,AA$13:AA$15),1)</f>
        <v>0</v>
      </c>
      <c s="125">
        <f>Предпосылки!AA$242*Предпосылки!$R271*Продажи!AB36*AB$19*(1+Чувствительность!$D$20)*IFERROR(LOOKUP(Предпосылки!$H$215,$C$13:$C$15,AB$13:AB$15),1)</f>
        <v>0</v>
      </c>
      <c s="125">
        <f>Предпосылки!AB$242*Предпосылки!$R271*Продажи!AC36*AC$19*(1+Чувствительность!$D$20)*IFERROR(LOOKUP(Предпосылки!$H$215,$C$13:$C$15,AC$13:AC$15),1)</f>
        <v>0</v>
      </c>
      <c s="125">
        <f>Предпосылки!AC$242*Предпосылки!$R271*Продажи!AD36*AD$19*(1+Чувствительность!$D$20)*IFERROR(LOOKUP(Предпосылки!$H$215,$C$13:$C$15,AD$13:AD$15),1)</f>
        <v>0</v>
      </c>
      <c s="125">
        <f>Предпосылки!AD$242*Предпосылки!$R271*Продажи!AE36*AE$19*(1+Чувствительность!$D$20)*IFERROR(LOOKUP(Предпосылки!$H$215,$C$13:$C$15,AE$13:AE$15),1)</f>
        <v>0</v>
      </c>
      <c s="125">
        <f>Предпосылки!AE$242*Предпосылки!$R271*Продажи!AF36*AF$19*(1+Чувствительность!$D$20)*IFERROR(LOOKUP(Предпосылки!$H$215,$C$13:$C$15,AF$13:AF$15),1)</f>
        <v>0</v>
      </c>
      <c s="125">
        <f>Предпосылки!AF$242*Предпосылки!$R271*Продажи!AG36*AG$19*(1+Чувствительность!$D$20)*IFERROR(LOOKUP(Предпосылки!$H$215,$C$13:$C$15,AG$13:AG$15),1)</f>
        <v>0</v>
      </c>
      <c s="125">
        <f>Предпосылки!AG$242*Предпосылки!$R271*Продажи!AH36*AH$19*(1+Чувствительность!$D$20)*IFERROR(LOOKUP(Предпосылки!$H$215,$C$13:$C$15,AH$13:AH$15),1)</f>
        <v>0</v>
      </c>
      <c s="125">
        <f>Предпосылки!AH$242*Предпосылки!$R271*Продажи!AI36*AI$19*(1+Чувствительность!$D$20)*IFERROR(LOOKUP(Предпосылки!$H$215,$C$13:$C$15,AI$13:AI$15),1)</f>
        <v>0</v>
      </c>
      <c s="125">
        <f>Предпосылки!AI$242*Предпосылки!$R271*Продажи!AJ36*AJ$19*(1+Чувствительность!$D$20)*IFERROR(LOOKUP(Предпосылки!$H$215,$C$13:$C$15,AJ$13:AJ$15),1)</f>
        <v>0</v>
      </c>
      <c s="125">
        <f>Предпосылки!AJ$242*Предпосылки!$R271*Продажи!AK36*AK$19*(1+Чувствительность!$D$20)*IFERROR(LOOKUP(Предпосылки!$H$215,$C$13:$C$15,AK$13:AK$15),1)</f>
        <v>0</v>
      </c>
      <c s="125">
        <f>Предпосылки!AK$242*Предпосылки!$R271*Продажи!AL36*AL$19*(1+Чувствительность!$D$20)*IFERROR(LOOKUP(Предпосылки!$H$215,$C$13:$C$15,AL$13:AL$15),1)</f>
        <v>0</v>
      </c>
      <c s="125">
        <f>Предпосылки!AL$242*Предпосылки!$R271*Продажи!AM36*AM$19*(1+Чувствительность!$D$20)*IFERROR(LOOKUP(Предпосылки!$H$215,$C$13:$C$15,AM$13:AM$15),1)</f>
        <v>0</v>
      </c>
      <c s="125">
        <f>Предпосылки!AM$242*Предпосылки!$R271*Продажи!AN36*AN$19*(1+Чувствительность!$D$20)*IFERROR(LOOKUP(Предпосылки!$H$215,$C$13:$C$15,AN$13:AN$15),1)</f>
        <v>0</v>
      </c>
      <c s="125">
        <f>Предпосылки!AN$242*Предпосылки!$R271*Продажи!AO36*AO$19*(1+Чувствительность!$D$20)*IFERROR(LOOKUP(Предпосылки!$H$215,$C$13:$C$15,AO$13:AO$15),1)</f>
        <v>0</v>
      </c>
      <c s="125">
        <f>Предпосылки!AO$242*Предпосылки!$R271*Продажи!AP36*AP$19*(1+Чувствительность!$D$20)*IFERROR(LOOKUP(Предпосылки!$H$215,$C$13:$C$15,AP$13:AP$15),1)</f>
        <v>0</v>
      </c>
      <c s="125">
        <f>Предпосылки!AP$242*Предпосылки!$R271*Продажи!AQ36*AQ$19*(1+Чувствительность!$D$20)*IFERROR(LOOKUP(Предпосылки!$H$215,$C$13:$C$15,AQ$13:AQ$15),1)</f>
        <v>0</v>
      </c>
      <c s="125">
        <f>Предпосылки!AQ$242*Предпосылки!$R271*Продажи!AR36*AR$19*(1+Чувствительность!$D$20)*IFERROR(LOOKUP(Предпосылки!$H$215,$C$13:$C$15,AR$13:AR$15),1)</f>
        <v>0</v>
      </c>
      <c s="125">
        <f>Предпосылки!AR$242*Предпосылки!$R271*Продажи!AS36*AS$19*(1+Чувствительность!$D$20)*IFERROR(LOOKUP(Предпосылки!$H$215,$C$13:$C$15,AS$13:AS$15),1)</f>
        <v>0</v>
      </c>
      <c s="125">
        <f>Предпосылки!AS$242*Предпосылки!$R271*Продажи!AT36*AT$19*(1+Чувствительность!$D$20)*IFERROR(LOOKUP(Предпосылки!$H$215,$C$13:$C$15,AT$13:AT$15),1)</f>
        <v>0</v>
      </c>
      <c s="125">
        <f>Предпосылки!AT$242*Предпосылки!$R271*Продажи!AU36*AU$19*(1+Чувствительность!$D$20)*IFERROR(LOOKUP(Предпосылки!$H$215,$C$13:$C$15,AU$13:AU$15),1)</f>
        <v>0</v>
      </c>
      <c s="125">
        <f>Предпосылки!AU$242*Предпосылки!$R271*Продажи!AV36*AV$19*(1+Чувствительность!$D$20)*IFERROR(LOOKUP(Предпосылки!$H$215,$C$13:$C$15,AV$13:AV$15),1)</f>
        <v>0</v>
      </c>
      <c s="125">
        <f>Предпосылки!AV$242*Предпосылки!$R271*Продажи!AW36*AW$19*(1+Чувствительность!$D$20)*IFERROR(LOOKUP(Предпосылки!$H$215,$C$13:$C$15,AW$13:AW$15),1)</f>
        <v>0</v>
      </c>
      <c s="125">
        <f>Предпосылки!AW$242*Предпосылки!$R271*Продажи!AX36*AX$19*(1+Чувствительность!$D$20)*IFERROR(LOOKUP(Предпосылки!$H$215,$C$13:$C$15,AX$13:AX$15),1)</f>
        <v>0</v>
      </c>
      <c s="125">
        <f>Предпосылки!AX$242*Предпосылки!$R271*Продажи!AY36*AY$19*(1+Чувствительность!$D$20)*IFERROR(LOOKUP(Предпосылки!$H$215,$C$13:$C$15,AY$13:AY$15),1)</f>
        <v>0</v>
      </c>
      <c s="125">
        <f>Предпосылки!AY$242*Предпосылки!$R271*Продажи!AZ36*AZ$19*(1+Чувствительность!$D$20)*IFERROR(LOOKUP(Предпосылки!$H$215,$C$13:$C$15,AZ$13:AZ$15),1)</f>
        <v>0</v>
      </c>
      <c s="125">
        <f>Предпосылки!AZ$242*Предпосылки!$R271*Продажи!BA36*BA$19*(1+Чувствительность!$D$20)*IFERROR(LOOKUP(Предпосылки!$H$215,$C$13:$C$15,BA$13:BA$15),1)</f>
        <v>0</v>
      </c>
      <c s="125">
        <f>Предпосылки!BA$242*Предпосылки!$R271*Продажи!BB36*BB$19*(1+Чувствительность!$D$20)*IFERROR(LOOKUP(Предпосылки!$H$215,$C$13:$C$15,BB$13:BB$15),1)</f>
        <v>0</v>
      </c>
      <c s="125">
        <f>Предпосылки!BB$242*Предпосылки!$R271*Продажи!BC36*BC$19*(1+Чувствительность!$D$20)*IFERROR(LOOKUP(Предпосылки!$H$215,$C$13:$C$15,BC$13:BC$15),1)</f>
        <v>0</v>
      </c>
      <c s="125">
        <f>Предпосылки!BC$242*Предпосылки!$R271*Продажи!BD36*BD$19*(1+Чувствительность!$D$20)*IFERROR(LOOKUP(Предпосылки!$H$215,$C$13:$C$15,BD$13:BD$15),1)</f>
        <v>0</v>
      </c>
      <c s="125">
        <f>Предпосылки!BD$242*Предпосылки!$R271*Продажи!BE36*BE$19*(1+Чувствительность!$D$20)*IFERROR(LOOKUP(Предпосылки!$H$215,$C$13:$C$15,BE$13:BE$15),1)</f>
        <v>0</v>
      </c>
      <c s="125">
        <f>Предпосылки!BE$242*Предпосылки!$R271*Продажи!BF36*BF$19*(1+Чувствительность!$D$20)*IFERROR(LOOKUP(Предпосылки!$H$215,$C$13:$C$15,BF$13:BF$15),1)</f>
        <v>0</v>
      </c>
      <c s="125">
        <f>Предпосылки!BF$242*Предпосылки!$R271*Продажи!BG36*BG$19*(1+Чувствительность!$D$20)*IFERROR(LOOKUP(Предпосылки!$H$215,$C$13:$C$15,BG$13:BG$15),1)</f>
        <v>0</v>
      </c>
      <c s="125">
        <f>Предпосылки!BG$242*Предпосылки!$R271*Продажи!BH36*BH$19*(1+Чувствительность!$D$20)*IFERROR(LOOKUP(Предпосылки!$H$215,$C$13:$C$15,BH$13:BH$15),1)</f>
        <v>0</v>
      </c>
      <c s="125">
        <f>Предпосылки!BH$242*Предпосылки!$R271*Продажи!BI36*BI$19*(1+Чувствительность!$D$20)*IFERROR(LOOKUP(Предпосылки!$H$215,$C$13:$C$15,BI$13:BI$15),1)</f>
        <v>0</v>
      </c>
      <c s="125">
        <f>Предпосылки!BI$242*Предпосылки!$R271*Продажи!BJ36*BJ$19*(1+Чувствительность!$D$20)*IFERROR(LOOKUP(Предпосылки!$H$215,$C$13:$C$15,BJ$13:BJ$15),1)</f>
        <v>0</v>
      </c>
      <c s="125">
        <f>Предпосылки!BJ$242*Предпосылки!$R271*Продажи!BK36*BK$19*(1+Чувствительность!$D$20)*IFERROR(LOOKUP(Предпосылки!$H$215,$C$13:$C$15,BK$13:BK$15),1)</f>
        <v>0</v>
      </c>
      <c s="125">
        <f>Предпосылки!BK$242*Предпосылки!$R271*Продажи!BL36*BL$19*(1+Чувствительность!$D$20)*IFERROR(LOOKUP(Предпосылки!$H$215,$C$13:$C$15,BL$13:BL$15),1)</f>
        <v>0</v>
      </c>
      <c s="125">
        <f>Предпосылки!BL$242*Предпосылки!$R271*Продажи!BM36*BM$19*(1+Чувствительность!$D$20)*IFERROR(LOOKUP(Предпосылки!$H$215,$C$13:$C$15,BM$13:BM$15),1)</f>
        <v>0</v>
      </c>
    </row>
    <row r="364" spans="2:65" ht="15" customHeight="1">
      <c r="B364" s="12" t="str">
        <f t="shared" si="131"/>
        <v>Продукт 20</v>
      </c>
      <c s="124" t="str">
        <f t="shared" si="130"/>
        <v>тыс. руб.</v>
      </c>
      <c s="276">
        <f t="shared" si="132"/>
        <v>0</v>
      </c>
      <c s="125">
        <f>Предпосылки!D$242*Предпосылки!$R272*Продажи!E37*E$19*(1+Чувствительность!$D$20)*IFERROR(LOOKUP(Предпосылки!$H$215,$C$13:$C$15,E$13:E$15),1)</f>
        <v>0</v>
      </c>
      <c s="125">
        <f>Предпосылки!E$242*Предпосылки!$R272*Продажи!F37*F$19*(1+Чувствительность!$D$20)*IFERROR(LOOKUP(Предпосылки!$H$215,$C$13:$C$15,F$13:F$15),1)</f>
        <v>0</v>
      </c>
      <c s="125">
        <f>Предпосылки!F$242*Предпосылки!$R272*Продажи!G37*G$19*(1+Чувствительность!$D$20)*IFERROR(LOOKUP(Предпосылки!$H$215,$C$13:$C$15,G$13:G$15),1)</f>
        <v>0</v>
      </c>
      <c s="125">
        <f>Предпосылки!G$242*Предпосылки!$R272*Продажи!H37*H$19*(1+Чувствительность!$D$20)*IFERROR(LOOKUP(Предпосылки!$H$215,$C$13:$C$15,H$13:H$15),1)</f>
        <v>0</v>
      </c>
      <c s="125">
        <f>Предпосылки!H$242*Предпосылки!$R272*Продажи!I37*I$19*(1+Чувствительность!$D$20)*IFERROR(LOOKUP(Предпосылки!$H$215,$C$13:$C$15,I$13:I$15),1)</f>
        <v>0</v>
      </c>
      <c s="125">
        <f>Предпосылки!I$242*Предпосылки!$R272*Продажи!J37*J$19*(1+Чувствительность!$D$20)*IFERROR(LOOKUP(Предпосылки!$H$215,$C$13:$C$15,J$13:J$15),1)</f>
        <v>0</v>
      </c>
      <c s="125">
        <f>Предпосылки!J$242*Предпосылки!$R272*Продажи!K37*K$19*(1+Чувствительность!$D$20)*IFERROR(LOOKUP(Предпосылки!$H$215,$C$13:$C$15,K$13:K$15),1)</f>
        <v>0</v>
      </c>
      <c s="125">
        <f>Предпосылки!K$242*Предпосылки!$R272*Продажи!L37*L$19*(1+Чувствительность!$D$20)*IFERROR(LOOKUP(Предпосылки!$H$215,$C$13:$C$15,L$13:L$15),1)</f>
        <v>0</v>
      </c>
      <c s="125">
        <f>Предпосылки!L$242*Предпосылки!$R272*Продажи!M37*M$19*(1+Чувствительность!$D$20)*IFERROR(LOOKUP(Предпосылки!$H$215,$C$13:$C$15,M$13:M$15),1)</f>
        <v>0</v>
      </c>
      <c s="125">
        <f>Предпосылки!M$242*Предпосылки!$R272*Продажи!N37*N$19*(1+Чувствительность!$D$20)*IFERROR(LOOKUP(Предпосылки!$H$215,$C$13:$C$15,N$13:N$15),1)</f>
        <v>0</v>
      </c>
      <c s="125">
        <f>Предпосылки!N$242*Предпосылки!$R272*Продажи!O37*O$19*(1+Чувствительность!$D$20)*IFERROR(LOOKUP(Предпосылки!$H$215,$C$13:$C$15,O$13:O$15),1)</f>
        <v>0</v>
      </c>
      <c s="125">
        <f>Предпосылки!O$242*Предпосылки!$R272*Продажи!P37*P$19*(1+Чувствительность!$D$20)*IFERROR(LOOKUP(Предпосылки!$H$215,$C$13:$C$15,P$13:P$15),1)</f>
        <v>0</v>
      </c>
      <c s="125">
        <f>Предпосылки!P$242*Предпосылки!$R272*Продажи!Q37*Q$19*(1+Чувствительность!$D$20)*IFERROR(LOOKUP(Предпосылки!$H$215,$C$13:$C$15,Q$13:Q$15),1)</f>
        <v>0</v>
      </c>
      <c s="125">
        <f>Предпосылки!Q$242*Предпосылки!$R272*Продажи!R37*R$19*(1+Чувствительность!$D$20)*IFERROR(LOOKUP(Предпосылки!$H$215,$C$13:$C$15,R$13:R$15),1)</f>
        <v>0</v>
      </c>
      <c s="125">
        <f>Предпосылки!R$242*Предпосылки!$R272*Продажи!S37*S$19*(1+Чувствительность!$D$20)*IFERROR(LOOKUP(Предпосылки!$H$215,$C$13:$C$15,S$13:S$15),1)</f>
        <v>0</v>
      </c>
      <c s="125">
        <f>Предпосылки!S$242*Предпосылки!$R272*Продажи!T37*T$19*(1+Чувствительность!$D$20)*IFERROR(LOOKUP(Предпосылки!$H$215,$C$13:$C$15,T$13:T$15),1)</f>
        <v>0</v>
      </c>
      <c s="125">
        <f>Предпосылки!T$242*Предпосылки!$R272*Продажи!U37*U$19*(1+Чувствительность!$D$20)*IFERROR(LOOKUP(Предпосылки!$H$215,$C$13:$C$15,U$13:U$15),1)</f>
        <v>0</v>
      </c>
      <c s="125">
        <f>Предпосылки!U$242*Предпосылки!$R272*Продажи!V37*V$19*(1+Чувствительность!$D$20)*IFERROR(LOOKUP(Предпосылки!$H$215,$C$13:$C$15,V$13:V$15),1)</f>
        <v>0</v>
      </c>
      <c s="125">
        <f>Предпосылки!V$242*Предпосылки!$R272*Продажи!W37*W$19*(1+Чувствительность!$D$20)*IFERROR(LOOKUP(Предпосылки!$H$215,$C$13:$C$15,W$13:W$15),1)</f>
        <v>0</v>
      </c>
      <c s="125">
        <f>Предпосылки!W$242*Предпосылки!$R272*Продажи!X37*X$19*(1+Чувствительность!$D$20)*IFERROR(LOOKUP(Предпосылки!$H$215,$C$13:$C$15,X$13:X$15),1)</f>
        <v>0</v>
      </c>
      <c s="125">
        <f>Предпосылки!X$242*Предпосылки!$R272*Продажи!Y37*Y$19*(1+Чувствительность!$D$20)*IFERROR(LOOKUP(Предпосылки!$H$215,$C$13:$C$15,Y$13:Y$15),1)</f>
        <v>0</v>
      </c>
      <c s="125">
        <f>Предпосылки!Y$242*Предпосылки!$R272*Продажи!Z37*Z$19*(1+Чувствительность!$D$20)*IFERROR(LOOKUP(Предпосылки!$H$215,$C$13:$C$15,Z$13:Z$15),1)</f>
        <v>0</v>
      </c>
      <c s="125">
        <f>Предпосылки!Z$242*Предпосылки!$R272*Продажи!AA37*AA$19*(1+Чувствительность!$D$20)*IFERROR(LOOKUP(Предпосылки!$H$215,$C$13:$C$15,AA$13:AA$15),1)</f>
        <v>0</v>
      </c>
      <c s="125">
        <f>Предпосылки!AA$242*Предпосылки!$R272*Продажи!AB37*AB$19*(1+Чувствительность!$D$20)*IFERROR(LOOKUP(Предпосылки!$H$215,$C$13:$C$15,AB$13:AB$15),1)</f>
        <v>0</v>
      </c>
      <c s="125">
        <f>Предпосылки!AB$242*Предпосылки!$R272*Продажи!AC37*AC$19*(1+Чувствительность!$D$20)*IFERROR(LOOKUP(Предпосылки!$H$215,$C$13:$C$15,AC$13:AC$15),1)</f>
        <v>0</v>
      </c>
      <c s="125">
        <f>Предпосылки!AC$242*Предпосылки!$R272*Продажи!AD37*AD$19*(1+Чувствительность!$D$20)*IFERROR(LOOKUP(Предпосылки!$H$215,$C$13:$C$15,AD$13:AD$15),1)</f>
        <v>0</v>
      </c>
      <c s="125">
        <f>Предпосылки!AD$242*Предпосылки!$R272*Продажи!AE37*AE$19*(1+Чувствительность!$D$20)*IFERROR(LOOKUP(Предпосылки!$H$215,$C$13:$C$15,AE$13:AE$15),1)</f>
        <v>0</v>
      </c>
      <c s="125">
        <f>Предпосылки!AE$242*Предпосылки!$R272*Продажи!AF37*AF$19*(1+Чувствительность!$D$20)*IFERROR(LOOKUP(Предпосылки!$H$215,$C$13:$C$15,AF$13:AF$15),1)</f>
        <v>0</v>
      </c>
      <c s="125">
        <f>Предпосылки!AF$242*Предпосылки!$R272*Продажи!AG37*AG$19*(1+Чувствительность!$D$20)*IFERROR(LOOKUP(Предпосылки!$H$215,$C$13:$C$15,AG$13:AG$15),1)</f>
        <v>0</v>
      </c>
      <c s="125">
        <f>Предпосылки!AG$242*Предпосылки!$R272*Продажи!AH37*AH$19*(1+Чувствительность!$D$20)*IFERROR(LOOKUP(Предпосылки!$H$215,$C$13:$C$15,AH$13:AH$15),1)</f>
        <v>0</v>
      </c>
      <c s="125">
        <f>Предпосылки!AH$242*Предпосылки!$R272*Продажи!AI37*AI$19*(1+Чувствительность!$D$20)*IFERROR(LOOKUP(Предпосылки!$H$215,$C$13:$C$15,AI$13:AI$15),1)</f>
        <v>0</v>
      </c>
      <c s="125">
        <f>Предпосылки!AI$242*Предпосылки!$R272*Продажи!AJ37*AJ$19*(1+Чувствительность!$D$20)*IFERROR(LOOKUP(Предпосылки!$H$215,$C$13:$C$15,AJ$13:AJ$15),1)</f>
        <v>0</v>
      </c>
      <c s="125">
        <f>Предпосылки!AJ$242*Предпосылки!$R272*Продажи!AK37*AK$19*(1+Чувствительность!$D$20)*IFERROR(LOOKUP(Предпосылки!$H$215,$C$13:$C$15,AK$13:AK$15),1)</f>
        <v>0</v>
      </c>
      <c s="125">
        <f>Предпосылки!AK$242*Предпосылки!$R272*Продажи!AL37*AL$19*(1+Чувствительность!$D$20)*IFERROR(LOOKUP(Предпосылки!$H$215,$C$13:$C$15,AL$13:AL$15),1)</f>
        <v>0</v>
      </c>
      <c s="125">
        <f>Предпосылки!AL$242*Предпосылки!$R272*Продажи!AM37*AM$19*(1+Чувствительность!$D$20)*IFERROR(LOOKUP(Предпосылки!$H$215,$C$13:$C$15,AM$13:AM$15),1)</f>
        <v>0</v>
      </c>
      <c s="125">
        <f>Предпосылки!AM$242*Предпосылки!$R272*Продажи!AN37*AN$19*(1+Чувствительность!$D$20)*IFERROR(LOOKUP(Предпосылки!$H$215,$C$13:$C$15,AN$13:AN$15),1)</f>
        <v>0</v>
      </c>
      <c s="125">
        <f>Предпосылки!AN$242*Предпосылки!$R272*Продажи!AO37*AO$19*(1+Чувствительность!$D$20)*IFERROR(LOOKUP(Предпосылки!$H$215,$C$13:$C$15,AO$13:AO$15),1)</f>
        <v>0</v>
      </c>
      <c s="125">
        <f>Предпосылки!AO$242*Предпосылки!$R272*Продажи!AP37*AP$19*(1+Чувствительность!$D$20)*IFERROR(LOOKUP(Предпосылки!$H$215,$C$13:$C$15,AP$13:AP$15),1)</f>
        <v>0</v>
      </c>
      <c s="125">
        <f>Предпосылки!AP$242*Предпосылки!$R272*Продажи!AQ37*AQ$19*(1+Чувствительность!$D$20)*IFERROR(LOOKUP(Предпосылки!$H$215,$C$13:$C$15,AQ$13:AQ$15),1)</f>
        <v>0</v>
      </c>
      <c s="125">
        <f>Предпосылки!AQ$242*Предпосылки!$R272*Продажи!AR37*AR$19*(1+Чувствительность!$D$20)*IFERROR(LOOKUP(Предпосылки!$H$215,$C$13:$C$15,AR$13:AR$15),1)</f>
        <v>0</v>
      </c>
      <c s="125">
        <f>Предпосылки!AR$242*Предпосылки!$R272*Продажи!AS37*AS$19*(1+Чувствительность!$D$20)*IFERROR(LOOKUP(Предпосылки!$H$215,$C$13:$C$15,AS$13:AS$15),1)</f>
        <v>0</v>
      </c>
      <c s="125">
        <f>Предпосылки!AS$242*Предпосылки!$R272*Продажи!AT37*AT$19*(1+Чувствительность!$D$20)*IFERROR(LOOKUP(Предпосылки!$H$215,$C$13:$C$15,AT$13:AT$15),1)</f>
        <v>0</v>
      </c>
      <c s="125">
        <f>Предпосылки!AT$242*Предпосылки!$R272*Продажи!AU37*AU$19*(1+Чувствительность!$D$20)*IFERROR(LOOKUP(Предпосылки!$H$215,$C$13:$C$15,AU$13:AU$15),1)</f>
        <v>0</v>
      </c>
      <c s="125">
        <f>Предпосылки!AU$242*Предпосылки!$R272*Продажи!AV37*AV$19*(1+Чувствительность!$D$20)*IFERROR(LOOKUP(Предпосылки!$H$215,$C$13:$C$15,AV$13:AV$15),1)</f>
        <v>0</v>
      </c>
      <c s="125">
        <f>Предпосылки!AV$242*Предпосылки!$R272*Продажи!AW37*AW$19*(1+Чувствительность!$D$20)*IFERROR(LOOKUP(Предпосылки!$H$215,$C$13:$C$15,AW$13:AW$15),1)</f>
        <v>0</v>
      </c>
      <c s="125">
        <f>Предпосылки!AW$242*Предпосылки!$R272*Продажи!AX37*AX$19*(1+Чувствительность!$D$20)*IFERROR(LOOKUP(Предпосылки!$H$215,$C$13:$C$15,AX$13:AX$15),1)</f>
        <v>0</v>
      </c>
      <c s="125">
        <f>Предпосылки!AX$242*Предпосылки!$R272*Продажи!AY37*AY$19*(1+Чувствительность!$D$20)*IFERROR(LOOKUP(Предпосылки!$H$215,$C$13:$C$15,AY$13:AY$15),1)</f>
        <v>0</v>
      </c>
      <c s="125">
        <f>Предпосылки!AY$242*Предпосылки!$R272*Продажи!AZ37*AZ$19*(1+Чувствительность!$D$20)*IFERROR(LOOKUP(Предпосылки!$H$215,$C$13:$C$15,AZ$13:AZ$15),1)</f>
        <v>0</v>
      </c>
      <c s="125">
        <f>Предпосылки!AZ$242*Предпосылки!$R272*Продажи!BA37*BA$19*(1+Чувствительность!$D$20)*IFERROR(LOOKUP(Предпосылки!$H$215,$C$13:$C$15,BA$13:BA$15),1)</f>
        <v>0</v>
      </c>
      <c s="125">
        <f>Предпосылки!BA$242*Предпосылки!$R272*Продажи!BB37*BB$19*(1+Чувствительность!$D$20)*IFERROR(LOOKUP(Предпосылки!$H$215,$C$13:$C$15,BB$13:BB$15),1)</f>
        <v>0</v>
      </c>
      <c s="125">
        <f>Предпосылки!BB$242*Предпосылки!$R272*Продажи!BC37*BC$19*(1+Чувствительность!$D$20)*IFERROR(LOOKUP(Предпосылки!$H$215,$C$13:$C$15,BC$13:BC$15),1)</f>
        <v>0</v>
      </c>
      <c s="125">
        <f>Предпосылки!BC$242*Предпосылки!$R272*Продажи!BD37*BD$19*(1+Чувствительность!$D$20)*IFERROR(LOOKUP(Предпосылки!$H$215,$C$13:$C$15,BD$13:BD$15),1)</f>
        <v>0</v>
      </c>
      <c s="125">
        <f>Предпосылки!BD$242*Предпосылки!$R272*Продажи!BE37*BE$19*(1+Чувствительность!$D$20)*IFERROR(LOOKUP(Предпосылки!$H$215,$C$13:$C$15,BE$13:BE$15),1)</f>
        <v>0</v>
      </c>
      <c s="125">
        <f>Предпосылки!BE$242*Предпосылки!$R272*Продажи!BF37*BF$19*(1+Чувствительность!$D$20)*IFERROR(LOOKUP(Предпосылки!$H$215,$C$13:$C$15,BF$13:BF$15),1)</f>
        <v>0</v>
      </c>
      <c s="125">
        <f>Предпосылки!BF$242*Предпосылки!$R272*Продажи!BG37*BG$19*(1+Чувствительность!$D$20)*IFERROR(LOOKUP(Предпосылки!$H$215,$C$13:$C$15,BG$13:BG$15),1)</f>
        <v>0</v>
      </c>
      <c s="125">
        <f>Предпосылки!BG$242*Предпосылки!$R272*Продажи!BH37*BH$19*(1+Чувствительность!$D$20)*IFERROR(LOOKUP(Предпосылки!$H$215,$C$13:$C$15,BH$13:BH$15),1)</f>
        <v>0</v>
      </c>
      <c s="125">
        <f>Предпосылки!BH$242*Предпосылки!$R272*Продажи!BI37*BI$19*(1+Чувствительность!$D$20)*IFERROR(LOOKUP(Предпосылки!$H$215,$C$13:$C$15,BI$13:BI$15),1)</f>
        <v>0</v>
      </c>
      <c s="125">
        <f>Предпосылки!BI$242*Предпосылки!$R272*Продажи!BJ37*BJ$19*(1+Чувствительность!$D$20)*IFERROR(LOOKUP(Предпосылки!$H$215,$C$13:$C$15,BJ$13:BJ$15),1)</f>
        <v>0</v>
      </c>
      <c s="125">
        <f>Предпосылки!BJ$242*Предпосылки!$R272*Продажи!BK37*BK$19*(1+Чувствительность!$D$20)*IFERROR(LOOKUP(Предпосылки!$H$215,$C$13:$C$15,BK$13:BK$15),1)</f>
        <v>0</v>
      </c>
      <c s="125">
        <f>Предпосылки!BK$242*Предпосылки!$R272*Продажи!BL37*BL$19*(1+Чувствительность!$D$20)*IFERROR(LOOKUP(Предпосылки!$H$215,$C$13:$C$15,BL$13:BL$15),1)</f>
        <v>0</v>
      </c>
      <c s="125">
        <f>Предпосылки!BL$242*Предпосылки!$R272*Продажи!BM37*BM$19*(1+Чувствительность!$D$20)*IFERROR(LOOKUP(Предпосылки!$H$215,$C$13:$C$15,BM$13:BM$15),1)</f>
        <v>0</v>
      </c>
    </row>
    <row r="365" spans="2:65" ht="15" customHeight="1">
      <c r="B365" s="289" t="s">
        <v>454</v>
      </c>
      <c s="290" t="str">
        <f>Единица_измерения</f>
        <v>тыс. руб.</v>
      </c>
      <c s="291">
        <f>SUM(D345:D364)</f>
        <v>0</v>
      </c>
      <c s="276">
        <f>SUM(E345:E364)</f>
        <v>0</v>
      </c>
      <c s="276">
        <f t="shared" si="133" ref="F365:AG365">SUM(F345:F364)</f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4" ref="AH365:BM365">SUM(AH345:AH364)</f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  <c s="276">
        <f t="shared" si="134"/>
        <v>0</v>
      </c>
    </row>
    <row r="366" ht="15" customHeight="1"/>
    <row r="367" spans="2:69" ht="14.45">
      <c r="B367" s="25" t="str">
        <f>Предпосылки!B243</f>
        <v>Операционные затраты 16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68" spans="2:65" ht="15" customHeight="1">
      <c r="B368" s="12" t="str">
        <f>B345</f>
        <v>Продукт 1</v>
      </c>
      <c s="124" t="str">
        <f t="shared" si="135" ref="C368:C387">Единица_измерения</f>
        <v>тыс. руб.</v>
      </c>
      <c s="276">
        <f>SUM(E368:BM368)</f>
        <v>0</v>
      </c>
      <c s="125">
        <f>Предпосылки!D$243*Предпосылки!$S253*Продажи!E18*E$19*(1+Чувствительность!$D$20)*IFERROR(LOOKUP(Предпосылки!$H$216,$C$13:$C$15,E$13:E$15),1)</f>
        <v>0</v>
      </c>
      <c s="125">
        <f>Предпосылки!E$243*Предпосылки!$S253*Продажи!F18*F$19*(1+Чувствительность!$D$20)*IFERROR(LOOKUP(Предпосылки!$H$216,$C$13:$C$15,F$13:F$15),1)</f>
        <v>0</v>
      </c>
      <c s="125">
        <f>Предпосылки!F$243*Предпосылки!$S253*Продажи!G18*G$19*(1+Чувствительность!$D$20)*IFERROR(LOOKUP(Предпосылки!$H$216,$C$13:$C$15,G$13:G$15),1)</f>
        <v>0</v>
      </c>
      <c s="125">
        <f>Предпосылки!G$243*Предпосылки!$S253*Продажи!H18*H$19*(1+Чувствительность!$D$20)*IFERROR(LOOKUP(Предпосылки!$H$216,$C$13:$C$15,H$13:H$15),1)</f>
        <v>0</v>
      </c>
      <c s="125">
        <f>Предпосылки!H$243*Предпосылки!$S253*Продажи!I18*I$19*(1+Чувствительность!$D$20)*IFERROR(LOOKUP(Предпосылки!$H$216,$C$13:$C$15,I$13:I$15),1)</f>
        <v>0</v>
      </c>
      <c s="125">
        <f>Предпосылки!I$243*Предпосылки!$S253*Продажи!J18*J$19*(1+Чувствительность!$D$20)*IFERROR(LOOKUP(Предпосылки!$H$216,$C$13:$C$15,J$13:J$15),1)</f>
        <v>0</v>
      </c>
      <c s="125">
        <f>Предпосылки!J$243*Предпосылки!$S253*Продажи!K18*K$19*(1+Чувствительность!$D$20)*IFERROR(LOOKUP(Предпосылки!$H$216,$C$13:$C$15,K$13:K$15),1)</f>
        <v>0</v>
      </c>
      <c s="125">
        <f>Предпосылки!K$243*Предпосылки!$S253*Продажи!L18*L$19*(1+Чувствительность!$D$20)*IFERROR(LOOKUP(Предпосылки!$H$216,$C$13:$C$15,L$13:L$15),1)</f>
        <v>0</v>
      </c>
      <c s="125">
        <f>Предпосылки!L$243*Предпосылки!$S253*Продажи!M18*M$19*(1+Чувствительность!$D$20)*IFERROR(LOOKUP(Предпосылки!$H$216,$C$13:$C$15,M$13:M$15),1)</f>
        <v>0</v>
      </c>
      <c s="125">
        <f>Предпосылки!M$243*Предпосылки!$S253*Продажи!N18*N$19*(1+Чувствительность!$D$20)*IFERROR(LOOKUP(Предпосылки!$H$216,$C$13:$C$15,N$13:N$15),1)</f>
        <v>0</v>
      </c>
      <c s="125">
        <f>Предпосылки!N$243*Предпосылки!$S253*Продажи!O18*O$19*(1+Чувствительность!$D$20)*IFERROR(LOOKUP(Предпосылки!$H$216,$C$13:$C$15,O$13:O$15),1)</f>
        <v>0</v>
      </c>
      <c s="125">
        <f>Предпосылки!O$243*Предпосылки!$S253*Продажи!P18*P$19*(1+Чувствительность!$D$20)*IFERROR(LOOKUP(Предпосылки!$H$216,$C$13:$C$15,P$13:P$15),1)</f>
        <v>0</v>
      </c>
      <c s="125">
        <f>Предпосылки!P$243*Предпосылки!$S253*Продажи!Q18*Q$19*(1+Чувствительность!$D$20)*IFERROR(LOOKUP(Предпосылки!$H$216,$C$13:$C$15,Q$13:Q$15),1)</f>
        <v>0</v>
      </c>
      <c s="125">
        <f>Предпосылки!Q$243*Предпосылки!$S253*Продажи!R18*R$19*(1+Чувствительность!$D$20)*IFERROR(LOOKUP(Предпосылки!$H$216,$C$13:$C$15,R$13:R$15),1)</f>
        <v>0</v>
      </c>
      <c s="125">
        <f>Предпосылки!R$243*Предпосылки!$S253*Продажи!S18*S$19*(1+Чувствительность!$D$20)*IFERROR(LOOKUP(Предпосылки!$H$216,$C$13:$C$15,S$13:S$15),1)</f>
        <v>0</v>
      </c>
      <c s="125">
        <f>Предпосылки!S$243*Предпосылки!$S253*Продажи!T18*T$19*(1+Чувствительность!$D$20)*IFERROR(LOOKUP(Предпосылки!$H$216,$C$13:$C$15,T$13:T$15),1)</f>
        <v>0</v>
      </c>
      <c s="125">
        <f>Предпосылки!T$243*Предпосылки!$S253*Продажи!U18*U$19*(1+Чувствительность!$D$20)*IFERROR(LOOKUP(Предпосылки!$H$216,$C$13:$C$15,U$13:U$15),1)</f>
        <v>0</v>
      </c>
      <c s="125">
        <f>Предпосылки!U$243*Предпосылки!$S253*Продажи!V18*V$19*(1+Чувствительность!$D$20)*IFERROR(LOOKUP(Предпосылки!$H$216,$C$13:$C$15,V$13:V$15),1)</f>
        <v>0</v>
      </c>
      <c s="125">
        <f>Предпосылки!V$243*Предпосылки!$S253*Продажи!W18*W$19*(1+Чувствительность!$D$20)*IFERROR(LOOKUP(Предпосылки!$H$216,$C$13:$C$15,W$13:W$15),1)</f>
        <v>0</v>
      </c>
      <c s="125">
        <f>Предпосылки!W$243*Предпосылки!$S253*Продажи!X18*X$19*(1+Чувствительность!$D$20)*IFERROR(LOOKUP(Предпосылки!$H$216,$C$13:$C$15,X$13:X$15),1)</f>
        <v>0</v>
      </c>
      <c s="125">
        <f>Предпосылки!X$243*Предпосылки!$S253*Продажи!Y18*Y$19*(1+Чувствительность!$D$20)*IFERROR(LOOKUP(Предпосылки!$H$216,$C$13:$C$15,Y$13:Y$15),1)</f>
        <v>0</v>
      </c>
      <c s="125">
        <f>Предпосылки!Y$243*Предпосылки!$S253*Продажи!Z18*Z$19*(1+Чувствительность!$D$20)*IFERROR(LOOKUP(Предпосылки!$H$216,$C$13:$C$15,Z$13:Z$15),1)</f>
        <v>0</v>
      </c>
      <c s="125">
        <f>Предпосылки!Z$243*Предпосылки!$S253*Продажи!AA18*AA$19*(1+Чувствительность!$D$20)*IFERROR(LOOKUP(Предпосылки!$H$216,$C$13:$C$15,AA$13:AA$15),1)</f>
        <v>0</v>
      </c>
      <c s="125">
        <f>Предпосылки!AA$243*Предпосылки!$S253*Продажи!AB18*AB$19*(1+Чувствительность!$D$20)*IFERROR(LOOKUP(Предпосылки!$H$216,$C$13:$C$15,AB$13:AB$15),1)</f>
        <v>0</v>
      </c>
      <c s="125">
        <f>Предпосылки!AB$243*Предпосылки!$S253*Продажи!AC18*AC$19*(1+Чувствительность!$D$20)*IFERROR(LOOKUP(Предпосылки!$H$216,$C$13:$C$15,AC$13:AC$15),1)</f>
        <v>0</v>
      </c>
      <c s="125">
        <f>Предпосылки!AC$243*Предпосылки!$S253*Продажи!AD18*AD$19*(1+Чувствительность!$D$20)*IFERROR(LOOKUP(Предпосылки!$H$216,$C$13:$C$15,AD$13:AD$15),1)</f>
        <v>0</v>
      </c>
      <c s="125">
        <f>Предпосылки!AD$243*Предпосылки!$S253*Продажи!AE18*AE$19*(1+Чувствительность!$D$20)*IFERROR(LOOKUP(Предпосылки!$H$216,$C$13:$C$15,AE$13:AE$15),1)</f>
        <v>0</v>
      </c>
      <c s="125">
        <f>Предпосылки!AE$243*Предпосылки!$S253*Продажи!AF18*AF$19*(1+Чувствительность!$D$20)*IFERROR(LOOKUP(Предпосылки!$H$216,$C$13:$C$15,AF$13:AF$15),1)</f>
        <v>0</v>
      </c>
      <c s="125">
        <f>Предпосылки!AF$243*Предпосылки!$S253*Продажи!AG18*AG$19*(1+Чувствительность!$D$20)*IFERROR(LOOKUP(Предпосылки!$H$216,$C$13:$C$15,AG$13:AG$15),1)</f>
        <v>0</v>
      </c>
      <c s="125">
        <f>Предпосылки!AG$243*Предпосылки!$S253*Продажи!AH18*AH$19*(1+Чувствительность!$D$20)*IFERROR(LOOKUP(Предпосылки!$H$216,$C$13:$C$15,AH$13:AH$15),1)</f>
        <v>0</v>
      </c>
      <c s="125">
        <f>Предпосылки!AH$243*Предпосылки!$S253*Продажи!AI18*AI$19*(1+Чувствительность!$D$20)*IFERROR(LOOKUP(Предпосылки!$H$216,$C$13:$C$15,AI$13:AI$15),1)</f>
        <v>0</v>
      </c>
      <c s="125">
        <f>Предпосылки!AI$243*Предпосылки!$S253*Продажи!AJ18*AJ$19*(1+Чувствительность!$D$20)*IFERROR(LOOKUP(Предпосылки!$H$216,$C$13:$C$15,AJ$13:AJ$15),1)</f>
        <v>0</v>
      </c>
      <c s="125">
        <f>Предпосылки!AJ$243*Предпосылки!$S253*Продажи!AK18*AK$19*(1+Чувствительность!$D$20)*IFERROR(LOOKUP(Предпосылки!$H$216,$C$13:$C$15,AK$13:AK$15),1)</f>
        <v>0</v>
      </c>
      <c s="125">
        <f>Предпосылки!AK$243*Предпосылки!$S253*Продажи!AL18*AL$19*(1+Чувствительность!$D$20)*IFERROR(LOOKUP(Предпосылки!$H$216,$C$13:$C$15,AL$13:AL$15),1)</f>
        <v>0</v>
      </c>
      <c s="125">
        <f>Предпосылки!AL$243*Предпосылки!$S253*Продажи!AM18*AM$19*(1+Чувствительность!$D$20)*IFERROR(LOOKUP(Предпосылки!$H$216,$C$13:$C$15,AM$13:AM$15),1)</f>
        <v>0</v>
      </c>
      <c s="125">
        <f>Предпосылки!AM$243*Предпосылки!$S253*Продажи!AN18*AN$19*(1+Чувствительность!$D$20)*IFERROR(LOOKUP(Предпосылки!$H$216,$C$13:$C$15,AN$13:AN$15),1)</f>
        <v>0</v>
      </c>
      <c s="125">
        <f>Предпосылки!AN$243*Предпосылки!$S253*Продажи!AO18*AO$19*(1+Чувствительность!$D$20)*IFERROR(LOOKUP(Предпосылки!$H$216,$C$13:$C$15,AO$13:AO$15),1)</f>
        <v>0</v>
      </c>
      <c s="125">
        <f>Предпосылки!AO$243*Предпосылки!$S253*Продажи!AP18*AP$19*(1+Чувствительность!$D$20)*IFERROR(LOOKUP(Предпосылки!$H$216,$C$13:$C$15,AP$13:AP$15),1)</f>
        <v>0</v>
      </c>
      <c s="125">
        <f>Предпосылки!AP$243*Предпосылки!$S253*Продажи!AQ18*AQ$19*(1+Чувствительность!$D$20)*IFERROR(LOOKUP(Предпосылки!$H$216,$C$13:$C$15,AQ$13:AQ$15),1)</f>
        <v>0</v>
      </c>
      <c s="125">
        <f>Предпосылки!AQ$243*Предпосылки!$S253*Продажи!AR18*AR$19*(1+Чувствительность!$D$20)*IFERROR(LOOKUP(Предпосылки!$H$216,$C$13:$C$15,AR$13:AR$15),1)</f>
        <v>0</v>
      </c>
      <c s="125">
        <f>Предпосылки!AR$243*Предпосылки!$S253*Продажи!AS18*AS$19*(1+Чувствительность!$D$20)*IFERROR(LOOKUP(Предпосылки!$H$216,$C$13:$C$15,AS$13:AS$15),1)</f>
        <v>0</v>
      </c>
      <c s="125">
        <f>Предпосылки!AS$243*Предпосылки!$S253*Продажи!AT18*AT$19*(1+Чувствительность!$D$20)*IFERROR(LOOKUP(Предпосылки!$H$216,$C$13:$C$15,AT$13:AT$15),1)</f>
        <v>0</v>
      </c>
      <c s="125">
        <f>Предпосылки!AT$243*Предпосылки!$S253*Продажи!AU18*AU$19*(1+Чувствительность!$D$20)*IFERROR(LOOKUP(Предпосылки!$H$216,$C$13:$C$15,AU$13:AU$15),1)</f>
        <v>0</v>
      </c>
      <c s="125">
        <f>Предпосылки!AU$243*Предпосылки!$S253*Продажи!AV18*AV$19*(1+Чувствительность!$D$20)*IFERROR(LOOKUP(Предпосылки!$H$216,$C$13:$C$15,AV$13:AV$15),1)</f>
        <v>0</v>
      </c>
      <c s="125">
        <f>Предпосылки!AV$243*Предпосылки!$S253*Продажи!AW18*AW$19*(1+Чувствительность!$D$20)*IFERROR(LOOKUP(Предпосылки!$H$216,$C$13:$C$15,AW$13:AW$15),1)</f>
        <v>0</v>
      </c>
      <c s="125">
        <f>Предпосылки!AW$243*Предпосылки!$S253*Продажи!AX18*AX$19*(1+Чувствительность!$D$20)*IFERROR(LOOKUP(Предпосылки!$H$216,$C$13:$C$15,AX$13:AX$15),1)</f>
        <v>0</v>
      </c>
      <c s="125">
        <f>Предпосылки!AX$243*Предпосылки!$S253*Продажи!AY18*AY$19*(1+Чувствительность!$D$20)*IFERROR(LOOKUP(Предпосылки!$H$216,$C$13:$C$15,AY$13:AY$15),1)</f>
        <v>0</v>
      </c>
      <c s="125">
        <f>Предпосылки!AY$243*Предпосылки!$S253*Продажи!AZ18*AZ$19*(1+Чувствительность!$D$20)*IFERROR(LOOKUP(Предпосылки!$H$216,$C$13:$C$15,AZ$13:AZ$15),1)</f>
        <v>0</v>
      </c>
      <c s="125">
        <f>Предпосылки!AZ$243*Предпосылки!$S253*Продажи!BA18*BA$19*(1+Чувствительность!$D$20)*IFERROR(LOOKUP(Предпосылки!$H$216,$C$13:$C$15,BA$13:BA$15),1)</f>
        <v>0</v>
      </c>
      <c s="125">
        <f>Предпосылки!BA$243*Предпосылки!$S253*Продажи!BB18*BB$19*(1+Чувствительность!$D$20)*IFERROR(LOOKUP(Предпосылки!$H$216,$C$13:$C$15,BB$13:BB$15),1)</f>
        <v>0</v>
      </c>
      <c s="125">
        <f>Предпосылки!BB$243*Предпосылки!$S253*Продажи!BC18*BC$19*(1+Чувствительность!$D$20)*IFERROR(LOOKUP(Предпосылки!$H$216,$C$13:$C$15,BC$13:BC$15),1)</f>
        <v>0</v>
      </c>
      <c s="125">
        <f>Предпосылки!BC$243*Предпосылки!$S253*Продажи!BD18*BD$19*(1+Чувствительность!$D$20)*IFERROR(LOOKUP(Предпосылки!$H$216,$C$13:$C$15,BD$13:BD$15),1)</f>
        <v>0</v>
      </c>
      <c s="125">
        <f>Предпосылки!BD$243*Предпосылки!$S253*Продажи!BE18*BE$19*(1+Чувствительность!$D$20)*IFERROR(LOOKUP(Предпосылки!$H$216,$C$13:$C$15,BE$13:BE$15),1)</f>
        <v>0</v>
      </c>
      <c s="125">
        <f>Предпосылки!BE$243*Предпосылки!$S253*Продажи!BF18*BF$19*(1+Чувствительность!$D$20)*IFERROR(LOOKUP(Предпосылки!$H$216,$C$13:$C$15,BF$13:BF$15),1)</f>
        <v>0</v>
      </c>
      <c s="125">
        <f>Предпосылки!BF$243*Предпосылки!$S253*Продажи!BG18*BG$19*(1+Чувствительность!$D$20)*IFERROR(LOOKUP(Предпосылки!$H$216,$C$13:$C$15,BG$13:BG$15),1)</f>
        <v>0</v>
      </c>
      <c s="125">
        <f>Предпосылки!BG$243*Предпосылки!$S253*Продажи!BH18*BH$19*(1+Чувствительность!$D$20)*IFERROR(LOOKUP(Предпосылки!$H$216,$C$13:$C$15,BH$13:BH$15),1)</f>
        <v>0</v>
      </c>
      <c s="125">
        <f>Предпосылки!BH$243*Предпосылки!$S253*Продажи!BI18*BI$19*(1+Чувствительность!$D$20)*IFERROR(LOOKUP(Предпосылки!$H$216,$C$13:$C$15,BI$13:BI$15),1)</f>
        <v>0</v>
      </c>
      <c s="125">
        <f>Предпосылки!BI$243*Предпосылки!$S253*Продажи!BJ18*BJ$19*(1+Чувствительность!$D$20)*IFERROR(LOOKUP(Предпосылки!$H$216,$C$13:$C$15,BJ$13:BJ$15),1)</f>
        <v>0</v>
      </c>
      <c s="125">
        <f>Предпосылки!BJ$243*Предпосылки!$S253*Продажи!BK18*BK$19*(1+Чувствительность!$D$20)*IFERROR(LOOKUP(Предпосылки!$H$216,$C$13:$C$15,BK$13:BK$15),1)</f>
        <v>0</v>
      </c>
      <c s="125">
        <f>Предпосылки!BK$243*Предпосылки!$S253*Продажи!BL18*BL$19*(1+Чувствительность!$D$20)*IFERROR(LOOKUP(Предпосылки!$H$216,$C$13:$C$15,BL$13:BL$15),1)</f>
        <v>0</v>
      </c>
      <c s="125">
        <f>Предпосылки!BL$243*Предпосылки!$S253*Продажи!BM18*BM$19*(1+Чувствительность!$D$20)*IFERROR(LOOKUP(Предпосылки!$H$216,$C$13:$C$15,BM$13:BM$15),1)</f>
        <v>0</v>
      </c>
    </row>
    <row r="369" spans="2:65" ht="15" customHeight="1">
      <c r="B369" s="12" t="str">
        <f t="shared" si="136" ref="B369:B387">B346</f>
        <v>Продукт 2</v>
      </c>
      <c s="124" t="str">
        <f t="shared" si="135"/>
        <v>тыс. руб.</v>
      </c>
      <c s="276">
        <f t="shared" si="137" ref="D369:D387">SUM(E369:BM369)</f>
        <v>0</v>
      </c>
      <c s="125">
        <f>Предпосылки!D$243*Предпосылки!$S254*Продажи!E19*E$19*(1+Чувствительность!$D$20)*IFERROR(LOOKUP(Предпосылки!$H$216,$C$13:$C$15,E$13:E$15),1)</f>
        <v>0</v>
      </c>
      <c s="125">
        <f>Предпосылки!E$243*Предпосылки!$S254*Продажи!F19*F$19*(1+Чувствительность!$D$20)*IFERROR(LOOKUP(Предпосылки!$H$216,$C$13:$C$15,F$13:F$15),1)</f>
        <v>0</v>
      </c>
      <c s="125">
        <f>Предпосылки!F$243*Предпосылки!$S254*Продажи!G19*G$19*(1+Чувствительность!$D$20)*IFERROR(LOOKUP(Предпосылки!$H$216,$C$13:$C$15,G$13:G$15),1)</f>
        <v>0</v>
      </c>
      <c s="125">
        <f>Предпосылки!G$243*Предпосылки!$S254*Продажи!H19*H$19*(1+Чувствительность!$D$20)*IFERROR(LOOKUP(Предпосылки!$H$216,$C$13:$C$15,H$13:H$15),1)</f>
        <v>0</v>
      </c>
      <c s="125">
        <f>Предпосылки!H$243*Предпосылки!$S254*Продажи!I19*I$19*(1+Чувствительность!$D$20)*IFERROR(LOOKUP(Предпосылки!$H$216,$C$13:$C$15,I$13:I$15),1)</f>
        <v>0</v>
      </c>
      <c s="125">
        <f>Предпосылки!I$243*Предпосылки!$S254*Продажи!J19*J$19*(1+Чувствительность!$D$20)*IFERROR(LOOKUP(Предпосылки!$H$216,$C$13:$C$15,J$13:J$15),1)</f>
        <v>0</v>
      </c>
      <c s="125">
        <f>Предпосылки!J$243*Предпосылки!$S254*Продажи!K19*K$19*(1+Чувствительность!$D$20)*IFERROR(LOOKUP(Предпосылки!$H$216,$C$13:$C$15,K$13:K$15),1)</f>
        <v>0</v>
      </c>
      <c s="125">
        <f>Предпосылки!K$243*Предпосылки!$S254*Продажи!L19*L$19*(1+Чувствительность!$D$20)*IFERROR(LOOKUP(Предпосылки!$H$216,$C$13:$C$15,L$13:L$15),1)</f>
        <v>0</v>
      </c>
      <c s="125">
        <f>Предпосылки!L$243*Предпосылки!$S254*Продажи!M19*M$19*(1+Чувствительность!$D$20)*IFERROR(LOOKUP(Предпосылки!$H$216,$C$13:$C$15,M$13:M$15),1)</f>
        <v>0</v>
      </c>
      <c s="125">
        <f>Предпосылки!M$243*Предпосылки!$S254*Продажи!N19*N$19*(1+Чувствительность!$D$20)*IFERROR(LOOKUP(Предпосылки!$H$216,$C$13:$C$15,N$13:N$15),1)</f>
        <v>0</v>
      </c>
      <c s="125">
        <f>Предпосылки!N$243*Предпосылки!$S254*Продажи!O19*O$19*(1+Чувствительность!$D$20)*IFERROR(LOOKUP(Предпосылки!$H$216,$C$13:$C$15,O$13:O$15),1)</f>
        <v>0</v>
      </c>
      <c s="125">
        <f>Предпосылки!O$243*Предпосылки!$S254*Продажи!P19*P$19*(1+Чувствительность!$D$20)*IFERROR(LOOKUP(Предпосылки!$H$216,$C$13:$C$15,P$13:P$15),1)</f>
        <v>0</v>
      </c>
      <c s="125">
        <f>Предпосылки!P$243*Предпосылки!$S254*Продажи!Q19*Q$19*(1+Чувствительность!$D$20)*IFERROR(LOOKUP(Предпосылки!$H$216,$C$13:$C$15,Q$13:Q$15),1)</f>
        <v>0</v>
      </c>
      <c s="125">
        <f>Предпосылки!Q$243*Предпосылки!$S254*Продажи!R19*R$19*(1+Чувствительность!$D$20)*IFERROR(LOOKUP(Предпосылки!$H$216,$C$13:$C$15,R$13:R$15),1)</f>
        <v>0</v>
      </c>
      <c s="125">
        <f>Предпосылки!R$243*Предпосылки!$S254*Продажи!S19*S$19*(1+Чувствительность!$D$20)*IFERROR(LOOKUP(Предпосылки!$H$216,$C$13:$C$15,S$13:S$15),1)</f>
        <v>0</v>
      </c>
      <c s="125">
        <f>Предпосылки!S$243*Предпосылки!$S254*Продажи!T19*T$19*(1+Чувствительность!$D$20)*IFERROR(LOOKUP(Предпосылки!$H$216,$C$13:$C$15,T$13:T$15),1)</f>
        <v>0</v>
      </c>
      <c s="125">
        <f>Предпосылки!T$243*Предпосылки!$S254*Продажи!U19*U$19*(1+Чувствительность!$D$20)*IFERROR(LOOKUP(Предпосылки!$H$216,$C$13:$C$15,U$13:U$15),1)</f>
        <v>0</v>
      </c>
      <c s="125">
        <f>Предпосылки!U$243*Предпосылки!$S254*Продажи!V19*V$19*(1+Чувствительность!$D$20)*IFERROR(LOOKUP(Предпосылки!$H$216,$C$13:$C$15,V$13:V$15),1)</f>
        <v>0</v>
      </c>
      <c s="125">
        <f>Предпосылки!V$243*Предпосылки!$S254*Продажи!W19*W$19*(1+Чувствительность!$D$20)*IFERROR(LOOKUP(Предпосылки!$H$216,$C$13:$C$15,W$13:W$15),1)</f>
        <v>0</v>
      </c>
      <c s="125">
        <f>Предпосылки!W$243*Предпосылки!$S254*Продажи!X19*X$19*(1+Чувствительность!$D$20)*IFERROR(LOOKUP(Предпосылки!$H$216,$C$13:$C$15,X$13:X$15),1)</f>
        <v>0</v>
      </c>
      <c s="125">
        <f>Предпосылки!X$243*Предпосылки!$S254*Продажи!Y19*Y$19*(1+Чувствительность!$D$20)*IFERROR(LOOKUP(Предпосылки!$H$216,$C$13:$C$15,Y$13:Y$15),1)</f>
        <v>0</v>
      </c>
      <c s="125">
        <f>Предпосылки!Y$243*Предпосылки!$S254*Продажи!Z19*Z$19*(1+Чувствительность!$D$20)*IFERROR(LOOKUP(Предпосылки!$H$216,$C$13:$C$15,Z$13:Z$15),1)</f>
        <v>0</v>
      </c>
      <c s="125">
        <f>Предпосылки!Z$243*Предпосылки!$S254*Продажи!AA19*AA$19*(1+Чувствительность!$D$20)*IFERROR(LOOKUP(Предпосылки!$H$216,$C$13:$C$15,AA$13:AA$15),1)</f>
        <v>0</v>
      </c>
      <c s="125">
        <f>Предпосылки!AA$243*Предпосылки!$S254*Продажи!AB19*AB$19*(1+Чувствительность!$D$20)*IFERROR(LOOKUP(Предпосылки!$H$216,$C$13:$C$15,AB$13:AB$15),1)</f>
        <v>0</v>
      </c>
      <c s="125">
        <f>Предпосылки!AB$243*Предпосылки!$S254*Продажи!AC19*AC$19*(1+Чувствительность!$D$20)*IFERROR(LOOKUP(Предпосылки!$H$216,$C$13:$C$15,AC$13:AC$15),1)</f>
        <v>0</v>
      </c>
      <c s="125">
        <f>Предпосылки!AC$243*Предпосылки!$S254*Продажи!AD19*AD$19*(1+Чувствительность!$D$20)*IFERROR(LOOKUP(Предпосылки!$H$216,$C$13:$C$15,AD$13:AD$15),1)</f>
        <v>0</v>
      </c>
      <c s="125">
        <f>Предпосылки!AD$243*Предпосылки!$S254*Продажи!AE19*AE$19*(1+Чувствительность!$D$20)*IFERROR(LOOKUP(Предпосылки!$H$216,$C$13:$C$15,AE$13:AE$15),1)</f>
        <v>0</v>
      </c>
      <c s="125">
        <f>Предпосылки!AE$243*Предпосылки!$S254*Продажи!AF19*AF$19*(1+Чувствительность!$D$20)*IFERROR(LOOKUP(Предпосылки!$H$216,$C$13:$C$15,AF$13:AF$15),1)</f>
        <v>0</v>
      </c>
      <c s="125">
        <f>Предпосылки!AF$243*Предпосылки!$S254*Продажи!AG19*AG$19*(1+Чувствительность!$D$20)*IFERROR(LOOKUP(Предпосылки!$H$216,$C$13:$C$15,AG$13:AG$15),1)</f>
        <v>0</v>
      </c>
      <c s="125">
        <f>Предпосылки!AG$243*Предпосылки!$S254*Продажи!AH19*AH$19*(1+Чувствительность!$D$20)*IFERROR(LOOKUP(Предпосылки!$H$216,$C$13:$C$15,AH$13:AH$15),1)</f>
        <v>0</v>
      </c>
      <c s="125">
        <f>Предпосылки!AH$243*Предпосылки!$S254*Продажи!AI19*AI$19*(1+Чувствительность!$D$20)*IFERROR(LOOKUP(Предпосылки!$H$216,$C$13:$C$15,AI$13:AI$15),1)</f>
        <v>0</v>
      </c>
      <c s="125">
        <f>Предпосылки!AI$243*Предпосылки!$S254*Продажи!AJ19*AJ$19*(1+Чувствительность!$D$20)*IFERROR(LOOKUP(Предпосылки!$H$216,$C$13:$C$15,AJ$13:AJ$15),1)</f>
        <v>0</v>
      </c>
      <c s="125">
        <f>Предпосылки!AJ$243*Предпосылки!$S254*Продажи!AK19*AK$19*(1+Чувствительность!$D$20)*IFERROR(LOOKUP(Предпосылки!$H$216,$C$13:$C$15,AK$13:AK$15),1)</f>
        <v>0</v>
      </c>
      <c s="125">
        <f>Предпосылки!AK$243*Предпосылки!$S254*Продажи!AL19*AL$19*(1+Чувствительность!$D$20)*IFERROR(LOOKUP(Предпосылки!$H$216,$C$13:$C$15,AL$13:AL$15),1)</f>
        <v>0</v>
      </c>
      <c s="125">
        <f>Предпосылки!AL$243*Предпосылки!$S254*Продажи!AM19*AM$19*(1+Чувствительность!$D$20)*IFERROR(LOOKUP(Предпосылки!$H$216,$C$13:$C$15,AM$13:AM$15),1)</f>
        <v>0</v>
      </c>
      <c s="125">
        <f>Предпосылки!AM$243*Предпосылки!$S254*Продажи!AN19*AN$19*(1+Чувствительность!$D$20)*IFERROR(LOOKUP(Предпосылки!$H$216,$C$13:$C$15,AN$13:AN$15),1)</f>
        <v>0</v>
      </c>
      <c s="125">
        <f>Предпосылки!AN$243*Предпосылки!$S254*Продажи!AO19*AO$19*(1+Чувствительность!$D$20)*IFERROR(LOOKUP(Предпосылки!$H$216,$C$13:$C$15,AO$13:AO$15),1)</f>
        <v>0</v>
      </c>
      <c s="125">
        <f>Предпосылки!AO$243*Предпосылки!$S254*Продажи!AP19*AP$19*(1+Чувствительность!$D$20)*IFERROR(LOOKUP(Предпосылки!$H$216,$C$13:$C$15,AP$13:AP$15),1)</f>
        <v>0</v>
      </c>
      <c s="125">
        <f>Предпосылки!AP$243*Предпосылки!$S254*Продажи!AQ19*AQ$19*(1+Чувствительность!$D$20)*IFERROR(LOOKUP(Предпосылки!$H$216,$C$13:$C$15,AQ$13:AQ$15),1)</f>
        <v>0</v>
      </c>
      <c s="125">
        <f>Предпосылки!AQ$243*Предпосылки!$S254*Продажи!AR19*AR$19*(1+Чувствительность!$D$20)*IFERROR(LOOKUP(Предпосылки!$H$216,$C$13:$C$15,AR$13:AR$15),1)</f>
        <v>0</v>
      </c>
      <c s="125">
        <f>Предпосылки!AR$243*Предпосылки!$S254*Продажи!AS19*AS$19*(1+Чувствительность!$D$20)*IFERROR(LOOKUP(Предпосылки!$H$216,$C$13:$C$15,AS$13:AS$15),1)</f>
        <v>0</v>
      </c>
      <c s="125">
        <f>Предпосылки!AS$243*Предпосылки!$S254*Продажи!AT19*AT$19*(1+Чувствительность!$D$20)*IFERROR(LOOKUP(Предпосылки!$H$216,$C$13:$C$15,AT$13:AT$15),1)</f>
        <v>0</v>
      </c>
      <c s="125">
        <f>Предпосылки!AT$243*Предпосылки!$S254*Продажи!AU19*AU$19*(1+Чувствительность!$D$20)*IFERROR(LOOKUP(Предпосылки!$H$216,$C$13:$C$15,AU$13:AU$15),1)</f>
        <v>0</v>
      </c>
      <c s="125">
        <f>Предпосылки!AU$243*Предпосылки!$S254*Продажи!AV19*AV$19*(1+Чувствительность!$D$20)*IFERROR(LOOKUP(Предпосылки!$H$216,$C$13:$C$15,AV$13:AV$15),1)</f>
        <v>0</v>
      </c>
      <c s="125">
        <f>Предпосылки!AV$243*Предпосылки!$S254*Продажи!AW19*AW$19*(1+Чувствительность!$D$20)*IFERROR(LOOKUP(Предпосылки!$H$216,$C$13:$C$15,AW$13:AW$15),1)</f>
        <v>0</v>
      </c>
      <c s="125">
        <f>Предпосылки!AW$243*Предпосылки!$S254*Продажи!AX19*AX$19*(1+Чувствительность!$D$20)*IFERROR(LOOKUP(Предпосылки!$H$216,$C$13:$C$15,AX$13:AX$15),1)</f>
        <v>0</v>
      </c>
      <c s="125">
        <f>Предпосылки!AX$243*Предпосылки!$S254*Продажи!AY19*AY$19*(1+Чувствительность!$D$20)*IFERROR(LOOKUP(Предпосылки!$H$216,$C$13:$C$15,AY$13:AY$15),1)</f>
        <v>0</v>
      </c>
      <c s="125">
        <f>Предпосылки!AY$243*Предпосылки!$S254*Продажи!AZ19*AZ$19*(1+Чувствительность!$D$20)*IFERROR(LOOKUP(Предпосылки!$H$216,$C$13:$C$15,AZ$13:AZ$15),1)</f>
        <v>0</v>
      </c>
      <c s="125">
        <f>Предпосылки!AZ$243*Предпосылки!$S254*Продажи!BA19*BA$19*(1+Чувствительность!$D$20)*IFERROR(LOOKUP(Предпосылки!$H$216,$C$13:$C$15,BA$13:BA$15),1)</f>
        <v>0</v>
      </c>
      <c s="125">
        <f>Предпосылки!BA$243*Предпосылки!$S254*Продажи!BB19*BB$19*(1+Чувствительность!$D$20)*IFERROR(LOOKUP(Предпосылки!$H$216,$C$13:$C$15,BB$13:BB$15),1)</f>
        <v>0</v>
      </c>
      <c s="125">
        <f>Предпосылки!BB$243*Предпосылки!$S254*Продажи!BC19*BC$19*(1+Чувствительность!$D$20)*IFERROR(LOOKUP(Предпосылки!$H$216,$C$13:$C$15,BC$13:BC$15),1)</f>
        <v>0</v>
      </c>
      <c s="125">
        <f>Предпосылки!BC$243*Предпосылки!$S254*Продажи!BD19*BD$19*(1+Чувствительность!$D$20)*IFERROR(LOOKUP(Предпосылки!$H$216,$C$13:$C$15,BD$13:BD$15),1)</f>
        <v>0</v>
      </c>
      <c s="125">
        <f>Предпосылки!BD$243*Предпосылки!$S254*Продажи!BE19*BE$19*(1+Чувствительность!$D$20)*IFERROR(LOOKUP(Предпосылки!$H$216,$C$13:$C$15,BE$13:BE$15),1)</f>
        <v>0</v>
      </c>
      <c s="125">
        <f>Предпосылки!BE$243*Предпосылки!$S254*Продажи!BF19*BF$19*(1+Чувствительность!$D$20)*IFERROR(LOOKUP(Предпосылки!$H$216,$C$13:$C$15,BF$13:BF$15),1)</f>
        <v>0</v>
      </c>
      <c s="125">
        <f>Предпосылки!BF$243*Предпосылки!$S254*Продажи!BG19*BG$19*(1+Чувствительность!$D$20)*IFERROR(LOOKUP(Предпосылки!$H$216,$C$13:$C$15,BG$13:BG$15),1)</f>
        <v>0</v>
      </c>
      <c s="125">
        <f>Предпосылки!BG$243*Предпосылки!$S254*Продажи!BH19*BH$19*(1+Чувствительность!$D$20)*IFERROR(LOOKUP(Предпосылки!$H$216,$C$13:$C$15,BH$13:BH$15),1)</f>
        <v>0</v>
      </c>
      <c s="125">
        <f>Предпосылки!BH$243*Предпосылки!$S254*Продажи!BI19*BI$19*(1+Чувствительность!$D$20)*IFERROR(LOOKUP(Предпосылки!$H$216,$C$13:$C$15,BI$13:BI$15),1)</f>
        <v>0</v>
      </c>
      <c s="125">
        <f>Предпосылки!BI$243*Предпосылки!$S254*Продажи!BJ19*BJ$19*(1+Чувствительность!$D$20)*IFERROR(LOOKUP(Предпосылки!$H$216,$C$13:$C$15,BJ$13:BJ$15),1)</f>
        <v>0</v>
      </c>
      <c s="125">
        <f>Предпосылки!BJ$243*Предпосылки!$S254*Продажи!BK19*BK$19*(1+Чувствительность!$D$20)*IFERROR(LOOKUP(Предпосылки!$H$216,$C$13:$C$15,BK$13:BK$15),1)</f>
        <v>0</v>
      </c>
      <c s="125">
        <f>Предпосылки!BK$243*Предпосылки!$S254*Продажи!BL19*BL$19*(1+Чувствительность!$D$20)*IFERROR(LOOKUP(Предпосылки!$H$216,$C$13:$C$15,BL$13:BL$15),1)</f>
        <v>0</v>
      </c>
      <c s="125">
        <f>Предпосылки!BL$243*Предпосылки!$S254*Продажи!BM19*BM$19*(1+Чувствительность!$D$20)*IFERROR(LOOKUP(Предпосылки!$H$216,$C$13:$C$15,BM$13:BM$15),1)</f>
        <v>0</v>
      </c>
    </row>
    <row r="370" spans="2:65" ht="15" customHeight="1">
      <c r="B370" s="12" t="str">
        <f t="shared" si="136"/>
        <v>Продукт 3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Предпосылки!D$243*Предпосылки!$S255*Продажи!E20*E$19*(1+Чувствительность!$D$20)*IFERROR(LOOKUP(Предпосылки!$H$216,$C$13:$C$15,E$13:E$15),1)</f>
        <v>0</v>
      </c>
      <c s="125">
        <f>Предпосылки!E$243*Предпосылки!$S255*Продажи!F20*F$19*(1+Чувствительность!$D$20)*IFERROR(LOOKUP(Предпосылки!$H$216,$C$13:$C$15,F$13:F$15),1)</f>
        <v>0</v>
      </c>
      <c s="125">
        <f>Предпосылки!F$243*Предпосылки!$S255*Продажи!G20*G$19*(1+Чувствительность!$D$20)*IFERROR(LOOKUP(Предпосылки!$H$216,$C$13:$C$15,G$13:G$15),1)</f>
        <v>0</v>
      </c>
      <c s="125">
        <f>Предпосылки!G$243*Предпосылки!$S255*Продажи!H20*H$19*(1+Чувствительность!$D$20)*IFERROR(LOOKUP(Предпосылки!$H$216,$C$13:$C$15,H$13:H$15),1)</f>
        <v>0</v>
      </c>
      <c s="125">
        <f>Предпосылки!H$243*Предпосылки!$S255*Продажи!I20*I$19*(1+Чувствительность!$D$20)*IFERROR(LOOKUP(Предпосылки!$H$216,$C$13:$C$15,I$13:I$15),1)</f>
        <v>0</v>
      </c>
      <c s="125">
        <f>Предпосылки!I$243*Предпосылки!$S255*Продажи!J20*J$19*(1+Чувствительность!$D$20)*IFERROR(LOOKUP(Предпосылки!$H$216,$C$13:$C$15,J$13:J$15),1)</f>
        <v>0</v>
      </c>
      <c s="125">
        <f>Предпосылки!J$243*Предпосылки!$S255*Продажи!K20*K$19*(1+Чувствительность!$D$20)*IFERROR(LOOKUP(Предпосылки!$H$216,$C$13:$C$15,K$13:K$15),1)</f>
        <v>0</v>
      </c>
      <c s="125">
        <f>Предпосылки!K$243*Предпосылки!$S255*Продажи!L20*L$19*(1+Чувствительность!$D$20)*IFERROR(LOOKUP(Предпосылки!$H$216,$C$13:$C$15,L$13:L$15),1)</f>
        <v>0</v>
      </c>
      <c s="125">
        <f>Предпосылки!L$243*Предпосылки!$S255*Продажи!M20*M$19*(1+Чувствительность!$D$20)*IFERROR(LOOKUP(Предпосылки!$H$216,$C$13:$C$15,M$13:M$15),1)</f>
        <v>0</v>
      </c>
      <c s="125">
        <f>Предпосылки!M$243*Предпосылки!$S255*Продажи!N20*N$19*(1+Чувствительность!$D$20)*IFERROR(LOOKUP(Предпосылки!$H$216,$C$13:$C$15,N$13:N$15),1)</f>
        <v>0</v>
      </c>
      <c s="125">
        <f>Предпосылки!N$243*Предпосылки!$S255*Продажи!O20*O$19*(1+Чувствительность!$D$20)*IFERROR(LOOKUP(Предпосылки!$H$216,$C$13:$C$15,O$13:O$15),1)</f>
        <v>0</v>
      </c>
      <c s="125">
        <f>Предпосылки!O$243*Предпосылки!$S255*Продажи!P20*P$19*(1+Чувствительность!$D$20)*IFERROR(LOOKUP(Предпосылки!$H$216,$C$13:$C$15,P$13:P$15),1)</f>
        <v>0</v>
      </c>
      <c s="125">
        <f>Предпосылки!P$243*Предпосылки!$S255*Продажи!Q20*Q$19*(1+Чувствительность!$D$20)*IFERROR(LOOKUP(Предпосылки!$H$216,$C$13:$C$15,Q$13:Q$15),1)</f>
        <v>0</v>
      </c>
      <c s="125">
        <f>Предпосылки!Q$243*Предпосылки!$S255*Продажи!R20*R$19*(1+Чувствительность!$D$20)*IFERROR(LOOKUP(Предпосылки!$H$216,$C$13:$C$15,R$13:R$15),1)</f>
        <v>0</v>
      </c>
      <c s="125">
        <f>Предпосылки!R$243*Предпосылки!$S255*Продажи!S20*S$19*(1+Чувствительность!$D$20)*IFERROR(LOOKUP(Предпосылки!$H$216,$C$13:$C$15,S$13:S$15),1)</f>
        <v>0</v>
      </c>
      <c s="125">
        <f>Предпосылки!S$243*Предпосылки!$S255*Продажи!T20*T$19*(1+Чувствительность!$D$20)*IFERROR(LOOKUP(Предпосылки!$H$216,$C$13:$C$15,T$13:T$15),1)</f>
        <v>0</v>
      </c>
      <c s="125">
        <f>Предпосылки!T$243*Предпосылки!$S255*Продажи!U20*U$19*(1+Чувствительность!$D$20)*IFERROR(LOOKUP(Предпосылки!$H$216,$C$13:$C$15,U$13:U$15),1)</f>
        <v>0</v>
      </c>
      <c s="125">
        <f>Предпосылки!U$243*Предпосылки!$S255*Продажи!V20*V$19*(1+Чувствительность!$D$20)*IFERROR(LOOKUP(Предпосылки!$H$216,$C$13:$C$15,V$13:V$15),1)</f>
        <v>0</v>
      </c>
      <c s="125">
        <f>Предпосылки!V$243*Предпосылки!$S255*Продажи!W20*W$19*(1+Чувствительность!$D$20)*IFERROR(LOOKUP(Предпосылки!$H$216,$C$13:$C$15,W$13:W$15),1)</f>
        <v>0</v>
      </c>
      <c s="125">
        <f>Предпосылки!W$243*Предпосылки!$S255*Продажи!X20*X$19*(1+Чувствительность!$D$20)*IFERROR(LOOKUP(Предпосылки!$H$216,$C$13:$C$15,X$13:X$15),1)</f>
        <v>0</v>
      </c>
      <c s="125">
        <f>Предпосылки!X$243*Предпосылки!$S255*Продажи!Y20*Y$19*(1+Чувствительность!$D$20)*IFERROR(LOOKUP(Предпосылки!$H$216,$C$13:$C$15,Y$13:Y$15),1)</f>
        <v>0</v>
      </c>
      <c s="125">
        <f>Предпосылки!Y$243*Предпосылки!$S255*Продажи!Z20*Z$19*(1+Чувствительность!$D$20)*IFERROR(LOOKUP(Предпосылки!$H$216,$C$13:$C$15,Z$13:Z$15),1)</f>
        <v>0</v>
      </c>
      <c s="125">
        <f>Предпосылки!Z$243*Предпосылки!$S255*Продажи!AA20*AA$19*(1+Чувствительность!$D$20)*IFERROR(LOOKUP(Предпосылки!$H$216,$C$13:$C$15,AA$13:AA$15),1)</f>
        <v>0</v>
      </c>
      <c s="125">
        <f>Предпосылки!AA$243*Предпосылки!$S255*Продажи!AB20*AB$19*(1+Чувствительность!$D$20)*IFERROR(LOOKUP(Предпосылки!$H$216,$C$13:$C$15,AB$13:AB$15),1)</f>
        <v>0</v>
      </c>
      <c s="125">
        <f>Предпосылки!AB$243*Предпосылки!$S255*Продажи!AC20*AC$19*(1+Чувствительность!$D$20)*IFERROR(LOOKUP(Предпосылки!$H$216,$C$13:$C$15,AC$13:AC$15),1)</f>
        <v>0</v>
      </c>
      <c s="125">
        <f>Предпосылки!AC$243*Предпосылки!$S255*Продажи!AD20*AD$19*(1+Чувствительность!$D$20)*IFERROR(LOOKUP(Предпосылки!$H$216,$C$13:$C$15,AD$13:AD$15),1)</f>
        <v>0</v>
      </c>
      <c s="125">
        <f>Предпосылки!AD$243*Предпосылки!$S255*Продажи!AE20*AE$19*(1+Чувствительность!$D$20)*IFERROR(LOOKUP(Предпосылки!$H$216,$C$13:$C$15,AE$13:AE$15),1)</f>
        <v>0</v>
      </c>
      <c s="125">
        <f>Предпосылки!AE$243*Предпосылки!$S255*Продажи!AF20*AF$19*(1+Чувствительность!$D$20)*IFERROR(LOOKUP(Предпосылки!$H$216,$C$13:$C$15,AF$13:AF$15),1)</f>
        <v>0</v>
      </c>
      <c s="125">
        <f>Предпосылки!AF$243*Предпосылки!$S255*Продажи!AG20*AG$19*(1+Чувствительность!$D$20)*IFERROR(LOOKUP(Предпосылки!$H$216,$C$13:$C$15,AG$13:AG$15),1)</f>
        <v>0</v>
      </c>
      <c s="125">
        <f>Предпосылки!AG$243*Предпосылки!$S255*Продажи!AH20*AH$19*(1+Чувствительность!$D$20)*IFERROR(LOOKUP(Предпосылки!$H$216,$C$13:$C$15,AH$13:AH$15),1)</f>
        <v>0</v>
      </c>
      <c s="125">
        <f>Предпосылки!AH$243*Предпосылки!$S255*Продажи!AI20*AI$19*(1+Чувствительность!$D$20)*IFERROR(LOOKUP(Предпосылки!$H$216,$C$13:$C$15,AI$13:AI$15),1)</f>
        <v>0</v>
      </c>
      <c s="125">
        <f>Предпосылки!AI$243*Предпосылки!$S255*Продажи!AJ20*AJ$19*(1+Чувствительность!$D$20)*IFERROR(LOOKUP(Предпосылки!$H$216,$C$13:$C$15,AJ$13:AJ$15),1)</f>
        <v>0</v>
      </c>
      <c s="125">
        <f>Предпосылки!AJ$243*Предпосылки!$S255*Продажи!AK20*AK$19*(1+Чувствительность!$D$20)*IFERROR(LOOKUP(Предпосылки!$H$216,$C$13:$C$15,AK$13:AK$15),1)</f>
        <v>0</v>
      </c>
      <c s="125">
        <f>Предпосылки!AK$243*Предпосылки!$S255*Продажи!AL20*AL$19*(1+Чувствительность!$D$20)*IFERROR(LOOKUP(Предпосылки!$H$216,$C$13:$C$15,AL$13:AL$15),1)</f>
        <v>0</v>
      </c>
      <c s="125">
        <f>Предпосылки!AL$243*Предпосылки!$S255*Продажи!AM20*AM$19*(1+Чувствительность!$D$20)*IFERROR(LOOKUP(Предпосылки!$H$216,$C$13:$C$15,AM$13:AM$15),1)</f>
        <v>0</v>
      </c>
      <c s="125">
        <f>Предпосылки!AM$243*Предпосылки!$S255*Продажи!AN20*AN$19*(1+Чувствительность!$D$20)*IFERROR(LOOKUP(Предпосылки!$H$216,$C$13:$C$15,AN$13:AN$15),1)</f>
        <v>0</v>
      </c>
      <c s="125">
        <f>Предпосылки!AN$243*Предпосылки!$S255*Продажи!AO20*AO$19*(1+Чувствительность!$D$20)*IFERROR(LOOKUP(Предпосылки!$H$216,$C$13:$C$15,AO$13:AO$15),1)</f>
        <v>0</v>
      </c>
      <c s="125">
        <f>Предпосылки!AO$243*Предпосылки!$S255*Продажи!AP20*AP$19*(1+Чувствительность!$D$20)*IFERROR(LOOKUP(Предпосылки!$H$216,$C$13:$C$15,AP$13:AP$15),1)</f>
        <v>0</v>
      </c>
      <c s="125">
        <f>Предпосылки!AP$243*Предпосылки!$S255*Продажи!AQ20*AQ$19*(1+Чувствительность!$D$20)*IFERROR(LOOKUP(Предпосылки!$H$216,$C$13:$C$15,AQ$13:AQ$15),1)</f>
        <v>0</v>
      </c>
      <c s="125">
        <f>Предпосылки!AQ$243*Предпосылки!$S255*Продажи!AR20*AR$19*(1+Чувствительность!$D$20)*IFERROR(LOOKUP(Предпосылки!$H$216,$C$13:$C$15,AR$13:AR$15),1)</f>
        <v>0</v>
      </c>
      <c s="125">
        <f>Предпосылки!AR$243*Предпосылки!$S255*Продажи!AS20*AS$19*(1+Чувствительность!$D$20)*IFERROR(LOOKUP(Предпосылки!$H$216,$C$13:$C$15,AS$13:AS$15),1)</f>
        <v>0</v>
      </c>
      <c s="125">
        <f>Предпосылки!AS$243*Предпосылки!$S255*Продажи!AT20*AT$19*(1+Чувствительность!$D$20)*IFERROR(LOOKUP(Предпосылки!$H$216,$C$13:$C$15,AT$13:AT$15),1)</f>
        <v>0</v>
      </c>
      <c s="125">
        <f>Предпосылки!AT$243*Предпосылки!$S255*Продажи!AU20*AU$19*(1+Чувствительность!$D$20)*IFERROR(LOOKUP(Предпосылки!$H$216,$C$13:$C$15,AU$13:AU$15),1)</f>
        <v>0</v>
      </c>
      <c s="125">
        <f>Предпосылки!AU$243*Предпосылки!$S255*Продажи!AV20*AV$19*(1+Чувствительность!$D$20)*IFERROR(LOOKUP(Предпосылки!$H$216,$C$13:$C$15,AV$13:AV$15),1)</f>
        <v>0</v>
      </c>
      <c s="125">
        <f>Предпосылки!AV$243*Предпосылки!$S255*Продажи!AW20*AW$19*(1+Чувствительность!$D$20)*IFERROR(LOOKUP(Предпосылки!$H$216,$C$13:$C$15,AW$13:AW$15),1)</f>
        <v>0</v>
      </c>
      <c s="125">
        <f>Предпосылки!AW$243*Предпосылки!$S255*Продажи!AX20*AX$19*(1+Чувствительность!$D$20)*IFERROR(LOOKUP(Предпосылки!$H$216,$C$13:$C$15,AX$13:AX$15),1)</f>
        <v>0</v>
      </c>
      <c s="125">
        <f>Предпосылки!AX$243*Предпосылки!$S255*Продажи!AY20*AY$19*(1+Чувствительность!$D$20)*IFERROR(LOOKUP(Предпосылки!$H$216,$C$13:$C$15,AY$13:AY$15),1)</f>
        <v>0</v>
      </c>
      <c s="125">
        <f>Предпосылки!AY$243*Предпосылки!$S255*Продажи!AZ20*AZ$19*(1+Чувствительность!$D$20)*IFERROR(LOOKUP(Предпосылки!$H$216,$C$13:$C$15,AZ$13:AZ$15),1)</f>
        <v>0</v>
      </c>
      <c s="125">
        <f>Предпосылки!AZ$243*Предпосылки!$S255*Продажи!BA20*BA$19*(1+Чувствительность!$D$20)*IFERROR(LOOKUP(Предпосылки!$H$216,$C$13:$C$15,BA$13:BA$15),1)</f>
        <v>0</v>
      </c>
      <c s="125">
        <f>Предпосылки!BA$243*Предпосылки!$S255*Продажи!BB20*BB$19*(1+Чувствительность!$D$20)*IFERROR(LOOKUP(Предпосылки!$H$216,$C$13:$C$15,BB$13:BB$15),1)</f>
        <v>0</v>
      </c>
      <c s="125">
        <f>Предпосылки!BB$243*Предпосылки!$S255*Продажи!BC20*BC$19*(1+Чувствительность!$D$20)*IFERROR(LOOKUP(Предпосылки!$H$216,$C$13:$C$15,BC$13:BC$15),1)</f>
        <v>0</v>
      </c>
      <c s="125">
        <f>Предпосылки!BC$243*Предпосылки!$S255*Продажи!BD20*BD$19*(1+Чувствительность!$D$20)*IFERROR(LOOKUP(Предпосылки!$H$216,$C$13:$C$15,BD$13:BD$15),1)</f>
        <v>0</v>
      </c>
      <c s="125">
        <f>Предпосылки!BD$243*Предпосылки!$S255*Продажи!BE20*BE$19*(1+Чувствительность!$D$20)*IFERROR(LOOKUP(Предпосылки!$H$216,$C$13:$C$15,BE$13:BE$15),1)</f>
        <v>0</v>
      </c>
      <c s="125">
        <f>Предпосылки!BE$243*Предпосылки!$S255*Продажи!BF20*BF$19*(1+Чувствительность!$D$20)*IFERROR(LOOKUP(Предпосылки!$H$216,$C$13:$C$15,BF$13:BF$15),1)</f>
        <v>0</v>
      </c>
      <c s="125">
        <f>Предпосылки!BF$243*Предпосылки!$S255*Продажи!BG20*BG$19*(1+Чувствительность!$D$20)*IFERROR(LOOKUP(Предпосылки!$H$216,$C$13:$C$15,BG$13:BG$15),1)</f>
        <v>0</v>
      </c>
      <c s="125">
        <f>Предпосылки!BG$243*Предпосылки!$S255*Продажи!BH20*BH$19*(1+Чувствительность!$D$20)*IFERROR(LOOKUP(Предпосылки!$H$216,$C$13:$C$15,BH$13:BH$15),1)</f>
        <v>0</v>
      </c>
      <c s="125">
        <f>Предпосылки!BH$243*Предпосылки!$S255*Продажи!BI20*BI$19*(1+Чувствительность!$D$20)*IFERROR(LOOKUP(Предпосылки!$H$216,$C$13:$C$15,BI$13:BI$15),1)</f>
        <v>0</v>
      </c>
      <c s="125">
        <f>Предпосылки!BI$243*Предпосылки!$S255*Продажи!BJ20*BJ$19*(1+Чувствительность!$D$20)*IFERROR(LOOKUP(Предпосылки!$H$216,$C$13:$C$15,BJ$13:BJ$15),1)</f>
        <v>0</v>
      </c>
      <c s="125">
        <f>Предпосылки!BJ$243*Предпосылки!$S255*Продажи!BK20*BK$19*(1+Чувствительность!$D$20)*IFERROR(LOOKUP(Предпосылки!$H$216,$C$13:$C$15,BK$13:BK$15),1)</f>
        <v>0</v>
      </c>
      <c s="125">
        <f>Предпосылки!BK$243*Предпосылки!$S255*Продажи!BL20*BL$19*(1+Чувствительность!$D$20)*IFERROR(LOOKUP(Предпосылки!$H$216,$C$13:$C$15,BL$13:BL$15),1)</f>
        <v>0</v>
      </c>
      <c s="125">
        <f>Предпосылки!BL$243*Предпосылки!$S255*Продажи!BM20*BM$19*(1+Чувствительность!$D$20)*IFERROR(LOOKUP(Предпосылки!$H$216,$C$13:$C$15,BM$13:BM$15),1)</f>
        <v>0</v>
      </c>
    </row>
    <row r="371" spans="2:65" ht="15" customHeight="1">
      <c r="B371" s="12" t="str">
        <f t="shared" si="136"/>
        <v>Продукт 4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Предпосылки!D$243*Предпосылки!$S256*Продажи!E21*E$19*(1+Чувствительность!$D$20)*IFERROR(LOOKUP(Предпосылки!$H$216,$C$13:$C$15,E$13:E$15),1)</f>
        <v>0</v>
      </c>
      <c s="125">
        <f>Предпосылки!E$243*Предпосылки!$S256*Продажи!F21*F$19*(1+Чувствительность!$D$20)*IFERROR(LOOKUP(Предпосылки!$H$216,$C$13:$C$15,F$13:F$15),1)</f>
        <v>0</v>
      </c>
      <c s="125">
        <f>Предпосылки!F$243*Предпосылки!$S256*Продажи!G21*G$19*(1+Чувствительность!$D$20)*IFERROR(LOOKUP(Предпосылки!$H$216,$C$13:$C$15,G$13:G$15),1)</f>
        <v>0</v>
      </c>
      <c s="125">
        <f>Предпосылки!G$243*Предпосылки!$S256*Продажи!H21*H$19*(1+Чувствительность!$D$20)*IFERROR(LOOKUP(Предпосылки!$H$216,$C$13:$C$15,H$13:H$15),1)</f>
        <v>0</v>
      </c>
      <c s="125">
        <f>Предпосылки!H$243*Предпосылки!$S256*Продажи!I21*I$19*(1+Чувствительность!$D$20)*IFERROR(LOOKUP(Предпосылки!$H$216,$C$13:$C$15,I$13:I$15),1)</f>
        <v>0</v>
      </c>
      <c s="125">
        <f>Предпосылки!I$243*Предпосылки!$S256*Продажи!J21*J$19*(1+Чувствительность!$D$20)*IFERROR(LOOKUP(Предпосылки!$H$216,$C$13:$C$15,J$13:J$15),1)</f>
        <v>0</v>
      </c>
      <c s="125">
        <f>Предпосылки!J$243*Предпосылки!$S256*Продажи!K21*K$19*(1+Чувствительность!$D$20)*IFERROR(LOOKUP(Предпосылки!$H$216,$C$13:$C$15,K$13:K$15),1)</f>
        <v>0</v>
      </c>
      <c s="125">
        <f>Предпосылки!K$243*Предпосылки!$S256*Продажи!L21*L$19*(1+Чувствительность!$D$20)*IFERROR(LOOKUP(Предпосылки!$H$216,$C$13:$C$15,L$13:L$15),1)</f>
        <v>0</v>
      </c>
      <c s="125">
        <f>Предпосылки!L$243*Предпосылки!$S256*Продажи!M21*M$19*(1+Чувствительность!$D$20)*IFERROR(LOOKUP(Предпосылки!$H$216,$C$13:$C$15,M$13:M$15),1)</f>
        <v>0</v>
      </c>
      <c s="125">
        <f>Предпосылки!M$243*Предпосылки!$S256*Продажи!N21*N$19*(1+Чувствительность!$D$20)*IFERROR(LOOKUP(Предпосылки!$H$216,$C$13:$C$15,N$13:N$15),1)</f>
        <v>0</v>
      </c>
      <c s="125">
        <f>Предпосылки!N$243*Предпосылки!$S256*Продажи!O21*O$19*(1+Чувствительность!$D$20)*IFERROR(LOOKUP(Предпосылки!$H$216,$C$13:$C$15,O$13:O$15),1)</f>
        <v>0</v>
      </c>
      <c s="125">
        <f>Предпосылки!O$243*Предпосылки!$S256*Продажи!P21*P$19*(1+Чувствительность!$D$20)*IFERROR(LOOKUP(Предпосылки!$H$216,$C$13:$C$15,P$13:P$15),1)</f>
        <v>0</v>
      </c>
      <c s="125">
        <f>Предпосылки!P$243*Предпосылки!$S256*Продажи!Q21*Q$19*(1+Чувствительность!$D$20)*IFERROR(LOOKUP(Предпосылки!$H$216,$C$13:$C$15,Q$13:Q$15),1)</f>
        <v>0</v>
      </c>
      <c s="125">
        <f>Предпосылки!Q$243*Предпосылки!$S256*Продажи!R21*R$19*(1+Чувствительность!$D$20)*IFERROR(LOOKUP(Предпосылки!$H$216,$C$13:$C$15,R$13:R$15),1)</f>
        <v>0</v>
      </c>
      <c s="125">
        <f>Предпосылки!R$243*Предпосылки!$S256*Продажи!S21*S$19*(1+Чувствительность!$D$20)*IFERROR(LOOKUP(Предпосылки!$H$216,$C$13:$C$15,S$13:S$15),1)</f>
        <v>0</v>
      </c>
      <c s="125">
        <f>Предпосылки!S$243*Предпосылки!$S256*Продажи!T21*T$19*(1+Чувствительность!$D$20)*IFERROR(LOOKUP(Предпосылки!$H$216,$C$13:$C$15,T$13:T$15),1)</f>
        <v>0</v>
      </c>
      <c s="125">
        <f>Предпосылки!T$243*Предпосылки!$S256*Продажи!U21*U$19*(1+Чувствительность!$D$20)*IFERROR(LOOKUP(Предпосылки!$H$216,$C$13:$C$15,U$13:U$15),1)</f>
        <v>0</v>
      </c>
      <c s="125">
        <f>Предпосылки!U$243*Предпосылки!$S256*Продажи!V21*V$19*(1+Чувствительность!$D$20)*IFERROR(LOOKUP(Предпосылки!$H$216,$C$13:$C$15,V$13:V$15),1)</f>
        <v>0</v>
      </c>
      <c s="125">
        <f>Предпосылки!V$243*Предпосылки!$S256*Продажи!W21*W$19*(1+Чувствительность!$D$20)*IFERROR(LOOKUP(Предпосылки!$H$216,$C$13:$C$15,W$13:W$15),1)</f>
        <v>0</v>
      </c>
      <c s="125">
        <f>Предпосылки!W$243*Предпосылки!$S256*Продажи!X21*X$19*(1+Чувствительность!$D$20)*IFERROR(LOOKUP(Предпосылки!$H$216,$C$13:$C$15,X$13:X$15),1)</f>
        <v>0</v>
      </c>
      <c s="125">
        <f>Предпосылки!X$243*Предпосылки!$S256*Продажи!Y21*Y$19*(1+Чувствительность!$D$20)*IFERROR(LOOKUP(Предпосылки!$H$216,$C$13:$C$15,Y$13:Y$15),1)</f>
        <v>0</v>
      </c>
      <c s="125">
        <f>Предпосылки!Y$243*Предпосылки!$S256*Продажи!Z21*Z$19*(1+Чувствительность!$D$20)*IFERROR(LOOKUP(Предпосылки!$H$216,$C$13:$C$15,Z$13:Z$15),1)</f>
        <v>0</v>
      </c>
      <c s="125">
        <f>Предпосылки!Z$243*Предпосылки!$S256*Продажи!AA21*AA$19*(1+Чувствительность!$D$20)*IFERROR(LOOKUP(Предпосылки!$H$216,$C$13:$C$15,AA$13:AA$15),1)</f>
        <v>0</v>
      </c>
      <c s="125">
        <f>Предпосылки!AA$243*Предпосылки!$S256*Продажи!AB21*AB$19*(1+Чувствительность!$D$20)*IFERROR(LOOKUP(Предпосылки!$H$216,$C$13:$C$15,AB$13:AB$15),1)</f>
        <v>0</v>
      </c>
      <c s="125">
        <f>Предпосылки!AB$243*Предпосылки!$S256*Продажи!AC21*AC$19*(1+Чувствительность!$D$20)*IFERROR(LOOKUP(Предпосылки!$H$216,$C$13:$C$15,AC$13:AC$15),1)</f>
        <v>0</v>
      </c>
      <c s="125">
        <f>Предпосылки!AC$243*Предпосылки!$S256*Продажи!AD21*AD$19*(1+Чувствительность!$D$20)*IFERROR(LOOKUP(Предпосылки!$H$216,$C$13:$C$15,AD$13:AD$15),1)</f>
        <v>0</v>
      </c>
      <c s="125">
        <f>Предпосылки!AD$243*Предпосылки!$S256*Продажи!AE21*AE$19*(1+Чувствительность!$D$20)*IFERROR(LOOKUP(Предпосылки!$H$216,$C$13:$C$15,AE$13:AE$15),1)</f>
        <v>0</v>
      </c>
      <c s="125">
        <f>Предпосылки!AE$243*Предпосылки!$S256*Продажи!AF21*AF$19*(1+Чувствительность!$D$20)*IFERROR(LOOKUP(Предпосылки!$H$216,$C$13:$C$15,AF$13:AF$15),1)</f>
        <v>0</v>
      </c>
      <c s="125">
        <f>Предпосылки!AF$243*Предпосылки!$S256*Продажи!AG21*AG$19*(1+Чувствительность!$D$20)*IFERROR(LOOKUP(Предпосылки!$H$216,$C$13:$C$15,AG$13:AG$15),1)</f>
        <v>0</v>
      </c>
      <c s="125">
        <f>Предпосылки!AG$243*Предпосылки!$S256*Продажи!AH21*AH$19*(1+Чувствительность!$D$20)*IFERROR(LOOKUP(Предпосылки!$H$216,$C$13:$C$15,AH$13:AH$15),1)</f>
        <v>0</v>
      </c>
      <c s="125">
        <f>Предпосылки!AH$243*Предпосылки!$S256*Продажи!AI21*AI$19*(1+Чувствительность!$D$20)*IFERROR(LOOKUP(Предпосылки!$H$216,$C$13:$C$15,AI$13:AI$15),1)</f>
        <v>0</v>
      </c>
      <c s="125">
        <f>Предпосылки!AI$243*Предпосылки!$S256*Продажи!AJ21*AJ$19*(1+Чувствительность!$D$20)*IFERROR(LOOKUP(Предпосылки!$H$216,$C$13:$C$15,AJ$13:AJ$15),1)</f>
        <v>0</v>
      </c>
      <c s="125">
        <f>Предпосылки!AJ$243*Предпосылки!$S256*Продажи!AK21*AK$19*(1+Чувствительность!$D$20)*IFERROR(LOOKUP(Предпосылки!$H$216,$C$13:$C$15,AK$13:AK$15),1)</f>
        <v>0</v>
      </c>
      <c s="125">
        <f>Предпосылки!AK$243*Предпосылки!$S256*Продажи!AL21*AL$19*(1+Чувствительность!$D$20)*IFERROR(LOOKUP(Предпосылки!$H$216,$C$13:$C$15,AL$13:AL$15),1)</f>
        <v>0</v>
      </c>
      <c s="125">
        <f>Предпосылки!AL$243*Предпосылки!$S256*Продажи!AM21*AM$19*(1+Чувствительность!$D$20)*IFERROR(LOOKUP(Предпосылки!$H$216,$C$13:$C$15,AM$13:AM$15),1)</f>
        <v>0</v>
      </c>
      <c s="125">
        <f>Предпосылки!AM$243*Предпосылки!$S256*Продажи!AN21*AN$19*(1+Чувствительность!$D$20)*IFERROR(LOOKUP(Предпосылки!$H$216,$C$13:$C$15,AN$13:AN$15),1)</f>
        <v>0</v>
      </c>
      <c s="125">
        <f>Предпосылки!AN$243*Предпосылки!$S256*Продажи!AO21*AO$19*(1+Чувствительность!$D$20)*IFERROR(LOOKUP(Предпосылки!$H$216,$C$13:$C$15,AO$13:AO$15),1)</f>
        <v>0</v>
      </c>
      <c s="125">
        <f>Предпосылки!AO$243*Предпосылки!$S256*Продажи!AP21*AP$19*(1+Чувствительность!$D$20)*IFERROR(LOOKUP(Предпосылки!$H$216,$C$13:$C$15,AP$13:AP$15),1)</f>
        <v>0</v>
      </c>
      <c s="125">
        <f>Предпосылки!AP$243*Предпосылки!$S256*Продажи!AQ21*AQ$19*(1+Чувствительность!$D$20)*IFERROR(LOOKUP(Предпосылки!$H$216,$C$13:$C$15,AQ$13:AQ$15),1)</f>
        <v>0</v>
      </c>
      <c s="125">
        <f>Предпосылки!AQ$243*Предпосылки!$S256*Продажи!AR21*AR$19*(1+Чувствительность!$D$20)*IFERROR(LOOKUP(Предпосылки!$H$216,$C$13:$C$15,AR$13:AR$15),1)</f>
        <v>0</v>
      </c>
      <c s="125">
        <f>Предпосылки!AR$243*Предпосылки!$S256*Продажи!AS21*AS$19*(1+Чувствительность!$D$20)*IFERROR(LOOKUP(Предпосылки!$H$216,$C$13:$C$15,AS$13:AS$15),1)</f>
        <v>0</v>
      </c>
      <c s="125">
        <f>Предпосылки!AS$243*Предпосылки!$S256*Продажи!AT21*AT$19*(1+Чувствительность!$D$20)*IFERROR(LOOKUP(Предпосылки!$H$216,$C$13:$C$15,AT$13:AT$15),1)</f>
        <v>0</v>
      </c>
      <c s="125">
        <f>Предпосылки!AT$243*Предпосылки!$S256*Продажи!AU21*AU$19*(1+Чувствительность!$D$20)*IFERROR(LOOKUP(Предпосылки!$H$216,$C$13:$C$15,AU$13:AU$15),1)</f>
        <v>0</v>
      </c>
      <c s="125">
        <f>Предпосылки!AU$243*Предпосылки!$S256*Продажи!AV21*AV$19*(1+Чувствительность!$D$20)*IFERROR(LOOKUP(Предпосылки!$H$216,$C$13:$C$15,AV$13:AV$15),1)</f>
        <v>0</v>
      </c>
      <c s="125">
        <f>Предпосылки!AV$243*Предпосылки!$S256*Продажи!AW21*AW$19*(1+Чувствительность!$D$20)*IFERROR(LOOKUP(Предпосылки!$H$216,$C$13:$C$15,AW$13:AW$15),1)</f>
        <v>0</v>
      </c>
      <c s="125">
        <f>Предпосылки!AW$243*Предпосылки!$S256*Продажи!AX21*AX$19*(1+Чувствительность!$D$20)*IFERROR(LOOKUP(Предпосылки!$H$216,$C$13:$C$15,AX$13:AX$15),1)</f>
        <v>0</v>
      </c>
      <c s="125">
        <f>Предпосылки!AX$243*Предпосылки!$S256*Продажи!AY21*AY$19*(1+Чувствительность!$D$20)*IFERROR(LOOKUP(Предпосылки!$H$216,$C$13:$C$15,AY$13:AY$15),1)</f>
        <v>0</v>
      </c>
      <c s="125">
        <f>Предпосылки!AY$243*Предпосылки!$S256*Продажи!AZ21*AZ$19*(1+Чувствительность!$D$20)*IFERROR(LOOKUP(Предпосылки!$H$216,$C$13:$C$15,AZ$13:AZ$15),1)</f>
        <v>0</v>
      </c>
      <c s="125">
        <f>Предпосылки!AZ$243*Предпосылки!$S256*Продажи!BA21*BA$19*(1+Чувствительность!$D$20)*IFERROR(LOOKUP(Предпосылки!$H$216,$C$13:$C$15,BA$13:BA$15),1)</f>
        <v>0</v>
      </c>
      <c s="125">
        <f>Предпосылки!BA$243*Предпосылки!$S256*Продажи!BB21*BB$19*(1+Чувствительность!$D$20)*IFERROR(LOOKUP(Предпосылки!$H$216,$C$13:$C$15,BB$13:BB$15),1)</f>
        <v>0</v>
      </c>
      <c s="125">
        <f>Предпосылки!BB$243*Предпосылки!$S256*Продажи!BC21*BC$19*(1+Чувствительность!$D$20)*IFERROR(LOOKUP(Предпосылки!$H$216,$C$13:$C$15,BC$13:BC$15),1)</f>
        <v>0</v>
      </c>
      <c s="125">
        <f>Предпосылки!BC$243*Предпосылки!$S256*Продажи!BD21*BD$19*(1+Чувствительность!$D$20)*IFERROR(LOOKUP(Предпосылки!$H$216,$C$13:$C$15,BD$13:BD$15),1)</f>
        <v>0</v>
      </c>
      <c s="125">
        <f>Предпосылки!BD$243*Предпосылки!$S256*Продажи!BE21*BE$19*(1+Чувствительность!$D$20)*IFERROR(LOOKUP(Предпосылки!$H$216,$C$13:$C$15,BE$13:BE$15),1)</f>
        <v>0</v>
      </c>
      <c s="125">
        <f>Предпосылки!BE$243*Предпосылки!$S256*Продажи!BF21*BF$19*(1+Чувствительность!$D$20)*IFERROR(LOOKUP(Предпосылки!$H$216,$C$13:$C$15,BF$13:BF$15),1)</f>
        <v>0</v>
      </c>
      <c s="125">
        <f>Предпосылки!BF$243*Предпосылки!$S256*Продажи!BG21*BG$19*(1+Чувствительность!$D$20)*IFERROR(LOOKUP(Предпосылки!$H$216,$C$13:$C$15,BG$13:BG$15),1)</f>
        <v>0</v>
      </c>
      <c s="125">
        <f>Предпосылки!BG$243*Предпосылки!$S256*Продажи!BH21*BH$19*(1+Чувствительность!$D$20)*IFERROR(LOOKUP(Предпосылки!$H$216,$C$13:$C$15,BH$13:BH$15),1)</f>
        <v>0</v>
      </c>
      <c s="125">
        <f>Предпосылки!BH$243*Предпосылки!$S256*Продажи!BI21*BI$19*(1+Чувствительность!$D$20)*IFERROR(LOOKUP(Предпосылки!$H$216,$C$13:$C$15,BI$13:BI$15),1)</f>
        <v>0</v>
      </c>
      <c s="125">
        <f>Предпосылки!BI$243*Предпосылки!$S256*Продажи!BJ21*BJ$19*(1+Чувствительность!$D$20)*IFERROR(LOOKUP(Предпосылки!$H$216,$C$13:$C$15,BJ$13:BJ$15),1)</f>
        <v>0</v>
      </c>
      <c s="125">
        <f>Предпосылки!BJ$243*Предпосылки!$S256*Продажи!BK21*BK$19*(1+Чувствительность!$D$20)*IFERROR(LOOKUP(Предпосылки!$H$216,$C$13:$C$15,BK$13:BK$15),1)</f>
        <v>0</v>
      </c>
      <c s="125">
        <f>Предпосылки!BK$243*Предпосылки!$S256*Продажи!BL21*BL$19*(1+Чувствительность!$D$20)*IFERROR(LOOKUP(Предпосылки!$H$216,$C$13:$C$15,BL$13:BL$15),1)</f>
        <v>0</v>
      </c>
      <c s="125">
        <f>Предпосылки!BL$243*Предпосылки!$S256*Продажи!BM21*BM$19*(1+Чувствительность!$D$20)*IFERROR(LOOKUP(Предпосылки!$H$216,$C$13:$C$15,BM$13:BM$15),1)</f>
        <v>0</v>
      </c>
    </row>
    <row r="372" spans="2:65" ht="15" customHeight="1">
      <c r="B372" s="12" t="str">
        <f t="shared" si="136"/>
        <v>Продукт 5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Предпосылки!D$243*Предпосылки!$S257*Продажи!E22*E$19*(1+Чувствительность!$D$20)*IFERROR(LOOKUP(Предпосылки!$H$216,$C$13:$C$15,E$13:E$15),1)</f>
        <v>0</v>
      </c>
      <c s="125">
        <f>Предпосылки!E$243*Предпосылки!$S257*Продажи!F22*F$19*(1+Чувствительность!$D$20)*IFERROR(LOOKUP(Предпосылки!$H$216,$C$13:$C$15,F$13:F$15),1)</f>
        <v>0</v>
      </c>
      <c s="125">
        <f>Предпосылки!F$243*Предпосылки!$S257*Продажи!G22*G$19*(1+Чувствительность!$D$20)*IFERROR(LOOKUP(Предпосылки!$H$216,$C$13:$C$15,G$13:G$15),1)</f>
        <v>0</v>
      </c>
      <c s="125">
        <f>Предпосылки!G$243*Предпосылки!$S257*Продажи!H22*H$19*(1+Чувствительность!$D$20)*IFERROR(LOOKUP(Предпосылки!$H$216,$C$13:$C$15,H$13:H$15),1)</f>
        <v>0</v>
      </c>
      <c s="125">
        <f>Предпосылки!H$243*Предпосылки!$S257*Продажи!I22*I$19*(1+Чувствительность!$D$20)*IFERROR(LOOKUP(Предпосылки!$H$216,$C$13:$C$15,I$13:I$15),1)</f>
        <v>0</v>
      </c>
      <c s="125">
        <f>Предпосылки!I$243*Предпосылки!$S257*Продажи!J22*J$19*(1+Чувствительность!$D$20)*IFERROR(LOOKUP(Предпосылки!$H$216,$C$13:$C$15,J$13:J$15),1)</f>
        <v>0</v>
      </c>
      <c s="125">
        <f>Предпосылки!J$243*Предпосылки!$S257*Продажи!K22*K$19*(1+Чувствительность!$D$20)*IFERROR(LOOKUP(Предпосылки!$H$216,$C$13:$C$15,K$13:K$15),1)</f>
        <v>0</v>
      </c>
      <c s="125">
        <f>Предпосылки!K$243*Предпосылки!$S257*Продажи!L22*L$19*(1+Чувствительность!$D$20)*IFERROR(LOOKUP(Предпосылки!$H$216,$C$13:$C$15,L$13:L$15),1)</f>
        <v>0</v>
      </c>
      <c s="125">
        <f>Предпосылки!L$243*Предпосылки!$S257*Продажи!M22*M$19*(1+Чувствительность!$D$20)*IFERROR(LOOKUP(Предпосылки!$H$216,$C$13:$C$15,M$13:M$15),1)</f>
        <v>0</v>
      </c>
      <c s="125">
        <f>Предпосылки!M$243*Предпосылки!$S257*Продажи!N22*N$19*(1+Чувствительность!$D$20)*IFERROR(LOOKUP(Предпосылки!$H$216,$C$13:$C$15,N$13:N$15),1)</f>
        <v>0</v>
      </c>
      <c s="125">
        <f>Предпосылки!N$243*Предпосылки!$S257*Продажи!O22*O$19*(1+Чувствительность!$D$20)*IFERROR(LOOKUP(Предпосылки!$H$216,$C$13:$C$15,O$13:O$15),1)</f>
        <v>0</v>
      </c>
      <c s="125">
        <f>Предпосылки!O$243*Предпосылки!$S257*Продажи!P22*P$19*(1+Чувствительность!$D$20)*IFERROR(LOOKUP(Предпосылки!$H$216,$C$13:$C$15,P$13:P$15),1)</f>
        <v>0</v>
      </c>
      <c s="125">
        <f>Предпосылки!P$243*Предпосылки!$S257*Продажи!Q22*Q$19*(1+Чувствительность!$D$20)*IFERROR(LOOKUP(Предпосылки!$H$216,$C$13:$C$15,Q$13:Q$15),1)</f>
        <v>0</v>
      </c>
      <c s="125">
        <f>Предпосылки!Q$243*Предпосылки!$S257*Продажи!R22*R$19*(1+Чувствительность!$D$20)*IFERROR(LOOKUP(Предпосылки!$H$216,$C$13:$C$15,R$13:R$15),1)</f>
        <v>0</v>
      </c>
      <c s="125">
        <f>Предпосылки!R$243*Предпосылки!$S257*Продажи!S22*S$19*(1+Чувствительность!$D$20)*IFERROR(LOOKUP(Предпосылки!$H$216,$C$13:$C$15,S$13:S$15),1)</f>
        <v>0</v>
      </c>
      <c s="125">
        <f>Предпосылки!S$243*Предпосылки!$S257*Продажи!T22*T$19*(1+Чувствительность!$D$20)*IFERROR(LOOKUP(Предпосылки!$H$216,$C$13:$C$15,T$13:T$15),1)</f>
        <v>0</v>
      </c>
      <c s="125">
        <f>Предпосылки!T$243*Предпосылки!$S257*Продажи!U22*U$19*(1+Чувствительность!$D$20)*IFERROR(LOOKUP(Предпосылки!$H$216,$C$13:$C$15,U$13:U$15),1)</f>
        <v>0</v>
      </c>
      <c s="125">
        <f>Предпосылки!U$243*Предпосылки!$S257*Продажи!V22*V$19*(1+Чувствительность!$D$20)*IFERROR(LOOKUP(Предпосылки!$H$216,$C$13:$C$15,V$13:V$15),1)</f>
        <v>0</v>
      </c>
      <c s="125">
        <f>Предпосылки!V$243*Предпосылки!$S257*Продажи!W22*W$19*(1+Чувствительность!$D$20)*IFERROR(LOOKUP(Предпосылки!$H$216,$C$13:$C$15,W$13:W$15),1)</f>
        <v>0</v>
      </c>
      <c s="125">
        <f>Предпосылки!W$243*Предпосылки!$S257*Продажи!X22*X$19*(1+Чувствительность!$D$20)*IFERROR(LOOKUP(Предпосылки!$H$216,$C$13:$C$15,X$13:X$15),1)</f>
        <v>0</v>
      </c>
      <c s="125">
        <f>Предпосылки!X$243*Предпосылки!$S257*Продажи!Y22*Y$19*(1+Чувствительность!$D$20)*IFERROR(LOOKUP(Предпосылки!$H$216,$C$13:$C$15,Y$13:Y$15),1)</f>
        <v>0</v>
      </c>
      <c s="125">
        <f>Предпосылки!Y$243*Предпосылки!$S257*Продажи!Z22*Z$19*(1+Чувствительность!$D$20)*IFERROR(LOOKUP(Предпосылки!$H$216,$C$13:$C$15,Z$13:Z$15),1)</f>
        <v>0</v>
      </c>
      <c s="125">
        <f>Предпосылки!Z$243*Предпосылки!$S257*Продажи!AA22*AA$19*(1+Чувствительность!$D$20)*IFERROR(LOOKUP(Предпосылки!$H$216,$C$13:$C$15,AA$13:AA$15),1)</f>
        <v>0</v>
      </c>
      <c s="125">
        <f>Предпосылки!AA$243*Предпосылки!$S257*Продажи!AB22*AB$19*(1+Чувствительность!$D$20)*IFERROR(LOOKUP(Предпосылки!$H$216,$C$13:$C$15,AB$13:AB$15),1)</f>
        <v>0</v>
      </c>
      <c s="125">
        <f>Предпосылки!AB$243*Предпосылки!$S257*Продажи!AC22*AC$19*(1+Чувствительность!$D$20)*IFERROR(LOOKUP(Предпосылки!$H$216,$C$13:$C$15,AC$13:AC$15),1)</f>
        <v>0</v>
      </c>
      <c s="125">
        <f>Предпосылки!AC$243*Предпосылки!$S257*Продажи!AD22*AD$19*(1+Чувствительность!$D$20)*IFERROR(LOOKUP(Предпосылки!$H$216,$C$13:$C$15,AD$13:AD$15),1)</f>
        <v>0</v>
      </c>
      <c s="125">
        <f>Предпосылки!AD$243*Предпосылки!$S257*Продажи!AE22*AE$19*(1+Чувствительность!$D$20)*IFERROR(LOOKUP(Предпосылки!$H$216,$C$13:$C$15,AE$13:AE$15),1)</f>
        <v>0</v>
      </c>
      <c s="125">
        <f>Предпосылки!AE$243*Предпосылки!$S257*Продажи!AF22*AF$19*(1+Чувствительность!$D$20)*IFERROR(LOOKUP(Предпосылки!$H$216,$C$13:$C$15,AF$13:AF$15),1)</f>
        <v>0</v>
      </c>
      <c s="125">
        <f>Предпосылки!AF$243*Предпосылки!$S257*Продажи!AG22*AG$19*(1+Чувствительность!$D$20)*IFERROR(LOOKUP(Предпосылки!$H$216,$C$13:$C$15,AG$13:AG$15),1)</f>
        <v>0</v>
      </c>
      <c s="125">
        <f>Предпосылки!AG$243*Предпосылки!$S257*Продажи!AH22*AH$19*(1+Чувствительность!$D$20)*IFERROR(LOOKUP(Предпосылки!$H$216,$C$13:$C$15,AH$13:AH$15),1)</f>
        <v>0</v>
      </c>
      <c s="125">
        <f>Предпосылки!AH$243*Предпосылки!$S257*Продажи!AI22*AI$19*(1+Чувствительность!$D$20)*IFERROR(LOOKUP(Предпосылки!$H$216,$C$13:$C$15,AI$13:AI$15),1)</f>
        <v>0</v>
      </c>
      <c s="125">
        <f>Предпосылки!AI$243*Предпосылки!$S257*Продажи!AJ22*AJ$19*(1+Чувствительность!$D$20)*IFERROR(LOOKUP(Предпосылки!$H$216,$C$13:$C$15,AJ$13:AJ$15),1)</f>
        <v>0</v>
      </c>
      <c s="125">
        <f>Предпосылки!AJ$243*Предпосылки!$S257*Продажи!AK22*AK$19*(1+Чувствительность!$D$20)*IFERROR(LOOKUP(Предпосылки!$H$216,$C$13:$C$15,AK$13:AK$15),1)</f>
        <v>0</v>
      </c>
      <c s="125">
        <f>Предпосылки!AK$243*Предпосылки!$S257*Продажи!AL22*AL$19*(1+Чувствительность!$D$20)*IFERROR(LOOKUP(Предпосылки!$H$216,$C$13:$C$15,AL$13:AL$15),1)</f>
        <v>0</v>
      </c>
      <c s="125">
        <f>Предпосылки!AL$243*Предпосылки!$S257*Продажи!AM22*AM$19*(1+Чувствительность!$D$20)*IFERROR(LOOKUP(Предпосылки!$H$216,$C$13:$C$15,AM$13:AM$15),1)</f>
        <v>0</v>
      </c>
      <c s="125">
        <f>Предпосылки!AM$243*Предпосылки!$S257*Продажи!AN22*AN$19*(1+Чувствительность!$D$20)*IFERROR(LOOKUP(Предпосылки!$H$216,$C$13:$C$15,AN$13:AN$15),1)</f>
        <v>0</v>
      </c>
      <c s="125">
        <f>Предпосылки!AN$243*Предпосылки!$S257*Продажи!AO22*AO$19*(1+Чувствительность!$D$20)*IFERROR(LOOKUP(Предпосылки!$H$216,$C$13:$C$15,AO$13:AO$15),1)</f>
        <v>0</v>
      </c>
      <c s="125">
        <f>Предпосылки!AO$243*Предпосылки!$S257*Продажи!AP22*AP$19*(1+Чувствительность!$D$20)*IFERROR(LOOKUP(Предпосылки!$H$216,$C$13:$C$15,AP$13:AP$15),1)</f>
        <v>0</v>
      </c>
      <c s="125">
        <f>Предпосылки!AP$243*Предпосылки!$S257*Продажи!AQ22*AQ$19*(1+Чувствительность!$D$20)*IFERROR(LOOKUP(Предпосылки!$H$216,$C$13:$C$15,AQ$13:AQ$15),1)</f>
        <v>0</v>
      </c>
      <c s="125">
        <f>Предпосылки!AQ$243*Предпосылки!$S257*Продажи!AR22*AR$19*(1+Чувствительность!$D$20)*IFERROR(LOOKUP(Предпосылки!$H$216,$C$13:$C$15,AR$13:AR$15),1)</f>
        <v>0</v>
      </c>
      <c s="125">
        <f>Предпосылки!AR$243*Предпосылки!$S257*Продажи!AS22*AS$19*(1+Чувствительность!$D$20)*IFERROR(LOOKUP(Предпосылки!$H$216,$C$13:$C$15,AS$13:AS$15),1)</f>
        <v>0</v>
      </c>
      <c s="125">
        <f>Предпосылки!AS$243*Предпосылки!$S257*Продажи!AT22*AT$19*(1+Чувствительность!$D$20)*IFERROR(LOOKUP(Предпосылки!$H$216,$C$13:$C$15,AT$13:AT$15),1)</f>
        <v>0</v>
      </c>
      <c s="125">
        <f>Предпосылки!AT$243*Предпосылки!$S257*Продажи!AU22*AU$19*(1+Чувствительность!$D$20)*IFERROR(LOOKUP(Предпосылки!$H$216,$C$13:$C$15,AU$13:AU$15),1)</f>
        <v>0</v>
      </c>
      <c s="125">
        <f>Предпосылки!AU$243*Предпосылки!$S257*Продажи!AV22*AV$19*(1+Чувствительность!$D$20)*IFERROR(LOOKUP(Предпосылки!$H$216,$C$13:$C$15,AV$13:AV$15),1)</f>
        <v>0</v>
      </c>
      <c s="125">
        <f>Предпосылки!AV$243*Предпосылки!$S257*Продажи!AW22*AW$19*(1+Чувствительность!$D$20)*IFERROR(LOOKUP(Предпосылки!$H$216,$C$13:$C$15,AW$13:AW$15),1)</f>
        <v>0</v>
      </c>
      <c s="125">
        <f>Предпосылки!AW$243*Предпосылки!$S257*Продажи!AX22*AX$19*(1+Чувствительность!$D$20)*IFERROR(LOOKUP(Предпосылки!$H$216,$C$13:$C$15,AX$13:AX$15),1)</f>
        <v>0</v>
      </c>
      <c s="125">
        <f>Предпосылки!AX$243*Предпосылки!$S257*Продажи!AY22*AY$19*(1+Чувствительность!$D$20)*IFERROR(LOOKUP(Предпосылки!$H$216,$C$13:$C$15,AY$13:AY$15),1)</f>
        <v>0</v>
      </c>
      <c s="125">
        <f>Предпосылки!AY$243*Предпосылки!$S257*Продажи!AZ22*AZ$19*(1+Чувствительность!$D$20)*IFERROR(LOOKUP(Предпосылки!$H$216,$C$13:$C$15,AZ$13:AZ$15),1)</f>
        <v>0</v>
      </c>
      <c s="125">
        <f>Предпосылки!AZ$243*Предпосылки!$S257*Продажи!BA22*BA$19*(1+Чувствительность!$D$20)*IFERROR(LOOKUP(Предпосылки!$H$216,$C$13:$C$15,BA$13:BA$15),1)</f>
        <v>0</v>
      </c>
      <c s="125">
        <f>Предпосылки!BA$243*Предпосылки!$S257*Продажи!BB22*BB$19*(1+Чувствительность!$D$20)*IFERROR(LOOKUP(Предпосылки!$H$216,$C$13:$C$15,BB$13:BB$15),1)</f>
        <v>0</v>
      </c>
      <c s="125">
        <f>Предпосылки!BB$243*Предпосылки!$S257*Продажи!BC22*BC$19*(1+Чувствительность!$D$20)*IFERROR(LOOKUP(Предпосылки!$H$216,$C$13:$C$15,BC$13:BC$15),1)</f>
        <v>0</v>
      </c>
      <c s="125">
        <f>Предпосылки!BC$243*Предпосылки!$S257*Продажи!BD22*BD$19*(1+Чувствительность!$D$20)*IFERROR(LOOKUP(Предпосылки!$H$216,$C$13:$C$15,BD$13:BD$15),1)</f>
        <v>0</v>
      </c>
      <c s="125">
        <f>Предпосылки!BD$243*Предпосылки!$S257*Продажи!BE22*BE$19*(1+Чувствительность!$D$20)*IFERROR(LOOKUP(Предпосылки!$H$216,$C$13:$C$15,BE$13:BE$15),1)</f>
        <v>0</v>
      </c>
      <c s="125">
        <f>Предпосылки!BE$243*Предпосылки!$S257*Продажи!BF22*BF$19*(1+Чувствительность!$D$20)*IFERROR(LOOKUP(Предпосылки!$H$216,$C$13:$C$15,BF$13:BF$15),1)</f>
        <v>0</v>
      </c>
      <c s="125">
        <f>Предпосылки!BF$243*Предпосылки!$S257*Продажи!BG22*BG$19*(1+Чувствительность!$D$20)*IFERROR(LOOKUP(Предпосылки!$H$216,$C$13:$C$15,BG$13:BG$15),1)</f>
        <v>0</v>
      </c>
      <c s="125">
        <f>Предпосылки!BG$243*Предпосылки!$S257*Продажи!BH22*BH$19*(1+Чувствительность!$D$20)*IFERROR(LOOKUP(Предпосылки!$H$216,$C$13:$C$15,BH$13:BH$15),1)</f>
        <v>0</v>
      </c>
      <c s="125">
        <f>Предпосылки!BH$243*Предпосылки!$S257*Продажи!BI22*BI$19*(1+Чувствительность!$D$20)*IFERROR(LOOKUP(Предпосылки!$H$216,$C$13:$C$15,BI$13:BI$15),1)</f>
        <v>0</v>
      </c>
      <c s="125">
        <f>Предпосылки!BI$243*Предпосылки!$S257*Продажи!BJ22*BJ$19*(1+Чувствительность!$D$20)*IFERROR(LOOKUP(Предпосылки!$H$216,$C$13:$C$15,BJ$13:BJ$15),1)</f>
        <v>0</v>
      </c>
      <c s="125">
        <f>Предпосылки!BJ$243*Предпосылки!$S257*Продажи!BK22*BK$19*(1+Чувствительность!$D$20)*IFERROR(LOOKUP(Предпосылки!$H$216,$C$13:$C$15,BK$13:BK$15),1)</f>
        <v>0</v>
      </c>
      <c s="125">
        <f>Предпосылки!BK$243*Предпосылки!$S257*Продажи!BL22*BL$19*(1+Чувствительность!$D$20)*IFERROR(LOOKUP(Предпосылки!$H$216,$C$13:$C$15,BL$13:BL$15),1)</f>
        <v>0</v>
      </c>
      <c s="125">
        <f>Предпосылки!BL$243*Предпосылки!$S257*Продажи!BM22*BM$19*(1+Чувствительность!$D$20)*IFERROR(LOOKUP(Предпосылки!$H$216,$C$13:$C$15,BM$13:BM$15),1)</f>
        <v>0</v>
      </c>
    </row>
    <row r="373" spans="2:65" ht="15" customHeight="1">
      <c r="B373" s="12" t="str">
        <f t="shared" si="136"/>
        <v>Продукт 6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Предпосылки!D$243*Предпосылки!$S258*Продажи!E23*E$19*(1+Чувствительность!$D$20)*IFERROR(LOOKUP(Предпосылки!$H$216,$C$13:$C$15,E$13:E$15),1)</f>
        <v>0</v>
      </c>
      <c s="125">
        <f>Предпосылки!E$243*Предпосылки!$S258*Продажи!F23*F$19*(1+Чувствительность!$D$20)*IFERROR(LOOKUP(Предпосылки!$H$216,$C$13:$C$15,F$13:F$15),1)</f>
        <v>0</v>
      </c>
      <c s="125">
        <f>Предпосылки!F$243*Предпосылки!$S258*Продажи!G23*G$19*(1+Чувствительность!$D$20)*IFERROR(LOOKUP(Предпосылки!$H$216,$C$13:$C$15,G$13:G$15),1)</f>
        <v>0</v>
      </c>
      <c s="125">
        <f>Предпосылки!G$243*Предпосылки!$S258*Продажи!H23*H$19*(1+Чувствительность!$D$20)*IFERROR(LOOKUP(Предпосылки!$H$216,$C$13:$C$15,H$13:H$15),1)</f>
        <v>0</v>
      </c>
      <c s="125">
        <f>Предпосылки!H$243*Предпосылки!$S258*Продажи!I23*I$19*(1+Чувствительность!$D$20)*IFERROR(LOOKUP(Предпосылки!$H$216,$C$13:$C$15,I$13:I$15),1)</f>
        <v>0</v>
      </c>
      <c s="125">
        <f>Предпосылки!I$243*Предпосылки!$S258*Продажи!J23*J$19*(1+Чувствительность!$D$20)*IFERROR(LOOKUP(Предпосылки!$H$216,$C$13:$C$15,J$13:J$15),1)</f>
        <v>0</v>
      </c>
      <c s="125">
        <f>Предпосылки!J$243*Предпосылки!$S258*Продажи!K23*K$19*(1+Чувствительность!$D$20)*IFERROR(LOOKUP(Предпосылки!$H$216,$C$13:$C$15,K$13:K$15),1)</f>
        <v>0</v>
      </c>
      <c s="125">
        <f>Предпосылки!K$243*Предпосылки!$S258*Продажи!L23*L$19*(1+Чувствительность!$D$20)*IFERROR(LOOKUP(Предпосылки!$H$216,$C$13:$C$15,L$13:L$15),1)</f>
        <v>0</v>
      </c>
      <c s="125">
        <f>Предпосылки!L$243*Предпосылки!$S258*Продажи!M23*M$19*(1+Чувствительность!$D$20)*IFERROR(LOOKUP(Предпосылки!$H$216,$C$13:$C$15,M$13:M$15),1)</f>
        <v>0</v>
      </c>
      <c s="125">
        <f>Предпосылки!M$243*Предпосылки!$S258*Продажи!N23*N$19*(1+Чувствительность!$D$20)*IFERROR(LOOKUP(Предпосылки!$H$216,$C$13:$C$15,N$13:N$15),1)</f>
        <v>0</v>
      </c>
      <c s="125">
        <f>Предпосылки!N$243*Предпосылки!$S258*Продажи!O23*O$19*(1+Чувствительность!$D$20)*IFERROR(LOOKUP(Предпосылки!$H$216,$C$13:$C$15,O$13:O$15),1)</f>
        <v>0</v>
      </c>
      <c s="125">
        <f>Предпосылки!O$243*Предпосылки!$S258*Продажи!P23*P$19*(1+Чувствительность!$D$20)*IFERROR(LOOKUP(Предпосылки!$H$216,$C$13:$C$15,P$13:P$15),1)</f>
        <v>0</v>
      </c>
      <c s="125">
        <f>Предпосылки!P$243*Предпосылки!$S258*Продажи!Q23*Q$19*(1+Чувствительность!$D$20)*IFERROR(LOOKUP(Предпосылки!$H$216,$C$13:$C$15,Q$13:Q$15),1)</f>
        <v>0</v>
      </c>
      <c s="125">
        <f>Предпосылки!Q$243*Предпосылки!$S258*Продажи!R23*R$19*(1+Чувствительность!$D$20)*IFERROR(LOOKUP(Предпосылки!$H$216,$C$13:$C$15,R$13:R$15),1)</f>
        <v>0</v>
      </c>
      <c s="125">
        <f>Предпосылки!R$243*Предпосылки!$S258*Продажи!S23*S$19*(1+Чувствительность!$D$20)*IFERROR(LOOKUP(Предпосылки!$H$216,$C$13:$C$15,S$13:S$15),1)</f>
        <v>0</v>
      </c>
      <c s="125">
        <f>Предпосылки!S$243*Предпосылки!$S258*Продажи!T23*T$19*(1+Чувствительность!$D$20)*IFERROR(LOOKUP(Предпосылки!$H$216,$C$13:$C$15,T$13:T$15),1)</f>
        <v>0</v>
      </c>
      <c s="125">
        <f>Предпосылки!T$243*Предпосылки!$S258*Продажи!U23*U$19*(1+Чувствительность!$D$20)*IFERROR(LOOKUP(Предпосылки!$H$216,$C$13:$C$15,U$13:U$15),1)</f>
        <v>0</v>
      </c>
      <c s="125">
        <f>Предпосылки!U$243*Предпосылки!$S258*Продажи!V23*V$19*(1+Чувствительность!$D$20)*IFERROR(LOOKUP(Предпосылки!$H$216,$C$13:$C$15,V$13:V$15),1)</f>
        <v>0</v>
      </c>
      <c s="125">
        <f>Предпосылки!V$243*Предпосылки!$S258*Продажи!W23*W$19*(1+Чувствительность!$D$20)*IFERROR(LOOKUP(Предпосылки!$H$216,$C$13:$C$15,W$13:W$15),1)</f>
        <v>0</v>
      </c>
      <c s="125">
        <f>Предпосылки!W$243*Предпосылки!$S258*Продажи!X23*X$19*(1+Чувствительность!$D$20)*IFERROR(LOOKUP(Предпосылки!$H$216,$C$13:$C$15,X$13:X$15),1)</f>
        <v>0</v>
      </c>
      <c s="125">
        <f>Предпосылки!X$243*Предпосылки!$S258*Продажи!Y23*Y$19*(1+Чувствительность!$D$20)*IFERROR(LOOKUP(Предпосылки!$H$216,$C$13:$C$15,Y$13:Y$15),1)</f>
        <v>0</v>
      </c>
      <c s="125">
        <f>Предпосылки!Y$243*Предпосылки!$S258*Продажи!Z23*Z$19*(1+Чувствительность!$D$20)*IFERROR(LOOKUP(Предпосылки!$H$216,$C$13:$C$15,Z$13:Z$15),1)</f>
        <v>0</v>
      </c>
      <c s="125">
        <f>Предпосылки!Z$243*Предпосылки!$S258*Продажи!AA23*AA$19*(1+Чувствительность!$D$20)*IFERROR(LOOKUP(Предпосылки!$H$216,$C$13:$C$15,AA$13:AA$15),1)</f>
        <v>0</v>
      </c>
      <c s="125">
        <f>Предпосылки!AA$243*Предпосылки!$S258*Продажи!AB23*AB$19*(1+Чувствительность!$D$20)*IFERROR(LOOKUP(Предпосылки!$H$216,$C$13:$C$15,AB$13:AB$15),1)</f>
        <v>0</v>
      </c>
      <c s="125">
        <f>Предпосылки!AB$243*Предпосылки!$S258*Продажи!AC23*AC$19*(1+Чувствительность!$D$20)*IFERROR(LOOKUP(Предпосылки!$H$216,$C$13:$C$15,AC$13:AC$15),1)</f>
        <v>0</v>
      </c>
      <c s="125">
        <f>Предпосылки!AC$243*Предпосылки!$S258*Продажи!AD23*AD$19*(1+Чувствительность!$D$20)*IFERROR(LOOKUP(Предпосылки!$H$216,$C$13:$C$15,AD$13:AD$15),1)</f>
        <v>0</v>
      </c>
      <c s="125">
        <f>Предпосылки!AD$243*Предпосылки!$S258*Продажи!AE23*AE$19*(1+Чувствительность!$D$20)*IFERROR(LOOKUP(Предпосылки!$H$216,$C$13:$C$15,AE$13:AE$15),1)</f>
        <v>0</v>
      </c>
      <c s="125">
        <f>Предпосылки!AE$243*Предпосылки!$S258*Продажи!AF23*AF$19*(1+Чувствительность!$D$20)*IFERROR(LOOKUP(Предпосылки!$H$216,$C$13:$C$15,AF$13:AF$15),1)</f>
        <v>0</v>
      </c>
      <c s="125">
        <f>Предпосылки!AF$243*Предпосылки!$S258*Продажи!AG23*AG$19*(1+Чувствительность!$D$20)*IFERROR(LOOKUP(Предпосылки!$H$216,$C$13:$C$15,AG$13:AG$15),1)</f>
        <v>0</v>
      </c>
      <c s="125">
        <f>Предпосылки!AG$243*Предпосылки!$S258*Продажи!AH23*AH$19*(1+Чувствительность!$D$20)*IFERROR(LOOKUP(Предпосылки!$H$216,$C$13:$C$15,AH$13:AH$15),1)</f>
        <v>0</v>
      </c>
      <c s="125">
        <f>Предпосылки!AH$243*Предпосылки!$S258*Продажи!AI23*AI$19*(1+Чувствительность!$D$20)*IFERROR(LOOKUP(Предпосылки!$H$216,$C$13:$C$15,AI$13:AI$15),1)</f>
        <v>0</v>
      </c>
      <c s="125">
        <f>Предпосылки!AI$243*Предпосылки!$S258*Продажи!AJ23*AJ$19*(1+Чувствительность!$D$20)*IFERROR(LOOKUP(Предпосылки!$H$216,$C$13:$C$15,AJ$13:AJ$15),1)</f>
        <v>0</v>
      </c>
      <c s="125">
        <f>Предпосылки!AJ$243*Предпосылки!$S258*Продажи!AK23*AK$19*(1+Чувствительность!$D$20)*IFERROR(LOOKUP(Предпосылки!$H$216,$C$13:$C$15,AK$13:AK$15),1)</f>
        <v>0</v>
      </c>
      <c s="125">
        <f>Предпосылки!AK$243*Предпосылки!$S258*Продажи!AL23*AL$19*(1+Чувствительность!$D$20)*IFERROR(LOOKUP(Предпосылки!$H$216,$C$13:$C$15,AL$13:AL$15),1)</f>
        <v>0</v>
      </c>
      <c s="125">
        <f>Предпосылки!AL$243*Предпосылки!$S258*Продажи!AM23*AM$19*(1+Чувствительность!$D$20)*IFERROR(LOOKUP(Предпосылки!$H$216,$C$13:$C$15,AM$13:AM$15),1)</f>
        <v>0</v>
      </c>
      <c s="125">
        <f>Предпосылки!AM$243*Предпосылки!$S258*Продажи!AN23*AN$19*(1+Чувствительность!$D$20)*IFERROR(LOOKUP(Предпосылки!$H$216,$C$13:$C$15,AN$13:AN$15),1)</f>
        <v>0</v>
      </c>
      <c s="125">
        <f>Предпосылки!AN$243*Предпосылки!$S258*Продажи!AO23*AO$19*(1+Чувствительность!$D$20)*IFERROR(LOOKUP(Предпосылки!$H$216,$C$13:$C$15,AO$13:AO$15),1)</f>
        <v>0</v>
      </c>
      <c s="125">
        <f>Предпосылки!AO$243*Предпосылки!$S258*Продажи!AP23*AP$19*(1+Чувствительность!$D$20)*IFERROR(LOOKUP(Предпосылки!$H$216,$C$13:$C$15,AP$13:AP$15),1)</f>
        <v>0</v>
      </c>
      <c s="125">
        <f>Предпосылки!AP$243*Предпосылки!$S258*Продажи!AQ23*AQ$19*(1+Чувствительность!$D$20)*IFERROR(LOOKUP(Предпосылки!$H$216,$C$13:$C$15,AQ$13:AQ$15),1)</f>
        <v>0</v>
      </c>
      <c s="125">
        <f>Предпосылки!AQ$243*Предпосылки!$S258*Продажи!AR23*AR$19*(1+Чувствительность!$D$20)*IFERROR(LOOKUP(Предпосылки!$H$216,$C$13:$C$15,AR$13:AR$15),1)</f>
        <v>0</v>
      </c>
      <c s="125">
        <f>Предпосылки!AR$243*Предпосылки!$S258*Продажи!AS23*AS$19*(1+Чувствительность!$D$20)*IFERROR(LOOKUP(Предпосылки!$H$216,$C$13:$C$15,AS$13:AS$15),1)</f>
        <v>0</v>
      </c>
      <c s="125">
        <f>Предпосылки!AS$243*Предпосылки!$S258*Продажи!AT23*AT$19*(1+Чувствительность!$D$20)*IFERROR(LOOKUP(Предпосылки!$H$216,$C$13:$C$15,AT$13:AT$15),1)</f>
        <v>0</v>
      </c>
      <c s="125">
        <f>Предпосылки!AT$243*Предпосылки!$S258*Продажи!AU23*AU$19*(1+Чувствительность!$D$20)*IFERROR(LOOKUP(Предпосылки!$H$216,$C$13:$C$15,AU$13:AU$15),1)</f>
        <v>0</v>
      </c>
      <c s="125">
        <f>Предпосылки!AU$243*Предпосылки!$S258*Продажи!AV23*AV$19*(1+Чувствительность!$D$20)*IFERROR(LOOKUP(Предпосылки!$H$216,$C$13:$C$15,AV$13:AV$15),1)</f>
        <v>0</v>
      </c>
      <c s="125">
        <f>Предпосылки!AV$243*Предпосылки!$S258*Продажи!AW23*AW$19*(1+Чувствительность!$D$20)*IFERROR(LOOKUP(Предпосылки!$H$216,$C$13:$C$15,AW$13:AW$15),1)</f>
        <v>0</v>
      </c>
      <c s="125">
        <f>Предпосылки!AW$243*Предпосылки!$S258*Продажи!AX23*AX$19*(1+Чувствительность!$D$20)*IFERROR(LOOKUP(Предпосылки!$H$216,$C$13:$C$15,AX$13:AX$15),1)</f>
        <v>0</v>
      </c>
      <c s="125">
        <f>Предпосылки!AX$243*Предпосылки!$S258*Продажи!AY23*AY$19*(1+Чувствительность!$D$20)*IFERROR(LOOKUP(Предпосылки!$H$216,$C$13:$C$15,AY$13:AY$15),1)</f>
        <v>0</v>
      </c>
      <c s="125">
        <f>Предпосылки!AY$243*Предпосылки!$S258*Продажи!AZ23*AZ$19*(1+Чувствительность!$D$20)*IFERROR(LOOKUP(Предпосылки!$H$216,$C$13:$C$15,AZ$13:AZ$15),1)</f>
        <v>0</v>
      </c>
      <c s="125">
        <f>Предпосылки!AZ$243*Предпосылки!$S258*Продажи!BA23*BA$19*(1+Чувствительность!$D$20)*IFERROR(LOOKUP(Предпосылки!$H$216,$C$13:$C$15,BA$13:BA$15),1)</f>
        <v>0</v>
      </c>
      <c s="125">
        <f>Предпосылки!BA$243*Предпосылки!$S258*Продажи!BB23*BB$19*(1+Чувствительность!$D$20)*IFERROR(LOOKUP(Предпосылки!$H$216,$C$13:$C$15,BB$13:BB$15),1)</f>
        <v>0</v>
      </c>
      <c s="125">
        <f>Предпосылки!BB$243*Предпосылки!$S258*Продажи!BC23*BC$19*(1+Чувствительность!$D$20)*IFERROR(LOOKUP(Предпосылки!$H$216,$C$13:$C$15,BC$13:BC$15),1)</f>
        <v>0</v>
      </c>
      <c s="125">
        <f>Предпосылки!BC$243*Предпосылки!$S258*Продажи!BD23*BD$19*(1+Чувствительность!$D$20)*IFERROR(LOOKUP(Предпосылки!$H$216,$C$13:$C$15,BD$13:BD$15),1)</f>
        <v>0</v>
      </c>
      <c s="125">
        <f>Предпосылки!BD$243*Предпосылки!$S258*Продажи!BE23*BE$19*(1+Чувствительность!$D$20)*IFERROR(LOOKUP(Предпосылки!$H$216,$C$13:$C$15,BE$13:BE$15),1)</f>
        <v>0</v>
      </c>
      <c s="125">
        <f>Предпосылки!BE$243*Предпосылки!$S258*Продажи!BF23*BF$19*(1+Чувствительность!$D$20)*IFERROR(LOOKUP(Предпосылки!$H$216,$C$13:$C$15,BF$13:BF$15),1)</f>
        <v>0</v>
      </c>
      <c s="125">
        <f>Предпосылки!BF$243*Предпосылки!$S258*Продажи!BG23*BG$19*(1+Чувствительность!$D$20)*IFERROR(LOOKUP(Предпосылки!$H$216,$C$13:$C$15,BG$13:BG$15),1)</f>
        <v>0</v>
      </c>
      <c s="125">
        <f>Предпосылки!BG$243*Предпосылки!$S258*Продажи!BH23*BH$19*(1+Чувствительность!$D$20)*IFERROR(LOOKUP(Предпосылки!$H$216,$C$13:$C$15,BH$13:BH$15),1)</f>
        <v>0</v>
      </c>
      <c s="125">
        <f>Предпосылки!BH$243*Предпосылки!$S258*Продажи!BI23*BI$19*(1+Чувствительность!$D$20)*IFERROR(LOOKUP(Предпосылки!$H$216,$C$13:$C$15,BI$13:BI$15),1)</f>
        <v>0</v>
      </c>
      <c s="125">
        <f>Предпосылки!BI$243*Предпосылки!$S258*Продажи!BJ23*BJ$19*(1+Чувствительность!$D$20)*IFERROR(LOOKUP(Предпосылки!$H$216,$C$13:$C$15,BJ$13:BJ$15),1)</f>
        <v>0</v>
      </c>
      <c s="125">
        <f>Предпосылки!BJ$243*Предпосылки!$S258*Продажи!BK23*BK$19*(1+Чувствительность!$D$20)*IFERROR(LOOKUP(Предпосылки!$H$216,$C$13:$C$15,BK$13:BK$15),1)</f>
        <v>0</v>
      </c>
      <c s="125">
        <f>Предпосылки!BK$243*Предпосылки!$S258*Продажи!BL23*BL$19*(1+Чувствительность!$D$20)*IFERROR(LOOKUP(Предпосылки!$H$216,$C$13:$C$15,BL$13:BL$15),1)</f>
        <v>0</v>
      </c>
      <c s="125">
        <f>Предпосылки!BL$243*Предпосылки!$S258*Продажи!BM23*BM$19*(1+Чувствительность!$D$20)*IFERROR(LOOKUP(Предпосылки!$H$216,$C$13:$C$15,BM$13:BM$15),1)</f>
        <v>0</v>
      </c>
    </row>
    <row r="374" spans="2:65" ht="15" customHeight="1">
      <c r="B374" s="12" t="str">
        <f t="shared" si="136"/>
        <v>Продукт 7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Предпосылки!D$243*Предпосылки!$S259*Продажи!E24*E$19*(1+Чувствительность!$D$20)*IFERROR(LOOKUP(Предпосылки!$H$216,$C$13:$C$15,E$13:E$15),1)</f>
        <v>0</v>
      </c>
      <c s="125">
        <f>Предпосылки!E$243*Предпосылки!$S259*Продажи!F24*F$19*(1+Чувствительность!$D$20)*IFERROR(LOOKUP(Предпосылки!$H$216,$C$13:$C$15,F$13:F$15),1)</f>
        <v>0</v>
      </c>
      <c s="125">
        <f>Предпосылки!F$243*Предпосылки!$S259*Продажи!G24*G$19*(1+Чувствительность!$D$20)*IFERROR(LOOKUP(Предпосылки!$H$216,$C$13:$C$15,G$13:G$15),1)</f>
        <v>0</v>
      </c>
      <c s="125">
        <f>Предпосылки!G$243*Предпосылки!$S259*Продажи!H24*H$19*(1+Чувствительность!$D$20)*IFERROR(LOOKUP(Предпосылки!$H$216,$C$13:$C$15,H$13:H$15),1)</f>
        <v>0</v>
      </c>
      <c s="125">
        <f>Предпосылки!H$243*Предпосылки!$S259*Продажи!I24*I$19*(1+Чувствительность!$D$20)*IFERROR(LOOKUP(Предпосылки!$H$216,$C$13:$C$15,I$13:I$15),1)</f>
        <v>0</v>
      </c>
      <c s="125">
        <f>Предпосылки!I$243*Предпосылки!$S259*Продажи!J24*J$19*(1+Чувствительность!$D$20)*IFERROR(LOOKUP(Предпосылки!$H$216,$C$13:$C$15,J$13:J$15),1)</f>
        <v>0</v>
      </c>
      <c s="125">
        <f>Предпосылки!J$243*Предпосылки!$S259*Продажи!K24*K$19*(1+Чувствительность!$D$20)*IFERROR(LOOKUP(Предпосылки!$H$216,$C$13:$C$15,K$13:K$15),1)</f>
        <v>0</v>
      </c>
      <c s="125">
        <f>Предпосылки!K$243*Предпосылки!$S259*Продажи!L24*L$19*(1+Чувствительность!$D$20)*IFERROR(LOOKUP(Предпосылки!$H$216,$C$13:$C$15,L$13:L$15),1)</f>
        <v>0</v>
      </c>
      <c s="125">
        <f>Предпосылки!L$243*Предпосылки!$S259*Продажи!M24*M$19*(1+Чувствительность!$D$20)*IFERROR(LOOKUP(Предпосылки!$H$216,$C$13:$C$15,M$13:M$15),1)</f>
        <v>0</v>
      </c>
      <c s="125">
        <f>Предпосылки!M$243*Предпосылки!$S259*Продажи!N24*N$19*(1+Чувствительность!$D$20)*IFERROR(LOOKUP(Предпосылки!$H$216,$C$13:$C$15,N$13:N$15),1)</f>
        <v>0</v>
      </c>
      <c s="125">
        <f>Предпосылки!N$243*Предпосылки!$S259*Продажи!O24*O$19*(1+Чувствительность!$D$20)*IFERROR(LOOKUP(Предпосылки!$H$216,$C$13:$C$15,O$13:O$15),1)</f>
        <v>0</v>
      </c>
      <c s="125">
        <f>Предпосылки!O$243*Предпосылки!$S259*Продажи!P24*P$19*(1+Чувствительность!$D$20)*IFERROR(LOOKUP(Предпосылки!$H$216,$C$13:$C$15,P$13:P$15),1)</f>
        <v>0</v>
      </c>
      <c s="125">
        <f>Предпосылки!P$243*Предпосылки!$S259*Продажи!Q24*Q$19*(1+Чувствительность!$D$20)*IFERROR(LOOKUP(Предпосылки!$H$216,$C$13:$C$15,Q$13:Q$15),1)</f>
        <v>0</v>
      </c>
      <c s="125">
        <f>Предпосылки!Q$243*Предпосылки!$S259*Продажи!R24*R$19*(1+Чувствительность!$D$20)*IFERROR(LOOKUP(Предпосылки!$H$216,$C$13:$C$15,R$13:R$15),1)</f>
        <v>0</v>
      </c>
      <c s="125">
        <f>Предпосылки!R$243*Предпосылки!$S259*Продажи!S24*S$19*(1+Чувствительность!$D$20)*IFERROR(LOOKUP(Предпосылки!$H$216,$C$13:$C$15,S$13:S$15),1)</f>
        <v>0</v>
      </c>
      <c s="125">
        <f>Предпосылки!S$243*Предпосылки!$S259*Продажи!T24*T$19*(1+Чувствительность!$D$20)*IFERROR(LOOKUP(Предпосылки!$H$216,$C$13:$C$15,T$13:T$15),1)</f>
        <v>0</v>
      </c>
      <c s="125">
        <f>Предпосылки!T$243*Предпосылки!$S259*Продажи!U24*U$19*(1+Чувствительность!$D$20)*IFERROR(LOOKUP(Предпосылки!$H$216,$C$13:$C$15,U$13:U$15),1)</f>
        <v>0</v>
      </c>
      <c s="125">
        <f>Предпосылки!U$243*Предпосылки!$S259*Продажи!V24*V$19*(1+Чувствительность!$D$20)*IFERROR(LOOKUP(Предпосылки!$H$216,$C$13:$C$15,V$13:V$15),1)</f>
        <v>0</v>
      </c>
      <c s="125">
        <f>Предпосылки!V$243*Предпосылки!$S259*Продажи!W24*W$19*(1+Чувствительность!$D$20)*IFERROR(LOOKUP(Предпосылки!$H$216,$C$13:$C$15,W$13:W$15),1)</f>
        <v>0</v>
      </c>
      <c s="125">
        <f>Предпосылки!W$243*Предпосылки!$S259*Продажи!X24*X$19*(1+Чувствительность!$D$20)*IFERROR(LOOKUP(Предпосылки!$H$216,$C$13:$C$15,X$13:X$15),1)</f>
        <v>0</v>
      </c>
      <c s="125">
        <f>Предпосылки!X$243*Предпосылки!$S259*Продажи!Y24*Y$19*(1+Чувствительность!$D$20)*IFERROR(LOOKUP(Предпосылки!$H$216,$C$13:$C$15,Y$13:Y$15),1)</f>
        <v>0</v>
      </c>
      <c s="125">
        <f>Предпосылки!Y$243*Предпосылки!$S259*Продажи!Z24*Z$19*(1+Чувствительность!$D$20)*IFERROR(LOOKUP(Предпосылки!$H$216,$C$13:$C$15,Z$13:Z$15),1)</f>
        <v>0</v>
      </c>
      <c s="125">
        <f>Предпосылки!Z$243*Предпосылки!$S259*Продажи!AA24*AA$19*(1+Чувствительность!$D$20)*IFERROR(LOOKUP(Предпосылки!$H$216,$C$13:$C$15,AA$13:AA$15),1)</f>
        <v>0</v>
      </c>
      <c s="125">
        <f>Предпосылки!AA$243*Предпосылки!$S259*Продажи!AB24*AB$19*(1+Чувствительность!$D$20)*IFERROR(LOOKUP(Предпосылки!$H$216,$C$13:$C$15,AB$13:AB$15),1)</f>
        <v>0</v>
      </c>
      <c s="125">
        <f>Предпосылки!AB$243*Предпосылки!$S259*Продажи!AC24*AC$19*(1+Чувствительность!$D$20)*IFERROR(LOOKUP(Предпосылки!$H$216,$C$13:$C$15,AC$13:AC$15),1)</f>
        <v>0</v>
      </c>
      <c s="125">
        <f>Предпосылки!AC$243*Предпосылки!$S259*Продажи!AD24*AD$19*(1+Чувствительность!$D$20)*IFERROR(LOOKUP(Предпосылки!$H$216,$C$13:$C$15,AD$13:AD$15),1)</f>
        <v>0</v>
      </c>
      <c s="125">
        <f>Предпосылки!AD$243*Предпосылки!$S259*Продажи!AE24*AE$19*(1+Чувствительность!$D$20)*IFERROR(LOOKUP(Предпосылки!$H$216,$C$13:$C$15,AE$13:AE$15),1)</f>
        <v>0</v>
      </c>
      <c s="125">
        <f>Предпосылки!AE$243*Предпосылки!$S259*Продажи!AF24*AF$19*(1+Чувствительность!$D$20)*IFERROR(LOOKUP(Предпосылки!$H$216,$C$13:$C$15,AF$13:AF$15),1)</f>
        <v>0</v>
      </c>
      <c s="125">
        <f>Предпосылки!AF$243*Предпосылки!$S259*Продажи!AG24*AG$19*(1+Чувствительность!$D$20)*IFERROR(LOOKUP(Предпосылки!$H$216,$C$13:$C$15,AG$13:AG$15),1)</f>
        <v>0</v>
      </c>
      <c s="125">
        <f>Предпосылки!AG$243*Предпосылки!$S259*Продажи!AH24*AH$19*(1+Чувствительность!$D$20)*IFERROR(LOOKUP(Предпосылки!$H$216,$C$13:$C$15,AH$13:AH$15),1)</f>
        <v>0</v>
      </c>
      <c s="125">
        <f>Предпосылки!AH$243*Предпосылки!$S259*Продажи!AI24*AI$19*(1+Чувствительность!$D$20)*IFERROR(LOOKUP(Предпосылки!$H$216,$C$13:$C$15,AI$13:AI$15),1)</f>
        <v>0</v>
      </c>
      <c s="125">
        <f>Предпосылки!AI$243*Предпосылки!$S259*Продажи!AJ24*AJ$19*(1+Чувствительность!$D$20)*IFERROR(LOOKUP(Предпосылки!$H$216,$C$13:$C$15,AJ$13:AJ$15),1)</f>
        <v>0</v>
      </c>
      <c s="125">
        <f>Предпосылки!AJ$243*Предпосылки!$S259*Продажи!AK24*AK$19*(1+Чувствительность!$D$20)*IFERROR(LOOKUP(Предпосылки!$H$216,$C$13:$C$15,AK$13:AK$15),1)</f>
        <v>0</v>
      </c>
      <c s="125">
        <f>Предпосылки!AK$243*Предпосылки!$S259*Продажи!AL24*AL$19*(1+Чувствительность!$D$20)*IFERROR(LOOKUP(Предпосылки!$H$216,$C$13:$C$15,AL$13:AL$15),1)</f>
        <v>0</v>
      </c>
      <c s="125">
        <f>Предпосылки!AL$243*Предпосылки!$S259*Продажи!AM24*AM$19*(1+Чувствительность!$D$20)*IFERROR(LOOKUP(Предпосылки!$H$216,$C$13:$C$15,AM$13:AM$15),1)</f>
        <v>0</v>
      </c>
      <c s="125">
        <f>Предпосылки!AM$243*Предпосылки!$S259*Продажи!AN24*AN$19*(1+Чувствительность!$D$20)*IFERROR(LOOKUP(Предпосылки!$H$216,$C$13:$C$15,AN$13:AN$15),1)</f>
        <v>0</v>
      </c>
      <c s="125">
        <f>Предпосылки!AN$243*Предпосылки!$S259*Продажи!AO24*AO$19*(1+Чувствительность!$D$20)*IFERROR(LOOKUP(Предпосылки!$H$216,$C$13:$C$15,AO$13:AO$15),1)</f>
        <v>0</v>
      </c>
      <c s="125">
        <f>Предпосылки!AO$243*Предпосылки!$S259*Продажи!AP24*AP$19*(1+Чувствительность!$D$20)*IFERROR(LOOKUP(Предпосылки!$H$216,$C$13:$C$15,AP$13:AP$15),1)</f>
        <v>0</v>
      </c>
      <c s="125">
        <f>Предпосылки!AP$243*Предпосылки!$S259*Продажи!AQ24*AQ$19*(1+Чувствительность!$D$20)*IFERROR(LOOKUP(Предпосылки!$H$216,$C$13:$C$15,AQ$13:AQ$15),1)</f>
        <v>0</v>
      </c>
      <c s="125">
        <f>Предпосылки!AQ$243*Предпосылки!$S259*Продажи!AR24*AR$19*(1+Чувствительность!$D$20)*IFERROR(LOOKUP(Предпосылки!$H$216,$C$13:$C$15,AR$13:AR$15),1)</f>
        <v>0</v>
      </c>
      <c s="125">
        <f>Предпосылки!AR$243*Предпосылки!$S259*Продажи!AS24*AS$19*(1+Чувствительность!$D$20)*IFERROR(LOOKUP(Предпосылки!$H$216,$C$13:$C$15,AS$13:AS$15),1)</f>
        <v>0</v>
      </c>
      <c s="125">
        <f>Предпосылки!AS$243*Предпосылки!$S259*Продажи!AT24*AT$19*(1+Чувствительность!$D$20)*IFERROR(LOOKUP(Предпосылки!$H$216,$C$13:$C$15,AT$13:AT$15),1)</f>
        <v>0</v>
      </c>
      <c s="125">
        <f>Предпосылки!AT$243*Предпосылки!$S259*Продажи!AU24*AU$19*(1+Чувствительность!$D$20)*IFERROR(LOOKUP(Предпосылки!$H$216,$C$13:$C$15,AU$13:AU$15),1)</f>
        <v>0</v>
      </c>
      <c s="125">
        <f>Предпосылки!AU$243*Предпосылки!$S259*Продажи!AV24*AV$19*(1+Чувствительность!$D$20)*IFERROR(LOOKUP(Предпосылки!$H$216,$C$13:$C$15,AV$13:AV$15),1)</f>
        <v>0</v>
      </c>
      <c s="125">
        <f>Предпосылки!AV$243*Предпосылки!$S259*Продажи!AW24*AW$19*(1+Чувствительность!$D$20)*IFERROR(LOOKUP(Предпосылки!$H$216,$C$13:$C$15,AW$13:AW$15),1)</f>
        <v>0</v>
      </c>
      <c s="125">
        <f>Предпосылки!AW$243*Предпосылки!$S259*Продажи!AX24*AX$19*(1+Чувствительность!$D$20)*IFERROR(LOOKUP(Предпосылки!$H$216,$C$13:$C$15,AX$13:AX$15),1)</f>
        <v>0</v>
      </c>
      <c s="125">
        <f>Предпосылки!AX$243*Предпосылки!$S259*Продажи!AY24*AY$19*(1+Чувствительность!$D$20)*IFERROR(LOOKUP(Предпосылки!$H$216,$C$13:$C$15,AY$13:AY$15),1)</f>
        <v>0</v>
      </c>
      <c s="125">
        <f>Предпосылки!AY$243*Предпосылки!$S259*Продажи!AZ24*AZ$19*(1+Чувствительность!$D$20)*IFERROR(LOOKUP(Предпосылки!$H$216,$C$13:$C$15,AZ$13:AZ$15),1)</f>
        <v>0</v>
      </c>
      <c s="125">
        <f>Предпосылки!AZ$243*Предпосылки!$S259*Продажи!BA24*BA$19*(1+Чувствительность!$D$20)*IFERROR(LOOKUP(Предпосылки!$H$216,$C$13:$C$15,BA$13:BA$15),1)</f>
        <v>0</v>
      </c>
      <c s="125">
        <f>Предпосылки!BA$243*Предпосылки!$S259*Продажи!BB24*BB$19*(1+Чувствительность!$D$20)*IFERROR(LOOKUP(Предпосылки!$H$216,$C$13:$C$15,BB$13:BB$15),1)</f>
        <v>0</v>
      </c>
      <c s="125">
        <f>Предпосылки!BB$243*Предпосылки!$S259*Продажи!BC24*BC$19*(1+Чувствительность!$D$20)*IFERROR(LOOKUP(Предпосылки!$H$216,$C$13:$C$15,BC$13:BC$15),1)</f>
        <v>0</v>
      </c>
      <c s="125">
        <f>Предпосылки!BC$243*Предпосылки!$S259*Продажи!BD24*BD$19*(1+Чувствительность!$D$20)*IFERROR(LOOKUP(Предпосылки!$H$216,$C$13:$C$15,BD$13:BD$15),1)</f>
        <v>0</v>
      </c>
      <c s="125">
        <f>Предпосылки!BD$243*Предпосылки!$S259*Продажи!BE24*BE$19*(1+Чувствительность!$D$20)*IFERROR(LOOKUP(Предпосылки!$H$216,$C$13:$C$15,BE$13:BE$15),1)</f>
        <v>0</v>
      </c>
      <c s="125">
        <f>Предпосылки!BE$243*Предпосылки!$S259*Продажи!BF24*BF$19*(1+Чувствительность!$D$20)*IFERROR(LOOKUP(Предпосылки!$H$216,$C$13:$C$15,BF$13:BF$15),1)</f>
        <v>0</v>
      </c>
      <c s="125">
        <f>Предпосылки!BF$243*Предпосылки!$S259*Продажи!BG24*BG$19*(1+Чувствительность!$D$20)*IFERROR(LOOKUP(Предпосылки!$H$216,$C$13:$C$15,BG$13:BG$15),1)</f>
        <v>0</v>
      </c>
      <c s="125">
        <f>Предпосылки!BG$243*Предпосылки!$S259*Продажи!BH24*BH$19*(1+Чувствительность!$D$20)*IFERROR(LOOKUP(Предпосылки!$H$216,$C$13:$C$15,BH$13:BH$15),1)</f>
        <v>0</v>
      </c>
      <c s="125">
        <f>Предпосылки!BH$243*Предпосылки!$S259*Продажи!BI24*BI$19*(1+Чувствительность!$D$20)*IFERROR(LOOKUP(Предпосылки!$H$216,$C$13:$C$15,BI$13:BI$15),1)</f>
        <v>0</v>
      </c>
      <c s="125">
        <f>Предпосылки!BI$243*Предпосылки!$S259*Продажи!BJ24*BJ$19*(1+Чувствительность!$D$20)*IFERROR(LOOKUP(Предпосылки!$H$216,$C$13:$C$15,BJ$13:BJ$15),1)</f>
        <v>0</v>
      </c>
      <c s="125">
        <f>Предпосылки!BJ$243*Предпосылки!$S259*Продажи!BK24*BK$19*(1+Чувствительность!$D$20)*IFERROR(LOOKUP(Предпосылки!$H$216,$C$13:$C$15,BK$13:BK$15),1)</f>
        <v>0</v>
      </c>
      <c s="125">
        <f>Предпосылки!BK$243*Предпосылки!$S259*Продажи!BL24*BL$19*(1+Чувствительность!$D$20)*IFERROR(LOOKUP(Предпосылки!$H$216,$C$13:$C$15,BL$13:BL$15),1)</f>
        <v>0</v>
      </c>
      <c s="125">
        <f>Предпосылки!BL$243*Предпосылки!$S259*Продажи!BM24*BM$19*(1+Чувствительность!$D$20)*IFERROR(LOOKUP(Предпосылки!$H$216,$C$13:$C$15,BM$13:BM$15),1)</f>
        <v>0</v>
      </c>
    </row>
    <row r="375" spans="2:65" ht="15" customHeight="1">
      <c r="B375" s="12" t="str">
        <f t="shared" si="136"/>
        <v>Продукт 8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Предпосылки!D$243*Предпосылки!$S260*Продажи!E25*E$19*(1+Чувствительность!$D$20)*IFERROR(LOOKUP(Предпосылки!$H$216,$C$13:$C$15,E$13:E$15),1)</f>
        <v>0</v>
      </c>
      <c s="125">
        <f>Предпосылки!E$243*Предпосылки!$S260*Продажи!F25*F$19*(1+Чувствительность!$D$20)*IFERROR(LOOKUP(Предпосылки!$H$216,$C$13:$C$15,F$13:F$15),1)</f>
        <v>0</v>
      </c>
      <c s="125">
        <f>Предпосылки!F$243*Предпосылки!$S260*Продажи!G25*G$19*(1+Чувствительность!$D$20)*IFERROR(LOOKUP(Предпосылки!$H$216,$C$13:$C$15,G$13:G$15),1)</f>
        <v>0</v>
      </c>
      <c s="125">
        <f>Предпосылки!G$243*Предпосылки!$S260*Продажи!H25*H$19*(1+Чувствительность!$D$20)*IFERROR(LOOKUP(Предпосылки!$H$216,$C$13:$C$15,H$13:H$15),1)</f>
        <v>0</v>
      </c>
      <c s="125">
        <f>Предпосылки!H$243*Предпосылки!$S260*Продажи!I25*I$19*(1+Чувствительность!$D$20)*IFERROR(LOOKUP(Предпосылки!$H$216,$C$13:$C$15,I$13:I$15),1)</f>
        <v>0</v>
      </c>
      <c s="125">
        <f>Предпосылки!I$243*Предпосылки!$S260*Продажи!J25*J$19*(1+Чувствительность!$D$20)*IFERROR(LOOKUP(Предпосылки!$H$216,$C$13:$C$15,J$13:J$15),1)</f>
        <v>0</v>
      </c>
      <c s="125">
        <f>Предпосылки!J$243*Предпосылки!$S260*Продажи!K25*K$19*(1+Чувствительность!$D$20)*IFERROR(LOOKUP(Предпосылки!$H$216,$C$13:$C$15,K$13:K$15),1)</f>
        <v>0</v>
      </c>
      <c s="125">
        <f>Предпосылки!K$243*Предпосылки!$S260*Продажи!L25*L$19*(1+Чувствительность!$D$20)*IFERROR(LOOKUP(Предпосылки!$H$216,$C$13:$C$15,L$13:L$15),1)</f>
        <v>0</v>
      </c>
      <c s="125">
        <f>Предпосылки!L$243*Предпосылки!$S260*Продажи!M25*M$19*(1+Чувствительность!$D$20)*IFERROR(LOOKUP(Предпосылки!$H$216,$C$13:$C$15,M$13:M$15),1)</f>
        <v>0</v>
      </c>
      <c s="125">
        <f>Предпосылки!M$243*Предпосылки!$S260*Продажи!N25*N$19*(1+Чувствительность!$D$20)*IFERROR(LOOKUP(Предпосылки!$H$216,$C$13:$C$15,N$13:N$15),1)</f>
        <v>0</v>
      </c>
      <c s="125">
        <f>Предпосылки!N$243*Предпосылки!$S260*Продажи!O25*O$19*(1+Чувствительность!$D$20)*IFERROR(LOOKUP(Предпосылки!$H$216,$C$13:$C$15,O$13:O$15),1)</f>
        <v>0</v>
      </c>
      <c s="125">
        <f>Предпосылки!O$243*Предпосылки!$S260*Продажи!P25*P$19*(1+Чувствительность!$D$20)*IFERROR(LOOKUP(Предпосылки!$H$216,$C$13:$C$15,P$13:P$15),1)</f>
        <v>0</v>
      </c>
      <c s="125">
        <f>Предпосылки!P$243*Предпосылки!$S260*Продажи!Q25*Q$19*(1+Чувствительность!$D$20)*IFERROR(LOOKUP(Предпосылки!$H$216,$C$13:$C$15,Q$13:Q$15),1)</f>
        <v>0</v>
      </c>
      <c s="125">
        <f>Предпосылки!Q$243*Предпосылки!$S260*Продажи!R25*R$19*(1+Чувствительность!$D$20)*IFERROR(LOOKUP(Предпосылки!$H$216,$C$13:$C$15,R$13:R$15),1)</f>
        <v>0</v>
      </c>
      <c s="125">
        <f>Предпосылки!R$243*Предпосылки!$S260*Продажи!S25*S$19*(1+Чувствительность!$D$20)*IFERROR(LOOKUP(Предпосылки!$H$216,$C$13:$C$15,S$13:S$15),1)</f>
        <v>0</v>
      </c>
      <c s="125">
        <f>Предпосылки!S$243*Предпосылки!$S260*Продажи!T25*T$19*(1+Чувствительность!$D$20)*IFERROR(LOOKUP(Предпосылки!$H$216,$C$13:$C$15,T$13:T$15),1)</f>
        <v>0</v>
      </c>
      <c s="125">
        <f>Предпосылки!T$243*Предпосылки!$S260*Продажи!U25*U$19*(1+Чувствительность!$D$20)*IFERROR(LOOKUP(Предпосылки!$H$216,$C$13:$C$15,U$13:U$15),1)</f>
        <v>0</v>
      </c>
      <c s="125">
        <f>Предпосылки!U$243*Предпосылки!$S260*Продажи!V25*V$19*(1+Чувствительность!$D$20)*IFERROR(LOOKUP(Предпосылки!$H$216,$C$13:$C$15,V$13:V$15),1)</f>
        <v>0</v>
      </c>
      <c s="125">
        <f>Предпосылки!V$243*Предпосылки!$S260*Продажи!W25*W$19*(1+Чувствительность!$D$20)*IFERROR(LOOKUP(Предпосылки!$H$216,$C$13:$C$15,W$13:W$15),1)</f>
        <v>0</v>
      </c>
      <c s="125">
        <f>Предпосылки!W$243*Предпосылки!$S260*Продажи!X25*X$19*(1+Чувствительность!$D$20)*IFERROR(LOOKUP(Предпосылки!$H$216,$C$13:$C$15,X$13:X$15),1)</f>
        <v>0</v>
      </c>
      <c s="125">
        <f>Предпосылки!X$243*Предпосылки!$S260*Продажи!Y25*Y$19*(1+Чувствительность!$D$20)*IFERROR(LOOKUP(Предпосылки!$H$216,$C$13:$C$15,Y$13:Y$15),1)</f>
        <v>0</v>
      </c>
      <c s="125">
        <f>Предпосылки!Y$243*Предпосылки!$S260*Продажи!Z25*Z$19*(1+Чувствительность!$D$20)*IFERROR(LOOKUP(Предпосылки!$H$216,$C$13:$C$15,Z$13:Z$15),1)</f>
        <v>0</v>
      </c>
      <c s="125">
        <f>Предпосылки!Z$243*Предпосылки!$S260*Продажи!AA25*AA$19*(1+Чувствительность!$D$20)*IFERROR(LOOKUP(Предпосылки!$H$216,$C$13:$C$15,AA$13:AA$15),1)</f>
        <v>0</v>
      </c>
      <c s="125">
        <f>Предпосылки!AA$243*Предпосылки!$S260*Продажи!AB25*AB$19*(1+Чувствительность!$D$20)*IFERROR(LOOKUP(Предпосылки!$H$216,$C$13:$C$15,AB$13:AB$15),1)</f>
        <v>0</v>
      </c>
      <c s="125">
        <f>Предпосылки!AB$243*Предпосылки!$S260*Продажи!AC25*AC$19*(1+Чувствительность!$D$20)*IFERROR(LOOKUP(Предпосылки!$H$216,$C$13:$C$15,AC$13:AC$15),1)</f>
        <v>0</v>
      </c>
      <c s="125">
        <f>Предпосылки!AC$243*Предпосылки!$S260*Продажи!AD25*AD$19*(1+Чувствительность!$D$20)*IFERROR(LOOKUP(Предпосылки!$H$216,$C$13:$C$15,AD$13:AD$15),1)</f>
        <v>0</v>
      </c>
      <c s="125">
        <f>Предпосылки!AD$243*Предпосылки!$S260*Продажи!AE25*AE$19*(1+Чувствительность!$D$20)*IFERROR(LOOKUP(Предпосылки!$H$216,$C$13:$C$15,AE$13:AE$15),1)</f>
        <v>0</v>
      </c>
      <c s="125">
        <f>Предпосылки!AE$243*Предпосылки!$S260*Продажи!AF25*AF$19*(1+Чувствительность!$D$20)*IFERROR(LOOKUP(Предпосылки!$H$216,$C$13:$C$15,AF$13:AF$15),1)</f>
        <v>0</v>
      </c>
      <c s="125">
        <f>Предпосылки!AF$243*Предпосылки!$S260*Продажи!AG25*AG$19*(1+Чувствительность!$D$20)*IFERROR(LOOKUP(Предпосылки!$H$216,$C$13:$C$15,AG$13:AG$15),1)</f>
        <v>0</v>
      </c>
      <c s="125">
        <f>Предпосылки!AG$243*Предпосылки!$S260*Продажи!AH25*AH$19*(1+Чувствительность!$D$20)*IFERROR(LOOKUP(Предпосылки!$H$216,$C$13:$C$15,AH$13:AH$15),1)</f>
        <v>0</v>
      </c>
      <c s="125">
        <f>Предпосылки!AH$243*Предпосылки!$S260*Продажи!AI25*AI$19*(1+Чувствительность!$D$20)*IFERROR(LOOKUP(Предпосылки!$H$216,$C$13:$C$15,AI$13:AI$15),1)</f>
        <v>0</v>
      </c>
      <c s="125">
        <f>Предпосылки!AI$243*Предпосылки!$S260*Продажи!AJ25*AJ$19*(1+Чувствительность!$D$20)*IFERROR(LOOKUP(Предпосылки!$H$216,$C$13:$C$15,AJ$13:AJ$15),1)</f>
        <v>0</v>
      </c>
      <c s="125">
        <f>Предпосылки!AJ$243*Предпосылки!$S260*Продажи!AK25*AK$19*(1+Чувствительность!$D$20)*IFERROR(LOOKUP(Предпосылки!$H$216,$C$13:$C$15,AK$13:AK$15),1)</f>
        <v>0</v>
      </c>
      <c s="125">
        <f>Предпосылки!AK$243*Предпосылки!$S260*Продажи!AL25*AL$19*(1+Чувствительность!$D$20)*IFERROR(LOOKUP(Предпосылки!$H$216,$C$13:$C$15,AL$13:AL$15),1)</f>
        <v>0</v>
      </c>
      <c s="125">
        <f>Предпосылки!AL$243*Предпосылки!$S260*Продажи!AM25*AM$19*(1+Чувствительность!$D$20)*IFERROR(LOOKUP(Предпосылки!$H$216,$C$13:$C$15,AM$13:AM$15),1)</f>
        <v>0</v>
      </c>
      <c s="125">
        <f>Предпосылки!AM$243*Предпосылки!$S260*Продажи!AN25*AN$19*(1+Чувствительность!$D$20)*IFERROR(LOOKUP(Предпосылки!$H$216,$C$13:$C$15,AN$13:AN$15),1)</f>
        <v>0</v>
      </c>
      <c s="125">
        <f>Предпосылки!AN$243*Предпосылки!$S260*Продажи!AO25*AO$19*(1+Чувствительность!$D$20)*IFERROR(LOOKUP(Предпосылки!$H$216,$C$13:$C$15,AO$13:AO$15),1)</f>
        <v>0</v>
      </c>
      <c s="125">
        <f>Предпосылки!AO$243*Предпосылки!$S260*Продажи!AP25*AP$19*(1+Чувствительность!$D$20)*IFERROR(LOOKUP(Предпосылки!$H$216,$C$13:$C$15,AP$13:AP$15),1)</f>
        <v>0</v>
      </c>
      <c s="125">
        <f>Предпосылки!AP$243*Предпосылки!$S260*Продажи!AQ25*AQ$19*(1+Чувствительность!$D$20)*IFERROR(LOOKUP(Предпосылки!$H$216,$C$13:$C$15,AQ$13:AQ$15),1)</f>
        <v>0</v>
      </c>
      <c s="125">
        <f>Предпосылки!AQ$243*Предпосылки!$S260*Продажи!AR25*AR$19*(1+Чувствительность!$D$20)*IFERROR(LOOKUP(Предпосылки!$H$216,$C$13:$C$15,AR$13:AR$15),1)</f>
        <v>0</v>
      </c>
      <c s="125">
        <f>Предпосылки!AR$243*Предпосылки!$S260*Продажи!AS25*AS$19*(1+Чувствительность!$D$20)*IFERROR(LOOKUP(Предпосылки!$H$216,$C$13:$C$15,AS$13:AS$15),1)</f>
        <v>0</v>
      </c>
      <c s="125">
        <f>Предпосылки!AS$243*Предпосылки!$S260*Продажи!AT25*AT$19*(1+Чувствительность!$D$20)*IFERROR(LOOKUP(Предпосылки!$H$216,$C$13:$C$15,AT$13:AT$15),1)</f>
        <v>0</v>
      </c>
      <c s="125">
        <f>Предпосылки!AT$243*Предпосылки!$S260*Продажи!AU25*AU$19*(1+Чувствительность!$D$20)*IFERROR(LOOKUP(Предпосылки!$H$216,$C$13:$C$15,AU$13:AU$15),1)</f>
        <v>0</v>
      </c>
      <c s="125">
        <f>Предпосылки!AU$243*Предпосылки!$S260*Продажи!AV25*AV$19*(1+Чувствительность!$D$20)*IFERROR(LOOKUP(Предпосылки!$H$216,$C$13:$C$15,AV$13:AV$15),1)</f>
        <v>0</v>
      </c>
      <c s="125">
        <f>Предпосылки!AV$243*Предпосылки!$S260*Продажи!AW25*AW$19*(1+Чувствительность!$D$20)*IFERROR(LOOKUP(Предпосылки!$H$216,$C$13:$C$15,AW$13:AW$15),1)</f>
        <v>0</v>
      </c>
      <c s="125">
        <f>Предпосылки!AW$243*Предпосылки!$S260*Продажи!AX25*AX$19*(1+Чувствительность!$D$20)*IFERROR(LOOKUP(Предпосылки!$H$216,$C$13:$C$15,AX$13:AX$15),1)</f>
        <v>0</v>
      </c>
      <c s="125">
        <f>Предпосылки!AX$243*Предпосылки!$S260*Продажи!AY25*AY$19*(1+Чувствительность!$D$20)*IFERROR(LOOKUP(Предпосылки!$H$216,$C$13:$C$15,AY$13:AY$15),1)</f>
        <v>0</v>
      </c>
      <c s="125">
        <f>Предпосылки!AY$243*Предпосылки!$S260*Продажи!AZ25*AZ$19*(1+Чувствительность!$D$20)*IFERROR(LOOKUP(Предпосылки!$H$216,$C$13:$C$15,AZ$13:AZ$15),1)</f>
        <v>0</v>
      </c>
      <c s="125">
        <f>Предпосылки!AZ$243*Предпосылки!$S260*Продажи!BA25*BA$19*(1+Чувствительность!$D$20)*IFERROR(LOOKUP(Предпосылки!$H$216,$C$13:$C$15,BA$13:BA$15),1)</f>
        <v>0</v>
      </c>
      <c s="125">
        <f>Предпосылки!BA$243*Предпосылки!$S260*Продажи!BB25*BB$19*(1+Чувствительность!$D$20)*IFERROR(LOOKUP(Предпосылки!$H$216,$C$13:$C$15,BB$13:BB$15),1)</f>
        <v>0</v>
      </c>
      <c s="125">
        <f>Предпосылки!BB$243*Предпосылки!$S260*Продажи!BC25*BC$19*(1+Чувствительность!$D$20)*IFERROR(LOOKUP(Предпосылки!$H$216,$C$13:$C$15,BC$13:BC$15),1)</f>
        <v>0</v>
      </c>
      <c s="125">
        <f>Предпосылки!BC$243*Предпосылки!$S260*Продажи!BD25*BD$19*(1+Чувствительность!$D$20)*IFERROR(LOOKUP(Предпосылки!$H$216,$C$13:$C$15,BD$13:BD$15),1)</f>
        <v>0</v>
      </c>
      <c s="125">
        <f>Предпосылки!BD$243*Предпосылки!$S260*Продажи!BE25*BE$19*(1+Чувствительность!$D$20)*IFERROR(LOOKUP(Предпосылки!$H$216,$C$13:$C$15,BE$13:BE$15),1)</f>
        <v>0</v>
      </c>
      <c s="125">
        <f>Предпосылки!BE$243*Предпосылки!$S260*Продажи!BF25*BF$19*(1+Чувствительность!$D$20)*IFERROR(LOOKUP(Предпосылки!$H$216,$C$13:$C$15,BF$13:BF$15),1)</f>
        <v>0</v>
      </c>
      <c s="125">
        <f>Предпосылки!BF$243*Предпосылки!$S260*Продажи!BG25*BG$19*(1+Чувствительность!$D$20)*IFERROR(LOOKUP(Предпосылки!$H$216,$C$13:$C$15,BG$13:BG$15),1)</f>
        <v>0</v>
      </c>
      <c s="125">
        <f>Предпосылки!BG$243*Предпосылки!$S260*Продажи!BH25*BH$19*(1+Чувствительность!$D$20)*IFERROR(LOOKUP(Предпосылки!$H$216,$C$13:$C$15,BH$13:BH$15),1)</f>
        <v>0</v>
      </c>
      <c s="125">
        <f>Предпосылки!BH$243*Предпосылки!$S260*Продажи!BI25*BI$19*(1+Чувствительность!$D$20)*IFERROR(LOOKUP(Предпосылки!$H$216,$C$13:$C$15,BI$13:BI$15),1)</f>
        <v>0</v>
      </c>
      <c s="125">
        <f>Предпосылки!BI$243*Предпосылки!$S260*Продажи!BJ25*BJ$19*(1+Чувствительность!$D$20)*IFERROR(LOOKUP(Предпосылки!$H$216,$C$13:$C$15,BJ$13:BJ$15),1)</f>
        <v>0</v>
      </c>
      <c s="125">
        <f>Предпосылки!BJ$243*Предпосылки!$S260*Продажи!BK25*BK$19*(1+Чувствительность!$D$20)*IFERROR(LOOKUP(Предпосылки!$H$216,$C$13:$C$15,BK$13:BK$15),1)</f>
        <v>0</v>
      </c>
      <c s="125">
        <f>Предпосылки!BK$243*Предпосылки!$S260*Продажи!BL25*BL$19*(1+Чувствительность!$D$20)*IFERROR(LOOKUP(Предпосылки!$H$216,$C$13:$C$15,BL$13:BL$15),1)</f>
        <v>0</v>
      </c>
      <c s="125">
        <f>Предпосылки!BL$243*Предпосылки!$S260*Продажи!BM25*BM$19*(1+Чувствительность!$D$20)*IFERROR(LOOKUP(Предпосылки!$H$216,$C$13:$C$15,BM$13:BM$15),1)</f>
        <v>0</v>
      </c>
    </row>
    <row r="376" spans="2:65" ht="15" customHeight="1">
      <c r="B376" s="12" t="str">
        <f t="shared" si="136"/>
        <v>Продукт 9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Предпосылки!D$243*Предпосылки!$S261*Продажи!E26*E$19*(1+Чувствительность!$D$20)*IFERROR(LOOKUP(Предпосылки!$H$216,$C$13:$C$15,E$13:E$15),1)</f>
        <v>0</v>
      </c>
      <c s="125">
        <f>Предпосылки!E$243*Предпосылки!$S261*Продажи!F26*F$19*(1+Чувствительность!$D$20)*IFERROR(LOOKUP(Предпосылки!$H$216,$C$13:$C$15,F$13:F$15),1)</f>
        <v>0</v>
      </c>
      <c s="125">
        <f>Предпосылки!F$243*Предпосылки!$S261*Продажи!G26*G$19*(1+Чувствительность!$D$20)*IFERROR(LOOKUP(Предпосылки!$H$216,$C$13:$C$15,G$13:G$15),1)</f>
        <v>0</v>
      </c>
      <c s="125">
        <f>Предпосылки!G$243*Предпосылки!$S261*Продажи!H26*H$19*(1+Чувствительность!$D$20)*IFERROR(LOOKUP(Предпосылки!$H$216,$C$13:$C$15,H$13:H$15),1)</f>
        <v>0</v>
      </c>
      <c s="125">
        <f>Предпосылки!H$243*Предпосылки!$S261*Продажи!I26*I$19*(1+Чувствительность!$D$20)*IFERROR(LOOKUP(Предпосылки!$H$216,$C$13:$C$15,I$13:I$15),1)</f>
        <v>0</v>
      </c>
      <c s="125">
        <f>Предпосылки!I$243*Предпосылки!$S261*Продажи!J26*J$19*(1+Чувствительность!$D$20)*IFERROR(LOOKUP(Предпосылки!$H$216,$C$13:$C$15,J$13:J$15),1)</f>
        <v>0</v>
      </c>
      <c s="125">
        <f>Предпосылки!J$243*Предпосылки!$S261*Продажи!K26*K$19*(1+Чувствительность!$D$20)*IFERROR(LOOKUP(Предпосылки!$H$216,$C$13:$C$15,K$13:K$15),1)</f>
        <v>0</v>
      </c>
      <c s="125">
        <f>Предпосылки!K$243*Предпосылки!$S261*Продажи!L26*L$19*(1+Чувствительность!$D$20)*IFERROR(LOOKUP(Предпосылки!$H$216,$C$13:$C$15,L$13:L$15),1)</f>
        <v>0</v>
      </c>
      <c s="125">
        <f>Предпосылки!L$243*Предпосылки!$S261*Продажи!M26*M$19*(1+Чувствительность!$D$20)*IFERROR(LOOKUP(Предпосылки!$H$216,$C$13:$C$15,M$13:M$15),1)</f>
        <v>0</v>
      </c>
      <c s="125">
        <f>Предпосылки!M$243*Предпосылки!$S261*Продажи!N26*N$19*(1+Чувствительность!$D$20)*IFERROR(LOOKUP(Предпосылки!$H$216,$C$13:$C$15,N$13:N$15),1)</f>
        <v>0</v>
      </c>
      <c s="125">
        <f>Предпосылки!N$243*Предпосылки!$S261*Продажи!O26*O$19*(1+Чувствительность!$D$20)*IFERROR(LOOKUP(Предпосылки!$H$216,$C$13:$C$15,O$13:O$15),1)</f>
        <v>0</v>
      </c>
      <c s="125">
        <f>Предпосылки!O$243*Предпосылки!$S261*Продажи!P26*P$19*(1+Чувствительность!$D$20)*IFERROR(LOOKUP(Предпосылки!$H$216,$C$13:$C$15,P$13:P$15),1)</f>
        <v>0</v>
      </c>
      <c s="125">
        <f>Предпосылки!P$243*Предпосылки!$S261*Продажи!Q26*Q$19*(1+Чувствительность!$D$20)*IFERROR(LOOKUP(Предпосылки!$H$216,$C$13:$C$15,Q$13:Q$15),1)</f>
        <v>0</v>
      </c>
      <c s="125">
        <f>Предпосылки!Q$243*Предпосылки!$S261*Продажи!R26*R$19*(1+Чувствительность!$D$20)*IFERROR(LOOKUP(Предпосылки!$H$216,$C$13:$C$15,R$13:R$15),1)</f>
        <v>0</v>
      </c>
      <c s="125">
        <f>Предпосылки!R$243*Предпосылки!$S261*Продажи!S26*S$19*(1+Чувствительность!$D$20)*IFERROR(LOOKUP(Предпосылки!$H$216,$C$13:$C$15,S$13:S$15),1)</f>
        <v>0</v>
      </c>
      <c s="125">
        <f>Предпосылки!S$243*Предпосылки!$S261*Продажи!T26*T$19*(1+Чувствительность!$D$20)*IFERROR(LOOKUP(Предпосылки!$H$216,$C$13:$C$15,T$13:T$15),1)</f>
        <v>0</v>
      </c>
      <c s="125">
        <f>Предпосылки!T$243*Предпосылки!$S261*Продажи!U26*U$19*(1+Чувствительность!$D$20)*IFERROR(LOOKUP(Предпосылки!$H$216,$C$13:$C$15,U$13:U$15),1)</f>
        <v>0</v>
      </c>
      <c s="125">
        <f>Предпосылки!U$243*Предпосылки!$S261*Продажи!V26*V$19*(1+Чувствительность!$D$20)*IFERROR(LOOKUP(Предпосылки!$H$216,$C$13:$C$15,V$13:V$15),1)</f>
        <v>0</v>
      </c>
      <c s="125">
        <f>Предпосылки!V$243*Предпосылки!$S261*Продажи!W26*W$19*(1+Чувствительность!$D$20)*IFERROR(LOOKUP(Предпосылки!$H$216,$C$13:$C$15,W$13:W$15),1)</f>
        <v>0</v>
      </c>
      <c s="125">
        <f>Предпосылки!W$243*Предпосылки!$S261*Продажи!X26*X$19*(1+Чувствительность!$D$20)*IFERROR(LOOKUP(Предпосылки!$H$216,$C$13:$C$15,X$13:X$15),1)</f>
        <v>0</v>
      </c>
      <c s="125">
        <f>Предпосылки!X$243*Предпосылки!$S261*Продажи!Y26*Y$19*(1+Чувствительность!$D$20)*IFERROR(LOOKUP(Предпосылки!$H$216,$C$13:$C$15,Y$13:Y$15),1)</f>
        <v>0</v>
      </c>
      <c s="125">
        <f>Предпосылки!Y$243*Предпосылки!$S261*Продажи!Z26*Z$19*(1+Чувствительность!$D$20)*IFERROR(LOOKUP(Предпосылки!$H$216,$C$13:$C$15,Z$13:Z$15),1)</f>
        <v>0</v>
      </c>
      <c s="125">
        <f>Предпосылки!Z$243*Предпосылки!$S261*Продажи!AA26*AA$19*(1+Чувствительность!$D$20)*IFERROR(LOOKUP(Предпосылки!$H$216,$C$13:$C$15,AA$13:AA$15),1)</f>
        <v>0</v>
      </c>
      <c s="125">
        <f>Предпосылки!AA$243*Предпосылки!$S261*Продажи!AB26*AB$19*(1+Чувствительность!$D$20)*IFERROR(LOOKUP(Предпосылки!$H$216,$C$13:$C$15,AB$13:AB$15),1)</f>
        <v>0</v>
      </c>
      <c s="125">
        <f>Предпосылки!AB$243*Предпосылки!$S261*Продажи!AC26*AC$19*(1+Чувствительность!$D$20)*IFERROR(LOOKUP(Предпосылки!$H$216,$C$13:$C$15,AC$13:AC$15),1)</f>
        <v>0</v>
      </c>
      <c s="125">
        <f>Предпосылки!AC$243*Предпосылки!$S261*Продажи!AD26*AD$19*(1+Чувствительность!$D$20)*IFERROR(LOOKUP(Предпосылки!$H$216,$C$13:$C$15,AD$13:AD$15),1)</f>
        <v>0</v>
      </c>
      <c s="125">
        <f>Предпосылки!AD$243*Предпосылки!$S261*Продажи!AE26*AE$19*(1+Чувствительность!$D$20)*IFERROR(LOOKUP(Предпосылки!$H$216,$C$13:$C$15,AE$13:AE$15),1)</f>
        <v>0</v>
      </c>
      <c s="125">
        <f>Предпосылки!AE$243*Предпосылки!$S261*Продажи!AF26*AF$19*(1+Чувствительность!$D$20)*IFERROR(LOOKUP(Предпосылки!$H$216,$C$13:$C$15,AF$13:AF$15),1)</f>
        <v>0</v>
      </c>
      <c s="125">
        <f>Предпосылки!AF$243*Предпосылки!$S261*Продажи!AG26*AG$19*(1+Чувствительность!$D$20)*IFERROR(LOOKUP(Предпосылки!$H$216,$C$13:$C$15,AG$13:AG$15),1)</f>
        <v>0</v>
      </c>
      <c s="125">
        <f>Предпосылки!AG$243*Предпосылки!$S261*Продажи!AH26*AH$19*(1+Чувствительность!$D$20)*IFERROR(LOOKUP(Предпосылки!$H$216,$C$13:$C$15,AH$13:AH$15),1)</f>
        <v>0</v>
      </c>
      <c s="125">
        <f>Предпосылки!AH$243*Предпосылки!$S261*Продажи!AI26*AI$19*(1+Чувствительность!$D$20)*IFERROR(LOOKUP(Предпосылки!$H$216,$C$13:$C$15,AI$13:AI$15),1)</f>
        <v>0</v>
      </c>
      <c s="125">
        <f>Предпосылки!AI$243*Предпосылки!$S261*Продажи!AJ26*AJ$19*(1+Чувствительность!$D$20)*IFERROR(LOOKUP(Предпосылки!$H$216,$C$13:$C$15,AJ$13:AJ$15),1)</f>
        <v>0</v>
      </c>
      <c s="125">
        <f>Предпосылки!AJ$243*Предпосылки!$S261*Продажи!AK26*AK$19*(1+Чувствительность!$D$20)*IFERROR(LOOKUP(Предпосылки!$H$216,$C$13:$C$15,AK$13:AK$15),1)</f>
        <v>0</v>
      </c>
      <c s="125">
        <f>Предпосылки!AK$243*Предпосылки!$S261*Продажи!AL26*AL$19*(1+Чувствительность!$D$20)*IFERROR(LOOKUP(Предпосылки!$H$216,$C$13:$C$15,AL$13:AL$15),1)</f>
        <v>0</v>
      </c>
      <c s="125">
        <f>Предпосылки!AL$243*Предпосылки!$S261*Продажи!AM26*AM$19*(1+Чувствительность!$D$20)*IFERROR(LOOKUP(Предпосылки!$H$216,$C$13:$C$15,AM$13:AM$15),1)</f>
        <v>0</v>
      </c>
      <c s="125">
        <f>Предпосылки!AM$243*Предпосылки!$S261*Продажи!AN26*AN$19*(1+Чувствительность!$D$20)*IFERROR(LOOKUP(Предпосылки!$H$216,$C$13:$C$15,AN$13:AN$15),1)</f>
        <v>0</v>
      </c>
      <c s="125">
        <f>Предпосылки!AN$243*Предпосылки!$S261*Продажи!AO26*AO$19*(1+Чувствительность!$D$20)*IFERROR(LOOKUP(Предпосылки!$H$216,$C$13:$C$15,AO$13:AO$15),1)</f>
        <v>0</v>
      </c>
      <c s="125">
        <f>Предпосылки!AO$243*Предпосылки!$S261*Продажи!AP26*AP$19*(1+Чувствительность!$D$20)*IFERROR(LOOKUP(Предпосылки!$H$216,$C$13:$C$15,AP$13:AP$15),1)</f>
        <v>0</v>
      </c>
      <c s="125">
        <f>Предпосылки!AP$243*Предпосылки!$S261*Продажи!AQ26*AQ$19*(1+Чувствительность!$D$20)*IFERROR(LOOKUP(Предпосылки!$H$216,$C$13:$C$15,AQ$13:AQ$15),1)</f>
        <v>0</v>
      </c>
      <c s="125">
        <f>Предпосылки!AQ$243*Предпосылки!$S261*Продажи!AR26*AR$19*(1+Чувствительность!$D$20)*IFERROR(LOOKUP(Предпосылки!$H$216,$C$13:$C$15,AR$13:AR$15),1)</f>
        <v>0</v>
      </c>
      <c s="125">
        <f>Предпосылки!AR$243*Предпосылки!$S261*Продажи!AS26*AS$19*(1+Чувствительность!$D$20)*IFERROR(LOOKUP(Предпосылки!$H$216,$C$13:$C$15,AS$13:AS$15),1)</f>
        <v>0</v>
      </c>
      <c s="125">
        <f>Предпосылки!AS$243*Предпосылки!$S261*Продажи!AT26*AT$19*(1+Чувствительность!$D$20)*IFERROR(LOOKUP(Предпосылки!$H$216,$C$13:$C$15,AT$13:AT$15),1)</f>
        <v>0</v>
      </c>
      <c s="125">
        <f>Предпосылки!AT$243*Предпосылки!$S261*Продажи!AU26*AU$19*(1+Чувствительность!$D$20)*IFERROR(LOOKUP(Предпосылки!$H$216,$C$13:$C$15,AU$13:AU$15),1)</f>
        <v>0</v>
      </c>
      <c s="125">
        <f>Предпосылки!AU$243*Предпосылки!$S261*Продажи!AV26*AV$19*(1+Чувствительность!$D$20)*IFERROR(LOOKUP(Предпосылки!$H$216,$C$13:$C$15,AV$13:AV$15),1)</f>
        <v>0</v>
      </c>
      <c s="125">
        <f>Предпосылки!AV$243*Предпосылки!$S261*Продажи!AW26*AW$19*(1+Чувствительность!$D$20)*IFERROR(LOOKUP(Предпосылки!$H$216,$C$13:$C$15,AW$13:AW$15),1)</f>
        <v>0</v>
      </c>
      <c s="125">
        <f>Предпосылки!AW$243*Предпосылки!$S261*Продажи!AX26*AX$19*(1+Чувствительность!$D$20)*IFERROR(LOOKUP(Предпосылки!$H$216,$C$13:$C$15,AX$13:AX$15),1)</f>
        <v>0</v>
      </c>
      <c s="125">
        <f>Предпосылки!AX$243*Предпосылки!$S261*Продажи!AY26*AY$19*(1+Чувствительность!$D$20)*IFERROR(LOOKUP(Предпосылки!$H$216,$C$13:$C$15,AY$13:AY$15),1)</f>
        <v>0</v>
      </c>
      <c s="125">
        <f>Предпосылки!AY$243*Предпосылки!$S261*Продажи!AZ26*AZ$19*(1+Чувствительность!$D$20)*IFERROR(LOOKUP(Предпосылки!$H$216,$C$13:$C$15,AZ$13:AZ$15),1)</f>
        <v>0</v>
      </c>
      <c s="125">
        <f>Предпосылки!AZ$243*Предпосылки!$S261*Продажи!BA26*BA$19*(1+Чувствительность!$D$20)*IFERROR(LOOKUP(Предпосылки!$H$216,$C$13:$C$15,BA$13:BA$15),1)</f>
        <v>0</v>
      </c>
      <c s="125">
        <f>Предпосылки!BA$243*Предпосылки!$S261*Продажи!BB26*BB$19*(1+Чувствительность!$D$20)*IFERROR(LOOKUP(Предпосылки!$H$216,$C$13:$C$15,BB$13:BB$15),1)</f>
        <v>0</v>
      </c>
      <c s="125">
        <f>Предпосылки!BB$243*Предпосылки!$S261*Продажи!BC26*BC$19*(1+Чувствительность!$D$20)*IFERROR(LOOKUP(Предпосылки!$H$216,$C$13:$C$15,BC$13:BC$15),1)</f>
        <v>0</v>
      </c>
      <c s="125">
        <f>Предпосылки!BC$243*Предпосылки!$S261*Продажи!BD26*BD$19*(1+Чувствительность!$D$20)*IFERROR(LOOKUP(Предпосылки!$H$216,$C$13:$C$15,BD$13:BD$15),1)</f>
        <v>0</v>
      </c>
      <c s="125">
        <f>Предпосылки!BD$243*Предпосылки!$S261*Продажи!BE26*BE$19*(1+Чувствительность!$D$20)*IFERROR(LOOKUP(Предпосылки!$H$216,$C$13:$C$15,BE$13:BE$15),1)</f>
        <v>0</v>
      </c>
      <c s="125">
        <f>Предпосылки!BE$243*Предпосылки!$S261*Продажи!BF26*BF$19*(1+Чувствительность!$D$20)*IFERROR(LOOKUP(Предпосылки!$H$216,$C$13:$C$15,BF$13:BF$15),1)</f>
        <v>0</v>
      </c>
      <c s="125">
        <f>Предпосылки!BF$243*Предпосылки!$S261*Продажи!BG26*BG$19*(1+Чувствительность!$D$20)*IFERROR(LOOKUP(Предпосылки!$H$216,$C$13:$C$15,BG$13:BG$15),1)</f>
        <v>0</v>
      </c>
      <c s="125">
        <f>Предпосылки!BG$243*Предпосылки!$S261*Продажи!BH26*BH$19*(1+Чувствительность!$D$20)*IFERROR(LOOKUP(Предпосылки!$H$216,$C$13:$C$15,BH$13:BH$15),1)</f>
        <v>0</v>
      </c>
      <c s="125">
        <f>Предпосылки!BH$243*Предпосылки!$S261*Продажи!BI26*BI$19*(1+Чувствительность!$D$20)*IFERROR(LOOKUP(Предпосылки!$H$216,$C$13:$C$15,BI$13:BI$15),1)</f>
        <v>0</v>
      </c>
      <c s="125">
        <f>Предпосылки!BI$243*Предпосылки!$S261*Продажи!BJ26*BJ$19*(1+Чувствительность!$D$20)*IFERROR(LOOKUP(Предпосылки!$H$216,$C$13:$C$15,BJ$13:BJ$15),1)</f>
        <v>0</v>
      </c>
      <c s="125">
        <f>Предпосылки!BJ$243*Предпосылки!$S261*Продажи!BK26*BK$19*(1+Чувствительность!$D$20)*IFERROR(LOOKUP(Предпосылки!$H$216,$C$13:$C$15,BK$13:BK$15),1)</f>
        <v>0</v>
      </c>
      <c s="125">
        <f>Предпосылки!BK$243*Предпосылки!$S261*Продажи!BL26*BL$19*(1+Чувствительность!$D$20)*IFERROR(LOOKUP(Предпосылки!$H$216,$C$13:$C$15,BL$13:BL$15),1)</f>
        <v>0</v>
      </c>
      <c s="125">
        <f>Предпосылки!BL$243*Предпосылки!$S261*Продажи!BM26*BM$19*(1+Чувствительность!$D$20)*IFERROR(LOOKUP(Предпосылки!$H$216,$C$13:$C$15,BM$13:BM$15),1)</f>
        <v>0</v>
      </c>
    </row>
    <row r="377" spans="2:65" ht="15" customHeight="1">
      <c r="B377" s="12" t="str">
        <f t="shared" si="136"/>
        <v>Продукт 10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Предпосылки!D$243*Предпосылки!$S262*Продажи!E27*E$19*(1+Чувствительность!$D$20)*IFERROR(LOOKUP(Предпосылки!$H$216,$C$13:$C$15,E$13:E$15),1)</f>
        <v>0</v>
      </c>
      <c s="125">
        <f>Предпосылки!E$243*Предпосылки!$S262*Продажи!F27*F$19*(1+Чувствительность!$D$20)*IFERROR(LOOKUP(Предпосылки!$H$216,$C$13:$C$15,F$13:F$15),1)</f>
        <v>0</v>
      </c>
      <c s="125">
        <f>Предпосылки!F$243*Предпосылки!$S262*Продажи!G27*G$19*(1+Чувствительность!$D$20)*IFERROR(LOOKUP(Предпосылки!$H$216,$C$13:$C$15,G$13:G$15),1)</f>
        <v>0</v>
      </c>
      <c s="125">
        <f>Предпосылки!G$243*Предпосылки!$S262*Продажи!H27*H$19*(1+Чувствительность!$D$20)*IFERROR(LOOKUP(Предпосылки!$H$216,$C$13:$C$15,H$13:H$15),1)</f>
        <v>0</v>
      </c>
      <c s="125">
        <f>Предпосылки!H$243*Предпосылки!$S262*Продажи!I27*I$19*(1+Чувствительность!$D$20)*IFERROR(LOOKUP(Предпосылки!$H$216,$C$13:$C$15,I$13:I$15),1)</f>
        <v>0</v>
      </c>
      <c s="125">
        <f>Предпосылки!I$243*Предпосылки!$S262*Продажи!J27*J$19*(1+Чувствительность!$D$20)*IFERROR(LOOKUP(Предпосылки!$H$216,$C$13:$C$15,J$13:J$15),1)</f>
        <v>0</v>
      </c>
      <c s="125">
        <f>Предпосылки!J$243*Предпосылки!$S262*Продажи!K27*K$19*(1+Чувствительность!$D$20)*IFERROR(LOOKUP(Предпосылки!$H$216,$C$13:$C$15,K$13:K$15),1)</f>
        <v>0</v>
      </c>
      <c s="125">
        <f>Предпосылки!K$243*Предпосылки!$S262*Продажи!L27*L$19*(1+Чувствительность!$D$20)*IFERROR(LOOKUP(Предпосылки!$H$216,$C$13:$C$15,L$13:L$15),1)</f>
        <v>0</v>
      </c>
      <c s="125">
        <f>Предпосылки!L$243*Предпосылки!$S262*Продажи!M27*M$19*(1+Чувствительность!$D$20)*IFERROR(LOOKUP(Предпосылки!$H$216,$C$13:$C$15,M$13:M$15),1)</f>
        <v>0</v>
      </c>
      <c s="125">
        <f>Предпосылки!M$243*Предпосылки!$S262*Продажи!N27*N$19*(1+Чувствительность!$D$20)*IFERROR(LOOKUP(Предпосылки!$H$216,$C$13:$C$15,N$13:N$15),1)</f>
        <v>0</v>
      </c>
      <c s="125">
        <f>Предпосылки!N$243*Предпосылки!$S262*Продажи!O27*O$19*(1+Чувствительность!$D$20)*IFERROR(LOOKUP(Предпосылки!$H$216,$C$13:$C$15,O$13:O$15),1)</f>
        <v>0</v>
      </c>
      <c s="125">
        <f>Предпосылки!O$243*Предпосылки!$S262*Продажи!P27*P$19*(1+Чувствительность!$D$20)*IFERROR(LOOKUP(Предпосылки!$H$216,$C$13:$C$15,P$13:P$15),1)</f>
        <v>0</v>
      </c>
      <c s="125">
        <f>Предпосылки!P$243*Предпосылки!$S262*Продажи!Q27*Q$19*(1+Чувствительность!$D$20)*IFERROR(LOOKUP(Предпосылки!$H$216,$C$13:$C$15,Q$13:Q$15),1)</f>
        <v>0</v>
      </c>
      <c s="125">
        <f>Предпосылки!Q$243*Предпосылки!$S262*Продажи!R27*R$19*(1+Чувствительность!$D$20)*IFERROR(LOOKUP(Предпосылки!$H$216,$C$13:$C$15,R$13:R$15),1)</f>
        <v>0</v>
      </c>
      <c s="125">
        <f>Предпосылки!R$243*Предпосылки!$S262*Продажи!S27*S$19*(1+Чувствительность!$D$20)*IFERROR(LOOKUP(Предпосылки!$H$216,$C$13:$C$15,S$13:S$15),1)</f>
        <v>0</v>
      </c>
      <c s="125">
        <f>Предпосылки!S$243*Предпосылки!$S262*Продажи!T27*T$19*(1+Чувствительность!$D$20)*IFERROR(LOOKUP(Предпосылки!$H$216,$C$13:$C$15,T$13:T$15),1)</f>
        <v>0</v>
      </c>
      <c s="125">
        <f>Предпосылки!T$243*Предпосылки!$S262*Продажи!U27*U$19*(1+Чувствительность!$D$20)*IFERROR(LOOKUP(Предпосылки!$H$216,$C$13:$C$15,U$13:U$15),1)</f>
        <v>0</v>
      </c>
      <c s="125">
        <f>Предпосылки!U$243*Предпосылки!$S262*Продажи!V27*V$19*(1+Чувствительность!$D$20)*IFERROR(LOOKUP(Предпосылки!$H$216,$C$13:$C$15,V$13:V$15),1)</f>
        <v>0</v>
      </c>
      <c s="125">
        <f>Предпосылки!V$243*Предпосылки!$S262*Продажи!W27*W$19*(1+Чувствительность!$D$20)*IFERROR(LOOKUP(Предпосылки!$H$216,$C$13:$C$15,W$13:W$15),1)</f>
        <v>0</v>
      </c>
      <c s="125">
        <f>Предпосылки!W$243*Предпосылки!$S262*Продажи!X27*X$19*(1+Чувствительность!$D$20)*IFERROR(LOOKUP(Предпосылки!$H$216,$C$13:$C$15,X$13:X$15),1)</f>
        <v>0</v>
      </c>
      <c s="125">
        <f>Предпосылки!X$243*Предпосылки!$S262*Продажи!Y27*Y$19*(1+Чувствительность!$D$20)*IFERROR(LOOKUP(Предпосылки!$H$216,$C$13:$C$15,Y$13:Y$15),1)</f>
        <v>0</v>
      </c>
      <c s="125">
        <f>Предпосылки!Y$243*Предпосылки!$S262*Продажи!Z27*Z$19*(1+Чувствительность!$D$20)*IFERROR(LOOKUP(Предпосылки!$H$216,$C$13:$C$15,Z$13:Z$15),1)</f>
        <v>0</v>
      </c>
      <c s="125">
        <f>Предпосылки!Z$243*Предпосылки!$S262*Продажи!AA27*AA$19*(1+Чувствительность!$D$20)*IFERROR(LOOKUP(Предпосылки!$H$216,$C$13:$C$15,AA$13:AA$15),1)</f>
        <v>0</v>
      </c>
      <c s="125">
        <f>Предпосылки!AA$243*Предпосылки!$S262*Продажи!AB27*AB$19*(1+Чувствительность!$D$20)*IFERROR(LOOKUP(Предпосылки!$H$216,$C$13:$C$15,AB$13:AB$15),1)</f>
        <v>0</v>
      </c>
      <c s="125">
        <f>Предпосылки!AB$243*Предпосылки!$S262*Продажи!AC27*AC$19*(1+Чувствительность!$D$20)*IFERROR(LOOKUP(Предпосылки!$H$216,$C$13:$C$15,AC$13:AC$15),1)</f>
        <v>0</v>
      </c>
      <c s="125">
        <f>Предпосылки!AC$243*Предпосылки!$S262*Продажи!AD27*AD$19*(1+Чувствительность!$D$20)*IFERROR(LOOKUP(Предпосылки!$H$216,$C$13:$C$15,AD$13:AD$15),1)</f>
        <v>0</v>
      </c>
      <c s="125">
        <f>Предпосылки!AD$243*Предпосылки!$S262*Продажи!AE27*AE$19*(1+Чувствительность!$D$20)*IFERROR(LOOKUP(Предпосылки!$H$216,$C$13:$C$15,AE$13:AE$15),1)</f>
        <v>0</v>
      </c>
      <c s="125">
        <f>Предпосылки!AE$243*Предпосылки!$S262*Продажи!AF27*AF$19*(1+Чувствительность!$D$20)*IFERROR(LOOKUP(Предпосылки!$H$216,$C$13:$C$15,AF$13:AF$15),1)</f>
        <v>0</v>
      </c>
      <c s="125">
        <f>Предпосылки!AF$243*Предпосылки!$S262*Продажи!AG27*AG$19*(1+Чувствительность!$D$20)*IFERROR(LOOKUP(Предпосылки!$H$216,$C$13:$C$15,AG$13:AG$15),1)</f>
        <v>0</v>
      </c>
      <c s="125">
        <f>Предпосылки!AG$243*Предпосылки!$S262*Продажи!AH27*AH$19*(1+Чувствительность!$D$20)*IFERROR(LOOKUP(Предпосылки!$H$216,$C$13:$C$15,AH$13:AH$15),1)</f>
        <v>0</v>
      </c>
      <c s="125">
        <f>Предпосылки!AH$243*Предпосылки!$S262*Продажи!AI27*AI$19*(1+Чувствительность!$D$20)*IFERROR(LOOKUP(Предпосылки!$H$216,$C$13:$C$15,AI$13:AI$15),1)</f>
        <v>0</v>
      </c>
      <c s="125">
        <f>Предпосылки!AI$243*Предпосылки!$S262*Продажи!AJ27*AJ$19*(1+Чувствительность!$D$20)*IFERROR(LOOKUP(Предпосылки!$H$216,$C$13:$C$15,AJ$13:AJ$15),1)</f>
        <v>0</v>
      </c>
      <c s="125">
        <f>Предпосылки!AJ$243*Предпосылки!$S262*Продажи!AK27*AK$19*(1+Чувствительность!$D$20)*IFERROR(LOOKUP(Предпосылки!$H$216,$C$13:$C$15,AK$13:AK$15),1)</f>
        <v>0</v>
      </c>
      <c s="125">
        <f>Предпосылки!AK$243*Предпосылки!$S262*Продажи!AL27*AL$19*(1+Чувствительность!$D$20)*IFERROR(LOOKUP(Предпосылки!$H$216,$C$13:$C$15,AL$13:AL$15),1)</f>
        <v>0</v>
      </c>
      <c s="125">
        <f>Предпосылки!AL$243*Предпосылки!$S262*Продажи!AM27*AM$19*(1+Чувствительность!$D$20)*IFERROR(LOOKUP(Предпосылки!$H$216,$C$13:$C$15,AM$13:AM$15),1)</f>
        <v>0</v>
      </c>
      <c s="125">
        <f>Предпосылки!AM$243*Предпосылки!$S262*Продажи!AN27*AN$19*(1+Чувствительность!$D$20)*IFERROR(LOOKUP(Предпосылки!$H$216,$C$13:$C$15,AN$13:AN$15),1)</f>
        <v>0</v>
      </c>
      <c s="125">
        <f>Предпосылки!AN$243*Предпосылки!$S262*Продажи!AO27*AO$19*(1+Чувствительность!$D$20)*IFERROR(LOOKUP(Предпосылки!$H$216,$C$13:$C$15,AO$13:AO$15),1)</f>
        <v>0</v>
      </c>
      <c s="125">
        <f>Предпосылки!AO$243*Предпосылки!$S262*Продажи!AP27*AP$19*(1+Чувствительность!$D$20)*IFERROR(LOOKUP(Предпосылки!$H$216,$C$13:$C$15,AP$13:AP$15),1)</f>
        <v>0</v>
      </c>
      <c s="125">
        <f>Предпосылки!AP$243*Предпосылки!$S262*Продажи!AQ27*AQ$19*(1+Чувствительность!$D$20)*IFERROR(LOOKUP(Предпосылки!$H$216,$C$13:$C$15,AQ$13:AQ$15),1)</f>
        <v>0</v>
      </c>
      <c s="125">
        <f>Предпосылки!AQ$243*Предпосылки!$S262*Продажи!AR27*AR$19*(1+Чувствительность!$D$20)*IFERROR(LOOKUP(Предпосылки!$H$216,$C$13:$C$15,AR$13:AR$15),1)</f>
        <v>0</v>
      </c>
      <c s="125">
        <f>Предпосылки!AR$243*Предпосылки!$S262*Продажи!AS27*AS$19*(1+Чувствительность!$D$20)*IFERROR(LOOKUP(Предпосылки!$H$216,$C$13:$C$15,AS$13:AS$15),1)</f>
        <v>0</v>
      </c>
      <c s="125">
        <f>Предпосылки!AS$243*Предпосылки!$S262*Продажи!AT27*AT$19*(1+Чувствительность!$D$20)*IFERROR(LOOKUP(Предпосылки!$H$216,$C$13:$C$15,AT$13:AT$15),1)</f>
        <v>0</v>
      </c>
      <c s="125">
        <f>Предпосылки!AT$243*Предпосылки!$S262*Продажи!AU27*AU$19*(1+Чувствительность!$D$20)*IFERROR(LOOKUP(Предпосылки!$H$216,$C$13:$C$15,AU$13:AU$15),1)</f>
        <v>0</v>
      </c>
      <c s="125">
        <f>Предпосылки!AU$243*Предпосылки!$S262*Продажи!AV27*AV$19*(1+Чувствительность!$D$20)*IFERROR(LOOKUP(Предпосылки!$H$216,$C$13:$C$15,AV$13:AV$15),1)</f>
        <v>0</v>
      </c>
      <c s="125">
        <f>Предпосылки!AV$243*Предпосылки!$S262*Продажи!AW27*AW$19*(1+Чувствительность!$D$20)*IFERROR(LOOKUP(Предпосылки!$H$216,$C$13:$C$15,AW$13:AW$15),1)</f>
        <v>0</v>
      </c>
      <c s="125">
        <f>Предпосылки!AW$243*Предпосылки!$S262*Продажи!AX27*AX$19*(1+Чувствительность!$D$20)*IFERROR(LOOKUP(Предпосылки!$H$216,$C$13:$C$15,AX$13:AX$15),1)</f>
        <v>0</v>
      </c>
      <c s="125">
        <f>Предпосылки!AX$243*Предпосылки!$S262*Продажи!AY27*AY$19*(1+Чувствительность!$D$20)*IFERROR(LOOKUP(Предпосылки!$H$216,$C$13:$C$15,AY$13:AY$15),1)</f>
        <v>0</v>
      </c>
      <c s="125">
        <f>Предпосылки!AY$243*Предпосылки!$S262*Продажи!AZ27*AZ$19*(1+Чувствительность!$D$20)*IFERROR(LOOKUP(Предпосылки!$H$216,$C$13:$C$15,AZ$13:AZ$15),1)</f>
        <v>0</v>
      </c>
      <c s="125">
        <f>Предпосылки!AZ$243*Предпосылки!$S262*Продажи!BA27*BA$19*(1+Чувствительность!$D$20)*IFERROR(LOOKUP(Предпосылки!$H$216,$C$13:$C$15,BA$13:BA$15),1)</f>
        <v>0</v>
      </c>
      <c s="125">
        <f>Предпосылки!BA$243*Предпосылки!$S262*Продажи!BB27*BB$19*(1+Чувствительность!$D$20)*IFERROR(LOOKUP(Предпосылки!$H$216,$C$13:$C$15,BB$13:BB$15),1)</f>
        <v>0</v>
      </c>
      <c s="125">
        <f>Предпосылки!BB$243*Предпосылки!$S262*Продажи!BC27*BC$19*(1+Чувствительность!$D$20)*IFERROR(LOOKUP(Предпосылки!$H$216,$C$13:$C$15,BC$13:BC$15),1)</f>
        <v>0</v>
      </c>
      <c s="125">
        <f>Предпосылки!BC$243*Предпосылки!$S262*Продажи!BD27*BD$19*(1+Чувствительность!$D$20)*IFERROR(LOOKUP(Предпосылки!$H$216,$C$13:$C$15,BD$13:BD$15),1)</f>
        <v>0</v>
      </c>
      <c s="125">
        <f>Предпосылки!BD$243*Предпосылки!$S262*Продажи!BE27*BE$19*(1+Чувствительность!$D$20)*IFERROR(LOOKUP(Предпосылки!$H$216,$C$13:$C$15,BE$13:BE$15),1)</f>
        <v>0</v>
      </c>
      <c s="125">
        <f>Предпосылки!BE$243*Предпосылки!$S262*Продажи!BF27*BF$19*(1+Чувствительность!$D$20)*IFERROR(LOOKUP(Предпосылки!$H$216,$C$13:$C$15,BF$13:BF$15),1)</f>
        <v>0</v>
      </c>
      <c s="125">
        <f>Предпосылки!BF$243*Предпосылки!$S262*Продажи!BG27*BG$19*(1+Чувствительность!$D$20)*IFERROR(LOOKUP(Предпосылки!$H$216,$C$13:$C$15,BG$13:BG$15),1)</f>
        <v>0</v>
      </c>
      <c s="125">
        <f>Предпосылки!BG$243*Предпосылки!$S262*Продажи!BH27*BH$19*(1+Чувствительность!$D$20)*IFERROR(LOOKUP(Предпосылки!$H$216,$C$13:$C$15,BH$13:BH$15),1)</f>
        <v>0</v>
      </c>
      <c s="125">
        <f>Предпосылки!BH$243*Предпосылки!$S262*Продажи!BI27*BI$19*(1+Чувствительность!$D$20)*IFERROR(LOOKUP(Предпосылки!$H$216,$C$13:$C$15,BI$13:BI$15),1)</f>
        <v>0</v>
      </c>
      <c s="125">
        <f>Предпосылки!BI$243*Предпосылки!$S262*Продажи!BJ27*BJ$19*(1+Чувствительность!$D$20)*IFERROR(LOOKUP(Предпосылки!$H$216,$C$13:$C$15,BJ$13:BJ$15),1)</f>
        <v>0</v>
      </c>
      <c s="125">
        <f>Предпосылки!BJ$243*Предпосылки!$S262*Продажи!BK27*BK$19*(1+Чувствительность!$D$20)*IFERROR(LOOKUP(Предпосылки!$H$216,$C$13:$C$15,BK$13:BK$15),1)</f>
        <v>0</v>
      </c>
      <c s="125">
        <f>Предпосылки!BK$243*Предпосылки!$S262*Продажи!BL27*BL$19*(1+Чувствительность!$D$20)*IFERROR(LOOKUP(Предпосылки!$H$216,$C$13:$C$15,BL$13:BL$15),1)</f>
        <v>0</v>
      </c>
      <c s="125">
        <f>Предпосылки!BL$243*Предпосылки!$S262*Продажи!BM27*BM$19*(1+Чувствительность!$D$20)*IFERROR(LOOKUP(Предпосылки!$H$216,$C$13:$C$15,BM$13:BM$15),1)</f>
        <v>0</v>
      </c>
    </row>
    <row r="378" spans="2:65" ht="15" customHeight="1">
      <c r="B378" s="12" t="str">
        <f t="shared" si="136"/>
        <v>Продукт 11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Предпосылки!D$243*Предпосылки!$S263*Продажи!E28*E$19*(1+Чувствительность!$D$20)*IFERROR(LOOKUP(Предпосылки!$H$216,$C$13:$C$15,E$13:E$15),1)</f>
        <v>0</v>
      </c>
      <c s="125">
        <f>Предпосылки!E$243*Предпосылки!$S263*Продажи!F28*F$19*(1+Чувствительность!$D$20)*IFERROR(LOOKUP(Предпосылки!$H$216,$C$13:$C$15,F$13:F$15),1)</f>
        <v>0</v>
      </c>
      <c s="125">
        <f>Предпосылки!F$243*Предпосылки!$S263*Продажи!G28*G$19*(1+Чувствительность!$D$20)*IFERROR(LOOKUP(Предпосылки!$H$216,$C$13:$C$15,G$13:G$15),1)</f>
        <v>0</v>
      </c>
      <c s="125">
        <f>Предпосылки!G$243*Предпосылки!$S263*Продажи!H28*H$19*(1+Чувствительность!$D$20)*IFERROR(LOOKUP(Предпосылки!$H$216,$C$13:$C$15,H$13:H$15),1)</f>
        <v>0</v>
      </c>
      <c s="125">
        <f>Предпосылки!H$243*Предпосылки!$S263*Продажи!I28*I$19*(1+Чувствительность!$D$20)*IFERROR(LOOKUP(Предпосылки!$H$216,$C$13:$C$15,I$13:I$15),1)</f>
        <v>0</v>
      </c>
      <c s="125">
        <f>Предпосылки!I$243*Предпосылки!$S263*Продажи!J28*J$19*(1+Чувствительность!$D$20)*IFERROR(LOOKUP(Предпосылки!$H$216,$C$13:$C$15,J$13:J$15),1)</f>
        <v>0</v>
      </c>
      <c s="125">
        <f>Предпосылки!J$243*Предпосылки!$S263*Продажи!K28*K$19*(1+Чувствительность!$D$20)*IFERROR(LOOKUP(Предпосылки!$H$216,$C$13:$C$15,K$13:K$15),1)</f>
        <v>0</v>
      </c>
      <c s="125">
        <f>Предпосылки!K$243*Предпосылки!$S263*Продажи!L28*L$19*(1+Чувствительность!$D$20)*IFERROR(LOOKUP(Предпосылки!$H$216,$C$13:$C$15,L$13:L$15),1)</f>
        <v>0</v>
      </c>
      <c s="125">
        <f>Предпосылки!L$243*Предпосылки!$S263*Продажи!M28*M$19*(1+Чувствительность!$D$20)*IFERROR(LOOKUP(Предпосылки!$H$216,$C$13:$C$15,M$13:M$15),1)</f>
        <v>0</v>
      </c>
      <c s="125">
        <f>Предпосылки!M$243*Предпосылки!$S263*Продажи!N28*N$19*(1+Чувствительность!$D$20)*IFERROR(LOOKUP(Предпосылки!$H$216,$C$13:$C$15,N$13:N$15),1)</f>
        <v>0</v>
      </c>
      <c s="125">
        <f>Предпосылки!N$243*Предпосылки!$S263*Продажи!O28*O$19*(1+Чувствительность!$D$20)*IFERROR(LOOKUP(Предпосылки!$H$216,$C$13:$C$15,O$13:O$15),1)</f>
        <v>0</v>
      </c>
      <c s="125">
        <f>Предпосылки!O$243*Предпосылки!$S263*Продажи!P28*P$19*(1+Чувствительность!$D$20)*IFERROR(LOOKUP(Предпосылки!$H$216,$C$13:$C$15,P$13:P$15),1)</f>
        <v>0</v>
      </c>
      <c s="125">
        <f>Предпосылки!P$243*Предпосылки!$S263*Продажи!Q28*Q$19*(1+Чувствительность!$D$20)*IFERROR(LOOKUP(Предпосылки!$H$216,$C$13:$C$15,Q$13:Q$15),1)</f>
        <v>0</v>
      </c>
      <c s="125">
        <f>Предпосылки!Q$243*Предпосылки!$S263*Продажи!R28*R$19*(1+Чувствительность!$D$20)*IFERROR(LOOKUP(Предпосылки!$H$216,$C$13:$C$15,R$13:R$15),1)</f>
        <v>0</v>
      </c>
      <c s="125">
        <f>Предпосылки!R$243*Предпосылки!$S263*Продажи!S28*S$19*(1+Чувствительность!$D$20)*IFERROR(LOOKUP(Предпосылки!$H$216,$C$13:$C$15,S$13:S$15),1)</f>
        <v>0</v>
      </c>
      <c s="125">
        <f>Предпосылки!S$243*Предпосылки!$S263*Продажи!T28*T$19*(1+Чувствительность!$D$20)*IFERROR(LOOKUP(Предпосылки!$H$216,$C$13:$C$15,T$13:T$15),1)</f>
        <v>0</v>
      </c>
      <c s="125">
        <f>Предпосылки!T$243*Предпосылки!$S263*Продажи!U28*U$19*(1+Чувствительность!$D$20)*IFERROR(LOOKUP(Предпосылки!$H$216,$C$13:$C$15,U$13:U$15),1)</f>
        <v>0</v>
      </c>
      <c s="125">
        <f>Предпосылки!U$243*Предпосылки!$S263*Продажи!V28*V$19*(1+Чувствительность!$D$20)*IFERROR(LOOKUP(Предпосылки!$H$216,$C$13:$C$15,V$13:V$15),1)</f>
        <v>0</v>
      </c>
      <c s="125">
        <f>Предпосылки!V$243*Предпосылки!$S263*Продажи!W28*W$19*(1+Чувствительность!$D$20)*IFERROR(LOOKUP(Предпосылки!$H$216,$C$13:$C$15,W$13:W$15),1)</f>
        <v>0</v>
      </c>
      <c s="125">
        <f>Предпосылки!W$243*Предпосылки!$S263*Продажи!X28*X$19*(1+Чувствительность!$D$20)*IFERROR(LOOKUP(Предпосылки!$H$216,$C$13:$C$15,X$13:X$15),1)</f>
        <v>0</v>
      </c>
      <c s="125">
        <f>Предпосылки!X$243*Предпосылки!$S263*Продажи!Y28*Y$19*(1+Чувствительность!$D$20)*IFERROR(LOOKUP(Предпосылки!$H$216,$C$13:$C$15,Y$13:Y$15),1)</f>
        <v>0</v>
      </c>
      <c s="125">
        <f>Предпосылки!Y$243*Предпосылки!$S263*Продажи!Z28*Z$19*(1+Чувствительность!$D$20)*IFERROR(LOOKUP(Предпосылки!$H$216,$C$13:$C$15,Z$13:Z$15),1)</f>
        <v>0</v>
      </c>
      <c s="125">
        <f>Предпосылки!Z$243*Предпосылки!$S263*Продажи!AA28*AA$19*(1+Чувствительность!$D$20)*IFERROR(LOOKUP(Предпосылки!$H$216,$C$13:$C$15,AA$13:AA$15),1)</f>
        <v>0</v>
      </c>
      <c s="125">
        <f>Предпосылки!AA$243*Предпосылки!$S263*Продажи!AB28*AB$19*(1+Чувствительность!$D$20)*IFERROR(LOOKUP(Предпосылки!$H$216,$C$13:$C$15,AB$13:AB$15),1)</f>
        <v>0</v>
      </c>
      <c s="125">
        <f>Предпосылки!AB$243*Предпосылки!$S263*Продажи!AC28*AC$19*(1+Чувствительность!$D$20)*IFERROR(LOOKUP(Предпосылки!$H$216,$C$13:$C$15,AC$13:AC$15),1)</f>
        <v>0</v>
      </c>
      <c s="125">
        <f>Предпосылки!AC$243*Предпосылки!$S263*Продажи!AD28*AD$19*(1+Чувствительность!$D$20)*IFERROR(LOOKUP(Предпосылки!$H$216,$C$13:$C$15,AD$13:AD$15),1)</f>
        <v>0</v>
      </c>
      <c s="125">
        <f>Предпосылки!AD$243*Предпосылки!$S263*Продажи!AE28*AE$19*(1+Чувствительность!$D$20)*IFERROR(LOOKUP(Предпосылки!$H$216,$C$13:$C$15,AE$13:AE$15),1)</f>
        <v>0</v>
      </c>
      <c s="125">
        <f>Предпосылки!AE$243*Предпосылки!$S263*Продажи!AF28*AF$19*(1+Чувствительность!$D$20)*IFERROR(LOOKUP(Предпосылки!$H$216,$C$13:$C$15,AF$13:AF$15),1)</f>
        <v>0</v>
      </c>
      <c s="125">
        <f>Предпосылки!AF$243*Предпосылки!$S263*Продажи!AG28*AG$19*(1+Чувствительность!$D$20)*IFERROR(LOOKUP(Предпосылки!$H$216,$C$13:$C$15,AG$13:AG$15),1)</f>
        <v>0</v>
      </c>
      <c s="125">
        <f>Предпосылки!AG$243*Предпосылки!$S263*Продажи!AH28*AH$19*(1+Чувствительность!$D$20)*IFERROR(LOOKUP(Предпосылки!$H$216,$C$13:$C$15,AH$13:AH$15),1)</f>
        <v>0</v>
      </c>
      <c s="125">
        <f>Предпосылки!AH$243*Предпосылки!$S263*Продажи!AI28*AI$19*(1+Чувствительность!$D$20)*IFERROR(LOOKUP(Предпосылки!$H$216,$C$13:$C$15,AI$13:AI$15),1)</f>
        <v>0</v>
      </c>
      <c s="125">
        <f>Предпосылки!AI$243*Предпосылки!$S263*Продажи!AJ28*AJ$19*(1+Чувствительность!$D$20)*IFERROR(LOOKUP(Предпосылки!$H$216,$C$13:$C$15,AJ$13:AJ$15),1)</f>
        <v>0</v>
      </c>
      <c s="125">
        <f>Предпосылки!AJ$243*Предпосылки!$S263*Продажи!AK28*AK$19*(1+Чувствительность!$D$20)*IFERROR(LOOKUP(Предпосылки!$H$216,$C$13:$C$15,AK$13:AK$15),1)</f>
        <v>0</v>
      </c>
      <c s="125">
        <f>Предпосылки!AK$243*Предпосылки!$S263*Продажи!AL28*AL$19*(1+Чувствительность!$D$20)*IFERROR(LOOKUP(Предпосылки!$H$216,$C$13:$C$15,AL$13:AL$15),1)</f>
        <v>0</v>
      </c>
      <c s="125">
        <f>Предпосылки!AL$243*Предпосылки!$S263*Продажи!AM28*AM$19*(1+Чувствительность!$D$20)*IFERROR(LOOKUP(Предпосылки!$H$216,$C$13:$C$15,AM$13:AM$15),1)</f>
        <v>0</v>
      </c>
      <c s="125">
        <f>Предпосылки!AM$243*Предпосылки!$S263*Продажи!AN28*AN$19*(1+Чувствительность!$D$20)*IFERROR(LOOKUP(Предпосылки!$H$216,$C$13:$C$15,AN$13:AN$15),1)</f>
        <v>0</v>
      </c>
      <c s="125">
        <f>Предпосылки!AN$243*Предпосылки!$S263*Продажи!AO28*AO$19*(1+Чувствительность!$D$20)*IFERROR(LOOKUP(Предпосылки!$H$216,$C$13:$C$15,AO$13:AO$15),1)</f>
        <v>0</v>
      </c>
      <c s="125">
        <f>Предпосылки!AO$243*Предпосылки!$S263*Продажи!AP28*AP$19*(1+Чувствительность!$D$20)*IFERROR(LOOKUP(Предпосылки!$H$216,$C$13:$C$15,AP$13:AP$15),1)</f>
        <v>0</v>
      </c>
      <c s="125">
        <f>Предпосылки!AP$243*Предпосылки!$S263*Продажи!AQ28*AQ$19*(1+Чувствительность!$D$20)*IFERROR(LOOKUP(Предпосылки!$H$216,$C$13:$C$15,AQ$13:AQ$15),1)</f>
        <v>0</v>
      </c>
      <c s="125">
        <f>Предпосылки!AQ$243*Предпосылки!$S263*Продажи!AR28*AR$19*(1+Чувствительность!$D$20)*IFERROR(LOOKUP(Предпосылки!$H$216,$C$13:$C$15,AR$13:AR$15),1)</f>
        <v>0</v>
      </c>
      <c s="125">
        <f>Предпосылки!AR$243*Предпосылки!$S263*Продажи!AS28*AS$19*(1+Чувствительность!$D$20)*IFERROR(LOOKUP(Предпосылки!$H$216,$C$13:$C$15,AS$13:AS$15),1)</f>
        <v>0</v>
      </c>
      <c s="125">
        <f>Предпосылки!AS$243*Предпосылки!$S263*Продажи!AT28*AT$19*(1+Чувствительность!$D$20)*IFERROR(LOOKUP(Предпосылки!$H$216,$C$13:$C$15,AT$13:AT$15),1)</f>
        <v>0</v>
      </c>
      <c s="125">
        <f>Предпосылки!AT$243*Предпосылки!$S263*Продажи!AU28*AU$19*(1+Чувствительность!$D$20)*IFERROR(LOOKUP(Предпосылки!$H$216,$C$13:$C$15,AU$13:AU$15),1)</f>
        <v>0</v>
      </c>
      <c s="125">
        <f>Предпосылки!AU$243*Предпосылки!$S263*Продажи!AV28*AV$19*(1+Чувствительность!$D$20)*IFERROR(LOOKUP(Предпосылки!$H$216,$C$13:$C$15,AV$13:AV$15),1)</f>
        <v>0</v>
      </c>
      <c s="125">
        <f>Предпосылки!AV$243*Предпосылки!$S263*Продажи!AW28*AW$19*(1+Чувствительность!$D$20)*IFERROR(LOOKUP(Предпосылки!$H$216,$C$13:$C$15,AW$13:AW$15),1)</f>
        <v>0</v>
      </c>
      <c s="125">
        <f>Предпосылки!AW$243*Предпосылки!$S263*Продажи!AX28*AX$19*(1+Чувствительность!$D$20)*IFERROR(LOOKUP(Предпосылки!$H$216,$C$13:$C$15,AX$13:AX$15),1)</f>
        <v>0</v>
      </c>
      <c s="125">
        <f>Предпосылки!AX$243*Предпосылки!$S263*Продажи!AY28*AY$19*(1+Чувствительность!$D$20)*IFERROR(LOOKUP(Предпосылки!$H$216,$C$13:$C$15,AY$13:AY$15),1)</f>
        <v>0</v>
      </c>
      <c s="125">
        <f>Предпосылки!AY$243*Предпосылки!$S263*Продажи!AZ28*AZ$19*(1+Чувствительность!$D$20)*IFERROR(LOOKUP(Предпосылки!$H$216,$C$13:$C$15,AZ$13:AZ$15),1)</f>
        <v>0</v>
      </c>
      <c s="125">
        <f>Предпосылки!AZ$243*Предпосылки!$S263*Продажи!BA28*BA$19*(1+Чувствительность!$D$20)*IFERROR(LOOKUP(Предпосылки!$H$216,$C$13:$C$15,BA$13:BA$15),1)</f>
        <v>0</v>
      </c>
      <c s="125">
        <f>Предпосылки!BA$243*Предпосылки!$S263*Продажи!BB28*BB$19*(1+Чувствительность!$D$20)*IFERROR(LOOKUP(Предпосылки!$H$216,$C$13:$C$15,BB$13:BB$15),1)</f>
        <v>0</v>
      </c>
      <c s="125">
        <f>Предпосылки!BB$243*Предпосылки!$S263*Продажи!BC28*BC$19*(1+Чувствительность!$D$20)*IFERROR(LOOKUP(Предпосылки!$H$216,$C$13:$C$15,BC$13:BC$15),1)</f>
        <v>0</v>
      </c>
      <c s="125">
        <f>Предпосылки!BC$243*Предпосылки!$S263*Продажи!BD28*BD$19*(1+Чувствительность!$D$20)*IFERROR(LOOKUP(Предпосылки!$H$216,$C$13:$C$15,BD$13:BD$15),1)</f>
        <v>0</v>
      </c>
      <c s="125">
        <f>Предпосылки!BD$243*Предпосылки!$S263*Продажи!BE28*BE$19*(1+Чувствительность!$D$20)*IFERROR(LOOKUP(Предпосылки!$H$216,$C$13:$C$15,BE$13:BE$15),1)</f>
        <v>0</v>
      </c>
      <c s="125">
        <f>Предпосылки!BE$243*Предпосылки!$S263*Продажи!BF28*BF$19*(1+Чувствительность!$D$20)*IFERROR(LOOKUP(Предпосылки!$H$216,$C$13:$C$15,BF$13:BF$15),1)</f>
        <v>0</v>
      </c>
      <c s="125">
        <f>Предпосылки!BF$243*Предпосылки!$S263*Продажи!BG28*BG$19*(1+Чувствительность!$D$20)*IFERROR(LOOKUP(Предпосылки!$H$216,$C$13:$C$15,BG$13:BG$15),1)</f>
        <v>0</v>
      </c>
      <c s="125">
        <f>Предпосылки!BG$243*Предпосылки!$S263*Продажи!BH28*BH$19*(1+Чувствительность!$D$20)*IFERROR(LOOKUP(Предпосылки!$H$216,$C$13:$C$15,BH$13:BH$15),1)</f>
        <v>0</v>
      </c>
      <c s="125">
        <f>Предпосылки!BH$243*Предпосылки!$S263*Продажи!BI28*BI$19*(1+Чувствительность!$D$20)*IFERROR(LOOKUP(Предпосылки!$H$216,$C$13:$C$15,BI$13:BI$15),1)</f>
        <v>0</v>
      </c>
      <c s="125">
        <f>Предпосылки!BI$243*Предпосылки!$S263*Продажи!BJ28*BJ$19*(1+Чувствительность!$D$20)*IFERROR(LOOKUP(Предпосылки!$H$216,$C$13:$C$15,BJ$13:BJ$15),1)</f>
        <v>0</v>
      </c>
      <c s="125">
        <f>Предпосылки!BJ$243*Предпосылки!$S263*Продажи!BK28*BK$19*(1+Чувствительность!$D$20)*IFERROR(LOOKUP(Предпосылки!$H$216,$C$13:$C$15,BK$13:BK$15),1)</f>
        <v>0</v>
      </c>
      <c s="125">
        <f>Предпосылки!BK$243*Предпосылки!$S263*Продажи!BL28*BL$19*(1+Чувствительность!$D$20)*IFERROR(LOOKUP(Предпосылки!$H$216,$C$13:$C$15,BL$13:BL$15),1)</f>
        <v>0</v>
      </c>
      <c s="125">
        <f>Предпосылки!BL$243*Предпосылки!$S263*Продажи!BM28*BM$19*(1+Чувствительность!$D$20)*IFERROR(LOOKUP(Предпосылки!$H$216,$C$13:$C$15,BM$13:BM$15),1)</f>
        <v>0</v>
      </c>
    </row>
    <row r="379" spans="2:65" ht="15" customHeight="1">
      <c r="B379" s="12" t="str">
        <f t="shared" si="136"/>
        <v>Продукт 12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Предпосылки!D$243*Предпосылки!$S264*Продажи!E29*E$19*(1+Чувствительность!$D$20)*IFERROR(LOOKUP(Предпосылки!$H$216,$C$13:$C$15,E$13:E$15),1)</f>
        <v>0</v>
      </c>
      <c s="125">
        <f>Предпосылки!E$243*Предпосылки!$S264*Продажи!F29*F$19*(1+Чувствительность!$D$20)*IFERROR(LOOKUP(Предпосылки!$H$216,$C$13:$C$15,F$13:F$15),1)</f>
        <v>0</v>
      </c>
      <c s="125">
        <f>Предпосылки!F$243*Предпосылки!$S264*Продажи!G29*G$19*(1+Чувствительность!$D$20)*IFERROR(LOOKUP(Предпосылки!$H$216,$C$13:$C$15,G$13:G$15),1)</f>
        <v>0</v>
      </c>
      <c s="125">
        <f>Предпосылки!G$243*Предпосылки!$S264*Продажи!H29*H$19*(1+Чувствительность!$D$20)*IFERROR(LOOKUP(Предпосылки!$H$216,$C$13:$C$15,H$13:H$15),1)</f>
        <v>0</v>
      </c>
      <c s="125">
        <f>Предпосылки!H$243*Предпосылки!$S264*Продажи!I29*I$19*(1+Чувствительность!$D$20)*IFERROR(LOOKUP(Предпосылки!$H$216,$C$13:$C$15,I$13:I$15),1)</f>
        <v>0</v>
      </c>
      <c s="125">
        <f>Предпосылки!I$243*Предпосылки!$S264*Продажи!J29*J$19*(1+Чувствительность!$D$20)*IFERROR(LOOKUP(Предпосылки!$H$216,$C$13:$C$15,J$13:J$15),1)</f>
        <v>0</v>
      </c>
      <c s="125">
        <f>Предпосылки!J$243*Предпосылки!$S264*Продажи!K29*K$19*(1+Чувствительность!$D$20)*IFERROR(LOOKUP(Предпосылки!$H$216,$C$13:$C$15,K$13:K$15),1)</f>
        <v>0</v>
      </c>
      <c s="125">
        <f>Предпосылки!K$243*Предпосылки!$S264*Продажи!L29*L$19*(1+Чувствительность!$D$20)*IFERROR(LOOKUP(Предпосылки!$H$216,$C$13:$C$15,L$13:L$15),1)</f>
        <v>0</v>
      </c>
      <c s="125">
        <f>Предпосылки!L$243*Предпосылки!$S264*Продажи!M29*M$19*(1+Чувствительность!$D$20)*IFERROR(LOOKUP(Предпосылки!$H$216,$C$13:$C$15,M$13:M$15),1)</f>
        <v>0</v>
      </c>
      <c s="125">
        <f>Предпосылки!M$243*Предпосылки!$S264*Продажи!N29*N$19*(1+Чувствительность!$D$20)*IFERROR(LOOKUP(Предпосылки!$H$216,$C$13:$C$15,N$13:N$15),1)</f>
        <v>0</v>
      </c>
      <c s="125">
        <f>Предпосылки!N$243*Предпосылки!$S264*Продажи!O29*O$19*(1+Чувствительность!$D$20)*IFERROR(LOOKUP(Предпосылки!$H$216,$C$13:$C$15,O$13:O$15),1)</f>
        <v>0</v>
      </c>
      <c s="125">
        <f>Предпосылки!O$243*Предпосылки!$S264*Продажи!P29*P$19*(1+Чувствительность!$D$20)*IFERROR(LOOKUP(Предпосылки!$H$216,$C$13:$C$15,P$13:P$15),1)</f>
        <v>0</v>
      </c>
      <c s="125">
        <f>Предпосылки!P$243*Предпосылки!$S264*Продажи!Q29*Q$19*(1+Чувствительность!$D$20)*IFERROR(LOOKUP(Предпосылки!$H$216,$C$13:$C$15,Q$13:Q$15),1)</f>
        <v>0</v>
      </c>
      <c s="125">
        <f>Предпосылки!Q$243*Предпосылки!$S264*Продажи!R29*R$19*(1+Чувствительность!$D$20)*IFERROR(LOOKUP(Предпосылки!$H$216,$C$13:$C$15,R$13:R$15),1)</f>
        <v>0</v>
      </c>
      <c s="125">
        <f>Предпосылки!R$243*Предпосылки!$S264*Продажи!S29*S$19*(1+Чувствительность!$D$20)*IFERROR(LOOKUP(Предпосылки!$H$216,$C$13:$C$15,S$13:S$15),1)</f>
        <v>0</v>
      </c>
      <c s="125">
        <f>Предпосылки!S$243*Предпосылки!$S264*Продажи!T29*T$19*(1+Чувствительность!$D$20)*IFERROR(LOOKUP(Предпосылки!$H$216,$C$13:$C$15,T$13:T$15),1)</f>
        <v>0</v>
      </c>
      <c s="125">
        <f>Предпосылки!T$243*Предпосылки!$S264*Продажи!U29*U$19*(1+Чувствительность!$D$20)*IFERROR(LOOKUP(Предпосылки!$H$216,$C$13:$C$15,U$13:U$15),1)</f>
        <v>0</v>
      </c>
      <c s="125">
        <f>Предпосылки!U$243*Предпосылки!$S264*Продажи!V29*V$19*(1+Чувствительность!$D$20)*IFERROR(LOOKUP(Предпосылки!$H$216,$C$13:$C$15,V$13:V$15),1)</f>
        <v>0</v>
      </c>
      <c s="125">
        <f>Предпосылки!V$243*Предпосылки!$S264*Продажи!W29*W$19*(1+Чувствительность!$D$20)*IFERROR(LOOKUP(Предпосылки!$H$216,$C$13:$C$15,W$13:W$15),1)</f>
        <v>0</v>
      </c>
      <c s="125">
        <f>Предпосылки!W$243*Предпосылки!$S264*Продажи!X29*X$19*(1+Чувствительность!$D$20)*IFERROR(LOOKUP(Предпосылки!$H$216,$C$13:$C$15,X$13:X$15),1)</f>
        <v>0</v>
      </c>
      <c s="125">
        <f>Предпосылки!X$243*Предпосылки!$S264*Продажи!Y29*Y$19*(1+Чувствительность!$D$20)*IFERROR(LOOKUP(Предпосылки!$H$216,$C$13:$C$15,Y$13:Y$15),1)</f>
        <v>0</v>
      </c>
      <c s="125">
        <f>Предпосылки!Y$243*Предпосылки!$S264*Продажи!Z29*Z$19*(1+Чувствительность!$D$20)*IFERROR(LOOKUP(Предпосылки!$H$216,$C$13:$C$15,Z$13:Z$15),1)</f>
        <v>0</v>
      </c>
      <c s="125">
        <f>Предпосылки!Z$243*Предпосылки!$S264*Продажи!AA29*AA$19*(1+Чувствительность!$D$20)*IFERROR(LOOKUP(Предпосылки!$H$216,$C$13:$C$15,AA$13:AA$15),1)</f>
        <v>0</v>
      </c>
      <c s="125">
        <f>Предпосылки!AA$243*Предпосылки!$S264*Продажи!AB29*AB$19*(1+Чувствительность!$D$20)*IFERROR(LOOKUP(Предпосылки!$H$216,$C$13:$C$15,AB$13:AB$15),1)</f>
        <v>0</v>
      </c>
      <c s="125">
        <f>Предпосылки!AB$243*Предпосылки!$S264*Продажи!AC29*AC$19*(1+Чувствительность!$D$20)*IFERROR(LOOKUP(Предпосылки!$H$216,$C$13:$C$15,AC$13:AC$15),1)</f>
        <v>0</v>
      </c>
      <c s="125">
        <f>Предпосылки!AC$243*Предпосылки!$S264*Продажи!AD29*AD$19*(1+Чувствительность!$D$20)*IFERROR(LOOKUP(Предпосылки!$H$216,$C$13:$C$15,AD$13:AD$15),1)</f>
        <v>0</v>
      </c>
      <c s="125">
        <f>Предпосылки!AD$243*Предпосылки!$S264*Продажи!AE29*AE$19*(1+Чувствительность!$D$20)*IFERROR(LOOKUP(Предпосылки!$H$216,$C$13:$C$15,AE$13:AE$15),1)</f>
        <v>0</v>
      </c>
      <c s="125">
        <f>Предпосылки!AE$243*Предпосылки!$S264*Продажи!AF29*AF$19*(1+Чувствительность!$D$20)*IFERROR(LOOKUP(Предпосылки!$H$216,$C$13:$C$15,AF$13:AF$15),1)</f>
        <v>0</v>
      </c>
      <c s="125">
        <f>Предпосылки!AF$243*Предпосылки!$S264*Продажи!AG29*AG$19*(1+Чувствительность!$D$20)*IFERROR(LOOKUP(Предпосылки!$H$216,$C$13:$C$15,AG$13:AG$15),1)</f>
        <v>0</v>
      </c>
      <c s="125">
        <f>Предпосылки!AG$243*Предпосылки!$S264*Продажи!AH29*AH$19*(1+Чувствительность!$D$20)*IFERROR(LOOKUP(Предпосылки!$H$216,$C$13:$C$15,AH$13:AH$15),1)</f>
        <v>0</v>
      </c>
      <c s="125">
        <f>Предпосылки!AH$243*Предпосылки!$S264*Продажи!AI29*AI$19*(1+Чувствительность!$D$20)*IFERROR(LOOKUP(Предпосылки!$H$216,$C$13:$C$15,AI$13:AI$15),1)</f>
        <v>0</v>
      </c>
      <c s="125">
        <f>Предпосылки!AI$243*Предпосылки!$S264*Продажи!AJ29*AJ$19*(1+Чувствительность!$D$20)*IFERROR(LOOKUP(Предпосылки!$H$216,$C$13:$C$15,AJ$13:AJ$15),1)</f>
        <v>0</v>
      </c>
      <c s="125">
        <f>Предпосылки!AJ$243*Предпосылки!$S264*Продажи!AK29*AK$19*(1+Чувствительность!$D$20)*IFERROR(LOOKUP(Предпосылки!$H$216,$C$13:$C$15,AK$13:AK$15),1)</f>
        <v>0</v>
      </c>
      <c s="125">
        <f>Предпосылки!AK$243*Предпосылки!$S264*Продажи!AL29*AL$19*(1+Чувствительность!$D$20)*IFERROR(LOOKUP(Предпосылки!$H$216,$C$13:$C$15,AL$13:AL$15),1)</f>
        <v>0</v>
      </c>
      <c s="125">
        <f>Предпосылки!AL$243*Предпосылки!$S264*Продажи!AM29*AM$19*(1+Чувствительность!$D$20)*IFERROR(LOOKUP(Предпосылки!$H$216,$C$13:$C$15,AM$13:AM$15),1)</f>
        <v>0</v>
      </c>
      <c s="125">
        <f>Предпосылки!AM$243*Предпосылки!$S264*Продажи!AN29*AN$19*(1+Чувствительность!$D$20)*IFERROR(LOOKUP(Предпосылки!$H$216,$C$13:$C$15,AN$13:AN$15),1)</f>
        <v>0</v>
      </c>
      <c s="125">
        <f>Предпосылки!AN$243*Предпосылки!$S264*Продажи!AO29*AO$19*(1+Чувствительность!$D$20)*IFERROR(LOOKUP(Предпосылки!$H$216,$C$13:$C$15,AO$13:AO$15),1)</f>
        <v>0</v>
      </c>
      <c s="125">
        <f>Предпосылки!AO$243*Предпосылки!$S264*Продажи!AP29*AP$19*(1+Чувствительность!$D$20)*IFERROR(LOOKUP(Предпосылки!$H$216,$C$13:$C$15,AP$13:AP$15),1)</f>
        <v>0</v>
      </c>
      <c s="125">
        <f>Предпосылки!AP$243*Предпосылки!$S264*Продажи!AQ29*AQ$19*(1+Чувствительность!$D$20)*IFERROR(LOOKUP(Предпосылки!$H$216,$C$13:$C$15,AQ$13:AQ$15),1)</f>
        <v>0</v>
      </c>
      <c s="125">
        <f>Предпосылки!AQ$243*Предпосылки!$S264*Продажи!AR29*AR$19*(1+Чувствительность!$D$20)*IFERROR(LOOKUP(Предпосылки!$H$216,$C$13:$C$15,AR$13:AR$15),1)</f>
        <v>0</v>
      </c>
      <c s="125">
        <f>Предпосылки!AR$243*Предпосылки!$S264*Продажи!AS29*AS$19*(1+Чувствительность!$D$20)*IFERROR(LOOKUP(Предпосылки!$H$216,$C$13:$C$15,AS$13:AS$15),1)</f>
        <v>0</v>
      </c>
      <c s="125">
        <f>Предпосылки!AS$243*Предпосылки!$S264*Продажи!AT29*AT$19*(1+Чувствительность!$D$20)*IFERROR(LOOKUP(Предпосылки!$H$216,$C$13:$C$15,AT$13:AT$15),1)</f>
        <v>0</v>
      </c>
      <c s="125">
        <f>Предпосылки!AT$243*Предпосылки!$S264*Продажи!AU29*AU$19*(1+Чувствительность!$D$20)*IFERROR(LOOKUP(Предпосылки!$H$216,$C$13:$C$15,AU$13:AU$15),1)</f>
        <v>0</v>
      </c>
      <c s="125">
        <f>Предпосылки!AU$243*Предпосылки!$S264*Продажи!AV29*AV$19*(1+Чувствительность!$D$20)*IFERROR(LOOKUP(Предпосылки!$H$216,$C$13:$C$15,AV$13:AV$15),1)</f>
        <v>0</v>
      </c>
      <c s="125">
        <f>Предпосылки!AV$243*Предпосылки!$S264*Продажи!AW29*AW$19*(1+Чувствительность!$D$20)*IFERROR(LOOKUP(Предпосылки!$H$216,$C$13:$C$15,AW$13:AW$15),1)</f>
        <v>0</v>
      </c>
      <c s="125">
        <f>Предпосылки!AW$243*Предпосылки!$S264*Продажи!AX29*AX$19*(1+Чувствительность!$D$20)*IFERROR(LOOKUP(Предпосылки!$H$216,$C$13:$C$15,AX$13:AX$15),1)</f>
        <v>0</v>
      </c>
      <c s="125">
        <f>Предпосылки!AX$243*Предпосылки!$S264*Продажи!AY29*AY$19*(1+Чувствительность!$D$20)*IFERROR(LOOKUP(Предпосылки!$H$216,$C$13:$C$15,AY$13:AY$15),1)</f>
        <v>0</v>
      </c>
      <c s="125">
        <f>Предпосылки!AY$243*Предпосылки!$S264*Продажи!AZ29*AZ$19*(1+Чувствительность!$D$20)*IFERROR(LOOKUP(Предпосылки!$H$216,$C$13:$C$15,AZ$13:AZ$15),1)</f>
        <v>0</v>
      </c>
      <c s="125">
        <f>Предпосылки!AZ$243*Предпосылки!$S264*Продажи!BA29*BA$19*(1+Чувствительность!$D$20)*IFERROR(LOOKUP(Предпосылки!$H$216,$C$13:$C$15,BA$13:BA$15),1)</f>
        <v>0</v>
      </c>
      <c s="125">
        <f>Предпосылки!BA$243*Предпосылки!$S264*Продажи!BB29*BB$19*(1+Чувствительность!$D$20)*IFERROR(LOOKUP(Предпосылки!$H$216,$C$13:$C$15,BB$13:BB$15),1)</f>
        <v>0</v>
      </c>
      <c s="125">
        <f>Предпосылки!BB$243*Предпосылки!$S264*Продажи!BC29*BC$19*(1+Чувствительность!$D$20)*IFERROR(LOOKUP(Предпосылки!$H$216,$C$13:$C$15,BC$13:BC$15),1)</f>
        <v>0</v>
      </c>
      <c s="125">
        <f>Предпосылки!BC$243*Предпосылки!$S264*Продажи!BD29*BD$19*(1+Чувствительность!$D$20)*IFERROR(LOOKUP(Предпосылки!$H$216,$C$13:$C$15,BD$13:BD$15),1)</f>
        <v>0</v>
      </c>
      <c s="125">
        <f>Предпосылки!BD$243*Предпосылки!$S264*Продажи!BE29*BE$19*(1+Чувствительность!$D$20)*IFERROR(LOOKUP(Предпосылки!$H$216,$C$13:$C$15,BE$13:BE$15),1)</f>
        <v>0</v>
      </c>
      <c s="125">
        <f>Предпосылки!BE$243*Предпосылки!$S264*Продажи!BF29*BF$19*(1+Чувствительность!$D$20)*IFERROR(LOOKUP(Предпосылки!$H$216,$C$13:$C$15,BF$13:BF$15),1)</f>
        <v>0</v>
      </c>
      <c s="125">
        <f>Предпосылки!BF$243*Предпосылки!$S264*Продажи!BG29*BG$19*(1+Чувствительность!$D$20)*IFERROR(LOOKUP(Предпосылки!$H$216,$C$13:$C$15,BG$13:BG$15),1)</f>
        <v>0</v>
      </c>
      <c s="125">
        <f>Предпосылки!BG$243*Предпосылки!$S264*Продажи!BH29*BH$19*(1+Чувствительность!$D$20)*IFERROR(LOOKUP(Предпосылки!$H$216,$C$13:$C$15,BH$13:BH$15),1)</f>
        <v>0</v>
      </c>
      <c s="125">
        <f>Предпосылки!BH$243*Предпосылки!$S264*Продажи!BI29*BI$19*(1+Чувствительность!$D$20)*IFERROR(LOOKUP(Предпосылки!$H$216,$C$13:$C$15,BI$13:BI$15),1)</f>
        <v>0</v>
      </c>
      <c s="125">
        <f>Предпосылки!BI$243*Предпосылки!$S264*Продажи!BJ29*BJ$19*(1+Чувствительность!$D$20)*IFERROR(LOOKUP(Предпосылки!$H$216,$C$13:$C$15,BJ$13:BJ$15),1)</f>
        <v>0</v>
      </c>
      <c s="125">
        <f>Предпосылки!BJ$243*Предпосылки!$S264*Продажи!BK29*BK$19*(1+Чувствительность!$D$20)*IFERROR(LOOKUP(Предпосылки!$H$216,$C$13:$C$15,BK$13:BK$15),1)</f>
        <v>0</v>
      </c>
      <c s="125">
        <f>Предпосылки!BK$243*Предпосылки!$S264*Продажи!BL29*BL$19*(1+Чувствительность!$D$20)*IFERROR(LOOKUP(Предпосылки!$H$216,$C$13:$C$15,BL$13:BL$15),1)</f>
        <v>0</v>
      </c>
      <c s="125">
        <f>Предпосылки!BL$243*Предпосылки!$S264*Продажи!BM29*BM$19*(1+Чувствительность!$D$20)*IFERROR(LOOKUP(Предпосылки!$H$216,$C$13:$C$15,BM$13:BM$15),1)</f>
        <v>0</v>
      </c>
    </row>
    <row r="380" spans="2:65" ht="15" customHeight="1">
      <c r="B380" s="12" t="str">
        <f t="shared" si="136"/>
        <v>Продукт 13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Предпосылки!D$243*Предпосылки!$S265*Продажи!E30*E$19*(1+Чувствительность!$D$20)*IFERROR(LOOKUP(Предпосылки!$H$216,$C$13:$C$15,E$13:E$15),1)</f>
        <v>0</v>
      </c>
      <c s="125">
        <f>Предпосылки!E$243*Предпосылки!$S265*Продажи!F30*F$19*(1+Чувствительность!$D$20)*IFERROR(LOOKUP(Предпосылки!$H$216,$C$13:$C$15,F$13:F$15),1)</f>
        <v>0</v>
      </c>
      <c s="125">
        <f>Предпосылки!F$243*Предпосылки!$S265*Продажи!G30*G$19*(1+Чувствительность!$D$20)*IFERROR(LOOKUP(Предпосылки!$H$216,$C$13:$C$15,G$13:G$15),1)</f>
        <v>0</v>
      </c>
      <c s="125">
        <f>Предпосылки!G$243*Предпосылки!$S265*Продажи!H30*H$19*(1+Чувствительность!$D$20)*IFERROR(LOOKUP(Предпосылки!$H$216,$C$13:$C$15,H$13:H$15),1)</f>
        <v>0</v>
      </c>
      <c s="125">
        <f>Предпосылки!H$243*Предпосылки!$S265*Продажи!I30*I$19*(1+Чувствительность!$D$20)*IFERROR(LOOKUP(Предпосылки!$H$216,$C$13:$C$15,I$13:I$15),1)</f>
        <v>0</v>
      </c>
      <c s="125">
        <f>Предпосылки!I$243*Предпосылки!$S265*Продажи!J30*J$19*(1+Чувствительность!$D$20)*IFERROR(LOOKUP(Предпосылки!$H$216,$C$13:$C$15,J$13:J$15),1)</f>
        <v>0</v>
      </c>
      <c s="125">
        <f>Предпосылки!J$243*Предпосылки!$S265*Продажи!K30*K$19*(1+Чувствительность!$D$20)*IFERROR(LOOKUP(Предпосылки!$H$216,$C$13:$C$15,K$13:K$15),1)</f>
        <v>0</v>
      </c>
      <c s="125">
        <f>Предпосылки!K$243*Предпосылки!$S265*Продажи!L30*L$19*(1+Чувствительность!$D$20)*IFERROR(LOOKUP(Предпосылки!$H$216,$C$13:$C$15,L$13:L$15),1)</f>
        <v>0</v>
      </c>
      <c s="125">
        <f>Предпосылки!L$243*Предпосылки!$S265*Продажи!M30*M$19*(1+Чувствительность!$D$20)*IFERROR(LOOKUP(Предпосылки!$H$216,$C$13:$C$15,M$13:M$15),1)</f>
        <v>0</v>
      </c>
      <c s="125">
        <f>Предпосылки!M$243*Предпосылки!$S265*Продажи!N30*N$19*(1+Чувствительность!$D$20)*IFERROR(LOOKUP(Предпосылки!$H$216,$C$13:$C$15,N$13:N$15),1)</f>
        <v>0</v>
      </c>
      <c s="125">
        <f>Предпосылки!N$243*Предпосылки!$S265*Продажи!O30*O$19*(1+Чувствительность!$D$20)*IFERROR(LOOKUP(Предпосылки!$H$216,$C$13:$C$15,O$13:O$15),1)</f>
        <v>0</v>
      </c>
      <c s="125">
        <f>Предпосылки!O$243*Предпосылки!$S265*Продажи!P30*P$19*(1+Чувствительность!$D$20)*IFERROR(LOOKUP(Предпосылки!$H$216,$C$13:$C$15,P$13:P$15),1)</f>
        <v>0</v>
      </c>
      <c s="125">
        <f>Предпосылки!P$243*Предпосылки!$S265*Продажи!Q30*Q$19*(1+Чувствительность!$D$20)*IFERROR(LOOKUP(Предпосылки!$H$216,$C$13:$C$15,Q$13:Q$15),1)</f>
        <v>0</v>
      </c>
      <c s="125">
        <f>Предпосылки!Q$243*Предпосылки!$S265*Продажи!R30*R$19*(1+Чувствительность!$D$20)*IFERROR(LOOKUP(Предпосылки!$H$216,$C$13:$C$15,R$13:R$15),1)</f>
        <v>0</v>
      </c>
      <c s="125">
        <f>Предпосылки!R$243*Предпосылки!$S265*Продажи!S30*S$19*(1+Чувствительность!$D$20)*IFERROR(LOOKUP(Предпосылки!$H$216,$C$13:$C$15,S$13:S$15),1)</f>
        <v>0</v>
      </c>
      <c s="125">
        <f>Предпосылки!S$243*Предпосылки!$S265*Продажи!T30*T$19*(1+Чувствительность!$D$20)*IFERROR(LOOKUP(Предпосылки!$H$216,$C$13:$C$15,T$13:T$15),1)</f>
        <v>0</v>
      </c>
      <c s="125">
        <f>Предпосылки!T$243*Предпосылки!$S265*Продажи!U30*U$19*(1+Чувствительность!$D$20)*IFERROR(LOOKUP(Предпосылки!$H$216,$C$13:$C$15,U$13:U$15),1)</f>
        <v>0</v>
      </c>
      <c s="125">
        <f>Предпосылки!U$243*Предпосылки!$S265*Продажи!V30*V$19*(1+Чувствительность!$D$20)*IFERROR(LOOKUP(Предпосылки!$H$216,$C$13:$C$15,V$13:V$15),1)</f>
        <v>0</v>
      </c>
      <c s="125">
        <f>Предпосылки!V$243*Предпосылки!$S265*Продажи!W30*W$19*(1+Чувствительность!$D$20)*IFERROR(LOOKUP(Предпосылки!$H$216,$C$13:$C$15,W$13:W$15),1)</f>
        <v>0</v>
      </c>
      <c s="125">
        <f>Предпосылки!W$243*Предпосылки!$S265*Продажи!X30*X$19*(1+Чувствительность!$D$20)*IFERROR(LOOKUP(Предпосылки!$H$216,$C$13:$C$15,X$13:X$15),1)</f>
        <v>0</v>
      </c>
      <c s="125">
        <f>Предпосылки!X$243*Предпосылки!$S265*Продажи!Y30*Y$19*(1+Чувствительность!$D$20)*IFERROR(LOOKUP(Предпосылки!$H$216,$C$13:$C$15,Y$13:Y$15),1)</f>
        <v>0</v>
      </c>
      <c s="125">
        <f>Предпосылки!Y$243*Предпосылки!$S265*Продажи!Z30*Z$19*(1+Чувствительность!$D$20)*IFERROR(LOOKUP(Предпосылки!$H$216,$C$13:$C$15,Z$13:Z$15),1)</f>
        <v>0</v>
      </c>
      <c s="125">
        <f>Предпосылки!Z$243*Предпосылки!$S265*Продажи!AA30*AA$19*(1+Чувствительность!$D$20)*IFERROR(LOOKUP(Предпосылки!$H$216,$C$13:$C$15,AA$13:AA$15),1)</f>
        <v>0</v>
      </c>
      <c s="125">
        <f>Предпосылки!AA$243*Предпосылки!$S265*Продажи!AB30*AB$19*(1+Чувствительность!$D$20)*IFERROR(LOOKUP(Предпосылки!$H$216,$C$13:$C$15,AB$13:AB$15),1)</f>
        <v>0</v>
      </c>
      <c s="125">
        <f>Предпосылки!AB$243*Предпосылки!$S265*Продажи!AC30*AC$19*(1+Чувствительность!$D$20)*IFERROR(LOOKUP(Предпосылки!$H$216,$C$13:$C$15,AC$13:AC$15),1)</f>
        <v>0</v>
      </c>
      <c s="125">
        <f>Предпосылки!AC$243*Предпосылки!$S265*Продажи!AD30*AD$19*(1+Чувствительность!$D$20)*IFERROR(LOOKUP(Предпосылки!$H$216,$C$13:$C$15,AD$13:AD$15),1)</f>
        <v>0</v>
      </c>
      <c s="125">
        <f>Предпосылки!AD$243*Предпосылки!$S265*Продажи!AE30*AE$19*(1+Чувствительность!$D$20)*IFERROR(LOOKUP(Предпосылки!$H$216,$C$13:$C$15,AE$13:AE$15),1)</f>
        <v>0</v>
      </c>
      <c s="125">
        <f>Предпосылки!AE$243*Предпосылки!$S265*Продажи!AF30*AF$19*(1+Чувствительность!$D$20)*IFERROR(LOOKUP(Предпосылки!$H$216,$C$13:$C$15,AF$13:AF$15),1)</f>
        <v>0</v>
      </c>
      <c s="125">
        <f>Предпосылки!AF$243*Предпосылки!$S265*Продажи!AG30*AG$19*(1+Чувствительность!$D$20)*IFERROR(LOOKUP(Предпосылки!$H$216,$C$13:$C$15,AG$13:AG$15),1)</f>
        <v>0</v>
      </c>
      <c s="125">
        <f>Предпосылки!AG$243*Предпосылки!$S265*Продажи!AH30*AH$19*(1+Чувствительность!$D$20)*IFERROR(LOOKUP(Предпосылки!$H$216,$C$13:$C$15,AH$13:AH$15),1)</f>
        <v>0</v>
      </c>
      <c s="125">
        <f>Предпосылки!AH$243*Предпосылки!$S265*Продажи!AI30*AI$19*(1+Чувствительность!$D$20)*IFERROR(LOOKUP(Предпосылки!$H$216,$C$13:$C$15,AI$13:AI$15),1)</f>
        <v>0</v>
      </c>
      <c s="125">
        <f>Предпосылки!AI$243*Предпосылки!$S265*Продажи!AJ30*AJ$19*(1+Чувствительность!$D$20)*IFERROR(LOOKUP(Предпосылки!$H$216,$C$13:$C$15,AJ$13:AJ$15),1)</f>
        <v>0</v>
      </c>
      <c s="125">
        <f>Предпосылки!AJ$243*Предпосылки!$S265*Продажи!AK30*AK$19*(1+Чувствительность!$D$20)*IFERROR(LOOKUP(Предпосылки!$H$216,$C$13:$C$15,AK$13:AK$15),1)</f>
        <v>0</v>
      </c>
      <c s="125">
        <f>Предпосылки!AK$243*Предпосылки!$S265*Продажи!AL30*AL$19*(1+Чувствительность!$D$20)*IFERROR(LOOKUP(Предпосылки!$H$216,$C$13:$C$15,AL$13:AL$15),1)</f>
        <v>0</v>
      </c>
      <c s="125">
        <f>Предпосылки!AL$243*Предпосылки!$S265*Продажи!AM30*AM$19*(1+Чувствительность!$D$20)*IFERROR(LOOKUP(Предпосылки!$H$216,$C$13:$C$15,AM$13:AM$15),1)</f>
        <v>0</v>
      </c>
      <c s="125">
        <f>Предпосылки!AM$243*Предпосылки!$S265*Продажи!AN30*AN$19*(1+Чувствительность!$D$20)*IFERROR(LOOKUP(Предпосылки!$H$216,$C$13:$C$15,AN$13:AN$15),1)</f>
        <v>0</v>
      </c>
      <c s="125">
        <f>Предпосылки!AN$243*Предпосылки!$S265*Продажи!AO30*AO$19*(1+Чувствительность!$D$20)*IFERROR(LOOKUP(Предпосылки!$H$216,$C$13:$C$15,AO$13:AO$15),1)</f>
        <v>0</v>
      </c>
      <c s="125">
        <f>Предпосылки!AO$243*Предпосылки!$S265*Продажи!AP30*AP$19*(1+Чувствительность!$D$20)*IFERROR(LOOKUP(Предпосылки!$H$216,$C$13:$C$15,AP$13:AP$15),1)</f>
        <v>0</v>
      </c>
      <c s="125">
        <f>Предпосылки!AP$243*Предпосылки!$S265*Продажи!AQ30*AQ$19*(1+Чувствительность!$D$20)*IFERROR(LOOKUP(Предпосылки!$H$216,$C$13:$C$15,AQ$13:AQ$15),1)</f>
        <v>0</v>
      </c>
      <c s="125">
        <f>Предпосылки!AQ$243*Предпосылки!$S265*Продажи!AR30*AR$19*(1+Чувствительность!$D$20)*IFERROR(LOOKUP(Предпосылки!$H$216,$C$13:$C$15,AR$13:AR$15),1)</f>
        <v>0</v>
      </c>
      <c s="125">
        <f>Предпосылки!AR$243*Предпосылки!$S265*Продажи!AS30*AS$19*(1+Чувствительность!$D$20)*IFERROR(LOOKUP(Предпосылки!$H$216,$C$13:$C$15,AS$13:AS$15),1)</f>
        <v>0</v>
      </c>
      <c s="125">
        <f>Предпосылки!AS$243*Предпосылки!$S265*Продажи!AT30*AT$19*(1+Чувствительность!$D$20)*IFERROR(LOOKUP(Предпосылки!$H$216,$C$13:$C$15,AT$13:AT$15),1)</f>
        <v>0</v>
      </c>
      <c s="125">
        <f>Предпосылки!AT$243*Предпосылки!$S265*Продажи!AU30*AU$19*(1+Чувствительность!$D$20)*IFERROR(LOOKUP(Предпосылки!$H$216,$C$13:$C$15,AU$13:AU$15),1)</f>
        <v>0</v>
      </c>
      <c s="125">
        <f>Предпосылки!AU$243*Предпосылки!$S265*Продажи!AV30*AV$19*(1+Чувствительность!$D$20)*IFERROR(LOOKUP(Предпосылки!$H$216,$C$13:$C$15,AV$13:AV$15),1)</f>
        <v>0</v>
      </c>
      <c s="125">
        <f>Предпосылки!AV$243*Предпосылки!$S265*Продажи!AW30*AW$19*(1+Чувствительность!$D$20)*IFERROR(LOOKUP(Предпосылки!$H$216,$C$13:$C$15,AW$13:AW$15),1)</f>
        <v>0</v>
      </c>
      <c s="125">
        <f>Предпосылки!AW$243*Предпосылки!$S265*Продажи!AX30*AX$19*(1+Чувствительность!$D$20)*IFERROR(LOOKUP(Предпосылки!$H$216,$C$13:$C$15,AX$13:AX$15),1)</f>
        <v>0</v>
      </c>
      <c s="125">
        <f>Предпосылки!AX$243*Предпосылки!$S265*Продажи!AY30*AY$19*(1+Чувствительность!$D$20)*IFERROR(LOOKUP(Предпосылки!$H$216,$C$13:$C$15,AY$13:AY$15),1)</f>
        <v>0</v>
      </c>
      <c s="125">
        <f>Предпосылки!AY$243*Предпосылки!$S265*Продажи!AZ30*AZ$19*(1+Чувствительность!$D$20)*IFERROR(LOOKUP(Предпосылки!$H$216,$C$13:$C$15,AZ$13:AZ$15),1)</f>
        <v>0</v>
      </c>
      <c s="125">
        <f>Предпосылки!AZ$243*Предпосылки!$S265*Продажи!BA30*BA$19*(1+Чувствительность!$D$20)*IFERROR(LOOKUP(Предпосылки!$H$216,$C$13:$C$15,BA$13:BA$15),1)</f>
        <v>0</v>
      </c>
      <c s="125">
        <f>Предпосылки!BA$243*Предпосылки!$S265*Продажи!BB30*BB$19*(1+Чувствительность!$D$20)*IFERROR(LOOKUP(Предпосылки!$H$216,$C$13:$C$15,BB$13:BB$15),1)</f>
        <v>0</v>
      </c>
      <c s="125">
        <f>Предпосылки!BB$243*Предпосылки!$S265*Продажи!BC30*BC$19*(1+Чувствительность!$D$20)*IFERROR(LOOKUP(Предпосылки!$H$216,$C$13:$C$15,BC$13:BC$15),1)</f>
        <v>0</v>
      </c>
      <c s="125">
        <f>Предпосылки!BC$243*Предпосылки!$S265*Продажи!BD30*BD$19*(1+Чувствительность!$D$20)*IFERROR(LOOKUP(Предпосылки!$H$216,$C$13:$C$15,BD$13:BD$15),1)</f>
        <v>0</v>
      </c>
      <c s="125">
        <f>Предпосылки!BD$243*Предпосылки!$S265*Продажи!BE30*BE$19*(1+Чувствительность!$D$20)*IFERROR(LOOKUP(Предпосылки!$H$216,$C$13:$C$15,BE$13:BE$15),1)</f>
        <v>0</v>
      </c>
      <c s="125">
        <f>Предпосылки!BE$243*Предпосылки!$S265*Продажи!BF30*BF$19*(1+Чувствительность!$D$20)*IFERROR(LOOKUP(Предпосылки!$H$216,$C$13:$C$15,BF$13:BF$15),1)</f>
        <v>0</v>
      </c>
      <c s="125">
        <f>Предпосылки!BF$243*Предпосылки!$S265*Продажи!BG30*BG$19*(1+Чувствительность!$D$20)*IFERROR(LOOKUP(Предпосылки!$H$216,$C$13:$C$15,BG$13:BG$15),1)</f>
        <v>0</v>
      </c>
      <c s="125">
        <f>Предпосылки!BG$243*Предпосылки!$S265*Продажи!BH30*BH$19*(1+Чувствительность!$D$20)*IFERROR(LOOKUP(Предпосылки!$H$216,$C$13:$C$15,BH$13:BH$15),1)</f>
        <v>0</v>
      </c>
      <c s="125">
        <f>Предпосылки!BH$243*Предпосылки!$S265*Продажи!BI30*BI$19*(1+Чувствительность!$D$20)*IFERROR(LOOKUP(Предпосылки!$H$216,$C$13:$C$15,BI$13:BI$15),1)</f>
        <v>0</v>
      </c>
      <c s="125">
        <f>Предпосылки!BI$243*Предпосылки!$S265*Продажи!BJ30*BJ$19*(1+Чувствительность!$D$20)*IFERROR(LOOKUP(Предпосылки!$H$216,$C$13:$C$15,BJ$13:BJ$15),1)</f>
        <v>0</v>
      </c>
      <c s="125">
        <f>Предпосылки!BJ$243*Предпосылки!$S265*Продажи!BK30*BK$19*(1+Чувствительность!$D$20)*IFERROR(LOOKUP(Предпосылки!$H$216,$C$13:$C$15,BK$13:BK$15),1)</f>
        <v>0</v>
      </c>
      <c s="125">
        <f>Предпосылки!BK$243*Предпосылки!$S265*Продажи!BL30*BL$19*(1+Чувствительность!$D$20)*IFERROR(LOOKUP(Предпосылки!$H$216,$C$13:$C$15,BL$13:BL$15),1)</f>
        <v>0</v>
      </c>
      <c s="125">
        <f>Предпосылки!BL$243*Предпосылки!$S265*Продажи!BM30*BM$19*(1+Чувствительность!$D$20)*IFERROR(LOOKUP(Предпосылки!$H$216,$C$13:$C$15,BM$13:BM$15),1)</f>
        <v>0</v>
      </c>
    </row>
    <row r="381" spans="2:65" ht="15" customHeight="1">
      <c r="B381" s="12" t="str">
        <f t="shared" si="136"/>
        <v>Продукт 14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Предпосылки!D$243*Предпосылки!$S266*Продажи!E31*E$19*(1+Чувствительность!$D$20)*IFERROR(LOOKUP(Предпосылки!$H$216,$C$13:$C$15,E$13:E$15),1)</f>
        <v>0</v>
      </c>
      <c s="125">
        <f>Предпосылки!E$243*Предпосылки!$S266*Продажи!F31*F$19*(1+Чувствительность!$D$20)*IFERROR(LOOKUP(Предпосылки!$H$216,$C$13:$C$15,F$13:F$15),1)</f>
        <v>0</v>
      </c>
      <c s="125">
        <f>Предпосылки!F$243*Предпосылки!$S266*Продажи!G31*G$19*(1+Чувствительность!$D$20)*IFERROR(LOOKUP(Предпосылки!$H$216,$C$13:$C$15,G$13:G$15),1)</f>
        <v>0</v>
      </c>
      <c s="125">
        <f>Предпосылки!G$243*Предпосылки!$S266*Продажи!H31*H$19*(1+Чувствительность!$D$20)*IFERROR(LOOKUP(Предпосылки!$H$216,$C$13:$C$15,H$13:H$15),1)</f>
        <v>0</v>
      </c>
      <c s="125">
        <f>Предпосылки!H$243*Предпосылки!$S266*Продажи!I31*I$19*(1+Чувствительность!$D$20)*IFERROR(LOOKUP(Предпосылки!$H$216,$C$13:$C$15,I$13:I$15),1)</f>
        <v>0</v>
      </c>
      <c s="125">
        <f>Предпосылки!I$243*Предпосылки!$S266*Продажи!J31*J$19*(1+Чувствительность!$D$20)*IFERROR(LOOKUP(Предпосылки!$H$216,$C$13:$C$15,J$13:J$15),1)</f>
        <v>0</v>
      </c>
      <c s="125">
        <f>Предпосылки!J$243*Предпосылки!$S266*Продажи!K31*K$19*(1+Чувствительность!$D$20)*IFERROR(LOOKUP(Предпосылки!$H$216,$C$13:$C$15,K$13:K$15),1)</f>
        <v>0</v>
      </c>
      <c s="125">
        <f>Предпосылки!K$243*Предпосылки!$S266*Продажи!L31*L$19*(1+Чувствительность!$D$20)*IFERROR(LOOKUP(Предпосылки!$H$216,$C$13:$C$15,L$13:L$15),1)</f>
        <v>0</v>
      </c>
      <c s="125">
        <f>Предпосылки!L$243*Предпосылки!$S266*Продажи!M31*M$19*(1+Чувствительность!$D$20)*IFERROR(LOOKUP(Предпосылки!$H$216,$C$13:$C$15,M$13:M$15),1)</f>
        <v>0</v>
      </c>
      <c s="125">
        <f>Предпосылки!M$243*Предпосылки!$S266*Продажи!N31*N$19*(1+Чувствительность!$D$20)*IFERROR(LOOKUP(Предпосылки!$H$216,$C$13:$C$15,N$13:N$15),1)</f>
        <v>0</v>
      </c>
      <c s="125">
        <f>Предпосылки!N$243*Предпосылки!$S266*Продажи!O31*O$19*(1+Чувствительность!$D$20)*IFERROR(LOOKUP(Предпосылки!$H$216,$C$13:$C$15,O$13:O$15),1)</f>
        <v>0</v>
      </c>
      <c s="125">
        <f>Предпосылки!O$243*Предпосылки!$S266*Продажи!P31*P$19*(1+Чувствительность!$D$20)*IFERROR(LOOKUP(Предпосылки!$H$216,$C$13:$C$15,P$13:P$15),1)</f>
        <v>0</v>
      </c>
      <c s="125">
        <f>Предпосылки!P$243*Предпосылки!$S266*Продажи!Q31*Q$19*(1+Чувствительность!$D$20)*IFERROR(LOOKUP(Предпосылки!$H$216,$C$13:$C$15,Q$13:Q$15),1)</f>
        <v>0</v>
      </c>
      <c s="125">
        <f>Предпосылки!Q$243*Предпосылки!$S266*Продажи!R31*R$19*(1+Чувствительность!$D$20)*IFERROR(LOOKUP(Предпосылки!$H$216,$C$13:$C$15,R$13:R$15),1)</f>
        <v>0</v>
      </c>
      <c s="125">
        <f>Предпосылки!R$243*Предпосылки!$S266*Продажи!S31*S$19*(1+Чувствительность!$D$20)*IFERROR(LOOKUP(Предпосылки!$H$216,$C$13:$C$15,S$13:S$15),1)</f>
        <v>0</v>
      </c>
      <c s="125">
        <f>Предпосылки!S$243*Предпосылки!$S266*Продажи!T31*T$19*(1+Чувствительность!$D$20)*IFERROR(LOOKUP(Предпосылки!$H$216,$C$13:$C$15,T$13:T$15),1)</f>
        <v>0</v>
      </c>
      <c s="125">
        <f>Предпосылки!T$243*Предпосылки!$S266*Продажи!U31*U$19*(1+Чувствительность!$D$20)*IFERROR(LOOKUP(Предпосылки!$H$216,$C$13:$C$15,U$13:U$15),1)</f>
        <v>0</v>
      </c>
      <c s="125">
        <f>Предпосылки!U$243*Предпосылки!$S266*Продажи!V31*V$19*(1+Чувствительность!$D$20)*IFERROR(LOOKUP(Предпосылки!$H$216,$C$13:$C$15,V$13:V$15),1)</f>
        <v>0</v>
      </c>
      <c s="125">
        <f>Предпосылки!V$243*Предпосылки!$S266*Продажи!W31*W$19*(1+Чувствительность!$D$20)*IFERROR(LOOKUP(Предпосылки!$H$216,$C$13:$C$15,W$13:W$15),1)</f>
        <v>0</v>
      </c>
      <c s="125">
        <f>Предпосылки!W$243*Предпосылки!$S266*Продажи!X31*X$19*(1+Чувствительность!$D$20)*IFERROR(LOOKUP(Предпосылки!$H$216,$C$13:$C$15,X$13:X$15),1)</f>
        <v>0</v>
      </c>
      <c s="125">
        <f>Предпосылки!X$243*Предпосылки!$S266*Продажи!Y31*Y$19*(1+Чувствительность!$D$20)*IFERROR(LOOKUP(Предпосылки!$H$216,$C$13:$C$15,Y$13:Y$15),1)</f>
        <v>0</v>
      </c>
      <c s="125">
        <f>Предпосылки!Y$243*Предпосылки!$S266*Продажи!Z31*Z$19*(1+Чувствительность!$D$20)*IFERROR(LOOKUP(Предпосылки!$H$216,$C$13:$C$15,Z$13:Z$15),1)</f>
        <v>0</v>
      </c>
      <c s="125">
        <f>Предпосылки!Z$243*Предпосылки!$S266*Продажи!AA31*AA$19*(1+Чувствительность!$D$20)*IFERROR(LOOKUP(Предпосылки!$H$216,$C$13:$C$15,AA$13:AA$15),1)</f>
        <v>0</v>
      </c>
      <c s="125">
        <f>Предпосылки!AA$243*Предпосылки!$S266*Продажи!AB31*AB$19*(1+Чувствительность!$D$20)*IFERROR(LOOKUP(Предпосылки!$H$216,$C$13:$C$15,AB$13:AB$15),1)</f>
        <v>0</v>
      </c>
      <c s="125">
        <f>Предпосылки!AB$243*Предпосылки!$S266*Продажи!AC31*AC$19*(1+Чувствительность!$D$20)*IFERROR(LOOKUP(Предпосылки!$H$216,$C$13:$C$15,AC$13:AC$15),1)</f>
        <v>0</v>
      </c>
      <c s="125">
        <f>Предпосылки!AC$243*Предпосылки!$S266*Продажи!AD31*AD$19*(1+Чувствительность!$D$20)*IFERROR(LOOKUP(Предпосылки!$H$216,$C$13:$C$15,AD$13:AD$15),1)</f>
        <v>0</v>
      </c>
      <c s="125">
        <f>Предпосылки!AD$243*Предпосылки!$S266*Продажи!AE31*AE$19*(1+Чувствительность!$D$20)*IFERROR(LOOKUP(Предпосылки!$H$216,$C$13:$C$15,AE$13:AE$15),1)</f>
        <v>0</v>
      </c>
      <c s="125">
        <f>Предпосылки!AE$243*Предпосылки!$S266*Продажи!AF31*AF$19*(1+Чувствительность!$D$20)*IFERROR(LOOKUP(Предпосылки!$H$216,$C$13:$C$15,AF$13:AF$15),1)</f>
        <v>0</v>
      </c>
      <c s="125">
        <f>Предпосылки!AF$243*Предпосылки!$S266*Продажи!AG31*AG$19*(1+Чувствительность!$D$20)*IFERROR(LOOKUP(Предпосылки!$H$216,$C$13:$C$15,AG$13:AG$15),1)</f>
        <v>0</v>
      </c>
      <c s="125">
        <f>Предпосылки!AG$243*Предпосылки!$S266*Продажи!AH31*AH$19*(1+Чувствительность!$D$20)*IFERROR(LOOKUP(Предпосылки!$H$216,$C$13:$C$15,AH$13:AH$15),1)</f>
        <v>0</v>
      </c>
      <c s="125">
        <f>Предпосылки!AH$243*Предпосылки!$S266*Продажи!AI31*AI$19*(1+Чувствительность!$D$20)*IFERROR(LOOKUP(Предпосылки!$H$216,$C$13:$C$15,AI$13:AI$15),1)</f>
        <v>0</v>
      </c>
      <c s="125">
        <f>Предпосылки!AI$243*Предпосылки!$S266*Продажи!AJ31*AJ$19*(1+Чувствительность!$D$20)*IFERROR(LOOKUP(Предпосылки!$H$216,$C$13:$C$15,AJ$13:AJ$15),1)</f>
        <v>0</v>
      </c>
      <c s="125">
        <f>Предпосылки!AJ$243*Предпосылки!$S266*Продажи!AK31*AK$19*(1+Чувствительность!$D$20)*IFERROR(LOOKUP(Предпосылки!$H$216,$C$13:$C$15,AK$13:AK$15),1)</f>
        <v>0</v>
      </c>
      <c s="125">
        <f>Предпосылки!AK$243*Предпосылки!$S266*Продажи!AL31*AL$19*(1+Чувствительность!$D$20)*IFERROR(LOOKUP(Предпосылки!$H$216,$C$13:$C$15,AL$13:AL$15),1)</f>
        <v>0</v>
      </c>
      <c s="125">
        <f>Предпосылки!AL$243*Предпосылки!$S266*Продажи!AM31*AM$19*(1+Чувствительность!$D$20)*IFERROR(LOOKUP(Предпосылки!$H$216,$C$13:$C$15,AM$13:AM$15),1)</f>
        <v>0</v>
      </c>
      <c s="125">
        <f>Предпосылки!AM$243*Предпосылки!$S266*Продажи!AN31*AN$19*(1+Чувствительность!$D$20)*IFERROR(LOOKUP(Предпосылки!$H$216,$C$13:$C$15,AN$13:AN$15),1)</f>
        <v>0</v>
      </c>
      <c s="125">
        <f>Предпосылки!AN$243*Предпосылки!$S266*Продажи!AO31*AO$19*(1+Чувствительность!$D$20)*IFERROR(LOOKUP(Предпосылки!$H$216,$C$13:$C$15,AO$13:AO$15),1)</f>
        <v>0</v>
      </c>
      <c s="125">
        <f>Предпосылки!AO$243*Предпосылки!$S266*Продажи!AP31*AP$19*(1+Чувствительность!$D$20)*IFERROR(LOOKUP(Предпосылки!$H$216,$C$13:$C$15,AP$13:AP$15),1)</f>
        <v>0</v>
      </c>
      <c s="125">
        <f>Предпосылки!AP$243*Предпосылки!$S266*Продажи!AQ31*AQ$19*(1+Чувствительность!$D$20)*IFERROR(LOOKUP(Предпосылки!$H$216,$C$13:$C$15,AQ$13:AQ$15),1)</f>
        <v>0</v>
      </c>
      <c s="125">
        <f>Предпосылки!AQ$243*Предпосылки!$S266*Продажи!AR31*AR$19*(1+Чувствительность!$D$20)*IFERROR(LOOKUP(Предпосылки!$H$216,$C$13:$C$15,AR$13:AR$15),1)</f>
        <v>0</v>
      </c>
      <c s="125">
        <f>Предпосылки!AR$243*Предпосылки!$S266*Продажи!AS31*AS$19*(1+Чувствительность!$D$20)*IFERROR(LOOKUP(Предпосылки!$H$216,$C$13:$C$15,AS$13:AS$15),1)</f>
        <v>0</v>
      </c>
      <c s="125">
        <f>Предпосылки!AS$243*Предпосылки!$S266*Продажи!AT31*AT$19*(1+Чувствительность!$D$20)*IFERROR(LOOKUP(Предпосылки!$H$216,$C$13:$C$15,AT$13:AT$15),1)</f>
        <v>0</v>
      </c>
      <c s="125">
        <f>Предпосылки!AT$243*Предпосылки!$S266*Продажи!AU31*AU$19*(1+Чувствительность!$D$20)*IFERROR(LOOKUP(Предпосылки!$H$216,$C$13:$C$15,AU$13:AU$15),1)</f>
        <v>0</v>
      </c>
      <c s="125">
        <f>Предпосылки!AU$243*Предпосылки!$S266*Продажи!AV31*AV$19*(1+Чувствительность!$D$20)*IFERROR(LOOKUP(Предпосылки!$H$216,$C$13:$C$15,AV$13:AV$15),1)</f>
        <v>0</v>
      </c>
      <c s="125">
        <f>Предпосылки!AV$243*Предпосылки!$S266*Продажи!AW31*AW$19*(1+Чувствительность!$D$20)*IFERROR(LOOKUP(Предпосылки!$H$216,$C$13:$C$15,AW$13:AW$15),1)</f>
        <v>0</v>
      </c>
      <c s="125">
        <f>Предпосылки!AW$243*Предпосылки!$S266*Продажи!AX31*AX$19*(1+Чувствительность!$D$20)*IFERROR(LOOKUP(Предпосылки!$H$216,$C$13:$C$15,AX$13:AX$15),1)</f>
        <v>0</v>
      </c>
      <c s="125">
        <f>Предпосылки!AX$243*Предпосылки!$S266*Продажи!AY31*AY$19*(1+Чувствительность!$D$20)*IFERROR(LOOKUP(Предпосылки!$H$216,$C$13:$C$15,AY$13:AY$15),1)</f>
        <v>0</v>
      </c>
      <c s="125">
        <f>Предпосылки!AY$243*Предпосылки!$S266*Продажи!AZ31*AZ$19*(1+Чувствительность!$D$20)*IFERROR(LOOKUP(Предпосылки!$H$216,$C$13:$C$15,AZ$13:AZ$15),1)</f>
        <v>0</v>
      </c>
      <c s="125">
        <f>Предпосылки!AZ$243*Предпосылки!$S266*Продажи!BA31*BA$19*(1+Чувствительность!$D$20)*IFERROR(LOOKUP(Предпосылки!$H$216,$C$13:$C$15,BA$13:BA$15),1)</f>
        <v>0</v>
      </c>
      <c s="125">
        <f>Предпосылки!BA$243*Предпосылки!$S266*Продажи!BB31*BB$19*(1+Чувствительность!$D$20)*IFERROR(LOOKUP(Предпосылки!$H$216,$C$13:$C$15,BB$13:BB$15),1)</f>
        <v>0</v>
      </c>
      <c s="125">
        <f>Предпосылки!BB$243*Предпосылки!$S266*Продажи!BC31*BC$19*(1+Чувствительность!$D$20)*IFERROR(LOOKUP(Предпосылки!$H$216,$C$13:$C$15,BC$13:BC$15),1)</f>
        <v>0</v>
      </c>
      <c s="125">
        <f>Предпосылки!BC$243*Предпосылки!$S266*Продажи!BD31*BD$19*(1+Чувствительность!$D$20)*IFERROR(LOOKUP(Предпосылки!$H$216,$C$13:$C$15,BD$13:BD$15),1)</f>
        <v>0</v>
      </c>
      <c s="125">
        <f>Предпосылки!BD$243*Предпосылки!$S266*Продажи!BE31*BE$19*(1+Чувствительность!$D$20)*IFERROR(LOOKUP(Предпосылки!$H$216,$C$13:$C$15,BE$13:BE$15),1)</f>
        <v>0</v>
      </c>
      <c s="125">
        <f>Предпосылки!BE$243*Предпосылки!$S266*Продажи!BF31*BF$19*(1+Чувствительность!$D$20)*IFERROR(LOOKUP(Предпосылки!$H$216,$C$13:$C$15,BF$13:BF$15),1)</f>
        <v>0</v>
      </c>
      <c s="125">
        <f>Предпосылки!BF$243*Предпосылки!$S266*Продажи!BG31*BG$19*(1+Чувствительность!$D$20)*IFERROR(LOOKUP(Предпосылки!$H$216,$C$13:$C$15,BG$13:BG$15),1)</f>
        <v>0</v>
      </c>
      <c s="125">
        <f>Предпосылки!BG$243*Предпосылки!$S266*Продажи!BH31*BH$19*(1+Чувствительность!$D$20)*IFERROR(LOOKUP(Предпосылки!$H$216,$C$13:$C$15,BH$13:BH$15),1)</f>
        <v>0</v>
      </c>
      <c s="125">
        <f>Предпосылки!BH$243*Предпосылки!$S266*Продажи!BI31*BI$19*(1+Чувствительность!$D$20)*IFERROR(LOOKUP(Предпосылки!$H$216,$C$13:$C$15,BI$13:BI$15),1)</f>
        <v>0</v>
      </c>
      <c s="125">
        <f>Предпосылки!BI$243*Предпосылки!$S266*Продажи!BJ31*BJ$19*(1+Чувствительность!$D$20)*IFERROR(LOOKUP(Предпосылки!$H$216,$C$13:$C$15,BJ$13:BJ$15),1)</f>
        <v>0</v>
      </c>
      <c s="125">
        <f>Предпосылки!BJ$243*Предпосылки!$S266*Продажи!BK31*BK$19*(1+Чувствительность!$D$20)*IFERROR(LOOKUP(Предпосылки!$H$216,$C$13:$C$15,BK$13:BK$15),1)</f>
        <v>0</v>
      </c>
      <c s="125">
        <f>Предпосылки!BK$243*Предпосылки!$S266*Продажи!BL31*BL$19*(1+Чувствительность!$D$20)*IFERROR(LOOKUP(Предпосылки!$H$216,$C$13:$C$15,BL$13:BL$15),1)</f>
        <v>0</v>
      </c>
      <c s="125">
        <f>Предпосылки!BL$243*Предпосылки!$S266*Продажи!BM31*BM$19*(1+Чувствительность!$D$20)*IFERROR(LOOKUP(Предпосылки!$H$216,$C$13:$C$15,BM$13:BM$15),1)</f>
        <v>0</v>
      </c>
    </row>
    <row r="382" spans="2:65" ht="15" customHeight="1">
      <c r="B382" s="12" t="str">
        <f t="shared" si="136"/>
        <v>Продукт 15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Предпосылки!D$243*Предпосылки!$S267*Продажи!E32*E$19*(1+Чувствительность!$D$20)*IFERROR(LOOKUP(Предпосылки!$H$216,$C$13:$C$15,E$13:E$15),1)</f>
        <v>0</v>
      </c>
      <c s="125">
        <f>Предпосылки!E$243*Предпосылки!$S267*Продажи!F32*F$19*(1+Чувствительность!$D$20)*IFERROR(LOOKUP(Предпосылки!$H$216,$C$13:$C$15,F$13:F$15),1)</f>
        <v>0</v>
      </c>
      <c s="125">
        <f>Предпосылки!F$243*Предпосылки!$S267*Продажи!G32*G$19*(1+Чувствительность!$D$20)*IFERROR(LOOKUP(Предпосылки!$H$216,$C$13:$C$15,G$13:G$15),1)</f>
        <v>0</v>
      </c>
      <c s="125">
        <f>Предпосылки!G$243*Предпосылки!$S267*Продажи!H32*H$19*(1+Чувствительность!$D$20)*IFERROR(LOOKUP(Предпосылки!$H$216,$C$13:$C$15,H$13:H$15),1)</f>
        <v>0</v>
      </c>
      <c s="125">
        <f>Предпосылки!H$243*Предпосылки!$S267*Продажи!I32*I$19*(1+Чувствительность!$D$20)*IFERROR(LOOKUP(Предпосылки!$H$216,$C$13:$C$15,I$13:I$15),1)</f>
        <v>0</v>
      </c>
      <c s="125">
        <f>Предпосылки!I$243*Предпосылки!$S267*Продажи!J32*J$19*(1+Чувствительность!$D$20)*IFERROR(LOOKUP(Предпосылки!$H$216,$C$13:$C$15,J$13:J$15),1)</f>
        <v>0</v>
      </c>
      <c s="125">
        <f>Предпосылки!J$243*Предпосылки!$S267*Продажи!K32*K$19*(1+Чувствительность!$D$20)*IFERROR(LOOKUP(Предпосылки!$H$216,$C$13:$C$15,K$13:K$15),1)</f>
        <v>0</v>
      </c>
      <c s="125">
        <f>Предпосылки!K$243*Предпосылки!$S267*Продажи!L32*L$19*(1+Чувствительность!$D$20)*IFERROR(LOOKUP(Предпосылки!$H$216,$C$13:$C$15,L$13:L$15),1)</f>
        <v>0</v>
      </c>
      <c s="125">
        <f>Предпосылки!L$243*Предпосылки!$S267*Продажи!M32*M$19*(1+Чувствительность!$D$20)*IFERROR(LOOKUP(Предпосылки!$H$216,$C$13:$C$15,M$13:M$15),1)</f>
        <v>0</v>
      </c>
      <c s="125">
        <f>Предпосылки!M$243*Предпосылки!$S267*Продажи!N32*N$19*(1+Чувствительность!$D$20)*IFERROR(LOOKUP(Предпосылки!$H$216,$C$13:$C$15,N$13:N$15),1)</f>
        <v>0</v>
      </c>
      <c s="125">
        <f>Предпосылки!N$243*Предпосылки!$S267*Продажи!O32*O$19*(1+Чувствительность!$D$20)*IFERROR(LOOKUP(Предпосылки!$H$216,$C$13:$C$15,O$13:O$15),1)</f>
        <v>0</v>
      </c>
      <c s="125">
        <f>Предпосылки!O$243*Предпосылки!$S267*Продажи!P32*P$19*(1+Чувствительность!$D$20)*IFERROR(LOOKUP(Предпосылки!$H$216,$C$13:$C$15,P$13:P$15),1)</f>
        <v>0</v>
      </c>
      <c s="125">
        <f>Предпосылки!P$243*Предпосылки!$S267*Продажи!Q32*Q$19*(1+Чувствительность!$D$20)*IFERROR(LOOKUP(Предпосылки!$H$216,$C$13:$C$15,Q$13:Q$15),1)</f>
        <v>0</v>
      </c>
      <c s="125">
        <f>Предпосылки!Q$243*Предпосылки!$S267*Продажи!R32*R$19*(1+Чувствительность!$D$20)*IFERROR(LOOKUP(Предпосылки!$H$216,$C$13:$C$15,R$13:R$15),1)</f>
        <v>0</v>
      </c>
      <c s="125">
        <f>Предпосылки!R$243*Предпосылки!$S267*Продажи!S32*S$19*(1+Чувствительность!$D$20)*IFERROR(LOOKUP(Предпосылки!$H$216,$C$13:$C$15,S$13:S$15),1)</f>
        <v>0</v>
      </c>
      <c s="125">
        <f>Предпосылки!S$243*Предпосылки!$S267*Продажи!T32*T$19*(1+Чувствительность!$D$20)*IFERROR(LOOKUP(Предпосылки!$H$216,$C$13:$C$15,T$13:T$15),1)</f>
        <v>0</v>
      </c>
      <c s="125">
        <f>Предпосылки!T$243*Предпосылки!$S267*Продажи!U32*U$19*(1+Чувствительность!$D$20)*IFERROR(LOOKUP(Предпосылки!$H$216,$C$13:$C$15,U$13:U$15),1)</f>
        <v>0</v>
      </c>
      <c s="125">
        <f>Предпосылки!U$243*Предпосылки!$S267*Продажи!V32*V$19*(1+Чувствительность!$D$20)*IFERROR(LOOKUP(Предпосылки!$H$216,$C$13:$C$15,V$13:V$15),1)</f>
        <v>0</v>
      </c>
      <c s="125">
        <f>Предпосылки!V$243*Предпосылки!$S267*Продажи!W32*W$19*(1+Чувствительность!$D$20)*IFERROR(LOOKUP(Предпосылки!$H$216,$C$13:$C$15,W$13:W$15),1)</f>
        <v>0</v>
      </c>
      <c s="125">
        <f>Предпосылки!W$243*Предпосылки!$S267*Продажи!X32*X$19*(1+Чувствительность!$D$20)*IFERROR(LOOKUP(Предпосылки!$H$216,$C$13:$C$15,X$13:X$15),1)</f>
        <v>0</v>
      </c>
      <c s="125">
        <f>Предпосылки!X$243*Предпосылки!$S267*Продажи!Y32*Y$19*(1+Чувствительность!$D$20)*IFERROR(LOOKUP(Предпосылки!$H$216,$C$13:$C$15,Y$13:Y$15),1)</f>
        <v>0</v>
      </c>
      <c s="125">
        <f>Предпосылки!Y$243*Предпосылки!$S267*Продажи!Z32*Z$19*(1+Чувствительность!$D$20)*IFERROR(LOOKUP(Предпосылки!$H$216,$C$13:$C$15,Z$13:Z$15),1)</f>
        <v>0</v>
      </c>
      <c s="125">
        <f>Предпосылки!Z$243*Предпосылки!$S267*Продажи!AA32*AA$19*(1+Чувствительность!$D$20)*IFERROR(LOOKUP(Предпосылки!$H$216,$C$13:$C$15,AA$13:AA$15),1)</f>
        <v>0</v>
      </c>
      <c s="125">
        <f>Предпосылки!AA$243*Предпосылки!$S267*Продажи!AB32*AB$19*(1+Чувствительность!$D$20)*IFERROR(LOOKUP(Предпосылки!$H$216,$C$13:$C$15,AB$13:AB$15),1)</f>
        <v>0</v>
      </c>
      <c s="125">
        <f>Предпосылки!AB$243*Предпосылки!$S267*Продажи!AC32*AC$19*(1+Чувствительность!$D$20)*IFERROR(LOOKUP(Предпосылки!$H$216,$C$13:$C$15,AC$13:AC$15),1)</f>
        <v>0</v>
      </c>
      <c s="125">
        <f>Предпосылки!AC$243*Предпосылки!$S267*Продажи!AD32*AD$19*(1+Чувствительность!$D$20)*IFERROR(LOOKUP(Предпосылки!$H$216,$C$13:$C$15,AD$13:AD$15),1)</f>
        <v>0</v>
      </c>
      <c s="125">
        <f>Предпосылки!AD$243*Предпосылки!$S267*Продажи!AE32*AE$19*(1+Чувствительность!$D$20)*IFERROR(LOOKUP(Предпосылки!$H$216,$C$13:$C$15,AE$13:AE$15),1)</f>
        <v>0</v>
      </c>
      <c s="125">
        <f>Предпосылки!AE$243*Предпосылки!$S267*Продажи!AF32*AF$19*(1+Чувствительность!$D$20)*IFERROR(LOOKUP(Предпосылки!$H$216,$C$13:$C$15,AF$13:AF$15),1)</f>
        <v>0</v>
      </c>
      <c s="125">
        <f>Предпосылки!AF$243*Предпосылки!$S267*Продажи!AG32*AG$19*(1+Чувствительность!$D$20)*IFERROR(LOOKUP(Предпосылки!$H$216,$C$13:$C$15,AG$13:AG$15),1)</f>
        <v>0</v>
      </c>
      <c s="125">
        <f>Предпосылки!AG$243*Предпосылки!$S267*Продажи!AH32*AH$19*(1+Чувствительность!$D$20)*IFERROR(LOOKUP(Предпосылки!$H$216,$C$13:$C$15,AH$13:AH$15),1)</f>
        <v>0</v>
      </c>
      <c s="125">
        <f>Предпосылки!AH$243*Предпосылки!$S267*Продажи!AI32*AI$19*(1+Чувствительность!$D$20)*IFERROR(LOOKUP(Предпосылки!$H$216,$C$13:$C$15,AI$13:AI$15),1)</f>
        <v>0</v>
      </c>
      <c s="125">
        <f>Предпосылки!AI$243*Предпосылки!$S267*Продажи!AJ32*AJ$19*(1+Чувствительность!$D$20)*IFERROR(LOOKUP(Предпосылки!$H$216,$C$13:$C$15,AJ$13:AJ$15),1)</f>
        <v>0</v>
      </c>
      <c s="125">
        <f>Предпосылки!AJ$243*Предпосылки!$S267*Продажи!AK32*AK$19*(1+Чувствительность!$D$20)*IFERROR(LOOKUP(Предпосылки!$H$216,$C$13:$C$15,AK$13:AK$15),1)</f>
        <v>0</v>
      </c>
      <c s="125">
        <f>Предпосылки!AK$243*Предпосылки!$S267*Продажи!AL32*AL$19*(1+Чувствительность!$D$20)*IFERROR(LOOKUP(Предпосылки!$H$216,$C$13:$C$15,AL$13:AL$15),1)</f>
        <v>0</v>
      </c>
      <c s="125">
        <f>Предпосылки!AL$243*Предпосылки!$S267*Продажи!AM32*AM$19*(1+Чувствительность!$D$20)*IFERROR(LOOKUP(Предпосылки!$H$216,$C$13:$C$15,AM$13:AM$15),1)</f>
        <v>0</v>
      </c>
      <c s="125">
        <f>Предпосылки!AM$243*Предпосылки!$S267*Продажи!AN32*AN$19*(1+Чувствительность!$D$20)*IFERROR(LOOKUP(Предпосылки!$H$216,$C$13:$C$15,AN$13:AN$15),1)</f>
        <v>0</v>
      </c>
      <c s="125">
        <f>Предпосылки!AN$243*Предпосылки!$S267*Продажи!AO32*AO$19*(1+Чувствительность!$D$20)*IFERROR(LOOKUP(Предпосылки!$H$216,$C$13:$C$15,AO$13:AO$15),1)</f>
        <v>0</v>
      </c>
      <c s="125">
        <f>Предпосылки!AO$243*Предпосылки!$S267*Продажи!AP32*AP$19*(1+Чувствительность!$D$20)*IFERROR(LOOKUP(Предпосылки!$H$216,$C$13:$C$15,AP$13:AP$15),1)</f>
        <v>0</v>
      </c>
      <c s="125">
        <f>Предпосылки!AP$243*Предпосылки!$S267*Продажи!AQ32*AQ$19*(1+Чувствительность!$D$20)*IFERROR(LOOKUP(Предпосылки!$H$216,$C$13:$C$15,AQ$13:AQ$15),1)</f>
        <v>0</v>
      </c>
      <c s="125">
        <f>Предпосылки!AQ$243*Предпосылки!$S267*Продажи!AR32*AR$19*(1+Чувствительность!$D$20)*IFERROR(LOOKUP(Предпосылки!$H$216,$C$13:$C$15,AR$13:AR$15),1)</f>
        <v>0</v>
      </c>
      <c s="125">
        <f>Предпосылки!AR$243*Предпосылки!$S267*Продажи!AS32*AS$19*(1+Чувствительность!$D$20)*IFERROR(LOOKUP(Предпосылки!$H$216,$C$13:$C$15,AS$13:AS$15),1)</f>
        <v>0</v>
      </c>
      <c s="125">
        <f>Предпосылки!AS$243*Предпосылки!$S267*Продажи!AT32*AT$19*(1+Чувствительность!$D$20)*IFERROR(LOOKUP(Предпосылки!$H$216,$C$13:$C$15,AT$13:AT$15),1)</f>
        <v>0</v>
      </c>
      <c s="125">
        <f>Предпосылки!AT$243*Предпосылки!$S267*Продажи!AU32*AU$19*(1+Чувствительность!$D$20)*IFERROR(LOOKUP(Предпосылки!$H$216,$C$13:$C$15,AU$13:AU$15),1)</f>
        <v>0</v>
      </c>
      <c s="125">
        <f>Предпосылки!AU$243*Предпосылки!$S267*Продажи!AV32*AV$19*(1+Чувствительность!$D$20)*IFERROR(LOOKUP(Предпосылки!$H$216,$C$13:$C$15,AV$13:AV$15),1)</f>
        <v>0</v>
      </c>
      <c s="125">
        <f>Предпосылки!AV$243*Предпосылки!$S267*Продажи!AW32*AW$19*(1+Чувствительность!$D$20)*IFERROR(LOOKUP(Предпосылки!$H$216,$C$13:$C$15,AW$13:AW$15),1)</f>
        <v>0</v>
      </c>
      <c s="125">
        <f>Предпосылки!AW$243*Предпосылки!$S267*Продажи!AX32*AX$19*(1+Чувствительность!$D$20)*IFERROR(LOOKUP(Предпосылки!$H$216,$C$13:$C$15,AX$13:AX$15),1)</f>
        <v>0</v>
      </c>
      <c s="125">
        <f>Предпосылки!AX$243*Предпосылки!$S267*Продажи!AY32*AY$19*(1+Чувствительность!$D$20)*IFERROR(LOOKUP(Предпосылки!$H$216,$C$13:$C$15,AY$13:AY$15),1)</f>
        <v>0</v>
      </c>
      <c s="125">
        <f>Предпосылки!AY$243*Предпосылки!$S267*Продажи!AZ32*AZ$19*(1+Чувствительность!$D$20)*IFERROR(LOOKUP(Предпосылки!$H$216,$C$13:$C$15,AZ$13:AZ$15),1)</f>
        <v>0</v>
      </c>
      <c s="125">
        <f>Предпосылки!AZ$243*Предпосылки!$S267*Продажи!BA32*BA$19*(1+Чувствительность!$D$20)*IFERROR(LOOKUP(Предпосылки!$H$216,$C$13:$C$15,BA$13:BA$15),1)</f>
        <v>0</v>
      </c>
      <c s="125">
        <f>Предпосылки!BA$243*Предпосылки!$S267*Продажи!BB32*BB$19*(1+Чувствительность!$D$20)*IFERROR(LOOKUP(Предпосылки!$H$216,$C$13:$C$15,BB$13:BB$15),1)</f>
        <v>0</v>
      </c>
      <c s="125">
        <f>Предпосылки!BB$243*Предпосылки!$S267*Продажи!BC32*BC$19*(1+Чувствительность!$D$20)*IFERROR(LOOKUP(Предпосылки!$H$216,$C$13:$C$15,BC$13:BC$15),1)</f>
        <v>0</v>
      </c>
      <c s="125">
        <f>Предпосылки!BC$243*Предпосылки!$S267*Продажи!BD32*BD$19*(1+Чувствительность!$D$20)*IFERROR(LOOKUP(Предпосылки!$H$216,$C$13:$C$15,BD$13:BD$15),1)</f>
        <v>0</v>
      </c>
      <c s="125">
        <f>Предпосылки!BD$243*Предпосылки!$S267*Продажи!BE32*BE$19*(1+Чувствительность!$D$20)*IFERROR(LOOKUP(Предпосылки!$H$216,$C$13:$C$15,BE$13:BE$15),1)</f>
        <v>0</v>
      </c>
      <c s="125">
        <f>Предпосылки!BE$243*Предпосылки!$S267*Продажи!BF32*BF$19*(1+Чувствительность!$D$20)*IFERROR(LOOKUP(Предпосылки!$H$216,$C$13:$C$15,BF$13:BF$15),1)</f>
        <v>0</v>
      </c>
      <c s="125">
        <f>Предпосылки!BF$243*Предпосылки!$S267*Продажи!BG32*BG$19*(1+Чувствительность!$D$20)*IFERROR(LOOKUP(Предпосылки!$H$216,$C$13:$C$15,BG$13:BG$15),1)</f>
        <v>0</v>
      </c>
      <c s="125">
        <f>Предпосылки!BG$243*Предпосылки!$S267*Продажи!BH32*BH$19*(1+Чувствительность!$D$20)*IFERROR(LOOKUP(Предпосылки!$H$216,$C$13:$C$15,BH$13:BH$15),1)</f>
        <v>0</v>
      </c>
      <c s="125">
        <f>Предпосылки!BH$243*Предпосылки!$S267*Продажи!BI32*BI$19*(1+Чувствительность!$D$20)*IFERROR(LOOKUP(Предпосылки!$H$216,$C$13:$C$15,BI$13:BI$15),1)</f>
        <v>0</v>
      </c>
      <c s="125">
        <f>Предпосылки!BI$243*Предпосылки!$S267*Продажи!BJ32*BJ$19*(1+Чувствительность!$D$20)*IFERROR(LOOKUP(Предпосылки!$H$216,$C$13:$C$15,BJ$13:BJ$15),1)</f>
        <v>0</v>
      </c>
      <c s="125">
        <f>Предпосылки!BJ$243*Предпосылки!$S267*Продажи!BK32*BK$19*(1+Чувствительность!$D$20)*IFERROR(LOOKUP(Предпосылки!$H$216,$C$13:$C$15,BK$13:BK$15),1)</f>
        <v>0</v>
      </c>
      <c s="125">
        <f>Предпосылки!BK$243*Предпосылки!$S267*Продажи!BL32*BL$19*(1+Чувствительность!$D$20)*IFERROR(LOOKUP(Предпосылки!$H$216,$C$13:$C$15,BL$13:BL$15),1)</f>
        <v>0</v>
      </c>
      <c s="125">
        <f>Предпосылки!BL$243*Предпосылки!$S267*Продажи!BM32*BM$19*(1+Чувствительность!$D$20)*IFERROR(LOOKUP(Предпосылки!$H$216,$C$13:$C$15,BM$13:BM$15),1)</f>
        <v>0</v>
      </c>
    </row>
    <row r="383" spans="2:65" ht="15" customHeight="1">
      <c r="B383" s="12" t="str">
        <f t="shared" si="136"/>
        <v>Продукт 16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Предпосылки!D$243*Предпосылки!$S268*Продажи!E33*E$19*(1+Чувствительность!$D$20)*IFERROR(LOOKUP(Предпосылки!$H$216,$C$13:$C$15,E$13:E$15),1)</f>
        <v>0</v>
      </c>
      <c s="125">
        <f>Предпосылки!E$243*Предпосылки!$S268*Продажи!F33*F$19*(1+Чувствительность!$D$20)*IFERROR(LOOKUP(Предпосылки!$H$216,$C$13:$C$15,F$13:F$15),1)</f>
        <v>0</v>
      </c>
      <c s="125">
        <f>Предпосылки!F$243*Предпосылки!$S268*Продажи!G33*G$19*(1+Чувствительность!$D$20)*IFERROR(LOOKUP(Предпосылки!$H$216,$C$13:$C$15,G$13:G$15),1)</f>
        <v>0</v>
      </c>
      <c s="125">
        <f>Предпосылки!G$243*Предпосылки!$S268*Продажи!H33*H$19*(1+Чувствительность!$D$20)*IFERROR(LOOKUP(Предпосылки!$H$216,$C$13:$C$15,H$13:H$15),1)</f>
        <v>0</v>
      </c>
      <c s="125">
        <f>Предпосылки!H$243*Предпосылки!$S268*Продажи!I33*I$19*(1+Чувствительность!$D$20)*IFERROR(LOOKUP(Предпосылки!$H$216,$C$13:$C$15,I$13:I$15),1)</f>
        <v>0</v>
      </c>
      <c s="125">
        <f>Предпосылки!I$243*Предпосылки!$S268*Продажи!J33*J$19*(1+Чувствительность!$D$20)*IFERROR(LOOKUP(Предпосылки!$H$216,$C$13:$C$15,J$13:J$15),1)</f>
        <v>0</v>
      </c>
      <c s="125">
        <f>Предпосылки!J$243*Предпосылки!$S268*Продажи!K33*K$19*(1+Чувствительность!$D$20)*IFERROR(LOOKUP(Предпосылки!$H$216,$C$13:$C$15,K$13:K$15),1)</f>
        <v>0</v>
      </c>
      <c s="125">
        <f>Предпосылки!K$243*Предпосылки!$S268*Продажи!L33*L$19*(1+Чувствительность!$D$20)*IFERROR(LOOKUP(Предпосылки!$H$216,$C$13:$C$15,L$13:L$15),1)</f>
        <v>0</v>
      </c>
      <c s="125">
        <f>Предпосылки!L$243*Предпосылки!$S268*Продажи!M33*M$19*(1+Чувствительность!$D$20)*IFERROR(LOOKUP(Предпосылки!$H$216,$C$13:$C$15,M$13:M$15),1)</f>
        <v>0</v>
      </c>
      <c s="125">
        <f>Предпосылки!M$243*Предпосылки!$S268*Продажи!N33*N$19*(1+Чувствительность!$D$20)*IFERROR(LOOKUP(Предпосылки!$H$216,$C$13:$C$15,N$13:N$15),1)</f>
        <v>0</v>
      </c>
      <c s="125">
        <f>Предпосылки!N$243*Предпосылки!$S268*Продажи!O33*O$19*(1+Чувствительность!$D$20)*IFERROR(LOOKUP(Предпосылки!$H$216,$C$13:$C$15,O$13:O$15),1)</f>
        <v>0</v>
      </c>
      <c s="125">
        <f>Предпосылки!O$243*Предпосылки!$S268*Продажи!P33*P$19*(1+Чувствительность!$D$20)*IFERROR(LOOKUP(Предпосылки!$H$216,$C$13:$C$15,P$13:P$15),1)</f>
        <v>0</v>
      </c>
      <c s="125">
        <f>Предпосылки!P$243*Предпосылки!$S268*Продажи!Q33*Q$19*(1+Чувствительность!$D$20)*IFERROR(LOOKUP(Предпосылки!$H$216,$C$13:$C$15,Q$13:Q$15),1)</f>
        <v>0</v>
      </c>
      <c s="125">
        <f>Предпосылки!Q$243*Предпосылки!$S268*Продажи!R33*R$19*(1+Чувствительность!$D$20)*IFERROR(LOOKUP(Предпосылки!$H$216,$C$13:$C$15,R$13:R$15),1)</f>
        <v>0</v>
      </c>
      <c s="125">
        <f>Предпосылки!R$243*Предпосылки!$S268*Продажи!S33*S$19*(1+Чувствительность!$D$20)*IFERROR(LOOKUP(Предпосылки!$H$216,$C$13:$C$15,S$13:S$15),1)</f>
        <v>0</v>
      </c>
      <c s="125">
        <f>Предпосылки!S$243*Предпосылки!$S268*Продажи!T33*T$19*(1+Чувствительность!$D$20)*IFERROR(LOOKUP(Предпосылки!$H$216,$C$13:$C$15,T$13:T$15),1)</f>
        <v>0</v>
      </c>
      <c s="125">
        <f>Предпосылки!T$243*Предпосылки!$S268*Продажи!U33*U$19*(1+Чувствительность!$D$20)*IFERROR(LOOKUP(Предпосылки!$H$216,$C$13:$C$15,U$13:U$15),1)</f>
        <v>0</v>
      </c>
      <c s="125">
        <f>Предпосылки!U$243*Предпосылки!$S268*Продажи!V33*V$19*(1+Чувствительность!$D$20)*IFERROR(LOOKUP(Предпосылки!$H$216,$C$13:$C$15,V$13:V$15),1)</f>
        <v>0</v>
      </c>
      <c s="125">
        <f>Предпосылки!V$243*Предпосылки!$S268*Продажи!W33*W$19*(1+Чувствительность!$D$20)*IFERROR(LOOKUP(Предпосылки!$H$216,$C$13:$C$15,W$13:W$15),1)</f>
        <v>0</v>
      </c>
      <c s="125">
        <f>Предпосылки!W$243*Предпосылки!$S268*Продажи!X33*X$19*(1+Чувствительность!$D$20)*IFERROR(LOOKUP(Предпосылки!$H$216,$C$13:$C$15,X$13:X$15),1)</f>
        <v>0</v>
      </c>
      <c s="125">
        <f>Предпосылки!X$243*Предпосылки!$S268*Продажи!Y33*Y$19*(1+Чувствительность!$D$20)*IFERROR(LOOKUP(Предпосылки!$H$216,$C$13:$C$15,Y$13:Y$15),1)</f>
        <v>0</v>
      </c>
      <c s="125">
        <f>Предпосылки!Y$243*Предпосылки!$S268*Продажи!Z33*Z$19*(1+Чувствительность!$D$20)*IFERROR(LOOKUP(Предпосылки!$H$216,$C$13:$C$15,Z$13:Z$15),1)</f>
        <v>0</v>
      </c>
      <c s="125">
        <f>Предпосылки!Z$243*Предпосылки!$S268*Продажи!AA33*AA$19*(1+Чувствительность!$D$20)*IFERROR(LOOKUP(Предпосылки!$H$216,$C$13:$C$15,AA$13:AA$15),1)</f>
        <v>0</v>
      </c>
      <c s="125">
        <f>Предпосылки!AA$243*Предпосылки!$S268*Продажи!AB33*AB$19*(1+Чувствительность!$D$20)*IFERROR(LOOKUP(Предпосылки!$H$216,$C$13:$C$15,AB$13:AB$15),1)</f>
        <v>0</v>
      </c>
      <c s="125">
        <f>Предпосылки!AB$243*Предпосылки!$S268*Продажи!AC33*AC$19*(1+Чувствительность!$D$20)*IFERROR(LOOKUP(Предпосылки!$H$216,$C$13:$C$15,AC$13:AC$15),1)</f>
        <v>0</v>
      </c>
      <c s="125">
        <f>Предпосылки!AC$243*Предпосылки!$S268*Продажи!AD33*AD$19*(1+Чувствительность!$D$20)*IFERROR(LOOKUP(Предпосылки!$H$216,$C$13:$C$15,AD$13:AD$15),1)</f>
        <v>0</v>
      </c>
      <c s="125">
        <f>Предпосылки!AD$243*Предпосылки!$S268*Продажи!AE33*AE$19*(1+Чувствительность!$D$20)*IFERROR(LOOKUP(Предпосылки!$H$216,$C$13:$C$15,AE$13:AE$15),1)</f>
        <v>0</v>
      </c>
      <c s="125">
        <f>Предпосылки!AE$243*Предпосылки!$S268*Продажи!AF33*AF$19*(1+Чувствительность!$D$20)*IFERROR(LOOKUP(Предпосылки!$H$216,$C$13:$C$15,AF$13:AF$15),1)</f>
        <v>0</v>
      </c>
      <c s="125">
        <f>Предпосылки!AF$243*Предпосылки!$S268*Продажи!AG33*AG$19*(1+Чувствительность!$D$20)*IFERROR(LOOKUP(Предпосылки!$H$216,$C$13:$C$15,AG$13:AG$15),1)</f>
        <v>0</v>
      </c>
      <c s="125">
        <f>Предпосылки!AG$243*Предпосылки!$S268*Продажи!AH33*AH$19*(1+Чувствительность!$D$20)*IFERROR(LOOKUP(Предпосылки!$H$216,$C$13:$C$15,AH$13:AH$15),1)</f>
        <v>0</v>
      </c>
      <c s="125">
        <f>Предпосылки!AH$243*Предпосылки!$S268*Продажи!AI33*AI$19*(1+Чувствительность!$D$20)*IFERROR(LOOKUP(Предпосылки!$H$216,$C$13:$C$15,AI$13:AI$15),1)</f>
        <v>0</v>
      </c>
      <c s="125">
        <f>Предпосылки!AI$243*Предпосылки!$S268*Продажи!AJ33*AJ$19*(1+Чувствительность!$D$20)*IFERROR(LOOKUP(Предпосылки!$H$216,$C$13:$C$15,AJ$13:AJ$15),1)</f>
        <v>0</v>
      </c>
      <c s="125">
        <f>Предпосылки!AJ$243*Предпосылки!$S268*Продажи!AK33*AK$19*(1+Чувствительность!$D$20)*IFERROR(LOOKUP(Предпосылки!$H$216,$C$13:$C$15,AK$13:AK$15),1)</f>
        <v>0</v>
      </c>
      <c s="125">
        <f>Предпосылки!AK$243*Предпосылки!$S268*Продажи!AL33*AL$19*(1+Чувствительность!$D$20)*IFERROR(LOOKUP(Предпосылки!$H$216,$C$13:$C$15,AL$13:AL$15),1)</f>
        <v>0</v>
      </c>
      <c s="125">
        <f>Предпосылки!AL$243*Предпосылки!$S268*Продажи!AM33*AM$19*(1+Чувствительность!$D$20)*IFERROR(LOOKUP(Предпосылки!$H$216,$C$13:$C$15,AM$13:AM$15),1)</f>
        <v>0</v>
      </c>
      <c s="125">
        <f>Предпосылки!AM$243*Предпосылки!$S268*Продажи!AN33*AN$19*(1+Чувствительность!$D$20)*IFERROR(LOOKUP(Предпосылки!$H$216,$C$13:$C$15,AN$13:AN$15),1)</f>
        <v>0</v>
      </c>
      <c s="125">
        <f>Предпосылки!AN$243*Предпосылки!$S268*Продажи!AO33*AO$19*(1+Чувствительность!$D$20)*IFERROR(LOOKUP(Предпосылки!$H$216,$C$13:$C$15,AO$13:AO$15),1)</f>
        <v>0</v>
      </c>
      <c s="125">
        <f>Предпосылки!AO$243*Предпосылки!$S268*Продажи!AP33*AP$19*(1+Чувствительность!$D$20)*IFERROR(LOOKUP(Предпосылки!$H$216,$C$13:$C$15,AP$13:AP$15),1)</f>
        <v>0</v>
      </c>
      <c s="125">
        <f>Предпосылки!AP$243*Предпосылки!$S268*Продажи!AQ33*AQ$19*(1+Чувствительность!$D$20)*IFERROR(LOOKUP(Предпосылки!$H$216,$C$13:$C$15,AQ$13:AQ$15),1)</f>
        <v>0</v>
      </c>
      <c s="125">
        <f>Предпосылки!AQ$243*Предпосылки!$S268*Продажи!AR33*AR$19*(1+Чувствительность!$D$20)*IFERROR(LOOKUP(Предпосылки!$H$216,$C$13:$C$15,AR$13:AR$15),1)</f>
        <v>0</v>
      </c>
      <c s="125">
        <f>Предпосылки!AR$243*Предпосылки!$S268*Продажи!AS33*AS$19*(1+Чувствительность!$D$20)*IFERROR(LOOKUP(Предпосылки!$H$216,$C$13:$C$15,AS$13:AS$15),1)</f>
        <v>0</v>
      </c>
      <c s="125">
        <f>Предпосылки!AS$243*Предпосылки!$S268*Продажи!AT33*AT$19*(1+Чувствительность!$D$20)*IFERROR(LOOKUP(Предпосылки!$H$216,$C$13:$C$15,AT$13:AT$15),1)</f>
        <v>0</v>
      </c>
      <c s="125">
        <f>Предпосылки!AT$243*Предпосылки!$S268*Продажи!AU33*AU$19*(1+Чувствительность!$D$20)*IFERROR(LOOKUP(Предпосылки!$H$216,$C$13:$C$15,AU$13:AU$15),1)</f>
        <v>0</v>
      </c>
      <c s="125">
        <f>Предпосылки!AU$243*Предпосылки!$S268*Продажи!AV33*AV$19*(1+Чувствительность!$D$20)*IFERROR(LOOKUP(Предпосылки!$H$216,$C$13:$C$15,AV$13:AV$15),1)</f>
        <v>0</v>
      </c>
      <c s="125">
        <f>Предпосылки!AV$243*Предпосылки!$S268*Продажи!AW33*AW$19*(1+Чувствительность!$D$20)*IFERROR(LOOKUP(Предпосылки!$H$216,$C$13:$C$15,AW$13:AW$15),1)</f>
        <v>0</v>
      </c>
      <c s="125">
        <f>Предпосылки!AW$243*Предпосылки!$S268*Продажи!AX33*AX$19*(1+Чувствительность!$D$20)*IFERROR(LOOKUP(Предпосылки!$H$216,$C$13:$C$15,AX$13:AX$15),1)</f>
        <v>0</v>
      </c>
      <c s="125">
        <f>Предпосылки!AX$243*Предпосылки!$S268*Продажи!AY33*AY$19*(1+Чувствительность!$D$20)*IFERROR(LOOKUP(Предпосылки!$H$216,$C$13:$C$15,AY$13:AY$15),1)</f>
        <v>0</v>
      </c>
      <c s="125">
        <f>Предпосылки!AY$243*Предпосылки!$S268*Продажи!AZ33*AZ$19*(1+Чувствительность!$D$20)*IFERROR(LOOKUP(Предпосылки!$H$216,$C$13:$C$15,AZ$13:AZ$15),1)</f>
        <v>0</v>
      </c>
      <c s="125">
        <f>Предпосылки!AZ$243*Предпосылки!$S268*Продажи!BA33*BA$19*(1+Чувствительность!$D$20)*IFERROR(LOOKUP(Предпосылки!$H$216,$C$13:$C$15,BA$13:BA$15),1)</f>
        <v>0</v>
      </c>
      <c s="125">
        <f>Предпосылки!BA$243*Предпосылки!$S268*Продажи!BB33*BB$19*(1+Чувствительность!$D$20)*IFERROR(LOOKUP(Предпосылки!$H$216,$C$13:$C$15,BB$13:BB$15),1)</f>
        <v>0</v>
      </c>
      <c s="125">
        <f>Предпосылки!BB$243*Предпосылки!$S268*Продажи!BC33*BC$19*(1+Чувствительность!$D$20)*IFERROR(LOOKUP(Предпосылки!$H$216,$C$13:$C$15,BC$13:BC$15),1)</f>
        <v>0</v>
      </c>
      <c s="125">
        <f>Предпосылки!BC$243*Предпосылки!$S268*Продажи!BD33*BD$19*(1+Чувствительность!$D$20)*IFERROR(LOOKUP(Предпосылки!$H$216,$C$13:$C$15,BD$13:BD$15),1)</f>
        <v>0</v>
      </c>
      <c s="125">
        <f>Предпосылки!BD$243*Предпосылки!$S268*Продажи!BE33*BE$19*(1+Чувствительность!$D$20)*IFERROR(LOOKUP(Предпосылки!$H$216,$C$13:$C$15,BE$13:BE$15),1)</f>
        <v>0</v>
      </c>
      <c s="125">
        <f>Предпосылки!BE$243*Предпосылки!$S268*Продажи!BF33*BF$19*(1+Чувствительность!$D$20)*IFERROR(LOOKUP(Предпосылки!$H$216,$C$13:$C$15,BF$13:BF$15),1)</f>
        <v>0</v>
      </c>
      <c s="125">
        <f>Предпосылки!BF$243*Предпосылки!$S268*Продажи!BG33*BG$19*(1+Чувствительность!$D$20)*IFERROR(LOOKUP(Предпосылки!$H$216,$C$13:$C$15,BG$13:BG$15),1)</f>
        <v>0</v>
      </c>
      <c s="125">
        <f>Предпосылки!BG$243*Предпосылки!$S268*Продажи!BH33*BH$19*(1+Чувствительность!$D$20)*IFERROR(LOOKUP(Предпосылки!$H$216,$C$13:$C$15,BH$13:BH$15),1)</f>
        <v>0</v>
      </c>
      <c s="125">
        <f>Предпосылки!BH$243*Предпосылки!$S268*Продажи!BI33*BI$19*(1+Чувствительность!$D$20)*IFERROR(LOOKUP(Предпосылки!$H$216,$C$13:$C$15,BI$13:BI$15),1)</f>
        <v>0</v>
      </c>
      <c s="125">
        <f>Предпосылки!BI$243*Предпосылки!$S268*Продажи!BJ33*BJ$19*(1+Чувствительность!$D$20)*IFERROR(LOOKUP(Предпосылки!$H$216,$C$13:$C$15,BJ$13:BJ$15),1)</f>
        <v>0</v>
      </c>
      <c s="125">
        <f>Предпосылки!BJ$243*Предпосылки!$S268*Продажи!BK33*BK$19*(1+Чувствительность!$D$20)*IFERROR(LOOKUP(Предпосылки!$H$216,$C$13:$C$15,BK$13:BK$15),1)</f>
        <v>0</v>
      </c>
      <c s="125">
        <f>Предпосылки!BK$243*Предпосылки!$S268*Продажи!BL33*BL$19*(1+Чувствительность!$D$20)*IFERROR(LOOKUP(Предпосылки!$H$216,$C$13:$C$15,BL$13:BL$15),1)</f>
        <v>0</v>
      </c>
      <c s="125">
        <f>Предпосылки!BL$243*Предпосылки!$S268*Продажи!BM33*BM$19*(1+Чувствительность!$D$20)*IFERROR(LOOKUP(Предпосылки!$H$216,$C$13:$C$15,BM$13:BM$15),1)</f>
        <v>0</v>
      </c>
    </row>
    <row r="384" spans="2:65" ht="15" customHeight="1">
      <c r="B384" s="12" t="str">
        <f t="shared" si="136"/>
        <v>Продукт 17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Предпосылки!D$243*Предпосылки!$S269*Продажи!E34*E$19*(1+Чувствительность!$D$20)*IFERROR(LOOKUP(Предпосылки!$H$216,$C$13:$C$15,E$13:E$15),1)</f>
        <v>0</v>
      </c>
      <c s="125">
        <f>Предпосылки!E$243*Предпосылки!$S269*Продажи!F34*F$19*(1+Чувствительность!$D$20)*IFERROR(LOOKUP(Предпосылки!$H$216,$C$13:$C$15,F$13:F$15),1)</f>
        <v>0</v>
      </c>
      <c s="125">
        <f>Предпосылки!F$243*Предпосылки!$S269*Продажи!G34*G$19*(1+Чувствительность!$D$20)*IFERROR(LOOKUP(Предпосылки!$H$216,$C$13:$C$15,G$13:G$15),1)</f>
        <v>0</v>
      </c>
      <c s="125">
        <f>Предпосылки!G$243*Предпосылки!$S269*Продажи!H34*H$19*(1+Чувствительность!$D$20)*IFERROR(LOOKUP(Предпосылки!$H$216,$C$13:$C$15,H$13:H$15),1)</f>
        <v>0</v>
      </c>
      <c s="125">
        <f>Предпосылки!H$243*Предпосылки!$S269*Продажи!I34*I$19*(1+Чувствительность!$D$20)*IFERROR(LOOKUP(Предпосылки!$H$216,$C$13:$C$15,I$13:I$15),1)</f>
        <v>0</v>
      </c>
      <c s="125">
        <f>Предпосылки!I$243*Предпосылки!$S269*Продажи!J34*J$19*(1+Чувствительность!$D$20)*IFERROR(LOOKUP(Предпосылки!$H$216,$C$13:$C$15,J$13:J$15),1)</f>
        <v>0</v>
      </c>
      <c s="125">
        <f>Предпосылки!J$243*Предпосылки!$S269*Продажи!K34*K$19*(1+Чувствительность!$D$20)*IFERROR(LOOKUP(Предпосылки!$H$216,$C$13:$C$15,K$13:K$15),1)</f>
        <v>0</v>
      </c>
      <c s="125">
        <f>Предпосылки!K$243*Предпосылки!$S269*Продажи!L34*L$19*(1+Чувствительность!$D$20)*IFERROR(LOOKUP(Предпосылки!$H$216,$C$13:$C$15,L$13:L$15),1)</f>
        <v>0</v>
      </c>
      <c s="125">
        <f>Предпосылки!L$243*Предпосылки!$S269*Продажи!M34*M$19*(1+Чувствительность!$D$20)*IFERROR(LOOKUP(Предпосылки!$H$216,$C$13:$C$15,M$13:M$15),1)</f>
        <v>0</v>
      </c>
      <c s="125">
        <f>Предпосылки!M$243*Предпосылки!$S269*Продажи!N34*N$19*(1+Чувствительность!$D$20)*IFERROR(LOOKUP(Предпосылки!$H$216,$C$13:$C$15,N$13:N$15),1)</f>
        <v>0</v>
      </c>
      <c s="125">
        <f>Предпосылки!N$243*Предпосылки!$S269*Продажи!O34*O$19*(1+Чувствительность!$D$20)*IFERROR(LOOKUP(Предпосылки!$H$216,$C$13:$C$15,O$13:O$15),1)</f>
        <v>0</v>
      </c>
      <c s="125">
        <f>Предпосылки!O$243*Предпосылки!$S269*Продажи!P34*P$19*(1+Чувствительность!$D$20)*IFERROR(LOOKUP(Предпосылки!$H$216,$C$13:$C$15,P$13:P$15),1)</f>
        <v>0</v>
      </c>
      <c s="125">
        <f>Предпосылки!P$243*Предпосылки!$S269*Продажи!Q34*Q$19*(1+Чувствительность!$D$20)*IFERROR(LOOKUP(Предпосылки!$H$216,$C$13:$C$15,Q$13:Q$15),1)</f>
        <v>0</v>
      </c>
      <c s="125">
        <f>Предпосылки!Q$243*Предпосылки!$S269*Продажи!R34*R$19*(1+Чувствительность!$D$20)*IFERROR(LOOKUP(Предпосылки!$H$216,$C$13:$C$15,R$13:R$15),1)</f>
        <v>0</v>
      </c>
      <c s="125">
        <f>Предпосылки!R$243*Предпосылки!$S269*Продажи!S34*S$19*(1+Чувствительность!$D$20)*IFERROR(LOOKUP(Предпосылки!$H$216,$C$13:$C$15,S$13:S$15),1)</f>
        <v>0</v>
      </c>
      <c s="125">
        <f>Предпосылки!S$243*Предпосылки!$S269*Продажи!T34*T$19*(1+Чувствительность!$D$20)*IFERROR(LOOKUP(Предпосылки!$H$216,$C$13:$C$15,T$13:T$15),1)</f>
        <v>0</v>
      </c>
      <c s="125">
        <f>Предпосылки!T$243*Предпосылки!$S269*Продажи!U34*U$19*(1+Чувствительность!$D$20)*IFERROR(LOOKUP(Предпосылки!$H$216,$C$13:$C$15,U$13:U$15),1)</f>
        <v>0</v>
      </c>
      <c s="125">
        <f>Предпосылки!U$243*Предпосылки!$S269*Продажи!V34*V$19*(1+Чувствительность!$D$20)*IFERROR(LOOKUP(Предпосылки!$H$216,$C$13:$C$15,V$13:V$15),1)</f>
        <v>0</v>
      </c>
      <c s="125">
        <f>Предпосылки!V$243*Предпосылки!$S269*Продажи!W34*W$19*(1+Чувствительность!$D$20)*IFERROR(LOOKUP(Предпосылки!$H$216,$C$13:$C$15,W$13:W$15),1)</f>
        <v>0</v>
      </c>
      <c s="125">
        <f>Предпосылки!W$243*Предпосылки!$S269*Продажи!X34*X$19*(1+Чувствительность!$D$20)*IFERROR(LOOKUP(Предпосылки!$H$216,$C$13:$C$15,X$13:X$15),1)</f>
        <v>0</v>
      </c>
      <c s="125">
        <f>Предпосылки!X$243*Предпосылки!$S269*Продажи!Y34*Y$19*(1+Чувствительность!$D$20)*IFERROR(LOOKUP(Предпосылки!$H$216,$C$13:$C$15,Y$13:Y$15),1)</f>
        <v>0</v>
      </c>
      <c s="125">
        <f>Предпосылки!Y$243*Предпосылки!$S269*Продажи!Z34*Z$19*(1+Чувствительность!$D$20)*IFERROR(LOOKUP(Предпосылки!$H$216,$C$13:$C$15,Z$13:Z$15),1)</f>
        <v>0</v>
      </c>
      <c s="125">
        <f>Предпосылки!Z$243*Предпосылки!$S269*Продажи!AA34*AA$19*(1+Чувствительность!$D$20)*IFERROR(LOOKUP(Предпосылки!$H$216,$C$13:$C$15,AA$13:AA$15),1)</f>
        <v>0</v>
      </c>
      <c s="125">
        <f>Предпосылки!AA$243*Предпосылки!$S269*Продажи!AB34*AB$19*(1+Чувствительность!$D$20)*IFERROR(LOOKUP(Предпосылки!$H$216,$C$13:$C$15,AB$13:AB$15),1)</f>
        <v>0</v>
      </c>
      <c s="125">
        <f>Предпосылки!AB$243*Предпосылки!$S269*Продажи!AC34*AC$19*(1+Чувствительность!$D$20)*IFERROR(LOOKUP(Предпосылки!$H$216,$C$13:$C$15,AC$13:AC$15),1)</f>
        <v>0</v>
      </c>
      <c s="125">
        <f>Предпосылки!AC$243*Предпосылки!$S269*Продажи!AD34*AD$19*(1+Чувствительность!$D$20)*IFERROR(LOOKUP(Предпосылки!$H$216,$C$13:$C$15,AD$13:AD$15),1)</f>
        <v>0</v>
      </c>
      <c s="125">
        <f>Предпосылки!AD$243*Предпосылки!$S269*Продажи!AE34*AE$19*(1+Чувствительность!$D$20)*IFERROR(LOOKUP(Предпосылки!$H$216,$C$13:$C$15,AE$13:AE$15),1)</f>
        <v>0</v>
      </c>
      <c s="125">
        <f>Предпосылки!AE$243*Предпосылки!$S269*Продажи!AF34*AF$19*(1+Чувствительность!$D$20)*IFERROR(LOOKUP(Предпосылки!$H$216,$C$13:$C$15,AF$13:AF$15),1)</f>
        <v>0</v>
      </c>
      <c s="125">
        <f>Предпосылки!AF$243*Предпосылки!$S269*Продажи!AG34*AG$19*(1+Чувствительность!$D$20)*IFERROR(LOOKUP(Предпосылки!$H$216,$C$13:$C$15,AG$13:AG$15),1)</f>
        <v>0</v>
      </c>
      <c s="125">
        <f>Предпосылки!AG$243*Предпосылки!$S269*Продажи!AH34*AH$19*(1+Чувствительность!$D$20)*IFERROR(LOOKUP(Предпосылки!$H$216,$C$13:$C$15,AH$13:AH$15),1)</f>
        <v>0</v>
      </c>
      <c s="125">
        <f>Предпосылки!AH$243*Предпосылки!$S269*Продажи!AI34*AI$19*(1+Чувствительность!$D$20)*IFERROR(LOOKUP(Предпосылки!$H$216,$C$13:$C$15,AI$13:AI$15),1)</f>
        <v>0</v>
      </c>
      <c s="125">
        <f>Предпосылки!AI$243*Предпосылки!$S269*Продажи!AJ34*AJ$19*(1+Чувствительность!$D$20)*IFERROR(LOOKUP(Предпосылки!$H$216,$C$13:$C$15,AJ$13:AJ$15),1)</f>
        <v>0</v>
      </c>
      <c s="125">
        <f>Предпосылки!AJ$243*Предпосылки!$S269*Продажи!AK34*AK$19*(1+Чувствительность!$D$20)*IFERROR(LOOKUP(Предпосылки!$H$216,$C$13:$C$15,AK$13:AK$15),1)</f>
        <v>0</v>
      </c>
      <c s="125">
        <f>Предпосылки!AK$243*Предпосылки!$S269*Продажи!AL34*AL$19*(1+Чувствительность!$D$20)*IFERROR(LOOKUP(Предпосылки!$H$216,$C$13:$C$15,AL$13:AL$15),1)</f>
        <v>0</v>
      </c>
      <c s="125">
        <f>Предпосылки!AL$243*Предпосылки!$S269*Продажи!AM34*AM$19*(1+Чувствительность!$D$20)*IFERROR(LOOKUP(Предпосылки!$H$216,$C$13:$C$15,AM$13:AM$15),1)</f>
        <v>0</v>
      </c>
      <c s="125">
        <f>Предпосылки!AM$243*Предпосылки!$S269*Продажи!AN34*AN$19*(1+Чувствительность!$D$20)*IFERROR(LOOKUP(Предпосылки!$H$216,$C$13:$C$15,AN$13:AN$15),1)</f>
        <v>0</v>
      </c>
      <c s="125">
        <f>Предпосылки!AN$243*Предпосылки!$S269*Продажи!AO34*AO$19*(1+Чувствительность!$D$20)*IFERROR(LOOKUP(Предпосылки!$H$216,$C$13:$C$15,AO$13:AO$15),1)</f>
        <v>0</v>
      </c>
      <c s="125">
        <f>Предпосылки!AO$243*Предпосылки!$S269*Продажи!AP34*AP$19*(1+Чувствительность!$D$20)*IFERROR(LOOKUP(Предпосылки!$H$216,$C$13:$C$15,AP$13:AP$15),1)</f>
        <v>0</v>
      </c>
      <c s="125">
        <f>Предпосылки!AP$243*Предпосылки!$S269*Продажи!AQ34*AQ$19*(1+Чувствительность!$D$20)*IFERROR(LOOKUP(Предпосылки!$H$216,$C$13:$C$15,AQ$13:AQ$15),1)</f>
        <v>0</v>
      </c>
      <c s="125">
        <f>Предпосылки!AQ$243*Предпосылки!$S269*Продажи!AR34*AR$19*(1+Чувствительность!$D$20)*IFERROR(LOOKUP(Предпосылки!$H$216,$C$13:$C$15,AR$13:AR$15),1)</f>
        <v>0</v>
      </c>
      <c s="125">
        <f>Предпосылки!AR$243*Предпосылки!$S269*Продажи!AS34*AS$19*(1+Чувствительность!$D$20)*IFERROR(LOOKUP(Предпосылки!$H$216,$C$13:$C$15,AS$13:AS$15),1)</f>
        <v>0</v>
      </c>
      <c s="125">
        <f>Предпосылки!AS$243*Предпосылки!$S269*Продажи!AT34*AT$19*(1+Чувствительность!$D$20)*IFERROR(LOOKUP(Предпосылки!$H$216,$C$13:$C$15,AT$13:AT$15),1)</f>
        <v>0</v>
      </c>
      <c s="125">
        <f>Предпосылки!AT$243*Предпосылки!$S269*Продажи!AU34*AU$19*(1+Чувствительность!$D$20)*IFERROR(LOOKUP(Предпосылки!$H$216,$C$13:$C$15,AU$13:AU$15),1)</f>
        <v>0</v>
      </c>
      <c s="125">
        <f>Предпосылки!AU$243*Предпосылки!$S269*Продажи!AV34*AV$19*(1+Чувствительность!$D$20)*IFERROR(LOOKUP(Предпосылки!$H$216,$C$13:$C$15,AV$13:AV$15),1)</f>
        <v>0</v>
      </c>
      <c s="125">
        <f>Предпосылки!AV$243*Предпосылки!$S269*Продажи!AW34*AW$19*(1+Чувствительность!$D$20)*IFERROR(LOOKUP(Предпосылки!$H$216,$C$13:$C$15,AW$13:AW$15),1)</f>
        <v>0</v>
      </c>
      <c s="125">
        <f>Предпосылки!AW$243*Предпосылки!$S269*Продажи!AX34*AX$19*(1+Чувствительность!$D$20)*IFERROR(LOOKUP(Предпосылки!$H$216,$C$13:$C$15,AX$13:AX$15),1)</f>
        <v>0</v>
      </c>
      <c s="125">
        <f>Предпосылки!AX$243*Предпосылки!$S269*Продажи!AY34*AY$19*(1+Чувствительность!$D$20)*IFERROR(LOOKUP(Предпосылки!$H$216,$C$13:$C$15,AY$13:AY$15),1)</f>
        <v>0</v>
      </c>
      <c s="125">
        <f>Предпосылки!AY$243*Предпосылки!$S269*Продажи!AZ34*AZ$19*(1+Чувствительность!$D$20)*IFERROR(LOOKUP(Предпосылки!$H$216,$C$13:$C$15,AZ$13:AZ$15),1)</f>
        <v>0</v>
      </c>
      <c s="125">
        <f>Предпосылки!AZ$243*Предпосылки!$S269*Продажи!BA34*BA$19*(1+Чувствительность!$D$20)*IFERROR(LOOKUP(Предпосылки!$H$216,$C$13:$C$15,BA$13:BA$15),1)</f>
        <v>0</v>
      </c>
      <c s="125">
        <f>Предпосылки!BA$243*Предпосылки!$S269*Продажи!BB34*BB$19*(1+Чувствительность!$D$20)*IFERROR(LOOKUP(Предпосылки!$H$216,$C$13:$C$15,BB$13:BB$15),1)</f>
        <v>0</v>
      </c>
      <c s="125">
        <f>Предпосылки!BB$243*Предпосылки!$S269*Продажи!BC34*BC$19*(1+Чувствительность!$D$20)*IFERROR(LOOKUP(Предпосылки!$H$216,$C$13:$C$15,BC$13:BC$15),1)</f>
        <v>0</v>
      </c>
      <c s="125">
        <f>Предпосылки!BC$243*Предпосылки!$S269*Продажи!BD34*BD$19*(1+Чувствительность!$D$20)*IFERROR(LOOKUP(Предпосылки!$H$216,$C$13:$C$15,BD$13:BD$15),1)</f>
        <v>0</v>
      </c>
      <c s="125">
        <f>Предпосылки!BD$243*Предпосылки!$S269*Продажи!BE34*BE$19*(1+Чувствительность!$D$20)*IFERROR(LOOKUP(Предпосылки!$H$216,$C$13:$C$15,BE$13:BE$15),1)</f>
        <v>0</v>
      </c>
      <c s="125">
        <f>Предпосылки!BE$243*Предпосылки!$S269*Продажи!BF34*BF$19*(1+Чувствительность!$D$20)*IFERROR(LOOKUP(Предпосылки!$H$216,$C$13:$C$15,BF$13:BF$15),1)</f>
        <v>0</v>
      </c>
      <c s="125">
        <f>Предпосылки!BF$243*Предпосылки!$S269*Продажи!BG34*BG$19*(1+Чувствительность!$D$20)*IFERROR(LOOKUP(Предпосылки!$H$216,$C$13:$C$15,BG$13:BG$15),1)</f>
        <v>0</v>
      </c>
      <c s="125">
        <f>Предпосылки!BG$243*Предпосылки!$S269*Продажи!BH34*BH$19*(1+Чувствительность!$D$20)*IFERROR(LOOKUP(Предпосылки!$H$216,$C$13:$C$15,BH$13:BH$15),1)</f>
        <v>0</v>
      </c>
      <c s="125">
        <f>Предпосылки!BH$243*Предпосылки!$S269*Продажи!BI34*BI$19*(1+Чувствительность!$D$20)*IFERROR(LOOKUP(Предпосылки!$H$216,$C$13:$C$15,BI$13:BI$15),1)</f>
        <v>0</v>
      </c>
      <c s="125">
        <f>Предпосылки!BI$243*Предпосылки!$S269*Продажи!BJ34*BJ$19*(1+Чувствительность!$D$20)*IFERROR(LOOKUP(Предпосылки!$H$216,$C$13:$C$15,BJ$13:BJ$15),1)</f>
        <v>0</v>
      </c>
      <c s="125">
        <f>Предпосылки!BJ$243*Предпосылки!$S269*Продажи!BK34*BK$19*(1+Чувствительность!$D$20)*IFERROR(LOOKUP(Предпосылки!$H$216,$C$13:$C$15,BK$13:BK$15),1)</f>
        <v>0</v>
      </c>
      <c s="125">
        <f>Предпосылки!BK$243*Предпосылки!$S269*Продажи!BL34*BL$19*(1+Чувствительность!$D$20)*IFERROR(LOOKUP(Предпосылки!$H$216,$C$13:$C$15,BL$13:BL$15),1)</f>
        <v>0</v>
      </c>
      <c s="125">
        <f>Предпосылки!BL$243*Предпосылки!$S269*Продажи!BM34*BM$19*(1+Чувствительность!$D$20)*IFERROR(LOOKUP(Предпосылки!$H$216,$C$13:$C$15,BM$13:BM$15),1)</f>
        <v>0</v>
      </c>
    </row>
    <row r="385" spans="2:65" ht="15" customHeight="1">
      <c r="B385" s="12" t="str">
        <f t="shared" si="136"/>
        <v>Продукт 18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Предпосылки!D$243*Предпосылки!$S270*Продажи!E35*E$19*(1+Чувствительность!$D$20)*IFERROR(LOOKUP(Предпосылки!$H$216,$C$13:$C$15,E$13:E$15),1)</f>
        <v>0</v>
      </c>
      <c s="125">
        <f>Предпосылки!E$243*Предпосылки!$S270*Продажи!F35*F$19*(1+Чувствительность!$D$20)*IFERROR(LOOKUP(Предпосылки!$H$216,$C$13:$C$15,F$13:F$15),1)</f>
        <v>0</v>
      </c>
      <c s="125">
        <f>Предпосылки!F$243*Предпосылки!$S270*Продажи!G35*G$19*(1+Чувствительность!$D$20)*IFERROR(LOOKUP(Предпосылки!$H$216,$C$13:$C$15,G$13:G$15),1)</f>
        <v>0</v>
      </c>
      <c s="125">
        <f>Предпосылки!G$243*Предпосылки!$S270*Продажи!H35*H$19*(1+Чувствительность!$D$20)*IFERROR(LOOKUP(Предпосылки!$H$216,$C$13:$C$15,H$13:H$15),1)</f>
        <v>0</v>
      </c>
      <c s="125">
        <f>Предпосылки!H$243*Предпосылки!$S270*Продажи!I35*I$19*(1+Чувствительность!$D$20)*IFERROR(LOOKUP(Предпосылки!$H$216,$C$13:$C$15,I$13:I$15),1)</f>
        <v>0</v>
      </c>
      <c s="125">
        <f>Предпосылки!I$243*Предпосылки!$S270*Продажи!J35*J$19*(1+Чувствительность!$D$20)*IFERROR(LOOKUP(Предпосылки!$H$216,$C$13:$C$15,J$13:J$15),1)</f>
        <v>0</v>
      </c>
      <c s="125">
        <f>Предпосылки!J$243*Предпосылки!$S270*Продажи!K35*K$19*(1+Чувствительность!$D$20)*IFERROR(LOOKUP(Предпосылки!$H$216,$C$13:$C$15,K$13:K$15),1)</f>
        <v>0</v>
      </c>
      <c s="125">
        <f>Предпосылки!K$243*Предпосылки!$S270*Продажи!L35*L$19*(1+Чувствительность!$D$20)*IFERROR(LOOKUP(Предпосылки!$H$216,$C$13:$C$15,L$13:L$15),1)</f>
        <v>0</v>
      </c>
      <c s="125">
        <f>Предпосылки!L$243*Предпосылки!$S270*Продажи!M35*M$19*(1+Чувствительность!$D$20)*IFERROR(LOOKUP(Предпосылки!$H$216,$C$13:$C$15,M$13:M$15),1)</f>
        <v>0</v>
      </c>
      <c s="125">
        <f>Предпосылки!M$243*Предпосылки!$S270*Продажи!N35*N$19*(1+Чувствительность!$D$20)*IFERROR(LOOKUP(Предпосылки!$H$216,$C$13:$C$15,N$13:N$15),1)</f>
        <v>0</v>
      </c>
      <c s="125">
        <f>Предпосылки!N$243*Предпосылки!$S270*Продажи!O35*O$19*(1+Чувствительность!$D$20)*IFERROR(LOOKUP(Предпосылки!$H$216,$C$13:$C$15,O$13:O$15),1)</f>
        <v>0</v>
      </c>
      <c s="125">
        <f>Предпосылки!O$243*Предпосылки!$S270*Продажи!P35*P$19*(1+Чувствительность!$D$20)*IFERROR(LOOKUP(Предпосылки!$H$216,$C$13:$C$15,P$13:P$15),1)</f>
        <v>0</v>
      </c>
      <c s="125">
        <f>Предпосылки!P$243*Предпосылки!$S270*Продажи!Q35*Q$19*(1+Чувствительность!$D$20)*IFERROR(LOOKUP(Предпосылки!$H$216,$C$13:$C$15,Q$13:Q$15),1)</f>
        <v>0</v>
      </c>
      <c s="125">
        <f>Предпосылки!Q$243*Предпосылки!$S270*Продажи!R35*R$19*(1+Чувствительность!$D$20)*IFERROR(LOOKUP(Предпосылки!$H$216,$C$13:$C$15,R$13:R$15),1)</f>
        <v>0</v>
      </c>
      <c s="125">
        <f>Предпосылки!R$243*Предпосылки!$S270*Продажи!S35*S$19*(1+Чувствительность!$D$20)*IFERROR(LOOKUP(Предпосылки!$H$216,$C$13:$C$15,S$13:S$15),1)</f>
        <v>0</v>
      </c>
      <c s="125">
        <f>Предпосылки!S$243*Предпосылки!$S270*Продажи!T35*T$19*(1+Чувствительность!$D$20)*IFERROR(LOOKUP(Предпосылки!$H$216,$C$13:$C$15,T$13:T$15),1)</f>
        <v>0</v>
      </c>
      <c s="125">
        <f>Предпосылки!T$243*Предпосылки!$S270*Продажи!U35*U$19*(1+Чувствительность!$D$20)*IFERROR(LOOKUP(Предпосылки!$H$216,$C$13:$C$15,U$13:U$15),1)</f>
        <v>0</v>
      </c>
      <c s="125">
        <f>Предпосылки!U$243*Предпосылки!$S270*Продажи!V35*V$19*(1+Чувствительность!$D$20)*IFERROR(LOOKUP(Предпосылки!$H$216,$C$13:$C$15,V$13:V$15),1)</f>
        <v>0</v>
      </c>
      <c s="125">
        <f>Предпосылки!V$243*Предпосылки!$S270*Продажи!W35*W$19*(1+Чувствительность!$D$20)*IFERROR(LOOKUP(Предпосылки!$H$216,$C$13:$C$15,W$13:W$15),1)</f>
        <v>0</v>
      </c>
      <c s="125">
        <f>Предпосылки!W$243*Предпосылки!$S270*Продажи!X35*X$19*(1+Чувствительность!$D$20)*IFERROR(LOOKUP(Предпосылки!$H$216,$C$13:$C$15,X$13:X$15),1)</f>
        <v>0</v>
      </c>
      <c s="125">
        <f>Предпосылки!X$243*Предпосылки!$S270*Продажи!Y35*Y$19*(1+Чувствительность!$D$20)*IFERROR(LOOKUP(Предпосылки!$H$216,$C$13:$C$15,Y$13:Y$15),1)</f>
        <v>0</v>
      </c>
      <c s="125">
        <f>Предпосылки!Y$243*Предпосылки!$S270*Продажи!Z35*Z$19*(1+Чувствительность!$D$20)*IFERROR(LOOKUP(Предпосылки!$H$216,$C$13:$C$15,Z$13:Z$15),1)</f>
        <v>0</v>
      </c>
      <c s="125">
        <f>Предпосылки!Z$243*Предпосылки!$S270*Продажи!AA35*AA$19*(1+Чувствительность!$D$20)*IFERROR(LOOKUP(Предпосылки!$H$216,$C$13:$C$15,AA$13:AA$15),1)</f>
        <v>0</v>
      </c>
      <c s="125">
        <f>Предпосылки!AA$243*Предпосылки!$S270*Продажи!AB35*AB$19*(1+Чувствительность!$D$20)*IFERROR(LOOKUP(Предпосылки!$H$216,$C$13:$C$15,AB$13:AB$15),1)</f>
        <v>0</v>
      </c>
      <c s="125">
        <f>Предпосылки!AB$243*Предпосылки!$S270*Продажи!AC35*AC$19*(1+Чувствительность!$D$20)*IFERROR(LOOKUP(Предпосылки!$H$216,$C$13:$C$15,AC$13:AC$15),1)</f>
        <v>0</v>
      </c>
      <c s="125">
        <f>Предпосылки!AC$243*Предпосылки!$S270*Продажи!AD35*AD$19*(1+Чувствительность!$D$20)*IFERROR(LOOKUP(Предпосылки!$H$216,$C$13:$C$15,AD$13:AD$15),1)</f>
        <v>0</v>
      </c>
      <c s="125">
        <f>Предпосылки!AD$243*Предпосылки!$S270*Продажи!AE35*AE$19*(1+Чувствительность!$D$20)*IFERROR(LOOKUP(Предпосылки!$H$216,$C$13:$C$15,AE$13:AE$15),1)</f>
        <v>0</v>
      </c>
      <c s="125">
        <f>Предпосылки!AE$243*Предпосылки!$S270*Продажи!AF35*AF$19*(1+Чувствительность!$D$20)*IFERROR(LOOKUP(Предпосылки!$H$216,$C$13:$C$15,AF$13:AF$15),1)</f>
        <v>0</v>
      </c>
      <c s="125">
        <f>Предпосылки!AF$243*Предпосылки!$S270*Продажи!AG35*AG$19*(1+Чувствительность!$D$20)*IFERROR(LOOKUP(Предпосылки!$H$216,$C$13:$C$15,AG$13:AG$15),1)</f>
        <v>0</v>
      </c>
      <c s="125">
        <f>Предпосылки!AG$243*Предпосылки!$S270*Продажи!AH35*AH$19*(1+Чувствительность!$D$20)*IFERROR(LOOKUP(Предпосылки!$H$216,$C$13:$C$15,AH$13:AH$15),1)</f>
        <v>0</v>
      </c>
      <c s="125">
        <f>Предпосылки!AH$243*Предпосылки!$S270*Продажи!AI35*AI$19*(1+Чувствительность!$D$20)*IFERROR(LOOKUP(Предпосылки!$H$216,$C$13:$C$15,AI$13:AI$15),1)</f>
        <v>0</v>
      </c>
      <c s="125">
        <f>Предпосылки!AI$243*Предпосылки!$S270*Продажи!AJ35*AJ$19*(1+Чувствительность!$D$20)*IFERROR(LOOKUP(Предпосылки!$H$216,$C$13:$C$15,AJ$13:AJ$15),1)</f>
        <v>0</v>
      </c>
      <c s="125">
        <f>Предпосылки!AJ$243*Предпосылки!$S270*Продажи!AK35*AK$19*(1+Чувствительность!$D$20)*IFERROR(LOOKUP(Предпосылки!$H$216,$C$13:$C$15,AK$13:AK$15),1)</f>
        <v>0</v>
      </c>
      <c s="125">
        <f>Предпосылки!AK$243*Предпосылки!$S270*Продажи!AL35*AL$19*(1+Чувствительность!$D$20)*IFERROR(LOOKUP(Предпосылки!$H$216,$C$13:$C$15,AL$13:AL$15),1)</f>
        <v>0</v>
      </c>
      <c s="125">
        <f>Предпосылки!AL$243*Предпосылки!$S270*Продажи!AM35*AM$19*(1+Чувствительность!$D$20)*IFERROR(LOOKUP(Предпосылки!$H$216,$C$13:$C$15,AM$13:AM$15),1)</f>
        <v>0</v>
      </c>
      <c s="125">
        <f>Предпосылки!AM$243*Предпосылки!$S270*Продажи!AN35*AN$19*(1+Чувствительность!$D$20)*IFERROR(LOOKUP(Предпосылки!$H$216,$C$13:$C$15,AN$13:AN$15),1)</f>
        <v>0</v>
      </c>
      <c s="125">
        <f>Предпосылки!AN$243*Предпосылки!$S270*Продажи!AO35*AO$19*(1+Чувствительность!$D$20)*IFERROR(LOOKUP(Предпосылки!$H$216,$C$13:$C$15,AO$13:AO$15),1)</f>
        <v>0</v>
      </c>
      <c s="125">
        <f>Предпосылки!AO$243*Предпосылки!$S270*Продажи!AP35*AP$19*(1+Чувствительность!$D$20)*IFERROR(LOOKUP(Предпосылки!$H$216,$C$13:$C$15,AP$13:AP$15),1)</f>
        <v>0</v>
      </c>
      <c s="125">
        <f>Предпосылки!AP$243*Предпосылки!$S270*Продажи!AQ35*AQ$19*(1+Чувствительность!$D$20)*IFERROR(LOOKUP(Предпосылки!$H$216,$C$13:$C$15,AQ$13:AQ$15),1)</f>
        <v>0</v>
      </c>
      <c s="125">
        <f>Предпосылки!AQ$243*Предпосылки!$S270*Продажи!AR35*AR$19*(1+Чувствительность!$D$20)*IFERROR(LOOKUP(Предпосылки!$H$216,$C$13:$C$15,AR$13:AR$15),1)</f>
        <v>0</v>
      </c>
      <c s="125">
        <f>Предпосылки!AR$243*Предпосылки!$S270*Продажи!AS35*AS$19*(1+Чувствительность!$D$20)*IFERROR(LOOKUP(Предпосылки!$H$216,$C$13:$C$15,AS$13:AS$15),1)</f>
        <v>0</v>
      </c>
      <c s="125">
        <f>Предпосылки!AS$243*Предпосылки!$S270*Продажи!AT35*AT$19*(1+Чувствительность!$D$20)*IFERROR(LOOKUP(Предпосылки!$H$216,$C$13:$C$15,AT$13:AT$15),1)</f>
        <v>0</v>
      </c>
      <c s="125">
        <f>Предпосылки!AT$243*Предпосылки!$S270*Продажи!AU35*AU$19*(1+Чувствительность!$D$20)*IFERROR(LOOKUP(Предпосылки!$H$216,$C$13:$C$15,AU$13:AU$15),1)</f>
        <v>0</v>
      </c>
      <c s="125">
        <f>Предпосылки!AU$243*Предпосылки!$S270*Продажи!AV35*AV$19*(1+Чувствительность!$D$20)*IFERROR(LOOKUP(Предпосылки!$H$216,$C$13:$C$15,AV$13:AV$15),1)</f>
        <v>0</v>
      </c>
      <c s="125">
        <f>Предпосылки!AV$243*Предпосылки!$S270*Продажи!AW35*AW$19*(1+Чувствительность!$D$20)*IFERROR(LOOKUP(Предпосылки!$H$216,$C$13:$C$15,AW$13:AW$15),1)</f>
        <v>0</v>
      </c>
      <c s="125">
        <f>Предпосылки!AW$243*Предпосылки!$S270*Продажи!AX35*AX$19*(1+Чувствительность!$D$20)*IFERROR(LOOKUP(Предпосылки!$H$216,$C$13:$C$15,AX$13:AX$15),1)</f>
        <v>0</v>
      </c>
      <c s="125">
        <f>Предпосылки!AX$243*Предпосылки!$S270*Продажи!AY35*AY$19*(1+Чувствительность!$D$20)*IFERROR(LOOKUP(Предпосылки!$H$216,$C$13:$C$15,AY$13:AY$15),1)</f>
        <v>0</v>
      </c>
      <c s="125">
        <f>Предпосылки!AY$243*Предпосылки!$S270*Продажи!AZ35*AZ$19*(1+Чувствительность!$D$20)*IFERROR(LOOKUP(Предпосылки!$H$216,$C$13:$C$15,AZ$13:AZ$15),1)</f>
        <v>0</v>
      </c>
      <c s="125">
        <f>Предпосылки!AZ$243*Предпосылки!$S270*Продажи!BA35*BA$19*(1+Чувствительность!$D$20)*IFERROR(LOOKUP(Предпосылки!$H$216,$C$13:$C$15,BA$13:BA$15),1)</f>
        <v>0</v>
      </c>
      <c s="125">
        <f>Предпосылки!BA$243*Предпосылки!$S270*Продажи!BB35*BB$19*(1+Чувствительность!$D$20)*IFERROR(LOOKUP(Предпосылки!$H$216,$C$13:$C$15,BB$13:BB$15),1)</f>
        <v>0</v>
      </c>
      <c s="125">
        <f>Предпосылки!BB$243*Предпосылки!$S270*Продажи!BC35*BC$19*(1+Чувствительность!$D$20)*IFERROR(LOOKUP(Предпосылки!$H$216,$C$13:$C$15,BC$13:BC$15),1)</f>
        <v>0</v>
      </c>
      <c s="125">
        <f>Предпосылки!BC$243*Предпосылки!$S270*Продажи!BD35*BD$19*(1+Чувствительность!$D$20)*IFERROR(LOOKUP(Предпосылки!$H$216,$C$13:$C$15,BD$13:BD$15),1)</f>
        <v>0</v>
      </c>
      <c s="125">
        <f>Предпосылки!BD$243*Предпосылки!$S270*Продажи!BE35*BE$19*(1+Чувствительность!$D$20)*IFERROR(LOOKUP(Предпосылки!$H$216,$C$13:$C$15,BE$13:BE$15),1)</f>
        <v>0</v>
      </c>
      <c s="125">
        <f>Предпосылки!BE$243*Предпосылки!$S270*Продажи!BF35*BF$19*(1+Чувствительность!$D$20)*IFERROR(LOOKUP(Предпосылки!$H$216,$C$13:$C$15,BF$13:BF$15),1)</f>
        <v>0</v>
      </c>
      <c s="125">
        <f>Предпосылки!BF$243*Предпосылки!$S270*Продажи!BG35*BG$19*(1+Чувствительность!$D$20)*IFERROR(LOOKUP(Предпосылки!$H$216,$C$13:$C$15,BG$13:BG$15),1)</f>
        <v>0</v>
      </c>
      <c s="125">
        <f>Предпосылки!BG$243*Предпосылки!$S270*Продажи!BH35*BH$19*(1+Чувствительность!$D$20)*IFERROR(LOOKUP(Предпосылки!$H$216,$C$13:$C$15,BH$13:BH$15),1)</f>
        <v>0</v>
      </c>
      <c s="125">
        <f>Предпосылки!BH$243*Предпосылки!$S270*Продажи!BI35*BI$19*(1+Чувствительность!$D$20)*IFERROR(LOOKUP(Предпосылки!$H$216,$C$13:$C$15,BI$13:BI$15),1)</f>
        <v>0</v>
      </c>
      <c s="125">
        <f>Предпосылки!BI$243*Предпосылки!$S270*Продажи!BJ35*BJ$19*(1+Чувствительность!$D$20)*IFERROR(LOOKUP(Предпосылки!$H$216,$C$13:$C$15,BJ$13:BJ$15),1)</f>
        <v>0</v>
      </c>
      <c s="125">
        <f>Предпосылки!BJ$243*Предпосылки!$S270*Продажи!BK35*BK$19*(1+Чувствительность!$D$20)*IFERROR(LOOKUP(Предпосылки!$H$216,$C$13:$C$15,BK$13:BK$15),1)</f>
        <v>0</v>
      </c>
      <c s="125">
        <f>Предпосылки!BK$243*Предпосылки!$S270*Продажи!BL35*BL$19*(1+Чувствительность!$D$20)*IFERROR(LOOKUP(Предпосылки!$H$216,$C$13:$C$15,BL$13:BL$15),1)</f>
        <v>0</v>
      </c>
      <c s="125">
        <f>Предпосылки!BL$243*Предпосылки!$S270*Продажи!BM35*BM$19*(1+Чувствительность!$D$20)*IFERROR(LOOKUP(Предпосылки!$H$216,$C$13:$C$15,BM$13:BM$15),1)</f>
        <v>0</v>
      </c>
    </row>
    <row r="386" spans="2:65" ht="15" customHeight="1">
      <c r="B386" s="12" t="str">
        <f t="shared" si="136"/>
        <v>Продукт 19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Предпосылки!D$243*Предпосылки!$S271*Продажи!E36*E$19*(1+Чувствительность!$D$20)*IFERROR(LOOKUP(Предпосылки!$H$216,$C$13:$C$15,E$13:E$15),1)</f>
        <v>0</v>
      </c>
      <c s="125">
        <f>Предпосылки!E$243*Предпосылки!$S271*Продажи!F36*F$19*(1+Чувствительность!$D$20)*IFERROR(LOOKUP(Предпосылки!$H$216,$C$13:$C$15,F$13:F$15),1)</f>
        <v>0</v>
      </c>
      <c s="125">
        <f>Предпосылки!F$243*Предпосылки!$S271*Продажи!G36*G$19*(1+Чувствительность!$D$20)*IFERROR(LOOKUP(Предпосылки!$H$216,$C$13:$C$15,G$13:G$15),1)</f>
        <v>0</v>
      </c>
      <c s="125">
        <f>Предпосылки!G$243*Предпосылки!$S271*Продажи!H36*H$19*(1+Чувствительность!$D$20)*IFERROR(LOOKUP(Предпосылки!$H$216,$C$13:$C$15,H$13:H$15),1)</f>
        <v>0</v>
      </c>
      <c s="125">
        <f>Предпосылки!H$243*Предпосылки!$S271*Продажи!I36*I$19*(1+Чувствительность!$D$20)*IFERROR(LOOKUP(Предпосылки!$H$216,$C$13:$C$15,I$13:I$15),1)</f>
        <v>0</v>
      </c>
      <c s="125">
        <f>Предпосылки!I$243*Предпосылки!$S271*Продажи!J36*J$19*(1+Чувствительность!$D$20)*IFERROR(LOOKUP(Предпосылки!$H$216,$C$13:$C$15,J$13:J$15),1)</f>
        <v>0</v>
      </c>
      <c s="125">
        <f>Предпосылки!J$243*Предпосылки!$S271*Продажи!K36*K$19*(1+Чувствительность!$D$20)*IFERROR(LOOKUP(Предпосылки!$H$216,$C$13:$C$15,K$13:K$15),1)</f>
        <v>0</v>
      </c>
      <c s="125">
        <f>Предпосылки!K$243*Предпосылки!$S271*Продажи!L36*L$19*(1+Чувствительность!$D$20)*IFERROR(LOOKUP(Предпосылки!$H$216,$C$13:$C$15,L$13:L$15),1)</f>
        <v>0</v>
      </c>
      <c s="125">
        <f>Предпосылки!L$243*Предпосылки!$S271*Продажи!M36*M$19*(1+Чувствительность!$D$20)*IFERROR(LOOKUP(Предпосылки!$H$216,$C$13:$C$15,M$13:M$15),1)</f>
        <v>0</v>
      </c>
      <c s="125">
        <f>Предпосылки!M$243*Предпосылки!$S271*Продажи!N36*N$19*(1+Чувствительность!$D$20)*IFERROR(LOOKUP(Предпосылки!$H$216,$C$13:$C$15,N$13:N$15),1)</f>
        <v>0</v>
      </c>
      <c s="125">
        <f>Предпосылки!N$243*Предпосылки!$S271*Продажи!O36*O$19*(1+Чувствительность!$D$20)*IFERROR(LOOKUP(Предпосылки!$H$216,$C$13:$C$15,O$13:O$15),1)</f>
        <v>0</v>
      </c>
      <c s="125">
        <f>Предпосылки!O$243*Предпосылки!$S271*Продажи!P36*P$19*(1+Чувствительность!$D$20)*IFERROR(LOOKUP(Предпосылки!$H$216,$C$13:$C$15,P$13:P$15),1)</f>
        <v>0</v>
      </c>
      <c s="125">
        <f>Предпосылки!P$243*Предпосылки!$S271*Продажи!Q36*Q$19*(1+Чувствительность!$D$20)*IFERROR(LOOKUP(Предпосылки!$H$216,$C$13:$C$15,Q$13:Q$15),1)</f>
        <v>0</v>
      </c>
      <c s="125">
        <f>Предпосылки!Q$243*Предпосылки!$S271*Продажи!R36*R$19*(1+Чувствительность!$D$20)*IFERROR(LOOKUP(Предпосылки!$H$216,$C$13:$C$15,R$13:R$15),1)</f>
        <v>0</v>
      </c>
      <c s="125">
        <f>Предпосылки!R$243*Предпосылки!$S271*Продажи!S36*S$19*(1+Чувствительность!$D$20)*IFERROR(LOOKUP(Предпосылки!$H$216,$C$13:$C$15,S$13:S$15),1)</f>
        <v>0</v>
      </c>
      <c s="125">
        <f>Предпосылки!S$243*Предпосылки!$S271*Продажи!T36*T$19*(1+Чувствительность!$D$20)*IFERROR(LOOKUP(Предпосылки!$H$216,$C$13:$C$15,T$13:T$15),1)</f>
        <v>0</v>
      </c>
      <c s="125">
        <f>Предпосылки!T$243*Предпосылки!$S271*Продажи!U36*U$19*(1+Чувствительность!$D$20)*IFERROR(LOOKUP(Предпосылки!$H$216,$C$13:$C$15,U$13:U$15),1)</f>
        <v>0</v>
      </c>
      <c s="125">
        <f>Предпосылки!U$243*Предпосылки!$S271*Продажи!V36*V$19*(1+Чувствительность!$D$20)*IFERROR(LOOKUP(Предпосылки!$H$216,$C$13:$C$15,V$13:V$15),1)</f>
        <v>0</v>
      </c>
      <c s="125">
        <f>Предпосылки!V$243*Предпосылки!$S271*Продажи!W36*W$19*(1+Чувствительность!$D$20)*IFERROR(LOOKUP(Предпосылки!$H$216,$C$13:$C$15,W$13:W$15),1)</f>
        <v>0</v>
      </c>
      <c s="125">
        <f>Предпосылки!W$243*Предпосылки!$S271*Продажи!X36*X$19*(1+Чувствительность!$D$20)*IFERROR(LOOKUP(Предпосылки!$H$216,$C$13:$C$15,X$13:X$15),1)</f>
        <v>0</v>
      </c>
      <c s="125">
        <f>Предпосылки!X$243*Предпосылки!$S271*Продажи!Y36*Y$19*(1+Чувствительность!$D$20)*IFERROR(LOOKUP(Предпосылки!$H$216,$C$13:$C$15,Y$13:Y$15),1)</f>
        <v>0</v>
      </c>
      <c s="125">
        <f>Предпосылки!Y$243*Предпосылки!$S271*Продажи!Z36*Z$19*(1+Чувствительность!$D$20)*IFERROR(LOOKUP(Предпосылки!$H$216,$C$13:$C$15,Z$13:Z$15),1)</f>
        <v>0</v>
      </c>
      <c s="125">
        <f>Предпосылки!Z$243*Предпосылки!$S271*Продажи!AA36*AA$19*(1+Чувствительность!$D$20)*IFERROR(LOOKUP(Предпосылки!$H$216,$C$13:$C$15,AA$13:AA$15),1)</f>
        <v>0</v>
      </c>
      <c s="125">
        <f>Предпосылки!AA$243*Предпосылки!$S271*Продажи!AB36*AB$19*(1+Чувствительность!$D$20)*IFERROR(LOOKUP(Предпосылки!$H$216,$C$13:$C$15,AB$13:AB$15),1)</f>
        <v>0</v>
      </c>
      <c s="125">
        <f>Предпосылки!AB$243*Предпосылки!$S271*Продажи!AC36*AC$19*(1+Чувствительность!$D$20)*IFERROR(LOOKUP(Предпосылки!$H$216,$C$13:$C$15,AC$13:AC$15),1)</f>
        <v>0</v>
      </c>
      <c s="125">
        <f>Предпосылки!AC$243*Предпосылки!$S271*Продажи!AD36*AD$19*(1+Чувствительность!$D$20)*IFERROR(LOOKUP(Предпосылки!$H$216,$C$13:$C$15,AD$13:AD$15),1)</f>
        <v>0</v>
      </c>
      <c s="125">
        <f>Предпосылки!AD$243*Предпосылки!$S271*Продажи!AE36*AE$19*(1+Чувствительность!$D$20)*IFERROR(LOOKUP(Предпосылки!$H$216,$C$13:$C$15,AE$13:AE$15),1)</f>
        <v>0</v>
      </c>
      <c s="125">
        <f>Предпосылки!AE$243*Предпосылки!$S271*Продажи!AF36*AF$19*(1+Чувствительность!$D$20)*IFERROR(LOOKUP(Предпосылки!$H$216,$C$13:$C$15,AF$13:AF$15),1)</f>
        <v>0</v>
      </c>
      <c s="125">
        <f>Предпосылки!AF$243*Предпосылки!$S271*Продажи!AG36*AG$19*(1+Чувствительность!$D$20)*IFERROR(LOOKUP(Предпосылки!$H$216,$C$13:$C$15,AG$13:AG$15),1)</f>
        <v>0</v>
      </c>
      <c s="125">
        <f>Предпосылки!AG$243*Предпосылки!$S271*Продажи!AH36*AH$19*(1+Чувствительность!$D$20)*IFERROR(LOOKUP(Предпосылки!$H$216,$C$13:$C$15,AH$13:AH$15),1)</f>
        <v>0</v>
      </c>
      <c s="125">
        <f>Предпосылки!AH$243*Предпосылки!$S271*Продажи!AI36*AI$19*(1+Чувствительность!$D$20)*IFERROR(LOOKUP(Предпосылки!$H$216,$C$13:$C$15,AI$13:AI$15),1)</f>
        <v>0</v>
      </c>
      <c s="125">
        <f>Предпосылки!AI$243*Предпосылки!$S271*Продажи!AJ36*AJ$19*(1+Чувствительность!$D$20)*IFERROR(LOOKUP(Предпосылки!$H$216,$C$13:$C$15,AJ$13:AJ$15),1)</f>
        <v>0</v>
      </c>
      <c s="125">
        <f>Предпосылки!AJ$243*Предпосылки!$S271*Продажи!AK36*AK$19*(1+Чувствительность!$D$20)*IFERROR(LOOKUP(Предпосылки!$H$216,$C$13:$C$15,AK$13:AK$15),1)</f>
        <v>0</v>
      </c>
      <c s="125">
        <f>Предпосылки!AK$243*Предпосылки!$S271*Продажи!AL36*AL$19*(1+Чувствительность!$D$20)*IFERROR(LOOKUP(Предпосылки!$H$216,$C$13:$C$15,AL$13:AL$15),1)</f>
        <v>0</v>
      </c>
      <c s="125">
        <f>Предпосылки!AL$243*Предпосылки!$S271*Продажи!AM36*AM$19*(1+Чувствительность!$D$20)*IFERROR(LOOKUP(Предпосылки!$H$216,$C$13:$C$15,AM$13:AM$15),1)</f>
        <v>0</v>
      </c>
      <c s="125">
        <f>Предпосылки!AM$243*Предпосылки!$S271*Продажи!AN36*AN$19*(1+Чувствительность!$D$20)*IFERROR(LOOKUP(Предпосылки!$H$216,$C$13:$C$15,AN$13:AN$15),1)</f>
        <v>0</v>
      </c>
      <c s="125">
        <f>Предпосылки!AN$243*Предпосылки!$S271*Продажи!AO36*AO$19*(1+Чувствительность!$D$20)*IFERROR(LOOKUP(Предпосылки!$H$216,$C$13:$C$15,AO$13:AO$15),1)</f>
        <v>0</v>
      </c>
      <c s="125">
        <f>Предпосылки!AO$243*Предпосылки!$S271*Продажи!AP36*AP$19*(1+Чувствительность!$D$20)*IFERROR(LOOKUP(Предпосылки!$H$216,$C$13:$C$15,AP$13:AP$15),1)</f>
        <v>0</v>
      </c>
      <c s="125">
        <f>Предпосылки!AP$243*Предпосылки!$S271*Продажи!AQ36*AQ$19*(1+Чувствительность!$D$20)*IFERROR(LOOKUP(Предпосылки!$H$216,$C$13:$C$15,AQ$13:AQ$15),1)</f>
        <v>0</v>
      </c>
      <c s="125">
        <f>Предпосылки!AQ$243*Предпосылки!$S271*Продажи!AR36*AR$19*(1+Чувствительность!$D$20)*IFERROR(LOOKUP(Предпосылки!$H$216,$C$13:$C$15,AR$13:AR$15),1)</f>
        <v>0</v>
      </c>
      <c s="125">
        <f>Предпосылки!AR$243*Предпосылки!$S271*Продажи!AS36*AS$19*(1+Чувствительность!$D$20)*IFERROR(LOOKUP(Предпосылки!$H$216,$C$13:$C$15,AS$13:AS$15),1)</f>
        <v>0</v>
      </c>
      <c s="125">
        <f>Предпосылки!AS$243*Предпосылки!$S271*Продажи!AT36*AT$19*(1+Чувствительность!$D$20)*IFERROR(LOOKUP(Предпосылки!$H$216,$C$13:$C$15,AT$13:AT$15),1)</f>
        <v>0</v>
      </c>
      <c s="125">
        <f>Предпосылки!AT$243*Предпосылки!$S271*Продажи!AU36*AU$19*(1+Чувствительность!$D$20)*IFERROR(LOOKUP(Предпосылки!$H$216,$C$13:$C$15,AU$13:AU$15),1)</f>
        <v>0</v>
      </c>
      <c s="125">
        <f>Предпосылки!AU$243*Предпосылки!$S271*Продажи!AV36*AV$19*(1+Чувствительность!$D$20)*IFERROR(LOOKUP(Предпосылки!$H$216,$C$13:$C$15,AV$13:AV$15),1)</f>
        <v>0</v>
      </c>
      <c s="125">
        <f>Предпосылки!AV$243*Предпосылки!$S271*Продажи!AW36*AW$19*(1+Чувствительность!$D$20)*IFERROR(LOOKUP(Предпосылки!$H$216,$C$13:$C$15,AW$13:AW$15),1)</f>
        <v>0</v>
      </c>
      <c s="125">
        <f>Предпосылки!AW$243*Предпосылки!$S271*Продажи!AX36*AX$19*(1+Чувствительность!$D$20)*IFERROR(LOOKUP(Предпосылки!$H$216,$C$13:$C$15,AX$13:AX$15),1)</f>
        <v>0</v>
      </c>
      <c s="125">
        <f>Предпосылки!AX$243*Предпосылки!$S271*Продажи!AY36*AY$19*(1+Чувствительность!$D$20)*IFERROR(LOOKUP(Предпосылки!$H$216,$C$13:$C$15,AY$13:AY$15),1)</f>
        <v>0</v>
      </c>
      <c s="125">
        <f>Предпосылки!AY$243*Предпосылки!$S271*Продажи!AZ36*AZ$19*(1+Чувствительность!$D$20)*IFERROR(LOOKUP(Предпосылки!$H$216,$C$13:$C$15,AZ$13:AZ$15),1)</f>
        <v>0</v>
      </c>
      <c s="125">
        <f>Предпосылки!AZ$243*Предпосылки!$S271*Продажи!BA36*BA$19*(1+Чувствительность!$D$20)*IFERROR(LOOKUP(Предпосылки!$H$216,$C$13:$C$15,BA$13:BA$15),1)</f>
        <v>0</v>
      </c>
      <c s="125">
        <f>Предпосылки!BA$243*Предпосылки!$S271*Продажи!BB36*BB$19*(1+Чувствительность!$D$20)*IFERROR(LOOKUP(Предпосылки!$H$216,$C$13:$C$15,BB$13:BB$15),1)</f>
        <v>0</v>
      </c>
      <c s="125">
        <f>Предпосылки!BB$243*Предпосылки!$S271*Продажи!BC36*BC$19*(1+Чувствительность!$D$20)*IFERROR(LOOKUP(Предпосылки!$H$216,$C$13:$C$15,BC$13:BC$15),1)</f>
        <v>0</v>
      </c>
      <c s="125">
        <f>Предпосылки!BC$243*Предпосылки!$S271*Продажи!BD36*BD$19*(1+Чувствительность!$D$20)*IFERROR(LOOKUP(Предпосылки!$H$216,$C$13:$C$15,BD$13:BD$15),1)</f>
        <v>0</v>
      </c>
      <c s="125">
        <f>Предпосылки!BD$243*Предпосылки!$S271*Продажи!BE36*BE$19*(1+Чувствительность!$D$20)*IFERROR(LOOKUP(Предпосылки!$H$216,$C$13:$C$15,BE$13:BE$15),1)</f>
        <v>0</v>
      </c>
      <c s="125">
        <f>Предпосылки!BE$243*Предпосылки!$S271*Продажи!BF36*BF$19*(1+Чувствительность!$D$20)*IFERROR(LOOKUP(Предпосылки!$H$216,$C$13:$C$15,BF$13:BF$15),1)</f>
        <v>0</v>
      </c>
      <c s="125">
        <f>Предпосылки!BF$243*Предпосылки!$S271*Продажи!BG36*BG$19*(1+Чувствительность!$D$20)*IFERROR(LOOKUP(Предпосылки!$H$216,$C$13:$C$15,BG$13:BG$15),1)</f>
        <v>0</v>
      </c>
      <c s="125">
        <f>Предпосылки!BG$243*Предпосылки!$S271*Продажи!BH36*BH$19*(1+Чувствительность!$D$20)*IFERROR(LOOKUP(Предпосылки!$H$216,$C$13:$C$15,BH$13:BH$15),1)</f>
        <v>0</v>
      </c>
      <c s="125">
        <f>Предпосылки!BH$243*Предпосылки!$S271*Продажи!BI36*BI$19*(1+Чувствительность!$D$20)*IFERROR(LOOKUP(Предпосылки!$H$216,$C$13:$C$15,BI$13:BI$15),1)</f>
        <v>0</v>
      </c>
      <c s="125">
        <f>Предпосылки!BI$243*Предпосылки!$S271*Продажи!BJ36*BJ$19*(1+Чувствительность!$D$20)*IFERROR(LOOKUP(Предпосылки!$H$216,$C$13:$C$15,BJ$13:BJ$15),1)</f>
        <v>0</v>
      </c>
      <c s="125">
        <f>Предпосылки!BJ$243*Предпосылки!$S271*Продажи!BK36*BK$19*(1+Чувствительность!$D$20)*IFERROR(LOOKUP(Предпосылки!$H$216,$C$13:$C$15,BK$13:BK$15),1)</f>
        <v>0</v>
      </c>
      <c s="125">
        <f>Предпосылки!BK$243*Предпосылки!$S271*Продажи!BL36*BL$19*(1+Чувствительность!$D$20)*IFERROR(LOOKUP(Предпосылки!$H$216,$C$13:$C$15,BL$13:BL$15),1)</f>
        <v>0</v>
      </c>
      <c s="125">
        <f>Предпосылки!BL$243*Предпосылки!$S271*Продажи!BM36*BM$19*(1+Чувствительность!$D$20)*IFERROR(LOOKUP(Предпосылки!$H$216,$C$13:$C$15,BM$13:BM$15),1)</f>
        <v>0</v>
      </c>
    </row>
    <row r="387" spans="2:65" ht="15" customHeight="1">
      <c r="B387" s="12" t="str">
        <f t="shared" si="136"/>
        <v>Продукт 20</v>
      </c>
      <c s="124" t="str">
        <f t="shared" si="135"/>
        <v>тыс. руб.</v>
      </c>
      <c s="276">
        <f t="shared" si="137"/>
        <v>0</v>
      </c>
      <c s="125">
        <f>Предпосылки!D$243*Предпосылки!$S272*Продажи!E37*E$19*(1+Чувствительность!$D$20)*IFERROR(LOOKUP(Предпосылки!$H$216,$C$13:$C$15,E$13:E$15),1)</f>
        <v>0</v>
      </c>
      <c s="125">
        <f>Предпосылки!E$243*Предпосылки!$S272*Продажи!F37*F$19*(1+Чувствительность!$D$20)*IFERROR(LOOKUP(Предпосылки!$H$216,$C$13:$C$15,F$13:F$15),1)</f>
        <v>0</v>
      </c>
      <c s="125">
        <f>Предпосылки!F$243*Предпосылки!$S272*Продажи!G37*G$19*(1+Чувствительность!$D$20)*IFERROR(LOOKUP(Предпосылки!$H$216,$C$13:$C$15,G$13:G$15),1)</f>
        <v>0</v>
      </c>
      <c s="125">
        <f>Предпосылки!G$243*Предпосылки!$S272*Продажи!H37*H$19*(1+Чувствительность!$D$20)*IFERROR(LOOKUP(Предпосылки!$H$216,$C$13:$C$15,H$13:H$15),1)</f>
        <v>0</v>
      </c>
      <c s="125">
        <f>Предпосылки!H$243*Предпосылки!$S272*Продажи!I37*I$19*(1+Чувствительность!$D$20)*IFERROR(LOOKUP(Предпосылки!$H$216,$C$13:$C$15,I$13:I$15),1)</f>
        <v>0</v>
      </c>
      <c s="125">
        <f>Предпосылки!I$243*Предпосылки!$S272*Продажи!J37*J$19*(1+Чувствительность!$D$20)*IFERROR(LOOKUP(Предпосылки!$H$216,$C$13:$C$15,J$13:J$15),1)</f>
        <v>0</v>
      </c>
      <c s="125">
        <f>Предпосылки!J$243*Предпосылки!$S272*Продажи!K37*K$19*(1+Чувствительность!$D$20)*IFERROR(LOOKUP(Предпосылки!$H$216,$C$13:$C$15,K$13:K$15),1)</f>
        <v>0</v>
      </c>
      <c s="125">
        <f>Предпосылки!K$243*Предпосылки!$S272*Продажи!L37*L$19*(1+Чувствительность!$D$20)*IFERROR(LOOKUP(Предпосылки!$H$216,$C$13:$C$15,L$13:L$15),1)</f>
        <v>0</v>
      </c>
      <c s="125">
        <f>Предпосылки!L$243*Предпосылки!$S272*Продажи!M37*M$19*(1+Чувствительность!$D$20)*IFERROR(LOOKUP(Предпосылки!$H$216,$C$13:$C$15,M$13:M$15),1)</f>
        <v>0</v>
      </c>
      <c s="125">
        <f>Предпосылки!M$243*Предпосылки!$S272*Продажи!N37*N$19*(1+Чувствительность!$D$20)*IFERROR(LOOKUP(Предпосылки!$H$216,$C$13:$C$15,N$13:N$15),1)</f>
        <v>0</v>
      </c>
      <c s="125">
        <f>Предпосылки!N$243*Предпосылки!$S272*Продажи!O37*O$19*(1+Чувствительность!$D$20)*IFERROR(LOOKUP(Предпосылки!$H$216,$C$13:$C$15,O$13:O$15),1)</f>
        <v>0</v>
      </c>
      <c s="125">
        <f>Предпосылки!O$243*Предпосылки!$S272*Продажи!P37*P$19*(1+Чувствительность!$D$20)*IFERROR(LOOKUP(Предпосылки!$H$216,$C$13:$C$15,P$13:P$15),1)</f>
        <v>0</v>
      </c>
      <c s="125">
        <f>Предпосылки!P$243*Предпосылки!$S272*Продажи!Q37*Q$19*(1+Чувствительность!$D$20)*IFERROR(LOOKUP(Предпосылки!$H$216,$C$13:$C$15,Q$13:Q$15),1)</f>
        <v>0</v>
      </c>
      <c s="125">
        <f>Предпосылки!Q$243*Предпосылки!$S272*Продажи!R37*R$19*(1+Чувствительность!$D$20)*IFERROR(LOOKUP(Предпосылки!$H$216,$C$13:$C$15,R$13:R$15),1)</f>
        <v>0</v>
      </c>
      <c s="125">
        <f>Предпосылки!R$243*Предпосылки!$S272*Продажи!S37*S$19*(1+Чувствительность!$D$20)*IFERROR(LOOKUP(Предпосылки!$H$216,$C$13:$C$15,S$13:S$15),1)</f>
        <v>0</v>
      </c>
      <c s="125">
        <f>Предпосылки!S$243*Предпосылки!$S272*Продажи!T37*T$19*(1+Чувствительность!$D$20)*IFERROR(LOOKUP(Предпосылки!$H$216,$C$13:$C$15,T$13:T$15),1)</f>
        <v>0</v>
      </c>
      <c s="125">
        <f>Предпосылки!T$243*Предпосылки!$S272*Продажи!U37*U$19*(1+Чувствительность!$D$20)*IFERROR(LOOKUP(Предпосылки!$H$216,$C$13:$C$15,U$13:U$15),1)</f>
        <v>0</v>
      </c>
      <c s="125">
        <f>Предпосылки!U$243*Предпосылки!$S272*Продажи!V37*V$19*(1+Чувствительность!$D$20)*IFERROR(LOOKUP(Предпосылки!$H$216,$C$13:$C$15,V$13:V$15),1)</f>
        <v>0</v>
      </c>
      <c s="125">
        <f>Предпосылки!V$243*Предпосылки!$S272*Продажи!W37*W$19*(1+Чувствительность!$D$20)*IFERROR(LOOKUP(Предпосылки!$H$216,$C$13:$C$15,W$13:W$15),1)</f>
        <v>0</v>
      </c>
      <c s="125">
        <f>Предпосылки!W$243*Предпосылки!$S272*Продажи!X37*X$19*(1+Чувствительность!$D$20)*IFERROR(LOOKUP(Предпосылки!$H$216,$C$13:$C$15,X$13:X$15),1)</f>
        <v>0</v>
      </c>
      <c s="125">
        <f>Предпосылки!X$243*Предпосылки!$S272*Продажи!Y37*Y$19*(1+Чувствительность!$D$20)*IFERROR(LOOKUP(Предпосылки!$H$216,$C$13:$C$15,Y$13:Y$15),1)</f>
        <v>0</v>
      </c>
      <c s="125">
        <f>Предпосылки!Y$243*Предпосылки!$S272*Продажи!Z37*Z$19*(1+Чувствительность!$D$20)*IFERROR(LOOKUP(Предпосылки!$H$216,$C$13:$C$15,Z$13:Z$15),1)</f>
        <v>0</v>
      </c>
      <c s="125">
        <f>Предпосылки!Z$243*Предпосылки!$S272*Продажи!AA37*AA$19*(1+Чувствительность!$D$20)*IFERROR(LOOKUP(Предпосылки!$H$216,$C$13:$C$15,AA$13:AA$15),1)</f>
        <v>0</v>
      </c>
      <c s="125">
        <f>Предпосылки!AA$243*Предпосылки!$S272*Продажи!AB37*AB$19*(1+Чувствительность!$D$20)*IFERROR(LOOKUP(Предпосылки!$H$216,$C$13:$C$15,AB$13:AB$15),1)</f>
        <v>0</v>
      </c>
      <c s="125">
        <f>Предпосылки!AB$243*Предпосылки!$S272*Продажи!AC37*AC$19*(1+Чувствительность!$D$20)*IFERROR(LOOKUP(Предпосылки!$H$216,$C$13:$C$15,AC$13:AC$15),1)</f>
        <v>0</v>
      </c>
      <c s="125">
        <f>Предпосылки!AC$243*Предпосылки!$S272*Продажи!AD37*AD$19*(1+Чувствительность!$D$20)*IFERROR(LOOKUP(Предпосылки!$H$216,$C$13:$C$15,AD$13:AD$15),1)</f>
        <v>0</v>
      </c>
      <c s="125">
        <f>Предпосылки!AD$243*Предпосылки!$S272*Продажи!AE37*AE$19*(1+Чувствительность!$D$20)*IFERROR(LOOKUP(Предпосылки!$H$216,$C$13:$C$15,AE$13:AE$15),1)</f>
        <v>0</v>
      </c>
      <c s="125">
        <f>Предпосылки!AE$243*Предпосылки!$S272*Продажи!AF37*AF$19*(1+Чувствительность!$D$20)*IFERROR(LOOKUP(Предпосылки!$H$216,$C$13:$C$15,AF$13:AF$15),1)</f>
        <v>0</v>
      </c>
      <c s="125">
        <f>Предпосылки!AF$243*Предпосылки!$S272*Продажи!AG37*AG$19*(1+Чувствительность!$D$20)*IFERROR(LOOKUP(Предпосылки!$H$216,$C$13:$C$15,AG$13:AG$15),1)</f>
        <v>0</v>
      </c>
      <c s="125">
        <f>Предпосылки!AG$243*Предпосылки!$S272*Продажи!AH37*AH$19*(1+Чувствительность!$D$20)*IFERROR(LOOKUP(Предпосылки!$H$216,$C$13:$C$15,AH$13:AH$15),1)</f>
        <v>0</v>
      </c>
      <c s="125">
        <f>Предпосылки!AH$243*Предпосылки!$S272*Продажи!AI37*AI$19*(1+Чувствительность!$D$20)*IFERROR(LOOKUP(Предпосылки!$H$216,$C$13:$C$15,AI$13:AI$15),1)</f>
        <v>0</v>
      </c>
      <c s="125">
        <f>Предпосылки!AI$243*Предпосылки!$S272*Продажи!AJ37*AJ$19*(1+Чувствительность!$D$20)*IFERROR(LOOKUP(Предпосылки!$H$216,$C$13:$C$15,AJ$13:AJ$15),1)</f>
        <v>0</v>
      </c>
      <c s="125">
        <f>Предпосылки!AJ$243*Предпосылки!$S272*Продажи!AK37*AK$19*(1+Чувствительность!$D$20)*IFERROR(LOOKUP(Предпосылки!$H$216,$C$13:$C$15,AK$13:AK$15),1)</f>
        <v>0</v>
      </c>
      <c s="125">
        <f>Предпосылки!AK$243*Предпосылки!$S272*Продажи!AL37*AL$19*(1+Чувствительность!$D$20)*IFERROR(LOOKUP(Предпосылки!$H$216,$C$13:$C$15,AL$13:AL$15),1)</f>
        <v>0</v>
      </c>
      <c s="125">
        <f>Предпосылки!AL$243*Предпосылки!$S272*Продажи!AM37*AM$19*(1+Чувствительность!$D$20)*IFERROR(LOOKUP(Предпосылки!$H$216,$C$13:$C$15,AM$13:AM$15),1)</f>
        <v>0</v>
      </c>
      <c s="125">
        <f>Предпосылки!AM$243*Предпосылки!$S272*Продажи!AN37*AN$19*(1+Чувствительность!$D$20)*IFERROR(LOOKUP(Предпосылки!$H$216,$C$13:$C$15,AN$13:AN$15),1)</f>
        <v>0</v>
      </c>
      <c s="125">
        <f>Предпосылки!AN$243*Предпосылки!$S272*Продажи!AO37*AO$19*(1+Чувствительность!$D$20)*IFERROR(LOOKUP(Предпосылки!$H$216,$C$13:$C$15,AO$13:AO$15),1)</f>
        <v>0</v>
      </c>
      <c s="125">
        <f>Предпосылки!AO$243*Предпосылки!$S272*Продажи!AP37*AP$19*(1+Чувствительность!$D$20)*IFERROR(LOOKUP(Предпосылки!$H$216,$C$13:$C$15,AP$13:AP$15),1)</f>
        <v>0</v>
      </c>
      <c s="125">
        <f>Предпосылки!AP$243*Предпосылки!$S272*Продажи!AQ37*AQ$19*(1+Чувствительность!$D$20)*IFERROR(LOOKUP(Предпосылки!$H$216,$C$13:$C$15,AQ$13:AQ$15),1)</f>
        <v>0</v>
      </c>
      <c s="125">
        <f>Предпосылки!AQ$243*Предпосылки!$S272*Продажи!AR37*AR$19*(1+Чувствительность!$D$20)*IFERROR(LOOKUP(Предпосылки!$H$216,$C$13:$C$15,AR$13:AR$15),1)</f>
        <v>0</v>
      </c>
      <c s="125">
        <f>Предпосылки!AR$243*Предпосылки!$S272*Продажи!AS37*AS$19*(1+Чувствительность!$D$20)*IFERROR(LOOKUP(Предпосылки!$H$216,$C$13:$C$15,AS$13:AS$15),1)</f>
        <v>0</v>
      </c>
      <c s="125">
        <f>Предпосылки!AS$243*Предпосылки!$S272*Продажи!AT37*AT$19*(1+Чувствительность!$D$20)*IFERROR(LOOKUP(Предпосылки!$H$216,$C$13:$C$15,AT$13:AT$15),1)</f>
        <v>0</v>
      </c>
      <c s="125">
        <f>Предпосылки!AT$243*Предпосылки!$S272*Продажи!AU37*AU$19*(1+Чувствительность!$D$20)*IFERROR(LOOKUP(Предпосылки!$H$216,$C$13:$C$15,AU$13:AU$15),1)</f>
        <v>0</v>
      </c>
      <c s="125">
        <f>Предпосылки!AU$243*Предпосылки!$S272*Продажи!AV37*AV$19*(1+Чувствительность!$D$20)*IFERROR(LOOKUP(Предпосылки!$H$216,$C$13:$C$15,AV$13:AV$15),1)</f>
        <v>0</v>
      </c>
      <c s="125">
        <f>Предпосылки!AV$243*Предпосылки!$S272*Продажи!AW37*AW$19*(1+Чувствительность!$D$20)*IFERROR(LOOKUP(Предпосылки!$H$216,$C$13:$C$15,AW$13:AW$15),1)</f>
        <v>0</v>
      </c>
      <c s="125">
        <f>Предпосылки!AW$243*Предпосылки!$S272*Продажи!AX37*AX$19*(1+Чувствительность!$D$20)*IFERROR(LOOKUP(Предпосылки!$H$216,$C$13:$C$15,AX$13:AX$15),1)</f>
        <v>0</v>
      </c>
      <c s="125">
        <f>Предпосылки!AX$243*Предпосылки!$S272*Продажи!AY37*AY$19*(1+Чувствительность!$D$20)*IFERROR(LOOKUP(Предпосылки!$H$216,$C$13:$C$15,AY$13:AY$15),1)</f>
        <v>0</v>
      </c>
      <c s="125">
        <f>Предпосылки!AY$243*Предпосылки!$S272*Продажи!AZ37*AZ$19*(1+Чувствительность!$D$20)*IFERROR(LOOKUP(Предпосылки!$H$216,$C$13:$C$15,AZ$13:AZ$15),1)</f>
        <v>0</v>
      </c>
      <c s="125">
        <f>Предпосылки!AZ$243*Предпосылки!$S272*Продажи!BA37*BA$19*(1+Чувствительность!$D$20)*IFERROR(LOOKUP(Предпосылки!$H$216,$C$13:$C$15,BA$13:BA$15),1)</f>
        <v>0</v>
      </c>
      <c s="125">
        <f>Предпосылки!BA$243*Предпосылки!$S272*Продажи!BB37*BB$19*(1+Чувствительность!$D$20)*IFERROR(LOOKUP(Предпосылки!$H$216,$C$13:$C$15,BB$13:BB$15),1)</f>
        <v>0</v>
      </c>
      <c s="125">
        <f>Предпосылки!BB$243*Предпосылки!$S272*Продажи!BC37*BC$19*(1+Чувствительность!$D$20)*IFERROR(LOOKUP(Предпосылки!$H$216,$C$13:$C$15,BC$13:BC$15),1)</f>
        <v>0</v>
      </c>
      <c s="125">
        <f>Предпосылки!BC$243*Предпосылки!$S272*Продажи!BD37*BD$19*(1+Чувствительность!$D$20)*IFERROR(LOOKUP(Предпосылки!$H$216,$C$13:$C$15,BD$13:BD$15),1)</f>
        <v>0</v>
      </c>
      <c s="125">
        <f>Предпосылки!BD$243*Предпосылки!$S272*Продажи!BE37*BE$19*(1+Чувствительность!$D$20)*IFERROR(LOOKUP(Предпосылки!$H$216,$C$13:$C$15,BE$13:BE$15),1)</f>
        <v>0</v>
      </c>
      <c s="125">
        <f>Предпосылки!BE$243*Предпосылки!$S272*Продажи!BF37*BF$19*(1+Чувствительность!$D$20)*IFERROR(LOOKUP(Предпосылки!$H$216,$C$13:$C$15,BF$13:BF$15),1)</f>
        <v>0</v>
      </c>
      <c s="125">
        <f>Предпосылки!BF$243*Предпосылки!$S272*Продажи!BG37*BG$19*(1+Чувствительность!$D$20)*IFERROR(LOOKUP(Предпосылки!$H$216,$C$13:$C$15,BG$13:BG$15),1)</f>
        <v>0</v>
      </c>
      <c s="125">
        <f>Предпосылки!BG$243*Предпосылки!$S272*Продажи!BH37*BH$19*(1+Чувствительность!$D$20)*IFERROR(LOOKUP(Предпосылки!$H$216,$C$13:$C$15,BH$13:BH$15),1)</f>
        <v>0</v>
      </c>
      <c s="125">
        <f>Предпосылки!BH$243*Предпосылки!$S272*Продажи!BI37*BI$19*(1+Чувствительность!$D$20)*IFERROR(LOOKUP(Предпосылки!$H$216,$C$13:$C$15,BI$13:BI$15),1)</f>
        <v>0</v>
      </c>
      <c s="125">
        <f>Предпосылки!BI$243*Предпосылки!$S272*Продажи!BJ37*BJ$19*(1+Чувствительность!$D$20)*IFERROR(LOOKUP(Предпосылки!$H$216,$C$13:$C$15,BJ$13:BJ$15),1)</f>
        <v>0</v>
      </c>
      <c s="125">
        <f>Предпосылки!BJ$243*Предпосылки!$S272*Продажи!BK37*BK$19*(1+Чувствительность!$D$20)*IFERROR(LOOKUP(Предпосылки!$H$216,$C$13:$C$15,BK$13:BK$15),1)</f>
        <v>0</v>
      </c>
      <c s="125">
        <f>Предпосылки!BK$243*Предпосылки!$S272*Продажи!BL37*BL$19*(1+Чувствительность!$D$20)*IFERROR(LOOKUP(Предпосылки!$H$216,$C$13:$C$15,BL$13:BL$15),1)</f>
        <v>0</v>
      </c>
      <c s="125">
        <f>Предпосылки!BL$243*Предпосылки!$S272*Продажи!BM37*BM$19*(1+Чувствительность!$D$20)*IFERROR(LOOKUP(Предпосылки!$H$216,$C$13:$C$15,BM$13:BM$15),1)</f>
        <v>0</v>
      </c>
    </row>
    <row r="388" spans="2:65" ht="15" customHeight="1">
      <c r="B388" s="289" t="s">
        <v>454</v>
      </c>
      <c s="290" t="str">
        <f>Единица_измерения</f>
        <v>тыс. руб.</v>
      </c>
      <c s="291">
        <f>SUM(D368:D387)</f>
        <v>0</v>
      </c>
      <c s="276">
        <f>SUM(E368:E387)</f>
        <v>0</v>
      </c>
      <c s="276">
        <f t="shared" si="138" ref="F388:AG388">SUM(F368:F387)</f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8"/>
        <v>0</v>
      </c>
      <c s="276">
        <f t="shared" si="139" ref="AH388:BM388">SUM(AH368:AH387)</f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</row>
    <row r="389" ht="15" customHeight="1"/>
    <row r="390" spans="2:69" ht="14.45">
      <c r="B390" s="25" t="str">
        <f>Предпосылки!B244</f>
        <v>Операционные затраты 17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91" spans="2:65" ht="15" customHeight="1">
      <c r="B391" s="12" t="str">
        <f>B368</f>
        <v>Продукт 1</v>
      </c>
      <c s="124" t="str">
        <f t="shared" si="140" ref="C391:C410">Единица_измерения</f>
        <v>тыс. руб.</v>
      </c>
      <c s="276">
        <f>SUM(E391:BM391)</f>
        <v>0</v>
      </c>
      <c s="125">
        <f>Предпосылки!D$244*Предпосылки!$T253*Продажи!E18*E$19*(1+Чувствительность!$D$20)*IFERROR(LOOKUP(Предпосылки!$H$217,$C$13:$C$15,E$13:E$15),1)</f>
        <v>0</v>
      </c>
      <c s="125">
        <f>Предпосылки!E$244*Предпосылки!$T253*Продажи!F18*F$19*(1+Чувствительность!$D$20)*IFERROR(LOOKUP(Предпосылки!$H$217,$C$13:$C$15,F$13:F$15),1)</f>
        <v>0</v>
      </c>
      <c s="125">
        <f>Предпосылки!F$244*Предпосылки!$T253*Продажи!G18*G$19*(1+Чувствительность!$D$20)*IFERROR(LOOKUP(Предпосылки!$H$217,$C$13:$C$15,G$13:G$15),1)</f>
        <v>0</v>
      </c>
      <c s="125">
        <f>Предпосылки!G$244*Предпосылки!$T253*Продажи!H18*H$19*(1+Чувствительность!$D$20)*IFERROR(LOOKUP(Предпосылки!$H$217,$C$13:$C$15,H$13:H$15),1)</f>
        <v>0</v>
      </c>
      <c s="125">
        <f>Предпосылки!H$244*Предпосылки!$T253*Продажи!I18*I$19*(1+Чувствительность!$D$20)*IFERROR(LOOKUP(Предпосылки!$H$217,$C$13:$C$15,I$13:I$15),1)</f>
        <v>0</v>
      </c>
      <c s="125">
        <f>Предпосылки!I$244*Предпосылки!$T253*Продажи!J18*J$19*(1+Чувствительность!$D$20)*IFERROR(LOOKUP(Предпосылки!$H$217,$C$13:$C$15,J$13:J$15),1)</f>
        <v>0</v>
      </c>
      <c s="125">
        <f>Предпосылки!J$244*Предпосылки!$T253*Продажи!K18*K$19*(1+Чувствительность!$D$20)*IFERROR(LOOKUP(Предпосылки!$H$217,$C$13:$C$15,K$13:K$15),1)</f>
        <v>0</v>
      </c>
      <c s="125">
        <f>Предпосылки!K$244*Предпосылки!$T253*Продажи!L18*L$19*(1+Чувствительность!$D$20)*IFERROR(LOOKUP(Предпосылки!$H$217,$C$13:$C$15,L$13:L$15),1)</f>
        <v>0</v>
      </c>
      <c s="125">
        <f>Предпосылки!L$244*Предпосылки!$T253*Продажи!M18*M$19*(1+Чувствительность!$D$20)*IFERROR(LOOKUP(Предпосылки!$H$217,$C$13:$C$15,M$13:M$15),1)</f>
        <v>0</v>
      </c>
      <c s="125">
        <f>Предпосылки!M$244*Предпосылки!$T253*Продажи!N18*N$19*(1+Чувствительность!$D$20)*IFERROR(LOOKUP(Предпосылки!$H$217,$C$13:$C$15,N$13:N$15),1)</f>
        <v>0</v>
      </c>
      <c s="125">
        <f>Предпосылки!N$244*Предпосылки!$T253*Продажи!O18*O$19*(1+Чувствительность!$D$20)*IFERROR(LOOKUP(Предпосылки!$H$217,$C$13:$C$15,O$13:O$15),1)</f>
        <v>0</v>
      </c>
      <c s="125">
        <f>Предпосылки!O$244*Предпосылки!$T253*Продажи!P18*P$19*(1+Чувствительность!$D$20)*IFERROR(LOOKUP(Предпосылки!$H$217,$C$13:$C$15,P$13:P$15),1)</f>
        <v>0</v>
      </c>
      <c s="125">
        <f>Предпосылки!P$244*Предпосылки!$T253*Продажи!Q18*Q$19*(1+Чувствительность!$D$20)*IFERROR(LOOKUP(Предпосылки!$H$217,$C$13:$C$15,Q$13:Q$15),1)</f>
        <v>0</v>
      </c>
      <c s="125">
        <f>Предпосылки!Q$244*Предпосылки!$T253*Продажи!R18*R$19*(1+Чувствительность!$D$20)*IFERROR(LOOKUP(Предпосылки!$H$217,$C$13:$C$15,R$13:R$15),1)</f>
        <v>0</v>
      </c>
      <c s="125">
        <f>Предпосылки!R$244*Предпосылки!$T253*Продажи!S18*S$19*(1+Чувствительность!$D$20)*IFERROR(LOOKUP(Предпосылки!$H$217,$C$13:$C$15,S$13:S$15),1)</f>
        <v>0</v>
      </c>
      <c s="125">
        <f>Предпосылки!S$244*Предпосылки!$T253*Продажи!T18*T$19*(1+Чувствительность!$D$20)*IFERROR(LOOKUP(Предпосылки!$H$217,$C$13:$C$15,T$13:T$15),1)</f>
        <v>0</v>
      </c>
      <c s="125">
        <f>Предпосылки!T$244*Предпосылки!$T253*Продажи!U18*U$19*(1+Чувствительность!$D$20)*IFERROR(LOOKUP(Предпосылки!$H$217,$C$13:$C$15,U$13:U$15),1)</f>
        <v>0</v>
      </c>
      <c s="125">
        <f>Предпосылки!U$244*Предпосылки!$T253*Продажи!V18*V$19*(1+Чувствительность!$D$20)*IFERROR(LOOKUP(Предпосылки!$H$217,$C$13:$C$15,V$13:V$15),1)</f>
        <v>0</v>
      </c>
      <c s="125">
        <f>Предпосылки!V$244*Предпосылки!$T253*Продажи!W18*W$19*(1+Чувствительность!$D$20)*IFERROR(LOOKUP(Предпосылки!$H$217,$C$13:$C$15,W$13:W$15),1)</f>
        <v>0</v>
      </c>
      <c s="125">
        <f>Предпосылки!W$244*Предпосылки!$T253*Продажи!X18*X$19*(1+Чувствительность!$D$20)*IFERROR(LOOKUP(Предпосылки!$H$217,$C$13:$C$15,X$13:X$15),1)</f>
        <v>0</v>
      </c>
      <c s="125">
        <f>Предпосылки!X$244*Предпосылки!$T253*Продажи!Y18*Y$19*(1+Чувствительность!$D$20)*IFERROR(LOOKUP(Предпосылки!$H$217,$C$13:$C$15,Y$13:Y$15),1)</f>
        <v>0</v>
      </c>
      <c s="125">
        <f>Предпосылки!Y$244*Предпосылки!$T253*Продажи!Z18*Z$19*(1+Чувствительность!$D$20)*IFERROR(LOOKUP(Предпосылки!$H$217,$C$13:$C$15,Z$13:Z$15),1)</f>
        <v>0</v>
      </c>
      <c s="125">
        <f>Предпосылки!Z$244*Предпосылки!$T253*Продажи!AA18*AA$19*(1+Чувствительность!$D$20)*IFERROR(LOOKUP(Предпосылки!$H$217,$C$13:$C$15,AA$13:AA$15),1)</f>
        <v>0</v>
      </c>
      <c s="125">
        <f>Предпосылки!AA$244*Предпосылки!$T253*Продажи!AB18*AB$19*(1+Чувствительность!$D$20)*IFERROR(LOOKUP(Предпосылки!$H$217,$C$13:$C$15,AB$13:AB$15),1)</f>
        <v>0</v>
      </c>
      <c s="125">
        <f>Предпосылки!AB$244*Предпосылки!$T253*Продажи!AC18*AC$19*(1+Чувствительность!$D$20)*IFERROR(LOOKUP(Предпосылки!$H$217,$C$13:$C$15,AC$13:AC$15),1)</f>
        <v>0</v>
      </c>
      <c s="125">
        <f>Предпосылки!AC$244*Предпосылки!$T253*Продажи!AD18*AD$19*(1+Чувствительность!$D$20)*IFERROR(LOOKUP(Предпосылки!$H$217,$C$13:$C$15,AD$13:AD$15),1)</f>
        <v>0</v>
      </c>
      <c s="125">
        <f>Предпосылки!AD$244*Предпосылки!$T253*Продажи!AE18*AE$19*(1+Чувствительность!$D$20)*IFERROR(LOOKUP(Предпосылки!$H$217,$C$13:$C$15,AE$13:AE$15),1)</f>
        <v>0</v>
      </c>
      <c s="125">
        <f>Предпосылки!AE$244*Предпосылки!$T253*Продажи!AF18*AF$19*(1+Чувствительность!$D$20)*IFERROR(LOOKUP(Предпосылки!$H$217,$C$13:$C$15,AF$13:AF$15),1)</f>
        <v>0</v>
      </c>
      <c s="125">
        <f>Предпосылки!AF$244*Предпосылки!$T253*Продажи!AG18*AG$19*(1+Чувствительность!$D$20)*IFERROR(LOOKUP(Предпосылки!$H$217,$C$13:$C$15,AG$13:AG$15),1)</f>
        <v>0</v>
      </c>
      <c s="125">
        <f>Предпосылки!AG$244*Предпосылки!$T253*Продажи!AH18*AH$19*(1+Чувствительность!$D$20)*IFERROR(LOOKUP(Предпосылки!$H$217,$C$13:$C$15,AH$13:AH$15),1)</f>
        <v>0</v>
      </c>
      <c s="125">
        <f>Предпосылки!AH$244*Предпосылки!$T253*Продажи!AI18*AI$19*(1+Чувствительность!$D$20)*IFERROR(LOOKUP(Предпосылки!$H$217,$C$13:$C$15,AI$13:AI$15),1)</f>
        <v>0</v>
      </c>
      <c s="125">
        <f>Предпосылки!AI$244*Предпосылки!$T253*Продажи!AJ18*AJ$19*(1+Чувствительность!$D$20)*IFERROR(LOOKUP(Предпосылки!$H$217,$C$13:$C$15,AJ$13:AJ$15),1)</f>
        <v>0</v>
      </c>
      <c s="125">
        <f>Предпосылки!AJ$244*Предпосылки!$T253*Продажи!AK18*AK$19*(1+Чувствительность!$D$20)*IFERROR(LOOKUP(Предпосылки!$H$217,$C$13:$C$15,AK$13:AK$15),1)</f>
        <v>0</v>
      </c>
      <c s="125">
        <f>Предпосылки!AK$244*Предпосылки!$T253*Продажи!AL18*AL$19*(1+Чувствительность!$D$20)*IFERROR(LOOKUP(Предпосылки!$H$217,$C$13:$C$15,AL$13:AL$15),1)</f>
        <v>0</v>
      </c>
      <c s="125">
        <f>Предпосылки!AL$244*Предпосылки!$T253*Продажи!AM18*AM$19*(1+Чувствительность!$D$20)*IFERROR(LOOKUP(Предпосылки!$H$217,$C$13:$C$15,AM$13:AM$15),1)</f>
        <v>0</v>
      </c>
      <c s="125">
        <f>Предпосылки!AM$244*Предпосылки!$T253*Продажи!AN18*AN$19*(1+Чувствительность!$D$20)*IFERROR(LOOKUP(Предпосылки!$H$217,$C$13:$C$15,AN$13:AN$15),1)</f>
        <v>0</v>
      </c>
      <c s="125">
        <f>Предпосылки!AN$244*Предпосылки!$T253*Продажи!AO18*AO$19*(1+Чувствительность!$D$20)*IFERROR(LOOKUP(Предпосылки!$H$217,$C$13:$C$15,AO$13:AO$15),1)</f>
        <v>0</v>
      </c>
      <c s="125">
        <f>Предпосылки!AO$244*Предпосылки!$T253*Продажи!AP18*AP$19*(1+Чувствительность!$D$20)*IFERROR(LOOKUP(Предпосылки!$H$217,$C$13:$C$15,AP$13:AP$15),1)</f>
        <v>0</v>
      </c>
      <c s="125">
        <f>Предпосылки!AP$244*Предпосылки!$T253*Продажи!AQ18*AQ$19*(1+Чувствительность!$D$20)*IFERROR(LOOKUP(Предпосылки!$H$217,$C$13:$C$15,AQ$13:AQ$15),1)</f>
        <v>0</v>
      </c>
      <c s="125">
        <f>Предпосылки!AQ$244*Предпосылки!$T253*Продажи!AR18*AR$19*(1+Чувствительность!$D$20)*IFERROR(LOOKUP(Предпосылки!$H$217,$C$13:$C$15,AR$13:AR$15),1)</f>
        <v>0</v>
      </c>
      <c s="125">
        <f>Предпосылки!AR$244*Предпосылки!$T253*Продажи!AS18*AS$19*(1+Чувствительность!$D$20)*IFERROR(LOOKUP(Предпосылки!$H$217,$C$13:$C$15,AS$13:AS$15),1)</f>
        <v>0</v>
      </c>
      <c s="125">
        <f>Предпосылки!AS$244*Предпосылки!$T253*Продажи!AT18*AT$19*(1+Чувствительность!$D$20)*IFERROR(LOOKUP(Предпосылки!$H$217,$C$13:$C$15,AT$13:AT$15),1)</f>
        <v>0</v>
      </c>
      <c s="125">
        <f>Предпосылки!AT$244*Предпосылки!$T253*Продажи!AU18*AU$19*(1+Чувствительность!$D$20)*IFERROR(LOOKUP(Предпосылки!$H$217,$C$13:$C$15,AU$13:AU$15),1)</f>
        <v>0</v>
      </c>
      <c s="125">
        <f>Предпосылки!AU$244*Предпосылки!$T253*Продажи!AV18*AV$19*(1+Чувствительность!$D$20)*IFERROR(LOOKUP(Предпосылки!$H$217,$C$13:$C$15,AV$13:AV$15),1)</f>
        <v>0</v>
      </c>
      <c s="125">
        <f>Предпосылки!AV$244*Предпосылки!$T253*Продажи!AW18*AW$19*(1+Чувствительность!$D$20)*IFERROR(LOOKUP(Предпосылки!$H$217,$C$13:$C$15,AW$13:AW$15),1)</f>
        <v>0</v>
      </c>
      <c s="125">
        <f>Предпосылки!AW$244*Предпосылки!$T253*Продажи!AX18*AX$19*(1+Чувствительность!$D$20)*IFERROR(LOOKUP(Предпосылки!$H$217,$C$13:$C$15,AX$13:AX$15),1)</f>
        <v>0</v>
      </c>
      <c s="125">
        <f>Предпосылки!AX$244*Предпосылки!$T253*Продажи!AY18*AY$19*(1+Чувствительность!$D$20)*IFERROR(LOOKUP(Предпосылки!$H$217,$C$13:$C$15,AY$13:AY$15),1)</f>
        <v>0</v>
      </c>
      <c s="125">
        <f>Предпосылки!AY$244*Предпосылки!$T253*Продажи!AZ18*AZ$19*(1+Чувствительность!$D$20)*IFERROR(LOOKUP(Предпосылки!$H$217,$C$13:$C$15,AZ$13:AZ$15),1)</f>
        <v>0</v>
      </c>
      <c s="125">
        <f>Предпосылки!AZ$244*Предпосылки!$T253*Продажи!BA18*BA$19*(1+Чувствительность!$D$20)*IFERROR(LOOKUP(Предпосылки!$H$217,$C$13:$C$15,BA$13:BA$15),1)</f>
        <v>0</v>
      </c>
      <c s="125">
        <f>Предпосылки!BA$244*Предпосылки!$T253*Продажи!BB18*BB$19*(1+Чувствительность!$D$20)*IFERROR(LOOKUP(Предпосылки!$H$217,$C$13:$C$15,BB$13:BB$15),1)</f>
        <v>0</v>
      </c>
      <c s="125">
        <f>Предпосылки!BB$244*Предпосылки!$T253*Продажи!BC18*BC$19*(1+Чувствительность!$D$20)*IFERROR(LOOKUP(Предпосылки!$H$217,$C$13:$C$15,BC$13:BC$15),1)</f>
        <v>0</v>
      </c>
      <c s="125">
        <f>Предпосылки!BC$244*Предпосылки!$T253*Продажи!BD18*BD$19*(1+Чувствительность!$D$20)*IFERROR(LOOKUP(Предпосылки!$H$217,$C$13:$C$15,BD$13:BD$15),1)</f>
        <v>0</v>
      </c>
      <c s="125">
        <f>Предпосылки!BD$244*Предпосылки!$T253*Продажи!BE18*BE$19*(1+Чувствительность!$D$20)*IFERROR(LOOKUP(Предпосылки!$H$217,$C$13:$C$15,BE$13:BE$15),1)</f>
        <v>0</v>
      </c>
      <c s="125">
        <f>Предпосылки!BE$244*Предпосылки!$T253*Продажи!BF18*BF$19*(1+Чувствительность!$D$20)*IFERROR(LOOKUP(Предпосылки!$H$217,$C$13:$C$15,BF$13:BF$15),1)</f>
        <v>0</v>
      </c>
      <c s="125">
        <f>Предпосылки!BF$244*Предпосылки!$T253*Продажи!BG18*BG$19*(1+Чувствительность!$D$20)*IFERROR(LOOKUP(Предпосылки!$H$217,$C$13:$C$15,BG$13:BG$15),1)</f>
        <v>0</v>
      </c>
      <c s="125">
        <f>Предпосылки!BG$244*Предпосылки!$T253*Продажи!BH18*BH$19*(1+Чувствительность!$D$20)*IFERROR(LOOKUP(Предпосылки!$H$217,$C$13:$C$15,BH$13:BH$15),1)</f>
        <v>0</v>
      </c>
      <c s="125">
        <f>Предпосылки!BH$244*Предпосылки!$T253*Продажи!BI18*BI$19*(1+Чувствительность!$D$20)*IFERROR(LOOKUP(Предпосылки!$H$217,$C$13:$C$15,BI$13:BI$15),1)</f>
        <v>0</v>
      </c>
      <c s="125">
        <f>Предпосылки!BI$244*Предпосылки!$T253*Продажи!BJ18*BJ$19*(1+Чувствительность!$D$20)*IFERROR(LOOKUP(Предпосылки!$H$217,$C$13:$C$15,BJ$13:BJ$15),1)</f>
        <v>0</v>
      </c>
      <c s="125">
        <f>Предпосылки!BJ$244*Предпосылки!$T253*Продажи!BK18*BK$19*(1+Чувствительность!$D$20)*IFERROR(LOOKUP(Предпосылки!$H$217,$C$13:$C$15,BK$13:BK$15),1)</f>
        <v>0</v>
      </c>
      <c s="125">
        <f>Предпосылки!BK$244*Предпосылки!$T253*Продажи!BL18*BL$19*(1+Чувствительность!$D$20)*IFERROR(LOOKUP(Предпосылки!$H$217,$C$13:$C$15,BL$13:BL$15),1)</f>
        <v>0</v>
      </c>
      <c s="125">
        <f>Предпосылки!BL$244*Предпосылки!$T253*Продажи!BM18*BM$19*(1+Чувствительность!$D$20)*IFERROR(LOOKUP(Предпосылки!$H$217,$C$13:$C$15,BM$13:BM$15),1)</f>
        <v>0</v>
      </c>
    </row>
    <row r="392" spans="2:65" ht="15" customHeight="1">
      <c r="B392" s="12" t="str">
        <f t="shared" si="141" ref="B392:B410">B369</f>
        <v>Продукт 2</v>
      </c>
      <c s="124" t="str">
        <f t="shared" si="140"/>
        <v>тыс. руб.</v>
      </c>
      <c s="276">
        <f t="shared" si="142" ref="D392:D410">SUM(E392:BM392)</f>
        <v>0</v>
      </c>
      <c s="125">
        <f>Предпосылки!D$244*Предпосылки!$T254*Продажи!E19*E$19*(1+Чувствительность!$D$20)*IFERROR(LOOKUP(Предпосылки!$H$217,$C$13:$C$15,E$13:E$15),1)</f>
        <v>0</v>
      </c>
      <c s="125">
        <f>Предпосылки!E$244*Предпосылки!$T254*Продажи!F19*F$19*(1+Чувствительность!$D$20)*IFERROR(LOOKUP(Предпосылки!$H$217,$C$13:$C$15,F$13:F$15),1)</f>
        <v>0</v>
      </c>
      <c s="125">
        <f>Предпосылки!F$244*Предпосылки!$T254*Продажи!G19*G$19*(1+Чувствительность!$D$20)*IFERROR(LOOKUP(Предпосылки!$H$217,$C$13:$C$15,G$13:G$15),1)</f>
        <v>0</v>
      </c>
      <c s="125">
        <f>Предпосылки!G$244*Предпосылки!$T254*Продажи!H19*H$19*(1+Чувствительность!$D$20)*IFERROR(LOOKUP(Предпосылки!$H$217,$C$13:$C$15,H$13:H$15),1)</f>
        <v>0</v>
      </c>
      <c s="125">
        <f>Предпосылки!H$244*Предпосылки!$T254*Продажи!I19*I$19*(1+Чувствительность!$D$20)*IFERROR(LOOKUP(Предпосылки!$H$217,$C$13:$C$15,I$13:I$15),1)</f>
        <v>0</v>
      </c>
      <c s="125">
        <f>Предпосылки!I$244*Предпосылки!$T254*Продажи!J19*J$19*(1+Чувствительность!$D$20)*IFERROR(LOOKUP(Предпосылки!$H$217,$C$13:$C$15,J$13:J$15),1)</f>
        <v>0</v>
      </c>
      <c s="125">
        <f>Предпосылки!J$244*Предпосылки!$T254*Продажи!K19*K$19*(1+Чувствительность!$D$20)*IFERROR(LOOKUP(Предпосылки!$H$217,$C$13:$C$15,K$13:K$15),1)</f>
        <v>0</v>
      </c>
      <c s="125">
        <f>Предпосылки!K$244*Предпосылки!$T254*Продажи!L19*L$19*(1+Чувствительность!$D$20)*IFERROR(LOOKUP(Предпосылки!$H$217,$C$13:$C$15,L$13:L$15),1)</f>
        <v>0</v>
      </c>
      <c s="125">
        <f>Предпосылки!L$244*Предпосылки!$T254*Продажи!M19*M$19*(1+Чувствительность!$D$20)*IFERROR(LOOKUP(Предпосылки!$H$217,$C$13:$C$15,M$13:M$15),1)</f>
        <v>0</v>
      </c>
      <c s="125">
        <f>Предпосылки!M$244*Предпосылки!$T254*Продажи!N19*N$19*(1+Чувствительность!$D$20)*IFERROR(LOOKUP(Предпосылки!$H$217,$C$13:$C$15,N$13:N$15),1)</f>
        <v>0</v>
      </c>
      <c s="125">
        <f>Предпосылки!N$244*Предпосылки!$T254*Продажи!O19*O$19*(1+Чувствительность!$D$20)*IFERROR(LOOKUP(Предпосылки!$H$217,$C$13:$C$15,O$13:O$15),1)</f>
        <v>0</v>
      </c>
      <c s="125">
        <f>Предпосылки!O$244*Предпосылки!$T254*Продажи!P19*P$19*(1+Чувствительность!$D$20)*IFERROR(LOOKUP(Предпосылки!$H$217,$C$13:$C$15,P$13:P$15),1)</f>
        <v>0</v>
      </c>
      <c s="125">
        <f>Предпосылки!P$244*Предпосылки!$T254*Продажи!Q19*Q$19*(1+Чувствительность!$D$20)*IFERROR(LOOKUP(Предпосылки!$H$217,$C$13:$C$15,Q$13:Q$15),1)</f>
        <v>0</v>
      </c>
      <c s="125">
        <f>Предпосылки!Q$244*Предпосылки!$T254*Продажи!R19*R$19*(1+Чувствительность!$D$20)*IFERROR(LOOKUP(Предпосылки!$H$217,$C$13:$C$15,R$13:R$15),1)</f>
        <v>0</v>
      </c>
      <c s="125">
        <f>Предпосылки!R$244*Предпосылки!$T254*Продажи!S19*S$19*(1+Чувствительность!$D$20)*IFERROR(LOOKUP(Предпосылки!$H$217,$C$13:$C$15,S$13:S$15),1)</f>
        <v>0</v>
      </c>
      <c s="125">
        <f>Предпосылки!S$244*Предпосылки!$T254*Продажи!T19*T$19*(1+Чувствительность!$D$20)*IFERROR(LOOKUP(Предпосылки!$H$217,$C$13:$C$15,T$13:T$15),1)</f>
        <v>0</v>
      </c>
      <c s="125">
        <f>Предпосылки!T$244*Предпосылки!$T254*Продажи!U19*U$19*(1+Чувствительность!$D$20)*IFERROR(LOOKUP(Предпосылки!$H$217,$C$13:$C$15,U$13:U$15),1)</f>
        <v>0</v>
      </c>
      <c s="125">
        <f>Предпосылки!U$244*Предпосылки!$T254*Продажи!V19*V$19*(1+Чувствительность!$D$20)*IFERROR(LOOKUP(Предпосылки!$H$217,$C$13:$C$15,V$13:V$15),1)</f>
        <v>0</v>
      </c>
      <c s="125">
        <f>Предпосылки!V$244*Предпосылки!$T254*Продажи!W19*W$19*(1+Чувствительность!$D$20)*IFERROR(LOOKUP(Предпосылки!$H$217,$C$13:$C$15,W$13:W$15),1)</f>
        <v>0</v>
      </c>
      <c s="125">
        <f>Предпосылки!W$244*Предпосылки!$T254*Продажи!X19*X$19*(1+Чувствительность!$D$20)*IFERROR(LOOKUP(Предпосылки!$H$217,$C$13:$C$15,X$13:X$15),1)</f>
        <v>0</v>
      </c>
      <c s="125">
        <f>Предпосылки!X$244*Предпосылки!$T254*Продажи!Y19*Y$19*(1+Чувствительность!$D$20)*IFERROR(LOOKUP(Предпосылки!$H$217,$C$13:$C$15,Y$13:Y$15),1)</f>
        <v>0</v>
      </c>
      <c s="125">
        <f>Предпосылки!Y$244*Предпосылки!$T254*Продажи!Z19*Z$19*(1+Чувствительность!$D$20)*IFERROR(LOOKUP(Предпосылки!$H$217,$C$13:$C$15,Z$13:Z$15),1)</f>
        <v>0</v>
      </c>
      <c s="125">
        <f>Предпосылки!Z$244*Предпосылки!$T254*Продажи!AA19*AA$19*(1+Чувствительность!$D$20)*IFERROR(LOOKUP(Предпосылки!$H$217,$C$13:$C$15,AA$13:AA$15),1)</f>
        <v>0</v>
      </c>
      <c s="125">
        <f>Предпосылки!AA$244*Предпосылки!$T254*Продажи!AB19*AB$19*(1+Чувствительность!$D$20)*IFERROR(LOOKUP(Предпосылки!$H$217,$C$13:$C$15,AB$13:AB$15),1)</f>
        <v>0</v>
      </c>
      <c s="125">
        <f>Предпосылки!AB$244*Предпосылки!$T254*Продажи!AC19*AC$19*(1+Чувствительность!$D$20)*IFERROR(LOOKUP(Предпосылки!$H$217,$C$13:$C$15,AC$13:AC$15),1)</f>
        <v>0</v>
      </c>
      <c s="125">
        <f>Предпосылки!AC$244*Предпосылки!$T254*Продажи!AD19*AD$19*(1+Чувствительность!$D$20)*IFERROR(LOOKUP(Предпосылки!$H$217,$C$13:$C$15,AD$13:AD$15),1)</f>
        <v>0</v>
      </c>
      <c s="125">
        <f>Предпосылки!AD$244*Предпосылки!$T254*Продажи!AE19*AE$19*(1+Чувствительность!$D$20)*IFERROR(LOOKUP(Предпосылки!$H$217,$C$13:$C$15,AE$13:AE$15),1)</f>
        <v>0</v>
      </c>
      <c s="125">
        <f>Предпосылки!AE$244*Предпосылки!$T254*Продажи!AF19*AF$19*(1+Чувствительность!$D$20)*IFERROR(LOOKUP(Предпосылки!$H$217,$C$13:$C$15,AF$13:AF$15),1)</f>
        <v>0</v>
      </c>
      <c s="125">
        <f>Предпосылки!AF$244*Предпосылки!$T254*Продажи!AG19*AG$19*(1+Чувствительность!$D$20)*IFERROR(LOOKUP(Предпосылки!$H$217,$C$13:$C$15,AG$13:AG$15),1)</f>
        <v>0</v>
      </c>
      <c s="125">
        <f>Предпосылки!AG$244*Предпосылки!$T254*Продажи!AH19*AH$19*(1+Чувствительность!$D$20)*IFERROR(LOOKUP(Предпосылки!$H$217,$C$13:$C$15,AH$13:AH$15),1)</f>
        <v>0</v>
      </c>
      <c s="125">
        <f>Предпосылки!AH$244*Предпосылки!$T254*Продажи!AI19*AI$19*(1+Чувствительность!$D$20)*IFERROR(LOOKUP(Предпосылки!$H$217,$C$13:$C$15,AI$13:AI$15),1)</f>
        <v>0</v>
      </c>
      <c s="125">
        <f>Предпосылки!AI$244*Предпосылки!$T254*Продажи!AJ19*AJ$19*(1+Чувствительность!$D$20)*IFERROR(LOOKUP(Предпосылки!$H$217,$C$13:$C$15,AJ$13:AJ$15),1)</f>
        <v>0</v>
      </c>
      <c s="125">
        <f>Предпосылки!AJ$244*Предпосылки!$T254*Продажи!AK19*AK$19*(1+Чувствительность!$D$20)*IFERROR(LOOKUP(Предпосылки!$H$217,$C$13:$C$15,AK$13:AK$15),1)</f>
        <v>0</v>
      </c>
      <c s="125">
        <f>Предпосылки!AK$244*Предпосылки!$T254*Продажи!AL19*AL$19*(1+Чувствительность!$D$20)*IFERROR(LOOKUP(Предпосылки!$H$217,$C$13:$C$15,AL$13:AL$15),1)</f>
        <v>0</v>
      </c>
      <c s="125">
        <f>Предпосылки!AL$244*Предпосылки!$T254*Продажи!AM19*AM$19*(1+Чувствительность!$D$20)*IFERROR(LOOKUP(Предпосылки!$H$217,$C$13:$C$15,AM$13:AM$15),1)</f>
        <v>0</v>
      </c>
      <c s="125">
        <f>Предпосылки!AM$244*Предпосылки!$T254*Продажи!AN19*AN$19*(1+Чувствительность!$D$20)*IFERROR(LOOKUP(Предпосылки!$H$217,$C$13:$C$15,AN$13:AN$15),1)</f>
        <v>0</v>
      </c>
      <c s="125">
        <f>Предпосылки!AN$244*Предпосылки!$T254*Продажи!AO19*AO$19*(1+Чувствительность!$D$20)*IFERROR(LOOKUP(Предпосылки!$H$217,$C$13:$C$15,AO$13:AO$15),1)</f>
        <v>0</v>
      </c>
      <c s="125">
        <f>Предпосылки!AO$244*Предпосылки!$T254*Продажи!AP19*AP$19*(1+Чувствительность!$D$20)*IFERROR(LOOKUP(Предпосылки!$H$217,$C$13:$C$15,AP$13:AP$15),1)</f>
        <v>0</v>
      </c>
      <c s="125">
        <f>Предпосылки!AP$244*Предпосылки!$T254*Продажи!AQ19*AQ$19*(1+Чувствительность!$D$20)*IFERROR(LOOKUP(Предпосылки!$H$217,$C$13:$C$15,AQ$13:AQ$15),1)</f>
        <v>0</v>
      </c>
      <c s="125">
        <f>Предпосылки!AQ$244*Предпосылки!$T254*Продажи!AR19*AR$19*(1+Чувствительность!$D$20)*IFERROR(LOOKUP(Предпосылки!$H$217,$C$13:$C$15,AR$13:AR$15),1)</f>
        <v>0</v>
      </c>
      <c s="125">
        <f>Предпосылки!AR$244*Предпосылки!$T254*Продажи!AS19*AS$19*(1+Чувствительность!$D$20)*IFERROR(LOOKUP(Предпосылки!$H$217,$C$13:$C$15,AS$13:AS$15),1)</f>
        <v>0</v>
      </c>
      <c s="125">
        <f>Предпосылки!AS$244*Предпосылки!$T254*Продажи!AT19*AT$19*(1+Чувствительность!$D$20)*IFERROR(LOOKUP(Предпосылки!$H$217,$C$13:$C$15,AT$13:AT$15),1)</f>
        <v>0</v>
      </c>
      <c s="125">
        <f>Предпосылки!AT$244*Предпосылки!$T254*Продажи!AU19*AU$19*(1+Чувствительность!$D$20)*IFERROR(LOOKUP(Предпосылки!$H$217,$C$13:$C$15,AU$13:AU$15),1)</f>
        <v>0</v>
      </c>
      <c s="125">
        <f>Предпосылки!AU$244*Предпосылки!$T254*Продажи!AV19*AV$19*(1+Чувствительность!$D$20)*IFERROR(LOOKUP(Предпосылки!$H$217,$C$13:$C$15,AV$13:AV$15),1)</f>
        <v>0</v>
      </c>
      <c s="125">
        <f>Предпосылки!AV$244*Предпосылки!$T254*Продажи!AW19*AW$19*(1+Чувствительность!$D$20)*IFERROR(LOOKUP(Предпосылки!$H$217,$C$13:$C$15,AW$13:AW$15),1)</f>
        <v>0</v>
      </c>
      <c s="125">
        <f>Предпосылки!AW$244*Предпосылки!$T254*Продажи!AX19*AX$19*(1+Чувствительность!$D$20)*IFERROR(LOOKUP(Предпосылки!$H$217,$C$13:$C$15,AX$13:AX$15),1)</f>
        <v>0</v>
      </c>
      <c s="125">
        <f>Предпосылки!AX$244*Предпосылки!$T254*Продажи!AY19*AY$19*(1+Чувствительность!$D$20)*IFERROR(LOOKUP(Предпосылки!$H$217,$C$13:$C$15,AY$13:AY$15),1)</f>
        <v>0</v>
      </c>
      <c s="125">
        <f>Предпосылки!AY$244*Предпосылки!$T254*Продажи!AZ19*AZ$19*(1+Чувствительность!$D$20)*IFERROR(LOOKUP(Предпосылки!$H$217,$C$13:$C$15,AZ$13:AZ$15),1)</f>
        <v>0</v>
      </c>
      <c s="125">
        <f>Предпосылки!AZ$244*Предпосылки!$T254*Продажи!BA19*BA$19*(1+Чувствительность!$D$20)*IFERROR(LOOKUP(Предпосылки!$H$217,$C$13:$C$15,BA$13:BA$15),1)</f>
        <v>0</v>
      </c>
      <c s="125">
        <f>Предпосылки!BA$244*Предпосылки!$T254*Продажи!BB19*BB$19*(1+Чувствительность!$D$20)*IFERROR(LOOKUP(Предпосылки!$H$217,$C$13:$C$15,BB$13:BB$15),1)</f>
        <v>0</v>
      </c>
      <c s="125">
        <f>Предпосылки!BB$244*Предпосылки!$T254*Продажи!BC19*BC$19*(1+Чувствительность!$D$20)*IFERROR(LOOKUP(Предпосылки!$H$217,$C$13:$C$15,BC$13:BC$15),1)</f>
        <v>0</v>
      </c>
      <c s="125">
        <f>Предпосылки!BC$244*Предпосылки!$T254*Продажи!BD19*BD$19*(1+Чувствительность!$D$20)*IFERROR(LOOKUP(Предпосылки!$H$217,$C$13:$C$15,BD$13:BD$15),1)</f>
        <v>0</v>
      </c>
      <c s="125">
        <f>Предпосылки!BD$244*Предпосылки!$T254*Продажи!BE19*BE$19*(1+Чувствительность!$D$20)*IFERROR(LOOKUP(Предпосылки!$H$217,$C$13:$C$15,BE$13:BE$15),1)</f>
        <v>0</v>
      </c>
      <c s="125">
        <f>Предпосылки!BE$244*Предпосылки!$T254*Продажи!BF19*BF$19*(1+Чувствительность!$D$20)*IFERROR(LOOKUP(Предпосылки!$H$217,$C$13:$C$15,BF$13:BF$15),1)</f>
        <v>0</v>
      </c>
      <c s="125">
        <f>Предпосылки!BF$244*Предпосылки!$T254*Продажи!BG19*BG$19*(1+Чувствительность!$D$20)*IFERROR(LOOKUP(Предпосылки!$H$217,$C$13:$C$15,BG$13:BG$15),1)</f>
        <v>0</v>
      </c>
      <c s="125">
        <f>Предпосылки!BG$244*Предпосылки!$T254*Продажи!BH19*BH$19*(1+Чувствительность!$D$20)*IFERROR(LOOKUP(Предпосылки!$H$217,$C$13:$C$15,BH$13:BH$15),1)</f>
        <v>0</v>
      </c>
      <c s="125">
        <f>Предпосылки!BH$244*Предпосылки!$T254*Продажи!BI19*BI$19*(1+Чувствительность!$D$20)*IFERROR(LOOKUP(Предпосылки!$H$217,$C$13:$C$15,BI$13:BI$15),1)</f>
        <v>0</v>
      </c>
      <c s="125">
        <f>Предпосылки!BI$244*Предпосылки!$T254*Продажи!BJ19*BJ$19*(1+Чувствительность!$D$20)*IFERROR(LOOKUP(Предпосылки!$H$217,$C$13:$C$15,BJ$13:BJ$15),1)</f>
        <v>0</v>
      </c>
      <c s="125">
        <f>Предпосылки!BJ$244*Предпосылки!$T254*Продажи!BK19*BK$19*(1+Чувствительность!$D$20)*IFERROR(LOOKUP(Предпосылки!$H$217,$C$13:$C$15,BK$13:BK$15),1)</f>
        <v>0</v>
      </c>
      <c s="125">
        <f>Предпосылки!BK$244*Предпосылки!$T254*Продажи!BL19*BL$19*(1+Чувствительность!$D$20)*IFERROR(LOOKUP(Предпосылки!$H$217,$C$13:$C$15,BL$13:BL$15),1)</f>
        <v>0</v>
      </c>
      <c s="125">
        <f>Предпосылки!BL$244*Предпосылки!$T254*Продажи!BM19*BM$19*(1+Чувствительность!$D$20)*IFERROR(LOOKUP(Предпосылки!$H$217,$C$13:$C$15,BM$13:BM$15),1)</f>
        <v>0</v>
      </c>
    </row>
    <row r="393" spans="2:65" ht="15" customHeight="1">
      <c r="B393" s="12" t="str">
        <f t="shared" si="141"/>
        <v>Продукт 3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Предпосылки!D$244*Предпосылки!$T255*Продажи!E20*E$19*(1+Чувствительность!$D$20)*IFERROR(LOOKUP(Предпосылки!$H$217,$C$13:$C$15,E$13:E$15),1)</f>
        <v>0</v>
      </c>
      <c s="125">
        <f>Предпосылки!E$244*Предпосылки!$T255*Продажи!F20*F$19*(1+Чувствительность!$D$20)*IFERROR(LOOKUP(Предпосылки!$H$217,$C$13:$C$15,F$13:F$15),1)</f>
        <v>0</v>
      </c>
      <c s="125">
        <f>Предпосылки!F$244*Предпосылки!$T255*Продажи!G20*G$19*(1+Чувствительность!$D$20)*IFERROR(LOOKUP(Предпосылки!$H$217,$C$13:$C$15,G$13:G$15),1)</f>
        <v>0</v>
      </c>
      <c s="125">
        <f>Предпосылки!G$244*Предпосылки!$T255*Продажи!H20*H$19*(1+Чувствительность!$D$20)*IFERROR(LOOKUP(Предпосылки!$H$217,$C$13:$C$15,H$13:H$15),1)</f>
        <v>0</v>
      </c>
      <c s="125">
        <f>Предпосылки!H$244*Предпосылки!$T255*Продажи!I20*I$19*(1+Чувствительность!$D$20)*IFERROR(LOOKUP(Предпосылки!$H$217,$C$13:$C$15,I$13:I$15),1)</f>
        <v>0</v>
      </c>
      <c s="125">
        <f>Предпосылки!I$244*Предпосылки!$T255*Продажи!J20*J$19*(1+Чувствительность!$D$20)*IFERROR(LOOKUP(Предпосылки!$H$217,$C$13:$C$15,J$13:J$15),1)</f>
        <v>0</v>
      </c>
      <c s="125">
        <f>Предпосылки!J$244*Предпосылки!$T255*Продажи!K20*K$19*(1+Чувствительность!$D$20)*IFERROR(LOOKUP(Предпосылки!$H$217,$C$13:$C$15,K$13:K$15),1)</f>
        <v>0</v>
      </c>
      <c s="125">
        <f>Предпосылки!K$244*Предпосылки!$T255*Продажи!L20*L$19*(1+Чувствительность!$D$20)*IFERROR(LOOKUP(Предпосылки!$H$217,$C$13:$C$15,L$13:L$15),1)</f>
        <v>0</v>
      </c>
      <c s="125">
        <f>Предпосылки!L$244*Предпосылки!$T255*Продажи!M20*M$19*(1+Чувствительность!$D$20)*IFERROR(LOOKUP(Предпосылки!$H$217,$C$13:$C$15,M$13:M$15),1)</f>
        <v>0</v>
      </c>
      <c s="125">
        <f>Предпосылки!M$244*Предпосылки!$T255*Продажи!N20*N$19*(1+Чувствительность!$D$20)*IFERROR(LOOKUP(Предпосылки!$H$217,$C$13:$C$15,N$13:N$15),1)</f>
        <v>0</v>
      </c>
      <c s="125">
        <f>Предпосылки!N$244*Предпосылки!$T255*Продажи!O20*O$19*(1+Чувствительность!$D$20)*IFERROR(LOOKUP(Предпосылки!$H$217,$C$13:$C$15,O$13:O$15),1)</f>
        <v>0</v>
      </c>
      <c s="125">
        <f>Предпосылки!O$244*Предпосылки!$T255*Продажи!P20*P$19*(1+Чувствительность!$D$20)*IFERROR(LOOKUP(Предпосылки!$H$217,$C$13:$C$15,P$13:P$15),1)</f>
        <v>0</v>
      </c>
      <c s="125">
        <f>Предпосылки!P$244*Предпосылки!$T255*Продажи!Q20*Q$19*(1+Чувствительность!$D$20)*IFERROR(LOOKUP(Предпосылки!$H$217,$C$13:$C$15,Q$13:Q$15),1)</f>
        <v>0</v>
      </c>
      <c s="125">
        <f>Предпосылки!Q$244*Предпосылки!$T255*Продажи!R20*R$19*(1+Чувствительность!$D$20)*IFERROR(LOOKUP(Предпосылки!$H$217,$C$13:$C$15,R$13:R$15),1)</f>
        <v>0</v>
      </c>
      <c s="125">
        <f>Предпосылки!R$244*Предпосылки!$T255*Продажи!S20*S$19*(1+Чувствительность!$D$20)*IFERROR(LOOKUP(Предпосылки!$H$217,$C$13:$C$15,S$13:S$15),1)</f>
        <v>0</v>
      </c>
      <c s="125">
        <f>Предпосылки!S$244*Предпосылки!$T255*Продажи!T20*T$19*(1+Чувствительность!$D$20)*IFERROR(LOOKUP(Предпосылки!$H$217,$C$13:$C$15,T$13:T$15),1)</f>
        <v>0</v>
      </c>
      <c s="125">
        <f>Предпосылки!T$244*Предпосылки!$T255*Продажи!U20*U$19*(1+Чувствительность!$D$20)*IFERROR(LOOKUP(Предпосылки!$H$217,$C$13:$C$15,U$13:U$15),1)</f>
        <v>0</v>
      </c>
      <c s="125">
        <f>Предпосылки!U$244*Предпосылки!$T255*Продажи!V20*V$19*(1+Чувствительность!$D$20)*IFERROR(LOOKUP(Предпосылки!$H$217,$C$13:$C$15,V$13:V$15),1)</f>
        <v>0</v>
      </c>
      <c s="125">
        <f>Предпосылки!V$244*Предпосылки!$T255*Продажи!W20*W$19*(1+Чувствительность!$D$20)*IFERROR(LOOKUP(Предпосылки!$H$217,$C$13:$C$15,W$13:W$15),1)</f>
        <v>0</v>
      </c>
      <c s="125">
        <f>Предпосылки!W$244*Предпосылки!$T255*Продажи!X20*X$19*(1+Чувствительность!$D$20)*IFERROR(LOOKUP(Предпосылки!$H$217,$C$13:$C$15,X$13:X$15),1)</f>
        <v>0</v>
      </c>
      <c s="125">
        <f>Предпосылки!X$244*Предпосылки!$T255*Продажи!Y20*Y$19*(1+Чувствительность!$D$20)*IFERROR(LOOKUP(Предпосылки!$H$217,$C$13:$C$15,Y$13:Y$15),1)</f>
        <v>0</v>
      </c>
      <c s="125">
        <f>Предпосылки!Y$244*Предпосылки!$T255*Продажи!Z20*Z$19*(1+Чувствительность!$D$20)*IFERROR(LOOKUP(Предпосылки!$H$217,$C$13:$C$15,Z$13:Z$15),1)</f>
        <v>0</v>
      </c>
      <c s="125">
        <f>Предпосылки!Z$244*Предпосылки!$T255*Продажи!AA20*AA$19*(1+Чувствительность!$D$20)*IFERROR(LOOKUP(Предпосылки!$H$217,$C$13:$C$15,AA$13:AA$15),1)</f>
        <v>0</v>
      </c>
      <c s="125">
        <f>Предпосылки!AA$244*Предпосылки!$T255*Продажи!AB20*AB$19*(1+Чувствительность!$D$20)*IFERROR(LOOKUP(Предпосылки!$H$217,$C$13:$C$15,AB$13:AB$15),1)</f>
        <v>0</v>
      </c>
      <c s="125">
        <f>Предпосылки!AB$244*Предпосылки!$T255*Продажи!AC20*AC$19*(1+Чувствительность!$D$20)*IFERROR(LOOKUP(Предпосылки!$H$217,$C$13:$C$15,AC$13:AC$15),1)</f>
        <v>0</v>
      </c>
      <c s="125">
        <f>Предпосылки!AC$244*Предпосылки!$T255*Продажи!AD20*AD$19*(1+Чувствительность!$D$20)*IFERROR(LOOKUP(Предпосылки!$H$217,$C$13:$C$15,AD$13:AD$15),1)</f>
        <v>0</v>
      </c>
      <c s="125">
        <f>Предпосылки!AD$244*Предпосылки!$T255*Продажи!AE20*AE$19*(1+Чувствительность!$D$20)*IFERROR(LOOKUP(Предпосылки!$H$217,$C$13:$C$15,AE$13:AE$15),1)</f>
        <v>0</v>
      </c>
      <c s="125">
        <f>Предпосылки!AE$244*Предпосылки!$T255*Продажи!AF20*AF$19*(1+Чувствительность!$D$20)*IFERROR(LOOKUP(Предпосылки!$H$217,$C$13:$C$15,AF$13:AF$15),1)</f>
        <v>0</v>
      </c>
      <c s="125">
        <f>Предпосылки!AF$244*Предпосылки!$T255*Продажи!AG20*AG$19*(1+Чувствительность!$D$20)*IFERROR(LOOKUP(Предпосылки!$H$217,$C$13:$C$15,AG$13:AG$15),1)</f>
        <v>0</v>
      </c>
      <c s="125">
        <f>Предпосылки!AG$244*Предпосылки!$T255*Продажи!AH20*AH$19*(1+Чувствительность!$D$20)*IFERROR(LOOKUP(Предпосылки!$H$217,$C$13:$C$15,AH$13:AH$15),1)</f>
        <v>0</v>
      </c>
      <c s="125">
        <f>Предпосылки!AH$244*Предпосылки!$T255*Продажи!AI20*AI$19*(1+Чувствительность!$D$20)*IFERROR(LOOKUP(Предпосылки!$H$217,$C$13:$C$15,AI$13:AI$15),1)</f>
        <v>0</v>
      </c>
      <c s="125">
        <f>Предпосылки!AI$244*Предпосылки!$T255*Продажи!AJ20*AJ$19*(1+Чувствительность!$D$20)*IFERROR(LOOKUP(Предпосылки!$H$217,$C$13:$C$15,AJ$13:AJ$15),1)</f>
        <v>0</v>
      </c>
      <c s="125">
        <f>Предпосылки!AJ$244*Предпосылки!$T255*Продажи!AK20*AK$19*(1+Чувствительность!$D$20)*IFERROR(LOOKUP(Предпосылки!$H$217,$C$13:$C$15,AK$13:AK$15),1)</f>
        <v>0</v>
      </c>
      <c s="125">
        <f>Предпосылки!AK$244*Предпосылки!$T255*Продажи!AL20*AL$19*(1+Чувствительность!$D$20)*IFERROR(LOOKUP(Предпосылки!$H$217,$C$13:$C$15,AL$13:AL$15),1)</f>
        <v>0</v>
      </c>
      <c s="125">
        <f>Предпосылки!AL$244*Предпосылки!$T255*Продажи!AM20*AM$19*(1+Чувствительность!$D$20)*IFERROR(LOOKUP(Предпосылки!$H$217,$C$13:$C$15,AM$13:AM$15),1)</f>
        <v>0</v>
      </c>
      <c s="125">
        <f>Предпосылки!AM$244*Предпосылки!$T255*Продажи!AN20*AN$19*(1+Чувствительность!$D$20)*IFERROR(LOOKUP(Предпосылки!$H$217,$C$13:$C$15,AN$13:AN$15),1)</f>
        <v>0</v>
      </c>
      <c s="125">
        <f>Предпосылки!AN$244*Предпосылки!$T255*Продажи!AO20*AO$19*(1+Чувствительность!$D$20)*IFERROR(LOOKUP(Предпосылки!$H$217,$C$13:$C$15,AO$13:AO$15),1)</f>
        <v>0</v>
      </c>
      <c s="125">
        <f>Предпосылки!AO$244*Предпосылки!$T255*Продажи!AP20*AP$19*(1+Чувствительность!$D$20)*IFERROR(LOOKUP(Предпосылки!$H$217,$C$13:$C$15,AP$13:AP$15),1)</f>
        <v>0</v>
      </c>
      <c s="125">
        <f>Предпосылки!AP$244*Предпосылки!$T255*Продажи!AQ20*AQ$19*(1+Чувствительность!$D$20)*IFERROR(LOOKUP(Предпосылки!$H$217,$C$13:$C$15,AQ$13:AQ$15),1)</f>
        <v>0</v>
      </c>
      <c s="125">
        <f>Предпосылки!AQ$244*Предпосылки!$T255*Продажи!AR20*AR$19*(1+Чувствительность!$D$20)*IFERROR(LOOKUP(Предпосылки!$H$217,$C$13:$C$15,AR$13:AR$15),1)</f>
        <v>0</v>
      </c>
      <c s="125">
        <f>Предпосылки!AR$244*Предпосылки!$T255*Продажи!AS20*AS$19*(1+Чувствительность!$D$20)*IFERROR(LOOKUP(Предпосылки!$H$217,$C$13:$C$15,AS$13:AS$15),1)</f>
        <v>0</v>
      </c>
      <c s="125">
        <f>Предпосылки!AS$244*Предпосылки!$T255*Продажи!AT20*AT$19*(1+Чувствительность!$D$20)*IFERROR(LOOKUP(Предпосылки!$H$217,$C$13:$C$15,AT$13:AT$15),1)</f>
        <v>0</v>
      </c>
      <c s="125">
        <f>Предпосылки!AT$244*Предпосылки!$T255*Продажи!AU20*AU$19*(1+Чувствительность!$D$20)*IFERROR(LOOKUP(Предпосылки!$H$217,$C$13:$C$15,AU$13:AU$15),1)</f>
        <v>0</v>
      </c>
      <c s="125">
        <f>Предпосылки!AU$244*Предпосылки!$T255*Продажи!AV20*AV$19*(1+Чувствительность!$D$20)*IFERROR(LOOKUP(Предпосылки!$H$217,$C$13:$C$15,AV$13:AV$15),1)</f>
        <v>0</v>
      </c>
      <c s="125">
        <f>Предпосылки!AV$244*Предпосылки!$T255*Продажи!AW20*AW$19*(1+Чувствительность!$D$20)*IFERROR(LOOKUP(Предпосылки!$H$217,$C$13:$C$15,AW$13:AW$15),1)</f>
        <v>0</v>
      </c>
      <c s="125">
        <f>Предпосылки!AW$244*Предпосылки!$T255*Продажи!AX20*AX$19*(1+Чувствительность!$D$20)*IFERROR(LOOKUP(Предпосылки!$H$217,$C$13:$C$15,AX$13:AX$15),1)</f>
        <v>0</v>
      </c>
      <c s="125">
        <f>Предпосылки!AX$244*Предпосылки!$T255*Продажи!AY20*AY$19*(1+Чувствительность!$D$20)*IFERROR(LOOKUP(Предпосылки!$H$217,$C$13:$C$15,AY$13:AY$15),1)</f>
        <v>0</v>
      </c>
      <c s="125">
        <f>Предпосылки!AY$244*Предпосылки!$T255*Продажи!AZ20*AZ$19*(1+Чувствительность!$D$20)*IFERROR(LOOKUP(Предпосылки!$H$217,$C$13:$C$15,AZ$13:AZ$15),1)</f>
        <v>0</v>
      </c>
      <c s="125">
        <f>Предпосылки!AZ$244*Предпосылки!$T255*Продажи!BA20*BA$19*(1+Чувствительность!$D$20)*IFERROR(LOOKUP(Предпосылки!$H$217,$C$13:$C$15,BA$13:BA$15),1)</f>
        <v>0</v>
      </c>
      <c s="125">
        <f>Предпосылки!BA$244*Предпосылки!$T255*Продажи!BB20*BB$19*(1+Чувствительность!$D$20)*IFERROR(LOOKUP(Предпосылки!$H$217,$C$13:$C$15,BB$13:BB$15),1)</f>
        <v>0</v>
      </c>
      <c s="125">
        <f>Предпосылки!BB$244*Предпосылки!$T255*Продажи!BC20*BC$19*(1+Чувствительность!$D$20)*IFERROR(LOOKUP(Предпосылки!$H$217,$C$13:$C$15,BC$13:BC$15),1)</f>
        <v>0</v>
      </c>
      <c s="125">
        <f>Предпосылки!BC$244*Предпосылки!$T255*Продажи!BD20*BD$19*(1+Чувствительность!$D$20)*IFERROR(LOOKUP(Предпосылки!$H$217,$C$13:$C$15,BD$13:BD$15),1)</f>
        <v>0</v>
      </c>
      <c s="125">
        <f>Предпосылки!BD$244*Предпосылки!$T255*Продажи!BE20*BE$19*(1+Чувствительность!$D$20)*IFERROR(LOOKUP(Предпосылки!$H$217,$C$13:$C$15,BE$13:BE$15),1)</f>
        <v>0</v>
      </c>
      <c s="125">
        <f>Предпосылки!BE$244*Предпосылки!$T255*Продажи!BF20*BF$19*(1+Чувствительность!$D$20)*IFERROR(LOOKUP(Предпосылки!$H$217,$C$13:$C$15,BF$13:BF$15),1)</f>
        <v>0</v>
      </c>
      <c s="125">
        <f>Предпосылки!BF$244*Предпосылки!$T255*Продажи!BG20*BG$19*(1+Чувствительность!$D$20)*IFERROR(LOOKUP(Предпосылки!$H$217,$C$13:$C$15,BG$13:BG$15),1)</f>
        <v>0</v>
      </c>
      <c s="125">
        <f>Предпосылки!BG$244*Предпосылки!$T255*Продажи!BH20*BH$19*(1+Чувствительность!$D$20)*IFERROR(LOOKUP(Предпосылки!$H$217,$C$13:$C$15,BH$13:BH$15),1)</f>
        <v>0</v>
      </c>
      <c s="125">
        <f>Предпосылки!BH$244*Предпосылки!$T255*Продажи!BI20*BI$19*(1+Чувствительность!$D$20)*IFERROR(LOOKUP(Предпосылки!$H$217,$C$13:$C$15,BI$13:BI$15),1)</f>
        <v>0</v>
      </c>
      <c s="125">
        <f>Предпосылки!BI$244*Предпосылки!$T255*Продажи!BJ20*BJ$19*(1+Чувствительность!$D$20)*IFERROR(LOOKUP(Предпосылки!$H$217,$C$13:$C$15,BJ$13:BJ$15),1)</f>
        <v>0</v>
      </c>
      <c s="125">
        <f>Предпосылки!BJ$244*Предпосылки!$T255*Продажи!BK20*BK$19*(1+Чувствительность!$D$20)*IFERROR(LOOKUP(Предпосылки!$H$217,$C$13:$C$15,BK$13:BK$15),1)</f>
        <v>0</v>
      </c>
      <c s="125">
        <f>Предпосылки!BK$244*Предпосылки!$T255*Продажи!BL20*BL$19*(1+Чувствительность!$D$20)*IFERROR(LOOKUP(Предпосылки!$H$217,$C$13:$C$15,BL$13:BL$15),1)</f>
        <v>0</v>
      </c>
      <c s="125">
        <f>Предпосылки!BL$244*Предпосылки!$T255*Продажи!BM20*BM$19*(1+Чувствительность!$D$20)*IFERROR(LOOKUP(Предпосылки!$H$217,$C$13:$C$15,BM$13:BM$15),1)</f>
        <v>0</v>
      </c>
    </row>
    <row r="394" spans="2:65" ht="15" customHeight="1">
      <c r="B394" s="12" t="str">
        <f t="shared" si="141"/>
        <v>Продукт 4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Предпосылки!D$244*Предпосылки!$T256*Продажи!E21*E$19*(1+Чувствительность!$D$20)*IFERROR(LOOKUP(Предпосылки!$H$217,$C$13:$C$15,E$13:E$15),1)</f>
        <v>0</v>
      </c>
      <c s="125">
        <f>Предпосылки!E$244*Предпосылки!$T256*Продажи!F21*F$19*(1+Чувствительность!$D$20)*IFERROR(LOOKUP(Предпосылки!$H$217,$C$13:$C$15,F$13:F$15),1)</f>
        <v>0</v>
      </c>
      <c s="125">
        <f>Предпосылки!F$244*Предпосылки!$T256*Продажи!G21*G$19*(1+Чувствительность!$D$20)*IFERROR(LOOKUP(Предпосылки!$H$217,$C$13:$C$15,G$13:G$15),1)</f>
        <v>0</v>
      </c>
      <c s="125">
        <f>Предпосылки!G$244*Предпосылки!$T256*Продажи!H21*H$19*(1+Чувствительность!$D$20)*IFERROR(LOOKUP(Предпосылки!$H$217,$C$13:$C$15,H$13:H$15),1)</f>
        <v>0</v>
      </c>
      <c s="125">
        <f>Предпосылки!H$244*Предпосылки!$T256*Продажи!I21*I$19*(1+Чувствительность!$D$20)*IFERROR(LOOKUP(Предпосылки!$H$217,$C$13:$C$15,I$13:I$15),1)</f>
        <v>0</v>
      </c>
      <c s="125">
        <f>Предпосылки!I$244*Предпосылки!$T256*Продажи!J21*J$19*(1+Чувствительность!$D$20)*IFERROR(LOOKUP(Предпосылки!$H$217,$C$13:$C$15,J$13:J$15),1)</f>
        <v>0</v>
      </c>
      <c s="125">
        <f>Предпосылки!J$244*Предпосылки!$T256*Продажи!K21*K$19*(1+Чувствительность!$D$20)*IFERROR(LOOKUP(Предпосылки!$H$217,$C$13:$C$15,K$13:K$15),1)</f>
        <v>0</v>
      </c>
      <c s="125">
        <f>Предпосылки!K$244*Предпосылки!$T256*Продажи!L21*L$19*(1+Чувствительность!$D$20)*IFERROR(LOOKUP(Предпосылки!$H$217,$C$13:$C$15,L$13:L$15),1)</f>
        <v>0</v>
      </c>
      <c s="125">
        <f>Предпосылки!L$244*Предпосылки!$T256*Продажи!M21*M$19*(1+Чувствительность!$D$20)*IFERROR(LOOKUP(Предпосылки!$H$217,$C$13:$C$15,M$13:M$15),1)</f>
        <v>0</v>
      </c>
      <c s="125">
        <f>Предпосылки!M$244*Предпосылки!$T256*Продажи!N21*N$19*(1+Чувствительность!$D$20)*IFERROR(LOOKUP(Предпосылки!$H$217,$C$13:$C$15,N$13:N$15),1)</f>
        <v>0</v>
      </c>
      <c s="125">
        <f>Предпосылки!N$244*Предпосылки!$T256*Продажи!O21*O$19*(1+Чувствительность!$D$20)*IFERROR(LOOKUP(Предпосылки!$H$217,$C$13:$C$15,O$13:O$15),1)</f>
        <v>0</v>
      </c>
      <c s="125">
        <f>Предпосылки!O$244*Предпосылки!$T256*Продажи!P21*P$19*(1+Чувствительность!$D$20)*IFERROR(LOOKUP(Предпосылки!$H$217,$C$13:$C$15,P$13:P$15),1)</f>
        <v>0</v>
      </c>
      <c s="125">
        <f>Предпосылки!P$244*Предпосылки!$T256*Продажи!Q21*Q$19*(1+Чувствительность!$D$20)*IFERROR(LOOKUP(Предпосылки!$H$217,$C$13:$C$15,Q$13:Q$15),1)</f>
        <v>0</v>
      </c>
      <c s="125">
        <f>Предпосылки!Q$244*Предпосылки!$T256*Продажи!R21*R$19*(1+Чувствительность!$D$20)*IFERROR(LOOKUP(Предпосылки!$H$217,$C$13:$C$15,R$13:R$15),1)</f>
        <v>0</v>
      </c>
      <c s="125">
        <f>Предпосылки!R$244*Предпосылки!$T256*Продажи!S21*S$19*(1+Чувствительность!$D$20)*IFERROR(LOOKUP(Предпосылки!$H$217,$C$13:$C$15,S$13:S$15),1)</f>
        <v>0</v>
      </c>
      <c s="125">
        <f>Предпосылки!S$244*Предпосылки!$T256*Продажи!T21*T$19*(1+Чувствительность!$D$20)*IFERROR(LOOKUP(Предпосылки!$H$217,$C$13:$C$15,T$13:T$15),1)</f>
        <v>0</v>
      </c>
      <c s="125">
        <f>Предпосылки!T$244*Предпосылки!$T256*Продажи!U21*U$19*(1+Чувствительность!$D$20)*IFERROR(LOOKUP(Предпосылки!$H$217,$C$13:$C$15,U$13:U$15),1)</f>
        <v>0</v>
      </c>
      <c s="125">
        <f>Предпосылки!U$244*Предпосылки!$T256*Продажи!V21*V$19*(1+Чувствительность!$D$20)*IFERROR(LOOKUP(Предпосылки!$H$217,$C$13:$C$15,V$13:V$15),1)</f>
        <v>0</v>
      </c>
      <c s="125">
        <f>Предпосылки!V$244*Предпосылки!$T256*Продажи!W21*W$19*(1+Чувствительность!$D$20)*IFERROR(LOOKUP(Предпосылки!$H$217,$C$13:$C$15,W$13:W$15),1)</f>
        <v>0</v>
      </c>
      <c s="125">
        <f>Предпосылки!W$244*Предпосылки!$T256*Продажи!X21*X$19*(1+Чувствительность!$D$20)*IFERROR(LOOKUP(Предпосылки!$H$217,$C$13:$C$15,X$13:X$15),1)</f>
        <v>0</v>
      </c>
      <c s="125">
        <f>Предпосылки!X$244*Предпосылки!$T256*Продажи!Y21*Y$19*(1+Чувствительность!$D$20)*IFERROR(LOOKUP(Предпосылки!$H$217,$C$13:$C$15,Y$13:Y$15),1)</f>
        <v>0</v>
      </c>
      <c s="125">
        <f>Предпосылки!Y$244*Предпосылки!$T256*Продажи!Z21*Z$19*(1+Чувствительность!$D$20)*IFERROR(LOOKUP(Предпосылки!$H$217,$C$13:$C$15,Z$13:Z$15),1)</f>
        <v>0</v>
      </c>
      <c s="125">
        <f>Предпосылки!Z$244*Предпосылки!$T256*Продажи!AA21*AA$19*(1+Чувствительность!$D$20)*IFERROR(LOOKUP(Предпосылки!$H$217,$C$13:$C$15,AA$13:AA$15),1)</f>
        <v>0</v>
      </c>
      <c s="125">
        <f>Предпосылки!AA$244*Предпосылки!$T256*Продажи!AB21*AB$19*(1+Чувствительность!$D$20)*IFERROR(LOOKUP(Предпосылки!$H$217,$C$13:$C$15,AB$13:AB$15),1)</f>
        <v>0</v>
      </c>
      <c s="125">
        <f>Предпосылки!AB$244*Предпосылки!$T256*Продажи!AC21*AC$19*(1+Чувствительность!$D$20)*IFERROR(LOOKUP(Предпосылки!$H$217,$C$13:$C$15,AC$13:AC$15),1)</f>
        <v>0</v>
      </c>
      <c s="125">
        <f>Предпосылки!AC$244*Предпосылки!$T256*Продажи!AD21*AD$19*(1+Чувствительность!$D$20)*IFERROR(LOOKUP(Предпосылки!$H$217,$C$13:$C$15,AD$13:AD$15),1)</f>
        <v>0</v>
      </c>
      <c s="125">
        <f>Предпосылки!AD$244*Предпосылки!$T256*Продажи!AE21*AE$19*(1+Чувствительность!$D$20)*IFERROR(LOOKUP(Предпосылки!$H$217,$C$13:$C$15,AE$13:AE$15),1)</f>
        <v>0</v>
      </c>
      <c s="125">
        <f>Предпосылки!AE$244*Предпосылки!$T256*Продажи!AF21*AF$19*(1+Чувствительность!$D$20)*IFERROR(LOOKUP(Предпосылки!$H$217,$C$13:$C$15,AF$13:AF$15),1)</f>
        <v>0</v>
      </c>
      <c s="125">
        <f>Предпосылки!AF$244*Предпосылки!$T256*Продажи!AG21*AG$19*(1+Чувствительность!$D$20)*IFERROR(LOOKUP(Предпосылки!$H$217,$C$13:$C$15,AG$13:AG$15),1)</f>
        <v>0</v>
      </c>
      <c s="125">
        <f>Предпосылки!AG$244*Предпосылки!$T256*Продажи!AH21*AH$19*(1+Чувствительность!$D$20)*IFERROR(LOOKUP(Предпосылки!$H$217,$C$13:$C$15,AH$13:AH$15),1)</f>
        <v>0</v>
      </c>
      <c s="125">
        <f>Предпосылки!AH$244*Предпосылки!$T256*Продажи!AI21*AI$19*(1+Чувствительность!$D$20)*IFERROR(LOOKUP(Предпосылки!$H$217,$C$13:$C$15,AI$13:AI$15),1)</f>
        <v>0</v>
      </c>
      <c s="125">
        <f>Предпосылки!AI$244*Предпосылки!$T256*Продажи!AJ21*AJ$19*(1+Чувствительность!$D$20)*IFERROR(LOOKUP(Предпосылки!$H$217,$C$13:$C$15,AJ$13:AJ$15),1)</f>
        <v>0</v>
      </c>
      <c s="125">
        <f>Предпосылки!AJ$244*Предпосылки!$T256*Продажи!AK21*AK$19*(1+Чувствительность!$D$20)*IFERROR(LOOKUP(Предпосылки!$H$217,$C$13:$C$15,AK$13:AK$15),1)</f>
        <v>0</v>
      </c>
      <c s="125">
        <f>Предпосылки!AK$244*Предпосылки!$T256*Продажи!AL21*AL$19*(1+Чувствительность!$D$20)*IFERROR(LOOKUP(Предпосылки!$H$217,$C$13:$C$15,AL$13:AL$15),1)</f>
        <v>0</v>
      </c>
      <c s="125">
        <f>Предпосылки!AL$244*Предпосылки!$T256*Продажи!AM21*AM$19*(1+Чувствительность!$D$20)*IFERROR(LOOKUP(Предпосылки!$H$217,$C$13:$C$15,AM$13:AM$15),1)</f>
        <v>0</v>
      </c>
      <c s="125">
        <f>Предпосылки!AM$244*Предпосылки!$T256*Продажи!AN21*AN$19*(1+Чувствительность!$D$20)*IFERROR(LOOKUP(Предпосылки!$H$217,$C$13:$C$15,AN$13:AN$15),1)</f>
        <v>0</v>
      </c>
      <c s="125">
        <f>Предпосылки!AN$244*Предпосылки!$T256*Продажи!AO21*AO$19*(1+Чувствительность!$D$20)*IFERROR(LOOKUP(Предпосылки!$H$217,$C$13:$C$15,AO$13:AO$15),1)</f>
        <v>0</v>
      </c>
      <c s="125">
        <f>Предпосылки!AO$244*Предпосылки!$T256*Продажи!AP21*AP$19*(1+Чувствительность!$D$20)*IFERROR(LOOKUP(Предпосылки!$H$217,$C$13:$C$15,AP$13:AP$15),1)</f>
        <v>0</v>
      </c>
      <c s="125">
        <f>Предпосылки!AP$244*Предпосылки!$T256*Продажи!AQ21*AQ$19*(1+Чувствительность!$D$20)*IFERROR(LOOKUP(Предпосылки!$H$217,$C$13:$C$15,AQ$13:AQ$15),1)</f>
        <v>0</v>
      </c>
      <c s="125">
        <f>Предпосылки!AQ$244*Предпосылки!$T256*Продажи!AR21*AR$19*(1+Чувствительность!$D$20)*IFERROR(LOOKUP(Предпосылки!$H$217,$C$13:$C$15,AR$13:AR$15),1)</f>
        <v>0</v>
      </c>
      <c s="125">
        <f>Предпосылки!AR$244*Предпосылки!$T256*Продажи!AS21*AS$19*(1+Чувствительность!$D$20)*IFERROR(LOOKUP(Предпосылки!$H$217,$C$13:$C$15,AS$13:AS$15),1)</f>
        <v>0</v>
      </c>
      <c s="125">
        <f>Предпосылки!AS$244*Предпосылки!$T256*Продажи!AT21*AT$19*(1+Чувствительность!$D$20)*IFERROR(LOOKUP(Предпосылки!$H$217,$C$13:$C$15,AT$13:AT$15),1)</f>
        <v>0</v>
      </c>
      <c s="125">
        <f>Предпосылки!AT$244*Предпосылки!$T256*Продажи!AU21*AU$19*(1+Чувствительность!$D$20)*IFERROR(LOOKUP(Предпосылки!$H$217,$C$13:$C$15,AU$13:AU$15),1)</f>
        <v>0</v>
      </c>
      <c s="125">
        <f>Предпосылки!AU$244*Предпосылки!$T256*Продажи!AV21*AV$19*(1+Чувствительность!$D$20)*IFERROR(LOOKUP(Предпосылки!$H$217,$C$13:$C$15,AV$13:AV$15),1)</f>
        <v>0</v>
      </c>
      <c s="125">
        <f>Предпосылки!AV$244*Предпосылки!$T256*Продажи!AW21*AW$19*(1+Чувствительность!$D$20)*IFERROR(LOOKUP(Предпосылки!$H$217,$C$13:$C$15,AW$13:AW$15),1)</f>
        <v>0</v>
      </c>
      <c s="125">
        <f>Предпосылки!AW$244*Предпосылки!$T256*Продажи!AX21*AX$19*(1+Чувствительность!$D$20)*IFERROR(LOOKUP(Предпосылки!$H$217,$C$13:$C$15,AX$13:AX$15),1)</f>
        <v>0</v>
      </c>
      <c s="125">
        <f>Предпосылки!AX$244*Предпосылки!$T256*Продажи!AY21*AY$19*(1+Чувствительность!$D$20)*IFERROR(LOOKUP(Предпосылки!$H$217,$C$13:$C$15,AY$13:AY$15),1)</f>
        <v>0</v>
      </c>
      <c s="125">
        <f>Предпосылки!AY$244*Предпосылки!$T256*Продажи!AZ21*AZ$19*(1+Чувствительность!$D$20)*IFERROR(LOOKUP(Предпосылки!$H$217,$C$13:$C$15,AZ$13:AZ$15),1)</f>
        <v>0</v>
      </c>
      <c s="125">
        <f>Предпосылки!AZ$244*Предпосылки!$T256*Продажи!BA21*BA$19*(1+Чувствительность!$D$20)*IFERROR(LOOKUP(Предпосылки!$H$217,$C$13:$C$15,BA$13:BA$15),1)</f>
        <v>0</v>
      </c>
      <c s="125">
        <f>Предпосылки!BA$244*Предпосылки!$T256*Продажи!BB21*BB$19*(1+Чувствительность!$D$20)*IFERROR(LOOKUP(Предпосылки!$H$217,$C$13:$C$15,BB$13:BB$15),1)</f>
        <v>0</v>
      </c>
      <c s="125">
        <f>Предпосылки!BB$244*Предпосылки!$T256*Продажи!BC21*BC$19*(1+Чувствительность!$D$20)*IFERROR(LOOKUP(Предпосылки!$H$217,$C$13:$C$15,BC$13:BC$15),1)</f>
        <v>0</v>
      </c>
      <c s="125">
        <f>Предпосылки!BC$244*Предпосылки!$T256*Продажи!BD21*BD$19*(1+Чувствительность!$D$20)*IFERROR(LOOKUP(Предпосылки!$H$217,$C$13:$C$15,BD$13:BD$15),1)</f>
        <v>0</v>
      </c>
      <c s="125">
        <f>Предпосылки!BD$244*Предпосылки!$T256*Продажи!BE21*BE$19*(1+Чувствительность!$D$20)*IFERROR(LOOKUP(Предпосылки!$H$217,$C$13:$C$15,BE$13:BE$15),1)</f>
        <v>0</v>
      </c>
      <c s="125">
        <f>Предпосылки!BE$244*Предпосылки!$T256*Продажи!BF21*BF$19*(1+Чувствительность!$D$20)*IFERROR(LOOKUP(Предпосылки!$H$217,$C$13:$C$15,BF$13:BF$15),1)</f>
        <v>0</v>
      </c>
      <c s="125">
        <f>Предпосылки!BF$244*Предпосылки!$T256*Продажи!BG21*BG$19*(1+Чувствительность!$D$20)*IFERROR(LOOKUP(Предпосылки!$H$217,$C$13:$C$15,BG$13:BG$15),1)</f>
        <v>0</v>
      </c>
      <c s="125">
        <f>Предпосылки!BG$244*Предпосылки!$T256*Продажи!BH21*BH$19*(1+Чувствительность!$D$20)*IFERROR(LOOKUP(Предпосылки!$H$217,$C$13:$C$15,BH$13:BH$15),1)</f>
        <v>0</v>
      </c>
      <c s="125">
        <f>Предпосылки!BH$244*Предпосылки!$T256*Продажи!BI21*BI$19*(1+Чувствительность!$D$20)*IFERROR(LOOKUP(Предпосылки!$H$217,$C$13:$C$15,BI$13:BI$15),1)</f>
        <v>0</v>
      </c>
      <c s="125">
        <f>Предпосылки!BI$244*Предпосылки!$T256*Продажи!BJ21*BJ$19*(1+Чувствительность!$D$20)*IFERROR(LOOKUP(Предпосылки!$H$217,$C$13:$C$15,BJ$13:BJ$15),1)</f>
        <v>0</v>
      </c>
      <c s="125">
        <f>Предпосылки!BJ$244*Предпосылки!$T256*Продажи!BK21*BK$19*(1+Чувствительность!$D$20)*IFERROR(LOOKUP(Предпосылки!$H$217,$C$13:$C$15,BK$13:BK$15),1)</f>
        <v>0</v>
      </c>
      <c s="125">
        <f>Предпосылки!BK$244*Предпосылки!$T256*Продажи!BL21*BL$19*(1+Чувствительность!$D$20)*IFERROR(LOOKUP(Предпосылки!$H$217,$C$13:$C$15,BL$13:BL$15),1)</f>
        <v>0</v>
      </c>
      <c s="125">
        <f>Предпосылки!BL$244*Предпосылки!$T256*Продажи!BM21*BM$19*(1+Чувствительность!$D$20)*IFERROR(LOOKUP(Предпосылки!$H$217,$C$13:$C$15,BM$13:BM$15),1)</f>
        <v>0</v>
      </c>
    </row>
    <row r="395" spans="2:65" ht="15" customHeight="1">
      <c r="B395" s="12" t="str">
        <f t="shared" si="141"/>
        <v>Продукт 5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Предпосылки!D$244*Предпосылки!$T257*Продажи!E22*E$19*(1+Чувствительность!$D$20)*IFERROR(LOOKUP(Предпосылки!$H$217,$C$13:$C$15,E$13:E$15),1)</f>
        <v>0</v>
      </c>
      <c s="125">
        <f>Предпосылки!E$244*Предпосылки!$T257*Продажи!F22*F$19*(1+Чувствительность!$D$20)*IFERROR(LOOKUP(Предпосылки!$H$217,$C$13:$C$15,F$13:F$15),1)</f>
        <v>0</v>
      </c>
      <c s="125">
        <f>Предпосылки!F$244*Предпосылки!$T257*Продажи!G22*G$19*(1+Чувствительность!$D$20)*IFERROR(LOOKUP(Предпосылки!$H$217,$C$13:$C$15,G$13:G$15),1)</f>
        <v>0</v>
      </c>
      <c s="125">
        <f>Предпосылки!G$244*Предпосылки!$T257*Продажи!H22*H$19*(1+Чувствительность!$D$20)*IFERROR(LOOKUP(Предпосылки!$H$217,$C$13:$C$15,H$13:H$15),1)</f>
        <v>0</v>
      </c>
      <c s="125">
        <f>Предпосылки!H$244*Предпосылки!$T257*Продажи!I22*I$19*(1+Чувствительность!$D$20)*IFERROR(LOOKUP(Предпосылки!$H$217,$C$13:$C$15,I$13:I$15),1)</f>
        <v>0</v>
      </c>
      <c s="125">
        <f>Предпосылки!I$244*Предпосылки!$T257*Продажи!J22*J$19*(1+Чувствительность!$D$20)*IFERROR(LOOKUP(Предпосылки!$H$217,$C$13:$C$15,J$13:J$15),1)</f>
        <v>0</v>
      </c>
      <c s="125">
        <f>Предпосылки!J$244*Предпосылки!$T257*Продажи!K22*K$19*(1+Чувствительность!$D$20)*IFERROR(LOOKUP(Предпосылки!$H$217,$C$13:$C$15,K$13:K$15),1)</f>
        <v>0</v>
      </c>
      <c s="125">
        <f>Предпосылки!K$244*Предпосылки!$T257*Продажи!L22*L$19*(1+Чувствительность!$D$20)*IFERROR(LOOKUP(Предпосылки!$H$217,$C$13:$C$15,L$13:L$15),1)</f>
        <v>0</v>
      </c>
      <c s="125">
        <f>Предпосылки!L$244*Предпосылки!$T257*Продажи!M22*M$19*(1+Чувствительность!$D$20)*IFERROR(LOOKUP(Предпосылки!$H$217,$C$13:$C$15,M$13:M$15),1)</f>
        <v>0</v>
      </c>
      <c s="125">
        <f>Предпосылки!M$244*Предпосылки!$T257*Продажи!N22*N$19*(1+Чувствительность!$D$20)*IFERROR(LOOKUP(Предпосылки!$H$217,$C$13:$C$15,N$13:N$15),1)</f>
        <v>0</v>
      </c>
      <c s="125">
        <f>Предпосылки!N$244*Предпосылки!$T257*Продажи!O22*O$19*(1+Чувствительность!$D$20)*IFERROR(LOOKUP(Предпосылки!$H$217,$C$13:$C$15,O$13:O$15),1)</f>
        <v>0</v>
      </c>
      <c s="125">
        <f>Предпосылки!O$244*Предпосылки!$T257*Продажи!P22*P$19*(1+Чувствительность!$D$20)*IFERROR(LOOKUP(Предпосылки!$H$217,$C$13:$C$15,P$13:P$15),1)</f>
        <v>0</v>
      </c>
      <c s="125">
        <f>Предпосылки!P$244*Предпосылки!$T257*Продажи!Q22*Q$19*(1+Чувствительность!$D$20)*IFERROR(LOOKUP(Предпосылки!$H$217,$C$13:$C$15,Q$13:Q$15),1)</f>
        <v>0</v>
      </c>
      <c s="125">
        <f>Предпосылки!Q$244*Предпосылки!$T257*Продажи!R22*R$19*(1+Чувствительность!$D$20)*IFERROR(LOOKUP(Предпосылки!$H$217,$C$13:$C$15,R$13:R$15),1)</f>
        <v>0</v>
      </c>
      <c s="125">
        <f>Предпосылки!R$244*Предпосылки!$T257*Продажи!S22*S$19*(1+Чувствительность!$D$20)*IFERROR(LOOKUP(Предпосылки!$H$217,$C$13:$C$15,S$13:S$15),1)</f>
        <v>0</v>
      </c>
      <c s="125">
        <f>Предпосылки!S$244*Предпосылки!$T257*Продажи!T22*T$19*(1+Чувствительность!$D$20)*IFERROR(LOOKUP(Предпосылки!$H$217,$C$13:$C$15,T$13:T$15),1)</f>
        <v>0</v>
      </c>
      <c s="125">
        <f>Предпосылки!T$244*Предпосылки!$T257*Продажи!U22*U$19*(1+Чувствительность!$D$20)*IFERROR(LOOKUP(Предпосылки!$H$217,$C$13:$C$15,U$13:U$15),1)</f>
        <v>0</v>
      </c>
      <c s="125">
        <f>Предпосылки!U$244*Предпосылки!$T257*Продажи!V22*V$19*(1+Чувствительность!$D$20)*IFERROR(LOOKUP(Предпосылки!$H$217,$C$13:$C$15,V$13:V$15),1)</f>
        <v>0</v>
      </c>
      <c s="125">
        <f>Предпосылки!V$244*Предпосылки!$T257*Продажи!W22*W$19*(1+Чувствительность!$D$20)*IFERROR(LOOKUP(Предпосылки!$H$217,$C$13:$C$15,W$13:W$15),1)</f>
        <v>0</v>
      </c>
      <c s="125">
        <f>Предпосылки!W$244*Предпосылки!$T257*Продажи!X22*X$19*(1+Чувствительность!$D$20)*IFERROR(LOOKUP(Предпосылки!$H$217,$C$13:$C$15,X$13:X$15),1)</f>
        <v>0</v>
      </c>
      <c s="125">
        <f>Предпосылки!X$244*Предпосылки!$T257*Продажи!Y22*Y$19*(1+Чувствительность!$D$20)*IFERROR(LOOKUP(Предпосылки!$H$217,$C$13:$C$15,Y$13:Y$15),1)</f>
        <v>0</v>
      </c>
      <c s="125">
        <f>Предпосылки!Y$244*Предпосылки!$T257*Продажи!Z22*Z$19*(1+Чувствительность!$D$20)*IFERROR(LOOKUP(Предпосылки!$H$217,$C$13:$C$15,Z$13:Z$15),1)</f>
        <v>0</v>
      </c>
      <c s="125">
        <f>Предпосылки!Z$244*Предпосылки!$T257*Продажи!AA22*AA$19*(1+Чувствительность!$D$20)*IFERROR(LOOKUP(Предпосылки!$H$217,$C$13:$C$15,AA$13:AA$15),1)</f>
        <v>0</v>
      </c>
      <c s="125">
        <f>Предпосылки!AA$244*Предпосылки!$T257*Продажи!AB22*AB$19*(1+Чувствительность!$D$20)*IFERROR(LOOKUP(Предпосылки!$H$217,$C$13:$C$15,AB$13:AB$15),1)</f>
        <v>0</v>
      </c>
      <c s="125">
        <f>Предпосылки!AB$244*Предпосылки!$T257*Продажи!AC22*AC$19*(1+Чувствительность!$D$20)*IFERROR(LOOKUP(Предпосылки!$H$217,$C$13:$C$15,AC$13:AC$15),1)</f>
        <v>0</v>
      </c>
      <c s="125">
        <f>Предпосылки!AC$244*Предпосылки!$T257*Продажи!AD22*AD$19*(1+Чувствительность!$D$20)*IFERROR(LOOKUP(Предпосылки!$H$217,$C$13:$C$15,AD$13:AD$15),1)</f>
        <v>0</v>
      </c>
      <c s="125">
        <f>Предпосылки!AD$244*Предпосылки!$T257*Продажи!AE22*AE$19*(1+Чувствительность!$D$20)*IFERROR(LOOKUP(Предпосылки!$H$217,$C$13:$C$15,AE$13:AE$15),1)</f>
        <v>0</v>
      </c>
      <c s="125">
        <f>Предпосылки!AE$244*Предпосылки!$T257*Продажи!AF22*AF$19*(1+Чувствительность!$D$20)*IFERROR(LOOKUP(Предпосылки!$H$217,$C$13:$C$15,AF$13:AF$15),1)</f>
        <v>0</v>
      </c>
      <c s="125">
        <f>Предпосылки!AF$244*Предпосылки!$T257*Продажи!AG22*AG$19*(1+Чувствительность!$D$20)*IFERROR(LOOKUP(Предпосылки!$H$217,$C$13:$C$15,AG$13:AG$15),1)</f>
        <v>0</v>
      </c>
      <c s="125">
        <f>Предпосылки!AG$244*Предпосылки!$T257*Продажи!AH22*AH$19*(1+Чувствительность!$D$20)*IFERROR(LOOKUP(Предпосылки!$H$217,$C$13:$C$15,AH$13:AH$15),1)</f>
        <v>0</v>
      </c>
      <c s="125">
        <f>Предпосылки!AH$244*Предпосылки!$T257*Продажи!AI22*AI$19*(1+Чувствительность!$D$20)*IFERROR(LOOKUP(Предпосылки!$H$217,$C$13:$C$15,AI$13:AI$15),1)</f>
        <v>0</v>
      </c>
      <c s="125">
        <f>Предпосылки!AI$244*Предпосылки!$T257*Продажи!AJ22*AJ$19*(1+Чувствительность!$D$20)*IFERROR(LOOKUP(Предпосылки!$H$217,$C$13:$C$15,AJ$13:AJ$15),1)</f>
        <v>0</v>
      </c>
      <c s="125">
        <f>Предпосылки!AJ$244*Предпосылки!$T257*Продажи!AK22*AK$19*(1+Чувствительность!$D$20)*IFERROR(LOOKUP(Предпосылки!$H$217,$C$13:$C$15,AK$13:AK$15),1)</f>
        <v>0</v>
      </c>
      <c s="125">
        <f>Предпосылки!AK$244*Предпосылки!$T257*Продажи!AL22*AL$19*(1+Чувствительность!$D$20)*IFERROR(LOOKUP(Предпосылки!$H$217,$C$13:$C$15,AL$13:AL$15),1)</f>
        <v>0</v>
      </c>
      <c s="125">
        <f>Предпосылки!AL$244*Предпосылки!$T257*Продажи!AM22*AM$19*(1+Чувствительность!$D$20)*IFERROR(LOOKUP(Предпосылки!$H$217,$C$13:$C$15,AM$13:AM$15),1)</f>
        <v>0</v>
      </c>
      <c s="125">
        <f>Предпосылки!AM$244*Предпосылки!$T257*Продажи!AN22*AN$19*(1+Чувствительность!$D$20)*IFERROR(LOOKUP(Предпосылки!$H$217,$C$13:$C$15,AN$13:AN$15),1)</f>
        <v>0</v>
      </c>
      <c s="125">
        <f>Предпосылки!AN$244*Предпосылки!$T257*Продажи!AO22*AO$19*(1+Чувствительность!$D$20)*IFERROR(LOOKUP(Предпосылки!$H$217,$C$13:$C$15,AO$13:AO$15),1)</f>
        <v>0</v>
      </c>
      <c s="125">
        <f>Предпосылки!AO$244*Предпосылки!$T257*Продажи!AP22*AP$19*(1+Чувствительность!$D$20)*IFERROR(LOOKUP(Предпосылки!$H$217,$C$13:$C$15,AP$13:AP$15),1)</f>
        <v>0</v>
      </c>
      <c s="125">
        <f>Предпосылки!AP$244*Предпосылки!$T257*Продажи!AQ22*AQ$19*(1+Чувствительность!$D$20)*IFERROR(LOOKUP(Предпосылки!$H$217,$C$13:$C$15,AQ$13:AQ$15),1)</f>
        <v>0</v>
      </c>
      <c s="125">
        <f>Предпосылки!AQ$244*Предпосылки!$T257*Продажи!AR22*AR$19*(1+Чувствительность!$D$20)*IFERROR(LOOKUP(Предпосылки!$H$217,$C$13:$C$15,AR$13:AR$15),1)</f>
        <v>0</v>
      </c>
      <c s="125">
        <f>Предпосылки!AR$244*Предпосылки!$T257*Продажи!AS22*AS$19*(1+Чувствительность!$D$20)*IFERROR(LOOKUP(Предпосылки!$H$217,$C$13:$C$15,AS$13:AS$15),1)</f>
        <v>0</v>
      </c>
      <c s="125">
        <f>Предпосылки!AS$244*Предпосылки!$T257*Продажи!AT22*AT$19*(1+Чувствительность!$D$20)*IFERROR(LOOKUP(Предпосылки!$H$217,$C$13:$C$15,AT$13:AT$15),1)</f>
        <v>0</v>
      </c>
      <c s="125">
        <f>Предпосылки!AT$244*Предпосылки!$T257*Продажи!AU22*AU$19*(1+Чувствительность!$D$20)*IFERROR(LOOKUP(Предпосылки!$H$217,$C$13:$C$15,AU$13:AU$15),1)</f>
        <v>0</v>
      </c>
      <c s="125">
        <f>Предпосылки!AU$244*Предпосылки!$T257*Продажи!AV22*AV$19*(1+Чувствительность!$D$20)*IFERROR(LOOKUP(Предпосылки!$H$217,$C$13:$C$15,AV$13:AV$15),1)</f>
        <v>0</v>
      </c>
      <c s="125">
        <f>Предпосылки!AV$244*Предпосылки!$T257*Продажи!AW22*AW$19*(1+Чувствительность!$D$20)*IFERROR(LOOKUP(Предпосылки!$H$217,$C$13:$C$15,AW$13:AW$15),1)</f>
        <v>0</v>
      </c>
      <c s="125">
        <f>Предпосылки!AW$244*Предпосылки!$T257*Продажи!AX22*AX$19*(1+Чувствительность!$D$20)*IFERROR(LOOKUP(Предпосылки!$H$217,$C$13:$C$15,AX$13:AX$15),1)</f>
        <v>0</v>
      </c>
      <c s="125">
        <f>Предпосылки!AX$244*Предпосылки!$T257*Продажи!AY22*AY$19*(1+Чувствительность!$D$20)*IFERROR(LOOKUP(Предпосылки!$H$217,$C$13:$C$15,AY$13:AY$15),1)</f>
        <v>0</v>
      </c>
      <c s="125">
        <f>Предпосылки!AY$244*Предпосылки!$T257*Продажи!AZ22*AZ$19*(1+Чувствительность!$D$20)*IFERROR(LOOKUP(Предпосылки!$H$217,$C$13:$C$15,AZ$13:AZ$15),1)</f>
        <v>0</v>
      </c>
      <c s="125">
        <f>Предпосылки!AZ$244*Предпосылки!$T257*Продажи!BA22*BA$19*(1+Чувствительность!$D$20)*IFERROR(LOOKUP(Предпосылки!$H$217,$C$13:$C$15,BA$13:BA$15),1)</f>
        <v>0</v>
      </c>
      <c s="125">
        <f>Предпосылки!BA$244*Предпосылки!$T257*Продажи!BB22*BB$19*(1+Чувствительность!$D$20)*IFERROR(LOOKUP(Предпосылки!$H$217,$C$13:$C$15,BB$13:BB$15),1)</f>
        <v>0</v>
      </c>
      <c s="125">
        <f>Предпосылки!BB$244*Предпосылки!$T257*Продажи!BC22*BC$19*(1+Чувствительность!$D$20)*IFERROR(LOOKUP(Предпосылки!$H$217,$C$13:$C$15,BC$13:BC$15),1)</f>
        <v>0</v>
      </c>
      <c s="125">
        <f>Предпосылки!BC$244*Предпосылки!$T257*Продажи!BD22*BD$19*(1+Чувствительность!$D$20)*IFERROR(LOOKUP(Предпосылки!$H$217,$C$13:$C$15,BD$13:BD$15),1)</f>
        <v>0</v>
      </c>
      <c s="125">
        <f>Предпосылки!BD$244*Предпосылки!$T257*Продажи!BE22*BE$19*(1+Чувствительность!$D$20)*IFERROR(LOOKUP(Предпосылки!$H$217,$C$13:$C$15,BE$13:BE$15),1)</f>
        <v>0</v>
      </c>
      <c s="125">
        <f>Предпосылки!BE$244*Предпосылки!$T257*Продажи!BF22*BF$19*(1+Чувствительность!$D$20)*IFERROR(LOOKUP(Предпосылки!$H$217,$C$13:$C$15,BF$13:BF$15),1)</f>
        <v>0</v>
      </c>
      <c s="125">
        <f>Предпосылки!BF$244*Предпосылки!$T257*Продажи!BG22*BG$19*(1+Чувствительность!$D$20)*IFERROR(LOOKUP(Предпосылки!$H$217,$C$13:$C$15,BG$13:BG$15),1)</f>
        <v>0</v>
      </c>
      <c s="125">
        <f>Предпосылки!BG$244*Предпосылки!$T257*Продажи!BH22*BH$19*(1+Чувствительность!$D$20)*IFERROR(LOOKUP(Предпосылки!$H$217,$C$13:$C$15,BH$13:BH$15),1)</f>
        <v>0</v>
      </c>
      <c s="125">
        <f>Предпосылки!BH$244*Предпосылки!$T257*Продажи!BI22*BI$19*(1+Чувствительность!$D$20)*IFERROR(LOOKUP(Предпосылки!$H$217,$C$13:$C$15,BI$13:BI$15),1)</f>
        <v>0</v>
      </c>
      <c s="125">
        <f>Предпосылки!BI$244*Предпосылки!$T257*Продажи!BJ22*BJ$19*(1+Чувствительность!$D$20)*IFERROR(LOOKUP(Предпосылки!$H$217,$C$13:$C$15,BJ$13:BJ$15),1)</f>
        <v>0</v>
      </c>
      <c s="125">
        <f>Предпосылки!BJ$244*Предпосылки!$T257*Продажи!BK22*BK$19*(1+Чувствительность!$D$20)*IFERROR(LOOKUP(Предпосылки!$H$217,$C$13:$C$15,BK$13:BK$15),1)</f>
        <v>0</v>
      </c>
      <c s="125">
        <f>Предпосылки!BK$244*Предпосылки!$T257*Продажи!BL22*BL$19*(1+Чувствительность!$D$20)*IFERROR(LOOKUP(Предпосылки!$H$217,$C$13:$C$15,BL$13:BL$15),1)</f>
        <v>0</v>
      </c>
      <c s="125">
        <f>Предпосылки!BL$244*Предпосылки!$T257*Продажи!BM22*BM$19*(1+Чувствительность!$D$20)*IFERROR(LOOKUP(Предпосылки!$H$217,$C$13:$C$15,BM$13:BM$15),1)</f>
        <v>0</v>
      </c>
    </row>
    <row r="396" spans="2:65" ht="15" customHeight="1">
      <c r="B396" s="12" t="str">
        <f t="shared" si="141"/>
        <v>Продукт 6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Предпосылки!D$244*Предпосылки!$T258*Продажи!E23*E$19*(1+Чувствительность!$D$20)*IFERROR(LOOKUP(Предпосылки!$H$217,$C$13:$C$15,E$13:E$15),1)</f>
        <v>0</v>
      </c>
      <c s="125">
        <f>Предпосылки!E$244*Предпосылки!$T258*Продажи!F23*F$19*(1+Чувствительность!$D$20)*IFERROR(LOOKUP(Предпосылки!$H$217,$C$13:$C$15,F$13:F$15),1)</f>
        <v>0</v>
      </c>
      <c s="125">
        <f>Предпосылки!F$244*Предпосылки!$T258*Продажи!G23*G$19*(1+Чувствительность!$D$20)*IFERROR(LOOKUP(Предпосылки!$H$217,$C$13:$C$15,G$13:G$15),1)</f>
        <v>0</v>
      </c>
      <c s="125">
        <f>Предпосылки!G$244*Предпосылки!$T258*Продажи!H23*H$19*(1+Чувствительность!$D$20)*IFERROR(LOOKUP(Предпосылки!$H$217,$C$13:$C$15,H$13:H$15),1)</f>
        <v>0</v>
      </c>
      <c s="125">
        <f>Предпосылки!H$244*Предпосылки!$T258*Продажи!I23*I$19*(1+Чувствительность!$D$20)*IFERROR(LOOKUP(Предпосылки!$H$217,$C$13:$C$15,I$13:I$15),1)</f>
        <v>0</v>
      </c>
      <c s="125">
        <f>Предпосылки!I$244*Предпосылки!$T258*Продажи!J23*J$19*(1+Чувствительность!$D$20)*IFERROR(LOOKUP(Предпосылки!$H$217,$C$13:$C$15,J$13:J$15),1)</f>
        <v>0</v>
      </c>
      <c s="125">
        <f>Предпосылки!J$244*Предпосылки!$T258*Продажи!K23*K$19*(1+Чувствительность!$D$20)*IFERROR(LOOKUP(Предпосылки!$H$217,$C$13:$C$15,K$13:K$15),1)</f>
        <v>0</v>
      </c>
      <c s="125">
        <f>Предпосылки!K$244*Предпосылки!$T258*Продажи!L23*L$19*(1+Чувствительность!$D$20)*IFERROR(LOOKUP(Предпосылки!$H$217,$C$13:$C$15,L$13:L$15),1)</f>
        <v>0</v>
      </c>
      <c s="125">
        <f>Предпосылки!L$244*Предпосылки!$T258*Продажи!M23*M$19*(1+Чувствительность!$D$20)*IFERROR(LOOKUP(Предпосылки!$H$217,$C$13:$C$15,M$13:M$15),1)</f>
        <v>0</v>
      </c>
      <c s="125">
        <f>Предпосылки!M$244*Предпосылки!$T258*Продажи!N23*N$19*(1+Чувствительность!$D$20)*IFERROR(LOOKUP(Предпосылки!$H$217,$C$13:$C$15,N$13:N$15),1)</f>
        <v>0</v>
      </c>
      <c s="125">
        <f>Предпосылки!N$244*Предпосылки!$T258*Продажи!O23*O$19*(1+Чувствительность!$D$20)*IFERROR(LOOKUP(Предпосылки!$H$217,$C$13:$C$15,O$13:O$15),1)</f>
        <v>0</v>
      </c>
      <c s="125">
        <f>Предпосылки!O$244*Предпосылки!$T258*Продажи!P23*P$19*(1+Чувствительность!$D$20)*IFERROR(LOOKUP(Предпосылки!$H$217,$C$13:$C$15,P$13:P$15),1)</f>
        <v>0</v>
      </c>
      <c s="125">
        <f>Предпосылки!P$244*Предпосылки!$T258*Продажи!Q23*Q$19*(1+Чувствительность!$D$20)*IFERROR(LOOKUP(Предпосылки!$H$217,$C$13:$C$15,Q$13:Q$15),1)</f>
        <v>0</v>
      </c>
      <c s="125">
        <f>Предпосылки!Q$244*Предпосылки!$T258*Продажи!R23*R$19*(1+Чувствительность!$D$20)*IFERROR(LOOKUP(Предпосылки!$H$217,$C$13:$C$15,R$13:R$15),1)</f>
        <v>0</v>
      </c>
      <c s="125">
        <f>Предпосылки!R$244*Предпосылки!$T258*Продажи!S23*S$19*(1+Чувствительность!$D$20)*IFERROR(LOOKUP(Предпосылки!$H$217,$C$13:$C$15,S$13:S$15),1)</f>
        <v>0</v>
      </c>
      <c s="125">
        <f>Предпосылки!S$244*Предпосылки!$T258*Продажи!T23*T$19*(1+Чувствительность!$D$20)*IFERROR(LOOKUP(Предпосылки!$H$217,$C$13:$C$15,T$13:T$15),1)</f>
        <v>0</v>
      </c>
      <c s="125">
        <f>Предпосылки!T$244*Предпосылки!$T258*Продажи!U23*U$19*(1+Чувствительность!$D$20)*IFERROR(LOOKUP(Предпосылки!$H$217,$C$13:$C$15,U$13:U$15),1)</f>
        <v>0</v>
      </c>
      <c s="125">
        <f>Предпосылки!U$244*Предпосылки!$T258*Продажи!V23*V$19*(1+Чувствительность!$D$20)*IFERROR(LOOKUP(Предпосылки!$H$217,$C$13:$C$15,V$13:V$15),1)</f>
        <v>0</v>
      </c>
      <c s="125">
        <f>Предпосылки!V$244*Предпосылки!$T258*Продажи!W23*W$19*(1+Чувствительность!$D$20)*IFERROR(LOOKUP(Предпосылки!$H$217,$C$13:$C$15,W$13:W$15),1)</f>
        <v>0</v>
      </c>
      <c s="125">
        <f>Предпосылки!W$244*Предпосылки!$T258*Продажи!X23*X$19*(1+Чувствительность!$D$20)*IFERROR(LOOKUP(Предпосылки!$H$217,$C$13:$C$15,X$13:X$15),1)</f>
        <v>0</v>
      </c>
      <c s="125">
        <f>Предпосылки!X$244*Предпосылки!$T258*Продажи!Y23*Y$19*(1+Чувствительность!$D$20)*IFERROR(LOOKUP(Предпосылки!$H$217,$C$13:$C$15,Y$13:Y$15),1)</f>
        <v>0</v>
      </c>
      <c s="125">
        <f>Предпосылки!Y$244*Предпосылки!$T258*Продажи!Z23*Z$19*(1+Чувствительность!$D$20)*IFERROR(LOOKUP(Предпосылки!$H$217,$C$13:$C$15,Z$13:Z$15),1)</f>
        <v>0</v>
      </c>
      <c s="125">
        <f>Предпосылки!Z$244*Предпосылки!$T258*Продажи!AA23*AA$19*(1+Чувствительность!$D$20)*IFERROR(LOOKUP(Предпосылки!$H$217,$C$13:$C$15,AA$13:AA$15),1)</f>
        <v>0</v>
      </c>
      <c s="125">
        <f>Предпосылки!AA$244*Предпосылки!$T258*Продажи!AB23*AB$19*(1+Чувствительность!$D$20)*IFERROR(LOOKUP(Предпосылки!$H$217,$C$13:$C$15,AB$13:AB$15),1)</f>
        <v>0</v>
      </c>
      <c s="125">
        <f>Предпосылки!AB$244*Предпосылки!$T258*Продажи!AC23*AC$19*(1+Чувствительность!$D$20)*IFERROR(LOOKUP(Предпосылки!$H$217,$C$13:$C$15,AC$13:AC$15),1)</f>
        <v>0</v>
      </c>
      <c s="125">
        <f>Предпосылки!AC$244*Предпосылки!$T258*Продажи!AD23*AD$19*(1+Чувствительность!$D$20)*IFERROR(LOOKUP(Предпосылки!$H$217,$C$13:$C$15,AD$13:AD$15),1)</f>
        <v>0</v>
      </c>
      <c s="125">
        <f>Предпосылки!AD$244*Предпосылки!$T258*Продажи!AE23*AE$19*(1+Чувствительность!$D$20)*IFERROR(LOOKUP(Предпосылки!$H$217,$C$13:$C$15,AE$13:AE$15),1)</f>
        <v>0</v>
      </c>
      <c s="125">
        <f>Предпосылки!AE$244*Предпосылки!$T258*Продажи!AF23*AF$19*(1+Чувствительность!$D$20)*IFERROR(LOOKUP(Предпосылки!$H$217,$C$13:$C$15,AF$13:AF$15),1)</f>
        <v>0</v>
      </c>
      <c s="125">
        <f>Предпосылки!AF$244*Предпосылки!$T258*Продажи!AG23*AG$19*(1+Чувствительность!$D$20)*IFERROR(LOOKUP(Предпосылки!$H$217,$C$13:$C$15,AG$13:AG$15),1)</f>
        <v>0</v>
      </c>
      <c s="125">
        <f>Предпосылки!AG$244*Предпосылки!$T258*Продажи!AH23*AH$19*(1+Чувствительность!$D$20)*IFERROR(LOOKUP(Предпосылки!$H$217,$C$13:$C$15,AH$13:AH$15),1)</f>
        <v>0</v>
      </c>
      <c s="125">
        <f>Предпосылки!AH$244*Предпосылки!$T258*Продажи!AI23*AI$19*(1+Чувствительность!$D$20)*IFERROR(LOOKUP(Предпосылки!$H$217,$C$13:$C$15,AI$13:AI$15),1)</f>
        <v>0</v>
      </c>
      <c s="125">
        <f>Предпосылки!AI$244*Предпосылки!$T258*Продажи!AJ23*AJ$19*(1+Чувствительность!$D$20)*IFERROR(LOOKUP(Предпосылки!$H$217,$C$13:$C$15,AJ$13:AJ$15),1)</f>
        <v>0</v>
      </c>
      <c s="125">
        <f>Предпосылки!AJ$244*Предпосылки!$T258*Продажи!AK23*AK$19*(1+Чувствительность!$D$20)*IFERROR(LOOKUP(Предпосылки!$H$217,$C$13:$C$15,AK$13:AK$15),1)</f>
        <v>0</v>
      </c>
      <c s="125">
        <f>Предпосылки!AK$244*Предпосылки!$T258*Продажи!AL23*AL$19*(1+Чувствительность!$D$20)*IFERROR(LOOKUP(Предпосылки!$H$217,$C$13:$C$15,AL$13:AL$15),1)</f>
        <v>0</v>
      </c>
      <c s="125">
        <f>Предпосылки!AL$244*Предпосылки!$T258*Продажи!AM23*AM$19*(1+Чувствительность!$D$20)*IFERROR(LOOKUP(Предпосылки!$H$217,$C$13:$C$15,AM$13:AM$15),1)</f>
        <v>0</v>
      </c>
      <c s="125">
        <f>Предпосылки!AM$244*Предпосылки!$T258*Продажи!AN23*AN$19*(1+Чувствительность!$D$20)*IFERROR(LOOKUP(Предпосылки!$H$217,$C$13:$C$15,AN$13:AN$15),1)</f>
        <v>0</v>
      </c>
      <c s="125">
        <f>Предпосылки!AN$244*Предпосылки!$T258*Продажи!AO23*AO$19*(1+Чувствительность!$D$20)*IFERROR(LOOKUP(Предпосылки!$H$217,$C$13:$C$15,AO$13:AO$15),1)</f>
        <v>0</v>
      </c>
      <c s="125">
        <f>Предпосылки!AO$244*Предпосылки!$T258*Продажи!AP23*AP$19*(1+Чувствительность!$D$20)*IFERROR(LOOKUP(Предпосылки!$H$217,$C$13:$C$15,AP$13:AP$15),1)</f>
        <v>0</v>
      </c>
      <c s="125">
        <f>Предпосылки!AP$244*Предпосылки!$T258*Продажи!AQ23*AQ$19*(1+Чувствительность!$D$20)*IFERROR(LOOKUP(Предпосылки!$H$217,$C$13:$C$15,AQ$13:AQ$15),1)</f>
        <v>0</v>
      </c>
      <c s="125">
        <f>Предпосылки!AQ$244*Предпосылки!$T258*Продажи!AR23*AR$19*(1+Чувствительность!$D$20)*IFERROR(LOOKUP(Предпосылки!$H$217,$C$13:$C$15,AR$13:AR$15),1)</f>
        <v>0</v>
      </c>
      <c s="125">
        <f>Предпосылки!AR$244*Предпосылки!$T258*Продажи!AS23*AS$19*(1+Чувствительность!$D$20)*IFERROR(LOOKUP(Предпосылки!$H$217,$C$13:$C$15,AS$13:AS$15),1)</f>
        <v>0</v>
      </c>
      <c s="125">
        <f>Предпосылки!AS$244*Предпосылки!$T258*Продажи!AT23*AT$19*(1+Чувствительность!$D$20)*IFERROR(LOOKUP(Предпосылки!$H$217,$C$13:$C$15,AT$13:AT$15),1)</f>
        <v>0</v>
      </c>
      <c s="125">
        <f>Предпосылки!AT$244*Предпосылки!$T258*Продажи!AU23*AU$19*(1+Чувствительность!$D$20)*IFERROR(LOOKUP(Предпосылки!$H$217,$C$13:$C$15,AU$13:AU$15),1)</f>
        <v>0</v>
      </c>
      <c s="125">
        <f>Предпосылки!AU$244*Предпосылки!$T258*Продажи!AV23*AV$19*(1+Чувствительность!$D$20)*IFERROR(LOOKUP(Предпосылки!$H$217,$C$13:$C$15,AV$13:AV$15),1)</f>
        <v>0</v>
      </c>
      <c s="125">
        <f>Предпосылки!AV$244*Предпосылки!$T258*Продажи!AW23*AW$19*(1+Чувствительность!$D$20)*IFERROR(LOOKUP(Предпосылки!$H$217,$C$13:$C$15,AW$13:AW$15),1)</f>
        <v>0</v>
      </c>
      <c s="125">
        <f>Предпосылки!AW$244*Предпосылки!$T258*Продажи!AX23*AX$19*(1+Чувствительность!$D$20)*IFERROR(LOOKUP(Предпосылки!$H$217,$C$13:$C$15,AX$13:AX$15),1)</f>
        <v>0</v>
      </c>
      <c s="125">
        <f>Предпосылки!AX$244*Предпосылки!$T258*Продажи!AY23*AY$19*(1+Чувствительность!$D$20)*IFERROR(LOOKUP(Предпосылки!$H$217,$C$13:$C$15,AY$13:AY$15),1)</f>
        <v>0</v>
      </c>
      <c s="125">
        <f>Предпосылки!AY$244*Предпосылки!$T258*Продажи!AZ23*AZ$19*(1+Чувствительность!$D$20)*IFERROR(LOOKUP(Предпосылки!$H$217,$C$13:$C$15,AZ$13:AZ$15),1)</f>
        <v>0</v>
      </c>
      <c s="125">
        <f>Предпосылки!AZ$244*Предпосылки!$T258*Продажи!BA23*BA$19*(1+Чувствительность!$D$20)*IFERROR(LOOKUP(Предпосылки!$H$217,$C$13:$C$15,BA$13:BA$15),1)</f>
        <v>0</v>
      </c>
      <c s="125">
        <f>Предпосылки!BA$244*Предпосылки!$T258*Продажи!BB23*BB$19*(1+Чувствительность!$D$20)*IFERROR(LOOKUP(Предпосылки!$H$217,$C$13:$C$15,BB$13:BB$15),1)</f>
        <v>0</v>
      </c>
      <c s="125">
        <f>Предпосылки!BB$244*Предпосылки!$T258*Продажи!BC23*BC$19*(1+Чувствительность!$D$20)*IFERROR(LOOKUP(Предпосылки!$H$217,$C$13:$C$15,BC$13:BC$15),1)</f>
        <v>0</v>
      </c>
      <c s="125">
        <f>Предпосылки!BC$244*Предпосылки!$T258*Продажи!BD23*BD$19*(1+Чувствительность!$D$20)*IFERROR(LOOKUP(Предпосылки!$H$217,$C$13:$C$15,BD$13:BD$15),1)</f>
        <v>0</v>
      </c>
      <c s="125">
        <f>Предпосылки!BD$244*Предпосылки!$T258*Продажи!BE23*BE$19*(1+Чувствительность!$D$20)*IFERROR(LOOKUP(Предпосылки!$H$217,$C$13:$C$15,BE$13:BE$15),1)</f>
        <v>0</v>
      </c>
      <c s="125">
        <f>Предпосылки!BE$244*Предпосылки!$T258*Продажи!BF23*BF$19*(1+Чувствительность!$D$20)*IFERROR(LOOKUP(Предпосылки!$H$217,$C$13:$C$15,BF$13:BF$15),1)</f>
        <v>0</v>
      </c>
      <c s="125">
        <f>Предпосылки!BF$244*Предпосылки!$T258*Продажи!BG23*BG$19*(1+Чувствительность!$D$20)*IFERROR(LOOKUP(Предпосылки!$H$217,$C$13:$C$15,BG$13:BG$15),1)</f>
        <v>0</v>
      </c>
      <c s="125">
        <f>Предпосылки!BG$244*Предпосылки!$T258*Продажи!BH23*BH$19*(1+Чувствительность!$D$20)*IFERROR(LOOKUP(Предпосылки!$H$217,$C$13:$C$15,BH$13:BH$15),1)</f>
        <v>0</v>
      </c>
      <c s="125">
        <f>Предпосылки!BH$244*Предпосылки!$T258*Продажи!BI23*BI$19*(1+Чувствительность!$D$20)*IFERROR(LOOKUP(Предпосылки!$H$217,$C$13:$C$15,BI$13:BI$15),1)</f>
        <v>0</v>
      </c>
      <c s="125">
        <f>Предпосылки!BI$244*Предпосылки!$T258*Продажи!BJ23*BJ$19*(1+Чувствительность!$D$20)*IFERROR(LOOKUP(Предпосылки!$H$217,$C$13:$C$15,BJ$13:BJ$15),1)</f>
        <v>0</v>
      </c>
      <c s="125">
        <f>Предпосылки!BJ$244*Предпосылки!$T258*Продажи!BK23*BK$19*(1+Чувствительность!$D$20)*IFERROR(LOOKUP(Предпосылки!$H$217,$C$13:$C$15,BK$13:BK$15),1)</f>
        <v>0</v>
      </c>
      <c s="125">
        <f>Предпосылки!BK$244*Предпосылки!$T258*Продажи!BL23*BL$19*(1+Чувствительность!$D$20)*IFERROR(LOOKUP(Предпосылки!$H$217,$C$13:$C$15,BL$13:BL$15),1)</f>
        <v>0</v>
      </c>
      <c s="125">
        <f>Предпосылки!BL$244*Предпосылки!$T258*Продажи!BM23*BM$19*(1+Чувствительность!$D$20)*IFERROR(LOOKUP(Предпосылки!$H$217,$C$13:$C$15,BM$13:BM$15),1)</f>
        <v>0</v>
      </c>
    </row>
    <row r="397" spans="2:65" ht="15" customHeight="1">
      <c r="B397" s="12" t="str">
        <f t="shared" si="141"/>
        <v>Продукт 7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Предпосылки!D$244*Предпосылки!$T259*Продажи!E24*E$19*(1+Чувствительность!$D$20)*IFERROR(LOOKUP(Предпосылки!$H$217,$C$13:$C$15,E$13:E$15),1)</f>
        <v>0</v>
      </c>
      <c s="125">
        <f>Предпосылки!E$244*Предпосылки!$T259*Продажи!F24*F$19*(1+Чувствительность!$D$20)*IFERROR(LOOKUP(Предпосылки!$H$217,$C$13:$C$15,F$13:F$15),1)</f>
        <v>0</v>
      </c>
      <c s="125">
        <f>Предпосылки!F$244*Предпосылки!$T259*Продажи!G24*G$19*(1+Чувствительность!$D$20)*IFERROR(LOOKUP(Предпосылки!$H$217,$C$13:$C$15,G$13:G$15),1)</f>
        <v>0</v>
      </c>
      <c s="125">
        <f>Предпосылки!G$244*Предпосылки!$T259*Продажи!H24*H$19*(1+Чувствительность!$D$20)*IFERROR(LOOKUP(Предпосылки!$H$217,$C$13:$C$15,H$13:H$15),1)</f>
        <v>0</v>
      </c>
      <c s="125">
        <f>Предпосылки!H$244*Предпосылки!$T259*Продажи!I24*I$19*(1+Чувствительность!$D$20)*IFERROR(LOOKUP(Предпосылки!$H$217,$C$13:$C$15,I$13:I$15),1)</f>
        <v>0</v>
      </c>
      <c s="125">
        <f>Предпосылки!I$244*Предпосылки!$T259*Продажи!J24*J$19*(1+Чувствительность!$D$20)*IFERROR(LOOKUP(Предпосылки!$H$217,$C$13:$C$15,J$13:J$15),1)</f>
        <v>0</v>
      </c>
      <c s="125">
        <f>Предпосылки!J$244*Предпосылки!$T259*Продажи!K24*K$19*(1+Чувствительность!$D$20)*IFERROR(LOOKUP(Предпосылки!$H$217,$C$13:$C$15,K$13:K$15),1)</f>
        <v>0</v>
      </c>
      <c s="125">
        <f>Предпосылки!K$244*Предпосылки!$T259*Продажи!L24*L$19*(1+Чувствительность!$D$20)*IFERROR(LOOKUP(Предпосылки!$H$217,$C$13:$C$15,L$13:L$15),1)</f>
        <v>0</v>
      </c>
      <c s="125">
        <f>Предпосылки!L$244*Предпосылки!$T259*Продажи!M24*M$19*(1+Чувствительность!$D$20)*IFERROR(LOOKUP(Предпосылки!$H$217,$C$13:$C$15,M$13:M$15),1)</f>
        <v>0</v>
      </c>
      <c s="125">
        <f>Предпосылки!M$244*Предпосылки!$T259*Продажи!N24*N$19*(1+Чувствительность!$D$20)*IFERROR(LOOKUP(Предпосылки!$H$217,$C$13:$C$15,N$13:N$15),1)</f>
        <v>0</v>
      </c>
      <c s="125">
        <f>Предпосылки!N$244*Предпосылки!$T259*Продажи!O24*O$19*(1+Чувствительность!$D$20)*IFERROR(LOOKUP(Предпосылки!$H$217,$C$13:$C$15,O$13:O$15),1)</f>
        <v>0</v>
      </c>
      <c s="125">
        <f>Предпосылки!O$244*Предпосылки!$T259*Продажи!P24*P$19*(1+Чувствительность!$D$20)*IFERROR(LOOKUP(Предпосылки!$H$217,$C$13:$C$15,P$13:P$15),1)</f>
        <v>0</v>
      </c>
      <c s="125">
        <f>Предпосылки!P$244*Предпосылки!$T259*Продажи!Q24*Q$19*(1+Чувствительность!$D$20)*IFERROR(LOOKUP(Предпосылки!$H$217,$C$13:$C$15,Q$13:Q$15),1)</f>
        <v>0</v>
      </c>
      <c s="125">
        <f>Предпосылки!Q$244*Предпосылки!$T259*Продажи!R24*R$19*(1+Чувствительность!$D$20)*IFERROR(LOOKUP(Предпосылки!$H$217,$C$13:$C$15,R$13:R$15),1)</f>
        <v>0</v>
      </c>
      <c s="125">
        <f>Предпосылки!R$244*Предпосылки!$T259*Продажи!S24*S$19*(1+Чувствительность!$D$20)*IFERROR(LOOKUP(Предпосылки!$H$217,$C$13:$C$15,S$13:S$15),1)</f>
        <v>0</v>
      </c>
      <c s="125">
        <f>Предпосылки!S$244*Предпосылки!$T259*Продажи!T24*T$19*(1+Чувствительность!$D$20)*IFERROR(LOOKUP(Предпосылки!$H$217,$C$13:$C$15,T$13:T$15),1)</f>
        <v>0</v>
      </c>
      <c s="125">
        <f>Предпосылки!T$244*Предпосылки!$T259*Продажи!U24*U$19*(1+Чувствительность!$D$20)*IFERROR(LOOKUP(Предпосылки!$H$217,$C$13:$C$15,U$13:U$15),1)</f>
        <v>0</v>
      </c>
      <c s="125">
        <f>Предпосылки!U$244*Предпосылки!$T259*Продажи!V24*V$19*(1+Чувствительность!$D$20)*IFERROR(LOOKUP(Предпосылки!$H$217,$C$13:$C$15,V$13:V$15),1)</f>
        <v>0</v>
      </c>
      <c s="125">
        <f>Предпосылки!V$244*Предпосылки!$T259*Продажи!W24*W$19*(1+Чувствительность!$D$20)*IFERROR(LOOKUP(Предпосылки!$H$217,$C$13:$C$15,W$13:W$15),1)</f>
        <v>0</v>
      </c>
      <c s="125">
        <f>Предпосылки!W$244*Предпосылки!$T259*Продажи!X24*X$19*(1+Чувствительность!$D$20)*IFERROR(LOOKUP(Предпосылки!$H$217,$C$13:$C$15,X$13:X$15),1)</f>
        <v>0</v>
      </c>
      <c s="125">
        <f>Предпосылки!X$244*Предпосылки!$T259*Продажи!Y24*Y$19*(1+Чувствительность!$D$20)*IFERROR(LOOKUP(Предпосылки!$H$217,$C$13:$C$15,Y$13:Y$15),1)</f>
        <v>0</v>
      </c>
      <c s="125">
        <f>Предпосылки!Y$244*Предпосылки!$T259*Продажи!Z24*Z$19*(1+Чувствительность!$D$20)*IFERROR(LOOKUP(Предпосылки!$H$217,$C$13:$C$15,Z$13:Z$15),1)</f>
        <v>0</v>
      </c>
      <c s="125">
        <f>Предпосылки!Z$244*Предпосылки!$T259*Продажи!AA24*AA$19*(1+Чувствительность!$D$20)*IFERROR(LOOKUP(Предпосылки!$H$217,$C$13:$C$15,AA$13:AA$15),1)</f>
        <v>0</v>
      </c>
      <c s="125">
        <f>Предпосылки!AA$244*Предпосылки!$T259*Продажи!AB24*AB$19*(1+Чувствительность!$D$20)*IFERROR(LOOKUP(Предпосылки!$H$217,$C$13:$C$15,AB$13:AB$15),1)</f>
        <v>0</v>
      </c>
      <c s="125">
        <f>Предпосылки!AB$244*Предпосылки!$T259*Продажи!AC24*AC$19*(1+Чувствительность!$D$20)*IFERROR(LOOKUP(Предпосылки!$H$217,$C$13:$C$15,AC$13:AC$15),1)</f>
        <v>0</v>
      </c>
      <c s="125">
        <f>Предпосылки!AC$244*Предпосылки!$T259*Продажи!AD24*AD$19*(1+Чувствительность!$D$20)*IFERROR(LOOKUP(Предпосылки!$H$217,$C$13:$C$15,AD$13:AD$15),1)</f>
        <v>0</v>
      </c>
      <c s="125">
        <f>Предпосылки!AD$244*Предпосылки!$T259*Продажи!AE24*AE$19*(1+Чувствительность!$D$20)*IFERROR(LOOKUP(Предпосылки!$H$217,$C$13:$C$15,AE$13:AE$15),1)</f>
        <v>0</v>
      </c>
      <c s="125">
        <f>Предпосылки!AE$244*Предпосылки!$T259*Продажи!AF24*AF$19*(1+Чувствительность!$D$20)*IFERROR(LOOKUP(Предпосылки!$H$217,$C$13:$C$15,AF$13:AF$15),1)</f>
        <v>0</v>
      </c>
      <c s="125">
        <f>Предпосылки!AF$244*Предпосылки!$T259*Продажи!AG24*AG$19*(1+Чувствительность!$D$20)*IFERROR(LOOKUP(Предпосылки!$H$217,$C$13:$C$15,AG$13:AG$15),1)</f>
        <v>0</v>
      </c>
      <c s="125">
        <f>Предпосылки!AG$244*Предпосылки!$T259*Продажи!AH24*AH$19*(1+Чувствительность!$D$20)*IFERROR(LOOKUP(Предпосылки!$H$217,$C$13:$C$15,AH$13:AH$15),1)</f>
        <v>0</v>
      </c>
      <c s="125">
        <f>Предпосылки!AH$244*Предпосылки!$T259*Продажи!AI24*AI$19*(1+Чувствительность!$D$20)*IFERROR(LOOKUP(Предпосылки!$H$217,$C$13:$C$15,AI$13:AI$15),1)</f>
        <v>0</v>
      </c>
      <c s="125">
        <f>Предпосылки!AI$244*Предпосылки!$T259*Продажи!AJ24*AJ$19*(1+Чувствительность!$D$20)*IFERROR(LOOKUP(Предпосылки!$H$217,$C$13:$C$15,AJ$13:AJ$15),1)</f>
        <v>0</v>
      </c>
      <c s="125">
        <f>Предпосылки!AJ$244*Предпосылки!$T259*Продажи!AK24*AK$19*(1+Чувствительность!$D$20)*IFERROR(LOOKUP(Предпосылки!$H$217,$C$13:$C$15,AK$13:AK$15),1)</f>
        <v>0</v>
      </c>
      <c s="125">
        <f>Предпосылки!AK$244*Предпосылки!$T259*Продажи!AL24*AL$19*(1+Чувствительность!$D$20)*IFERROR(LOOKUP(Предпосылки!$H$217,$C$13:$C$15,AL$13:AL$15),1)</f>
        <v>0</v>
      </c>
      <c s="125">
        <f>Предпосылки!AL$244*Предпосылки!$T259*Продажи!AM24*AM$19*(1+Чувствительность!$D$20)*IFERROR(LOOKUP(Предпосылки!$H$217,$C$13:$C$15,AM$13:AM$15),1)</f>
        <v>0</v>
      </c>
      <c s="125">
        <f>Предпосылки!AM$244*Предпосылки!$T259*Продажи!AN24*AN$19*(1+Чувствительность!$D$20)*IFERROR(LOOKUP(Предпосылки!$H$217,$C$13:$C$15,AN$13:AN$15),1)</f>
        <v>0</v>
      </c>
      <c s="125">
        <f>Предпосылки!AN$244*Предпосылки!$T259*Продажи!AO24*AO$19*(1+Чувствительность!$D$20)*IFERROR(LOOKUP(Предпосылки!$H$217,$C$13:$C$15,AO$13:AO$15),1)</f>
        <v>0</v>
      </c>
      <c s="125">
        <f>Предпосылки!AO$244*Предпосылки!$T259*Продажи!AP24*AP$19*(1+Чувствительность!$D$20)*IFERROR(LOOKUP(Предпосылки!$H$217,$C$13:$C$15,AP$13:AP$15),1)</f>
        <v>0</v>
      </c>
      <c s="125">
        <f>Предпосылки!AP$244*Предпосылки!$T259*Продажи!AQ24*AQ$19*(1+Чувствительность!$D$20)*IFERROR(LOOKUP(Предпосылки!$H$217,$C$13:$C$15,AQ$13:AQ$15),1)</f>
        <v>0</v>
      </c>
      <c s="125">
        <f>Предпосылки!AQ$244*Предпосылки!$T259*Продажи!AR24*AR$19*(1+Чувствительность!$D$20)*IFERROR(LOOKUP(Предпосылки!$H$217,$C$13:$C$15,AR$13:AR$15),1)</f>
        <v>0</v>
      </c>
      <c s="125">
        <f>Предпосылки!AR$244*Предпосылки!$T259*Продажи!AS24*AS$19*(1+Чувствительность!$D$20)*IFERROR(LOOKUP(Предпосылки!$H$217,$C$13:$C$15,AS$13:AS$15),1)</f>
        <v>0</v>
      </c>
      <c s="125">
        <f>Предпосылки!AS$244*Предпосылки!$T259*Продажи!AT24*AT$19*(1+Чувствительность!$D$20)*IFERROR(LOOKUP(Предпосылки!$H$217,$C$13:$C$15,AT$13:AT$15),1)</f>
        <v>0</v>
      </c>
      <c s="125">
        <f>Предпосылки!AT$244*Предпосылки!$T259*Продажи!AU24*AU$19*(1+Чувствительность!$D$20)*IFERROR(LOOKUP(Предпосылки!$H$217,$C$13:$C$15,AU$13:AU$15),1)</f>
        <v>0</v>
      </c>
      <c s="125">
        <f>Предпосылки!AU$244*Предпосылки!$T259*Продажи!AV24*AV$19*(1+Чувствительность!$D$20)*IFERROR(LOOKUP(Предпосылки!$H$217,$C$13:$C$15,AV$13:AV$15),1)</f>
        <v>0</v>
      </c>
      <c s="125">
        <f>Предпосылки!AV$244*Предпосылки!$T259*Продажи!AW24*AW$19*(1+Чувствительность!$D$20)*IFERROR(LOOKUP(Предпосылки!$H$217,$C$13:$C$15,AW$13:AW$15),1)</f>
        <v>0</v>
      </c>
      <c s="125">
        <f>Предпосылки!AW$244*Предпосылки!$T259*Продажи!AX24*AX$19*(1+Чувствительность!$D$20)*IFERROR(LOOKUP(Предпосылки!$H$217,$C$13:$C$15,AX$13:AX$15),1)</f>
        <v>0</v>
      </c>
      <c s="125">
        <f>Предпосылки!AX$244*Предпосылки!$T259*Продажи!AY24*AY$19*(1+Чувствительность!$D$20)*IFERROR(LOOKUP(Предпосылки!$H$217,$C$13:$C$15,AY$13:AY$15),1)</f>
        <v>0</v>
      </c>
      <c s="125">
        <f>Предпосылки!AY$244*Предпосылки!$T259*Продажи!AZ24*AZ$19*(1+Чувствительность!$D$20)*IFERROR(LOOKUP(Предпосылки!$H$217,$C$13:$C$15,AZ$13:AZ$15),1)</f>
        <v>0</v>
      </c>
      <c s="125">
        <f>Предпосылки!AZ$244*Предпосылки!$T259*Продажи!BA24*BA$19*(1+Чувствительность!$D$20)*IFERROR(LOOKUP(Предпосылки!$H$217,$C$13:$C$15,BA$13:BA$15),1)</f>
        <v>0</v>
      </c>
      <c s="125">
        <f>Предпосылки!BA$244*Предпосылки!$T259*Продажи!BB24*BB$19*(1+Чувствительность!$D$20)*IFERROR(LOOKUP(Предпосылки!$H$217,$C$13:$C$15,BB$13:BB$15),1)</f>
        <v>0</v>
      </c>
      <c s="125">
        <f>Предпосылки!BB$244*Предпосылки!$T259*Продажи!BC24*BC$19*(1+Чувствительность!$D$20)*IFERROR(LOOKUP(Предпосылки!$H$217,$C$13:$C$15,BC$13:BC$15),1)</f>
        <v>0</v>
      </c>
      <c s="125">
        <f>Предпосылки!BC$244*Предпосылки!$T259*Продажи!BD24*BD$19*(1+Чувствительность!$D$20)*IFERROR(LOOKUP(Предпосылки!$H$217,$C$13:$C$15,BD$13:BD$15),1)</f>
        <v>0</v>
      </c>
      <c s="125">
        <f>Предпосылки!BD$244*Предпосылки!$T259*Продажи!BE24*BE$19*(1+Чувствительность!$D$20)*IFERROR(LOOKUP(Предпосылки!$H$217,$C$13:$C$15,BE$13:BE$15),1)</f>
        <v>0</v>
      </c>
      <c s="125">
        <f>Предпосылки!BE$244*Предпосылки!$T259*Продажи!BF24*BF$19*(1+Чувствительность!$D$20)*IFERROR(LOOKUP(Предпосылки!$H$217,$C$13:$C$15,BF$13:BF$15),1)</f>
        <v>0</v>
      </c>
      <c s="125">
        <f>Предпосылки!BF$244*Предпосылки!$T259*Продажи!BG24*BG$19*(1+Чувствительность!$D$20)*IFERROR(LOOKUP(Предпосылки!$H$217,$C$13:$C$15,BG$13:BG$15),1)</f>
        <v>0</v>
      </c>
      <c s="125">
        <f>Предпосылки!BG$244*Предпосылки!$T259*Продажи!BH24*BH$19*(1+Чувствительность!$D$20)*IFERROR(LOOKUP(Предпосылки!$H$217,$C$13:$C$15,BH$13:BH$15),1)</f>
        <v>0</v>
      </c>
      <c s="125">
        <f>Предпосылки!BH$244*Предпосылки!$T259*Продажи!BI24*BI$19*(1+Чувствительность!$D$20)*IFERROR(LOOKUP(Предпосылки!$H$217,$C$13:$C$15,BI$13:BI$15),1)</f>
        <v>0</v>
      </c>
      <c s="125">
        <f>Предпосылки!BI$244*Предпосылки!$T259*Продажи!BJ24*BJ$19*(1+Чувствительность!$D$20)*IFERROR(LOOKUP(Предпосылки!$H$217,$C$13:$C$15,BJ$13:BJ$15),1)</f>
        <v>0</v>
      </c>
      <c s="125">
        <f>Предпосылки!BJ$244*Предпосылки!$T259*Продажи!BK24*BK$19*(1+Чувствительность!$D$20)*IFERROR(LOOKUP(Предпосылки!$H$217,$C$13:$C$15,BK$13:BK$15),1)</f>
        <v>0</v>
      </c>
      <c s="125">
        <f>Предпосылки!BK$244*Предпосылки!$T259*Продажи!BL24*BL$19*(1+Чувствительность!$D$20)*IFERROR(LOOKUP(Предпосылки!$H$217,$C$13:$C$15,BL$13:BL$15),1)</f>
        <v>0</v>
      </c>
      <c s="125">
        <f>Предпосылки!BL$244*Предпосылки!$T259*Продажи!BM24*BM$19*(1+Чувствительность!$D$20)*IFERROR(LOOKUP(Предпосылки!$H$217,$C$13:$C$15,BM$13:BM$15),1)</f>
        <v>0</v>
      </c>
    </row>
    <row r="398" spans="2:65" ht="15" customHeight="1">
      <c r="B398" s="12" t="str">
        <f t="shared" si="141"/>
        <v>Продукт 8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Предпосылки!D$244*Предпосылки!$T260*Продажи!E25*E$19*(1+Чувствительность!$D$20)*IFERROR(LOOKUP(Предпосылки!$H$217,$C$13:$C$15,E$13:E$15),1)</f>
        <v>0</v>
      </c>
      <c s="125">
        <f>Предпосылки!E$244*Предпосылки!$T260*Продажи!F25*F$19*(1+Чувствительность!$D$20)*IFERROR(LOOKUP(Предпосылки!$H$217,$C$13:$C$15,F$13:F$15),1)</f>
        <v>0</v>
      </c>
      <c s="125">
        <f>Предпосылки!F$244*Предпосылки!$T260*Продажи!G25*G$19*(1+Чувствительность!$D$20)*IFERROR(LOOKUP(Предпосылки!$H$217,$C$13:$C$15,G$13:G$15),1)</f>
        <v>0</v>
      </c>
      <c s="125">
        <f>Предпосылки!G$244*Предпосылки!$T260*Продажи!H25*H$19*(1+Чувствительность!$D$20)*IFERROR(LOOKUP(Предпосылки!$H$217,$C$13:$C$15,H$13:H$15),1)</f>
        <v>0</v>
      </c>
      <c s="125">
        <f>Предпосылки!H$244*Предпосылки!$T260*Продажи!I25*I$19*(1+Чувствительность!$D$20)*IFERROR(LOOKUP(Предпосылки!$H$217,$C$13:$C$15,I$13:I$15),1)</f>
        <v>0</v>
      </c>
      <c s="125">
        <f>Предпосылки!I$244*Предпосылки!$T260*Продажи!J25*J$19*(1+Чувствительность!$D$20)*IFERROR(LOOKUP(Предпосылки!$H$217,$C$13:$C$15,J$13:J$15),1)</f>
        <v>0</v>
      </c>
      <c s="125">
        <f>Предпосылки!J$244*Предпосылки!$T260*Продажи!K25*K$19*(1+Чувствительность!$D$20)*IFERROR(LOOKUP(Предпосылки!$H$217,$C$13:$C$15,K$13:K$15),1)</f>
        <v>0</v>
      </c>
      <c s="125">
        <f>Предпосылки!K$244*Предпосылки!$T260*Продажи!L25*L$19*(1+Чувствительность!$D$20)*IFERROR(LOOKUP(Предпосылки!$H$217,$C$13:$C$15,L$13:L$15),1)</f>
        <v>0</v>
      </c>
      <c s="125">
        <f>Предпосылки!L$244*Предпосылки!$T260*Продажи!M25*M$19*(1+Чувствительность!$D$20)*IFERROR(LOOKUP(Предпосылки!$H$217,$C$13:$C$15,M$13:M$15),1)</f>
        <v>0</v>
      </c>
      <c s="125">
        <f>Предпосылки!M$244*Предпосылки!$T260*Продажи!N25*N$19*(1+Чувствительность!$D$20)*IFERROR(LOOKUP(Предпосылки!$H$217,$C$13:$C$15,N$13:N$15),1)</f>
        <v>0</v>
      </c>
      <c s="125">
        <f>Предпосылки!N$244*Предпосылки!$T260*Продажи!O25*O$19*(1+Чувствительность!$D$20)*IFERROR(LOOKUP(Предпосылки!$H$217,$C$13:$C$15,O$13:O$15),1)</f>
        <v>0</v>
      </c>
      <c s="125">
        <f>Предпосылки!O$244*Предпосылки!$T260*Продажи!P25*P$19*(1+Чувствительность!$D$20)*IFERROR(LOOKUP(Предпосылки!$H$217,$C$13:$C$15,P$13:P$15),1)</f>
        <v>0</v>
      </c>
      <c s="125">
        <f>Предпосылки!P$244*Предпосылки!$T260*Продажи!Q25*Q$19*(1+Чувствительность!$D$20)*IFERROR(LOOKUP(Предпосылки!$H$217,$C$13:$C$15,Q$13:Q$15),1)</f>
        <v>0</v>
      </c>
      <c s="125">
        <f>Предпосылки!Q$244*Предпосылки!$T260*Продажи!R25*R$19*(1+Чувствительность!$D$20)*IFERROR(LOOKUP(Предпосылки!$H$217,$C$13:$C$15,R$13:R$15),1)</f>
        <v>0</v>
      </c>
      <c s="125">
        <f>Предпосылки!R$244*Предпосылки!$T260*Продажи!S25*S$19*(1+Чувствительность!$D$20)*IFERROR(LOOKUP(Предпосылки!$H$217,$C$13:$C$15,S$13:S$15),1)</f>
        <v>0</v>
      </c>
      <c s="125">
        <f>Предпосылки!S$244*Предпосылки!$T260*Продажи!T25*T$19*(1+Чувствительность!$D$20)*IFERROR(LOOKUP(Предпосылки!$H$217,$C$13:$C$15,T$13:T$15),1)</f>
        <v>0</v>
      </c>
      <c s="125">
        <f>Предпосылки!T$244*Предпосылки!$T260*Продажи!U25*U$19*(1+Чувствительность!$D$20)*IFERROR(LOOKUP(Предпосылки!$H$217,$C$13:$C$15,U$13:U$15),1)</f>
        <v>0</v>
      </c>
      <c s="125">
        <f>Предпосылки!U$244*Предпосылки!$T260*Продажи!V25*V$19*(1+Чувствительность!$D$20)*IFERROR(LOOKUP(Предпосылки!$H$217,$C$13:$C$15,V$13:V$15),1)</f>
        <v>0</v>
      </c>
      <c s="125">
        <f>Предпосылки!V$244*Предпосылки!$T260*Продажи!W25*W$19*(1+Чувствительность!$D$20)*IFERROR(LOOKUP(Предпосылки!$H$217,$C$13:$C$15,W$13:W$15),1)</f>
        <v>0</v>
      </c>
      <c s="125">
        <f>Предпосылки!W$244*Предпосылки!$T260*Продажи!X25*X$19*(1+Чувствительность!$D$20)*IFERROR(LOOKUP(Предпосылки!$H$217,$C$13:$C$15,X$13:X$15),1)</f>
        <v>0</v>
      </c>
      <c s="125">
        <f>Предпосылки!X$244*Предпосылки!$T260*Продажи!Y25*Y$19*(1+Чувствительность!$D$20)*IFERROR(LOOKUP(Предпосылки!$H$217,$C$13:$C$15,Y$13:Y$15),1)</f>
        <v>0</v>
      </c>
      <c s="125">
        <f>Предпосылки!Y$244*Предпосылки!$T260*Продажи!Z25*Z$19*(1+Чувствительность!$D$20)*IFERROR(LOOKUP(Предпосылки!$H$217,$C$13:$C$15,Z$13:Z$15),1)</f>
        <v>0</v>
      </c>
      <c s="125">
        <f>Предпосылки!Z$244*Предпосылки!$T260*Продажи!AA25*AA$19*(1+Чувствительность!$D$20)*IFERROR(LOOKUP(Предпосылки!$H$217,$C$13:$C$15,AA$13:AA$15),1)</f>
        <v>0</v>
      </c>
      <c s="125">
        <f>Предпосылки!AA$244*Предпосылки!$T260*Продажи!AB25*AB$19*(1+Чувствительность!$D$20)*IFERROR(LOOKUP(Предпосылки!$H$217,$C$13:$C$15,AB$13:AB$15),1)</f>
        <v>0</v>
      </c>
      <c s="125">
        <f>Предпосылки!AB$244*Предпосылки!$T260*Продажи!AC25*AC$19*(1+Чувствительность!$D$20)*IFERROR(LOOKUP(Предпосылки!$H$217,$C$13:$C$15,AC$13:AC$15),1)</f>
        <v>0</v>
      </c>
      <c s="125">
        <f>Предпосылки!AC$244*Предпосылки!$T260*Продажи!AD25*AD$19*(1+Чувствительность!$D$20)*IFERROR(LOOKUP(Предпосылки!$H$217,$C$13:$C$15,AD$13:AD$15),1)</f>
        <v>0</v>
      </c>
      <c s="125">
        <f>Предпосылки!AD$244*Предпосылки!$T260*Продажи!AE25*AE$19*(1+Чувствительность!$D$20)*IFERROR(LOOKUP(Предпосылки!$H$217,$C$13:$C$15,AE$13:AE$15),1)</f>
        <v>0</v>
      </c>
      <c s="125">
        <f>Предпосылки!AE$244*Предпосылки!$T260*Продажи!AF25*AF$19*(1+Чувствительность!$D$20)*IFERROR(LOOKUP(Предпосылки!$H$217,$C$13:$C$15,AF$13:AF$15),1)</f>
        <v>0</v>
      </c>
      <c s="125">
        <f>Предпосылки!AF$244*Предпосылки!$T260*Продажи!AG25*AG$19*(1+Чувствительность!$D$20)*IFERROR(LOOKUP(Предпосылки!$H$217,$C$13:$C$15,AG$13:AG$15),1)</f>
        <v>0</v>
      </c>
      <c s="125">
        <f>Предпосылки!AG$244*Предпосылки!$T260*Продажи!AH25*AH$19*(1+Чувствительность!$D$20)*IFERROR(LOOKUP(Предпосылки!$H$217,$C$13:$C$15,AH$13:AH$15),1)</f>
        <v>0</v>
      </c>
      <c s="125">
        <f>Предпосылки!AH$244*Предпосылки!$T260*Продажи!AI25*AI$19*(1+Чувствительность!$D$20)*IFERROR(LOOKUP(Предпосылки!$H$217,$C$13:$C$15,AI$13:AI$15),1)</f>
        <v>0</v>
      </c>
      <c s="125">
        <f>Предпосылки!AI$244*Предпосылки!$T260*Продажи!AJ25*AJ$19*(1+Чувствительность!$D$20)*IFERROR(LOOKUP(Предпосылки!$H$217,$C$13:$C$15,AJ$13:AJ$15),1)</f>
        <v>0</v>
      </c>
      <c s="125">
        <f>Предпосылки!AJ$244*Предпосылки!$T260*Продажи!AK25*AK$19*(1+Чувствительность!$D$20)*IFERROR(LOOKUP(Предпосылки!$H$217,$C$13:$C$15,AK$13:AK$15),1)</f>
        <v>0</v>
      </c>
      <c s="125">
        <f>Предпосылки!AK$244*Предпосылки!$T260*Продажи!AL25*AL$19*(1+Чувствительность!$D$20)*IFERROR(LOOKUP(Предпосылки!$H$217,$C$13:$C$15,AL$13:AL$15),1)</f>
        <v>0</v>
      </c>
      <c s="125">
        <f>Предпосылки!AL$244*Предпосылки!$T260*Продажи!AM25*AM$19*(1+Чувствительность!$D$20)*IFERROR(LOOKUP(Предпосылки!$H$217,$C$13:$C$15,AM$13:AM$15),1)</f>
        <v>0</v>
      </c>
      <c s="125">
        <f>Предпосылки!AM$244*Предпосылки!$T260*Продажи!AN25*AN$19*(1+Чувствительность!$D$20)*IFERROR(LOOKUP(Предпосылки!$H$217,$C$13:$C$15,AN$13:AN$15),1)</f>
        <v>0</v>
      </c>
      <c s="125">
        <f>Предпосылки!AN$244*Предпосылки!$T260*Продажи!AO25*AO$19*(1+Чувствительность!$D$20)*IFERROR(LOOKUP(Предпосылки!$H$217,$C$13:$C$15,AO$13:AO$15),1)</f>
        <v>0</v>
      </c>
      <c s="125">
        <f>Предпосылки!AO$244*Предпосылки!$T260*Продажи!AP25*AP$19*(1+Чувствительность!$D$20)*IFERROR(LOOKUP(Предпосылки!$H$217,$C$13:$C$15,AP$13:AP$15),1)</f>
        <v>0</v>
      </c>
      <c s="125">
        <f>Предпосылки!AP$244*Предпосылки!$T260*Продажи!AQ25*AQ$19*(1+Чувствительность!$D$20)*IFERROR(LOOKUP(Предпосылки!$H$217,$C$13:$C$15,AQ$13:AQ$15),1)</f>
        <v>0</v>
      </c>
      <c s="125">
        <f>Предпосылки!AQ$244*Предпосылки!$T260*Продажи!AR25*AR$19*(1+Чувствительность!$D$20)*IFERROR(LOOKUP(Предпосылки!$H$217,$C$13:$C$15,AR$13:AR$15),1)</f>
        <v>0</v>
      </c>
      <c s="125">
        <f>Предпосылки!AR$244*Предпосылки!$T260*Продажи!AS25*AS$19*(1+Чувствительность!$D$20)*IFERROR(LOOKUP(Предпосылки!$H$217,$C$13:$C$15,AS$13:AS$15),1)</f>
        <v>0</v>
      </c>
      <c s="125">
        <f>Предпосылки!AS$244*Предпосылки!$T260*Продажи!AT25*AT$19*(1+Чувствительность!$D$20)*IFERROR(LOOKUP(Предпосылки!$H$217,$C$13:$C$15,AT$13:AT$15),1)</f>
        <v>0</v>
      </c>
      <c s="125">
        <f>Предпосылки!AT$244*Предпосылки!$T260*Продажи!AU25*AU$19*(1+Чувствительность!$D$20)*IFERROR(LOOKUP(Предпосылки!$H$217,$C$13:$C$15,AU$13:AU$15),1)</f>
        <v>0</v>
      </c>
      <c s="125">
        <f>Предпосылки!AU$244*Предпосылки!$T260*Продажи!AV25*AV$19*(1+Чувствительность!$D$20)*IFERROR(LOOKUP(Предпосылки!$H$217,$C$13:$C$15,AV$13:AV$15),1)</f>
        <v>0</v>
      </c>
      <c s="125">
        <f>Предпосылки!AV$244*Предпосылки!$T260*Продажи!AW25*AW$19*(1+Чувствительность!$D$20)*IFERROR(LOOKUP(Предпосылки!$H$217,$C$13:$C$15,AW$13:AW$15),1)</f>
        <v>0</v>
      </c>
      <c s="125">
        <f>Предпосылки!AW$244*Предпосылки!$T260*Продажи!AX25*AX$19*(1+Чувствительность!$D$20)*IFERROR(LOOKUP(Предпосылки!$H$217,$C$13:$C$15,AX$13:AX$15),1)</f>
        <v>0</v>
      </c>
      <c s="125">
        <f>Предпосылки!AX$244*Предпосылки!$T260*Продажи!AY25*AY$19*(1+Чувствительность!$D$20)*IFERROR(LOOKUP(Предпосылки!$H$217,$C$13:$C$15,AY$13:AY$15),1)</f>
        <v>0</v>
      </c>
      <c s="125">
        <f>Предпосылки!AY$244*Предпосылки!$T260*Продажи!AZ25*AZ$19*(1+Чувствительность!$D$20)*IFERROR(LOOKUP(Предпосылки!$H$217,$C$13:$C$15,AZ$13:AZ$15),1)</f>
        <v>0</v>
      </c>
      <c s="125">
        <f>Предпосылки!AZ$244*Предпосылки!$T260*Продажи!BA25*BA$19*(1+Чувствительность!$D$20)*IFERROR(LOOKUP(Предпосылки!$H$217,$C$13:$C$15,BA$13:BA$15),1)</f>
        <v>0</v>
      </c>
      <c s="125">
        <f>Предпосылки!BA$244*Предпосылки!$T260*Продажи!BB25*BB$19*(1+Чувствительность!$D$20)*IFERROR(LOOKUP(Предпосылки!$H$217,$C$13:$C$15,BB$13:BB$15),1)</f>
        <v>0</v>
      </c>
      <c s="125">
        <f>Предпосылки!BB$244*Предпосылки!$T260*Продажи!BC25*BC$19*(1+Чувствительность!$D$20)*IFERROR(LOOKUP(Предпосылки!$H$217,$C$13:$C$15,BC$13:BC$15),1)</f>
        <v>0</v>
      </c>
      <c s="125">
        <f>Предпосылки!BC$244*Предпосылки!$T260*Продажи!BD25*BD$19*(1+Чувствительность!$D$20)*IFERROR(LOOKUP(Предпосылки!$H$217,$C$13:$C$15,BD$13:BD$15),1)</f>
        <v>0</v>
      </c>
      <c s="125">
        <f>Предпосылки!BD$244*Предпосылки!$T260*Продажи!BE25*BE$19*(1+Чувствительность!$D$20)*IFERROR(LOOKUP(Предпосылки!$H$217,$C$13:$C$15,BE$13:BE$15),1)</f>
        <v>0</v>
      </c>
      <c s="125">
        <f>Предпосылки!BE$244*Предпосылки!$T260*Продажи!BF25*BF$19*(1+Чувствительность!$D$20)*IFERROR(LOOKUP(Предпосылки!$H$217,$C$13:$C$15,BF$13:BF$15),1)</f>
        <v>0</v>
      </c>
      <c s="125">
        <f>Предпосылки!BF$244*Предпосылки!$T260*Продажи!BG25*BG$19*(1+Чувствительность!$D$20)*IFERROR(LOOKUP(Предпосылки!$H$217,$C$13:$C$15,BG$13:BG$15),1)</f>
        <v>0</v>
      </c>
      <c s="125">
        <f>Предпосылки!BG$244*Предпосылки!$T260*Продажи!BH25*BH$19*(1+Чувствительность!$D$20)*IFERROR(LOOKUP(Предпосылки!$H$217,$C$13:$C$15,BH$13:BH$15),1)</f>
        <v>0</v>
      </c>
      <c s="125">
        <f>Предпосылки!BH$244*Предпосылки!$T260*Продажи!BI25*BI$19*(1+Чувствительность!$D$20)*IFERROR(LOOKUP(Предпосылки!$H$217,$C$13:$C$15,BI$13:BI$15),1)</f>
        <v>0</v>
      </c>
      <c s="125">
        <f>Предпосылки!BI$244*Предпосылки!$T260*Продажи!BJ25*BJ$19*(1+Чувствительность!$D$20)*IFERROR(LOOKUP(Предпосылки!$H$217,$C$13:$C$15,BJ$13:BJ$15),1)</f>
        <v>0</v>
      </c>
      <c s="125">
        <f>Предпосылки!BJ$244*Предпосылки!$T260*Продажи!BK25*BK$19*(1+Чувствительность!$D$20)*IFERROR(LOOKUP(Предпосылки!$H$217,$C$13:$C$15,BK$13:BK$15),1)</f>
        <v>0</v>
      </c>
      <c s="125">
        <f>Предпосылки!BK$244*Предпосылки!$T260*Продажи!BL25*BL$19*(1+Чувствительность!$D$20)*IFERROR(LOOKUP(Предпосылки!$H$217,$C$13:$C$15,BL$13:BL$15),1)</f>
        <v>0</v>
      </c>
      <c s="125">
        <f>Предпосылки!BL$244*Предпосылки!$T260*Продажи!BM25*BM$19*(1+Чувствительность!$D$20)*IFERROR(LOOKUP(Предпосылки!$H$217,$C$13:$C$15,BM$13:BM$15),1)</f>
        <v>0</v>
      </c>
    </row>
    <row r="399" spans="2:65" ht="15" customHeight="1">
      <c r="B399" s="12" t="str">
        <f t="shared" si="141"/>
        <v>Продукт 9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Предпосылки!D$244*Предпосылки!$T261*Продажи!E26*E$19*(1+Чувствительность!$D$20)*IFERROR(LOOKUP(Предпосылки!$H$217,$C$13:$C$15,E$13:E$15),1)</f>
        <v>0</v>
      </c>
      <c s="125">
        <f>Предпосылки!E$244*Предпосылки!$T261*Продажи!F26*F$19*(1+Чувствительность!$D$20)*IFERROR(LOOKUP(Предпосылки!$H$217,$C$13:$C$15,F$13:F$15),1)</f>
        <v>0</v>
      </c>
      <c s="125">
        <f>Предпосылки!F$244*Предпосылки!$T261*Продажи!G26*G$19*(1+Чувствительность!$D$20)*IFERROR(LOOKUP(Предпосылки!$H$217,$C$13:$C$15,G$13:G$15),1)</f>
        <v>0</v>
      </c>
      <c s="125">
        <f>Предпосылки!G$244*Предпосылки!$T261*Продажи!H26*H$19*(1+Чувствительность!$D$20)*IFERROR(LOOKUP(Предпосылки!$H$217,$C$13:$C$15,H$13:H$15),1)</f>
        <v>0</v>
      </c>
      <c s="125">
        <f>Предпосылки!H$244*Предпосылки!$T261*Продажи!I26*I$19*(1+Чувствительность!$D$20)*IFERROR(LOOKUP(Предпосылки!$H$217,$C$13:$C$15,I$13:I$15),1)</f>
        <v>0</v>
      </c>
      <c s="125">
        <f>Предпосылки!I$244*Предпосылки!$T261*Продажи!J26*J$19*(1+Чувствительность!$D$20)*IFERROR(LOOKUP(Предпосылки!$H$217,$C$13:$C$15,J$13:J$15),1)</f>
        <v>0</v>
      </c>
      <c s="125">
        <f>Предпосылки!J$244*Предпосылки!$T261*Продажи!K26*K$19*(1+Чувствительность!$D$20)*IFERROR(LOOKUP(Предпосылки!$H$217,$C$13:$C$15,K$13:K$15),1)</f>
        <v>0</v>
      </c>
      <c s="125">
        <f>Предпосылки!K$244*Предпосылки!$T261*Продажи!L26*L$19*(1+Чувствительность!$D$20)*IFERROR(LOOKUP(Предпосылки!$H$217,$C$13:$C$15,L$13:L$15),1)</f>
        <v>0</v>
      </c>
      <c s="125">
        <f>Предпосылки!L$244*Предпосылки!$T261*Продажи!M26*M$19*(1+Чувствительность!$D$20)*IFERROR(LOOKUP(Предпосылки!$H$217,$C$13:$C$15,M$13:M$15),1)</f>
        <v>0</v>
      </c>
      <c s="125">
        <f>Предпосылки!M$244*Предпосылки!$T261*Продажи!N26*N$19*(1+Чувствительность!$D$20)*IFERROR(LOOKUP(Предпосылки!$H$217,$C$13:$C$15,N$13:N$15),1)</f>
        <v>0</v>
      </c>
      <c s="125">
        <f>Предпосылки!N$244*Предпосылки!$T261*Продажи!O26*O$19*(1+Чувствительность!$D$20)*IFERROR(LOOKUP(Предпосылки!$H$217,$C$13:$C$15,O$13:O$15),1)</f>
        <v>0</v>
      </c>
      <c s="125">
        <f>Предпосылки!O$244*Предпосылки!$T261*Продажи!P26*P$19*(1+Чувствительность!$D$20)*IFERROR(LOOKUP(Предпосылки!$H$217,$C$13:$C$15,P$13:P$15),1)</f>
        <v>0</v>
      </c>
      <c s="125">
        <f>Предпосылки!P$244*Предпосылки!$T261*Продажи!Q26*Q$19*(1+Чувствительность!$D$20)*IFERROR(LOOKUP(Предпосылки!$H$217,$C$13:$C$15,Q$13:Q$15),1)</f>
        <v>0</v>
      </c>
      <c s="125">
        <f>Предпосылки!Q$244*Предпосылки!$T261*Продажи!R26*R$19*(1+Чувствительность!$D$20)*IFERROR(LOOKUP(Предпосылки!$H$217,$C$13:$C$15,R$13:R$15),1)</f>
        <v>0</v>
      </c>
      <c s="125">
        <f>Предпосылки!R$244*Предпосылки!$T261*Продажи!S26*S$19*(1+Чувствительность!$D$20)*IFERROR(LOOKUP(Предпосылки!$H$217,$C$13:$C$15,S$13:S$15),1)</f>
        <v>0</v>
      </c>
      <c s="125">
        <f>Предпосылки!S$244*Предпосылки!$T261*Продажи!T26*T$19*(1+Чувствительность!$D$20)*IFERROR(LOOKUP(Предпосылки!$H$217,$C$13:$C$15,T$13:T$15),1)</f>
        <v>0</v>
      </c>
      <c s="125">
        <f>Предпосылки!T$244*Предпосылки!$T261*Продажи!U26*U$19*(1+Чувствительность!$D$20)*IFERROR(LOOKUP(Предпосылки!$H$217,$C$13:$C$15,U$13:U$15),1)</f>
        <v>0</v>
      </c>
      <c s="125">
        <f>Предпосылки!U$244*Предпосылки!$T261*Продажи!V26*V$19*(1+Чувствительность!$D$20)*IFERROR(LOOKUP(Предпосылки!$H$217,$C$13:$C$15,V$13:V$15),1)</f>
        <v>0</v>
      </c>
      <c s="125">
        <f>Предпосылки!V$244*Предпосылки!$T261*Продажи!W26*W$19*(1+Чувствительность!$D$20)*IFERROR(LOOKUP(Предпосылки!$H$217,$C$13:$C$15,W$13:W$15),1)</f>
        <v>0</v>
      </c>
      <c s="125">
        <f>Предпосылки!W$244*Предпосылки!$T261*Продажи!X26*X$19*(1+Чувствительность!$D$20)*IFERROR(LOOKUP(Предпосылки!$H$217,$C$13:$C$15,X$13:X$15),1)</f>
        <v>0</v>
      </c>
      <c s="125">
        <f>Предпосылки!X$244*Предпосылки!$T261*Продажи!Y26*Y$19*(1+Чувствительность!$D$20)*IFERROR(LOOKUP(Предпосылки!$H$217,$C$13:$C$15,Y$13:Y$15),1)</f>
        <v>0</v>
      </c>
      <c s="125">
        <f>Предпосылки!Y$244*Предпосылки!$T261*Продажи!Z26*Z$19*(1+Чувствительность!$D$20)*IFERROR(LOOKUP(Предпосылки!$H$217,$C$13:$C$15,Z$13:Z$15),1)</f>
        <v>0</v>
      </c>
      <c s="125">
        <f>Предпосылки!Z$244*Предпосылки!$T261*Продажи!AA26*AA$19*(1+Чувствительность!$D$20)*IFERROR(LOOKUP(Предпосылки!$H$217,$C$13:$C$15,AA$13:AA$15),1)</f>
        <v>0</v>
      </c>
      <c s="125">
        <f>Предпосылки!AA$244*Предпосылки!$T261*Продажи!AB26*AB$19*(1+Чувствительность!$D$20)*IFERROR(LOOKUP(Предпосылки!$H$217,$C$13:$C$15,AB$13:AB$15),1)</f>
        <v>0</v>
      </c>
      <c s="125">
        <f>Предпосылки!AB$244*Предпосылки!$T261*Продажи!AC26*AC$19*(1+Чувствительность!$D$20)*IFERROR(LOOKUP(Предпосылки!$H$217,$C$13:$C$15,AC$13:AC$15),1)</f>
        <v>0</v>
      </c>
      <c s="125">
        <f>Предпосылки!AC$244*Предпосылки!$T261*Продажи!AD26*AD$19*(1+Чувствительность!$D$20)*IFERROR(LOOKUP(Предпосылки!$H$217,$C$13:$C$15,AD$13:AD$15),1)</f>
        <v>0</v>
      </c>
      <c s="125">
        <f>Предпосылки!AD$244*Предпосылки!$T261*Продажи!AE26*AE$19*(1+Чувствительность!$D$20)*IFERROR(LOOKUP(Предпосылки!$H$217,$C$13:$C$15,AE$13:AE$15),1)</f>
        <v>0</v>
      </c>
      <c s="125">
        <f>Предпосылки!AE$244*Предпосылки!$T261*Продажи!AF26*AF$19*(1+Чувствительность!$D$20)*IFERROR(LOOKUP(Предпосылки!$H$217,$C$13:$C$15,AF$13:AF$15),1)</f>
        <v>0</v>
      </c>
      <c s="125">
        <f>Предпосылки!AF$244*Предпосылки!$T261*Продажи!AG26*AG$19*(1+Чувствительность!$D$20)*IFERROR(LOOKUP(Предпосылки!$H$217,$C$13:$C$15,AG$13:AG$15),1)</f>
        <v>0</v>
      </c>
      <c s="125">
        <f>Предпосылки!AG$244*Предпосылки!$T261*Продажи!AH26*AH$19*(1+Чувствительность!$D$20)*IFERROR(LOOKUP(Предпосылки!$H$217,$C$13:$C$15,AH$13:AH$15),1)</f>
        <v>0</v>
      </c>
      <c s="125">
        <f>Предпосылки!AH$244*Предпосылки!$T261*Продажи!AI26*AI$19*(1+Чувствительность!$D$20)*IFERROR(LOOKUP(Предпосылки!$H$217,$C$13:$C$15,AI$13:AI$15),1)</f>
        <v>0</v>
      </c>
      <c s="125">
        <f>Предпосылки!AI$244*Предпосылки!$T261*Продажи!AJ26*AJ$19*(1+Чувствительность!$D$20)*IFERROR(LOOKUP(Предпосылки!$H$217,$C$13:$C$15,AJ$13:AJ$15),1)</f>
        <v>0</v>
      </c>
      <c s="125">
        <f>Предпосылки!AJ$244*Предпосылки!$T261*Продажи!AK26*AK$19*(1+Чувствительность!$D$20)*IFERROR(LOOKUP(Предпосылки!$H$217,$C$13:$C$15,AK$13:AK$15),1)</f>
        <v>0</v>
      </c>
      <c s="125">
        <f>Предпосылки!AK$244*Предпосылки!$T261*Продажи!AL26*AL$19*(1+Чувствительность!$D$20)*IFERROR(LOOKUP(Предпосылки!$H$217,$C$13:$C$15,AL$13:AL$15),1)</f>
        <v>0</v>
      </c>
      <c s="125">
        <f>Предпосылки!AL$244*Предпосылки!$T261*Продажи!AM26*AM$19*(1+Чувствительность!$D$20)*IFERROR(LOOKUP(Предпосылки!$H$217,$C$13:$C$15,AM$13:AM$15),1)</f>
        <v>0</v>
      </c>
      <c s="125">
        <f>Предпосылки!AM$244*Предпосылки!$T261*Продажи!AN26*AN$19*(1+Чувствительность!$D$20)*IFERROR(LOOKUP(Предпосылки!$H$217,$C$13:$C$15,AN$13:AN$15),1)</f>
        <v>0</v>
      </c>
      <c s="125">
        <f>Предпосылки!AN$244*Предпосылки!$T261*Продажи!AO26*AO$19*(1+Чувствительность!$D$20)*IFERROR(LOOKUP(Предпосылки!$H$217,$C$13:$C$15,AO$13:AO$15),1)</f>
        <v>0</v>
      </c>
      <c s="125">
        <f>Предпосылки!AO$244*Предпосылки!$T261*Продажи!AP26*AP$19*(1+Чувствительность!$D$20)*IFERROR(LOOKUP(Предпосылки!$H$217,$C$13:$C$15,AP$13:AP$15),1)</f>
        <v>0</v>
      </c>
      <c s="125">
        <f>Предпосылки!AP$244*Предпосылки!$T261*Продажи!AQ26*AQ$19*(1+Чувствительность!$D$20)*IFERROR(LOOKUP(Предпосылки!$H$217,$C$13:$C$15,AQ$13:AQ$15),1)</f>
        <v>0</v>
      </c>
      <c s="125">
        <f>Предпосылки!AQ$244*Предпосылки!$T261*Продажи!AR26*AR$19*(1+Чувствительность!$D$20)*IFERROR(LOOKUP(Предпосылки!$H$217,$C$13:$C$15,AR$13:AR$15),1)</f>
        <v>0</v>
      </c>
      <c s="125">
        <f>Предпосылки!AR$244*Предпосылки!$T261*Продажи!AS26*AS$19*(1+Чувствительность!$D$20)*IFERROR(LOOKUP(Предпосылки!$H$217,$C$13:$C$15,AS$13:AS$15),1)</f>
        <v>0</v>
      </c>
      <c s="125">
        <f>Предпосылки!AS$244*Предпосылки!$T261*Продажи!AT26*AT$19*(1+Чувствительность!$D$20)*IFERROR(LOOKUP(Предпосылки!$H$217,$C$13:$C$15,AT$13:AT$15),1)</f>
        <v>0</v>
      </c>
      <c s="125">
        <f>Предпосылки!AT$244*Предпосылки!$T261*Продажи!AU26*AU$19*(1+Чувствительность!$D$20)*IFERROR(LOOKUP(Предпосылки!$H$217,$C$13:$C$15,AU$13:AU$15),1)</f>
        <v>0</v>
      </c>
      <c s="125">
        <f>Предпосылки!AU$244*Предпосылки!$T261*Продажи!AV26*AV$19*(1+Чувствительность!$D$20)*IFERROR(LOOKUP(Предпосылки!$H$217,$C$13:$C$15,AV$13:AV$15),1)</f>
        <v>0</v>
      </c>
      <c s="125">
        <f>Предпосылки!AV$244*Предпосылки!$T261*Продажи!AW26*AW$19*(1+Чувствительность!$D$20)*IFERROR(LOOKUP(Предпосылки!$H$217,$C$13:$C$15,AW$13:AW$15),1)</f>
        <v>0</v>
      </c>
      <c s="125">
        <f>Предпосылки!AW$244*Предпосылки!$T261*Продажи!AX26*AX$19*(1+Чувствительность!$D$20)*IFERROR(LOOKUP(Предпосылки!$H$217,$C$13:$C$15,AX$13:AX$15),1)</f>
        <v>0</v>
      </c>
      <c s="125">
        <f>Предпосылки!AX$244*Предпосылки!$T261*Продажи!AY26*AY$19*(1+Чувствительность!$D$20)*IFERROR(LOOKUP(Предпосылки!$H$217,$C$13:$C$15,AY$13:AY$15),1)</f>
        <v>0</v>
      </c>
      <c s="125">
        <f>Предпосылки!AY$244*Предпосылки!$T261*Продажи!AZ26*AZ$19*(1+Чувствительность!$D$20)*IFERROR(LOOKUP(Предпосылки!$H$217,$C$13:$C$15,AZ$13:AZ$15),1)</f>
        <v>0</v>
      </c>
      <c s="125">
        <f>Предпосылки!AZ$244*Предпосылки!$T261*Продажи!BA26*BA$19*(1+Чувствительность!$D$20)*IFERROR(LOOKUP(Предпосылки!$H$217,$C$13:$C$15,BA$13:BA$15),1)</f>
        <v>0</v>
      </c>
      <c s="125">
        <f>Предпосылки!BA$244*Предпосылки!$T261*Продажи!BB26*BB$19*(1+Чувствительность!$D$20)*IFERROR(LOOKUP(Предпосылки!$H$217,$C$13:$C$15,BB$13:BB$15),1)</f>
        <v>0</v>
      </c>
      <c s="125">
        <f>Предпосылки!BB$244*Предпосылки!$T261*Продажи!BC26*BC$19*(1+Чувствительность!$D$20)*IFERROR(LOOKUP(Предпосылки!$H$217,$C$13:$C$15,BC$13:BC$15),1)</f>
        <v>0</v>
      </c>
      <c s="125">
        <f>Предпосылки!BC$244*Предпосылки!$T261*Продажи!BD26*BD$19*(1+Чувствительность!$D$20)*IFERROR(LOOKUP(Предпосылки!$H$217,$C$13:$C$15,BD$13:BD$15),1)</f>
        <v>0</v>
      </c>
      <c s="125">
        <f>Предпосылки!BD$244*Предпосылки!$T261*Продажи!BE26*BE$19*(1+Чувствительность!$D$20)*IFERROR(LOOKUP(Предпосылки!$H$217,$C$13:$C$15,BE$13:BE$15),1)</f>
        <v>0</v>
      </c>
      <c s="125">
        <f>Предпосылки!BE$244*Предпосылки!$T261*Продажи!BF26*BF$19*(1+Чувствительность!$D$20)*IFERROR(LOOKUP(Предпосылки!$H$217,$C$13:$C$15,BF$13:BF$15),1)</f>
        <v>0</v>
      </c>
      <c s="125">
        <f>Предпосылки!BF$244*Предпосылки!$T261*Продажи!BG26*BG$19*(1+Чувствительность!$D$20)*IFERROR(LOOKUP(Предпосылки!$H$217,$C$13:$C$15,BG$13:BG$15),1)</f>
        <v>0</v>
      </c>
      <c s="125">
        <f>Предпосылки!BG$244*Предпосылки!$T261*Продажи!BH26*BH$19*(1+Чувствительность!$D$20)*IFERROR(LOOKUP(Предпосылки!$H$217,$C$13:$C$15,BH$13:BH$15),1)</f>
        <v>0</v>
      </c>
      <c s="125">
        <f>Предпосылки!BH$244*Предпосылки!$T261*Продажи!BI26*BI$19*(1+Чувствительность!$D$20)*IFERROR(LOOKUP(Предпосылки!$H$217,$C$13:$C$15,BI$13:BI$15),1)</f>
        <v>0</v>
      </c>
      <c s="125">
        <f>Предпосылки!BI$244*Предпосылки!$T261*Продажи!BJ26*BJ$19*(1+Чувствительность!$D$20)*IFERROR(LOOKUP(Предпосылки!$H$217,$C$13:$C$15,BJ$13:BJ$15),1)</f>
        <v>0</v>
      </c>
      <c s="125">
        <f>Предпосылки!BJ$244*Предпосылки!$T261*Продажи!BK26*BK$19*(1+Чувствительность!$D$20)*IFERROR(LOOKUP(Предпосылки!$H$217,$C$13:$C$15,BK$13:BK$15),1)</f>
        <v>0</v>
      </c>
      <c s="125">
        <f>Предпосылки!BK$244*Предпосылки!$T261*Продажи!BL26*BL$19*(1+Чувствительность!$D$20)*IFERROR(LOOKUP(Предпосылки!$H$217,$C$13:$C$15,BL$13:BL$15),1)</f>
        <v>0</v>
      </c>
      <c s="125">
        <f>Предпосылки!BL$244*Предпосылки!$T261*Продажи!BM26*BM$19*(1+Чувствительность!$D$20)*IFERROR(LOOKUP(Предпосылки!$H$217,$C$13:$C$15,BM$13:BM$15),1)</f>
        <v>0</v>
      </c>
    </row>
    <row r="400" spans="2:65" ht="15" customHeight="1">
      <c r="B400" s="12" t="str">
        <f t="shared" si="141"/>
        <v>Продукт 10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Предпосылки!D$244*Предпосылки!$T262*Продажи!E27*E$19*(1+Чувствительность!$D$20)*IFERROR(LOOKUP(Предпосылки!$H$217,$C$13:$C$15,E$13:E$15),1)</f>
        <v>0</v>
      </c>
      <c s="125">
        <f>Предпосылки!E$244*Предпосылки!$T262*Продажи!F27*F$19*(1+Чувствительность!$D$20)*IFERROR(LOOKUP(Предпосылки!$H$217,$C$13:$C$15,F$13:F$15),1)</f>
        <v>0</v>
      </c>
      <c s="125">
        <f>Предпосылки!F$244*Предпосылки!$T262*Продажи!G27*G$19*(1+Чувствительность!$D$20)*IFERROR(LOOKUP(Предпосылки!$H$217,$C$13:$C$15,G$13:G$15),1)</f>
        <v>0</v>
      </c>
      <c s="125">
        <f>Предпосылки!G$244*Предпосылки!$T262*Продажи!H27*H$19*(1+Чувствительность!$D$20)*IFERROR(LOOKUP(Предпосылки!$H$217,$C$13:$C$15,H$13:H$15),1)</f>
        <v>0</v>
      </c>
      <c s="125">
        <f>Предпосылки!H$244*Предпосылки!$T262*Продажи!I27*I$19*(1+Чувствительность!$D$20)*IFERROR(LOOKUP(Предпосылки!$H$217,$C$13:$C$15,I$13:I$15),1)</f>
        <v>0</v>
      </c>
      <c s="125">
        <f>Предпосылки!I$244*Предпосылки!$T262*Продажи!J27*J$19*(1+Чувствительность!$D$20)*IFERROR(LOOKUP(Предпосылки!$H$217,$C$13:$C$15,J$13:J$15),1)</f>
        <v>0</v>
      </c>
      <c s="125">
        <f>Предпосылки!J$244*Предпосылки!$T262*Продажи!K27*K$19*(1+Чувствительность!$D$20)*IFERROR(LOOKUP(Предпосылки!$H$217,$C$13:$C$15,K$13:K$15),1)</f>
        <v>0</v>
      </c>
      <c s="125">
        <f>Предпосылки!K$244*Предпосылки!$T262*Продажи!L27*L$19*(1+Чувствительность!$D$20)*IFERROR(LOOKUP(Предпосылки!$H$217,$C$13:$C$15,L$13:L$15),1)</f>
        <v>0</v>
      </c>
      <c s="125">
        <f>Предпосылки!L$244*Предпосылки!$T262*Продажи!M27*M$19*(1+Чувствительность!$D$20)*IFERROR(LOOKUP(Предпосылки!$H$217,$C$13:$C$15,M$13:M$15),1)</f>
        <v>0</v>
      </c>
      <c s="125">
        <f>Предпосылки!M$244*Предпосылки!$T262*Продажи!N27*N$19*(1+Чувствительность!$D$20)*IFERROR(LOOKUP(Предпосылки!$H$217,$C$13:$C$15,N$13:N$15),1)</f>
        <v>0</v>
      </c>
      <c s="125">
        <f>Предпосылки!N$244*Предпосылки!$T262*Продажи!O27*O$19*(1+Чувствительность!$D$20)*IFERROR(LOOKUP(Предпосылки!$H$217,$C$13:$C$15,O$13:O$15),1)</f>
        <v>0</v>
      </c>
      <c s="125">
        <f>Предпосылки!O$244*Предпосылки!$T262*Продажи!P27*P$19*(1+Чувствительность!$D$20)*IFERROR(LOOKUP(Предпосылки!$H$217,$C$13:$C$15,P$13:P$15),1)</f>
        <v>0</v>
      </c>
      <c s="125">
        <f>Предпосылки!P$244*Предпосылки!$T262*Продажи!Q27*Q$19*(1+Чувствительность!$D$20)*IFERROR(LOOKUP(Предпосылки!$H$217,$C$13:$C$15,Q$13:Q$15),1)</f>
        <v>0</v>
      </c>
      <c s="125">
        <f>Предпосылки!Q$244*Предпосылки!$T262*Продажи!R27*R$19*(1+Чувствительность!$D$20)*IFERROR(LOOKUP(Предпосылки!$H$217,$C$13:$C$15,R$13:R$15),1)</f>
        <v>0</v>
      </c>
      <c s="125">
        <f>Предпосылки!R$244*Предпосылки!$T262*Продажи!S27*S$19*(1+Чувствительность!$D$20)*IFERROR(LOOKUP(Предпосылки!$H$217,$C$13:$C$15,S$13:S$15),1)</f>
        <v>0</v>
      </c>
      <c s="125">
        <f>Предпосылки!S$244*Предпосылки!$T262*Продажи!T27*T$19*(1+Чувствительность!$D$20)*IFERROR(LOOKUP(Предпосылки!$H$217,$C$13:$C$15,T$13:T$15),1)</f>
        <v>0</v>
      </c>
      <c s="125">
        <f>Предпосылки!T$244*Предпосылки!$T262*Продажи!U27*U$19*(1+Чувствительность!$D$20)*IFERROR(LOOKUP(Предпосылки!$H$217,$C$13:$C$15,U$13:U$15),1)</f>
        <v>0</v>
      </c>
      <c s="125">
        <f>Предпосылки!U$244*Предпосылки!$T262*Продажи!V27*V$19*(1+Чувствительность!$D$20)*IFERROR(LOOKUP(Предпосылки!$H$217,$C$13:$C$15,V$13:V$15),1)</f>
        <v>0</v>
      </c>
      <c s="125">
        <f>Предпосылки!V$244*Предпосылки!$T262*Продажи!W27*W$19*(1+Чувствительность!$D$20)*IFERROR(LOOKUP(Предпосылки!$H$217,$C$13:$C$15,W$13:W$15),1)</f>
        <v>0</v>
      </c>
      <c s="125">
        <f>Предпосылки!W$244*Предпосылки!$T262*Продажи!X27*X$19*(1+Чувствительность!$D$20)*IFERROR(LOOKUP(Предпосылки!$H$217,$C$13:$C$15,X$13:X$15),1)</f>
        <v>0</v>
      </c>
      <c s="125">
        <f>Предпосылки!X$244*Предпосылки!$T262*Продажи!Y27*Y$19*(1+Чувствительность!$D$20)*IFERROR(LOOKUP(Предпосылки!$H$217,$C$13:$C$15,Y$13:Y$15),1)</f>
        <v>0</v>
      </c>
      <c s="125">
        <f>Предпосылки!Y$244*Предпосылки!$T262*Продажи!Z27*Z$19*(1+Чувствительность!$D$20)*IFERROR(LOOKUP(Предпосылки!$H$217,$C$13:$C$15,Z$13:Z$15),1)</f>
        <v>0</v>
      </c>
      <c s="125">
        <f>Предпосылки!Z$244*Предпосылки!$T262*Продажи!AA27*AA$19*(1+Чувствительность!$D$20)*IFERROR(LOOKUP(Предпосылки!$H$217,$C$13:$C$15,AA$13:AA$15),1)</f>
        <v>0</v>
      </c>
      <c s="125">
        <f>Предпосылки!AA$244*Предпосылки!$T262*Продажи!AB27*AB$19*(1+Чувствительность!$D$20)*IFERROR(LOOKUP(Предпосылки!$H$217,$C$13:$C$15,AB$13:AB$15),1)</f>
        <v>0</v>
      </c>
      <c s="125">
        <f>Предпосылки!AB$244*Предпосылки!$T262*Продажи!AC27*AC$19*(1+Чувствительность!$D$20)*IFERROR(LOOKUP(Предпосылки!$H$217,$C$13:$C$15,AC$13:AC$15),1)</f>
        <v>0</v>
      </c>
      <c s="125">
        <f>Предпосылки!AC$244*Предпосылки!$T262*Продажи!AD27*AD$19*(1+Чувствительность!$D$20)*IFERROR(LOOKUP(Предпосылки!$H$217,$C$13:$C$15,AD$13:AD$15),1)</f>
        <v>0</v>
      </c>
      <c s="125">
        <f>Предпосылки!AD$244*Предпосылки!$T262*Продажи!AE27*AE$19*(1+Чувствительность!$D$20)*IFERROR(LOOKUP(Предпосылки!$H$217,$C$13:$C$15,AE$13:AE$15),1)</f>
        <v>0</v>
      </c>
      <c s="125">
        <f>Предпосылки!AE$244*Предпосылки!$T262*Продажи!AF27*AF$19*(1+Чувствительность!$D$20)*IFERROR(LOOKUP(Предпосылки!$H$217,$C$13:$C$15,AF$13:AF$15),1)</f>
        <v>0</v>
      </c>
      <c s="125">
        <f>Предпосылки!AF$244*Предпосылки!$T262*Продажи!AG27*AG$19*(1+Чувствительность!$D$20)*IFERROR(LOOKUP(Предпосылки!$H$217,$C$13:$C$15,AG$13:AG$15),1)</f>
        <v>0</v>
      </c>
      <c s="125">
        <f>Предпосылки!AG$244*Предпосылки!$T262*Продажи!AH27*AH$19*(1+Чувствительность!$D$20)*IFERROR(LOOKUP(Предпосылки!$H$217,$C$13:$C$15,AH$13:AH$15),1)</f>
        <v>0</v>
      </c>
      <c s="125">
        <f>Предпосылки!AH$244*Предпосылки!$T262*Продажи!AI27*AI$19*(1+Чувствительность!$D$20)*IFERROR(LOOKUP(Предпосылки!$H$217,$C$13:$C$15,AI$13:AI$15),1)</f>
        <v>0</v>
      </c>
      <c s="125">
        <f>Предпосылки!AI$244*Предпосылки!$T262*Продажи!AJ27*AJ$19*(1+Чувствительность!$D$20)*IFERROR(LOOKUP(Предпосылки!$H$217,$C$13:$C$15,AJ$13:AJ$15),1)</f>
        <v>0</v>
      </c>
      <c s="125">
        <f>Предпосылки!AJ$244*Предпосылки!$T262*Продажи!AK27*AK$19*(1+Чувствительность!$D$20)*IFERROR(LOOKUP(Предпосылки!$H$217,$C$13:$C$15,AK$13:AK$15),1)</f>
        <v>0</v>
      </c>
      <c s="125">
        <f>Предпосылки!AK$244*Предпосылки!$T262*Продажи!AL27*AL$19*(1+Чувствительность!$D$20)*IFERROR(LOOKUP(Предпосылки!$H$217,$C$13:$C$15,AL$13:AL$15),1)</f>
        <v>0</v>
      </c>
      <c s="125">
        <f>Предпосылки!AL$244*Предпосылки!$T262*Продажи!AM27*AM$19*(1+Чувствительность!$D$20)*IFERROR(LOOKUP(Предпосылки!$H$217,$C$13:$C$15,AM$13:AM$15),1)</f>
        <v>0</v>
      </c>
      <c s="125">
        <f>Предпосылки!AM$244*Предпосылки!$T262*Продажи!AN27*AN$19*(1+Чувствительность!$D$20)*IFERROR(LOOKUP(Предпосылки!$H$217,$C$13:$C$15,AN$13:AN$15),1)</f>
        <v>0</v>
      </c>
      <c s="125">
        <f>Предпосылки!AN$244*Предпосылки!$T262*Продажи!AO27*AO$19*(1+Чувствительность!$D$20)*IFERROR(LOOKUP(Предпосылки!$H$217,$C$13:$C$15,AO$13:AO$15),1)</f>
        <v>0</v>
      </c>
      <c s="125">
        <f>Предпосылки!AO$244*Предпосылки!$T262*Продажи!AP27*AP$19*(1+Чувствительность!$D$20)*IFERROR(LOOKUP(Предпосылки!$H$217,$C$13:$C$15,AP$13:AP$15),1)</f>
        <v>0</v>
      </c>
      <c s="125">
        <f>Предпосылки!AP$244*Предпосылки!$T262*Продажи!AQ27*AQ$19*(1+Чувствительность!$D$20)*IFERROR(LOOKUP(Предпосылки!$H$217,$C$13:$C$15,AQ$13:AQ$15),1)</f>
        <v>0</v>
      </c>
      <c s="125">
        <f>Предпосылки!AQ$244*Предпосылки!$T262*Продажи!AR27*AR$19*(1+Чувствительность!$D$20)*IFERROR(LOOKUP(Предпосылки!$H$217,$C$13:$C$15,AR$13:AR$15),1)</f>
        <v>0</v>
      </c>
      <c s="125">
        <f>Предпосылки!AR$244*Предпосылки!$T262*Продажи!AS27*AS$19*(1+Чувствительность!$D$20)*IFERROR(LOOKUP(Предпосылки!$H$217,$C$13:$C$15,AS$13:AS$15),1)</f>
        <v>0</v>
      </c>
      <c s="125">
        <f>Предпосылки!AS$244*Предпосылки!$T262*Продажи!AT27*AT$19*(1+Чувствительность!$D$20)*IFERROR(LOOKUP(Предпосылки!$H$217,$C$13:$C$15,AT$13:AT$15),1)</f>
        <v>0</v>
      </c>
      <c s="125">
        <f>Предпосылки!AT$244*Предпосылки!$T262*Продажи!AU27*AU$19*(1+Чувствительность!$D$20)*IFERROR(LOOKUP(Предпосылки!$H$217,$C$13:$C$15,AU$13:AU$15),1)</f>
        <v>0</v>
      </c>
      <c s="125">
        <f>Предпосылки!AU$244*Предпосылки!$T262*Продажи!AV27*AV$19*(1+Чувствительность!$D$20)*IFERROR(LOOKUP(Предпосылки!$H$217,$C$13:$C$15,AV$13:AV$15),1)</f>
        <v>0</v>
      </c>
      <c s="125">
        <f>Предпосылки!AV$244*Предпосылки!$T262*Продажи!AW27*AW$19*(1+Чувствительность!$D$20)*IFERROR(LOOKUP(Предпосылки!$H$217,$C$13:$C$15,AW$13:AW$15),1)</f>
        <v>0</v>
      </c>
      <c s="125">
        <f>Предпосылки!AW$244*Предпосылки!$T262*Продажи!AX27*AX$19*(1+Чувствительность!$D$20)*IFERROR(LOOKUP(Предпосылки!$H$217,$C$13:$C$15,AX$13:AX$15),1)</f>
        <v>0</v>
      </c>
      <c s="125">
        <f>Предпосылки!AX$244*Предпосылки!$T262*Продажи!AY27*AY$19*(1+Чувствительность!$D$20)*IFERROR(LOOKUP(Предпосылки!$H$217,$C$13:$C$15,AY$13:AY$15),1)</f>
        <v>0</v>
      </c>
      <c s="125">
        <f>Предпосылки!AY$244*Предпосылки!$T262*Продажи!AZ27*AZ$19*(1+Чувствительность!$D$20)*IFERROR(LOOKUP(Предпосылки!$H$217,$C$13:$C$15,AZ$13:AZ$15),1)</f>
        <v>0</v>
      </c>
      <c s="125">
        <f>Предпосылки!AZ$244*Предпосылки!$T262*Продажи!BA27*BA$19*(1+Чувствительность!$D$20)*IFERROR(LOOKUP(Предпосылки!$H$217,$C$13:$C$15,BA$13:BA$15),1)</f>
        <v>0</v>
      </c>
      <c s="125">
        <f>Предпосылки!BA$244*Предпосылки!$T262*Продажи!BB27*BB$19*(1+Чувствительность!$D$20)*IFERROR(LOOKUP(Предпосылки!$H$217,$C$13:$C$15,BB$13:BB$15),1)</f>
        <v>0</v>
      </c>
      <c s="125">
        <f>Предпосылки!BB$244*Предпосылки!$T262*Продажи!BC27*BC$19*(1+Чувствительность!$D$20)*IFERROR(LOOKUP(Предпосылки!$H$217,$C$13:$C$15,BC$13:BC$15),1)</f>
        <v>0</v>
      </c>
      <c s="125">
        <f>Предпосылки!BC$244*Предпосылки!$T262*Продажи!BD27*BD$19*(1+Чувствительность!$D$20)*IFERROR(LOOKUP(Предпосылки!$H$217,$C$13:$C$15,BD$13:BD$15),1)</f>
        <v>0</v>
      </c>
      <c s="125">
        <f>Предпосылки!BD$244*Предпосылки!$T262*Продажи!BE27*BE$19*(1+Чувствительность!$D$20)*IFERROR(LOOKUP(Предпосылки!$H$217,$C$13:$C$15,BE$13:BE$15),1)</f>
        <v>0</v>
      </c>
      <c s="125">
        <f>Предпосылки!BE$244*Предпосылки!$T262*Продажи!BF27*BF$19*(1+Чувствительность!$D$20)*IFERROR(LOOKUP(Предпосылки!$H$217,$C$13:$C$15,BF$13:BF$15),1)</f>
        <v>0</v>
      </c>
      <c s="125">
        <f>Предпосылки!BF$244*Предпосылки!$T262*Продажи!BG27*BG$19*(1+Чувствительность!$D$20)*IFERROR(LOOKUP(Предпосылки!$H$217,$C$13:$C$15,BG$13:BG$15),1)</f>
        <v>0</v>
      </c>
      <c s="125">
        <f>Предпосылки!BG$244*Предпосылки!$T262*Продажи!BH27*BH$19*(1+Чувствительность!$D$20)*IFERROR(LOOKUP(Предпосылки!$H$217,$C$13:$C$15,BH$13:BH$15),1)</f>
        <v>0</v>
      </c>
      <c s="125">
        <f>Предпосылки!BH$244*Предпосылки!$T262*Продажи!BI27*BI$19*(1+Чувствительность!$D$20)*IFERROR(LOOKUP(Предпосылки!$H$217,$C$13:$C$15,BI$13:BI$15),1)</f>
        <v>0</v>
      </c>
      <c s="125">
        <f>Предпосылки!BI$244*Предпосылки!$T262*Продажи!BJ27*BJ$19*(1+Чувствительность!$D$20)*IFERROR(LOOKUP(Предпосылки!$H$217,$C$13:$C$15,BJ$13:BJ$15),1)</f>
        <v>0</v>
      </c>
      <c s="125">
        <f>Предпосылки!BJ$244*Предпосылки!$T262*Продажи!BK27*BK$19*(1+Чувствительность!$D$20)*IFERROR(LOOKUP(Предпосылки!$H$217,$C$13:$C$15,BK$13:BK$15),1)</f>
        <v>0</v>
      </c>
      <c s="125">
        <f>Предпосылки!BK$244*Предпосылки!$T262*Продажи!BL27*BL$19*(1+Чувствительность!$D$20)*IFERROR(LOOKUP(Предпосылки!$H$217,$C$13:$C$15,BL$13:BL$15),1)</f>
        <v>0</v>
      </c>
      <c s="125">
        <f>Предпосылки!BL$244*Предпосылки!$T262*Продажи!BM27*BM$19*(1+Чувствительность!$D$20)*IFERROR(LOOKUP(Предпосылки!$H$217,$C$13:$C$15,BM$13:BM$15),1)</f>
        <v>0</v>
      </c>
    </row>
    <row r="401" spans="2:65" ht="15" customHeight="1">
      <c r="B401" s="12" t="str">
        <f t="shared" si="141"/>
        <v>Продукт 11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Предпосылки!D$244*Предпосылки!$T263*Продажи!E28*E$19*(1+Чувствительность!$D$20)*IFERROR(LOOKUP(Предпосылки!$H$217,$C$13:$C$15,E$13:E$15),1)</f>
        <v>0</v>
      </c>
      <c s="125">
        <f>Предпосылки!E$244*Предпосылки!$T263*Продажи!F28*F$19*(1+Чувствительность!$D$20)*IFERROR(LOOKUP(Предпосылки!$H$217,$C$13:$C$15,F$13:F$15),1)</f>
        <v>0</v>
      </c>
      <c s="125">
        <f>Предпосылки!F$244*Предпосылки!$T263*Продажи!G28*G$19*(1+Чувствительность!$D$20)*IFERROR(LOOKUP(Предпосылки!$H$217,$C$13:$C$15,G$13:G$15),1)</f>
        <v>0</v>
      </c>
      <c s="125">
        <f>Предпосылки!G$244*Предпосылки!$T263*Продажи!H28*H$19*(1+Чувствительность!$D$20)*IFERROR(LOOKUP(Предпосылки!$H$217,$C$13:$C$15,H$13:H$15),1)</f>
        <v>0</v>
      </c>
      <c s="125">
        <f>Предпосылки!H$244*Предпосылки!$T263*Продажи!I28*I$19*(1+Чувствительность!$D$20)*IFERROR(LOOKUP(Предпосылки!$H$217,$C$13:$C$15,I$13:I$15),1)</f>
        <v>0</v>
      </c>
      <c s="125">
        <f>Предпосылки!I$244*Предпосылки!$T263*Продажи!J28*J$19*(1+Чувствительность!$D$20)*IFERROR(LOOKUP(Предпосылки!$H$217,$C$13:$C$15,J$13:J$15),1)</f>
        <v>0</v>
      </c>
      <c s="125">
        <f>Предпосылки!J$244*Предпосылки!$T263*Продажи!K28*K$19*(1+Чувствительность!$D$20)*IFERROR(LOOKUP(Предпосылки!$H$217,$C$13:$C$15,K$13:K$15),1)</f>
        <v>0</v>
      </c>
      <c s="125">
        <f>Предпосылки!K$244*Предпосылки!$T263*Продажи!L28*L$19*(1+Чувствительность!$D$20)*IFERROR(LOOKUP(Предпосылки!$H$217,$C$13:$C$15,L$13:L$15),1)</f>
        <v>0</v>
      </c>
      <c s="125">
        <f>Предпосылки!L$244*Предпосылки!$T263*Продажи!M28*M$19*(1+Чувствительность!$D$20)*IFERROR(LOOKUP(Предпосылки!$H$217,$C$13:$C$15,M$13:M$15),1)</f>
        <v>0</v>
      </c>
      <c s="125">
        <f>Предпосылки!M$244*Предпосылки!$T263*Продажи!N28*N$19*(1+Чувствительность!$D$20)*IFERROR(LOOKUP(Предпосылки!$H$217,$C$13:$C$15,N$13:N$15),1)</f>
        <v>0</v>
      </c>
      <c s="125">
        <f>Предпосылки!N$244*Предпосылки!$T263*Продажи!O28*O$19*(1+Чувствительность!$D$20)*IFERROR(LOOKUP(Предпосылки!$H$217,$C$13:$C$15,O$13:O$15),1)</f>
        <v>0</v>
      </c>
      <c s="125">
        <f>Предпосылки!O$244*Предпосылки!$T263*Продажи!P28*P$19*(1+Чувствительность!$D$20)*IFERROR(LOOKUP(Предпосылки!$H$217,$C$13:$C$15,P$13:P$15),1)</f>
        <v>0</v>
      </c>
      <c s="125">
        <f>Предпосылки!P$244*Предпосылки!$T263*Продажи!Q28*Q$19*(1+Чувствительность!$D$20)*IFERROR(LOOKUP(Предпосылки!$H$217,$C$13:$C$15,Q$13:Q$15),1)</f>
        <v>0</v>
      </c>
      <c s="125">
        <f>Предпосылки!Q$244*Предпосылки!$T263*Продажи!R28*R$19*(1+Чувствительность!$D$20)*IFERROR(LOOKUP(Предпосылки!$H$217,$C$13:$C$15,R$13:R$15),1)</f>
        <v>0</v>
      </c>
      <c s="125">
        <f>Предпосылки!R$244*Предпосылки!$T263*Продажи!S28*S$19*(1+Чувствительность!$D$20)*IFERROR(LOOKUP(Предпосылки!$H$217,$C$13:$C$15,S$13:S$15),1)</f>
        <v>0</v>
      </c>
      <c s="125">
        <f>Предпосылки!S$244*Предпосылки!$T263*Продажи!T28*T$19*(1+Чувствительность!$D$20)*IFERROR(LOOKUP(Предпосылки!$H$217,$C$13:$C$15,T$13:T$15),1)</f>
        <v>0</v>
      </c>
      <c s="125">
        <f>Предпосылки!T$244*Предпосылки!$T263*Продажи!U28*U$19*(1+Чувствительность!$D$20)*IFERROR(LOOKUP(Предпосылки!$H$217,$C$13:$C$15,U$13:U$15),1)</f>
        <v>0</v>
      </c>
      <c s="125">
        <f>Предпосылки!U$244*Предпосылки!$T263*Продажи!V28*V$19*(1+Чувствительность!$D$20)*IFERROR(LOOKUP(Предпосылки!$H$217,$C$13:$C$15,V$13:V$15),1)</f>
        <v>0</v>
      </c>
      <c s="125">
        <f>Предпосылки!V$244*Предпосылки!$T263*Продажи!W28*W$19*(1+Чувствительность!$D$20)*IFERROR(LOOKUP(Предпосылки!$H$217,$C$13:$C$15,W$13:W$15),1)</f>
        <v>0</v>
      </c>
      <c s="125">
        <f>Предпосылки!W$244*Предпосылки!$T263*Продажи!X28*X$19*(1+Чувствительность!$D$20)*IFERROR(LOOKUP(Предпосылки!$H$217,$C$13:$C$15,X$13:X$15),1)</f>
        <v>0</v>
      </c>
      <c s="125">
        <f>Предпосылки!X$244*Предпосылки!$T263*Продажи!Y28*Y$19*(1+Чувствительность!$D$20)*IFERROR(LOOKUP(Предпосылки!$H$217,$C$13:$C$15,Y$13:Y$15),1)</f>
        <v>0</v>
      </c>
      <c s="125">
        <f>Предпосылки!Y$244*Предпосылки!$T263*Продажи!Z28*Z$19*(1+Чувствительность!$D$20)*IFERROR(LOOKUP(Предпосылки!$H$217,$C$13:$C$15,Z$13:Z$15),1)</f>
        <v>0</v>
      </c>
      <c s="125">
        <f>Предпосылки!Z$244*Предпосылки!$T263*Продажи!AA28*AA$19*(1+Чувствительность!$D$20)*IFERROR(LOOKUP(Предпосылки!$H$217,$C$13:$C$15,AA$13:AA$15),1)</f>
        <v>0</v>
      </c>
      <c s="125">
        <f>Предпосылки!AA$244*Предпосылки!$T263*Продажи!AB28*AB$19*(1+Чувствительность!$D$20)*IFERROR(LOOKUP(Предпосылки!$H$217,$C$13:$C$15,AB$13:AB$15),1)</f>
        <v>0</v>
      </c>
      <c s="125">
        <f>Предпосылки!AB$244*Предпосылки!$T263*Продажи!AC28*AC$19*(1+Чувствительность!$D$20)*IFERROR(LOOKUP(Предпосылки!$H$217,$C$13:$C$15,AC$13:AC$15),1)</f>
        <v>0</v>
      </c>
      <c s="125">
        <f>Предпосылки!AC$244*Предпосылки!$T263*Продажи!AD28*AD$19*(1+Чувствительность!$D$20)*IFERROR(LOOKUP(Предпосылки!$H$217,$C$13:$C$15,AD$13:AD$15),1)</f>
        <v>0</v>
      </c>
      <c s="125">
        <f>Предпосылки!AD$244*Предпосылки!$T263*Продажи!AE28*AE$19*(1+Чувствительность!$D$20)*IFERROR(LOOKUP(Предпосылки!$H$217,$C$13:$C$15,AE$13:AE$15),1)</f>
        <v>0</v>
      </c>
      <c s="125">
        <f>Предпосылки!AE$244*Предпосылки!$T263*Продажи!AF28*AF$19*(1+Чувствительность!$D$20)*IFERROR(LOOKUP(Предпосылки!$H$217,$C$13:$C$15,AF$13:AF$15),1)</f>
        <v>0</v>
      </c>
      <c s="125">
        <f>Предпосылки!AF$244*Предпосылки!$T263*Продажи!AG28*AG$19*(1+Чувствительность!$D$20)*IFERROR(LOOKUP(Предпосылки!$H$217,$C$13:$C$15,AG$13:AG$15),1)</f>
        <v>0</v>
      </c>
      <c s="125">
        <f>Предпосылки!AG$244*Предпосылки!$T263*Продажи!AH28*AH$19*(1+Чувствительность!$D$20)*IFERROR(LOOKUP(Предпосылки!$H$217,$C$13:$C$15,AH$13:AH$15),1)</f>
        <v>0</v>
      </c>
      <c s="125">
        <f>Предпосылки!AH$244*Предпосылки!$T263*Продажи!AI28*AI$19*(1+Чувствительность!$D$20)*IFERROR(LOOKUP(Предпосылки!$H$217,$C$13:$C$15,AI$13:AI$15),1)</f>
        <v>0</v>
      </c>
      <c s="125">
        <f>Предпосылки!AI$244*Предпосылки!$T263*Продажи!AJ28*AJ$19*(1+Чувствительность!$D$20)*IFERROR(LOOKUP(Предпосылки!$H$217,$C$13:$C$15,AJ$13:AJ$15),1)</f>
        <v>0</v>
      </c>
      <c s="125">
        <f>Предпосылки!AJ$244*Предпосылки!$T263*Продажи!AK28*AK$19*(1+Чувствительность!$D$20)*IFERROR(LOOKUP(Предпосылки!$H$217,$C$13:$C$15,AK$13:AK$15),1)</f>
        <v>0</v>
      </c>
      <c s="125">
        <f>Предпосылки!AK$244*Предпосылки!$T263*Продажи!AL28*AL$19*(1+Чувствительность!$D$20)*IFERROR(LOOKUP(Предпосылки!$H$217,$C$13:$C$15,AL$13:AL$15),1)</f>
        <v>0</v>
      </c>
      <c s="125">
        <f>Предпосылки!AL$244*Предпосылки!$T263*Продажи!AM28*AM$19*(1+Чувствительность!$D$20)*IFERROR(LOOKUP(Предпосылки!$H$217,$C$13:$C$15,AM$13:AM$15),1)</f>
        <v>0</v>
      </c>
      <c s="125">
        <f>Предпосылки!AM$244*Предпосылки!$T263*Продажи!AN28*AN$19*(1+Чувствительность!$D$20)*IFERROR(LOOKUP(Предпосылки!$H$217,$C$13:$C$15,AN$13:AN$15),1)</f>
        <v>0</v>
      </c>
      <c s="125">
        <f>Предпосылки!AN$244*Предпосылки!$T263*Продажи!AO28*AO$19*(1+Чувствительность!$D$20)*IFERROR(LOOKUP(Предпосылки!$H$217,$C$13:$C$15,AO$13:AO$15),1)</f>
        <v>0</v>
      </c>
      <c s="125">
        <f>Предпосылки!AO$244*Предпосылки!$T263*Продажи!AP28*AP$19*(1+Чувствительность!$D$20)*IFERROR(LOOKUP(Предпосылки!$H$217,$C$13:$C$15,AP$13:AP$15),1)</f>
        <v>0</v>
      </c>
      <c s="125">
        <f>Предпосылки!AP$244*Предпосылки!$T263*Продажи!AQ28*AQ$19*(1+Чувствительность!$D$20)*IFERROR(LOOKUP(Предпосылки!$H$217,$C$13:$C$15,AQ$13:AQ$15),1)</f>
        <v>0</v>
      </c>
      <c s="125">
        <f>Предпосылки!AQ$244*Предпосылки!$T263*Продажи!AR28*AR$19*(1+Чувствительность!$D$20)*IFERROR(LOOKUP(Предпосылки!$H$217,$C$13:$C$15,AR$13:AR$15),1)</f>
        <v>0</v>
      </c>
      <c s="125">
        <f>Предпосылки!AR$244*Предпосылки!$T263*Продажи!AS28*AS$19*(1+Чувствительность!$D$20)*IFERROR(LOOKUP(Предпосылки!$H$217,$C$13:$C$15,AS$13:AS$15),1)</f>
        <v>0</v>
      </c>
      <c s="125">
        <f>Предпосылки!AS$244*Предпосылки!$T263*Продажи!AT28*AT$19*(1+Чувствительность!$D$20)*IFERROR(LOOKUP(Предпосылки!$H$217,$C$13:$C$15,AT$13:AT$15),1)</f>
        <v>0</v>
      </c>
      <c s="125">
        <f>Предпосылки!AT$244*Предпосылки!$T263*Продажи!AU28*AU$19*(1+Чувствительность!$D$20)*IFERROR(LOOKUP(Предпосылки!$H$217,$C$13:$C$15,AU$13:AU$15),1)</f>
        <v>0</v>
      </c>
      <c s="125">
        <f>Предпосылки!AU$244*Предпосылки!$T263*Продажи!AV28*AV$19*(1+Чувствительность!$D$20)*IFERROR(LOOKUP(Предпосылки!$H$217,$C$13:$C$15,AV$13:AV$15),1)</f>
        <v>0</v>
      </c>
      <c s="125">
        <f>Предпосылки!AV$244*Предпосылки!$T263*Продажи!AW28*AW$19*(1+Чувствительность!$D$20)*IFERROR(LOOKUP(Предпосылки!$H$217,$C$13:$C$15,AW$13:AW$15),1)</f>
        <v>0</v>
      </c>
      <c s="125">
        <f>Предпосылки!AW$244*Предпосылки!$T263*Продажи!AX28*AX$19*(1+Чувствительность!$D$20)*IFERROR(LOOKUP(Предпосылки!$H$217,$C$13:$C$15,AX$13:AX$15),1)</f>
        <v>0</v>
      </c>
      <c s="125">
        <f>Предпосылки!AX$244*Предпосылки!$T263*Продажи!AY28*AY$19*(1+Чувствительность!$D$20)*IFERROR(LOOKUP(Предпосылки!$H$217,$C$13:$C$15,AY$13:AY$15),1)</f>
        <v>0</v>
      </c>
      <c s="125">
        <f>Предпосылки!AY$244*Предпосылки!$T263*Продажи!AZ28*AZ$19*(1+Чувствительность!$D$20)*IFERROR(LOOKUP(Предпосылки!$H$217,$C$13:$C$15,AZ$13:AZ$15),1)</f>
        <v>0</v>
      </c>
      <c s="125">
        <f>Предпосылки!AZ$244*Предпосылки!$T263*Продажи!BA28*BA$19*(1+Чувствительность!$D$20)*IFERROR(LOOKUP(Предпосылки!$H$217,$C$13:$C$15,BA$13:BA$15),1)</f>
        <v>0</v>
      </c>
      <c s="125">
        <f>Предпосылки!BA$244*Предпосылки!$T263*Продажи!BB28*BB$19*(1+Чувствительность!$D$20)*IFERROR(LOOKUP(Предпосылки!$H$217,$C$13:$C$15,BB$13:BB$15),1)</f>
        <v>0</v>
      </c>
      <c s="125">
        <f>Предпосылки!BB$244*Предпосылки!$T263*Продажи!BC28*BC$19*(1+Чувствительность!$D$20)*IFERROR(LOOKUP(Предпосылки!$H$217,$C$13:$C$15,BC$13:BC$15),1)</f>
        <v>0</v>
      </c>
      <c s="125">
        <f>Предпосылки!BC$244*Предпосылки!$T263*Продажи!BD28*BD$19*(1+Чувствительность!$D$20)*IFERROR(LOOKUP(Предпосылки!$H$217,$C$13:$C$15,BD$13:BD$15),1)</f>
        <v>0</v>
      </c>
      <c s="125">
        <f>Предпосылки!BD$244*Предпосылки!$T263*Продажи!BE28*BE$19*(1+Чувствительность!$D$20)*IFERROR(LOOKUP(Предпосылки!$H$217,$C$13:$C$15,BE$13:BE$15),1)</f>
        <v>0</v>
      </c>
      <c s="125">
        <f>Предпосылки!BE$244*Предпосылки!$T263*Продажи!BF28*BF$19*(1+Чувствительность!$D$20)*IFERROR(LOOKUP(Предпосылки!$H$217,$C$13:$C$15,BF$13:BF$15),1)</f>
        <v>0</v>
      </c>
      <c s="125">
        <f>Предпосылки!BF$244*Предпосылки!$T263*Продажи!BG28*BG$19*(1+Чувствительность!$D$20)*IFERROR(LOOKUP(Предпосылки!$H$217,$C$13:$C$15,BG$13:BG$15),1)</f>
        <v>0</v>
      </c>
      <c s="125">
        <f>Предпосылки!BG$244*Предпосылки!$T263*Продажи!BH28*BH$19*(1+Чувствительность!$D$20)*IFERROR(LOOKUP(Предпосылки!$H$217,$C$13:$C$15,BH$13:BH$15),1)</f>
        <v>0</v>
      </c>
      <c s="125">
        <f>Предпосылки!BH$244*Предпосылки!$T263*Продажи!BI28*BI$19*(1+Чувствительность!$D$20)*IFERROR(LOOKUP(Предпосылки!$H$217,$C$13:$C$15,BI$13:BI$15),1)</f>
        <v>0</v>
      </c>
      <c s="125">
        <f>Предпосылки!BI$244*Предпосылки!$T263*Продажи!BJ28*BJ$19*(1+Чувствительность!$D$20)*IFERROR(LOOKUP(Предпосылки!$H$217,$C$13:$C$15,BJ$13:BJ$15),1)</f>
        <v>0</v>
      </c>
      <c s="125">
        <f>Предпосылки!BJ$244*Предпосылки!$T263*Продажи!BK28*BK$19*(1+Чувствительность!$D$20)*IFERROR(LOOKUP(Предпосылки!$H$217,$C$13:$C$15,BK$13:BK$15),1)</f>
        <v>0</v>
      </c>
      <c s="125">
        <f>Предпосылки!BK$244*Предпосылки!$T263*Продажи!BL28*BL$19*(1+Чувствительность!$D$20)*IFERROR(LOOKUP(Предпосылки!$H$217,$C$13:$C$15,BL$13:BL$15),1)</f>
        <v>0</v>
      </c>
      <c s="125">
        <f>Предпосылки!BL$244*Предпосылки!$T263*Продажи!BM28*BM$19*(1+Чувствительность!$D$20)*IFERROR(LOOKUP(Предпосылки!$H$217,$C$13:$C$15,BM$13:BM$15),1)</f>
        <v>0</v>
      </c>
    </row>
    <row r="402" spans="2:65" ht="15" customHeight="1">
      <c r="B402" s="12" t="str">
        <f t="shared" si="141"/>
        <v>Продукт 12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Предпосылки!D$244*Предпосылки!$T264*Продажи!E29*E$19*(1+Чувствительность!$D$20)*IFERROR(LOOKUP(Предпосылки!$H$217,$C$13:$C$15,E$13:E$15),1)</f>
        <v>0</v>
      </c>
      <c s="125">
        <f>Предпосылки!E$244*Предпосылки!$T264*Продажи!F29*F$19*(1+Чувствительность!$D$20)*IFERROR(LOOKUP(Предпосылки!$H$217,$C$13:$C$15,F$13:F$15),1)</f>
        <v>0</v>
      </c>
      <c s="125">
        <f>Предпосылки!F$244*Предпосылки!$T264*Продажи!G29*G$19*(1+Чувствительность!$D$20)*IFERROR(LOOKUP(Предпосылки!$H$217,$C$13:$C$15,G$13:G$15),1)</f>
        <v>0</v>
      </c>
      <c s="125">
        <f>Предпосылки!G$244*Предпосылки!$T264*Продажи!H29*H$19*(1+Чувствительность!$D$20)*IFERROR(LOOKUP(Предпосылки!$H$217,$C$13:$C$15,H$13:H$15),1)</f>
        <v>0</v>
      </c>
      <c s="125">
        <f>Предпосылки!H$244*Предпосылки!$T264*Продажи!I29*I$19*(1+Чувствительность!$D$20)*IFERROR(LOOKUP(Предпосылки!$H$217,$C$13:$C$15,I$13:I$15),1)</f>
        <v>0</v>
      </c>
      <c s="125">
        <f>Предпосылки!I$244*Предпосылки!$T264*Продажи!J29*J$19*(1+Чувствительность!$D$20)*IFERROR(LOOKUP(Предпосылки!$H$217,$C$13:$C$15,J$13:J$15),1)</f>
        <v>0</v>
      </c>
      <c s="125">
        <f>Предпосылки!J$244*Предпосылки!$T264*Продажи!K29*K$19*(1+Чувствительность!$D$20)*IFERROR(LOOKUP(Предпосылки!$H$217,$C$13:$C$15,K$13:K$15),1)</f>
        <v>0</v>
      </c>
      <c s="125">
        <f>Предпосылки!K$244*Предпосылки!$T264*Продажи!L29*L$19*(1+Чувствительность!$D$20)*IFERROR(LOOKUP(Предпосылки!$H$217,$C$13:$C$15,L$13:L$15),1)</f>
        <v>0</v>
      </c>
      <c s="125">
        <f>Предпосылки!L$244*Предпосылки!$T264*Продажи!M29*M$19*(1+Чувствительность!$D$20)*IFERROR(LOOKUP(Предпосылки!$H$217,$C$13:$C$15,M$13:M$15),1)</f>
        <v>0</v>
      </c>
      <c s="125">
        <f>Предпосылки!M$244*Предпосылки!$T264*Продажи!N29*N$19*(1+Чувствительность!$D$20)*IFERROR(LOOKUP(Предпосылки!$H$217,$C$13:$C$15,N$13:N$15),1)</f>
        <v>0</v>
      </c>
      <c s="125">
        <f>Предпосылки!N$244*Предпосылки!$T264*Продажи!O29*O$19*(1+Чувствительность!$D$20)*IFERROR(LOOKUP(Предпосылки!$H$217,$C$13:$C$15,O$13:O$15),1)</f>
        <v>0</v>
      </c>
      <c s="125">
        <f>Предпосылки!O$244*Предпосылки!$T264*Продажи!P29*P$19*(1+Чувствительность!$D$20)*IFERROR(LOOKUP(Предпосылки!$H$217,$C$13:$C$15,P$13:P$15),1)</f>
        <v>0</v>
      </c>
      <c s="125">
        <f>Предпосылки!P$244*Предпосылки!$T264*Продажи!Q29*Q$19*(1+Чувствительность!$D$20)*IFERROR(LOOKUP(Предпосылки!$H$217,$C$13:$C$15,Q$13:Q$15),1)</f>
        <v>0</v>
      </c>
      <c s="125">
        <f>Предпосылки!Q$244*Предпосылки!$T264*Продажи!R29*R$19*(1+Чувствительность!$D$20)*IFERROR(LOOKUP(Предпосылки!$H$217,$C$13:$C$15,R$13:R$15),1)</f>
        <v>0</v>
      </c>
      <c s="125">
        <f>Предпосылки!R$244*Предпосылки!$T264*Продажи!S29*S$19*(1+Чувствительность!$D$20)*IFERROR(LOOKUP(Предпосылки!$H$217,$C$13:$C$15,S$13:S$15),1)</f>
        <v>0</v>
      </c>
      <c s="125">
        <f>Предпосылки!S$244*Предпосылки!$T264*Продажи!T29*T$19*(1+Чувствительность!$D$20)*IFERROR(LOOKUP(Предпосылки!$H$217,$C$13:$C$15,T$13:T$15),1)</f>
        <v>0</v>
      </c>
      <c s="125">
        <f>Предпосылки!T$244*Предпосылки!$T264*Продажи!U29*U$19*(1+Чувствительность!$D$20)*IFERROR(LOOKUP(Предпосылки!$H$217,$C$13:$C$15,U$13:U$15),1)</f>
        <v>0</v>
      </c>
      <c s="125">
        <f>Предпосылки!U$244*Предпосылки!$T264*Продажи!V29*V$19*(1+Чувствительность!$D$20)*IFERROR(LOOKUP(Предпосылки!$H$217,$C$13:$C$15,V$13:V$15),1)</f>
        <v>0</v>
      </c>
      <c s="125">
        <f>Предпосылки!V$244*Предпосылки!$T264*Продажи!W29*W$19*(1+Чувствительность!$D$20)*IFERROR(LOOKUP(Предпосылки!$H$217,$C$13:$C$15,W$13:W$15),1)</f>
        <v>0</v>
      </c>
      <c s="125">
        <f>Предпосылки!W$244*Предпосылки!$T264*Продажи!X29*X$19*(1+Чувствительность!$D$20)*IFERROR(LOOKUP(Предпосылки!$H$217,$C$13:$C$15,X$13:X$15),1)</f>
        <v>0</v>
      </c>
      <c s="125">
        <f>Предпосылки!X$244*Предпосылки!$T264*Продажи!Y29*Y$19*(1+Чувствительность!$D$20)*IFERROR(LOOKUP(Предпосылки!$H$217,$C$13:$C$15,Y$13:Y$15),1)</f>
        <v>0</v>
      </c>
      <c s="125">
        <f>Предпосылки!Y$244*Предпосылки!$T264*Продажи!Z29*Z$19*(1+Чувствительность!$D$20)*IFERROR(LOOKUP(Предпосылки!$H$217,$C$13:$C$15,Z$13:Z$15),1)</f>
        <v>0</v>
      </c>
      <c s="125">
        <f>Предпосылки!Z$244*Предпосылки!$T264*Продажи!AA29*AA$19*(1+Чувствительность!$D$20)*IFERROR(LOOKUP(Предпосылки!$H$217,$C$13:$C$15,AA$13:AA$15),1)</f>
        <v>0</v>
      </c>
      <c s="125">
        <f>Предпосылки!AA$244*Предпосылки!$T264*Продажи!AB29*AB$19*(1+Чувствительность!$D$20)*IFERROR(LOOKUP(Предпосылки!$H$217,$C$13:$C$15,AB$13:AB$15),1)</f>
        <v>0</v>
      </c>
      <c s="125">
        <f>Предпосылки!AB$244*Предпосылки!$T264*Продажи!AC29*AC$19*(1+Чувствительность!$D$20)*IFERROR(LOOKUP(Предпосылки!$H$217,$C$13:$C$15,AC$13:AC$15),1)</f>
        <v>0</v>
      </c>
      <c s="125">
        <f>Предпосылки!AC$244*Предпосылки!$T264*Продажи!AD29*AD$19*(1+Чувствительность!$D$20)*IFERROR(LOOKUP(Предпосылки!$H$217,$C$13:$C$15,AD$13:AD$15),1)</f>
        <v>0</v>
      </c>
      <c s="125">
        <f>Предпосылки!AD$244*Предпосылки!$T264*Продажи!AE29*AE$19*(1+Чувствительность!$D$20)*IFERROR(LOOKUP(Предпосылки!$H$217,$C$13:$C$15,AE$13:AE$15),1)</f>
        <v>0</v>
      </c>
      <c s="125">
        <f>Предпосылки!AE$244*Предпосылки!$T264*Продажи!AF29*AF$19*(1+Чувствительность!$D$20)*IFERROR(LOOKUP(Предпосылки!$H$217,$C$13:$C$15,AF$13:AF$15),1)</f>
        <v>0</v>
      </c>
      <c s="125">
        <f>Предпосылки!AF$244*Предпосылки!$T264*Продажи!AG29*AG$19*(1+Чувствительность!$D$20)*IFERROR(LOOKUP(Предпосылки!$H$217,$C$13:$C$15,AG$13:AG$15),1)</f>
        <v>0</v>
      </c>
      <c s="125">
        <f>Предпосылки!AG$244*Предпосылки!$T264*Продажи!AH29*AH$19*(1+Чувствительность!$D$20)*IFERROR(LOOKUP(Предпосылки!$H$217,$C$13:$C$15,AH$13:AH$15),1)</f>
        <v>0</v>
      </c>
      <c s="125">
        <f>Предпосылки!AH$244*Предпосылки!$T264*Продажи!AI29*AI$19*(1+Чувствительность!$D$20)*IFERROR(LOOKUP(Предпосылки!$H$217,$C$13:$C$15,AI$13:AI$15),1)</f>
        <v>0</v>
      </c>
      <c s="125">
        <f>Предпосылки!AI$244*Предпосылки!$T264*Продажи!AJ29*AJ$19*(1+Чувствительность!$D$20)*IFERROR(LOOKUP(Предпосылки!$H$217,$C$13:$C$15,AJ$13:AJ$15),1)</f>
        <v>0</v>
      </c>
      <c s="125">
        <f>Предпосылки!AJ$244*Предпосылки!$T264*Продажи!AK29*AK$19*(1+Чувствительность!$D$20)*IFERROR(LOOKUP(Предпосылки!$H$217,$C$13:$C$15,AK$13:AK$15),1)</f>
        <v>0</v>
      </c>
      <c s="125">
        <f>Предпосылки!AK$244*Предпосылки!$T264*Продажи!AL29*AL$19*(1+Чувствительность!$D$20)*IFERROR(LOOKUP(Предпосылки!$H$217,$C$13:$C$15,AL$13:AL$15),1)</f>
        <v>0</v>
      </c>
      <c s="125">
        <f>Предпосылки!AL$244*Предпосылки!$T264*Продажи!AM29*AM$19*(1+Чувствительность!$D$20)*IFERROR(LOOKUP(Предпосылки!$H$217,$C$13:$C$15,AM$13:AM$15),1)</f>
        <v>0</v>
      </c>
      <c s="125">
        <f>Предпосылки!AM$244*Предпосылки!$T264*Продажи!AN29*AN$19*(1+Чувствительность!$D$20)*IFERROR(LOOKUP(Предпосылки!$H$217,$C$13:$C$15,AN$13:AN$15),1)</f>
        <v>0</v>
      </c>
      <c s="125">
        <f>Предпосылки!AN$244*Предпосылки!$T264*Продажи!AO29*AO$19*(1+Чувствительность!$D$20)*IFERROR(LOOKUP(Предпосылки!$H$217,$C$13:$C$15,AO$13:AO$15),1)</f>
        <v>0</v>
      </c>
      <c s="125">
        <f>Предпосылки!AO$244*Предпосылки!$T264*Продажи!AP29*AP$19*(1+Чувствительность!$D$20)*IFERROR(LOOKUP(Предпосылки!$H$217,$C$13:$C$15,AP$13:AP$15),1)</f>
        <v>0</v>
      </c>
      <c s="125">
        <f>Предпосылки!AP$244*Предпосылки!$T264*Продажи!AQ29*AQ$19*(1+Чувствительность!$D$20)*IFERROR(LOOKUP(Предпосылки!$H$217,$C$13:$C$15,AQ$13:AQ$15),1)</f>
        <v>0</v>
      </c>
      <c s="125">
        <f>Предпосылки!AQ$244*Предпосылки!$T264*Продажи!AR29*AR$19*(1+Чувствительность!$D$20)*IFERROR(LOOKUP(Предпосылки!$H$217,$C$13:$C$15,AR$13:AR$15),1)</f>
        <v>0</v>
      </c>
      <c s="125">
        <f>Предпосылки!AR$244*Предпосылки!$T264*Продажи!AS29*AS$19*(1+Чувствительность!$D$20)*IFERROR(LOOKUP(Предпосылки!$H$217,$C$13:$C$15,AS$13:AS$15),1)</f>
        <v>0</v>
      </c>
      <c s="125">
        <f>Предпосылки!AS$244*Предпосылки!$T264*Продажи!AT29*AT$19*(1+Чувствительность!$D$20)*IFERROR(LOOKUP(Предпосылки!$H$217,$C$13:$C$15,AT$13:AT$15),1)</f>
        <v>0</v>
      </c>
      <c s="125">
        <f>Предпосылки!AT$244*Предпосылки!$T264*Продажи!AU29*AU$19*(1+Чувствительность!$D$20)*IFERROR(LOOKUP(Предпосылки!$H$217,$C$13:$C$15,AU$13:AU$15),1)</f>
        <v>0</v>
      </c>
      <c s="125">
        <f>Предпосылки!AU$244*Предпосылки!$T264*Продажи!AV29*AV$19*(1+Чувствительность!$D$20)*IFERROR(LOOKUP(Предпосылки!$H$217,$C$13:$C$15,AV$13:AV$15),1)</f>
        <v>0</v>
      </c>
      <c s="125">
        <f>Предпосылки!AV$244*Предпосылки!$T264*Продажи!AW29*AW$19*(1+Чувствительность!$D$20)*IFERROR(LOOKUP(Предпосылки!$H$217,$C$13:$C$15,AW$13:AW$15),1)</f>
        <v>0</v>
      </c>
      <c s="125">
        <f>Предпосылки!AW$244*Предпосылки!$T264*Продажи!AX29*AX$19*(1+Чувствительность!$D$20)*IFERROR(LOOKUP(Предпосылки!$H$217,$C$13:$C$15,AX$13:AX$15),1)</f>
        <v>0</v>
      </c>
      <c s="125">
        <f>Предпосылки!AX$244*Предпосылки!$T264*Продажи!AY29*AY$19*(1+Чувствительность!$D$20)*IFERROR(LOOKUP(Предпосылки!$H$217,$C$13:$C$15,AY$13:AY$15),1)</f>
        <v>0</v>
      </c>
      <c s="125">
        <f>Предпосылки!AY$244*Предпосылки!$T264*Продажи!AZ29*AZ$19*(1+Чувствительность!$D$20)*IFERROR(LOOKUP(Предпосылки!$H$217,$C$13:$C$15,AZ$13:AZ$15),1)</f>
        <v>0</v>
      </c>
      <c s="125">
        <f>Предпосылки!AZ$244*Предпосылки!$T264*Продажи!BA29*BA$19*(1+Чувствительность!$D$20)*IFERROR(LOOKUP(Предпосылки!$H$217,$C$13:$C$15,BA$13:BA$15),1)</f>
        <v>0</v>
      </c>
      <c s="125">
        <f>Предпосылки!BA$244*Предпосылки!$T264*Продажи!BB29*BB$19*(1+Чувствительность!$D$20)*IFERROR(LOOKUP(Предпосылки!$H$217,$C$13:$C$15,BB$13:BB$15),1)</f>
        <v>0</v>
      </c>
      <c s="125">
        <f>Предпосылки!BB$244*Предпосылки!$T264*Продажи!BC29*BC$19*(1+Чувствительность!$D$20)*IFERROR(LOOKUP(Предпосылки!$H$217,$C$13:$C$15,BC$13:BC$15),1)</f>
        <v>0</v>
      </c>
      <c s="125">
        <f>Предпосылки!BC$244*Предпосылки!$T264*Продажи!BD29*BD$19*(1+Чувствительность!$D$20)*IFERROR(LOOKUP(Предпосылки!$H$217,$C$13:$C$15,BD$13:BD$15),1)</f>
        <v>0</v>
      </c>
      <c s="125">
        <f>Предпосылки!BD$244*Предпосылки!$T264*Продажи!BE29*BE$19*(1+Чувствительность!$D$20)*IFERROR(LOOKUP(Предпосылки!$H$217,$C$13:$C$15,BE$13:BE$15),1)</f>
        <v>0</v>
      </c>
      <c s="125">
        <f>Предпосылки!BE$244*Предпосылки!$T264*Продажи!BF29*BF$19*(1+Чувствительность!$D$20)*IFERROR(LOOKUP(Предпосылки!$H$217,$C$13:$C$15,BF$13:BF$15),1)</f>
        <v>0</v>
      </c>
      <c s="125">
        <f>Предпосылки!BF$244*Предпосылки!$T264*Продажи!BG29*BG$19*(1+Чувствительность!$D$20)*IFERROR(LOOKUP(Предпосылки!$H$217,$C$13:$C$15,BG$13:BG$15),1)</f>
        <v>0</v>
      </c>
      <c s="125">
        <f>Предпосылки!BG$244*Предпосылки!$T264*Продажи!BH29*BH$19*(1+Чувствительность!$D$20)*IFERROR(LOOKUP(Предпосылки!$H$217,$C$13:$C$15,BH$13:BH$15),1)</f>
        <v>0</v>
      </c>
      <c s="125">
        <f>Предпосылки!BH$244*Предпосылки!$T264*Продажи!BI29*BI$19*(1+Чувствительность!$D$20)*IFERROR(LOOKUP(Предпосылки!$H$217,$C$13:$C$15,BI$13:BI$15),1)</f>
        <v>0</v>
      </c>
      <c s="125">
        <f>Предпосылки!BI$244*Предпосылки!$T264*Продажи!BJ29*BJ$19*(1+Чувствительность!$D$20)*IFERROR(LOOKUP(Предпосылки!$H$217,$C$13:$C$15,BJ$13:BJ$15),1)</f>
        <v>0</v>
      </c>
      <c s="125">
        <f>Предпосылки!BJ$244*Предпосылки!$T264*Продажи!BK29*BK$19*(1+Чувствительность!$D$20)*IFERROR(LOOKUP(Предпосылки!$H$217,$C$13:$C$15,BK$13:BK$15),1)</f>
        <v>0</v>
      </c>
      <c s="125">
        <f>Предпосылки!BK$244*Предпосылки!$T264*Продажи!BL29*BL$19*(1+Чувствительность!$D$20)*IFERROR(LOOKUP(Предпосылки!$H$217,$C$13:$C$15,BL$13:BL$15),1)</f>
        <v>0</v>
      </c>
      <c s="125">
        <f>Предпосылки!BL$244*Предпосылки!$T264*Продажи!BM29*BM$19*(1+Чувствительность!$D$20)*IFERROR(LOOKUP(Предпосылки!$H$217,$C$13:$C$15,BM$13:BM$15),1)</f>
        <v>0</v>
      </c>
    </row>
    <row r="403" spans="2:65" ht="15" customHeight="1">
      <c r="B403" s="12" t="str">
        <f t="shared" si="141"/>
        <v>Продукт 13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Предпосылки!D$244*Предпосылки!$T265*Продажи!E30*E$19*(1+Чувствительность!$D$20)*IFERROR(LOOKUP(Предпосылки!$H$217,$C$13:$C$15,E$13:E$15),1)</f>
        <v>0</v>
      </c>
      <c s="125">
        <f>Предпосылки!E$244*Предпосылки!$T265*Продажи!F30*F$19*(1+Чувствительность!$D$20)*IFERROR(LOOKUP(Предпосылки!$H$217,$C$13:$C$15,F$13:F$15),1)</f>
        <v>0</v>
      </c>
      <c s="125">
        <f>Предпосылки!F$244*Предпосылки!$T265*Продажи!G30*G$19*(1+Чувствительность!$D$20)*IFERROR(LOOKUP(Предпосылки!$H$217,$C$13:$C$15,G$13:G$15),1)</f>
        <v>0</v>
      </c>
      <c s="125">
        <f>Предпосылки!G$244*Предпосылки!$T265*Продажи!H30*H$19*(1+Чувствительность!$D$20)*IFERROR(LOOKUP(Предпосылки!$H$217,$C$13:$C$15,H$13:H$15),1)</f>
        <v>0</v>
      </c>
      <c s="125">
        <f>Предпосылки!H$244*Предпосылки!$T265*Продажи!I30*I$19*(1+Чувствительность!$D$20)*IFERROR(LOOKUP(Предпосылки!$H$217,$C$13:$C$15,I$13:I$15),1)</f>
        <v>0</v>
      </c>
      <c s="125">
        <f>Предпосылки!I$244*Предпосылки!$T265*Продажи!J30*J$19*(1+Чувствительность!$D$20)*IFERROR(LOOKUP(Предпосылки!$H$217,$C$13:$C$15,J$13:J$15),1)</f>
        <v>0</v>
      </c>
      <c s="125">
        <f>Предпосылки!J$244*Предпосылки!$T265*Продажи!K30*K$19*(1+Чувствительность!$D$20)*IFERROR(LOOKUP(Предпосылки!$H$217,$C$13:$C$15,K$13:K$15),1)</f>
        <v>0</v>
      </c>
      <c s="125">
        <f>Предпосылки!K$244*Предпосылки!$T265*Продажи!L30*L$19*(1+Чувствительность!$D$20)*IFERROR(LOOKUP(Предпосылки!$H$217,$C$13:$C$15,L$13:L$15),1)</f>
        <v>0</v>
      </c>
      <c s="125">
        <f>Предпосылки!L$244*Предпосылки!$T265*Продажи!M30*M$19*(1+Чувствительность!$D$20)*IFERROR(LOOKUP(Предпосылки!$H$217,$C$13:$C$15,M$13:M$15),1)</f>
        <v>0</v>
      </c>
      <c s="125">
        <f>Предпосылки!M$244*Предпосылки!$T265*Продажи!N30*N$19*(1+Чувствительность!$D$20)*IFERROR(LOOKUP(Предпосылки!$H$217,$C$13:$C$15,N$13:N$15),1)</f>
        <v>0</v>
      </c>
      <c s="125">
        <f>Предпосылки!N$244*Предпосылки!$T265*Продажи!O30*O$19*(1+Чувствительность!$D$20)*IFERROR(LOOKUP(Предпосылки!$H$217,$C$13:$C$15,O$13:O$15),1)</f>
        <v>0</v>
      </c>
      <c s="125">
        <f>Предпосылки!O$244*Предпосылки!$T265*Продажи!P30*P$19*(1+Чувствительность!$D$20)*IFERROR(LOOKUP(Предпосылки!$H$217,$C$13:$C$15,P$13:P$15),1)</f>
        <v>0</v>
      </c>
      <c s="125">
        <f>Предпосылки!P$244*Предпосылки!$T265*Продажи!Q30*Q$19*(1+Чувствительность!$D$20)*IFERROR(LOOKUP(Предпосылки!$H$217,$C$13:$C$15,Q$13:Q$15),1)</f>
        <v>0</v>
      </c>
      <c s="125">
        <f>Предпосылки!Q$244*Предпосылки!$T265*Продажи!R30*R$19*(1+Чувствительность!$D$20)*IFERROR(LOOKUP(Предпосылки!$H$217,$C$13:$C$15,R$13:R$15),1)</f>
        <v>0</v>
      </c>
      <c s="125">
        <f>Предпосылки!R$244*Предпосылки!$T265*Продажи!S30*S$19*(1+Чувствительность!$D$20)*IFERROR(LOOKUP(Предпосылки!$H$217,$C$13:$C$15,S$13:S$15),1)</f>
        <v>0</v>
      </c>
      <c s="125">
        <f>Предпосылки!S$244*Предпосылки!$T265*Продажи!T30*T$19*(1+Чувствительность!$D$20)*IFERROR(LOOKUP(Предпосылки!$H$217,$C$13:$C$15,T$13:T$15),1)</f>
        <v>0</v>
      </c>
      <c s="125">
        <f>Предпосылки!T$244*Предпосылки!$T265*Продажи!U30*U$19*(1+Чувствительность!$D$20)*IFERROR(LOOKUP(Предпосылки!$H$217,$C$13:$C$15,U$13:U$15),1)</f>
        <v>0</v>
      </c>
      <c s="125">
        <f>Предпосылки!U$244*Предпосылки!$T265*Продажи!V30*V$19*(1+Чувствительность!$D$20)*IFERROR(LOOKUP(Предпосылки!$H$217,$C$13:$C$15,V$13:V$15),1)</f>
        <v>0</v>
      </c>
      <c s="125">
        <f>Предпосылки!V$244*Предпосылки!$T265*Продажи!W30*W$19*(1+Чувствительность!$D$20)*IFERROR(LOOKUP(Предпосылки!$H$217,$C$13:$C$15,W$13:W$15),1)</f>
        <v>0</v>
      </c>
      <c s="125">
        <f>Предпосылки!W$244*Предпосылки!$T265*Продажи!X30*X$19*(1+Чувствительность!$D$20)*IFERROR(LOOKUP(Предпосылки!$H$217,$C$13:$C$15,X$13:X$15),1)</f>
        <v>0</v>
      </c>
      <c s="125">
        <f>Предпосылки!X$244*Предпосылки!$T265*Продажи!Y30*Y$19*(1+Чувствительность!$D$20)*IFERROR(LOOKUP(Предпосылки!$H$217,$C$13:$C$15,Y$13:Y$15),1)</f>
        <v>0</v>
      </c>
      <c s="125">
        <f>Предпосылки!Y$244*Предпосылки!$T265*Продажи!Z30*Z$19*(1+Чувствительность!$D$20)*IFERROR(LOOKUP(Предпосылки!$H$217,$C$13:$C$15,Z$13:Z$15),1)</f>
        <v>0</v>
      </c>
      <c s="125">
        <f>Предпосылки!Z$244*Предпосылки!$T265*Продажи!AA30*AA$19*(1+Чувствительность!$D$20)*IFERROR(LOOKUP(Предпосылки!$H$217,$C$13:$C$15,AA$13:AA$15),1)</f>
        <v>0</v>
      </c>
      <c s="125">
        <f>Предпосылки!AA$244*Предпосылки!$T265*Продажи!AB30*AB$19*(1+Чувствительность!$D$20)*IFERROR(LOOKUP(Предпосылки!$H$217,$C$13:$C$15,AB$13:AB$15),1)</f>
        <v>0</v>
      </c>
      <c s="125">
        <f>Предпосылки!AB$244*Предпосылки!$T265*Продажи!AC30*AC$19*(1+Чувствительность!$D$20)*IFERROR(LOOKUP(Предпосылки!$H$217,$C$13:$C$15,AC$13:AC$15),1)</f>
        <v>0</v>
      </c>
      <c s="125">
        <f>Предпосылки!AC$244*Предпосылки!$T265*Продажи!AD30*AD$19*(1+Чувствительность!$D$20)*IFERROR(LOOKUP(Предпосылки!$H$217,$C$13:$C$15,AD$13:AD$15),1)</f>
        <v>0</v>
      </c>
      <c s="125">
        <f>Предпосылки!AD$244*Предпосылки!$T265*Продажи!AE30*AE$19*(1+Чувствительность!$D$20)*IFERROR(LOOKUP(Предпосылки!$H$217,$C$13:$C$15,AE$13:AE$15),1)</f>
        <v>0</v>
      </c>
      <c s="125">
        <f>Предпосылки!AE$244*Предпосылки!$T265*Продажи!AF30*AF$19*(1+Чувствительность!$D$20)*IFERROR(LOOKUP(Предпосылки!$H$217,$C$13:$C$15,AF$13:AF$15),1)</f>
        <v>0</v>
      </c>
      <c s="125">
        <f>Предпосылки!AF$244*Предпосылки!$T265*Продажи!AG30*AG$19*(1+Чувствительность!$D$20)*IFERROR(LOOKUP(Предпосылки!$H$217,$C$13:$C$15,AG$13:AG$15),1)</f>
        <v>0</v>
      </c>
      <c s="125">
        <f>Предпосылки!AG$244*Предпосылки!$T265*Продажи!AH30*AH$19*(1+Чувствительность!$D$20)*IFERROR(LOOKUP(Предпосылки!$H$217,$C$13:$C$15,AH$13:AH$15),1)</f>
        <v>0</v>
      </c>
      <c s="125">
        <f>Предпосылки!AH$244*Предпосылки!$T265*Продажи!AI30*AI$19*(1+Чувствительность!$D$20)*IFERROR(LOOKUP(Предпосылки!$H$217,$C$13:$C$15,AI$13:AI$15),1)</f>
        <v>0</v>
      </c>
      <c s="125">
        <f>Предпосылки!AI$244*Предпосылки!$T265*Продажи!AJ30*AJ$19*(1+Чувствительность!$D$20)*IFERROR(LOOKUP(Предпосылки!$H$217,$C$13:$C$15,AJ$13:AJ$15),1)</f>
        <v>0</v>
      </c>
      <c s="125">
        <f>Предпосылки!AJ$244*Предпосылки!$T265*Продажи!AK30*AK$19*(1+Чувствительность!$D$20)*IFERROR(LOOKUP(Предпосылки!$H$217,$C$13:$C$15,AK$13:AK$15),1)</f>
        <v>0</v>
      </c>
      <c s="125">
        <f>Предпосылки!AK$244*Предпосылки!$T265*Продажи!AL30*AL$19*(1+Чувствительность!$D$20)*IFERROR(LOOKUP(Предпосылки!$H$217,$C$13:$C$15,AL$13:AL$15),1)</f>
        <v>0</v>
      </c>
      <c s="125">
        <f>Предпосылки!AL$244*Предпосылки!$T265*Продажи!AM30*AM$19*(1+Чувствительность!$D$20)*IFERROR(LOOKUP(Предпосылки!$H$217,$C$13:$C$15,AM$13:AM$15),1)</f>
        <v>0</v>
      </c>
      <c s="125">
        <f>Предпосылки!AM$244*Предпосылки!$T265*Продажи!AN30*AN$19*(1+Чувствительность!$D$20)*IFERROR(LOOKUP(Предпосылки!$H$217,$C$13:$C$15,AN$13:AN$15),1)</f>
        <v>0</v>
      </c>
      <c s="125">
        <f>Предпосылки!AN$244*Предпосылки!$T265*Продажи!AO30*AO$19*(1+Чувствительность!$D$20)*IFERROR(LOOKUP(Предпосылки!$H$217,$C$13:$C$15,AO$13:AO$15),1)</f>
        <v>0</v>
      </c>
      <c s="125">
        <f>Предпосылки!AO$244*Предпосылки!$T265*Продажи!AP30*AP$19*(1+Чувствительность!$D$20)*IFERROR(LOOKUP(Предпосылки!$H$217,$C$13:$C$15,AP$13:AP$15),1)</f>
        <v>0</v>
      </c>
      <c s="125">
        <f>Предпосылки!AP$244*Предпосылки!$T265*Продажи!AQ30*AQ$19*(1+Чувствительность!$D$20)*IFERROR(LOOKUP(Предпосылки!$H$217,$C$13:$C$15,AQ$13:AQ$15),1)</f>
        <v>0</v>
      </c>
      <c s="125">
        <f>Предпосылки!AQ$244*Предпосылки!$T265*Продажи!AR30*AR$19*(1+Чувствительность!$D$20)*IFERROR(LOOKUP(Предпосылки!$H$217,$C$13:$C$15,AR$13:AR$15),1)</f>
        <v>0</v>
      </c>
      <c s="125">
        <f>Предпосылки!AR$244*Предпосылки!$T265*Продажи!AS30*AS$19*(1+Чувствительность!$D$20)*IFERROR(LOOKUP(Предпосылки!$H$217,$C$13:$C$15,AS$13:AS$15),1)</f>
        <v>0</v>
      </c>
      <c s="125">
        <f>Предпосылки!AS$244*Предпосылки!$T265*Продажи!AT30*AT$19*(1+Чувствительность!$D$20)*IFERROR(LOOKUP(Предпосылки!$H$217,$C$13:$C$15,AT$13:AT$15),1)</f>
        <v>0</v>
      </c>
      <c s="125">
        <f>Предпосылки!AT$244*Предпосылки!$T265*Продажи!AU30*AU$19*(1+Чувствительность!$D$20)*IFERROR(LOOKUP(Предпосылки!$H$217,$C$13:$C$15,AU$13:AU$15),1)</f>
        <v>0</v>
      </c>
      <c s="125">
        <f>Предпосылки!AU$244*Предпосылки!$T265*Продажи!AV30*AV$19*(1+Чувствительность!$D$20)*IFERROR(LOOKUP(Предпосылки!$H$217,$C$13:$C$15,AV$13:AV$15),1)</f>
        <v>0</v>
      </c>
      <c s="125">
        <f>Предпосылки!AV$244*Предпосылки!$T265*Продажи!AW30*AW$19*(1+Чувствительность!$D$20)*IFERROR(LOOKUP(Предпосылки!$H$217,$C$13:$C$15,AW$13:AW$15),1)</f>
        <v>0</v>
      </c>
      <c s="125">
        <f>Предпосылки!AW$244*Предпосылки!$T265*Продажи!AX30*AX$19*(1+Чувствительность!$D$20)*IFERROR(LOOKUP(Предпосылки!$H$217,$C$13:$C$15,AX$13:AX$15),1)</f>
        <v>0</v>
      </c>
      <c s="125">
        <f>Предпосылки!AX$244*Предпосылки!$T265*Продажи!AY30*AY$19*(1+Чувствительность!$D$20)*IFERROR(LOOKUP(Предпосылки!$H$217,$C$13:$C$15,AY$13:AY$15),1)</f>
        <v>0</v>
      </c>
      <c s="125">
        <f>Предпосылки!AY$244*Предпосылки!$T265*Продажи!AZ30*AZ$19*(1+Чувствительность!$D$20)*IFERROR(LOOKUP(Предпосылки!$H$217,$C$13:$C$15,AZ$13:AZ$15),1)</f>
        <v>0</v>
      </c>
      <c s="125">
        <f>Предпосылки!AZ$244*Предпосылки!$T265*Продажи!BA30*BA$19*(1+Чувствительность!$D$20)*IFERROR(LOOKUP(Предпосылки!$H$217,$C$13:$C$15,BA$13:BA$15),1)</f>
        <v>0</v>
      </c>
      <c s="125">
        <f>Предпосылки!BA$244*Предпосылки!$T265*Продажи!BB30*BB$19*(1+Чувствительность!$D$20)*IFERROR(LOOKUP(Предпосылки!$H$217,$C$13:$C$15,BB$13:BB$15),1)</f>
        <v>0</v>
      </c>
      <c s="125">
        <f>Предпосылки!BB$244*Предпосылки!$T265*Продажи!BC30*BC$19*(1+Чувствительность!$D$20)*IFERROR(LOOKUP(Предпосылки!$H$217,$C$13:$C$15,BC$13:BC$15),1)</f>
        <v>0</v>
      </c>
      <c s="125">
        <f>Предпосылки!BC$244*Предпосылки!$T265*Продажи!BD30*BD$19*(1+Чувствительность!$D$20)*IFERROR(LOOKUP(Предпосылки!$H$217,$C$13:$C$15,BD$13:BD$15),1)</f>
        <v>0</v>
      </c>
      <c s="125">
        <f>Предпосылки!BD$244*Предпосылки!$T265*Продажи!BE30*BE$19*(1+Чувствительность!$D$20)*IFERROR(LOOKUP(Предпосылки!$H$217,$C$13:$C$15,BE$13:BE$15),1)</f>
        <v>0</v>
      </c>
      <c s="125">
        <f>Предпосылки!BE$244*Предпосылки!$T265*Продажи!BF30*BF$19*(1+Чувствительность!$D$20)*IFERROR(LOOKUP(Предпосылки!$H$217,$C$13:$C$15,BF$13:BF$15),1)</f>
        <v>0</v>
      </c>
      <c s="125">
        <f>Предпосылки!BF$244*Предпосылки!$T265*Продажи!BG30*BG$19*(1+Чувствительность!$D$20)*IFERROR(LOOKUP(Предпосылки!$H$217,$C$13:$C$15,BG$13:BG$15),1)</f>
        <v>0</v>
      </c>
      <c s="125">
        <f>Предпосылки!BG$244*Предпосылки!$T265*Продажи!BH30*BH$19*(1+Чувствительность!$D$20)*IFERROR(LOOKUP(Предпосылки!$H$217,$C$13:$C$15,BH$13:BH$15),1)</f>
        <v>0</v>
      </c>
      <c s="125">
        <f>Предпосылки!BH$244*Предпосылки!$T265*Продажи!BI30*BI$19*(1+Чувствительность!$D$20)*IFERROR(LOOKUP(Предпосылки!$H$217,$C$13:$C$15,BI$13:BI$15),1)</f>
        <v>0</v>
      </c>
      <c s="125">
        <f>Предпосылки!BI$244*Предпосылки!$T265*Продажи!BJ30*BJ$19*(1+Чувствительность!$D$20)*IFERROR(LOOKUP(Предпосылки!$H$217,$C$13:$C$15,BJ$13:BJ$15),1)</f>
        <v>0</v>
      </c>
      <c s="125">
        <f>Предпосылки!BJ$244*Предпосылки!$T265*Продажи!BK30*BK$19*(1+Чувствительность!$D$20)*IFERROR(LOOKUP(Предпосылки!$H$217,$C$13:$C$15,BK$13:BK$15),1)</f>
        <v>0</v>
      </c>
      <c s="125">
        <f>Предпосылки!BK$244*Предпосылки!$T265*Продажи!BL30*BL$19*(1+Чувствительность!$D$20)*IFERROR(LOOKUP(Предпосылки!$H$217,$C$13:$C$15,BL$13:BL$15),1)</f>
        <v>0</v>
      </c>
      <c s="125">
        <f>Предпосылки!BL$244*Предпосылки!$T265*Продажи!BM30*BM$19*(1+Чувствительность!$D$20)*IFERROR(LOOKUP(Предпосылки!$H$217,$C$13:$C$15,BM$13:BM$15),1)</f>
        <v>0</v>
      </c>
    </row>
    <row r="404" spans="2:65" ht="15" customHeight="1">
      <c r="B404" s="12" t="str">
        <f t="shared" si="141"/>
        <v>Продукт 14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Предпосылки!D$244*Предпосылки!$T266*Продажи!E31*E$19*(1+Чувствительность!$D$20)*IFERROR(LOOKUP(Предпосылки!$H$217,$C$13:$C$15,E$13:E$15),1)</f>
        <v>0</v>
      </c>
      <c s="125">
        <f>Предпосылки!E$244*Предпосылки!$T266*Продажи!F31*F$19*(1+Чувствительность!$D$20)*IFERROR(LOOKUP(Предпосылки!$H$217,$C$13:$C$15,F$13:F$15),1)</f>
        <v>0</v>
      </c>
      <c s="125">
        <f>Предпосылки!F$244*Предпосылки!$T266*Продажи!G31*G$19*(1+Чувствительность!$D$20)*IFERROR(LOOKUP(Предпосылки!$H$217,$C$13:$C$15,G$13:G$15),1)</f>
        <v>0</v>
      </c>
      <c s="125">
        <f>Предпосылки!G$244*Предпосылки!$T266*Продажи!H31*H$19*(1+Чувствительность!$D$20)*IFERROR(LOOKUP(Предпосылки!$H$217,$C$13:$C$15,H$13:H$15),1)</f>
        <v>0</v>
      </c>
      <c s="125">
        <f>Предпосылки!H$244*Предпосылки!$T266*Продажи!I31*I$19*(1+Чувствительность!$D$20)*IFERROR(LOOKUP(Предпосылки!$H$217,$C$13:$C$15,I$13:I$15),1)</f>
        <v>0</v>
      </c>
      <c s="125">
        <f>Предпосылки!I$244*Предпосылки!$T266*Продажи!J31*J$19*(1+Чувствительность!$D$20)*IFERROR(LOOKUP(Предпосылки!$H$217,$C$13:$C$15,J$13:J$15),1)</f>
        <v>0</v>
      </c>
      <c s="125">
        <f>Предпосылки!J$244*Предпосылки!$T266*Продажи!K31*K$19*(1+Чувствительность!$D$20)*IFERROR(LOOKUP(Предпосылки!$H$217,$C$13:$C$15,K$13:K$15),1)</f>
        <v>0</v>
      </c>
      <c s="125">
        <f>Предпосылки!K$244*Предпосылки!$T266*Продажи!L31*L$19*(1+Чувствительность!$D$20)*IFERROR(LOOKUP(Предпосылки!$H$217,$C$13:$C$15,L$13:L$15),1)</f>
        <v>0</v>
      </c>
      <c s="125">
        <f>Предпосылки!L$244*Предпосылки!$T266*Продажи!M31*M$19*(1+Чувствительность!$D$20)*IFERROR(LOOKUP(Предпосылки!$H$217,$C$13:$C$15,M$13:M$15),1)</f>
        <v>0</v>
      </c>
      <c s="125">
        <f>Предпосылки!M$244*Предпосылки!$T266*Продажи!N31*N$19*(1+Чувствительность!$D$20)*IFERROR(LOOKUP(Предпосылки!$H$217,$C$13:$C$15,N$13:N$15),1)</f>
        <v>0</v>
      </c>
      <c s="125">
        <f>Предпосылки!N$244*Предпосылки!$T266*Продажи!O31*O$19*(1+Чувствительность!$D$20)*IFERROR(LOOKUP(Предпосылки!$H$217,$C$13:$C$15,O$13:O$15),1)</f>
        <v>0</v>
      </c>
      <c s="125">
        <f>Предпосылки!O$244*Предпосылки!$T266*Продажи!P31*P$19*(1+Чувствительность!$D$20)*IFERROR(LOOKUP(Предпосылки!$H$217,$C$13:$C$15,P$13:P$15),1)</f>
        <v>0</v>
      </c>
      <c s="125">
        <f>Предпосылки!P$244*Предпосылки!$T266*Продажи!Q31*Q$19*(1+Чувствительность!$D$20)*IFERROR(LOOKUP(Предпосылки!$H$217,$C$13:$C$15,Q$13:Q$15),1)</f>
        <v>0</v>
      </c>
      <c s="125">
        <f>Предпосылки!Q$244*Предпосылки!$T266*Продажи!R31*R$19*(1+Чувствительность!$D$20)*IFERROR(LOOKUP(Предпосылки!$H$217,$C$13:$C$15,R$13:R$15),1)</f>
        <v>0</v>
      </c>
      <c s="125">
        <f>Предпосылки!R$244*Предпосылки!$T266*Продажи!S31*S$19*(1+Чувствительность!$D$20)*IFERROR(LOOKUP(Предпосылки!$H$217,$C$13:$C$15,S$13:S$15),1)</f>
        <v>0</v>
      </c>
      <c s="125">
        <f>Предпосылки!S$244*Предпосылки!$T266*Продажи!T31*T$19*(1+Чувствительность!$D$20)*IFERROR(LOOKUP(Предпосылки!$H$217,$C$13:$C$15,T$13:T$15),1)</f>
        <v>0</v>
      </c>
      <c s="125">
        <f>Предпосылки!T$244*Предпосылки!$T266*Продажи!U31*U$19*(1+Чувствительность!$D$20)*IFERROR(LOOKUP(Предпосылки!$H$217,$C$13:$C$15,U$13:U$15),1)</f>
        <v>0</v>
      </c>
      <c s="125">
        <f>Предпосылки!U$244*Предпосылки!$T266*Продажи!V31*V$19*(1+Чувствительность!$D$20)*IFERROR(LOOKUP(Предпосылки!$H$217,$C$13:$C$15,V$13:V$15),1)</f>
        <v>0</v>
      </c>
      <c s="125">
        <f>Предпосылки!V$244*Предпосылки!$T266*Продажи!W31*W$19*(1+Чувствительность!$D$20)*IFERROR(LOOKUP(Предпосылки!$H$217,$C$13:$C$15,W$13:W$15),1)</f>
        <v>0</v>
      </c>
      <c s="125">
        <f>Предпосылки!W$244*Предпосылки!$T266*Продажи!X31*X$19*(1+Чувствительность!$D$20)*IFERROR(LOOKUP(Предпосылки!$H$217,$C$13:$C$15,X$13:X$15),1)</f>
        <v>0</v>
      </c>
      <c s="125">
        <f>Предпосылки!X$244*Предпосылки!$T266*Продажи!Y31*Y$19*(1+Чувствительность!$D$20)*IFERROR(LOOKUP(Предпосылки!$H$217,$C$13:$C$15,Y$13:Y$15),1)</f>
        <v>0</v>
      </c>
      <c s="125">
        <f>Предпосылки!Y$244*Предпосылки!$T266*Продажи!Z31*Z$19*(1+Чувствительность!$D$20)*IFERROR(LOOKUP(Предпосылки!$H$217,$C$13:$C$15,Z$13:Z$15),1)</f>
        <v>0</v>
      </c>
      <c s="125">
        <f>Предпосылки!Z$244*Предпосылки!$T266*Продажи!AA31*AA$19*(1+Чувствительность!$D$20)*IFERROR(LOOKUP(Предпосылки!$H$217,$C$13:$C$15,AA$13:AA$15),1)</f>
        <v>0</v>
      </c>
      <c s="125">
        <f>Предпосылки!AA$244*Предпосылки!$T266*Продажи!AB31*AB$19*(1+Чувствительность!$D$20)*IFERROR(LOOKUP(Предпосылки!$H$217,$C$13:$C$15,AB$13:AB$15),1)</f>
        <v>0</v>
      </c>
      <c s="125">
        <f>Предпосылки!AB$244*Предпосылки!$T266*Продажи!AC31*AC$19*(1+Чувствительность!$D$20)*IFERROR(LOOKUP(Предпосылки!$H$217,$C$13:$C$15,AC$13:AC$15),1)</f>
        <v>0</v>
      </c>
      <c s="125">
        <f>Предпосылки!AC$244*Предпосылки!$T266*Продажи!AD31*AD$19*(1+Чувствительность!$D$20)*IFERROR(LOOKUP(Предпосылки!$H$217,$C$13:$C$15,AD$13:AD$15),1)</f>
        <v>0</v>
      </c>
      <c s="125">
        <f>Предпосылки!AD$244*Предпосылки!$T266*Продажи!AE31*AE$19*(1+Чувствительность!$D$20)*IFERROR(LOOKUP(Предпосылки!$H$217,$C$13:$C$15,AE$13:AE$15),1)</f>
        <v>0</v>
      </c>
      <c s="125">
        <f>Предпосылки!AE$244*Предпосылки!$T266*Продажи!AF31*AF$19*(1+Чувствительность!$D$20)*IFERROR(LOOKUP(Предпосылки!$H$217,$C$13:$C$15,AF$13:AF$15),1)</f>
        <v>0</v>
      </c>
      <c s="125">
        <f>Предпосылки!AF$244*Предпосылки!$T266*Продажи!AG31*AG$19*(1+Чувствительность!$D$20)*IFERROR(LOOKUP(Предпосылки!$H$217,$C$13:$C$15,AG$13:AG$15),1)</f>
        <v>0</v>
      </c>
      <c s="125">
        <f>Предпосылки!AG$244*Предпосылки!$T266*Продажи!AH31*AH$19*(1+Чувствительность!$D$20)*IFERROR(LOOKUP(Предпосылки!$H$217,$C$13:$C$15,AH$13:AH$15),1)</f>
        <v>0</v>
      </c>
      <c s="125">
        <f>Предпосылки!AH$244*Предпосылки!$T266*Продажи!AI31*AI$19*(1+Чувствительность!$D$20)*IFERROR(LOOKUP(Предпосылки!$H$217,$C$13:$C$15,AI$13:AI$15),1)</f>
        <v>0</v>
      </c>
      <c s="125">
        <f>Предпосылки!AI$244*Предпосылки!$T266*Продажи!AJ31*AJ$19*(1+Чувствительность!$D$20)*IFERROR(LOOKUP(Предпосылки!$H$217,$C$13:$C$15,AJ$13:AJ$15),1)</f>
        <v>0</v>
      </c>
      <c s="125">
        <f>Предпосылки!AJ$244*Предпосылки!$T266*Продажи!AK31*AK$19*(1+Чувствительность!$D$20)*IFERROR(LOOKUP(Предпосылки!$H$217,$C$13:$C$15,AK$13:AK$15),1)</f>
        <v>0</v>
      </c>
      <c s="125">
        <f>Предпосылки!AK$244*Предпосылки!$T266*Продажи!AL31*AL$19*(1+Чувствительность!$D$20)*IFERROR(LOOKUP(Предпосылки!$H$217,$C$13:$C$15,AL$13:AL$15),1)</f>
        <v>0</v>
      </c>
      <c s="125">
        <f>Предпосылки!AL$244*Предпосылки!$T266*Продажи!AM31*AM$19*(1+Чувствительность!$D$20)*IFERROR(LOOKUP(Предпосылки!$H$217,$C$13:$C$15,AM$13:AM$15),1)</f>
        <v>0</v>
      </c>
      <c s="125">
        <f>Предпосылки!AM$244*Предпосылки!$T266*Продажи!AN31*AN$19*(1+Чувствительность!$D$20)*IFERROR(LOOKUP(Предпосылки!$H$217,$C$13:$C$15,AN$13:AN$15),1)</f>
        <v>0</v>
      </c>
      <c s="125">
        <f>Предпосылки!AN$244*Предпосылки!$T266*Продажи!AO31*AO$19*(1+Чувствительность!$D$20)*IFERROR(LOOKUP(Предпосылки!$H$217,$C$13:$C$15,AO$13:AO$15),1)</f>
        <v>0</v>
      </c>
      <c s="125">
        <f>Предпосылки!AO$244*Предпосылки!$T266*Продажи!AP31*AP$19*(1+Чувствительность!$D$20)*IFERROR(LOOKUP(Предпосылки!$H$217,$C$13:$C$15,AP$13:AP$15),1)</f>
        <v>0</v>
      </c>
      <c s="125">
        <f>Предпосылки!AP$244*Предпосылки!$T266*Продажи!AQ31*AQ$19*(1+Чувствительность!$D$20)*IFERROR(LOOKUP(Предпосылки!$H$217,$C$13:$C$15,AQ$13:AQ$15),1)</f>
        <v>0</v>
      </c>
      <c s="125">
        <f>Предпосылки!AQ$244*Предпосылки!$T266*Продажи!AR31*AR$19*(1+Чувствительность!$D$20)*IFERROR(LOOKUP(Предпосылки!$H$217,$C$13:$C$15,AR$13:AR$15),1)</f>
        <v>0</v>
      </c>
      <c s="125">
        <f>Предпосылки!AR$244*Предпосылки!$T266*Продажи!AS31*AS$19*(1+Чувствительность!$D$20)*IFERROR(LOOKUP(Предпосылки!$H$217,$C$13:$C$15,AS$13:AS$15),1)</f>
        <v>0</v>
      </c>
      <c s="125">
        <f>Предпосылки!AS$244*Предпосылки!$T266*Продажи!AT31*AT$19*(1+Чувствительность!$D$20)*IFERROR(LOOKUP(Предпосылки!$H$217,$C$13:$C$15,AT$13:AT$15),1)</f>
        <v>0</v>
      </c>
      <c s="125">
        <f>Предпосылки!AT$244*Предпосылки!$T266*Продажи!AU31*AU$19*(1+Чувствительность!$D$20)*IFERROR(LOOKUP(Предпосылки!$H$217,$C$13:$C$15,AU$13:AU$15),1)</f>
        <v>0</v>
      </c>
      <c s="125">
        <f>Предпосылки!AU$244*Предпосылки!$T266*Продажи!AV31*AV$19*(1+Чувствительность!$D$20)*IFERROR(LOOKUP(Предпосылки!$H$217,$C$13:$C$15,AV$13:AV$15),1)</f>
        <v>0</v>
      </c>
      <c s="125">
        <f>Предпосылки!AV$244*Предпосылки!$T266*Продажи!AW31*AW$19*(1+Чувствительность!$D$20)*IFERROR(LOOKUP(Предпосылки!$H$217,$C$13:$C$15,AW$13:AW$15),1)</f>
        <v>0</v>
      </c>
      <c s="125">
        <f>Предпосылки!AW$244*Предпосылки!$T266*Продажи!AX31*AX$19*(1+Чувствительность!$D$20)*IFERROR(LOOKUP(Предпосылки!$H$217,$C$13:$C$15,AX$13:AX$15),1)</f>
        <v>0</v>
      </c>
      <c s="125">
        <f>Предпосылки!AX$244*Предпосылки!$T266*Продажи!AY31*AY$19*(1+Чувствительность!$D$20)*IFERROR(LOOKUP(Предпосылки!$H$217,$C$13:$C$15,AY$13:AY$15),1)</f>
        <v>0</v>
      </c>
      <c s="125">
        <f>Предпосылки!AY$244*Предпосылки!$T266*Продажи!AZ31*AZ$19*(1+Чувствительность!$D$20)*IFERROR(LOOKUP(Предпосылки!$H$217,$C$13:$C$15,AZ$13:AZ$15),1)</f>
        <v>0</v>
      </c>
      <c s="125">
        <f>Предпосылки!AZ$244*Предпосылки!$T266*Продажи!BA31*BA$19*(1+Чувствительность!$D$20)*IFERROR(LOOKUP(Предпосылки!$H$217,$C$13:$C$15,BA$13:BA$15),1)</f>
        <v>0</v>
      </c>
      <c s="125">
        <f>Предпосылки!BA$244*Предпосылки!$T266*Продажи!BB31*BB$19*(1+Чувствительность!$D$20)*IFERROR(LOOKUP(Предпосылки!$H$217,$C$13:$C$15,BB$13:BB$15),1)</f>
        <v>0</v>
      </c>
      <c s="125">
        <f>Предпосылки!BB$244*Предпосылки!$T266*Продажи!BC31*BC$19*(1+Чувствительность!$D$20)*IFERROR(LOOKUP(Предпосылки!$H$217,$C$13:$C$15,BC$13:BC$15),1)</f>
        <v>0</v>
      </c>
      <c s="125">
        <f>Предпосылки!BC$244*Предпосылки!$T266*Продажи!BD31*BD$19*(1+Чувствительность!$D$20)*IFERROR(LOOKUP(Предпосылки!$H$217,$C$13:$C$15,BD$13:BD$15),1)</f>
        <v>0</v>
      </c>
      <c s="125">
        <f>Предпосылки!BD$244*Предпосылки!$T266*Продажи!BE31*BE$19*(1+Чувствительность!$D$20)*IFERROR(LOOKUP(Предпосылки!$H$217,$C$13:$C$15,BE$13:BE$15),1)</f>
        <v>0</v>
      </c>
      <c s="125">
        <f>Предпосылки!BE$244*Предпосылки!$T266*Продажи!BF31*BF$19*(1+Чувствительность!$D$20)*IFERROR(LOOKUP(Предпосылки!$H$217,$C$13:$C$15,BF$13:BF$15),1)</f>
        <v>0</v>
      </c>
      <c s="125">
        <f>Предпосылки!BF$244*Предпосылки!$T266*Продажи!BG31*BG$19*(1+Чувствительность!$D$20)*IFERROR(LOOKUP(Предпосылки!$H$217,$C$13:$C$15,BG$13:BG$15),1)</f>
        <v>0</v>
      </c>
      <c s="125">
        <f>Предпосылки!BG$244*Предпосылки!$T266*Продажи!BH31*BH$19*(1+Чувствительность!$D$20)*IFERROR(LOOKUP(Предпосылки!$H$217,$C$13:$C$15,BH$13:BH$15),1)</f>
        <v>0</v>
      </c>
      <c s="125">
        <f>Предпосылки!BH$244*Предпосылки!$T266*Продажи!BI31*BI$19*(1+Чувствительность!$D$20)*IFERROR(LOOKUP(Предпосылки!$H$217,$C$13:$C$15,BI$13:BI$15),1)</f>
        <v>0</v>
      </c>
      <c s="125">
        <f>Предпосылки!BI$244*Предпосылки!$T266*Продажи!BJ31*BJ$19*(1+Чувствительность!$D$20)*IFERROR(LOOKUP(Предпосылки!$H$217,$C$13:$C$15,BJ$13:BJ$15),1)</f>
        <v>0</v>
      </c>
      <c s="125">
        <f>Предпосылки!BJ$244*Предпосылки!$T266*Продажи!BK31*BK$19*(1+Чувствительность!$D$20)*IFERROR(LOOKUP(Предпосылки!$H$217,$C$13:$C$15,BK$13:BK$15),1)</f>
        <v>0</v>
      </c>
      <c s="125">
        <f>Предпосылки!BK$244*Предпосылки!$T266*Продажи!BL31*BL$19*(1+Чувствительность!$D$20)*IFERROR(LOOKUP(Предпосылки!$H$217,$C$13:$C$15,BL$13:BL$15),1)</f>
        <v>0</v>
      </c>
      <c s="125">
        <f>Предпосылки!BL$244*Предпосылки!$T266*Продажи!BM31*BM$19*(1+Чувствительность!$D$20)*IFERROR(LOOKUP(Предпосылки!$H$217,$C$13:$C$15,BM$13:BM$15),1)</f>
        <v>0</v>
      </c>
    </row>
    <row r="405" spans="2:65" ht="15" customHeight="1">
      <c r="B405" s="12" t="str">
        <f t="shared" si="141"/>
        <v>Продукт 15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Предпосылки!D$244*Предпосылки!$T267*Продажи!E32*E$19*(1+Чувствительность!$D$20)*IFERROR(LOOKUP(Предпосылки!$H$217,$C$13:$C$15,E$13:E$15),1)</f>
        <v>0</v>
      </c>
      <c s="125">
        <f>Предпосылки!E$244*Предпосылки!$T267*Продажи!F32*F$19*(1+Чувствительность!$D$20)*IFERROR(LOOKUP(Предпосылки!$H$217,$C$13:$C$15,F$13:F$15),1)</f>
        <v>0</v>
      </c>
      <c s="125">
        <f>Предпосылки!F$244*Предпосылки!$T267*Продажи!G32*G$19*(1+Чувствительность!$D$20)*IFERROR(LOOKUP(Предпосылки!$H$217,$C$13:$C$15,G$13:G$15),1)</f>
        <v>0</v>
      </c>
      <c s="125">
        <f>Предпосылки!G$244*Предпосылки!$T267*Продажи!H32*H$19*(1+Чувствительность!$D$20)*IFERROR(LOOKUP(Предпосылки!$H$217,$C$13:$C$15,H$13:H$15),1)</f>
        <v>0</v>
      </c>
      <c s="125">
        <f>Предпосылки!H$244*Предпосылки!$T267*Продажи!I32*I$19*(1+Чувствительность!$D$20)*IFERROR(LOOKUP(Предпосылки!$H$217,$C$13:$C$15,I$13:I$15),1)</f>
        <v>0</v>
      </c>
      <c s="125">
        <f>Предпосылки!I$244*Предпосылки!$T267*Продажи!J32*J$19*(1+Чувствительность!$D$20)*IFERROR(LOOKUP(Предпосылки!$H$217,$C$13:$C$15,J$13:J$15),1)</f>
        <v>0</v>
      </c>
      <c s="125">
        <f>Предпосылки!J$244*Предпосылки!$T267*Продажи!K32*K$19*(1+Чувствительность!$D$20)*IFERROR(LOOKUP(Предпосылки!$H$217,$C$13:$C$15,K$13:K$15),1)</f>
        <v>0</v>
      </c>
      <c s="125">
        <f>Предпосылки!K$244*Предпосылки!$T267*Продажи!L32*L$19*(1+Чувствительность!$D$20)*IFERROR(LOOKUP(Предпосылки!$H$217,$C$13:$C$15,L$13:L$15),1)</f>
        <v>0</v>
      </c>
      <c s="125">
        <f>Предпосылки!L$244*Предпосылки!$T267*Продажи!M32*M$19*(1+Чувствительность!$D$20)*IFERROR(LOOKUP(Предпосылки!$H$217,$C$13:$C$15,M$13:M$15),1)</f>
        <v>0</v>
      </c>
      <c s="125">
        <f>Предпосылки!M$244*Предпосылки!$T267*Продажи!N32*N$19*(1+Чувствительность!$D$20)*IFERROR(LOOKUP(Предпосылки!$H$217,$C$13:$C$15,N$13:N$15),1)</f>
        <v>0</v>
      </c>
      <c s="125">
        <f>Предпосылки!N$244*Предпосылки!$T267*Продажи!O32*O$19*(1+Чувствительность!$D$20)*IFERROR(LOOKUP(Предпосылки!$H$217,$C$13:$C$15,O$13:O$15),1)</f>
        <v>0</v>
      </c>
      <c s="125">
        <f>Предпосылки!O$244*Предпосылки!$T267*Продажи!P32*P$19*(1+Чувствительность!$D$20)*IFERROR(LOOKUP(Предпосылки!$H$217,$C$13:$C$15,P$13:P$15),1)</f>
        <v>0</v>
      </c>
      <c s="125">
        <f>Предпосылки!P$244*Предпосылки!$T267*Продажи!Q32*Q$19*(1+Чувствительность!$D$20)*IFERROR(LOOKUP(Предпосылки!$H$217,$C$13:$C$15,Q$13:Q$15),1)</f>
        <v>0</v>
      </c>
      <c s="125">
        <f>Предпосылки!Q$244*Предпосылки!$T267*Продажи!R32*R$19*(1+Чувствительность!$D$20)*IFERROR(LOOKUP(Предпосылки!$H$217,$C$13:$C$15,R$13:R$15),1)</f>
        <v>0</v>
      </c>
      <c s="125">
        <f>Предпосылки!R$244*Предпосылки!$T267*Продажи!S32*S$19*(1+Чувствительность!$D$20)*IFERROR(LOOKUP(Предпосылки!$H$217,$C$13:$C$15,S$13:S$15),1)</f>
        <v>0</v>
      </c>
      <c s="125">
        <f>Предпосылки!S$244*Предпосылки!$T267*Продажи!T32*T$19*(1+Чувствительность!$D$20)*IFERROR(LOOKUP(Предпосылки!$H$217,$C$13:$C$15,T$13:T$15),1)</f>
        <v>0</v>
      </c>
      <c s="125">
        <f>Предпосылки!T$244*Предпосылки!$T267*Продажи!U32*U$19*(1+Чувствительность!$D$20)*IFERROR(LOOKUP(Предпосылки!$H$217,$C$13:$C$15,U$13:U$15),1)</f>
        <v>0</v>
      </c>
      <c s="125">
        <f>Предпосылки!U$244*Предпосылки!$T267*Продажи!V32*V$19*(1+Чувствительность!$D$20)*IFERROR(LOOKUP(Предпосылки!$H$217,$C$13:$C$15,V$13:V$15),1)</f>
        <v>0</v>
      </c>
      <c s="125">
        <f>Предпосылки!V$244*Предпосылки!$T267*Продажи!W32*W$19*(1+Чувствительность!$D$20)*IFERROR(LOOKUP(Предпосылки!$H$217,$C$13:$C$15,W$13:W$15),1)</f>
        <v>0</v>
      </c>
      <c s="125">
        <f>Предпосылки!W$244*Предпосылки!$T267*Продажи!X32*X$19*(1+Чувствительность!$D$20)*IFERROR(LOOKUP(Предпосылки!$H$217,$C$13:$C$15,X$13:X$15),1)</f>
        <v>0</v>
      </c>
      <c s="125">
        <f>Предпосылки!X$244*Предпосылки!$T267*Продажи!Y32*Y$19*(1+Чувствительность!$D$20)*IFERROR(LOOKUP(Предпосылки!$H$217,$C$13:$C$15,Y$13:Y$15),1)</f>
        <v>0</v>
      </c>
      <c s="125">
        <f>Предпосылки!Y$244*Предпосылки!$T267*Продажи!Z32*Z$19*(1+Чувствительность!$D$20)*IFERROR(LOOKUP(Предпосылки!$H$217,$C$13:$C$15,Z$13:Z$15),1)</f>
        <v>0</v>
      </c>
      <c s="125">
        <f>Предпосылки!Z$244*Предпосылки!$T267*Продажи!AA32*AA$19*(1+Чувствительность!$D$20)*IFERROR(LOOKUP(Предпосылки!$H$217,$C$13:$C$15,AA$13:AA$15),1)</f>
        <v>0</v>
      </c>
      <c s="125">
        <f>Предпосылки!AA$244*Предпосылки!$T267*Продажи!AB32*AB$19*(1+Чувствительность!$D$20)*IFERROR(LOOKUP(Предпосылки!$H$217,$C$13:$C$15,AB$13:AB$15),1)</f>
        <v>0</v>
      </c>
      <c s="125">
        <f>Предпосылки!AB$244*Предпосылки!$T267*Продажи!AC32*AC$19*(1+Чувствительность!$D$20)*IFERROR(LOOKUP(Предпосылки!$H$217,$C$13:$C$15,AC$13:AC$15),1)</f>
        <v>0</v>
      </c>
      <c s="125">
        <f>Предпосылки!AC$244*Предпосылки!$T267*Продажи!AD32*AD$19*(1+Чувствительность!$D$20)*IFERROR(LOOKUP(Предпосылки!$H$217,$C$13:$C$15,AD$13:AD$15),1)</f>
        <v>0</v>
      </c>
      <c s="125">
        <f>Предпосылки!AD$244*Предпосылки!$T267*Продажи!AE32*AE$19*(1+Чувствительность!$D$20)*IFERROR(LOOKUP(Предпосылки!$H$217,$C$13:$C$15,AE$13:AE$15),1)</f>
        <v>0</v>
      </c>
      <c s="125">
        <f>Предпосылки!AE$244*Предпосылки!$T267*Продажи!AF32*AF$19*(1+Чувствительность!$D$20)*IFERROR(LOOKUP(Предпосылки!$H$217,$C$13:$C$15,AF$13:AF$15),1)</f>
        <v>0</v>
      </c>
      <c s="125">
        <f>Предпосылки!AF$244*Предпосылки!$T267*Продажи!AG32*AG$19*(1+Чувствительность!$D$20)*IFERROR(LOOKUP(Предпосылки!$H$217,$C$13:$C$15,AG$13:AG$15),1)</f>
        <v>0</v>
      </c>
      <c s="125">
        <f>Предпосылки!AG$244*Предпосылки!$T267*Продажи!AH32*AH$19*(1+Чувствительность!$D$20)*IFERROR(LOOKUP(Предпосылки!$H$217,$C$13:$C$15,AH$13:AH$15),1)</f>
        <v>0</v>
      </c>
      <c s="125">
        <f>Предпосылки!AH$244*Предпосылки!$T267*Продажи!AI32*AI$19*(1+Чувствительность!$D$20)*IFERROR(LOOKUP(Предпосылки!$H$217,$C$13:$C$15,AI$13:AI$15),1)</f>
        <v>0</v>
      </c>
      <c s="125">
        <f>Предпосылки!AI$244*Предпосылки!$T267*Продажи!AJ32*AJ$19*(1+Чувствительность!$D$20)*IFERROR(LOOKUP(Предпосылки!$H$217,$C$13:$C$15,AJ$13:AJ$15),1)</f>
        <v>0</v>
      </c>
      <c s="125">
        <f>Предпосылки!AJ$244*Предпосылки!$T267*Продажи!AK32*AK$19*(1+Чувствительность!$D$20)*IFERROR(LOOKUP(Предпосылки!$H$217,$C$13:$C$15,AK$13:AK$15),1)</f>
        <v>0</v>
      </c>
      <c s="125">
        <f>Предпосылки!AK$244*Предпосылки!$T267*Продажи!AL32*AL$19*(1+Чувствительность!$D$20)*IFERROR(LOOKUP(Предпосылки!$H$217,$C$13:$C$15,AL$13:AL$15),1)</f>
        <v>0</v>
      </c>
      <c s="125">
        <f>Предпосылки!AL$244*Предпосылки!$T267*Продажи!AM32*AM$19*(1+Чувствительность!$D$20)*IFERROR(LOOKUP(Предпосылки!$H$217,$C$13:$C$15,AM$13:AM$15),1)</f>
        <v>0</v>
      </c>
      <c s="125">
        <f>Предпосылки!AM$244*Предпосылки!$T267*Продажи!AN32*AN$19*(1+Чувствительность!$D$20)*IFERROR(LOOKUP(Предпосылки!$H$217,$C$13:$C$15,AN$13:AN$15),1)</f>
        <v>0</v>
      </c>
      <c s="125">
        <f>Предпосылки!AN$244*Предпосылки!$T267*Продажи!AO32*AO$19*(1+Чувствительность!$D$20)*IFERROR(LOOKUP(Предпосылки!$H$217,$C$13:$C$15,AO$13:AO$15),1)</f>
        <v>0</v>
      </c>
      <c s="125">
        <f>Предпосылки!AO$244*Предпосылки!$T267*Продажи!AP32*AP$19*(1+Чувствительность!$D$20)*IFERROR(LOOKUP(Предпосылки!$H$217,$C$13:$C$15,AP$13:AP$15),1)</f>
        <v>0</v>
      </c>
      <c s="125">
        <f>Предпосылки!AP$244*Предпосылки!$T267*Продажи!AQ32*AQ$19*(1+Чувствительность!$D$20)*IFERROR(LOOKUP(Предпосылки!$H$217,$C$13:$C$15,AQ$13:AQ$15),1)</f>
        <v>0</v>
      </c>
      <c s="125">
        <f>Предпосылки!AQ$244*Предпосылки!$T267*Продажи!AR32*AR$19*(1+Чувствительность!$D$20)*IFERROR(LOOKUP(Предпосылки!$H$217,$C$13:$C$15,AR$13:AR$15),1)</f>
        <v>0</v>
      </c>
      <c s="125">
        <f>Предпосылки!AR$244*Предпосылки!$T267*Продажи!AS32*AS$19*(1+Чувствительность!$D$20)*IFERROR(LOOKUP(Предпосылки!$H$217,$C$13:$C$15,AS$13:AS$15),1)</f>
        <v>0</v>
      </c>
      <c s="125">
        <f>Предпосылки!AS$244*Предпосылки!$T267*Продажи!AT32*AT$19*(1+Чувствительность!$D$20)*IFERROR(LOOKUP(Предпосылки!$H$217,$C$13:$C$15,AT$13:AT$15),1)</f>
        <v>0</v>
      </c>
      <c s="125">
        <f>Предпосылки!AT$244*Предпосылки!$T267*Продажи!AU32*AU$19*(1+Чувствительность!$D$20)*IFERROR(LOOKUP(Предпосылки!$H$217,$C$13:$C$15,AU$13:AU$15),1)</f>
        <v>0</v>
      </c>
      <c s="125">
        <f>Предпосылки!AU$244*Предпосылки!$T267*Продажи!AV32*AV$19*(1+Чувствительность!$D$20)*IFERROR(LOOKUP(Предпосылки!$H$217,$C$13:$C$15,AV$13:AV$15),1)</f>
        <v>0</v>
      </c>
      <c s="125">
        <f>Предпосылки!AV$244*Предпосылки!$T267*Продажи!AW32*AW$19*(1+Чувствительность!$D$20)*IFERROR(LOOKUP(Предпосылки!$H$217,$C$13:$C$15,AW$13:AW$15),1)</f>
        <v>0</v>
      </c>
      <c s="125">
        <f>Предпосылки!AW$244*Предпосылки!$T267*Продажи!AX32*AX$19*(1+Чувствительность!$D$20)*IFERROR(LOOKUP(Предпосылки!$H$217,$C$13:$C$15,AX$13:AX$15),1)</f>
        <v>0</v>
      </c>
      <c s="125">
        <f>Предпосылки!AX$244*Предпосылки!$T267*Продажи!AY32*AY$19*(1+Чувствительность!$D$20)*IFERROR(LOOKUP(Предпосылки!$H$217,$C$13:$C$15,AY$13:AY$15),1)</f>
        <v>0</v>
      </c>
      <c s="125">
        <f>Предпосылки!AY$244*Предпосылки!$T267*Продажи!AZ32*AZ$19*(1+Чувствительность!$D$20)*IFERROR(LOOKUP(Предпосылки!$H$217,$C$13:$C$15,AZ$13:AZ$15),1)</f>
        <v>0</v>
      </c>
      <c s="125">
        <f>Предпосылки!AZ$244*Предпосылки!$T267*Продажи!BA32*BA$19*(1+Чувствительность!$D$20)*IFERROR(LOOKUP(Предпосылки!$H$217,$C$13:$C$15,BA$13:BA$15),1)</f>
        <v>0</v>
      </c>
      <c s="125">
        <f>Предпосылки!BA$244*Предпосылки!$T267*Продажи!BB32*BB$19*(1+Чувствительность!$D$20)*IFERROR(LOOKUP(Предпосылки!$H$217,$C$13:$C$15,BB$13:BB$15),1)</f>
        <v>0</v>
      </c>
      <c s="125">
        <f>Предпосылки!BB$244*Предпосылки!$T267*Продажи!BC32*BC$19*(1+Чувствительность!$D$20)*IFERROR(LOOKUP(Предпосылки!$H$217,$C$13:$C$15,BC$13:BC$15),1)</f>
        <v>0</v>
      </c>
      <c s="125">
        <f>Предпосылки!BC$244*Предпосылки!$T267*Продажи!BD32*BD$19*(1+Чувствительность!$D$20)*IFERROR(LOOKUP(Предпосылки!$H$217,$C$13:$C$15,BD$13:BD$15),1)</f>
        <v>0</v>
      </c>
      <c s="125">
        <f>Предпосылки!BD$244*Предпосылки!$T267*Продажи!BE32*BE$19*(1+Чувствительность!$D$20)*IFERROR(LOOKUP(Предпосылки!$H$217,$C$13:$C$15,BE$13:BE$15),1)</f>
        <v>0</v>
      </c>
      <c s="125">
        <f>Предпосылки!BE$244*Предпосылки!$T267*Продажи!BF32*BF$19*(1+Чувствительность!$D$20)*IFERROR(LOOKUP(Предпосылки!$H$217,$C$13:$C$15,BF$13:BF$15),1)</f>
        <v>0</v>
      </c>
      <c s="125">
        <f>Предпосылки!BF$244*Предпосылки!$T267*Продажи!BG32*BG$19*(1+Чувствительность!$D$20)*IFERROR(LOOKUP(Предпосылки!$H$217,$C$13:$C$15,BG$13:BG$15),1)</f>
        <v>0</v>
      </c>
      <c s="125">
        <f>Предпосылки!BG$244*Предпосылки!$T267*Продажи!BH32*BH$19*(1+Чувствительность!$D$20)*IFERROR(LOOKUP(Предпосылки!$H$217,$C$13:$C$15,BH$13:BH$15),1)</f>
        <v>0</v>
      </c>
      <c s="125">
        <f>Предпосылки!BH$244*Предпосылки!$T267*Продажи!BI32*BI$19*(1+Чувствительность!$D$20)*IFERROR(LOOKUP(Предпосылки!$H$217,$C$13:$C$15,BI$13:BI$15),1)</f>
        <v>0</v>
      </c>
      <c s="125">
        <f>Предпосылки!BI$244*Предпосылки!$T267*Продажи!BJ32*BJ$19*(1+Чувствительность!$D$20)*IFERROR(LOOKUP(Предпосылки!$H$217,$C$13:$C$15,BJ$13:BJ$15),1)</f>
        <v>0</v>
      </c>
      <c s="125">
        <f>Предпосылки!BJ$244*Предпосылки!$T267*Продажи!BK32*BK$19*(1+Чувствительность!$D$20)*IFERROR(LOOKUP(Предпосылки!$H$217,$C$13:$C$15,BK$13:BK$15),1)</f>
        <v>0</v>
      </c>
      <c s="125">
        <f>Предпосылки!BK$244*Предпосылки!$T267*Продажи!BL32*BL$19*(1+Чувствительность!$D$20)*IFERROR(LOOKUP(Предпосылки!$H$217,$C$13:$C$15,BL$13:BL$15),1)</f>
        <v>0</v>
      </c>
      <c s="125">
        <f>Предпосылки!BL$244*Предпосылки!$T267*Продажи!BM32*BM$19*(1+Чувствительность!$D$20)*IFERROR(LOOKUP(Предпосылки!$H$217,$C$13:$C$15,BM$13:BM$15),1)</f>
        <v>0</v>
      </c>
    </row>
    <row r="406" spans="2:65" ht="15" customHeight="1">
      <c r="B406" s="12" t="str">
        <f t="shared" si="141"/>
        <v>Продукт 16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Предпосылки!D$244*Предпосылки!$T268*Продажи!E33*E$19*(1+Чувствительность!$D$20)*IFERROR(LOOKUP(Предпосылки!$H$217,$C$13:$C$15,E$13:E$15),1)</f>
        <v>0</v>
      </c>
      <c s="125">
        <f>Предпосылки!E$244*Предпосылки!$T268*Продажи!F33*F$19*(1+Чувствительность!$D$20)*IFERROR(LOOKUP(Предпосылки!$H$217,$C$13:$C$15,F$13:F$15),1)</f>
        <v>0</v>
      </c>
      <c s="125">
        <f>Предпосылки!F$244*Предпосылки!$T268*Продажи!G33*G$19*(1+Чувствительность!$D$20)*IFERROR(LOOKUP(Предпосылки!$H$217,$C$13:$C$15,G$13:G$15),1)</f>
        <v>0</v>
      </c>
      <c s="125">
        <f>Предпосылки!G$244*Предпосылки!$T268*Продажи!H33*H$19*(1+Чувствительность!$D$20)*IFERROR(LOOKUP(Предпосылки!$H$217,$C$13:$C$15,H$13:H$15),1)</f>
        <v>0</v>
      </c>
      <c s="125">
        <f>Предпосылки!H$244*Предпосылки!$T268*Продажи!I33*I$19*(1+Чувствительность!$D$20)*IFERROR(LOOKUP(Предпосылки!$H$217,$C$13:$C$15,I$13:I$15),1)</f>
        <v>0</v>
      </c>
      <c s="125">
        <f>Предпосылки!I$244*Предпосылки!$T268*Продажи!J33*J$19*(1+Чувствительность!$D$20)*IFERROR(LOOKUP(Предпосылки!$H$217,$C$13:$C$15,J$13:J$15),1)</f>
        <v>0</v>
      </c>
      <c s="125">
        <f>Предпосылки!J$244*Предпосылки!$T268*Продажи!K33*K$19*(1+Чувствительность!$D$20)*IFERROR(LOOKUP(Предпосылки!$H$217,$C$13:$C$15,K$13:K$15),1)</f>
        <v>0</v>
      </c>
      <c s="125">
        <f>Предпосылки!K$244*Предпосылки!$T268*Продажи!L33*L$19*(1+Чувствительность!$D$20)*IFERROR(LOOKUP(Предпосылки!$H$217,$C$13:$C$15,L$13:L$15),1)</f>
        <v>0</v>
      </c>
      <c s="125">
        <f>Предпосылки!L$244*Предпосылки!$T268*Продажи!M33*M$19*(1+Чувствительность!$D$20)*IFERROR(LOOKUP(Предпосылки!$H$217,$C$13:$C$15,M$13:M$15),1)</f>
        <v>0</v>
      </c>
      <c s="125">
        <f>Предпосылки!M$244*Предпосылки!$T268*Продажи!N33*N$19*(1+Чувствительность!$D$20)*IFERROR(LOOKUP(Предпосылки!$H$217,$C$13:$C$15,N$13:N$15),1)</f>
        <v>0</v>
      </c>
      <c s="125">
        <f>Предпосылки!N$244*Предпосылки!$T268*Продажи!O33*O$19*(1+Чувствительность!$D$20)*IFERROR(LOOKUP(Предпосылки!$H$217,$C$13:$C$15,O$13:O$15),1)</f>
        <v>0</v>
      </c>
      <c s="125">
        <f>Предпосылки!O$244*Предпосылки!$T268*Продажи!P33*P$19*(1+Чувствительность!$D$20)*IFERROR(LOOKUP(Предпосылки!$H$217,$C$13:$C$15,P$13:P$15),1)</f>
        <v>0</v>
      </c>
      <c s="125">
        <f>Предпосылки!P$244*Предпосылки!$T268*Продажи!Q33*Q$19*(1+Чувствительность!$D$20)*IFERROR(LOOKUP(Предпосылки!$H$217,$C$13:$C$15,Q$13:Q$15),1)</f>
        <v>0</v>
      </c>
      <c s="125">
        <f>Предпосылки!Q$244*Предпосылки!$T268*Продажи!R33*R$19*(1+Чувствительность!$D$20)*IFERROR(LOOKUP(Предпосылки!$H$217,$C$13:$C$15,R$13:R$15),1)</f>
        <v>0</v>
      </c>
      <c s="125">
        <f>Предпосылки!R$244*Предпосылки!$T268*Продажи!S33*S$19*(1+Чувствительность!$D$20)*IFERROR(LOOKUP(Предпосылки!$H$217,$C$13:$C$15,S$13:S$15),1)</f>
        <v>0</v>
      </c>
      <c s="125">
        <f>Предпосылки!S$244*Предпосылки!$T268*Продажи!T33*T$19*(1+Чувствительность!$D$20)*IFERROR(LOOKUP(Предпосылки!$H$217,$C$13:$C$15,T$13:T$15),1)</f>
        <v>0</v>
      </c>
      <c s="125">
        <f>Предпосылки!T$244*Предпосылки!$T268*Продажи!U33*U$19*(1+Чувствительность!$D$20)*IFERROR(LOOKUP(Предпосылки!$H$217,$C$13:$C$15,U$13:U$15),1)</f>
        <v>0</v>
      </c>
      <c s="125">
        <f>Предпосылки!U$244*Предпосылки!$T268*Продажи!V33*V$19*(1+Чувствительность!$D$20)*IFERROR(LOOKUP(Предпосылки!$H$217,$C$13:$C$15,V$13:V$15),1)</f>
        <v>0</v>
      </c>
      <c s="125">
        <f>Предпосылки!V$244*Предпосылки!$T268*Продажи!W33*W$19*(1+Чувствительность!$D$20)*IFERROR(LOOKUP(Предпосылки!$H$217,$C$13:$C$15,W$13:W$15),1)</f>
        <v>0</v>
      </c>
      <c s="125">
        <f>Предпосылки!W$244*Предпосылки!$T268*Продажи!X33*X$19*(1+Чувствительность!$D$20)*IFERROR(LOOKUP(Предпосылки!$H$217,$C$13:$C$15,X$13:X$15),1)</f>
        <v>0</v>
      </c>
      <c s="125">
        <f>Предпосылки!X$244*Предпосылки!$T268*Продажи!Y33*Y$19*(1+Чувствительность!$D$20)*IFERROR(LOOKUP(Предпосылки!$H$217,$C$13:$C$15,Y$13:Y$15),1)</f>
        <v>0</v>
      </c>
      <c s="125">
        <f>Предпосылки!Y$244*Предпосылки!$T268*Продажи!Z33*Z$19*(1+Чувствительность!$D$20)*IFERROR(LOOKUP(Предпосылки!$H$217,$C$13:$C$15,Z$13:Z$15),1)</f>
        <v>0</v>
      </c>
      <c s="125">
        <f>Предпосылки!Z$244*Предпосылки!$T268*Продажи!AA33*AA$19*(1+Чувствительность!$D$20)*IFERROR(LOOKUP(Предпосылки!$H$217,$C$13:$C$15,AA$13:AA$15),1)</f>
        <v>0</v>
      </c>
      <c s="125">
        <f>Предпосылки!AA$244*Предпосылки!$T268*Продажи!AB33*AB$19*(1+Чувствительность!$D$20)*IFERROR(LOOKUP(Предпосылки!$H$217,$C$13:$C$15,AB$13:AB$15),1)</f>
        <v>0</v>
      </c>
      <c s="125">
        <f>Предпосылки!AB$244*Предпосылки!$T268*Продажи!AC33*AC$19*(1+Чувствительность!$D$20)*IFERROR(LOOKUP(Предпосылки!$H$217,$C$13:$C$15,AC$13:AC$15),1)</f>
        <v>0</v>
      </c>
      <c s="125">
        <f>Предпосылки!AC$244*Предпосылки!$T268*Продажи!AD33*AD$19*(1+Чувствительность!$D$20)*IFERROR(LOOKUP(Предпосылки!$H$217,$C$13:$C$15,AD$13:AD$15),1)</f>
        <v>0</v>
      </c>
      <c s="125">
        <f>Предпосылки!AD$244*Предпосылки!$T268*Продажи!AE33*AE$19*(1+Чувствительность!$D$20)*IFERROR(LOOKUP(Предпосылки!$H$217,$C$13:$C$15,AE$13:AE$15),1)</f>
        <v>0</v>
      </c>
      <c s="125">
        <f>Предпосылки!AE$244*Предпосылки!$T268*Продажи!AF33*AF$19*(1+Чувствительность!$D$20)*IFERROR(LOOKUP(Предпосылки!$H$217,$C$13:$C$15,AF$13:AF$15),1)</f>
        <v>0</v>
      </c>
      <c s="125">
        <f>Предпосылки!AF$244*Предпосылки!$T268*Продажи!AG33*AG$19*(1+Чувствительность!$D$20)*IFERROR(LOOKUP(Предпосылки!$H$217,$C$13:$C$15,AG$13:AG$15),1)</f>
        <v>0</v>
      </c>
      <c s="125">
        <f>Предпосылки!AG$244*Предпосылки!$T268*Продажи!AH33*AH$19*(1+Чувствительность!$D$20)*IFERROR(LOOKUP(Предпосылки!$H$217,$C$13:$C$15,AH$13:AH$15),1)</f>
        <v>0</v>
      </c>
      <c s="125">
        <f>Предпосылки!AH$244*Предпосылки!$T268*Продажи!AI33*AI$19*(1+Чувствительность!$D$20)*IFERROR(LOOKUP(Предпосылки!$H$217,$C$13:$C$15,AI$13:AI$15),1)</f>
        <v>0</v>
      </c>
      <c s="125">
        <f>Предпосылки!AI$244*Предпосылки!$T268*Продажи!AJ33*AJ$19*(1+Чувствительность!$D$20)*IFERROR(LOOKUP(Предпосылки!$H$217,$C$13:$C$15,AJ$13:AJ$15),1)</f>
        <v>0</v>
      </c>
      <c s="125">
        <f>Предпосылки!AJ$244*Предпосылки!$T268*Продажи!AK33*AK$19*(1+Чувствительность!$D$20)*IFERROR(LOOKUP(Предпосылки!$H$217,$C$13:$C$15,AK$13:AK$15),1)</f>
        <v>0</v>
      </c>
      <c s="125">
        <f>Предпосылки!AK$244*Предпосылки!$T268*Продажи!AL33*AL$19*(1+Чувствительность!$D$20)*IFERROR(LOOKUP(Предпосылки!$H$217,$C$13:$C$15,AL$13:AL$15),1)</f>
        <v>0</v>
      </c>
      <c s="125">
        <f>Предпосылки!AL$244*Предпосылки!$T268*Продажи!AM33*AM$19*(1+Чувствительность!$D$20)*IFERROR(LOOKUP(Предпосылки!$H$217,$C$13:$C$15,AM$13:AM$15),1)</f>
        <v>0</v>
      </c>
      <c s="125">
        <f>Предпосылки!AM$244*Предпосылки!$T268*Продажи!AN33*AN$19*(1+Чувствительность!$D$20)*IFERROR(LOOKUP(Предпосылки!$H$217,$C$13:$C$15,AN$13:AN$15),1)</f>
        <v>0</v>
      </c>
      <c s="125">
        <f>Предпосылки!AN$244*Предпосылки!$T268*Продажи!AO33*AO$19*(1+Чувствительность!$D$20)*IFERROR(LOOKUP(Предпосылки!$H$217,$C$13:$C$15,AO$13:AO$15),1)</f>
        <v>0</v>
      </c>
      <c s="125">
        <f>Предпосылки!AO$244*Предпосылки!$T268*Продажи!AP33*AP$19*(1+Чувствительность!$D$20)*IFERROR(LOOKUP(Предпосылки!$H$217,$C$13:$C$15,AP$13:AP$15),1)</f>
        <v>0</v>
      </c>
      <c s="125">
        <f>Предпосылки!AP$244*Предпосылки!$T268*Продажи!AQ33*AQ$19*(1+Чувствительность!$D$20)*IFERROR(LOOKUP(Предпосылки!$H$217,$C$13:$C$15,AQ$13:AQ$15),1)</f>
        <v>0</v>
      </c>
      <c s="125">
        <f>Предпосылки!AQ$244*Предпосылки!$T268*Продажи!AR33*AR$19*(1+Чувствительность!$D$20)*IFERROR(LOOKUP(Предпосылки!$H$217,$C$13:$C$15,AR$13:AR$15),1)</f>
        <v>0</v>
      </c>
      <c s="125">
        <f>Предпосылки!AR$244*Предпосылки!$T268*Продажи!AS33*AS$19*(1+Чувствительность!$D$20)*IFERROR(LOOKUP(Предпосылки!$H$217,$C$13:$C$15,AS$13:AS$15),1)</f>
        <v>0</v>
      </c>
      <c s="125">
        <f>Предпосылки!AS$244*Предпосылки!$T268*Продажи!AT33*AT$19*(1+Чувствительность!$D$20)*IFERROR(LOOKUP(Предпосылки!$H$217,$C$13:$C$15,AT$13:AT$15),1)</f>
        <v>0</v>
      </c>
      <c s="125">
        <f>Предпосылки!AT$244*Предпосылки!$T268*Продажи!AU33*AU$19*(1+Чувствительность!$D$20)*IFERROR(LOOKUP(Предпосылки!$H$217,$C$13:$C$15,AU$13:AU$15),1)</f>
        <v>0</v>
      </c>
      <c s="125">
        <f>Предпосылки!AU$244*Предпосылки!$T268*Продажи!AV33*AV$19*(1+Чувствительность!$D$20)*IFERROR(LOOKUP(Предпосылки!$H$217,$C$13:$C$15,AV$13:AV$15),1)</f>
        <v>0</v>
      </c>
      <c s="125">
        <f>Предпосылки!AV$244*Предпосылки!$T268*Продажи!AW33*AW$19*(1+Чувствительность!$D$20)*IFERROR(LOOKUP(Предпосылки!$H$217,$C$13:$C$15,AW$13:AW$15),1)</f>
        <v>0</v>
      </c>
      <c s="125">
        <f>Предпосылки!AW$244*Предпосылки!$T268*Продажи!AX33*AX$19*(1+Чувствительность!$D$20)*IFERROR(LOOKUP(Предпосылки!$H$217,$C$13:$C$15,AX$13:AX$15),1)</f>
        <v>0</v>
      </c>
      <c s="125">
        <f>Предпосылки!AX$244*Предпосылки!$T268*Продажи!AY33*AY$19*(1+Чувствительность!$D$20)*IFERROR(LOOKUP(Предпосылки!$H$217,$C$13:$C$15,AY$13:AY$15),1)</f>
        <v>0</v>
      </c>
      <c s="125">
        <f>Предпосылки!AY$244*Предпосылки!$T268*Продажи!AZ33*AZ$19*(1+Чувствительность!$D$20)*IFERROR(LOOKUP(Предпосылки!$H$217,$C$13:$C$15,AZ$13:AZ$15),1)</f>
        <v>0</v>
      </c>
      <c s="125">
        <f>Предпосылки!AZ$244*Предпосылки!$T268*Продажи!BA33*BA$19*(1+Чувствительность!$D$20)*IFERROR(LOOKUP(Предпосылки!$H$217,$C$13:$C$15,BA$13:BA$15),1)</f>
        <v>0</v>
      </c>
      <c s="125">
        <f>Предпосылки!BA$244*Предпосылки!$T268*Продажи!BB33*BB$19*(1+Чувствительность!$D$20)*IFERROR(LOOKUP(Предпосылки!$H$217,$C$13:$C$15,BB$13:BB$15),1)</f>
        <v>0</v>
      </c>
      <c s="125">
        <f>Предпосылки!BB$244*Предпосылки!$T268*Продажи!BC33*BC$19*(1+Чувствительность!$D$20)*IFERROR(LOOKUP(Предпосылки!$H$217,$C$13:$C$15,BC$13:BC$15),1)</f>
        <v>0</v>
      </c>
      <c s="125">
        <f>Предпосылки!BC$244*Предпосылки!$T268*Продажи!BD33*BD$19*(1+Чувствительность!$D$20)*IFERROR(LOOKUP(Предпосылки!$H$217,$C$13:$C$15,BD$13:BD$15),1)</f>
        <v>0</v>
      </c>
      <c s="125">
        <f>Предпосылки!BD$244*Предпосылки!$T268*Продажи!BE33*BE$19*(1+Чувствительность!$D$20)*IFERROR(LOOKUP(Предпосылки!$H$217,$C$13:$C$15,BE$13:BE$15),1)</f>
        <v>0</v>
      </c>
      <c s="125">
        <f>Предпосылки!BE$244*Предпосылки!$T268*Продажи!BF33*BF$19*(1+Чувствительность!$D$20)*IFERROR(LOOKUP(Предпосылки!$H$217,$C$13:$C$15,BF$13:BF$15),1)</f>
        <v>0</v>
      </c>
      <c s="125">
        <f>Предпосылки!BF$244*Предпосылки!$T268*Продажи!BG33*BG$19*(1+Чувствительность!$D$20)*IFERROR(LOOKUP(Предпосылки!$H$217,$C$13:$C$15,BG$13:BG$15),1)</f>
        <v>0</v>
      </c>
      <c s="125">
        <f>Предпосылки!BG$244*Предпосылки!$T268*Продажи!BH33*BH$19*(1+Чувствительность!$D$20)*IFERROR(LOOKUP(Предпосылки!$H$217,$C$13:$C$15,BH$13:BH$15),1)</f>
        <v>0</v>
      </c>
      <c s="125">
        <f>Предпосылки!BH$244*Предпосылки!$T268*Продажи!BI33*BI$19*(1+Чувствительность!$D$20)*IFERROR(LOOKUP(Предпосылки!$H$217,$C$13:$C$15,BI$13:BI$15),1)</f>
        <v>0</v>
      </c>
      <c s="125">
        <f>Предпосылки!BI$244*Предпосылки!$T268*Продажи!BJ33*BJ$19*(1+Чувствительность!$D$20)*IFERROR(LOOKUP(Предпосылки!$H$217,$C$13:$C$15,BJ$13:BJ$15),1)</f>
        <v>0</v>
      </c>
      <c s="125">
        <f>Предпосылки!BJ$244*Предпосылки!$T268*Продажи!BK33*BK$19*(1+Чувствительность!$D$20)*IFERROR(LOOKUP(Предпосылки!$H$217,$C$13:$C$15,BK$13:BK$15),1)</f>
        <v>0</v>
      </c>
      <c s="125">
        <f>Предпосылки!BK$244*Предпосылки!$T268*Продажи!BL33*BL$19*(1+Чувствительность!$D$20)*IFERROR(LOOKUP(Предпосылки!$H$217,$C$13:$C$15,BL$13:BL$15),1)</f>
        <v>0</v>
      </c>
      <c s="125">
        <f>Предпосылки!BL$244*Предпосылки!$T268*Продажи!BM33*BM$19*(1+Чувствительность!$D$20)*IFERROR(LOOKUP(Предпосылки!$H$217,$C$13:$C$15,BM$13:BM$15),1)</f>
        <v>0</v>
      </c>
    </row>
    <row r="407" spans="2:65" ht="15" customHeight="1">
      <c r="B407" s="12" t="str">
        <f t="shared" si="141"/>
        <v>Продукт 17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Предпосылки!D$244*Предпосылки!$T269*Продажи!E34*E$19*(1+Чувствительность!$D$20)*IFERROR(LOOKUP(Предпосылки!$H$217,$C$13:$C$15,E$13:E$15),1)</f>
        <v>0</v>
      </c>
      <c s="125">
        <f>Предпосылки!E$244*Предпосылки!$T269*Продажи!F34*F$19*(1+Чувствительность!$D$20)*IFERROR(LOOKUP(Предпосылки!$H$217,$C$13:$C$15,F$13:F$15),1)</f>
        <v>0</v>
      </c>
      <c s="125">
        <f>Предпосылки!F$244*Предпосылки!$T269*Продажи!G34*G$19*(1+Чувствительность!$D$20)*IFERROR(LOOKUP(Предпосылки!$H$217,$C$13:$C$15,G$13:G$15),1)</f>
        <v>0</v>
      </c>
      <c s="125">
        <f>Предпосылки!G$244*Предпосылки!$T269*Продажи!H34*H$19*(1+Чувствительность!$D$20)*IFERROR(LOOKUP(Предпосылки!$H$217,$C$13:$C$15,H$13:H$15),1)</f>
        <v>0</v>
      </c>
      <c s="125">
        <f>Предпосылки!H$244*Предпосылки!$T269*Продажи!I34*I$19*(1+Чувствительность!$D$20)*IFERROR(LOOKUP(Предпосылки!$H$217,$C$13:$C$15,I$13:I$15),1)</f>
        <v>0</v>
      </c>
      <c s="125">
        <f>Предпосылки!I$244*Предпосылки!$T269*Продажи!J34*J$19*(1+Чувствительность!$D$20)*IFERROR(LOOKUP(Предпосылки!$H$217,$C$13:$C$15,J$13:J$15),1)</f>
        <v>0</v>
      </c>
      <c s="125">
        <f>Предпосылки!J$244*Предпосылки!$T269*Продажи!K34*K$19*(1+Чувствительность!$D$20)*IFERROR(LOOKUP(Предпосылки!$H$217,$C$13:$C$15,K$13:K$15),1)</f>
        <v>0</v>
      </c>
      <c s="125">
        <f>Предпосылки!K$244*Предпосылки!$T269*Продажи!L34*L$19*(1+Чувствительность!$D$20)*IFERROR(LOOKUP(Предпосылки!$H$217,$C$13:$C$15,L$13:L$15),1)</f>
        <v>0</v>
      </c>
      <c s="125">
        <f>Предпосылки!L$244*Предпосылки!$T269*Продажи!M34*M$19*(1+Чувствительность!$D$20)*IFERROR(LOOKUP(Предпосылки!$H$217,$C$13:$C$15,M$13:M$15),1)</f>
        <v>0</v>
      </c>
      <c s="125">
        <f>Предпосылки!M$244*Предпосылки!$T269*Продажи!N34*N$19*(1+Чувствительность!$D$20)*IFERROR(LOOKUP(Предпосылки!$H$217,$C$13:$C$15,N$13:N$15),1)</f>
        <v>0</v>
      </c>
      <c s="125">
        <f>Предпосылки!N$244*Предпосылки!$T269*Продажи!O34*O$19*(1+Чувствительность!$D$20)*IFERROR(LOOKUP(Предпосылки!$H$217,$C$13:$C$15,O$13:O$15),1)</f>
        <v>0</v>
      </c>
      <c s="125">
        <f>Предпосылки!O$244*Предпосылки!$T269*Продажи!P34*P$19*(1+Чувствительность!$D$20)*IFERROR(LOOKUP(Предпосылки!$H$217,$C$13:$C$15,P$13:P$15),1)</f>
        <v>0</v>
      </c>
      <c s="125">
        <f>Предпосылки!P$244*Предпосылки!$T269*Продажи!Q34*Q$19*(1+Чувствительность!$D$20)*IFERROR(LOOKUP(Предпосылки!$H$217,$C$13:$C$15,Q$13:Q$15),1)</f>
        <v>0</v>
      </c>
      <c s="125">
        <f>Предпосылки!Q$244*Предпосылки!$T269*Продажи!R34*R$19*(1+Чувствительность!$D$20)*IFERROR(LOOKUP(Предпосылки!$H$217,$C$13:$C$15,R$13:R$15),1)</f>
        <v>0</v>
      </c>
      <c s="125">
        <f>Предпосылки!R$244*Предпосылки!$T269*Продажи!S34*S$19*(1+Чувствительность!$D$20)*IFERROR(LOOKUP(Предпосылки!$H$217,$C$13:$C$15,S$13:S$15),1)</f>
        <v>0</v>
      </c>
      <c s="125">
        <f>Предпосылки!S$244*Предпосылки!$T269*Продажи!T34*T$19*(1+Чувствительность!$D$20)*IFERROR(LOOKUP(Предпосылки!$H$217,$C$13:$C$15,T$13:T$15),1)</f>
        <v>0</v>
      </c>
      <c s="125">
        <f>Предпосылки!T$244*Предпосылки!$T269*Продажи!U34*U$19*(1+Чувствительность!$D$20)*IFERROR(LOOKUP(Предпосылки!$H$217,$C$13:$C$15,U$13:U$15),1)</f>
        <v>0</v>
      </c>
      <c s="125">
        <f>Предпосылки!U$244*Предпосылки!$T269*Продажи!V34*V$19*(1+Чувствительность!$D$20)*IFERROR(LOOKUP(Предпосылки!$H$217,$C$13:$C$15,V$13:V$15),1)</f>
        <v>0</v>
      </c>
      <c s="125">
        <f>Предпосылки!V$244*Предпосылки!$T269*Продажи!W34*W$19*(1+Чувствительность!$D$20)*IFERROR(LOOKUP(Предпосылки!$H$217,$C$13:$C$15,W$13:W$15),1)</f>
        <v>0</v>
      </c>
      <c s="125">
        <f>Предпосылки!W$244*Предпосылки!$T269*Продажи!X34*X$19*(1+Чувствительность!$D$20)*IFERROR(LOOKUP(Предпосылки!$H$217,$C$13:$C$15,X$13:X$15),1)</f>
        <v>0</v>
      </c>
      <c s="125">
        <f>Предпосылки!X$244*Предпосылки!$T269*Продажи!Y34*Y$19*(1+Чувствительность!$D$20)*IFERROR(LOOKUP(Предпосылки!$H$217,$C$13:$C$15,Y$13:Y$15),1)</f>
        <v>0</v>
      </c>
      <c s="125">
        <f>Предпосылки!Y$244*Предпосылки!$T269*Продажи!Z34*Z$19*(1+Чувствительность!$D$20)*IFERROR(LOOKUP(Предпосылки!$H$217,$C$13:$C$15,Z$13:Z$15),1)</f>
        <v>0</v>
      </c>
      <c s="125">
        <f>Предпосылки!Z$244*Предпосылки!$T269*Продажи!AA34*AA$19*(1+Чувствительность!$D$20)*IFERROR(LOOKUP(Предпосылки!$H$217,$C$13:$C$15,AA$13:AA$15),1)</f>
        <v>0</v>
      </c>
      <c s="125">
        <f>Предпосылки!AA$244*Предпосылки!$T269*Продажи!AB34*AB$19*(1+Чувствительность!$D$20)*IFERROR(LOOKUP(Предпосылки!$H$217,$C$13:$C$15,AB$13:AB$15),1)</f>
        <v>0</v>
      </c>
      <c s="125">
        <f>Предпосылки!AB$244*Предпосылки!$T269*Продажи!AC34*AC$19*(1+Чувствительность!$D$20)*IFERROR(LOOKUP(Предпосылки!$H$217,$C$13:$C$15,AC$13:AC$15),1)</f>
        <v>0</v>
      </c>
      <c s="125">
        <f>Предпосылки!AC$244*Предпосылки!$T269*Продажи!AD34*AD$19*(1+Чувствительность!$D$20)*IFERROR(LOOKUP(Предпосылки!$H$217,$C$13:$C$15,AD$13:AD$15),1)</f>
        <v>0</v>
      </c>
      <c s="125">
        <f>Предпосылки!AD$244*Предпосылки!$T269*Продажи!AE34*AE$19*(1+Чувствительность!$D$20)*IFERROR(LOOKUP(Предпосылки!$H$217,$C$13:$C$15,AE$13:AE$15),1)</f>
        <v>0</v>
      </c>
      <c s="125">
        <f>Предпосылки!AE$244*Предпосылки!$T269*Продажи!AF34*AF$19*(1+Чувствительность!$D$20)*IFERROR(LOOKUP(Предпосылки!$H$217,$C$13:$C$15,AF$13:AF$15),1)</f>
        <v>0</v>
      </c>
      <c s="125">
        <f>Предпосылки!AF$244*Предпосылки!$T269*Продажи!AG34*AG$19*(1+Чувствительность!$D$20)*IFERROR(LOOKUP(Предпосылки!$H$217,$C$13:$C$15,AG$13:AG$15),1)</f>
        <v>0</v>
      </c>
      <c s="125">
        <f>Предпосылки!AG$244*Предпосылки!$T269*Продажи!AH34*AH$19*(1+Чувствительность!$D$20)*IFERROR(LOOKUP(Предпосылки!$H$217,$C$13:$C$15,AH$13:AH$15),1)</f>
        <v>0</v>
      </c>
      <c s="125">
        <f>Предпосылки!AH$244*Предпосылки!$T269*Продажи!AI34*AI$19*(1+Чувствительность!$D$20)*IFERROR(LOOKUP(Предпосылки!$H$217,$C$13:$C$15,AI$13:AI$15),1)</f>
        <v>0</v>
      </c>
      <c s="125">
        <f>Предпосылки!AI$244*Предпосылки!$T269*Продажи!AJ34*AJ$19*(1+Чувствительность!$D$20)*IFERROR(LOOKUP(Предпосылки!$H$217,$C$13:$C$15,AJ$13:AJ$15),1)</f>
        <v>0</v>
      </c>
      <c s="125">
        <f>Предпосылки!AJ$244*Предпосылки!$T269*Продажи!AK34*AK$19*(1+Чувствительность!$D$20)*IFERROR(LOOKUP(Предпосылки!$H$217,$C$13:$C$15,AK$13:AK$15),1)</f>
        <v>0</v>
      </c>
      <c s="125">
        <f>Предпосылки!AK$244*Предпосылки!$T269*Продажи!AL34*AL$19*(1+Чувствительность!$D$20)*IFERROR(LOOKUP(Предпосылки!$H$217,$C$13:$C$15,AL$13:AL$15),1)</f>
        <v>0</v>
      </c>
      <c s="125">
        <f>Предпосылки!AL$244*Предпосылки!$T269*Продажи!AM34*AM$19*(1+Чувствительность!$D$20)*IFERROR(LOOKUP(Предпосылки!$H$217,$C$13:$C$15,AM$13:AM$15),1)</f>
        <v>0</v>
      </c>
      <c s="125">
        <f>Предпосылки!AM$244*Предпосылки!$T269*Продажи!AN34*AN$19*(1+Чувствительность!$D$20)*IFERROR(LOOKUP(Предпосылки!$H$217,$C$13:$C$15,AN$13:AN$15),1)</f>
        <v>0</v>
      </c>
      <c s="125">
        <f>Предпосылки!AN$244*Предпосылки!$T269*Продажи!AO34*AO$19*(1+Чувствительность!$D$20)*IFERROR(LOOKUP(Предпосылки!$H$217,$C$13:$C$15,AO$13:AO$15),1)</f>
        <v>0</v>
      </c>
      <c s="125">
        <f>Предпосылки!AO$244*Предпосылки!$T269*Продажи!AP34*AP$19*(1+Чувствительность!$D$20)*IFERROR(LOOKUP(Предпосылки!$H$217,$C$13:$C$15,AP$13:AP$15),1)</f>
        <v>0</v>
      </c>
      <c s="125">
        <f>Предпосылки!AP$244*Предпосылки!$T269*Продажи!AQ34*AQ$19*(1+Чувствительность!$D$20)*IFERROR(LOOKUP(Предпосылки!$H$217,$C$13:$C$15,AQ$13:AQ$15),1)</f>
        <v>0</v>
      </c>
      <c s="125">
        <f>Предпосылки!AQ$244*Предпосылки!$T269*Продажи!AR34*AR$19*(1+Чувствительность!$D$20)*IFERROR(LOOKUP(Предпосылки!$H$217,$C$13:$C$15,AR$13:AR$15),1)</f>
        <v>0</v>
      </c>
      <c s="125">
        <f>Предпосылки!AR$244*Предпосылки!$T269*Продажи!AS34*AS$19*(1+Чувствительность!$D$20)*IFERROR(LOOKUP(Предпосылки!$H$217,$C$13:$C$15,AS$13:AS$15),1)</f>
        <v>0</v>
      </c>
      <c s="125">
        <f>Предпосылки!AS$244*Предпосылки!$T269*Продажи!AT34*AT$19*(1+Чувствительность!$D$20)*IFERROR(LOOKUP(Предпосылки!$H$217,$C$13:$C$15,AT$13:AT$15),1)</f>
        <v>0</v>
      </c>
      <c s="125">
        <f>Предпосылки!AT$244*Предпосылки!$T269*Продажи!AU34*AU$19*(1+Чувствительность!$D$20)*IFERROR(LOOKUP(Предпосылки!$H$217,$C$13:$C$15,AU$13:AU$15),1)</f>
        <v>0</v>
      </c>
      <c s="125">
        <f>Предпосылки!AU$244*Предпосылки!$T269*Продажи!AV34*AV$19*(1+Чувствительность!$D$20)*IFERROR(LOOKUP(Предпосылки!$H$217,$C$13:$C$15,AV$13:AV$15),1)</f>
        <v>0</v>
      </c>
      <c s="125">
        <f>Предпосылки!AV$244*Предпосылки!$T269*Продажи!AW34*AW$19*(1+Чувствительность!$D$20)*IFERROR(LOOKUP(Предпосылки!$H$217,$C$13:$C$15,AW$13:AW$15),1)</f>
        <v>0</v>
      </c>
      <c s="125">
        <f>Предпосылки!AW$244*Предпосылки!$T269*Продажи!AX34*AX$19*(1+Чувствительность!$D$20)*IFERROR(LOOKUP(Предпосылки!$H$217,$C$13:$C$15,AX$13:AX$15),1)</f>
        <v>0</v>
      </c>
      <c s="125">
        <f>Предпосылки!AX$244*Предпосылки!$T269*Продажи!AY34*AY$19*(1+Чувствительность!$D$20)*IFERROR(LOOKUP(Предпосылки!$H$217,$C$13:$C$15,AY$13:AY$15),1)</f>
        <v>0</v>
      </c>
      <c s="125">
        <f>Предпосылки!AY$244*Предпосылки!$T269*Продажи!AZ34*AZ$19*(1+Чувствительность!$D$20)*IFERROR(LOOKUP(Предпосылки!$H$217,$C$13:$C$15,AZ$13:AZ$15),1)</f>
        <v>0</v>
      </c>
      <c s="125">
        <f>Предпосылки!AZ$244*Предпосылки!$T269*Продажи!BA34*BA$19*(1+Чувствительность!$D$20)*IFERROR(LOOKUP(Предпосылки!$H$217,$C$13:$C$15,BA$13:BA$15),1)</f>
        <v>0</v>
      </c>
      <c s="125">
        <f>Предпосылки!BA$244*Предпосылки!$T269*Продажи!BB34*BB$19*(1+Чувствительность!$D$20)*IFERROR(LOOKUP(Предпосылки!$H$217,$C$13:$C$15,BB$13:BB$15),1)</f>
        <v>0</v>
      </c>
      <c s="125">
        <f>Предпосылки!BB$244*Предпосылки!$T269*Продажи!BC34*BC$19*(1+Чувствительность!$D$20)*IFERROR(LOOKUP(Предпосылки!$H$217,$C$13:$C$15,BC$13:BC$15),1)</f>
        <v>0</v>
      </c>
      <c s="125">
        <f>Предпосылки!BC$244*Предпосылки!$T269*Продажи!BD34*BD$19*(1+Чувствительность!$D$20)*IFERROR(LOOKUP(Предпосылки!$H$217,$C$13:$C$15,BD$13:BD$15),1)</f>
        <v>0</v>
      </c>
      <c s="125">
        <f>Предпосылки!BD$244*Предпосылки!$T269*Продажи!BE34*BE$19*(1+Чувствительность!$D$20)*IFERROR(LOOKUP(Предпосылки!$H$217,$C$13:$C$15,BE$13:BE$15),1)</f>
        <v>0</v>
      </c>
      <c s="125">
        <f>Предпосылки!BE$244*Предпосылки!$T269*Продажи!BF34*BF$19*(1+Чувствительность!$D$20)*IFERROR(LOOKUP(Предпосылки!$H$217,$C$13:$C$15,BF$13:BF$15),1)</f>
        <v>0</v>
      </c>
      <c s="125">
        <f>Предпосылки!BF$244*Предпосылки!$T269*Продажи!BG34*BG$19*(1+Чувствительность!$D$20)*IFERROR(LOOKUP(Предпосылки!$H$217,$C$13:$C$15,BG$13:BG$15),1)</f>
        <v>0</v>
      </c>
      <c s="125">
        <f>Предпосылки!BG$244*Предпосылки!$T269*Продажи!BH34*BH$19*(1+Чувствительность!$D$20)*IFERROR(LOOKUP(Предпосылки!$H$217,$C$13:$C$15,BH$13:BH$15),1)</f>
        <v>0</v>
      </c>
      <c s="125">
        <f>Предпосылки!BH$244*Предпосылки!$T269*Продажи!BI34*BI$19*(1+Чувствительность!$D$20)*IFERROR(LOOKUP(Предпосылки!$H$217,$C$13:$C$15,BI$13:BI$15),1)</f>
        <v>0</v>
      </c>
      <c s="125">
        <f>Предпосылки!BI$244*Предпосылки!$T269*Продажи!BJ34*BJ$19*(1+Чувствительность!$D$20)*IFERROR(LOOKUP(Предпосылки!$H$217,$C$13:$C$15,BJ$13:BJ$15),1)</f>
        <v>0</v>
      </c>
      <c s="125">
        <f>Предпосылки!BJ$244*Предпосылки!$T269*Продажи!BK34*BK$19*(1+Чувствительность!$D$20)*IFERROR(LOOKUP(Предпосылки!$H$217,$C$13:$C$15,BK$13:BK$15),1)</f>
        <v>0</v>
      </c>
      <c s="125">
        <f>Предпосылки!BK$244*Предпосылки!$T269*Продажи!BL34*BL$19*(1+Чувствительность!$D$20)*IFERROR(LOOKUP(Предпосылки!$H$217,$C$13:$C$15,BL$13:BL$15),1)</f>
        <v>0</v>
      </c>
      <c s="125">
        <f>Предпосылки!BL$244*Предпосылки!$T269*Продажи!BM34*BM$19*(1+Чувствительность!$D$20)*IFERROR(LOOKUP(Предпосылки!$H$217,$C$13:$C$15,BM$13:BM$15),1)</f>
        <v>0</v>
      </c>
    </row>
    <row r="408" spans="2:65" ht="15" customHeight="1">
      <c r="B408" s="12" t="str">
        <f t="shared" si="141"/>
        <v>Продукт 18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Предпосылки!D$244*Предпосылки!$T270*Продажи!E35*E$19*(1+Чувствительность!$D$20)*IFERROR(LOOKUP(Предпосылки!$H$217,$C$13:$C$15,E$13:E$15),1)</f>
        <v>0</v>
      </c>
      <c s="125">
        <f>Предпосылки!E$244*Предпосылки!$T270*Продажи!F35*F$19*(1+Чувствительность!$D$20)*IFERROR(LOOKUP(Предпосылки!$H$217,$C$13:$C$15,F$13:F$15),1)</f>
        <v>0</v>
      </c>
      <c s="125">
        <f>Предпосылки!F$244*Предпосылки!$T270*Продажи!G35*G$19*(1+Чувствительность!$D$20)*IFERROR(LOOKUP(Предпосылки!$H$217,$C$13:$C$15,G$13:G$15),1)</f>
        <v>0</v>
      </c>
      <c s="125">
        <f>Предпосылки!G$244*Предпосылки!$T270*Продажи!H35*H$19*(1+Чувствительность!$D$20)*IFERROR(LOOKUP(Предпосылки!$H$217,$C$13:$C$15,H$13:H$15),1)</f>
        <v>0</v>
      </c>
      <c s="125">
        <f>Предпосылки!H$244*Предпосылки!$T270*Продажи!I35*I$19*(1+Чувствительность!$D$20)*IFERROR(LOOKUP(Предпосылки!$H$217,$C$13:$C$15,I$13:I$15),1)</f>
        <v>0</v>
      </c>
      <c s="125">
        <f>Предпосылки!I$244*Предпосылки!$T270*Продажи!J35*J$19*(1+Чувствительность!$D$20)*IFERROR(LOOKUP(Предпосылки!$H$217,$C$13:$C$15,J$13:J$15),1)</f>
        <v>0</v>
      </c>
      <c s="125">
        <f>Предпосылки!J$244*Предпосылки!$T270*Продажи!K35*K$19*(1+Чувствительность!$D$20)*IFERROR(LOOKUP(Предпосылки!$H$217,$C$13:$C$15,K$13:K$15),1)</f>
        <v>0</v>
      </c>
      <c s="125">
        <f>Предпосылки!K$244*Предпосылки!$T270*Продажи!L35*L$19*(1+Чувствительность!$D$20)*IFERROR(LOOKUP(Предпосылки!$H$217,$C$13:$C$15,L$13:L$15),1)</f>
        <v>0</v>
      </c>
      <c s="125">
        <f>Предпосылки!L$244*Предпосылки!$T270*Продажи!M35*M$19*(1+Чувствительность!$D$20)*IFERROR(LOOKUP(Предпосылки!$H$217,$C$13:$C$15,M$13:M$15),1)</f>
        <v>0</v>
      </c>
      <c s="125">
        <f>Предпосылки!M$244*Предпосылки!$T270*Продажи!N35*N$19*(1+Чувствительность!$D$20)*IFERROR(LOOKUP(Предпосылки!$H$217,$C$13:$C$15,N$13:N$15),1)</f>
        <v>0</v>
      </c>
      <c s="125">
        <f>Предпосылки!N$244*Предпосылки!$T270*Продажи!O35*O$19*(1+Чувствительность!$D$20)*IFERROR(LOOKUP(Предпосылки!$H$217,$C$13:$C$15,O$13:O$15),1)</f>
        <v>0</v>
      </c>
      <c s="125">
        <f>Предпосылки!O$244*Предпосылки!$T270*Продажи!P35*P$19*(1+Чувствительность!$D$20)*IFERROR(LOOKUP(Предпосылки!$H$217,$C$13:$C$15,P$13:P$15),1)</f>
        <v>0</v>
      </c>
      <c s="125">
        <f>Предпосылки!P$244*Предпосылки!$T270*Продажи!Q35*Q$19*(1+Чувствительность!$D$20)*IFERROR(LOOKUP(Предпосылки!$H$217,$C$13:$C$15,Q$13:Q$15),1)</f>
        <v>0</v>
      </c>
      <c s="125">
        <f>Предпосылки!Q$244*Предпосылки!$T270*Продажи!R35*R$19*(1+Чувствительность!$D$20)*IFERROR(LOOKUP(Предпосылки!$H$217,$C$13:$C$15,R$13:R$15),1)</f>
        <v>0</v>
      </c>
      <c s="125">
        <f>Предпосылки!R$244*Предпосылки!$T270*Продажи!S35*S$19*(1+Чувствительность!$D$20)*IFERROR(LOOKUP(Предпосылки!$H$217,$C$13:$C$15,S$13:S$15),1)</f>
        <v>0</v>
      </c>
      <c s="125">
        <f>Предпосылки!S$244*Предпосылки!$T270*Продажи!T35*T$19*(1+Чувствительность!$D$20)*IFERROR(LOOKUP(Предпосылки!$H$217,$C$13:$C$15,T$13:T$15),1)</f>
        <v>0</v>
      </c>
      <c s="125">
        <f>Предпосылки!T$244*Предпосылки!$T270*Продажи!U35*U$19*(1+Чувствительность!$D$20)*IFERROR(LOOKUP(Предпосылки!$H$217,$C$13:$C$15,U$13:U$15),1)</f>
        <v>0</v>
      </c>
      <c s="125">
        <f>Предпосылки!U$244*Предпосылки!$T270*Продажи!V35*V$19*(1+Чувствительность!$D$20)*IFERROR(LOOKUP(Предпосылки!$H$217,$C$13:$C$15,V$13:V$15),1)</f>
        <v>0</v>
      </c>
      <c s="125">
        <f>Предпосылки!V$244*Предпосылки!$T270*Продажи!W35*W$19*(1+Чувствительность!$D$20)*IFERROR(LOOKUP(Предпосылки!$H$217,$C$13:$C$15,W$13:W$15),1)</f>
        <v>0</v>
      </c>
      <c s="125">
        <f>Предпосылки!W$244*Предпосылки!$T270*Продажи!X35*X$19*(1+Чувствительность!$D$20)*IFERROR(LOOKUP(Предпосылки!$H$217,$C$13:$C$15,X$13:X$15),1)</f>
        <v>0</v>
      </c>
      <c s="125">
        <f>Предпосылки!X$244*Предпосылки!$T270*Продажи!Y35*Y$19*(1+Чувствительность!$D$20)*IFERROR(LOOKUP(Предпосылки!$H$217,$C$13:$C$15,Y$13:Y$15),1)</f>
        <v>0</v>
      </c>
      <c s="125">
        <f>Предпосылки!Y$244*Предпосылки!$T270*Продажи!Z35*Z$19*(1+Чувствительность!$D$20)*IFERROR(LOOKUP(Предпосылки!$H$217,$C$13:$C$15,Z$13:Z$15),1)</f>
        <v>0</v>
      </c>
      <c s="125">
        <f>Предпосылки!Z$244*Предпосылки!$T270*Продажи!AA35*AA$19*(1+Чувствительность!$D$20)*IFERROR(LOOKUP(Предпосылки!$H$217,$C$13:$C$15,AA$13:AA$15),1)</f>
        <v>0</v>
      </c>
      <c s="125">
        <f>Предпосылки!AA$244*Предпосылки!$T270*Продажи!AB35*AB$19*(1+Чувствительность!$D$20)*IFERROR(LOOKUP(Предпосылки!$H$217,$C$13:$C$15,AB$13:AB$15),1)</f>
        <v>0</v>
      </c>
      <c s="125">
        <f>Предпосылки!AB$244*Предпосылки!$T270*Продажи!AC35*AC$19*(1+Чувствительность!$D$20)*IFERROR(LOOKUP(Предпосылки!$H$217,$C$13:$C$15,AC$13:AC$15),1)</f>
        <v>0</v>
      </c>
      <c s="125">
        <f>Предпосылки!AC$244*Предпосылки!$T270*Продажи!AD35*AD$19*(1+Чувствительность!$D$20)*IFERROR(LOOKUP(Предпосылки!$H$217,$C$13:$C$15,AD$13:AD$15),1)</f>
        <v>0</v>
      </c>
      <c s="125">
        <f>Предпосылки!AD$244*Предпосылки!$T270*Продажи!AE35*AE$19*(1+Чувствительность!$D$20)*IFERROR(LOOKUP(Предпосылки!$H$217,$C$13:$C$15,AE$13:AE$15),1)</f>
        <v>0</v>
      </c>
      <c s="125">
        <f>Предпосылки!AE$244*Предпосылки!$T270*Продажи!AF35*AF$19*(1+Чувствительность!$D$20)*IFERROR(LOOKUP(Предпосылки!$H$217,$C$13:$C$15,AF$13:AF$15),1)</f>
        <v>0</v>
      </c>
      <c s="125">
        <f>Предпосылки!AF$244*Предпосылки!$T270*Продажи!AG35*AG$19*(1+Чувствительность!$D$20)*IFERROR(LOOKUP(Предпосылки!$H$217,$C$13:$C$15,AG$13:AG$15),1)</f>
        <v>0</v>
      </c>
      <c s="125">
        <f>Предпосылки!AG$244*Предпосылки!$T270*Продажи!AH35*AH$19*(1+Чувствительность!$D$20)*IFERROR(LOOKUP(Предпосылки!$H$217,$C$13:$C$15,AH$13:AH$15),1)</f>
        <v>0</v>
      </c>
      <c s="125">
        <f>Предпосылки!AH$244*Предпосылки!$T270*Продажи!AI35*AI$19*(1+Чувствительность!$D$20)*IFERROR(LOOKUP(Предпосылки!$H$217,$C$13:$C$15,AI$13:AI$15),1)</f>
        <v>0</v>
      </c>
      <c s="125">
        <f>Предпосылки!AI$244*Предпосылки!$T270*Продажи!AJ35*AJ$19*(1+Чувствительность!$D$20)*IFERROR(LOOKUP(Предпосылки!$H$217,$C$13:$C$15,AJ$13:AJ$15),1)</f>
        <v>0</v>
      </c>
      <c s="125">
        <f>Предпосылки!AJ$244*Предпосылки!$T270*Продажи!AK35*AK$19*(1+Чувствительность!$D$20)*IFERROR(LOOKUP(Предпосылки!$H$217,$C$13:$C$15,AK$13:AK$15),1)</f>
        <v>0</v>
      </c>
      <c s="125">
        <f>Предпосылки!AK$244*Предпосылки!$T270*Продажи!AL35*AL$19*(1+Чувствительность!$D$20)*IFERROR(LOOKUP(Предпосылки!$H$217,$C$13:$C$15,AL$13:AL$15),1)</f>
        <v>0</v>
      </c>
      <c s="125">
        <f>Предпосылки!AL$244*Предпосылки!$T270*Продажи!AM35*AM$19*(1+Чувствительность!$D$20)*IFERROR(LOOKUP(Предпосылки!$H$217,$C$13:$C$15,AM$13:AM$15),1)</f>
        <v>0</v>
      </c>
      <c s="125">
        <f>Предпосылки!AM$244*Предпосылки!$T270*Продажи!AN35*AN$19*(1+Чувствительность!$D$20)*IFERROR(LOOKUP(Предпосылки!$H$217,$C$13:$C$15,AN$13:AN$15),1)</f>
        <v>0</v>
      </c>
      <c s="125">
        <f>Предпосылки!AN$244*Предпосылки!$T270*Продажи!AO35*AO$19*(1+Чувствительность!$D$20)*IFERROR(LOOKUP(Предпосылки!$H$217,$C$13:$C$15,AO$13:AO$15),1)</f>
        <v>0</v>
      </c>
      <c s="125">
        <f>Предпосылки!AO$244*Предпосылки!$T270*Продажи!AP35*AP$19*(1+Чувствительность!$D$20)*IFERROR(LOOKUP(Предпосылки!$H$217,$C$13:$C$15,AP$13:AP$15),1)</f>
        <v>0</v>
      </c>
      <c s="125">
        <f>Предпосылки!AP$244*Предпосылки!$T270*Продажи!AQ35*AQ$19*(1+Чувствительность!$D$20)*IFERROR(LOOKUP(Предпосылки!$H$217,$C$13:$C$15,AQ$13:AQ$15),1)</f>
        <v>0</v>
      </c>
      <c s="125">
        <f>Предпосылки!AQ$244*Предпосылки!$T270*Продажи!AR35*AR$19*(1+Чувствительность!$D$20)*IFERROR(LOOKUP(Предпосылки!$H$217,$C$13:$C$15,AR$13:AR$15),1)</f>
        <v>0</v>
      </c>
      <c s="125">
        <f>Предпосылки!AR$244*Предпосылки!$T270*Продажи!AS35*AS$19*(1+Чувствительность!$D$20)*IFERROR(LOOKUP(Предпосылки!$H$217,$C$13:$C$15,AS$13:AS$15),1)</f>
        <v>0</v>
      </c>
      <c s="125">
        <f>Предпосылки!AS$244*Предпосылки!$T270*Продажи!AT35*AT$19*(1+Чувствительность!$D$20)*IFERROR(LOOKUP(Предпосылки!$H$217,$C$13:$C$15,AT$13:AT$15),1)</f>
        <v>0</v>
      </c>
      <c s="125">
        <f>Предпосылки!AT$244*Предпосылки!$T270*Продажи!AU35*AU$19*(1+Чувствительность!$D$20)*IFERROR(LOOKUP(Предпосылки!$H$217,$C$13:$C$15,AU$13:AU$15),1)</f>
        <v>0</v>
      </c>
      <c s="125">
        <f>Предпосылки!AU$244*Предпосылки!$T270*Продажи!AV35*AV$19*(1+Чувствительность!$D$20)*IFERROR(LOOKUP(Предпосылки!$H$217,$C$13:$C$15,AV$13:AV$15),1)</f>
        <v>0</v>
      </c>
      <c s="125">
        <f>Предпосылки!AV$244*Предпосылки!$T270*Продажи!AW35*AW$19*(1+Чувствительность!$D$20)*IFERROR(LOOKUP(Предпосылки!$H$217,$C$13:$C$15,AW$13:AW$15),1)</f>
        <v>0</v>
      </c>
      <c s="125">
        <f>Предпосылки!AW$244*Предпосылки!$T270*Продажи!AX35*AX$19*(1+Чувствительность!$D$20)*IFERROR(LOOKUP(Предпосылки!$H$217,$C$13:$C$15,AX$13:AX$15),1)</f>
        <v>0</v>
      </c>
      <c s="125">
        <f>Предпосылки!AX$244*Предпосылки!$T270*Продажи!AY35*AY$19*(1+Чувствительность!$D$20)*IFERROR(LOOKUP(Предпосылки!$H$217,$C$13:$C$15,AY$13:AY$15),1)</f>
        <v>0</v>
      </c>
      <c s="125">
        <f>Предпосылки!AY$244*Предпосылки!$T270*Продажи!AZ35*AZ$19*(1+Чувствительность!$D$20)*IFERROR(LOOKUP(Предпосылки!$H$217,$C$13:$C$15,AZ$13:AZ$15),1)</f>
        <v>0</v>
      </c>
      <c s="125">
        <f>Предпосылки!AZ$244*Предпосылки!$T270*Продажи!BA35*BA$19*(1+Чувствительность!$D$20)*IFERROR(LOOKUP(Предпосылки!$H$217,$C$13:$C$15,BA$13:BA$15),1)</f>
        <v>0</v>
      </c>
      <c s="125">
        <f>Предпосылки!BA$244*Предпосылки!$T270*Продажи!BB35*BB$19*(1+Чувствительность!$D$20)*IFERROR(LOOKUP(Предпосылки!$H$217,$C$13:$C$15,BB$13:BB$15),1)</f>
        <v>0</v>
      </c>
      <c s="125">
        <f>Предпосылки!BB$244*Предпосылки!$T270*Продажи!BC35*BC$19*(1+Чувствительность!$D$20)*IFERROR(LOOKUP(Предпосылки!$H$217,$C$13:$C$15,BC$13:BC$15),1)</f>
        <v>0</v>
      </c>
      <c s="125">
        <f>Предпосылки!BC$244*Предпосылки!$T270*Продажи!BD35*BD$19*(1+Чувствительность!$D$20)*IFERROR(LOOKUP(Предпосылки!$H$217,$C$13:$C$15,BD$13:BD$15),1)</f>
        <v>0</v>
      </c>
      <c s="125">
        <f>Предпосылки!BD$244*Предпосылки!$T270*Продажи!BE35*BE$19*(1+Чувствительность!$D$20)*IFERROR(LOOKUP(Предпосылки!$H$217,$C$13:$C$15,BE$13:BE$15),1)</f>
        <v>0</v>
      </c>
      <c s="125">
        <f>Предпосылки!BE$244*Предпосылки!$T270*Продажи!BF35*BF$19*(1+Чувствительность!$D$20)*IFERROR(LOOKUP(Предпосылки!$H$217,$C$13:$C$15,BF$13:BF$15),1)</f>
        <v>0</v>
      </c>
      <c s="125">
        <f>Предпосылки!BF$244*Предпосылки!$T270*Продажи!BG35*BG$19*(1+Чувствительность!$D$20)*IFERROR(LOOKUP(Предпосылки!$H$217,$C$13:$C$15,BG$13:BG$15),1)</f>
        <v>0</v>
      </c>
      <c s="125">
        <f>Предпосылки!BG$244*Предпосылки!$T270*Продажи!BH35*BH$19*(1+Чувствительность!$D$20)*IFERROR(LOOKUP(Предпосылки!$H$217,$C$13:$C$15,BH$13:BH$15),1)</f>
        <v>0</v>
      </c>
      <c s="125">
        <f>Предпосылки!BH$244*Предпосылки!$T270*Продажи!BI35*BI$19*(1+Чувствительность!$D$20)*IFERROR(LOOKUP(Предпосылки!$H$217,$C$13:$C$15,BI$13:BI$15),1)</f>
        <v>0</v>
      </c>
      <c s="125">
        <f>Предпосылки!BI$244*Предпосылки!$T270*Продажи!BJ35*BJ$19*(1+Чувствительность!$D$20)*IFERROR(LOOKUP(Предпосылки!$H$217,$C$13:$C$15,BJ$13:BJ$15),1)</f>
        <v>0</v>
      </c>
      <c s="125">
        <f>Предпосылки!BJ$244*Предпосылки!$T270*Продажи!BK35*BK$19*(1+Чувствительность!$D$20)*IFERROR(LOOKUP(Предпосылки!$H$217,$C$13:$C$15,BK$13:BK$15),1)</f>
        <v>0</v>
      </c>
      <c s="125">
        <f>Предпосылки!BK$244*Предпосылки!$T270*Продажи!BL35*BL$19*(1+Чувствительность!$D$20)*IFERROR(LOOKUP(Предпосылки!$H$217,$C$13:$C$15,BL$13:BL$15),1)</f>
        <v>0</v>
      </c>
      <c s="125">
        <f>Предпосылки!BL$244*Предпосылки!$T270*Продажи!BM35*BM$19*(1+Чувствительность!$D$20)*IFERROR(LOOKUP(Предпосылки!$H$217,$C$13:$C$15,BM$13:BM$15),1)</f>
        <v>0</v>
      </c>
    </row>
    <row r="409" spans="2:65" ht="15" customHeight="1">
      <c r="B409" s="12" t="str">
        <f t="shared" si="141"/>
        <v>Продукт 19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Предпосылки!D$244*Предпосылки!$T271*Продажи!E36*E$19*(1+Чувствительность!$D$20)*IFERROR(LOOKUP(Предпосылки!$H$217,$C$13:$C$15,E$13:E$15),1)</f>
        <v>0</v>
      </c>
      <c s="125">
        <f>Предпосылки!E$244*Предпосылки!$T271*Продажи!F36*F$19*(1+Чувствительность!$D$20)*IFERROR(LOOKUP(Предпосылки!$H$217,$C$13:$C$15,F$13:F$15),1)</f>
        <v>0</v>
      </c>
      <c s="125">
        <f>Предпосылки!F$244*Предпосылки!$T271*Продажи!G36*G$19*(1+Чувствительность!$D$20)*IFERROR(LOOKUP(Предпосылки!$H$217,$C$13:$C$15,G$13:G$15),1)</f>
        <v>0</v>
      </c>
      <c s="125">
        <f>Предпосылки!G$244*Предпосылки!$T271*Продажи!H36*H$19*(1+Чувствительность!$D$20)*IFERROR(LOOKUP(Предпосылки!$H$217,$C$13:$C$15,H$13:H$15),1)</f>
        <v>0</v>
      </c>
      <c s="125">
        <f>Предпосылки!H$244*Предпосылки!$T271*Продажи!I36*I$19*(1+Чувствительность!$D$20)*IFERROR(LOOKUP(Предпосылки!$H$217,$C$13:$C$15,I$13:I$15),1)</f>
        <v>0</v>
      </c>
      <c s="125">
        <f>Предпосылки!I$244*Предпосылки!$T271*Продажи!J36*J$19*(1+Чувствительность!$D$20)*IFERROR(LOOKUP(Предпосылки!$H$217,$C$13:$C$15,J$13:J$15),1)</f>
        <v>0</v>
      </c>
      <c s="125">
        <f>Предпосылки!J$244*Предпосылки!$T271*Продажи!K36*K$19*(1+Чувствительность!$D$20)*IFERROR(LOOKUP(Предпосылки!$H$217,$C$13:$C$15,K$13:K$15),1)</f>
        <v>0</v>
      </c>
      <c s="125">
        <f>Предпосылки!K$244*Предпосылки!$T271*Продажи!L36*L$19*(1+Чувствительность!$D$20)*IFERROR(LOOKUP(Предпосылки!$H$217,$C$13:$C$15,L$13:L$15),1)</f>
        <v>0</v>
      </c>
      <c s="125">
        <f>Предпосылки!L$244*Предпосылки!$T271*Продажи!M36*M$19*(1+Чувствительность!$D$20)*IFERROR(LOOKUP(Предпосылки!$H$217,$C$13:$C$15,M$13:M$15),1)</f>
        <v>0</v>
      </c>
      <c s="125">
        <f>Предпосылки!M$244*Предпосылки!$T271*Продажи!N36*N$19*(1+Чувствительность!$D$20)*IFERROR(LOOKUP(Предпосылки!$H$217,$C$13:$C$15,N$13:N$15),1)</f>
        <v>0</v>
      </c>
      <c s="125">
        <f>Предпосылки!N$244*Предпосылки!$T271*Продажи!O36*O$19*(1+Чувствительность!$D$20)*IFERROR(LOOKUP(Предпосылки!$H$217,$C$13:$C$15,O$13:O$15),1)</f>
        <v>0</v>
      </c>
      <c s="125">
        <f>Предпосылки!O$244*Предпосылки!$T271*Продажи!P36*P$19*(1+Чувствительность!$D$20)*IFERROR(LOOKUP(Предпосылки!$H$217,$C$13:$C$15,P$13:P$15),1)</f>
        <v>0</v>
      </c>
      <c s="125">
        <f>Предпосылки!P$244*Предпосылки!$T271*Продажи!Q36*Q$19*(1+Чувствительность!$D$20)*IFERROR(LOOKUP(Предпосылки!$H$217,$C$13:$C$15,Q$13:Q$15),1)</f>
        <v>0</v>
      </c>
      <c s="125">
        <f>Предпосылки!Q$244*Предпосылки!$T271*Продажи!R36*R$19*(1+Чувствительность!$D$20)*IFERROR(LOOKUP(Предпосылки!$H$217,$C$13:$C$15,R$13:R$15),1)</f>
        <v>0</v>
      </c>
      <c s="125">
        <f>Предпосылки!R$244*Предпосылки!$T271*Продажи!S36*S$19*(1+Чувствительность!$D$20)*IFERROR(LOOKUP(Предпосылки!$H$217,$C$13:$C$15,S$13:S$15),1)</f>
        <v>0</v>
      </c>
      <c s="125">
        <f>Предпосылки!S$244*Предпосылки!$T271*Продажи!T36*T$19*(1+Чувствительность!$D$20)*IFERROR(LOOKUP(Предпосылки!$H$217,$C$13:$C$15,T$13:T$15),1)</f>
        <v>0</v>
      </c>
      <c s="125">
        <f>Предпосылки!T$244*Предпосылки!$T271*Продажи!U36*U$19*(1+Чувствительность!$D$20)*IFERROR(LOOKUP(Предпосылки!$H$217,$C$13:$C$15,U$13:U$15),1)</f>
        <v>0</v>
      </c>
      <c s="125">
        <f>Предпосылки!U$244*Предпосылки!$T271*Продажи!V36*V$19*(1+Чувствительность!$D$20)*IFERROR(LOOKUP(Предпосылки!$H$217,$C$13:$C$15,V$13:V$15),1)</f>
        <v>0</v>
      </c>
      <c s="125">
        <f>Предпосылки!V$244*Предпосылки!$T271*Продажи!W36*W$19*(1+Чувствительность!$D$20)*IFERROR(LOOKUP(Предпосылки!$H$217,$C$13:$C$15,W$13:W$15),1)</f>
        <v>0</v>
      </c>
      <c s="125">
        <f>Предпосылки!W$244*Предпосылки!$T271*Продажи!X36*X$19*(1+Чувствительность!$D$20)*IFERROR(LOOKUP(Предпосылки!$H$217,$C$13:$C$15,X$13:X$15),1)</f>
        <v>0</v>
      </c>
      <c s="125">
        <f>Предпосылки!X$244*Предпосылки!$T271*Продажи!Y36*Y$19*(1+Чувствительность!$D$20)*IFERROR(LOOKUP(Предпосылки!$H$217,$C$13:$C$15,Y$13:Y$15),1)</f>
        <v>0</v>
      </c>
      <c s="125">
        <f>Предпосылки!Y$244*Предпосылки!$T271*Продажи!Z36*Z$19*(1+Чувствительность!$D$20)*IFERROR(LOOKUP(Предпосылки!$H$217,$C$13:$C$15,Z$13:Z$15),1)</f>
        <v>0</v>
      </c>
      <c s="125">
        <f>Предпосылки!Z$244*Предпосылки!$T271*Продажи!AA36*AA$19*(1+Чувствительность!$D$20)*IFERROR(LOOKUP(Предпосылки!$H$217,$C$13:$C$15,AA$13:AA$15),1)</f>
        <v>0</v>
      </c>
      <c s="125">
        <f>Предпосылки!AA$244*Предпосылки!$T271*Продажи!AB36*AB$19*(1+Чувствительность!$D$20)*IFERROR(LOOKUP(Предпосылки!$H$217,$C$13:$C$15,AB$13:AB$15),1)</f>
        <v>0</v>
      </c>
      <c s="125">
        <f>Предпосылки!AB$244*Предпосылки!$T271*Продажи!AC36*AC$19*(1+Чувствительность!$D$20)*IFERROR(LOOKUP(Предпосылки!$H$217,$C$13:$C$15,AC$13:AC$15),1)</f>
        <v>0</v>
      </c>
      <c s="125">
        <f>Предпосылки!AC$244*Предпосылки!$T271*Продажи!AD36*AD$19*(1+Чувствительность!$D$20)*IFERROR(LOOKUP(Предпосылки!$H$217,$C$13:$C$15,AD$13:AD$15),1)</f>
        <v>0</v>
      </c>
      <c s="125">
        <f>Предпосылки!AD$244*Предпосылки!$T271*Продажи!AE36*AE$19*(1+Чувствительность!$D$20)*IFERROR(LOOKUP(Предпосылки!$H$217,$C$13:$C$15,AE$13:AE$15),1)</f>
        <v>0</v>
      </c>
      <c s="125">
        <f>Предпосылки!AE$244*Предпосылки!$T271*Продажи!AF36*AF$19*(1+Чувствительность!$D$20)*IFERROR(LOOKUP(Предпосылки!$H$217,$C$13:$C$15,AF$13:AF$15),1)</f>
        <v>0</v>
      </c>
      <c s="125">
        <f>Предпосылки!AF$244*Предпосылки!$T271*Продажи!AG36*AG$19*(1+Чувствительность!$D$20)*IFERROR(LOOKUP(Предпосылки!$H$217,$C$13:$C$15,AG$13:AG$15),1)</f>
        <v>0</v>
      </c>
      <c s="125">
        <f>Предпосылки!AG$244*Предпосылки!$T271*Продажи!AH36*AH$19*(1+Чувствительность!$D$20)*IFERROR(LOOKUP(Предпосылки!$H$217,$C$13:$C$15,AH$13:AH$15),1)</f>
        <v>0</v>
      </c>
      <c s="125">
        <f>Предпосылки!AH$244*Предпосылки!$T271*Продажи!AI36*AI$19*(1+Чувствительность!$D$20)*IFERROR(LOOKUP(Предпосылки!$H$217,$C$13:$C$15,AI$13:AI$15),1)</f>
        <v>0</v>
      </c>
      <c s="125">
        <f>Предпосылки!AI$244*Предпосылки!$T271*Продажи!AJ36*AJ$19*(1+Чувствительность!$D$20)*IFERROR(LOOKUP(Предпосылки!$H$217,$C$13:$C$15,AJ$13:AJ$15),1)</f>
        <v>0</v>
      </c>
      <c s="125">
        <f>Предпосылки!AJ$244*Предпосылки!$T271*Продажи!AK36*AK$19*(1+Чувствительность!$D$20)*IFERROR(LOOKUP(Предпосылки!$H$217,$C$13:$C$15,AK$13:AK$15),1)</f>
        <v>0</v>
      </c>
      <c s="125">
        <f>Предпосылки!AK$244*Предпосылки!$T271*Продажи!AL36*AL$19*(1+Чувствительность!$D$20)*IFERROR(LOOKUP(Предпосылки!$H$217,$C$13:$C$15,AL$13:AL$15),1)</f>
        <v>0</v>
      </c>
      <c s="125">
        <f>Предпосылки!AL$244*Предпосылки!$T271*Продажи!AM36*AM$19*(1+Чувствительность!$D$20)*IFERROR(LOOKUP(Предпосылки!$H$217,$C$13:$C$15,AM$13:AM$15),1)</f>
        <v>0</v>
      </c>
      <c s="125">
        <f>Предпосылки!AM$244*Предпосылки!$T271*Продажи!AN36*AN$19*(1+Чувствительность!$D$20)*IFERROR(LOOKUP(Предпосылки!$H$217,$C$13:$C$15,AN$13:AN$15),1)</f>
        <v>0</v>
      </c>
      <c s="125">
        <f>Предпосылки!AN$244*Предпосылки!$T271*Продажи!AO36*AO$19*(1+Чувствительность!$D$20)*IFERROR(LOOKUP(Предпосылки!$H$217,$C$13:$C$15,AO$13:AO$15),1)</f>
        <v>0</v>
      </c>
      <c s="125">
        <f>Предпосылки!AO$244*Предпосылки!$T271*Продажи!AP36*AP$19*(1+Чувствительность!$D$20)*IFERROR(LOOKUP(Предпосылки!$H$217,$C$13:$C$15,AP$13:AP$15),1)</f>
        <v>0</v>
      </c>
      <c s="125">
        <f>Предпосылки!AP$244*Предпосылки!$T271*Продажи!AQ36*AQ$19*(1+Чувствительность!$D$20)*IFERROR(LOOKUP(Предпосылки!$H$217,$C$13:$C$15,AQ$13:AQ$15),1)</f>
        <v>0</v>
      </c>
      <c s="125">
        <f>Предпосылки!AQ$244*Предпосылки!$T271*Продажи!AR36*AR$19*(1+Чувствительность!$D$20)*IFERROR(LOOKUP(Предпосылки!$H$217,$C$13:$C$15,AR$13:AR$15),1)</f>
        <v>0</v>
      </c>
      <c s="125">
        <f>Предпосылки!AR$244*Предпосылки!$T271*Продажи!AS36*AS$19*(1+Чувствительность!$D$20)*IFERROR(LOOKUP(Предпосылки!$H$217,$C$13:$C$15,AS$13:AS$15),1)</f>
        <v>0</v>
      </c>
      <c s="125">
        <f>Предпосылки!AS$244*Предпосылки!$T271*Продажи!AT36*AT$19*(1+Чувствительность!$D$20)*IFERROR(LOOKUP(Предпосылки!$H$217,$C$13:$C$15,AT$13:AT$15),1)</f>
        <v>0</v>
      </c>
      <c s="125">
        <f>Предпосылки!AT$244*Предпосылки!$T271*Продажи!AU36*AU$19*(1+Чувствительность!$D$20)*IFERROR(LOOKUP(Предпосылки!$H$217,$C$13:$C$15,AU$13:AU$15),1)</f>
        <v>0</v>
      </c>
      <c s="125">
        <f>Предпосылки!AU$244*Предпосылки!$T271*Продажи!AV36*AV$19*(1+Чувствительность!$D$20)*IFERROR(LOOKUP(Предпосылки!$H$217,$C$13:$C$15,AV$13:AV$15),1)</f>
        <v>0</v>
      </c>
      <c s="125">
        <f>Предпосылки!AV$244*Предпосылки!$T271*Продажи!AW36*AW$19*(1+Чувствительность!$D$20)*IFERROR(LOOKUP(Предпосылки!$H$217,$C$13:$C$15,AW$13:AW$15),1)</f>
        <v>0</v>
      </c>
      <c s="125">
        <f>Предпосылки!AW$244*Предпосылки!$T271*Продажи!AX36*AX$19*(1+Чувствительность!$D$20)*IFERROR(LOOKUP(Предпосылки!$H$217,$C$13:$C$15,AX$13:AX$15),1)</f>
        <v>0</v>
      </c>
      <c s="125">
        <f>Предпосылки!AX$244*Предпосылки!$T271*Продажи!AY36*AY$19*(1+Чувствительность!$D$20)*IFERROR(LOOKUP(Предпосылки!$H$217,$C$13:$C$15,AY$13:AY$15),1)</f>
        <v>0</v>
      </c>
      <c s="125">
        <f>Предпосылки!AY$244*Предпосылки!$T271*Продажи!AZ36*AZ$19*(1+Чувствительность!$D$20)*IFERROR(LOOKUP(Предпосылки!$H$217,$C$13:$C$15,AZ$13:AZ$15),1)</f>
        <v>0</v>
      </c>
      <c s="125">
        <f>Предпосылки!AZ$244*Предпосылки!$T271*Продажи!BA36*BA$19*(1+Чувствительность!$D$20)*IFERROR(LOOKUP(Предпосылки!$H$217,$C$13:$C$15,BA$13:BA$15),1)</f>
        <v>0</v>
      </c>
      <c s="125">
        <f>Предпосылки!BA$244*Предпосылки!$T271*Продажи!BB36*BB$19*(1+Чувствительность!$D$20)*IFERROR(LOOKUP(Предпосылки!$H$217,$C$13:$C$15,BB$13:BB$15),1)</f>
        <v>0</v>
      </c>
      <c s="125">
        <f>Предпосылки!BB$244*Предпосылки!$T271*Продажи!BC36*BC$19*(1+Чувствительность!$D$20)*IFERROR(LOOKUP(Предпосылки!$H$217,$C$13:$C$15,BC$13:BC$15),1)</f>
        <v>0</v>
      </c>
      <c s="125">
        <f>Предпосылки!BC$244*Предпосылки!$T271*Продажи!BD36*BD$19*(1+Чувствительность!$D$20)*IFERROR(LOOKUP(Предпосылки!$H$217,$C$13:$C$15,BD$13:BD$15),1)</f>
        <v>0</v>
      </c>
      <c s="125">
        <f>Предпосылки!BD$244*Предпосылки!$T271*Продажи!BE36*BE$19*(1+Чувствительность!$D$20)*IFERROR(LOOKUP(Предпосылки!$H$217,$C$13:$C$15,BE$13:BE$15),1)</f>
        <v>0</v>
      </c>
      <c s="125">
        <f>Предпосылки!BE$244*Предпосылки!$T271*Продажи!BF36*BF$19*(1+Чувствительность!$D$20)*IFERROR(LOOKUP(Предпосылки!$H$217,$C$13:$C$15,BF$13:BF$15),1)</f>
        <v>0</v>
      </c>
      <c s="125">
        <f>Предпосылки!BF$244*Предпосылки!$T271*Продажи!BG36*BG$19*(1+Чувствительность!$D$20)*IFERROR(LOOKUP(Предпосылки!$H$217,$C$13:$C$15,BG$13:BG$15),1)</f>
        <v>0</v>
      </c>
      <c s="125">
        <f>Предпосылки!BG$244*Предпосылки!$T271*Продажи!BH36*BH$19*(1+Чувствительность!$D$20)*IFERROR(LOOKUP(Предпосылки!$H$217,$C$13:$C$15,BH$13:BH$15),1)</f>
        <v>0</v>
      </c>
      <c s="125">
        <f>Предпосылки!BH$244*Предпосылки!$T271*Продажи!BI36*BI$19*(1+Чувствительность!$D$20)*IFERROR(LOOKUP(Предпосылки!$H$217,$C$13:$C$15,BI$13:BI$15),1)</f>
        <v>0</v>
      </c>
      <c s="125">
        <f>Предпосылки!BI$244*Предпосылки!$T271*Продажи!BJ36*BJ$19*(1+Чувствительность!$D$20)*IFERROR(LOOKUP(Предпосылки!$H$217,$C$13:$C$15,BJ$13:BJ$15),1)</f>
        <v>0</v>
      </c>
      <c s="125">
        <f>Предпосылки!BJ$244*Предпосылки!$T271*Продажи!BK36*BK$19*(1+Чувствительность!$D$20)*IFERROR(LOOKUP(Предпосылки!$H$217,$C$13:$C$15,BK$13:BK$15),1)</f>
        <v>0</v>
      </c>
      <c s="125">
        <f>Предпосылки!BK$244*Предпосылки!$T271*Продажи!BL36*BL$19*(1+Чувствительность!$D$20)*IFERROR(LOOKUP(Предпосылки!$H$217,$C$13:$C$15,BL$13:BL$15),1)</f>
        <v>0</v>
      </c>
      <c s="125">
        <f>Предпосылки!BL$244*Предпосылки!$T271*Продажи!BM36*BM$19*(1+Чувствительность!$D$20)*IFERROR(LOOKUP(Предпосылки!$H$217,$C$13:$C$15,BM$13:BM$15),1)</f>
        <v>0</v>
      </c>
    </row>
    <row r="410" spans="2:65" ht="15" customHeight="1">
      <c r="B410" s="12" t="str">
        <f t="shared" si="141"/>
        <v>Продукт 20</v>
      </c>
      <c s="124" t="str">
        <f t="shared" si="140"/>
        <v>тыс. руб.</v>
      </c>
      <c s="276">
        <f t="shared" si="142"/>
        <v>0</v>
      </c>
      <c s="125">
        <f>Предпосылки!D$244*Предпосылки!$T272*Продажи!E37*E$19*(1+Чувствительность!$D$20)*IFERROR(LOOKUP(Предпосылки!$H$217,$C$13:$C$15,E$13:E$15),1)</f>
        <v>0</v>
      </c>
      <c s="125">
        <f>Предпосылки!E$244*Предпосылки!$T272*Продажи!F37*F$19*(1+Чувствительность!$D$20)*IFERROR(LOOKUP(Предпосылки!$H$217,$C$13:$C$15,F$13:F$15),1)</f>
        <v>0</v>
      </c>
      <c s="125">
        <f>Предпосылки!F$244*Предпосылки!$T272*Продажи!G37*G$19*(1+Чувствительность!$D$20)*IFERROR(LOOKUP(Предпосылки!$H$217,$C$13:$C$15,G$13:G$15),1)</f>
        <v>0</v>
      </c>
      <c s="125">
        <f>Предпосылки!G$244*Предпосылки!$T272*Продажи!H37*H$19*(1+Чувствительность!$D$20)*IFERROR(LOOKUP(Предпосылки!$H$217,$C$13:$C$15,H$13:H$15),1)</f>
        <v>0</v>
      </c>
      <c s="125">
        <f>Предпосылки!H$244*Предпосылки!$T272*Продажи!I37*I$19*(1+Чувствительность!$D$20)*IFERROR(LOOKUP(Предпосылки!$H$217,$C$13:$C$15,I$13:I$15),1)</f>
        <v>0</v>
      </c>
      <c s="125">
        <f>Предпосылки!I$244*Предпосылки!$T272*Продажи!J37*J$19*(1+Чувствительность!$D$20)*IFERROR(LOOKUP(Предпосылки!$H$217,$C$13:$C$15,J$13:J$15),1)</f>
        <v>0</v>
      </c>
      <c s="125">
        <f>Предпосылки!J$244*Предпосылки!$T272*Продажи!K37*K$19*(1+Чувствительность!$D$20)*IFERROR(LOOKUP(Предпосылки!$H$217,$C$13:$C$15,K$13:K$15),1)</f>
        <v>0</v>
      </c>
      <c s="125">
        <f>Предпосылки!K$244*Предпосылки!$T272*Продажи!L37*L$19*(1+Чувствительность!$D$20)*IFERROR(LOOKUP(Предпосылки!$H$217,$C$13:$C$15,L$13:L$15),1)</f>
        <v>0</v>
      </c>
      <c s="125">
        <f>Предпосылки!L$244*Предпосылки!$T272*Продажи!M37*M$19*(1+Чувствительность!$D$20)*IFERROR(LOOKUP(Предпосылки!$H$217,$C$13:$C$15,M$13:M$15),1)</f>
        <v>0</v>
      </c>
      <c s="125">
        <f>Предпосылки!M$244*Предпосылки!$T272*Продажи!N37*N$19*(1+Чувствительность!$D$20)*IFERROR(LOOKUP(Предпосылки!$H$217,$C$13:$C$15,N$13:N$15),1)</f>
        <v>0</v>
      </c>
      <c s="125">
        <f>Предпосылки!N$244*Предпосылки!$T272*Продажи!O37*O$19*(1+Чувствительность!$D$20)*IFERROR(LOOKUP(Предпосылки!$H$217,$C$13:$C$15,O$13:O$15),1)</f>
        <v>0</v>
      </c>
      <c s="125">
        <f>Предпосылки!O$244*Предпосылки!$T272*Продажи!P37*P$19*(1+Чувствительность!$D$20)*IFERROR(LOOKUP(Предпосылки!$H$217,$C$13:$C$15,P$13:P$15),1)</f>
        <v>0</v>
      </c>
      <c s="125">
        <f>Предпосылки!P$244*Предпосылки!$T272*Продажи!Q37*Q$19*(1+Чувствительность!$D$20)*IFERROR(LOOKUP(Предпосылки!$H$217,$C$13:$C$15,Q$13:Q$15),1)</f>
        <v>0</v>
      </c>
      <c s="125">
        <f>Предпосылки!Q$244*Предпосылки!$T272*Продажи!R37*R$19*(1+Чувствительность!$D$20)*IFERROR(LOOKUP(Предпосылки!$H$217,$C$13:$C$15,R$13:R$15),1)</f>
        <v>0</v>
      </c>
      <c s="125">
        <f>Предпосылки!R$244*Предпосылки!$T272*Продажи!S37*S$19*(1+Чувствительность!$D$20)*IFERROR(LOOKUP(Предпосылки!$H$217,$C$13:$C$15,S$13:S$15),1)</f>
        <v>0</v>
      </c>
      <c s="125">
        <f>Предпосылки!S$244*Предпосылки!$T272*Продажи!T37*T$19*(1+Чувствительность!$D$20)*IFERROR(LOOKUP(Предпосылки!$H$217,$C$13:$C$15,T$13:T$15),1)</f>
        <v>0</v>
      </c>
      <c s="125">
        <f>Предпосылки!T$244*Предпосылки!$T272*Продажи!U37*U$19*(1+Чувствительность!$D$20)*IFERROR(LOOKUP(Предпосылки!$H$217,$C$13:$C$15,U$13:U$15),1)</f>
        <v>0</v>
      </c>
      <c s="125">
        <f>Предпосылки!U$244*Предпосылки!$T272*Продажи!V37*V$19*(1+Чувствительность!$D$20)*IFERROR(LOOKUP(Предпосылки!$H$217,$C$13:$C$15,V$13:V$15),1)</f>
        <v>0</v>
      </c>
      <c s="125">
        <f>Предпосылки!V$244*Предпосылки!$T272*Продажи!W37*W$19*(1+Чувствительность!$D$20)*IFERROR(LOOKUP(Предпосылки!$H$217,$C$13:$C$15,W$13:W$15),1)</f>
        <v>0</v>
      </c>
      <c s="125">
        <f>Предпосылки!W$244*Предпосылки!$T272*Продажи!X37*X$19*(1+Чувствительность!$D$20)*IFERROR(LOOKUP(Предпосылки!$H$217,$C$13:$C$15,X$13:X$15),1)</f>
        <v>0</v>
      </c>
      <c s="125">
        <f>Предпосылки!X$244*Предпосылки!$T272*Продажи!Y37*Y$19*(1+Чувствительность!$D$20)*IFERROR(LOOKUP(Предпосылки!$H$217,$C$13:$C$15,Y$13:Y$15),1)</f>
        <v>0</v>
      </c>
      <c s="125">
        <f>Предпосылки!Y$244*Предпосылки!$T272*Продажи!Z37*Z$19*(1+Чувствительность!$D$20)*IFERROR(LOOKUP(Предпосылки!$H$217,$C$13:$C$15,Z$13:Z$15),1)</f>
        <v>0</v>
      </c>
      <c s="125">
        <f>Предпосылки!Z$244*Предпосылки!$T272*Продажи!AA37*AA$19*(1+Чувствительность!$D$20)*IFERROR(LOOKUP(Предпосылки!$H$217,$C$13:$C$15,AA$13:AA$15),1)</f>
        <v>0</v>
      </c>
      <c s="125">
        <f>Предпосылки!AA$244*Предпосылки!$T272*Продажи!AB37*AB$19*(1+Чувствительность!$D$20)*IFERROR(LOOKUP(Предпосылки!$H$217,$C$13:$C$15,AB$13:AB$15),1)</f>
        <v>0</v>
      </c>
      <c s="125">
        <f>Предпосылки!AB$244*Предпосылки!$T272*Продажи!AC37*AC$19*(1+Чувствительность!$D$20)*IFERROR(LOOKUP(Предпосылки!$H$217,$C$13:$C$15,AC$13:AC$15),1)</f>
        <v>0</v>
      </c>
      <c s="125">
        <f>Предпосылки!AC$244*Предпосылки!$T272*Продажи!AD37*AD$19*(1+Чувствительность!$D$20)*IFERROR(LOOKUP(Предпосылки!$H$217,$C$13:$C$15,AD$13:AD$15),1)</f>
        <v>0</v>
      </c>
      <c s="125">
        <f>Предпосылки!AD$244*Предпосылки!$T272*Продажи!AE37*AE$19*(1+Чувствительность!$D$20)*IFERROR(LOOKUP(Предпосылки!$H$217,$C$13:$C$15,AE$13:AE$15),1)</f>
        <v>0</v>
      </c>
      <c s="125">
        <f>Предпосылки!AE$244*Предпосылки!$T272*Продажи!AF37*AF$19*(1+Чувствительность!$D$20)*IFERROR(LOOKUP(Предпосылки!$H$217,$C$13:$C$15,AF$13:AF$15),1)</f>
        <v>0</v>
      </c>
      <c s="125">
        <f>Предпосылки!AF$244*Предпосылки!$T272*Продажи!AG37*AG$19*(1+Чувствительность!$D$20)*IFERROR(LOOKUP(Предпосылки!$H$217,$C$13:$C$15,AG$13:AG$15),1)</f>
        <v>0</v>
      </c>
      <c s="125">
        <f>Предпосылки!AG$244*Предпосылки!$T272*Продажи!AH37*AH$19*(1+Чувствительность!$D$20)*IFERROR(LOOKUP(Предпосылки!$H$217,$C$13:$C$15,AH$13:AH$15),1)</f>
        <v>0</v>
      </c>
      <c s="125">
        <f>Предпосылки!AH$244*Предпосылки!$T272*Продажи!AI37*AI$19*(1+Чувствительность!$D$20)*IFERROR(LOOKUP(Предпосылки!$H$217,$C$13:$C$15,AI$13:AI$15),1)</f>
        <v>0</v>
      </c>
      <c s="125">
        <f>Предпосылки!AI$244*Предпосылки!$T272*Продажи!AJ37*AJ$19*(1+Чувствительность!$D$20)*IFERROR(LOOKUP(Предпосылки!$H$217,$C$13:$C$15,AJ$13:AJ$15),1)</f>
        <v>0</v>
      </c>
      <c s="125">
        <f>Предпосылки!AJ$244*Предпосылки!$T272*Продажи!AK37*AK$19*(1+Чувствительность!$D$20)*IFERROR(LOOKUP(Предпосылки!$H$217,$C$13:$C$15,AK$13:AK$15),1)</f>
        <v>0</v>
      </c>
      <c s="125">
        <f>Предпосылки!AK$244*Предпосылки!$T272*Продажи!AL37*AL$19*(1+Чувствительность!$D$20)*IFERROR(LOOKUP(Предпосылки!$H$217,$C$13:$C$15,AL$13:AL$15),1)</f>
        <v>0</v>
      </c>
      <c s="125">
        <f>Предпосылки!AL$244*Предпосылки!$T272*Продажи!AM37*AM$19*(1+Чувствительность!$D$20)*IFERROR(LOOKUP(Предпосылки!$H$217,$C$13:$C$15,AM$13:AM$15),1)</f>
        <v>0</v>
      </c>
      <c s="125">
        <f>Предпосылки!AM$244*Предпосылки!$T272*Продажи!AN37*AN$19*(1+Чувствительность!$D$20)*IFERROR(LOOKUP(Предпосылки!$H$217,$C$13:$C$15,AN$13:AN$15),1)</f>
        <v>0</v>
      </c>
      <c s="125">
        <f>Предпосылки!AN$244*Предпосылки!$T272*Продажи!AO37*AO$19*(1+Чувствительность!$D$20)*IFERROR(LOOKUP(Предпосылки!$H$217,$C$13:$C$15,AO$13:AO$15),1)</f>
        <v>0</v>
      </c>
      <c s="125">
        <f>Предпосылки!AO$244*Предпосылки!$T272*Продажи!AP37*AP$19*(1+Чувствительность!$D$20)*IFERROR(LOOKUP(Предпосылки!$H$217,$C$13:$C$15,AP$13:AP$15),1)</f>
        <v>0</v>
      </c>
      <c s="125">
        <f>Предпосылки!AP$244*Предпосылки!$T272*Продажи!AQ37*AQ$19*(1+Чувствительность!$D$20)*IFERROR(LOOKUP(Предпосылки!$H$217,$C$13:$C$15,AQ$13:AQ$15),1)</f>
        <v>0</v>
      </c>
      <c s="125">
        <f>Предпосылки!AQ$244*Предпосылки!$T272*Продажи!AR37*AR$19*(1+Чувствительность!$D$20)*IFERROR(LOOKUP(Предпосылки!$H$217,$C$13:$C$15,AR$13:AR$15),1)</f>
        <v>0</v>
      </c>
      <c s="125">
        <f>Предпосылки!AR$244*Предпосылки!$T272*Продажи!AS37*AS$19*(1+Чувствительность!$D$20)*IFERROR(LOOKUP(Предпосылки!$H$217,$C$13:$C$15,AS$13:AS$15),1)</f>
        <v>0</v>
      </c>
      <c s="125">
        <f>Предпосылки!AS$244*Предпосылки!$T272*Продажи!AT37*AT$19*(1+Чувствительность!$D$20)*IFERROR(LOOKUP(Предпосылки!$H$217,$C$13:$C$15,AT$13:AT$15),1)</f>
        <v>0</v>
      </c>
      <c s="125">
        <f>Предпосылки!AT$244*Предпосылки!$T272*Продажи!AU37*AU$19*(1+Чувствительность!$D$20)*IFERROR(LOOKUP(Предпосылки!$H$217,$C$13:$C$15,AU$13:AU$15),1)</f>
        <v>0</v>
      </c>
      <c s="125">
        <f>Предпосылки!AU$244*Предпосылки!$T272*Продажи!AV37*AV$19*(1+Чувствительность!$D$20)*IFERROR(LOOKUP(Предпосылки!$H$217,$C$13:$C$15,AV$13:AV$15),1)</f>
        <v>0</v>
      </c>
      <c s="125">
        <f>Предпосылки!AV$244*Предпосылки!$T272*Продажи!AW37*AW$19*(1+Чувствительность!$D$20)*IFERROR(LOOKUP(Предпосылки!$H$217,$C$13:$C$15,AW$13:AW$15),1)</f>
        <v>0</v>
      </c>
      <c s="125">
        <f>Предпосылки!AW$244*Предпосылки!$T272*Продажи!AX37*AX$19*(1+Чувствительность!$D$20)*IFERROR(LOOKUP(Предпосылки!$H$217,$C$13:$C$15,AX$13:AX$15),1)</f>
        <v>0</v>
      </c>
      <c s="125">
        <f>Предпосылки!AX$244*Предпосылки!$T272*Продажи!AY37*AY$19*(1+Чувствительность!$D$20)*IFERROR(LOOKUP(Предпосылки!$H$217,$C$13:$C$15,AY$13:AY$15),1)</f>
        <v>0</v>
      </c>
      <c s="125">
        <f>Предпосылки!AY$244*Предпосылки!$T272*Продажи!AZ37*AZ$19*(1+Чувствительность!$D$20)*IFERROR(LOOKUP(Предпосылки!$H$217,$C$13:$C$15,AZ$13:AZ$15),1)</f>
        <v>0</v>
      </c>
      <c s="125">
        <f>Предпосылки!AZ$244*Предпосылки!$T272*Продажи!BA37*BA$19*(1+Чувствительность!$D$20)*IFERROR(LOOKUP(Предпосылки!$H$217,$C$13:$C$15,BA$13:BA$15),1)</f>
        <v>0</v>
      </c>
      <c s="125">
        <f>Предпосылки!BA$244*Предпосылки!$T272*Продажи!BB37*BB$19*(1+Чувствительность!$D$20)*IFERROR(LOOKUP(Предпосылки!$H$217,$C$13:$C$15,BB$13:BB$15),1)</f>
        <v>0</v>
      </c>
      <c s="125">
        <f>Предпосылки!BB$244*Предпосылки!$T272*Продажи!BC37*BC$19*(1+Чувствительность!$D$20)*IFERROR(LOOKUP(Предпосылки!$H$217,$C$13:$C$15,BC$13:BC$15),1)</f>
        <v>0</v>
      </c>
      <c s="125">
        <f>Предпосылки!BC$244*Предпосылки!$T272*Продажи!BD37*BD$19*(1+Чувствительность!$D$20)*IFERROR(LOOKUP(Предпосылки!$H$217,$C$13:$C$15,BD$13:BD$15),1)</f>
        <v>0</v>
      </c>
      <c s="125">
        <f>Предпосылки!BD$244*Предпосылки!$T272*Продажи!BE37*BE$19*(1+Чувствительность!$D$20)*IFERROR(LOOKUP(Предпосылки!$H$217,$C$13:$C$15,BE$13:BE$15),1)</f>
        <v>0</v>
      </c>
      <c s="125">
        <f>Предпосылки!BE$244*Предпосылки!$T272*Продажи!BF37*BF$19*(1+Чувствительность!$D$20)*IFERROR(LOOKUP(Предпосылки!$H$217,$C$13:$C$15,BF$13:BF$15),1)</f>
        <v>0</v>
      </c>
      <c s="125">
        <f>Предпосылки!BF$244*Предпосылки!$T272*Продажи!BG37*BG$19*(1+Чувствительность!$D$20)*IFERROR(LOOKUP(Предпосылки!$H$217,$C$13:$C$15,BG$13:BG$15),1)</f>
        <v>0</v>
      </c>
      <c s="125">
        <f>Предпосылки!BG$244*Предпосылки!$T272*Продажи!BH37*BH$19*(1+Чувствительность!$D$20)*IFERROR(LOOKUP(Предпосылки!$H$217,$C$13:$C$15,BH$13:BH$15),1)</f>
        <v>0</v>
      </c>
      <c s="125">
        <f>Предпосылки!BH$244*Предпосылки!$T272*Продажи!BI37*BI$19*(1+Чувствительность!$D$20)*IFERROR(LOOKUP(Предпосылки!$H$217,$C$13:$C$15,BI$13:BI$15),1)</f>
        <v>0</v>
      </c>
      <c s="125">
        <f>Предпосылки!BI$244*Предпосылки!$T272*Продажи!BJ37*BJ$19*(1+Чувствительность!$D$20)*IFERROR(LOOKUP(Предпосылки!$H$217,$C$13:$C$15,BJ$13:BJ$15),1)</f>
        <v>0</v>
      </c>
      <c s="125">
        <f>Предпосылки!BJ$244*Предпосылки!$T272*Продажи!BK37*BK$19*(1+Чувствительность!$D$20)*IFERROR(LOOKUP(Предпосылки!$H$217,$C$13:$C$15,BK$13:BK$15),1)</f>
        <v>0</v>
      </c>
      <c s="125">
        <f>Предпосылки!BK$244*Предпосылки!$T272*Продажи!BL37*BL$19*(1+Чувствительность!$D$20)*IFERROR(LOOKUP(Предпосылки!$H$217,$C$13:$C$15,BL$13:BL$15),1)</f>
        <v>0</v>
      </c>
      <c s="125">
        <f>Предпосылки!BL$244*Предпосылки!$T272*Продажи!BM37*BM$19*(1+Чувствительность!$D$20)*IFERROR(LOOKUP(Предпосылки!$H$217,$C$13:$C$15,BM$13:BM$15),1)</f>
        <v>0</v>
      </c>
    </row>
    <row r="411" spans="2:65" ht="15" customHeight="1">
      <c r="B411" s="289" t="s">
        <v>454</v>
      </c>
      <c s="290" t="str">
        <f>Единица_измерения</f>
        <v>тыс. руб.</v>
      </c>
      <c s="291">
        <f>SUM(D391:D410)</f>
        <v>0</v>
      </c>
      <c s="276">
        <f>SUM(E391:E410)</f>
        <v>0</v>
      </c>
      <c s="276">
        <f t="shared" si="143" ref="F411:AG411">SUM(F391:F410)</f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3"/>
        <v>0</v>
      </c>
      <c s="276">
        <f t="shared" si="144" ref="AH411:BM411">SUM(AH391:AH410)</f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  <c s="276">
        <f t="shared" si="144"/>
        <v>0</v>
      </c>
    </row>
    <row r="412" ht="15" customHeight="1"/>
    <row r="413" spans="2:69" ht="14.45">
      <c r="B413" s="25" t="str">
        <f>Предпосылки!B245</f>
        <v>Операционные затраты 18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14" spans="2:65" ht="15" customHeight="1">
      <c r="B414" s="12" t="str">
        <f>B391</f>
        <v>Продукт 1</v>
      </c>
      <c s="124" t="str">
        <f t="shared" si="145" ref="C414:C433">Единица_измерения</f>
        <v>тыс. руб.</v>
      </c>
      <c s="276">
        <f>SUM(E414:BM414)</f>
        <v>0</v>
      </c>
      <c s="125">
        <f>Предпосылки!D$245*Предпосылки!$U253*Продажи!E18*E$19*(1+Чувствительность!$D$20)*IFERROR(LOOKUP(Предпосылки!$H$218,$C$13:$C$15,E$13:E$15),1)</f>
        <v>0</v>
      </c>
      <c s="125">
        <f>Предпосылки!E$245*Предпосылки!$U253*Продажи!F18*F$19*(1+Чувствительность!$D$20)*IFERROR(LOOKUP(Предпосылки!$H$218,$C$13:$C$15,F$13:F$15),1)</f>
        <v>0</v>
      </c>
      <c s="125">
        <f>Предпосылки!F$245*Предпосылки!$U253*Продажи!G18*G$19*(1+Чувствительность!$D$20)*IFERROR(LOOKUP(Предпосылки!$H$218,$C$13:$C$15,G$13:G$15),1)</f>
        <v>0</v>
      </c>
      <c s="125">
        <f>Предпосылки!G$245*Предпосылки!$U253*Продажи!H18*H$19*(1+Чувствительность!$D$20)*IFERROR(LOOKUP(Предпосылки!$H$218,$C$13:$C$15,H$13:H$15),1)</f>
        <v>0</v>
      </c>
      <c s="125">
        <f>Предпосылки!H$245*Предпосылки!$U253*Продажи!I18*I$19*(1+Чувствительность!$D$20)*IFERROR(LOOKUP(Предпосылки!$H$218,$C$13:$C$15,I$13:I$15),1)</f>
        <v>0</v>
      </c>
      <c s="125">
        <f>Предпосылки!I$245*Предпосылки!$U253*Продажи!J18*J$19*(1+Чувствительность!$D$20)*IFERROR(LOOKUP(Предпосылки!$H$218,$C$13:$C$15,J$13:J$15),1)</f>
        <v>0</v>
      </c>
      <c s="125">
        <f>Предпосылки!J$245*Предпосылки!$U253*Продажи!K18*K$19*(1+Чувствительность!$D$20)*IFERROR(LOOKUP(Предпосылки!$H$218,$C$13:$C$15,K$13:K$15),1)</f>
        <v>0</v>
      </c>
      <c s="125">
        <f>Предпосылки!K$245*Предпосылки!$U253*Продажи!L18*L$19*(1+Чувствительность!$D$20)*IFERROR(LOOKUP(Предпосылки!$H$218,$C$13:$C$15,L$13:L$15),1)</f>
        <v>0</v>
      </c>
      <c s="125">
        <f>Предпосылки!L$245*Предпосылки!$U253*Продажи!M18*M$19*(1+Чувствительность!$D$20)*IFERROR(LOOKUP(Предпосылки!$H$218,$C$13:$C$15,M$13:M$15),1)</f>
        <v>0</v>
      </c>
      <c s="125">
        <f>Предпосылки!M$245*Предпосылки!$U253*Продажи!N18*N$19*(1+Чувствительность!$D$20)*IFERROR(LOOKUP(Предпосылки!$H$218,$C$13:$C$15,N$13:N$15),1)</f>
        <v>0</v>
      </c>
      <c s="125">
        <f>Предпосылки!N$245*Предпосылки!$U253*Продажи!O18*O$19*(1+Чувствительность!$D$20)*IFERROR(LOOKUP(Предпосылки!$H$218,$C$13:$C$15,O$13:O$15),1)</f>
        <v>0</v>
      </c>
      <c s="125">
        <f>Предпосылки!O$245*Предпосылки!$U253*Продажи!P18*P$19*(1+Чувствительность!$D$20)*IFERROR(LOOKUP(Предпосылки!$H$218,$C$13:$C$15,P$13:P$15),1)</f>
        <v>0</v>
      </c>
      <c s="125">
        <f>Предпосылки!P$245*Предпосылки!$U253*Продажи!Q18*Q$19*(1+Чувствительность!$D$20)*IFERROR(LOOKUP(Предпосылки!$H$218,$C$13:$C$15,Q$13:Q$15),1)</f>
        <v>0</v>
      </c>
      <c s="125">
        <f>Предпосылки!Q$245*Предпосылки!$U253*Продажи!R18*R$19*(1+Чувствительность!$D$20)*IFERROR(LOOKUP(Предпосылки!$H$218,$C$13:$C$15,R$13:R$15),1)</f>
        <v>0</v>
      </c>
      <c s="125">
        <f>Предпосылки!R$245*Предпосылки!$U253*Продажи!S18*S$19*(1+Чувствительность!$D$20)*IFERROR(LOOKUP(Предпосылки!$H$218,$C$13:$C$15,S$13:S$15),1)</f>
        <v>0</v>
      </c>
      <c s="125">
        <f>Предпосылки!S$245*Предпосылки!$U253*Продажи!T18*T$19*(1+Чувствительность!$D$20)*IFERROR(LOOKUP(Предпосылки!$H$218,$C$13:$C$15,T$13:T$15),1)</f>
        <v>0</v>
      </c>
      <c s="125">
        <f>Предпосылки!T$245*Предпосылки!$U253*Продажи!U18*U$19*(1+Чувствительность!$D$20)*IFERROR(LOOKUP(Предпосылки!$H$218,$C$13:$C$15,U$13:U$15),1)</f>
        <v>0</v>
      </c>
      <c s="125">
        <f>Предпосылки!U$245*Предпосылки!$U253*Продажи!V18*V$19*(1+Чувствительность!$D$20)*IFERROR(LOOKUP(Предпосылки!$H$218,$C$13:$C$15,V$13:V$15),1)</f>
        <v>0</v>
      </c>
      <c s="125">
        <f>Предпосылки!V$245*Предпосылки!$U253*Продажи!W18*W$19*(1+Чувствительность!$D$20)*IFERROR(LOOKUP(Предпосылки!$H$218,$C$13:$C$15,W$13:W$15),1)</f>
        <v>0</v>
      </c>
      <c s="125">
        <f>Предпосылки!W$245*Предпосылки!$U253*Продажи!X18*X$19*(1+Чувствительность!$D$20)*IFERROR(LOOKUP(Предпосылки!$H$218,$C$13:$C$15,X$13:X$15),1)</f>
        <v>0</v>
      </c>
      <c s="125">
        <f>Предпосылки!X$245*Предпосылки!$U253*Продажи!Y18*Y$19*(1+Чувствительность!$D$20)*IFERROR(LOOKUP(Предпосылки!$H$218,$C$13:$C$15,Y$13:Y$15),1)</f>
        <v>0</v>
      </c>
      <c s="125">
        <f>Предпосылки!Y$245*Предпосылки!$U253*Продажи!Z18*Z$19*(1+Чувствительность!$D$20)*IFERROR(LOOKUP(Предпосылки!$H$218,$C$13:$C$15,Z$13:Z$15),1)</f>
        <v>0</v>
      </c>
      <c s="125">
        <f>Предпосылки!Z$245*Предпосылки!$U253*Продажи!AA18*AA$19*(1+Чувствительность!$D$20)*IFERROR(LOOKUP(Предпосылки!$H$218,$C$13:$C$15,AA$13:AA$15),1)</f>
        <v>0</v>
      </c>
      <c s="125">
        <f>Предпосылки!AA$245*Предпосылки!$U253*Продажи!AB18*AB$19*(1+Чувствительность!$D$20)*IFERROR(LOOKUP(Предпосылки!$H$218,$C$13:$C$15,AB$13:AB$15),1)</f>
        <v>0</v>
      </c>
      <c s="125">
        <f>Предпосылки!AB$245*Предпосылки!$U253*Продажи!AC18*AC$19*(1+Чувствительность!$D$20)*IFERROR(LOOKUP(Предпосылки!$H$218,$C$13:$C$15,AC$13:AC$15),1)</f>
        <v>0</v>
      </c>
      <c s="125">
        <f>Предпосылки!AC$245*Предпосылки!$U253*Продажи!AD18*AD$19*(1+Чувствительность!$D$20)*IFERROR(LOOKUP(Предпосылки!$H$218,$C$13:$C$15,AD$13:AD$15),1)</f>
        <v>0</v>
      </c>
      <c s="125">
        <f>Предпосылки!AD$245*Предпосылки!$U253*Продажи!AE18*AE$19*(1+Чувствительность!$D$20)*IFERROR(LOOKUP(Предпосылки!$H$218,$C$13:$C$15,AE$13:AE$15),1)</f>
        <v>0</v>
      </c>
      <c s="125">
        <f>Предпосылки!AE$245*Предпосылки!$U253*Продажи!AF18*AF$19*(1+Чувствительность!$D$20)*IFERROR(LOOKUP(Предпосылки!$H$218,$C$13:$C$15,AF$13:AF$15),1)</f>
        <v>0</v>
      </c>
      <c s="125">
        <f>Предпосылки!AF$245*Предпосылки!$U253*Продажи!AG18*AG$19*(1+Чувствительность!$D$20)*IFERROR(LOOKUP(Предпосылки!$H$218,$C$13:$C$15,AG$13:AG$15),1)</f>
        <v>0</v>
      </c>
      <c s="125">
        <f>Предпосылки!AG$245*Предпосылки!$U253*Продажи!AH18*AH$19*(1+Чувствительность!$D$20)*IFERROR(LOOKUP(Предпосылки!$H$218,$C$13:$C$15,AH$13:AH$15),1)</f>
        <v>0</v>
      </c>
      <c s="125">
        <f>Предпосылки!AH$245*Предпосылки!$U253*Продажи!AI18*AI$19*(1+Чувствительность!$D$20)*IFERROR(LOOKUP(Предпосылки!$H$218,$C$13:$C$15,AI$13:AI$15),1)</f>
        <v>0</v>
      </c>
      <c s="125">
        <f>Предпосылки!AI$245*Предпосылки!$U253*Продажи!AJ18*AJ$19*(1+Чувствительность!$D$20)*IFERROR(LOOKUP(Предпосылки!$H$218,$C$13:$C$15,AJ$13:AJ$15),1)</f>
        <v>0</v>
      </c>
      <c s="125">
        <f>Предпосылки!AJ$245*Предпосылки!$U253*Продажи!AK18*AK$19*(1+Чувствительность!$D$20)*IFERROR(LOOKUP(Предпосылки!$H$218,$C$13:$C$15,AK$13:AK$15),1)</f>
        <v>0</v>
      </c>
      <c s="125">
        <f>Предпосылки!AK$245*Предпосылки!$U253*Продажи!AL18*AL$19*(1+Чувствительность!$D$20)*IFERROR(LOOKUP(Предпосылки!$H$218,$C$13:$C$15,AL$13:AL$15),1)</f>
        <v>0</v>
      </c>
      <c s="125">
        <f>Предпосылки!AL$245*Предпосылки!$U253*Продажи!AM18*AM$19*(1+Чувствительность!$D$20)*IFERROR(LOOKUP(Предпосылки!$H$218,$C$13:$C$15,AM$13:AM$15),1)</f>
        <v>0</v>
      </c>
      <c s="125">
        <f>Предпосылки!AM$245*Предпосылки!$U253*Продажи!AN18*AN$19*(1+Чувствительность!$D$20)*IFERROR(LOOKUP(Предпосылки!$H$218,$C$13:$C$15,AN$13:AN$15),1)</f>
        <v>0</v>
      </c>
      <c s="125">
        <f>Предпосылки!AN$245*Предпосылки!$U253*Продажи!AO18*AO$19*(1+Чувствительность!$D$20)*IFERROR(LOOKUP(Предпосылки!$H$218,$C$13:$C$15,AO$13:AO$15),1)</f>
        <v>0</v>
      </c>
      <c s="125">
        <f>Предпосылки!AO$245*Предпосылки!$U253*Продажи!AP18*AP$19*(1+Чувствительность!$D$20)*IFERROR(LOOKUP(Предпосылки!$H$218,$C$13:$C$15,AP$13:AP$15),1)</f>
        <v>0</v>
      </c>
      <c s="125">
        <f>Предпосылки!AP$245*Предпосылки!$U253*Продажи!AQ18*AQ$19*(1+Чувствительность!$D$20)*IFERROR(LOOKUP(Предпосылки!$H$218,$C$13:$C$15,AQ$13:AQ$15),1)</f>
        <v>0</v>
      </c>
      <c s="125">
        <f>Предпосылки!AQ$245*Предпосылки!$U253*Продажи!AR18*AR$19*(1+Чувствительность!$D$20)*IFERROR(LOOKUP(Предпосылки!$H$218,$C$13:$C$15,AR$13:AR$15),1)</f>
        <v>0</v>
      </c>
      <c s="125">
        <f>Предпосылки!AR$245*Предпосылки!$U253*Продажи!AS18*AS$19*(1+Чувствительность!$D$20)*IFERROR(LOOKUP(Предпосылки!$H$218,$C$13:$C$15,AS$13:AS$15),1)</f>
        <v>0</v>
      </c>
      <c s="125">
        <f>Предпосылки!AS$245*Предпосылки!$U253*Продажи!AT18*AT$19*(1+Чувствительность!$D$20)*IFERROR(LOOKUP(Предпосылки!$H$218,$C$13:$C$15,AT$13:AT$15),1)</f>
        <v>0</v>
      </c>
      <c s="125">
        <f>Предпосылки!AT$245*Предпосылки!$U253*Продажи!AU18*AU$19*(1+Чувствительность!$D$20)*IFERROR(LOOKUP(Предпосылки!$H$218,$C$13:$C$15,AU$13:AU$15),1)</f>
        <v>0</v>
      </c>
      <c s="125">
        <f>Предпосылки!AU$245*Предпосылки!$U253*Продажи!AV18*AV$19*(1+Чувствительность!$D$20)*IFERROR(LOOKUP(Предпосылки!$H$218,$C$13:$C$15,AV$13:AV$15),1)</f>
        <v>0</v>
      </c>
      <c s="125">
        <f>Предпосылки!AV$245*Предпосылки!$U253*Продажи!AW18*AW$19*(1+Чувствительность!$D$20)*IFERROR(LOOKUP(Предпосылки!$H$218,$C$13:$C$15,AW$13:AW$15),1)</f>
        <v>0</v>
      </c>
      <c s="125">
        <f>Предпосылки!AW$245*Предпосылки!$U253*Продажи!AX18*AX$19*(1+Чувствительность!$D$20)*IFERROR(LOOKUP(Предпосылки!$H$218,$C$13:$C$15,AX$13:AX$15),1)</f>
        <v>0</v>
      </c>
      <c s="125">
        <f>Предпосылки!AX$245*Предпосылки!$U253*Продажи!AY18*AY$19*(1+Чувствительность!$D$20)*IFERROR(LOOKUP(Предпосылки!$H$218,$C$13:$C$15,AY$13:AY$15),1)</f>
        <v>0</v>
      </c>
      <c s="125">
        <f>Предпосылки!AY$245*Предпосылки!$U253*Продажи!AZ18*AZ$19*(1+Чувствительность!$D$20)*IFERROR(LOOKUP(Предпосылки!$H$218,$C$13:$C$15,AZ$13:AZ$15),1)</f>
        <v>0</v>
      </c>
      <c s="125">
        <f>Предпосылки!AZ$245*Предпосылки!$U253*Продажи!BA18*BA$19*(1+Чувствительность!$D$20)*IFERROR(LOOKUP(Предпосылки!$H$218,$C$13:$C$15,BA$13:BA$15),1)</f>
        <v>0</v>
      </c>
      <c s="125">
        <f>Предпосылки!BA$245*Предпосылки!$U253*Продажи!BB18*BB$19*(1+Чувствительность!$D$20)*IFERROR(LOOKUP(Предпосылки!$H$218,$C$13:$C$15,BB$13:BB$15),1)</f>
        <v>0</v>
      </c>
      <c s="125">
        <f>Предпосылки!BB$245*Предпосылки!$U253*Продажи!BC18*BC$19*(1+Чувствительность!$D$20)*IFERROR(LOOKUP(Предпосылки!$H$218,$C$13:$C$15,BC$13:BC$15),1)</f>
        <v>0</v>
      </c>
      <c s="125">
        <f>Предпосылки!BC$245*Предпосылки!$U253*Продажи!BD18*BD$19*(1+Чувствительность!$D$20)*IFERROR(LOOKUP(Предпосылки!$H$218,$C$13:$C$15,BD$13:BD$15),1)</f>
        <v>0</v>
      </c>
      <c s="125">
        <f>Предпосылки!BD$245*Предпосылки!$U253*Продажи!BE18*BE$19*(1+Чувствительность!$D$20)*IFERROR(LOOKUP(Предпосылки!$H$218,$C$13:$C$15,BE$13:BE$15),1)</f>
        <v>0</v>
      </c>
      <c s="125">
        <f>Предпосылки!BE$245*Предпосылки!$U253*Продажи!BF18*BF$19*(1+Чувствительность!$D$20)*IFERROR(LOOKUP(Предпосылки!$H$218,$C$13:$C$15,BF$13:BF$15),1)</f>
        <v>0</v>
      </c>
      <c s="125">
        <f>Предпосылки!BF$245*Предпосылки!$U253*Продажи!BG18*BG$19*(1+Чувствительность!$D$20)*IFERROR(LOOKUP(Предпосылки!$H$218,$C$13:$C$15,BG$13:BG$15),1)</f>
        <v>0</v>
      </c>
      <c s="125">
        <f>Предпосылки!BG$245*Предпосылки!$U253*Продажи!BH18*BH$19*(1+Чувствительность!$D$20)*IFERROR(LOOKUP(Предпосылки!$H$218,$C$13:$C$15,BH$13:BH$15),1)</f>
        <v>0</v>
      </c>
      <c s="125">
        <f>Предпосылки!BH$245*Предпосылки!$U253*Продажи!BI18*BI$19*(1+Чувствительность!$D$20)*IFERROR(LOOKUP(Предпосылки!$H$218,$C$13:$C$15,BI$13:BI$15),1)</f>
        <v>0</v>
      </c>
      <c s="125">
        <f>Предпосылки!BI$245*Предпосылки!$U253*Продажи!BJ18*BJ$19*(1+Чувствительность!$D$20)*IFERROR(LOOKUP(Предпосылки!$H$218,$C$13:$C$15,BJ$13:BJ$15),1)</f>
        <v>0</v>
      </c>
      <c s="125">
        <f>Предпосылки!BJ$245*Предпосылки!$U253*Продажи!BK18*BK$19*(1+Чувствительность!$D$20)*IFERROR(LOOKUP(Предпосылки!$H$218,$C$13:$C$15,BK$13:BK$15),1)</f>
        <v>0</v>
      </c>
      <c s="125">
        <f>Предпосылки!BK$245*Предпосылки!$U253*Продажи!BL18*BL$19*(1+Чувствительность!$D$20)*IFERROR(LOOKUP(Предпосылки!$H$218,$C$13:$C$15,BL$13:BL$15),1)</f>
        <v>0</v>
      </c>
      <c s="125">
        <f>Предпосылки!BL$245*Предпосылки!$U253*Продажи!BM18*BM$19*(1+Чувствительность!$D$20)*IFERROR(LOOKUP(Предпосылки!$H$218,$C$13:$C$15,BM$13:BM$15),1)</f>
        <v>0</v>
      </c>
    </row>
    <row r="415" spans="2:65" ht="15" customHeight="1">
      <c r="B415" s="12" t="str">
        <f t="shared" si="146" ref="B415:B433">B392</f>
        <v>Продукт 2</v>
      </c>
      <c s="124" t="str">
        <f t="shared" si="145"/>
        <v>тыс. руб.</v>
      </c>
      <c s="276">
        <f t="shared" si="147" ref="D415:D433">SUM(E415:BM415)</f>
        <v>0</v>
      </c>
      <c s="125">
        <f>Предпосылки!D$245*Предпосылки!$U254*Продажи!E19*E$19*(1+Чувствительность!$D$20)*IFERROR(LOOKUP(Предпосылки!$H$218,$C$13:$C$15,E$13:E$15),1)</f>
        <v>0</v>
      </c>
      <c s="125">
        <f>Предпосылки!E$245*Предпосылки!$U254*Продажи!F19*F$19*(1+Чувствительность!$D$20)*IFERROR(LOOKUP(Предпосылки!$H$218,$C$13:$C$15,F$13:F$15),1)</f>
        <v>0</v>
      </c>
      <c s="125">
        <f>Предпосылки!F$245*Предпосылки!$U254*Продажи!G19*G$19*(1+Чувствительность!$D$20)*IFERROR(LOOKUP(Предпосылки!$H$218,$C$13:$C$15,G$13:G$15),1)</f>
        <v>0</v>
      </c>
      <c s="125">
        <f>Предпосылки!G$245*Предпосылки!$U254*Продажи!H19*H$19*(1+Чувствительность!$D$20)*IFERROR(LOOKUP(Предпосылки!$H$218,$C$13:$C$15,H$13:H$15),1)</f>
        <v>0</v>
      </c>
      <c s="125">
        <f>Предпосылки!H$245*Предпосылки!$U254*Продажи!I19*I$19*(1+Чувствительность!$D$20)*IFERROR(LOOKUP(Предпосылки!$H$218,$C$13:$C$15,I$13:I$15),1)</f>
        <v>0</v>
      </c>
      <c s="125">
        <f>Предпосылки!I$245*Предпосылки!$U254*Продажи!J19*J$19*(1+Чувствительность!$D$20)*IFERROR(LOOKUP(Предпосылки!$H$218,$C$13:$C$15,J$13:J$15),1)</f>
        <v>0</v>
      </c>
      <c s="125">
        <f>Предпосылки!J$245*Предпосылки!$U254*Продажи!K19*K$19*(1+Чувствительность!$D$20)*IFERROR(LOOKUP(Предпосылки!$H$218,$C$13:$C$15,K$13:K$15),1)</f>
        <v>0</v>
      </c>
      <c s="125">
        <f>Предпосылки!K$245*Предпосылки!$U254*Продажи!L19*L$19*(1+Чувствительность!$D$20)*IFERROR(LOOKUP(Предпосылки!$H$218,$C$13:$C$15,L$13:L$15),1)</f>
        <v>0</v>
      </c>
      <c s="125">
        <f>Предпосылки!L$245*Предпосылки!$U254*Продажи!M19*M$19*(1+Чувствительность!$D$20)*IFERROR(LOOKUP(Предпосылки!$H$218,$C$13:$C$15,M$13:M$15),1)</f>
        <v>0</v>
      </c>
      <c s="125">
        <f>Предпосылки!M$245*Предпосылки!$U254*Продажи!N19*N$19*(1+Чувствительность!$D$20)*IFERROR(LOOKUP(Предпосылки!$H$218,$C$13:$C$15,N$13:N$15),1)</f>
        <v>0</v>
      </c>
      <c s="125">
        <f>Предпосылки!N$245*Предпосылки!$U254*Продажи!O19*O$19*(1+Чувствительность!$D$20)*IFERROR(LOOKUP(Предпосылки!$H$218,$C$13:$C$15,O$13:O$15),1)</f>
        <v>0</v>
      </c>
      <c s="125">
        <f>Предпосылки!O$245*Предпосылки!$U254*Продажи!P19*P$19*(1+Чувствительность!$D$20)*IFERROR(LOOKUP(Предпосылки!$H$218,$C$13:$C$15,P$13:P$15),1)</f>
        <v>0</v>
      </c>
      <c s="125">
        <f>Предпосылки!P$245*Предпосылки!$U254*Продажи!Q19*Q$19*(1+Чувствительность!$D$20)*IFERROR(LOOKUP(Предпосылки!$H$218,$C$13:$C$15,Q$13:Q$15),1)</f>
        <v>0</v>
      </c>
      <c s="125">
        <f>Предпосылки!Q$245*Предпосылки!$U254*Продажи!R19*R$19*(1+Чувствительность!$D$20)*IFERROR(LOOKUP(Предпосылки!$H$218,$C$13:$C$15,R$13:R$15),1)</f>
        <v>0</v>
      </c>
      <c s="125">
        <f>Предпосылки!R$245*Предпосылки!$U254*Продажи!S19*S$19*(1+Чувствительность!$D$20)*IFERROR(LOOKUP(Предпосылки!$H$218,$C$13:$C$15,S$13:S$15),1)</f>
        <v>0</v>
      </c>
      <c s="125">
        <f>Предпосылки!S$245*Предпосылки!$U254*Продажи!T19*T$19*(1+Чувствительность!$D$20)*IFERROR(LOOKUP(Предпосылки!$H$218,$C$13:$C$15,T$13:T$15),1)</f>
        <v>0</v>
      </c>
      <c s="125">
        <f>Предпосылки!T$245*Предпосылки!$U254*Продажи!U19*U$19*(1+Чувствительность!$D$20)*IFERROR(LOOKUP(Предпосылки!$H$218,$C$13:$C$15,U$13:U$15),1)</f>
        <v>0</v>
      </c>
      <c s="125">
        <f>Предпосылки!U$245*Предпосылки!$U254*Продажи!V19*V$19*(1+Чувствительность!$D$20)*IFERROR(LOOKUP(Предпосылки!$H$218,$C$13:$C$15,V$13:V$15),1)</f>
        <v>0</v>
      </c>
      <c s="125">
        <f>Предпосылки!V$245*Предпосылки!$U254*Продажи!W19*W$19*(1+Чувствительность!$D$20)*IFERROR(LOOKUP(Предпосылки!$H$218,$C$13:$C$15,W$13:W$15),1)</f>
        <v>0</v>
      </c>
      <c s="125">
        <f>Предпосылки!W$245*Предпосылки!$U254*Продажи!X19*X$19*(1+Чувствительность!$D$20)*IFERROR(LOOKUP(Предпосылки!$H$218,$C$13:$C$15,X$13:X$15),1)</f>
        <v>0</v>
      </c>
      <c s="125">
        <f>Предпосылки!X$245*Предпосылки!$U254*Продажи!Y19*Y$19*(1+Чувствительность!$D$20)*IFERROR(LOOKUP(Предпосылки!$H$218,$C$13:$C$15,Y$13:Y$15),1)</f>
        <v>0</v>
      </c>
      <c s="125">
        <f>Предпосылки!Y$245*Предпосылки!$U254*Продажи!Z19*Z$19*(1+Чувствительность!$D$20)*IFERROR(LOOKUP(Предпосылки!$H$218,$C$13:$C$15,Z$13:Z$15),1)</f>
        <v>0</v>
      </c>
      <c s="125">
        <f>Предпосылки!Z$245*Предпосылки!$U254*Продажи!AA19*AA$19*(1+Чувствительность!$D$20)*IFERROR(LOOKUP(Предпосылки!$H$218,$C$13:$C$15,AA$13:AA$15),1)</f>
        <v>0</v>
      </c>
      <c s="125">
        <f>Предпосылки!AA$245*Предпосылки!$U254*Продажи!AB19*AB$19*(1+Чувствительность!$D$20)*IFERROR(LOOKUP(Предпосылки!$H$218,$C$13:$C$15,AB$13:AB$15),1)</f>
        <v>0</v>
      </c>
      <c s="125">
        <f>Предпосылки!AB$245*Предпосылки!$U254*Продажи!AC19*AC$19*(1+Чувствительность!$D$20)*IFERROR(LOOKUP(Предпосылки!$H$218,$C$13:$C$15,AC$13:AC$15),1)</f>
        <v>0</v>
      </c>
      <c s="125">
        <f>Предпосылки!AC$245*Предпосылки!$U254*Продажи!AD19*AD$19*(1+Чувствительность!$D$20)*IFERROR(LOOKUP(Предпосылки!$H$218,$C$13:$C$15,AD$13:AD$15),1)</f>
        <v>0</v>
      </c>
      <c s="125">
        <f>Предпосылки!AD$245*Предпосылки!$U254*Продажи!AE19*AE$19*(1+Чувствительность!$D$20)*IFERROR(LOOKUP(Предпосылки!$H$218,$C$13:$C$15,AE$13:AE$15),1)</f>
        <v>0</v>
      </c>
      <c s="125">
        <f>Предпосылки!AE$245*Предпосылки!$U254*Продажи!AF19*AF$19*(1+Чувствительность!$D$20)*IFERROR(LOOKUP(Предпосылки!$H$218,$C$13:$C$15,AF$13:AF$15),1)</f>
        <v>0</v>
      </c>
      <c s="125">
        <f>Предпосылки!AF$245*Предпосылки!$U254*Продажи!AG19*AG$19*(1+Чувствительность!$D$20)*IFERROR(LOOKUP(Предпосылки!$H$218,$C$13:$C$15,AG$13:AG$15),1)</f>
        <v>0</v>
      </c>
      <c s="125">
        <f>Предпосылки!AG$245*Предпосылки!$U254*Продажи!AH19*AH$19*(1+Чувствительность!$D$20)*IFERROR(LOOKUP(Предпосылки!$H$218,$C$13:$C$15,AH$13:AH$15),1)</f>
        <v>0</v>
      </c>
      <c s="125">
        <f>Предпосылки!AH$245*Предпосылки!$U254*Продажи!AI19*AI$19*(1+Чувствительность!$D$20)*IFERROR(LOOKUP(Предпосылки!$H$218,$C$13:$C$15,AI$13:AI$15),1)</f>
        <v>0</v>
      </c>
      <c s="125">
        <f>Предпосылки!AI$245*Предпосылки!$U254*Продажи!AJ19*AJ$19*(1+Чувствительность!$D$20)*IFERROR(LOOKUP(Предпосылки!$H$218,$C$13:$C$15,AJ$13:AJ$15),1)</f>
        <v>0</v>
      </c>
      <c s="125">
        <f>Предпосылки!AJ$245*Предпосылки!$U254*Продажи!AK19*AK$19*(1+Чувствительность!$D$20)*IFERROR(LOOKUP(Предпосылки!$H$218,$C$13:$C$15,AK$13:AK$15),1)</f>
        <v>0</v>
      </c>
      <c s="125">
        <f>Предпосылки!AK$245*Предпосылки!$U254*Продажи!AL19*AL$19*(1+Чувствительность!$D$20)*IFERROR(LOOKUP(Предпосылки!$H$218,$C$13:$C$15,AL$13:AL$15),1)</f>
        <v>0</v>
      </c>
      <c s="125">
        <f>Предпосылки!AL$245*Предпосылки!$U254*Продажи!AM19*AM$19*(1+Чувствительность!$D$20)*IFERROR(LOOKUP(Предпосылки!$H$218,$C$13:$C$15,AM$13:AM$15),1)</f>
        <v>0</v>
      </c>
      <c s="125">
        <f>Предпосылки!AM$245*Предпосылки!$U254*Продажи!AN19*AN$19*(1+Чувствительность!$D$20)*IFERROR(LOOKUP(Предпосылки!$H$218,$C$13:$C$15,AN$13:AN$15),1)</f>
        <v>0</v>
      </c>
      <c s="125">
        <f>Предпосылки!AN$245*Предпосылки!$U254*Продажи!AO19*AO$19*(1+Чувствительность!$D$20)*IFERROR(LOOKUP(Предпосылки!$H$218,$C$13:$C$15,AO$13:AO$15),1)</f>
        <v>0</v>
      </c>
      <c s="125">
        <f>Предпосылки!AO$245*Предпосылки!$U254*Продажи!AP19*AP$19*(1+Чувствительность!$D$20)*IFERROR(LOOKUP(Предпосылки!$H$218,$C$13:$C$15,AP$13:AP$15),1)</f>
        <v>0</v>
      </c>
      <c s="125">
        <f>Предпосылки!AP$245*Предпосылки!$U254*Продажи!AQ19*AQ$19*(1+Чувствительность!$D$20)*IFERROR(LOOKUP(Предпосылки!$H$218,$C$13:$C$15,AQ$13:AQ$15),1)</f>
        <v>0</v>
      </c>
      <c s="125">
        <f>Предпосылки!AQ$245*Предпосылки!$U254*Продажи!AR19*AR$19*(1+Чувствительность!$D$20)*IFERROR(LOOKUP(Предпосылки!$H$218,$C$13:$C$15,AR$13:AR$15),1)</f>
        <v>0</v>
      </c>
      <c s="125">
        <f>Предпосылки!AR$245*Предпосылки!$U254*Продажи!AS19*AS$19*(1+Чувствительность!$D$20)*IFERROR(LOOKUP(Предпосылки!$H$218,$C$13:$C$15,AS$13:AS$15),1)</f>
        <v>0</v>
      </c>
      <c s="125">
        <f>Предпосылки!AS$245*Предпосылки!$U254*Продажи!AT19*AT$19*(1+Чувствительность!$D$20)*IFERROR(LOOKUP(Предпосылки!$H$218,$C$13:$C$15,AT$13:AT$15),1)</f>
        <v>0</v>
      </c>
      <c s="125">
        <f>Предпосылки!AT$245*Предпосылки!$U254*Продажи!AU19*AU$19*(1+Чувствительность!$D$20)*IFERROR(LOOKUP(Предпосылки!$H$218,$C$13:$C$15,AU$13:AU$15),1)</f>
        <v>0</v>
      </c>
      <c s="125">
        <f>Предпосылки!AU$245*Предпосылки!$U254*Продажи!AV19*AV$19*(1+Чувствительность!$D$20)*IFERROR(LOOKUP(Предпосылки!$H$218,$C$13:$C$15,AV$13:AV$15),1)</f>
        <v>0</v>
      </c>
      <c s="125">
        <f>Предпосылки!AV$245*Предпосылки!$U254*Продажи!AW19*AW$19*(1+Чувствительность!$D$20)*IFERROR(LOOKUP(Предпосылки!$H$218,$C$13:$C$15,AW$13:AW$15),1)</f>
        <v>0</v>
      </c>
      <c s="125">
        <f>Предпосылки!AW$245*Предпосылки!$U254*Продажи!AX19*AX$19*(1+Чувствительность!$D$20)*IFERROR(LOOKUP(Предпосылки!$H$218,$C$13:$C$15,AX$13:AX$15),1)</f>
        <v>0</v>
      </c>
      <c s="125">
        <f>Предпосылки!AX$245*Предпосылки!$U254*Продажи!AY19*AY$19*(1+Чувствительность!$D$20)*IFERROR(LOOKUP(Предпосылки!$H$218,$C$13:$C$15,AY$13:AY$15),1)</f>
        <v>0</v>
      </c>
      <c s="125">
        <f>Предпосылки!AY$245*Предпосылки!$U254*Продажи!AZ19*AZ$19*(1+Чувствительность!$D$20)*IFERROR(LOOKUP(Предпосылки!$H$218,$C$13:$C$15,AZ$13:AZ$15),1)</f>
        <v>0</v>
      </c>
      <c s="125">
        <f>Предпосылки!AZ$245*Предпосылки!$U254*Продажи!BA19*BA$19*(1+Чувствительность!$D$20)*IFERROR(LOOKUP(Предпосылки!$H$218,$C$13:$C$15,BA$13:BA$15),1)</f>
        <v>0</v>
      </c>
      <c s="125">
        <f>Предпосылки!BA$245*Предпосылки!$U254*Продажи!BB19*BB$19*(1+Чувствительность!$D$20)*IFERROR(LOOKUP(Предпосылки!$H$218,$C$13:$C$15,BB$13:BB$15),1)</f>
        <v>0</v>
      </c>
      <c s="125">
        <f>Предпосылки!BB$245*Предпосылки!$U254*Продажи!BC19*BC$19*(1+Чувствительность!$D$20)*IFERROR(LOOKUP(Предпосылки!$H$218,$C$13:$C$15,BC$13:BC$15),1)</f>
        <v>0</v>
      </c>
      <c s="125">
        <f>Предпосылки!BC$245*Предпосылки!$U254*Продажи!BD19*BD$19*(1+Чувствительность!$D$20)*IFERROR(LOOKUP(Предпосылки!$H$218,$C$13:$C$15,BD$13:BD$15),1)</f>
        <v>0</v>
      </c>
      <c s="125">
        <f>Предпосылки!BD$245*Предпосылки!$U254*Продажи!BE19*BE$19*(1+Чувствительность!$D$20)*IFERROR(LOOKUP(Предпосылки!$H$218,$C$13:$C$15,BE$13:BE$15),1)</f>
        <v>0</v>
      </c>
      <c s="125">
        <f>Предпосылки!BE$245*Предпосылки!$U254*Продажи!BF19*BF$19*(1+Чувствительность!$D$20)*IFERROR(LOOKUP(Предпосылки!$H$218,$C$13:$C$15,BF$13:BF$15),1)</f>
        <v>0</v>
      </c>
      <c s="125">
        <f>Предпосылки!BF$245*Предпосылки!$U254*Продажи!BG19*BG$19*(1+Чувствительность!$D$20)*IFERROR(LOOKUP(Предпосылки!$H$218,$C$13:$C$15,BG$13:BG$15),1)</f>
        <v>0</v>
      </c>
      <c s="125">
        <f>Предпосылки!BG$245*Предпосылки!$U254*Продажи!BH19*BH$19*(1+Чувствительность!$D$20)*IFERROR(LOOKUP(Предпосылки!$H$218,$C$13:$C$15,BH$13:BH$15),1)</f>
        <v>0</v>
      </c>
      <c s="125">
        <f>Предпосылки!BH$245*Предпосылки!$U254*Продажи!BI19*BI$19*(1+Чувствительность!$D$20)*IFERROR(LOOKUP(Предпосылки!$H$218,$C$13:$C$15,BI$13:BI$15),1)</f>
        <v>0</v>
      </c>
      <c s="125">
        <f>Предпосылки!BI$245*Предпосылки!$U254*Продажи!BJ19*BJ$19*(1+Чувствительность!$D$20)*IFERROR(LOOKUP(Предпосылки!$H$218,$C$13:$C$15,BJ$13:BJ$15),1)</f>
        <v>0</v>
      </c>
      <c s="125">
        <f>Предпосылки!BJ$245*Предпосылки!$U254*Продажи!BK19*BK$19*(1+Чувствительность!$D$20)*IFERROR(LOOKUP(Предпосылки!$H$218,$C$13:$C$15,BK$13:BK$15),1)</f>
        <v>0</v>
      </c>
      <c s="125">
        <f>Предпосылки!BK$245*Предпосылки!$U254*Продажи!BL19*BL$19*(1+Чувствительность!$D$20)*IFERROR(LOOKUP(Предпосылки!$H$218,$C$13:$C$15,BL$13:BL$15),1)</f>
        <v>0</v>
      </c>
      <c s="125">
        <f>Предпосылки!BL$245*Предпосылки!$U254*Продажи!BM19*BM$19*(1+Чувствительность!$D$20)*IFERROR(LOOKUP(Предпосылки!$H$218,$C$13:$C$15,BM$13:BM$15),1)</f>
        <v>0</v>
      </c>
    </row>
    <row r="416" spans="2:65" ht="15" customHeight="1">
      <c r="B416" s="12" t="str">
        <f t="shared" si="146"/>
        <v>Продукт 3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Предпосылки!D$245*Предпосылки!$U255*Продажи!E20*E$19*(1+Чувствительность!$D$20)*IFERROR(LOOKUP(Предпосылки!$H$218,$C$13:$C$15,E$13:E$15),1)</f>
        <v>0</v>
      </c>
      <c s="125">
        <f>Предпосылки!E$245*Предпосылки!$U255*Продажи!F20*F$19*(1+Чувствительность!$D$20)*IFERROR(LOOKUP(Предпосылки!$H$218,$C$13:$C$15,F$13:F$15),1)</f>
        <v>0</v>
      </c>
      <c s="125">
        <f>Предпосылки!F$245*Предпосылки!$U255*Продажи!G20*G$19*(1+Чувствительность!$D$20)*IFERROR(LOOKUP(Предпосылки!$H$218,$C$13:$C$15,G$13:G$15),1)</f>
        <v>0</v>
      </c>
      <c s="125">
        <f>Предпосылки!G$245*Предпосылки!$U255*Продажи!H20*H$19*(1+Чувствительность!$D$20)*IFERROR(LOOKUP(Предпосылки!$H$218,$C$13:$C$15,H$13:H$15),1)</f>
        <v>0</v>
      </c>
      <c s="125">
        <f>Предпосылки!H$245*Предпосылки!$U255*Продажи!I20*I$19*(1+Чувствительность!$D$20)*IFERROR(LOOKUP(Предпосылки!$H$218,$C$13:$C$15,I$13:I$15),1)</f>
        <v>0</v>
      </c>
      <c s="125">
        <f>Предпосылки!I$245*Предпосылки!$U255*Продажи!J20*J$19*(1+Чувствительность!$D$20)*IFERROR(LOOKUP(Предпосылки!$H$218,$C$13:$C$15,J$13:J$15),1)</f>
        <v>0</v>
      </c>
      <c s="125">
        <f>Предпосылки!J$245*Предпосылки!$U255*Продажи!K20*K$19*(1+Чувствительность!$D$20)*IFERROR(LOOKUP(Предпосылки!$H$218,$C$13:$C$15,K$13:K$15),1)</f>
        <v>0</v>
      </c>
      <c s="125">
        <f>Предпосылки!K$245*Предпосылки!$U255*Продажи!L20*L$19*(1+Чувствительность!$D$20)*IFERROR(LOOKUP(Предпосылки!$H$218,$C$13:$C$15,L$13:L$15),1)</f>
        <v>0</v>
      </c>
      <c s="125">
        <f>Предпосылки!L$245*Предпосылки!$U255*Продажи!M20*M$19*(1+Чувствительность!$D$20)*IFERROR(LOOKUP(Предпосылки!$H$218,$C$13:$C$15,M$13:M$15),1)</f>
        <v>0</v>
      </c>
      <c s="125">
        <f>Предпосылки!M$245*Предпосылки!$U255*Продажи!N20*N$19*(1+Чувствительность!$D$20)*IFERROR(LOOKUP(Предпосылки!$H$218,$C$13:$C$15,N$13:N$15),1)</f>
        <v>0</v>
      </c>
      <c s="125">
        <f>Предпосылки!N$245*Предпосылки!$U255*Продажи!O20*O$19*(1+Чувствительность!$D$20)*IFERROR(LOOKUP(Предпосылки!$H$218,$C$13:$C$15,O$13:O$15),1)</f>
        <v>0</v>
      </c>
      <c s="125">
        <f>Предпосылки!O$245*Предпосылки!$U255*Продажи!P20*P$19*(1+Чувствительность!$D$20)*IFERROR(LOOKUP(Предпосылки!$H$218,$C$13:$C$15,P$13:P$15),1)</f>
        <v>0</v>
      </c>
      <c s="125">
        <f>Предпосылки!P$245*Предпосылки!$U255*Продажи!Q20*Q$19*(1+Чувствительность!$D$20)*IFERROR(LOOKUP(Предпосылки!$H$218,$C$13:$C$15,Q$13:Q$15),1)</f>
        <v>0</v>
      </c>
      <c s="125">
        <f>Предпосылки!Q$245*Предпосылки!$U255*Продажи!R20*R$19*(1+Чувствительность!$D$20)*IFERROR(LOOKUP(Предпосылки!$H$218,$C$13:$C$15,R$13:R$15),1)</f>
        <v>0</v>
      </c>
      <c s="125">
        <f>Предпосылки!R$245*Предпосылки!$U255*Продажи!S20*S$19*(1+Чувствительность!$D$20)*IFERROR(LOOKUP(Предпосылки!$H$218,$C$13:$C$15,S$13:S$15),1)</f>
        <v>0</v>
      </c>
      <c s="125">
        <f>Предпосылки!S$245*Предпосылки!$U255*Продажи!T20*T$19*(1+Чувствительность!$D$20)*IFERROR(LOOKUP(Предпосылки!$H$218,$C$13:$C$15,T$13:T$15),1)</f>
        <v>0</v>
      </c>
      <c s="125">
        <f>Предпосылки!T$245*Предпосылки!$U255*Продажи!U20*U$19*(1+Чувствительность!$D$20)*IFERROR(LOOKUP(Предпосылки!$H$218,$C$13:$C$15,U$13:U$15),1)</f>
        <v>0</v>
      </c>
      <c s="125">
        <f>Предпосылки!U$245*Предпосылки!$U255*Продажи!V20*V$19*(1+Чувствительность!$D$20)*IFERROR(LOOKUP(Предпосылки!$H$218,$C$13:$C$15,V$13:V$15),1)</f>
        <v>0</v>
      </c>
      <c s="125">
        <f>Предпосылки!V$245*Предпосылки!$U255*Продажи!W20*W$19*(1+Чувствительность!$D$20)*IFERROR(LOOKUP(Предпосылки!$H$218,$C$13:$C$15,W$13:W$15),1)</f>
        <v>0</v>
      </c>
      <c s="125">
        <f>Предпосылки!W$245*Предпосылки!$U255*Продажи!X20*X$19*(1+Чувствительность!$D$20)*IFERROR(LOOKUP(Предпосылки!$H$218,$C$13:$C$15,X$13:X$15),1)</f>
        <v>0</v>
      </c>
      <c s="125">
        <f>Предпосылки!X$245*Предпосылки!$U255*Продажи!Y20*Y$19*(1+Чувствительность!$D$20)*IFERROR(LOOKUP(Предпосылки!$H$218,$C$13:$C$15,Y$13:Y$15),1)</f>
        <v>0</v>
      </c>
      <c s="125">
        <f>Предпосылки!Y$245*Предпосылки!$U255*Продажи!Z20*Z$19*(1+Чувствительность!$D$20)*IFERROR(LOOKUP(Предпосылки!$H$218,$C$13:$C$15,Z$13:Z$15),1)</f>
        <v>0</v>
      </c>
      <c s="125">
        <f>Предпосылки!Z$245*Предпосылки!$U255*Продажи!AA20*AA$19*(1+Чувствительность!$D$20)*IFERROR(LOOKUP(Предпосылки!$H$218,$C$13:$C$15,AA$13:AA$15),1)</f>
        <v>0</v>
      </c>
      <c s="125">
        <f>Предпосылки!AA$245*Предпосылки!$U255*Продажи!AB20*AB$19*(1+Чувствительность!$D$20)*IFERROR(LOOKUP(Предпосылки!$H$218,$C$13:$C$15,AB$13:AB$15),1)</f>
        <v>0</v>
      </c>
      <c s="125">
        <f>Предпосылки!AB$245*Предпосылки!$U255*Продажи!AC20*AC$19*(1+Чувствительность!$D$20)*IFERROR(LOOKUP(Предпосылки!$H$218,$C$13:$C$15,AC$13:AC$15),1)</f>
        <v>0</v>
      </c>
      <c s="125">
        <f>Предпосылки!AC$245*Предпосылки!$U255*Продажи!AD20*AD$19*(1+Чувствительность!$D$20)*IFERROR(LOOKUP(Предпосылки!$H$218,$C$13:$C$15,AD$13:AD$15),1)</f>
        <v>0</v>
      </c>
      <c s="125">
        <f>Предпосылки!AD$245*Предпосылки!$U255*Продажи!AE20*AE$19*(1+Чувствительность!$D$20)*IFERROR(LOOKUP(Предпосылки!$H$218,$C$13:$C$15,AE$13:AE$15),1)</f>
        <v>0</v>
      </c>
      <c s="125">
        <f>Предпосылки!AE$245*Предпосылки!$U255*Продажи!AF20*AF$19*(1+Чувствительность!$D$20)*IFERROR(LOOKUP(Предпосылки!$H$218,$C$13:$C$15,AF$13:AF$15),1)</f>
        <v>0</v>
      </c>
      <c s="125">
        <f>Предпосылки!AF$245*Предпосылки!$U255*Продажи!AG20*AG$19*(1+Чувствительность!$D$20)*IFERROR(LOOKUP(Предпосылки!$H$218,$C$13:$C$15,AG$13:AG$15),1)</f>
        <v>0</v>
      </c>
      <c s="125">
        <f>Предпосылки!AG$245*Предпосылки!$U255*Продажи!AH20*AH$19*(1+Чувствительность!$D$20)*IFERROR(LOOKUP(Предпосылки!$H$218,$C$13:$C$15,AH$13:AH$15),1)</f>
        <v>0</v>
      </c>
      <c s="125">
        <f>Предпосылки!AH$245*Предпосылки!$U255*Продажи!AI20*AI$19*(1+Чувствительность!$D$20)*IFERROR(LOOKUP(Предпосылки!$H$218,$C$13:$C$15,AI$13:AI$15),1)</f>
        <v>0</v>
      </c>
      <c s="125">
        <f>Предпосылки!AI$245*Предпосылки!$U255*Продажи!AJ20*AJ$19*(1+Чувствительность!$D$20)*IFERROR(LOOKUP(Предпосылки!$H$218,$C$13:$C$15,AJ$13:AJ$15),1)</f>
        <v>0</v>
      </c>
      <c s="125">
        <f>Предпосылки!AJ$245*Предпосылки!$U255*Продажи!AK20*AK$19*(1+Чувствительность!$D$20)*IFERROR(LOOKUP(Предпосылки!$H$218,$C$13:$C$15,AK$13:AK$15),1)</f>
        <v>0</v>
      </c>
      <c s="125">
        <f>Предпосылки!AK$245*Предпосылки!$U255*Продажи!AL20*AL$19*(1+Чувствительность!$D$20)*IFERROR(LOOKUP(Предпосылки!$H$218,$C$13:$C$15,AL$13:AL$15),1)</f>
        <v>0</v>
      </c>
      <c s="125">
        <f>Предпосылки!AL$245*Предпосылки!$U255*Продажи!AM20*AM$19*(1+Чувствительность!$D$20)*IFERROR(LOOKUP(Предпосылки!$H$218,$C$13:$C$15,AM$13:AM$15),1)</f>
        <v>0</v>
      </c>
      <c s="125">
        <f>Предпосылки!AM$245*Предпосылки!$U255*Продажи!AN20*AN$19*(1+Чувствительность!$D$20)*IFERROR(LOOKUP(Предпосылки!$H$218,$C$13:$C$15,AN$13:AN$15),1)</f>
        <v>0</v>
      </c>
      <c s="125">
        <f>Предпосылки!AN$245*Предпосылки!$U255*Продажи!AO20*AO$19*(1+Чувствительность!$D$20)*IFERROR(LOOKUP(Предпосылки!$H$218,$C$13:$C$15,AO$13:AO$15),1)</f>
        <v>0</v>
      </c>
      <c s="125">
        <f>Предпосылки!AO$245*Предпосылки!$U255*Продажи!AP20*AP$19*(1+Чувствительность!$D$20)*IFERROR(LOOKUP(Предпосылки!$H$218,$C$13:$C$15,AP$13:AP$15),1)</f>
        <v>0</v>
      </c>
      <c s="125">
        <f>Предпосылки!AP$245*Предпосылки!$U255*Продажи!AQ20*AQ$19*(1+Чувствительность!$D$20)*IFERROR(LOOKUP(Предпосылки!$H$218,$C$13:$C$15,AQ$13:AQ$15),1)</f>
        <v>0</v>
      </c>
      <c s="125">
        <f>Предпосылки!AQ$245*Предпосылки!$U255*Продажи!AR20*AR$19*(1+Чувствительность!$D$20)*IFERROR(LOOKUP(Предпосылки!$H$218,$C$13:$C$15,AR$13:AR$15),1)</f>
        <v>0</v>
      </c>
      <c s="125">
        <f>Предпосылки!AR$245*Предпосылки!$U255*Продажи!AS20*AS$19*(1+Чувствительность!$D$20)*IFERROR(LOOKUP(Предпосылки!$H$218,$C$13:$C$15,AS$13:AS$15),1)</f>
        <v>0</v>
      </c>
      <c s="125">
        <f>Предпосылки!AS$245*Предпосылки!$U255*Продажи!AT20*AT$19*(1+Чувствительность!$D$20)*IFERROR(LOOKUP(Предпосылки!$H$218,$C$13:$C$15,AT$13:AT$15),1)</f>
        <v>0</v>
      </c>
      <c s="125">
        <f>Предпосылки!AT$245*Предпосылки!$U255*Продажи!AU20*AU$19*(1+Чувствительность!$D$20)*IFERROR(LOOKUP(Предпосылки!$H$218,$C$13:$C$15,AU$13:AU$15),1)</f>
        <v>0</v>
      </c>
      <c s="125">
        <f>Предпосылки!AU$245*Предпосылки!$U255*Продажи!AV20*AV$19*(1+Чувствительность!$D$20)*IFERROR(LOOKUP(Предпосылки!$H$218,$C$13:$C$15,AV$13:AV$15),1)</f>
        <v>0</v>
      </c>
      <c s="125">
        <f>Предпосылки!AV$245*Предпосылки!$U255*Продажи!AW20*AW$19*(1+Чувствительность!$D$20)*IFERROR(LOOKUP(Предпосылки!$H$218,$C$13:$C$15,AW$13:AW$15),1)</f>
        <v>0</v>
      </c>
      <c s="125">
        <f>Предпосылки!AW$245*Предпосылки!$U255*Продажи!AX20*AX$19*(1+Чувствительность!$D$20)*IFERROR(LOOKUP(Предпосылки!$H$218,$C$13:$C$15,AX$13:AX$15),1)</f>
        <v>0</v>
      </c>
      <c s="125">
        <f>Предпосылки!AX$245*Предпосылки!$U255*Продажи!AY20*AY$19*(1+Чувствительность!$D$20)*IFERROR(LOOKUP(Предпосылки!$H$218,$C$13:$C$15,AY$13:AY$15),1)</f>
        <v>0</v>
      </c>
      <c s="125">
        <f>Предпосылки!AY$245*Предпосылки!$U255*Продажи!AZ20*AZ$19*(1+Чувствительность!$D$20)*IFERROR(LOOKUP(Предпосылки!$H$218,$C$13:$C$15,AZ$13:AZ$15),1)</f>
        <v>0</v>
      </c>
      <c s="125">
        <f>Предпосылки!AZ$245*Предпосылки!$U255*Продажи!BA20*BA$19*(1+Чувствительность!$D$20)*IFERROR(LOOKUP(Предпосылки!$H$218,$C$13:$C$15,BA$13:BA$15),1)</f>
        <v>0</v>
      </c>
      <c s="125">
        <f>Предпосылки!BA$245*Предпосылки!$U255*Продажи!BB20*BB$19*(1+Чувствительность!$D$20)*IFERROR(LOOKUP(Предпосылки!$H$218,$C$13:$C$15,BB$13:BB$15),1)</f>
        <v>0</v>
      </c>
      <c s="125">
        <f>Предпосылки!BB$245*Предпосылки!$U255*Продажи!BC20*BC$19*(1+Чувствительность!$D$20)*IFERROR(LOOKUP(Предпосылки!$H$218,$C$13:$C$15,BC$13:BC$15),1)</f>
        <v>0</v>
      </c>
      <c s="125">
        <f>Предпосылки!BC$245*Предпосылки!$U255*Продажи!BD20*BD$19*(1+Чувствительность!$D$20)*IFERROR(LOOKUP(Предпосылки!$H$218,$C$13:$C$15,BD$13:BD$15),1)</f>
        <v>0</v>
      </c>
      <c s="125">
        <f>Предпосылки!BD$245*Предпосылки!$U255*Продажи!BE20*BE$19*(1+Чувствительность!$D$20)*IFERROR(LOOKUP(Предпосылки!$H$218,$C$13:$C$15,BE$13:BE$15),1)</f>
        <v>0</v>
      </c>
      <c s="125">
        <f>Предпосылки!BE$245*Предпосылки!$U255*Продажи!BF20*BF$19*(1+Чувствительность!$D$20)*IFERROR(LOOKUP(Предпосылки!$H$218,$C$13:$C$15,BF$13:BF$15),1)</f>
        <v>0</v>
      </c>
      <c s="125">
        <f>Предпосылки!BF$245*Предпосылки!$U255*Продажи!BG20*BG$19*(1+Чувствительность!$D$20)*IFERROR(LOOKUP(Предпосылки!$H$218,$C$13:$C$15,BG$13:BG$15),1)</f>
        <v>0</v>
      </c>
      <c s="125">
        <f>Предпосылки!BG$245*Предпосылки!$U255*Продажи!BH20*BH$19*(1+Чувствительность!$D$20)*IFERROR(LOOKUP(Предпосылки!$H$218,$C$13:$C$15,BH$13:BH$15),1)</f>
        <v>0</v>
      </c>
      <c s="125">
        <f>Предпосылки!BH$245*Предпосылки!$U255*Продажи!BI20*BI$19*(1+Чувствительность!$D$20)*IFERROR(LOOKUP(Предпосылки!$H$218,$C$13:$C$15,BI$13:BI$15),1)</f>
        <v>0</v>
      </c>
      <c s="125">
        <f>Предпосылки!BI$245*Предпосылки!$U255*Продажи!BJ20*BJ$19*(1+Чувствительность!$D$20)*IFERROR(LOOKUP(Предпосылки!$H$218,$C$13:$C$15,BJ$13:BJ$15),1)</f>
        <v>0</v>
      </c>
      <c s="125">
        <f>Предпосылки!BJ$245*Предпосылки!$U255*Продажи!BK20*BK$19*(1+Чувствительность!$D$20)*IFERROR(LOOKUP(Предпосылки!$H$218,$C$13:$C$15,BK$13:BK$15),1)</f>
        <v>0</v>
      </c>
      <c s="125">
        <f>Предпосылки!BK$245*Предпосылки!$U255*Продажи!BL20*BL$19*(1+Чувствительность!$D$20)*IFERROR(LOOKUP(Предпосылки!$H$218,$C$13:$C$15,BL$13:BL$15),1)</f>
        <v>0</v>
      </c>
      <c s="125">
        <f>Предпосылки!BL$245*Предпосылки!$U255*Продажи!BM20*BM$19*(1+Чувствительность!$D$20)*IFERROR(LOOKUP(Предпосылки!$H$218,$C$13:$C$15,BM$13:BM$15),1)</f>
        <v>0</v>
      </c>
    </row>
    <row r="417" spans="2:65" ht="15" customHeight="1">
      <c r="B417" s="12" t="str">
        <f t="shared" si="146"/>
        <v>Продукт 4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Предпосылки!D$245*Предпосылки!$U256*Продажи!E21*E$19*(1+Чувствительность!$D$20)*IFERROR(LOOKUP(Предпосылки!$H$218,$C$13:$C$15,E$13:E$15),1)</f>
        <v>0</v>
      </c>
      <c s="125">
        <f>Предпосылки!E$245*Предпосылки!$U256*Продажи!F21*F$19*(1+Чувствительность!$D$20)*IFERROR(LOOKUP(Предпосылки!$H$218,$C$13:$C$15,F$13:F$15),1)</f>
        <v>0</v>
      </c>
      <c s="125">
        <f>Предпосылки!F$245*Предпосылки!$U256*Продажи!G21*G$19*(1+Чувствительность!$D$20)*IFERROR(LOOKUP(Предпосылки!$H$218,$C$13:$C$15,G$13:G$15),1)</f>
        <v>0</v>
      </c>
      <c s="125">
        <f>Предпосылки!G$245*Предпосылки!$U256*Продажи!H21*H$19*(1+Чувствительность!$D$20)*IFERROR(LOOKUP(Предпосылки!$H$218,$C$13:$C$15,H$13:H$15),1)</f>
        <v>0</v>
      </c>
      <c s="125">
        <f>Предпосылки!H$245*Предпосылки!$U256*Продажи!I21*I$19*(1+Чувствительность!$D$20)*IFERROR(LOOKUP(Предпосылки!$H$218,$C$13:$C$15,I$13:I$15),1)</f>
        <v>0</v>
      </c>
      <c s="125">
        <f>Предпосылки!I$245*Предпосылки!$U256*Продажи!J21*J$19*(1+Чувствительность!$D$20)*IFERROR(LOOKUP(Предпосылки!$H$218,$C$13:$C$15,J$13:J$15),1)</f>
        <v>0</v>
      </c>
      <c s="125">
        <f>Предпосылки!J$245*Предпосылки!$U256*Продажи!K21*K$19*(1+Чувствительность!$D$20)*IFERROR(LOOKUP(Предпосылки!$H$218,$C$13:$C$15,K$13:K$15),1)</f>
        <v>0</v>
      </c>
      <c s="125">
        <f>Предпосылки!K$245*Предпосылки!$U256*Продажи!L21*L$19*(1+Чувствительность!$D$20)*IFERROR(LOOKUP(Предпосылки!$H$218,$C$13:$C$15,L$13:L$15),1)</f>
        <v>0</v>
      </c>
      <c s="125">
        <f>Предпосылки!L$245*Предпосылки!$U256*Продажи!M21*M$19*(1+Чувствительность!$D$20)*IFERROR(LOOKUP(Предпосылки!$H$218,$C$13:$C$15,M$13:M$15),1)</f>
        <v>0</v>
      </c>
      <c s="125">
        <f>Предпосылки!M$245*Предпосылки!$U256*Продажи!N21*N$19*(1+Чувствительность!$D$20)*IFERROR(LOOKUP(Предпосылки!$H$218,$C$13:$C$15,N$13:N$15),1)</f>
        <v>0</v>
      </c>
      <c s="125">
        <f>Предпосылки!N$245*Предпосылки!$U256*Продажи!O21*O$19*(1+Чувствительность!$D$20)*IFERROR(LOOKUP(Предпосылки!$H$218,$C$13:$C$15,O$13:O$15),1)</f>
        <v>0</v>
      </c>
      <c s="125">
        <f>Предпосылки!O$245*Предпосылки!$U256*Продажи!P21*P$19*(1+Чувствительность!$D$20)*IFERROR(LOOKUP(Предпосылки!$H$218,$C$13:$C$15,P$13:P$15),1)</f>
        <v>0</v>
      </c>
      <c s="125">
        <f>Предпосылки!P$245*Предпосылки!$U256*Продажи!Q21*Q$19*(1+Чувствительность!$D$20)*IFERROR(LOOKUP(Предпосылки!$H$218,$C$13:$C$15,Q$13:Q$15),1)</f>
        <v>0</v>
      </c>
      <c s="125">
        <f>Предпосылки!Q$245*Предпосылки!$U256*Продажи!R21*R$19*(1+Чувствительность!$D$20)*IFERROR(LOOKUP(Предпосылки!$H$218,$C$13:$C$15,R$13:R$15),1)</f>
        <v>0</v>
      </c>
      <c s="125">
        <f>Предпосылки!R$245*Предпосылки!$U256*Продажи!S21*S$19*(1+Чувствительность!$D$20)*IFERROR(LOOKUP(Предпосылки!$H$218,$C$13:$C$15,S$13:S$15),1)</f>
        <v>0</v>
      </c>
      <c s="125">
        <f>Предпосылки!S$245*Предпосылки!$U256*Продажи!T21*T$19*(1+Чувствительность!$D$20)*IFERROR(LOOKUP(Предпосылки!$H$218,$C$13:$C$15,T$13:T$15),1)</f>
        <v>0</v>
      </c>
      <c s="125">
        <f>Предпосылки!T$245*Предпосылки!$U256*Продажи!U21*U$19*(1+Чувствительность!$D$20)*IFERROR(LOOKUP(Предпосылки!$H$218,$C$13:$C$15,U$13:U$15),1)</f>
        <v>0</v>
      </c>
      <c s="125">
        <f>Предпосылки!U$245*Предпосылки!$U256*Продажи!V21*V$19*(1+Чувствительность!$D$20)*IFERROR(LOOKUP(Предпосылки!$H$218,$C$13:$C$15,V$13:V$15),1)</f>
        <v>0</v>
      </c>
      <c s="125">
        <f>Предпосылки!V$245*Предпосылки!$U256*Продажи!W21*W$19*(1+Чувствительность!$D$20)*IFERROR(LOOKUP(Предпосылки!$H$218,$C$13:$C$15,W$13:W$15),1)</f>
        <v>0</v>
      </c>
      <c s="125">
        <f>Предпосылки!W$245*Предпосылки!$U256*Продажи!X21*X$19*(1+Чувствительность!$D$20)*IFERROR(LOOKUP(Предпосылки!$H$218,$C$13:$C$15,X$13:X$15),1)</f>
        <v>0</v>
      </c>
      <c s="125">
        <f>Предпосылки!X$245*Предпосылки!$U256*Продажи!Y21*Y$19*(1+Чувствительность!$D$20)*IFERROR(LOOKUP(Предпосылки!$H$218,$C$13:$C$15,Y$13:Y$15),1)</f>
        <v>0</v>
      </c>
      <c s="125">
        <f>Предпосылки!Y$245*Предпосылки!$U256*Продажи!Z21*Z$19*(1+Чувствительность!$D$20)*IFERROR(LOOKUP(Предпосылки!$H$218,$C$13:$C$15,Z$13:Z$15),1)</f>
        <v>0</v>
      </c>
      <c s="125">
        <f>Предпосылки!Z$245*Предпосылки!$U256*Продажи!AA21*AA$19*(1+Чувствительность!$D$20)*IFERROR(LOOKUP(Предпосылки!$H$218,$C$13:$C$15,AA$13:AA$15),1)</f>
        <v>0</v>
      </c>
      <c s="125">
        <f>Предпосылки!AA$245*Предпосылки!$U256*Продажи!AB21*AB$19*(1+Чувствительность!$D$20)*IFERROR(LOOKUP(Предпосылки!$H$218,$C$13:$C$15,AB$13:AB$15),1)</f>
        <v>0</v>
      </c>
      <c s="125">
        <f>Предпосылки!AB$245*Предпосылки!$U256*Продажи!AC21*AC$19*(1+Чувствительность!$D$20)*IFERROR(LOOKUP(Предпосылки!$H$218,$C$13:$C$15,AC$13:AC$15),1)</f>
        <v>0</v>
      </c>
      <c s="125">
        <f>Предпосылки!AC$245*Предпосылки!$U256*Продажи!AD21*AD$19*(1+Чувствительность!$D$20)*IFERROR(LOOKUP(Предпосылки!$H$218,$C$13:$C$15,AD$13:AD$15),1)</f>
        <v>0</v>
      </c>
      <c s="125">
        <f>Предпосылки!AD$245*Предпосылки!$U256*Продажи!AE21*AE$19*(1+Чувствительность!$D$20)*IFERROR(LOOKUP(Предпосылки!$H$218,$C$13:$C$15,AE$13:AE$15),1)</f>
        <v>0</v>
      </c>
      <c s="125">
        <f>Предпосылки!AE$245*Предпосылки!$U256*Продажи!AF21*AF$19*(1+Чувствительность!$D$20)*IFERROR(LOOKUP(Предпосылки!$H$218,$C$13:$C$15,AF$13:AF$15),1)</f>
        <v>0</v>
      </c>
      <c s="125">
        <f>Предпосылки!AF$245*Предпосылки!$U256*Продажи!AG21*AG$19*(1+Чувствительность!$D$20)*IFERROR(LOOKUP(Предпосылки!$H$218,$C$13:$C$15,AG$13:AG$15),1)</f>
        <v>0</v>
      </c>
      <c s="125">
        <f>Предпосылки!AG$245*Предпосылки!$U256*Продажи!AH21*AH$19*(1+Чувствительность!$D$20)*IFERROR(LOOKUP(Предпосылки!$H$218,$C$13:$C$15,AH$13:AH$15),1)</f>
        <v>0</v>
      </c>
      <c s="125">
        <f>Предпосылки!AH$245*Предпосылки!$U256*Продажи!AI21*AI$19*(1+Чувствительность!$D$20)*IFERROR(LOOKUP(Предпосылки!$H$218,$C$13:$C$15,AI$13:AI$15),1)</f>
        <v>0</v>
      </c>
      <c s="125">
        <f>Предпосылки!AI$245*Предпосылки!$U256*Продажи!AJ21*AJ$19*(1+Чувствительность!$D$20)*IFERROR(LOOKUP(Предпосылки!$H$218,$C$13:$C$15,AJ$13:AJ$15),1)</f>
        <v>0</v>
      </c>
      <c s="125">
        <f>Предпосылки!AJ$245*Предпосылки!$U256*Продажи!AK21*AK$19*(1+Чувствительность!$D$20)*IFERROR(LOOKUP(Предпосылки!$H$218,$C$13:$C$15,AK$13:AK$15),1)</f>
        <v>0</v>
      </c>
      <c s="125">
        <f>Предпосылки!AK$245*Предпосылки!$U256*Продажи!AL21*AL$19*(1+Чувствительность!$D$20)*IFERROR(LOOKUP(Предпосылки!$H$218,$C$13:$C$15,AL$13:AL$15),1)</f>
        <v>0</v>
      </c>
      <c s="125">
        <f>Предпосылки!AL$245*Предпосылки!$U256*Продажи!AM21*AM$19*(1+Чувствительность!$D$20)*IFERROR(LOOKUP(Предпосылки!$H$218,$C$13:$C$15,AM$13:AM$15),1)</f>
        <v>0</v>
      </c>
      <c s="125">
        <f>Предпосылки!AM$245*Предпосылки!$U256*Продажи!AN21*AN$19*(1+Чувствительность!$D$20)*IFERROR(LOOKUP(Предпосылки!$H$218,$C$13:$C$15,AN$13:AN$15),1)</f>
        <v>0</v>
      </c>
      <c s="125">
        <f>Предпосылки!AN$245*Предпосылки!$U256*Продажи!AO21*AO$19*(1+Чувствительность!$D$20)*IFERROR(LOOKUP(Предпосылки!$H$218,$C$13:$C$15,AO$13:AO$15),1)</f>
        <v>0</v>
      </c>
      <c s="125">
        <f>Предпосылки!AO$245*Предпосылки!$U256*Продажи!AP21*AP$19*(1+Чувствительность!$D$20)*IFERROR(LOOKUP(Предпосылки!$H$218,$C$13:$C$15,AP$13:AP$15),1)</f>
        <v>0</v>
      </c>
      <c s="125">
        <f>Предпосылки!AP$245*Предпосылки!$U256*Продажи!AQ21*AQ$19*(1+Чувствительность!$D$20)*IFERROR(LOOKUP(Предпосылки!$H$218,$C$13:$C$15,AQ$13:AQ$15),1)</f>
        <v>0</v>
      </c>
      <c s="125">
        <f>Предпосылки!AQ$245*Предпосылки!$U256*Продажи!AR21*AR$19*(1+Чувствительность!$D$20)*IFERROR(LOOKUP(Предпосылки!$H$218,$C$13:$C$15,AR$13:AR$15),1)</f>
        <v>0</v>
      </c>
      <c s="125">
        <f>Предпосылки!AR$245*Предпосылки!$U256*Продажи!AS21*AS$19*(1+Чувствительность!$D$20)*IFERROR(LOOKUP(Предпосылки!$H$218,$C$13:$C$15,AS$13:AS$15),1)</f>
        <v>0</v>
      </c>
      <c s="125">
        <f>Предпосылки!AS$245*Предпосылки!$U256*Продажи!AT21*AT$19*(1+Чувствительность!$D$20)*IFERROR(LOOKUP(Предпосылки!$H$218,$C$13:$C$15,AT$13:AT$15),1)</f>
        <v>0</v>
      </c>
      <c s="125">
        <f>Предпосылки!AT$245*Предпосылки!$U256*Продажи!AU21*AU$19*(1+Чувствительность!$D$20)*IFERROR(LOOKUP(Предпосылки!$H$218,$C$13:$C$15,AU$13:AU$15),1)</f>
        <v>0</v>
      </c>
      <c s="125">
        <f>Предпосылки!AU$245*Предпосылки!$U256*Продажи!AV21*AV$19*(1+Чувствительность!$D$20)*IFERROR(LOOKUP(Предпосылки!$H$218,$C$13:$C$15,AV$13:AV$15),1)</f>
        <v>0</v>
      </c>
      <c s="125">
        <f>Предпосылки!AV$245*Предпосылки!$U256*Продажи!AW21*AW$19*(1+Чувствительность!$D$20)*IFERROR(LOOKUP(Предпосылки!$H$218,$C$13:$C$15,AW$13:AW$15),1)</f>
        <v>0</v>
      </c>
      <c s="125">
        <f>Предпосылки!AW$245*Предпосылки!$U256*Продажи!AX21*AX$19*(1+Чувствительность!$D$20)*IFERROR(LOOKUP(Предпосылки!$H$218,$C$13:$C$15,AX$13:AX$15),1)</f>
        <v>0</v>
      </c>
      <c s="125">
        <f>Предпосылки!AX$245*Предпосылки!$U256*Продажи!AY21*AY$19*(1+Чувствительность!$D$20)*IFERROR(LOOKUP(Предпосылки!$H$218,$C$13:$C$15,AY$13:AY$15),1)</f>
        <v>0</v>
      </c>
      <c s="125">
        <f>Предпосылки!AY$245*Предпосылки!$U256*Продажи!AZ21*AZ$19*(1+Чувствительность!$D$20)*IFERROR(LOOKUP(Предпосылки!$H$218,$C$13:$C$15,AZ$13:AZ$15),1)</f>
        <v>0</v>
      </c>
      <c s="125">
        <f>Предпосылки!AZ$245*Предпосылки!$U256*Продажи!BA21*BA$19*(1+Чувствительность!$D$20)*IFERROR(LOOKUP(Предпосылки!$H$218,$C$13:$C$15,BA$13:BA$15),1)</f>
        <v>0</v>
      </c>
      <c s="125">
        <f>Предпосылки!BA$245*Предпосылки!$U256*Продажи!BB21*BB$19*(1+Чувствительность!$D$20)*IFERROR(LOOKUP(Предпосылки!$H$218,$C$13:$C$15,BB$13:BB$15),1)</f>
        <v>0</v>
      </c>
      <c s="125">
        <f>Предпосылки!BB$245*Предпосылки!$U256*Продажи!BC21*BC$19*(1+Чувствительность!$D$20)*IFERROR(LOOKUP(Предпосылки!$H$218,$C$13:$C$15,BC$13:BC$15),1)</f>
        <v>0</v>
      </c>
      <c s="125">
        <f>Предпосылки!BC$245*Предпосылки!$U256*Продажи!BD21*BD$19*(1+Чувствительность!$D$20)*IFERROR(LOOKUP(Предпосылки!$H$218,$C$13:$C$15,BD$13:BD$15),1)</f>
        <v>0</v>
      </c>
      <c s="125">
        <f>Предпосылки!BD$245*Предпосылки!$U256*Продажи!BE21*BE$19*(1+Чувствительность!$D$20)*IFERROR(LOOKUP(Предпосылки!$H$218,$C$13:$C$15,BE$13:BE$15),1)</f>
        <v>0</v>
      </c>
      <c s="125">
        <f>Предпосылки!BE$245*Предпосылки!$U256*Продажи!BF21*BF$19*(1+Чувствительность!$D$20)*IFERROR(LOOKUP(Предпосылки!$H$218,$C$13:$C$15,BF$13:BF$15),1)</f>
        <v>0</v>
      </c>
      <c s="125">
        <f>Предпосылки!BF$245*Предпосылки!$U256*Продажи!BG21*BG$19*(1+Чувствительность!$D$20)*IFERROR(LOOKUP(Предпосылки!$H$218,$C$13:$C$15,BG$13:BG$15),1)</f>
        <v>0</v>
      </c>
      <c s="125">
        <f>Предпосылки!BG$245*Предпосылки!$U256*Продажи!BH21*BH$19*(1+Чувствительность!$D$20)*IFERROR(LOOKUP(Предпосылки!$H$218,$C$13:$C$15,BH$13:BH$15),1)</f>
        <v>0</v>
      </c>
      <c s="125">
        <f>Предпосылки!BH$245*Предпосылки!$U256*Продажи!BI21*BI$19*(1+Чувствительность!$D$20)*IFERROR(LOOKUP(Предпосылки!$H$218,$C$13:$C$15,BI$13:BI$15),1)</f>
        <v>0</v>
      </c>
      <c s="125">
        <f>Предпосылки!BI$245*Предпосылки!$U256*Продажи!BJ21*BJ$19*(1+Чувствительность!$D$20)*IFERROR(LOOKUP(Предпосылки!$H$218,$C$13:$C$15,BJ$13:BJ$15),1)</f>
        <v>0</v>
      </c>
      <c s="125">
        <f>Предпосылки!BJ$245*Предпосылки!$U256*Продажи!BK21*BK$19*(1+Чувствительность!$D$20)*IFERROR(LOOKUP(Предпосылки!$H$218,$C$13:$C$15,BK$13:BK$15),1)</f>
        <v>0</v>
      </c>
      <c s="125">
        <f>Предпосылки!BK$245*Предпосылки!$U256*Продажи!BL21*BL$19*(1+Чувствительность!$D$20)*IFERROR(LOOKUP(Предпосылки!$H$218,$C$13:$C$15,BL$13:BL$15),1)</f>
        <v>0</v>
      </c>
      <c s="125">
        <f>Предпосылки!BL$245*Предпосылки!$U256*Продажи!BM21*BM$19*(1+Чувствительность!$D$20)*IFERROR(LOOKUP(Предпосылки!$H$218,$C$13:$C$15,BM$13:BM$15),1)</f>
        <v>0</v>
      </c>
    </row>
    <row r="418" spans="2:65" ht="15" customHeight="1">
      <c r="B418" s="12" t="str">
        <f t="shared" si="146"/>
        <v>Продукт 5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Предпосылки!D$245*Предпосылки!$U257*Продажи!E22*E$19*(1+Чувствительность!$D$20)*IFERROR(LOOKUP(Предпосылки!$H$218,$C$13:$C$15,E$13:E$15),1)</f>
        <v>0</v>
      </c>
      <c s="125">
        <f>Предпосылки!E$245*Предпосылки!$U257*Продажи!F22*F$19*(1+Чувствительность!$D$20)*IFERROR(LOOKUP(Предпосылки!$H$218,$C$13:$C$15,F$13:F$15),1)</f>
        <v>0</v>
      </c>
      <c s="125">
        <f>Предпосылки!F$245*Предпосылки!$U257*Продажи!G22*G$19*(1+Чувствительность!$D$20)*IFERROR(LOOKUP(Предпосылки!$H$218,$C$13:$C$15,G$13:G$15),1)</f>
        <v>0</v>
      </c>
      <c s="125">
        <f>Предпосылки!G$245*Предпосылки!$U257*Продажи!H22*H$19*(1+Чувствительность!$D$20)*IFERROR(LOOKUP(Предпосылки!$H$218,$C$13:$C$15,H$13:H$15),1)</f>
        <v>0</v>
      </c>
      <c s="125">
        <f>Предпосылки!H$245*Предпосылки!$U257*Продажи!I22*I$19*(1+Чувствительность!$D$20)*IFERROR(LOOKUP(Предпосылки!$H$218,$C$13:$C$15,I$13:I$15),1)</f>
        <v>0</v>
      </c>
      <c s="125">
        <f>Предпосылки!I$245*Предпосылки!$U257*Продажи!J22*J$19*(1+Чувствительность!$D$20)*IFERROR(LOOKUP(Предпосылки!$H$218,$C$13:$C$15,J$13:J$15),1)</f>
        <v>0</v>
      </c>
      <c s="125">
        <f>Предпосылки!J$245*Предпосылки!$U257*Продажи!K22*K$19*(1+Чувствительность!$D$20)*IFERROR(LOOKUP(Предпосылки!$H$218,$C$13:$C$15,K$13:K$15),1)</f>
        <v>0</v>
      </c>
      <c s="125">
        <f>Предпосылки!K$245*Предпосылки!$U257*Продажи!L22*L$19*(1+Чувствительность!$D$20)*IFERROR(LOOKUP(Предпосылки!$H$218,$C$13:$C$15,L$13:L$15),1)</f>
        <v>0</v>
      </c>
      <c s="125">
        <f>Предпосылки!L$245*Предпосылки!$U257*Продажи!M22*M$19*(1+Чувствительность!$D$20)*IFERROR(LOOKUP(Предпосылки!$H$218,$C$13:$C$15,M$13:M$15),1)</f>
        <v>0</v>
      </c>
      <c s="125">
        <f>Предпосылки!M$245*Предпосылки!$U257*Продажи!N22*N$19*(1+Чувствительность!$D$20)*IFERROR(LOOKUP(Предпосылки!$H$218,$C$13:$C$15,N$13:N$15),1)</f>
        <v>0</v>
      </c>
      <c s="125">
        <f>Предпосылки!N$245*Предпосылки!$U257*Продажи!O22*O$19*(1+Чувствительность!$D$20)*IFERROR(LOOKUP(Предпосылки!$H$218,$C$13:$C$15,O$13:O$15),1)</f>
        <v>0</v>
      </c>
      <c s="125">
        <f>Предпосылки!O$245*Предпосылки!$U257*Продажи!P22*P$19*(1+Чувствительность!$D$20)*IFERROR(LOOKUP(Предпосылки!$H$218,$C$13:$C$15,P$13:P$15),1)</f>
        <v>0</v>
      </c>
      <c s="125">
        <f>Предпосылки!P$245*Предпосылки!$U257*Продажи!Q22*Q$19*(1+Чувствительность!$D$20)*IFERROR(LOOKUP(Предпосылки!$H$218,$C$13:$C$15,Q$13:Q$15),1)</f>
        <v>0</v>
      </c>
      <c s="125">
        <f>Предпосылки!Q$245*Предпосылки!$U257*Продажи!R22*R$19*(1+Чувствительность!$D$20)*IFERROR(LOOKUP(Предпосылки!$H$218,$C$13:$C$15,R$13:R$15),1)</f>
        <v>0</v>
      </c>
      <c s="125">
        <f>Предпосылки!R$245*Предпосылки!$U257*Продажи!S22*S$19*(1+Чувствительность!$D$20)*IFERROR(LOOKUP(Предпосылки!$H$218,$C$13:$C$15,S$13:S$15),1)</f>
        <v>0</v>
      </c>
      <c s="125">
        <f>Предпосылки!S$245*Предпосылки!$U257*Продажи!T22*T$19*(1+Чувствительность!$D$20)*IFERROR(LOOKUP(Предпосылки!$H$218,$C$13:$C$15,T$13:T$15),1)</f>
        <v>0</v>
      </c>
      <c s="125">
        <f>Предпосылки!T$245*Предпосылки!$U257*Продажи!U22*U$19*(1+Чувствительность!$D$20)*IFERROR(LOOKUP(Предпосылки!$H$218,$C$13:$C$15,U$13:U$15),1)</f>
        <v>0</v>
      </c>
      <c s="125">
        <f>Предпосылки!U$245*Предпосылки!$U257*Продажи!V22*V$19*(1+Чувствительность!$D$20)*IFERROR(LOOKUP(Предпосылки!$H$218,$C$13:$C$15,V$13:V$15),1)</f>
        <v>0</v>
      </c>
      <c s="125">
        <f>Предпосылки!V$245*Предпосылки!$U257*Продажи!W22*W$19*(1+Чувствительность!$D$20)*IFERROR(LOOKUP(Предпосылки!$H$218,$C$13:$C$15,W$13:W$15),1)</f>
        <v>0</v>
      </c>
      <c s="125">
        <f>Предпосылки!W$245*Предпосылки!$U257*Продажи!X22*X$19*(1+Чувствительность!$D$20)*IFERROR(LOOKUP(Предпосылки!$H$218,$C$13:$C$15,X$13:X$15),1)</f>
        <v>0</v>
      </c>
      <c s="125">
        <f>Предпосылки!X$245*Предпосылки!$U257*Продажи!Y22*Y$19*(1+Чувствительность!$D$20)*IFERROR(LOOKUP(Предпосылки!$H$218,$C$13:$C$15,Y$13:Y$15),1)</f>
        <v>0</v>
      </c>
      <c s="125">
        <f>Предпосылки!Y$245*Предпосылки!$U257*Продажи!Z22*Z$19*(1+Чувствительность!$D$20)*IFERROR(LOOKUP(Предпосылки!$H$218,$C$13:$C$15,Z$13:Z$15),1)</f>
        <v>0</v>
      </c>
      <c s="125">
        <f>Предпосылки!Z$245*Предпосылки!$U257*Продажи!AA22*AA$19*(1+Чувствительность!$D$20)*IFERROR(LOOKUP(Предпосылки!$H$218,$C$13:$C$15,AA$13:AA$15),1)</f>
        <v>0</v>
      </c>
      <c s="125">
        <f>Предпосылки!AA$245*Предпосылки!$U257*Продажи!AB22*AB$19*(1+Чувствительность!$D$20)*IFERROR(LOOKUP(Предпосылки!$H$218,$C$13:$C$15,AB$13:AB$15),1)</f>
        <v>0</v>
      </c>
      <c s="125">
        <f>Предпосылки!AB$245*Предпосылки!$U257*Продажи!AC22*AC$19*(1+Чувствительность!$D$20)*IFERROR(LOOKUP(Предпосылки!$H$218,$C$13:$C$15,AC$13:AC$15),1)</f>
        <v>0</v>
      </c>
      <c s="125">
        <f>Предпосылки!AC$245*Предпосылки!$U257*Продажи!AD22*AD$19*(1+Чувствительность!$D$20)*IFERROR(LOOKUP(Предпосылки!$H$218,$C$13:$C$15,AD$13:AD$15),1)</f>
        <v>0</v>
      </c>
      <c s="125">
        <f>Предпосылки!AD$245*Предпосылки!$U257*Продажи!AE22*AE$19*(1+Чувствительность!$D$20)*IFERROR(LOOKUP(Предпосылки!$H$218,$C$13:$C$15,AE$13:AE$15),1)</f>
        <v>0</v>
      </c>
      <c s="125">
        <f>Предпосылки!AE$245*Предпосылки!$U257*Продажи!AF22*AF$19*(1+Чувствительность!$D$20)*IFERROR(LOOKUP(Предпосылки!$H$218,$C$13:$C$15,AF$13:AF$15),1)</f>
        <v>0</v>
      </c>
      <c s="125">
        <f>Предпосылки!AF$245*Предпосылки!$U257*Продажи!AG22*AG$19*(1+Чувствительность!$D$20)*IFERROR(LOOKUP(Предпосылки!$H$218,$C$13:$C$15,AG$13:AG$15),1)</f>
        <v>0</v>
      </c>
      <c s="125">
        <f>Предпосылки!AG$245*Предпосылки!$U257*Продажи!AH22*AH$19*(1+Чувствительность!$D$20)*IFERROR(LOOKUP(Предпосылки!$H$218,$C$13:$C$15,AH$13:AH$15),1)</f>
        <v>0</v>
      </c>
      <c s="125">
        <f>Предпосылки!AH$245*Предпосылки!$U257*Продажи!AI22*AI$19*(1+Чувствительность!$D$20)*IFERROR(LOOKUP(Предпосылки!$H$218,$C$13:$C$15,AI$13:AI$15),1)</f>
        <v>0</v>
      </c>
      <c s="125">
        <f>Предпосылки!AI$245*Предпосылки!$U257*Продажи!AJ22*AJ$19*(1+Чувствительность!$D$20)*IFERROR(LOOKUP(Предпосылки!$H$218,$C$13:$C$15,AJ$13:AJ$15),1)</f>
        <v>0</v>
      </c>
      <c s="125">
        <f>Предпосылки!AJ$245*Предпосылки!$U257*Продажи!AK22*AK$19*(1+Чувствительность!$D$20)*IFERROR(LOOKUP(Предпосылки!$H$218,$C$13:$C$15,AK$13:AK$15),1)</f>
        <v>0</v>
      </c>
      <c s="125">
        <f>Предпосылки!AK$245*Предпосылки!$U257*Продажи!AL22*AL$19*(1+Чувствительность!$D$20)*IFERROR(LOOKUP(Предпосылки!$H$218,$C$13:$C$15,AL$13:AL$15),1)</f>
        <v>0</v>
      </c>
      <c s="125">
        <f>Предпосылки!AL$245*Предпосылки!$U257*Продажи!AM22*AM$19*(1+Чувствительность!$D$20)*IFERROR(LOOKUP(Предпосылки!$H$218,$C$13:$C$15,AM$13:AM$15),1)</f>
        <v>0</v>
      </c>
      <c s="125">
        <f>Предпосылки!AM$245*Предпосылки!$U257*Продажи!AN22*AN$19*(1+Чувствительность!$D$20)*IFERROR(LOOKUP(Предпосылки!$H$218,$C$13:$C$15,AN$13:AN$15),1)</f>
        <v>0</v>
      </c>
      <c s="125">
        <f>Предпосылки!AN$245*Предпосылки!$U257*Продажи!AO22*AO$19*(1+Чувствительность!$D$20)*IFERROR(LOOKUP(Предпосылки!$H$218,$C$13:$C$15,AO$13:AO$15),1)</f>
        <v>0</v>
      </c>
      <c s="125">
        <f>Предпосылки!AO$245*Предпосылки!$U257*Продажи!AP22*AP$19*(1+Чувствительность!$D$20)*IFERROR(LOOKUP(Предпосылки!$H$218,$C$13:$C$15,AP$13:AP$15),1)</f>
        <v>0</v>
      </c>
      <c s="125">
        <f>Предпосылки!AP$245*Предпосылки!$U257*Продажи!AQ22*AQ$19*(1+Чувствительность!$D$20)*IFERROR(LOOKUP(Предпосылки!$H$218,$C$13:$C$15,AQ$13:AQ$15),1)</f>
        <v>0</v>
      </c>
      <c s="125">
        <f>Предпосылки!AQ$245*Предпосылки!$U257*Продажи!AR22*AR$19*(1+Чувствительность!$D$20)*IFERROR(LOOKUP(Предпосылки!$H$218,$C$13:$C$15,AR$13:AR$15),1)</f>
        <v>0</v>
      </c>
      <c s="125">
        <f>Предпосылки!AR$245*Предпосылки!$U257*Продажи!AS22*AS$19*(1+Чувствительность!$D$20)*IFERROR(LOOKUP(Предпосылки!$H$218,$C$13:$C$15,AS$13:AS$15),1)</f>
        <v>0</v>
      </c>
      <c s="125">
        <f>Предпосылки!AS$245*Предпосылки!$U257*Продажи!AT22*AT$19*(1+Чувствительность!$D$20)*IFERROR(LOOKUP(Предпосылки!$H$218,$C$13:$C$15,AT$13:AT$15),1)</f>
        <v>0</v>
      </c>
      <c s="125">
        <f>Предпосылки!AT$245*Предпосылки!$U257*Продажи!AU22*AU$19*(1+Чувствительность!$D$20)*IFERROR(LOOKUP(Предпосылки!$H$218,$C$13:$C$15,AU$13:AU$15),1)</f>
        <v>0</v>
      </c>
      <c s="125">
        <f>Предпосылки!AU$245*Предпосылки!$U257*Продажи!AV22*AV$19*(1+Чувствительность!$D$20)*IFERROR(LOOKUP(Предпосылки!$H$218,$C$13:$C$15,AV$13:AV$15),1)</f>
        <v>0</v>
      </c>
      <c s="125">
        <f>Предпосылки!AV$245*Предпосылки!$U257*Продажи!AW22*AW$19*(1+Чувствительность!$D$20)*IFERROR(LOOKUP(Предпосылки!$H$218,$C$13:$C$15,AW$13:AW$15),1)</f>
        <v>0</v>
      </c>
      <c s="125">
        <f>Предпосылки!AW$245*Предпосылки!$U257*Продажи!AX22*AX$19*(1+Чувствительность!$D$20)*IFERROR(LOOKUP(Предпосылки!$H$218,$C$13:$C$15,AX$13:AX$15),1)</f>
        <v>0</v>
      </c>
      <c s="125">
        <f>Предпосылки!AX$245*Предпосылки!$U257*Продажи!AY22*AY$19*(1+Чувствительность!$D$20)*IFERROR(LOOKUP(Предпосылки!$H$218,$C$13:$C$15,AY$13:AY$15),1)</f>
        <v>0</v>
      </c>
      <c s="125">
        <f>Предпосылки!AY$245*Предпосылки!$U257*Продажи!AZ22*AZ$19*(1+Чувствительность!$D$20)*IFERROR(LOOKUP(Предпосылки!$H$218,$C$13:$C$15,AZ$13:AZ$15),1)</f>
        <v>0</v>
      </c>
      <c s="125">
        <f>Предпосылки!AZ$245*Предпосылки!$U257*Продажи!BA22*BA$19*(1+Чувствительность!$D$20)*IFERROR(LOOKUP(Предпосылки!$H$218,$C$13:$C$15,BA$13:BA$15),1)</f>
        <v>0</v>
      </c>
      <c s="125">
        <f>Предпосылки!BA$245*Предпосылки!$U257*Продажи!BB22*BB$19*(1+Чувствительность!$D$20)*IFERROR(LOOKUP(Предпосылки!$H$218,$C$13:$C$15,BB$13:BB$15),1)</f>
        <v>0</v>
      </c>
      <c s="125">
        <f>Предпосылки!BB$245*Предпосылки!$U257*Продажи!BC22*BC$19*(1+Чувствительность!$D$20)*IFERROR(LOOKUP(Предпосылки!$H$218,$C$13:$C$15,BC$13:BC$15),1)</f>
        <v>0</v>
      </c>
      <c s="125">
        <f>Предпосылки!BC$245*Предпосылки!$U257*Продажи!BD22*BD$19*(1+Чувствительность!$D$20)*IFERROR(LOOKUP(Предпосылки!$H$218,$C$13:$C$15,BD$13:BD$15),1)</f>
        <v>0</v>
      </c>
      <c s="125">
        <f>Предпосылки!BD$245*Предпосылки!$U257*Продажи!BE22*BE$19*(1+Чувствительность!$D$20)*IFERROR(LOOKUP(Предпосылки!$H$218,$C$13:$C$15,BE$13:BE$15),1)</f>
        <v>0</v>
      </c>
      <c s="125">
        <f>Предпосылки!BE$245*Предпосылки!$U257*Продажи!BF22*BF$19*(1+Чувствительность!$D$20)*IFERROR(LOOKUP(Предпосылки!$H$218,$C$13:$C$15,BF$13:BF$15),1)</f>
        <v>0</v>
      </c>
      <c s="125">
        <f>Предпосылки!BF$245*Предпосылки!$U257*Продажи!BG22*BG$19*(1+Чувствительность!$D$20)*IFERROR(LOOKUP(Предпосылки!$H$218,$C$13:$C$15,BG$13:BG$15),1)</f>
        <v>0</v>
      </c>
      <c s="125">
        <f>Предпосылки!BG$245*Предпосылки!$U257*Продажи!BH22*BH$19*(1+Чувствительность!$D$20)*IFERROR(LOOKUP(Предпосылки!$H$218,$C$13:$C$15,BH$13:BH$15),1)</f>
        <v>0</v>
      </c>
      <c s="125">
        <f>Предпосылки!BH$245*Предпосылки!$U257*Продажи!BI22*BI$19*(1+Чувствительность!$D$20)*IFERROR(LOOKUP(Предпосылки!$H$218,$C$13:$C$15,BI$13:BI$15),1)</f>
        <v>0</v>
      </c>
      <c s="125">
        <f>Предпосылки!BI$245*Предпосылки!$U257*Продажи!BJ22*BJ$19*(1+Чувствительность!$D$20)*IFERROR(LOOKUP(Предпосылки!$H$218,$C$13:$C$15,BJ$13:BJ$15),1)</f>
        <v>0</v>
      </c>
      <c s="125">
        <f>Предпосылки!BJ$245*Предпосылки!$U257*Продажи!BK22*BK$19*(1+Чувствительность!$D$20)*IFERROR(LOOKUP(Предпосылки!$H$218,$C$13:$C$15,BK$13:BK$15),1)</f>
        <v>0</v>
      </c>
      <c s="125">
        <f>Предпосылки!BK$245*Предпосылки!$U257*Продажи!BL22*BL$19*(1+Чувствительность!$D$20)*IFERROR(LOOKUP(Предпосылки!$H$218,$C$13:$C$15,BL$13:BL$15),1)</f>
        <v>0</v>
      </c>
      <c s="125">
        <f>Предпосылки!BL$245*Предпосылки!$U257*Продажи!BM22*BM$19*(1+Чувствительность!$D$20)*IFERROR(LOOKUP(Предпосылки!$H$218,$C$13:$C$15,BM$13:BM$15),1)</f>
        <v>0</v>
      </c>
    </row>
    <row r="419" spans="2:65" ht="15" customHeight="1">
      <c r="B419" s="12" t="str">
        <f t="shared" si="146"/>
        <v>Продукт 6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Предпосылки!D$245*Предпосылки!$U258*Продажи!E23*E$19*(1+Чувствительность!$D$20)*IFERROR(LOOKUP(Предпосылки!$H$218,$C$13:$C$15,E$13:E$15),1)</f>
        <v>0</v>
      </c>
      <c s="125">
        <f>Предпосылки!E$245*Предпосылки!$U258*Продажи!F23*F$19*(1+Чувствительность!$D$20)*IFERROR(LOOKUP(Предпосылки!$H$218,$C$13:$C$15,F$13:F$15),1)</f>
        <v>0</v>
      </c>
      <c s="125">
        <f>Предпосылки!F$245*Предпосылки!$U258*Продажи!G23*G$19*(1+Чувствительность!$D$20)*IFERROR(LOOKUP(Предпосылки!$H$218,$C$13:$C$15,G$13:G$15),1)</f>
        <v>0</v>
      </c>
      <c s="125">
        <f>Предпосылки!G$245*Предпосылки!$U258*Продажи!H23*H$19*(1+Чувствительность!$D$20)*IFERROR(LOOKUP(Предпосылки!$H$218,$C$13:$C$15,H$13:H$15),1)</f>
        <v>0</v>
      </c>
      <c s="125">
        <f>Предпосылки!H$245*Предпосылки!$U258*Продажи!I23*I$19*(1+Чувствительность!$D$20)*IFERROR(LOOKUP(Предпосылки!$H$218,$C$13:$C$15,I$13:I$15),1)</f>
        <v>0</v>
      </c>
      <c s="125">
        <f>Предпосылки!I$245*Предпосылки!$U258*Продажи!J23*J$19*(1+Чувствительность!$D$20)*IFERROR(LOOKUP(Предпосылки!$H$218,$C$13:$C$15,J$13:J$15),1)</f>
        <v>0</v>
      </c>
      <c s="125">
        <f>Предпосылки!J$245*Предпосылки!$U258*Продажи!K23*K$19*(1+Чувствительность!$D$20)*IFERROR(LOOKUP(Предпосылки!$H$218,$C$13:$C$15,K$13:K$15),1)</f>
        <v>0</v>
      </c>
      <c s="125">
        <f>Предпосылки!K$245*Предпосылки!$U258*Продажи!L23*L$19*(1+Чувствительность!$D$20)*IFERROR(LOOKUP(Предпосылки!$H$218,$C$13:$C$15,L$13:L$15),1)</f>
        <v>0</v>
      </c>
      <c s="125">
        <f>Предпосылки!L$245*Предпосылки!$U258*Продажи!M23*M$19*(1+Чувствительность!$D$20)*IFERROR(LOOKUP(Предпосылки!$H$218,$C$13:$C$15,M$13:M$15),1)</f>
        <v>0</v>
      </c>
      <c s="125">
        <f>Предпосылки!M$245*Предпосылки!$U258*Продажи!N23*N$19*(1+Чувствительность!$D$20)*IFERROR(LOOKUP(Предпосылки!$H$218,$C$13:$C$15,N$13:N$15),1)</f>
        <v>0</v>
      </c>
      <c s="125">
        <f>Предпосылки!N$245*Предпосылки!$U258*Продажи!O23*O$19*(1+Чувствительность!$D$20)*IFERROR(LOOKUP(Предпосылки!$H$218,$C$13:$C$15,O$13:O$15),1)</f>
        <v>0</v>
      </c>
      <c s="125">
        <f>Предпосылки!O$245*Предпосылки!$U258*Продажи!P23*P$19*(1+Чувствительность!$D$20)*IFERROR(LOOKUP(Предпосылки!$H$218,$C$13:$C$15,P$13:P$15),1)</f>
        <v>0</v>
      </c>
      <c s="125">
        <f>Предпосылки!P$245*Предпосылки!$U258*Продажи!Q23*Q$19*(1+Чувствительность!$D$20)*IFERROR(LOOKUP(Предпосылки!$H$218,$C$13:$C$15,Q$13:Q$15),1)</f>
        <v>0</v>
      </c>
      <c s="125">
        <f>Предпосылки!Q$245*Предпосылки!$U258*Продажи!R23*R$19*(1+Чувствительность!$D$20)*IFERROR(LOOKUP(Предпосылки!$H$218,$C$13:$C$15,R$13:R$15),1)</f>
        <v>0</v>
      </c>
      <c s="125">
        <f>Предпосылки!R$245*Предпосылки!$U258*Продажи!S23*S$19*(1+Чувствительность!$D$20)*IFERROR(LOOKUP(Предпосылки!$H$218,$C$13:$C$15,S$13:S$15),1)</f>
        <v>0</v>
      </c>
      <c s="125">
        <f>Предпосылки!S$245*Предпосылки!$U258*Продажи!T23*T$19*(1+Чувствительность!$D$20)*IFERROR(LOOKUP(Предпосылки!$H$218,$C$13:$C$15,T$13:T$15),1)</f>
        <v>0</v>
      </c>
      <c s="125">
        <f>Предпосылки!T$245*Предпосылки!$U258*Продажи!U23*U$19*(1+Чувствительность!$D$20)*IFERROR(LOOKUP(Предпосылки!$H$218,$C$13:$C$15,U$13:U$15),1)</f>
        <v>0</v>
      </c>
      <c s="125">
        <f>Предпосылки!U$245*Предпосылки!$U258*Продажи!V23*V$19*(1+Чувствительность!$D$20)*IFERROR(LOOKUP(Предпосылки!$H$218,$C$13:$C$15,V$13:V$15),1)</f>
        <v>0</v>
      </c>
      <c s="125">
        <f>Предпосылки!V$245*Предпосылки!$U258*Продажи!W23*W$19*(1+Чувствительность!$D$20)*IFERROR(LOOKUP(Предпосылки!$H$218,$C$13:$C$15,W$13:W$15),1)</f>
        <v>0</v>
      </c>
      <c s="125">
        <f>Предпосылки!W$245*Предпосылки!$U258*Продажи!X23*X$19*(1+Чувствительность!$D$20)*IFERROR(LOOKUP(Предпосылки!$H$218,$C$13:$C$15,X$13:X$15),1)</f>
        <v>0</v>
      </c>
      <c s="125">
        <f>Предпосылки!X$245*Предпосылки!$U258*Продажи!Y23*Y$19*(1+Чувствительность!$D$20)*IFERROR(LOOKUP(Предпосылки!$H$218,$C$13:$C$15,Y$13:Y$15),1)</f>
        <v>0</v>
      </c>
      <c s="125">
        <f>Предпосылки!Y$245*Предпосылки!$U258*Продажи!Z23*Z$19*(1+Чувствительность!$D$20)*IFERROR(LOOKUP(Предпосылки!$H$218,$C$13:$C$15,Z$13:Z$15),1)</f>
        <v>0</v>
      </c>
      <c s="125">
        <f>Предпосылки!Z$245*Предпосылки!$U258*Продажи!AA23*AA$19*(1+Чувствительность!$D$20)*IFERROR(LOOKUP(Предпосылки!$H$218,$C$13:$C$15,AA$13:AA$15),1)</f>
        <v>0</v>
      </c>
      <c s="125">
        <f>Предпосылки!AA$245*Предпосылки!$U258*Продажи!AB23*AB$19*(1+Чувствительность!$D$20)*IFERROR(LOOKUP(Предпосылки!$H$218,$C$13:$C$15,AB$13:AB$15),1)</f>
        <v>0</v>
      </c>
      <c s="125">
        <f>Предпосылки!AB$245*Предпосылки!$U258*Продажи!AC23*AC$19*(1+Чувствительность!$D$20)*IFERROR(LOOKUP(Предпосылки!$H$218,$C$13:$C$15,AC$13:AC$15),1)</f>
        <v>0</v>
      </c>
      <c s="125">
        <f>Предпосылки!AC$245*Предпосылки!$U258*Продажи!AD23*AD$19*(1+Чувствительность!$D$20)*IFERROR(LOOKUP(Предпосылки!$H$218,$C$13:$C$15,AD$13:AD$15),1)</f>
        <v>0</v>
      </c>
      <c s="125">
        <f>Предпосылки!AD$245*Предпосылки!$U258*Продажи!AE23*AE$19*(1+Чувствительность!$D$20)*IFERROR(LOOKUP(Предпосылки!$H$218,$C$13:$C$15,AE$13:AE$15),1)</f>
        <v>0</v>
      </c>
      <c s="125">
        <f>Предпосылки!AE$245*Предпосылки!$U258*Продажи!AF23*AF$19*(1+Чувствительность!$D$20)*IFERROR(LOOKUP(Предпосылки!$H$218,$C$13:$C$15,AF$13:AF$15),1)</f>
        <v>0</v>
      </c>
      <c s="125">
        <f>Предпосылки!AF$245*Предпосылки!$U258*Продажи!AG23*AG$19*(1+Чувствительность!$D$20)*IFERROR(LOOKUP(Предпосылки!$H$218,$C$13:$C$15,AG$13:AG$15),1)</f>
        <v>0</v>
      </c>
      <c s="125">
        <f>Предпосылки!AG$245*Предпосылки!$U258*Продажи!AH23*AH$19*(1+Чувствительность!$D$20)*IFERROR(LOOKUP(Предпосылки!$H$218,$C$13:$C$15,AH$13:AH$15),1)</f>
        <v>0</v>
      </c>
      <c s="125">
        <f>Предпосылки!AH$245*Предпосылки!$U258*Продажи!AI23*AI$19*(1+Чувствительность!$D$20)*IFERROR(LOOKUP(Предпосылки!$H$218,$C$13:$C$15,AI$13:AI$15),1)</f>
        <v>0</v>
      </c>
      <c s="125">
        <f>Предпосылки!AI$245*Предпосылки!$U258*Продажи!AJ23*AJ$19*(1+Чувствительность!$D$20)*IFERROR(LOOKUP(Предпосылки!$H$218,$C$13:$C$15,AJ$13:AJ$15),1)</f>
        <v>0</v>
      </c>
      <c s="125">
        <f>Предпосылки!AJ$245*Предпосылки!$U258*Продажи!AK23*AK$19*(1+Чувствительность!$D$20)*IFERROR(LOOKUP(Предпосылки!$H$218,$C$13:$C$15,AK$13:AK$15),1)</f>
        <v>0</v>
      </c>
      <c s="125">
        <f>Предпосылки!AK$245*Предпосылки!$U258*Продажи!AL23*AL$19*(1+Чувствительность!$D$20)*IFERROR(LOOKUP(Предпосылки!$H$218,$C$13:$C$15,AL$13:AL$15),1)</f>
        <v>0</v>
      </c>
      <c s="125">
        <f>Предпосылки!AL$245*Предпосылки!$U258*Продажи!AM23*AM$19*(1+Чувствительность!$D$20)*IFERROR(LOOKUP(Предпосылки!$H$218,$C$13:$C$15,AM$13:AM$15),1)</f>
        <v>0</v>
      </c>
      <c s="125">
        <f>Предпосылки!AM$245*Предпосылки!$U258*Продажи!AN23*AN$19*(1+Чувствительность!$D$20)*IFERROR(LOOKUP(Предпосылки!$H$218,$C$13:$C$15,AN$13:AN$15),1)</f>
        <v>0</v>
      </c>
      <c s="125">
        <f>Предпосылки!AN$245*Предпосылки!$U258*Продажи!AO23*AO$19*(1+Чувствительность!$D$20)*IFERROR(LOOKUP(Предпосылки!$H$218,$C$13:$C$15,AO$13:AO$15),1)</f>
        <v>0</v>
      </c>
      <c s="125">
        <f>Предпосылки!AO$245*Предпосылки!$U258*Продажи!AP23*AP$19*(1+Чувствительность!$D$20)*IFERROR(LOOKUP(Предпосылки!$H$218,$C$13:$C$15,AP$13:AP$15),1)</f>
        <v>0</v>
      </c>
      <c s="125">
        <f>Предпосылки!AP$245*Предпосылки!$U258*Продажи!AQ23*AQ$19*(1+Чувствительность!$D$20)*IFERROR(LOOKUP(Предпосылки!$H$218,$C$13:$C$15,AQ$13:AQ$15),1)</f>
        <v>0</v>
      </c>
      <c s="125">
        <f>Предпосылки!AQ$245*Предпосылки!$U258*Продажи!AR23*AR$19*(1+Чувствительность!$D$20)*IFERROR(LOOKUP(Предпосылки!$H$218,$C$13:$C$15,AR$13:AR$15),1)</f>
        <v>0</v>
      </c>
      <c s="125">
        <f>Предпосылки!AR$245*Предпосылки!$U258*Продажи!AS23*AS$19*(1+Чувствительность!$D$20)*IFERROR(LOOKUP(Предпосылки!$H$218,$C$13:$C$15,AS$13:AS$15),1)</f>
        <v>0</v>
      </c>
      <c s="125">
        <f>Предпосылки!AS$245*Предпосылки!$U258*Продажи!AT23*AT$19*(1+Чувствительность!$D$20)*IFERROR(LOOKUP(Предпосылки!$H$218,$C$13:$C$15,AT$13:AT$15),1)</f>
        <v>0</v>
      </c>
      <c s="125">
        <f>Предпосылки!AT$245*Предпосылки!$U258*Продажи!AU23*AU$19*(1+Чувствительность!$D$20)*IFERROR(LOOKUP(Предпосылки!$H$218,$C$13:$C$15,AU$13:AU$15),1)</f>
        <v>0</v>
      </c>
      <c s="125">
        <f>Предпосылки!AU$245*Предпосылки!$U258*Продажи!AV23*AV$19*(1+Чувствительность!$D$20)*IFERROR(LOOKUP(Предпосылки!$H$218,$C$13:$C$15,AV$13:AV$15),1)</f>
        <v>0</v>
      </c>
      <c s="125">
        <f>Предпосылки!AV$245*Предпосылки!$U258*Продажи!AW23*AW$19*(1+Чувствительность!$D$20)*IFERROR(LOOKUP(Предпосылки!$H$218,$C$13:$C$15,AW$13:AW$15),1)</f>
        <v>0</v>
      </c>
      <c s="125">
        <f>Предпосылки!AW$245*Предпосылки!$U258*Продажи!AX23*AX$19*(1+Чувствительность!$D$20)*IFERROR(LOOKUP(Предпосылки!$H$218,$C$13:$C$15,AX$13:AX$15),1)</f>
        <v>0</v>
      </c>
      <c s="125">
        <f>Предпосылки!AX$245*Предпосылки!$U258*Продажи!AY23*AY$19*(1+Чувствительность!$D$20)*IFERROR(LOOKUP(Предпосылки!$H$218,$C$13:$C$15,AY$13:AY$15),1)</f>
        <v>0</v>
      </c>
      <c s="125">
        <f>Предпосылки!AY$245*Предпосылки!$U258*Продажи!AZ23*AZ$19*(1+Чувствительность!$D$20)*IFERROR(LOOKUP(Предпосылки!$H$218,$C$13:$C$15,AZ$13:AZ$15),1)</f>
        <v>0</v>
      </c>
      <c s="125">
        <f>Предпосылки!AZ$245*Предпосылки!$U258*Продажи!BA23*BA$19*(1+Чувствительность!$D$20)*IFERROR(LOOKUP(Предпосылки!$H$218,$C$13:$C$15,BA$13:BA$15),1)</f>
        <v>0</v>
      </c>
      <c s="125">
        <f>Предпосылки!BA$245*Предпосылки!$U258*Продажи!BB23*BB$19*(1+Чувствительность!$D$20)*IFERROR(LOOKUP(Предпосылки!$H$218,$C$13:$C$15,BB$13:BB$15),1)</f>
        <v>0</v>
      </c>
      <c s="125">
        <f>Предпосылки!BB$245*Предпосылки!$U258*Продажи!BC23*BC$19*(1+Чувствительность!$D$20)*IFERROR(LOOKUP(Предпосылки!$H$218,$C$13:$C$15,BC$13:BC$15),1)</f>
        <v>0</v>
      </c>
      <c s="125">
        <f>Предпосылки!BC$245*Предпосылки!$U258*Продажи!BD23*BD$19*(1+Чувствительность!$D$20)*IFERROR(LOOKUP(Предпосылки!$H$218,$C$13:$C$15,BD$13:BD$15),1)</f>
        <v>0</v>
      </c>
      <c s="125">
        <f>Предпосылки!BD$245*Предпосылки!$U258*Продажи!BE23*BE$19*(1+Чувствительность!$D$20)*IFERROR(LOOKUP(Предпосылки!$H$218,$C$13:$C$15,BE$13:BE$15),1)</f>
        <v>0</v>
      </c>
      <c s="125">
        <f>Предпосылки!BE$245*Предпосылки!$U258*Продажи!BF23*BF$19*(1+Чувствительность!$D$20)*IFERROR(LOOKUP(Предпосылки!$H$218,$C$13:$C$15,BF$13:BF$15),1)</f>
        <v>0</v>
      </c>
      <c s="125">
        <f>Предпосылки!BF$245*Предпосылки!$U258*Продажи!BG23*BG$19*(1+Чувствительность!$D$20)*IFERROR(LOOKUP(Предпосылки!$H$218,$C$13:$C$15,BG$13:BG$15),1)</f>
        <v>0</v>
      </c>
      <c s="125">
        <f>Предпосылки!BG$245*Предпосылки!$U258*Продажи!BH23*BH$19*(1+Чувствительность!$D$20)*IFERROR(LOOKUP(Предпосылки!$H$218,$C$13:$C$15,BH$13:BH$15),1)</f>
        <v>0</v>
      </c>
      <c s="125">
        <f>Предпосылки!BH$245*Предпосылки!$U258*Продажи!BI23*BI$19*(1+Чувствительность!$D$20)*IFERROR(LOOKUP(Предпосылки!$H$218,$C$13:$C$15,BI$13:BI$15),1)</f>
        <v>0</v>
      </c>
      <c s="125">
        <f>Предпосылки!BI$245*Предпосылки!$U258*Продажи!BJ23*BJ$19*(1+Чувствительность!$D$20)*IFERROR(LOOKUP(Предпосылки!$H$218,$C$13:$C$15,BJ$13:BJ$15),1)</f>
        <v>0</v>
      </c>
      <c s="125">
        <f>Предпосылки!BJ$245*Предпосылки!$U258*Продажи!BK23*BK$19*(1+Чувствительность!$D$20)*IFERROR(LOOKUP(Предпосылки!$H$218,$C$13:$C$15,BK$13:BK$15),1)</f>
        <v>0</v>
      </c>
      <c s="125">
        <f>Предпосылки!BK$245*Предпосылки!$U258*Продажи!BL23*BL$19*(1+Чувствительность!$D$20)*IFERROR(LOOKUP(Предпосылки!$H$218,$C$13:$C$15,BL$13:BL$15),1)</f>
        <v>0</v>
      </c>
      <c s="125">
        <f>Предпосылки!BL$245*Предпосылки!$U258*Продажи!BM23*BM$19*(1+Чувствительность!$D$20)*IFERROR(LOOKUP(Предпосылки!$H$218,$C$13:$C$15,BM$13:BM$15),1)</f>
        <v>0</v>
      </c>
    </row>
    <row r="420" spans="2:65" ht="15" customHeight="1">
      <c r="B420" s="12" t="str">
        <f t="shared" si="146"/>
        <v>Продукт 7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Предпосылки!D$245*Предпосылки!$U259*Продажи!E24*E$19*(1+Чувствительность!$D$20)*IFERROR(LOOKUP(Предпосылки!$H$218,$C$13:$C$15,E$13:E$15),1)</f>
        <v>0</v>
      </c>
      <c s="125">
        <f>Предпосылки!E$245*Предпосылки!$U259*Продажи!F24*F$19*(1+Чувствительность!$D$20)*IFERROR(LOOKUP(Предпосылки!$H$218,$C$13:$C$15,F$13:F$15),1)</f>
        <v>0</v>
      </c>
      <c s="125">
        <f>Предпосылки!F$245*Предпосылки!$U259*Продажи!G24*G$19*(1+Чувствительность!$D$20)*IFERROR(LOOKUP(Предпосылки!$H$218,$C$13:$C$15,G$13:G$15),1)</f>
        <v>0</v>
      </c>
      <c s="125">
        <f>Предпосылки!G$245*Предпосылки!$U259*Продажи!H24*H$19*(1+Чувствительность!$D$20)*IFERROR(LOOKUP(Предпосылки!$H$218,$C$13:$C$15,H$13:H$15),1)</f>
        <v>0</v>
      </c>
      <c s="125">
        <f>Предпосылки!H$245*Предпосылки!$U259*Продажи!I24*I$19*(1+Чувствительность!$D$20)*IFERROR(LOOKUP(Предпосылки!$H$218,$C$13:$C$15,I$13:I$15),1)</f>
        <v>0</v>
      </c>
      <c s="125">
        <f>Предпосылки!I$245*Предпосылки!$U259*Продажи!J24*J$19*(1+Чувствительность!$D$20)*IFERROR(LOOKUP(Предпосылки!$H$218,$C$13:$C$15,J$13:J$15),1)</f>
        <v>0</v>
      </c>
      <c s="125">
        <f>Предпосылки!J$245*Предпосылки!$U259*Продажи!K24*K$19*(1+Чувствительность!$D$20)*IFERROR(LOOKUP(Предпосылки!$H$218,$C$13:$C$15,K$13:K$15),1)</f>
        <v>0</v>
      </c>
      <c s="125">
        <f>Предпосылки!K$245*Предпосылки!$U259*Продажи!L24*L$19*(1+Чувствительность!$D$20)*IFERROR(LOOKUP(Предпосылки!$H$218,$C$13:$C$15,L$13:L$15),1)</f>
        <v>0</v>
      </c>
      <c s="125">
        <f>Предпосылки!L$245*Предпосылки!$U259*Продажи!M24*M$19*(1+Чувствительность!$D$20)*IFERROR(LOOKUP(Предпосылки!$H$218,$C$13:$C$15,M$13:M$15),1)</f>
        <v>0</v>
      </c>
      <c s="125">
        <f>Предпосылки!M$245*Предпосылки!$U259*Продажи!N24*N$19*(1+Чувствительность!$D$20)*IFERROR(LOOKUP(Предпосылки!$H$218,$C$13:$C$15,N$13:N$15),1)</f>
        <v>0</v>
      </c>
      <c s="125">
        <f>Предпосылки!N$245*Предпосылки!$U259*Продажи!O24*O$19*(1+Чувствительность!$D$20)*IFERROR(LOOKUP(Предпосылки!$H$218,$C$13:$C$15,O$13:O$15),1)</f>
        <v>0</v>
      </c>
      <c s="125">
        <f>Предпосылки!O$245*Предпосылки!$U259*Продажи!P24*P$19*(1+Чувствительность!$D$20)*IFERROR(LOOKUP(Предпосылки!$H$218,$C$13:$C$15,P$13:P$15),1)</f>
        <v>0</v>
      </c>
      <c s="125">
        <f>Предпосылки!P$245*Предпосылки!$U259*Продажи!Q24*Q$19*(1+Чувствительность!$D$20)*IFERROR(LOOKUP(Предпосылки!$H$218,$C$13:$C$15,Q$13:Q$15),1)</f>
        <v>0</v>
      </c>
      <c s="125">
        <f>Предпосылки!Q$245*Предпосылки!$U259*Продажи!R24*R$19*(1+Чувствительность!$D$20)*IFERROR(LOOKUP(Предпосылки!$H$218,$C$13:$C$15,R$13:R$15),1)</f>
        <v>0</v>
      </c>
      <c s="125">
        <f>Предпосылки!R$245*Предпосылки!$U259*Продажи!S24*S$19*(1+Чувствительность!$D$20)*IFERROR(LOOKUP(Предпосылки!$H$218,$C$13:$C$15,S$13:S$15),1)</f>
        <v>0</v>
      </c>
      <c s="125">
        <f>Предпосылки!S$245*Предпосылки!$U259*Продажи!T24*T$19*(1+Чувствительность!$D$20)*IFERROR(LOOKUP(Предпосылки!$H$218,$C$13:$C$15,T$13:T$15),1)</f>
        <v>0</v>
      </c>
      <c s="125">
        <f>Предпосылки!T$245*Предпосылки!$U259*Продажи!U24*U$19*(1+Чувствительность!$D$20)*IFERROR(LOOKUP(Предпосылки!$H$218,$C$13:$C$15,U$13:U$15),1)</f>
        <v>0</v>
      </c>
      <c s="125">
        <f>Предпосылки!U$245*Предпосылки!$U259*Продажи!V24*V$19*(1+Чувствительность!$D$20)*IFERROR(LOOKUP(Предпосылки!$H$218,$C$13:$C$15,V$13:V$15),1)</f>
        <v>0</v>
      </c>
      <c s="125">
        <f>Предпосылки!V$245*Предпосылки!$U259*Продажи!W24*W$19*(1+Чувствительность!$D$20)*IFERROR(LOOKUP(Предпосылки!$H$218,$C$13:$C$15,W$13:W$15),1)</f>
        <v>0</v>
      </c>
      <c s="125">
        <f>Предпосылки!W$245*Предпосылки!$U259*Продажи!X24*X$19*(1+Чувствительность!$D$20)*IFERROR(LOOKUP(Предпосылки!$H$218,$C$13:$C$15,X$13:X$15),1)</f>
        <v>0</v>
      </c>
      <c s="125">
        <f>Предпосылки!X$245*Предпосылки!$U259*Продажи!Y24*Y$19*(1+Чувствительность!$D$20)*IFERROR(LOOKUP(Предпосылки!$H$218,$C$13:$C$15,Y$13:Y$15),1)</f>
        <v>0</v>
      </c>
      <c s="125">
        <f>Предпосылки!Y$245*Предпосылки!$U259*Продажи!Z24*Z$19*(1+Чувствительность!$D$20)*IFERROR(LOOKUP(Предпосылки!$H$218,$C$13:$C$15,Z$13:Z$15),1)</f>
        <v>0</v>
      </c>
      <c s="125">
        <f>Предпосылки!Z$245*Предпосылки!$U259*Продажи!AA24*AA$19*(1+Чувствительность!$D$20)*IFERROR(LOOKUP(Предпосылки!$H$218,$C$13:$C$15,AA$13:AA$15),1)</f>
        <v>0</v>
      </c>
      <c s="125">
        <f>Предпосылки!AA$245*Предпосылки!$U259*Продажи!AB24*AB$19*(1+Чувствительность!$D$20)*IFERROR(LOOKUP(Предпосылки!$H$218,$C$13:$C$15,AB$13:AB$15),1)</f>
        <v>0</v>
      </c>
      <c s="125">
        <f>Предпосылки!AB$245*Предпосылки!$U259*Продажи!AC24*AC$19*(1+Чувствительность!$D$20)*IFERROR(LOOKUP(Предпосылки!$H$218,$C$13:$C$15,AC$13:AC$15),1)</f>
        <v>0</v>
      </c>
      <c s="125">
        <f>Предпосылки!AC$245*Предпосылки!$U259*Продажи!AD24*AD$19*(1+Чувствительность!$D$20)*IFERROR(LOOKUP(Предпосылки!$H$218,$C$13:$C$15,AD$13:AD$15),1)</f>
        <v>0</v>
      </c>
      <c s="125">
        <f>Предпосылки!AD$245*Предпосылки!$U259*Продажи!AE24*AE$19*(1+Чувствительность!$D$20)*IFERROR(LOOKUP(Предпосылки!$H$218,$C$13:$C$15,AE$13:AE$15),1)</f>
        <v>0</v>
      </c>
      <c s="125">
        <f>Предпосылки!AE$245*Предпосылки!$U259*Продажи!AF24*AF$19*(1+Чувствительность!$D$20)*IFERROR(LOOKUP(Предпосылки!$H$218,$C$13:$C$15,AF$13:AF$15),1)</f>
        <v>0</v>
      </c>
      <c s="125">
        <f>Предпосылки!AF$245*Предпосылки!$U259*Продажи!AG24*AG$19*(1+Чувствительность!$D$20)*IFERROR(LOOKUP(Предпосылки!$H$218,$C$13:$C$15,AG$13:AG$15),1)</f>
        <v>0</v>
      </c>
      <c s="125">
        <f>Предпосылки!AG$245*Предпосылки!$U259*Продажи!AH24*AH$19*(1+Чувствительность!$D$20)*IFERROR(LOOKUP(Предпосылки!$H$218,$C$13:$C$15,AH$13:AH$15),1)</f>
        <v>0</v>
      </c>
      <c s="125">
        <f>Предпосылки!AH$245*Предпосылки!$U259*Продажи!AI24*AI$19*(1+Чувствительность!$D$20)*IFERROR(LOOKUP(Предпосылки!$H$218,$C$13:$C$15,AI$13:AI$15),1)</f>
        <v>0</v>
      </c>
      <c s="125">
        <f>Предпосылки!AI$245*Предпосылки!$U259*Продажи!AJ24*AJ$19*(1+Чувствительность!$D$20)*IFERROR(LOOKUP(Предпосылки!$H$218,$C$13:$C$15,AJ$13:AJ$15),1)</f>
        <v>0</v>
      </c>
      <c s="125">
        <f>Предпосылки!AJ$245*Предпосылки!$U259*Продажи!AK24*AK$19*(1+Чувствительность!$D$20)*IFERROR(LOOKUP(Предпосылки!$H$218,$C$13:$C$15,AK$13:AK$15),1)</f>
        <v>0</v>
      </c>
      <c s="125">
        <f>Предпосылки!AK$245*Предпосылки!$U259*Продажи!AL24*AL$19*(1+Чувствительность!$D$20)*IFERROR(LOOKUP(Предпосылки!$H$218,$C$13:$C$15,AL$13:AL$15),1)</f>
        <v>0</v>
      </c>
      <c s="125">
        <f>Предпосылки!AL$245*Предпосылки!$U259*Продажи!AM24*AM$19*(1+Чувствительность!$D$20)*IFERROR(LOOKUP(Предпосылки!$H$218,$C$13:$C$15,AM$13:AM$15),1)</f>
        <v>0</v>
      </c>
      <c s="125">
        <f>Предпосылки!AM$245*Предпосылки!$U259*Продажи!AN24*AN$19*(1+Чувствительность!$D$20)*IFERROR(LOOKUP(Предпосылки!$H$218,$C$13:$C$15,AN$13:AN$15),1)</f>
        <v>0</v>
      </c>
      <c s="125">
        <f>Предпосылки!AN$245*Предпосылки!$U259*Продажи!AO24*AO$19*(1+Чувствительность!$D$20)*IFERROR(LOOKUP(Предпосылки!$H$218,$C$13:$C$15,AO$13:AO$15),1)</f>
        <v>0</v>
      </c>
      <c s="125">
        <f>Предпосылки!AO$245*Предпосылки!$U259*Продажи!AP24*AP$19*(1+Чувствительность!$D$20)*IFERROR(LOOKUP(Предпосылки!$H$218,$C$13:$C$15,AP$13:AP$15),1)</f>
        <v>0</v>
      </c>
      <c s="125">
        <f>Предпосылки!AP$245*Предпосылки!$U259*Продажи!AQ24*AQ$19*(1+Чувствительность!$D$20)*IFERROR(LOOKUP(Предпосылки!$H$218,$C$13:$C$15,AQ$13:AQ$15),1)</f>
        <v>0</v>
      </c>
      <c s="125">
        <f>Предпосылки!AQ$245*Предпосылки!$U259*Продажи!AR24*AR$19*(1+Чувствительность!$D$20)*IFERROR(LOOKUP(Предпосылки!$H$218,$C$13:$C$15,AR$13:AR$15),1)</f>
        <v>0</v>
      </c>
      <c s="125">
        <f>Предпосылки!AR$245*Предпосылки!$U259*Продажи!AS24*AS$19*(1+Чувствительность!$D$20)*IFERROR(LOOKUP(Предпосылки!$H$218,$C$13:$C$15,AS$13:AS$15),1)</f>
        <v>0</v>
      </c>
      <c s="125">
        <f>Предпосылки!AS$245*Предпосылки!$U259*Продажи!AT24*AT$19*(1+Чувствительность!$D$20)*IFERROR(LOOKUP(Предпосылки!$H$218,$C$13:$C$15,AT$13:AT$15),1)</f>
        <v>0</v>
      </c>
      <c s="125">
        <f>Предпосылки!AT$245*Предпосылки!$U259*Продажи!AU24*AU$19*(1+Чувствительность!$D$20)*IFERROR(LOOKUP(Предпосылки!$H$218,$C$13:$C$15,AU$13:AU$15),1)</f>
        <v>0</v>
      </c>
      <c s="125">
        <f>Предпосылки!AU$245*Предпосылки!$U259*Продажи!AV24*AV$19*(1+Чувствительность!$D$20)*IFERROR(LOOKUP(Предпосылки!$H$218,$C$13:$C$15,AV$13:AV$15),1)</f>
        <v>0</v>
      </c>
      <c s="125">
        <f>Предпосылки!AV$245*Предпосылки!$U259*Продажи!AW24*AW$19*(1+Чувствительность!$D$20)*IFERROR(LOOKUP(Предпосылки!$H$218,$C$13:$C$15,AW$13:AW$15),1)</f>
        <v>0</v>
      </c>
      <c s="125">
        <f>Предпосылки!AW$245*Предпосылки!$U259*Продажи!AX24*AX$19*(1+Чувствительность!$D$20)*IFERROR(LOOKUP(Предпосылки!$H$218,$C$13:$C$15,AX$13:AX$15),1)</f>
        <v>0</v>
      </c>
      <c s="125">
        <f>Предпосылки!AX$245*Предпосылки!$U259*Продажи!AY24*AY$19*(1+Чувствительность!$D$20)*IFERROR(LOOKUP(Предпосылки!$H$218,$C$13:$C$15,AY$13:AY$15),1)</f>
        <v>0</v>
      </c>
      <c s="125">
        <f>Предпосылки!AY$245*Предпосылки!$U259*Продажи!AZ24*AZ$19*(1+Чувствительность!$D$20)*IFERROR(LOOKUP(Предпосылки!$H$218,$C$13:$C$15,AZ$13:AZ$15),1)</f>
        <v>0</v>
      </c>
      <c s="125">
        <f>Предпосылки!AZ$245*Предпосылки!$U259*Продажи!BA24*BA$19*(1+Чувствительность!$D$20)*IFERROR(LOOKUP(Предпосылки!$H$218,$C$13:$C$15,BA$13:BA$15),1)</f>
        <v>0</v>
      </c>
      <c s="125">
        <f>Предпосылки!BA$245*Предпосылки!$U259*Продажи!BB24*BB$19*(1+Чувствительность!$D$20)*IFERROR(LOOKUP(Предпосылки!$H$218,$C$13:$C$15,BB$13:BB$15),1)</f>
        <v>0</v>
      </c>
      <c s="125">
        <f>Предпосылки!BB$245*Предпосылки!$U259*Продажи!BC24*BC$19*(1+Чувствительность!$D$20)*IFERROR(LOOKUP(Предпосылки!$H$218,$C$13:$C$15,BC$13:BC$15),1)</f>
        <v>0</v>
      </c>
      <c s="125">
        <f>Предпосылки!BC$245*Предпосылки!$U259*Продажи!BD24*BD$19*(1+Чувствительность!$D$20)*IFERROR(LOOKUP(Предпосылки!$H$218,$C$13:$C$15,BD$13:BD$15),1)</f>
        <v>0</v>
      </c>
      <c s="125">
        <f>Предпосылки!BD$245*Предпосылки!$U259*Продажи!BE24*BE$19*(1+Чувствительность!$D$20)*IFERROR(LOOKUP(Предпосылки!$H$218,$C$13:$C$15,BE$13:BE$15),1)</f>
        <v>0</v>
      </c>
      <c s="125">
        <f>Предпосылки!BE$245*Предпосылки!$U259*Продажи!BF24*BF$19*(1+Чувствительность!$D$20)*IFERROR(LOOKUP(Предпосылки!$H$218,$C$13:$C$15,BF$13:BF$15),1)</f>
        <v>0</v>
      </c>
      <c s="125">
        <f>Предпосылки!BF$245*Предпосылки!$U259*Продажи!BG24*BG$19*(1+Чувствительность!$D$20)*IFERROR(LOOKUP(Предпосылки!$H$218,$C$13:$C$15,BG$13:BG$15),1)</f>
        <v>0</v>
      </c>
      <c s="125">
        <f>Предпосылки!BG$245*Предпосылки!$U259*Продажи!BH24*BH$19*(1+Чувствительность!$D$20)*IFERROR(LOOKUP(Предпосылки!$H$218,$C$13:$C$15,BH$13:BH$15),1)</f>
        <v>0</v>
      </c>
      <c s="125">
        <f>Предпосылки!BH$245*Предпосылки!$U259*Продажи!BI24*BI$19*(1+Чувствительность!$D$20)*IFERROR(LOOKUP(Предпосылки!$H$218,$C$13:$C$15,BI$13:BI$15),1)</f>
        <v>0</v>
      </c>
      <c s="125">
        <f>Предпосылки!BI$245*Предпосылки!$U259*Продажи!BJ24*BJ$19*(1+Чувствительность!$D$20)*IFERROR(LOOKUP(Предпосылки!$H$218,$C$13:$C$15,BJ$13:BJ$15),1)</f>
        <v>0</v>
      </c>
      <c s="125">
        <f>Предпосылки!BJ$245*Предпосылки!$U259*Продажи!BK24*BK$19*(1+Чувствительность!$D$20)*IFERROR(LOOKUP(Предпосылки!$H$218,$C$13:$C$15,BK$13:BK$15),1)</f>
        <v>0</v>
      </c>
      <c s="125">
        <f>Предпосылки!BK$245*Предпосылки!$U259*Продажи!BL24*BL$19*(1+Чувствительность!$D$20)*IFERROR(LOOKUP(Предпосылки!$H$218,$C$13:$C$15,BL$13:BL$15),1)</f>
        <v>0</v>
      </c>
      <c s="125">
        <f>Предпосылки!BL$245*Предпосылки!$U259*Продажи!BM24*BM$19*(1+Чувствительность!$D$20)*IFERROR(LOOKUP(Предпосылки!$H$218,$C$13:$C$15,BM$13:BM$15),1)</f>
        <v>0</v>
      </c>
    </row>
    <row r="421" spans="2:65" ht="15" customHeight="1">
      <c r="B421" s="12" t="str">
        <f t="shared" si="146"/>
        <v>Продукт 8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Предпосылки!D$245*Предпосылки!$U260*Продажи!E25*E$19*(1+Чувствительность!$D$20)*IFERROR(LOOKUP(Предпосылки!$H$218,$C$13:$C$15,E$13:E$15),1)</f>
        <v>0</v>
      </c>
      <c s="125">
        <f>Предпосылки!E$245*Предпосылки!$U260*Продажи!F25*F$19*(1+Чувствительность!$D$20)*IFERROR(LOOKUP(Предпосылки!$H$218,$C$13:$C$15,F$13:F$15),1)</f>
        <v>0</v>
      </c>
      <c s="125">
        <f>Предпосылки!F$245*Предпосылки!$U260*Продажи!G25*G$19*(1+Чувствительность!$D$20)*IFERROR(LOOKUP(Предпосылки!$H$218,$C$13:$C$15,G$13:G$15),1)</f>
        <v>0</v>
      </c>
      <c s="125">
        <f>Предпосылки!G$245*Предпосылки!$U260*Продажи!H25*H$19*(1+Чувствительность!$D$20)*IFERROR(LOOKUP(Предпосылки!$H$218,$C$13:$C$15,H$13:H$15),1)</f>
        <v>0</v>
      </c>
      <c s="125">
        <f>Предпосылки!H$245*Предпосылки!$U260*Продажи!I25*I$19*(1+Чувствительность!$D$20)*IFERROR(LOOKUP(Предпосылки!$H$218,$C$13:$C$15,I$13:I$15),1)</f>
        <v>0</v>
      </c>
      <c s="125">
        <f>Предпосылки!I$245*Предпосылки!$U260*Продажи!J25*J$19*(1+Чувствительность!$D$20)*IFERROR(LOOKUP(Предпосылки!$H$218,$C$13:$C$15,J$13:J$15),1)</f>
        <v>0</v>
      </c>
      <c s="125">
        <f>Предпосылки!J$245*Предпосылки!$U260*Продажи!K25*K$19*(1+Чувствительность!$D$20)*IFERROR(LOOKUP(Предпосылки!$H$218,$C$13:$C$15,K$13:K$15),1)</f>
        <v>0</v>
      </c>
      <c s="125">
        <f>Предпосылки!K$245*Предпосылки!$U260*Продажи!L25*L$19*(1+Чувствительность!$D$20)*IFERROR(LOOKUP(Предпосылки!$H$218,$C$13:$C$15,L$13:L$15),1)</f>
        <v>0</v>
      </c>
      <c s="125">
        <f>Предпосылки!L$245*Предпосылки!$U260*Продажи!M25*M$19*(1+Чувствительность!$D$20)*IFERROR(LOOKUP(Предпосылки!$H$218,$C$13:$C$15,M$13:M$15),1)</f>
        <v>0</v>
      </c>
      <c s="125">
        <f>Предпосылки!M$245*Предпосылки!$U260*Продажи!N25*N$19*(1+Чувствительность!$D$20)*IFERROR(LOOKUP(Предпосылки!$H$218,$C$13:$C$15,N$13:N$15),1)</f>
        <v>0</v>
      </c>
      <c s="125">
        <f>Предпосылки!N$245*Предпосылки!$U260*Продажи!O25*O$19*(1+Чувствительность!$D$20)*IFERROR(LOOKUP(Предпосылки!$H$218,$C$13:$C$15,O$13:O$15),1)</f>
        <v>0</v>
      </c>
      <c s="125">
        <f>Предпосылки!O$245*Предпосылки!$U260*Продажи!P25*P$19*(1+Чувствительность!$D$20)*IFERROR(LOOKUP(Предпосылки!$H$218,$C$13:$C$15,P$13:P$15),1)</f>
        <v>0</v>
      </c>
      <c s="125">
        <f>Предпосылки!P$245*Предпосылки!$U260*Продажи!Q25*Q$19*(1+Чувствительность!$D$20)*IFERROR(LOOKUP(Предпосылки!$H$218,$C$13:$C$15,Q$13:Q$15),1)</f>
        <v>0</v>
      </c>
      <c s="125">
        <f>Предпосылки!Q$245*Предпосылки!$U260*Продажи!R25*R$19*(1+Чувствительность!$D$20)*IFERROR(LOOKUP(Предпосылки!$H$218,$C$13:$C$15,R$13:R$15),1)</f>
        <v>0</v>
      </c>
      <c s="125">
        <f>Предпосылки!R$245*Предпосылки!$U260*Продажи!S25*S$19*(1+Чувствительность!$D$20)*IFERROR(LOOKUP(Предпосылки!$H$218,$C$13:$C$15,S$13:S$15),1)</f>
        <v>0</v>
      </c>
      <c s="125">
        <f>Предпосылки!S$245*Предпосылки!$U260*Продажи!T25*T$19*(1+Чувствительность!$D$20)*IFERROR(LOOKUP(Предпосылки!$H$218,$C$13:$C$15,T$13:T$15),1)</f>
        <v>0</v>
      </c>
      <c s="125">
        <f>Предпосылки!T$245*Предпосылки!$U260*Продажи!U25*U$19*(1+Чувствительность!$D$20)*IFERROR(LOOKUP(Предпосылки!$H$218,$C$13:$C$15,U$13:U$15),1)</f>
        <v>0</v>
      </c>
      <c s="125">
        <f>Предпосылки!U$245*Предпосылки!$U260*Продажи!V25*V$19*(1+Чувствительность!$D$20)*IFERROR(LOOKUP(Предпосылки!$H$218,$C$13:$C$15,V$13:V$15),1)</f>
        <v>0</v>
      </c>
      <c s="125">
        <f>Предпосылки!V$245*Предпосылки!$U260*Продажи!W25*W$19*(1+Чувствительность!$D$20)*IFERROR(LOOKUP(Предпосылки!$H$218,$C$13:$C$15,W$13:W$15),1)</f>
        <v>0</v>
      </c>
      <c s="125">
        <f>Предпосылки!W$245*Предпосылки!$U260*Продажи!X25*X$19*(1+Чувствительность!$D$20)*IFERROR(LOOKUP(Предпосылки!$H$218,$C$13:$C$15,X$13:X$15),1)</f>
        <v>0</v>
      </c>
      <c s="125">
        <f>Предпосылки!X$245*Предпосылки!$U260*Продажи!Y25*Y$19*(1+Чувствительность!$D$20)*IFERROR(LOOKUP(Предпосылки!$H$218,$C$13:$C$15,Y$13:Y$15),1)</f>
        <v>0</v>
      </c>
      <c s="125">
        <f>Предпосылки!Y$245*Предпосылки!$U260*Продажи!Z25*Z$19*(1+Чувствительность!$D$20)*IFERROR(LOOKUP(Предпосылки!$H$218,$C$13:$C$15,Z$13:Z$15),1)</f>
        <v>0</v>
      </c>
      <c s="125">
        <f>Предпосылки!Z$245*Предпосылки!$U260*Продажи!AA25*AA$19*(1+Чувствительность!$D$20)*IFERROR(LOOKUP(Предпосылки!$H$218,$C$13:$C$15,AA$13:AA$15),1)</f>
        <v>0</v>
      </c>
      <c s="125">
        <f>Предпосылки!AA$245*Предпосылки!$U260*Продажи!AB25*AB$19*(1+Чувствительность!$D$20)*IFERROR(LOOKUP(Предпосылки!$H$218,$C$13:$C$15,AB$13:AB$15),1)</f>
        <v>0</v>
      </c>
      <c s="125">
        <f>Предпосылки!AB$245*Предпосылки!$U260*Продажи!AC25*AC$19*(1+Чувствительность!$D$20)*IFERROR(LOOKUP(Предпосылки!$H$218,$C$13:$C$15,AC$13:AC$15),1)</f>
        <v>0</v>
      </c>
      <c s="125">
        <f>Предпосылки!AC$245*Предпосылки!$U260*Продажи!AD25*AD$19*(1+Чувствительность!$D$20)*IFERROR(LOOKUP(Предпосылки!$H$218,$C$13:$C$15,AD$13:AD$15),1)</f>
        <v>0</v>
      </c>
      <c s="125">
        <f>Предпосылки!AD$245*Предпосылки!$U260*Продажи!AE25*AE$19*(1+Чувствительность!$D$20)*IFERROR(LOOKUP(Предпосылки!$H$218,$C$13:$C$15,AE$13:AE$15),1)</f>
        <v>0</v>
      </c>
      <c s="125">
        <f>Предпосылки!AE$245*Предпосылки!$U260*Продажи!AF25*AF$19*(1+Чувствительность!$D$20)*IFERROR(LOOKUP(Предпосылки!$H$218,$C$13:$C$15,AF$13:AF$15),1)</f>
        <v>0</v>
      </c>
      <c s="125">
        <f>Предпосылки!AF$245*Предпосылки!$U260*Продажи!AG25*AG$19*(1+Чувствительность!$D$20)*IFERROR(LOOKUP(Предпосылки!$H$218,$C$13:$C$15,AG$13:AG$15),1)</f>
        <v>0</v>
      </c>
      <c s="125">
        <f>Предпосылки!AG$245*Предпосылки!$U260*Продажи!AH25*AH$19*(1+Чувствительность!$D$20)*IFERROR(LOOKUP(Предпосылки!$H$218,$C$13:$C$15,AH$13:AH$15),1)</f>
        <v>0</v>
      </c>
      <c s="125">
        <f>Предпосылки!AH$245*Предпосылки!$U260*Продажи!AI25*AI$19*(1+Чувствительность!$D$20)*IFERROR(LOOKUP(Предпосылки!$H$218,$C$13:$C$15,AI$13:AI$15),1)</f>
        <v>0</v>
      </c>
      <c s="125">
        <f>Предпосылки!AI$245*Предпосылки!$U260*Продажи!AJ25*AJ$19*(1+Чувствительность!$D$20)*IFERROR(LOOKUP(Предпосылки!$H$218,$C$13:$C$15,AJ$13:AJ$15),1)</f>
        <v>0</v>
      </c>
      <c s="125">
        <f>Предпосылки!AJ$245*Предпосылки!$U260*Продажи!AK25*AK$19*(1+Чувствительность!$D$20)*IFERROR(LOOKUP(Предпосылки!$H$218,$C$13:$C$15,AK$13:AK$15),1)</f>
        <v>0</v>
      </c>
      <c s="125">
        <f>Предпосылки!AK$245*Предпосылки!$U260*Продажи!AL25*AL$19*(1+Чувствительность!$D$20)*IFERROR(LOOKUP(Предпосылки!$H$218,$C$13:$C$15,AL$13:AL$15),1)</f>
        <v>0</v>
      </c>
      <c s="125">
        <f>Предпосылки!AL$245*Предпосылки!$U260*Продажи!AM25*AM$19*(1+Чувствительность!$D$20)*IFERROR(LOOKUP(Предпосылки!$H$218,$C$13:$C$15,AM$13:AM$15),1)</f>
        <v>0</v>
      </c>
      <c s="125">
        <f>Предпосылки!AM$245*Предпосылки!$U260*Продажи!AN25*AN$19*(1+Чувствительность!$D$20)*IFERROR(LOOKUP(Предпосылки!$H$218,$C$13:$C$15,AN$13:AN$15),1)</f>
        <v>0</v>
      </c>
      <c s="125">
        <f>Предпосылки!AN$245*Предпосылки!$U260*Продажи!AO25*AO$19*(1+Чувствительность!$D$20)*IFERROR(LOOKUP(Предпосылки!$H$218,$C$13:$C$15,AO$13:AO$15),1)</f>
        <v>0</v>
      </c>
      <c s="125">
        <f>Предпосылки!AO$245*Предпосылки!$U260*Продажи!AP25*AP$19*(1+Чувствительность!$D$20)*IFERROR(LOOKUP(Предпосылки!$H$218,$C$13:$C$15,AP$13:AP$15),1)</f>
        <v>0</v>
      </c>
      <c s="125">
        <f>Предпосылки!AP$245*Предпосылки!$U260*Продажи!AQ25*AQ$19*(1+Чувствительность!$D$20)*IFERROR(LOOKUP(Предпосылки!$H$218,$C$13:$C$15,AQ$13:AQ$15),1)</f>
        <v>0</v>
      </c>
      <c s="125">
        <f>Предпосылки!AQ$245*Предпосылки!$U260*Продажи!AR25*AR$19*(1+Чувствительность!$D$20)*IFERROR(LOOKUP(Предпосылки!$H$218,$C$13:$C$15,AR$13:AR$15),1)</f>
        <v>0</v>
      </c>
      <c s="125">
        <f>Предпосылки!AR$245*Предпосылки!$U260*Продажи!AS25*AS$19*(1+Чувствительность!$D$20)*IFERROR(LOOKUP(Предпосылки!$H$218,$C$13:$C$15,AS$13:AS$15),1)</f>
        <v>0</v>
      </c>
      <c s="125">
        <f>Предпосылки!AS$245*Предпосылки!$U260*Продажи!AT25*AT$19*(1+Чувствительность!$D$20)*IFERROR(LOOKUP(Предпосылки!$H$218,$C$13:$C$15,AT$13:AT$15),1)</f>
        <v>0</v>
      </c>
      <c s="125">
        <f>Предпосылки!AT$245*Предпосылки!$U260*Продажи!AU25*AU$19*(1+Чувствительность!$D$20)*IFERROR(LOOKUP(Предпосылки!$H$218,$C$13:$C$15,AU$13:AU$15),1)</f>
        <v>0</v>
      </c>
      <c s="125">
        <f>Предпосылки!AU$245*Предпосылки!$U260*Продажи!AV25*AV$19*(1+Чувствительность!$D$20)*IFERROR(LOOKUP(Предпосылки!$H$218,$C$13:$C$15,AV$13:AV$15),1)</f>
        <v>0</v>
      </c>
      <c s="125">
        <f>Предпосылки!AV$245*Предпосылки!$U260*Продажи!AW25*AW$19*(1+Чувствительность!$D$20)*IFERROR(LOOKUP(Предпосылки!$H$218,$C$13:$C$15,AW$13:AW$15),1)</f>
        <v>0</v>
      </c>
      <c s="125">
        <f>Предпосылки!AW$245*Предпосылки!$U260*Продажи!AX25*AX$19*(1+Чувствительность!$D$20)*IFERROR(LOOKUP(Предпосылки!$H$218,$C$13:$C$15,AX$13:AX$15),1)</f>
        <v>0</v>
      </c>
      <c s="125">
        <f>Предпосылки!AX$245*Предпосылки!$U260*Продажи!AY25*AY$19*(1+Чувствительность!$D$20)*IFERROR(LOOKUP(Предпосылки!$H$218,$C$13:$C$15,AY$13:AY$15),1)</f>
        <v>0</v>
      </c>
      <c s="125">
        <f>Предпосылки!AY$245*Предпосылки!$U260*Продажи!AZ25*AZ$19*(1+Чувствительность!$D$20)*IFERROR(LOOKUP(Предпосылки!$H$218,$C$13:$C$15,AZ$13:AZ$15),1)</f>
        <v>0</v>
      </c>
      <c s="125">
        <f>Предпосылки!AZ$245*Предпосылки!$U260*Продажи!BA25*BA$19*(1+Чувствительность!$D$20)*IFERROR(LOOKUP(Предпосылки!$H$218,$C$13:$C$15,BA$13:BA$15),1)</f>
        <v>0</v>
      </c>
      <c s="125">
        <f>Предпосылки!BA$245*Предпосылки!$U260*Продажи!BB25*BB$19*(1+Чувствительность!$D$20)*IFERROR(LOOKUP(Предпосылки!$H$218,$C$13:$C$15,BB$13:BB$15),1)</f>
        <v>0</v>
      </c>
      <c s="125">
        <f>Предпосылки!BB$245*Предпосылки!$U260*Продажи!BC25*BC$19*(1+Чувствительность!$D$20)*IFERROR(LOOKUP(Предпосылки!$H$218,$C$13:$C$15,BC$13:BC$15),1)</f>
        <v>0</v>
      </c>
      <c s="125">
        <f>Предпосылки!BC$245*Предпосылки!$U260*Продажи!BD25*BD$19*(1+Чувствительность!$D$20)*IFERROR(LOOKUP(Предпосылки!$H$218,$C$13:$C$15,BD$13:BD$15),1)</f>
        <v>0</v>
      </c>
      <c s="125">
        <f>Предпосылки!BD$245*Предпосылки!$U260*Продажи!BE25*BE$19*(1+Чувствительность!$D$20)*IFERROR(LOOKUP(Предпосылки!$H$218,$C$13:$C$15,BE$13:BE$15),1)</f>
        <v>0</v>
      </c>
      <c s="125">
        <f>Предпосылки!BE$245*Предпосылки!$U260*Продажи!BF25*BF$19*(1+Чувствительность!$D$20)*IFERROR(LOOKUP(Предпосылки!$H$218,$C$13:$C$15,BF$13:BF$15),1)</f>
        <v>0</v>
      </c>
      <c s="125">
        <f>Предпосылки!BF$245*Предпосылки!$U260*Продажи!BG25*BG$19*(1+Чувствительность!$D$20)*IFERROR(LOOKUP(Предпосылки!$H$218,$C$13:$C$15,BG$13:BG$15),1)</f>
        <v>0</v>
      </c>
      <c s="125">
        <f>Предпосылки!BG$245*Предпосылки!$U260*Продажи!BH25*BH$19*(1+Чувствительность!$D$20)*IFERROR(LOOKUP(Предпосылки!$H$218,$C$13:$C$15,BH$13:BH$15),1)</f>
        <v>0</v>
      </c>
      <c s="125">
        <f>Предпосылки!BH$245*Предпосылки!$U260*Продажи!BI25*BI$19*(1+Чувствительность!$D$20)*IFERROR(LOOKUP(Предпосылки!$H$218,$C$13:$C$15,BI$13:BI$15),1)</f>
        <v>0</v>
      </c>
      <c s="125">
        <f>Предпосылки!BI$245*Предпосылки!$U260*Продажи!BJ25*BJ$19*(1+Чувствительность!$D$20)*IFERROR(LOOKUP(Предпосылки!$H$218,$C$13:$C$15,BJ$13:BJ$15),1)</f>
        <v>0</v>
      </c>
      <c s="125">
        <f>Предпосылки!BJ$245*Предпосылки!$U260*Продажи!BK25*BK$19*(1+Чувствительность!$D$20)*IFERROR(LOOKUP(Предпосылки!$H$218,$C$13:$C$15,BK$13:BK$15),1)</f>
        <v>0</v>
      </c>
      <c s="125">
        <f>Предпосылки!BK$245*Предпосылки!$U260*Продажи!BL25*BL$19*(1+Чувствительность!$D$20)*IFERROR(LOOKUP(Предпосылки!$H$218,$C$13:$C$15,BL$13:BL$15),1)</f>
        <v>0</v>
      </c>
      <c s="125">
        <f>Предпосылки!BL$245*Предпосылки!$U260*Продажи!BM25*BM$19*(1+Чувствительность!$D$20)*IFERROR(LOOKUP(Предпосылки!$H$218,$C$13:$C$15,BM$13:BM$15),1)</f>
        <v>0</v>
      </c>
    </row>
    <row r="422" spans="2:65" ht="15" customHeight="1">
      <c r="B422" s="12" t="str">
        <f t="shared" si="146"/>
        <v>Продукт 9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Предпосылки!D$245*Предпосылки!$U261*Продажи!E26*E$19*(1+Чувствительность!$D$20)*IFERROR(LOOKUP(Предпосылки!$H$218,$C$13:$C$15,E$13:E$15),1)</f>
        <v>0</v>
      </c>
      <c s="125">
        <f>Предпосылки!E$245*Предпосылки!$U261*Продажи!F26*F$19*(1+Чувствительность!$D$20)*IFERROR(LOOKUP(Предпосылки!$H$218,$C$13:$C$15,F$13:F$15),1)</f>
        <v>0</v>
      </c>
      <c s="125">
        <f>Предпосылки!F$245*Предпосылки!$U261*Продажи!G26*G$19*(1+Чувствительность!$D$20)*IFERROR(LOOKUP(Предпосылки!$H$218,$C$13:$C$15,G$13:G$15),1)</f>
        <v>0</v>
      </c>
      <c s="125">
        <f>Предпосылки!G$245*Предпосылки!$U261*Продажи!H26*H$19*(1+Чувствительность!$D$20)*IFERROR(LOOKUP(Предпосылки!$H$218,$C$13:$C$15,H$13:H$15),1)</f>
        <v>0</v>
      </c>
      <c s="125">
        <f>Предпосылки!H$245*Предпосылки!$U261*Продажи!I26*I$19*(1+Чувствительность!$D$20)*IFERROR(LOOKUP(Предпосылки!$H$218,$C$13:$C$15,I$13:I$15),1)</f>
        <v>0</v>
      </c>
      <c s="125">
        <f>Предпосылки!I$245*Предпосылки!$U261*Продажи!J26*J$19*(1+Чувствительность!$D$20)*IFERROR(LOOKUP(Предпосылки!$H$218,$C$13:$C$15,J$13:J$15),1)</f>
        <v>0</v>
      </c>
      <c s="125">
        <f>Предпосылки!J$245*Предпосылки!$U261*Продажи!K26*K$19*(1+Чувствительность!$D$20)*IFERROR(LOOKUP(Предпосылки!$H$218,$C$13:$C$15,K$13:K$15),1)</f>
        <v>0</v>
      </c>
      <c s="125">
        <f>Предпосылки!K$245*Предпосылки!$U261*Продажи!L26*L$19*(1+Чувствительность!$D$20)*IFERROR(LOOKUP(Предпосылки!$H$218,$C$13:$C$15,L$13:L$15),1)</f>
        <v>0</v>
      </c>
      <c s="125">
        <f>Предпосылки!L$245*Предпосылки!$U261*Продажи!M26*M$19*(1+Чувствительность!$D$20)*IFERROR(LOOKUP(Предпосылки!$H$218,$C$13:$C$15,M$13:M$15),1)</f>
        <v>0</v>
      </c>
      <c s="125">
        <f>Предпосылки!M$245*Предпосылки!$U261*Продажи!N26*N$19*(1+Чувствительность!$D$20)*IFERROR(LOOKUP(Предпосылки!$H$218,$C$13:$C$15,N$13:N$15),1)</f>
        <v>0</v>
      </c>
      <c s="125">
        <f>Предпосылки!N$245*Предпосылки!$U261*Продажи!O26*O$19*(1+Чувствительность!$D$20)*IFERROR(LOOKUP(Предпосылки!$H$218,$C$13:$C$15,O$13:O$15),1)</f>
        <v>0</v>
      </c>
      <c s="125">
        <f>Предпосылки!O$245*Предпосылки!$U261*Продажи!P26*P$19*(1+Чувствительность!$D$20)*IFERROR(LOOKUP(Предпосылки!$H$218,$C$13:$C$15,P$13:P$15),1)</f>
        <v>0</v>
      </c>
      <c s="125">
        <f>Предпосылки!P$245*Предпосылки!$U261*Продажи!Q26*Q$19*(1+Чувствительность!$D$20)*IFERROR(LOOKUP(Предпосылки!$H$218,$C$13:$C$15,Q$13:Q$15),1)</f>
        <v>0</v>
      </c>
      <c s="125">
        <f>Предпосылки!Q$245*Предпосылки!$U261*Продажи!R26*R$19*(1+Чувствительность!$D$20)*IFERROR(LOOKUP(Предпосылки!$H$218,$C$13:$C$15,R$13:R$15),1)</f>
        <v>0</v>
      </c>
      <c s="125">
        <f>Предпосылки!R$245*Предпосылки!$U261*Продажи!S26*S$19*(1+Чувствительность!$D$20)*IFERROR(LOOKUP(Предпосылки!$H$218,$C$13:$C$15,S$13:S$15),1)</f>
        <v>0</v>
      </c>
      <c s="125">
        <f>Предпосылки!S$245*Предпосылки!$U261*Продажи!T26*T$19*(1+Чувствительность!$D$20)*IFERROR(LOOKUP(Предпосылки!$H$218,$C$13:$C$15,T$13:T$15),1)</f>
        <v>0</v>
      </c>
      <c s="125">
        <f>Предпосылки!T$245*Предпосылки!$U261*Продажи!U26*U$19*(1+Чувствительность!$D$20)*IFERROR(LOOKUP(Предпосылки!$H$218,$C$13:$C$15,U$13:U$15),1)</f>
        <v>0</v>
      </c>
      <c s="125">
        <f>Предпосылки!U$245*Предпосылки!$U261*Продажи!V26*V$19*(1+Чувствительность!$D$20)*IFERROR(LOOKUP(Предпосылки!$H$218,$C$13:$C$15,V$13:V$15),1)</f>
        <v>0</v>
      </c>
      <c s="125">
        <f>Предпосылки!V$245*Предпосылки!$U261*Продажи!W26*W$19*(1+Чувствительность!$D$20)*IFERROR(LOOKUP(Предпосылки!$H$218,$C$13:$C$15,W$13:W$15),1)</f>
        <v>0</v>
      </c>
      <c s="125">
        <f>Предпосылки!W$245*Предпосылки!$U261*Продажи!X26*X$19*(1+Чувствительность!$D$20)*IFERROR(LOOKUP(Предпосылки!$H$218,$C$13:$C$15,X$13:X$15),1)</f>
        <v>0</v>
      </c>
      <c s="125">
        <f>Предпосылки!X$245*Предпосылки!$U261*Продажи!Y26*Y$19*(1+Чувствительность!$D$20)*IFERROR(LOOKUP(Предпосылки!$H$218,$C$13:$C$15,Y$13:Y$15),1)</f>
        <v>0</v>
      </c>
      <c s="125">
        <f>Предпосылки!Y$245*Предпосылки!$U261*Продажи!Z26*Z$19*(1+Чувствительность!$D$20)*IFERROR(LOOKUP(Предпосылки!$H$218,$C$13:$C$15,Z$13:Z$15),1)</f>
        <v>0</v>
      </c>
      <c s="125">
        <f>Предпосылки!Z$245*Предпосылки!$U261*Продажи!AA26*AA$19*(1+Чувствительность!$D$20)*IFERROR(LOOKUP(Предпосылки!$H$218,$C$13:$C$15,AA$13:AA$15),1)</f>
        <v>0</v>
      </c>
      <c s="125">
        <f>Предпосылки!AA$245*Предпосылки!$U261*Продажи!AB26*AB$19*(1+Чувствительность!$D$20)*IFERROR(LOOKUP(Предпосылки!$H$218,$C$13:$C$15,AB$13:AB$15),1)</f>
        <v>0</v>
      </c>
      <c s="125">
        <f>Предпосылки!AB$245*Предпосылки!$U261*Продажи!AC26*AC$19*(1+Чувствительность!$D$20)*IFERROR(LOOKUP(Предпосылки!$H$218,$C$13:$C$15,AC$13:AC$15),1)</f>
        <v>0</v>
      </c>
      <c s="125">
        <f>Предпосылки!AC$245*Предпосылки!$U261*Продажи!AD26*AD$19*(1+Чувствительность!$D$20)*IFERROR(LOOKUP(Предпосылки!$H$218,$C$13:$C$15,AD$13:AD$15),1)</f>
        <v>0</v>
      </c>
      <c s="125">
        <f>Предпосылки!AD$245*Предпосылки!$U261*Продажи!AE26*AE$19*(1+Чувствительность!$D$20)*IFERROR(LOOKUP(Предпосылки!$H$218,$C$13:$C$15,AE$13:AE$15),1)</f>
        <v>0</v>
      </c>
      <c s="125">
        <f>Предпосылки!AE$245*Предпосылки!$U261*Продажи!AF26*AF$19*(1+Чувствительность!$D$20)*IFERROR(LOOKUP(Предпосылки!$H$218,$C$13:$C$15,AF$13:AF$15),1)</f>
        <v>0</v>
      </c>
      <c s="125">
        <f>Предпосылки!AF$245*Предпосылки!$U261*Продажи!AG26*AG$19*(1+Чувствительность!$D$20)*IFERROR(LOOKUP(Предпосылки!$H$218,$C$13:$C$15,AG$13:AG$15),1)</f>
        <v>0</v>
      </c>
      <c s="125">
        <f>Предпосылки!AG$245*Предпосылки!$U261*Продажи!AH26*AH$19*(1+Чувствительность!$D$20)*IFERROR(LOOKUP(Предпосылки!$H$218,$C$13:$C$15,AH$13:AH$15),1)</f>
        <v>0</v>
      </c>
      <c s="125">
        <f>Предпосылки!AH$245*Предпосылки!$U261*Продажи!AI26*AI$19*(1+Чувствительность!$D$20)*IFERROR(LOOKUP(Предпосылки!$H$218,$C$13:$C$15,AI$13:AI$15),1)</f>
        <v>0</v>
      </c>
      <c s="125">
        <f>Предпосылки!AI$245*Предпосылки!$U261*Продажи!AJ26*AJ$19*(1+Чувствительность!$D$20)*IFERROR(LOOKUP(Предпосылки!$H$218,$C$13:$C$15,AJ$13:AJ$15),1)</f>
        <v>0</v>
      </c>
      <c s="125">
        <f>Предпосылки!AJ$245*Предпосылки!$U261*Продажи!AK26*AK$19*(1+Чувствительность!$D$20)*IFERROR(LOOKUP(Предпосылки!$H$218,$C$13:$C$15,AK$13:AK$15),1)</f>
        <v>0</v>
      </c>
      <c s="125">
        <f>Предпосылки!AK$245*Предпосылки!$U261*Продажи!AL26*AL$19*(1+Чувствительность!$D$20)*IFERROR(LOOKUP(Предпосылки!$H$218,$C$13:$C$15,AL$13:AL$15),1)</f>
        <v>0</v>
      </c>
      <c s="125">
        <f>Предпосылки!AL$245*Предпосылки!$U261*Продажи!AM26*AM$19*(1+Чувствительность!$D$20)*IFERROR(LOOKUP(Предпосылки!$H$218,$C$13:$C$15,AM$13:AM$15),1)</f>
        <v>0</v>
      </c>
      <c s="125">
        <f>Предпосылки!AM$245*Предпосылки!$U261*Продажи!AN26*AN$19*(1+Чувствительность!$D$20)*IFERROR(LOOKUP(Предпосылки!$H$218,$C$13:$C$15,AN$13:AN$15),1)</f>
        <v>0</v>
      </c>
      <c s="125">
        <f>Предпосылки!AN$245*Предпосылки!$U261*Продажи!AO26*AO$19*(1+Чувствительность!$D$20)*IFERROR(LOOKUP(Предпосылки!$H$218,$C$13:$C$15,AO$13:AO$15),1)</f>
        <v>0</v>
      </c>
      <c s="125">
        <f>Предпосылки!AO$245*Предпосылки!$U261*Продажи!AP26*AP$19*(1+Чувствительность!$D$20)*IFERROR(LOOKUP(Предпосылки!$H$218,$C$13:$C$15,AP$13:AP$15),1)</f>
        <v>0</v>
      </c>
      <c s="125">
        <f>Предпосылки!AP$245*Предпосылки!$U261*Продажи!AQ26*AQ$19*(1+Чувствительность!$D$20)*IFERROR(LOOKUP(Предпосылки!$H$218,$C$13:$C$15,AQ$13:AQ$15),1)</f>
        <v>0</v>
      </c>
      <c s="125">
        <f>Предпосылки!AQ$245*Предпосылки!$U261*Продажи!AR26*AR$19*(1+Чувствительность!$D$20)*IFERROR(LOOKUP(Предпосылки!$H$218,$C$13:$C$15,AR$13:AR$15),1)</f>
        <v>0</v>
      </c>
      <c s="125">
        <f>Предпосылки!AR$245*Предпосылки!$U261*Продажи!AS26*AS$19*(1+Чувствительность!$D$20)*IFERROR(LOOKUP(Предпосылки!$H$218,$C$13:$C$15,AS$13:AS$15),1)</f>
        <v>0</v>
      </c>
      <c s="125">
        <f>Предпосылки!AS$245*Предпосылки!$U261*Продажи!AT26*AT$19*(1+Чувствительность!$D$20)*IFERROR(LOOKUP(Предпосылки!$H$218,$C$13:$C$15,AT$13:AT$15),1)</f>
        <v>0</v>
      </c>
      <c s="125">
        <f>Предпосылки!AT$245*Предпосылки!$U261*Продажи!AU26*AU$19*(1+Чувствительность!$D$20)*IFERROR(LOOKUP(Предпосылки!$H$218,$C$13:$C$15,AU$13:AU$15),1)</f>
        <v>0</v>
      </c>
      <c s="125">
        <f>Предпосылки!AU$245*Предпосылки!$U261*Продажи!AV26*AV$19*(1+Чувствительность!$D$20)*IFERROR(LOOKUP(Предпосылки!$H$218,$C$13:$C$15,AV$13:AV$15),1)</f>
        <v>0</v>
      </c>
      <c s="125">
        <f>Предпосылки!AV$245*Предпосылки!$U261*Продажи!AW26*AW$19*(1+Чувствительность!$D$20)*IFERROR(LOOKUP(Предпосылки!$H$218,$C$13:$C$15,AW$13:AW$15),1)</f>
        <v>0</v>
      </c>
      <c s="125">
        <f>Предпосылки!AW$245*Предпосылки!$U261*Продажи!AX26*AX$19*(1+Чувствительность!$D$20)*IFERROR(LOOKUP(Предпосылки!$H$218,$C$13:$C$15,AX$13:AX$15),1)</f>
        <v>0</v>
      </c>
      <c s="125">
        <f>Предпосылки!AX$245*Предпосылки!$U261*Продажи!AY26*AY$19*(1+Чувствительность!$D$20)*IFERROR(LOOKUP(Предпосылки!$H$218,$C$13:$C$15,AY$13:AY$15),1)</f>
        <v>0</v>
      </c>
      <c s="125">
        <f>Предпосылки!AY$245*Предпосылки!$U261*Продажи!AZ26*AZ$19*(1+Чувствительность!$D$20)*IFERROR(LOOKUP(Предпосылки!$H$218,$C$13:$C$15,AZ$13:AZ$15),1)</f>
        <v>0</v>
      </c>
      <c s="125">
        <f>Предпосылки!AZ$245*Предпосылки!$U261*Продажи!BA26*BA$19*(1+Чувствительность!$D$20)*IFERROR(LOOKUP(Предпосылки!$H$218,$C$13:$C$15,BA$13:BA$15),1)</f>
        <v>0</v>
      </c>
      <c s="125">
        <f>Предпосылки!BA$245*Предпосылки!$U261*Продажи!BB26*BB$19*(1+Чувствительность!$D$20)*IFERROR(LOOKUP(Предпосылки!$H$218,$C$13:$C$15,BB$13:BB$15),1)</f>
        <v>0</v>
      </c>
      <c s="125">
        <f>Предпосылки!BB$245*Предпосылки!$U261*Продажи!BC26*BC$19*(1+Чувствительность!$D$20)*IFERROR(LOOKUP(Предпосылки!$H$218,$C$13:$C$15,BC$13:BC$15),1)</f>
        <v>0</v>
      </c>
      <c s="125">
        <f>Предпосылки!BC$245*Предпосылки!$U261*Продажи!BD26*BD$19*(1+Чувствительность!$D$20)*IFERROR(LOOKUP(Предпосылки!$H$218,$C$13:$C$15,BD$13:BD$15),1)</f>
        <v>0</v>
      </c>
      <c s="125">
        <f>Предпосылки!BD$245*Предпосылки!$U261*Продажи!BE26*BE$19*(1+Чувствительность!$D$20)*IFERROR(LOOKUP(Предпосылки!$H$218,$C$13:$C$15,BE$13:BE$15),1)</f>
        <v>0</v>
      </c>
      <c s="125">
        <f>Предпосылки!BE$245*Предпосылки!$U261*Продажи!BF26*BF$19*(1+Чувствительность!$D$20)*IFERROR(LOOKUP(Предпосылки!$H$218,$C$13:$C$15,BF$13:BF$15),1)</f>
        <v>0</v>
      </c>
      <c s="125">
        <f>Предпосылки!BF$245*Предпосылки!$U261*Продажи!BG26*BG$19*(1+Чувствительность!$D$20)*IFERROR(LOOKUP(Предпосылки!$H$218,$C$13:$C$15,BG$13:BG$15),1)</f>
        <v>0</v>
      </c>
      <c s="125">
        <f>Предпосылки!BG$245*Предпосылки!$U261*Продажи!BH26*BH$19*(1+Чувствительность!$D$20)*IFERROR(LOOKUP(Предпосылки!$H$218,$C$13:$C$15,BH$13:BH$15),1)</f>
        <v>0</v>
      </c>
      <c s="125">
        <f>Предпосылки!BH$245*Предпосылки!$U261*Продажи!BI26*BI$19*(1+Чувствительность!$D$20)*IFERROR(LOOKUP(Предпосылки!$H$218,$C$13:$C$15,BI$13:BI$15),1)</f>
        <v>0</v>
      </c>
      <c s="125">
        <f>Предпосылки!BI$245*Предпосылки!$U261*Продажи!BJ26*BJ$19*(1+Чувствительность!$D$20)*IFERROR(LOOKUP(Предпосылки!$H$218,$C$13:$C$15,BJ$13:BJ$15),1)</f>
        <v>0</v>
      </c>
      <c s="125">
        <f>Предпосылки!BJ$245*Предпосылки!$U261*Продажи!BK26*BK$19*(1+Чувствительность!$D$20)*IFERROR(LOOKUP(Предпосылки!$H$218,$C$13:$C$15,BK$13:BK$15),1)</f>
        <v>0</v>
      </c>
      <c s="125">
        <f>Предпосылки!BK$245*Предпосылки!$U261*Продажи!BL26*BL$19*(1+Чувствительность!$D$20)*IFERROR(LOOKUP(Предпосылки!$H$218,$C$13:$C$15,BL$13:BL$15),1)</f>
        <v>0</v>
      </c>
      <c s="125">
        <f>Предпосылки!BL$245*Предпосылки!$U261*Продажи!BM26*BM$19*(1+Чувствительность!$D$20)*IFERROR(LOOKUP(Предпосылки!$H$218,$C$13:$C$15,BM$13:BM$15),1)</f>
        <v>0</v>
      </c>
    </row>
    <row r="423" spans="2:65" ht="15" customHeight="1">
      <c r="B423" s="12" t="str">
        <f t="shared" si="146"/>
        <v>Продукт 10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Предпосылки!D$245*Предпосылки!$U262*Продажи!E27*E$19*(1+Чувствительность!$D$20)*IFERROR(LOOKUP(Предпосылки!$H$218,$C$13:$C$15,E$13:E$15),1)</f>
        <v>0</v>
      </c>
      <c s="125">
        <f>Предпосылки!E$245*Предпосылки!$U262*Продажи!F27*F$19*(1+Чувствительность!$D$20)*IFERROR(LOOKUP(Предпосылки!$H$218,$C$13:$C$15,F$13:F$15),1)</f>
        <v>0</v>
      </c>
      <c s="125">
        <f>Предпосылки!F$245*Предпосылки!$U262*Продажи!G27*G$19*(1+Чувствительность!$D$20)*IFERROR(LOOKUP(Предпосылки!$H$218,$C$13:$C$15,G$13:G$15),1)</f>
        <v>0</v>
      </c>
      <c s="125">
        <f>Предпосылки!G$245*Предпосылки!$U262*Продажи!H27*H$19*(1+Чувствительность!$D$20)*IFERROR(LOOKUP(Предпосылки!$H$218,$C$13:$C$15,H$13:H$15),1)</f>
        <v>0</v>
      </c>
      <c s="125">
        <f>Предпосылки!H$245*Предпосылки!$U262*Продажи!I27*I$19*(1+Чувствительность!$D$20)*IFERROR(LOOKUP(Предпосылки!$H$218,$C$13:$C$15,I$13:I$15),1)</f>
        <v>0</v>
      </c>
      <c s="125">
        <f>Предпосылки!I$245*Предпосылки!$U262*Продажи!J27*J$19*(1+Чувствительность!$D$20)*IFERROR(LOOKUP(Предпосылки!$H$218,$C$13:$C$15,J$13:J$15),1)</f>
        <v>0</v>
      </c>
      <c s="125">
        <f>Предпосылки!J$245*Предпосылки!$U262*Продажи!K27*K$19*(1+Чувствительность!$D$20)*IFERROR(LOOKUP(Предпосылки!$H$218,$C$13:$C$15,K$13:K$15),1)</f>
        <v>0</v>
      </c>
      <c s="125">
        <f>Предпосылки!K$245*Предпосылки!$U262*Продажи!L27*L$19*(1+Чувствительность!$D$20)*IFERROR(LOOKUP(Предпосылки!$H$218,$C$13:$C$15,L$13:L$15),1)</f>
        <v>0</v>
      </c>
      <c s="125">
        <f>Предпосылки!L$245*Предпосылки!$U262*Продажи!M27*M$19*(1+Чувствительность!$D$20)*IFERROR(LOOKUP(Предпосылки!$H$218,$C$13:$C$15,M$13:M$15),1)</f>
        <v>0</v>
      </c>
      <c s="125">
        <f>Предпосылки!M$245*Предпосылки!$U262*Продажи!N27*N$19*(1+Чувствительность!$D$20)*IFERROR(LOOKUP(Предпосылки!$H$218,$C$13:$C$15,N$13:N$15),1)</f>
        <v>0</v>
      </c>
      <c s="125">
        <f>Предпосылки!N$245*Предпосылки!$U262*Продажи!O27*O$19*(1+Чувствительность!$D$20)*IFERROR(LOOKUP(Предпосылки!$H$218,$C$13:$C$15,O$13:O$15),1)</f>
        <v>0</v>
      </c>
      <c s="125">
        <f>Предпосылки!O$245*Предпосылки!$U262*Продажи!P27*P$19*(1+Чувствительность!$D$20)*IFERROR(LOOKUP(Предпосылки!$H$218,$C$13:$C$15,P$13:P$15),1)</f>
        <v>0</v>
      </c>
      <c s="125">
        <f>Предпосылки!P$245*Предпосылки!$U262*Продажи!Q27*Q$19*(1+Чувствительность!$D$20)*IFERROR(LOOKUP(Предпосылки!$H$218,$C$13:$C$15,Q$13:Q$15),1)</f>
        <v>0</v>
      </c>
      <c s="125">
        <f>Предпосылки!Q$245*Предпосылки!$U262*Продажи!R27*R$19*(1+Чувствительность!$D$20)*IFERROR(LOOKUP(Предпосылки!$H$218,$C$13:$C$15,R$13:R$15),1)</f>
        <v>0</v>
      </c>
      <c s="125">
        <f>Предпосылки!R$245*Предпосылки!$U262*Продажи!S27*S$19*(1+Чувствительность!$D$20)*IFERROR(LOOKUP(Предпосылки!$H$218,$C$13:$C$15,S$13:S$15),1)</f>
        <v>0</v>
      </c>
      <c s="125">
        <f>Предпосылки!S$245*Предпосылки!$U262*Продажи!T27*T$19*(1+Чувствительность!$D$20)*IFERROR(LOOKUP(Предпосылки!$H$218,$C$13:$C$15,T$13:T$15),1)</f>
        <v>0</v>
      </c>
      <c s="125">
        <f>Предпосылки!T$245*Предпосылки!$U262*Продажи!U27*U$19*(1+Чувствительность!$D$20)*IFERROR(LOOKUP(Предпосылки!$H$218,$C$13:$C$15,U$13:U$15),1)</f>
        <v>0</v>
      </c>
      <c s="125">
        <f>Предпосылки!U$245*Предпосылки!$U262*Продажи!V27*V$19*(1+Чувствительность!$D$20)*IFERROR(LOOKUP(Предпосылки!$H$218,$C$13:$C$15,V$13:V$15),1)</f>
        <v>0</v>
      </c>
      <c s="125">
        <f>Предпосылки!V$245*Предпосылки!$U262*Продажи!W27*W$19*(1+Чувствительность!$D$20)*IFERROR(LOOKUP(Предпосылки!$H$218,$C$13:$C$15,W$13:W$15),1)</f>
        <v>0</v>
      </c>
      <c s="125">
        <f>Предпосылки!W$245*Предпосылки!$U262*Продажи!X27*X$19*(1+Чувствительность!$D$20)*IFERROR(LOOKUP(Предпосылки!$H$218,$C$13:$C$15,X$13:X$15),1)</f>
        <v>0</v>
      </c>
      <c s="125">
        <f>Предпосылки!X$245*Предпосылки!$U262*Продажи!Y27*Y$19*(1+Чувствительность!$D$20)*IFERROR(LOOKUP(Предпосылки!$H$218,$C$13:$C$15,Y$13:Y$15),1)</f>
        <v>0</v>
      </c>
      <c s="125">
        <f>Предпосылки!Y$245*Предпосылки!$U262*Продажи!Z27*Z$19*(1+Чувствительность!$D$20)*IFERROR(LOOKUP(Предпосылки!$H$218,$C$13:$C$15,Z$13:Z$15),1)</f>
        <v>0</v>
      </c>
      <c s="125">
        <f>Предпосылки!Z$245*Предпосылки!$U262*Продажи!AA27*AA$19*(1+Чувствительность!$D$20)*IFERROR(LOOKUP(Предпосылки!$H$218,$C$13:$C$15,AA$13:AA$15),1)</f>
        <v>0</v>
      </c>
      <c s="125">
        <f>Предпосылки!AA$245*Предпосылки!$U262*Продажи!AB27*AB$19*(1+Чувствительность!$D$20)*IFERROR(LOOKUP(Предпосылки!$H$218,$C$13:$C$15,AB$13:AB$15),1)</f>
        <v>0</v>
      </c>
      <c s="125">
        <f>Предпосылки!AB$245*Предпосылки!$U262*Продажи!AC27*AC$19*(1+Чувствительность!$D$20)*IFERROR(LOOKUP(Предпосылки!$H$218,$C$13:$C$15,AC$13:AC$15),1)</f>
        <v>0</v>
      </c>
      <c s="125">
        <f>Предпосылки!AC$245*Предпосылки!$U262*Продажи!AD27*AD$19*(1+Чувствительность!$D$20)*IFERROR(LOOKUP(Предпосылки!$H$218,$C$13:$C$15,AD$13:AD$15),1)</f>
        <v>0</v>
      </c>
      <c s="125">
        <f>Предпосылки!AD$245*Предпосылки!$U262*Продажи!AE27*AE$19*(1+Чувствительность!$D$20)*IFERROR(LOOKUP(Предпосылки!$H$218,$C$13:$C$15,AE$13:AE$15),1)</f>
        <v>0</v>
      </c>
      <c s="125">
        <f>Предпосылки!AE$245*Предпосылки!$U262*Продажи!AF27*AF$19*(1+Чувствительность!$D$20)*IFERROR(LOOKUP(Предпосылки!$H$218,$C$13:$C$15,AF$13:AF$15),1)</f>
        <v>0</v>
      </c>
      <c s="125">
        <f>Предпосылки!AF$245*Предпосылки!$U262*Продажи!AG27*AG$19*(1+Чувствительность!$D$20)*IFERROR(LOOKUP(Предпосылки!$H$218,$C$13:$C$15,AG$13:AG$15),1)</f>
        <v>0</v>
      </c>
      <c s="125">
        <f>Предпосылки!AG$245*Предпосылки!$U262*Продажи!AH27*AH$19*(1+Чувствительность!$D$20)*IFERROR(LOOKUP(Предпосылки!$H$218,$C$13:$C$15,AH$13:AH$15),1)</f>
        <v>0</v>
      </c>
      <c s="125">
        <f>Предпосылки!AH$245*Предпосылки!$U262*Продажи!AI27*AI$19*(1+Чувствительность!$D$20)*IFERROR(LOOKUP(Предпосылки!$H$218,$C$13:$C$15,AI$13:AI$15),1)</f>
        <v>0</v>
      </c>
      <c s="125">
        <f>Предпосылки!AI$245*Предпосылки!$U262*Продажи!AJ27*AJ$19*(1+Чувствительность!$D$20)*IFERROR(LOOKUP(Предпосылки!$H$218,$C$13:$C$15,AJ$13:AJ$15),1)</f>
        <v>0</v>
      </c>
      <c s="125">
        <f>Предпосылки!AJ$245*Предпосылки!$U262*Продажи!AK27*AK$19*(1+Чувствительность!$D$20)*IFERROR(LOOKUP(Предпосылки!$H$218,$C$13:$C$15,AK$13:AK$15),1)</f>
        <v>0</v>
      </c>
      <c s="125">
        <f>Предпосылки!AK$245*Предпосылки!$U262*Продажи!AL27*AL$19*(1+Чувствительность!$D$20)*IFERROR(LOOKUP(Предпосылки!$H$218,$C$13:$C$15,AL$13:AL$15),1)</f>
        <v>0</v>
      </c>
      <c s="125">
        <f>Предпосылки!AL$245*Предпосылки!$U262*Продажи!AM27*AM$19*(1+Чувствительность!$D$20)*IFERROR(LOOKUP(Предпосылки!$H$218,$C$13:$C$15,AM$13:AM$15),1)</f>
        <v>0</v>
      </c>
      <c s="125">
        <f>Предпосылки!AM$245*Предпосылки!$U262*Продажи!AN27*AN$19*(1+Чувствительность!$D$20)*IFERROR(LOOKUP(Предпосылки!$H$218,$C$13:$C$15,AN$13:AN$15),1)</f>
        <v>0</v>
      </c>
      <c s="125">
        <f>Предпосылки!AN$245*Предпосылки!$U262*Продажи!AO27*AO$19*(1+Чувствительность!$D$20)*IFERROR(LOOKUP(Предпосылки!$H$218,$C$13:$C$15,AO$13:AO$15),1)</f>
        <v>0</v>
      </c>
      <c s="125">
        <f>Предпосылки!AO$245*Предпосылки!$U262*Продажи!AP27*AP$19*(1+Чувствительность!$D$20)*IFERROR(LOOKUP(Предпосылки!$H$218,$C$13:$C$15,AP$13:AP$15),1)</f>
        <v>0</v>
      </c>
      <c s="125">
        <f>Предпосылки!AP$245*Предпосылки!$U262*Продажи!AQ27*AQ$19*(1+Чувствительность!$D$20)*IFERROR(LOOKUP(Предпосылки!$H$218,$C$13:$C$15,AQ$13:AQ$15),1)</f>
        <v>0</v>
      </c>
      <c s="125">
        <f>Предпосылки!AQ$245*Предпосылки!$U262*Продажи!AR27*AR$19*(1+Чувствительность!$D$20)*IFERROR(LOOKUP(Предпосылки!$H$218,$C$13:$C$15,AR$13:AR$15),1)</f>
        <v>0</v>
      </c>
      <c s="125">
        <f>Предпосылки!AR$245*Предпосылки!$U262*Продажи!AS27*AS$19*(1+Чувствительность!$D$20)*IFERROR(LOOKUP(Предпосылки!$H$218,$C$13:$C$15,AS$13:AS$15),1)</f>
        <v>0</v>
      </c>
      <c s="125">
        <f>Предпосылки!AS$245*Предпосылки!$U262*Продажи!AT27*AT$19*(1+Чувствительность!$D$20)*IFERROR(LOOKUP(Предпосылки!$H$218,$C$13:$C$15,AT$13:AT$15),1)</f>
        <v>0</v>
      </c>
      <c s="125">
        <f>Предпосылки!AT$245*Предпосылки!$U262*Продажи!AU27*AU$19*(1+Чувствительность!$D$20)*IFERROR(LOOKUP(Предпосылки!$H$218,$C$13:$C$15,AU$13:AU$15),1)</f>
        <v>0</v>
      </c>
      <c s="125">
        <f>Предпосылки!AU$245*Предпосылки!$U262*Продажи!AV27*AV$19*(1+Чувствительность!$D$20)*IFERROR(LOOKUP(Предпосылки!$H$218,$C$13:$C$15,AV$13:AV$15),1)</f>
        <v>0</v>
      </c>
      <c s="125">
        <f>Предпосылки!AV$245*Предпосылки!$U262*Продажи!AW27*AW$19*(1+Чувствительность!$D$20)*IFERROR(LOOKUP(Предпосылки!$H$218,$C$13:$C$15,AW$13:AW$15),1)</f>
        <v>0</v>
      </c>
      <c s="125">
        <f>Предпосылки!AW$245*Предпосылки!$U262*Продажи!AX27*AX$19*(1+Чувствительность!$D$20)*IFERROR(LOOKUP(Предпосылки!$H$218,$C$13:$C$15,AX$13:AX$15),1)</f>
        <v>0</v>
      </c>
      <c s="125">
        <f>Предпосылки!AX$245*Предпосылки!$U262*Продажи!AY27*AY$19*(1+Чувствительность!$D$20)*IFERROR(LOOKUP(Предпосылки!$H$218,$C$13:$C$15,AY$13:AY$15),1)</f>
        <v>0</v>
      </c>
      <c s="125">
        <f>Предпосылки!AY$245*Предпосылки!$U262*Продажи!AZ27*AZ$19*(1+Чувствительность!$D$20)*IFERROR(LOOKUP(Предпосылки!$H$218,$C$13:$C$15,AZ$13:AZ$15),1)</f>
        <v>0</v>
      </c>
      <c s="125">
        <f>Предпосылки!AZ$245*Предпосылки!$U262*Продажи!BA27*BA$19*(1+Чувствительность!$D$20)*IFERROR(LOOKUP(Предпосылки!$H$218,$C$13:$C$15,BA$13:BA$15),1)</f>
        <v>0</v>
      </c>
      <c s="125">
        <f>Предпосылки!BA$245*Предпосылки!$U262*Продажи!BB27*BB$19*(1+Чувствительность!$D$20)*IFERROR(LOOKUP(Предпосылки!$H$218,$C$13:$C$15,BB$13:BB$15),1)</f>
        <v>0</v>
      </c>
      <c s="125">
        <f>Предпосылки!BB$245*Предпосылки!$U262*Продажи!BC27*BC$19*(1+Чувствительность!$D$20)*IFERROR(LOOKUP(Предпосылки!$H$218,$C$13:$C$15,BC$13:BC$15),1)</f>
        <v>0</v>
      </c>
      <c s="125">
        <f>Предпосылки!BC$245*Предпосылки!$U262*Продажи!BD27*BD$19*(1+Чувствительность!$D$20)*IFERROR(LOOKUP(Предпосылки!$H$218,$C$13:$C$15,BD$13:BD$15),1)</f>
        <v>0</v>
      </c>
      <c s="125">
        <f>Предпосылки!BD$245*Предпосылки!$U262*Продажи!BE27*BE$19*(1+Чувствительность!$D$20)*IFERROR(LOOKUP(Предпосылки!$H$218,$C$13:$C$15,BE$13:BE$15),1)</f>
        <v>0</v>
      </c>
      <c s="125">
        <f>Предпосылки!BE$245*Предпосылки!$U262*Продажи!BF27*BF$19*(1+Чувствительность!$D$20)*IFERROR(LOOKUP(Предпосылки!$H$218,$C$13:$C$15,BF$13:BF$15),1)</f>
        <v>0</v>
      </c>
      <c s="125">
        <f>Предпосылки!BF$245*Предпосылки!$U262*Продажи!BG27*BG$19*(1+Чувствительность!$D$20)*IFERROR(LOOKUP(Предпосылки!$H$218,$C$13:$C$15,BG$13:BG$15),1)</f>
        <v>0</v>
      </c>
      <c s="125">
        <f>Предпосылки!BG$245*Предпосылки!$U262*Продажи!BH27*BH$19*(1+Чувствительность!$D$20)*IFERROR(LOOKUP(Предпосылки!$H$218,$C$13:$C$15,BH$13:BH$15),1)</f>
        <v>0</v>
      </c>
      <c s="125">
        <f>Предпосылки!BH$245*Предпосылки!$U262*Продажи!BI27*BI$19*(1+Чувствительность!$D$20)*IFERROR(LOOKUP(Предпосылки!$H$218,$C$13:$C$15,BI$13:BI$15),1)</f>
        <v>0</v>
      </c>
      <c s="125">
        <f>Предпосылки!BI$245*Предпосылки!$U262*Продажи!BJ27*BJ$19*(1+Чувствительность!$D$20)*IFERROR(LOOKUP(Предпосылки!$H$218,$C$13:$C$15,BJ$13:BJ$15),1)</f>
        <v>0</v>
      </c>
      <c s="125">
        <f>Предпосылки!BJ$245*Предпосылки!$U262*Продажи!BK27*BK$19*(1+Чувствительность!$D$20)*IFERROR(LOOKUP(Предпосылки!$H$218,$C$13:$C$15,BK$13:BK$15),1)</f>
        <v>0</v>
      </c>
      <c s="125">
        <f>Предпосылки!BK$245*Предпосылки!$U262*Продажи!BL27*BL$19*(1+Чувствительность!$D$20)*IFERROR(LOOKUP(Предпосылки!$H$218,$C$13:$C$15,BL$13:BL$15),1)</f>
        <v>0</v>
      </c>
      <c s="125">
        <f>Предпосылки!BL$245*Предпосылки!$U262*Продажи!BM27*BM$19*(1+Чувствительность!$D$20)*IFERROR(LOOKUP(Предпосылки!$H$218,$C$13:$C$15,BM$13:BM$15),1)</f>
        <v>0</v>
      </c>
    </row>
    <row r="424" spans="2:65" ht="15" customHeight="1">
      <c r="B424" s="12" t="str">
        <f t="shared" si="146"/>
        <v>Продукт 11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Предпосылки!D$245*Предпосылки!$U263*Продажи!E28*E$19*(1+Чувствительность!$D$20)*IFERROR(LOOKUP(Предпосылки!$H$218,$C$13:$C$15,E$13:E$15),1)</f>
        <v>0</v>
      </c>
      <c s="125">
        <f>Предпосылки!E$245*Предпосылки!$U263*Продажи!F28*F$19*(1+Чувствительность!$D$20)*IFERROR(LOOKUP(Предпосылки!$H$218,$C$13:$C$15,F$13:F$15),1)</f>
        <v>0</v>
      </c>
      <c s="125">
        <f>Предпосылки!F$245*Предпосылки!$U263*Продажи!G28*G$19*(1+Чувствительность!$D$20)*IFERROR(LOOKUP(Предпосылки!$H$218,$C$13:$C$15,G$13:G$15),1)</f>
        <v>0</v>
      </c>
      <c s="125">
        <f>Предпосылки!G$245*Предпосылки!$U263*Продажи!H28*H$19*(1+Чувствительность!$D$20)*IFERROR(LOOKUP(Предпосылки!$H$218,$C$13:$C$15,H$13:H$15),1)</f>
        <v>0</v>
      </c>
      <c s="125">
        <f>Предпосылки!H$245*Предпосылки!$U263*Продажи!I28*I$19*(1+Чувствительность!$D$20)*IFERROR(LOOKUP(Предпосылки!$H$218,$C$13:$C$15,I$13:I$15),1)</f>
        <v>0</v>
      </c>
      <c s="125">
        <f>Предпосылки!I$245*Предпосылки!$U263*Продажи!J28*J$19*(1+Чувствительность!$D$20)*IFERROR(LOOKUP(Предпосылки!$H$218,$C$13:$C$15,J$13:J$15),1)</f>
        <v>0</v>
      </c>
      <c s="125">
        <f>Предпосылки!J$245*Предпосылки!$U263*Продажи!K28*K$19*(1+Чувствительность!$D$20)*IFERROR(LOOKUP(Предпосылки!$H$218,$C$13:$C$15,K$13:K$15),1)</f>
        <v>0</v>
      </c>
      <c s="125">
        <f>Предпосылки!K$245*Предпосылки!$U263*Продажи!L28*L$19*(1+Чувствительность!$D$20)*IFERROR(LOOKUP(Предпосылки!$H$218,$C$13:$C$15,L$13:L$15),1)</f>
        <v>0</v>
      </c>
      <c s="125">
        <f>Предпосылки!L$245*Предпосылки!$U263*Продажи!M28*M$19*(1+Чувствительность!$D$20)*IFERROR(LOOKUP(Предпосылки!$H$218,$C$13:$C$15,M$13:M$15),1)</f>
        <v>0</v>
      </c>
      <c s="125">
        <f>Предпосылки!M$245*Предпосылки!$U263*Продажи!N28*N$19*(1+Чувствительность!$D$20)*IFERROR(LOOKUP(Предпосылки!$H$218,$C$13:$C$15,N$13:N$15),1)</f>
        <v>0</v>
      </c>
      <c s="125">
        <f>Предпосылки!N$245*Предпосылки!$U263*Продажи!O28*O$19*(1+Чувствительность!$D$20)*IFERROR(LOOKUP(Предпосылки!$H$218,$C$13:$C$15,O$13:O$15),1)</f>
        <v>0</v>
      </c>
      <c s="125">
        <f>Предпосылки!O$245*Предпосылки!$U263*Продажи!P28*P$19*(1+Чувствительность!$D$20)*IFERROR(LOOKUP(Предпосылки!$H$218,$C$13:$C$15,P$13:P$15),1)</f>
        <v>0</v>
      </c>
      <c s="125">
        <f>Предпосылки!P$245*Предпосылки!$U263*Продажи!Q28*Q$19*(1+Чувствительность!$D$20)*IFERROR(LOOKUP(Предпосылки!$H$218,$C$13:$C$15,Q$13:Q$15),1)</f>
        <v>0</v>
      </c>
      <c s="125">
        <f>Предпосылки!Q$245*Предпосылки!$U263*Продажи!R28*R$19*(1+Чувствительность!$D$20)*IFERROR(LOOKUP(Предпосылки!$H$218,$C$13:$C$15,R$13:R$15),1)</f>
        <v>0</v>
      </c>
      <c s="125">
        <f>Предпосылки!R$245*Предпосылки!$U263*Продажи!S28*S$19*(1+Чувствительность!$D$20)*IFERROR(LOOKUP(Предпосылки!$H$218,$C$13:$C$15,S$13:S$15),1)</f>
        <v>0</v>
      </c>
      <c s="125">
        <f>Предпосылки!S$245*Предпосылки!$U263*Продажи!T28*T$19*(1+Чувствительность!$D$20)*IFERROR(LOOKUP(Предпосылки!$H$218,$C$13:$C$15,T$13:T$15),1)</f>
        <v>0</v>
      </c>
      <c s="125">
        <f>Предпосылки!T$245*Предпосылки!$U263*Продажи!U28*U$19*(1+Чувствительность!$D$20)*IFERROR(LOOKUP(Предпосылки!$H$218,$C$13:$C$15,U$13:U$15),1)</f>
        <v>0</v>
      </c>
      <c s="125">
        <f>Предпосылки!U$245*Предпосылки!$U263*Продажи!V28*V$19*(1+Чувствительность!$D$20)*IFERROR(LOOKUP(Предпосылки!$H$218,$C$13:$C$15,V$13:V$15),1)</f>
        <v>0</v>
      </c>
      <c s="125">
        <f>Предпосылки!V$245*Предпосылки!$U263*Продажи!W28*W$19*(1+Чувствительность!$D$20)*IFERROR(LOOKUP(Предпосылки!$H$218,$C$13:$C$15,W$13:W$15),1)</f>
        <v>0</v>
      </c>
      <c s="125">
        <f>Предпосылки!W$245*Предпосылки!$U263*Продажи!X28*X$19*(1+Чувствительность!$D$20)*IFERROR(LOOKUP(Предпосылки!$H$218,$C$13:$C$15,X$13:X$15),1)</f>
        <v>0</v>
      </c>
      <c s="125">
        <f>Предпосылки!X$245*Предпосылки!$U263*Продажи!Y28*Y$19*(1+Чувствительность!$D$20)*IFERROR(LOOKUP(Предпосылки!$H$218,$C$13:$C$15,Y$13:Y$15),1)</f>
        <v>0</v>
      </c>
      <c s="125">
        <f>Предпосылки!Y$245*Предпосылки!$U263*Продажи!Z28*Z$19*(1+Чувствительность!$D$20)*IFERROR(LOOKUP(Предпосылки!$H$218,$C$13:$C$15,Z$13:Z$15),1)</f>
        <v>0</v>
      </c>
      <c s="125">
        <f>Предпосылки!Z$245*Предпосылки!$U263*Продажи!AA28*AA$19*(1+Чувствительность!$D$20)*IFERROR(LOOKUP(Предпосылки!$H$218,$C$13:$C$15,AA$13:AA$15),1)</f>
        <v>0</v>
      </c>
      <c s="125">
        <f>Предпосылки!AA$245*Предпосылки!$U263*Продажи!AB28*AB$19*(1+Чувствительность!$D$20)*IFERROR(LOOKUP(Предпосылки!$H$218,$C$13:$C$15,AB$13:AB$15),1)</f>
        <v>0</v>
      </c>
      <c s="125">
        <f>Предпосылки!AB$245*Предпосылки!$U263*Продажи!AC28*AC$19*(1+Чувствительность!$D$20)*IFERROR(LOOKUP(Предпосылки!$H$218,$C$13:$C$15,AC$13:AC$15),1)</f>
        <v>0</v>
      </c>
      <c s="125">
        <f>Предпосылки!AC$245*Предпосылки!$U263*Продажи!AD28*AD$19*(1+Чувствительность!$D$20)*IFERROR(LOOKUP(Предпосылки!$H$218,$C$13:$C$15,AD$13:AD$15),1)</f>
        <v>0</v>
      </c>
      <c s="125">
        <f>Предпосылки!AD$245*Предпосылки!$U263*Продажи!AE28*AE$19*(1+Чувствительность!$D$20)*IFERROR(LOOKUP(Предпосылки!$H$218,$C$13:$C$15,AE$13:AE$15),1)</f>
        <v>0</v>
      </c>
      <c s="125">
        <f>Предпосылки!AE$245*Предпосылки!$U263*Продажи!AF28*AF$19*(1+Чувствительность!$D$20)*IFERROR(LOOKUP(Предпосылки!$H$218,$C$13:$C$15,AF$13:AF$15),1)</f>
        <v>0</v>
      </c>
      <c s="125">
        <f>Предпосылки!AF$245*Предпосылки!$U263*Продажи!AG28*AG$19*(1+Чувствительность!$D$20)*IFERROR(LOOKUP(Предпосылки!$H$218,$C$13:$C$15,AG$13:AG$15),1)</f>
        <v>0</v>
      </c>
      <c s="125">
        <f>Предпосылки!AG$245*Предпосылки!$U263*Продажи!AH28*AH$19*(1+Чувствительность!$D$20)*IFERROR(LOOKUP(Предпосылки!$H$218,$C$13:$C$15,AH$13:AH$15),1)</f>
        <v>0</v>
      </c>
      <c s="125">
        <f>Предпосылки!AH$245*Предпосылки!$U263*Продажи!AI28*AI$19*(1+Чувствительность!$D$20)*IFERROR(LOOKUP(Предпосылки!$H$218,$C$13:$C$15,AI$13:AI$15),1)</f>
        <v>0</v>
      </c>
      <c s="125">
        <f>Предпосылки!AI$245*Предпосылки!$U263*Продажи!AJ28*AJ$19*(1+Чувствительность!$D$20)*IFERROR(LOOKUP(Предпосылки!$H$218,$C$13:$C$15,AJ$13:AJ$15),1)</f>
        <v>0</v>
      </c>
      <c s="125">
        <f>Предпосылки!AJ$245*Предпосылки!$U263*Продажи!AK28*AK$19*(1+Чувствительность!$D$20)*IFERROR(LOOKUP(Предпосылки!$H$218,$C$13:$C$15,AK$13:AK$15),1)</f>
        <v>0</v>
      </c>
      <c s="125">
        <f>Предпосылки!AK$245*Предпосылки!$U263*Продажи!AL28*AL$19*(1+Чувствительность!$D$20)*IFERROR(LOOKUP(Предпосылки!$H$218,$C$13:$C$15,AL$13:AL$15),1)</f>
        <v>0</v>
      </c>
      <c s="125">
        <f>Предпосылки!AL$245*Предпосылки!$U263*Продажи!AM28*AM$19*(1+Чувствительность!$D$20)*IFERROR(LOOKUP(Предпосылки!$H$218,$C$13:$C$15,AM$13:AM$15),1)</f>
        <v>0</v>
      </c>
      <c s="125">
        <f>Предпосылки!AM$245*Предпосылки!$U263*Продажи!AN28*AN$19*(1+Чувствительность!$D$20)*IFERROR(LOOKUP(Предпосылки!$H$218,$C$13:$C$15,AN$13:AN$15),1)</f>
        <v>0</v>
      </c>
      <c s="125">
        <f>Предпосылки!AN$245*Предпосылки!$U263*Продажи!AO28*AO$19*(1+Чувствительность!$D$20)*IFERROR(LOOKUP(Предпосылки!$H$218,$C$13:$C$15,AO$13:AO$15),1)</f>
        <v>0</v>
      </c>
      <c s="125">
        <f>Предпосылки!AO$245*Предпосылки!$U263*Продажи!AP28*AP$19*(1+Чувствительность!$D$20)*IFERROR(LOOKUP(Предпосылки!$H$218,$C$13:$C$15,AP$13:AP$15),1)</f>
        <v>0</v>
      </c>
      <c s="125">
        <f>Предпосылки!AP$245*Предпосылки!$U263*Продажи!AQ28*AQ$19*(1+Чувствительность!$D$20)*IFERROR(LOOKUP(Предпосылки!$H$218,$C$13:$C$15,AQ$13:AQ$15),1)</f>
        <v>0</v>
      </c>
      <c s="125">
        <f>Предпосылки!AQ$245*Предпосылки!$U263*Продажи!AR28*AR$19*(1+Чувствительность!$D$20)*IFERROR(LOOKUP(Предпосылки!$H$218,$C$13:$C$15,AR$13:AR$15),1)</f>
        <v>0</v>
      </c>
      <c s="125">
        <f>Предпосылки!AR$245*Предпосылки!$U263*Продажи!AS28*AS$19*(1+Чувствительность!$D$20)*IFERROR(LOOKUP(Предпосылки!$H$218,$C$13:$C$15,AS$13:AS$15),1)</f>
        <v>0</v>
      </c>
      <c s="125">
        <f>Предпосылки!AS$245*Предпосылки!$U263*Продажи!AT28*AT$19*(1+Чувствительность!$D$20)*IFERROR(LOOKUP(Предпосылки!$H$218,$C$13:$C$15,AT$13:AT$15),1)</f>
        <v>0</v>
      </c>
      <c s="125">
        <f>Предпосылки!AT$245*Предпосылки!$U263*Продажи!AU28*AU$19*(1+Чувствительность!$D$20)*IFERROR(LOOKUP(Предпосылки!$H$218,$C$13:$C$15,AU$13:AU$15),1)</f>
        <v>0</v>
      </c>
      <c s="125">
        <f>Предпосылки!AU$245*Предпосылки!$U263*Продажи!AV28*AV$19*(1+Чувствительность!$D$20)*IFERROR(LOOKUP(Предпосылки!$H$218,$C$13:$C$15,AV$13:AV$15),1)</f>
        <v>0</v>
      </c>
      <c s="125">
        <f>Предпосылки!AV$245*Предпосылки!$U263*Продажи!AW28*AW$19*(1+Чувствительность!$D$20)*IFERROR(LOOKUP(Предпосылки!$H$218,$C$13:$C$15,AW$13:AW$15),1)</f>
        <v>0</v>
      </c>
      <c s="125">
        <f>Предпосылки!AW$245*Предпосылки!$U263*Продажи!AX28*AX$19*(1+Чувствительность!$D$20)*IFERROR(LOOKUP(Предпосылки!$H$218,$C$13:$C$15,AX$13:AX$15),1)</f>
        <v>0</v>
      </c>
      <c s="125">
        <f>Предпосылки!AX$245*Предпосылки!$U263*Продажи!AY28*AY$19*(1+Чувствительность!$D$20)*IFERROR(LOOKUP(Предпосылки!$H$218,$C$13:$C$15,AY$13:AY$15),1)</f>
        <v>0</v>
      </c>
      <c s="125">
        <f>Предпосылки!AY$245*Предпосылки!$U263*Продажи!AZ28*AZ$19*(1+Чувствительность!$D$20)*IFERROR(LOOKUP(Предпосылки!$H$218,$C$13:$C$15,AZ$13:AZ$15),1)</f>
        <v>0</v>
      </c>
      <c s="125">
        <f>Предпосылки!AZ$245*Предпосылки!$U263*Продажи!BA28*BA$19*(1+Чувствительность!$D$20)*IFERROR(LOOKUP(Предпосылки!$H$218,$C$13:$C$15,BA$13:BA$15),1)</f>
        <v>0</v>
      </c>
      <c s="125">
        <f>Предпосылки!BA$245*Предпосылки!$U263*Продажи!BB28*BB$19*(1+Чувствительность!$D$20)*IFERROR(LOOKUP(Предпосылки!$H$218,$C$13:$C$15,BB$13:BB$15),1)</f>
        <v>0</v>
      </c>
      <c s="125">
        <f>Предпосылки!BB$245*Предпосылки!$U263*Продажи!BC28*BC$19*(1+Чувствительность!$D$20)*IFERROR(LOOKUP(Предпосылки!$H$218,$C$13:$C$15,BC$13:BC$15),1)</f>
        <v>0</v>
      </c>
      <c s="125">
        <f>Предпосылки!BC$245*Предпосылки!$U263*Продажи!BD28*BD$19*(1+Чувствительность!$D$20)*IFERROR(LOOKUP(Предпосылки!$H$218,$C$13:$C$15,BD$13:BD$15),1)</f>
        <v>0</v>
      </c>
      <c s="125">
        <f>Предпосылки!BD$245*Предпосылки!$U263*Продажи!BE28*BE$19*(1+Чувствительность!$D$20)*IFERROR(LOOKUP(Предпосылки!$H$218,$C$13:$C$15,BE$13:BE$15),1)</f>
        <v>0</v>
      </c>
      <c s="125">
        <f>Предпосылки!BE$245*Предпосылки!$U263*Продажи!BF28*BF$19*(1+Чувствительность!$D$20)*IFERROR(LOOKUP(Предпосылки!$H$218,$C$13:$C$15,BF$13:BF$15),1)</f>
        <v>0</v>
      </c>
      <c s="125">
        <f>Предпосылки!BF$245*Предпосылки!$U263*Продажи!BG28*BG$19*(1+Чувствительность!$D$20)*IFERROR(LOOKUP(Предпосылки!$H$218,$C$13:$C$15,BG$13:BG$15),1)</f>
        <v>0</v>
      </c>
      <c s="125">
        <f>Предпосылки!BG$245*Предпосылки!$U263*Продажи!BH28*BH$19*(1+Чувствительность!$D$20)*IFERROR(LOOKUP(Предпосылки!$H$218,$C$13:$C$15,BH$13:BH$15),1)</f>
        <v>0</v>
      </c>
      <c s="125">
        <f>Предпосылки!BH$245*Предпосылки!$U263*Продажи!BI28*BI$19*(1+Чувствительность!$D$20)*IFERROR(LOOKUP(Предпосылки!$H$218,$C$13:$C$15,BI$13:BI$15),1)</f>
        <v>0</v>
      </c>
      <c s="125">
        <f>Предпосылки!BI$245*Предпосылки!$U263*Продажи!BJ28*BJ$19*(1+Чувствительность!$D$20)*IFERROR(LOOKUP(Предпосылки!$H$218,$C$13:$C$15,BJ$13:BJ$15),1)</f>
        <v>0</v>
      </c>
      <c s="125">
        <f>Предпосылки!BJ$245*Предпосылки!$U263*Продажи!BK28*BK$19*(1+Чувствительность!$D$20)*IFERROR(LOOKUP(Предпосылки!$H$218,$C$13:$C$15,BK$13:BK$15),1)</f>
        <v>0</v>
      </c>
      <c s="125">
        <f>Предпосылки!BK$245*Предпосылки!$U263*Продажи!BL28*BL$19*(1+Чувствительность!$D$20)*IFERROR(LOOKUP(Предпосылки!$H$218,$C$13:$C$15,BL$13:BL$15),1)</f>
        <v>0</v>
      </c>
      <c s="125">
        <f>Предпосылки!BL$245*Предпосылки!$U263*Продажи!BM28*BM$19*(1+Чувствительность!$D$20)*IFERROR(LOOKUP(Предпосылки!$H$218,$C$13:$C$15,BM$13:BM$15),1)</f>
        <v>0</v>
      </c>
    </row>
    <row r="425" spans="2:65" ht="15" customHeight="1">
      <c r="B425" s="12" t="str">
        <f t="shared" si="146"/>
        <v>Продукт 12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Предпосылки!D$245*Предпосылки!$U264*Продажи!E29*E$19*(1+Чувствительность!$D$20)*IFERROR(LOOKUP(Предпосылки!$H$218,$C$13:$C$15,E$13:E$15),1)</f>
        <v>0</v>
      </c>
      <c s="125">
        <f>Предпосылки!E$245*Предпосылки!$U264*Продажи!F29*F$19*(1+Чувствительность!$D$20)*IFERROR(LOOKUP(Предпосылки!$H$218,$C$13:$C$15,F$13:F$15),1)</f>
        <v>0</v>
      </c>
      <c s="125">
        <f>Предпосылки!F$245*Предпосылки!$U264*Продажи!G29*G$19*(1+Чувствительность!$D$20)*IFERROR(LOOKUP(Предпосылки!$H$218,$C$13:$C$15,G$13:G$15),1)</f>
        <v>0</v>
      </c>
      <c s="125">
        <f>Предпосылки!G$245*Предпосылки!$U264*Продажи!H29*H$19*(1+Чувствительность!$D$20)*IFERROR(LOOKUP(Предпосылки!$H$218,$C$13:$C$15,H$13:H$15),1)</f>
        <v>0</v>
      </c>
      <c s="125">
        <f>Предпосылки!H$245*Предпосылки!$U264*Продажи!I29*I$19*(1+Чувствительность!$D$20)*IFERROR(LOOKUP(Предпосылки!$H$218,$C$13:$C$15,I$13:I$15),1)</f>
        <v>0</v>
      </c>
      <c s="125">
        <f>Предпосылки!I$245*Предпосылки!$U264*Продажи!J29*J$19*(1+Чувствительность!$D$20)*IFERROR(LOOKUP(Предпосылки!$H$218,$C$13:$C$15,J$13:J$15),1)</f>
        <v>0</v>
      </c>
      <c s="125">
        <f>Предпосылки!J$245*Предпосылки!$U264*Продажи!K29*K$19*(1+Чувствительность!$D$20)*IFERROR(LOOKUP(Предпосылки!$H$218,$C$13:$C$15,K$13:K$15),1)</f>
        <v>0</v>
      </c>
      <c s="125">
        <f>Предпосылки!K$245*Предпосылки!$U264*Продажи!L29*L$19*(1+Чувствительность!$D$20)*IFERROR(LOOKUP(Предпосылки!$H$218,$C$13:$C$15,L$13:L$15),1)</f>
        <v>0</v>
      </c>
      <c s="125">
        <f>Предпосылки!L$245*Предпосылки!$U264*Продажи!M29*M$19*(1+Чувствительность!$D$20)*IFERROR(LOOKUP(Предпосылки!$H$218,$C$13:$C$15,M$13:M$15),1)</f>
        <v>0</v>
      </c>
      <c s="125">
        <f>Предпосылки!M$245*Предпосылки!$U264*Продажи!N29*N$19*(1+Чувствительность!$D$20)*IFERROR(LOOKUP(Предпосылки!$H$218,$C$13:$C$15,N$13:N$15),1)</f>
        <v>0</v>
      </c>
      <c s="125">
        <f>Предпосылки!N$245*Предпосылки!$U264*Продажи!O29*O$19*(1+Чувствительность!$D$20)*IFERROR(LOOKUP(Предпосылки!$H$218,$C$13:$C$15,O$13:O$15),1)</f>
        <v>0</v>
      </c>
      <c s="125">
        <f>Предпосылки!O$245*Предпосылки!$U264*Продажи!P29*P$19*(1+Чувствительность!$D$20)*IFERROR(LOOKUP(Предпосылки!$H$218,$C$13:$C$15,P$13:P$15),1)</f>
        <v>0</v>
      </c>
      <c s="125">
        <f>Предпосылки!P$245*Предпосылки!$U264*Продажи!Q29*Q$19*(1+Чувствительность!$D$20)*IFERROR(LOOKUP(Предпосылки!$H$218,$C$13:$C$15,Q$13:Q$15),1)</f>
        <v>0</v>
      </c>
      <c s="125">
        <f>Предпосылки!Q$245*Предпосылки!$U264*Продажи!R29*R$19*(1+Чувствительность!$D$20)*IFERROR(LOOKUP(Предпосылки!$H$218,$C$13:$C$15,R$13:R$15),1)</f>
        <v>0</v>
      </c>
      <c s="125">
        <f>Предпосылки!R$245*Предпосылки!$U264*Продажи!S29*S$19*(1+Чувствительность!$D$20)*IFERROR(LOOKUP(Предпосылки!$H$218,$C$13:$C$15,S$13:S$15),1)</f>
        <v>0</v>
      </c>
      <c s="125">
        <f>Предпосылки!S$245*Предпосылки!$U264*Продажи!T29*T$19*(1+Чувствительность!$D$20)*IFERROR(LOOKUP(Предпосылки!$H$218,$C$13:$C$15,T$13:T$15),1)</f>
        <v>0</v>
      </c>
      <c s="125">
        <f>Предпосылки!T$245*Предпосылки!$U264*Продажи!U29*U$19*(1+Чувствительность!$D$20)*IFERROR(LOOKUP(Предпосылки!$H$218,$C$13:$C$15,U$13:U$15),1)</f>
        <v>0</v>
      </c>
      <c s="125">
        <f>Предпосылки!U$245*Предпосылки!$U264*Продажи!V29*V$19*(1+Чувствительность!$D$20)*IFERROR(LOOKUP(Предпосылки!$H$218,$C$13:$C$15,V$13:V$15),1)</f>
        <v>0</v>
      </c>
      <c s="125">
        <f>Предпосылки!V$245*Предпосылки!$U264*Продажи!W29*W$19*(1+Чувствительность!$D$20)*IFERROR(LOOKUP(Предпосылки!$H$218,$C$13:$C$15,W$13:W$15),1)</f>
        <v>0</v>
      </c>
      <c s="125">
        <f>Предпосылки!W$245*Предпосылки!$U264*Продажи!X29*X$19*(1+Чувствительность!$D$20)*IFERROR(LOOKUP(Предпосылки!$H$218,$C$13:$C$15,X$13:X$15),1)</f>
        <v>0</v>
      </c>
      <c s="125">
        <f>Предпосылки!X$245*Предпосылки!$U264*Продажи!Y29*Y$19*(1+Чувствительность!$D$20)*IFERROR(LOOKUP(Предпосылки!$H$218,$C$13:$C$15,Y$13:Y$15),1)</f>
        <v>0</v>
      </c>
      <c s="125">
        <f>Предпосылки!Y$245*Предпосылки!$U264*Продажи!Z29*Z$19*(1+Чувствительность!$D$20)*IFERROR(LOOKUP(Предпосылки!$H$218,$C$13:$C$15,Z$13:Z$15),1)</f>
        <v>0</v>
      </c>
      <c s="125">
        <f>Предпосылки!Z$245*Предпосылки!$U264*Продажи!AA29*AA$19*(1+Чувствительность!$D$20)*IFERROR(LOOKUP(Предпосылки!$H$218,$C$13:$C$15,AA$13:AA$15),1)</f>
        <v>0</v>
      </c>
      <c s="125">
        <f>Предпосылки!AA$245*Предпосылки!$U264*Продажи!AB29*AB$19*(1+Чувствительность!$D$20)*IFERROR(LOOKUP(Предпосылки!$H$218,$C$13:$C$15,AB$13:AB$15),1)</f>
        <v>0</v>
      </c>
      <c s="125">
        <f>Предпосылки!AB$245*Предпосылки!$U264*Продажи!AC29*AC$19*(1+Чувствительность!$D$20)*IFERROR(LOOKUP(Предпосылки!$H$218,$C$13:$C$15,AC$13:AC$15),1)</f>
        <v>0</v>
      </c>
      <c s="125">
        <f>Предпосылки!AC$245*Предпосылки!$U264*Продажи!AD29*AD$19*(1+Чувствительность!$D$20)*IFERROR(LOOKUP(Предпосылки!$H$218,$C$13:$C$15,AD$13:AD$15),1)</f>
        <v>0</v>
      </c>
      <c s="125">
        <f>Предпосылки!AD$245*Предпосылки!$U264*Продажи!AE29*AE$19*(1+Чувствительность!$D$20)*IFERROR(LOOKUP(Предпосылки!$H$218,$C$13:$C$15,AE$13:AE$15),1)</f>
        <v>0</v>
      </c>
      <c s="125">
        <f>Предпосылки!AE$245*Предпосылки!$U264*Продажи!AF29*AF$19*(1+Чувствительность!$D$20)*IFERROR(LOOKUP(Предпосылки!$H$218,$C$13:$C$15,AF$13:AF$15),1)</f>
        <v>0</v>
      </c>
      <c s="125">
        <f>Предпосылки!AF$245*Предпосылки!$U264*Продажи!AG29*AG$19*(1+Чувствительность!$D$20)*IFERROR(LOOKUP(Предпосылки!$H$218,$C$13:$C$15,AG$13:AG$15),1)</f>
        <v>0</v>
      </c>
      <c s="125">
        <f>Предпосылки!AG$245*Предпосылки!$U264*Продажи!AH29*AH$19*(1+Чувствительность!$D$20)*IFERROR(LOOKUP(Предпосылки!$H$218,$C$13:$C$15,AH$13:AH$15),1)</f>
        <v>0</v>
      </c>
      <c s="125">
        <f>Предпосылки!AH$245*Предпосылки!$U264*Продажи!AI29*AI$19*(1+Чувствительность!$D$20)*IFERROR(LOOKUP(Предпосылки!$H$218,$C$13:$C$15,AI$13:AI$15),1)</f>
        <v>0</v>
      </c>
      <c s="125">
        <f>Предпосылки!AI$245*Предпосылки!$U264*Продажи!AJ29*AJ$19*(1+Чувствительность!$D$20)*IFERROR(LOOKUP(Предпосылки!$H$218,$C$13:$C$15,AJ$13:AJ$15),1)</f>
        <v>0</v>
      </c>
      <c s="125">
        <f>Предпосылки!AJ$245*Предпосылки!$U264*Продажи!AK29*AK$19*(1+Чувствительность!$D$20)*IFERROR(LOOKUP(Предпосылки!$H$218,$C$13:$C$15,AK$13:AK$15),1)</f>
        <v>0</v>
      </c>
      <c s="125">
        <f>Предпосылки!AK$245*Предпосылки!$U264*Продажи!AL29*AL$19*(1+Чувствительность!$D$20)*IFERROR(LOOKUP(Предпосылки!$H$218,$C$13:$C$15,AL$13:AL$15),1)</f>
        <v>0</v>
      </c>
      <c s="125">
        <f>Предпосылки!AL$245*Предпосылки!$U264*Продажи!AM29*AM$19*(1+Чувствительность!$D$20)*IFERROR(LOOKUP(Предпосылки!$H$218,$C$13:$C$15,AM$13:AM$15),1)</f>
        <v>0</v>
      </c>
      <c s="125">
        <f>Предпосылки!AM$245*Предпосылки!$U264*Продажи!AN29*AN$19*(1+Чувствительность!$D$20)*IFERROR(LOOKUP(Предпосылки!$H$218,$C$13:$C$15,AN$13:AN$15),1)</f>
        <v>0</v>
      </c>
      <c s="125">
        <f>Предпосылки!AN$245*Предпосылки!$U264*Продажи!AO29*AO$19*(1+Чувствительность!$D$20)*IFERROR(LOOKUP(Предпосылки!$H$218,$C$13:$C$15,AO$13:AO$15),1)</f>
        <v>0</v>
      </c>
      <c s="125">
        <f>Предпосылки!AO$245*Предпосылки!$U264*Продажи!AP29*AP$19*(1+Чувствительность!$D$20)*IFERROR(LOOKUP(Предпосылки!$H$218,$C$13:$C$15,AP$13:AP$15),1)</f>
        <v>0</v>
      </c>
      <c s="125">
        <f>Предпосылки!AP$245*Предпосылки!$U264*Продажи!AQ29*AQ$19*(1+Чувствительность!$D$20)*IFERROR(LOOKUP(Предпосылки!$H$218,$C$13:$C$15,AQ$13:AQ$15),1)</f>
        <v>0</v>
      </c>
      <c s="125">
        <f>Предпосылки!AQ$245*Предпосылки!$U264*Продажи!AR29*AR$19*(1+Чувствительность!$D$20)*IFERROR(LOOKUP(Предпосылки!$H$218,$C$13:$C$15,AR$13:AR$15),1)</f>
        <v>0</v>
      </c>
      <c s="125">
        <f>Предпосылки!AR$245*Предпосылки!$U264*Продажи!AS29*AS$19*(1+Чувствительность!$D$20)*IFERROR(LOOKUP(Предпосылки!$H$218,$C$13:$C$15,AS$13:AS$15),1)</f>
        <v>0</v>
      </c>
      <c s="125">
        <f>Предпосылки!AS$245*Предпосылки!$U264*Продажи!AT29*AT$19*(1+Чувствительность!$D$20)*IFERROR(LOOKUP(Предпосылки!$H$218,$C$13:$C$15,AT$13:AT$15),1)</f>
        <v>0</v>
      </c>
      <c s="125">
        <f>Предпосылки!AT$245*Предпосылки!$U264*Продажи!AU29*AU$19*(1+Чувствительность!$D$20)*IFERROR(LOOKUP(Предпосылки!$H$218,$C$13:$C$15,AU$13:AU$15),1)</f>
        <v>0</v>
      </c>
      <c s="125">
        <f>Предпосылки!AU$245*Предпосылки!$U264*Продажи!AV29*AV$19*(1+Чувствительность!$D$20)*IFERROR(LOOKUP(Предпосылки!$H$218,$C$13:$C$15,AV$13:AV$15),1)</f>
        <v>0</v>
      </c>
      <c s="125">
        <f>Предпосылки!AV$245*Предпосылки!$U264*Продажи!AW29*AW$19*(1+Чувствительность!$D$20)*IFERROR(LOOKUP(Предпосылки!$H$218,$C$13:$C$15,AW$13:AW$15),1)</f>
        <v>0</v>
      </c>
      <c s="125">
        <f>Предпосылки!AW$245*Предпосылки!$U264*Продажи!AX29*AX$19*(1+Чувствительность!$D$20)*IFERROR(LOOKUP(Предпосылки!$H$218,$C$13:$C$15,AX$13:AX$15),1)</f>
        <v>0</v>
      </c>
      <c s="125">
        <f>Предпосылки!AX$245*Предпосылки!$U264*Продажи!AY29*AY$19*(1+Чувствительность!$D$20)*IFERROR(LOOKUP(Предпосылки!$H$218,$C$13:$C$15,AY$13:AY$15),1)</f>
        <v>0</v>
      </c>
      <c s="125">
        <f>Предпосылки!AY$245*Предпосылки!$U264*Продажи!AZ29*AZ$19*(1+Чувствительность!$D$20)*IFERROR(LOOKUP(Предпосылки!$H$218,$C$13:$C$15,AZ$13:AZ$15),1)</f>
        <v>0</v>
      </c>
      <c s="125">
        <f>Предпосылки!AZ$245*Предпосылки!$U264*Продажи!BA29*BA$19*(1+Чувствительность!$D$20)*IFERROR(LOOKUP(Предпосылки!$H$218,$C$13:$C$15,BA$13:BA$15),1)</f>
        <v>0</v>
      </c>
      <c s="125">
        <f>Предпосылки!BA$245*Предпосылки!$U264*Продажи!BB29*BB$19*(1+Чувствительность!$D$20)*IFERROR(LOOKUP(Предпосылки!$H$218,$C$13:$C$15,BB$13:BB$15),1)</f>
        <v>0</v>
      </c>
      <c s="125">
        <f>Предпосылки!BB$245*Предпосылки!$U264*Продажи!BC29*BC$19*(1+Чувствительность!$D$20)*IFERROR(LOOKUP(Предпосылки!$H$218,$C$13:$C$15,BC$13:BC$15),1)</f>
        <v>0</v>
      </c>
      <c s="125">
        <f>Предпосылки!BC$245*Предпосылки!$U264*Продажи!BD29*BD$19*(1+Чувствительность!$D$20)*IFERROR(LOOKUP(Предпосылки!$H$218,$C$13:$C$15,BD$13:BD$15),1)</f>
        <v>0</v>
      </c>
      <c s="125">
        <f>Предпосылки!BD$245*Предпосылки!$U264*Продажи!BE29*BE$19*(1+Чувствительность!$D$20)*IFERROR(LOOKUP(Предпосылки!$H$218,$C$13:$C$15,BE$13:BE$15),1)</f>
        <v>0</v>
      </c>
      <c s="125">
        <f>Предпосылки!BE$245*Предпосылки!$U264*Продажи!BF29*BF$19*(1+Чувствительность!$D$20)*IFERROR(LOOKUP(Предпосылки!$H$218,$C$13:$C$15,BF$13:BF$15),1)</f>
        <v>0</v>
      </c>
      <c s="125">
        <f>Предпосылки!BF$245*Предпосылки!$U264*Продажи!BG29*BG$19*(1+Чувствительность!$D$20)*IFERROR(LOOKUP(Предпосылки!$H$218,$C$13:$C$15,BG$13:BG$15),1)</f>
        <v>0</v>
      </c>
      <c s="125">
        <f>Предпосылки!BG$245*Предпосылки!$U264*Продажи!BH29*BH$19*(1+Чувствительность!$D$20)*IFERROR(LOOKUP(Предпосылки!$H$218,$C$13:$C$15,BH$13:BH$15),1)</f>
        <v>0</v>
      </c>
      <c s="125">
        <f>Предпосылки!BH$245*Предпосылки!$U264*Продажи!BI29*BI$19*(1+Чувствительность!$D$20)*IFERROR(LOOKUP(Предпосылки!$H$218,$C$13:$C$15,BI$13:BI$15),1)</f>
        <v>0</v>
      </c>
      <c s="125">
        <f>Предпосылки!BI$245*Предпосылки!$U264*Продажи!BJ29*BJ$19*(1+Чувствительность!$D$20)*IFERROR(LOOKUP(Предпосылки!$H$218,$C$13:$C$15,BJ$13:BJ$15),1)</f>
        <v>0</v>
      </c>
      <c s="125">
        <f>Предпосылки!BJ$245*Предпосылки!$U264*Продажи!BK29*BK$19*(1+Чувствительность!$D$20)*IFERROR(LOOKUP(Предпосылки!$H$218,$C$13:$C$15,BK$13:BK$15),1)</f>
        <v>0</v>
      </c>
      <c s="125">
        <f>Предпосылки!BK$245*Предпосылки!$U264*Продажи!BL29*BL$19*(1+Чувствительность!$D$20)*IFERROR(LOOKUP(Предпосылки!$H$218,$C$13:$C$15,BL$13:BL$15),1)</f>
        <v>0</v>
      </c>
      <c s="125">
        <f>Предпосылки!BL$245*Предпосылки!$U264*Продажи!BM29*BM$19*(1+Чувствительность!$D$20)*IFERROR(LOOKUP(Предпосылки!$H$218,$C$13:$C$15,BM$13:BM$15),1)</f>
        <v>0</v>
      </c>
    </row>
    <row r="426" spans="2:65" ht="15" customHeight="1">
      <c r="B426" s="12" t="str">
        <f t="shared" si="146"/>
        <v>Продукт 13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Предпосылки!D$245*Предпосылки!$U265*Продажи!E30*E$19*(1+Чувствительность!$D$20)*IFERROR(LOOKUP(Предпосылки!$H$218,$C$13:$C$15,E$13:E$15),1)</f>
        <v>0</v>
      </c>
      <c s="125">
        <f>Предпосылки!E$245*Предпосылки!$U265*Продажи!F30*F$19*(1+Чувствительность!$D$20)*IFERROR(LOOKUP(Предпосылки!$H$218,$C$13:$C$15,F$13:F$15),1)</f>
        <v>0</v>
      </c>
      <c s="125">
        <f>Предпосылки!F$245*Предпосылки!$U265*Продажи!G30*G$19*(1+Чувствительность!$D$20)*IFERROR(LOOKUP(Предпосылки!$H$218,$C$13:$C$15,G$13:G$15),1)</f>
        <v>0</v>
      </c>
      <c s="125">
        <f>Предпосылки!G$245*Предпосылки!$U265*Продажи!H30*H$19*(1+Чувствительность!$D$20)*IFERROR(LOOKUP(Предпосылки!$H$218,$C$13:$C$15,H$13:H$15),1)</f>
        <v>0</v>
      </c>
      <c s="125">
        <f>Предпосылки!H$245*Предпосылки!$U265*Продажи!I30*I$19*(1+Чувствительность!$D$20)*IFERROR(LOOKUP(Предпосылки!$H$218,$C$13:$C$15,I$13:I$15),1)</f>
        <v>0</v>
      </c>
      <c s="125">
        <f>Предпосылки!I$245*Предпосылки!$U265*Продажи!J30*J$19*(1+Чувствительность!$D$20)*IFERROR(LOOKUP(Предпосылки!$H$218,$C$13:$C$15,J$13:J$15),1)</f>
        <v>0</v>
      </c>
      <c s="125">
        <f>Предпосылки!J$245*Предпосылки!$U265*Продажи!K30*K$19*(1+Чувствительность!$D$20)*IFERROR(LOOKUP(Предпосылки!$H$218,$C$13:$C$15,K$13:K$15),1)</f>
        <v>0</v>
      </c>
      <c s="125">
        <f>Предпосылки!K$245*Предпосылки!$U265*Продажи!L30*L$19*(1+Чувствительность!$D$20)*IFERROR(LOOKUP(Предпосылки!$H$218,$C$13:$C$15,L$13:L$15),1)</f>
        <v>0</v>
      </c>
      <c s="125">
        <f>Предпосылки!L$245*Предпосылки!$U265*Продажи!M30*M$19*(1+Чувствительность!$D$20)*IFERROR(LOOKUP(Предпосылки!$H$218,$C$13:$C$15,M$13:M$15),1)</f>
        <v>0</v>
      </c>
      <c s="125">
        <f>Предпосылки!M$245*Предпосылки!$U265*Продажи!N30*N$19*(1+Чувствительность!$D$20)*IFERROR(LOOKUP(Предпосылки!$H$218,$C$13:$C$15,N$13:N$15),1)</f>
        <v>0</v>
      </c>
      <c s="125">
        <f>Предпосылки!N$245*Предпосылки!$U265*Продажи!O30*O$19*(1+Чувствительность!$D$20)*IFERROR(LOOKUP(Предпосылки!$H$218,$C$13:$C$15,O$13:O$15),1)</f>
        <v>0</v>
      </c>
      <c s="125">
        <f>Предпосылки!O$245*Предпосылки!$U265*Продажи!P30*P$19*(1+Чувствительность!$D$20)*IFERROR(LOOKUP(Предпосылки!$H$218,$C$13:$C$15,P$13:P$15),1)</f>
        <v>0</v>
      </c>
      <c s="125">
        <f>Предпосылки!P$245*Предпосылки!$U265*Продажи!Q30*Q$19*(1+Чувствительность!$D$20)*IFERROR(LOOKUP(Предпосылки!$H$218,$C$13:$C$15,Q$13:Q$15),1)</f>
        <v>0</v>
      </c>
      <c s="125">
        <f>Предпосылки!Q$245*Предпосылки!$U265*Продажи!R30*R$19*(1+Чувствительность!$D$20)*IFERROR(LOOKUP(Предпосылки!$H$218,$C$13:$C$15,R$13:R$15),1)</f>
        <v>0</v>
      </c>
      <c s="125">
        <f>Предпосылки!R$245*Предпосылки!$U265*Продажи!S30*S$19*(1+Чувствительность!$D$20)*IFERROR(LOOKUP(Предпосылки!$H$218,$C$13:$C$15,S$13:S$15),1)</f>
        <v>0</v>
      </c>
      <c s="125">
        <f>Предпосылки!S$245*Предпосылки!$U265*Продажи!T30*T$19*(1+Чувствительность!$D$20)*IFERROR(LOOKUP(Предпосылки!$H$218,$C$13:$C$15,T$13:T$15),1)</f>
        <v>0</v>
      </c>
      <c s="125">
        <f>Предпосылки!T$245*Предпосылки!$U265*Продажи!U30*U$19*(1+Чувствительность!$D$20)*IFERROR(LOOKUP(Предпосылки!$H$218,$C$13:$C$15,U$13:U$15),1)</f>
        <v>0</v>
      </c>
      <c s="125">
        <f>Предпосылки!U$245*Предпосылки!$U265*Продажи!V30*V$19*(1+Чувствительность!$D$20)*IFERROR(LOOKUP(Предпосылки!$H$218,$C$13:$C$15,V$13:V$15),1)</f>
        <v>0</v>
      </c>
      <c s="125">
        <f>Предпосылки!V$245*Предпосылки!$U265*Продажи!W30*W$19*(1+Чувствительность!$D$20)*IFERROR(LOOKUP(Предпосылки!$H$218,$C$13:$C$15,W$13:W$15),1)</f>
        <v>0</v>
      </c>
      <c s="125">
        <f>Предпосылки!W$245*Предпосылки!$U265*Продажи!X30*X$19*(1+Чувствительность!$D$20)*IFERROR(LOOKUP(Предпосылки!$H$218,$C$13:$C$15,X$13:X$15),1)</f>
        <v>0</v>
      </c>
      <c s="125">
        <f>Предпосылки!X$245*Предпосылки!$U265*Продажи!Y30*Y$19*(1+Чувствительность!$D$20)*IFERROR(LOOKUP(Предпосылки!$H$218,$C$13:$C$15,Y$13:Y$15),1)</f>
        <v>0</v>
      </c>
      <c s="125">
        <f>Предпосылки!Y$245*Предпосылки!$U265*Продажи!Z30*Z$19*(1+Чувствительность!$D$20)*IFERROR(LOOKUP(Предпосылки!$H$218,$C$13:$C$15,Z$13:Z$15),1)</f>
        <v>0</v>
      </c>
      <c s="125">
        <f>Предпосылки!Z$245*Предпосылки!$U265*Продажи!AA30*AA$19*(1+Чувствительность!$D$20)*IFERROR(LOOKUP(Предпосылки!$H$218,$C$13:$C$15,AA$13:AA$15),1)</f>
        <v>0</v>
      </c>
      <c s="125">
        <f>Предпосылки!AA$245*Предпосылки!$U265*Продажи!AB30*AB$19*(1+Чувствительность!$D$20)*IFERROR(LOOKUP(Предпосылки!$H$218,$C$13:$C$15,AB$13:AB$15),1)</f>
        <v>0</v>
      </c>
      <c s="125">
        <f>Предпосылки!AB$245*Предпосылки!$U265*Продажи!AC30*AC$19*(1+Чувствительность!$D$20)*IFERROR(LOOKUP(Предпосылки!$H$218,$C$13:$C$15,AC$13:AC$15),1)</f>
        <v>0</v>
      </c>
      <c s="125">
        <f>Предпосылки!AC$245*Предпосылки!$U265*Продажи!AD30*AD$19*(1+Чувствительность!$D$20)*IFERROR(LOOKUP(Предпосылки!$H$218,$C$13:$C$15,AD$13:AD$15),1)</f>
        <v>0</v>
      </c>
      <c s="125">
        <f>Предпосылки!AD$245*Предпосылки!$U265*Продажи!AE30*AE$19*(1+Чувствительность!$D$20)*IFERROR(LOOKUP(Предпосылки!$H$218,$C$13:$C$15,AE$13:AE$15),1)</f>
        <v>0</v>
      </c>
      <c s="125">
        <f>Предпосылки!AE$245*Предпосылки!$U265*Продажи!AF30*AF$19*(1+Чувствительность!$D$20)*IFERROR(LOOKUP(Предпосылки!$H$218,$C$13:$C$15,AF$13:AF$15),1)</f>
        <v>0</v>
      </c>
      <c s="125">
        <f>Предпосылки!AF$245*Предпосылки!$U265*Продажи!AG30*AG$19*(1+Чувствительность!$D$20)*IFERROR(LOOKUP(Предпосылки!$H$218,$C$13:$C$15,AG$13:AG$15),1)</f>
        <v>0</v>
      </c>
      <c s="125">
        <f>Предпосылки!AG$245*Предпосылки!$U265*Продажи!AH30*AH$19*(1+Чувствительность!$D$20)*IFERROR(LOOKUP(Предпосылки!$H$218,$C$13:$C$15,AH$13:AH$15),1)</f>
        <v>0</v>
      </c>
      <c s="125">
        <f>Предпосылки!AH$245*Предпосылки!$U265*Продажи!AI30*AI$19*(1+Чувствительность!$D$20)*IFERROR(LOOKUP(Предпосылки!$H$218,$C$13:$C$15,AI$13:AI$15),1)</f>
        <v>0</v>
      </c>
      <c s="125">
        <f>Предпосылки!AI$245*Предпосылки!$U265*Продажи!AJ30*AJ$19*(1+Чувствительность!$D$20)*IFERROR(LOOKUP(Предпосылки!$H$218,$C$13:$C$15,AJ$13:AJ$15),1)</f>
        <v>0</v>
      </c>
      <c s="125">
        <f>Предпосылки!AJ$245*Предпосылки!$U265*Продажи!AK30*AK$19*(1+Чувствительность!$D$20)*IFERROR(LOOKUP(Предпосылки!$H$218,$C$13:$C$15,AK$13:AK$15),1)</f>
        <v>0</v>
      </c>
      <c s="125">
        <f>Предпосылки!AK$245*Предпосылки!$U265*Продажи!AL30*AL$19*(1+Чувствительность!$D$20)*IFERROR(LOOKUP(Предпосылки!$H$218,$C$13:$C$15,AL$13:AL$15),1)</f>
        <v>0</v>
      </c>
      <c s="125">
        <f>Предпосылки!AL$245*Предпосылки!$U265*Продажи!AM30*AM$19*(1+Чувствительность!$D$20)*IFERROR(LOOKUP(Предпосылки!$H$218,$C$13:$C$15,AM$13:AM$15),1)</f>
        <v>0</v>
      </c>
      <c s="125">
        <f>Предпосылки!AM$245*Предпосылки!$U265*Продажи!AN30*AN$19*(1+Чувствительность!$D$20)*IFERROR(LOOKUP(Предпосылки!$H$218,$C$13:$C$15,AN$13:AN$15),1)</f>
        <v>0</v>
      </c>
      <c s="125">
        <f>Предпосылки!AN$245*Предпосылки!$U265*Продажи!AO30*AO$19*(1+Чувствительность!$D$20)*IFERROR(LOOKUP(Предпосылки!$H$218,$C$13:$C$15,AO$13:AO$15),1)</f>
        <v>0</v>
      </c>
      <c s="125">
        <f>Предпосылки!AO$245*Предпосылки!$U265*Продажи!AP30*AP$19*(1+Чувствительность!$D$20)*IFERROR(LOOKUP(Предпосылки!$H$218,$C$13:$C$15,AP$13:AP$15),1)</f>
        <v>0</v>
      </c>
      <c s="125">
        <f>Предпосылки!AP$245*Предпосылки!$U265*Продажи!AQ30*AQ$19*(1+Чувствительность!$D$20)*IFERROR(LOOKUP(Предпосылки!$H$218,$C$13:$C$15,AQ$13:AQ$15),1)</f>
        <v>0</v>
      </c>
      <c s="125">
        <f>Предпосылки!AQ$245*Предпосылки!$U265*Продажи!AR30*AR$19*(1+Чувствительность!$D$20)*IFERROR(LOOKUP(Предпосылки!$H$218,$C$13:$C$15,AR$13:AR$15),1)</f>
        <v>0</v>
      </c>
      <c s="125">
        <f>Предпосылки!AR$245*Предпосылки!$U265*Продажи!AS30*AS$19*(1+Чувствительность!$D$20)*IFERROR(LOOKUP(Предпосылки!$H$218,$C$13:$C$15,AS$13:AS$15),1)</f>
        <v>0</v>
      </c>
      <c s="125">
        <f>Предпосылки!AS$245*Предпосылки!$U265*Продажи!AT30*AT$19*(1+Чувствительность!$D$20)*IFERROR(LOOKUP(Предпосылки!$H$218,$C$13:$C$15,AT$13:AT$15),1)</f>
        <v>0</v>
      </c>
      <c s="125">
        <f>Предпосылки!AT$245*Предпосылки!$U265*Продажи!AU30*AU$19*(1+Чувствительность!$D$20)*IFERROR(LOOKUP(Предпосылки!$H$218,$C$13:$C$15,AU$13:AU$15),1)</f>
        <v>0</v>
      </c>
      <c s="125">
        <f>Предпосылки!AU$245*Предпосылки!$U265*Продажи!AV30*AV$19*(1+Чувствительность!$D$20)*IFERROR(LOOKUP(Предпосылки!$H$218,$C$13:$C$15,AV$13:AV$15),1)</f>
        <v>0</v>
      </c>
      <c s="125">
        <f>Предпосылки!AV$245*Предпосылки!$U265*Продажи!AW30*AW$19*(1+Чувствительность!$D$20)*IFERROR(LOOKUP(Предпосылки!$H$218,$C$13:$C$15,AW$13:AW$15),1)</f>
        <v>0</v>
      </c>
      <c s="125">
        <f>Предпосылки!AW$245*Предпосылки!$U265*Продажи!AX30*AX$19*(1+Чувствительность!$D$20)*IFERROR(LOOKUP(Предпосылки!$H$218,$C$13:$C$15,AX$13:AX$15),1)</f>
        <v>0</v>
      </c>
      <c s="125">
        <f>Предпосылки!AX$245*Предпосылки!$U265*Продажи!AY30*AY$19*(1+Чувствительность!$D$20)*IFERROR(LOOKUP(Предпосылки!$H$218,$C$13:$C$15,AY$13:AY$15),1)</f>
        <v>0</v>
      </c>
      <c s="125">
        <f>Предпосылки!AY$245*Предпосылки!$U265*Продажи!AZ30*AZ$19*(1+Чувствительность!$D$20)*IFERROR(LOOKUP(Предпосылки!$H$218,$C$13:$C$15,AZ$13:AZ$15),1)</f>
        <v>0</v>
      </c>
      <c s="125">
        <f>Предпосылки!AZ$245*Предпосылки!$U265*Продажи!BA30*BA$19*(1+Чувствительность!$D$20)*IFERROR(LOOKUP(Предпосылки!$H$218,$C$13:$C$15,BA$13:BA$15),1)</f>
        <v>0</v>
      </c>
      <c s="125">
        <f>Предпосылки!BA$245*Предпосылки!$U265*Продажи!BB30*BB$19*(1+Чувствительность!$D$20)*IFERROR(LOOKUP(Предпосылки!$H$218,$C$13:$C$15,BB$13:BB$15),1)</f>
        <v>0</v>
      </c>
      <c s="125">
        <f>Предпосылки!BB$245*Предпосылки!$U265*Продажи!BC30*BC$19*(1+Чувствительность!$D$20)*IFERROR(LOOKUP(Предпосылки!$H$218,$C$13:$C$15,BC$13:BC$15),1)</f>
        <v>0</v>
      </c>
      <c s="125">
        <f>Предпосылки!BC$245*Предпосылки!$U265*Продажи!BD30*BD$19*(1+Чувствительность!$D$20)*IFERROR(LOOKUP(Предпосылки!$H$218,$C$13:$C$15,BD$13:BD$15),1)</f>
        <v>0</v>
      </c>
      <c s="125">
        <f>Предпосылки!BD$245*Предпосылки!$U265*Продажи!BE30*BE$19*(1+Чувствительность!$D$20)*IFERROR(LOOKUP(Предпосылки!$H$218,$C$13:$C$15,BE$13:BE$15),1)</f>
        <v>0</v>
      </c>
      <c s="125">
        <f>Предпосылки!BE$245*Предпосылки!$U265*Продажи!BF30*BF$19*(1+Чувствительность!$D$20)*IFERROR(LOOKUP(Предпосылки!$H$218,$C$13:$C$15,BF$13:BF$15),1)</f>
        <v>0</v>
      </c>
      <c s="125">
        <f>Предпосылки!BF$245*Предпосылки!$U265*Продажи!BG30*BG$19*(1+Чувствительность!$D$20)*IFERROR(LOOKUP(Предпосылки!$H$218,$C$13:$C$15,BG$13:BG$15),1)</f>
        <v>0</v>
      </c>
      <c s="125">
        <f>Предпосылки!BG$245*Предпосылки!$U265*Продажи!BH30*BH$19*(1+Чувствительность!$D$20)*IFERROR(LOOKUP(Предпосылки!$H$218,$C$13:$C$15,BH$13:BH$15),1)</f>
        <v>0</v>
      </c>
      <c s="125">
        <f>Предпосылки!BH$245*Предпосылки!$U265*Продажи!BI30*BI$19*(1+Чувствительность!$D$20)*IFERROR(LOOKUP(Предпосылки!$H$218,$C$13:$C$15,BI$13:BI$15),1)</f>
        <v>0</v>
      </c>
      <c s="125">
        <f>Предпосылки!BI$245*Предпосылки!$U265*Продажи!BJ30*BJ$19*(1+Чувствительность!$D$20)*IFERROR(LOOKUP(Предпосылки!$H$218,$C$13:$C$15,BJ$13:BJ$15),1)</f>
        <v>0</v>
      </c>
      <c s="125">
        <f>Предпосылки!BJ$245*Предпосылки!$U265*Продажи!BK30*BK$19*(1+Чувствительность!$D$20)*IFERROR(LOOKUP(Предпосылки!$H$218,$C$13:$C$15,BK$13:BK$15),1)</f>
        <v>0</v>
      </c>
      <c s="125">
        <f>Предпосылки!BK$245*Предпосылки!$U265*Продажи!BL30*BL$19*(1+Чувствительность!$D$20)*IFERROR(LOOKUP(Предпосылки!$H$218,$C$13:$C$15,BL$13:BL$15),1)</f>
        <v>0</v>
      </c>
      <c s="125">
        <f>Предпосылки!BL$245*Предпосылки!$U265*Продажи!BM30*BM$19*(1+Чувствительность!$D$20)*IFERROR(LOOKUP(Предпосылки!$H$218,$C$13:$C$15,BM$13:BM$15),1)</f>
        <v>0</v>
      </c>
    </row>
    <row r="427" spans="2:65" ht="15" customHeight="1">
      <c r="B427" s="12" t="str">
        <f t="shared" si="146"/>
        <v>Продукт 14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Предпосылки!D$245*Предпосылки!$U266*Продажи!E31*E$19*(1+Чувствительность!$D$20)*IFERROR(LOOKUP(Предпосылки!$H$218,$C$13:$C$15,E$13:E$15),1)</f>
        <v>0</v>
      </c>
      <c s="125">
        <f>Предпосылки!E$245*Предпосылки!$U266*Продажи!F31*F$19*(1+Чувствительность!$D$20)*IFERROR(LOOKUP(Предпосылки!$H$218,$C$13:$C$15,F$13:F$15),1)</f>
        <v>0</v>
      </c>
      <c s="125">
        <f>Предпосылки!F$245*Предпосылки!$U266*Продажи!G31*G$19*(1+Чувствительность!$D$20)*IFERROR(LOOKUP(Предпосылки!$H$218,$C$13:$C$15,G$13:G$15),1)</f>
        <v>0</v>
      </c>
      <c s="125">
        <f>Предпосылки!G$245*Предпосылки!$U266*Продажи!H31*H$19*(1+Чувствительность!$D$20)*IFERROR(LOOKUP(Предпосылки!$H$218,$C$13:$C$15,H$13:H$15),1)</f>
        <v>0</v>
      </c>
      <c s="125">
        <f>Предпосылки!H$245*Предпосылки!$U266*Продажи!I31*I$19*(1+Чувствительность!$D$20)*IFERROR(LOOKUP(Предпосылки!$H$218,$C$13:$C$15,I$13:I$15),1)</f>
        <v>0</v>
      </c>
      <c s="125">
        <f>Предпосылки!I$245*Предпосылки!$U266*Продажи!J31*J$19*(1+Чувствительность!$D$20)*IFERROR(LOOKUP(Предпосылки!$H$218,$C$13:$C$15,J$13:J$15),1)</f>
        <v>0</v>
      </c>
      <c s="125">
        <f>Предпосылки!J$245*Предпосылки!$U266*Продажи!K31*K$19*(1+Чувствительность!$D$20)*IFERROR(LOOKUP(Предпосылки!$H$218,$C$13:$C$15,K$13:K$15),1)</f>
        <v>0</v>
      </c>
      <c s="125">
        <f>Предпосылки!K$245*Предпосылки!$U266*Продажи!L31*L$19*(1+Чувствительность!$D$20)*IFERROR(LOOKUP(Предпосылки!$H$218,$C$13:$C$15,L$13:L$15),1)</f>
        <v>0</v>
      </c>
      <c s="125">
        <f>Предпосылки!L$245*Предпосылки!$U266*Продажи!M31*M$19*(1+Чувствительность!$D$20)*IFERROR(LOOKUP(Предпосылки!$H$218,$C$13:$C$15,M$13:M$15),1)</f>
        <v>0</v>
      </c>
      <c s="125">
        <f>Предпосылки!M$245*Предпосылки!$U266*Продажи!N31*N$19*(1+Чувствительность!$D$20)*IFERROR(LOOKUP(Предпосылки!$H$218,$C$13:$C$15,N$13:N$15),1)</f>
        <v>0</v>
      </c>
      <c s="125">
        <f>Предпосылки!N$245*Предпосылки!$U266*Продажи!O31*O$19*(1+Чувствительность!$D$20)*IFERROR(LOOKUP(Предпосылки!$H$218,$C$13:$C$15,O$13:O$15),1)</f>
        <v>0</v>
      </c>
      <c s="125">
        <f>Предпосылки!O$245*Предпосылки!$U266*Продажи!P31*P$19*(1+Чувствительность!$D$20)*IFERROR(LOOKUP(Предпосылки!$H$218,$C$13:$C$15,P$13:P$15),1)</f>
        <v>0</v>
      </c>
      <c s="125">
        <f>Предпосылки!P$245*Предпосылки!$U266*Продажи!Q31*Q$19*(1+Чувствительность!$D$20)*IFERROR(LOOKUP(Предпосылки!$H$218,$C$13:$C$15,Q$13:Q$15),1)</f>
        <v>0</v>
      </c>
      <c s="125">
        <f>Предпосылки!Q$245*Предпосылки!$U266*Продажи!R31*R$19*(1+Чувствительность!$D$20)*IFERROR(LOOKUP(Предпосылки!$H$218,$C$13:$C$15,R$13:R$15),1)</f>
        <v>0</v>
      </c>
      <c s="125">
        <f>Предпосылки!R$245*Предпосылки!$U266*Продажи!S31*S$19*(1+Чувствительность!$D$20)*IFERROR(LOOKUP(Предпосылки!$H$218,$C$13:$C$15,S$13:S$15),1)</f>
        <v>0</v>
      </c>
      <c s="125">
        <f>Предпосылки!S$245*Предпосылки!$U266*Продажи!T31*T$19*(1+Чувствительность!$D$20)*IFERROR(LOOKUP(Предпосылки!$H$218,$C$13:$C$15,T$13:T$15),1)</f>
        <v>0</v>
      </c>
      <c s="125">
        <f>Предпосылки!T$245*Предпосылки!$U266*Продажи!U31*U$19*(1+Чувствительность!$D$20)*IFERROR(LOOKUP(Предпосылки!$H$218,$C$13:$C$15,U$13:U$15),1)</f>
        <v>0</v>
      </c>
      <c s="125">
        <f>Предпосылки!U$245*Предпосылки!$U266*Продажи!V31*V$19*(1+Чувствительность!$D$20)*IFERROR(LOOKUP(Предпосылки!$H$218,$C$13:$C$15,V$13:V$15),1)</f>
        <v>0</v>
      </c>
      <c s="125">
        <f>Предпосылки!V$245*Предпосылки!$U266*Продажи!W31*W$19*(1+Чувствительность!$D$20)*IFERROR(LOOKUP(Предпосылки!$H$218,$C$13:$C$15,W$13:W$15),1)</f>
        <v>0</v>
      </c>
      <c s="125">
        <f>Предпосылки!W$245*Предпосылки!$U266*Продажи!X31*X$19*(1+Чувствительность!$D$20)*IFERROR(LOOKUP(Предпосылки!$H$218,$C$13:$C$15,X$13:X$15),1)</f>
        <v>0</v>
      </c>
      <c s="125">
        <f>Предпосылки!X$245*Предпосылки!$U266*Продажи!Y31*Y$19*(1+Чувствительность!$D$20)*IFERROR(LOOKUP(Предпосылки!$H$218,$C$13:$C$15,Y$13:Y$15),1)</f>
        <v>0</v>
      </c>
      <c s="125">
        <f>Предпосылки!Y$245*Предпосылки!$U266*Продажи!Z31*Z$19*(1+Чувствительность!$D$20)*IFERROR(LOOKUP(Предпосылки!$H$218,$C$13:$C$15,Z$13:Z$15),1)</f>
        <v>0</v>
      </c>
      <c s="125">
        <f>Предпосылки!Z$245*Предпосылки!$U266*Продажи!AA31*AA$19*(1+Чувствительность!$D$20)*IFERROR(LOOKUP(Предпосылки!$H$218,$C$13:$C$15,AA$13:AA$15),1)</f>
        <v>0</v>
      </c>
      <c s="125">
        <f>Предпосылки!AA$245*Предпосылки!$U266*Продажи!AB31*AB$19*(1+Чувствительность!$D$20)*IFERROR(LOOKUP(Предпосылки!$H$218,$C$13:$C$15,AB$13:AB$15),1)</f>
        <v>0</v>
      </c>
      <c s="125">
        <f>Предпосылки!AB$245*Предпосылки!$U266*Продажи!AC31*AC$19*(1+Чувствительность!$D$20)*IFERROR(LOOKUP(Предпосылки!$H$218,$C$13:$C$15,AC$13:AC$15),1)</f>
        <v>0</v>
      </c>
      <c s="125">
        <f>Предпосылки!AC$245*Предпосылки!$U266*Продажи!AD31*AD$19*(1+Чувствительность!$D$20)*IFERROR(LOOKUP(Предпосылки!$H$218,$C$13:$C$15,AD$13:AD$15),1)</f>
        <v>0</v>
      </c>
      <c s="125">
        <f>Предпосылки!AD$245*Предпосылки!$U266*Продажи!AE31*AE$19*(1+Чувствительность!$D$20)*IFERROR(LOOKUP(Предпосылки!$H$218,$C$13:$C$15,AE$13:AE$15),1)</f>
        <v>0</v>
      </c>
      <c s="125">
        <f>Предпосылки!AE$245*Предпосылки!$U266*Продажи!AF31*AF$19*(1+Чувствительность!$D$20)*IFERROR(LOOKUP(Предпосылки!$H$218,$C$13:$C$15,AF$13:AF$15),1)</f>
        <v>0</v>
      </c>
      <c s="125">
        <f>Предпосылки!AF$245*Предпосылки!$U266*Продажи!AG31*AG$19*(1+Чувствительность!$D$20)*IFERROR(LOOKUP(Предпосылки!$H$218,$C$13:$C$15,AG$13:AG$15),1)</f>
        <v>0</v>
      </c>
      <c s="125">
        <f>Предпосылки!AG$245*Предпосылки!$U266*Продажи!AH31*AH$19*(1+Чувствительность!$D$20)*IFERROR(LOOKUP(Предпосылки!$H$218,$C$13:$C$15,AH$13:AH$15),1)</f>
        <v>0</v>
      </c>
      <c s="125">
        <f>Предпосылки!AH$245*Предпосылки!$U266*Продажи!AI31*AI$19*(1+Чувствительность!$D$20)*IFERROR(LOOKUP(Предпосылки!$H$218,$C$13:$C$15,AI$13:AI$15),1)</f>
        <v>0</v>
      </c>
      <c s="125">
        <f>Предпосылки!AI$245*Предпосылки!$U266*Продажи!AJ31*AJ$19*(1+Чувствительность!$D$20)*IFERROR(LOOKUP(Предпосылки!$H$218,$C$13:$C$15,AJ$13:AJ$15),1)</f>
        <v>0</v>
      </c>
      <c s="125">
        <f>Предпосылки!AJ$245*Предпосылки!$U266*Продажи!AK31*AK$19*(1+Чувствительность!$D$20)*IFERROR(LOOKUP(Предпосылки!$H$218,$C$13:$C$15,AK$13:AK$15),1)</f>
        <v>0</v>
      </c>
      <c s="125">
        <f>Предпосылки!AK$245*Предпосылки!$U266*Продажи!AL31*AL$19*(1+Чувствительность!$D$20)*IFERROR(LOOKUP(Предпосылки!$H$218,$C$13:$C$15,AL$13:AL$15),1)</f>
        <v>0</v>
      </c>
      <c s="125">
        <f>Предпосылки!AL$245*Предпосылки!$U266*Продажи!AM31*AM$19*(1+Чувствительность!$D$20)*IFERROR(LOOKUP(Предпосылки!$H$218,$C$13:$C$15,AM$13:AM$15),1)</f>
        <v>0</v>
      </c>
      <c s="125">
        <f>Предпосылки!AM$245*Предпосылки!$U266*Продажи!AN31*AN$19*(1+Чувствительность!$D$20)*IFERROR(LOOKUP(Предпосылки!$H$218,$C$13:$C$15,AN$13:AN$15),1)</f>
        <v>0</v>
      </c>
      <c s="125">
        <f>Предпосылки!AN$245*Предпосылки!$U266*Продажи!AO31*AO$19*(1+Чувствительность!$D$20)*IFERROR(LOOKUP(Предпосылки!$H$218,$C$13:$C$15,AO$13:AO$15),1)</f>
        <v>0</v>
      </c>
      <c s="125">
        <f>Предпосылки!AO$245*Предпосылки!$U266*Продажи!AP31*AP$19*(1+Чувствительность!$D$20)*IFERROR(LOOKUP(Предпосылки!$H$218,$C$13:$C$15,AP$13:AP$15),1)</f>
        <v>0</v>
      </c>
      <c s="125">
        <f>Предпосылки!AP$245*Предпосылки!$U266*Продажи!AQ31*AQ$19*(1+Чувствительность!$D$20)*IFERROR(LOOKUP(Предпосылки!$H$218,$C$13:$C$15,AQ$13:AQ$15),1)</f>
        <v>0</v>
      </c>
      <c s="125">
        <f>Предпосылки!AQ$245*Предпосылки!$U266*Продажи!AR31*AR$19*(1+Чувствительность!$D$20)*IFERROR(LOOKUP(Предпосылки!$H$218,$C$13:$C$15,AR$13:AR$15),1)</f>
        <v>0</v>
      </c>
      <c s="125">
        <f>Предпосылки!AR$245*Предпосылки!$U266*Продажи!AS31*AS$19*(1+Чувствительность!$D$20)*IFERROR(LOOKUP(Предпосылки!$H$218,$C$13:$C$15,AS$13:AS$15),1)</f>
        <v>0</v>
      </c>
      <c s="125">
        <f>Предпосылки!AS$245*Предпосылки!$U266*Продажи!AT31*AT$19*(1+Чувствительность!$D$20)*IFERROR(LOOKUP(Предпосылки!$H$218,$C$13:$C$15,AT$13:AT$15),1)</f>
        <v>0</v>
      </c>
      <c s="125">
        <f>Предпосылки!AT$245*Предпосылки!$U266*Продажи!AU31*AU$19*(1+Чувствительность!$D$20)*IFERROR(LOOKUP(Предпосылки!$H$218,$C$13:$C$15,AU$13:AU$15),1)</f>
        <v>0</v>
      </c>
      <c s="125">
        <f>Предпосылки!AU$245*Предпосылки!$U266*Продажи!AV31*AV$19*(1+Чувствительность!$D$20)*IFERROR(LOOKUP(Предпосылки!$H$218,$C$13:$C$15,AV$13:AV$15),1)</f>
        <v>0</v>
      </c>
      <c s="125">
        <f>Предпосылки!AV$245*Предпосылки!$U266*Продажи!AW31*AW$19*(1+Чувствительность!$D$20)*IFERROR(LOOKUP(Предпосылки!$H$218,$C$13:$C$15,AW$13:AW$15),1)</f>
        <v>0</v>
      </c>
      <c s="125">
        <f>Предпосылки!AW$245*Предпосылки!$U266*Продажи!AX31*AX$19*(1+Чувствительность!$D$20)*IFERROR(LOOKUP(Предпосылки!$H$218,$C$13:$C$15,AX$13:AX$15),1)</f>
        <v>0</v>
      </c>
      <c s="125">
        <f>Предпосылки!AX$245*Предпосылки!$U266*Продажи!AY31*AY$19*(1+Чувствительность!$D$20)*IFERROR(LOOKUP(Предпосылки!$H$218,$C$13:$C$15,AY$13:AY$15),1)</f>
        <v>0</v>
      </c>
      <c s="125">
        <f>Предпосылки!AY$245*Предпосылки!$U266*Продажи!AZ31*AZ$19*(1+Чувствительность!$D$20)*IFERROR(LOOKUP(Предпосылки!$H$218,$C$13:$C$15,AZ$13:AZ$15),1)</f>
        <v>0</v>
      </c>
      <c s="125">
        <f>Предпосылки!AZ$245*Предпосылки!$U266*Продажи!BA31*BA$19*(1+Чувствительность!$D$20)*IFERROR(LOOKUP(Предпосылки!$H$218,$C$13:$C$15,BA$13:BA$15),1)</f>
        <v>0</v>
      </c>
      <c s="125">
        <f>Предпосылки!BA$245*Предпосылки!$U266*Продажи!BB31*BB$19*(1+Чувствительность!$D$20)*IFERROR(LOOKUP(Предпосылки!$H$218,$C$13:$C$15,BB$13:BB$15),1)</f>
        <v>0</v>
      </c>
      <c s="125">
        <f>Предпосылки!BB$245*Предпосылки!$U266*Продажи!BC31*BC$19*(1+Чувствительность!$D$20)*IFERROR(LOOKUP(Предпосылки!$H$218,$C$13:$C$15,BC$13:BC$15),1)</f>
        <v>0</v>
      </c>
      <c s="125">
        <f>Предпосылки!BC$245*Предпосылки!$U266*Продажи!BD31*BD$19*(1+Чувствительность!$D$20)*IFERROR(LOOKUP(Предпосылки!$H$218,$C$13:$C$15,BD$13:BD$15),1)</f>
        <v>0</v>
      </c>
      <c s="125">
        <f>Предпосылки!BD$245*Предпосылки!$U266*Продажи!BE31*BE$19*(1+Чувствительность!$D$20)*IFERROR(LOOKUP(Предпосылки!$H$218,$C$13:$C$15,BE$13:BE$15),1)</f>
        <v>0</v>
      </c>
      <c s="125">
        <f>Предпосылки!BE$245*Предпосылки!$U266*Продажи!BF31*BF$19*(1+Чувствительность!$D$20)*IFERROR(LOOKUP(Предпосылки!$H$218,$C$13:$C$15,BF$13:BF$15),1)</f>
        <v>0</v>
      </c>
      <c s="125">
        <f>Предпосылки!BF$245*Предпосылки!$U266*Продажи!BG31*BG$19*(1+Чувствительность!$D$20)*IFERROR(LOOKUP(Предпосылки!$H$218,$C$13:$C$15,BG$13:BG$15),1)</f>
        <v>0</v>
      </c>
      <c s="125">
        <f>Предпосылки!BG$245*Предпосылки!$U266*Продажи!BH31*BH$19*(1+Чувствительность!$D$20)*IFERROR(LOOKUP(Предпосылки!$H$218,$C$13:$C$15,BH$13:BH$15),1)</f>
        <v>0</v>
      </c>
      <c s="125">
        <f>Предпосылки!BH$245*Предпосылки!$U266*Продажи!BI31*BI$19*(1+Чувствительность!$D$20)*IFERROR(LOOKUP(Предпосылки!$H$218,$C$13:$C$15,BI$13:BI$15),1)</f>
        <v>0</v>
      </c>
      <c s="125">
        <f>Предпосылки!BI$245*Предпосылки!$U266*Продажи!BJ31*BJ$19*(1+Чувствительность!$D$20)*IFERROR(LOOKUP(Предпосылки!$H$218,$C$13:$C$15,BJ$13:BJ$15),1)</f>
        <v>0</v>
      </c>
      <c s="125">
        <f>Предпосылки!BJ$245*Предпосылки!$U266*Продажи!BK31*BK$19*(1+Чувствительность!$D$20)*IFERROR(LOOKUP(Предпосылки!$H$218,$C$13:$C$15,BK$13:BK$15),1)</f>
        <v>0</v>
      </c>
      <c s="125">
        <f>Предпосылки!BK$245*Предпосылки!$U266*Продажи!BL31*BL$19*(1+Чувствительность!$D$20)*IFERROR(LOOKUP(Предпосылки!$H$218,$C$13:$C$15,BL$13:BL$15),1)</f>
        <v>0</v>
      </c>
      <c s="125">
        <f>Предпосылки!BL$245*Предпосылки!$U266*Продажи!BM31*BM$19*(1+Чувствительность!$D$20)*IFERROR(LOOKUP(Предпосылки!$H$218,$C$13:$C$15,BM$13:BM$15),1)</f>
        <v>0</v>
      </c>
    </row>
    <row r="428" spans="2:65" ht="15" customHeight="1">
      <c r="B428" s="12" t="str">
        <f t="shared" si="146"/>
        <v>Продукт 15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Предпосылки!D$245*Предпосылки!$U267*Продажи!E32*E$19*(1+Чувствительность!$D$20)*IFERROR(LOOKUP(Предпосылки!$H$218,$C$13:$C$15,E$13:E$15),1)</f>
        <v>0</v>
      </c>
      <c s="125">
        <f>Предпосылки!E$245*Предпосылки!$U267*Продажи!F32*F$19*(1+Чувствительность!$D$20)*IFERROR(LOOKUP(Предпосылки!$H$218,$C$13:$C$15,F$13:F$15),1)</f>
        <v>0</v>
      </c>
      <c s="125">
        <f>Предпосылки!F$245*Предпосылки!$U267*Продажи!G32*G$19*(1+Чувствительность!$D$20)*IFERROR(LOOKUP(Предпосылки!$H$218,$C$13:$C$15,G$13:G$15),1)</f>
        <v>0</v>
      </c>
      <c s="125">
        <f>Предпосылки!G$245*Предпосылки!$U267*Продажи!H32*H$19*(1+Чувствительность!$D$20)*IFERROR(LOOKUP(Предпосылки!$H$218,$C$13:$C$15,H$13:H$15),1)</f>
        <v>0</v>
      </c>
      <c s="125">
        <f>Предпосылки!H$245*Предпосылки!$U267*Продажи!I32*I$19*(1+Чувствительность!$D$20)*IFERROR(LOOKUP(Предпосылки!$H$218,$C$13:$C$15,I$13:I$15),1)</f>
        <v>0</v>
      </c>
      <c s="125">
        <f>Предпосылки!I$245*Предпосылки!$U267*Продажи!J32*J$19*(1+Чувствительность!$D$20)*IFERROR(LOOKUP(Предпосылки!$H$218,$C$13:$C$15,J$13:J$15),1)</f>
        <v>0</v>
      </c>
      <c s="125">
        <f>Предпосылки!J$245*Предпосылки!$U267*Продажи!K32*K$19*(1+Чувствительность!$D$20)*IFERROR(LOOKUP(Предпосылки!$H$218,$C$13:$C$15,K$13:K$15),1)</f>
        <v>0</v>
      </c>
      <c s="125">
        <f>Предпосылки!K$245*Предпосылки!$U267*Продажи!L32*L$19*(1+Чувствительность!$D$20)*IFERROR(LOOKUP(Предпосылки!$H$218,$C$13:$C$15,L$13:L$15),1)</f>
        <v>0</v>
      </c>
      <c s="125">
        <f>Предпосылки!L$245*Предпосылки!$U267*Продажи!M32*M$19*(1+Чувствительность!$D$20)*IFERROR(LOOKUP(Предпосылки!$H$218,$C$13:$C$15,M$13:M$15),1)</f>
        <v>0</v>
      </c>
      <c s="125">
        <f>Предпосылки!M$245*Предпосылки!$U267*Продажи!N32*N$19*(1+Чувствительность!$D$20)*IFERROR(LOOKUP(Предпосылки!$H$218,$C$13:$C$15,N$13:N$15),1)</f>
        <v>0</v>
      </c>
      <c s="125">
        <f>Предпосылки!N$245*Предпосылки!$U267*Продажи!O32*O$19*(1+Чувствительность!$D$20)*IFERROR(LOOKUP(Предпосылки!$H$218,$C$13:$C$15,O$13:O$15),1)</f>
        <v>0</v>
      </c>
      <c s="125">
        <f>Предпосылки!O$245*Предпосылки!$U267*Продажи!P32*P$19*(1+Чувствительность!$D$20)*IFERROR(LOOKUP(Предпосылки!$H$218,$C$13:$C$15,P$13:P$15),1)</f>
        <v>0</v>
      </c>
      <c s="125">
        <f>Предпосылки!P$245*Предпосылки!$U267*Продажи!Q32*Q$19*(1+Чувствительность!$D$20)*IFERROR(LOOKUP(Предпосылки!$H$218,$C$13:$C$15,Q$13:Q$15),1)</f>
        <v>0</v>
      </c>
      <c s="125">
        <f>Предпосылки!Q$245*Предпосылки!$U267*Продажи!R32*R$19*(1+Чувствительность!$D$20)*IFERROR(LOOKUP(Предпосылки!$H$218,$C$13:$C$15,R$13:R$15),1)</f>
        <v>0</v>
      </c>
      <c s="125">
        <f>Предпосылки!R$245*Предпосылки!$U267*Продажи!S32*S$19*(1+Чувствительность!$D$20)*IFERROR(LOOKUP(Предпосылки!$H$218,$C$13:$C$15,S$13:S$15),1)</f>
        <v>0</v>
      </c>
      <c s="125">
        <f>Предпосылки!S$245*Предпосылки!$U267*Продажи!T32*T$19*(1+Чувствительность!$D$20)*IFERROR(LOOKUP(Предпосылки!$H$218,$C$13:$C$15,T$13:T$15),1)</f>
        <v>0</v>
      </c>
      <c s="125">
        <f>Предпосылки!T$245*Предпосылки!$U267*Продажи!U32*U$19*(1+Чувствительность!$D$20)*IFERROR(LOOKUP(Предпосылки!$H$218,$C$13:$C$15,U$13:U$15),1)</f>
        <v>0</v>
      </c>
      <c s="125">
        <f>Предпосылки!U$245*Предпосылки!$U267*Продажи!V32*V$19*(1+Чувствительность!$D$20)*IFERROR(LOOKUP(Предпосылки!$H$218,$C$13:$C$15,V$13:V$15),1)</f>
        <v>0</v>
      </c>
      <c s="125">
        <f>Предпосылки!V$245*Предпосылки!$U267*Продажи!W32*W$19*(1+Чувствительность!$D$20)*IFERROR(LOOKUP(Предпосылки!$H$218,$C$13:$C$15,W$13:W$15),1)</f>
        <v>0</v>
      </c>
      <c s="125">
        <f>Предпосылки!W$245*Предпосылки!$U267*Продажи!X32*X$19*(1+Чувствительность!$D$20)*IFERROR(LOOKUP(Предпосылки!$H$218,$C$13:$C$15,X$13:X$15),1)</f>
        <v>0</v>
      </c>
      <c s="125">
        <f>Предпосылки!X$245*Предпосылки!$U267*Продажи!Y32*Y$19*(1+Чувствительность!$D$20)*IFERROR(LOOKUP(Предпосылки!$H$218,$C$13:$C$15,Y$13:Y$15),1)</f>
        <v>0</v>
      </c>
      <c s="125">
        <f>Предпосылки!Y$245*Предпосылки!$U267*Продажи!Z32*Z$19*(1+Чувствительность!$D$20)*IFERROR(LOOKUP(Предпосылки!$H$218,$C$13:$C$15,Z$13:Z$15),1)</f>
        <v>0</v>
      </c>
      <c s="125">
        <f>Предпосылки!Z$245*Предпосылки!$U267*Продажи!AA32*AA$19*(1+Чувствительность!$D$20)*IFERROR(LOOKUP(Предпосылки!$H$218,$C$13:$C$15,AA$13:AA$15),1)</f>
        <v>0</v>
      </c>
      <c s="125">
        <f>Предпосылки!AA$245*Предпосылки!$U267*Продажи!AB32*AB$19*(1+Чувствительность!$D$20)*IFERROR(LOOKUP(Предпосылки!$H$218,$C$13:$C$15,AB$13:AB$15),1)</f>
        <v>0</v>
      </c>
      <c s="125">
        <f>Предпосылки!AB$245*Предпосылки!$U267*Продажи!AC32*AC$19*(1+Чувствительность!$D$20)*IFERROR(LOOKUP(Предпосылки!$H$218,$C$13:$C$15,AC$13:AC$15),1)</f>
        <v>0</v>
      </c>
      <c s="125">
        <f>Предпосылки!AC$245*Предпосылки!$U267*Продажи!AD32*AD$19*(1+Чувствительность!$D$20)*IFERROR(LOOKUP(Предпосылки!$H$218,$C$13:$C$15,AD$13:AD$15),1)</f>
        <v>0</v>
      </c>
      <c s="125">
        <f>Предпосылки!AD$245*Предпосылки!$U267*Продажи!AE32*AE$19*(1+Чувствительность!$D$20)*IFERROR(LOOKUP(Предпосылки!$H$218,$C$13:$C$15,AE$13:AE$15),1)</f>
        <v>0</v>
      </c>
      <c s="125">
        <f>Предпосылки!AE$245*Предпосылки!$U267*Продажи!AF32*AF$19*(1+Чувствительность!$D$20)*IFERROR(LOOKUP(Предпосылки!$H$218,$C$13:$C$15,AF$13:AF$15),1)</f>
        <v>0</v>
      </c>
      <c s="125">
        <f>Предпосылки!AF$245*Предпосылки!$U267*Продажи!AG32*AG$19*(1+Чувствительность!$D$20)*IFERROR(LOOKUP(Предпосылки!$H$218,$C$13:$C$15,AG$13:AG$15),1)</f>
        <v>0</v>
      </c>
      <c s="125">
        <f>Предпосылки!AG$245*Предпосылки!$U267*Продажи!AH32*AH$19*(1+Чувствительность!$D$20)*IFERROR(LOOKUP(Предпосылки!$H$218,$C$13:$C$15,AH$13:AH$15),1)</f>
        <v>0</v>
      </c>
      <c s="125">
        <f>Предпосылки!AH$245*Предпосылки!$U267*Продажи!AI32*AI$19*(1+Чувствительность!$D$20)*IFERROR(LOOKUP(Предпосылки!$H$218,$C$13:$C$15,AI$13:AI$15),1)</f>
        <v>0</v>
      </c>
      <c s="125">
        <f>Предпосылки!AI$245*Предпосылки!$U267*Продажи!AJ32*AJ$19*(1+Чувствительность!$D$20)*IFERROR(LOOKUP(Предпосылки!$H$218,$C$13:$C$15,AJ$13:AJ$15),1)</f>
        <v>0</v>
      </c>
      <c s="125">
        <f>Предпосылки!AJ$245*Предпосылки!$U267*Продажи!AK32*AK$19*(1+Чувствительность!$D$20)*IFERROR(LOOKUP(Предпосылки!$H$218,$C$13:$C$15,AK$13:AK$15),1)</f>
        <v>0</v>
      </c>
      <c s="125">
        <f>Предпосылки!AK$245*Предпосылки!$U267*Продажи!AL32*AL$19*(1+Чувствительность!$D$20)*IFERROR(LOOKUP(Предпосылки!$H$218,$C$13:$C$15,AL$13:AL$15),1)</f>
        <v>0</v>
      </c>
      <c s="125">
        <f>Предпосылки!AL$245*Предпосылки!$U267*Продажи!AM32*AM$19*(1+Чувствительность!$D$20)*IFERROR(LOOKUP(Предпосылки!$H$218,$C$13:$C$15,AM$13:AM$15),1)</f>
        <v>0</v>
      </c>
      <c s="125">
        <f>Предпосылки!AM$245*Предпосылки!$U267*Продажи!AN32*AN$19*(1+Чувствительность!$D$20)*IFERROR(LOOKUP(Предпосылки!$H$218,$C$13:$C$15,AN$13:AN$15),1)</f>
        <v>0</v>
      </c>
      <c s="125">
        <f>Предпосылки!AN$245*Предпосылки!$U267*Продажи!AO32*AO$19*(1+Чувствительность!$D$20)*IFERROR(LOOKUP(Предпосылки!$H$218,$C$13:$C$15,AO$13:AO$15),1)</f>
        <v>0</v>
      </c>
      <c s="125">
        <f>Предпосылки!AO$245*Предпосылки!$U267*Продажи!AP32*AP$19*(1+Чувствительность!$D$20)*IFERROR(LOOKUP(Предпосылки!$H$218,$C$13:$C$15,AP$13:AP$15),1)</f>
        <v>0</v>
      </c>
      <c s="125">
        <f>Предпосылки!AP$245*Предпосылки!$U267*Продажи!AQ32*AQ$19*(1+Чувствительность!$D$20)*IFERROR(LOOKUP(Предпосылки!$H$218,$C$13:$C$15,AQ$13:AQ$15),1)</f>
        <v>0</v>
      </c>
      <c s="125">
        <f>Предпосылки!AQ$245*Предпосылки!$U267*Продажи!AR32*AR$19*(1+Чувствительность!$D$20)*IFERROR(LOOKUP(Предпосылки!$H$218,$C$13:$C$15,AR$13:AR$15),1)</f>
        <v>0</v>
      </c>
      <c s="125">
        <f>Предпосылки!AR$245*Предпосылки!$U267*Продажи!AS32*AS$19*(1+Чувствительность!$D$20)*IFERROR(LOOKUP(Предпосылки!$H$218,$C$13:$C$15,AS$13:AS$15),1)</f>
        <v>0</v>
      </c>
      <c s="125">
        <f>Предпосылки!AS$245*Предпосылки!$U267*Продажи!AT32*AT$19*(1+Чувствительность!$D$20)*IFERROR(LOOKUP(Предпосылки!$H$218,$C$13:$C$15,AT$13:AT$15),1)</f>
        <v>0</v>
      </c>
      <c s="125">
        <f>Предпосылки!AT$245*Предпосылки!$U267*Продажи!AU32*AU$19*(1+Чувствительность!$D$20)*IFERROR(LOOKUP(Предпосылки!$H$218,$C$13:$C$15,AU$13:AU$15),1)</f>
        <v>0</v>
      </c>
      <c s="125">
        <f>Предпосылки!AU$245*Предпосылки!$U267*Продажи!AV32*AV$19*(1+Чувствительность!$D$20)*IFERROR(LOOKUP(Предпосылки!$H$218,$C$13:$C$15,AV$13:AV$15),1)</f>
        <v>0</v>
      </c>
      <c s="125">
        <f>Предпосылки!AV$245*Предпосылки!$U267*Продажи!AW32*AW$19*(1+Чувствительность!$D$20)*IFERROR(LOOKUP(Предпосылки!$H$218,$C$13:$C$15,AW$13:AW$15),1)</f>
        <v>0</v>
      </c>
      <c s="125">
        <f>Предпосылки!AW$245*Предпосылки!$U267*Продажи!AX32*AX$19*(1+Чувствительность!$D$20)*IFERROR(LOOKUP(Предпосылки!$H$218,$C$13:$C$15,AX$13:AX$15),1)</f>
        <v>0</v>
      </c>
      <c s="125">
        <f>Предпосылки!AX$245*Предпосылки!$U267*Продажи!AY32*AY$19*(1+Чувствительность!$D$20)*IFERROR(LOOKUP(Предпосылки!$H$218,$C$13:$C$15,AY$13:AY$15),1)</f>
        <v>0</v>
      </c>
      <c s="125">
        <f>Предпосылки!AY$245*Предпосылки!$U267*Продажи!AZ32*AZ$19*(1+Чувствительность!$D$20)*IFERROR(LOOKUP(Предпосылки!$H$218,$C$13:$C$15,AZ$13:AZ$15),1)</f>
        <v>0</v>
      </c>
      <c s="125">
        <f>Предпосылки!AZ$245*Предпосылки!$U267*Продажи!BA32*BA$19*(1+Чувствительность!$D$20)*IFERROR(LOOKUP(Предпосылки!$H$218,$C$13:$C$15,BA$13:BA$15),1)</f>
        <v>0</v>
      </c>
      <c s="125">
        <f>Предпосылки!BA$245*Предпосылки!$U267*Продажи!BB32*BB$19*(1+Чувствительность!$D$20)*IFERROR(LOOKUP(Предпосылки!$H$218,$C$13:$C$15,BB$13:BB$15),1)</f>
        <v>0</v>
      </c>
      <c s="125">
        <f>Предпосылки!BB$245*Предпосылки!$U267*Продажи!BC32*BC$19*(1+Чувствительность!$D$20)*IFERROR(LOOKUP(Предпосылки!$H$218,$C$13:$C$15,BC$13:BC$15),1)</f>
        <v>0</v>
      </c>
      <c s="125">
        <f>Предпосылки!BC$245*Предпосылки!$U267*Продажи!BD32*BD$19*(1+Чувствительность!$D$20)*IFERROR(LOOKUP(Предпосылки!$H$218,$C$13:$C$15,BD$13:BD$15),1)</f>
        <v>0</v>
      </c>
      <c s="125">
        <f>Предпосылки!BD$245*Предпосылки!$U267*Продажи!BE32*BE$19*(1+Чувствительность!$D$20)*IFERROR(LOOKUP(Предпосылки!$H$218,$C$13:$C$15,BE$13:BE$15),1)</f>
        <v>0</v>
      </c>
      <c s="125">
        <f>Предпосылки!BE$245*Предпосылки!$U267*Продажи!BF32*BF$19*(1+Чувствительность!$D$20)*IFERROR(LOOKUP(Предпосылки!$H$218,$C$13:$C$15,BF$13:BF$15),1)</f>
        <v>0</v>
      </c>
      <c s="125">
        <f>Предпосылки!BF$245*Предпосылки!$U267*Продажи!BG32*BG$19*(1+Чувствительность!$D$20)*IFERROR(LOOKUP(Предпосылки!$H$218,$C$13:$C$15,BG$13:BG$15),1)</f>
        <v>0</v>
      </c>
      <c s="125">
        <f>Предпосылки!BG$245*Предпосылки!$U267*Продажи!BH32*BH$19*(1+Чувствительность!$D$20)*IFERROR(LOOKUP(Предпосылки!$H$218,$C$13:$C$15,BH$13:BH$15),1)</f>
        <v>0</v>
      </c>
      <c s="125">
        <f>Предпосылки!BH$245*Предпосылки!$U267*Продажи!BI32*BI$19*(1+Чувствительность!$D$20)*IFERROR(LOOKUP(Предпосылки!$H$218,$C$13:$C$15,BI$13:BI$15),1)</f>
        <v>0</v>
      </c>
      <c s="125">
        <f>Предпосылки!BI$245*Предпосылки!$U267*Продажи!BJ32*BJ$19*(1+Чувствительность!$D$20)*IFERROR(LOOKUP(Предпосылки!$H$218,$C$13:$C$15,BJ$13:BJ$15),1)</f>
        <v>0</v>
      </c>
      <c s="125">
        <f>Предпосылки!BJ$245*Предпосылки!$U267*Продажи!BK32*BK$19*(1+Чувствительность!$D$20)*IFERROR(LOOKUP(Предпосылки!$H$218,$C$13:$C$15,BK$13:BK$15),1)</f>
        <v>0</v>
      </c>
      <c s="125">
        <f>Предпосылки!BK$245*Предпосылки!$U267*Продажи!BL32*BL$19*(1+Чувствительность!$D$20)*IFERROR(LOOKUP(Предпосылки!$H$218,$C$13:$C$15,BL$13:BL$15),1)</f>
        <v>0</v>
      </c>
      <c s="125">
        <f>Предпосылки!BL$245*Предпосылки!$U267*Продажи!BM32*BM$19*(1+Чувствительность!$D$20)*IFERROR(LOOKUP(Предпосылки!$H$218,$C$13:$C$15,BM$13:BM$15),1)</f>
        <v>0</v>
      </c>
    </row>
    <row r="429" spans="2:65" ht="15" customHeight="1">
      <c r="B429" s="12" t="str">
        <f t="shared" si="146"/>
        <v>Продукт 16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Предпосылки!D$245*Предпосылки!$U268*Продажи!E33*E$19*(1+Чувствительность!$D$20)*IFERROR(LOOKUP(Предпосылки!$H$218,$C$13:$C$15,E$13:E$15),1)</f>
        <v>0</v>
      </c>
      <c s="125">
        <f>Предпосылки!E$245*Предпосылки!$U268*Продажи!F33*F$19*(1+Чувствительность!$D$20)*IFERROR(LOOKUP(Предпосылки!$H$218,$C$13:$C$15,F$13:F$15),1)</f>
        <v>0</v>
      </c>
      <c s="125">
        <f>Предпосылки!F$245*Предпосылки!$U268*Продажи!G33*G$19*(1+Чувствительность!$D$20)*IFERROR(LOOKUP(Предпосылки!$H$218,$C$13:$C$15,G$13:G$15),1)</f>
        <v>0</v>
      </c>
      <c s="125">
        <f>Предпосылки!G$245*Предпосылки!$U268*Продажи!H33*H$19*(1+Чувствительность!$D$20)*IFERROR(LOOKUP(Предпосылки!$H$218,$C$13:$C$15,H$13:H$15),1)</f>
        <v>0</v>
      </c>
      <c s="125">
        <f>Предпосылки!H$245*Предпосылки!$U268*Продажи!I33*I$19*(1+Чувствительность!$D$20)*IFERROR(LOOKUP(Предпосылки!$H$218,$C$13:$C$15,I$13:I$15),1)</f>
        <v>0</v>
      </c>
      <c s="125">
        <f>Предпосылки!I$245*Предпосылки!$U268*Продажи!J33*J$19*(1+Чувствительность!$D$20)*IFERROR(LOOKUP(Предпосылки!$H$218,$C$13:$C$15,J$13:J$15),1)</f>
        <v>0</v>
      </c>
      <c s="125">
        <f>Предпосылки!J$245*Предпосылки!$U268*Продажи!K33*K$19*(1+Чувствительность!$D$20)*IFERROR(LOOKUP(Предпосылки!$H$218,$C$13:$C$15,K$13:K$15),1)</f>
        <v>0</v>
      </c>
      <c s="125">
        <f>Предпосылки!K$245*Предпосылки!$U268*Продажи!L33*L$19*(1+Чувствительность!$D$20)*IFERROR(LOOKUP(Предпосылки!$H$218,$C$13:$C$15,L$13:L$15),1)</f>
        <v>0</v>
      </c>
      <c s="125">
        <f>Предпосылки!L$245*Предпосылки!$U268*Продажи!M33*M$19*(1+Чувствительность!$D$20)*IFERROR(LOOKUP(Предпосылки!$H$218,$C$13:$C$15,M$13:M$15),1)</f>
        <v>0</v>
      </c>
      <c s="125">
        <f>Предпосылки!M$245*Предпосылки!$U268*Продажи!N33*N$19*(1+Чувствительность!$D$20)*IFERROR(LOOKUP(Предпосылки!$H$218,$C$13:$C$15,N$13:N$15),1)</f>
        <v>0</v>
      </c>
      <c s="125">
        <f>Предпосылки!N$245*Предпосылки!$U268*Продажи!O33*O$19*(1+Чувствительность!$D$20)*IFERROR(LOOKUP(Предпосылки!$H$218,$C$13:$C$15,O$13:O$15),1)</f>
        <v>0</v>
      </c>
      <c s="125">
        <f>Предпосылки!O$245*Предпосылки!$U268*Продажи!P33*P$19*(1+Чувствительность!$D$20)*IFERROR(LOOKUP(Предпосылки!$H$218,$C$13:$C$15,P$13:P$15),1)</f>
        <v>0</v>
      </c>
      <c s="125">
        <f>Предпосылки!P$245*Предпосылки!$U268*Продажи!Q33*Q$19*(1+Чувствительность!$D$20)*IFERROR(LOOKUP(Предпосылки!$H$218,$C$13:$C$15,Q$13:Q$15),1)</f>
        <v>0</v>
      </c>
      <c s="125">
        <f>Предпосылки!Q$245*Предпосылки!$U268*Продажи!R33*R$19*(1+Чувствительность!$D$20)*IFERROR(LOOKUP(Предпосылки!$H$218,$C$13:$C$15,R$13:R$15),1)</f>
        <v>0</v>
      </c>
      <c s="125">
        <f>Предпосылки!R$245*Предпосылки!$U268*Продажи!S33*S$19*(1+Чувствительность!$D$20)*IFERROR(LOOKUP(Предпосылки!$H$218,$C$13:$C$15,S$13:S$15),1)</f>
        <v>0</v>
      </c>
      <c s="125">
        <f>Предпосылки!S$245*Предпосылки!$U268*Продажи!T33*T$19*(1+Чувствительность!$D$20)*IFERROR(LOOKUP(Предпосылки!$H$218,$C$13:$C$15,T$13:T$15),1)</f>
        <v>0</v>
      </c>
      <c s="125">
        <f>Предпосылки!T$245*Предпосылки!$U268*Продажи!U33*U$19*(1+Чувствительность!$D$20)*IFERROR(LOOKUP(Предпосылки!$H$218,$C$13:$C$15,U$13:U$15),1)</f>
        <v>0</v>
      </c>
      <c s="125">
        <f>Предпосылки!U$245*Предпосылки!$U268*Продажи!V33*V$19*(1+Чувствительность!$D$20)*IFERROR(LOOKUP(Предпосылки!$H$218,$C$13:$C$15,V$13:V$15),1)</f>
        <v>0</v>
      </c>
      <c s="125">
        <f>Предпосылки!V$245*Предпосылки!$U268*Продажи!W33*W$19*(1+Чувствительность!$D$20)*IFERROR(LOOKUP(Предпосылки!$H$218,$C$13:$C$15,W$13:W$15),1)</f>
        <v>0</v>
      </c>
      <c s="125">
        <f>Предпосылки!W$245*Предпосылки!$U268*Продажи!X33*X$19*(1+Чувствительность!$D$20)*IFERROR(LOOKUP(Предпосылки!$H$218,$C$13:$C$15,X$13:X$15),1)</f>
        <v>0</v>
      </c>
      <c s="125">
        <f>Предпосылки!X$245*Предпосылки!$U268*Продажи!Y33*Y$19*(1+Чувствительность!$D$20)*IFERROR(LOOKUP(Предпосылки!$H$218,$C$13:$C$15,Y$13:Y$15),1)</f>
        <v>0</v>
      </c>
      <c s="125">
        <f>Предпосылки!Y$245*Предпосылки!$U268*Продажи!Z33*Z$19*(1+Чувствительность!$D$20)*IFERROR(LOOKUP(Предпосылки!$H$218,$C$13:$C$15,Z$13:Z$15),1)</f>
        <v>0</v>
      </c>
      <c s="125">
        <f>Предпосылки!Z$245*Предпосылки!$U268*Продажи!AA33*AA$19*(1+Чувствительность!$D$20)*IFERROR(LOOKUP(Предпосылки!$H$218,$C$13:$C$15,AA$13:AA$15),1)</f>
        <v>0</v>
      </c>
      <c s="125">
        <f>Предпосылки!AA$245*Предпосылки!$U268*Продажи!AB33*AB$19*(1+Чувствительность!$D$20)*IFERROR(LOOKUP(Предпосылки!$H$218,$C$13:$C$15,AB$13:AB$15),1)</f>
        <v>0</v>
      </c>
      <c s="125">
        <f>Предпосылки!AB$245*Предпосылки!$U268*Продажи!AC33*AC$19*(1+Чувствительность!$D$20)*IFERROR(LOOKUP(Предпосылки!$H$218,$C$13:$C$15,AC$13:AC$15),1)</f>
        <v>0</v>
      </c>
      <c s="125">
        <f>Предпосылки!AC$245*Предпосылки!$U268*Продажи!AD33*AD$19*(1+Чувствительность!$D$20)*IFERROR(LOOKUP(Предпосылки!$H$218,$C$13:$C$15,AD$13:AD$15),1)</f>
        <v>0</v>
      </c>
      <c s="125">
        <f>Предпосылки!AD$245*Предпосылки!$U268*Продажи!AE33*AE$19*(1+Чувствительность!$D$20)*IFERROR(LOOKUP(Предпосылки!$H$218,$C$13:$C$15,AE$13:AE$15),1)</f>
        <v>0</v>
      </c>
      <c s="125">
        <f>Предпосылки!AE$245*Предпосылки!$U268*Продажи!AF33*AF$19*(1+Чувствительность!$D$20)*IFERROR(LOOKUP(Предпосылки!$H$218,$C$13:$C$15,AF$13:AF$15),1)</f>
        <v>0</v>
      </c>
      <c s="125">
        <f>Предпосылки!AF$245*Предпосылки!$U268*Продажи!AG33*AG$19*(1+Чувствительность!$D$20)*IFERROR(LOOKUP(Предпосылки!$H$218,$C$13:$C$15,AG$13:AG$15),1)</f>
        <v>0</v>
      </c>
      <c s="125">
        <f>Предпосылки!AG$245*Предпосылки!$U268*Продажи!AH33*AH$19*(1+Чувствительность!$D$20)*IFERROR(LOOKUP(Предпосылки!$H$218,$C$13:$C$15,AH$13:AH$15),1)</f>
        <v>0</v>
      </c>
      <c s="125">
        <f>Предпосылки!AH$245*Предпосылки!$U268*Продажи!AI33*AI$19*(1+Чувствительность!$D$20)*IFERROR(LOOKUP(Предпосылки!$H$218,$C$13:$C$15,AI$13:AI$15),1)</f>
        <v>0</v>
      </c>
      <c s="125">
        <f>Предпосылки!AI$245*Предпосылки!$U268*Продажи!AJ33*AJ$19*(1+Чувствительность!$D$20)*IFERROR(LOOKUP(Предпосылки!$H$218,$C$13:$C$15,AJ$13:AJ$15),1)</f>
        <v>0</v>
      </c>
      <c s="125">
        <f>Предпосылки!AJ$245*Предпосылки!$U268*Продажи!AK33*AK$19*(1+Чувствительность!$D$20)*IFERROR(LOOKUP(Предпосылки!$H$218,$C$13:$C$15,AK$13:AK$15),1)</f>
        <v>0</v>
      </c>
      <c s="125">
        <f>Предпосылки!AK$245*Предпосылки!$U268*Продажи!AL33*AL$19*(1+Чувствительность!$D$20)*IFERROR(LOOKUP(Предпосылки!$H$218,$C$13:$C$15,AL$13:AL$15),1)</f>
        <v>0</v>
      </c>
      <c s="125">
        <f>Предпосылки!AL$245*Предпосылки!$U268*Продажи!AM33*AM$19*(1+Чувствительность!$D$20)*IFERROR(LOOKUP(Предпосылки!$H$218,$C$13:$C$15,AM$13:AM$15),1)</f>
        <v>0</v>
      </c>
      <c s="125">
        <f>Предпосылки!AM$245*Предпосылки!$U268*Продажи!AN33*AN$19*(1+Чувствительность!$D$20)*IFERROR(LOOKUP(Предпосылки!$H$218,$C$13:$C$15,AN$13:AN$15),1)</f>
        <v>0</v>
      </c>
      <c s="125">
        <f>Предпосылки!AN$245*Предпосылки!$U268*Продажи!AO33*AO$19*(1+Чувствительность!$D$20)*IFERROR(LOOKUP(Предпосылки!$H$218,$C$13:$C$15,AO$13:AO$15),1)</f>
        <v>0</v>
      </c>
      <c s="125">
        <f>Предпосылки!AO$245*Предпосылки!$U268*Продажи!AP33*AP$19*(1+Чувствительность!$D$20)*IFERROR(LOOKUP(Предпосылки!$H$218,$C$13:$C$15,AP$13:AP$15),1)</f>
        <v>0</v>
      </c>
      <c s="125">
        <f>Предпосылки!AP$245*Предпосылки!$U268*Продажи!AQ33*AQ$19*(1+Чувствительность!$D$20)*IFERROR(LOOKUP(Предпосылки!$H$218,$C$13:$C$15,AQ$13:AQ$15),1)</f>
        <v>0</v>
      </c>
      <c s="125">
        <f>Предпосылки!AQ$245*Предпосылки!$U268*Продажи!AR33*AR$19*(1+Чувствительность!$D$20)*IFERROR(LOOKUP(Предпосылки!$H$218,$C$13:$C$15,AR$13:AR$15),1)</f>
        <v>0</v>
      </c>
      <c s="125">
        <f>Предпосылки!AR$245*Предпосылки!$U268*Продажи!AS33*AS$19*(1+Чувствительность!$D$20)*IFERROR(LOOKUP(Предпосылки!$H$218,$C$13:$C$15,AS$13:AS$15),1)</f>
        <v>0</v>
      </c>
      <c s="125">
        <f>Предпосылки!AS$245*Предпосылки!$U268*Продажи!AT33*AT$19*(1+Чувствительность!$D$20)*IFERROR(LOOKUP(Предпосылки!$H$218,$C$13:$C$15,AT$13:AT$15),1)</f>
        <v>0</v>
      </c>
      <c s="125">
        <f>Предпосылки!AT$245*Предпосылки!$U268*Продажи!AU33*AU$19*(1+Чувствительность!$D$20)*IFERROR(LOOKUP(Предпосылки!$H$218,$C$13:$C$15,AU$13:AU$15),1)</f>
        <v>0</v>
      </c>
      <c s="125">
        <f>Предпосылки!AU$245*Предпосылки!$U268*Продажи!AV33*AV$19*(1+Чувствительность!$D$20)*IFERROR(LOOKUP(Предпосылки!$H$218,$C$13:$C$15,AV$13:AV$15),1)</f>
        <v>0</v>
      </c>
      <c s="125">
        <f>Предпосылки!AV$245*Предпосылки!$U268*Продажи!AW33*AW$19*(1+Чувствительность!$D$20)*IFERROR(LOOKUP(Предпосылки!$H$218,$C$13:$C$15,AW$13:AW$15),1)</f>
        <v>0</v>
      </c>
      <c s="125">
        <f>Предпосылки!AW$245*Предпосылки!$U268*Продажи!AX33*AX$19*(1+Чувствительность!$D$20)*IFERROR(LOOKUP(Предпосылки!$H$218,$C$13:$C$15,AX$13:AX$15),1)</f>
        <v>0</v>
      </c>
      <c s="125">
        <f>Предпосылки!AX$245*Предпосылки!$U268*Продажи!AY33*AY$19*(1+Чувствительность!$D$20)*IFERROR(LOOKUP(Предпосылки!$H$218,$C$13:$C$15,AY$13:AY$15),1)</f>
        <v>0</v>
      </c>
      <c s="125">
        <f>Предпосылки!AY$245*Предпосылки!$U268*Продажи!AZ33*AZ$19*(1+Чувствительность!$D$20)*IFERROR(LOOKUP(Предпосылки!$H$218,$C$13:$C$15,AZ$13:AZ$15),1)</f>
        <v>0</v>
      </c>
      <c s="125">
        <f>Предпосылки!AZ$245*Предпосылки!$U268*Продажи!BA33*BA$19*(1+Чувствительность!$D$20)*IFERROR(LOOKUP(Предпосылки!$H$218,$C$13:$C$15,BA$13:BA$15),1)</f>
        <v>0</v>
      </c>
      <c s="125">
        <f>Предпосылки!BA$245*Предпосылки!$U268*Продажи!BB33*BB$19*(1+Чувствительность!$D$20)*IFERROR(LOOKUP(Предпосылки!$H$218,$C$13:$C$15,BB$13:BB$15),1)</f>
        <v>0</v>
      </c>
      <c s="125">
        <f>Предпосылки!BB$245*Предпосылки!$U268*Продажи!BC33*BC$19*(1+Чувствительность!$D$20)*IFERROR(LOOKUP(Предпосылки!$H$218,$C$13:$C$15,BC$13:BC$15),1)</f>
        <v>0</v>
      </c>
      <c s="125">
        <f>Предпосылки!BC$245*Предпосылки!$U268*Продажи!BD33*BD$19*(1+Чувствительность!$D$20)*IFERROR(LOOKUP(Предпосылки!$H$218,$C$13:$C$15,BD$13:BD$15),1)</f>
        <v>0</v>
      </c>
      <c s="125">
        <f>Предпосылки!BD$245*Предпосылки!$U268*Продажи!BE33*BE$19*(1+Чувствительность!$D$20)*IFERROR(LOOKUP(Предпосылки!$H$218,$C$13:$C$15,BE$13:BE$15),1)</f>
        <v>0</v>
      </c>
      <c s="125">
        <f>Предпосылки!BE$245*Предпосылки!$U268*Продажи!BF33*BF$19*(1+Чувствительность!$D$20)*IFERROR(LOOKUP(Предпосылки!$H$218,$C$13:$C$15,BF$13:BF$15),1)</f>
        <v>0</v>
      </c>
      <c s="125">
        <f>Предпосылки!BF$245*Предпосылки!$U268*Продажи!BG33*BG$19*(1+Чувствительность!$D$20)*IFERROR(LOOKUP(Предпосылки!$H$218,$C$13:$C$15,BG$13:BG$15),1)</f>
        <v>0</v>
      </c>
      <c s="125">
        <f>Предпосылки!BG$245*Предпосылки!$U268*Продажи!BH33*BH$19*(1+Чувствительность!$D$20)*IFERROR(LOOKUP(Предпосылки!$H$218,$C$13:$C$15,BH$13:BH$15),1)</f>
        <v>0</v>
      </c>
      <c s="125">
        <f>Предпосылки!BH$245*Предпосылки!$U268*Продажи!BI33*BI$19*(1+Чувствительность!$D$20)*IFERROR(LOOKUP(Предпосылки!$H$218,$C$13:$C$15,BI$13:BI$15),1)</f>
        <v>0</v>
      </c>
      <c s="125">
        <f>Предпосылки!BI$245*Предпосылки!$U268*Продажи!BJ33*BJ$19*(1+Чувствительность!$D$20)*IFERROR(LOOKUP(Предпосылки!$H$218,$C$13:$C$15,BJ$13:BJ$15),1)</f>
        <v>0</v>
      </c>
      <c s="125">
        <f>Предпосылки!BJ$245*Предпосылки!$U268*Продажи!BK33*BK$19*(1+Чувствительность!$D$20)*IFERROR(LOOKUP(Предпосылки!$H$218,$C$13:$C$15,BK$13:BK$15),1)</f>
        <v>0</v>
      </c>
      <c s="125">
        <f>Предпосылки!BK$245*Предпосылки!$U268*Продажи!BL33*BL$19*(1+Чувствительность!$D$20)*IFERROR(LOOKUP(Предпосылки!$H$218,$C$13:$C$15,BL$13:BL$15),1)</f>
        <v>0</v>
      </c>
      <c s="125">
        <f>Предпосылки!BL$245*Предпосылки!$U268*Продажи!BM33*BM$19*(1+Чувствительность!$D$20)*IFERROR(LOOKUP(Предпосылки!$H$218,$C$13:$C$15,BM$13:BM$15),1)</f>
        <v>0</v>
      </c>
    </row>
    <row r="430" spans="2:65" ht="15" customHeight="1">
      <c r="B430" s="12" t="str">
        <f t="shared" si="146"/>
        <v>Продукт 17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Предпосылки!D$245*Предпосылки!$U269*Продажи!E34*E$19*(1+Чувствительность!$D$20)*IFERROR(LOOKUP(Предпосылки!$H$218,$C$13:$C$15,E$13:E$15),1)</f>
        <v>0</v>
      </c>
      <c s="125">
        <f>Предпосылки!E$245*Предпосылки!$U269*Продажи!F34*F$19*(1+Чувствительность!$D$20)*IFERROR(LOOKUP(Предпосылки!$H$218,$C$13:$C$15,F$13:F$15),1)</f>
        <v>0</v>
      </c>
      <c s="125">
        <f>Предпосылки!F$245*Предпосылки!$U269*Продажи!G34*G$19*(1+Чувствительность!$D$20)*IFERROR(LOOKUP(Предпосылки!$H$218,$C$13:$C$15,G$13:G$15),1)</f>
        <v>0</v>
      </c>
      <c s="125">
        <f>Предпосылки!G$245*Предпосылки!$U269*Продажи!H34*H$19*(1+Чувствительность!$D$20)*IFERROR(LOOKUP(Предпосылки!$H$218,$C$13:$C$15,H$13:H$15),1)</f>
        <v>0</v>
      </c>
      <c s="125">
        <f>Предпосылки!H$245*Предпосылки!$U269*Продажи!I34*I$19*(1+Чувствительность!$D$20)*IFERROR(LOOKUP(Предпосылки!$H$218,$C$13:$C$15,I$13:I$15),1)</f>
        <v>0</v>
      </c>
      <c s="125">
        <f>Предпосылки!I$245*Предпосылки!$U269*Продажи!J34*J$19*(1+Чувствительность!$D$20)*IFERROR(LOOKUP(Предпосылки!$H$218,$C$13:$C$15,J$13:J$15),1)</f>
        <v>0</v>
      </c>
      <c s="125">
        <f>Предпосылки!J$245*Предпосылки!$U269*Продажи!K34*K$19*(1+Чувствительность!$D$20)*IFERROR(LOOKUP(Предпосылки!$H$218,$C$13:$C$15,K$13:K$15),1)</f>
        <v>0</v>
      </c>
      <c s="125">
        <f>Предпосылки!K$245*Предпосылки!$U269*Продажи!L34*L$19*(1+Чувствительность!$D$20)*IFERROR(LOOKUP(Предпосылки!$H$218,$C$13:$C$15,L$13:L$15),1)</f>
        <v>0</v>
      </c>
      <c s="125">
        <f>Предпосылки!L$245*Предпосылки!$U269*Продажи!M34*M$19*(1+Чувствительность!$D$20)*IFERROR(LOOKUP(Предпосылки!$H$218,$C$13:$C$15,M$13:M$15),1)</f>
        <v>0</v>
      </c>
      <c s="125">
        <f>Предпосылки!M$245*Предпосылки!$U269*Продажи!N34*N$19*(1+Чувствительность!$D$20)*IFERROR(LOOKUP(Предпосылки!$H$218,$C$13:$C$15,N$13:N$15),1)</f>
        <v>0</v>
      </c>
      <c s="125">
        <f>Предпосылки!N$245*Предпосылки!$U269*Продажи!O34*O$19*(1+Чувствительность!$D$20)*IFERROR(LOOKUP(Предпосылки!$H$218,$C$13:$C$15,O$13:O$15),1)</f>
        <v>0</v>
      </c>
      <c s="125">
        <f>Предпосылки!O$245*Предпосылки!$U269*Продажи!P34*P$19*(1+Чувствительность!$D$20)*IFERROR(LOOKUP(Предпосылки!$H$218,$C$13:$C$15,P$13:P$15),1)</f>
        <v>0</v>
      </c>
      <c s="125">
        <f>Предпосылки!P$245*Предпосылки!$U269*Продажи!Q34*Q$19*(1+Чувствительность!$D$20)*IFERROR(LOOKUP(Предпосылки!$H$218,$C$13:$C$15,Q$13:Q$15),1)</f>
        <v>0</v>
      </c>
      <c s="125">
        <f>Предпосылки!Q$245*Предпосылки!$U269*Продажи!R34*R$19*(1+Чувствительность!$D$20)*IFERROR(LOOKUP(Предпосылки!$H$218,$C$13:$C$15,R$13:R$15),1)</f>
        <v>0</v>
      </c>
      <c s="125">
        <f>Предпосылки!R$245*Предпосылки!$U269*Продажи!S34*S$19*(1+Чувствительность!$D$20)*IFERROR(LOOKUP(Предпосылки!$H$218,$C$13:$C$15,S$13:S$15),1)</f>
        <v>0</v>
      </c>
      <c s="125">
        <f>Предпосылки!S$245*Предпосылки!$U269*Продажи!T34*T$19*(1+Чувствительность!$D$20)*IFERROR(LOOKUP(Предпосылки!$H$218,$C$13:$C$15,T$13:T$15),1)</f>
        <v>0</v>
      </c>
      <c s="125">
        <f>Предпосылки!T$245*Предпосылки!$U269*Продажи!U34*U$19*(1+Чувствительность!$D$20)*IFERROR(LOOKUP(Предпосылки!$H$218,$C$13:$C$15,U$13:U$15),1)</f>
        <v>0</v>
      </c>
      <c s="125">
        <f>Предпосылки!U$245*Предпосылки!$U269*Продажи!V34*V$19*(1+Чувствительность!$D$20)*IFERROR(LOOKUP(Предпосылки!$H$218,$C$13:$C$15,V$13:V$15),1)</f>
        <v>0</v>
      </c>
      <c s="125">
        <f>Предпосылки!V$245*Предпосылки!$U269*Продажи!W34*W$19*(1+Чувствительность!$D$20)*IFERROR(LOOKUP(Предпосылки!$H$218,$C$13:$C$15,W$13:W$15),1)</f>
        <v>0</v>
      </c>
      <c s="125">
        <f>Предпосылки!W$245*Предпосылки!$U269*Продажи!X34*X$19*(1+Чувствительность!$D$20)*IFERROR(LOOKUP(Предпосылки!$H$218,$C$13:$C$15,X$13:X$15),1)</f>
        <v>0</v>
      </c>
      <c s="125">
        <f>Предпосылки!X$245*Предпосылки!$U269*Продажи!Y34*Y$19*(1+Чувствительность!$D$20)*IFERROR(LOOKUP(Предпосылки!$H$218,$C$13:$C$15,Y$13:Y$15),1)</f>
        <v>0</v>
      </c>
      <c s="125">
        <f>Предпосылки!Y$245*Предпосылки!$U269*Продажи!Z34*Z$19*(1+Чувствительность!$D$20)*IFERROR(LOOKUP(Предпосылки!$H$218,$C$13:$C$15,Z$13:Z$15),1)</f>
        <v>0</v>
      </c>
      <c s="125">
        <f>Предпосылки!Z$245*Предпосылки!$U269*Продажи!AA34*AA$19*(1+Чувствительность!$D$20)*IFERROR(LOOKUP(Предпосылки!$H$218,$C$13:$C$15,AA$13:AA$15),1)</f>
        <v>0</v>
      </c>
      <c s="125">
        <f>Предпосылки!AA$245*Предпосылки!$U269*Продажи!AB34*AB$19*(1+Чувствительность!$D$20)*IFERROR(LOOKUP(Предпосылки!$H$218,$C$13:$C$15,AB$13:AB$15),1)</f>
        <v>0</v>
      </c>
      <c s="125">
        <f>Предпосылки!AB$245*Предпосылки!$U269*Продажи!AC34*AC$19*(1+Чувствительность!$D$20)*IFERROR(LOOKUP(Предпосылки!$H$218,$C$13:$C$15,AC$13:AC$15),1)</f>
        <v>0</v>
      </c>
      <c s="125">
        <f>Предпосылки!AC$245*Предпосылки!$U269*Продажи!AD34*AD$19*(1+Чувствительность!$D$20)*IFERROR(LOOKUP(Предпосылки!$H$218,$C$13:$C$15,AD$13:AD$15),1)</f>
        <v>0</v>
      </c>
      <c s="125">
        <f>Предпосылки!AD$245*Предпосылки!$U269*Продажи!AE34*AE$19*(1+Чувствительность!$D$20)*IFERROR(LOOKUP(Предпосылки!$H$218,$C$13:$C$15,AE$13:AE$15),1)</f>
        <v>0</v>
      </c>
      <c s="125">
        <f>Предпосылки!AE$245*Предпосылки!$U269*Продажи!AF34*AF$19*(1+Чувствительность!$D$20)*IFERROR(LOOKUP(Предпосылки!$H$218,$C$13:$C$15,AF$13:AF$15),1)</f>
        <v>0</v>
      </c>
      <c s="125">
        <f>Предпосылки!AF$245*Предпосылки!$U269*Продажи!AG34*AG$19*(1+Чувствительность!$D$20)*IFERROR(LOOKUP(Предпосылки!$H$218,$C$13:$C$15,AG$13:AG$15),1)</f>
        <v>0</v>
      </c>
      <c s="125">
        <f>Предпосылки!AG$245*Предпосылки!$U269*Продажи!AH34*AH$19*(1+Чувствительность!$D$20)*IFERROR(LOOKUP(Предпосылки!$H$218,$C$13:$C$15,AH$13:AH$15),1)</f>
        <v>0</v>
      </c>
      <c s="125">
        <f>Предпосылки!AH$245*Предпосылки!$U269*Продажи!AI34*AI$19*(1+Чувствительность!$D$20)*IFERROR(LOOKUP(Предпосылки!$H$218,$C$13:$C$15,AI$13:AI$15),1)</f>
        <v>0</v>
      </c>
      <c s="125">
        <f>Предпосылки!AI$245*Предпосылки!$U269*Продажи!AJ34*AJ$19*(1+Чувствительность!$D$20)*IFERROR(LOOKUP(Предпосылки!$H$218,$C$13:$C$15,AJ$13:AJ$15),1)</f>
        <v>0</v>
      </c>
      <c s="125">
        <f>Предпосылки!AJ$245*Предпосылки!$U269*Продажи!AK34*AK$19*(1+Чувствительность!$D$20)*IFERROR(LOOKUP(Предпосылки!$H$218,$C$13:$C$15,AK$13:AK$15),1)</f>
        <v>0</v>
      </c>
      <c s="125">
        <f>Предпосылки!AK$245*Предпосылки!$U269*Продажи!AL34*AL$19*(1+Чувствительность!$D$20)*IFERROR(LOOKUP(Предпосылки!$H$218,$C$13:$C$15,AL$13:AL$15),1)</f>
        <v>0</v>
      </c>
      <c s="125">
        <f>Предпосылки!AL$245*Предпосылки!$U269*Продажи!AM34*AM$19*(1+Чувствительность!$D$20)*IFERROR(LOOKUP(Предпосылки!$H$218,$C$13:$C$15,AM$13:AM$15),1)</f>
        <v>0</v>
      </c>
      <c s="125">
        <f>Предпосылки!AM$245*Предпосылки!$U269*Продажи!AN34*AN$19*(1+Чувствительность!$D$20)*IFERROR(LOOKUP(Предпосылки!$H$218,$C$13:$C$15,AN$13:AN$15),1)</f>
        <v>0</v>
      </c>
      <c s="125">
        <f>Предпосылки!AN$245*Предпосылки!$U269*Продажи!AO34*AO$19*(1+Чувствительность!$D$20)*IFERROR(LOOKUP(Предпосылки!$H$218,$C$13:$C$15,AO$13:AO$15),1)</f>
        <v>0</v>
      </c>
      <c s="125">
        <f>Предпосылки!AO$245*Предпосылки!$U269*Продажи!AP34*AP$19*(1+Чувствительность!$D$20)*IFERROR(LOOKUP(Предпосылки!$H$218,$C$13:$C$15,AP$13:AP$15),1)</f>
        <v>0</v>
      </c>
      <c s="125">
        <f>Предпосылки!AP$245*Предпосылки!$U269*Продажи!AQ34*AQ$19*(1+Чувствительность!$D$20)*IFERROR(LOOKUP(Предпосылки!$H$218,$C$13:$C$15,AQ$13:AQ$15),1)</f>
        <v>0</v>
      </c>
      <c s="125">
        <f>Предпосылки!AQ$245*Предпосылки!$U269*Продажи!AR34*AR$19*(1+Чувствительность!$D$20)*IFERROR(LOOKUP(Предпосылки!$H$218,$C$13:$C$15,AR$13:AR$15),1)</f>
        <v>0</v>
      </c>
      <c s="125">
        <f>Предпосылки!AR$245*Предпосылки!$U269*Продажи!AS34*AS$19*(1+Чувствительность!$D$20)*IFERROR(LOOKUP(Предпосылки!$H$218,$C$13:$C$15,AS$13:AS$15),1)</f>
        <v>0</v>
      </c>
      <c s="125">
        <f>Предпосылки!AS$245*Предпосылки!$U269*Продажи!AT34*AT$19*(1+Чувствительность!$D$20)*IFERROR(LOOKUP(Предпосылки!$H$218,$C$13:$C$15,AT$13:AT$15),1)</f>
        <v>0</v>
      </c>
      <c s="125">
        <f>Предпосылки!AT$245*Предпосылки!$U269*Продажи!AU34*AU$19*(1+Чувствительность!$D$20)*IFERROR(LOOKUP(Предпосылки!$H$218,$C$13:$C$15,AU$13:AU$15),1)</f>
        <v>0</v>
      </c>
      <c s="125">
        <f>Предпосылки!AU$245*Предпосылки!$U269*Продажи!AV34*AV$19*(1+Чувствительность!$D$20)*IFERROR(LOOKUP(Предпосылки!$H$218,$C$13:$C$15,AV$13:AV$15),1)</f>
        <v>0</v>
      </c>
      <c s="125">
        <f>Предпосылки!AV$245*Предпосылки!$U269*Продажи!AW34*AW$19*(1+Чувствительность!$D$20)*IFERROR(LOOKUP(Предпосылки!$H$218,$C$13:$C$15,AW$13:AW$15),1)</f>
        <v>0</v>
      </c>
      <c s="125">
        <f>Предпосылки!AW$245*Предпосылки!$U269*Продажи!AX34*AX$19*(1+Чувствительность!$D$20)*IFERROR(LOOKUP(Предпосылки!$H$218,$C$13:$C$15,AX$13:AX$15),1)</f>
        <v>0</v>
      </c>
      <c s="125">
        <f>Предпосылки!AX$245*Предпосылки!$U269*Продажи!AY34*AY$19*(1+Чувствительность!$D$20)*IFERROR(LOOKUP(Предпосылки!$H$218,$C$13:$C$15,AY$13:AY$15),1)</f>
        <v>0</v>
      </c>
      <c s="125">
        <f>Предпосылки!AY$245*Предпосылки!$U269*Продажи!AZ34*AZ$19*(1+Чувствительность!$D$20)*IFERROR(LOOKUP(Предпосылки!$H$218,$C$13:$C$15,AZ$13:AZ$15),1)</f>
        <v>0</v>
      </c>
      <c s="125">
        <f>Предпосылки!AZ$245*Предпосылки!$U269*Продажи!BA34*BA$19*(1+Чувствительность!$D$20)*IFERROR(LOOKUP(Предпосылки!$H$218,$C$13:$C$15,BA$13:BA$15),1)</f>
        <v>0</v>
      </c>
      <c s="125">
        <f>Предпосылки!BA$245*Предпосылки!$U269*Продажи!BB34*BB$19*(1+Чувствительность!$D$20)*IFERROR(LOOKUP(Предпосылки!$H$218,$C$13:$C$15,BB$13:BB$15),1)</f>
        <v>0</v>
      </c>
      <c s="125">
        <f>Предпосылки!BB$245*Предпосылки!$U269*Продажи!BC34*BC$19*(1+Чувствительность!$D$20)*IFERROR(LOOKUP(Предпосылки!$H$218,$C$13:$C$15,BC$13:BC$15),1)</f>
        <v>0</v>
      </c>
      <c s="125">
        <f>Предпосылки!BC$245*Предпосылки!$U269*Продажи!BD34*BD$19*(1+Чувствительность!$D$20)*IFERROR(LOOKUP(Предпосылки!$H$218,$C$13:$C$15,BD$13:BD$15),1)</f>
        <v>0</v>
      </c>
      <c s="125">
        <f>Предпосылки!BD$245*Предпосылки!$U269*Продажи!BE34*BE$19*(1+Чувствительность!$D$20)*IFERROR(LOOKUP(Предпосылки!$H$218,$C$13:$C$15,BE$13:BE$15),1)</f>
        <v>0</v>
      </c>
      <c s="125">
        <f>Предпосылки!BE$245*Предпосылки!$U269*Продажи!BF34*BF$19*(1+Чувствительность!$D$20)*IFERROR(LOOKUP(Предпосылки!$H$218,$C$13:$C$15,BF$13:BF$15),1)</f>
        <v>0</v>
      </c>
      <c s="125">
        <f>Предпосылки!BF$245*Предпосылки!$U269*Продажи!BG34*BG$19*(1+Чувствительность!$D$20)*IFERROR(LOOKUP(Предпосылки!$H$218,$C$13:$C$15,BG$13:BG$15),1)</f>
        <v>0</v>
      </c>
      <c s="125">
        <f>Предпосылки!BG$245*Предпосылки!$U269*Продажи!BH34*BH$19*(1+Чувствительность!$D$20)*IFERROR(LOOKUP(Предпосылки!$H$218,$C$13:$C$15,BH$13:BH$15),1)</f>
        <v>0</v>
      </c>
      <c s="125">
        <f>Предпосылки!BH$245*Предпосылки!$U269*Продажи!BI34*BI$19*(1+Чувствительность!$D$20)*IFERROR(LOOKUP(Предпосылки!$H$218,$C$13:$C$15,BI$13:BI$15),1)</f>
        <v>0</v>
      </c>
      <c s="125">
        <f>Предпосылки!BI$245*Предпосылки!$U269*Продажи!BJ34*BJ$19*(1+Чувствительность!$D$20)*IFERROR(LOOKUP(Предпосылки!$H$218,$C$13:$C$15,BJ$13:BJ$15),1)</f>
        <v>0</v>
      </c>
      <c s="125">
        <f>Предпосылки!BJ$245*Предпосылки!$U269*Продажи!BK34*BK$19*(1+Чувствительность!$D$20)*IFERROR(LOOKUP(Предпосылки!$H$218,$C$13:$C$15,BK$13:BK$15),1)</f>
        <v>0</v>
      </c>
      <c s="125">
        <f>Предпосылки!BK$245*Предпосылки!$U269*Продажи!BL34*BL$19*(1+Чувствительность!$D$20)*IFERROR(LOOKUP(Предпосылки!$H$218,$C$13:$C$15,BL$13:BL$15),1)</f>
        <v>0</v>
      </c>
      <c s="125">
        <f>Предпосылки!BL$245*Предпосылки!$U269*Продажи!BM34*BM$19*(1+Чувствительность!$D$20)*IFERROR(LOOKUP(Предпосылки!$H$218,$C$13:$C$15,BM$13:BM$15),1)</f>
        <v>0</v>
      </c>
    </row>
    <row r="431" spans="2:65" ht="15" customHeight="1">
      <c r="B431" s="12" t="str">
        <f t="shared" si="146"/>
        <v>Продукт 18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Предпосылки!D$245*Предпосылки!$U270*Продажи!E35*E$19*(1+Чувствительность!$D$20)*IFERROR(LOOKUP(Предпосылки!$H$218,$C$13:$C$15,E$13:E$15),1)</f>
        <v>0</v>
      </c>
      <c s="125">
        <f>Предпосылки!E$245*Предпосылки!$U270*Продажи!F35*F$19*(1+Чувствительность!$D$20)*IFERROR(LOOKUP(Предпосылки!$H$218,$C$13:$C$15,F$13:F$15),1)</f>
        <v>0</v>
      </c>
      <c s="125">
        <f>Предпосылки!F$245*Предпосылки!$U270*Продажи!G35*G$19*(1+Чувствительность!$D$20)*IFERROR(LOOKUP(Предпосылки!$H$218,$C$13:$C$15,G$13:G$15),1)</f>
        <v>0</v>
      </c>
      <c s="125">
        <f>Предпосылки!G$245*Предпосылки!$U270*Продажи!H35*H$19*(1+Чувствительность!$D$20)*IFERROR(LOOKUP(Предпосылки!$H$218,$C$13:$C$15,H$13:H$15),1)</f>
        <v>0</v>
      </c>
      <c s="125">
        <f>Предпосылки!H$245*Предпосылки!$U270*Продажи!I35*I$19*(1+Чувствительность!$D$20)*IFERROR(LOOKUP(Предпосылки!$H$218,$C$13:$C$15,I$13:I$15),1)</f>
        <v>0</v>
      </c>
      <c s="125">
        <f>Предпосылки!I$245*Предпосылки!$U270*Продажи!J35*J$19*(1+Чувствительность!$D$20)*IFERROR(LOOKUP(Предпосылки!$H$218,$C$13:$C$15,J$13:J$15),1)</f>
        <v>0</v>
      </c>
      <c s="125">
        <f>Предпосылки!J$245*Предпосылки!$U270*Продажи!K35*K$19*(1+Чувствительность!$D$20)*IFERROR(LOOKUP(Предпосылки!$H$218,$C$13:$C$15,K$13:K$15),1)</f>
        <v>0</v>
      </c>
      <c s="125">
        <f>Предпосылки!K$245*Предпосылки!$U270*Продажи!L35*L$19*(1+Чувствительность!$D$20)*IFERROR(LOOKUP(Предпосылки!$H$218,$C$13:$C$15,L$13:L$15),1)</f>
        <v>0</v>
      </c>
      <c s="125">
        <f>Предпосылки!L$245*Предпосылки!$U270*Продажи!M35*M$19*(1+Чувствительность!$D$20)*IFERROR(LOOKUP(Предпосылки!$H$218,$C$13:$C$15,M$13:M$15),1)</f>
        <v>0</v>
      </c>
      <c s="125">
        <f>Предпосылки!M$245*Предпосылки!$U270*Продажи!N35*N$19*(1+Чувствительность!$D$20)*IFERROR(LOOKUP(Предпосылки!$H$218,$C$13:$C$15,N$13:N$15),1)</f>
        <v>0</v>
      </c>
      <c s="125">
        <f>Предпосылки!N$245*Предпосылки!$U270*Продажи!O35*O$19*(1+Чувствительность!$D$20)*IFERROR(LOOKUP(Предпосылки!$H$218,$C$13:$C$15,O$13:O$15),1)</f>
        <v>0</v>
      </c>
      <c s="125">
        <f>Предпосылки!O$245*Предпосылки!$U270*Продажи!P35*P$19*(1+Чувствительность!$D$20)*IFERROR(LOOKUP(Предпосылки!$H$218,$C$13:$C$15,P$13:P$15),1)</f>
        <v>0</v>
      </c>
      <c s="125">
        <f>Предпосылки!P$245*Предпосылки!$U270*Продажи!Q35*Q$19*(1+Чувствительность!$D$20)*IFERROR(LOOKUP(Предпосылки!$H$218,$C$13:$C$15,Q$13:Q$15),1)</f>
        <v>0</v>
      </c>
      <c s="125">
        <f>Предпосылки!Q$245*Предпосылки!$U270*Продажи!R35*R$19*(1+Чувствительность!$D$20)*IFERROR(LOOKUP(Предпосылки!$H$218,$C$13:$C$15,R$13:R$15),1)</f>
        <v>0</v>
      </c>
      <c s="125">
        <f>Предпосылки!R$245*Предпосылки!$U270*Продажи!S35*S$19*(1+Чувствительность!$D$20)*IFERROR(LOOKUP(Предпосылки!$H$218,$C$13:$C$15,S$13:S$15),1)</f>
        <v>0</v>
      </c>
      <c s="125">
        <f>Предпосылки!S$245*Предпосылки!$U270*Продажи!T35*T$19*(1+Чувствительность!$D$20)*IFERROR(LOOKUP(Предпосылки!$H$218,$C$13:$C$15,T$13:T$15),1)</f>
        <v>0</v>
      </c>
      <c s="125">
        <f>Предпосылки!T$245*Предпосылки!$U270*Продажи!U35*U$19*(1+Чувствительность!$D$20)*IFERROR(LOOKUP(Предпосылки!$H$218,$C$13:$C$15,U$13:U$15),1)</f>
        <v>0</v>
      </c>
      <c s="125">
        <f>Предпосылки!U$245*Предпосылки!$U270*Продажи!V35*V$19*(1+Чувствительность!$D$20)*IFERROR(LOOKUP(Предпосылки!$H$218,$C$13:$C$15,V$13:V$15),1)</f>
        <v>0</v>
      </c>
      <c s="125">
        <f>Предпосылки!V$245*Предпосылки!$U270*Продажи!W35*W$19*(1+Чувствительность!$D$20)*IFERROR(LOOKUP(Предпосылки!$H$218,$C$13:$C$15,W$13:W$15),1)</f>
        <v>0</v>
      </c>
      <c s="125">
        <f>Предпосылки!W$245*Предпосылки!$U270*Продажи!X35*X$19*(1+Чувствительность!$D$20)*IFERROR(LOOKUP(Предпосылки!$H$218,$C$13:$C$15,X$13:X$15),1)</f>
        <v>0</v>
      </c>
      <c s="125">
        <f>Предпосылки!X$245*Предпосылки!$U270*Продажи!Y35*Y$19*(1+Чувствительность!$D$20)*IFERROR(LOOKUP(Предпосылки!$H$218,$C$13:$C$15,Y$13:Y$15),1)</f>
        <v>0</v>
      </c>
      <c s="125">
        <f>Предпосылки!Y$245*Предпосылки!$U270*Продажи!Z35*Z$19*(1+Чувствительность!$D$20)*IFERROR(LOOKUP(Предпосылки!$H$218,$C$13:$C$15,Z$13:Z$15),1)</f>
        <v>0</v>
      </c>
      <c s="125">
        <f>Предпосылки!Z$245*Предпосылки!$U270*Продажи!AA35*AA$19*(1+Чувствительность!$D$20)*IFERROR(LOOKUP(Предпосылки!$H$218,$C$13:$C$15,AA$13:AA$15),1)</f>
        <v>0</v>
      </c>
      <c s="125">
        <f>Предпосылки!AA$245*Предпосылки!$U270*Продажи!AB35*AB$19*(1+Чувствительность!$D$20)*IFERROR(LOOKUP(Предпосылки!$H$218,$C$13:$C$15,AB$13:AB$15),1)</f>
        <v>0</v>
      </c>
      <c s="125">
        <f>Предпосылки!AB$245*Предпосылки!$U270*Продажи!AC35*AC$19*(1+Чувствительность!$D$20)*IFERROR(LOOKUP(Предпосылки!$H$218,$C$13:$C$15,AC$13:AC$15),1)</f>
        <v>0</v>
      </c>
      <c s="125">
        <f>Предпосылки!AC$245*Предпосылки!$U270*Продажи!AD35*AD$19*(1+Чувствительность!$D$20)*IFERROR(LOOKUP(Предпосылки!$H$218,$C$13:$C$15,AD$13:AD$15),1)</f>
        <v>0</v>
      </c>
      <c s="125">
        <f>Предпосылки!AD$245*Предпосылки!$U270*Продажи!AE35*AE$19*(1+Чувствительность!$D$20)*IFERROR(LOOKUP(Предпосылки!$H$218,$C$13:$C$15,AE$13:AE$15),1)</f>
        <v>0</v>
      </c>
      <c s="125">
        <f>Предпосылки!AE$245*Предпосылки!$U270*Продажи!AF35*AF$19*(1+Чувствительность!$D$20)*IFERROR(LOOKUP(Предпосылки!$H$218,$C$13:$C$15,AF$13:AF$15),1)</f>
        <v>0</v>
      </c>
      <c s="125">
        <f>Предпосылки!AF$245*Предпосылки!$U270*Продажи!AG35*AG$19*(1+Чувствительность!$D$20)*IFERROR(LOOKUP(Предпосылки!$H$218,$C$13:$C$15,AG$13:AG$15),1)</f>
        <v>0</v>
      </c>
      <c s="125">
        <f>Предпосылки!AG$245*Предпосылки!$U270*Продажи!AH35*AH$19*(1+Чувствительность!$D$20)*IFERROR(LOOKUP(Предпосылки!$H$218,$C$13:$C$15,AH$13:AH$15),1)</f>
        <v>0</v>
      </c>
      <c s="125">
        <f>Предпосылки!AH$245*Предпосылки!$U270*Продажи!AI35*AI$19*(1+Чувствительность!$D$20)*IFERROR(LOOKUP(Предпосылки!$H$218,$C$13:$C$15,AI$13:AI$15),1)</f>
        <v>0</v>
      </c>
      <c s="125">
        <f>Предпосылки!AI$245*Предпосылки!$U270*Продажи!AJ35*AJ$19*(1+Чувствительность!$D$20)*IFERROR(LOOKUP(Предпосылки!$H$218,$C$13:$C$15,AJ$13:AJ$15),1)</f>
        <v>0</v>
      </c>
      <c s="125">
        <f>Предпосылки!AJ$245*Предпосылки!$U270*Продажи!AK35*AK$19*(1+Чувствительность!$D$20)*IFERROR(LOOKUP(Предпосылки!$H$218,$C$13:$C$15,AK$13:AK$15),1)</f>
        <v>0</v>
      </c>
      <c s="125">
        <f>Предпосылки!AK$245*Предпосылки!$U270*Продажи!AL35*AL$19*(1+Чувствительность!$D$20)*IFERROR(LOOKUP(Предпосылки!$H$218,$C$13:$C$15,AL$13:AL$15),1)</f>
        <v>0</v>
      </c>
      <c s="125">
        <f>Предпосылки!AL$245*Предпосылки!$U270*Продажи!AM35*AM$19*(1+Чувствительность!$D$20)*IFERROR(LOOKUP(Предпосылки!$H$218,$C$13:$C$15,AM$13:AM$15),1)</f>
        <v>0</v>
      </c>
      <c s="125">
        <f>Предпосылки!AM$245*Предпосылки!$U270*Продажи!AN35*AN$19*(1+Чувствительность!$D$20)*IFERROR(LOOKUP(Предпосылки!$H$218,$C$13:$C$15,AN$13:AN$15),1)</f>
        <v>0</v>
      </c>
      <c s="125">
        <f>Предпосылки!AN$245*Предпосылки!$U270*Продажи!AO35*AO$19*(1+Чувствительность!$D$20)*IFERROR(LOOKUP(Предпосылки!$H$218,$C$13:$C$15,AO$13:AO$15),1)</f>
        <v>0</v>
      </c>
      <c s="125">
        <f>Предпосылки!AO$245*Предпосылки!$U270*Продажи!AP35*AP$19*(1+Чувствительность!$D$20)*IFERROR(LOOKUP(Предпосылки!$H$218,$C$13:$C$15,AP$13:AP$15),1)</f>
        <v>0</v>
      </c>
      <c s="125">
        <f>Предпосылки!AP$245*Предпосылки!$U270*Продажи!AQ35*AQ$19*(1+Чувствительность!$D$20)*IFERROR(LOOKUP(Предпосылки!$H$218,$C$13:$C$15,AQ$13:AQ$15),1)</f>
        <v>0</v>
      </c>
      <c s="125">
        <f>Предпосылки!AQ$245*Предпосылки!$U270*Продажи!AR35*AR$19*(1+Чувствительность!$D$20)*IFERROR(LOOKUP(Предпосылки!$H$218,$C$13:$C$15,AR$13:AR$15),1)</f>
        <v>0</v>
      </c>
      <c s="125">
        <f>Предпосылки!AR$245*Предпосылки!$U270*Продажи!AS35*AS$19*(1+Чувствительность!$D$20)*IFERROR(LOOKUP(Предпосылки!$H$218,$C$13:$C$15,AS$13:AS$15),1)</f>
        <v>0</v>
      </c>
      <c s="125">
        <f>Предпосылки!AS$245*Предпосылки!$U270*Продажи!AT35*AT$19*(1+Чувствительность!$D$20)*IFERROR(LOOKUP(Предпосылки!$H$218,$C$13:$C$15,AT$13:AT$15),1)</f>
        <v>0</v>
      </c>
      <c s="125">
        <f>Предпосылки!AT$245*Предпосылки!$U270*Продажи!AU35*AU$19*(1+Чувствительность!$D$20)*IFERROR(LOOKUP(Предпосылки!$H$218,$C$13:$C$15,AU$13:AU$15),1)</f>
        <v>0</v>
      </c>
      <c s="125">
        <f>Предпосылки!AU$245*Предпосылки!$U270*Продажи!AV35*AV$19*(1+Чувствительность!$D$20)*IFERROR(LOOKUP(Предпосылки!$H$218,$C$13:$C$15,AV$13:AV$15),1)</f>
        <v>0</v>
      </c>
      <c s="125">
        <f>Предпосылки!AV$245*Предпосылки!$U270*Продажи!AW35*AW$19*(1+Чувствительность!$D$20)*IFERROR(LOOKUP(Предпосылки!$H$218,$C$13:$C$15,AW$13:AW$15),1)</f>
        <v>0</v>
      </c>
      <c s="125">
        <f>Предпосылки!AW$245*Предпосылки!$U270*Продажи!AX35*AX$19*(1+Чувствительность!$D$20)*IFERROR(LOOKUP(Предпосылки!$H$218,$C$13:$C$15,AX$13:AX$15),1)</f>
        <v>0</v>
      </c>
      <c s="125">
        <f>Предпосылки!AX$245*Предпосылки!$U270*Продажи!AY35*AY$19*(1+Чувствительность!$D$20)*IFERROR(LOOKUP(Предпосылки!$H$218,$C$13:$C$15,AY$13:AY$15),1)</f>
        <v>0</v>
      </c>
      <c s="125">
        <f>Предпосылки!AY$245*Предпосылки!$U270*Продажи!AZ35*AZ$19*(1+Чувствительность!$D$20)*IFERROR(LOOKUP(Предпосылки!$H$218,$C$13:$C$15,AZ$13:AZ$15),1)</f>
        <v>0</v>
      </c>
      <c s="125">
        <f>Предпосылки!AZ$245*Предпосылки!$U270*Продажи!BA35*BA$19*(1+Чувствительность!$D$20)*IFERROR(LOOKUP(Предпосылки!$H$218,$C$13:$C$15,BA$13:BA$15),1)</f>
        <v>0</v>
      </c>
      <c s="125">
        <f>Предпосылки!BA$245*Предпосылки!$U270*Продажи!BB35*BB$19*(1+Чувствительность!$D$20)*IFERROR(LOOKUP(Предпосылки!$H$218,$C$13:$C$15,BB$13:BB$15),1)</f>
        <v>0</v>
      </c>
      <c s="125">
        <f>Предпосылки!BB$245*Предпосылки!$U270*Продажи!BC35*BC$19*(1+Чувствительность!$D$20)*IFERROR(LOOKUP(Предпосылки!$H$218,$C$13:$C$15,BC$13:BC$15),1)</f>
        <v>0</v>
      </c>
      <c s="125">
        <f>Предпосылки!BC$245*Предпосылки!$U270*Продажи!BD35*BD$19*(1+Чувствительность!$D$20)*IFERROR(LOOKUP(Предпосылки!$H$218,$C$13:$C$15,BD$13:BD$15),1)</f>
        <v>0</v>
      </c>
      <c s="125">
        <f>Предпосылки!BD$245*Предпосылки!$U270*Продажи!BE35*BE$19*(1+Чувствительность!$D$20)*IFERROR(LOOKUP(Предпосылки!$H$218,$C$13:$C$15,BE$13:BE$15),1)</f>
        <v>0</v>
      </c>
      <c s="125">
        <f>Предпосылки!BE$245*Предпосылки!$U270*Продажи!BF35*BF$19*(1+Чувствительность!$D$20)*IFERROR(LOOKUP(Предпосылки!$H$218,$C$13:$C$15,BF$13:BF$15),1)</f>
        <v>0</v>
      </c>
      <c s="125">
        <f>Предпосылки!BF$245*Предпосылки!$U270*Продажи!BG35*BG$19*(1+Чувствительность!$D$20)*IFERROR(LOOKUP(Предпосылки!$H$218,$C$13:$C$15,BG$13:BG$15),1)</f>
        <v>0</v>
      </c>
      <c s="125">
        <f>Предпосылки!BG$245*Предпосылки!$U270*Продажи!BH35*BH$19*(1+Чувствительность!$D$20)*IFERROR(LOOKUP(Предпосылки!$H$218,$C$13:$C$15,BH$13:BH$15),1)</f>
        <v>0</v>
      </c>
      <c s="125">
        <f>Предпосылки!BH$245*Предпосылки!$U270*Продажи!BI35*BI$19*(1+Чувствительность!$D$20)*IFERROR(LOOKUP(Предпосылки!$H$218,$C$13:$C$15,BI$13:BI$15),1)</f>
        <v>0</v>
      </c>
      <c s="125">
        <f>Предпосылки!BI$245*Предпосылки!$U270*Продажи!BJ35*BJ$19*(1+Чувствительность!$D$20)*IFERROR(LOOKUP(Предпосылки!$H$218,$C$13:$C$15,BJ$13:BJ$15),1)</f>
        <v>0</v>
      </c>
      <c s="125">
        <f>Предпосылки!BJ$245*Предпосылки!$U270*Продажи!BK35*BK$19*(1+Чувствительность!$D$20)*IFERROR(LOOKUP(Предпосылки!$H$218,$C$13:$C$15,BK$13:BK$15),1)</f>
        <v>0</v>
      </c>
      <c s="125">
        <f>Предпосылки!BK$245*Предпосылки!$U270*Продажи!BL35*BL$19*(1+Чувствительность!$D$20)*IFERROR(LOOKUP(Предпосылки!$H$218,$C$13:$C$15,BL$13:BL$15),1)</f>
        <v>0</v>
      </c>
      <c s="125">
        <f>Предпосылки!BL$245*Предпосылки!$U270*Продажи!BM35*BM$19*(1+Чувствительность!$D$20)*IFERROR(LOOKUP(Предпосылки!$H$218,$C$13:$C$15,BM$13:BM$15),1)</f>
        <v>0</v>
      </c>
    </row>
    <row r="432" spans="2:65" ht="15" customHeight="1">
      <c r="B432" s="12" t="str">
        <f t="shared" si="146"/>
        <v>Продукт 19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Предпосылки!D$245*Предпосылки!$U271*Продажи!E36*E$19*(1+Чувствительность!$D$20)*IFERROR(LOOKUP(Предпосылки!$H$218,$C$13:$C$15,E$13:E$15),1)</f>
        <v>0</v>
      </c>
      <c s="125">
        <f>Предпосылки!E$245*Предпосылки!$U271*Продажи!F36*F$19*(1+Чувствительность!$D$20)*IFERROR(LOOKUP(Предпосылки!$H$218,$C$13:$C$15,F$13:F$15),1)</f>
        <v>0</v>
      </c>
      <c s="125">
        <f>Предпосылки!F$245*Предпосылки!$U271*Продажи!G36*G$19*(1+Чувствительность!$D$20)*IFERROR(LOOKUP(Предпосылки!$H$218,$C$13:$C$15,G$13:G$15),1)</f>
        <v>0</v>
      </c>
      <c s="125">
        <f>Предпосылки!G$245*Предпосылки!$U271*Продажи!H36*H$19*(1+Чувствительность!$D$20)*IFERROR(LOOKUP(Предпосылки!$H$218,$C$13:$C$15,H$13:H$15),1)</f>
        <v>0</v>
      </c>
      <c s="125">
        <f>Предпосылки!H$245*Предпосылки!$U271*Продажи!I36*I$19*(1+Чувствительность!$D$20)*IFERROR(LOOKUP(Предпосылки!$H$218,$C$13:$C$15,I$13:I$15),1)</f>
        <v>0</v>
      </c>
      <c s="125">
        <f>Предпосылки!I$245*Предпосылки!$U271*Продажи!J36*J$19*(1+Чувствительность!$D$20)*IFERROR(LOOKUP(Предпосылки!$H$218,$C$13:$C$15,J$13:J$15),1)</f>
        <v>0</v>
      </c>
      <c s="125">
        <f>Предпосылки!J$245*Предпосылки!$U271*Продажи!K36*K$19*(1+Чувствительность!$D$20)*IFERROR(LOOKUP(Предпосылки!$H$218,$C$13:$C$15,K$13:K$15),1)</f>
        <v>0</v>
      </c>
      <c s="125">
        <f>Предпосылки!K$245*Предпосылки!$U271*Продажи!L36*L$19*(1+Чувствительность!$D$20)*IFERROR(LOOKUP(Предпосылки!$H$218,$C$13:$C$15,L$13:L$15),1)</f>
        <v>0</v>
      </c>
      <c s="125">
        <f>Предпосылки!L$245*Предпосылки!$U271*Продажи!M36*M$19*(1+Чувствительность!$D$20)*IFERROR(LOOKUP(Предпосылки!$H$218,$C$13:$C$15,M$13:M$15),1)</f>
        <v>0</v>
      </c>
      <c s="125">
        <f>Предпосылки!M$245*Предпосылки!$U271*Продажи!N36*N$19*(1+Чувствительность!$D$20)*IFERROR(LOOKUP(Предпосылки!$H$218,$C$13:$C$15,N$13:N$15),1)</f>
        <v>0</v>
      </c>
      <c s="125">
        <f>Предпосылки!N$245*Предпосылки!$U271*Продажи!O36*O$19*(1+Чувствительность!$D$20)*IFERROR(LOOKUP(Предпосылки!$H$218,$C$13:$C$15,O$13:O$15),1)</f>
        <v>0</v>
      </c>
      <c s="125">
        <f>Предпосылки!O$245*Предпосылки!$U271*Продажи!P36*P$19*(1+Чувствительность!$D$20)*IFERROR(LOOKUP(Предпосылки!$H$218,$C$13:$C$15,P$13:P$15),1)</f>
        <v>0</v>
      </c>
      <c s="125">
        <f>Предпосылки!P$245*Предпосылки!$U271*Продажи!Q36*Q$19*(1+Чувствительность!$D$20)*IFERROR(LOOKUP(Предпосылки!$H$218,$C$13:$C$15,Q$13:Q$15),1)</f>
        <v>0</v>
      </c>
      <c s="125">
        <f>Предпосылки!Q$245*Предпосылки!$U271*Продажи!R36*R$19*(1+Чувствительность!$D$20)*IFERROR(LOOKUP(Предпосылки!$H$218,$C$13:$C$15,R$13:R$15),1)</f>
        <v>0</v>
      </c>
      <c s="125">
        <f>Предпосылки!R$245*Предпосылки!$U271*Продажи!S36*S$19*(1+Чувствительность!$D$20)*IFERROR(LOOKUP(Предпосылки!$H$218,$C$13:$C$15,S$13:S$15),1)</f>
        <v>0</v>
      </c>
      <c s="125">
        <f>Предпосылки!S$245*Предпосылки!$U271*Продажи!T36*T$19*(1+Чувствительность!$D$20)*IFERROR(LOOKUP(Предпосылки!$H$218,$C$13:$C$15,T$13:T$15),1)</f>
        <v>0</v>
      </c>
      <c s="125">
        <f>Предпосылки!T$245*Предпосылки!$U271*Продажи!U36*U$19*(1+Чувствительность!$D$20)*IFERROR(LOOKUP(Предпосылки!$H$218,$C$13:$C$15,U$13:U$15),1)</f>
        <v>0</v>
      </c>
      <c s="125">
        <f>Предпосылки!U$245*Предпосылки!$U271*Продажи!V36*V$19*(1+Чувствительность!$D$20)*IFERROR(LOOKUP(Предпосылки!$H$218,$C$13:$C$15,V$13:V$15),1)</f>
        <v>0</v>
      </c>
      <c s="125">
        <f>Предпосылки!V$245*Предпосылки!$U271*Продажи!W36*W$19*(1+Чувствительность!$D$20)*IFERROR(LOOKUP(Предпосылки!$H$218,$C$13:$C$15,W$13:W$15),1)</f>
        <v>0</v>
      </c>
      <c s="125">
        <f>Предпосылки!W$245*Предпосылки!$U271*Продажи!X36*X$19*(1+Чувствительность!$D$20)*IFERROR(LOOKUP(Предпосылки!$H$218,$C$13:$C$15,X$13:X$15),1)</f>
        <v>0</v>
      </c>
      <c s="125">
        <f>Предпосылки!X$245*Предпосылки!$U271*Продажи!Y36*Y$19*(1+Чувствительность!$D$20)*IFERROR(LOOKUP(Предпосылки!$H$218,$C$13:$C$15,Y$13:Y$15),1)</f>
        <v>0</v>
      </c>
      <c s="125">
        <f>Предпосылки!Y$245*Предпосылки!$U271*Продажи!Z36*Z$19*(1+Чувствительность!$D$20)*IFERROR(LOOKUP(Предпосылки!$H$218,$C$13:$C$15,Z$13:Z$15),1)</f>
        <v>0</v>
      </c>
      <c s="125">
        <f>Предпосылки!Z$245*Предпосылки!$U271*Продажи!AA36*AA$19*(1+Чувствительность!$D$20)*IFERROR(LOOKUP(Предпосылки!$H$218,$C$13:$C$15,AA$13:AA$15),1)</f>
        <v>0</v>
      </c>
      <c s="125">
        <f>Предпосылки!AA$245*Предпосылки!$U271*Продажи!AB36*AB$19*(1+Чувствительность!$D$20)*IFERROR(LOOKUP(Предпосылки!$H$218,$C$13:$C$15,AB$13:AB$15),1)</f>
        <v>0</v>
      </c>
      <c s="125">
        <f>Предпосылки!AB$245*Предпосылки!$U271*Продажи!AC36*AC$19*(1+Чувствительность!$D$20)*IFERROR(LOOKUP(Предпосылки!$H$218,$C$13:$C$15,AC$13:AC$15),1)</f>
        <v>0</v>
      </c>
      <c s="125">
        <f>Предпосылки!AC$245*Предпосылки!$U271*Продажи!AD36*AD$19*(1+Чувствительность!$D$20)*IFERROR(LOOKUP(Предпосылки!$H$218,$C$13:$C$15,AD$13:AD$15),1)</f>
        <v>0</v>
      </c>
      <c s="125">
        <f>Предпосылки!AD$245*Предпосылки!$U271*Продажи!AE36*AE$19*(1+Чувствительность!$D$20)*IFERROR(LOOKUP(Предпосылки!$H$218,$C$13:$C$15,AE$13:AE$15),1)</f>
        <v>0</v>
      </c>
      <c s="125">
        <f>Предпосылки!AE$245*Предпосылки!$U271*Продажи!AF36*AF$19*(1+Чувствительность!$D$20)*IFERROR(LOOKUP(Предпосылки!$H$218,$C$13:$C$15,AF$13:AF$15),1)</f>
        <v>0</v>
      </c>
      <c s="125">
        <f>Предпосылки!AF$245*Предпосылки!$U271*Продажи!AG36*AG$19*(1+Чувствительность!$D$20)*IFERROR(LOOKUP(Предпосылки!$H$218,$C$13:$C$15,AG$13:AG$15),1)</f>
        <v>0</v>
      </c>
      <c s="125">
        <f>Предпосылки!AG$245*Предпосылки!$U271*Продажи!AH36*AH$19*(1+Чувствительность!$D$20)*IFERROR(LOOKUP(Предпосылки!$H$218,$C$13:$C$15,AH$13:AH$15),1)</f>
        <v>0</v>
      </c>
      <c s="125">
        <f>Предпосылки!AH$245*Предпосылки!$U271*Продажи!AI36*AI$19*(1+Чувствительность!$D$20)*IFERROR(LOOKUP(Предпосылки!$H$218,$C$13:$C$15,AI$13:AI$15),1)</f>
        <v>0</v>
      </c>
      <c s="125">
        <f>Предпосылки!AI$245*Предпосылки!$U271*Продажи!AJ36*AJ$19*(1+Чувствительность!$D$20)*IFERROR(LOOKUP(Предпосылки!$H$218,$C$13:$C$15,AJ$13:AJ$15),1)</f>
        <v>0</v>
      </c>
      <c s="125">
        <f>Предпосылки!AJ$245*Предпосылки!$U271*Продажи!AK36*AK$19*(1+Чувствительность!$D$20)*IFERROR(LOOKUP(Предпосылки!$H$218,$C$13:$C$15,AK$13:AK$15),1)</f>
        <v>0</v>
      </c>
      <c s="125">
        <f>Предпосылки!AK$245*Предпосылки!$U271*Продажи!AL36*AL$19*(1+Чувствительность!$D$20)*IFERROR(LOOKUP(Предпосылки!$H$218,$C$13:$C$15,AL$13:AL$15),1)</f>
        <v>0</v>
      </c>
      <c s="125">
        <f>Предпосылки!AL$245*Предпосылки!$U271*Продажи!AM36*AM$19*(1+Чувствительность!$D$20)*IFERROR(LOOKUP(Предпосылки!$H$218,$C$13:$C$15,AM$13:AM$15),1)</f>
        <v>0</v>
      </c>
      <c s="125">
        <f>Предпосылки!AM$245*Предпосылки!$U271*Продажи!AN36*AN$19*(1+Чувствительность!$D$20)*IFERROR(LOOKUP(Предпосылки!$H$218,$C$13:$C$15,AN$13:AN$15),1)</f>
        <v>0</v>
      </c>
      <c s="125">
        <f>Предпосылки!AN$245*Предпосылки!$U271*Продажи!AO36*AO$19*(1+Чувствительность!$D$20)*IFERROR(LOOKUP(Предпосылки!$H$218,$C$13:$C$15,AO$13:AO$15),1)</f>
        <v>0</v>
      </c>
      <c s="125">
        <f>Предпосылки!AO$245*Предпосылки!$U271*Продажи!AP36*AP$19*(1+Чувствительность!$D$20)*IFERROR(LOOKUP(Предпосылки!$H$218,$C$13:$C$15,AP$13:AP$15),1)</f>
        <v>0</v>
      </c>
      <c s="125">
        <f>Предпосылки!AP$245*Предпосылки!$U271*Продажи!AQ36*AQ$19*(1+Чувствительность!$D$20)*IFERROR(LOOKUP(Предпосылки!$H$218,$C$13:$C$15,AQ$13:AQ$15),1)</f>
        <v>0</v>
      </c>
      <c s="125">
        <f>Предпосылки!AQ$245*Предпосылки!$U271*Продажи!AR36*AR$19*(1+Чувствительность!$D$20)*IFERROR(LOOKUP(Предпосылки!$H$218,$C$13:$C$15,AR$13:AR$15),1)</f>
        <v>0</v>
      </c>
      <c s="125">
        <f>Предпосылки!AR$245*Предпосылки!$U271*Продажи!AS36*AS$19*(1+Чувствительность!$D$20)*IFERROR(LOOKUP(Предпосылки!$H$218,$C$13:$C$15,AS$13:AS$15),1)</f>
        <v>0</v>
      </c>
      <c s="125">
        <f>Предпосылки!AS$245*Предпосылки!$U271*Продажи!AT36*AT$19*(1+Чувствительность!$D$20)*IFERROR(LOOKUP(Предпосылки!$H$218,$C$13:$C$15,AT$13:AT$15),1)</f>
        <v>0</v>
      </c>
      <c s="125">
        <f>Предпосылки!AT$245*Предпосылки!$U271*Продажи!AU36*AU$19*(1+Чувствительность!$D$20)*IFERROR(LOOKUP(Предпосылки!$H$218,$C$13:$C$15,AU$13:AU$15),1)</f>
        <v>0</v>
      </c>
      <c s="125">
        <f>Предпосылки!AU$245*Предпосылки!$U271*Продажи!AV36*AV$19*(1+Чувствительность!$D$20)*IFERROR(LOOKUP(Предпосылки!$H$218,$C$13:$C$15,AV$13:AV$15),1)</f>
        <v>0</v>
      </c>
      <c s="125">
        <f>Предпосылки!AV$245*Предпосылки!$U271*Продажи!AW36*AW$19*(1+Чувствительность!$D$20)*IFERROR(LOOKUP(Предпосылки!$H$218,$C$13:$C$15,AW$13:AW$15),1)</f>
        <v>0</v>
      </c>
      <c s="125">
        <f>Предпосылки!AW$245*Предпосылки!$U271*Продажи!AX36*AX$19*(1+Чувствительность!$D$20)*IFERROR(LOOKUP(Предпосылки!$H$218,$C$13:$C$15,AX$13:AX$15),1)</f>
        <v>0</v>
      </c>
      <c s="125">
        <f>Предпосылки!AX$245*Предпосылки!$U271*Продажи!AY36*AY$19*(1+Чувствительность!$D$20)*IFERROR(LOOKUP(Предпосылки!$H$218,$C$13:$C$15,AY$13:AY$15),1)</f>
        <v>0</v>
      </c>
      <c s="125">
        <f>Предпосылки!AY$245*Предпосылки!$U271*Продажи!AZ36*AZ$19*(1+Чувствительность!$D$20)*IFERROR(LOOKUP(Предпосылки!$H$218,$C$13:$C$15,AZ$13:AZ$15),1)</f>
        <v>0</v>
      </c>
      <c s="125">
        <f>Предпосылки!AZ$245*Предпосылки!$U271*Продажи!BA36*BA$19*(1+Чувствительность!$D$20)*IFERROR(LOOKUP(Предпосылки!$H$218,$C$13:$C$15,BA$13:BA$15),1)</f>
        <v>0</v>
      </c>
      <c s="125">
        <f>Предпосылки!BA$245*Предпосылки!$U271*Продажи!BB36*BB$19*(1+Чувствительность!$D$20)*IFERROR(LOOKUP(Предпосылки!$H$218,$C$13:$C$15,BB$13:BB$15),1)</f>
        <v>0</v>
      </c>
      <c s="125">
        <f>Предпосылки!BB$245*Предпосылки!$U271*Продажи!BC36*BC$19*(1+Чувствительность!$D$20)*IFERROR(LOOKUP(Предпосылки!$H$218,$C$13:$C$15,BC$13:BC$15),1)</f>
        <v>0</v>
      </c>
      <c s="125">
        <f>Предпосылки!BC$245*Предпосылки!$U271*Продажи!BD36*BD$19*(1+Чувствительность!$D$20)*IFERROR(LOOKUP(Предпосылки!$H$218,$C$13:$C$15,BD$13:BD$15),1)</f>
        <v>0</v>
      </c>
      <c s="125">
        <f>Предпосылки!BD$245*Предпосылки!$U271*Продажи!BE36*BE$19*(1+Чувствительность!$D$20)*IFERROR(LOOKUP(Предпосылки!$H$218,$C$13:$C$15,BE$13:BE$15),1)</f>
        <v>0</v>
      </c>
      <c s="125">
        <f>Предпосылки!BE$245*Предпосылки!$U271*Продажи!BF36*BF$19*(1+Чувствительность!$D$20)*IFERROR(LOOKUP(Предпосылки!$H$218,$C$13:$C$15,BF$13:BF$15),1)</f>
        <v>0</v>
      </c>
      <c s="125">
        <f>Предпосылки!BF$245*Предпосылки!$U271*Продажи!BG36*BG$19*(1+Чувствительность!$D$20)*IFERROR(LOOKUP(Предпосылки!$H$218,$C$13:$C$15,BG$13:BG$15),1)</f>
        <v>0</v>
      </c>
      <c s="125">
        <f>Предпосылки!BG$245*Предпосылки!$U271*Продажи!BH36*BH$19*(1+Чувствительность!$D$20)*IFERROR(LOOKUP(Предпосылки!$H$218,$C$13:$C$15,BH$13:BH$15),1)</f>
        <v>0</v>
      </c>
      <c s="125">
        <f>Предпосылки!BH$245*Предпосылки!$U271*Продажи!BI36*BI$19*(1+Чувствительность!$D$20)*IFERROR(LOOKUP(Предпосылки!$H$218,$C$13:$C$15,BI$13:BI$15),1)</f>
        <v>0</v>
      </c>
      <c s="125">
        <f>Предпосылки!BI$245*Предпосылки!$U271*Продажи!BJ36*BJ$19*(1+Чувствительность!$D$20)*IFERROR(LOOKUP(Предпосылки!$H$218,$C$13:$C$15,BJ$13:BJ$15),1)</f>
        <v>0</v>
      </c>
      <c s="125">
        <f>Предпосылки!BJ$245*Предпосылки!$U271*Продажи!BK36*BK$19*(1+Чувствительность!$D$20)*IFERROR(LOOKUP(Предпосылки!$H$218,$C$13:$C$15,BK$13:BK$15),1)</f>
        <v>0</v>
      </c>
      <c s="125">
        <f>Предпосылки!BK$245*Предпосылки!$U271*Продажи!BL36*BL$19*(1+Чувствительность!$D$20)*IFERROR(LOOKUP(Предпосылки!$H$218,$C$13:$C$15,BL$13:BL$15),1)</f>
        <v>0</v>
      </c>
      <c s="125">
        <f>Предпосылки!BL$245*Предпосылки!$U271*Продажи!BM36*BM$19*(1+Чувствительность!$D$20)*IFERROR(LOOKUP(Предпосылки!$H$218,$C$13:$C$15,BM$13:BM$15),1)</f>
        <v>0</v>
      </c>
    </row>
    <row r="433" spans="2:65" ht="15" customHeight="1">
      <c r="B433" s="12" t="str">
        <f t="shared" si="146"/>
        <v>Продукт 20</v>
      </c>
      <c s="124" t="str">
        <f t="shared" si="145"/>
        <v>тыс. руб.</v>
      </c>
      <c s="276">
        <f t="shared" si="147"/>
        <v>0</v>
      </c>
      <c s="125">
        <f>Предпосылки!D$245*Предпосылки!$U272*Продажи!E37*E$19*(1+Чувствительность!$D$20)*IFERROR(LOOKUP(Предпосылки!$H$218,$C$13:$C$15,E$13:E$15),1)</f>
        <v>0</v>
      </c>
      <c s="125">
        <f>Предпосылки!E$245*Предпосылки!$U272*Продажи!F37*F$19*(1+Чувствительность!$D$20)*IFERROR(LOOKUP(Предпосылки!$H$218,$C$13:$C$15,F$13:F$15),1)</f>
        <v>0</v>
      </c>
      <c s="125">
        <f>Предпосылки!F$245*Предпосылки!$U272*Продажи!G37*G$19*(1+Чувствительность!$D$20)*IFERROR(LOOKUP(Предпосылки!$H$218,$C$13:$C$15,G$13:G$15),1)</f>
        <v>0</v>
      </c>
      <c s="125">
        <f>Предпосылки!G$245*Предпосылки!$U272*Продажи!H37*H$19*(1+Чувствительность!$D$20)*IFERROR(LOOKUP(Предпосылки!$H$218,$C$13:$C$15,H$13:H$15),1)</f>
        <v>0</v>
      </c>
      <c s="125">
        <f>Предпосылки!H$245*Предпосылки!$U272*Продажи!I37*I$19*(1+Чувствительность!$D$20)*IFERROR(LOOKUP(Предпосылки!$H$218,$C$13:$C$15,I$13:I$15),1)</f>
        <v>0</v>
      </c>
      <c s="125">
        <f>Предпосылки!I$245*Предпосылки!$U272*Продажи!J37*J$19*(1+Чувствительность!$D$20)*IFERROR(LOOKUP(Предпосылки!$H$218,$C$13:$C$15,J$13:J$15),1)</f>
        <v>0</v>
      </c>
      <c s="125">
        <f>Предпосылки!J$245*Предпосылки!$U272*Продажи!K37*K$19*(1+Чувствительность!$D$20)*IFERROR(LOOKUP(Предпосылки!$H$218,$C$13:$C$15,K$13:K$15),1)</f>
        <v>0</v>
      </c>
      <c s="125">
        <f>Предпосылки!K$245*Предпосылки!$U272*Продажи!L37*L$19*(1+Чувствительность!$D$20)*IFERROR(LOOKUP(Предпосылки!$H$218,$C$13:$C$15,L$13:L$15),1)</f>
        <v>0</v>
      </c>
      <c s="125">
        <f>Предпосылки!L$245*Предпосылки!$U272*Продажи!M37*M$19*(1+Чувствительность!$D$20)*IFERROR(LOOKUP(Предпосылки!$H$218,$C$13:$C$15,M$13:M$15),1)</f>
        <v>0</v>
      </c>
      <c s="125">
        <f>Предпосылки!M$245*Предпосылки!$U272*Продажи!N37*N$19*(1+Чувствительность!$D$20)*IFERROR(LOOKUP(Предпосылки!$H$218,$C$13:$C$15,N$13:N$15),1)</f>
        <v>0</v>
      </c>
      <c s="125">
        <f>Предпосылки!N$245*Предпосылки!$U272*Продажи!O37*O$19*(1+Чувствительность!$D$20)*IFERROR(LOOKUP(Предпосылки!$H$218,$C$13:$C$15,O$13:O$15),1)</f>
        <v>0</v>
      </c>
      <c s="125">
        <f>Предпосылки!O$245*Предпосылки!$U272*Продажи!P37*P$19*(1+Чувствительность!$D$20)*IFERROR(LOOKUP(Предпосылки!$H$218,$C$13:$C$15,P$13:P$15),1)</f>
        <v>0</v>
      </c>
      <c s="125">
        <f>Предпосылки!P$245*Предпосылки!$U272*Продажи!Q37*Q$19*(1+Чувствительность!$D$20)*IFERROR(LOOKUP(Предпосылки!$H$218,$C$13:$C$15,Q$13:Q$15),1)</f>
        <v>0</v>
      </c>
      <c s="125">
        <f>Предпосылки!Q$245*Предпосылки!$U272*Продажи!R37*R$19*(1+Чувствительность!$D$20)*IFERROR(LOOKUP(Предпосылки!$H$218,$C$13:$C$15,R$13:R$15),1)</f>
        <v>0</v>
      </c>
      <c s="125">
        <f>Предпосылки!R$245*Предпосылки!$U272*Продажи!S37*S$19*(1+Чувствительность!$D$20)*IFERROR(LOOKUP(Предпосылки!$H$218,$C$13:$C$15,S$13:S$15),1)</f>
        <v>0</v>
      </c>
      <c s="125">
        <f>Предпосылки!S$245*Предпосылки!$U272*Продажи!T37*T$19*(1+Чувствительность!$D$20)*IFERROR(LOOKUP(Предпосылки!$H$218,$C$13:$C$15,T$13:T$15),1)</f>
        <v>0</v>
      </c>
      <c s="125">
        <f>Предпосылки!T$245*Предпосылки!$U272*Продажи!U37*U$19*(1+Чувствительность!$D$20)*IFERROR(LOOKUP(Предпосылки!$H$218,$C$13:$C$15,U$13:U$15),1)</f>
        <v>0</v>
      </c>
      <c s="125">
        <f>Предпосылки!U$245*Предпосылки!$U272*Продажи!V37*V$19*(1+Чувствительность!$D$20)*IFERROR(LOOKUP(Предпосылки!$H$218,$C$13:$C$15,V$13:V$15),1)</f>
        <v>0</v>
      </c>
      <c s="125">
        <f>Предпосылки!V$245*Предпосылки!$U272*Продажи!W37*W$19*(1+Чувствительность!$D$20)*IFERROR(LOOKUP(Предпосылки!$H$218,$C$13:$C$15,W$13:W$15),1)</f>
        <v>0</v>
      </c>
      <c s="125">
        <f>Предпосылки!W$245*Предпосылки!$U272*Продажи!X37*X$19*(1+Чувствительность!$D$20)*IFERROR(LOOKUP(Предпосылки!$H$218,$C$13:$C$15,X$13:X$15),1)</f>
        <v>0</v>
      </c>
      <c s="125">
        <f>Предпосылки!X$245*Предпосылки!$U272*Продажи!Y37*Y$19*(1+Чувствительность!$D$20)*IFERROR(LOOKUP(Предпосылки!$H$218,$C$13:$C$15,Y$13:Y$15),1)</f>
        <v>0</v>
      </c>
      <c s="125">
        <f>Предпосылки!Y$245*Предпосылки!$U272*Продажи!Z37*Z$19*(1+Чувствительность!$D$20)*IFERROR(LOOKUP(Предпосылки!$H$218,$C$13:$C$15,Z$13:Z$15),1)</f>
        <v>0</v>
      </c>
      <c s="125">
        <f>Предпосылки!Z$245*Предпосылки!$U272*Продажи!AA37*AA$19*(1+Чувствительность!$D$20)*IFERROR(LOOKUP(Предпосылки!$H$218,$C$13:$C$15,AA$13:AA$15),1)</f>
        <v>0</v>
      </c>
      <c s="125">
        <f>Предпосылки!AA$245*Предпосылки!$U272*Продажи!AB37*AB$19*(1+Чувствительность!$D$20)*IFERROR(LOOKUP(Предпосылки!$H$218,$C$13:$C$15,AB$13:AB$15),1)</f>
        <v>0</v>
      </c>
      <c s="125">
        <f>Предпосылки!AB$245*Предпосылки!$U272*Продажи!AC37*AC$19*(1+Чувствительность!$D$20)*IFERROR(LOOKUP(Предпосылки!$H$218,$C$13:$C$15,AC$13:AC$15),1)</f>
        <v>0</v>
      </c>
      <c s="125">
        <f>Предпосылки!AC$245*Предпосылки!$U272*Продажи!AD37*AD$19*(1+Чувствительность!$D$20)*IFERROR(LOOKUP(Предпосылки!$H$218,$C$13:$C$15,AD$13:AD$15),1)</f>
        <v>0</v>
      </c>
      <c s="125">
        <f>Предпосылки!AD$245*Предпосылки!$U272*Продажи!AE37*AE$19*(1+Чувствительность!$D$20)*IFERROR(LOOKUP(Предпосылки!$H$218,$C$13:$C$15,AE$13:AE$15),1)</f>
        <v>0</v>
      </c>
      <c s="125">
        <f>Предпосылки!AE$245*Предпосылки!$U272*Продажи!AF37*AF$19*(1+Чувствительность!$D$20)*IFERROR(LOOKUP(Предпосылки!$H$218,$C$13:$C$15,AF$13:AF$15),1)</f>
        <v>0</v>
      </c>
      <c s="125">
        <f>Предпосылки!AF$245*Предпосылки!$U272*Продажи!AG37*AG$19*(1+Чувствительность!$D$20)*IFERROR(LOOKUP(Предпосылки!$H$218,$C$13:$C$15,AG$13:AG$15),1)</f>
        <v>0</v>
      </c>
      <c s="125">
        <f>Предпосылки!AG$245*Предпосылки!$U272*Продажи!AH37*AH$19*(1+Чувствительность!$D$20)*IFERROR(LOOKUP(Предпосылки!$H$218,$C$13:$C$15,AH$13:AH$15),1)</f>
        <v>0</v>
      </c>
      <c s="125">
        <f>Предпосылки!AH$245*Предпосылки!$U272*Продажи!AI37*AI$19*(1+Чувствительность!$D$20)*IFERROR(LOOKUP(Предпосылки!$H$218,$C$13:$C$15,AI$13:AI$15),1)</f>
        <v>0</v>
      </c>
      <c s="125">
        <f>Предпосылки!AI$245*Предпосылки!$U272*Продажи!AJ37*AJ$19*(1+Чувствительность!$D$20)*IFERROR(LOOKUP(Предпосылки!$H$218,$C$13:$C$15,AJ$13:AJ$15),1)</f>
        <v>0</v>
      </c>
      <c s="125">
        <f>Предпосылки!AJ$245*Предпосылки!$U272*Продажи!AK37*AK$19*(1+Чувствительность!$D$20)*IFERROR(LOOKUP(Предпосылки!$H$218,$C$13:$C$15,AK$13:AK$15),1)</f>
        <v>0</v>
      </c>
      <c s="125">
        <f>Предпосылки!AK$245*Предпосылки!$U272*Продажи!AL37*AL$19*(1+Чувствительность!$D$20)*IFERROR(LOOKUP(Предпосылки!$H$218,$C$13:$C$15,AL$13:AL$15),1)</f>
        <v>0</v>
      </c>
      <c s="125">
        <f>Предпосылки!AL$245*Предпосылки!$U272*Продажи!AM37*AM$19*(1+Чувствительность!$D$20)*IFERROR(LOOKUP(Предпосылки!$H$218,$C$13:$C$15,AM$13:AM$15),1)</f>
        <v>0</v>
      </c>
      <c s="125">
        <f>Предпосылки!AM$245*Предпосылки!$U272*Продажи!AN37*AN$19*(1+Чувствительность!$D$20)*IFERROR(LOOKUP(Предпосылки!$H$218,$C$13:$C$15,AN$13:AN$15),1)</f>
        <v>0</v>
      </c>
      <c s="125">
        <f>Предпосылки!AN$245*Предпосылки!$U272*Продажи!AO37*AO$19*(1+Чувствительность!$D$20)*IFERROR(LOOKUP(Предпосылки!$H$218,$C$13:$C$15,AO$13:AO$15),1)</f>
        <v>0</v>
      </c>
      <c s="125">
        <f>Предпосылки!AO$245*Предпосылки!$U272*Продажи!AP37*AP$19*(1+Чувствительность!$D$20)*IFERROR(LOOKUP(Предпосылки!$H$218,$C$13:$C$15,AP$13:AP$15),1)</f>
        <v>0</v>
      </c>
      <c s="125">
        <f>Предпосылки!AP$245*Предпосылки!$U272*Продажи!AQ37*AQ$19*(1+Чувствительность!$D$20)*IFERROR(LOOKUP(Предпосылки!$H$218,$C$13:$C$15,AQ$13:AQ$15),1)</f>
        <v>0</v>
      </c>
      <c s="125">
        <f>Предпосылки!AQ$245*Предпосылки!$U272*Продажи!AR37*AR$19*(1+Чувствительность!$D$20)*IFERROR(LOOKUP(Предпосылки!$H$218,$C$13:$C$15,AR$13:AR$15),1)</f>
        <v>0</v>
      </c>
      <c s="125">
        <f>Предпосылки!AR$245*Предпосылки!$U272*Продажи!AS37*AS$19*(1+Чувствительность!$D$20)*IFERROR(LOOKUP(Предпосылки!$H$218,$C$13:$C$15,AS$13:AS$15),1)</f>
        <v>0</v>
      </c>
      <c s="125">
        <f>Предпосылки!AS$245*Предпосылки!$U272*Продажи!AT37*AT$19*(1+Чувствительность!$D$20)*IFERROR(LOOKUP(Предпосылки!$H$218,$C$13:$C$15,AT$13:AT$15),1)</f>
        <v>0</v>
      </c>
      <c s="125">
        <f>Предпосылки!AT$245*Предпосылки!$U272*Продажи!AU37*AU$19*(1+Чувствительность!$D$20)*IFERROR(LOOKUP(Предпосылки!$H$218,$C$13:$C$15,AU$13:AU$15),1)</f>
        <v>0</v>
      </c>
      <c s="125">
        <f>Предпосылки!AU$245*Предпосылки!$U272*Продажи!AV37*AV$19*(1+Чувствительность!$D$20)*IFERROR(LOOKUP(Предпосылки!$H$218,$C$13:$C$15,AV$13:AV$15),1)</f>
        <v>0</v>
      </c>
      <c s="125">
        <f>Предпосылки!AV$245*Предпосылки!$U272*Продажи!AW37*AW$19*(1+Чувствительность!$D$20)*IFERROR(LOOKUP(Предпосылки!$H$218,$C$13:$C$15,AW$13:AW$15),1)</f>
        <v>0</v>
      </c>
      <c s="125">
        <f>Предпосылки!AW$245*Предпосылки!$U272*Продажи!AX37*AX$19*(1+Чувствительность!$D$20)*IFERROR(LOOKUP(Предпосылки!$H$218,$C$13:$C$15,AX$13:AX$15),1)</f>
        <v>0</v>
      </c>
      <c s="125">
        <f>Предпосылки!AX$245*Предпосылки!$U272*Продажи!AY37*AY$19*(1+Чувствительность!$D$20)*IFERROR(LOOKUP(Предпосылки!$H$218,$C$13:$C$15,AY$13:AY$15),1)</f>
        <v>0</v>
      </c>
      <c s="125">
        <f>Предпосылки!AY$245*Предпосылки!$U272*Продажи!AZ37*AZ$19*(1+Чувствительность!$D$20)*IFERROR(LOOKUP(Предпосылки!$H$218,$C$13:$C$15,AZ$13:AZ$15),1)</f>
        <v>0</v>
      </c>
      <c s="125">
        <f>Предпосылки!AZ$245*Предпосылки!$U272*Продажи!BA37*BA$19*(1+Чувствительность!$D$20)*IFERROR(LOOKUP(Предпосылки!$H$218,$C$13:$C$15,BA$13:BA$15),1)</f>
        <v>0</v>
      </c>
      <c s="125">
        <f>Предпосылки!BA$245*Предпосылки!$U272*Продажи!BB37*BB$19*(1+Чувствительность!$D$20)*IFERROR(LOOKUP(Предпосылки!$H$218,$C$13:$C$15,BB$13:BB$15),1)</f>
        <v>0</v>
      </c>
      <c s="125">
        <f>Предпосылки!BB$245*Предпосылки!$U272*Продажи!BC37*BC$19*(1+Чувствительность!$D$20)*IFERROR(LOOKUP(Предпосылки!$H$218,$C$13:$C$15,BC$13:BC$15),1)</f>
        <v>0</v>
      </c>
      <c s="125">
        <f>Предпосылки!BC$245*Предпосылки!$U272*Продажи!BD37*BD$19*(1+Чувствительность!$D$20)*IFERROR(LOOKUP(Предпосылки!$H$218,$C$13:$C$15,BD$13:BD$15),1)</f>
        <v>0</v>
      </c>
      <c s="125">
        <f>Предпосылки!BD$245*Предпосылки!$U272*Продажи!BE37*BE$19*(1+Чувствительность!$D$20)*IFERROR(LOOKUP(Предпосылки!$H$218,$C$13:$C$15,BE$13:BE$15),1)</f>
        <v>0</v>
      </c>
      <c s="125">
        <f>Предпосылки!BE$245*Предпосылки!$U272*Продажи!BF37*BF$19*(1+Чувствительность!$D$20)*IFERROR(LOOKUP(Предпосылки!$H$218,$C$13:$C$15,BF$13:BF$15),1)</f>
        <v>0</v>
      </c>
      <c s="125">
        <f>Предпосылки!BF$245*Предпосылки!$U272*Продажи!BG37*BG$19*(1+Чувствительность!$D$20)*IFERROR(LOOKUP(Предпосылки!$H$218,$C$13:$C$15,BG$13:BG$15),1)</f>
        <v>0</v>
      </c>
      <c s="125">
        <f>Предпосылки!BG$245*Предпосылки!$U272*Продажи!BH37*BH$19*(1+Чувствительность!$D$20)*IFERROR(LOOKUP(Предпосылки!$H$218,$C$13:$C$15,BH$13:BH$15),1)</f>
        <v>0</v>
      </c>
      <c s="125">
        <f>Предпосылки!BH$245*Предпосылки!$U272*Продажи!BI37*BI$19*(1+Чувствительность!$D$20)*IFERROR(LOOKUP(Предпосылки!$H$218,$C$13:$C$15,BI$13:BI$15),1)</f>
        <v>0</v>
      </c>
      <c s="125">
        <f>Предпосылки!BI$245*Предпосылки!$U272*Продажи!BJ37*BJ$19*(1+Чувствительность!$D$20)*IFERROR(LOOKUP(Предпосылки!$H$218,$C$13:$C$15,BJ$13:BJ$15),1)</f>
        <v>0</v>
      </c>
      <c s="125">
        <f>Предпосылки!BJ$245*Предпосылки!$U272*Продажи!BK37*BK$19*(1+Чувствительность!$D$20)*IFERROR(LOOKUP(Предпосылки!$H$218,$C$13:$C$15,BK$13:BK$15),1)</f>
        <v>0</v>
      </c>
      <c s="125">
        <f>Предпосылки!BK$245*Предпосылки!$U272*Продажи!BL37*BL$19*(1+Чувствительность!$D$20)*IFERROR(LOOKUP(Предпосылки!$H$218,$C$13:$C$15,BL$13:BL$15),1)</f>
        <v>0</v>
      </c>
      <c s="125">
        <f>Предпосылки!BL$245*Предпосылки!$U272*Продажи!BM37*BM$19*(1+Чувствительность!$D$20)*IFERROR(LOOKUP(Предпосылки!$H$218,$C$13:$C$15,BM$13:BM$15),1)</f>
        <v>0</v>
      </c>
    </row>
    <row r="434" spans="2:65" ht="15" customHeight="1">
      <c r="B434" s="289" t="s">
        <v>454</v>
      </c>
      <c s="290" t="str">
        <f>Единица_измерения</f>
        <v>тыс. руб.</v>
      </c>
      <c s="291">
        <f>SUM(D414:D433)</f>
        <v>0</v>
      </c>
      <c s="276">
        <f>SUM(E414:E433)</f>
        <v>0</v>
      </c>
      <c s="276">
        <f t="shared" si="148" ref="F434:AG434">SUM(F414:F433)</f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8"/>
        <v>0</v>
      </c>
      <c s="276">
        <f t="shared" si="149" ref="AH434:BM434">SUM(AH414:AH433)</f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  <c s="276">
        <f t="shared" si="149"/>
        <v>0</v>
      </c>
    </row>
    <row r="435" ht="15" customHeight="1"/>
    <row r="436" spans="2:69" ht="14.45">
      <c r="B436" s="25" t="str">
        <f>Предпосылки!B246</f>
        <v>Операционные затраты 19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37" spans="2:65" ht="15" customHeight="1">
      <c r="B437" s="12" t="str">
        <f>B414</f>
        <v>Продукт 1</v>
      </c>
      <c s="124" t="str">
        <f t="shared" si="150" ref="C437:C456">Единица_измерения</f>
        <v>тыс. руб.</v>
      </c>
      <c s="276">
        <f>SUM(E437:BM437)</f>
        <v>0</v>
      </c>
      <c s="125">
        <f>Предпосылки!D$246*Предпосылки!$V253*Продажи!E18*E$19*(1+Чувствительность!$D$20)*IFERROR(LOOKUP(Предпосылки!$H$219,$C$13:$C$15,E$13:E$15),1)</f>
        <v>0</v>
      </c>
      <c s="125">
        <f>Предпосылки!E$246*Предпосылки!$V253*Продажи!F18*F$19*(1+Чувствительность!$D$20)*IFERROR(LOOKUP(Предпосылки!$H$219,$C$13:$C$15,F$13:F$15),1)</f>
        <v>0</v>
      </c>
      <c s="125">
        <f>Предпосылки!F$246*Предпосылки!$V253*Продажи!G18*G$19*(1+Чувствительность!$D$20)*IFERROR(LOOKUP(Предпосылки!$H$219,$C$13:$C$15,G$13:G$15),1)</f>
        <v>0</v>
      </c>
      <c s="125">
        <f>Предпосылки!G$246*Предпосылки!$V253*Продажи!H18*H$19*(1+Чувствительность!$D$20)*IFERROR(LOOKUP(Предпосылки!$H$219,$C$13:$C$15,H$13:H$15),1)</f>
        <v>0</v>
      </c>
      <c s="125">
        <f>Предпосылки!H$246*Предпосылки!$V253*Продажи!I18*I$19*(1+Чувствительность!$D$20)*IFERROR(LOOKUP(Предпосылки!$H$219,$C$13:$C$15,I$13:I$15),1)</f>
        <v>0</v>
      </c>
      <c s="125">
        <f>Предпосылки!I$246*Предпосылки!$V253*Продажи!J18*J$19*(1+Чувствительность!$D$20)*IFERROR(LOOKUP(Предпосылки!$H$219,$C$13:$C$15,J$13:J$15),1)</f>
        <v>0</v>
      </c>
      <c s="125">
        <f>Предпосылки!J$246*Предпосылки!$V253*Продажи!K18*K$19*(1+Чувствительность!$D$20)*IFERROR(LOOKUP(Предпосылки!$H$219,$C$13:$C$15,K$13:K$15),1)</f>
        <v>0</v>
      </c>
      <c s="125">
        <f>Предпосылки!K$246*Предпосылки!$V253*Продажи!L18*L$19*(1+Чувствительность!$D$20)*IFERROR(LOOKUP(Предпосылки!$H$219,$C$13:$C$15,L$13:L$15),1)</f>
        <v>0</v>
      </c>
      <c s="125">
        <f>Предпосылки!L$246*Предпосылки!$V253*Продажи!M18*M$19*(1+Чувствительность!$D$20)*IFERROR(LOOKUP(Предпосылки!$H$219,$C$13:$C$15,M$13:M$15),1)</f>
        <v>0</v>
      </c>
      <c s="125">
        <f>Предпосылки!M$246*Предпосылки!$V253*Продажи!N18*N$19*(1+Чувствительность!$D$20)*IFERROR(LOOKUP(Предпосылки!$H$219,$C$13:$C$15,N$13:N$15),1)</f>
        <v>0</v>
      </c>
      <c s="125">
        <f>Предпосылки!N$246*Предпосылки!$V253*Продажи!O18*O$19*(1+Чувствительность!$D$20)*IFERROR(LOOKUP(Предпосылки!$H$219,$C$13:$C$15,O$13:O$15),1)</f>
        <v>0</v>
      </c>
      <c s="125">
        <f>Предпосылки!O$246*Предпосылки!$V253*Продажи!P18*P$19*(1+Чувствительность!$D$20)*IFERROR(LOOKUP(Предпосылки!$H$219,$C$13:$C$15,P$13:P$15),1)</f>
        <v>0</v>
      </c>
      <c s="125">
        <f>Предпосылки!P$246*Предпосылки!$V253*Продажи!Q18*Q$19*(1+Чувствительность!$D$20)*IFERROR(LOOKUP(Предпосылки!$H$219,$C$13:$C$15,Q$13:Q$15),1)</f>
        <v>0</v>
      </c>
      <c s="125">
        <f>Предпосылки!Q$246*Предпосылки!$V253*Продажи!R18*R$19*(1+Чувствительность!$D$20)*IFERROR(LOOKUP(Предпосылки!$H$219,$C$13:$C$15,R$13:R$15),1)</f>
        <v>0</v>
      </c>
      <c s="125">
        <f>Предпосылки!R$246*Предпосылки!$V253*Продажи!S18*S$19*(1+Чувствительность!$D$20)*IFERROR(LOOKUP(Предпосылки!$H$219,$C$13:$C$15,S$13:S$15),1)</f>
        <v>0</v>
      </c>
      <c s="125">
        <f>Предпосылки!S$246*Предпосылки!$V253*Продажи!T18*T$19*(1+Чувствительность!$D$20)*IFERROR(LOOKUP(Предпосылки!$H$219,$C$13:$C$15,T$13:T$15),1)</f>
        <v>0</v>
      </c>
      <c s="125">
        <f>Предпосылки!T$246*Предпосылки!$V253*Продажи!U18*U$19*(1+Чувствительность!$D$20)*IFERROR(LOOKUP(Предпосылки!$H$219,$C$13:$C$15,U$13:U$15),1)</f>
        <v>0</v>
      </c>
      <c s="125">
        <f>Предпосылки!U$246*Предпосылки!$V253*Продажи!V18*V$19*(1+Чувствительность!$D$20)*IFERROR(LOOKUP(Предпосылки!$H$219,$C$13:$C$15,V$13:V$15),1)</f>
        <v>0</v>
      </c>
      <c s="125">
        <f>Предпосылки!V$246*Предпосылки!$V253*Продажи!W18*W$19*(1+Чувствительность!$D$20)*IFERROR(LOOKUP(Предпосылки!$H$219,$C$13:$C$15,W$13:W$15),1)</f>
        <v>0</v>
      </c>
      <c s="125">
        <f>Предпосылки!W$246*Предпосылки!$V253*Продажи!X18*X$19*(1+Чувствительность!$D$20)*IFERROR(LOOKUP(Предпосылки!$H$219,$C$13:$C$15,X$13:X$15),1)</f>
        <v>0</v>
      </c>
      <c s="125">
        <f>Предпосылки!X$246*Предпосылки!$V253*Продажи!Y18*Y$19*(1+Чувствительность!$D$20)*IFERROR(LOOKUP(Предпосылки!$H$219,$C$13:$C$15,Y$13:Y$15),1)</f>
        <v>0</v>
      </c>
      <c s="125">
        <f>Предпосылки!Y$246*Предпосылки!$V253*Продажи!Z18*Z$19*(1+Чувствительность!$D$20)*IFERROR(LOOKUP(Предпосылки!$H$219,$C$13:$C$15,Z$13:Z$15),1)</f>
        <v>0</v>
      </c>
      <c s="125">
        <f>Предпосылки!Z$246*Предпосылки!$V253*Продажи!AA18*AA$19*(1+Чувствительность!$D$20)*IFERROR(LOOKUP(Предпосылки!$H$219,$C$13:$C$15,AA$13:AA$15),1)</f>
        <v>0</v>
      </c>
      <c s="125">
        <f>Предпосылки!AA$246*Предпосылки!$V253*Продажи!AB18*AB$19*(1+Чувствительность!$D$20)*IFERROR(LOOKUP(Предпосылки!$H$219,$C$13:$C$15,AB$13:AB$15),1)</f>
        <v>0</v>
      </c>
      <c s="125">
        <f>Предпосылки!AB$246*Предпосылки!$V253*Продажи!AC18*AC$19*(1+Чувствительность!$D$20)*IFERROR(LOOKUP(Предпосылки!$H$219,$C$13:$C$15,AC$13:AC$15),1)</f>
        <v>0</v>
      </c>
      <c s="125">
        <f>Предпосылки!AC$246*Предпосылки!$V253*Продажи!AD18*AD$19*(1+Чувствительность!$D$20)*IFERROR(LOOKUP(Предпосылки!$H$219,$C$13:$C$15,AD$13:AD$15),1)</f>
        <v>0</v>
      </c>
      <c s="125">
        <f>Предпосылки!AD$246*Предпосылки!$V253*Продажи!AE18*AE$19*(1+Чувствительность!$D$20)*IFERROR(LOOKUP(Предпосылки!$H$219,$C$13:$C$15,AE$13:AE$15),1)</f>
        <v>0</v>
      </c>
      <c s="125">
        <f>Предпосылки!AE$246*Предпосылки!$V253*Продажи!AF18*AF$19*(1+Чувствительность!$D$20)*IFERROR(LOOKUP(Предпосылки!$H$219,$C$13:$C$15,AF$13:AF$15),1)</f>
        <v>0</v>
      </c>
      <c s="125">
        <f>Предпосылки!AF$246*Предпосылки!$V253*Продажи!AG18*AG$19*(1+Чувствительность!$D$20)*IFERROR(LOOKUP(Предпосылки!$H$219,$C$13:$C$15,AG$13:AG$15),1)</f>
        <v>0</v>
      </c>
      <c s="125">
        <f>Предпосылки!AG$246*Предпосылки!$V253*Продажи!AH18*AH$19*(1+Чувствительность!$D$20)*IFERROR(LOOKUP(Предпосылки!$H$219,$C$13:$C$15,AH$13:AH$15),1)</f>
        <v>0</v>
      </c>
      <c s="125">
        <f>Предпосылки!AH$246*Предпосылки!$V253*Продажи!AI18*AI$19*(1+Чувствительность!$D$20)*IFERROR(LOOKUP(Предпосылки!$H$219,$C$13:$C$15,AI$13:AI$15),1)</f>
        <v>0</v>
      </c>
      <c s="125">
        <f>Предпосылки!AI$246*Предпосылки!$V253*Продажи!AJ18*AJ$19*(1+Чувствительность!$D$20)*IFERROR(LOOKUP(Предпосылки!$H$219,$C$13:$C$15,AJ$13:AJ$15),1)</f>
        <v>0</v>
      </c>
      <c s="125">
        <f>Предпосылки!AJ$246*Предпосылки!$V253*Продажи!AK18*AK$19*(1+Чувствительность!$D$20)*IFERROR(LOOKUP(Предпосылки!$H$219,$C$13:$C$15,AK$13:AK$15),1)</f>
        <v>0</v>
      </c>
      <c s="125">
        <f>Предпосылки!AK$246*Предпосылки!$V253*Продажи!AL18*AL$19*(1+Чувствительность!$D$20)*IFERROR(LOOKUP(Предпосылки!$H$219,$C$13:$C$15,AL$13:AL$15),1)</f>
        <v>0</v>
      </c>
      <c s="125">
        <f>Предпосылки!AL$246*Предпосылки!$V253*Продажи!AM18*AM$19*(1+Чувствительность!$D$20)*IFERROR(LOOKUP(Предпосылки!$H$219,$C$13:$C$15,AM$13:AM$15),1)</f>
        <v>0</v>
      </c>
      <c s="125">
        <f>Предпосылки!AM$246*Предпосылки!$V253*Продажи!AN18*AN$19*(1+Чувствительность!$D$20)*IFERROR(LOOKUP(Предпосылки!$H$219,$C$13:$C$15,AN$13:AN$15),1)</f>
        <v>0</v>
      </c>
      <c s="125">
        <f>Предпосылки!AN$246*Предпосылки!$V253*Продажи!AO18*AO$19*(1+Чувствительность!$D$20)*IFERROR(LOOKUP(Предпосылки!$H$219,$C$13:$C$15,AO$13:AO$15),1)</f>
        <v>0</v>
      </c>
      <c s="125">
        <f>Предпосылки!AO$246*Предпосылки!$V253*Продажи!AP18*AP$19*(1+Чувствительность!$D$20)*IFERROR(LOOKUP(Предпосылки!$H$219,$C$13:$C$15,AP$13:AP$15),1)</f>
        <v>0</v>
      </c>
      <c s="125">
        <f>Предпосылки!AP$246*Предпосылки!$V253*Продажи!AQ18*AQ$19*(1+Чувствительность!$D$20)*IFERROR(LOOKUP(Предпосылки!$H$219,$C$13:$C$15,AQ$13:AQ$15),1)</f>
        <v>0</v>
      </c>
      <c s="125">
        <f>Предпосылки!AQ$246*Предпосылки!$V253*Продажи!AR18*AR$19*(1+Чувствительность!$D$20)*IFERROR(LOOKUP(Предпосылки!$H$219,$C$13:$C$15,AR$13:AR$15),1)</f>
        <v>0</v>
      </c>
      <c s="125">
        <f>Предпосылки!AR$246*Предпосылки!$V253*Продажи!AS18*AS$19*(1+Чувствительность!$D$20)*IFERROR(LOOKUP(Предпосылки!$H$219,$C$13:$C$15,AS$13:AS$15),1)</f>
        <v>0</v>
      </c>
      <c s="125">
        <f>Предпосылки!AS$246*Предпосылки!$V253*Продажи!AT18*AT$19*(1+Чувствительность!$D$20)*IFERROR(LOOKUP(Предпосылки!$H$219,$C$13:$C$15,AT$13:AT$15),1)</f>
        <v>0</v>
      </c>
      <c s="125">
        <f>Предпосылки!AT$246*Предпосылки!$V253*Продажи!AU18*AU$19*(1+Чувствительность!$D$20)*IFERROR(LOOKUP(Предпосылки!$H$219,$C$13:$C$15,AU$13:AU$15),1)</f>
        <v>0</v>
      </c>
      <c s="125">
        <f>Предпосылки!AU$246*Предпосылки!$V253*Продажи!AV18*AV$19*(1+Чувствительность!$D$20)*IFERROR(LOOKUP(Предпосылки!$H$219,$C$13:$C$15,AV$13:AV$15),1)</f>
        <v>0</v>
      </c>
      <c s="125">
        <f>Предпосылки!AV$246*Предпосылки!$V253*Продажи!AW18*AW$19*(1+Чувствительность!$D$20)*IFERROR(LOOKUP(Предпосылки!$H$219,$C$13:$C$15,AW$13:AW$15),1)</f>
        <v>0</v>
      </c>
      <c s="125">
        <f>Предпосылки!AW$246*Предпосылки!$V253*Продажи!AX18*AX$19*(1+Чувствительность!$D$20)*IFERROR(LOOKUP(Предпосылки!$H$219,$C$13:$C$15,AX$13:AX$15),1)</f>
        <v>0</v>
      </c>
      <c s="125">
        <f>Предпосылки!AX$246*Предпосылки!$V253*Продажи!AY18*AY$19*(1+Чувствительность!$D$20)*IFERROR(LOOKUP(Предпосылки!$H$219,$C$13:$C$15,AY$13:AY$15),1)</f>
        <v>0</v>
      </c>
      <c s="125">
        <f>Предпосылки!AY$246*Предпосылки!$V253*Продажи!AZ18*AZ$19*(1+Чувствительность!$D$20)*IFERROR(LOOKUP(Предпосылки!$H$219,$C$13:$C$15,AZ$13:AZ$15),1)</f>
        <v>0</v>
      </c>
      <c s="125">
        <f>Предпосылки!AZ$246*Предпосылки!$V253*Продажи!BA18*BA$19*(1+Чувствительность!$D$20)*IFERROR(LOOKUP(Предпосылки!$H$219,$C$13:$C$15,BA$13:BA$15),1)</f>
        <v>0</v>
      </c>
      <c s="125">
        <f>Предпосылки!BA$246*Предпосылки!$V253*Продажи!BB18*BB$19*(1+Чувствительность!$D$20)*IFERROR(LOOKUP(Предпосылки!$H$219,$C$13:$C$15,BB$13:BB$15),1)</f>
        <v>0</v>
      </c>
      <c s="125">
        <f>Предпосылки!BB$246*Предпосылки!$V253*Продажи!BC18*BC$19*(1+Чувствительность!$D$20)*IFERROR(LOOKUP(Предпосылки!$H$219,$C$13:$C$15,BC$13:BC$15),1)</f>
        <v>0</v>
      </c>
      <c s="125">
        <f>Предпосылки!BC$246*Предпосылки!$V253*Продажи!BD18*BD$19*(1+Чувствительность!$D$20)*IFERROR(LOOKUP(Предпосылки!$H$219,$C$13:$C$15,BD$13:BD$15),1)</f>
        <v>0</v>
      </c>
      <c s="125">
        <f>Предпосылки!BD$246*Предпосылки!$V253*Продажи!BE18*BE$19*(1+Чувствительность!$D$20)*IFERROR(LOOKUP(Предпосылки!$H$219,$C$13:$C$15,BE$13:BE$15),1)</f>
        <v>0</v>
      </c>
      <c s="125">
        <f>Предпосылки!BE$246*Предпосылки!$V253*Продажи!BF18*BF$19*(1+Чувствительность!$D$20)*IFERROR(LOOKUP(Предпосылки!$H$219,$C$13:$C$15,BF$13:BF$15),1)</f>
        <v>0</v>
      </c>
      <c s="125">
        <f>Предпосылки!BF$246*Предпосылки!$V253*Продажи!BG18*BG$19*(1+Чувствительность!$D$20)*IFERROR(LOOKUP(Предпосылки!$H$219,$C$13:$C$15,BG$13:BG$15),1)</f>
        <v>0</v>
      </c>
      <c s="125">
        <f>Предпосылки!BG$246*Предпосылки!$V253*Продажи!BH18*BH$19*(1+Чувствительность!$D$20)*IFERROR(LOOKUP(Предпосылки!$H$219,$C$13:$C$15,BH$13:BH$15),1)</f>
        <v>0</v>
      </c>
      <c s="125">
        <f>Предпосылки!BH$246*Предпосылки!$V253*Продажи!BI18*BI$19*(1+Чувствительность!$D$20)*IFERROR(LOOKUP(Предпосылки!$H$219,$C$13:$C$15,BI$13:BI$15),1)</f>
        <v>0</v>
      </c>
      <c s="125">
        <f>Предпосылки!BI$246*Предпосылки!$V253*Продажи!BJ18*BJ$19*(1+Чувствительность!$D$20)*IFERROR(LOOKUP(Предпосылки!$H$219,$C$13:$C$15,BJ$13:BJ$15),1)</f>
        <v>0</v>
      </c>
      <c s="125">
        <f>Предпосылки!BJ$246*Предпосылки!$V253*Продажи!BK18*BK$19*(1+Чувствительность!$D$20)*IFERROR(LOOKUP(Предпосылки!$H$219,$C$13:$C$15,BK$13:BK$15),1)</f>
        <v>0</v>
      </c>
      <c s="125">
        <f>Предпосылки!BK$246*Предпосылки!$V253*Продажи!BL18*BL$19*(1+Чувствительность!$D$20)*IFERROR(LOOKUP(Предпосылки!$H$219,$C$13:$C$15,BL$13:BL$15),1)</f>
        <v>0</v>
      </c>
      <c s="125">
        <f>Предпосылки!BL$246*Предпосылки!$V253*Продажи!BM18*BM$19*(1+Чувствительность!$D$20)*IFERROR(LOOKUP(Предпосылки!$H$219,$C$13:$C$15,BM$13:BM$15),1)</f>
        <v>0</v>
      </c>
    </row>
    <row r="438" spans="2:65" ht="15" customHeight="1">
      <c r="B438" s="12" t="str">
        <f t="shared" si="151" ref="B438:B456">B415</f>
        <v>Продукт 2</v>
      </c>
      <c s="124" t="str">
        <f t="shared" si="150"/>
        <v>тыс. руб.</v>
      </c>
      <c s="276">
        <f t="shared" si="152" ref="D438:D456">SUM(E438:BM438)</f>
        <v>0</v>
      </c>
      <c s="125">
        <f>Предпосылки!D$246*Предпосылки!$V254*Продажи!E19*E$19*(1+Чувствительность!$D$20)*IFERROR(LOOKUP(Предпосылки!$H$219,$C$13:$C$15,E$13:E$15),1)</f>
        <v>0</v>
      </c>
      <c s="125">
        <f>Предпосылки!E$246*Предпосылки!$V254*Продажи!F19*F$19*(1+Чувствительность!$D$20)*IFERROR(LOOKUP(Предпосылки!$H$219,$C$13:$C$15,F$13:F$15),1)</f>
        <v>0</v>
      </c>
      <c s="125">
        <f>Предпосылки!F$246*Предпосылки!$V254*Продажи!G19*G$19*(1+Чувствительность!$D$20)*IFERROR(LOOKUP(Предпосылки!$H$219,$C$13:$C$15,G$13:G$15),1)</f>
        <v>0</v>
      </c>
      <c s="125">
        <f>Предпосылки!G$246*Предпосылки!$V254*Продажи!H19*H$19*(1+Чувствительность!$D$20)*IFERROR(LOOKUP(Предпосылки!$H$219,$C$13:$C$15,H$13:H$15),1)</f>
        <v>0</v>
      </c>
      <c s="125">
        <f>Предпосылки!H$246*Предпосылки!$V254*Продажи!I19*I$19*(1+Чувствительность!$D$20)*IFERROR(LOOKUP(Предпосылки!$H$219,$C$13:$C$15,I$13:I$15),1)</f>
        <v>0</v>
      </c>
      <c s="125">
        <f>Предпосылки!I$246*Предпосылки!$V254*Продажи!J19*J$19*(1+Чувствительность!$D$20)*IFERROR(LOOKUP(Предпосылки!$H$219,$C$13:$C$15,J$13:J$15),1)</f>
        <v>0</v>
      </c>
      <c s="125">
        <f>Предпосылки!J$246*Предпосылки!$V254*Продажи!K19*K$19*(1+Чувствительность!$D$20)*IFERROR(LOOKUP(Предпосылки!$H$219,$C$13:$C$15,K$13:K$15),1)</f>
        <v>0</v>
      </c>
      <c s="125">
        <f>Предпосылки!K$246*Предпосылки!$V254*Продажи!L19*L$19*(1+Чувствительность!$D$20)*IFERROR(LOOKUP(Предпосылки!$H$219,$C$13:$C$15,L$13:L$15),1)</f>
        <v>0</v>
      </c>
      <c s="125">
        <f>Предпосылки!L$246*Предпосылки!$V254*Продажи!M19*M$19*(1+Чувствительность!$D$20)*IFERROR(LOOKUP(Предпосылки!$H$219,$C$13:$C$15,M$13:M$15),1)</f>
        <v>0</v>
      </c>
      <c s="125">
        <f>Предпосылки!M$246*Предпосылки!$V254*Продажи!N19*N$19*(1+Чувствительность!$D$20)*IFERROR(LOOKUP(Предпосылки!$H$219,$C$13:$C$15,N$13:N$15),1)</f>
        <v>0</v>
      </c>
      <c s="125">
        <f>Предпосылки!N$246*Предпосылки!$V254*Продажи!O19*O$19*(1+Чувствительность!$D$20)*IFERROR(LOOKUP(Предпосылки!$H$219,$C$13:$C$15,O$13:O$15),1)</f>
        <v>0</v>
      </c>
      <c s="125">
        <f>Предпосылки!O$246*Предпосылки!$V254*Продажи!P19*P$19*(1+Чувствительность!$D$20)*IFERROR(LOOKUP(Предпосылки!$H$219,$C$13:$C$15,P$13:P$15),1)</f>
        <v>0</v>
      </c>
      <c s="125">
        <f>Предпосылки!P$246*Предпосылки!$V254*Продажи!Q19*Q$19*(1+Чувствительность!$D$20)*IFERROR(LOOKUP(Предпосылки!$H$219,$C$13:$C$15,Q$13:Q$15),1)</f>
        <v>0</v>
      </c>
      <c s="125">
        <f>Предпосылки!Q$246*Предпосылки!$V254*Продажи!R19*R$19*(1+Чувствительность!$D$20)*IFERROR(LOOKUP(Предпосылки!$H$219,$C$13:$C$15,R$13:R$15),1)</f>
        <v>0</v>
      </c>
      <c s="125">
        <f>Предпосылки!R$246*Предпосылки!$V254*Продажи!S19*S$19*(1+Чувствительность!$D$20)*IFERROR(LOOKUP(Предпосылки!$H$219,$C$13:$C$15,S$13:S$15),1)</f>
        <v>0</v>
      </c>
      <c s="125">
        <f>Предпосылки!S$246*Предпосылки!$V254*Продажи!T19*T$19*(1+Чувствительность!$D$20)*IFERROR(LOOKUP(Предпосылки!$H$219,$C$13:$C$15,T$13:T$15),1)</f>
        <v>0</v>
      </c>
      <c s="125">
        <f>Предпосылки!T$246*Предпосылки!$V254*Продажи!U19*U$19*(1+Чувствительность!$D$20)*IFERROR(LOOKUP(Предпосылки!$H$219,$C$13:$C$15,U$13:U$15),1)</f>
        <v>0</v>
      </c>
      <c s="125">
        <f>Предпосылки!U$246*Предпосылки!$V254*Продажи!V19*V$19*(1+Чувствительность!$D$20)*IFERROR(LOOKUP(Предпосылки!$H$219,$C$13:$C$15,V$13:V$15),1)</f>
        <v>0</v>
      </c>
      <c s="125">
        <f>Предпосылки!V$246*Предпосылки!$V254*Продажи!W19*W$19*(1+Чувствительность!$D$20)*IFERROR(LOOKUP(Предпосылки!$H$219,$C$13:$C$15,W$13:W$15),1)</f>
        <v>0</v>
      </c>
      <c s="125">
        <f>Предпосылки!W$246*Предпосылки!$V254*Продажи!X19*X$19*(1+Чувствительность!$D$20)*IFERROR(LOOKUP(Предпосылки!$H$219,$C$13:$C$15,X$13:X$15),1)</f>
        <v>0</v>
      </c>
      <c s="125">
        <f>Предпосылки!X$246*Предпосылки!$V254*Продажи!Y19*Y$19*(1+Чувствительность!$D$20)*IFERROR(LOOKUP(Предпосылки!$H$219,$C$13:$C$15,Y$13:Y$15),1)</f>
        <v>0</v>
      </c>
      <c s="125">
        <f>Предпосылки!Y$246*Предпосылки!$V254*Продажи!Z19*Z$19*(1+Чувствительность!$D$20)*IFERROR(LOOKUP(Предпосылки!$H$219,$C$13:$C$15,Z$13:Z$15),1)</f>
        <v>0</v>
      </c>
      <c s="125">
        <f>Предпосылки!Z$246*Предпосылки!$V254*Продажи!AA19*AA$19*(1+Чувствительность!$D$20)*IFERROR(LOOKUP(Предпосылки!$H$219,$C$13:$C$15,AA$13:AA$15),1)</f>
        <v>0</v>
      </c>
      <c s="125">
        <f>Предпосылки!AA$246*Предпосылки!$V254*Продажи!AB19*AB$19*(1+Чувствительность!$D$20)*IFERROR(LOOKUP(Предпосылки!$H$219,$C$13:$C$15,AB$13:AB$15),1)</f>
        <v>0</v>
      </c>
      <c s="125">
        <f>Предпосылки!AB$246*Предпосылки!$V254*Продажи!AC19*AC$19*(1+Чувствительность!$D$20)*IFERROR(LOOKUP(Предпосылки!$H$219,$C$13:$C$15,AC$13:AC$15),1)</f>
        <v>0</v>
      </c>
      <c s="125">
        <f>Предпосылки!AC$246*Предпосылки!$V254*Продажи!AD19*AD$19*(1+Чувствительность!$D$20)*IFERROR(LOOKUP(Предпосылки!$H$219,$C$13:$C$15,AD$13:AD$15),1)</f>
        <v>0</v>
      </c>
      <c s="125">
        <f>Предпосылки!AD$246*Предпосылки!$V254*Продажи!AE19*AE$19*(1+Чувствительность!$D$20)*IFERROR(LOOKUP(Предпосылки!$H$219,$C$13:$C$15,AE$13:AE$15),1)</f>
        <v>0</v>
      </c>
      <c s="125">
        <f>Предпосылки!AE$246*Предпосылки!$V254*Продажи!AF19*AF$19*(1+Чувствительность!$D$20)*IFERROR(LOOKUP(Предпосылки!$H$219,$C$13:$C$15,AF$13:AF$15),1)</f>
        <v>0</v>
      </c>
      <c s="125">
        <f>Предпосылки!AF$246*Предпосылки!$V254*Продажи!AG19*AG$19*(1+Чувствительность!$D$20)*IFERROR(LOOKUP(Предпосылки!$H$219,$C$13:$C$15,AG$13:AG$15),1)</f>
        <v>0</v>
      </c>
      <c s="125">
        <f>Предпосылки!AG$246*Предпосылки!$V254*Продажи!AH19*AH$19*(1+Чувствительность!$D$20)*IFERROR(LOOKUP(Предпосылки!$H$219,$C$13:$C$15,AH$13:AH$15),1)</f>
        <v>0</v>
      </c>
      <c s="125">
        <f>Предпосылки!AH$246*Предпосылки!$V254*Продажи!AI19*AI$19*(1+Чувствительность!$D$20)*IFERROR(LOOKUP(Предпосылки!$H$219,$C$13:$C$15,AI$13:AI$15),1)</f>
        <v>0</v>
      </c>
      <c s="125">
        <f>Предпосылки!AI$246*Предпосылки!$V254*Продажи!AJ19*AJ$19*(1+Чувствительность!$D$20)*IFERROR(LOOKUP(Предпосылки!$H$219,$C$13:$C$15,AJ$13:AJ$15),1)</f>
        <v>0</v>
      </c>
      <c s="125">
        <f>Предпосылки!AJ$246*Предпосылки!$V254*Продажи!AK19*AK$19*(1+Чувствительность!$D$20)*IFERROR(LOOKUP(Предпосылки!$H$219,$C$13:$C$15,AK$13:AK$15),1)</f>
        <v>0</v>
      </c>
      <c s="125">
        <f>Предпосылки!AK$246*Предпосылки!$V254*Продажи!AL19*AL$19*(1+Чувствительность!$D$20)*IFERROR(LOOKUP(Предпосылки!$H$219,$C$13:$C$15,AL$13:AL$15),1)</f>
        <v>0</v>
      </c>
      <c s="125">
        <f>Предпосылки!AL$246*Предпосылки!$V254*Продажи!AM19*AM$19*(1+Чувствительность!$D$20)*IFERROR(LOOKUP(Предпосылки!$H$219,$C$13:$C$15,AM$13:AM$15),1)</f>
        <v>0</v>
      </c>
      <c s="125">
        <f>Предпосылки!AM$246*Предпосылки!$V254*Продажи!AN19*AN$19*(1+Чувствительность!$D$20)*IFERROR(LOOKUP(Предпосылки!$H$219,$C$13:$C$15,AN$13:AN$15),1)</f>
        <v>0</v>
      </c>
      <c s="125">
        <f>Предпосылки!AN$246*Предпосылки!$V254*Продажи!AO19*AO$19*(1+Чувствительность!$D$20)*IFERROR(LOOKUP(Предпосылки!$H$219,$C$13:$C$15,AO$13:AO$15),1)</f>
        <v>0</v>
      </c>
      <c s="125">
        <f>Предпосылки!AO$246*Предпосылки!$V254*Продажи!AP19*AP$19*(1+Чувствительность!$D$20)*IFERROR(LOOKUP(Предпосылки!$H$219,$C$13:$C$15,AP$13:AP$15),1)</f>
        <v>0</v>
      </c>
      <c s="125">
        <f>Предпосылки!AP$246*Предпосылки!$V254*Продажи!AQ19*AQ$19*(1+Чувствительность!$D$20)*IFERROR(LOOKUP(Предпосылки!$H$219,$C$13:$C$15,AQ$13:AQ$15),1)</f>
        <v>0</v>
      </c>
      <c s="125">
        <f>Предпосылки!AQ$246*Предпосылки!$V254*Продажи!AR19*AR$19*(1+Чувствительность!$D$20)*IFERROR(LOOKUP(Предпосылки!$H$219,$C$13:$C$15,AR$13:AR$15),1)</f>
        <v>0</v>
      </c>
      <c s="125">
        <f>Предпосылки!AR$246*Предпосылки!$V254*Продажи!AS19*AS$19*(1+Чувствительность!$D$20)*IFERROR(LOOKUP(Предпосылки!$H$219,$C$13:$C$15,AS$13:AS$15),1)</f>
        <v>0</v>
      </c>
      <c s="125">
        <f>Предпосылки!AS$246*Предпосылки!$V254*Продажи!AT19*AT$19*(1+Чувствительность!$D$20)*IFERROR(LOOKUP(Предпосылки!$H$219,$C$13:$C$15,AT$13:AT$15),1)</f>
        <v>0</v>
      </c>
      <c s="125">
        <f>Предпосылки!AT$246*Предпосылки!$V254*Продажи!AU19*AU$19*(1+Чувствительность!$D$20)*IFERROR(LOOKUP(Предпосылки!$H$219,$C$13:$C$15,AU$13:AU$15),1)</f>
        <v>0</v>
      </c>
      <c s="125">
        <f>Предпосылки!AU$246*Предпосылки!$V254*Продажи!AV19*AV$19*(1+Чувствительность!$D$20)*IFERROR(LOOKUP(Предпосылки!$H$219,$C$13:$C$15,AV$13:AV$15),1)</f>
        <v>0</v>
      </c>
      <c s="125">
        <f>Предпосылки!AV$246*Предпосылки!$V254*Продажи!AW19*AW$19*(1+Чувствительность!$D$20)*IFERROR(LOOKUP(Предпосылки!$H$219,$C$13:$C$15,AW$13:AW$15),1)</f>
        <v>0</v>
      </c>
      <c s="125">
        <f>Предпосылки!AW$246*Предпосылки!$V254*Продажи!AX19*AX$19*(1+Чувствительность!$D$20)*IFERROR(LOOKUP(Предпосылки!$H$219,$C$13:$C$15,AX$13:AX$15),1)</f>
        <v>0</v>
      </c>
      <c s="125">
        <f>Предпосылки!AX$246*Предпосылки!$V254*Продажи!AY19*AY$19*(1+Чувствительность!$D$20)*IFERROR(LOOKUP(Предпосылки!$H$219,$C$13:$C$15,AY$13:AY$15),1)</f>
        <v>0</v>
      </c>
      <c s="125">
        <f>Предпосылки!AY$246*Предпосылки!$V254*Продажи!AZ19*AZ$19*(1+Чувствительность!$D$20)*IFERROR(LOOKUP(Предпосылки!$H$219,$C$13:$C$15,AZ$13:AZ$15),1)</f>
        <v>0</v>
      </c>
      <c s="125">
        <f>Предпосылки!AZ$246*Предпосылки!$V254*Продажи!BA19*BA$19*(1+Чувствительность!$D$20)*IFERROR(LOOKUP(Предпосылки!$H$219,$C$13:$C$15,BA$13:BA$15),1)</f>
        <v>0</v>
      </c>
      <c s="125">
        <f>Предпосылки!BA$246*Предпосылки!$V254*Продажи!BB19*BB$19*(1+Чувствительность!$D$20)*IFERROR(LOOKUP(Предпосылки!$H$219,$C$13:$C$15,BB$13:BB$15),1)</f>
        <v>0</v>
      </c>
      <c s="125">
        <f>Предпосылки!BB$246*Предпосылки!$V254*Продажи!BC19*BC$19*(1+Чувствительность!$D$20)*IFERROR(LOOKUP(Предпосылки!$H$219,$C$13:$C$15,BC$13:BC$15),1)</f>
        <v>0</v>
      </c>
      <c s="125">
        <f>Предпосылки!BC$246*Предпосылки!$V254*Продажи!BD19*BD$19*(1+Чувствительность!$D$20)*IFERROR(LOOKUP(Предпосылки!$H$219,$C$13:$C$15,BD$13:BD$15),1)</f>
        <v>0</v>
      </c>
      <c s="125">
        <f>Предпосылки!BD$246*Предпосылки!$V254*Продажи!BE19*BE$19*(1+Чувствительность!$D$20)*IFERROR(LOOKUP(Предпосылки!$H$219,$C$13:$C$15,BE$13:BE$15),1)</f>
        <v>0</v>
      </c>
      <c s="125">
        <f>Предпосылки!BE$246*Предпосылки!$V254*Продажи!BF19*BF$19*(1+Чувствительность!$D$20)*IFERROR(LOOKUP(Предпосылки!$H$219,$C$13:$C$15,BF$13:BF$15),1)</f>
        <v>0</v>
      </c>
      <c s="125">
        <f>Предпосылки!BF$246*Предпосылки!$V254*Продажи!BG19*BG$19*(1+Чувствительность!$D$20)*IFERROR(LOOKUP(Предпосылки!$H$219,$C$13:$C$15,BG$13:BG$15),1)</f>
        <v>0</v>
      </c>
      <c s="125">
        <f>Предпосылки!BG$246*Предпосылки!$V254*Продажи!BH19*BH$19*(1+Чувствительность!$D$20)*IFERROR(LOOKUP(Предпосылки!$H$219,$C$13:$C$15,BH$13:BH$15),1)</f>
        <v>0</v>
      </c>
      <c s="125">
        <f>Предпосылки!BH$246*Предпосылки!$V254*Продажи!BI19*BI$19*(1+Чувствительность!$D$20)*IFERROR(LOOKUP(Предпосылки!$H$219,$C$13:$C$15,BI$13:BI$15),1)</f>
        <v>0</v>
      </c>
      <c s="125">
        <f>Предпосылки!BI$246*Предпосылки!$V254*Продажи!BJ19*BJ$19*(1+Чувствительность!$D$20)*IFERROR(LOOKUP(Предпосылки!$H$219,$C$13:$C$15,BJ$13:BJ$15),1)</f>
        <v>0</v>
      </c>
      <c s="125">
        <f>Предпосылки!BJ$246*Предпосылки!$V254*Продажи!BK19*BK$19*(1+Чувствительность!$D$20)*IFERROR(LOOKUP(Предпосылки!$H$219,$C$13:$C$15,BK$13:BK$15),1)</f>
        <v>0</v>
      </c>
      <c s="125">
        <f>Предпосылки!BK$246*Предпосылки!$V254*Продажи!BL19*BL$19*(1+Чувствительность!$D$20)*IFERROR(LOOKUP(Предпосылки!$H$219,$C$13:$C$15,BL$13:BL$15),1)</f>
        <v>0</v>
      </c>
      <c s="125">
        <f>Предпосылки!BL$246*Предпосылки!$V254*Продажи!BM19*BM$19*(1+Чувствительность!$D$20)*IFERROR(LOOKUP(Предпосылки!$H$219,$C$13:$C$15,BM$13:BM$15),1)</f>
        <v>0</v>
      </c>
    </row>
    <row r="439" spans="2:65" ht="15" customHeight="1">
      <c r="B439" s="12" t="str">
        <f t="shared" si="151"/>
        <v>Продукт 3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Предпосылки!D$246*Предпосылки!$V255*Продажи!E20*E$19*(1+Чувствительность!$D$20)*IFERROR(LOOKUP(Предпосылки!$H$219,$C$13:$C$15,E$13:E$15),1)</f>
        <v>0</v>
      </c>
      <c s="125">
        <f>Предпосылки!E$246*Предпосылки!$V255*Продажи!F20*F$19*(1+Чувствительность!$D$20)*IFERROR(LOOKUP(Предпосылки!$H$219,$C$13:$C$15,F$13:F$15),1)</f>
        <v>0</v>
      </c>
      <c s="125">
        <f>Предпосылки!F$246*Предпосылки!$V255*Продажи!G20*G$19*(1+Чувствительность!$D$20)*IFERROR(LOOKUP(Предпосылки!$H$219,$C$13:$C$15,G$13:G$15),1)</f>
        <v>0</v>
      </c>
      <c s="125">
        <f>Предпосылки!G$246*Предпосылки!$V255*Продажи!H20*H$19*(1+Чувствительность!$D$20)*IFERROR(LOOKUP(Предпосылки!$H$219,$C$13:$C$15,H$13:H$15),1)</f>
        <v>0</v>
      </c>
      <c s="125">
        <f>Предпосылки!H$246*Предпосылки!$V255*Продажи!I20*I$19*(1+Чувствительность!$D$20)*IFERROR(LOOKUP(Предпосылки!$H$219,$C$13:$C$15,I$13:I$15),1)</f>
        <v>0</v>
      </c>
      <c s="125">
        <f>Предпосылки!I$246*Предпосылки!$V255*Продажи!J20*J$19*(1+Чувствительность!$D$20)*IFERROR(LOOKUP(Предпосылки!$H$219,$C$13:$C$15,J$13:J$15),1)</f>
        <v>0</v>
      </c>
      <c s="125">
        <f>Предпосылки!J$246*Предпосылки!$V255*Продажи!K20*K$19*(1+Чувствительность!$D$20)*IFERROR(LOOKUP(Предпосылки!$H$219,$C$13:$C$15,K$13:K$15),1)</f>
        <v>0</v>
      </c>
      <c s="125">
        <f>Предпосылки!K$246*Предпосылки!$V255*Продажи!L20*L$19*(1+Чувствительность!$D$20)*IFERROR(LOOKUP(Предпосылки!$H$219,$C$13:$C$15,L$13:L$15),1)</f>
        <v>0</v>
      </c>
      <c s="125">
        <f>Предпосылки!L$246*Предпосылки!$V255*Продажи!M20*M$19*(1+Чувствительность!$D$20)*IFERROR(LOOKUP(Предпосылки!$H$219,$C$13:$C$15,M$13:M$15),1)</f>
        <v>0</v>
      </c>
      <c s="125">
        <f>Предпосылки!M$246*Предпосылки!$V255*Продажи!N20*N$19*(1+Чувствительность!$D$20)*IFERROR(LOOKUP(Предпосылки!$H$219,$C$13:$C$15,N$13:N$15),1)</f>
        <v>0</v>
      </c>
      <c s="125">
        <f>Предпосылки!N$246*Предпосылки!$V255*Продажи!O20*O$19*(1+Чувствительность!$D$20)*IFERROR(LOOKUP(Предпосылки!$H$219,$C$13:$C$15,O$13:O$15),1)</f>
        <v>0</v>
      </c>
      <c s="125">
        <f>Предпосылки!O$246*Предпосылки!$V255*Продажи!P20*P$19*(1+Чувствительность!$D$20)*IFERROR(LOOKUP(Предпосылки!$H$219,$C$13:$C$15,P$13:P$15),1)</f>
        <v>0</v>
      </c>
      <c s="125">
        <f>Предпосылки!P$246*Предпосылки!$V255*Продажи!Q20*Q$19*(1+Чувствительность!$D$20)*IFERROR(LOOKUP(Предпосылки!$H$219,$C$13:$C$15,Q$13:Q$15),1)</f>
        <v>0</v>
      </c>
      <c s="125">
        <f>Предпосылки!Q$246*Предпосылки!$V255*Продажи!R20*R$19*(1+Чувствительность!$D$20)*IFERROR(LOOKUP(Предпосылки!$H$219,$C$13:$C$15,R$13:R$15),1)</f>
        <v>0</v>
      </c>
      <c s="125">
        <f>Предпосылки!R$246*Предпосылки!$V255*Продажи!S20*S$19*(1+Чувствительность!$D$20)*IFERROR(LOOKUP(Предпосылки!$H$219,$C$13:$C$15,S$13:S$15),1)</f>
        <v>0</v>
      </c>
      <c s="125">
        <f>Предпосылки!S$246*Предпосылки!$V255*Продажи!T20*T$19*(1+Чувствительность!$D$20)*IFERROR(LOOKUP(Предпосылки!$H$219,$C$13:$C$15,T$13:T$15),1)</f>
        <v>0</v>
      </c>
      <c s="125">
        <f>Предпосылки!T$246*Предпосылки!$V255*Продажи!U20*U$19*(1+Чувствительность!$D$20)*IFERROR(LOOKUP(Предпосылки!$H$219,$C$13:$C$15,U$13:U$15),1)</f>
        <v>0</v>
      </c>
      <c s="125">
        <f>Предпосылки!U$246*Предпосылки!$V255*Продажи!V20*V$19*(1+Чувствительность!$D$20)*IFERROR(LOOKUP(Предпосылки!$H$219,$C$13:$C$15,V$13:V$15),1)</f>
        <v>0</v>
      </c>
      <c s="125">
        <f>Предпосылки!V$246*Предпосылки!$V255*Продажи!W20*W$19*(1+Чувствительность!$D$20)*IFERROR(LOOKUP(Предпосылки!$H$219,$C$13:$C$15,W$13:W$15),1)</f>
        <v>0</v>
      </c>
      <c s="125">
        <f>Предпосылки!W$246*Предпосылки!$V255*Продажи!X20*X$19*(1+Чувствительность!$D$20)*IFERROR(LOOKUP(Предпосылки!$H$219,$C$13:$C$15,X$13:X$15),1)</f>
        <v>0</v>
      </c>
      <c s="125">
        <f>Предпосылки!X$246*Предпосылки!$V255*Продажи!Y20*Y$19*(1+Чувствительность!$D$20)*IFERROR(LOOKUP(Предпосылки!$H$219,$C$13:$C$15,Y$13:Y$15),1)</f>
        <v>0</v>
      </c>
      <c s="125">
        <f>Предпосылки!Y$246*Предпосылки!$V255*Продажи!Z20*Z$19*(1+Чувствительность!$D$20)*IFERROR(LOOKUP(Предпосылки!$H$219,$C$13:$C$15,Z$13:Z$15),1)</f>
        <v>0</v>
      </c>
      <c s="125">
        <f>Предпосылки!Z$246*Предпосылки!$V255*Продажи!AA20*AA$19*(1+Чувствительность!$D$20)*IFERROR(LOOKUP(Предпосылки!$H$219,$C$13:$C$15,AA$13:AA$15),1)</f>
        <v>0</v>
      </c>
      <c s="125">
        <f>Предпосылки!AA$246*Предпосылки!$V255*Продажи!AB20*AB$19*(1+Чувствительность!$D$20)*IFERROR(LOOKUP(Предпосылки!$H$219,$C$13:$C$15,AB$13:AB$15),1)</f>
        <v>0</v>
      </c>
      <c s="125">
        <f>Предпосылки!AB$246*Предпосылки!$V255*Продажи!AC20*AC$19*(1+Чувствительность!$D$20)*IFERROR(LOOKUP(Предпосылки!$H$219,$C$13:$C$15,AC$13:AC$15),1)</f>
        <v>0</v>
      </c>
      <c s="125">
        <f>Предпосылки!AC$246*Предпосылки!$V255*Продажи!AD20*AD$19*(1+Чувствительность!$D$20)*IFERROR(LOOKUP(Предпосылки!$H$219,$C$13:$C$15,AD$13:AD$15),1)</f>
        <v>0</v>
      </c>
      <c s="125">
        <f>Предпосылки!AD$246*Предпосылки!$V255*Продажи!AE20*AE$19*(1+Чувствительность!$D$20)*IFERROR(LOOKUP(Предпосылки!$H$219,$C$13:$C$15,AE$13:AE$15),1)</f>
        <v>0</v>
      </c>
      <c s="125">
        <f>Предпосылки!AE$246*Предпосылки!$V255*Продажи!AF20*AF$19*(1+Чувствительность!$D$20)*IFERROR(LOOKUP(Предпосылки!$H$219,$C$13:$C$15,AF$13:AF$15),1)</f>
        <v>0</v>
      </c>
      <c s="125">
        <f>Предпосылки!AF$246*Предпосылки!$V255*Продажи!AG20*AG$19*(1+Чувствительность!$D$20)*IFERROR(LOOKUP(Предпосылки!$H$219,$C$13:$C$15,AG$13:AG$15),1)</f>
        <v>0</v>
      </c>
      <c s="125">
        <f>Предпосылки!AG$246*Предпосылки!$V255*Продажи!AH20*AH$19*(1+Чувствительность!$D$20)*IFERROR(LOOKUP(Предпосылки!$H$219,$C$13:$C$15,AH$13:AH$15),1)</f>
        <v>0</v>
      </c>
      <c s="125">
        <f>Предпосылки!AH$246*Предпосылки!$V255*Продажи!AI20*AI$19*(1+Чувствительность!$D$20)*IFERROR(LOOKUP(Предпосылки!$H$219,$C$13:$C$15,AI$13:AI$15),1)</f>
        <v>0</v>
      </c>
      <c s="125">
        <f>Предпосылки!AI$246*Предпосылки!$V255*Продажи!AJ20*AJ$19*(1+Чувствительность!$D$20)*IFERROR(LOOKUP(Предпосылки!$H$219,$C$13:$C$15,AJ$13:AJ$15),1)</f>
        <v>0</v>
      </c>
      <c s="125">
        <f>Предпосылки!AJ$246*Предпосылки!$V255*Продажи!AK20*AK$19*(1+Чувствительность!$D$20)*IFERROR(LOOKUP(Предпосылки!$H$219,$C$13:$C$15,AK$13:AK$15),1)</f>
        <v>0</v>
      </c>
      <c s="125">
        <f>Предпосылки!AK$246*Предпосылки!$V255*Продажи!AL20*AL$19*(1+Чувствительность!$D$20)*IFERROR(LOOKUP(Предпосылки!$H$219,$C$13:$C$15,AL$13:AL$15),1)</f>
        <v>0</v>
      </c>
      <c s="125">
        <f>Предпосылки!AL$246*Предпосылки!$V255*Продажи!AM20*AM$19*(1+Чувствительность!$D$20)*IFERROR(LOOKUP(Предпосылки!$H$219,$C$13:$C$15,AM$13:AM$15),1)</f>
        <v>0</v>
      </c>
      <c s="125">
        <f>Предпосылки!AM$246*Предпосылки!$V255*Продажи!AN20*AN$19*(1+Чувствительность!$D$20)*IFERROR(LOOKUP(Предпосылки!$H$219,$C$13:$C$15,AN$13:AN$15),1)</f>
        <v>0</v>
      </c>
      <c s="125">
        <f>Предпосылки!AN$246*Предпосылки!$V255*Продажи!AO20*AO$19*(1+Чувствительность!$D$20)*IFERROR(LOOKUP(Предпосылки!$H$219,$C$13:$C$15,AO$13:AO$15),1)</f>
        <v>0</v>
      </c>
      <c s="125">
        <f>Предпосылки!AO$246*Предпосылки!$V255*Продажи!AP20*AP$19*(1+Чувствительность!$D$20)*IFERROR(LOOKUP(Предпосылки!$H$219,$C$13:$C$15,AP$13:AP$15),1)</f>
        <v>0</v>
      </c>
      <c s="125">
        <f>Предпосылки!AP$246*Предпосылки!$V255*Продажи!AQ20*AQ$19*(1+Чувствительность!$D$20)*IFERROR(LOOKUP(Предпосылки!$H$219,$C$13:$C$15,AQ$13:AQ$15),1)</f>
        <v>0</v>
      </c>
      <c s="125">
        <f>Предпосылки!AQ$246*Предпосылки!$V255*Продажи!AR20*AR$19*(1+Чувствительность!$D$20)*IFERROR(LOOKUP(Предпосылки!$H$219,$C$13:$C$15,AR$13:AR$15),1)</f>
        <v>0</v>
      </c>
      <c s="125">
        <f>Предпосылки!AR$246*Предпосылки!$V255*Продажи!AS20*AS$19*(1+Чувствительность!$D$20)*IFERROR(LOOKUP(Предпосылки!$H$219,$C$13:$C$15,AS$13:AS$15),1)</f>
        <v>0</v>
      </c>
      <c s="125">
        <f>Предпосылки!AS$246*Предпосылки!$V255*Продажи!AT20*AT$19*(1+Чувствительность!$D$20)*IFERROR(LOOKUP(Предпосылки!$H$219,$C$13:$C$15,AT$13:AT$15),1)</f>
        <v>0</v>
      </c>
      <c s="125">
        <f>Предпосылки!AT$246*Предпосылки!$V255*Продажи!AU20*AU$19*(1+Чувствительность!$D$20)*IFERROR(LOOKUP(Предпосылки!$H$219,$C$13:$C$15,AU$13:AU$15),1)</f>
        <v>0</v>
      </c>
      <c s="125">
        <f>Предпосылки!AU$246*Предпосылки!$V255*Продажи!AV20*AV$19*(1+Чувствительность!$D$20)*IFERROR(LOOKUP(Предпосылки!$H$219,$C$13:$C$15,AV$13:AV$15),1)</f>
        <v>0</v>
      </c>
      <c s="125">
        <f>Предпосылки!AV$246*Предпосылки!$V255*Продажи!AW20*AW$19*(1+Чувствительность!$D$20)*IFERROR(LOOKUP(Предпосылки!$H$219,$C$13:$C$15,AW$13:AW$15),1)</f>
        <v>0</v>
      </c>
      <c s="125">
        <f>Предпосылки!AW$246*Предпосылки!$V255*Продажи!AX20*AX$19*(1+Чувствительность!$D$20)*IFERROR(LOOKUP(Предпосылки!$H$219,$C$13:$C$15,AX$13:AX$15),1)</f>
        <v>0</v>
      </c>
      <c s="125">
        <f>Предпосылки!AX$246*Предпосылки!$V255*Продажи!AY20*AY$19*(1+Чувствительность!$D$20)*IFERROR(LOOKUP(Предпосылки!$H$219,$C$13:$C$15,AY$13:AY$15),1)</f>
        <v>0</v>
      </c>
      <c s="125">
        <f>Предпосылки!AY$246*Предпосылки!$V255*Продажи!AZ20*AZ$19*(1+Чувствительность!$D$20)*IFERROR(LOOKUP(Предпосылки!$H$219,$C$13:$C$15,AZ$13:AZ$15),1)</f>
        <v>0</v>
      </c>
      <c s="125">
        <f>Предпосылки!AZ$246*Предпосылки!$V255*Продажи!BA20*BA$19*(1+Чувствительность!$D$20)*IFERROR(LOOKUP(Предпосылки!$H$219,$C$13:$C$15,BA$13:BA$15),1)</f>
        <v>0</v>
      </c>
      <c s="125">
        <f>Предпосылки!BA$246*Предпосылки!$V255*Продажи!BB20*BB$19*(1+Чувствительность!$D$20)*IFERROR(LOOKUP(Предпосылки!$H$219,$C$13:$C$15,BB$13:BB$15),1)</f>
        <v>0</v>
      </c>
      <c s="125">
        <f>Предпосылки!BB$246*Предпосылки!$V255*Продажи!BC20*BC$19*(1+Чувствительность!$D$20)*IFERROR(LOOKUP(Предпосылки!$H$219,$C$13:$C$15,BC$13:BC$15),1)</f>
        <v>0</v>
      </c>
      <c s="125">
        <f>Предпосылки!BC$246*Предпосылки!$V255*Продажи!BD20*BD$19*(1+Чувствительность!$D$20)*IFERROR(LOOKUP(Предпосылки!$H$219,$C$13:$C$15,BD$13:BD$15),1)</f>
        <v>0</v>
      </c>
      <c s="125">
        <f>Предпосылки!BD$246*Предпосылки!$V255*Продажи!BE20*BE$19*(1+Чувствительность!$D$20)*IFERROR(LOOKUP(Предпосылки!$H$219,$C$13:$C$15,BE$13:BE$15),1)</f>
        <v>0</v>
      </c>
      <c s="125">
        <f>Предпосылки!BE$246*Предпосылки!$V255*Продажи!BF20*BF$19*(1+Чувствительность!$D$20)*IFERROR(LOOKUP(Предпосылки!$H$219,$C$13:$C$15,BF$13:BF$15),1)</f>
        <v>0</v>
      </c>
      <c s="125">
        <f>Предпосылки!BF$246*Предпосылки!$V255*Продажи!BG20*BG$19*(1+Чувствительность!$D$20)*IFERROR(LOOKUP(Предпосылки!$H$219,$C$13:$C$15,BG$13:BG$15),1)</f>
        <v>0</v>
      </c>
      <c s="125">
        <f>Предпосылки!BG$246*Предпосылки!$V255*Продажи!BH20*BH$19*(1+Чувствительность!$D$20)*IFERROR(LOOKUP(Предпосылки!$H$219,$C$13:$C$15,BH$13:BH$15),1)</f>
        <v>0</v>
      </c>
      <c s="125">
        <f>Предпосылки!BH$246*Предпосылки!$V255*Продажи!BI20*BI$19*(1+Чувствительность!$D$20)*IFERROR(LOOKUP(Предпосылки!$H$219,$C$13:$C$15,BI$13:BI$15),1)</f>
        <v>0</v>
      </c>
      <c s="125">
        <f>Предпосылки!BI$246*Предпосылки!$V255*Продажи!BJ20*BJ$19*(1+Чувствительность!$D$20)*IFERROR(LOOKUP(Предпосылки!$H$219,$C$13:$C$15,BJ$13:BJ$15),1)</f>
        <v>0</v>
      </c>
      <c s="125">
        <f>Предпосылки!BJ$246*Предпосылки!$V255*Продажи!BK20*BK$19*(1+Чувствительность!$D$20)*IFERROR(LOOKUP(Предпосылки!$H$219,$C$13:$C$15,BK$13:BK$15),1)</f>
        <v>0</v>
      </c>
      <c s="125">
        <f>Предпосылки!BK$246*Предпосылки!$V255*Продажи!BL20*BL$19*(1+Чувствительность!$D$20)*IFERROR(LOOKUP(Предпосылки!$H$219,$C$13:$C$15,BL$13:BL$15),1)</f>
        <v>0</v>
      </c>
      <c s="125">
        <f>Предпосылки!BL$246*Предпосылки!$V255*Продажи!BM20*BM$19*(1+Чувствительность!$D$20)*IFERROR(LOOKUP(Предпосылки!$H$219,$C$13:$C$15,BM$13:BM$15),1)</f>
        <v>0</v>
      </c>
    </row>
    <row r="440" spans="2:65" ht="15" customHeight="1">
      <c r="B440" s="12" t="str">
        <f t="shared" si="151"/>
        <v>Продукт 4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Предпосылки!D$246*Предпосылки!$V256*Продажи!E21*E$19*(1+Чувствительность!$D$20)*IFERROR(LOOKUP(Предпосылки!$H$219,$C$13:$C$15,E$13:E$15),1)</f>
        <v>0</v>
      </c>
      <c s="125">
        <f>Предпосылки!E$246*Предпосылки!$V256*Продажи!F21*F$19*(1+Чувствительность!$D$20)*IFERROR(LOOKUP(Предпосылки!$H$219,$C$13:$C$15,F$13:F$15),1)</f>
        <v>0</v>
      </c>
      <c s="125">
        <f>Предпосылки!F$246*Предпосылки!$V256*Продажи!G21*G$19*(1+Чувствительность!$D$20)*IFERROR(LOOKUP(Предпосылки!$H$219,$C$13:$C$15,G$13:G$15),1)</f>
        <v>0</v>
      </c>
      <c s="125">
        <f>Предпосылки!G$246*Предпосылки!$V256*Продажи!H21*H$19*(1+Чувствительность!$D$20)*IFERROR(LOOKUP(Предпосылки!$H$219,$C$13:$C$15,H$13:H$15),1)</f>
        <v>0</v>
      </c>
      <c s="125">
        <f>Предпосылки!H$246*Предпосылки!$V256*Продажи!I21*I$19*(1+Чувствительность!$D$20)*IFERROR(LOOKUP(Предпосылки!$H$219,$C$13:$C$15,I$13:I$15),1)</f>
        <v>0</v>
      </c>
      <c s="125">
        <f>Предпосылки!I$246*Предпосылки!$V256*Продажи!J21*J$19*(1+Чувствительность!$D$20)*IFERROR(LOOKUP(Предпосылки!$H$219,$C$13:$C$15,J$13:J$15),1)</f>
        <v>0</v>
      </c>
      <c s="125">
        <f>Предпосылки!J$246*Предпосылки!$V256*Продажи!K21*K$19*(1+Чувствительность!$D$20)*IFERROR(LOOKUP(Предпосылки!$H$219,$C$13:$C$15,K$13:K$15),1)</f>
        <v>0</v>
      </c>
      <c s="125">
        <f>Предпосылки!K$246*Предпосылки!$V256*Продажи!L21*L$19*(1+Чувствительность!$D$20)*IFERROR(LOOKUP(Предпосылки!$H$219,$C$13:$C$15,L$13:L$15),1)</f>
        <v>0</v>
      </c>
      <c s="125">
        <f>Предпосылки!L$246*Предпосылки!$V256*Продажи!M21*M$19*(1+Чувствительность!$D$20)*IFERROR(LOOKUP(Предпосылки!$H$219,$C$13:$C$15,M$13:M$15),1)</f>
        <v>0</v>
      </c>
      <c s="125">
        <f>Предпосылки!M$246*Предпосылки!$V256*Продажи!N21*N$19*(1+Чувствительность!$D$20)*IFERROR(LOOKUP(Предпосылки!$H$219,$C$13:$C$15,N$13:N$15),1)</f>
        <v>0</v>
      </c>
      <c s="125">
        <f>Предпосылки!N$246*Предпосылки!$V256*Продажи!O21*O$19*(1+Чувствительность!$D$20)*IFERROR(LOOKUP(Предпосылки!$H$219,$C$13:$C$15,O$13:O$15),1)</f>
        <v>0</v>
      </c>
      <c s="125">
        <f>Предпосылки!O$246*Предпосылки!$V256*Продажи!P21*P$19*(1+Чувствительность!$D$20)*IFERROR(LOOKUP(Предпосылки!$H$219,$C$13:$C$15,P$13:P$15),1)</f>
        <v>0</v>
      </c>
      <c s="125">
        <f>Предпосылки!P$246*Предпосылки!$V256*Продажи!Q21*Q$19*(1+Чувствительность!$D$20)*IFERROR(LOOKUP(Предпосылки!$H$219,$C$13:$C$15,Q$13:Q$15),1)</f>
        <v>0</v>
      </c>
      <c s="125">
        <f>Предпосылки!Q$246*Предпосылки!$V256*Продажи!R21*R$19*(1+Чувствительность!$D$20)*IFERROR(LOOKUP(Предпосылки!$H$219,$C$13:$C$15,R$13:R$15),1)</f>
        <v>0</v>
      </c>
      <c s="125">
        <f>Предпосылки!R$246*Предпосылки!$V256*Продажи!S21*S$19*(1+Чувствительность!$D$20)*IFERROR(LOOKUP(Предпосылки!$H$219,$C$13:$C$15,S$13:S$15),1)</f>
        <v>0</v>
      </c>
      <c s="125">
        <f>Предпосылки!S$246*Предпосылки!$V256*Продажи!T21*T$19*(1+Чувствительность!$D$20)*IFERROR(LOOKUP(Предпосылки!$H$219,$C$13:$C$15,T$13:T$15),1)</f>
        <v>0</v>
      </c>
      <c s="125">
        <f>Предпосылки!T$246*Предпосылки!$V256*Продажи!U21*U$19*(1+Чувствительность!$D$20)*IFERROR(LOOKUP(Предпосылки!$H$219,$C$13:$C$15,U$13:U$15),1)</f>
        <v>0</v>
      </c>
      <c s="125">
        <f>Предпосылки!U$246*Предпосылки!$V256*Продажи!V21*V$19*(1+Чувствительность!$D$20)*IFERROR(LOOKUP(Предпосылки!$H$219,$C$13:$C$15,V$13:V$15),1)</f>
        <v>0</v>
      </c>
      <c s="125">
        <f>Предпосылки!V$246*Предпосылки!$V256*Продажи!W21*W$19*(1+Чувствительность!$D$20)*IFERROR(LOOKUP(Предпосылки!$H$219,$C$13:$C$15,W$13:W$15),1)</f>
        <v>0</v>
      </c>
      <c s="125">
        <f>Предпосылки!W$246*Предпосылки!$V256*Продажи!X21*X$19*(1+Чувствительность!$D$20)*IFERROR(LOOKUP(Предпосылки!$H$219,$C$13:$C$15,X$13:X$15),1)</f>
        <v>0</v>
      </c>
      <c s="125">
        <f>Предпосылки!X$246*Предпосылки!$V256*Продажи!Y21*Y$19*(1+Чувствительность!$D$20)*IFERROR(LOOKUP(Предпосылки!$H$219,$C$13:$C$15,Y$13:Y$15),1)</f>
        <v>0</v>
      </c>
      <c s="125">
        <f>Предпосылки!Y$246*Предпосылки!$V256*Продажи!Z21*Z$19*(1+Чувствительность!$D$20)*IFERROR(LOOKUP(Предпосылки!$H$219,$C$13:$C$15,Z$13:Z$15),1)</f>
        <v>0</v>
      </c>
      <c s="125">
        <f>Предпосылки!Z$246*Предпосылки!$V256*Продажи!AA21*AA$19*(1+Чувствительность!$D$20)*IFERROR(LOOKUP(Предпосылки!$H$219,$C$13:$C$15,AA$13:AA$15),1)</f>
        <v>0</v>
      </c>
      <c s="125">
        <f>Предпосылки!AA$246*Предпосылки!$V256*Продажи!AB21*AB$19*(1+Чувствительность!$D$20)*IFERROR(LOOKUP(Предпосылки!$H$219,$C$13:$C$15,AB$13:AB$15),1)</f>
        <v>0</v>
      </c>
      <c s="125">
        <f>Предпосылки!AB$246*Предпосылки!$V256*Продажи!AC21*AC$19*(1+Чувствительность!$D$20)*IFERROR(LOOKUP(Предпосылки!$H$219,$C$13:$C$15,AC$13:AC$15),1)</f>
        <v>0</v>
      </c>
      <c s="125">
        <f>Предпосылки!AC$246*Предпосылки!$V256*Продажи!AD21*AD$19*(1+Чувствительность!$D$20)*IFERROR(LOOKUP(Предпосылки!$H$219,$C$13:$C$15,AD$13:AD$15),1)</f>
        <v>0</v>
      </c>
      <c s="125">
        <f>Предпосылки!AD$246*Предпосылки!$V256*Продажи!AE21*AE$19*(1+Чувствительность!$D$20)*IFERROR(LOOKUP(Предпосылки!$H$219,$C$13:$C$15,AE$13:AE$15),1)</f>
        <v>0</v>
      </c>
      <c s="125">
        <f>Предпосылки!AE$246*Предпосылки!$V256*Продажи!AF21*AF$19*(1+Чувствительность!$D$20)*IFERROR(LOOKUP(Предпосылки!$H$219,$C$13:$C$15,AF$13:AF$15),1)</f>
        <v>0</v>
      </c>
      <c s="125">
        <f>Предпосылки!AF$246*Предпосылки!$V256*Продажи!AG21*AG$19*(1+Чувствительность!$D$20)*IFERROR(LOOKUP(Предпосылки!$H$219,$C$13:$C$15,AG$13:AG$15),1)</f>
        <v>0</v>
      </c>
      <c s="125">
        <f>Предпосылки!AG$246*Предпосылки!$V256*Продажи!AH21*AH$19*(1+Чувствительность!$D$20)*IFERROR(LOOKUP(Предпосылки!$H$219,$C$13:$C$15,AH$13:AH$15),1)</f>
        <v>0</v>
      </c>
      <c s="125">
        <f>Предпосылки!AH$246*Предпосылки!$V256*Продажи!AI21*AI$19*(1+Чувствительность!$D$20)*IFERROR(LOOKUP(Предпосылки!$H$219,$C$13:$C$15,AI$13:AI$15),1)</f>
        <v>0</v>
      </c>
      <c s="125">
        <f>Предпосылки!AI$246*Предпосылки!$V256*Продажи!AJ21*AJ$19*(1+Чувствительность!$D$20)*IFERROR(LOOKUP(Предпосылки!$H$219,$C$13:$C$15,AJ$13:AJ$15),1)</f>
        <v>0</v>
      </c>
      <c s="125">
        <f>Предпосылки!AJ$246*Предпосылки!$V256*Продажи!AK21*AK$19*(1+Чувствительность!$D$20)*IFERROR(LOOKUP(Предпосылки!$H$219,$C$13:$C$15,AK$13:AK$15),1)</f>
        <v>0</v>
      </c>
      <c s="125">
        <f>Предпосылки!AK$246*Предпосылки!$V256*Продажи!AL21*AL$19*(1+Чувствительность!$D$20)*IFERROR(LOOKUP(Предпосылки!$H$219,$C$13:$C$15,AL$13:AL$15),1)</f>
        <v>0</v>
      </c>
      <c s="125">
        <f>Предпосылки!AL$246*Предпосылки!$V256*Продажи!AM21*AM$19*(1+Чувствительность!$D$20)*IFERROR(LOOKUP(Предпосылки!$H$219,$C$13:$C$15,AM$13:AM$15),1)</f>
        <v>0</v>
      </c>
      <c s="125">
        <f>Предпосылки!AM$246*Предпосылки!$V256*Продажи!AN21*AN$19*(1+Чувствительность!$D$20)*IFERROR(LOOKUP(Предпосылки!$H$219,$C$13:$C$15,AN$13:AN$15),1)</f>
        <v>0</v>
      </c>
      <c s="125">
        <f>Предпосылки!AN$246*Предпосылки!$V256*Продажи!AO21*AO$19*(1+Чувствительность!$D$20)*IFERROR(LOOKUP(Предпосылки!$H$219,$C$13:$C$15,AO$13:AO$15),1)</f>
        <v>0</v>
      </c>
      <c s="125">
        <f>Предпосылки!AO$246*Предпосылки!$V256*Продажи!AP21*AP$19*(1+Чувствительность!$D$20)*IFERROR(LOOKUP(Предпосылки!$H$219,$C$13:$C$15,AP$13:AP$15),1)</f>
        <v>0</v>
      </c>
      <c s="125">
        <f>Предпосылки!AP$246*Предпосылки!$V256*Продажи!AQ21*AQ$19*(1+Чувствительность!$D$20)*IFERROR(LOOKUP(Предпосылки!$H$219,$C$13:$C$15,AQ$13:AQ$15),1)</f>
        <v>0</v>
      </c>
      <c s="125">
        <f>Предпосылки!AQ$246*Предпосылки!$V256*Продажи!AR21*AR$19*(1+Чувствительность!$D$20)*IFERROR(LOOKUP(Предпосылки!$H$219,$C$13:$C$15,AR$13:AR$15),1)</f>
        <v>0</v>
      </c>
      <c s="125">
        <f>Предпосылки!AR$246*Предпосылки!$V256*Продажи!AS21*AS$19*(1+Чувствительность!$D$20)*IFERROR(LOOKUP(Предпосылки!$H$219,$C$13:$C$15,AS$13:AS$15),1)</f>
        <v>0</v>
      </c>
      <c s="125">
        <f>Предпосылки!AS$246*Предпосылки!$V256*Продажи!AT21*AT$19*(1+Чувствительность!$D$20)*IFERROR(LOOKUP(Предпосылки!$H$219,$C$13:$C$15,AT$13:AT$15),1)</f>
        <v>0</v>
      </c>
      <c s="125">
        <f>Предпосылки!AT$246*Предпосылки!$V256*Продажи!AU21*AU$19*(1+Чувствительность!$D$20)*IFERROR(LOOKUP(Предпосылки!$H$219,$C$13:$C$15,AU$13:AU$15),1)</f>
        <v>0</v>
      </c>
      <c s="125">
        <f>Предпосылки!AU$246*Предпосылки!$V256*Продажи!AV21*AV$19*(1+Чувствительность!$D$20)*IFERROR(LOOKUP(Предпосылки!$H$219,$C$13:$C$15,AV$13:AV$15),1)</f>
        <v>0</v>
      </c>
      <c s="125">
        <f>Предпосылки!AV$246*Предпосылки!$V256*Продажи!AW21*AW$19*(1+Чувствительность!$D$20)*IFERROR(LOOKUP(Предпосылки!$H$219,$C$13:$C$15,AW$13:AW$15),1)</f>
        <v>0</v>
      </c>
      <c s="125">
        <f>Предпосылки!AW$246*Предпосылки!$V256*Продажи!AX21*AX$19*(1+Чувствительность!$D$20)*IFERROR(LOOKUP(Предпосылки!$H$219,$C$13:$C$15,AX$13:AX$15),1)</f>
        <v>0</v>
      </c>
      <c s="125">
        <f>Предпосылки!AX$246*Предпосылки!$V256*Продажи!AY21*AY$19*(1+Чувствительность!$D$20)*IFERROR(LOOKUP(Предпосылки!$H$219,$C$13:$C$15,AY$13:AY$15),1)</f>
        <v>0</v>
      </c>
      <c s="125">
        <f>Предпосылки!AY$246*Предпосылки!$V256*Продажи!AZ21*AZ$19*(1+Чувствительность!$D$20)*IFERROR(LOOKUP(Предпосылки!$H$219,$C$13:$C$15,AZ$13:AZ$15),1)</f>
        <v>0</v>
      </c>
      <c s="125">
        <f>Предпосылки!AZ$246*Предпосылки!$V256*Продажи!BA21*BA$19*(1+Чувствительность!$D$20)*IFERROR(LOOKUP(Предпосылки!$H$219,$C$13:$C$15,BA$13:BA$15),1)</f>
        <v>0</v>
      </c>
      <c s="125">
        <f>Предпосылки!BA$246*Предпосылки!$V256*Продажи!BB21*BB$19*(1+Чувствительность!$D$20)*IFERROR(LOOKUP(Предпосылки!$H$219,$C$13:$C$15,BB$13:BB$15),1)</f>
        <v>0</v>
      </c>
      <c s="125">
        <f>Предпосылки!BB$246*Предпосылки!$V256*Продажи!BC21*BC$19*(1+Чувствительность!$D$20)*IFERROR(LOOKUP(Предпосылки!$H$219,$C$13:$C$15,BC$13:BC$15),1)</f>
        <v>0</v>
      </c>
      <c s="125">
        <f>Предпосылки!BC$246*Предпосылки!$V256*Продажи!BD21*BD$19*(1+Чувствительность!$D$20)*IFERROR(LOOKUP(Предпосылки!$H$219,$C$13:$C$15,BD$13:BD$15),1)</f>
        <v>0</v>
      </c>
      <c s="125">
        <f>Предпосылки!BD$246*Предпосылки!$V256*Продажи!BE21*BE$19*(1+Чувствительность!$D$20)*IFERROR(LOOKUP(Предпосылки!$H$219,$C$13:$C$15,BE$13:BE$15),1)</f>
        <v>0</v>
      </c>
      <c s="125">
        <f>Предпосылки!BE$246*Предпосылки!$V256*Продажи!BF21*BF$19*(1+Чувствительность!$D$20)*IFERROR(LOOKUP(Предпосылки!$H$219,$C$13:$C$15,BF$13:BF$15),1)</f>
        <v>0</v>
      </c>
      <c s="125">
        <f>Предпосылки!BF$246*Предпосылки!$V256*Продажи!BG21*BG$19*(1+Чувствительность!$D$20)*IFERROR(LOOKUP(Предпосылки!$H$219,$C$13:$C$15,BG$13:BG$15),1)</f>
        <v>0</v>
      </c>
      <c s="125">
        <f>Предпосылки!BG$246*Предпосылки!$V256*Продажи!BH21*BH$19*(1+Чувствительность!$D$20)*IFERROR(LOOKUP(Предпосылки!$H$219,$C$13:$C$15,BH$13:BH$15),1)</f>
        <v>0</v>
      </c>
      <c s="125">
        <f>Предпосылки!BH$246*Предпосылки!$V256*Продажи!BI21*BI$19*(1+Чувствительность!$D$20)*IFERROR(LOOKUP(Предпосылки!$H$219,$C$13:$C$15,BI$13:BI$15),1)</f>
        <v>0</v>
      </c>
      <c s="125">
        <f>Предпосылки!BI$246*Предпосылки!$V256*Продажи!BJ21*BJ$19*(1+Чувствительность!$D$20)*IFERROR(LOOKUP(Предпосылки!$H$219,$C$13:$C$15,BJ$13:BJ$15),1)</f>
        <v>0</v>
      </c>
      <c s="125">
        <f>Предпосылки!BJ$246*Предпосылки!$V256*Продажи!BK21*BK$19*(1+Чувствительность!$D$20)*IFERROR(LOOKUP(Предпосылки!$H$219,$C$13:$C$15,BK$13:BK$15),1)</f>
        <v>0</v>
      </c>
      <c s="125">
        <f>Предпосылки!BK$246*Предпосылки!$V256*Продажи!BL21*BL$19*(1+Чувствительность!$D$20)*IFERROR(LOOKUP(Предпосылки!$H$219,$C$13:$C$15,BL$13:BL$15),1)</f>
        <v>0</v>
      </c>
      <c s="125">
        <f>Предпосылки!BL$246*Предпосылки!$V256*Продажи!BM21*BM$19*(1+Чувствительность!$D$20)*IFERROR(LOOKUP(Предпосылки!$H$219,$C$13:$C$15,BM$13:BM$15),1)</f>
        <v>0</v>
      </c>
    </row>
    <row r="441" spans="2:65" ht="15" customHeight="1">
      <c r="B441" s="12" t="str">
        <f t="shared" si="151"/>
        <v>Продукт 5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Предпосылки!D$246*Предпосылки!$V257*Продажи!E22*E$19*(1+Чувствительность!$D$20)*IFERROR(LOOKUP(Предпосылки!$H$219,$C$13:$C$15,E$13:E$15),1)</f>
        <v>0</v>
      </c>
      <c s="125">
        <f>Предпосылки!E$246*Предпосылки!$V257*Продажи!F22*F$19*(1+Чувствительность!$D$20)*IFERROR(LOOKUP(Предпосылки!$H$219,$C$13:$C$15,F$13:F$15),1)</f>
        <v>0</v>
      </c>
      <c s="125">
        <f>Предпосылки!F$246*Предпосылки!$V257*Продажи!G22*G$19*(1+Чувствительность!$D$20)*IFERROR(LOOKUP(Предпосылки!$H$219,$C$13:$C$15,G$13:G$15),1)</f>
        <v>0</v>
      </c>
      <c s="125">
        <f>Предпосылки!G$246*Предпосылки!$V257*Продажи!H22*H$19*(1+Чувствительность!$D$20)*IFERROR(LOOKUP(Предпосылки!$H$219,$C$13:$C$15,H$13:H$15),1)</f>
        <v>0</v>
      </c>
      <c s="125">
        <f>Предпосылки!H$246*Предпосылки!$V257*Продажи!I22*I$19*(1+Чувствительность!$D$20)*IFERROR(LOOKUP(Предпосылки!$H$219,$C$13:$C$15,I$13:I$15),1)</f>
        <v>0</v>
      </c>
      <c s="125">
        <f>Предпосылки!I$246*Предпосылки!$V257*Продажи!J22*J$19*(1+Чувствительность!$D$20)*IFERROR(LOOKUP(Предпосылки!$H$219,$C$13:$C$15,J$13:J$15),1)</f>
        <v>0</v>
      </c>
      <c s="125">
        <f>Предпосылки!J$246*Предпосылки!$V257*Продажи!K22*K$19*(1+Чувствительность!$D$20)*IFERROR(LOOKUP(Предпосылки!$H$219,$C$13:$C$15,K$13:K$15),1)</f>
        <v>0</v>
      </c>
      <c s="125">
        <f>Предпосылки!K$246*Предпосылки!$V257*Продажи!L22*L$19*(1+Чувствительность!$D$20)*IFERROR(LOOKUP(Предпосылки!$H$219,$C$13:$C$15,L$13:L$15),1)</f>
        <v>0</v>
      </c>
      <c s="125">
        <f>Предпосылки!L$246*Предпосылки!$V257*Продажи!M22*M$19*(1+Чувствительность!$D$20)*IFERROR(LOOKUP(Предпосылки!$H$219,$C$13:$C$15,M$13:M$15),1)</f>
        <v>0</v>
      </c>
      <c s="125">
        <f>Предпосылки!M$246*Предпосылки!$V257*Продажи!N22*N$19*(1+Чувствительность!$D$20)*IFERROR(LOOKUP(Предпосылки!$H$219,$C$13:$C$15,N$13:N$15),1)</f>
        <v>0</v>
      </c>
      <c s="125">
        <f>Предпосылки!N$246*Предпосылки!$V257*Продажи!O22*O$19*(1+Чувствительность!$D$20)*IFERROR(LOOKUP(Предпосылки!$H$219,$C$13:$C$15,O$13:O$15),1)</f>
        <v>0</v>
      </c>
      <c s="125">
        <f>Предпосылки!O$246*Предпосылки!$V257*Продажи!P22*P$19*(1+Чувствительность!$D$20)*IFERROR(LOOKUP(Предпосылки!$H$219,$C$13:$C$15,P$13:P$15),1)</f>
        <v>0</v>
      </c>
      <c s="125">
        <f>Предпосылки!P$246*Предпосылки!$V257*Продажи!Q22*Q$19*(1+Чувствительность!$D$20)*IFERROR(LOOKUP(Предпосылки!$H$219,$C$13:$C$15,Q$13:Q$15),1)</f>
        <v>0</v>
      </c>
      <c s="125">
        <f>Предпосылки!Q$246*Предпосылки!$V257*Продажи!R22*R$19*(1+Чувствительность!$D$20)*IFERROR(LOOKUP(Предпосылки!$H$219,$C$13:$C$15,R$13:R$15),1)</f>
        <v>0</v>
      </c>
      <c s="125">
        <f>Предпосылки!R$246*Предпосылки!$V257*Продажи!S22*S$19*(1+Чувствительность!$D$20)*IFERROR(LOOKUP(Предпосылки!$H$219,$C$13:$C$15,S$13:S$15),1)</f>
        <v>0</v>
      </c>
      <c s="125">
        <f>Предпосылки!S$246*Предпосылки!$V257*Продажи!T22*T$19*(1+Чувствительность!$D$20)*IFERROR(LOOKUP(Предпосылки!$H$219,$C$13:$C$15,T$13:T$15),1)</f>
        <v>0</v>
      </c>
      <c s="125">
        <f>Предпосылки!T$246*Предпосылки!$V257*Продажи!U22*U$19*(1+Чувствительность!$D$20)*IFERROR(LOOKUP(Предпосылки!$H$219,$C$13:$C$15,U$13:U$15),1)</f>
        <v>0</v>
      </c>
      <c s="125">
        <f>Предпосылки!U$246*Предпосылки!$V257*Продажи!V22*V$19*(1+Чувствительность!$D$20)*IFERROR(LOOKUP(Предпосылки!$H$219,$C$13:$C$15,V$13:V$15),1)</f>
        <v>0</v>
      </c>
      <c s="125">
        <f>Предпосылки!V$246*Предпосылки!$V257*Продажи!W22*W$19*(1+Чувствительность!$D$20)*IFERROR(LOOKUP(Предпосылки!$H$219,$C$13:$C$15,W$13:W$15),1)</f>
        <v>0</v>
      </c>
      <c s="125">
        <f>Предпосылки!W$246*Предпосылки!$V257*Продажи!X22*X$19*(1+Чувствительность!$D$20)*IFERROR(LOOKUP(Предпосылки!$H$219,$C$13:$C$15,X$13:X$15),1)</f>
        <v>0</v>
      </c>
      <c s="125">
        <f>Предпосылки!X$246*Предпосылки!$V257*Продажи!Y22*Y$19*(1+Чувствительность!$D$20)*IFERROR(LOOKUP(Предпосылки!$H$219,$C$13:$C$15,Y$13:Y$15),1)</f>
        <v>0</v>
      </c>
      <c s="125">
        <f>Предпосылки!Y$246*Предпосылки!$V257*Продажи!Z22*Z$19*(1+Чувствительность!$D$20)*IFERROR(LOOKUP(Предпосылки!$H$219,$C$13:$C$15,Z$13:Z$15),1)</f>
        <v>0</v>
      </c>
      <c s="125">
        <f>Предпосылки!Z$246*Предпосылки!$V257*Продажи!AA22*AA$19*(1+Чувствительность!$D$20)*IFERROR(LOOKUP(Предпосылки!$H$219,$C$13:$C$15,AA$13:AA$15),1)</f>
        <v>0</v>
      </c>
      <c s="125">
        <f>Предпосылки!AA$246*Предпосылки!$V257*Продажи!AB22*AB$19*(1+Чувствительность!$D$20)*IFERROR(LOOKUP(Предпосылки!$H$219,$C$13:$C$15,AB$13:AB$15),1)</f>
        <v>0</v>
      </c>
      <c s="125">
        <f>Предпосылки!AB$246*Предпосылки!$V257*Продажи!AC22*AC$19*(1+Чувствительность!$D$20)*IFERROR(LOOKUP(Предпосылки!$H$219,$C$13:$C$15,AC$13:AC$15),1)</f>
        <v>0</v>
      </c>
      <c s="125">
        <f>Предпосылки!AC$246*Предпосылки!$V257*Продажи!AD22*AD$19*(1+Чувствительность!$D$20)*IFERROR(LOOKUP(Предпосылки!$H$219,$C$13:$C$15,AD$13:AD$15),1)</f>
        <v>0</v>
      </c>
      <c s="125">
        <f>Предпосылки!AD$246*Предпосылки!$V257*Продажи!AE22*AE$19*(1+Чувствительность!$D$20)*IFERROR(LOOKUP(Предпосылки!$H$219,$C$13:$C$15,AE$13:AE$15),1)</f>
        <v>0</v>
      </c>
      <c s="125">
        <f>Предпосылки!AE$246*Предпосылки!$V257*Продажи!AF22*AF$19*(1+Чувствительность!$D$20)*IFERROR(LOOKUP(Предпосылки!$H$219,$C$13:$C$15,AF$13:AF$15),1)</f>
        <v>0</v>
      </c>
      <c s="125">
        <f>Предпосылки!AF$246*Предпосылки!$V257*Продажи!AG22*AG$19*(1+Чувствительность!$D$20)*IFERROR(LOOKUP(Предпосылки!$H$219,$C$13:$C$15,AG$13:AG$15),1)</f>
        <v>0</v>
      </c>
      <c s="125">
        <f>Предпосылки!AG$246*Предпосылки!$V257*Продажи!AH22*AH$19*(1+Чувствительность!$D$20)*IFERROR(LOOKUP(Предпосылки!$H$219,$C$13:$C$15,AH$13:AH$15),1)</f>
        <v>0</v>
      </c>
      <c s="125">
        <f>Предпосылки!AH$246*Предпосылки!$V257*Продажи!AI22*AI$19*(1+Чувствительность!$D$20)*IFERROR(LOOKUP(Предпосылки!$H$219,$C$13:$C$15,AI$13:AI$15),1)</f>
        <v>0</v>
      </c>
      <c s="125">
        <f>Предпосылки!AI$246*Предпосылки!$V257*Продажи!AJ22*AJ$19*(1+Чувствительность!$D$20)*IFERROR(LOOKUP(Предпосылки!$H$219,$C$13:$C$15,AJ$13:AJ$15),1)</f>
        <v>0</v>
      </c>
      <c s="125">
        <f>Предпосылки!AJ$246*Предпосылки!$V257*Продажи!AK22*AK$19*(1+Чувствительность!$D$20)*IFERROR(LOOKUP(Предпосылки!$H$219,$C$13:$C$15,AK$13:AK$15),1)</f>
        <v>0</v>
      </c>
      <c s="125">
        <f>Предпосылки!AK$246*Предпосылки!$V257*Продажи!AL22*AL$19*(1+Чувствительность!$D$20)*IFERROR(LOOKUP(Предпосылки!$H$219,$C$13:$C$15,AL$13:AL$15),1)</f>
        <v>0</v>
      </c>
      <c s="125">
        <f>Предпосылки!AL$246*Предпосылки!$V257*Продажи!AM22*AM$19*(1+Чувствительность!$D$20)*IFERROR(LOOKUP(Предпосылки!$H$219,$C$13:$C$15,AM$13:AM$15),1)</f>
        <v>0</v>
      </c>
      <c s="125">
        <f>Предпосылки!AM$246*Предпосылки!$V257*Продажи!AN22*AN$19*(1+Чувствительность!$D$20)*IFERROR(LOOKUP(Предпосылки!$H$219,$C$13:$C$15,AN$13:AN$15),1)</f>
        <v>0</v>
      </c>
      <c s="125">
        <f>Предпосылки!AN$246*Предпосылки!$V257*Продажи!AO22*AO$19*(1+Чувствительность!$D$20)*IFERROR(LOOKUP(Предпосылки!$H$219,$C$13:$C$15,AO$13:AO$15),1)</f>
        <v>0</v>
      </c>
      <c s="125">
        <f>Предпосылки!AO$246*Предпосылки!$V257*Продажи!AP22*AP$19*(1+Чувствительность!$D$20)*IFERROR(LOOKUP(Предпосылки!$H$219,$C$13:$C$15,AP$13:AP$15),1)</f>
        <v>0</v>
      </c>
      <c s="125">
        <f>Предпосылки!AP$246*Предпосылки!$V257*Продажи!AQ22*AQ$19*(1+Чувствительность!$D$20)*IFERROR(LOOKUP(Предпосылки!$H$219,$C$13:$C$15,AQ$13:AQ$15),1)</f>
        <v>0</v>
      </c>
      <c s="125">
        <f>Предпосылки!AQ$246*Предпосылки!$V257*Продажи!AR22*AR$19*(1+Чувствительность!$D$20)*IFERROR(LOOKUP(Предпосылки!$H$219,$C$13:$C$15,AR$13:AR$15),1)</f>
        <v>0</v>
      </c>
      <c s="125">
        <f>Предпосылки!AR$246*Предпосылки!$V257*Продажи!AS22*AS$19*(1+Чувствительность!$D$20)*IFERROR(LOOKUP(Предпосылки!$H$219,$C$13:$C$15,AS$13:AS$15),1)</f>
        <v>0</v>
      </c>
      <c s="125">
        <f>Предпосылки!AS$246*Предпосылки!$V257*Продажи!AT22*AT$19*(1+Чувствительность!$D$20)*IFERROR(LOOKUP(Предпосылки!$H$219,$C$13:$C$15,AT$13:AT$15),1)</f>
        <v>0</v>
      </c>
      <c s="125">
        <f>Предпосылки!AT$246*Предпосылки!$V257*Продажи!AU22*AU$19*(1+Чувствительность!$D$20)*IFERROR(LOOKUP(Предпосылки!$H$219,$C$13:$C$15,AU$13:AU$15),1)</f>
        <v>0</v>
      </c>
      <c s="125">
        <f>Предпосылки!AU$246*Предпосылки!$V257*Продажи!AV22*AV$19*(1+Чувствительность!$D$20)*IFERROR(LOOKUP(Предпосылки!$H$219,$C$13:$C$15,AV$13:AV$15),1)</f>
        <v>0</v>
      </c>
      <c s="125">
        <f>Предпосылки!AV$246*Предпосылки!$V257*Продажи!AW22*AW$19*(1+Чувствительность!$D$20)*IFERROR(LOOKUP(Предпосылки!$H$219,$C$13:$C$15,AW$13:AW$15),1)</f>
        <v>0</v>
      </c>
      <c s="125">
        <f>Предпосылки!AW$246*Предпосылки!$V257*Продажи!AX22*AX$19*(1+Чувствительность!$D$20)*IFERROR(LOOKUP(Предпосылки!$H$219,$C$13:$C$15,AX$13:AX$15),1)</f>
        <v>0</v>
      </c>
      <c s="125">
        <f>Предпосылки!AX$246*Предпосылки!$V257*Продажи!AY22*AY$19*(1+Чувствительность!$D$20)*IFERROR(LOOKUP(Предпосылки!$H$219,$C$13:$C$15,AY$13:AY$15),1)</f>
        <v>0</v>
      </c>
      <c s="125">
        <f>Предпосылки!AY$246*Предпосылки!$V257*Продажи!AZ22*AZ$19*(1+Чувствительность!$D$20)*IFERROR(LOOKUP(Предпосылки!$H$219,$C$13:$C$15,AZ$13:AZ$15),1)</f>
        <v>0</v>
      </c>
      <c s="125">
        <f>Предпосылки!AZ$246*Предпосылки!$V257*Продажи!BA22*BA$19*(1+Чувствительность!$D$20)*IFERROR(LOOKUP(Предпосылки!$H$219,$C$13:$C$15,BA$13:BA$15),1)</f>
        <v>0</v>
      </c>
      <c s="125">
        <f>Предпосылки!BA$246*Предпосылки!$V257*Продажи!BB22*BB$19*(1+Чувствительность!$D$20)*IFERROR(LOOKUP(Предпосылки!$H$219,$C$13:$C$15,BB$13:BB$15),1)</f>
        <v>0</v>
      </c>
      <c s="125">
        <f>Предпосылки!BB$246*Предпосылки!$V257*Продажи!BC22*BC$19*(1+Чувствительность!$D$20)*IFERROR(LOOKUP(Предпосылки!$H$219,$C$13:$C$15,BC$13:BC$15),1)</f>
        <v>0</v>
      </c>
      <c s="125">
        <f>Предпосылки!BC$246*Предпосылки!$V257*Продажи!BD22*BD$19*(1+Чувствительность!$D$20)*IFERROR(LOOKUP(Предпосылки!$H$219,$C$13:$C$15,BD$13:BD$15),1)</f>
        <v>0</v>
      </c>
      <c s="125">
        <f>Предпосылки!BD$246*Предпосылки!$V257*Продажи!BE22*BE$19*(1+Чувствительность!$D$20)*IFERROR(LOOKUP(Предпосылки!$H$219,$C$13:$C$15,BE$13:BE$15),1)</f>
        <v>0</v>
      </c>
      <c s="125">
        <f>Предпосылки!BE$246*Предпосылки!$V257*Продажи!BF22*BF$19*(1+Чувствительность!$D$20)*IFERROR(LOOKUP(Предпосылки!$H$219,$C$13:$C$15,BF$13:BF$15),1)</f>
        <v>0</v>
      </c>
      <c s="125">
        <f>Предпосылки!BF$246*Предпосылки!$V257*Продажи!BG22*BG$19*(1+Чувствительность!$D$20)*IFERROR(LOOKUP(Предпосылки!$H$219,$C$13:$C$15,BG$13:BG$15),1)</f>
        <v>0</v>
      </c>
      <c s="125">
        <f>Предпосылки!BG$246*Предпосылки!$V257*Продажи!BH22*BH$19*(1+Чувствительность!$D$20)*IFERROR(LOOKUP(Предпосылки!$H$219,$C$13:$C$15,BH$13:BH$15),1)</f>
        <v>0</v>
      </c>
      <c s="125">
        <f>Предпосылки!BH$246*Предпосылки!$V257*Продажи!BI22*BI$19*(1+Чувствительность!$D$20)*IFERROR(LOOKUP(Предпосылки!$H$219,$C$13:$C$15,BI$13:BI$15),1)</f>
        <v>0</v>
      </c>
      <c s="125">
        <f>Предпосылки!BI$246*Предпосылки!$V257*Продажи!BJ22*BJ$19*(1+Чувствительность!$D$20)*IFERROR(LOOKUP(Предпосылки!$H$219,$C$13:$C$15,BJ$13:BJ$15),1)</f>
        <v>0</v>
      </c>
      <c s="125">
        <f>Предпосылки!BJ$246*Предпосылки!$V257*Продажи!BK22*BK$19*(1+Чувствительность!$D$20)*IFERROR(LOOKUP(Предпосылки!$H$219,$C$13:$C$15,BK$13:BK$15),1)</f>
        <v>0</v>
      </c>
      <c s="125">
        <f>Предпосылки!BK$246*Предпосылки!$V257*Продажи!BL22*BL$19*(1+Чувствительность!$D$20)*IFERROR(LOOKUP(Предпосылки!$H$219,$C$13:$C$15,BL$13:BL$15),1)</f>
        <v>0</v>
      </c>
      <c s="125">
        <f>Предпосылки!BL$246*Предпосылки!$V257*Продажи!BM22*BM$19*(1+Чувствительность!$D$20)*IFERROR(LOOKUP(Предпосылки!$H$219,$C$13:$C$15,BM$13:BM$15),1)</f>
        <v>0</v>
      </c>
    </row>
    <row r="442" spans="2:65" ht="15" customHeight="1">
      <c r="B442" s="12" t="str">
        <f t="shared" si="151"/>
        <v>Продукт 6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Предпосылки!D$246*Предпосылки!$V258*Продажи!E23*E$19*(1+Чувствительность!$D$20)*IFERROR(LOOKUP(Предпосылки!$H$219,$C$13:$C$15,E$13:E$15),1)</f>
        <v>0</v>
      </c>
      <c s="125">
        <f>Предпосылки!E$246*Предпосылки!$V258*Продажи!F23*F$19*(1+Чувствительность!$D$20)*IFERROR(LOOKUP(Предпосылки!$H$219,$C$13:$C$15,F$13:F$15),1)</f>
        <v>0</v>
      </c>
      <c s="125">
        <f>Предпосылки!F$246*Предпосылки!$V258*Продажи!G23*G$19*(1+Чувствительность!$D$20)*IFERROR(LOOKUP(Предпосылки!$H$219,$C$13:$C$15,G$13:G$15),1)</f>
        <v>0</v>
      </c>
      <c s="125">
        <f>Предпосылки!G$246*Предпосылки!$V258*Продажи!H23*H$19*(1+Чувствительность!$D$20)*IFERROR(LOOKUP(Предпосылки!$H$219,$C$13:$C$15,H$13:H$15),1)</f>
        <v>0</v>
      </c>
      <c s="125">
        <f>Предпосылки!H$246*Предпосылки!$V258*Продажи!I23*I$19*(1+Чувствительность!$D$20)*IFERROR(LOOKUP(Предпосылки!$H$219,$C$13:$C$15,I$13:I$15),1)</f>
        <v>0</v>
      </c>
      <c s="125">
        <f>Предпосылки!I$246*Предпосылки!$V258*Продажи!J23*J$19*(1+Чувствительность!$D$20)*IFERROR(LOOKUP(Предпосылки!$H$219,$C$13:$C$15,J$13:J$15),1)</f>
        <v>0</v>
      </c>
      <c s="125">
        <f>Предпосылки!J$246*Предпосылки!$V258*Продажи!K23*K$19*(1+Чувствительность!$D$20)*IFERROR(LOOKUP(Предпосылки!$H$219,$C$13:$C$15,K$13:K$15),1)</f>
        <v>0</v>
      </c>
      <c s="125">
        <f>Предпосылки!K$246*Предпосылки!$V258*Продажи!L23*L$19*(1+Чувствительность!$D$20)*IFERROR(LOOKUP(Предпосылки!$H$219,$C$13:$C$15,L$13:L$15),1)</f>
        <v>0</v>
      </c>
      <c s="125">
        <f>Предпосылки!L$246*Предпосылки!$V258*Продажи!M23*M$19*(1+Чувствительность!$D$20)*IFERROR(LOOKUP(Предпосылки!$H$219,$C$13:$C$15,M$13:M$15),1)</f>
        <v>0</v>
      </c>
      <c s="125">
        <f>Предпосылки!M$246*Предпосылки!$V258*Продажи!N23*N$19*(1+Чувствительность!$D$20)*IFERROR(LOOKUP(Предпосылки!$H$219,$C$13:$C$15,N$13:N$15),1)</f>
        <v>0</v>
      </c>
      <c s="125">
        <f>Предпосылки!N$246*Предпосылки!$V258*Продажи!O23*O$19*(1+Чувствительность!$D$20)*IFERROR(LOOKUP(Предпосылки!$H$219,$C$13:$C$15,O$13:O$15),1)</f>
        <v>0</v>
      </c>
      <c s="125">
        <f>Предпосылки!O$246*Предпосылки!$V258*Продажи!P23*P$19*(1+Чувствительность!$D$20)*IFERROR(LOOKUP(Предпосылки!$H$219,$C$13:$C$15,P$13:P$15),1)</f>
        <v>0</v>
      </c>
      <c s="125">
        <f>Предпосылки!P$246*Предпосылки!$V258*Продажи!Q23*Q$19*(1+Чувствительность!$D$20)*IFERROR(LOOKUP(Предпосылки!$H$219,$C$13:$C$15,Q$13:Q$15),1)</f>
        <v>0</v>
      </c>
      <c s="125">
        <f>Предпосылки!Q$246*Предпосылки!$V258*Продажи!R23*R$19*(1+Чувствительность!$D$20)*IFERROR(LOOKUP(Предпосылки!$H$219,$C$13:$C$15,R$13:R$15),1)</f>
        <v>0</v>
      </c>
      <c s="125">
        <f>Предпосылки!R$246*Предпосылки!$V258*Продажи!S23*S$19*(1+Чувствительность!$D$20)*IFERROR(LOOKUP(Предпосылки!$H$219,$C$13:$C$15,S$13:S$15),1)</f>
        <v>0</v>
      </c>
      <c s="125">
        <f>Предпосылки!S$246*Предпосылки!$V258*Продажи!T23*T$19*(1+Чувствительность!$D$20)*IFERROR(LOOKUP(Предпосылки!$H$219,$C$13:$C$15,T$13:T$15),1)</f>
        <v>0</v>
      </c>
      <c s="125">
        <f>Предпосылки!T$246*Предпосылки!$V258*Продажи!U23*U$19*(1+Чувствительность!$D$20)*IFERROR(LOOKUP(Предпосылки!$H$219,$C$13:$C$15,U$13:U$15),1)</f>
        <v>0</v>
      </c>
      <c s="125">
        <f>Предпосылки!U$246*Предпосылки!$V258*Продажи!V23*V$19*(1+Чувствительность!$D$20)*IFERROR(LOOKUP(Предпосылки!$H$219,$C$13:$C$15,V$13:V$15),1)</f>
        <v>0</v>
      </c>
      <c s="125">
        <f>Предпосылки!V$246*Предпосылки!$V258*Продажи!W23*W$19*(1+Чувствительность!$D$20)*IFERROR(LOOKUP(Предпосылки!$H$219,$C$13:$C$15,W$13:W$15),1)</f>
        <v>0</v>
      </c>
      <c s="125">
        <f>Предпосылки!W$246*Предпосылки!$V258*Продажи!X23*X$19*(1+Чувствительность!$D$20)*IFERROR(LOOKUP(Предпосылки!$H$219,$C$13:$C$15,X$13:X$15),1)</f>
        <v>0</v>
      </c>
      <c s="125">
        <f>Предпосылки!X$246*Предпосылки!$V258*Продажи!Y23*Y$19*(1+Чувствительность!$D$20)*IFERROR(LOOKUP(Предпосылки!$H$219,$C$13:$C$15,Y$13:Y$15),1)</f>
        <v>0</v>
      </c>
      <c s="125">
        <f>Предпосылки!Y$246*Предпосылки!$V258*Продажи!Z23*Z$19*(1+Чувствительность!$D$20)*IFERROR(LOOKUP(Предпосылки!$H$219,$C$13:$C$15,Z$13:Z$15),1)</f>
        <v>0</v>
      </c>
      <c s="125">
        <f>Предпосылки!Z$246*Предпосылки!$V258*Продажи!AA23*AA$19*(1+Чувствительность!$D$20)*IFERROR(LOOKUP(Предпосылки!$H$219,$C$13:$C$15,AA$13:AA$15),1)</f>
        <v>0</v>
      </c>
      <c s="125">
        <f>Предпосылки!AA$246*Предпосылки!$V258*Продажи!AB23*AB$19*(1+Чувствительность!$D$20)*IFERROR(LOOKUP(Предпосылки!$H$219,$C$13:$C$15,AB$13:AB$15),1)</f>
        <v>0</v>
      </c>
      <c s="125">
        <f>Предпосылки!AB$246*Предпосылки!$V258*Продажи!AC23*AC$19*(1+Чувствительность!$D$20)*IFERROR(LOOKUP(Предпосылки!$H$219,$C$13:$C$15,AC$13:AC$15),1)</f>
        <v>0</v>
      </c>
      <c s="125">
        <f>Предпосылки!AC$246*Предпосылки!$V258*Продажи!AD23*AD$19*(1+Чувствительность!$D$20)*IFERROR(LOOKUP(Предпосылки!$H$219,$C$13:$C$15,AD$13:AD$15),1)</f>
        <v>0</v>
      </c>
      <c s="125">
        <f>Предпосылки!AD$246*Предпосылки!$V258*Продажи!AE23*AE$19*(1+Чувствительность!$D$20)*IFERROR(LOOKUP(Предпосылки!$H$219,$C$13:$C$15,AE$13:AE$15),1)</f>
        <v>0</v>
      </c>
      <c s="125">
        <f>Предпосылки!AE$246*Предпосылки!$V258*Продажи!AF23*AF$19*(1+Чувствительность!$D$20)*IFERROR(LOOKUP(Предпосылки!$H$219,$C$13:$C$15,AF$13:AF$15),1)</f>
        <v>0</v>
      </c>
      <c s="125">
        <f>Предпосылки!AF$246*Предпосылки!$V258*Продажи!AG23*AG$19*(1+Чувствительность!$D$20)*IFERROR(LOOKUP(Предпосылки!$H$219,$C$13:$C$15,AG$13:AG$15),1)</f>
        <v>0</v>
      </c>
      <c s="125">
        <f>Предпосылки!AG$246*Предпосылки!$V258*Продажи!AH23*AH$19*(1+Чувствительность!$D$20)*IFERROR(LOOKUP(Предпосылки!$H$219,$C$13:$C$15,AH$13:AH$15),1)</f>
        <v>0</v>
      </c>
      <c s="125">
        <f>Предпосылки!AH$246*Предпосылки!$V258*Продажи!AI23*AI$19*(1+Чувствительность!$D$20)*IFERROR(LOOKUP(Предпосылки!$H$219,$C$13:$C$15,AI$13:AI$15),1)</f>
        <v>0</v>
      </c>
      <c s="125">
        <f>Предпосылки!AI$246*Предпосылки!$V258*Продажи!AJ23*AJ$19*(1+Чувствительность!$D$20)*IFERROR(LOOKUP(Предпосылки!$H$219,$C$13:$C$15,AJ$13:AJ$15),1)</f>
        <v>0</v>
      </c>
      <c s="125">
        <f>Предпосылки!AJ$246*Предпосылки!$V258*Продажи!AK23*AK$19*(1+Чувствительность!$D$20)*IFERROR(LOOKUP(Предпосылки!$H$219,$C$13:$C$15,AK$13:AK$15),1)</f>
        <v>0</v>
      </c>
      <c s="125">
        <f>Предпосылки!AK$246*Предпосылки!$V258*Продажи!AL23*AL$19*(1+Чувствительность!$D$20)*IFERROR(LOOKUP(Предпосылки!$H$219,$C$13:$C$15,AL$13:AL$15),1)</f>
        <v>0</v>
      </c>
      <c s="125">
        <f>Предпосылки!AL$246*Предпосылки!$V258*Продажи!AM23*AM$19*(1+Чувствительность!$D$20)*IFERROR(LOOKUP(Предпосылки!$H$219,$C$13:$C$15,AM$13:AM$15),1)</f>
        <v>0</v>
      </c>
      <c s="125">
        <f>Предпосылки!AM$246*Предпосылки!$V258*Продажи!AN23*AN$19*(1+Чувствительность!$D$20)*IFERROR(LOOKUP(Предпосылки!$H$219,$C$13:$C$15,AN$13:AN$15),1)</f>
        <v>0</v>
      </c>
      <c s="125">
        <f>Предпосылки!AN$246*Предпосылки!$V258*Продажи!AO23*AO$19*(1+Чувствительность!$D$20)*IFERROR(LOOKUP(Предпосылки!$H$219,$C$13:$C$15,AO$13:AO$15),1)</f>
        <v>0</v>
      </c>
      <c s="125">
        <f>Предпосылки!AO$246*Предпосылки!$V258*Продажи!AP23*AP$19*(1+Чувствительность!$D$20)*IFERROR(LOOKUP(Предпосылки!$H$219,$C$13:$C$15,AP$13:AP$15),1)</f>
        <v>0</v>
      </c>
      <c s="125">
        <f>Предпосылки!AP$246*Предпосылки!$V258*Продажи!AQ23*AQ$19*(1+Чувствительность!$D$20)*IFERROR(LOOKUP(Предпосылки!$H$219,$C$13:$C$15,AQ$13:AQ$15),1)</f>
        <v>0</v>
      </c>
      <c s="125">
        <f>Предпосылки!AQ$246*Предпосылки!$V258*Продажи!AR23*AR$19*(1+Чувствительность!$D$20)*IFERROR(LOOKUP(Предпосылки!$H$219,$C$13:$C$15,AR$13:AR$15),1)</f>
        <v>0</v>
      </c>
      <c s="125">
        <f>Предпосылки!AR$246*Предпосылки!$V258*Продажи!AS23*AS$19*(1+Чувствительность!$D$20)*IFERROR(LOOKUP(Предпосылки!$H$219,$C$13:$C$15,AS$13:AS$15),1)</f>
        <v>0</v>
      </c>
      <c s="125">
        <f>Предпосылки!AS$246*Предпосылки!$V258*Продажи!AT23*AT$19*(1+Чувствительность!$D$20)*IFERROR(LOOKUP(Предпосылки!$H$219,$C$13:$C$15,AT$13:AT$15),1)</f>
        <v>0</v>
      </c>
      <c s="125">
        <f>Предпосылки!AT$246*Предпосылки!$V258*Продажи!AU23*AU$19*(1+Чувствительность!$D$20)*IFERROR(LOOKUP(Предпосылки!$H$219,$C$13:$C$15,AU$13:AU$15),1)</f>
        <v>0</v>
      </c>
      <c s="125">
        <f>Предпосылки!AU$246*Предпосылки!$V258*Продажи!AV23*AV$19*(1+Чувствительность!$D$20)*IFERROR(LOOKUP(Предпосылки!$H$219,$C$13:$C$15,AV$13:AV$15),1)</f>
        <v>0</v>
      </c>
      <c s="125">
        <f>Предпосылки!AV$246*Предпосылки!$V258*Продажи!AW23*AW$19*(1+Чувствительность!$D$20)*IFERROR(LOOKUP(Предпосылки!$H$219,$C$13:$C$15,AW$13:AW$15),1)</f>
        <v>0</v>
      </c>
      <c s="125">
        <f>Предпосылки!AW$246*Предпосылки!$V258*Продажи!AX23*AX$19*(1+Чувствительность!$D$20)*IFERROR(LOOKUP(Предпосылки!$H$219,$C$13:$C$15,AX$13:AX$15),1)</f>
        <v>0</v>
      </c>
      <c s="125">
        <f>Предпосылки!AX$246*Предпосылки!$V258*Продажи!AY23*AY$19*(1+Чувствительность!$D$20)*IFERROR(LOOKUP(Предпосылки!$H$219,$C$13:$C$15,AY$13:AY$15),1)</f>
        <v>0</v>
      </c>
      <c s="125">
        <f>Предпосылки!AY$246*Предпосылки!$V258*Продажи!AZ23*AZ$19*(1+Чувствительность!$D$20)*IFERROR(LOOKUP(Предпосылки!$H$219,$C$13:$C$15,AZ$13:AZ$15),1)</f>
        <v>0</v>
      </c>
      <c s="125">
        <f>Предпосылки!AZ$246*Предпосылки!$V258*Продажи!BA23*BA$19*(1+Чувствительность!$D$20)*IFERROR(LOOKUP(Предпосылки!$H$219,$C$13:$C$15,BA$13:BA$15),1)</f>
        <v>0</v>
      </c>
      <c s="125">
        <f>Предпосылки!BA$246*Предпосылки!$V258*Продажи!BB23*BB$19*(1+Чувствительность!$D$20)*IFERROR(LOOKUP(Предпосылки!$H$219,$C$13:$C$15,BB$13:BB$15),1)</f>
        <v>0</v>
      </c>
      <c s="125">
        <f>Предпосылки!BB$246*Предпосылки!$V258*Продажи!BC23*BC$19*(1+Чувствительность!$D$20)*IFERROR(LOOKUP(Предпосылки!$H$219,$C$13:$C$15,BC$13:BC$15),1)</f>
        <v>0</v>
      </c>
      <c s="125">
        <f>Предпосылки!BC$246*Предпосылки!$V258*Продажи!BD23*BD$19*(1+Чувствительность!$D$20)*IFERROR(LOOKUP(Предпосылки!$H$219,$C$13:$C$15,BD$13:BD$15),1)</f>
        <v>0</v>
      </c>
      <c s="125">
        <f>Предпосылки!BD$246*Предпосылки!$V258*Продажи!BE23*BE$19*(1+Чувствительность!$D$20)*IFERROR(LOOKUP(Предпосылки!$H$219,$C$13:$C$15,BE$13:BE$15),1)</f>
        <v>0</v>
      </c>
      <c s="125">
        <f>Предпосылки!BE$246*Предпосылки!$V258*Продажи!BF23*BF$19*(1+Чувствительность!$D$20)*IFERROR(LOOKUP(Предпосылки!$H$219,$C$13:$C$15,BF$13:BF$15),1)</f>
        <v>0</v>
      </c>
      <c s="125">
        <f>Предпосылки!BF$246*Предпосылки!$V258*Продажи!BG23*BG$19*(1+Чувствительность!$D$20)*IFERROR(LOOKUP(Предпосылки!$H$219,$C$13:$C$15,BG$13:BG$15),1)</f>
        <v>0</v>
      </c>
      <c s="125">
        <f>Предпосылки!BG$246*Предпосылки!$V258*Продажи!BH23*BH$19*(1+Чувствительность!$D$20)*IFERROR(LOOKUP(Предпосылки!$H$219,$C$13:$C$15,BH$13:BH$15),1)</f>
        <v>0</v>
      </c>
      <c s="125">
        <f>Предпосылки!BH$246*Предпосылки!$V258*Продажи!BI23*BI$19*(1+Чувствительность!$D$20)*IFERROR(LOOKUP(Предпосылки!$H$219,$C$13:$C$15,BI$13:BI$15),1)</f>
        <v>0</v>
      </c>
      <c s="125">
        <f>Предпосылки!BI$246*Предпосылки!$V258*Продажи!BJ23*BJ$19*(1+Чувствительность!$D$20)*IFERROR(LOOKUP(Предпосылки!$H$219,$C$13:$C$15,BJ$13:BJ$15),1)</f>
        <v>0</v>
      </c>
      <c s="125">
        <f>Предпосылки!BJ$246*Предпосылки!$V258*Продажи!BK23*BK$19*(1+Чувствительность!$D$20)*IFERROR(LOOKUP(Предпосылки!$H$219,$C$13:$C$15,BK$13:BK$15),1)</f>
        <v>0</v>
      </c>
      <c s="125">
        <f>Предпосылки!BK$246*Предпосылки!$V258*Продажи!BL23*BL$19*(1+Чувствительность!$D$20)*IFERROR(LOOKUP(Предпосылки!$H$219,$C$13:$C$15,BL$13:BL$15),1)</f>
        <v>0</v>
      </c>
      <c s="125">
        <f>Предпосылки!BL$246*Предпосылки!$V258*Продажи!BM23*BM$19*(1+Чувствительность!$D$20)*IFERROR(LOOKUP(Предпосылки!$H$219,$C$13:$C$15,BM$13:BM$15),1)</f>
        <v>0</v>
      </c>
    </row>
    <row r="443" spans="2:65" ht="15" customHeight="1">
      <c r="B443" s="12" t="str">
        <f t="shared" si="151"/>
        <v>Продукт 7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Предпосылки!D$246*Предпосылки!$V259*Продажи!E24*E$19*(1+Чувствительность!$D$20)*IFERROR(LOOKUP(Предпосылки!$H$219,$C$13:$C$15,E$13:E$15),1)</f>
        <v>0</v>
      </c>
      <c s="125">
        <f>Предпосылки!E$246*Предпосылки!$V259*Продажи!F24*F$19*(1+Чувствительность!$D$20)*IFERROR(LOOKUP(Предпосылки!$H$219,$C$13:$C$15,F$13:F$15),1)</f>
        <v>0</v>
      </c>
      <c s="125">
        <f>Предпосылки!F$246*Предпосылки!$V259*Продажи!G24*G$19*(1+Чувствительность!$D$20)*IFERROR(LOOKUP(Предпосылки!$H$219,$C$13:$C$15,G$13:G$15),1)</f>
        <v>0</v>
      </c>
      <c s="125">
        <f>Предпосылки!G$246*Предпосылки!$V259*Продажи!H24*H$19*(1+Чувствительность!$D$20)*IFERROR(LOOKUP(Предпосылки!$H$219,$C$13:$C$15,H$13:H$15),1)</f>
        <v>0</v>
      </c>
      <c s="125">
        <f>Предпосылки!H$246*Предпосылки!$V259*Продажи!I24*I$19*(1+Чувствительность!$D$20)*IFERROR(LOOKUP(Предпосылки!$H$219,$C$13:$C$15,I$13:I$15),1)</f>
        <v>0</v>
      </c>
      <c s="125">
        <f>Предпосылки!I$246*Предпосылки!$V259*Продажи!J24*J$19*(1+Чувствительность!$D$20)*IFERROR(LOOKUP(Предпосылки!$H$219,$C$13:$C$15,J$13:J$15),1)</f>
        <v>0</v>
      </c>
      <c s="125">
        <f>Предпосылки!J$246*Предпосылки!$V259*Продажи!K24*K$19*(1+Чувствительность!$D$20)*IFERROR(LOOKUP(Предпосылки!$H$219,$C$13:$C$15,K$13:K$15),1)</f>
        <v>0</v>
      </c>
      <c s="125">
        <f>Предпосылки!K$246*Предпосылки!$V259*Продажи!L24*L$19*(1+Чувствительность!$D$20)*IFERROR(LOOKUP(Предпосылки!$H$219,$C$13:$C$15,L$13:L$15),1)</f>
        <v>0</v>
      </c>
      <c s="125">
        <f>Предпосылки!L$246*Предпосылки!$V259*Продажи!M24*M$19*(1+Чувствительность!$D$20)*IFERROR(LOOKUP(Предпосылки!$H$219,$C$13:$C$15,M$13:M$15),1)</f>
        <v>0</v>
      </c>
      <c s="125">
        <f>Предпосылки!M$246*Предпосылки!$V259*Продажи!N24*N$19*(1+Чувствительность!$D$20)*IFERROR(LOOKUP(Предпосылки!$H$219,$C$13:$C$15,N$13:N$15),1)</f>
        <v>0</v>
      </c>
      <c s="125">
        <f>Предпосылки!N$246*Предпосылки!$V259*Продажи!O24*O$19*(1+Чувствительность!$D$20)*IFERROR(LOOKUP(Предпосылки!$H$219,$C$13:$C$15,O$13:O$15),1)</f>
        <v>0</v>
      </c>
      <c s="125">
        <f>Предпосылки!O$246*Предпосылки!$V259*Продажи!P24*P$19*(1+Чувствительность!$D$20)*IFERROR(LOOKUP(Предпосылки!$H$219,$C$13:$C$15,P$13:P$15),1)</f>
        <v>0</v>
      </c>
      <c s="125">
        <f>Предпосылки!P$246*Предпосылки!$V259*Продажи!Q24*Q$19*(1+Чувствительность!$D$20)*IFERROR(LOOKUP(Предпосылки!$H$219,$C$13:$C$15,Q$13:Q$15),1)</f>
        <v>0</v>
      </c>
      <c s="125">
        <f>Предпосылки!Q$246*Предпосылки!$V259*Продажи!R24*R$19*(1+Чувствительность!$D$20)*IFERROR(LOOKUP(Предпосылки!$H$219,$C$13:$C$15,R$13:R$15),1)</f>
        <v>0</v>
      </c>
      <c s="125">
        <f>Предпосылки!R$246*Предпосылки!$V259*Продажи!S24*S$19*(1+Чувствительность!$D$20)*IFERROR(LOOKUP(Предпосылки!$H$219,$C$13:$C$15,S$13:S$15),1)</f>
        <v>0</v>
      </c>
      <c s="125">
        <f>Предпосылки!S$246*Предпосылки!$V259*Продажи!T24*T$19*(1+Чувствительность!$D$20)*IFERROR(LOOKUP(Предпосылки!$H$219,$C$13:$C$15,T$13:T$15),1)</f>
        <v>0</v>
      </c>
      <c s="125">
        <f>Предпосылки!T$246*Предпосылки!$V259*Продажи!U24*U$19*(1+Чувствительность!$D$20)*IFERROR(LOOKUP(Предпосылки!$H$219,$C$13:$C$15,U$13:U$15),1)</f>
        <v>0</v>
      </c>
      <c s="125">
        <f>Предпосылки!U$246*Предпосылки!$V259*Продажи!V24*V$19*(1+Чувствительность!$D$20)*IFERROR(LOOKUP(Предпосылки!$H$219,$C$13:$C$15,V$13:V$15),1)</f>
        <v>0</v>
      </c>
      <c s="125">
        <f>Предпосылки!V$246*Предпосылки!$V259*Продажи!W24*W$19*(1+Чувствительность!$D$20)*IFERROR(LOOKUP(Предпосылки!$H$219,$C$13:$C$15,W$13:W$15),1)</f>
        <v>0</v>
      </c>
      <c s="125">
        <f>Предпосылки!W$246*Предпосылки!$V259*Продажи!X24*X$19*(1+Чувствительность!$D$20)*IFERROR(LOOKUP(Предпосылки!$H$219,$C$13:$C$15,X$13:X$15),1)</f>
        <v>0</v>
      </c>
      <c s="125">
        <f>Предпосылки!X$246*Предпосылки!$V259*Продажи!Y24*Y$19*(1+Чувствительность!$D$20)*IFERROR(LOOKUP(Предпосылки!$H$219,$C$13:$C$15,Y$13:Y$15),1)</f>
        <v>0</v>
      </c>
      <c s="125">
        <f>Предпосылки!Y$246*Предпосылки!$V259*Продажи!Z24*Z$19*(1+Чувствительность!$D$20)*IFERROR(LOOKUP(Предпосылки!$H$219,$C$13:$C$15,Z$13:Z$15),1)</f>
        <v>0</v>
      </c>
      <c s="125">
        <f>Предпосылки!Z$246*Предпосылки!$V259*Продажи!AA24*AA$19*(1+Чувствительность!$D$20)*IFERROR(LOOKUP(Предпосылки!$H$219,$C$13:$C$15,AA$13:AA$15),1)</f>
        <v>0</v>
      </c>
      <c s="125">
        <f>Предпосылки!AA$246*Предпосылки!$V259*Продажи!AB24*AB$19*(1+Чувствительность!$D$20)*IFERROR(LOOKUP(Предпосылки!$H$219,$C$13:$C$15,AB$13:AB$15),1)</f>
        <v>0</v>
      </c>
      <c s="125">
        <f>Предпосылки!AB$246*Предпосылки!$V259*Продажи!AC24*AC$19*(1+Чувствительность!$D$20)*IFERROR(LOOKUP(Предпосылки!$H$219,$C$13:$C$15,AC$13:AC$15),1)</f>
        <v>0</v>
      </c>
      <c s="125">
        <f>Предпосылки!AC$246*Предпосылки!$V259*Продажи!AD24*AD$19*(1+Чувствительность!$D$20)*IFERROR(LOOKUP(Предпосылки!$H$219,$C$13:$C$15,AD$13:AD$15),1)</f>
        <v>0</v>
      </c>
      <c s="125">
        <f>Предпосылки!AD$246*Предпосылки!$V259*Продажи!AE24*AE$19*(1+Чувствительность!$D$20)*IFERROR(LOOKUP(Предпосылки!$H$219,$C$13:$C$15,AE$13:AE$15),1)</f>
        <v>0</v>
      </c>
      <c s="125">
        <f>Предпосылки!AE$246*Предпосылки!$V259*Продажи!AF24*AF$19*(1+Чувствительность!$D$20)*IFERROR(LOOKUP(Предпосылки!$H$219,$C$13:$C$15,AF$13:AF$15),1)</f>
        <v>0</v>
      </c>
      <c s="125">
        <f>Предпосылки!AF$246*Предпосылки!$V259*Продажи!AG24*AG$19*(1+Чувствительность!$D$20)*IFERROR(LOOKUP(Предпосылки!$H$219,$C$13:$C$15,AG$13:AG$15),1)</f>
        <v>0</v>
      </c>
      <c s="125">
        <f>Предпосылки!AG$246*Предпосылки!$V259*Продажи!AH24*AH$19*(1+Чувствительность!$D$20)*IFERROR(LOOKUP(Предпосылки!$H$219,$C$13:$C$15,AH$13:AH$15),1)</f>
        <v>0</v>
      </c>
      <c s="125">
        <f>Предпосылки!AH$246*Предпосылки!$V259*Продажи!AI24*AI$19*(1+Чувствительность!$D$20)*IFERROR(LOOKUP(Предпосылки!$H$219,$C$13:$C$15,AI$13:AI$15),1)</f>
        <v>0</v>
      </c>
      <c s="125">
        <f>Предпосылки!AI$246*Предпосылки!$V259*Продажи!AJ24*AJ$19*(1+Чувствительность!$D$20)*IFERROR(LOOKUP(Предпосылки!$H$219,$C$13:$C$15,AJ$13:AJ$15),1)</f>
        <v>0</v>
      </c>
      <c s="125">
        <f>Предпосылки!AJ$246*Предпосылки!$V259*Продажи!AK24*AK$19*(1+Чувствительность!$D$20)*IFERROR(LOOKUP(Предпосылки!$H$219,$C$13:$C$15,AK$13:AK$15),1)</f>
        <v>0</v>
      </c>
      <c s="125">
        <f>Предпосылки!AK$246*Предпосылки!$V259*Продажи!AL24*AL$19*(1+Чувствительность!$D$20)*IFERROR(LOOKUP(Предпосылки!$H$219,$C$13:$C$15,AL$13:AL$15),1)</f>
        <v>0</v>
      </c>
      <c s="125">
        <f>Предпосылки!AL$246*Предпосылки!$V259*Продажи!AM24*AM$19*(1+Чувствительность!$D$20)*IFERROR(LOOKUP(Предпосылки!$H$219,$C$13:$C$15,AM$13:AM$15),1)</f>
        <v>0</v>
      </c>
      <c s="125">
        <f>Предпосылки!AM$246*Предпосылки!$V259*Продажи!AN24*AN$19*(1+Чувствительность!$D$20)*IFERROR(LOOKUP(Предпосылки!$H$219,$C$13:$C$15,AN$13:AN$15),1)</f>
        <v>0</v>
      </c>
      <c s="125">
        <f>Предпосылки!AN$246*Предпосылки!$V259*Продажи!AO24*AO$19*(1+Чувствительность!$D$20)*IFERROR(LOOKUP(Предпосылки!$H$219,$C$13:$C$15,AO$13:AO$15),1)</f>
        <v>0</v>
      </c>
      <c s="125">
        <f>Предпосылки!AO$246*Предпосылки!$V259*Продажи!AP24*AP$19*(1+Чувствительность!$D$20)*IFERROR(LOOKUP(Предпосылки!$H$219,$C$13:$C$15,AP$13:AP$15),1)</f>
        <v>0</v>
      </c>
      <c s="125">
        <f>Предпосылки!AP$246*Предпосылки!$V259*Продажи!AQ24*AQ$19*(1+Чувствительность!$D$20)*IFERROR(LOOKUP(Предпосылки!$H$219,$C$13:$C$15,AQ$13:AQ$15),1)</f>
        <v>0</v>
      </c>
      <c s="125">
        <f>Предпосылки!AQ$246*Предпосылки!$V259*Продажи!AR24*AR$19*(1+Чувствительность!$D$20)*IFERROR(LOOKUP(Предпосылки!$H$219,$C$13:$C$15,AR$13:AR$15),1)</f>
        <v>0</v>
      </c>
      <c s="125">
        <f>Предпосылки!AR$246*Предпосылки!$V259*Продажи!AS24*AS$19*(1+Чувствительность!$D$20)*IFERROR(LOOKUP(Предпосылки!$H$219,$C$13:$C$15,AS$13:AS$15),1)</f>
        <v>0</v>
      </c>
      <c s="125">
        <f>Предпосылки!AS$246*Предпосылки!$V259*Продажи!AT24*AT$19*(1+Чувствительность!$D$20)*IFERROR(LOOKUP(Предпосылки!$H$219,$C$13:$C$15,AT$13:AT$15),1)</f>
        <v>0</v>
      </c>
      <c s="125">
        <f>Предпосылки!AT$246*Предпосылки!$V259*Продажи!AU24*AU$19*(1+Чувствительность!$D$20)*IFERROR(LOOKUP(Предпосылки!$H$219,$C$13:$C$15,AU$13:AU$15),1)</f>
        <v>0</v>
      </c>
      <c s="125">
        <f>Предпосылки!AU$246*Предпосылки!$V259*Продажи!AV24*AV$19*(1+Чувствительность!$D$20)*IFERROR(LOOKUP(Предпосылки!$H$219,$C$13:$C$15,AV$13:AV$15),1)</f>
        <v>0</v>
      </c>
      <c s="125">
        <f>Предпосылки!AV$246*Предпосылки!$V259*Продажи!AW24*AW$19*(1+Чувствительность!$D$20)*IFERROR(LOOKUP(Предпосылки!$H$219,$C$13:$C$15,AW$13:AW$15),1)</f>
        <v>0</v>
      </c>
      <c s="125">
        <f>Предпосылки!AW$246*Предпосылки!$V259*Продажи!AX24*AX$19*(1+Чувствительность!$D$20)*IFERROR(LOOKUP(Предпосылки!$H$219,$C$13:$C$15,AX$13:AX$15),1)</f>
        <v>0</v>
      </c>
      <c s="125">
        <f>Предпосылки!AX$246*Предпосылки!$V259*Продажи!AY24*AY$19*(1+Чувствительность!$D$20)*IFERROR(LOOKUP(Предпосылки!$H$219,$C$13:$C$15,AY$13:AY$15),1)</f>
        <v>0</v>
      </c>
      <c s="125">
        <f>Предпосылки!AY$246*Предпосылки!$V259*Продажи!AZ24*AZ$19*(1+Чувствительность!$D$20)*IFERROR(LOOKUP(Предпосылки!$H$219,$C$13:$C$15,AZ$13:AZ$15),1)</f>
        <v>0</v>
      </c>
      <c s="125">
        <f>Предпосылки!AZ$246*Предпосылки!$V259*Продажи!BA24*BA$19*(1+Чувствительность!$D$20)*IFERROR(LOOKUP(Предпосылки!$H$219,$C$13:$C$15,BA$13:BA$15),1)</f>
        <v>0</v>
      </c>
      <c s="125">
        <f>Предпосылки!BA$246*Предпосылки!$V259*Продажи!BB24*BB$19*(1+Чувствительность!$D$20)*IFERROR(LOOKUP(Предпосылки!$H$219,$C$13:$C$15,BB$13:BB$15),1)</f>
        <v>0</v>
      </c>
      <c s="125">
        <f>Предпосылки!BB$246*Предпосылки!$V259*Продажи!BC24*BC$19*(1+Чувствительность!$D$20)*IFERROR(LOOKUP(Предпосылки!$H$219,$C$13:$C$15,BC$13:BC$15),1)</f>
        <v>0</v>
      </c>
      <c s="125">
        <f>Предпосылки!BC$246*Предпосылки!$V259*Продажи!BD24*BD$19*(1+Чувствительность!$D$20)*IFERROR(LOOKUP(Предпосылки!$H$219,$C$13:$C$15,BD$13:BD$15),1)</f>
        <v>0</v>
      </c>
      <c s="125">
        <f>Предпосылки!BD$246*Предпосылки!$V259*Продажи!BE24*BE$19*(1+Чувствительность!$D$20)*IFERROR(LOOKUP(Предпосылки!$H$219,$C$13:$C$15,BE$13:BE$15),1)</f>
        <v>0</v>
      </c>
      <c s="125">
        <f>Предпосылки!BE$246*Предпосылки!$V259*Продажи!BF24*BF$19*(1+Чувствительность!$D$20)*IFERROR(LOOKUP(Предпосылки!$H$219,$C$13:$C$15,BF$13:BF$15),1)</f>
        <v>0</v>
      </c>
      <c s="125">
        <f>Предпосылки!BF$246*Предпосылки!$V259*Продажи!BG24*BG$19*(1+Чувствительность!$D$20)*IFERROR(LOOKUP(Предпосылки!$H$219,$C$13:$C$15,BG$13:BG$15),1)</f>
        <v>0</v>
      </c>
      <c s="125">
        <f>Предпосылки!BG$246*Предпосылки!$V259*Продажи!BH24*BH$19*(1+Чувствительность!$D$20)*IFERROR(LOOKUP(Предпосылки!$H$219,$C$13:$C$15,BH$13:BH$15),1)</f>
        <v>0</v>
      </c>
      <c s="125">
        <f>Предпосылки!BH$246*Предпосылки!$V259*Продажи!BI24*BI$19*(1+Чувствительность!$D$20)*IFERROR(LOOKUP(Предпосылки!$H$219,$C$13:$C$15,BI$13:BI$15),1)</f>
        <v>0</v>
      </c>
      <c s="125">
        <f>Предпосылки!BI$246*Предпосылки!$V259*Продажи!BJ24*BJ$19*(1+Чувствительность!$D$20)*IFERROR(LOOKUP(Предпосылки!$H$219,$C$13:$C$15,BJ$13:BJ$15),1)</f>
        <v>0</v>
      </c>
      <c s="125">
        <f>Предпосылки!BJ$246*Предпосылки!$V259*Продажи!BK24*BK$19*(1+Чувствительность!$D$20)*IFERROR(LOOKUP(Предпосылки!$H$219,$C$13:$C$15,BK$13:BK$15),1)</f>
        <v>0</v>
      </c>
      <c s="125">
        <f>Предпосылки!BK$246*Предпосылки!$V259*Продажи!BL24*BL$19*(1+Чувствительность!$D$20)*IFERROR(LOOKUP(Предпосылки!$H$219,$C$13:$C$15,BL$13:BL$15),1)</f>
        <v>0</v>
      </c>
      <c s="125">
        <f>Предпосылки!BL$246*Предпосылки!$V259*Продажи!BM24*BM$19*(1+Чувствительность!$D$20)*IFERROR(LOOKUP(Предпосылки!$H$219,$C$13:$C$15,BM$13:BM$15),1)</f>
        <v>0</v>
      </c>
    </row>
    <row r="444" spans="2:65" ht="15" customHeight="1">
      <c r="B444" s="12" t="str">
        <f t="shared" si="151"/>
        <v>Продукт 8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Предпосылки!D$246*Предпосылки!$V260*Продажи!E25*E$19*(1+Чувствительность!$D$20)*IFERROR(LOOKUP(Предпосылки!$H$219,$C$13:$C$15,E$13:E$15),1)</f>
        <v>0</v>
      </c>
      <c s="125">
        <f>Предпосылки!E$246*Предпосылки!$V260*Продажи!F25*F$19*(1+Чувствительность!$D$20)*IFERROR(LOOKUP(Предпосылки!$H$219,$C$13:$C$15,F$13:F$15),1)</f>
        <v>0</v>
      </c>
      <c s="125">
        <f>Предпосылки!F$246*Предпосылки!$V260*Продажи!G25*G$19*(1+Чувствительность!$D$20)*IFERROR(LOOKUP(Предпосылки!$H$219,$C$13:$C$15,G$13:G$15),1)</f>
        <v>0</v>
      </c>
      <c s="125">
        <f>Предпосылки!G$246*Предпосылки!$V260*Продажи!H25*H$19*(1+Чувствительность!$D$20)*IFERROR(LOOKUP(Предпосылки!$H$219,$C$13:$C$15,H$13:H$15),1)</f>
        <v>0</v>
      </c>
      <c s="125">
        <f>Предпосылки!H$246*Предпосылки!$V260*Продажи!I25*I$19*(1+Чувствительность!$D$20)*IFERROR(LOOKUP(Предпосылки!$H$219,$C$13:$C$15,I$13:I$15),1)</f>
        <v>0</v>
      </c>
      <c s="125">
        <f>Предпосылки!I$246*Предпосылки!$V260*Продажи!J25*J$19*(1+Чувствительность!$D$20)*IFERROR(LOOKUP(Предпосылки!$H$219,$C$13:$C$15,J$13:J$15),1)</f>
        <v>0</v>
      </c>
      <c s="125">
        <f>Предпосылки!J$246*Предпосылки!$V260*Продажи!K25*K$19*(1+Чувствительность!$D$20)*IFERROR(LOOKUP(Предпосылки!$H$219,$C$13:$C$15,K$13:K$15),1)</f>
        <v>0</v>
      </c>
      <c s="125">
        <f>Предпосылки!K$246*Предпосылки!$V260*Продажи!L25*L$19*(1+Чувствительность!$D$20)*IFERROR(LOOKUP(Предпосылки!$H$219,$C$13:$C$15,L$13:L$15),1)</f>
        <v>0</v>
      </c>
      <c s="125">
        <f>Предпосылки!L$246*Предпосылки!$V260*Продажи!M25*M$19*(1+Чувствительность!$D$20)*IFERROR(LOOKUP(Предпосылки!$H$219,$C$13:$C$15,M$13:M$15),1)</f>
        <v>0</v>
      </c>
      <c s="125">
        <f>Предпосылки!M$246*Предпосылки!$V260*Продажи!N25*N$19*(1+Чувствительность!$D$20)*IFERROR(LOOKUP(Предпосылки!$H$219,$C$13:$C$15,N$13:N$15),1)</f>
        <v>0</v>
      </c>
      <c s="125">
        <f>Предпосылки!N$246*Предпосылки!$V260*Продажи!O25*O$19*(1+Чувствительность!$D$20)*IFERROR(LOOKUP(Предпосылки!$H$219,$C$13:$C$15,O$13:O$15),1)</f>
        <v>0</v>
      </c>
      <c s="125">
        <f>Предпосылки!O$246*Предпосылки!$V260*Продажи!P25*P$19*(1+Чувствительность!$D$20)*IFERROR(LOOKUP(Предпосылки!$H$219,$C$13:$C$15,P$13:P$15),1)</f>
        <v>0</v>
      </c>
      <c s="125">
        <f>Предпосылки!P$246*Предпосылки!$V260*Продажи!Q25*Q$19*(1+Чувствительность!$D$20)*IFERROR(LOOKUP(Предпосылки!$H$219,$C$13:$C$15,Q$13:Q$15),1)</f>
        <v>0</v>
      </c>
      <c s="125">
        <f>Предпосылки!Q$246*Предпосылки!$V260*Продажи!R25*R$19*(1+Чувствительность!$D$20)*IFERROR(LOOKUP(Предпосылки!$H$219,$C$13:$C$15,R$13:R$15),1)</f>
        <v>0</v>
      </c>
      <c s="125">
        <f>Предпосылки!R$246*Предпосылки!$V260*Продажи!S25*S$19*(1+Чувствительность!$D$20)*IFERROR(LOOKUP(Предпосылки!$H$219,$C$13:$C$15,S$13:S$15),1)</f>
        <v>0</v>
      </c>
      <c s="125">
        <f>Предпосылки!S$246*Предпосылки!$V260*Продажи!T25*T$19*(1+Чувствительность!$D$20)*IFERROR(LOOKUP(Предпосылки!$H$219,$C$13:$C$15,T$13:T$15),1)</f>
        <v>0</v>
      </c>
      <c s="125">
        <f>Предпосылки!T$246*Предпосылки!$V260*Продажи!U25*U$19*(1+Чувствительность!$D$20)*IFERROR(LOOKUP(Предпосылки!$H$219,$C$13:$C$15,U$13:U$15),1)</f>
        <v>0</v>
      </c>
      <c s="125">
        <f>Предпосылки!U$246*Предпосылки!$V260*Продажи!V25*V$19*(1+Чувствительность!$D$20)*IFERROR(LOOKUP(Предпосылки!$H$219,$C$13:$C$15,V$13:V$15),1)</f>
        <v>0</v>
      </c>
      <c s="125">
        <f>Предпосылки!V$246*Предпосылки!$V260*Продажи!W25*W$19*(1+Чувствительность!$D$20)*IFERROR(LOOKUP(Предпосылки!$H$219,$C$13:$C$15,W$13:W$15),1)</f>
        <v>0</v>
      </c>
      <c s="125">
        <f>Предпосылки!W$246*Предпосылки!$V260*Продажи!X25*X$19*(1+Чувствительность!$D$20)*IFERROR(LOOKUP(Предпосылки!$H$219,$C$13:$C$15,X$13:X$15),1)</f>
        <v>0</v>
      </c>
      <c s="125">
        <f>Предпосылки!X$246*Предпосылки!$V260*Продажи!Y25*Y$19*(1+Чувствительность!$D$20)*IFERROR(LOOKUP(Предпосылки!$H$219,$C$13:$C$15,Y$13:Y$15),1)</f>
        <v>0</v>
      </c>
      <c s="125">
        <f>Предпосылки!Y$246*Предпосылки!$V260*Продажи!Z25*Z$19*(1+Чувствительность!$D$20)*IFERROR(LOOKUP(Предпосылки!$H$219,$C$13:$C$15,Z$13:Z$15),1)</f>
        <v>0</v>
      </c>
      <c s="125">
        <f>Предпосылки!Z$246*Предпосылки!$V260*Продажи!AA25*AA$19*(1+Чувствительность!$D$20)*IFERROR(LOOKUP(Предпосылки!$H$219,$C$13:$C$15,AA$13:AA$15),1)</f>
        <v>0</v>
      </c>
      <c s="125">
        <f>Предпосылки!AA$246*Предпосылки!$V260*Продажи!AB25*AB$19*(1+Чувствительность!$D$20)*IFERROR(LOOKUP(Предпосылки!$H$219,$C$13:$C$15,AB$13:AB$15),1)</f>
        <v>0</v>
      </c>
      <c s="125">
        <f>Предпосылки!AB$246*Предпосылки!$V260*Продажи!AC25*AC$19*(1+Чувствительность!$D$20)*IFERROR(LOOKUP(Предпосылки!$H$219,$C$13:$C$15,AC$13:AC$15),1)</f>
        <v>0</v>
      </c>
      <c s="125">
        <f>Предпосылки!AC$246*Предпосылки!$V260*Продажи!AD25*AD$19*(1+Чувствительность!$D$20)*IFERROR(LOOKUP(Предпосылки!$H$219,$C$13:$C$15,AD$13:AD$15),1)</f>
        <v>0</v>
      </c>
      <c s="125">
        <f>Предпосылки!AD$246*Предпосылки!$V260*Продажи!AE25*AE$19*(1+Чувствительность!$D$20)*IFERROR(LOOKUP(Предпосылки!$H$219,$C$13:$C$15,AE$13:AE$15),1)</f>
        <v>0</v>
      </c>
      <c s="125">
        <f>Предпосылки!AE$246*Предпосылки!$V260*Продажи!AF25*AF$19*(1+Чувствительность!$D$20)*IFERROR(LOOKUP(Предпосылки!$H$219,$C$13:$C$15,AF$13:AF$15),1)</f>
        <v>0</v>
      </c>
      <c s="125">
        <f>Предпосылки!AF$246*Предпосылки!$V260*Продажи!AG25*AG$19*(1+Чувствительность!$D$20)*IFERROR(LOOKUP(Предпосылки!$H$219,$C$13:$C$15,AG$13:AG$15),1)</f>
        <v>0</v>
      </c>
      <c s="125">
        <f>Предпосылки!AG$246*Предпосылки!$V260*Продажи!AH25*AH$19*(1+Чувствительность!$D$20)*IFERROR(LOOKUP(Предпосылки!$H$219,$C$13:$C$15,AH$13:AH$15),1)</f>
        <v>0</v>
      </c>
      <c s="125">
        <f>Предпосылки!AH$246*Предпосылки!$V260*Продажи!AI25*AI$19*(1+Чувствительность!$D$20)*IFERROR(LOOKUP(Предпосылки!$H$219,$C$13:$C$15,AI$13:AI$15),1)</f>
        <v>0</v>
      </c>
      <c s="125">
        <f>Предпосылки!AI$246*Предпосылки!$V260*Продажи!AJ25*AJ$19*(1+Чувствительность!$D$20)*IFERROR(LOOKUP(Предпосылки!$H$219,$C$13:$C$15,AJ$13:AJ$15),1)</f>
        <v>0</v>
      </c>
      <c s="125">
        <f>Предпосылки!AJ$246*Предпосылки!$V260*Продажи!AK25*AK$19*(1+Чувствительность!$D$20)*IFERROR(LOOKUP(Предпосылки!$H$219,$C$13:$C$15,AK$13:AK$15),1)</f>
        <v>0</v>
      </c>
      <c s="125">
        <f>Предпосылки!AK$246*Предпосылки!$V260*Продажи!AL25*AL$19*(1+Чувствительность!$D$20)*IFERROR(LOOKUP(Предпосылки!$H$219,$C$13:$C$15,AL$13:AL$15),1)</f>
        <v>0</v>
      </c>
      <c s="125">
        <f>Предпосылки!AL$246*Предпосылки!$V260*Продажи!AM25*AM$19*(1+Чувствительность!$D$20)*IFERROR(LOOKUP(Предпосылки!$H$219,$C$13:$C$15,AM$13:AM$15),1)</f>
        <v>0</v>
      </c>
      <c s="125">
        <f>Предпосылки!AM$246*Предпосылки!$V260*Продажи!AN25*AN$19*(1+Чувствительность!$D$20)*IFERROR(LOOKUP(Предпосылки!$H$219,$C$13:$C$15,AN$13:AN$15),1)</f>
        <v>0</v>
      </c>
      <c s="125">
        <f>Предпосылки!AN$246*Предпосылки!$V260*Продажи!AO25*AO$19*(1+Чувствительность!$D$20)*IFERROR(LOOKUP(Предпосылки!$H$219,$C$13:$C$15,AO$13:AO$15),1)</f>
        <v>0</v>
      </c>
      <c s="125">
        <f>Предпосылки!AO$246*Предпосылки!$V260*Продажи!AP25*AP$19*(1+Чувствительность!$D$20)*IFERROR(LOOKUP(Предпосылки!$H$219,$C$13:$C$15,AP$13:AP$15),1)</f>
        <v>0</v>
      </c>
      <c s="125">
        <f>Предпосылки!AP$246*Предпосылки!$V260*Продажи!AQ25*AQ$19*(1+Чувствительность!$D$20)*IFERROR(LOOKUP(Предпосылки!$H$219,$C$13:$C$15,AQ$13:AQ$15),1)</f>
        <v>0</v>
      </c>
      <c s="125">
        <f>Предпосылки!AQ$246*Предпосылки!$V260*Продажи!AR25*AR$19*(1+Чувствительность!$D$20)*IFERROR(LOOKUP(Предпосылки!$H$219,$C$13:$C$15,AR$13:AR$15),1)</f>
        <v>0</v>
      </c>
      <c s="125">
        <f>Предпосылки!AR$246*Предпосылки!$V260*Продажи!AS25*AS$19*(1+Чувствительность!$D$20)*IFERROR(LOOKUP(Предпосылки!$H$219,$C$13:$C$15,AS$13:AS$15),1)</f>
        <v>0</v>
      </c>
      <c s="125">
        <f>Предпосылки!AS$246*Предпосылки!$V260*Продажи!AT25*AT$19*(1+Чувствительность!$D$20)*IFERROR(LOOKUP(Предпосылки!$H$219,$C$13:$C$15,AT$13:AT$15),1)</f>
        <v>0</v>
      </c>
      <c s="125">
        <f>Предпосылки!AT$246*Предпосылки!$V260*Продажи!AU25*AU$19*(1+Чувствительность!$D$20)*IFERROR(LOOKUP(Предпосылки!$H$219,$C$13:$C$15,AU$13:AU$15),1)</f>
        <v>0</v>
      </c>
      <c s="125">
        <f>Предпосылки!AU$246*Предпосылки!$V260*Продажи!AV25*AV$19*(1+Чувствительность!$D$20)*IFERROR(LOOKUP(Предпосылки!$H$219,$C$13:$C$15,AV$13:AV$15),1)</f>
        <v>0</v>
      </c>
      <c s="125">
        <f>Предпосылки!AV$246*Предпосылки!$V260*Продажи!AW25*AW$19*(1+Чувствительность!$D$20)*IFERROR(LOOKUP(Предпосылки!$H$219,$C$13:$C$15,AW$13:AW$15),1)</f>
        <v>0</v>
      </c>
      <c s="125">
        <f>Предпосылки!AW$246*Предпосылки!$V260*Продажи!AX25*AX$19*(1+Чувствительность!$D$20)*IFERROR(LOOKUP(Предпосылки!$H$219,$C$13:$C$15,AX$13:AX$15),1)</f>
        <v>0</v>
      </c>
      <c s="125">
        <f>Предпосылки!AX$246*Предпосылки!$V260*Продажи!AY25*AY$19*(1+Чувствительность!$D$20)*IFERROR(LOOKUP(Предпосылки!$H$219,$C$13:$C$15,AY$13:AY$15),1)</f>
        <v>0</v>
      </c>
      <c s="125">
        <f>Предпосылки!AY$246*Предпосылки!$V260*Продажи!AZ25*AZ$19*(1+Чувствительность!$D$20)*IFERROR(LOOKUP(Предпосылки!$H$219,$C$13:$C$15,AZ$13:AZ$15),1)</f>
        <v>0</v>
      </c>
      <c s="125">
        <f>Предпосылки!AZ$246*Предпосылки!$V260*Продажи!BA25*BA$19*(1+Чувствительность!$D$20)*IFERROR(LOOKUP(Предпосылки!$H$219,$C$13:$C$15,BA$13:BA$15),1)</f>
        <v>0</v>
      </c>
      <c s="125">
        <f>Предпосылки!BA$246*Предпосылки!$V260*Продажи!BB25*BB$19*(1+Чувствительность!$D$20)*IFERROR(LOOKUP(Предпосылки!$H$219,$C$13:$C$15,BB$13:BB$15),1)</f>
        <v>0</v>
      </c>
      <c s="125">
        <f>Предпосылки!BB$246*Предпосылки!$V260*Продажи!BC25*BC$19*(1+Чувствительность!$D$20)*IFERROR(LOOKUP(Предпосылки!$H$219,$C$13:$C$15,BC$13:BC$15),1)</f>
        <v>0</v>
      </c>
      <c s="125">
        <f>Предпосылки!BC$246*Предпосылки!$V260*Продажи!BD25*BD$19*(1+Чувствительность!$D$20)*IFERROR(LOOKUP(Предпосылки!$H$219,$C$13:$C$15,BD$13:BD$15),1)</f>
        <v>0</v>
      </c>
      <c s="125">
        <f>Предпосылки!BD$246*Предпосылки!$V260*Продажи!BE25*BE$19*(1+Чувствительность!$D$20)*IFERROR(LOOKUP(Предпосылки!$H$219,$C$13:$C$15,BE$13:BE$15),1)</f>
        <v>0</v>
      </c>
      <c s="125">
        <f>Предпосылки!BE$246*Предпосылки!$V260*Продажи!BF25*BF$19*(1+Чувствительность!$D$20)*IFERROR(LOOKUP(Предпосылки!$H$219,$C$13:$C$15,BF$13:BF$15),1)</f>
        <v>0</v>
      </c>
      <c s="125">
        <f>Предпосылки!BF$246*Предпосылки!$V260*Продажи!BG25*BG$19*(1+Чувствительность!$D$20)*IFERROR(LOOKUP(Предпосылки!$H$219,$C$13:$C$15,BG$13:BG$15),1)</f>
        <v>0</v>
      </c>
      <c s="125">
        <f>Предпосылки!BG$246*Предпосылки!$V260*Продажи!BH25*BH$19*(1+Чувствительность!$D$20)*IFERROR(LOOKUP(Предпосылки!$H$219,$C$13:$C$15,BH$13:BH$15),1)</f>
        <v>0</v>
      </c>
      <c s="125">
        <f>Предпосылки!BH$246*Предпосылки!$V260*Продажи!BI25*BI$19*(1+Чувствительность!$D$20)*IFERROR(LOOKUP(Предпосылки!$H$219,$C$13:$C$15,BI$13:BI$15),1)</f>
        <v>0</v>
      </c>
      <c s="125">
        <f>Предпосылки!BI$246*Предпосылки!$V260*Продажи!BJ25*BJ$19*(1+Чувствительность!$D$20)*IFERROR(LOOKUP(Предпосылки!$H$219,$C$13:$C$15,BJ$13:BJ$15),1)</f>
        <v>0</v>
      </c>
      <c s="125">
        <f>Предпосылки!BJ$246*Предпосылки!$V260*Продажи!BK25*BK$19*(1+Чувствительность!$D$20)*IFERROR(LOOKUP(Предпосылки!$H$219,$C$13:$C$15,BK$13:BK$15),1)</f>
        <v>0</v>
      </c>
      <c s="125">
        <f>Предпосылки!BK$246*Предпосылки!$V260*Продажи!BL25*BL$19*(1+Чувствительность!$D$20)*IFERROR(LOOKUP(Предпосылки!$H$219,$C$13:$C$15,BL$13:BL$15),1)</f>
        <v>0</v>
      </c>
      <c s="125">
        <f>Предпосылки!BL$246*Предпосылки!$V260*Продажи!BM25*BM$19*(1+Чувствительность!$D$20)*IFERROR(LOOKUP(Предпосылки!$H$219,$C$13:$C$15,BM$13:BM$15),1)</f>
        <v>0</v>
      </c>
    </row>
    <row r="445" spans="2:65" ht="15" customHeight="1">
      <c r="B445" s="12" t="str">
        <f t="shared" si="151"/>
        <v>Продукт 9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Предпосылки!D$246*Предпосылки!$V261*Продажи!E26*E$19*(1+Чувствительность!$D$20)*IFERROR(LOOKUP(Предпосылки!$H$219,$C$13:$C$15,E$13:E$15),1)</f>
        <v>0</v>
      </c>
      <c s="125">
        <f>Предпосылки!E$246*Предпосылки!$V261*Продажи!F26*F$19*(1+Чувствительность!$D$20)*IFERROR(LOOKUP(Предпосылки!$H$219,$C$13:$C$15,F$13:F$15),1)</f>
        <v>0</v>
      </c>
      <c s="125">
        <f>Предпосылки!F$246*Предпосылки!$V261*Продажи!G26*G$19*(1+Чувствительность!$D$20)*IFERROR(LOOKUP(Предпосылки!$H$219,$C$13:$C$15,G$13:G$15),1)</f>
        <v>0</v>
      </c>
      <c s="125">
        <f>Предпосылки!G$246*Предпосылки!$V261*Продажи!H26*H$19*(1+Чувствительность!$D$20)*IFERROR(LOOKUP(Предпосылки!$H$219,$C$13:$C$15,H$13:H$15),1)</f>
        <v>0</v>
      </c>
      <c s="125">
        <f>Предпосылки!H$246*Предпосылки!$V261*Продажи!I26*I$19*(1+Чувствительность!$D$20)*IFERROR(LOOKUP(Предпосылки!$H$219,$C$13:$C$15,I$13:I$15),1)</f>
        <v>0</v>
      </c>
      <c s="125">
        <f>Предпосылки!I$246*Предпосылки!$V261*Продажи!J26*J$19*(1+Чувствительность!$D$20)*IFERROR(LOOKUP(Предпосылки!$H$219,$C$13:$C$15,J$13:J$15),1)</f>
        <v>0</v>
      </c>
      <c s="125">
        <f>Предпосылки!J$246*Предпосылки!$V261*Продажи!K26*K$19*(1+Чувствительность!$D$20)*IFERROR(LOOKUP(Предпосылки!$H$219,$C$13:$C$15,K$13:K$15),1)</f>
        <v>0</v>
      </c>
      <c s="125">
        <f>Предпосылки!K$246*Предпосылки!$V261*Продажи!L26*L$19*(1+Чувствительность!$D$20)*IFERROR(LOOKUP(Предпосылки!$H$219,$C$13:$C$15,L$13:L$15),1)</f>
        <v>0</v>
      </c>
      <c s="125">
        <f>Предпосылки!L$246*Предпосылки!$V261*Продажи!M26*M$19*(1+Чувствительность!$D$20)*IFERROR(LOOKUP(Предпосылки!$H$219,$C$13:$C$15,M$13:M$15),1)</f>
        <v>0</v>
      </c>
      <c s="125">
        <f>Предпосылки!M$246*Предпосылки!$V261*Продажи!N26*N$19*(1+Чувствительность!$D$20)*IFERROR(LOOKUP(Предпосылки!$H$219,$C$13:$C$15,N$13:N$15),1)</f>
        <v>0</v>
      </c>
      <c s="125">
        <f>Предпосылки!N$246*Предпосылки!$V261*Продажи!O26*O$19*(1+Чувствительность!$D$20)*IFERROR(LOOKUP(Предпосылки!$H$219,$C$13:$C$15,O$13:O$15),1)</f>
        <v>0</v>
      </c>
      <c s="125">
        <f>Предпосылки!O$246*Предпосылки!$V261*Продажи!P26*P$19*(1+Чувствительность!$D$20)*IFERROR(LOOKUP(Предпосылки!$H$219,$C$13:$C$15,P$13:P$15),1)</f>
        <v>0</v>
      </c>
      <c s="125">
        <f>Предпосылки!P$246*Предпосылки!$V261*Продажи!Q26*Q$19*(1+Чувствительность!$D$20)*IFERROR(LOOKUP(Предпосылки!$H$219,$C$13:$C$15,Q$13:Q$15),1)</f>
        <v>0</v>
      </c>
      <c s="125">
        <f>Предпосылки!Q$246*Предпосылки!$V261*Продажи!R26*R$19*(1+Чувствительность!$D$20)*IFERROR(LOOKUP(Предпосылки!$H$219,$C$13:$C$15,R$13:R$15),1)</f>
        <v>0</v>
      </c>
      <c s="125">
        <f>Предпосылки!R$246*Предпосылки!$V261*Продажи!S26*S$19*(1+Чувствительность!$D$20)*IFERROR(LOOKUP(Предпосылки!$H$219,$C$13:$C$15,S$13:S$15),1)</f>
        <v>0</v>
      </c>
      <c s="125">
        <f>Предпосылки!S$246*Предпосылки!$V261*Продажи!T26*T$19*(1+Чувствительность!$D$20)*IFERROR(LOOKUP(Предпосылки!$H$219,$C$13:$C$15,T$13:T$15),1)</f>
        <v>0</v>
      </c>
      <c s="125">
        <f>Предпосылки!T$246*Предпосылки!$V261*Продажи!U26*U$19*(1+Чувствительность!$D$20)*IFERROR(LOOKUP(Предпосылки!$H$219,$C$13:$C$15,U$13:U$15),1)</f>
        <v>0</v>
      </c>
      <c s="125">
        <f>Предпосылки!U$246*Предпосылки!$V261*Продажи!V26*V$19*(1+Чувствительность!$D$20)*IFERROR(LOOKUP(Предпосылки!$H$219,$C$13:$C$15,V$13:V$15),1)</f>
        <v>0</v>
      </c>
      <c s="125">
        <f>Предпосылки!V$246*Предпосылки!$V261*Продажи!W26*W$19*(1+Чувствительность!$D$20)*IFERROR(LOOKUP(Предпосылки!$H$219,$C$13:$C$15,W$13:W$15),1)</f>
        <v>0</v>
      </c>
      <c s="125">
        <f>Предпосылки!W$246*Предпосылки!$V261*Продажи!X26*X$19*(1+Чувствительность!$D$20)*IFERROR(LOOKUP(Предпосылки!$H$219,$C$13:$C$15,X$13:X$15),1)</f>
        <v>0</v>
      </c>
      <c s="125">
        <f>Предпосылки!X$246*Предпосылки!$V261*Продажи!Y26*Y$19*(1+Чувствительность!$D$20)*IFERROR(LOOKUP(Предпосылки!$H$219,$C$13:$C$15,Y$13:Y$15),1)</f>
        <v>0</v>
      </c>
      <c s="125">
        <f>Предпосылки!Y$246*Предпосылки!$V261*Продажи!Z26*Z$19*(1+Чувствительность!$D$20)*IFERROR(LOOKUP(Предпосылки!$H$219,$C$13:$C$15,Z$13:Z$15),1)</f>
        <v>0</v>
      </c>
      <c s="125">
        <f>Предпосылки!Z$246*Предпосылки!$V261*Продажи!AA26*AA$19*(1+Чувствительность!$D$20)*IFERROR(LOOKUP(Предпосылки!$H$219,$C$13:$C$15,AA$13:AA$15),1)</f>
        <v>0</v>
      </c>
      <c s="125">
        <f>Предпосылки!AA$246*Предпосылки!$V261*Продажи!AB26*AB$19*(1+Чувствительность!$D$20)*IFERROR(LOOKUP(Предпосылки!$H$219,$C$13:$C$15,AB$13:AB$15),1)</f>
        <v>0</v>
      </c>
      <c s="125">
        <f>Предпосылки!AB$246*Предпосылки!$V261*Продажи!AC26*AC$19*(1+Чувствительность!$D$20)*IFERROR(LOOKUP(Предпосылки!$H$219,$C$13:$C$15,AC$13:AC$15),1)</f>
        <v>0</v>
      </c>
      <c s="125">
        <f>Предпосылки!AC$246*Предпосылки!$V261*Продажи!AD26*AD$19*(1+Чувствительность!$D$20)*IFERROR(LOOKUP(Предпосылки!$H$219,$C$13:$C$15,AD$13:AD$15),1)</f>
        <v>0</v>
      </c>
      <c s="125">
        <f>Предпосылки!AD$246*Предпосылки!$V261*Продажи!AE26*AE$19*(1+Чувствительность!$D$20)*IFERROR(LOOKUP(Предпосылки!$H$219,$C$13:$C$15,AE$13:AE$15),1)</f>
        <v>0</v>
      </c>
      <c s="125">
        <f>Предпосылки!AE$246*Предпосылки!$V261*Продажи!AF26*AF$19*(1+Чувствительность!$D$20)*IFERROR(LOOKUP(Предпосылки!$H$219,$C$13:$C$15,AF$13:AF$15),1)</f>
        <v>0</v>
      </c>
      <c s="125">
        <f>Предпосылки!AF$246*Предпосылки!$V261*Продажи!AG26*AG$19*(1+Чувствительность!$D$20)*IFERROR(LOOKUP(Предпосылки!$H$219,$C$13:$C$15,AG$13:AG$15),1)</f>
        <v>0</v>
      </c>
      <c s="125">
        <f>Предпосылки!AG$246*Предпосылки!$V261*Продажи!AH26*AH$19*(1+Чувствительность!$D$20)*IFERROR(LOOKUP(Предпосылки!$H$219,$C$13:$C$15,AH$13:AH$15),1)</f>
        <v>0</v>
      </c>
      <c s="125">
        <f>Предпосылки!AH$246*Предпосылки!$V261*Продажи!AI26*AI$19*(1+Чувствительность!$D$20)*IFERROR(LOOKUP(Предпосылки!$H$219,$C$13:$C$15,AI$13:AI$15),1)</f>
        <v>0</v>
      </c>
      <c s="125">
        <f>Предпосылки!AI$246*Предпосылки!$V261*Продажи!AJ26*AJ$19*(1+Чувствительность!$D$20)*IFERROR(LOOKUP(Предпосылки!$H$219,$C$13:$C$15,AJ$13:AJ$15),1)</f>
        <v>0</v>
      </c>
      <c s="125">
        <f>Предпосылки!AJ$246*Предпосылки!$V261*Продажи!AK26*AK$19*(1+Чувствительность!$D$20)*IFERROR(LOOKUP(Предпосылки!$H$219,$C$13:$C$15,AK$13:AK$15),1)</f>
        <v>0</v>
      </c>
      <c s="125">
        <f>Предпосылки!AK$246*Предпосылки!$V261*Продажи!AL26*AL$19*(1+Чувствительность!$D$20)*IFERROR(LOOKUP(Предпосылки!$H$219,$C$13:$C$15,AL$13:AL$15),1)</f>
        <v>0</v>
      </c>
      <c s="125">
        <f>Предпосылки!AL$246*Предпосылки!$V261*Продажи!AM26*AM$19*(1+Чувствительность!$D$20)*IFERROR(LOOKUP(Предпосылки!$H$219,$C$13:$C$15,AM$13:AM$15),1)</f>
        <v>0</v>
      </c>
      <c s="125">
        <f>Предпосылки!AM$246*Предпосылки!$V261*Продажи!AN26*AN$19*(1+Чувствительность!$D$20)*IFERROR(LOOKUP(Предпосылки!$H$219,$C$13:$C$15,AN$13:AN$15),1)</f>
        <v>0</v>
      </c>
      <c s="125">
        <f>Предпосылки!AN$246*Предпосылки!$V261*Продажи!AO26*AO$19*(1+Чувствительность!$D$20)*IFERROR(LOOKUP(Предпосылки!$H$219,$C$13:$C$15,AO$13:AO$15),1)</f>
        <v>0</v>
      </c>
      <c s="125">
        <f>Предпосылки!AO$246*Предпосылки!$V261*Продажи!AP26*AP$19*(1+Чувствительность!$D$20)*IFERROR(LOOKUP(Предпосылки!$H$219,$C$13:$C$15,AP$13:AP$15),1)</f>
        <v>0</v>
      </c>
      <c s="125">
        <f>Предпосылки!AP$246*Предпосылки!$V261*Продажи!AQ26*AQ$19*(1+Чувствительность!$D$20)*IFERROR(LOOKUP(Предпосылки!$H$219,$C$13:$C$15,AQ$13:AQ$15),1)</f>
        <v>0</v>
      </c>
      <c s="125">
        <f>Предпосылки!AQ$246*Предпосылки!$V261*Продажи!AR26*AR$19*(1+Чувствительность!$D$20)*IFERROR(LOOKUP(Предпосылки!$H$219,$C$13:$C$15,AR$13:AR$15),1)</f>
        <v>0</v>
      </c>
      <c s="125">
        <f>Предпосылки!AR$246*Предпосылки!$V261*Продажи!AS26*AS$19*(1+Чувствительность!$D$20)*IFERROR(LOOKUP(Предпосылки!$H$219,$C$13:$C$15,AS$13:AS$15),1)</f>
        <v>0</v>
      </c>
      <c s="125">
        <f>Предпосылки!AS$246*Предпосылки!$V261*Продажи!AT26*AT$19*(1+Чувствительность!$D$20)*IFERROR(LOOKUP(Предпосылки!$H$219,$C$13:$C$15,AT$13:AT$15),1)</f>
        <v>0</v>
      </c>
      <c s="125">
        <f>Предпосылки!AT$246*Предпосылки!$V261*Продажи!AU26*AU$19*(1+Чувствительность!$D$20)*IFERROR(LOOKUP(Предпосылки!$H$219,$C$13:$C$15,AU$13:AU$15),1)</f>
        <v>0</v>
      </c>
      <c s="125">
        <f>Предпосылки!AU$246*Предпосылки!$V261*Продажи!AV26*AV$19*(1+Чувствительность!$D$20)*IFERROR(LOOKUP(Предпосылки!$H$219,$C$13:$C$15,AV$13:AV$15),1)</f>
        <v>0</v>
      </c>
      <c s="125">
        <f>Предпосылки!AV$246*Предпосылки!$V261*Продажи!AW26*AW$19*(1+Чувствительность!$D$20)*IFERROR(LOOKUP(Предпосылки!$H$219,$C$13:$C$15,AW$13:AW$15),1)</f>
        <v>0</v>
      </c>
      <c s="125">
        <f>Предпосылки!AW$246*Предпосылки!$V261*Продажи!AX26*AX$19*(1+Чувствительность!$D$20)*IFERROR(LOOKUP(Предпосылки!$H$219,$C$13:$C$15,AX$13:AX$15),1)</f>
        <v>0</v>
      </c>
      <c s="125">
        <f>Предпосылки!AX$246*Предпосылки!$V261*Продажи!AY26*AY$19*(1+Чувствительность!$D$20)*IFERROR(LOOKUP(Предпосылки!$H$219,$C$13:$C$15,AY$13:AY$15),1)</f>
        <v>0</v>
      </c>
      <c s="125">
        <f>Предпосылки!AY$246*Предпосылки!$V261*Продажи!AZ26*AZ$19*(1+Чувствительность!$D$20)*IFERROR(LOOKUP(Предпосылки!$H$219,$C$13:$C$15,AZ$13:AZ$15),1)</f>
        <v>0</v>
      </c>
      <c s="125">
        <f>Предпосылки!AZ$246*Предпосылки!$V261*Продажи!BA26*BA$19*(1+Чувствительность!$D$20)*IFERROR(LOOKUP(Предпосылки!$H$219,$C$13:$C$15,BA$13:BA$15),1)</f>
        <v>0</v>
      </c>
      <c s="125">
        <f>Предпосылки!BA$246*Предпосылки!$V261*Продажи!BB26*BB$19*(1+Чувствительность!$D$20)*IFERROR(LOOKUP(Предпосылки!$H$219,$C$13:$C$15,BB$13:BB$15),1)</f>
        <v>0</v>
      </c>
      <c s="125">
        <f>Предпосылки!BB$246*Предпосылки!$V261*Продажи!BC26*BC$19*(1+Чувствительность!$D$20)*IFERROR(LOOKUP(Предпосылки!$H$219,$C$13:$C$15,BC$13:BC$15),1)</f>
        <v>0</v>
      </c>
      <c s="125">
        <f>Предпосылки!BC$246*Предпосылки!$V261*Продажи!BD26*BD$19*(1+Чувствительность!$D$20)*IFERROR(LOOKUP(Предпосылки!$H$219,$C$13:$C$15,BD$13:BD$15),1)</f>
        <v>0</v>
      </c>
      <c s="125">
        <f>Предпосылки!BD$246*Предпосылки!$V261*Продажи!BE26*BE$19*(1+Чувствительность!$D$20)*IFERROR(LOOKUP(Предпосылки!$H$219,$C$13:$C$15,BE$13:BE$15),1)</f>
        <v>0</v>
      </c>
      <c s="125">
        <f>Предпосылки!BE$246*Предпосылки!$V261*Продажи!BF26*BF$19*(1+Чувствительность!$D$20)*IFERROR(LOOKUP(Предпосылки!$H$219,$C$13:$C$15,BF$13:BF$15),1)</f>
        <v>0</v>
      </c>
      <c s="125">
        <f>Предпосылки!BF$246*Предпосылки!$V261*Продажи!BG26*BG$19*(1+Чувствительность!$D$20)*IFERROR(LOOKUP(Предпосылки!$H$219,$C$13:$C$15,BG$13:BG$15),1)</f>
        <v>0</v>
      </c>
      <c s="125">
        <f>Предпосылки!BG$246*Предпосылки!$V261*Продажи!BH26*BH$19*(1+Чувствительность!$D$20)*IFERROR(LOOKUP(Предпосылки!$H$219,$C$13:$C$15,BH$13:BH$15),1)</f>
        <v>0</v>
      </c>
      <c s="125">
        <f>Предпосылки!BH$246*Предпосылки!$V261*Продажи!BI26*BI$19*(1+Чувствительность!$D$20)*IFERROR(LOOKUP(Предпосылки!$H$219,$C$13:$C$15,BI$13:BI$15),1)</f>
        <v>0</v>
      </c>
      <c s="125">
        <f>Предпосылки!BI$246*Предпосылки!$V261*Продажи!BJ26*BJ$19*(1+Чувствительность!$D$20)*IFERROR(LOOKUP(Предпосылки!$H$219,$C$13:$C$15,BJ$13:BJ$15),1)</f>
        <v>0</v>
      </c>
      <c s="125">
        <f>Предпосылки!BJ$246*Предпосылки!$V261*Продажи!BK26*BK$19*(1+Чувствительность!$D$20)*IFERROR(LOOKUP(Предпосылки!$H$219,$C$13:$C$15,BK$13:BK$15),1)</f>
        <v>0</v>
      </c>
      <c s="125">
        <f>Предпосылки!BK$246*Предпосылки!$V261*Продажи!BL26*BL$19*(1+Чувствительность!$D$20)*IFERROR(LOOKUP(Предпосылки!$H$219,$C$13:$C$15,BL$13:BL$15),1)</f>
        <v>0</v>
      </c>
      <c s="125">
        <f>Предпосылки!BL$246*Предпосылки!$V261*Продажи!BM26*BM$19*(1+Чувствительность!$D$20)*IFERROR(LOOKUP(Предпосылки!$H$219,$C$13:$C$15,BM$13:BM$15),1)</f>
        <v>0</v>
      </c>
    </row>
    <row r="446" spans="2:65" ht="15" customHeight="1">
      <c r="B446" s="12" t="str">
        <f t="shared" si="151"/>
        <v>Продукт 10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Предпосылки!D$246*Предпосылки!$V262*Продажи!E27*E$19*(1+Чувствительность!$D$20)*IFERROR(LOOKUP(Предпосылки!$H$219,$C$13:$C$15,E$13:E$15),1)</f>
        <v>0</v>
      </c>
      <c s="125">
        <f>Предпосылки!E$246*Предпосылки!$V262*Продажи!F27*F$19*(1+Чувствительность!$D$20)*IFERROR(LOOKUP(Предпосылки!$H$219,$C$13:$C$15,F$13:F$15),1)</f>
        <v>0</v>
      </c>
      <c s="125">
        <f>Предпосылки!F$246*Предпосылки!$V262*Продажи!G27*G$19*(1+Чувствительность!$D$20)*IFERROR(LOOKUP(Предпосылки!$H$219,$C$13:$C$15,G$13:G$15),1)</f>
        <v>0</v>
      </c>
      <c s="125">
        <f>Предпосылки!G$246*Предпосылки!$V262*Продажи!H27*H$19*(1+Чувствительность!$D$20)*IFERROR(LOOKUP(Предпосылки!$H$219,$C$13:$C$15,H$13:H$15),1)</f>
        <v>0</v>
      </c>
      <c s="125">
        <f>Предпосылки!H$246*Предпосылки!$V262*Продажи!I27*I$19*(1+Чувствительность!$D$20)*IFERROR(LOOKUP(Предпосылки!$H$219,$C$13:$C$15,I$13:I$15),1)</f>
        <v>0</v>
      </c>
      <c s="125">
        <f>Предпосылки!I$246*Предпосылки!$V262*Продажи!J27*J$19*(1+Чувствительность!$D$20)*IFERROR(LOOKUP(Предпосылки!$H$219,$C$13:$C$15,J$13:J$15),1)</f>
        <v>0</v>
      </c>
      <c s="125">
        <f>Предпосылки!J$246*Предпосылки!$V262*Продажи!K27*K$19*(1+Чувствительность!$D$20)*IFERROR(LOOKUP(Предпосылки!$H$219,$C$13:$C$15,K$13:K$15),1)</f>
        <v>0</v>
      </c>
      <c s="125">
        <f>Предпосылки!K$246*Предпосылки!$V262*Продажи!L27*L$19*(1+Чувствительность!$D$20)*IFERROR(LOOKUP(Предпосылки!$H$219,$C$13:$C$15,L$13:L$15),1)</f>
        <v>0</v>
      </c>
      <c s="125">
        <f>Предпосылки!L$246*Предпосылки!$V262*Продажи!M27*M$19*(1+Чувствительность!$D$20)*IFERROR(LOOKUP(Предпосылки!$H$219,$C$13:$C$15,M$13:M$15),1)</f>
        <v>0</v>
      </c>
      <c s="125">
        <f>Предпосылки!M$246*Предпосылки!$V262*Продажи!N27*N$19*(1+Чувствительность!$D$20)*IFERROR(LOOKUP(Предпосылки!$H$219,$C$13:$C$15,N$13:N$15),1)</f>
        <v>0</v>
      </c>
      <c s="125">
        <f>Предпосылки!N$246*Предпосылки!$V262*Продажи!O27*O$19*(1+Чувствительность!$D$20)*IFERROR(LOOKUP(Предпосылки!$H$219,$C$13:$C$15,O$13:O$15),1)</f>
        <v>0</v>
      </c>
      <c s="125">
        <f>Предпосылки!O$246*Предпосылки!$V262*Продажи!P27*P$19*(1+Чувствительность!$D$20)*IFERROR(LOOKUP(Предпосылки!$H$219,$C$13:$C$15,P$13:P$15),1)</f>
        <v>0</v>
      </c>
      <c s="125">
        <f>Предпосылки!P$246*Предпосылки!$V262*Продажи!Q27*Q$19*(1+Чувствительность!$D$20)*IFERROR(LOOKUP(Предпосылки!$H$219,$C$13:$C$15,Q$13:Q$15),1)</f>
        <v>0</v>
      </c>
      <c s="125">
        <f>Предпосылки!Q$246*Предпосылки!$V262*Продажи!R27*R$19*(1+Чувствительность!$D$20)*IFERROR(LOOKUP(Предпосылки!$H$219,$C$13:$C$15,R$13:R$15),1)</f>
        <v>0</v>
      </c>
      <c s="125">
        <f>Предпосылки!R$246*Предпосылки!$V262*Продажи!S27*S$19*(1+Чувствительность!$D$20)*IFERROR(LOOKUP(Предпосылки!$H$219,$C$13:$C$15,S$13:S$15),1)</f>
        <v>0</v>
      </c>
      <c s="125">
        <f>Предпосылки!S$246*Предпосылки!$V262*Продажи!T27*T$19*(1+Чувствительность!$D$20)*IFERROR(LOOKUP(Предпосылки!$H$219,$C$13:$C$15,T$13:T$15),1)</f>
        <v>0</v>
      </c>
      <c s="125">
        <f>Предпосылки!T$246*Предпосылки!$V262*Продажи!U27*U$19*(1+Чувствительность!$D$20)*IFERROR(LOOKUP(Предпосылки!$H$219,$C$13:$C$15,U$13:U$15),1)</f>
        <v>0</v>
      </c>
      <c s="125">
        <f>Предпосылки!U$246*Предпосылки!$V262*Продажи!V27*V$19*(1+Чувствительность!$D$20)*IFERROR(LOOKUP(Предпосылки!$H$219,$C$13:$C$15,V$13:V$15),1)</f>
        <v>0</v>
      </c>
      <c s="125">
        <f>Предпосылки!V$246*Предпосылки!$V262*Продажи!W27*W$19*(1+Чувствительность!$D$20)*IFERROR(LOOKUP(Предпосылки!$H$219,$C$13:$C$15,W$13:W$15),1)</f>
        <v>0</v>
      </c>
      <c s="125">
        <f>Предпосылки!W$246*Предпосылки!$V262*Продажи!X27*X$19*(1+Чувствительность!$D$20)*IFERROR(LOOKUP(Предпосылки!$H$219,$C$13:$C$15,X$13:X$15),1)</f>
        <v>0</v>
      </c>
      <c s="125">
        <f>Предпосылки!X$246*Предпосылки!$V262*Продажи!Y27*Y$19*(1+Чувствительность!$D$20)*IFERROR(LOOKUP(Предпосылки!$H$219,$C$13:$C$15,Y$13:Y$15),1)</f>
        <v>0</v>
      </c>
      <c s="125">
        <f>Предпосылки!Y$246*Предпосылки!$V262*Продажи!Z27*Z$19*(1+Чувствительность!$D$20)*IFERROR(LOOKUP(Предпосылки!$H$219,$C$13:$C$15,Z$13:Z$15),1)</f>
        <v>0</v>
      </c>
      <c s="125">
        <f>Предпосылки!Z$246*Предпосылки!$V262*Продажи!AA27*AA$19*(1+Чувствительность!$D$20)*IFERROR(LOOKUP(Предпосылки!$H$219,$C$13:$C$15,AA$13:AA$15),1)</f>
        <v>0</v>
      </c>
      <c s="125">
        <f>Предпосылки!AA$246*Предпосылки!$V262*Продажи!AB27*AB$19*(1+Чувствительность!$D$20)*IFERROR(LOOKUP(Предпосылки!$H$219,$C$13:$C$15,AB$13:AB$15),1)</f>
        <v>0</v>
      </c>
      <c s="125">
        <f>Предпосылки!AB$246*Предпосылки!$V262*Продажи!AC27*AC$19*(1+Чувствительность!$D$20)*IFERROR(LOOKUP(Предпосылки!$H$219,$C$13:$C$15,AC$13:AC$15),1)</f>
        <v>0</v>
      </c>
      <c s="125">
        <f>Предпосылки!AC$246*Предпосылки!$V262*Продажи!AD27*AD$19*(1+Чувствительность!$D$20)*IFERROR(LOOKUP(Предпосылки!$H$219,$C$13:$C$15,AD$13:AD$15),1)</f>
        <v>0</v>
      </c>
      <c s="125">
        <f>Предпосылки!AD$246*Предпосылки!$V262*Продажи!AE27*AE$19*(1+Чувствительность!$D$20)*IFERROR(LOOKUP(Предпосылки!$H$219,$C$13:$C$15,AE$13:AE$15),1)</f>
        <v>0</v>
      </c>
      <c s="125">
        <f>Предпосылки!AE$246*Предпосылки!$V262*Продажи!AF27*AF$19*(1+Чувствительность!$D$20)*IFERROR(LOOKUP(Предпосылки!$H$219,$C$13:$C$15,AF$13:AF$15),1)</f>
        <v>0</v>
      </c>
      <c s="125">
        <f>Предпосылки!AF$246*Предпосылки!$V262*Продажи!AG27*AG$19*(1+Чувствительность!$D$20)*IFERROR(LOOKUP(Предпосылки!$H$219,$C$13:$C$15,AG$13:AG$15),1)</f>
        <v>0</v>
      </c>
      <c s="125">
        <f>Предпосылки!AG$246*Предпосылки!$V262*Продажи!AH27*AH$19*(1+Чувствительность!$D$20)*IFERROR(LOOKUP(Предпосылки!$H$219,$C$13:$C$15,AH$13:AH$15),1)</f>
        <v>0</v>
      </c>
      <c s="125">
        <f>Предпосылки!AH$246*Предпосылки!$V262*Продажи!AI27*AI$19*(1+Чувствительность!$D$20)*IFERROR(LOOKUP(Предпосылки!$H$219,$C$13:$C$15,AI$13:AI$15),1)</f>
        <v>0</v>
      </c>
      <c s="125">
        <f>Предпосылки!AI$246*Предпосылки!$V262*Продажи!AJ27*AJ$19*(1+Чувствительность!$D$20)*IFERROR(LOOKUP(Предпосылки!$H$219,$C$13:$C$15,AJ$13:AJ$15),1)</f>
        <v>0</v>
      </c>
      <c s="125">
        <f>Предпосылки!AJ$246*Предпосылки!$V262*Продажи!AK27*AK$19*(1+Чувствительность!$D$20)*IFERROR(LOOKUP(Предпосылки!$H$219,$C$13:$C$15,AK$13:AK$15),1)</f>
        <v>0</v>
      </c>
      <c s="125">
        <f>Предпосылки!AK$246*Предпосылки!$V262*Продажи!AL27*AL$19*(1+Чувствительность!$D$20)*IFERROR(LOOKUP(Предпосылки!$H$219,$C$13:$C$15,AL$13:AL$15),1)</f>
        <v>0</v>
      </c>
      <c s="125">
        <f>Предпосылки!AL$246*Предпосылки!$V262*Продажи!AM27*AM$19*(1+Чувствительность!$D$20)*IFERROR(LOOKUP(Предпосылки!$H$219,$C$13:$C$15,AM$13:AM$15),1)</f>
        <v>0</v>
      </c>
      <c s="125">
        <f>Предпосылки!AM$246*Предпосылки!$V262*Продажи!AN27*AN$19*(1+Чувствительность!$D$20)*IFERROR(LOOKUP(Предпосылки!$H$219,$C$13:$C$15,AN$13:AN$15),1)</f>
        <v>0</v>
      </c>
      <c s="125">
        <f>Предпосылки!AN$246*Предпосылки!$V262*Продажи!AO27*AO$19*(1+Чувствительность!$D$20)*IFERROR(LOOKUP(Предпосылки!$H$219,$C$13:$C$15,AO$13:AO$15),1)</f>
        <v>0</v>
      </c>
      <c s="125">
        <f>Предпосылки!AO$246*Предпосылки!$V262*Продажи!AP27*AP$19*(1+Чувствительность!$D$20)*IFERROR(LOOKUP(Предпосылки!$H$219,$C$13:$C$15,AP$13:AP$15),1)</f>
        <v>0</v>
      </c>
      <c s="125">
        <f>Предпосылки!AP$246*Предпосылки!$V262*Продажи!AQ27*AQ$19*(1+Чувствительность!$D$20)*IFERROR(LOOKUP(Предпосылки!$H$219,$C$13:$C$15,AQ$13:AQ$15),1)</f>
        <v>0</v>
      </c>
      <c s="125">
        <f>Предпосылки!AQ$246*Предпосылки!$V262*Продажи!AR27*AR$19*(1+Чувствительность!$D$20)*IFERROR(LOOKUP(Предпосылки!$H$219,$C$13:$C$15,AR$13:AR$15),1)</f>
        <v>0</v>
      </c>
      <c s="125">
        <f>Предпосылки!AR$246*Предпосылки!$V262*Продажи!AS27*AS$19*(1+Чувствительность!$D$20)*IFERROR(LOOKUP(Предпосылки!$H$219,$C$13:$C$15,AS$13:AS$15),1)</f>
        <v>0</v>
      </c>
      <c s="125">
        <f>Предпосылки!AS$246*Предпосылки!$V262*Продажи!AT27*AT$19*(1+Чувствительность!$D$20)*IFERROR(LOOKUP(Предпосылки!$H$219,$C$13:$C$15,AT$13:AT$15),1)</f>
        <v>0</v>
      </c>
      <c s="125">
        <f>Предпосылки!AT$246*Предпосылки!$V262*Продажи!AU27*AU$19*(1+Чувствительность!$D$20)*IFERROR(LOOKUP(Предпосылки!$H$219,$C$13:$C$15,AU$13:AU$15),1)</f>
        <v>0</v>
      </c>
      <c s="125">
        <f>Предпосылки!AU$246*Предпосылки!$V262*Продажи!AV27*AV$19*(1+Чувствительность!$D$20)*IFERROR(LOOKUP(Предпосылки!$H$219,$C$13:$C$15,AV$13:AV$15),1)</f>
        <v>0</v>
      </c>
      <c s="125">
        <f>Предпосылки!AV$246*Предпосылки!$V262*Продажи!AW27*AW$19*(1+Чувствительность!$D$20)*IFERROR(LOOKUP(Предпосылки!$H$219,$C$13:$C$15,AW$13:AW$15),1)</f>
        <v>0</v>
      </c>
      <c s="125">
        <f>Предпосылки!AW$246*Предпосылки!$V262*Продажи!AX27*AX$19*(1+Чувствительность!$D$20)*IFERROR(LOOKUP(Предпосылки!$H$219,$C$13:$C$15,AX$13:AX$15),1)</f>
        <v>0</v>
      </c>
      <c s="125">
        <f>Предпосылки!AX$246*Предпосылки!$V262*Продажи!AY27*AY$19*(1+Чувствительность!$D$20)*IFERROR(LOOKUP(Предпосылки!$H$219,$C$13:$C$15,AY$13:AY$15),1)</f>
        <v>0</v>
      </c>
      <c s="125">
        <f>Предпосылки!AY$246*Предпосылки!$V262*Продажи!AZ27*AZ$19*(1+Чувствительность!$D$20)*IFERROR(LOOKUP(Предпосылки!$H$219,$C$13:$C$15,AZ$13:AZ$15),1)</f>
        <v>0</v>
      </c>
      <c s="125">
        <f>Предпосылки!AZ$246*Предпосылки!$V262*Продажи!BA27*BA$19*(1+Чувствительность!$D$20)*IFERROR(LOOKUP(Предпосылки!$H$219,$C$13:$C$15,BA$13:BA$15),1)</f>
        <v>0</v>
      </c>
      <c s="125">
        <f>Предпосылки!BA$246*Предпосылки!$V262*Продажи!BB27*BB$19*(1+Чувствительность!$D$20)*IFERROR(LOOKUP(Предпосылки!$H$219,$C$13:$C$15,BB$13:BB$15),1)</f>
        <v>0</v>
      </c>
      <c s="125">
        <f>Предпосылки!BB$246*Предпосылки!$V262*Продажи!BC27*BC$19*(1+Чувствительность!$D$20)*IFERROR(LOOKUP(Предпосылки!$H$219,$C$13:$C$15,BC$13:BC$15),1)</f>
        <v>0</v>
      </c>
      <c s="125">
        <f>Предпосылки!BC$246*Предпосылки!$V262*Продажи!BD27*BD$19*(1+Чувствительность!$D$20)*IFERROR(LOOKUP(Предпосылки!$H$219,$C$13:$C$15,BD$13:BD$15),1)</f>
        <v>0</v>
      </c>
      <c s="125">
        <f>Предпосылки!BD$246*Предпосылки!$V262*Продажи!BE27*BE$19*(1+Чувствительность!$D$20)*IFERROR(LOOKUP(Предпосылки!$H$219,$C$13:$C$15,BE$13:BE$15),1)</f>
        <v>0</v>
      </c>
      <c s="125">
        <f>Предпосылки!BE$246*Предпосылки!$V262*Продажи!BF27*BF$19*(1+Чувствительность!$D$20)*IFERROR(LOOKUP(Предпосылки!$H$219,$C$13:$C$15,BF$13:BF$15),1)</f>
        <v>0</v>
      </c>
      <c s="125">
        <f>Предпосылки!BF$246*Предпосылки!$V262*Продажи!BG27*BG$19*(1+Чувствительность!$D$20)*IFERROR(LOOKUP(Предпосылки!$H$219,$C$13:$C$15,BG$13:BG$15),1)</f>
        <v>0</v>
      </c>
      <c s="125">
        <f>Предпосылки!BG$246*Предпосылки!$V262*Продажи!BH27*BH$19*(1+Чувствительность!$D$20)*IFERROR(LOOKUP(Предпосылки!$H$219,$C$13:$C$15,BH$13:BH$15),1)</f>
        <v>0</v>
      </c>
      <c s="125">
        <f>Предпосылки!BH$246*Предпосылки!$V262*Продажи!BI27*BI$19*(1+Чувствительность!$D$20)*IFERROR(LOOKUP(Предпосылки!$H$219,$C$13:$C$15,BI$13:BI$15),1)</f>
        <v>0</v>
      </c>
      <c s="125">
        <f>Предпосылки!BI$246*Предпосылки!$V262*Продажи!BJ27*BJ$19*(1+Чувствительность!$D$20)*IFERROR(LOOKUP(Предпосылки!$H$219,$C$13:$C$15,BJ$13:BJ$15),1)</f>
        <v>0</v>
      </c>
      <c s="125">
        <f>Предпосылки!BJ$246*Предпосылки!$V262*Продажи!BK27*BK$19*(1+Чувствительность!$D$20)*IFERROR(LOOKUP(Предпосылки!$H$219,$C$13:$C$15,BK$13:BK$15),1)</f>
        <v>0</v>
      </c>
      <c s="125">
        <f>Предпосылки!BK$246*Предпосылки!$V262*Продажи!BL27*BL$19*(1+Чувствительность!$D$20)*IFERROR(LOOKUP(Предпосылки!$H$219,$C$13:$C$15,BL$13:BL$15),1)</f>
        <v>0</v>
      </c>
      <c s="125">
        <f>Предпосылки!BL$246*Предпосылки!$V262*Продажи!BM27*BM$19*(1+Чувствительность!$D$20)*IFERROR(LOOKUP(Предпосылки!$H$219,$C$13:$C$15,BM$13:BM$15),1)</f>
        <v>0</v>
      </c>
    </row>
    <row r="447" spans="2:65" ht="15" customHeight="1">
      <c r="B447" s="12" t="str">
        <f t="shared" si="151"/>
        <v>Продукт 11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Предпосылки!D$246*Предпосылки!$V263*Продажи!E28*E$19*(1+Чувствительность!$D$20)*IFERROR(LOOKUP(Предпосылки!$H$219,$C$13:$C$15,E$13:E$15),1)</f>
        <v>0</v>
      </c>
      <c s="125">
        <f>Предпосылки!E$246*Предпосылки!$V263*Продажи!F28*F$19*(1+Чувствительность!$D$20)*IFERROR(LOOKUP(Предпосылки!$H$219,$C$13:$C$15,F$13:F$15),1)</f>
        <v>0</v>
      </c>
      <c s="125">
        <f>Предпосылки!F$246*Предпосылки!$V263*Продажи!G28*G$19*(1+Чувствительность!$D$20)*IFERROR(LOOKUP(Предпосылки!$H$219,$C$13:$C$15,G$13:G$15),1)</f>
        <v>0</v>
      </c>
      <c s="125">
        <f>Предпосылки!G$246*Предпосылки!$V263*Продажи!H28*H$19*(1+Чувствительность!$D$20)*IFERROR(LOOKUP(Предпосылки!$H$219,$C$13:$C$15,H$13:H$15),1)</f>
        <v>0</v>
      </c>
      <c s="125">
        <f>Предпосылки!H$246*Предпосылки!$V263*Продажи!I28*I$19*(1+Чувствительность!$D$20)*IFERROR(LOOKUP(Предпосылки!$H$219,$C$13:$C$15,I$13:I$15),1)</f>
        <v>0</v>
      </c>
      <c s="125">
        <f>Предпосылки!I$246*Предпосылки!$V263*Продажи!J28*J$19*(1+Чувствительность!$D$20)*IFERROR(LOOKUP(Предпосылки!$H$219,$C$13:$C$15,J$13:J$15),1)</f>
        <v>0</v>
      </c>
      <c s="125">
        <f>Предпосылки!J$246*Предпосылки!$V263*Продажи!K28*K$19*(1+Чувствительность!$D$20)*IFERROR(LOOKUP(Предпосылки!$H$219,$C$13:$C$15,K$13:K$15),1)</f>
        <v>0</v>
      </c>
      <c s="125">
        <f>Предпосылки!K$246*Предпосылки!$V263*Продажи!L28*L$19*(1+Чувствительность!$D$20)*IFERROR(LOOKUP(Предпосылки!$H$219,$C$13:$C$15,L$13:L$15),1)</f>
        <v>0</v>
      </c>
      <c s="125">
        <f>Предпосылки!L$246*Предпосылки!$V263*Продажи!M28*M$19*(1+Чувствительность!$D$20)*IFERROR(LOOKUP(Предпосылки!$H$219,$C$13:$C$15,M$13:M$15),1)</f>
        <v>0</v>
      </c>
      <c s="125">
        <f>Предпосылки!M$246*Предпосылки!$V263*Продажи!N28*N$19*(1+Чувствительность!$D$20)*IFERROR(LOOKUP(Предпосылки!$H$219,$C$13:$C$15,N$13:N$15),1)</f>
        <v>0</v>
      </c>
      <c s="125">
        <f>Предпосылки!N$246*Предпосылки!$V263*Продажи!O28*O$19*(1+Чувствительность!$D$20)*IFERROR(LOOKUP(Предпосылки!$H$219,$C$13:$C$15,O$13:O$15),1)</f>
        <v>0</v>
      </c>
      <c s="125">
        <f>Предпосылки!O$246*Предпосылки!$V263*Продажи!P28*P$19*(1+Чувствительность!$D$20)*IFERROR(LOOKUP(Предпосылки!$H$219,$C$13:$C$15,P$13:P$15),1)</f>
        <v>0</v>
      </c>
      <c s="125">
        <f>Предпосылки!P$246*Предпосылки!$V263*Продажи!Q28*Q$19*(1+Чувствительность!$D$20)*IFERROR(LOOKUP(Предпосылки!$H$219,$C$13:$C$15,Q$13:Q$15),1)</f>
        <v>0</v>
      </c>
      <c s="125">
        <f>Предпосылки!Q$246*Предпосылки!$V263*Продажи!R28*R$19*(1+Чувствительность!$D$20)*IFERROR(LOOKUP(Предпосылки!$H$219,$C$13:$C$15,R$13:R$15),1)</f>
        <v>0</v>
      </c>
      <c s="125">
        <f>Предпосылки!R$246*Предпосылки!$V263*Продажи!S28*S$19*(1+Чувствительность!$D$20)*IFERROR(LOOKUP(Предпосылки!$H$219,$C$13:$C$15,S$13:S$15),1)</f>
        <v>0</v>
      </c>
      <c s="125">
        <f>Предпосылки!S$246*Предпосылки!$V263*Продажи!T28*T$19*(1+Чувствительность!$D$20)*IFERROR(LOOKUP(Предпосылки!$H$219,$C$13:$C$15,T$13:T$15),1)</f>
        <v>0</v>
      </c>
      <c s="125">
        <f>Предпосылки!T$246*Предпосылки!$V263*Продажи!U28*U$19*(1+Чувствительность!$D$20)*IFERROR(LOOKUP(Предпосылки!$H$219,$C$13:$C$15,U$13:U$15),1)</f>
        <v>0</v>
      </c>
      <c s="125">
        <f>Предпосылки!U$246*Предпосылки!$V263*Продажи!V28*V$19*(1+Чувствительность!$D$20)*IFERROR(LOOKUP(Предпосылки!$H$219,$C$13:$C$15,V$13:V$15),1)</f>
        <v>0</v>
      </c>
      <c s="125">
        <f>Предпосылки!V$246*Предпосылки!$V263*Продажи!W28*W$19*(1+Чувствительность!$D$20)*IFERROR(LOOKUP(Предпосылки!$H$219,$C$13:$C$15,W$13:W$15),1)</f>
        <v>0</v>
      </c>
      <c s="125">
        <f>Предпосылки!W$246*Предпосылки!$V263*Продажи!X28*X$19*(1+Чувствительность!$D$20)*IFERROR(LOOKUP(Предпосылки!$H$219,$C$13:$C$15,X$13:X$15),1)</f>
        <v>0</v>
      </c>
      <c s="125">
        <f>Предпосылки!X$246*Предпосылки!$V263*Продажи!Y28*Y$19*(1+Чувствительность!$D$20)*IFERROR(LOOKUP(Предпосылки!$H$219,$C$13:$C$15,Y$13:Y$15),1)</f>
        <v>0</v>
      </c>
      <c s="125">
        <f>Предпосылки!Y$246*Предпосылки!$V263*Продажи!Z28*Z$19*(1+Чувствительность!$D$20)*IFERROR(LOOKUP(Предпосылки!$H$219,$C$13:$C$15,Z$13:Z$15),1)</f>
        <v>0</v>
      </c>
      <c s="125">
        <f>Предпосылки!Z$246*Предпосылки!$V263*Продажи!AA28*AA$19*(1+Чувствительность!$D$20)*IFERROR(LOOKUP(Предпосылки!$H$219,$C$13:$C$15,AA$13:AA$15),1)</f>
        <v>0</v>
      </c>
      <c s="125">
        <f>Предпосылки!AA$246*Предпосылки!$V263*Продажи!AB28*AB$19*(1+Чувствительность!$D$20)*IFERROR(LOOKUP(Предпосылки!$H$219,$C$13:$C$15,AB$13:AB$15),1)</f>
        <v>0</v>
      </c>
      <c s="125">
        <f>Предпосылки!AB$246*Предпосылки!$V263*Продажи!AC28*AC$19*(1+Чувствительность!$D$20)*IFERROR(LOOKUP(Предпосылки!$H$219,$C$13:$C$15,AC$13:AC$15),1)</f>
        <v>0</v>
      </c>
      <c s="125">
        <f>Предпосылки!AC$246*Предпосылки!$V263*Продажи!AD28*AD$19*(1+Чувствительность!$D$20)*IFERROR(LOOKUP(Предпосылки!$H$219,$C$13:$C$15,AD$13:AD$15),1)</f>
        <v>0</v>
      </c>
      <c s="125">
        <f>Предпосылки!AD$246*Предпосылки!$V263*Продажи!AE28*AE$19*(1+Чувствительность!$D$20)*IFERROR(LOOKUP(Предпосылки!$H$219,$C$13:$C$15,AE$13:AE$15),1)</f>
        <v>0</v>
      </c>
      <c s="125">
        <f>Предпосылки!AE$246*Предпосылки!$V263*Продажи!AF28*AF$19*(1+Чувствительность!$D$20)*IFERROR(LOOKUP(Предпосылки!$H$219,$C$13:$C$15,AF$13:AF$15),1)</f>
        <v>0</v>
      </c>
      <c s="125">
        <f>Предпосылки!AF$246*Предпосылки!$V263*Продажи!AG28*AG$19*(1+Чувствительность!$D$20)*IFERROR(LOOKUP(Предпосылки!$H$219,$C$13:$C$15,AG$13:AG$15),1)</f>
        <v>0</v>
      </c>
      <c s="125">
        <f>Предпосылки!AG$246*Предпосылки!$V263*Продажи!AH28*AH$19*(1+Чувствительность!$D$20)*IFERROR(LOOKUP(Предпосылки!$H$219,$C$13:$C$15,AH$13:AH$15),1)</f>
        <v>0</v>
      </c>
      <c s="125">
        <f>Предпосылки!AH$246*Предпосылки!$V263*Продажи!AI28*AI$19*(1+Чувствительность!$D$20)*IFERROR(LOOKUP(Предпосылки!$H$219,$C$13:$C$15,AI$13:AI$15),1)</f>
        <v>0</v>
      </c>
      <c s="125">
        <f>Предпосылки!AI$246*Предпосылки!$V263*Продажи!AJ28*AJ$19*(1+Чувствительность!$D$20)*IFERROR(LOOKUP(Предпосылки!$H$219,$C$13:$C$15,AJ$13:AJ$15),1)</f>
        <v>0</v>
      </c>
      <c s="125">
        <f>Предпосылки!AJ$246*Предпосылки!$V263*Продажи!AK28*AK$19*(1+Чувствительность!$D$20)*IFERROR(LOOKUP(Предпосылки!$H$219,$C$13:$C$15,AK$13:AK$15),1)</f>
        <v>0</v>
      </c>
      <c s="125">
        <f>Предпосылки!AK$246*Предпосылки!$V263*Продажи!AL28*AL$19*(1+Чувствительность!$D$20)*IFERROR(LOOKUP(Предпосылки!$H$219,$C$13:$C$15,AL$13:AL$15),1)</f>
        <v>0</v>
      </c>
      <c s="125">
        <f>Предпосылки!AL$246*Предпосылки!$V263*Продажи!AM28*AM$19*(1+Чувствительность!$D$20)*IFERROR(LOOKUP(Предпосылки!$H$219,$C$13:$C$15,AM$13:AM$15),1)</f>
        <v>0</v>
      </c>
      <c s="125">
        <f>Предпосылки!AM$246*Предпосылки!$V263*Продажи!AN28*AN$19*(1+Чувствительность!$D$20)*IFERROR(LOOKUP(Предпосылки!$H$219,$C$13:$C$15,AN$13:AN$15),1)</f>
        <v>0</v>
      </c>
      <c s="125">
        <f>Предпосылки!AN$246*Предпосылки!$V263*Продажи!AO28*AO$19*(1+Чувствительность!$D$20)*IFERROR(LOOKUP(Предпосылки!$H$219,$C$13:$C$15,AO$13:AO$15),1)</f>
        <v>0</v>
      </c>
      <c s="125">
        <f>Предпосылки!AO$246*Предпосылки!$V263*Продажи!AP28*AP$19*(1+Чувствительность!$D$20)*IFERROR(LOOKUP(Предпосылки!$H$219,$C$13:$C$15,AP$13:AP$15),1)</f>
        <v>0</v>
      </c>
      <c s="125">
        <f>Предпосылки!AP$246*Предпосылки!$V263*Продажи!AQ28*AQ$19*(1+Чувствительность!$D$20)*IFERROR(LOOKUP(Предпосылки!$H$219,$C$13:$C$15,AQ$13:AQ$15),1)</f>
        <v>0</v>
      </c>
      <c s="125">
        <f>Предпосылки!AQ$246*Предпосылки!$V263*Продажи!AR28*AR$19*(1+Чувствительность!$D$20)*IFERROR(LOOKUP(Предпосылки!$H$219,$C$13:$C$15,AR$13:AR$15),1)</f>
        <v>0</v>
      </c>
      <c s="125">
        <f>Предпосылки!AR$246*Предпосылки!$V263*Продажи!AS28*AS$19*(1+Чувствительность!$D$20)*IFERROR(LOOKUP(Предпосылки!$H$219,$C$13:$C$15,AS$13:AS$15),1)</f>
        <v>0</v>
      </c>
      <c s="125">
        <f>Предпосылки!AS$246*Предпосылки!$V263*Продажи!AT28*AT$19*(1+Чувствительность!$D$20)*IFERROR(LOOKUP(Предпосылки!$H$219,$C$13:$C$15,AT$13:AT$15),1)</f>
        <v>0</v>
      </c>
      <c s="125">
        <f>Предпосылки!AT$246*Предпосылки!$V263*Продажи!AU28*AU$19*(1+Чувствительность!$D$20)*IFERROR(LOOKUP(Предпосылки!$H$219,$C$13:$C$15,AU$13:AU$15),1)</f>
        <v>0</v>
      </c>
      <c s="125">
        <f>Предпосылки!AU$246*Предпосылки!$V263*Продажи!AV28*AV$19*(1+Чувствительность!$D$20)*IFERROR(LOOKUP(Предпосылки!$H$219,$C$13:$C$15,AV$13:AV$15),1)</f>
        <v>0</v>
      </c>
      <c s="125">
        <f>Предпосылки!AV$246*Предпосылки!$V263*Продажи!AW28*AW$19*(1+Чувствительность!$D$20)*IFERROR(LOOKUP(Предпосылки!$H$219,$C$13:$C$15,AW$13:AW$15),1)</f>
        <v>0</v>
      </c>
      <c s="125">
        <f>Предпосылки!AW$246*Предпосылки!$V263*Продажи!AX28*AX$19*(1+Чувствительность!$D$20)*IFERROR(LOOKUP(Предпосылки!$H$219,$C$13:$C$15,AX$13:AX$15),1)</f>
        <v>0</v>
      </c>
      <c s="125">
        <f>Предпосылки!AX$246*Предпосылки!$V263*Продажи!AY28*AY$19*(1+Чувствительность!$D$20)*IFERROR(LOOKUP(Предпосылки!$H$219,$C$13:$C$15,AY$13:AY$15),1)</f>
        <v>0</v>
      </c>
      <c s="125">
        <f>Предпосылки!AY$246*Предпосылки!$V263*Продажи!AZ28*AZ$19*(1+Чувствительность!$D$20)*IFERROR(LOOKUP(Предпосылки!$H$219,$C$13:$C$15,AZ$13:AZ$15),1)</f>
        <v>0</v>
      </c>
      <c s="125">
        <f>Предпосылки!AZ$246*Предпосылки!$V263*Продажи!BA28*BA$19*(1+Чувствительность!$D$20)*IFERROR(LOOKUP(Предпосылки!$H$219,$C$13:$C$15,BA$13:BA$15),1)</f>
        <v>0</v>
      </c>
      <c s="125">
        <f>Предпосылки!BA$246*Предпосылки!$V263*Продажи!BB28*BB$19*(1+Чувствительность!$D$20)*IFERROR(LOOKUP(Предпосылки!$H$219,$C$13:$C$15,BB$13:BB$15),1)</f>
        <v>0</v>
      </c>
      <c s="125">
        <f>Предпосылки!BB$246*Предпосылки!$V263*Продажи!BC28*BC$19*(1+Чувствительность!$D$20)*IFERROR(LOOKUP(Предпосылки!$H$219,$C$13:$C$15,BC$13:BC$15),1)</f>
        <v>0</v>
      </c>
      <c s="125">
        <f>Предпосылки!BC$246*Предпосылки!$V263*Продажи!BD28*BD$19*(1+Чувствительность!$D$20)*IFERROR(LOOKUP(Предпосылки!$H$219,$C$13:$C$15,BD$13:BD$15),1)</f>
        <v>0</v>
      </c>
      <c s="125">
        <f>Предпосылки!BD$246*Предпосылки!$V263*Продажи!BE28*BE$19*(1+Чувствительность!$D$20)*IFERROR(LOOKUP(Предпосылки!$H$219,$C$13:$C$15,BE$13:BE$15),1)</f>
        <v>0</v>
      </c>
      <c s="125">
        <f>Предпосылки!BE$246*Предпосылки!$V263*Продажи!BF28*BF$19*(1+Чувствительность!$D$20)*IFERROR(LOOKUP(Предпосылки!$H$219,$C$13:$C$15,BF$13:BF$15),1)</f>
        <v>0</v>
      </c>
      <c s="125">
        <f>Предпосылки!BF$246*Предпосылки!$V263*Продажи!BG28*BG$19*(1+Чувствительность!$D$20)*IFERROR(LOOKUP(Предпосылки!$H$219,$C$13:$C$15,BG$13:BG$15),1)</f>
        <v>0</v>
      </c>
      <c s="125">
        <f>Предпосылки!BG$246*Предпосылки!$V263*Продажи!BH28*BH$19*(1+Чувствительность!$D$20)*IFERROR(LOOKUP(Предпосылки!$H$219,$C$13:$C$15,BH$13:BH$15),1)</f>
        <v>0</v>
      </c>
      <c s="125">
        <f>Предпосылки!BH$246*Предпосылки!$V263*Продажи!BI28*BI$19*(1+Чувствительность!$D$20)*IFERROR(LOOKUP(Предпосылки!$H$219,$C$13:$C$15,BI$13:BI$15),1)</f>
        <v>0</v>
      </c>
      <c s="125">
        <f>Предпосылки!BI$246*Предпосылки!$V263*Продажи!BJ28*BJ$19*(1+Чувствительность!$D$20)*IFERROR(LOOKUP(Предпосылки!$H$219,$C$13:$C$15,BJ$13:BJ$15),1)</f>
        <v>0</v>
      </c>
      <c s="125">
        <f>Предпосылки!BJ$246*Предпосылки!$V263*Продажи!BK28*BK$19*(1+Чувствительность!$D$20)*IFERROR(LOOKUP(Предпосылки!$H$219,$C$13:$C$15,BK$13:BK$15),1)</f>
        <v>0</v>
      </c>
      <c s="125">
        <f>Предпосылки!BK$246*Предпосылки!$V263*Продажи!BL28*BL$19*(1+Чувствительность!$D$20)*IFERROR(LOOKUP(Предпосылки!$H$219,$C$13:$C$15,BL$13:BL$15),1)</f>
        <v>0</v>
      </c>
      <c s="125">
        <f>Предпосылки!BL$246*Предпосылки!$V263*Продажи!BM28*BM$19*(1+Чувствительность!$D$20)*IFERROR(LOOKUP(Предпосылки!$H$219,$C$13:$C$15,BM$13:BM$15),1)</f>
        <v>0</v>
      </c>
    </row>
    <row r="448" spans="2:65" ht="15" customHeight="1">
      <c r="B448" s="12" t="str">
        <f t="shared" si="151"/>
        <v>Продукт 12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Предпосылки!D$246*Предпосылки!$V264*Продажи!E29*E$19*(1+Чувствительность!$D$20)*IFERROR(LOOKUP(Предпосылки!$H$219,$C$13:$C$15,E$13:E$15),1)</f>
        <v>0</v>
      </c>
      <c s="125">
        <f>Предпосылки!E$246*Предпосылки!$V264*Продажи!F29*F$19*(1+Чувствительность!$D$20)*IFERROR(LOOKUP(Предпосылки!$H$219,$C$13:$C$15,F$13:F$15),1)</f>
        <v>0</v>
      </c>
      <c s="125">
        <f>Предпосылки!F$246*Предпосылки!$V264*Продажи!G29*G$19*(1+Чувствительность!$D$20)*IFERROR(LOOKUP(Предпосылки!$H$219,$C$13:$C$15,G$13:G$15),1)</f>
        <v>0</v>
      </c>
      <c s="125">
        <f>Предпосылки!G$246*Предпосылки!$V264*Продажи!H29*H$19*(1+Чувствительность!$D$20)*IFERROR(LOOKUP(Предпосылки!$H$219,$C$13:$C$15,H$13:H$15),1)</f>
        <v>0</v>
      </c>
      <c s="125">
        <f>Предпосылки!H$246*Предпосылки!$V264*Продажи!I29*I$19*(1+Чувствительность!$D$20)*IFERROR(LOOKUP(Предпосылки!$H$219,$C$13:$C$15,I$13:I$15),1)</f>
        <v>0</v>
      </c>
      <c s="125">
        <f>Предпосылки!I$246*Предпосылки!$V264*Продажи!J29*J$19*(1+Чувствительность!$D$20)*IFERROR(LOOKUP(Предпосылки!$H$219,$C$13:$C$15,J$13:J$15),1)</f>
        <v>0</v>
      </c>
      <c s="125">
        <f>Предпосылки!J$246*Предпосылки!$V264*Продажи!K29*K$19*(1+Чувствительность!$D$20)*IFERROR(LOOKUP(Предпосылки!$H$219,$C$13:$C$15,K$13:K$15),1)</f>
        <v>0</v>
      </c>
      <c s="125">
        <f>Предпосылки!K$246*Предпосылки!$V264*Продажи!L29*L$19*(1+Чувствительность!$D$20)*IFERROR(LOOKUP(Предпосылки!$H$219,$C$13:$C$15,L$13:L$15),1)</f>
        <v>0</v>
      </c>
      <c s="125">
        <f>Предпосылки!L$246*Предпосылки!$V264*Продажи!M29*M$19*(1+Чувствительность!$D$20)*IFERROR(LOOKUP(Предпосылки!$H$219,$C$13:$C$15,M$13:M$15),1)</f>
        <v>0</v>
      </c>
      <c s="125">
        <f>Предпосылки!M$246*Предпосылки!$V264*Продажи!N29*N$19*(1+Чувствительность!$D$20)*IFERROR(LOOKUP(Предпосылки!$H$219,$C$13:$C$15,N$13:N$15),1)</f>
        <v>0</v>
      </c>
      <c s="125">
        <f>Предпосылки!N$246*Предпосылки!$V264*Продажи!O29*O$19*(1+Чувствительность!$D$20)*IFERROR(LOOKUP(Предпосылки!$H$219,$C$13:$C$15,O$13:O$15),1)</f>
        <v>0</v>
      </c>
      <c s="125">
        <f>Предпосылки!O$246*Предпосылки!$V264*Продажи!P29*P$19*(1+Чувствительность!$D$20)*IFERROR(LOOKUP(Предпосылки!$H$219,$C$13:$C$15,P$13:P$15),1)</f>
        <v>0</v>
      </c>
      <c s="125">
        <f>Предпосылки!P$246*Предпосылки!$V264*Продажи!Q29*Q$19*(1+Чувствительность!$D$20)*IFERROR(LOOKUP(Предпосылки!$H$219,$C$13:$C$15,Q$13:Q$15),1)</f>
        <v>0</v>
      </c>
      <c s="125">
        <f>Предпосылки!Q$246*Предпосылки!$V264*Продажи!R29*R$19*(1+Чувствительность!$D$20)*IFERROR(LOOKUP(Предпосылки!$H$219,$C$13:$C$15,R$13:R$15),1)</f>
        <v>0</v>
      </c>
      <c s="125">
        <f>Предпосылки!R$246*Предпосылки!$V264*Продажи!S29*S$19*(1+Чувствительность!$D$20)*IFERROR(LOOKUP(Предпосылки!$H$219,$C$13:$C$15,S$13:S$15),1)</f>
        <v>0</v>
      </c>
      <c s="125">
        <f>Предпосылки!S$246*Предпосылки!$V264*Продажи!T29*T$19*(1+Чувствительность!$D$20)*IFERROR(LOOKUP(Предпосылки!$H$219,$C$13:$C$15,T$13:T$15),1)</f>
        <v>0</v>
      </c>
      <c s="125">
        <f>Предпосылки!T$246*Предпосылки!$V264*Продажи!U29*U$19*(1+Чувствительность!$D$20)*IFERROR(LOOKUP(Предпосылки!$H$219,$C$13:$C$15,U$13:U$15),1)</f>
        <v>0</v>
      </c>
      <c s="125">
        <f>Предпосылки!U$246*Предпосылки!$V264*Продажи!V29*V$19*(1+Чувствительность!$D$20)*IFERROR(LOOKUP(Предпосылки!$H$219,$C$13:$C$15,V$13:V$15),1)</f>
        <v>0</v>
      </c>
      <c s="125">
        <f>Предпосылки!V$246*Предпосылки!$V264*Продажи!W29*W$19*(1+Чувствительность!$D$20)*IFERROR(LOOKUP(Предпосылки!$H$219,$C$13:$C$15,W$13:W$15),1)</f>
        <v>0</v>
      </c>
      <c s="125">
        <f>Предпосылки!W$246*Предпосылки!$V264*Продажи!X29*X$19*(1+Чувствительность!$D$20)*IFERROR(LOOKUP(Предпосылки!$H$219,$C$13:$C$15,X$13:X$15),1)</f>
        <v>0</v>
      </c>
      <c s="125">
        <f>Предпосылки!X$246*Предпосылки!$V264*Продажи!Y29*Y$19*(1+Чувствительность!$D$20)*IFERROR(LOOKUP(Предпосылки!$H$219,$C$13:$C$15,Y$13:Y$15),1)</f>
        <v>0</v>
      </c>
      <c s="125">
        <f>Предпосылки!Y$246*Предпосылки!$V264*Продажи!Z29*Z$19*(1+Чувствительность!$D$20)*IFERROR(LOOKUP(Предпосылки!$H$219,$C$13:$C$15,Z$13:Z$15),1)</f>
        <v>0</v>
      </c>
      <c s="125">
        <f>Предпосылки!Z$246*Предпосылки!$V264*Продажи!AA29*AA$19*(1+Чувствительность!$D$20)*IFERROR(LOOKUP(Предпосылки!$H$219,$C$13:$C$15,AA$13:AA$15),1)</f>
        <v>0</v>
      </c>
      <c s="125">
        <f>Предпосылки!AA$246*Предпосылки!$V264*Продажи!AB29*AB$19*(1+Чувствительность!$D$20)*IFERROR(LOOKUP(Предпосылки!$H$219,$C$13:$C$15,AB$13:AB$15),1)</f>
        <v>0</v>
      </c>
      <c s="125">
        <f>Предпосылки!AB$246*Предпосылки!$V264*Продажи!AC29*AC$19*(1+Чувствительность!$D$20)*IFERROR(LOOKUP(Предпосылки!$H$219,$C$13:$C$15,AC$13:AC$15),1)</f>
        <v>0</v>
      </c>
      <c s="125">
        <f>Предпосылки!AC$246*Предпосылки!$V264*Продажи!AD29*AD$19*(1+Чувствительность!$D$20)*IFERROR(LOOKUP(Предпосылки!$H$219,$C$13:$C$15,AD$13:AD$15),1)</f>
        <v>0</v>
      </c>
      <c s="125">
        <f>Предпосылки!AD$246*Предпосылки!$V264*Продажи!AE29*AE$19*(1+Чувствительность!$D$20)*IFERROR(LOOKUP(Предпосылки!$H$219,$C$13:$C$15,AE$13:AE$15),1)</f>
        <v>0</v>
      </c>
      <c s="125">
        <f>Предпосылки!AE$246*Предпосылки!$V264*Продажи!AF29*AF$19*(1+Чувствительность!$D$20)*IFERROR(LOOKUP(Предпосылки!$H$219,$C$13:$C$15,AF$13:AF$15),1)</f>
        <v>0</v>
      </c>
      <c s="125">
        <f>Предпосылки!AF$246*Предпосылки!$V264*Продажи!AG29*AG$19*(1+Чувствительность!$D$20)*IFERROR(LOOKUP(Предпосылки!$H$219,$C$13:$C$15,AG$13:AG$15),1)</f>
        <v>0</v>
      </c>
      <c s="125">
        <f>Предпосылки!AG$246*Предпосылки!$V264*Продажи!AH29*AH$19*(1+Чувствительность!$D$20)*IFERROR(LOOKUP(Предпосылки!$H$219,$C$13:$C$15,AH$13:AH$15),1)</f>
        <v>0</v>
      </c>
      <c s="125">
        <f>Предпосылки!AH$246*Предпосылки!$V264*Продажи!AI29*AI$19*(1+Чувствительность!$D$20)*IFERROR(LOOKUP(Предпосылки!$H$219,$C$13:$C$15,AI$13:AI$15),1)</f>
        <v>0</v>
      </c>
      <c s="125">
        <f>Предпосылки!AI$246*Предпосылки!$V264*Продажи!AJ29*AJ$19*(1+Чувствительность!$D$20)*IFERROR(LOOKUP(Предпосылки!$H$219,$C$13:$C$15,AJ$13:AJ$15),1)</f>
        <v>0</v>
      </c>
      <c s="125">
        <f>Предпосылки!AJ$246*Предпосылки!$V264*Продажи!AK29*AK$19*(1+Чувствительность!$D$20)*IFERROR(LOOKUP(Предпосылки!$H$219,$C$13:$C$15,AK$13:AK$15),1)</f>
        <v>0</v>
      </c>
      <c s="125">
        <f>Предпосылки!AK$246*Предпосылки!$V264*Продажи!AL29*AL$19*(1+Чувствительность!$D$20)*IFERROR(LOOKUP(Предпосылки!$H$219,$C$13:$C$15,AL$13:AL$15),1)</f>
        <v>0</v>
      </c>
      <c s="125">
        <f>Предпосылки!AL$246*Предпосылки!$V264*Продажи!AM29*AM$19*(1+Чувствительность!$D$20)*IFERROR(LOOKUP(Предпосылки!$H$219,$C$13:$C$15,AM$13:AM$15),1)</f>
        <v>0</v>
      </c>
      <c s="125">
        <f>Предпосылки!AM$246*Предпосылки!$V264*Продажи!AN29*AN$19*(1+Чувствительность!$D$20)*IFERROR(LOOKUP(Предпосылки!$H$219,$C$13:$C$15,AN$13:AN$15),1)</f>
        <v>0</v>
      </c>
      <c s="125">
        <f>Предпосылки!AN$246*Предпосылки!$V264*Продажи!AO29*AO$19*(1+Чувствительность!$D$20)*IFERROR(LOOKUP(Предпосылки!$H$219,$C$13:$C$15,AO$13:AO$15),1)</f>
        <v>0</v>
      </c>
      <c s="125">
        <f>Предпосылки!AO$246*Предпосылки!$V264*Продажи!AP29*AP$19*(1+Чувствительность!$D$20)*IFERROR(LOOKUP(Предпосылки!$H$219,$C$13:$C$15,AP$13:AP$15),1)</f>
        <v>0</v>
      </c>
      <c s="125">
        <f>Предпосылки!AP$246*Предпосылки!$V264*Продажи!AQ29*AQ$19*(1+Чувствительность!$D$20)*IFERROR(LOOKUP(Предпосылки!$H$219,$C$13:$C$15,AQ$13:AQ$15),1)</f>
        <v>0</v>
      </c>
      <c s="125">
        <f>Предпосылки!AQ$246*Предпосылки!$V264*Продажи!AR29*AR$19*(1+Чувствительность!$D$20)*IFERROR(LOOKUP(Предпосылки!$H$219,$C$13:$C$15,AR$13:AR$15),1)</f>
        <v>0</v>
      </c>
      <c s="125">
        <f>Предпосылки!AR$246*Предпосылки!$V264*Продажи!AS29*AS$19*(1+Чувствительность!$D$20)*IFERROR(LOOKUP(Предпосылки!$H$219,$C$13:$C$15,AS$13:AS$15),1)</f>
        <v>0</v>
      </c>
      <c s="125">
        <f>Предпосылки!AS$246*Предпосылки!$V264*Продажи!AT29*AT$19*(1+Чувствительность!$D$20)*IFERROR(LOOKUP(Предпосылки!$H$219,$C$13:$C$15,AT$13:AT$15),1)</f>
        <v>0</v>
      </c>
      <c s="125">
        <f>Предпосылки!AT$246*Предпосылки!$V264*Продажи!AU29*AU$19*(1+Чувствительность!$D$20)*IFERROR(LOOKUP(Предпосылки!$H$219,$C$13:$C$15,AU$13:AU$15),1)</f>
        <v>0</v>
      </c>
      <c s="125">
        <f>Предпосылки!AU$246*Предпосылки!$V264*Продажи!AV29*AV$19*(1+Чувствительность!$D$20)*IFERROR(LOOKUP(Предпосылки!$H$219,$C$13:$C$15,AV$13:AV$15),1)</f>
        <v>0</v>
      </c>
      <c s="125">
        <f>Предпосылки!AV$246*Предпосылки!$V264*Продажи!AW29*AW$19*(1+Чувствительность!$D$20)*IFERROR(LOOKUP(Предпосылки!$H$219,$C$13:$C$15,AW$13:AW$15),1)</f>
        <v>0</v>
      </c>
      <c s="125">
        <f>Предпосылки!AW$246*Предпосылки!$V264*Продажи!AX29*AX$19*(1+Чувствительность!$D$20)*IFERROR(LOOKUP(Предпосылки!$H$219,$C$13:$C$15,AX$13:AX$15),1)</f>
        <v>0</v>
      </c>
      <c s="125">
        <f>Предпосылки!AX$246*Предпосылки!$V264*Продажи!AY29*AY$19*(1+Чувствительность!$D$20)*IFERROR(LOOKUP(Предпосылки!$H$219,$C$13:$C$15,AY$13:AY$15),1)</f>
        <v>0</v>
      </c>
      <c s="125">
        <f>Предпосылки!AY$246*Предпосылки!$V264*Продажи!AZ29*AZ$19*(1+Чувствительность!$D$20)*IFERROR(LOOKUP(Предпосылки!$H$219,$C$13:$C$15,AZ$13:AZ$15),1)</f>
        <v>0</v>
      </c>
      <c s="125">
        <f>Предпосылки!AZ$246*Предпосылки!$V264*Продажи!BA29*BA$19*(1+Чувствительность!$D$20)*IFERROR(LOOKUP(Предпосылки!$H$219,$C$13:$C$15,BA$13:BA$15),1)</f>
        <v>0</v>
      </c>
      <c s="125">
        <f>Предпосылки!BA$246*Предпосылки!$V264*Продажи!BB29*BB$19*(1+Чувствительность!$D$20)*IFERROR(LOOKUP(Предпосылки!$H$219,$C$13:$C$15,BB$13:BB$15),1)</f>
        <v>0</v>
      </c>
      <c s="125">
        <f>Предпосылки!BB$246*Предпосылки!$V264*Продажи!BC29*BC$19*(1+Чувствительность!$D$20)*IFERROR(LOOKUP(Предпосылки!$H$219,$C$13:$C$15,BC$13:BC$15),1)</f>
        <v>0</v>
      </c>
      <c s="125">
        <f>Предпосылки!BC$246*Предпосылки!$V264*Продажи!BD29*BD$19*(1+Чувствительность!$D$20)*IFERROR(LOOKUP(Предпосылки!$H$219,$C$13:$C$15,BD$13:BD$15),1)</f>
        <v>0</v>
      </c>
      <c s="125">
        <f>Предпосылки!BD$246*Предпосылки!$V264*Продажи!BE29*BE$19*(1+Чувствительность!$D$20)*IFERROR(LOOKUP(Предпосылки!$H$219,$C$13:$C$15,BE$13:BE$15),1)</f>
        <v>0</v>
      </c>
      <c s="125">
        <f>Предпосылки!BE$246*Предпосылки!$V264*Продажи!BF29*BF$19*(1+Чувствительность!$D$20)*IFERROR(LOOKUP(Предпосылки!$H$219,$C$13:$C$15,BF$13:BF$15),1)</f>
        <v>0</v>
      </c>
      <c s="125">
        <f>Предпосылки!BF$246*Предпосылки!$V264*Продажи!BG29*BG$19*(1+Чувствительность!$D$20)*IFERROR(LOOKUP(Предпосылки!$H$219,$C$13:$C$15,BG$13:BG$15),1)</f>
        <v>0</v>
      </c>
      <c s="125">
        <f>Предпосылки!BG$246*Предпосылки!$V264*Продажи!BH29*BH$19*(1+Чувствительность!$D$20)*IFERROR(LOOKUP(Предпосылки!$H$219,$C$13:$C$15,BH$13:BH$15),1)</f>
        <v>0</v>
      </c>
      <c s="125">
        <f>Предпосылки!BH$246*Предпосылки!$V264*Продажи!BI29*BI$19*(1+Чувствительность!$D$20)*IFERROR(LOOKUP(Предпосылки!$H$219,$C$13:$C$15,BI$13:BI$15),1)</f>
        <v>0</v>
      </c>
      <c s="125">
        <f>Предпосылки!BI$246*Предпосылки!$V264*Продажи!BJ29*BJ$19*(1+Чувствительность!$D$20)*IFERROR(LOOKUP(Предпосылки!$H$219,$C$13:$C$15,BJ$13:BJ$15),1)</f>
        <v>0</v>
      </c>
      <c s="125">
        <f>Предпосылки!BJ$246*Предпосылки!$V264*Продажи!BK29*BK$19*(1+Чувствительность!$D$20)*IFERROR(LOOKUP(Предпосылки!$H$219,$C$13:$C$15,BK$13:BK$15),1)</f>
        <v>0</v>
      </c>
      <c s="125">
        <f>Предпосылки!BK$246*Предпосылки!$V264*Продажи!BL29*BL$19*(1+Чувствительность!$D$20)*IFERROR(LOOKUP(Предпосылки!$H$219,$C$13:$C$15,BL$13:BL$15),1)</f>
        <v>0</v>
      </c>
      <c s="125">
        <f>Предпосылки!BL$246*Предпосылки!$V264*Продажи!BM29*BM$19*(1+Чувствительность!$D$20)*IFERROR(LOOKUP(Предпосылки!$H$219,$C$13:$C$15,BM$13:BM$15),1)</f>
        <v>0</v>
      </c>
    </row>
    <row r="449" spans="2:65" ht="15" customHeight="1">
      <c r="B449" s="12" t="str">
        <f t="shared" si="151"/>
        <v>Продукт 13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Предпосылки!D$246*Предпосылки!$V265*Продажи!E30*E$19*(1+Чувствительность!$D$20)*IFERROR(LOOKUP(Предпосылки!$H$219,$C$13:$C$15,E$13:E$15),1)</f>
        <v>0</v>
      </c>
      <c s="125">
        <f>Предпосылки!E$246*Предпосылки!$V265*Продажи!F30*F$19*(1+Чувствительность!$D$20)*IFERROR(LOOKUP(Предпосылки!$H$219,$C$13:$C$15,F$13:F$15),1)</f>
        <v>0</v>
      </c>
      <c s="125">
        <f>Предпосылки!F$246*Предпосылки!$V265*Продажи!G30*G$19*(1+Чувствительность!$D$20)*IFERROR(LOOKUP(Предпосылки!$H$219,$C$13:$C$15,G$13:G$15),1)</f>
        <v>0</v>
      </c>
      <c s="125">
        <f>Предпосылки!G$246*Предпосылки!$V265*Продажи!H30*H$19*(1+Чувствительность!$D$20)*IFERROR(LOOKUP(Предпосылки!$H$219,$C$13:$C$15,H$13:H$15),1)</f>
        <v>0</v>
      </c>
      <c s="125">
        <f>Предпосылки!H$246*Предпосылки!$V265*Продажи!I30*I$19*(1+Чувствительность!$D$20)*IFERROR(LOOKUP(Предпосылки!$H$219,$C$13:$C$15,I$13:I$15),1)</f>
        <v>0</v>
      </c>
      <c s="125">
        <f>Предпосылки!I$246*Предпосылки!$V265*Продажи!J30*J$19*(1+Чувствительность!$D$20)*IFERROR(LOOKUP(Предпосылки!$H$219,$C$13:$C$15,J$13:J$15),1)</f>
        <v>0</v>
      </c>
      <c s="125">
        <f>Предпосылки!J$246*Предпосылки!$V265*Продажи!K30*K$19*(1+Чувствительность!$D$20)*IFERROR(LOOKUP(Предпосылки!$H$219,$C$13:$C$15,K$13:K$15),1)</f>
        <v>0</v>
      </c>
      <c s="125">
        <f>Предпосылки!K$246*Предпосылки!$V265*Продажи!L30*L$19*(1+Чувствительность!$D$20)*IFERROR(LOOKUP(Предпосылки!$H$219,$C$13:$C$15,L$13:L$15),1)</f>
        <v>0</v>
      </c>
      <c s="125">
        <f>Предпосылки!L$246*Предпосылки!$V265*Продажи!M30*M$19*(1+Чувствительность!$D$20)*IFERROR(LOOKUP(Предпосылки!$H$219,$C$13:$C$15,M$13:M$15),1)</f>
        <v>0</v>
      </c>
      <c s="125">
        <f>Предпосылки!M$246*Предпосылки!$V265*Продажи!N30*N$19*(1+Чувствительность!$D$20)*IFERROR(LOOKUP(Предпосылки!$H$219,$C$13:$C$15,N$13:N$15),1)</f>
        <v>0</v>
      </c>
      <c s="125">
        <f>Предпосылки!N$246*Предпосылки!$V265*Продажи!O30*O$19*(1+Чувствительность!$D$20)*IFERROR(LOOKUP(Предпосылки!$H$219,$C$13:$C$15,O$13:O$15),1)</f>
        <v>0</v>
      </c>
      <c s="125">
        <f>Предпосылки!O$246*Предпосылки!$V265*Продажи!P30*P$19*(1+Чувствительность!$D$20)*IFERROR(LOOKUP(Предпосылки!$H$219,$C$13:$C$15,P$13:P$15),1)</f>
        <v>0</v>
      </c>
      <c s="125">
        <f>Предпосылки!P$246*Предпосылки!$V265*Продажи!Q30*Q$19*(1+Чувствительность!$D$20)*IFERROR(LOOKUP(Предпосылки!$H$219,$C$13:$C$15,Q$13:Q$15),1)</f>
        <v>0</v>
      </c>
      <c s="125">
        <f>Предпосылки!Q$246*Предпосылки!$V265*Продажи!R30*R$19*(1+Чувствительность!$D$20)*IFERROR(LOOKUP(Предпосылки!$H$219,$C$13:$C$15,R$13:R$15),1)</f>
        <v>0</v>
      </c>
      <c s="125">
        <f>Предпосылки!R$246*Предпосылки!$V265*Продажи!S30*S$19*(1+Чувствительность!$D$20)*IFERROR(LOOKUP(Предпосылки!$H$219,$C$13:$C$15,S$13:S$15),1)</f>
        <v>0</v>
      </c>
      <c s="125">
        <f>Предпосылки!S$246*Предпосылки!$V265*Продажи!T30*T$19*(1+Чувствительность!$D$20)*IFERROR(LOOKUP(Предпосылки!$H$219,$C$13:$C$15,T$13:T$15),1)</f>
        <v>0</v>
      </c>
      <c s="125">
        <f>Предпосылки!T$246*Предпосылки!$V265*Продажи!U30*U$19*(1+Чувствительность!$D$20)*IFERROR(LOOKUP(Предпосылки!$H$219,$C$13:$C$15,U$13:U$15),1)</f>
        <v>0</v>
      </c>
      <c s="125">
        <f>Предпосылки!U$246*Предпосылки!$V265*Продажи!V30*V$19*(1+Чувствительность!$D$20)*IFERROR(LOOKUP(Предпосылки!$H$219,$C$13:$C$15,V$13:V$15),1)</f>
        <v>0</v>
      </c>
      <c s="125">
        <f>Предпосылки!V$246*Предпосылки!$V265*Продажи!W30*W$19*(1+Чувствительность!$D$20)*IFERROR(LOOKUP(Предпосылки!$H$219,$C$13:$C$15,W$13:W$15),1)</f>
        <v>0</v>
      </c>
      <c s="125">
        <f>Предпосылки!W$246*Предпосылки!$V265*Продажи!X30*X$19*(1+Чувствительность!$D$20)*IFERROR(LOOKUP(Предпосылки!$H$219,$C$13:$C$15,X$13:X$15),1)</f>
        <v>0</v>
      </c>
      <c s="125">
        <f>Предпосылки!X$246*Предпосылки!$V265*Продажи!Y30*Y$19*(1+Чувствительность!$D$20)*IFERROR(LOOKUP(Предпосылки!$H$219,$C$13:$C$15,Y$13:Y$15),1)</f>
        <v>0</v>
      </c>
      <c s="125">
        <f>Предпосылки!Y$246*Предпосылки!$V265*Продажи!Z30*Z$19*(1+Чувствительность!$D$20)*IFERROR(LOOKUP(Предпосылки!$H$219,$C$13:$C$15,Z$13:Z$15),1)</f>
        <v>0</v>
      </c>
      <c s="125">
        <f>Предпосылки!Z$246*Предпосылки!$V265*Продажи!AA30*AA$19*(1+Чувствительность!$D$20)*IFERROR(LOOKUP(Предпосылки!$H$219,$C$13:$C$15,AA$13:AA$15),1)</f>
        <v>0</v>
      </c>
      <c s="125">
        <f>Предпосылки!AA$246*Предпосылки!$V265*Продажи!AB30*AB$19*(1+Чувствительность!$D$20)*IFERROR(LOOKUP(Предпосылки!$H$219,$C$13:$C$15,AB$13:AB$15),1)</f>
        <v>0</v>
      </c>
      <c s="125">
        <f>Предпосылки!AB$246*Предпосылки!$V265*Продажи!AC30*AC$19*(1+Чувствительность!$D$20)*IFERROR(LOOKUP(Предпосылки!$H$219,$C$13:$C$15,AC$13:AC$15),1)</f>
        <v>0</v>
      </c>
      <c s="125">
        <f>Предпосылки!AC$246*Предпосылки!$V265*Продажи!AD30*AD$19*(1+Чувствительность!$D$20)*IFERROR(LOOKUP(Предпосылки!$H$219,$C$13:$C$15,AD$13:AD$15),1)</f>
        <v>0</v>
      </c>
      <c s="125">
        <f>Предпосылки!AD$246*Предпосылки!$V265*Продажи!AE30*AE$19*(1+Чувствительность!$D$20)*IFERROR(LOOKUP(Предпосылки!$H$219,$C$13:$C$15,AE$13:AE$15),1)</f>
        <v>0</v>
      </c>
      <c s="125">
        <f>Предпосылки!AE$246*Предпосылки!$V265*Продажи!AF30*AF$19*(1+Чувствительность!$D$20)*IFERROR(LOOKUP(Предпосылки!$H$219,$C$13:$C$15,AF$13:AF$15),1)</f>
        <v>0</v>
      </c>
      <c s="125">
        <f>Предпосылки!AF$246*Предпосылки!$V265*Продажи!AG30*AG$19*(1+Чувствительность!$D$20)*IFERROR(LOOKUP(Предпосылки!$H$219,$C$13:$C$15,AG$13:AG$15),1)</f>
        <v>0</v>
      </c>
      <c s="125">
        <f>Предпосылки!AG$246*Предпосылки!$V265*Продажи!AH30*AH$19*(1+Чувствительность!$D$20)*IFERROR(LOOKUP(Предпосылки!$H$219,$C$13:$C$15,AH$13:AH$15),1)</f>
        <v>0</v>
      </c>
      <c s="125">
        <f>Предпосылки!AH$246*Предпосылки!$V265*Продажи!AI30*AI$19*(1+Чувствительность!$D$20)*IFERROR(LOOKUP(Предпосылки!$H$219,$C$13:$C$15,AI$13:AI$15),1)</f>
        <v>0</v>
      </c>
      <c s="125">
        <f>Предпосылки!AI$246*Предпосылки!$V265*Продажи!AJ30*AJ$19*(1+Чувствительность!$D$20)*IFERROR(LOOKUP(Предпосылки!$H$219,$C$13:$C$15,AJ$13:AJ$15),1)</f>
        <v>0</v>
      </c>
      <c s="125">
        <f>Предпосылки!AJ$246*Предпосылки!$V265*Продажи!AK30*AK$19*(1+Чувствительность!$D$20)*IFERROR(LOOKUP(Предпосылки!$H$219,$C$13:$C$15,AK$13:AK$15),1)</f>
        <v>0</v>
      </c>
      <c s="125">
        <f>Предпосылки!AK$246*Предпосылки!$V265*Продажи!AL30*AL$19*(1+Чувствительность!$D$20)*IFERROR(LOOKUP(Предпосылки!$H$219,$C$13:$C$15,AL$13:AL$15),1)</f>
        <v>0</v>
      </c>
      <c s="125">
        <f>Предпосылки!AL$246*Предпосылки!$V265*Продажи!AM30*AM$19*(1+Чувствительность!$D$20)*IFERROR(LOOKUP(Предпосылки!$H$219,$C$13:$C$15,AM$13:AM$15),1)</f>
        <v>0</v>
      </c>
      <c s="125">
        <f>Предпосылки!AM$246*Предпосылки!$V265*Продажи!AN30*AN$19*(1+Чувствительность!$D$20)*IFERROR(LOOKUP(Предпосылки!$H$219,$C$13:$C$15,AN$13:AN$15),1)</f>
        <v>0</v>
      </c>
      <c s="125">
        <f>Предпосылки!AN$246*Предпосылки!$V265*Продажи!AO30*AO$19*(1+Чувствительность!$D$20)*IFERROR(LOOKUP(Предпосылки!$H$219,$C$13:$C$15,AO$13:AO$15),1)</f>
        <v>0</v>
      </c>
      <c s="125">
        <f>Предпосылки!AO$246*Предпосылки!$V265*Продажи!AP30*AP$19*(1+Чувствительность!$D$20)*IFERROR(LOOKUP(Предпосылки!$H$219,$C$13:$C$15,AP$13:AP$15),1)</f>
        <v>0</v>
      </c>
      <c s="125">
        <f>Предпосылки!AP$246*Предпосылки!$V265*Продажи!AQ30*AQ$19*(1+Чувствительность!$D$20)*IFERROR(LOOKUP(Предпосылки!$H$219,$C$13:$C$15,AQ$13:AQ$15),1)</f>
        <v>0</v>
      </c>
      <c s="125">
        <f>Предпосылки!AQ$246*Предпосылки!$V265*Продажи!AR30*AR$19*(1+Чувствительность!$D$20)*IFERROR(LOOKUP(Предпосылки!$H$219,$C$13:$C$15,AR$13:AR$15),1)</f>
        <v>0</v>
      </c>
      <c s="125">
        <f>Предпосылки!AR$246*Предпосылки!$V265*Продажи!AS30*AS$19*(1+Чувствительность!$D$20)*IFERROR(LOOKUP(Предпосылки!$H$219,$C$13:$C$15,AS$13:AS$15),1)</f>
        <v>0</v>
      </c>
      <c s="125">
        <f>Предпосылки!AS$246*Предпосылки!$V265*Продажи!AT30*AT$19*(1+Чувствительность!$D$20)*IFERROR(LOOKUP(Предпосылки!$H$219,$C$13:$C$15,AT$13:AT$15),1)</f>
        <v>0</v>
      </c>
      <c s="125">
        <f>Предпосылки!AT$246*Предпосылки!$V265*Продажи!AU30*AU$19*(1+Чувствительность!$D$20)*IFERROR(LOOKUP(Предпосылки!$H$219,$C$13:$C$15,AU$13:AU$15),1)</f>
        <v>0</v>
      </c>
      <c s="125">
        <f>Предпосылки!AU$246*Предпосылки!$V265*Продажи!AV30*AV$19*(1+Чувствительность!$D$20)*IFERROR(LOOKUP(Предпосылки!$H$219,$C$13:$C$15,AV$13:AV$15),1)</f>
        <v>0</v>
      </c>
      <c s="125">
        <f>Предпосылки!AV$246*Предпосылки!$V265*Продажи!AW30*AW$19*(1+Чувствительность!$D$20)*IFERROR(LOOKUP(Предпосылки!$H$219,$C$13:$C$15,AW$13:AW$15),1)</f>
        <v>0</v>
      </c>
      <c s="125">
        <f>Предпосылки!AW$246*Предпосылки!$V265*Продажи!AX30*AX$19*(1+Чувствительность!$D$20)*IFERROR(LOOKUP(Предпосылки!$H$219,$C$13:$C$15,AX$13:AX$15),1)</f>
        <v>0</v>
      </c>
      <c s="125">
        <f>Предпосылки!AX$246*Предпосылки!$V265*Продажи!AY30*AY$19*(1+Чувствительность!$D$20)*IFERROR(LOOKUP(Предпосылки!$H$219,$C$13:$C$15,AY$13:AY$15),1)</f>
        <v>0</v>
      </c>
      <c s="125">
        <f>Предпосылки!AY$246*Предпосылки!$V265*Продажи!AZ30*AZ$19*(1+Чувствительность!$D$20)*IFERROR(LOOKUP(Предпосылки!$H$219,$C$13:$C$15,AZ$13:AZ$15),1)</f>
        <v>0</v>
      </c>
      <c s="125">
        <f>Предпосылки!AZ$246*Предпосылки!$V265*Продажи!BA30*BA$19*(1+Чувствительность!$D$20)*IFERROR(LOOKUP(Предпосылки!$H$219,$C$13:$C$15,BA$13:BA$15),1)</f>
        <v>0</v>
      </c>
      <c s="125">
        <f>Предпосылки!BA$246*Предпосылки!$V265*Продажи!BB30*BB$19*(1+Чувствительность!$D$20)*IFERROR(LOOKUP(Предпосылки!$H$219,$C$13:$C$15,BB$13:BB$15),1)</f>
        <v>0</v>
      </c>
      <c s="125">
        <f>Предпосылки!BB$246*Предпосылки!$V265*Продажи!BC30*BC$19*(1+Чувствительность!$D$20)*IFERROR(LOOKUP(Предпосылки!$H$219,$C$13:$C$15,BC$13:BC$15),1)</f>
        <v>0</v>
      </c>
      <c s="125">
        <f>Предпосылки!BC$246*Предпосылки!$V265*Продажи!BD30*BD$19*(1+Чувствительность!$D$20)*IFERROR(LOOKUP(Предпосылки!$H$219,$C$13:$C$15,BD$13:BD$15),1)</f>
        <v>0</v>
      </c>
      <c s="125">
        <f>Предпосылки!BD$246*Предпосылки!$V265*Продажи!BE30*BE$19*(1+Чувствительность!$D$20)*IFERROR(LOOKUP(Предпосылки!$H$219,$C$13:$C$15,BE$13:BE$15),1)</f>
        <v>0</v>
      </c>
      <c s="125">
        <f>Предпосылки!BE$246*Предпосылки!$V265*Продажи!BF30*BF$19*(1+Чувствительность!$D$20)*IFERROR(LOOKUP(Предпосылки!$H$219,$C$13:$C$15,BF$13:BF$15),1)</f>
        <v>0</v>
      </c>
      <c s="125">
        <f>Предпосылки!BF$246*Предпосылки!$V265*Продажи!BG30*BG$19*(1+Чувствительность!$D$20)*IFERROR(LOOKUP(Предпосылки!$H$219,$C$13:$C$15,BG$13:BG$15),1)</f>
        <v>0</v>
      </c>
      <c s="125">
        <f>Предпосылки!BG$246*Предпосылки!$V265*Продажи!BH30*BH$19*(1+Чувствительность!$D$20)*IFERROR(LOOKUP(Предпосылки!$H$219,$C$13:$C$15,BH$13:BH$15),1)</f>
        <v>0</v>
      </c>
      <c s="125">
        <f>Предпосылки!BH$246*Предпосылки!$V265*Продажи!BI30*BI$19*(1+Чувствительность!$D$20)*IFERROR(LOOKUP(Предпосылки!$H$219,$C$13:$C$15,BI$13:BI$15),1)</f>
        <v>0</v>
      </c>
      <c s="125">
        <f>Предпосылки!BI$246*Предпосылки!$V265*Продажи!BJ30*BJ$19*(1+Чувствительность!$D$20)*IFERROR(LOOKUP(Предпосылки!$H$219,$C$13:$C$15,BJ$13:BJ$15),1)</f>
        <v>0</v>
      </c>
      <c s="125">
        <f>Предпосылки!BJ$246*Предпосылки!$V265*Продажи!BK30*BK$19*(1+Чувствительность!$D$20)*IFERROR(LOOKUP(Предпосылки!$H$219,$C$13:$C$15,BK$13:BK$15),1)</f>
        <v>0</v>
      </c>
      <c s="125">
        <f>Предпосылки!BK$246*Предпосылки!$V265*Продажи!BL30*BL$19*(1+Чувствительность!$D$20)*IFERROR(LOOKUP(Предпосылки!$H$219,$C$13:$C$15,BL$13:BL$15),1)</f>
        <v>0</v>
      </c>
      <c s="125">
        <f>Предпосылки!BL$246*Предпосылки!$V265*Продажи!BM30*BM$19*(1+Чувствительность!$D$20)*IFERROR(LOOKUP(Предпосылки!$H$219,$C$13:$C$15,BM$13:BM$15),1)</f>
        <v>0</v>
      </c>
    </row>
    <row r="450" spans="2:65" ht="15" customHeight="1">
      <c r="B450" s="12" t="str">
        <f t="shared" si="151"/>
        <v>Продукт 14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Предпосылки!D$246*Предпосылки!$V266*Продажи!E31*E$19*(1+Чувствительность!$D$20)*IFERROR(LOOKUP(Предпосылки!$H$219,$C$13:$C$15,E$13:E$15),1)</f>
        <v>0</v>
      </c>
      <c s="125">
        <f>Предпосылки!E$246*Предпосылки!$V266*Продажи!F31*F$19*(1+Чувствительность!$D$20)*IFERROR(LOOKUP(Предпосылки!$H$219,$C$13:$C$15,F$13:F$15),1)</f>
        <v>0</v>
      </c>
      <c s="125">
        <f>Предпосылки!F$246*Предпосылки!$V266*Продажи!G31*G$19*(1+Чувствительность!$D$20)*IFERROR(LOOKUP(Предпосылки!$H$219,$C$13:$C$15,G$13:G$15),1)</f>
        <v>0</v>
      </c>
      <c s="125">
        <f>Предпосылки!G$246*Предпосылки!$V266*Продажи!H31*H$19*(1+Чувствительность!$D$20)*IFERROR(LOOKUP(Предпосылки!$H$219,$C$13:$C$15,H$13:H$15),1)</f>
        <v>0</v>
      </c>
      <c s="125">
        <f>Предпосылки!H$246*Предпосылки!$V266*Продажи!I31*I$19*(1+Чувствительность!$D$20)*IFERROR(LOOKUP(Предпосылки!$H$219,$C$13:$C$15,I$13:I$15),1)</f>
        <v>0</v>
      </c>
      <c s="125">
        <f>Предпосылки!I$246*Предпосылки!$V266*Продажи!J31*J$19*(1+Чувствительность!$D$20)*IFERROR(LOOKUP(Предпосылки!$H$219,$C$13:$C$15,J$13:J$15),1)</f>
        <v>0</v>
      </c>
      <c s="125">
        <f>Предпосылки!J$246*Предпосылки!$V266*Продажи!K31*K$19*(1+Чувствительность!$D$20)*IFERROR(LOOKUP(Предпосылки!$H$219,$C$13:$C$15,K$13:K$15),1)</f>
        <v>0</v>
      </c>
      <c s="125">
        <f>Предпосылки!K$246*Предпосылки!$V266*Продажи!L31*L$19*(1+Чувствительность!$D$20)*IFERROR(LOOKUP(Предпосылки!$H$219,$C$13:$C$15,L$13:L$15),1)</f>
        <v>0</v>
      </c>
      <c s="125">
        <f>Предпосылки!L$246*Предпосылки!$V266*Продажи!M31*M$19*(1+Чувствительность!$D$20)*IFERROR(LOOKUP(Предпосылки!$H$219,$C$13:$C$15,M$13:M$15),1)</f>
        <v>0</v>
      </c>
      <c s="125">
        <f>Предпосылки!M$246*Предпосылки!$V266*Продажи!N31*N$19*(1+Чувствительность!$D$20)*IFERROR(LOOKUP(Предпосылки!$H$219,$C$13:$C$15,N$13:N$15),1)</f>
        <v>0</v>
      </c>
      <c s="125">
        <f>Предпосылки!N$246*Предпосылки!$V266*Продажи!O31*O$19*(1+Чувствительность!$D$20)*IFERROR(LOOKUP(Предпосылки!$H$219,$C$13:$C$15,O$13:O$15),1)</f>
        <v>0</v>
      </c>
      <c s="125">
        <f>Предпосылки!O$246*Предпосылки!$V266*Продажи!P31*P$19*(1+Чувствительность!$D$20)*IFERROR(LOOKUP(Предпосылки!$H$219,$C$13:$C$15,P$13:P$15),1)</f>
        <v>0</v>
      </c>
      <c s="125">
        <f>Предпосылки!P$246*Предпосылки!$V266*Продажи!Q31*Q$19*(1+Чувствительность!$D$20)*IFERROR(LOOKUP(Предпосылки!$H$219,$C$13:$C$15,Q$13:Q$15),1)</f>
        <v>0</v>
      </c>
      <c s="125">
        <f>Предпосылки!Q$246*Предпосылки!$V266*Продажи!R31*R$19*(1+Чувствительность!$D$20)*IFERROR(LOOKUP(Предпосылки!$H$219,$C$13:$C$15,R$13:R$15),1)</f>
        <v>0</v>
      </c>
      <c s="125">
        <f>Предпосылки!R$246*Предпосылки!$V266*Продажи!S31*S$19*(1+Чувствительность!$D$20)*IFERROR(LOOKUP(Предпосылки!$H$219,$C$13:$C$15,S$13:S$15),1)</f>
        <v>0</v>
      </c>
      <c s="125">
        <f>Предпосылки!S$246*Предпосылки!$V266*Продажи!T31*T$19*(1+Чувствительность!$D$20)*IFERROR(LOOKUP(Предпосылки!$H$219,$C$13:$C$15,T$13:T$15),1)</f>
        <v>0</v>
      </c>
      <c s="125">
        <f>Предпосылки!T$246*Предпосылки!$V266*Продажи!U31*U$19*(1+Чувствительность!$D$20)*IFERROR(LOOKUP(Предпосылки!$H$219,$C$13:$C$15,U$13:U$15),1)</f>
        <v>0</v>
      </c>
      <c s="125">
        <f>Предпосылки!U$246*Предпосылки!$V266*Продажи!V31*V$19*(1+Чувствительность!$D$20)*IFERROR(LOOKUP(Предпосылки!$H$219,$C$13:$C$15,V$13:V$15),1)</f>
        <v>0</v>
      </c>
      <c s="125">
        <f>Предпосылки!V$246*Предпосылки!$V266*Продажи!W31*W$19*(1+Чувствительность!$D$20)*IFERROR(LOOKUP(Предпосылки!$H$219,$C$13:$C$15,W$13:W$15),1)</f>
        <v>0</v>
      </c>
      <c s="125">
        <f>Предпосылки!W$246*Предпосылки!$V266*Продажи!X31*X$19*(1+Чувствительность!$D$20)*IFERROR(LOOKUP(Предпосылки!$H$219,$C$13:$C$15,X$13:X$15),1)</f>
        <v>0</v>
      </c>
      <c s="125">
        <f>Предпосылки!X$246*Предпосылки!$V266*Продажи!Y31*Y$19*(1+Чувствительность!$D$20)*IFERROR(LOOKUP(Предпосылки!$H$219,$C$13:$C$15,Y$13:Y$15),1)</f>
        <v>0</v>
      </c>
      <c s="125">
        <f>Предпосылки!Y$246*Предпосылки!$V266*Продажи!Z31*Z$19*(1+Чувствительность!$D$20)*IFERROR(LOOKUP(Предпосылки!$H$219,$C$13:$C$15,Z$13:Z$15),1)</f>
        <v>0</v>
      </c>
      <c s="125">
        <f>Предпосылки!Z$246*Предпосылки!$V266*Продажи!AA31*AA$19*(1+Чувствительность!$D$20)*IFERROR(LOOKUP(Предпосылки!$H$219,$C$13:$C$15,AA$13:AA$15),1)</f>
        <v>0</v>
      </c>
      <c s="125">
        <f>Предпосылки!AA$246*Предпосылки!$V266*Продажи!AB31*AB$19*(1+Чувствительность!$D$20)*IFERROR(LOOKUP(Предпосылки!$H$219,$C$13:$C$15,AB$13:AB$15),1)</f>
        <v>0</v>
      </c>
      <c s="125">
        <f>Предпосылки!AB$246*Предпосылки!$V266*Продажи!AC31*AC$19*(1+Чувствительность!$D$20)*IFERROR(LOOKUP(Предпосылки!$H$219,$C$13:$C$15,AC$13:AC$15),1)</f>
        <v>0</v>
      </c>
      <c s="125">
        <f>Предпосылки!AC$246*Предпосылки!$V266*Продажи!AD31*AD$19*(1+Чувствительность!$D$20)*IFERROR(LOOKUP(Предпосылки!$H$219,$C$13:$C$15,AD$13:AD$15),1)</f>
        <v>0</v>
      </c>
      <c s="125">
        <f>Предпосылки!AD$246*Предпосылки!$V266*Продажи!AE31*AE$19*(1+Чувствительность!$D$20)*IFERROR(LOOKUP(Предпосылки!$H$219,$C$13:$C$15,AE$13:AE$15),1)</f>
        <v>0</v>
      </c>
      <c s="125">
        <f>Предпосылки!AE$246*Предпосылки!$V266*Продажи!AF31*AF$19*(1+Чувствительность!$D$20)*IFERROR(LOOKUP(Предпосылки!$H$219,$C$13:$C$15,AF$13:AF$15),1)</f>
        <v>0</v>
      </c>
      <c s="125">
        <f>Предпосылки!AF$246*Предпосылки!$V266*Продажи!AG31*AG$19*(1+Чувствительность!$D$20)*IFERROR(LOOKUP(Предпосылки!$H$219,$C$13:$C$15,AG$13:AG$15),1)</f>
        <v>0</v>
      </c>
      <c s="125">
        <f>Предпосылки!AG$246*Предпосылки!$V266*Продажи!AH31*AH$19*(1+Чувствительность!$D$20)*IFERROR(LOOKUP(Предпосылки!$H$219,$C$13:$C$15,AH$13:AH$15),1)</f>
        <v>0</v>
      </c>
      <c s="125">
        <f>Предпосылки!AH$246*Предпосылки!$V266*Продажи!AI31*AI$19*(1+Чувствительность!$D$20)*IFERROR(LOOKUP(Предпосылки!$H$219,$C$13:$C$15,AI$13:AI$15),1)</f>
        <v>0</v>
      </c>
      <c s="125">
        <f>Предпосылки!AI$246*Предпосылки!$V266*Продажи!AJ31*AJ$19*(1+Чувствительность!$D$20)*IFERROR(LOOKUP(Предпосылки!$H$219,$C$13:$C$15,AJ$13:AJ$15),1)</f>
        <v>0</v>
      </c>
      <c s="125">
        <f>Предпосылки!AJ$246*Предпосылки!$V266*Продажи!AK31*AK$19*(1+Чувствительность!$D$20)*IFERROR(LOOKUP(Предпосылки!$H$219,$C$13:$C$15,AK$13:AK$15),1)</f>
        <v>0</v>
      </c>
      <c s="125">
        <f>Предпосылки!AK$246*Предпосылки!$V266*Продажи!AL31*AL$19*(1+Чувствительность!$D$20)*IFERROR(LOOKUP(Предпосылки!$H$219,$C$13:$C$15,AL$13:AL$15),1)</f>
        <v>0</v>
      </c>
      <c s="125">
        <f>Предпосылки!AL$246*Предпосылки!$V266*Продажи!AM31*AM$19*(1+Чувствительность!$D$20)*IFERROR(LOOKUP(Предпосылки!$H$219,$C$13:$C$15,AM$13:AM$15),1)</f>
        <v>0</v>
      </c>
      <c s="125">
        <f>Предпосылки!AM$246*Предпосылки!$V266*Продажи!AN31*AN$19*(1+Чувствительность!$D$20)*IFERROR(LOOKUP(Предпосылки!$H$219,$C$13:$C$15,AN$13:AN$15),1)</f>
        <v>0</v>
      </c>
      <c s="125">
        <f>Предпосылки!AN$246*Предпосылки!$V266*Продажи!AO31*AO$19*(1+Чувствительность!$D$20)*IFERROR(LOOKUP(Предпосылки!$H$219,$C$13:$C$15,AO$13:AO$15),1)</f>
        <v>0</v>
      </c>
      <c s="125">
        <f>Предпосылки!AO$246*Предпосылки!$V266*Продажи!AP31*AP$19*(1+Чувствительность!$D$20)*IFERROR(LOOKUP(Предпосылки!$H$219,$C$13:$C$15,AP$13:AP$15),1)</f>
        <v>0</v>
      </c>
      <c s="125">
        <f>Предпосылки!AP$246*Предпосылки!$V266*Продажи!AQ31*AQ$19*(1+Чувствительность!$D$20)*IFERROR(LOOKUP(Предпосылки!$H$219,$C$13:$C$15,AQ$13:AQ$15),1)</f>
        <v>0</v>
      </c>
      <c s="125">
        <f>Предпосылки!AQ$246*Предпосылки!$V266*Продажи!AR31*AR$19*(1+Чувствительность!$D$20)*IFERROR(LOOKUP(Предпосылки!$H$219,$C$13:$C$15,AR$13:AR$15),1)</f>
        <v>0</v>
      </c>
      <c s="125">
        <f>Предпосылки!AR$246*Предпосылки!$V266*Продажи!AS31*AS$19*(1+Чувствительность!$D$20)*IFERROR(LOOKUP(Предпосылки!$H$219,$C$13:$C$15,AS$13:AS$15),1)</f>
        <v>0</v>
      </c>
      <c s="125">
        <f>Предпосылки!AS$246*Предпосылки!$V266*Продажи!AT31*AT$19*(1+Чувствительность!$D$20)*IFERROR(LOOKUP(Предпосылки!$H$219,$C$13:$C$15,AT$13:AT$15),1)</f>
        <v>0</v>
      </c>
      <c s="125">
        <f>Предпосылки!AT$246*Предпосылки!$V266*Продажи!AU31*AU$19*(1+Чувствительность!$D$20)*IFERROR(LOOKUP(Предпосылки!$H$219,$C$13:$C$15,AU$13:AU$15),1)</f>
        <v>0</v>
      </c>
      <c s="125">
        <f>Предпосылки!AU$246*Предпосылки!$V266*Продажи!AV31*AV$19*(1+Чувствительность!$D$20)*IFERROR(LOOKUP(Предпосылки!$H$219,$C$13:$C$15,AV$13:AV$15),1)</f>
        <v>0</v>
      </c>
      <c s="125">
        <f>Предпосылки!AV$246*Предпосылки!$V266*Продажи!AW31*AW$19*(1+Чувствительность!$D$20)*IFERROR(LOOKUP(Предпосылки!$H$219,$C$13:$C$15,AW$13:AW$15),1)</f>
        <v>0</v>
      </c>
      <c s="125">
        <f>Предпосылки!AW$246*Предпосылки!$V266*Продажи!AX31*AX$19*(1+Чувствительность!$D$20)*IFERROR(LOOKUP(Предпосылки!$H$219,$C$13:$C$15,AX$13:AX$15),1)</f>
        <v>0</v>
      </c>
      <c s="125">
        <f>Предпосылки!AX$246*Предпосылки!$V266*Продажи!AY31*AY$19*(1+Чувствительность!$D$20)*IFERROR(LOOKUP(Предпосылки!$H$219,$C$13:$C$15,AY$13:AY$15),1)</f>
        <v>0</v>
      </c>
      <c s="125">
        <f>Предпосылки!AY$246*Предпосылки!$V266*Продажи!AZ31*AZ$19*(1+Чувствительность!$D$20)*IFERROR(LOOKUP(Предпосылки!$H$219,$C$13:$C$15,AZ$13:AZ$15),1)</f>
        <v>0</v>
      </c>
      <c s="125">
        <f>Предпосылки!AZ$246*Предпосылки!$V266*Продажи!BA31*BA$19*(1+Чувствительность!$D$20)*IFERROR(LOOKUP(Предпосылки!$H$219,$C$13:$C$15,BA$13:BA$15),1)</f>
        <v>0</v>
      </c>
      <c s="125">
        <f>Предпосылки!BA$246*Предпосылки!$V266*Продажи!BB31*BB$19*(1+Чувствительность!$D$20)*IFERROR(LOOKUP(Предпосылки!$H$219,$C$13:$C$15,BB$13:BB$15),1)</f>
        <v>0</v>
      </c>
      <c s="125">
        <f>Предпосылки!BB$246*Предпосылки!$V266*Продажи!BC31*BC$19*(1+Чувствительность!$D$20)*IFERROR(LOOKUP(Предпосылки!$H$219,$C$13:$C$15,BC$13:BC$15),1)</f>
        <v>0</v>
      </c>
      <c s="125">
        <f>Предпосылки!BC$246*Предпосылки!$V266*Продажи!BD31*BD$19*(1+Чувствительность!$D$20)*IFERROR(LOOKUP(Предпосылки!$H$219,$C$13:$C$15,BD$13:BD$15),1)</f>
        <v>0</v>
      </c>
      <c s="125">
        <f>Предпосылки!BD$246*Предпосылки!$V266*Продажи!BE31*BE$19*(1+Чувствительность!$D$20)*IFERROR(LOOKUP(Предпосылки!$H$219,$C$13:$C$15,BE$13:BE$15),1)</f>
        <v>0</v>
      </c>
      <c s="125">
        <f>Предпосылки!BE$246*Предпосылки!$V266*Продажи!BF31*BF$19*(1+Чувствительность!$D$20)*IFERROR(LOOKUP(Предпосылки!$H$219,$C$13:$C$15,BF$13:BF$15),1)</f>
        <v>0</v>
      </c>
      <c s="125">
        <f>Предпосылки!BF$246*Предпосылки!$V266*Продажи!BG31*BG$19*(1+Чувствительность!$D$20)*IFERROR(LOOKUP(Предпосылки!$H$219,$C$13:$C$15,BG$13:BG$15),1)</f>
        <v>0</v>
      </c>
      <c s="125">
        <f>Предпосылки!BG$246*Предпосылки!$V266*Продажи!BH31*BH$19*(1+Чувствительность!$D$20)*IFERROR(LOOKUP(Предпосылки!$H$219,$C$13:$C$15,BH$13:BH$15),1)</f>
        <v>0</v>
      </c>
      <c s="125">
        <f>Предпосылки!BH$246*Предпосылки!$V266*Продажи!BI31*BI$19*(1+Чувствительность!$D$20)*IFERROR(LOOKUP(Предпосылки!$H$219,$C$13:$C$15,BI$13:BI$15),1)</f>
        <v>0</v>
      </c>
      <c s="125">
        <f>Предпосылки!BI$246*Предпосылки!$V266*Продажи!BJ31*BJ$19*(1+Чувствительность!$D$20)*IFERROR(LOOKUP(Предпосылки!$H$219,$C$13:$C$15,BJ$13:BJ$15),1)</f>
        <v>0</v>
      </c>
      <c s="125">
        <f>Предпосылки!BJ$246*Предпосылки!$V266*Продажи!BK31*BK$19*(1+Чувствительность!$D$20)*IFERROR(LOOKUP(Предпосылки!$H$219,$C$13:$C$15,BK$13:BK$15),1)</f>
        <v>0</v>
      </c>
      <c s="125">
        <f>Предпосылки!BK$246*Предпосылки!$V266*Продажи!BL31*BL$19*(1+Чувствительность!$D$20)*IFERROR(LOOKUP(Предпосылки!$H$219,$C$13:$C$15,BL$13:BL$15),1)</f>
        <v>0</v>
      </c>
      <c s="125">
        <f>Предпосылки!BL$246*Предпосылки!$V266*Продажи!BM31*BM$19*(1+Чувствительность!$D$20)*IFERROR(LOOKUP(Предпосылки!$H$219,$C$13:$C$15,BM$13:BM$15),1)</f>
        <v>0</v>
      </c>
    </row>
    <row r="451" spans="2:65" ht="15" customHeight="1">
      <c r="B451" s="12" t="str">
        <f t="shared" si="151"/>
        <v>Продукт 15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Предпосылки!D$246*Предпосылки!$V267*Продажи!E32*E$19*(1+Чувствительность!$D$20)*IFERROR(LOOKUP(Предпосылки!$H$219,$C$13:$C$15,E$13:E$15),1)</f>
        <v>0</v>
      </c>
      <c s="125">
        <f>Предпосылки!E$246*Предпосылки!$V267*Продажи!F32*F$19*(1+Чувствительность!$D$20)*IFERROR(LOOKUP(Предпосылки!$H$219,$C$13:$C$15,F$13:F$15),1)</f>
        <v>0</v>
      </c>
      <c s="125">
        <f>Предпосылки!F$246*Предпосылки!$V267*Продажи!G32*G$19*(1+Чувствительность!$D$20)*IFERROR(LOOKUP(Предпосылки!$H$219,$C$13:$C$15,G$13:G$15),1)</f>
        <v>0</v>
      </c>
      <c s="125">
        <f>Предпосылки!G$246*Предпосылки!$V267*Продажи!H32*H$19*(1+Чувствительность!$D$20)*IFERROR(LOOKUP(Предпосылки!$H$219,$C$13:$C$15,H$13:H$15),1)</f>
        <v>0</v>
      </c>
      <c s="125">
        <f>Предпосылки!H$246*Предпосылки!$V267*Продажи!I32*I$19*(1+Чувствительность!$D$20)*IFERROR(LOOKUP(Предпосылки!$H$219,$C$13:$C$15,I$13:I$15),1)</f>
        <v>0</v>
      </c>
      <c s="125">
        <f>Предпосылки!I$246*Предпосылки!$V267*Продажи!J32*J$19*(1+Чувствительность!$D$20)*IFERROR(LOOKUP(Предпосылки!$H$219,$C$13:$C$15,J$13:J$15),1)</f>
        <v>0</v>
      </c>
      <c s="125">
        <f>Предпосылки!J$246*Предпосылки!$V267*Продажи!K32*K$19*(1+Чувствительность!$D$20)*IFERROR(LOOKUP(Предпосылки!$H$219,$C$13:$C$15,K$13:K$15),1)</f>
        <v>0</v>
      </c>
      <c s="125">
        <f>Предпосылки!K$246*Предпосылки!$V267*Продажи!L32*L$19*(1+Чувствительность!$D$20)*IFERROR(LOOKUP(Предпосылки!$H$219,$C$13:$C$15,L$13:L$15),1)</f>
        <v>0</v>
      </c>
      <c s="125">
        <f>Предпосылки!L$246*Предпосылки!$V267*Продажи!M32*M$19*(1+Чувствительность!$D$20)*IFERROR(LOOKUP(Предпосылки!$H$219,$C$13:$C$15,M$13:M$15),1)</f>
        <v>0</v>
      </c>
      <c s="125">
        <f>Предпосылки!M$246*Предпосылки!$V267*Продажи!N32*N$19*(1+Чувствительность!$D$20)*IFERROR(LOOKUP(Предпосылки!$H$219,$C$13:$C$15,N$13:N$15),1)</f>
        <v>0</v>
      </c>
      <c s="125">
        <f>Предпосылки!N$246*Предпосылки!$V267*Продажи!O32*O$19*(1+Чувствительность!$D$20)*IFERROR(LOOKUP(Предпосылки!$H$219,$C$13:$C$15,O$13:O$15),1)</f>
        <v>0</v>
      </c>
      <c s="125">
        <f>Предпосылки!O$246*Предпосылки!$V267*Продажи!P32*P$19*(1+Чувствительность!$D$20)*IFERROR(LOOKUP(Предпосылки!$H$219,$C$13:$C$15,P$13:P$15),1)</f>
        <v>0</v>
      </c>
      <c s="125">
        <f>Предпосылки!P$246*Предпосылки!$V267*Продажи!Q32*Q$19*(1+Чувствительность!$D$20)*IFERROR(LOOKUP(Предпосылки!$H$219,$C$13:$C$15,Q$13:Q$15),1)</f>
        <v>0</v>
      </c>
      <c s="125">
        <f>Предпосылки!Q$246*Предпосылки!$V267*Продажи!R32*R$19*(1+Чувствительность!$D$20)*IFERROR(LOOKUP(Предпосылки!$H$219,$C$13:$C$15,R$13:R$15),1)</f>
        <v>0</v>
      </c>
      <c s="125">
        <f>Предпосылки!R$246*Предпосылки!$V267*Продажи!S32*S$19*(1+Чувствительность!$D$20)*IFERROR(LOOKUP(Предпосылки!$H$219,$C$13:$C$15,S$13:S$15),1)</f>
        <v>0</v>
      </c>
      <c s="125">
        <f>Предпосылки!S$246*Предпосылки!$V267*Продажи!T32*T$19*(1+Чувствительность!$D$20)*IFERROR(LOOKUP(Предпосылки!$H$219,$C$13:$C$15,T$13:T$15),1)</f>
        <v>0</v>
      </c>
      <c s="125">
        <f>Предпосылки!T$246*Предпосылки!$V267*Продажи!U32*U$19*(1+Чувствительность!$D$20)*IFERROR(LOOKUP(Предпосылки!$H$219,$C$13:$C$15,U$13:U$15),1)</f>
        <v>0</v>
      </c>
      <c s="125">
        <f>Предпосылки!U$246*Предпосылки!$V267*Продажи!V32*V$19*(1+Чувствительность!$D$20)*IFERROR(LOOKUP(Предпосылки!$H$219,$C$13:$C$15,V$13:V$15),1)</f>
        <v>0</v>
      </c>
      <c s="125">
        <f>Предпосылки!V$246*Предпосылки!$V267*Продажи!W32*W$19*(1+Чувствительность!$D$20)*IFERROR(LOOKUP(Предпосылки!$H$219,$C$13:$C$15,W$13:W$15),1)</f>
        <v>0</v>
      </c>
      <c s="125">
        <f>Предпосылки!W$246*Предпосылки!$V267*Продажи!X32*X$19*(1+Чувствительность!$D$20)*IFERROR(LOOKUP(Предпосылки!$H$219,$C$13:$C$15,X$13:X$15),1)</f>
        <v>0</v>
      </c>
      <c s="125">
        <f>Предпосылки!X$246*Предпосылки!$V267*Продажи!Y32*Y$19*(1+Чувствительность!$D$20)*IFERROR(LOOKUP(Предпосылки!$H$219,$C$13:$C$15,Y$13:Y$15),1)</f>
        <v>0</v>
      </c>
      <c s="125">
        <f>Предпосылки!Y$246*Предпосылки!$V267*Продажи!Z32*Z$19*(1+Чувствительность!$D$20)*IFERROR(LOOKUP(Предпосылки!$H$219,$C$13:$C$15,Z$13:Z$15),1)</f>
        <v>0</v>
      </c>
      <c s="125">
        <f>Предпосылки!Z$246*Предпосылки!$V267*Продажи!AA32*AA$19*(1+Чувствительность!$D$20)*IFERROR(LOOKUP(Предпосылки!$H$219,$C$13:$C$15,AA$13:AA$15),1)</f>
        <v>0</v>
      </c>
      <c s="125">
        <f>Предпосылки!AA$246*Предпосылки!$V267*Продажи!AB32*AB$19*(1+Чувствительность!$D$20)*IFERROR(LOOKUP(Предпосылки!$H$219,$C$13:$C$15,AB$13:AB$15),1)</f>
        <v>0</v>
      </c>
      <c s="125">
        <f>Предпосылки!AB$246*Предпосылки!$V267*Продажи!AC32*AC$19*(1+Чувствительность!$D$20)*IFERROR(LOOKUP(Предпосылки!$H$219,$C$13:$C$15,AC$13:AC$15),1)</f>
        <v>0</v>
      </c>
      <c s="125">
        <f>Предпосылки!AC$246*Предпосылки!$V267*Продажи!AD32*AD$19*(1+Чувствительность!$D$20)*IFERROR(LOOKUP(Предпосылки!$H$219,$C$13:$C$15,AD$13:AD$15),1)</f>
        <v>0</v>
      </c>
      <c s="125">
        <f>Предпосылки!AD$246*Предпосылки!$V267*Продажи!AE32*AE$19*(1+Чувствительность!$D$20)*IFERROR(LOOKUP(Предпосылки!$H$219,$C$13:$C$15,AE$13:AE$15),1)</f>
        <v>0</v>
      </c>
      <c s="125">
        <f>Предпосылки!AE$246*Предпосылки!$V267*Продажи!AF32*AF$19*(1+Чувствительность!$D$20)*IFERROR(LOOKUP(Предпосылки!$H$219,$C$13:$C$15,AF$13:AF$15),1)</f>
        <v>0</v>
      </c>
      <c s="125">
        <f>Предпосылки!AF$246*Предпосылки!$V267*Продажи!AG32*AG$19*(1+Чувствительность!$D$20)*IFERROR(LOOKUP(Предпосылки!$H$219,$C$13:$C$15,AG$13:AG$15),1)</f>
        <v>0</v>
      </c>
      <c s="125">
        <f>Предпосылки!AG$246*Предпосылки!$V267*Продажи!AH32*AH$19*(1+Чувствительность!$D$20)*IFERROR(LOOKUP(Предпосылки!$H$219,$C$13:$C$15,AH$13:AH$15),1)</f>
        <v>0</v>
      </c>
      <c s="125">
        <f>Предпосылки!AH$246*Предпосылки!$V267*Продажи!AI32*AI$19*(1+Чувствительность!$D$20)*IFERROR(LOOKUP(Предпосылки!$H$219,$C$13:$C$15,AI$13:AI$15),1)</f>
        <v>0</v>
      </c>
      <c s="125">
        <f>Предпосылки!AI$246*Предпосылки!$V267*Продажи!AJ32*AJ$19*(1+Чувствительность!$D$20)*IFERROR(LOOKUP(Предпосылки!$H$219,$C$13:$C$15,AJ$13:AJ$15),1)</f>
        <v>0</v>
      </c>
      <c s="125">
        <f>Предпосылки!AJ$246*Предпосылки!$V267*Продажи!AK32*AK$19*(1+Чувствительность!$D$20)*IFERROR(LOOKUP(Предпосылки!$H$219,$C$13:$C$15,AK$13:AK$15),1)</f>
        <v>0</v>
      </c>
      <c s="125">
        <f>Предпосылки!AK$246*Предпосылки!$V267*Продажи!AL32*AL$19*(1+Чувствительность!$D$20)*IFERROR(LOOKUP(Предпосылки!$H$219,$C$13:$C$15,AL$13:AL$15),1)</f>
        <v>0</v>
      </c>
      <c s="125">
        <f>Предпосылки!AL$246*Предпосылки!$V267*Продажи!AM32*AM$19*(1+Чувствительность!$D$20)*IFERROR(LOOKUP(Предпосылки!$H$219,$C$13:$C$15,AM$13:AM$15),1)</f>
        <v>0</v>
      </c>
      <c s="125">
        <f>Предпосылки!AM$246*Предпосылки!$V267*Продажи!AN32*AN$19*(1+Чувствительность!$D$20)*IFERROR(LOOKUP(Предпосылки!$H$219,$C$13:$C$15,AN$13:AN$15),1)</f>
        <v>0</v>
      </c>
      <c s="125">
        <f>Предпосылки!AN$246*Предпосылки!$V267*Продажи!AO32*AO$19*(1+Чувствительность!$D$20)*IFERROR(LOOKUP(Предпосылки!$H$219,$C$13:$C$15,AO$13:AO$15),1)</f>
        <v>0</v>
      </c>
      <c s="125">
        <f>Предпосылки!AO$246*Предпосылки!$V267*Продажи!AP32*AP$19*(1+Чувствительность!$D$20)*IFERROR(LOOKUP(Предпосылки!$H$219,$C$13:$C$15,AP$13:AP$15),1)</f>
        <v>0</v>
      </c>
      <c s="125">
        <f>Предпосылки!AP$246*Предпосылки!$V267*Продажи!AQ32*AQ$19*(1+Чувствительность!$D$20)*IFERROR(LOOKUP(Предпосылки!$H$219,$C$13:$C$15,AQ$13:AQ$15),1)</f>
        <v>0</v>
      </c>
      <c s="125">
        <f>Предпосылки!AQ$246*Предпосылки!$V267*Продажи!AR32*AR$19*(1+Чувствительность!$D$20)*IFERROR(LOOKUP(Предпосылки!$H$219,$C$13:$C$15,AR$13:AR$15),1)</f>
        <v>0</v>
      </c>
      <c s="125">
        <f>Предпосылки!AR$246*Предпосылки!$V267*Продажи!AS32*AS$19*(1+Чувствительность!$D$20)*IFERROR(LOOKUP(Предпосылки!$H$219,$C$13:$C$15,AS$13:AS$15),1)</f>
        <v>0</v>
      </c>
      <c s="125">
        <f>Предпосылки!AS$246*Предпосылки!$V267*Продажи!AT32*AT$19*(1+Чувствительность!$D$20)*IFERROR(LOOKUP(Предпосылки!$H$219,$C$13:$C$15,AT$13:AT$15),1)</f>
        <v>0</v>
      </c>
      <c s="125">
        <f>Предпосылки!AT$246*Предпосылки!$V267*Продажи!AU32*AU$19*(1+Чувствительность!$D$20)*IFERROR(LOOKUP(Предпосылки!$H$219,$C$13:$C$15,AU$13:AU$15),1)</f>
        <v>0</v>
      </c>
      <c s="125">
        <f>Предпосылки!AU$246*Предпосылки!$V267*Продажи!AV32*AV$19*(1+Чувствительность!$D$20)*IFERROR(LOOKUP(Предпосылки!$H$219,$C$13:$C$15,AV$13:AV$15),1)</f>
        <v>0</v>
      </c>
      <c s="125">
        <f>Предпосылки!AV$246*Предпосылки!$V267*Продажи!AW32*AW$19*(1+Чувствительность!$D$20)*IFERROR(LOOKUP(Предпосылки!$H$219,$C$13:$C$15,AW$13:AW$15),1)</f>
        <v>0</v>
      </c>
      <c s="125">
        <f>Предпосылки!AW$246*Предпосылки!$V267*Продажи!AX32*AX$19*(1+Чувствительность!$D$20)*IFERROR(LOOKUP(Предпосылки!$H$219,$C$13:$C$15,AX$13:AX$15),1)</f>
        <v>0</v>
      </c>
      <c s="125">
        <f>Предпосылки!AX$246*Предпосылки!$V267*Продажи!AY32*AY$19*(1+Чувствительность!$D$20)*IFERROR(LOOKUP(Предпосылки!$H$219,$C$13:$C$15,AY$13:AY$15),1)</f>
        <v>0</v>
      </c>
      <c s="125">
        <f>Предпосылки!AY$246*Предпосылки!$V267*Продажи!AZ32*AZ$19*(1+Чувствительность!$D$20)*IFERROR(LOOKUP(Предпосылки!$H$219,$C$13:$C$15,AZ$13:AZ$15),1)</f>
        <v>0</v>
      </c>
      <c s="125">
        <f>Предпосылки!AZ$246*Предпосылки!$V267*Продажи!BA32*BA$19*(1+Чувствительность!$D$20)*IFERROR(LOOKUP(Предпосылки!$H$219,$C$13:$C$15,BA$13:BA$15),1)</f>
        <v>0</v>
      </c>
      <c s="125">
        <f>Предпосылки!BA$246*Предпосылки!$V267*Продажи!BB32*BB$19*(1+Чувствительность!$D$20)*IFERROR(LOOKUP(Предпосылки!$H$219,$C$13:$C$15,BB$13:BB$15),1)</f>
        <v>0</v>
      </c>
      <c s="125">
        <f>Предпосылки!BB$246*Предпосылки!$V267*Продажи!BC32*BC$19*(1+Чувствительность!$D$20)*IFERROR(LOOKUP(Предпосылки!$H$219,$C$13:$C$15,BC$13:BC$15),1)</f>
        <v>0</v>
      </c>
      <c s="125">
        <f>Предпосылки!BC$246*Предпосылки!$V267*Продажи!BD32*BD$19*(1+Чувствительность!$D$20)*IFERROR(LOOKUP(Предпосылки!$H$219,$C$13:$C$15,BD$13:BD$15),1)</f>
        <v>0</v>
      </c>
      <c s="125">
        <f>Предпосылки!BD$246*Предпосылки!$V267*Продажи!BE32*BE$19*(1+Чувствительность!$D$20)*IFERROR(LOOKUP(Предпосылки!$H$219,$C$13:$C$15,BE$13:BE$15),1)</f>
        <v>0</v>
      </c>
      <c s="125">
        <f>Предпосылки!BE$246*Предпосылки!$V267*Продажи!BF32*BF$19*(1+Чувствительность!$D$20)*IFERROR(LOOKUP(Предпосылки!$H$219,$C$13:$C$15,BF$13:BF$15),1)</f>
        <v>0</v>
      </c>
      <c s="125">
        <f>Предпосылки!BF$246*Предпосылки!$V267*Продажи!BG32*BG$19*(1+Чувствительность!$D$20)*IFERROR(LOOKUP(Предпосылки!$H$219,$C$13:$C$15,BG$13:BG$15),1)</f>
        <v>0</v>
      </c>
      <c s="125">
        <f>Предпосылки!BG$246*Предпосылки!$V267*Продажи!BH32*BH$19*(1+Чувствительность!$D$20)*IFERROR(LOOKUP(Предпосылки!$H$219,$C$13:$C$15,BH$13:BH$15),1)</f>
        <v>0</v>
      </c>
      <c s="125">
        <f>Предпосылки!BH$246*Предпосылки!$V267*Продажи!BI32*BI$19*(1+Чувствительность!$D$20)*IFERROR(LOOKUP(Предпосылки!$H$219,$C$13:$C$15,BI$13:BI$15),1)</f>
        <v>0</v>
      </c>
      <c s="125">
        <f>Предпосылки!BI$246*Предпосылки!$V267*Продажи!BJ32*BJ$19*(1+Чувствительность!$D$20)*IFERROR(LOOKUP(Предпосылки!$H$219,$C$13:$C$15,BJ$13:BJ$15),1)</f>
        <v>0</v>
      </c>
      <c s="125">
        <f>Предпосылки!BJ$246*Предпосылки!$V267*Продажи!BK32*BK$19*(1+Чувствительность!$D$20)*IFERROR(LOOKUP(Предпосылки!$H$219,$C$13:$C$15,BK$13:BK$15),1)</f>
        <v>0</v>
      </c>
      <c s="125">
        <f>Предпосылки!BK$246*Предпосылки!$V267*Продажи!BL32*BL$19*(1+Чувствительность!$D$20)*IFERROR(LOOKUP(Предпосылки!$H$219,$C$13:$C$15,BL$13:BL$15),1)</f>
        <v>0</v>
      </c>
      <c s="125">
        <f>Предпосылки!BL$246*Предпосылки!$V267*Продажи!BM32*BM$19*(1+Чувствительность!$D$20)*IFERROR(LOOKUP(Предпосылки!$H$219,$C$13:$C$15,BM$13:BM$15),1)</f>
        <v>0</v>
      </c>
    </row>
    <row r="452" spans="2:65" ht="15" customHeight="1">
      <c r="B452" s="12" t="str">
        <f t="shared" si="151"/>
        <v>Продукт 16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Предпосылки!D$246*Предпосылки!$V268*Продажи!E33*E$19*(1+Чувствительность!$D$20)*IFERROR(LOOKUP(Предпосылки!$H$219,$C$13:$C$15,E$13:E$15),1)</f>
        <v>0</v>
      </c>
      <c s="125">
        <f>Предпосылки!E$246*Предпосылки!$V268*Продажи!F33*F$19*(1+Чувствительность!$D$20)*IFERROR(LOOKUP(Предпосылки!$H$219,$C$13:$C$15,F$13:F$15),1)</f>
        <v>0</v>
      </c>
      <c s="125">
        <f>Предпосылки!F$246*Предпосылки!$V268*Продажи!G33*G$19*(1+Чувствительность!$D$20)*IFERROR(LOOKUP(Предпосылки!$H$219,$C$13:$C$15,G$13:G$15),1)</f>
        <v>0</v>
      </c>
      <c s="125">
        <f>Предпосылки!G$246*Предпосылки!$V268*Продажи!H33*H$19*(1+Чувствительность!$D$20)*IFERROR(LOOKUP(Предпосылки!$H$219,$C$13:$C$15,H$13:H$15),1)</f>
        <v>0</v>
      </c>
      <c s="125">
        <f>Предпосылки!H$246*Предпосылки!$V268*Продажи!I33*I$19*(1+Чувствительность!$D$20)*IFERROR(LOOKUP(Предпосылки!$H$219,$C$13:$C$15,I$13:I$15),1)</f>
        <v>0</v>
      </c>
      <c s="125">
        <f>Предпосылки!I$246*Предпосылки!$V268*Продажи!J33*J$19*(1+Чувствительность!$D$20)*IFERROR(LOOKUP(Предпосылки!$H$219,$C$13:$C$15,J$13:J$15),1)</f>
        <v>0</v>
      </c>
      <c s="125">
        <f>Предпосылки!J$246*Предпосылки!$V268*Продажи!K33*K$19*(1+Чувствительность!$D$20)*IFERROR(LOOKUP(Предпосылки!$H$219,$C$13:$C$15,K$13:K$15),1)</f>
        <v>0</v>
      </c>
      <c s="125">
        <f>Предпосылки!K$246*Предпосылки!$V268*Продажи!L33*L$19*(1+Чувствительность!$D$20)*IFERROR(LOOKUP(Предпосылки!$H$219,$C$13:$C$15,L$13:L$15),1)</f>
        <v>0</v>
      </c>
      <c s="125">
        <f>Предпосылки!L$246*Предпосылки!$V268*Продажи!M33*M$19*(1+Чувствительность!$D$20)*IFERROR(LOOKUP(Предпосылки!$H$219,$C$13:$C$15,M$13:M$15),1)</f>
        <v>0</v>
      </c>
      <c s="125">
        <f>Предпосылки!M$246*Предпосылки!$V268*Продажи!N33*N$19*(1+Чувствительность!$D$20)*IFERROR(LOOKUP(Предпосылки!$H$219,$C$13:$C$15,N$13:N$15),1)</f>
        <v>0</v>
      </c>
      <c s="125">
        <f>Предпосылки!N$246*Предпосылки!$V268*Продажи!O33*O$19*(1+Чувствительность!$D$20)*IFERROR(LOOKUP(Предпосылки!$H$219,$C$13:$C$15,O$13:O$15),1)</f>
        <v>0</v>
      </c>
      <c s="125">
        <f>Предпосылки!O$246*Предпосылки!$V268*Продажи!P33*P$19*(1+Чувствительность!$D$20)*IFERROR(LOOKUP(Предпосылки!$H$219,$C$13:$C$15,P$13:P$15),1)</f>
        <v>0</v>
      </c>
      <c s="125">
        <f>Предпосылки!P$246*Предпосылки!$V268*Продажи!Q33*Q$19*(1+Чувствительность!$D$20)*IFERROR(LOOKUP(Предпосылки!$H$219,$C$13:$C$15,Q$13:Q$15),1)</f>
        <v>0</v>
      </c>
      <c s="125">
        <f>Предпосылки!Q$246*Предпосылки!$V268*Продажи!R33*R$19*(1+Чувствительность!$D$20)*IFERROR(LOOKUP(Предпосылки!$H$219,$C$13:$C$15,R$13:R$15),1)</f>
        <v>0</v>
      </c>
      <c s="125">
        <f>Предпосылки!R$246*Предпосылки!$V268*Продажи!S33*S$19*(1+Чувствительность!$D$20)*IFERROR(LOOKUP(Предпосылки!$H$219,$C$13:$C$15,S$13:S$15),1)</f>
        <v>0</v>
      </c>
      <c s="125">
        <f>Предпосылки!S$246*Предпосылки!$V268*Продажи!T33*T$19*(1+Чувствительность!$D$20)*IFERROR(LOOKUP(Предпосылки!$H$219,$C$13:$C$15,T$13:T$15),1)</f>
        <v>0</v>
      </c>
      <c s="125">
        <f>Предпосылки!T$246*Предпосылки!$V268*Продажи!U33*U$19*(1+Чувствительность!$D$20)*IFERROR(LOOKUP(Предпосылки!$H$219,$C$13:$C$15,U$13:U$15),1)</f>
        <v>0</v>
      </c>
      <c s="125">
        <f>Предпосылки!U$246*Предпосылки!$V268*Продажи!V33*V$19*(1+Чувствительность!$D$20)*IFERROR(LOOKUP(Предпосылки!$H$219,$C$13:$C$15,V$13:V$15),1)</f>
        <v>0</v>
      </c>
      <c s="125">
        <f>Предпосылки!V$246*Предпосылки!$V268*Продажи!W33*W$19*(1+Чувствительность!$D$20)*IFERROR(LOOKUP(Предпосылки!$H$219,$C$13:$C$15,W$13:W$15),1)</f>
        <v>0</v>
      </c>
      <c s="125">
        <f>Предпосылки!W$246*Предпосылки!$V268*Продажи!X33*X$19*(1+Чувствительность!$D$20)*IFERROR(LOOKUP(Предпосылки!$H$219,$C$13:$C$15,X$13:X$15),1)</f>
        <v>0</v>
      </c>
      <c s="125">
        <f>Предпосылки!X$246*Предпосылки!$V268*Продажи!Y33*Y$19*(1+Чувствительность!$D$20)*IFERROR(LOOKUP(Предпосылки!$H$219,$C$13:$C$15,Y$13:Y$15),1)</f>
        <v>0</v>
      </c>
      <c s="125">
        <f>Предпосылки!Y$246*Предпосылки!$V268*Продажи!Z33*Z$19*(1+Чувствительность!$D$20)*IFERROR(LOOKUP(Предпосылки!$H$219,$C$13:$C$15,Z$13:Z$15),1)</f>
        <v>0</v>
      </c>
      <c s="125">
        <f>Предпосылки!Z$246*Предпосылки!$V268*Продажи!AA33*AA$19*(1+Чувствительность!$D$20)*IFERROR(LOOKUP(Предпосылки!$H$219,$C$13:$C$15,AA$13:AA$15),1)</f>
        <v>0</v>
      </c>
      <c s="125">
        <f>Предпосылки!AA$246*Предпосылки!$V268*Продажи!AB33*AB$19*(1+Чувствительность!$D$20)*IFERROR(LOOKUP(Предпосылки!$H$219,$C$13:$C$15,AB$13:AB$15),1)</f>
        <v>0</v>
      </c>
      <c s="125">
        <f>Предпосылки!AB$246*Предпосылки!$V268*Продажи!AC33*AC$19*(1+Чувствительность!$D$20)*IFERROR(LOOKUP(Предпосылки!$H$219,$C$13:$C$15,AC$13:AC$15),1)</f>
        <v>0</v>
      </c>
      <c s="125">
        <f>Предпосылки!AC$246*Предпосылки!$V268*Продажи!AD33*AD$19*(1+Чувствительность!$D$20)*IFERROR(LOOKUP(Предпосылки!$H$219,$C$13:$C$15,AD$13:AD$15),1)</f>
        <v>0</v>
      </c>
      <c s="125">
        <f>Предпосылки!AD$246*Предпосылки!$V268*Продажи!AE33*AE$19*(1+Чувствительность!$D$20)*IFERROR(LOOKUP(Предпосылки!$H$219,$C$13:$C$15,AE$13:AE$15),1)</f>
        <v>0</v>
      </c>
      <c s="125">
        <f>Предпосылки!AE$246*Предпосылки!$V268*Продажи!AF33*AF$19*(1+Чувствительность!$D$20)*IFERROR(LOOKUP(Предпосылки!$H$219,$C$13:$C$15,AF$13:AF$15),1)</f>
        <v>0</v>
      </c>
      <c s="125">
        <f>Предпосылки!AF$246*Предпосылки!$V268*Продажи!AG33*AG$19*(1+Чувствительность!$D$20)*IFERROR(LOOKUP(Предпосылки!$H$219,$C$13:$C$15,AG$13:AG$15),1)</f>
        <v>0</v>
      </c>
      <c s="125">
        <f>Предпосылки!AG$246*Предпосылки!$V268*Продажи!AH33*AH$19*(1+Чувствительность!$D$20)*IFERROR(LOOKUP(Предпосылки!$H$219,$C$13:$C$15,AH$13:AH$15),1)</f>
        <v>0</v>
      </c>
      <c s="125">
        <f>Предпосылки!AH$246*Предпосылки!$V268*Продажи!AI33*AI$19*(1+Чувствительность!$D$20)*IFERROR(LOOKUP(Предпосылки!$H$219,$C$13:$C$15,AI$13:AI$15),1)</f>
        <v>0</v>
      </c>
      <c s="125">
        <f>Предпосылки!AI$246*Предпосылки!$V268*Продажи!AJ33*AJ$19*(1+Чувствительность!$D$20)*IFERROR(LOOKUP(Предпосылки!$H$219,$C$13:$C$15,AJ$13:AJ$15),1)</f>
        <v>0</v>
      </c>
      <c s="125">
        <f>Предпосылки!AJ$246*Предпосылки!$V268*Продажи!AK33*AK$19*(1+Чувствительность!$D$20)*IFERROR(LOOKUP(Предпосылки!$H$219,$C$13:$C$15,AK$13:AK$15),1)</f>
        <v>0</v>
      </c>
      <c s="125">
        <f>Предпосылки!AK$246*Предпосылки!$V268*Продажи!AL33*AL$19*(1+Чувствительность!$D$20)*IFERROR(LOOKUP(Предпосылки!$H$219,$C$13:$C$15,AL$13:AL$15),1)</f>
        <v>0</v>
      </c>
      <c s="125">
        <f>Предпосылки!AL$246*Предпосылки!$V268*Продажи!AM33*AM$19*(1+Чувствительность!$D$20)*IFERROR(LOOKUP(Предпосылки!$H$219,$C$13:$C$15,AM$13:AM$15),1)</f>
        <v>0</v>
      </c>
      <c s="125">
        <f>Предпосылки!AM$246*Предпосылки!$V268*Продажи!AN33*AN$19*(1+Чувствительность!$D$20)*IFERROR(LOOKUP(Предпосылки!$H$219,$C$13:$C$15,AN$13:AN$15),1)</f>
        <v>0</v>
      </c>
      <c s="125">
        <f>Предпосылки!AN$246*Предпосылки!$V268*Продажи!AO33*AO$19*(1+Чувствительность!$D$20)*IFERROR(LOOKUP(Предпосылки!$H$219,$C$13:$C$15,AO$13:AO$15),1)</f>
        <v>0</v>
      </c>
      <c s="125">
        <f>Предпосылки!AO$246*Предпосылки!$V268*Продажи!AP33*AP$19*(1+Чувствительность!$D$20)*IFERROR(LOOKUP(Предпосылки!$H$219,$C$13:$C$15,AP$13:AP$15),1)</f>
        <v>0</v>
      </c>
      <c s="125">
        <f>Предпосылки!AP$246*Предпосылки!$V268*Продажи!AQ33*AQ$19*(1+Чувствительность!$D$20)*IFERROR(LOOKUP(Предпосылки!$H$219,$C$13:$C$15,AQ$13:AQ$15),1)</f>
        <v>0</v>
      </c>
      <c s="125">
        <f>Предпосылки!AQ$246*Предпосылки!$V268*Продажи!AR33*AR$19*(1+Чувствительность!$D$20)*IFERROR(LOOKUP(Предпосылки!$H$219,$C$13:$C$15,AR$13:AR$15),1)</f>
        <v>0</v>
      </c>
      <c s="125">
        <f>Предпосылки!AR$246*Предпосылки!$V268*Продажи!AS33*AS$19*(1+Чувствительность!$D$20)*IFERROR(LOOKUP(Предпосылки!$H$219,$C$13:$C$15,AS$13:AS$15),1)</f>
        <v>0</v>
      </c>
      <c s="125">
        <f>Предпосылки!AS$246*Предпосылки!$V268*Продажи!AT33*AT$19*(1+Чувствительность!$D$20)*IFERROR(LOOKUP(Предпосылки!$H$219,$C$13:$C$15,AT$13:AT$15),1)</f>
        <v>0</v>
      </c>
      <c s="125">
        <f>Предпосылки!AT$246*Предпосылки!$V268*Продажи!AU33*AU$19*(1+Чувствительность!$D$20)*IFERROR(LOOKUP(Предпосылки!$H$219,$C$13:$C$15,AU$13:AU$15),1)</f>
        <v>0</v>
      </c>
      <c s="125">
        <f>Предпосылки!AU$246*Предпосылки!$V268*Продажи!AV33*AV$19*(1+Чувствительность!$D$20)*IFERROR(LOOKUP(Предпосылки!$H$219,$C$13:$C$15,AV$13:AV$15),1)</f>
        <v>0</v>
      </c>
      <c s="125">
        <f>Предпосылки!AV$246*Предпосылки!$V268*Продажи!AW33*AW$19*(1+Чувствительность!$D$20)*IFERROR(LOOKUP(Предпосылки!$H$219,$C$13:$C$15,AW$13:AW$15),1)</f>
        <v>0</v>
      </c>
      <c s="125">
        <f>Предпосылки!AW$246*Предпосылки!$V268*Продажи!AX33*AX$19*(1+Чувствительность!$D$20)*IFERROR(LOOKUP(Предпосылки!$H$219,$C$13:$C$15,AX$13:AX$15),1)</f>
        <v>0</v>
      </c>
      <c s="125">
        <f>Предпосылки!AX$246*Предпосылки!$V268*Продажи!AY33*AY$19*(1+Чувствительность!$D$20)*IFERROR(LOOKUP(Предпосылки!$H$219,$C$13:$C$15,AY$13:AY$15),1)</f>
        <v>0</v>
      </c>
      <c s="125">
        <f>Предпосылки!AY$246*Предпосылки!$V268*Продажи!AZ33*AZ$19*(1+Чувствительность!$D$20)*IFERROR(LOOKUP(Предпосылки!$H$219,$C$13:$C$15,AZ$13:AZ$15),1)</f>
        <v>0</v>
      </c>
      <c s="125">
        <f>Предпосылки!AZ$246*Предпосылки!$V268*Продажи!BA33*BA$19*(1+Чувствительность!$D$20)*IFERROR(LOOKUP(Предпосылки!$H$219,$C$13:$C$15,BA$13:BA$15),1)</f>
        <v>0</v>
      </c>
      <c s="125">
        <f>Предпосылки!BA$246*Предпосылки!$V268*Продажи!BB33*BB$19*(1+Чувствительность!$D$20)*IFERROR(LOOKUP(Предпосылки!$H$219,$C$13:$C$15,BB$13:BB$15),1)</f>
        <v>0</v>
      </c>
      <c s="125">
        <f>Предпосылки!BB$246*Предпосылки!$V268*Продажи!BC33*BC$19*(1+Чувствительность!$D$20)*IFERROR(LOOKUP(Предпосылки!$H$219,$C$13:$C$15,BC$13:BC$15),1)</f>
        <v>0</v>
      </c>
      <c s="125">
        <f>Предпосылки!BC$246*Предпосылки!$V268*Продажи!BD33*BD$19*(1+Чувствительность!$D$20)*IFERROR(LOOKUP(Предпосылки!$H$219,$C$13:$C$15,BD$13:BD$15),1)</f>
        <v>0</v>
      </c>
      <c s="125">
        <f>Предпосылки!BD$246*Предпосылки!$V268*Продажи!BE33*BE$19*(1+Чувствительность!$D$20)*IFERROR(LOOKUP(Предпосылки!$H$219,$C$13:$C$15,BE$13:BE$15),1)</f>
        <v>0</v>
      </c>
      <c s="125">
        <f>Предпосылки!BE$246*Предпосылки!$V268*Продажи!BF33*BF$19*(1+Чувствительность!$D$20)*IFERROR(LOOKUP(Предпосылки!$H$219,$C$13:$C$15,BF$13:BF$15),1)</f>
        <v>0</v>
      </c>
      <c s="125">
        <f>Предпосылки!BF$246*Предпосылки!$V268*Продажи!BG33*BG$19*(1+Чувствительность!$D$20)*IFERROR(LOOKUP(Предпосылки!$H$219,$C$13:$C$15,BG$13:BG$15),1)</f>
        <v>0</v>
      </c>
      <c s="125">
        <f>Предпосылки!BG$246*Предпосылки!$V268*Продажи!BH33*BH$19*(1+Чувствительность!$D$20)*IFERROR(LOOKUP(Предпосылки!$H$219,$C$13:$C$15,BH$13:BH$15),1)</f>
        <v>0</v>
      </c>
      <c s="125">
        <f>Предпосылки!BH$246*Предпосылки!$V268*Продажи!BI33*BI$19*(1+Чувствительность!$D$20)*IFERROR(LOOKUP(Предпосылки!$H$219,$C$13:$C$15,BI$13:BI$15),1)</f>
        <v>0</v>
      </c>
      <c s="125">
        <f>Предпосылки!BI$246*Предпосылки!$V268*Продажи!BJ33*BJ$19*(1+Чувствительность!$D$20)*IFERROR(LOOKUP(Предпосылки!$H$219,$C$13:$C$15,BJ$13:BJ$15),1)</f>
        <v>0</v>
      </c>
      <c s="125">
        <f>Предпосылки!BJ$246*Предпосылки!$V268*Продажи!BK33*BK$19*(1+Чувствительность!$D$20)*IFERROR(LOOKUP(Предпосылки!$H$219,$C$13:$C$15,BK$13:BK$15),1)</f>
        <v>0</v>
      </c>
      <c s="125">
        <f>Предпосылки!BK$246*Предпосылки!$V268*Продажи!BL33*BL$19*(1+Чувствительность!$D$20)*IFERROR(LOOKUP(Предпосылки!$H$219,$C$13:$C$15,BL$13:BL$15),1)</f>
        <v>0</v>
      </c>
      <c s="125">
        <f>Предпосылки!BL$246*Предпосылки!$V268*Продажи!BM33*BM$19*(1+Чувствительность!$D$20)*IFERROR(LOOKUP(Предпосылки!$H$219,$C$13:$C$15,BM$13:BM$15),1)</f>
        <v>0</v>
      </c>
    </row>
    <row r="453" spans="2:65" ht="15" customHeight="1">
      <c r="B453" s="12" t="str">
        <f t="shared" si="151"/>
        <v>Продукт 17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Предпосылки!D$246*Предпосылки!$V269*Продажи!E34*E$19*(1+Чувствительность!$D$20)*IFERROR(LOOKUP(Предпосылки!$H$219,$C$13:$C$15,E$13:E$15),1)</f>
        <v>0</v>
      </c>
      <c s="125">
        <f>Предпосылки!E$246*Предпосылки!$V269*Продажи!F34*F$19*(1+Чувствительность!$D$20)*IFERROR(LOOKUP(Предпосылки!$H$219,$C$13:$C$15,F$13:F$15),1)</f>
        <v>0</v>
      </c>
      <c s="125">
        <f>Предпосылки!F$246*Предпосылки!$V269*Продажи!G34*G$19*(1+Чувствительность!$D$20)*IFERROR(LOOKUP(Предпосылки!$H$219,$C$13:$C$15,G$13:G$15),1)</f>
        <v>0</v>
      </c>
      <c s="125">
        <f>Предпосылки!G$246*Предпосылки!$V269*Продажи!H34*H$19*(1+Чувствительность!$D$20)*IFERROR(LOOKUP(Предпосылки!$H$219,$C$13:$C$15,H$13:H$15),1)</f>
        <v>0</v>
      </c>
      <c s="125">
        <f>Предпосылки!H$246*Предпосылки!$V269*Продажи!I34*I$19*(1+Чувствительность!$D$20)*IFERROR(LOOKUP(Предпосылки!$H$219,$C$13:$C$15,I$13:I$15),1)</f>
        <v>0</v>
      </c>
      <c s="125">
        <f>Предпосылки!I$246*Предпосылки!$V269*Продажи!J34*J$19*(1+Чувствительность!$D$20)*IFERROR(LOOKUP(Предпосылки!$H$219,$C$13:$C$15,J$13:J$15),1)</f>
        <v>0</v>
      </c>
      <c s="125">
        <f>Предпосылки!J$246*Предпосылки!$V269*Продажи!K34*K$19*(1+Чувствительность!$D$20)*IFERROR(LOOKUP(Предпосылки!$H$219,$C$13:$C$15,K$13:K$15),1)</f>
        <v>0</v>
      </c>
      <c s="125">
        <f>Предпосылки!K$246*Предпосылки!$V269*Продажи!L34*L$19*(1+Чувствительность!$D$20)*IFERROR(LOOKUP(Предпосылки!$H$219,$C$13:$C$15,L$13:L$15),1)</f>
        <v>0</v>
      </c>
      <c s="125">
        <f>Предпосылки!L$246*Предпосылки!$V269*Продажи!M34*M$19*(1+Чувствительность!$D$20)*IFERROR(LOOKUP(Предпосылки!$H$219,$C$13:$C$15,M$13:M$15),1)</f>
        <v>0</v>
      </c>
      <c s="125">
        <f>Предпосылки!M$246*Предпосылки!$V269*Продажи!N34*N$19*(1+Чувствительность!$D$20)*IFERROR(LOOKUP(Предпосылки!$H$219,$C$13:$C$15,N$13:N$15),1)</f>
        <v>0</v>
      </c>
      <c s="125">
        <f>Предпосылки!N$246*Предпосылки!$V269*Продажи!O34*O$19*(1+Чувствительность!$D$20)*IFERROR(LOOKUP(Предпосылки!$H$219,$C$13:$C$15,O$13:O$15),1)</f>
        <v>0</v>
      </c>
      <c s="125">
        <f>Предпосылки!O$246*Предпосылки!$V269*Продажи!P34*P$19*(1+Чувствительность!$D$20)*IFERROR(LOOKUP(Предпосылки!$H$219,$C$13:$C$15,P$13:P$15),1)</f>
        <v>0</v>
      </c>
      <c s="125">
        <f>Предпосылки!P$246*Предпосылки!$V269*Продажи!Q34*Q$19*(1+Чувствительность!$D$20)*IFERROR(LOOKUP(Предпосылки!$H$219,$C$13:$C$15,Q$13:Q$15),1)</f>
        <v>0</v>
      </c>
      <c s="125">
        <f>Предпосылки!Q$246*Предпосылки!$V269*Продажи!R34*R$19*(1+Чувствительность!$D$20)*IFERROR(LOOKUP(Предпосылки!$H$219,$C$13:$C$15,R$13:R$15),1)</f>
        <v>0</v>
      </c>
      <c s="125">
        <f>Предпосылки!R$246*Предпосылки!$V269*Продажи!S34*S$19*(1+Чувствительность!$D$20)*IFERROR(LOOKUP(Предпосылки!$H$219,$C$13:$C$15,S$13:S$15),1)</f>
        <v>0</v>
      </c>
      <c s="125">
        <f>Предпосылки!S$246*Предпосылки!$V269*Продажи!T34*T$19*(1+Чувствительность!$D$20)*IFERROR(LOOKUP(Предпосылки!$H$219,$C$13:$C$15,T$13:T$15),1)</f>
        <v>0</v>
      </c>
      <c s="125">
        <f>Предпосылки!T$246*Предпосылки!$V269*Продажи!U34*U$19*(1+Чувствительность!$D$20)*IFERROR(LOOKUP(Предпосылки!$H$219,$C$13:$C$15,U$13:U$15),1)</f>
        <v>0</v>
      </c>
      <c s="125">
        <f>Предпосылки!U$246*Предпосылки!$V269*Продажи!V34*V$19*(1+Чувствительность!$D$20)*IFERROR(LOOKUP(Предпосылки!$H$219,$C$13:$C$15,V$13:V$15),1)</f>
        <v>0</v>
      </c>
      <c s="125">
        <f>Предпосылки!V$246*Предпосылки!$V269*Продажи!W34*W$19*(1+Чувствительность!$D$20)*IFERROR(LOOKUP(Предпосылки!$H$219,$C$13:$C$15,W$13:W$15),1)</f>
        <v>0</v>
      </c>
      <c s="125">
        <f>Предпосылки!W$246*Предпосылки!$V269*Продажи!X34*X$19*(1+Чувствительность!$D$20)*IFERROR(LOOKUP(Предпосылки!$H$219,$C$13:$C$15,X$13:X$15),1)</f>
        <v>0</v>
      </c>
      <c s="125">
        <f>Предпосылки!X$246*Предпосылки!$V269*Продажи!Y34*Y$19*(1+Чувствительность!$D$20)*IFERROR(LOOKUP(Предпосылки!$H$219,$C$13:$C$15,Y$13:Y$15),1)</f>
        <v>0</v>
      </c>
      <c s="125">
        <f>Предпосылки!Y$246*Предпосылки!$V269*Продажи!Z34*Z$19*(1+Чувствительность!$D$20)*IFERROR(LOOKUP(Предпосылки!$H$219,$C$13:$C$15,Z$13:Z$15),1)</f>
        <v>0</v>
      </c>
      <c s="125">
        <f>Предпосылки!Z$246*Предпосылки!$V269*Продажи!AA34*AA$19*(1+Чувствительность!$D$20)*IFERROR(LOOKUP(Предпосылки!$H$219,$C$13:$C$15,AA$13:AA$15),1)</f>
        <v>0</v>
      </c>
      <c s="125">
        <f>Предпосылки!AA$246*Предпосылки!$V269*Продажи!AB34*AB$19*(1+Чувствительность!$D$20)*IFERROR(LOOKUP(Предпосылки!$H$219,$C$13:$C$15,AB$13:AB$15),1)</f>
        <v>0</v>
      </c>
      <c s="125">
        <f>Предпосылки!AB$246*Предпосылки!$V269*Продажи!AC34*AC$19*(1+Чувствительность!$D$20)*IFERROR(LOOKUP(Предпосылки!$H$219,$C$13:$C$15,AC$13:AC$15),1)</f>
        <v>0</v>
      </c>
      <c s="125">
        <f>Предпосылки!AC$246*Предпосылки!$V269*Продажи!AD34*AD$19*(1+Чувствительность!$D$20)*IFERROR(LOOKUP(Предпосылки!$H$219,$C$13:$C$15,AD$13:AD$15),1)</f>
        <v>0</v>
      </c>
      <c s="125">
        <f>Предпосылки!AD$246*Предпосылки!$V269*Продажи!AE34*AE$19*(1+Чувствительность!$D$20)*IFERROR(LOOKUP(Предпосылки!$H$219,$C$13:$C$15,AE$13:AE$15),1)</f>
        <v>0</v>
      </c>
      <c s="125">
        <f>Предпосылки!AE$246*Предпосылки!$V269*Продажи!AF34*AF$19*(1+Чувствительность!$D$20)*IFERROR(LOOKUP(Предпосылки!$H$219,$C$13:$C$15,AF$13:AF$15),1)</f>
        <v>0</v>
      </c>
      <c s="125">
        <f>Предпосылки!AF$246*Предпосылки!$V269*Продажи!AG34*AG$19*(1+Чувствительность!$D$20)*IFERROR(LOOKUP(Предпосылки!$H$219,$C$13:$C$15,AG$13:AG$15),1)</f>
        <v>0</v>
      </c>
      <c s="125">
        <f>Предпосылки!AG$246*Предпосылки!$V269*Продажи!AH34*AH$19*(1+Чувствительность!$D$20)*IFERROR(LOOKUP(Предпосылки!$H$219,$C$13:$C$15,AH$13:AH$15),1)</f>
        <v>0</v>
      </c>
      <c s="125">
        <f>Предпосылки!AH$246*Предпосылки!$V269*Продажи!AI34*AI$19*(1+Чувствительность!$D$20)*IFERROR(LOOKUP(Предпосылки!$H$219,$C$13:$C$15,AI$13:AI$15),1)</f>
        <v>0</v>
      </c>
      <c s="125">
        <f>Предпосылки!AI$246*Предпосылки!$V269*Продажи!AJ34*AJ$19*(1+Чувствительность!$D$20)*IFERROR(LOOKUP(Предпосылки!$H$219,$C$13:$C$15,AJ$13:AJ$15),1)</f>
        <v>0</v>
      </c>
      <c s="125">
        <f>Предпосылки!AJ$246*Предпосылки!$V269*Продажи!AK34*AK$19*(1+Чувствительность!$D$20)*IFERROR(LOOKUP(Предпосылки!$H$219,$C$13:$C$15,AK$13:AK$15),1)</f>
        <v>0</v>
      </c>
      <c s="125">
        <f>Предпосылки!AK$246*Предпосылки!$V269*Продажи!AL34*AL$19*(1+Чувствительность!$D$20)*IFERROR(LOOKUP(Предпосылки!$H$219,$C$13:$C$15,AL$13:AL$15),1)</f>
        <v>0</v>
      </c>
      <c s="125">
        <f>Предпосылки!AL$246*Предпосылки!$V269*Продажи!AM34*AM$19*(1+Чувствительность!$D$20)*IFERROR(LOOKUP(Предпосылки!$H$219,$C$13:$C$15,AM$13:AM$15),1)</f>
        <v>0</v>
      </c>
      <c s="125">
        <f>Предпосылки!AM$246*Предпосылки!$V269*Продажи!AN34*AN$19*(1+Чувствительность!$D$20)*IFERROR(LOOKUP(Предпосылки!$H$219,$C$13:$C$15,AN$13:AN$15),1)</f>
        <v>0</v>
      </c>
      <c s="125">
        <f>Предпосылки!AN$246*Предпосылки!$V269*Продажи!AO34*AO$19*(1+Чувствительность!$D$20)*IFERROR(LOOKUP(Предпосылки!$H$219,$C$13:$C$15,AO$13:AO$15),1)</f>
        <v>0</v>
      </c>
      <c s="125">
        <f>Предпосылки!AO$246*Предпосылки!$V269*Продажи!AP34*AP$19*(1+Чувствительность!$D$20)*IFERROR(LOOKUP(Предпосылки!$H$219,$C$13:$C$15,AP$13:AP$15),1)</f>
        <v>0</v>
      </c>
      <c s="125">
        <f>Предпосылки!AP$246*Предпосылки!$V269*Продажи!AQ34*AQ$19*(1+Чувствительность!$D$20)*IFERROR(LOOKUP(Предпосылки!$H$219,$C$13:$C$15,AQ$13:AQ$15),1)</f>
        <v>0</v>
      </c>
      <c s="125">
        <f>Предпосылки!AQ$246*Предпосылки!$V269*Продажи!AR34*AR$19*(1+Чувствительность!$D$20)*IFERROR(LOOKUP(Предпосылки!$H$219,$C$13:$C$15,AR$13:AR$15),1)</f>
        <v>0</v>
      </c>
      <c s="125">
        <f>Предпосылки!AR$246*Предпосылки!$V269*Продажи!AS34*AS$19*(1+Чувствительность!$D$20)*IFERROR(LOOKUP(Предпосылки!$H$219,$C$13:$C$15,AS$13:AS$15),1)</f>
        <v>0</v>
      </c>
      <c s="125">
        <f>Предпосылки!AS$246*Предпосылки!$V269*Продажи!AT34*AT$19*(1+Чувствительность!$D$20)*IFERROR(LOOKUP(Предпосылки!$H$219,$C$13:$C$15,AT$13:AT$15),1)</f>
        <v>0</v>
      </c>
      <c s="125">
        <f>Предпосылки!AT$246*Предпосылки!$V269*Продажи!AU34*AU$19*(1+Чувствительность!$D$20)*IFERROR(LOOKUP(Предпосылки!$H$219,$C$13:$C$15,AU$13:AU$15),1)</f>
        <v>0</v>
      </c>
      <c s="125">
        <f>Предпосылки!AU$246*Предпосылки!$V269*Продажи!AV34*AV$19*(1+Чувствительность!$D$20)*IFERROR(LOOKUP(Предпосылки!$H$219,$C$13:$C$15,AV$13:AV$15),1)</f>
        <v>0</v>
      </c>
      <c s="125">
        <f>Предпосылки!AV$246*Предпосылки!$V269*Продажи!AW34*AW$19*(1+Чувствительность!$D$20)*IFERROR(LOOKUP(Предпосылки!$H$219,$C$13:$C$15,AW$13:AW$15),1)</f>
        <v>0</v>
      </c>
      <c s="125">
        <f>Предпосылки!AW$246*Предпосылки!$V269*Продажи!AX34*AX$19*(1+Чувствительность!$D$20)*IFERROR(LOOKUP(Предпосылки!$H$219,$C$13:$C$15,AX$13:AX$15),1)</f>
        <v>0</v>
      </c>
      <c s="125">
        <f>Предпосылки!AX$246*Предпосылки!$V269*Продажи!AY34*AY$19*(1+Чувствительность!$D$20)*IFERROR(LOOKUP(Предпосылки!$H$219,$C$13:$C$15,AY$13:AY$15),1)</f>
        <v>0</v>
      </c>
      <c s="125">
        <f>Предпосылки!AY$246*Предпосылки!$V269*Продажи!AZ34*AZ$19*(1+Чувствительность!$D$20)*IFERROR(LOOKUP(Предпосылки!$H$219,$C$13:$C$15,AZ$13:AZ$15),1)</f>
        <v>0</v>
      </c>
      <c s="125">
        <f>Предпосылки!AZ$246*Предпосылки!$V269*Продажи!BA34*BA$19*(1+Чувствительность!$D$20)*IFERROR(LOOKUP(Предпосылки!$H$219,$C$13:$C$15,BA$13:BA$15),1)</f>
        <v>0</v>
      </c>
      <c s="125">
        <f>Предпосылки!BA$246*Предпосылки!$V269*Продажи!BB34*BB$19*(1+Чувствительность!$D$20)*IFERROR(LOOKUP(Предпосылки!$H$219,$C$13:$C$15,BB$13:BB$15),1)</f>
        <v>0</v>
      </c>
      <c s="125">
        <f>Предпосылки!BB$246*Предпосылки!$V269*Продажи!BC34*BC$19*(1+Чувствительность!$D$20)*IFERROR(LOOKUP(Предпосылки!$H$219,$C$13:$C$15,BC$13:BC$15),1)</f>
        <v>0</v>
      </c>
      <c s="125">
        <f>Предпосылки!BC$246*Предпосылки!$V269*Продажи!BD34*BD$19*(1+Чувствительность!$D$20)*IFERROR(LOOKUP(Предпосылки!$H$219,$C$13:$C$15,BD$13:BD$15),1)</f>
        <v>0</v>
      </c>
      <c s="125">
        <f>Предпосылки!BD$246*Предпосылки!$V269*Продажи!BE34*BE$19*(1+Чувствительность!$D$20)*IFERROR(LOOKUP(Предпосылки!$H$219,$C$13:$C$15,BE$13:BE$15),1)</f>
        <v>0</v>
      </c>
      <c s="125">
        <f>Предпосылки!BE$246*Предпосылки!$V269*Продажи!BF34*BF$19*(1+Чувствительность!$D$20)*IFERROR(LOOKUP(Предпосылки!$H$219,$C$13:$C$15,BF$13:BF$15),1)</f>
        <v>0</v>
      </c>
      <c s="125">
        <f>Предпосылки!BF$246*Предпосылки!$V269*Продажи!BG34*BG$19*(1+Чувствительность!$D$20)*IFERROR(LOOKUP(Предпосылки!$H$219,$C$13:$C$15,BG$13:BG$15),1)</f>
        <v>0</v>
      </c>
      <c s="125">
        <f>Предпосылки!BG$246*Предпосылки!$V269*Продажи!BH34*BH$19*(1+Чувствительность!$D$20)*IFERROR(LOOKUP(Предпосылки!$H$219,$C$13:$C$15,BH$13:BH$15),1)</f>
        <v>0</v>
      </c>
      <c s="125">
        <f>Предпосылки!BH$246*Предпосылки!$V269*Продажи!BI34*BI$19*(1+Чувствительность!$D$20)*IFERROR(LOOKUP(Предпосылки!$H$219,$C$13:$C$15,BI$13:BI$15),1)</f>
        <v>0</v>
      </c>
      <c s="125">
        <f>Предпосылки!BI$246*Предпосылки!$V269*Продажи!BJ34*BJ$19*(1+Чувствительность!$D$20)*IFERROR(LOOKUP(Предпосылки!$H$219,$C$13:$C$15,BJ$13:BJ$15),1)</f>
        <v>0</v>
      </c>
      <c s="125">
        <f>Предпосылки!BJ$246*Предпосылки!$V269*Продажи!BK34*BK$19*(1+Чувствительность!$D$20)*IFERROR(LOOKUP(Предпосылки!$H$219,$C$13:$C$15,BK$13:BK$15),1)</f>
        <v>0</v>
      </c>
      <c s="125">
        <f>Предпосылки!BK$246*Предпосылки!$V269*Продажи!BL34*BL$19*(1+Чувствительность!$D$20)*IFERROR(LOOKUP(Предпосылки!$H$219,$C$13:$C$15,BL$13:BL$15),1)</f>
        <v>0</v>
      </c>
      <c s="125">
        <f>Предпосылки!BL$246*Предпосылки!$V269*Продажи!BM34*BM$19*(1+Чувствительность!$D$20)*IFERROR(LOOKUP(Предпосылки!$H$219,$C$13:$C$15,BM$13:BM$15),1)</f>
        <v>0</v>
      </c>
    </row>
    <row r="454" spans="2:65" ht="15" customHeight="1">
      <c r="B454" s="12" t="str">
        <f t="shared" si="151"/>
        <v>Продукт 18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Предпосылки!D$246*Предпосылки!$V270*Продажи!E35*E$19*(1+Чувствительность!$D$20)*IFERROR(LOOKUP(Предпосылки!$H$219,$C$13:$C$15,E$13:E$15),1)</f>
        <v>0</v>
      </c>
      <c s="125">
        <f>Предпосылки!E$246*Предпосылки!$V270*Продажи!F35*F$19*(1+Чувствительность!$D$20)*IFERROR(LOOKUP(Предпосылки!$H$219,$C$13:$C$15,F$13:F$15),1)</f>
        <v>0</v>
      </c>
      <c s="125">
        <f>Предпосылки!F$246*Предпосылки!$V270*Продажи!G35*G$19*(1+Чувствительность!$D$20)*IFERROR(LOOKUP(Предпосылки!$H$219,$C$13:$C$15,G$13:G$15),1)</f>
        <v>0</v>
      </c>
      <c s="125">
        <f>Предпосылки!G$246*Предпосылки!$V270*Продажи!H35*H$19*(1+Чувствительность!$D$20)*IFERROR(LOOKUP(Предпосылки!$H$219,$C$13:$C$15,H$13:H$15),1)</f>
        <v>0</v>
      </c>
      <c s="125">
        <f>Предпосылки!H$246*Предпосылки!$V270*Продажи!I35*I$19*(1+Чувствительность!$D$20)*IFERROR(LOOKUP(Предпосылки!$H$219,$C$13:$C$15,I$13:I$15),1)</f>
        <v>0</v>
      </c>
      <c s="125">
        <f>Предпосылки!I$246*Предпосылки!$V270*Продажи!J35*J$19*(1+Чувствительность!$D$20)*IFERROR(LOOKUP(Предпосылки!$H$219,$C$13:$C$15,J$13:J$15),1)</f>
        <v>0</v>
      </c>
      <c s="125">
        <f>Предпосылки!J$246*Предпосылки!$V270*Продажи!K35*K$19*(1+Чувствительность!$D$20)*IFERROR(LOOKUP(Предпосылки!$H$219,$C$13:$C$15,K$13:K$15),1)</f>
        <v>0</v>
      </c>
      <c s="125">
        <f>Предпосылки!K$246*Предпосылки!$V270*Продажи!L35*L$19*(1+Чувствительность!$D$20)*IFERROR(LOOKUP(Предпосылки!$H$219,$C$13:$C$15,L$13:L$15),1)</f>
        <v>0</v>
      </c>
      <c s="125">
        <f>Предпосылки!L$246*Предпосылки!$V270*Продажи!M35*M$19*(1+Чувствительность!$D$20)*IFERROR(LOOKUP(Предпосылки!$H$219,$C$13:$C$15,M$13:M$15),1)</f>
        <v>0</v>
      </c>
      <c s="125">
        <f>Предпосылки!M$246*Предпосылки!$V270*Продажи!N35*N$19*(1+Чувствительность!$D$20)*IFERROR(LOOKUP(Предпосылки!$H$219,$C$13:$C$15,N$13:N$15),1)</f>
        <v>0</v>
      </c>
      <c s="125">
        <f>Предпосылки!N$246*Предпосылки!$V270*Продажи!O35*O$19*(1+Чувствительность!$D$20)*IFERROR(LOOKUP(Предпосылки!$H$219,$C$13:$C$15,O$13:O$15),1)</f>
        <v>0</v>
      </c>
      <c s="125">
        <f>Предпосылки!O$246*Предпосылки!$V270*Продажи!P35*P$19*(1+Чувствительность!$D$20)*IFERROR(LOOKUP(Предпосылки!$H$219,$C$13:$C$15,P$13:P$15),1)</f>
        <v>0</v>
      </c>
      <c s="125">
        <f>Предпосылки!P$246*Предпосылки!$V270*Продажи!Q35*Q$19*(1+Чувствительность!$D$20)*IFERROR(LOOKUP(Предпосылки!$H$219,$C$13:$C$15,Q$13:Q$15),1)</f>
        <v>0</v>
      </c>
      <c s="125">
        <f>Предпосылки!Q$246*Предпосылки!$V270*Продажи!R35*R$19*(1+Чувствительность!$D$20)*IFERROR(LOOKUP(Предпосылки!$H$219,$C$13:$C$15,R$13:R$15),1)</f>
        <v>0</v>
      </c>
      <c s="125">
        <f>Предпосылки!R$246*Предпосылки!$V270*Продажи!S35*S$19*(1+Чувствительность!$D$20)*IFERROR(LOOKUP(Предпосылки!$H$219,$C$13:$C$15,S$13:S$15),1)</f>
        <v>0</v>
      </c>
      <c s="125">
        <f>Предпосылки!S$246*Предпосылки!$V270*Продажи!T35*T$19*(1+Чувствительность!$D$20)*IFERROR(LOOKUP(Предпосылки!$H$219,$C$13:$C$15,T$13:T$15),1)</f>
        <v>0</v>
      </c>
      <c s="125">
        <f>Предпосылки!T$246*Предпосылки!$V270*Продажи!U35*U$19*(1+Чувствительность!$D$20)*IFERROR(LOOKUP(Предпосылки!$H$219,$C$13:$C$15,U$13:U$15),1)</f>
        <v>0</v>
      </c>
      <c s="125">
        <f>Предпосылки!U$246*Предпосылки!$V270*Продажи!V35*V$19*(1+Чувствительность!$D$20)*IFERROR(LOOKUP(Предпосылки!$H$219,$C$13:$C$15,V$13:V$15),1)</f>
        <v>0</v>
      </c>
      <c s="125">
        <f>Предпосылки!V$246*Предпосылки!$V270*Продажи!W35*W$19*(1+Чувствительность!$D$20)*IFERROR(LOOKUP(Предпосылки!$H$219,$C$13:$C$15,W$13:W$15),1)</f>
        <v>0</v>
      </c>
      <c s="125">
        <f>Предпосылки!W$246*Предпосылки!$V270*Продажи!X35*X$19*(1+Чувствительность!$D$20)*IFERROR(LOOKUP(Предпосылки!$H$219,$C$13:$C$15,X$13:X$15),1)</f>
        <v>0</v>
      </c>
      <c s="125">
        <f>Предпосылки!X$246*Предпосылки!$V270*Продажи!Y35*Y$19*(1+Чувствительность!$D$20)*IFERROR(LOOKUP(Предпосылки!$H$219,$C$13:$C$15,Y$13:Y$15),1)</f>
        <v>0</v>
      </c>
      <c s="125">
        <f>Предпосылки!Y$246*Предпосылки!$V270*Продажи!Z35*Z$19*(1+Чувствительность!$D$20)*IFERROR(LOOKUP(Предпосылки!$H$219,$C$13:$C$15,Z$13:Z$15),1)</f>
        <v>0</v>
      </c>
      <c s="125">
        <f>Предпосылки!Z$246*Предпосылки!$V270*Продажи!AA35*AA$19*(1+Чувствительность!$D$20)*IFERROR(LOOKUP(Предпосылки!$H$219,$C$13:$C$15,AA$13:AA$15),1)</f>
        <v>0</v>
      </c>
      <c s="125">
        <f>Предпосылки!AA$246*Предпосылки!$V270*Продажи!AB35*AB$19*(1+Чувствительность!$D$20)*IFERROR(LOOKUP(Предпосылки!$H$219,$C$13:$C$15,AB$13:AB$15),1)</f>
        <v>0</v>
      </c>
      <c s="125">
        <f>Предпосылки!AB$246*Предпосылки!$V270*Продажи!AC35*AC$19*(1+Чувствительность!$D$20)*IFERROR(LOOKUP(Предпосылки!$H$219,$C$13:$C$15,AC$13:AC$15),1)</f>
        <v>0</v>
      </c>
      <c s="125">
        <f>Предпосылки!AC$246*Предпосылки!$V270*Продажи!AD35*AD$19*(1+Чувствительность!$D$20)*IFERROR(LOOKUP(Предпосылки!$H$219,$C$13:$C$15,AD$13:AD$15),1)</f>
        <v>0</v>
      </c>
      <c s="125">
        <f>Предпосылки!AD$246*Предпосылки!$V270*Продажи!AE35*AE$19*(1+Чувствительность!$D$20)*IFERROR(LOOKUP(Предпосылки!$H$219,$C$13:$C$15,AE$13:AE$15),1)</f>
        <v>0</v>
      </c>
      <c s="125">
        <f>Предпосылки!AE$246*Предпосылки!$V270*Продажи!AF35*AF$19*(1+Чувствительность!$D$20)*IFERROR(LOOKUP(Предпосылки!$H$219,$C$13:$C$15,AF$13:AF$15),1)</f>
        <v>0</v>
      </c>
      <c s="125">
        <f>Предпосылки!AF$246*Предпосылки!$V270*Продажи!AG35*AG$19*(1+Чувствительность!$D$20)*IFERROR(LOOKUP(Предпосылки!$H$219,$C$13:$C$15,AG$13:AG$15),1)</f>
        <v>0</v>
      </c>
      <c s="125">
        <f>Предпосылки!AG$246*Предпосылки!$V270*Продажи!AH35*AH$19*(1+Чувствительность!$D$20)*IFERROR(LOOKUP(Предпосылки!$H$219,$C$13:$C$15,AH$13:AH$15),1)</f>
        <v>0</v>
      </c>
      <c s="125">
        <f>Предпосылки!AH$246*Предпосылки!$V270*Продажи!AI35*AI$19*(1+Чувствительность!$D$20)*IFERROR(LOOKUP(Предпосылки!$H$219,$C$13:$C$15,AI$13:AI$15),1)</f>
        <v>0</v>
      </c>
      <c s="125">
        <f>Предпосылки!AI$246*Предпосылки!$V270*Продажи!AJ35*AJ$19*(1+Чувствительность!$D$20)*IFERROR(LOOKUP(Предпосылки!$H$219,$C$13:$C$15,AJ$13:AJ$15),1)</f>
        <v>0</v>
      </c>
      <c s="125">
        <f>Предпосылки!AJ$246*Предпосылки!$V270*Продажи!AK35*AK$19*(1+Чувствительность!$D$20)*IFERROR(LOOKUP(Предпосылки!$H$219,$C$13:$C$15,AK$13:AK$15),1)</f>
        <v>0</v>
      </c>
      <c s="125">
        <f>Предпосылки!AK$246*Предпосылки!$V270*Продажи!AL35*AL$19*(1+Чувствительность!$D$20)*IFERROR(LOOKUP(Предпосылки!$H$219,$C$13:$C$15,AL$13:AL$15),1)</f>
        <v>0</v>
      </c>
      <c s="125">
        <f>Предпосылки!AL$246*Предпосылки!$V270*Продажи!AM35*AM$19*(1+Чувствительность!$D$20)*IFERROR(LOOKUP(Предпосылки!$H$219,$C$13:$C$15,AM$13:AM$15),1)</f>
        <v>0</v>
      </c>
      <c s="125">
        <f>Предпосылки!AM$246*Предпосылки!$V270*Продажи!AN35*AN$19*(1+Чувствительность!$D$20)*IFERROR(LOOKUP(Предпосылки!$H$219,$C$13:$C$15,AN$13:AN$15),1)</f>
        <v>0</v>
      </c>
      <c s="125">
        <f>Предпосылки!AN$246*Предпосылки!$V270*Продажи!AO35*AO$19*(1+Чувствительность!$D$20)*IFERROR(LOOKUP(Предпосылки!$H$219,$C$13:$C$15,AO$13:AO$15),1)</f>
        <v>0</v>
      </c>
      <c s="125">
        <f>Предпосылки!AO$246*Предпосылки!$V270*Продажи!AP35*AP$19*(1+Чувствительность!$D$20)*IFERROR(LOOKUP(Предпосылки!$H$219,$C$13:$C$15,AP$13:AP$15),1)</f>
        <v>0</v>
      </c>
      <c s="125">
        <f>Предпосылки!AP$246*Предпосылки!$V270*Продажи!AQ35*AQ$19*(1+Чувствительность!$D$20)*IFERROR(LOOKUP(Предпосылки!$H$219,$C$13:$C$15,AQ$13:AQ$15),1)</f>
        <v>0</v>
      </c>
      <c s="125">
        <f>Предпосылки!AQ$246*Предпосылки!$V270*Продажи!AR35*AR$19*(1+Чувствительность!$D$20)*IFERROR(LOOKUP(Предпосылки!$H$219,$C$13:$C$15,AR$13:AR$15),1)</f>
        <v>0</v>
      </c>
      <c s="125">
        <f>Предпосылки!AR$246*Предпосылки!$V270*Продажи!AS35*AS$19*(1+Чувствительность!$D$20)*IFERROR(LOOKUP(Предпосылки!$H$219,$C$13:$C$15,AS$13:AS$15),1)</f>
        <v>0</v>
      </c>
      <c s="125">
        <f>Предпосылки!AS$246*Предпосылки!$V270*Продажи!AT35*AT$19*(1+Чувствительность!$D$20)*IFERROR(LOOKUP(Предпосылки!$H$219,$C$13:$C$15,AT$13:AT$15),1)</f>
        <v>0</v>
      </c>
      <c s="125">
        <f>Предпосылки!AT$246*Предпосылки!$V270*Продажи!AU35*AU$19*(1+Чувствительность!$D$20)*IFERROR(LOOKUP(Предпосылки!$H$219,$C$13:$C$15,AU$13:AU$15),1)</f>
        <v>0</v>
      </c>
      <c s="125">
        <f>Предпосылки!AU$246*Предпосылки!$V270*Продажи!AV35*AV$19*(1+Чувствительность!$D$20)*IFERROR(LOOKUP(Предпосылки!$H$219,$C$13:$C$15,AV$13:AV$15),1)</f>
        <v>0</v>
      </c>
      <c s="125">
        <f>Предпосылки!AV$246*Предпосылки!$V270*Продажи!AW35*AW$19*(1+Чувствительность!$D$20)*IFERROR(LOOKUP(Предпосылки!$H$219,$C$13:$C$15,AW$13:AW$15),1)</f>
        <v>0</v>
      </c>
      <c s="125">
        <f>Предпосылки!AW$246*Предпосылки!$V270*Продажи!AX35*AX$19*(1+Чувствительность!$D$20)*IFERROR(LOOKUP(Предпосылки!$H$219,$C$13:$C$15,AX$13:AX$15),1)</f>
        <v>0</v>
      </c>
      <c s="125">
        <f>Предпосылки!AX$246*Предпосылки!$V270*Продажи!AY35*AY$19*(1+Чувствительность!$D$20)*IFERROR(LOOKUP(Предпосылки!$H$219,$C$13:$C$15,AY$13:AY$15),1)</f>
        <v>0</v>
      </c>
      <c s="125">
        <f>Предпосылки!AY$246*Предпосылки!$V270*Продажи!AZ35*AZ$19*(1+Чувствительность!$D$20)*IFERROR(LOOKUP(Предпосылки!$H$219,$C$13:$C$15,AZ$13:AZ$15),1)</f>
        <v>0</v>
      </c>
      <c s="125">
        <f>Предпосылки!AZ$246*Предпосылки!$V270*Продажи!BA35*BA$19*(1+Чувствительность!$D$20)*IFERROR(LOOKUP(Предпосылки!$H$219,$C$13:$C$15,BA$13:BA$15),1)</f>
        <v>0</v>
      </c>
      <c s="125">
        <f>Предпосылки!BA$246*Предпосылки!$V270*Продажи!BB35*BB$19*(1+Чувствительность!$D$20)*IFERROR(LOOKUP(Предпосылки!$H$219,$C$13:$C$15,BB$13:BB$15),1)</f>
        <v>0</v>
      </c>
      <c s="125">
        <f>Предпосылки!BB$246*Предпосылки!$V270*Продажи!BC35*BC$19*(1+Чувствительность!$D$20)*IFERROR(LOOKUP(Предпосылки!$H$219,$C$13:$C$15,BC$13:BC$15),1)</f>
        <v>0</v>
      </c>
      <c s="125">
        <f>Предпосылки!BC$246*Предпосылки!$V270*Продажи!BD35*BD$19*(1+Чувствительность!$D$20)*IFERROR(LOOKUP(Предпосылки!$H$219,$C$13:$C$15,BD$13:BD$15),1)</f>
        <v>0</v>
      </c>
      <c s="125">
        <f>Предпосылки!BD$246*Предпосылки!$V270*Продажи!BE35*BE$19*(1+Чувствительность!$D$20)*IFERROR(LOOKUP(Предпосылки!$H$219,$C$13:$C$15,BE$13:BE$15),1)</f>
        <v>0</v>
      </c>
      <c s="125">
        <f>Предпосылки!BE$246*Предпосылки!$V270*Продажи!BF35*BF$19*(1+Чувствительность!$D$20)*IFERROR(LOOKUP(Предпосылки!$H$219,$C$13:$C$15,BF$13:BF$15),1)</f>
        <v>0</v>
      </c>
      <c s="125">
        <f>Предпосылки!BF$246*Предпосылки!$V270*Продажи!BG35*BG$19*(1+Чувствительность!$D$20)*IFERROR(LOOKUP(Предпосылки!$H$219,$C$13:$C$15,BG$13:BG$15),1)</f>
        <v>0</v>
      </c>
      <c s="125">
        <f>Предпосылки!BG$246*Предпосылки!$V270*Продажи!BH35*BH$19*(1+Чувствительность!$D$20)*IFERROR(LOOKUP(Предпосылки!$H$219,$C$13:$C$15,BH$13:BH$15),1)</f>
        <v>0</v>
      </c>
      <c s="125">
        <f>Предпосылки!BH$246*Предпосылки!$V270*Продажи!BI35*BI$19*(1+Чувствительность!$D$20)*IFERROR(LOOKUP(Предпосылки!$H$219,$C$13:$C$15,BI$13:BI$15),1)</f>
        <v>0</v>
      </c>
      <c s="125">
        <f>Предпосылки!BI$246*Предпосылки!$V270*Продажи!BJ35*BJ$19*(1+Чувствительность!$D$20)*IFERROR(LOOKUP(Предпосылки!$H$219,$C$13:$C$15,BJ$13:BJ$15),1)</f>
        <v>0</v>
      </c>
      <c s="125">
        <f>Предпосылки!BJ$246*Предпосылки!$V270*Продажи!BK35*BK$19*(1+Чувствительность!$D$20)*IFERROR(LOOKUP(Предпосылки!$H$219,$C$13:$C$15,BK$13:BK$15),1)</f>
        <v>0</v>
      </c>
      <c s="125">
        <f>Предпосылки!BK$246*Предпосылки!$V270*Продажи!BL35*BL$19*(1+Чувствительность!$D$20)*IFERROR(LOOKUP(Предпосылки!$H$219,$C$13:$C$15,BL$13:BL$15),1)</f>
        <v>0</v>
      </c>
      <c s="125">
        <f>Предпосылки!BL$246*Предпосылки!$V270*Продажи!BM35*BM$19*(1+Чувствительность!$D$20)*IFERROR(LOOKUP(Предпосылки!$H$219,$C$13:$C$15,BM$13:BM$15),1)</f>
        <v>0</v>
      </c>
    </row>
    <row r="455" spans="2:65" ht="15" customHeight="1">
      <c r="B455" s="12" t="str">
        <f t="shared" si="151"/>
        <v>Продукт 19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Предпосылки!D$246*Предпосылки!$V271*Продажи!E36*E$19*(1+Чувствительность!$D$20)*IFERROR(LOOKUP(Предпосылки!$H$219,$C$13:$C$15,E$13:E$15),1)</f>
        <v>0</v>
      </c>
      <c s="125">
        <f>Предпосылки!E$246*Предпосылки!$V271*Продажи!F36*F$19*(1+Чувствительность!$D$20)*IFERROR(LOOKUP(Предпосылки!$H$219,$C$13:$C$15,F$13:F$15),1)</f>
        <v>0</v>
      </c>
      <c s="125">
        <f>Предпосылки!F$246*Предпосылки!$V271*Продажи!G36*G$19*(1+Чувствительность!$D$20)*IFERROR(LOOKUP(Предпосылки!$H$219,$C$13:$C$15,G$13:G$15),1)</f>
        <v>0</v>
      </c>
      <c s="125">
        <f>Предпосылки!G$246*Предпосылки!$V271*Продажи!H36*H$19*(1+Чувствительность!$D$20)*IFERROR(LOOKUP(Предпосылки!$H$219,$C$13:$C$15,H$13:H$15),1)</f>
        <v>0</v>
      </c>
      <c s="125">
        <f>Предпосылки!H$246*Предпосылки!$V271*Продажи!I36*I$19*(1+Чувствительность!$D$20)*IFERROR(LOOKUP(Предпосылки!$H$219,$C$13:$C$15,I$13:I$15),1)</f>
        <v>0</v>
      </c>
      <c s="125">
        <f>Предпосылки!I$246*Предпосылки!$V271*Продажи!J36*J$19*(1+Чувствительность!$D$20)*IFERROR(LOOKUP(Предпосылки!$H$219,$C$13:$C$15,J$13:J$15),1)</f>
        <v>0</v>
      </c>
      <c s="125">
        <f>Предпосылки!J$246*Предпосылки!$V271*Продажи!K36*K$19*(1+Чувствительность!$D$20)*IFERROR(LOOKUP(Предпосылки!$H$219,$C$13:$C$15,K$13:K$15),1)</f>
        <v>0</v>
      </c>
      <c s="125">
        <f>Предпосылки!K$246*Предпосылки!$V271*Продажи!L36*L$19*(1+Чувствительность!$D$20)*IFERROR(LOOKUP(Предпосылки!$H$219,$C$13:$C$15,L$13:L$15),1)</f>
        <v>0</v>
      </c>
      <c s="125">
        <f>Предпосылки!L$246*Предпосылки!$V271*Продажи!M36*M$19*(1+Чувствительность!$D$20)*IFERROR(LOOKUP(Предпосылки!$H$219,$C$13:$C$15,M$13:M$15),1)</f>
        <v>0</v>
      </c>
      <c s="125">
        <f>Предпосылки!M$246*Предпосылки!$V271*Продажи!N36*N$19*(1+Чувствительность!$D$20)*IFERROR(LOOKUP(Предпосылки!$H$219,$C$13:$C$15,N$13:N$15),1)</f>
        <v>0</v>
      </c>
      <c s="125">
        <f>Предпосылки!N$246*Предпосылки!$V271*Продажи!O36*O$19*(1+Чувствительность!$D$20)*IFERROR(LOOKUP(Предпосылки!$H$219,$C$13:$C$15,O$13:O$15),1)</f>
        <v>0</v>
      </c>
      <c s="125">
        <f>Предпосылки!O$246*Предпосылки!$V271*Продажи!P36*P$19*(1+Чувствительность!$D$20)*IFERROR(LOOKUP(Предпосылки!$H$219,$C$13:$C$15,P$13:P$15),1)</f>
        <v>0</v>
      </c>
      <c s="125">
        <f>Предпосылки!P$246*Предпосылки!$V271*Продажи!Q36*Q$19*(1+Чувствительность!$D$20)*IFERROR(LOOKUP(Предпосылки!$H$219,$C$13:$C$15,Q$13:Q$15),1)</f>
        <v>0</v>
      </c>
      <c s="125">
        <f>Предпосылки!Q$246*Предпосылки!$V271*Продажи!R36*R$19*(1+Чувствительность!$D$20)*IFERROR(LOOKUP(Предпосылки!$H$219,$C$13:$C$15,R$13:R$15),1)</f>
        <v>0</v>
      </c>
      <c s="125">
        <f>Предпосылки!R$246*Предпосылки!$V271*Продажи!S36*S$19*(1+Чувствительность!$D$20)*IFERROR(LOOKUP(Предпосылки!$H$219,$C$13:$C$15,S$13:S$15),1)</f>
        <v>0</v>
      </c>
      <c s="125">
        <f>Предпосылки!S$246*Предпосылки!$V271*Продажи!T36*T$19*(1+Чувствительность!$D$20)*IFERROR(LOOKUP(Предпосылки!$H$219,$C$13:$C$15,T$13:T$15),1)</f>
        <v>0</v>
      </c>
      <c s="125">
        <f>Предпосылки!T$246*Предпосылки!$V271*Продажи!U36*U$19*(1+Чувствительность!$D$20)*IFERROR(LOOKUP(Предпосылки!$H$219,$C$13:$C$15,U$13:U$15),1)</f>
        <v>0</v>
      </c>
      <c s="125">
        <f>Предпосылки!U$246*Предпосылки!$V271*Продажи!V36*V$19*(1+Чувствительность!$D$20)*IFERROR(LOOKUP(Предпосылки!$H$219,$C$13:$C$15,V$13:V$15),1)</f>
        <v>0</v>
      </c>
      <c s="125">
        <f>Предпосылки!V$246*Предпосылки!$V271*Продажи!W36*W$19*(1+Чувствительность!$D$20)*IFERROR(LOOKUP(Предпосылки!$H$219,$C$13:$C$15,W$13:W$15),1)</f>
        <v>0</v>
      </c>
      <c s="125">
        <f>Предпосылки!W$246*Предпосылки!$V271*Продажи!X36*X$19*(1+Чувствительность!$D$20)*IFERROR(LOOKUP(Предпосылки!$H$219,$C$13:$C$15,X$13:X$15),1)</f>
        <v>0</v>
      </c>
      <c s="125">
        <f>Предпосылки!X$246*Предпосылки!$V271*Продажи!Y36*Y$19*(1+Чувствительность!$D$20)*IFERROR(LOOKUP(Предпосылки!$H$219,$C$13:$C$15,Y$13:Y$15),1)</f>
        <v>0</v>
      </c>
      <c s="125">
        <f>Предпосылки!Y$246*Предпосылки!$V271*Продажи!Z36*Z$19*(1+Чувствительность!$D$20)*IFERROR(LOOKUP(Предпосылки!$H$219,$C$13:$C$15,Z$13:Z$15),1)</f>
        <v>0</v>
      </c>
      <c s="125">
        <f>Предпосылки!Z$246*Предпосылки!$V271*Продажи!AA36*AA$19*(1+Чувствительность!$D$20)*IFERROR(LOOKUP(Предпосылки!$H$219,$C$13:$C$15,AA$13:AA$15),1)</f>
        <v>0</v>
      </c>
      <c s="125">
        <f>Предпосылки!AA$246*Предпосылки!$V271*Продажи!AB36*AB$19*(1+Чувствительность!$D$20)*IFERROR(LOOKUP(Предпосылки!$H$219,$C$13:$C$15,AB$13:AB$15),1)</f>
        <v>0</v>
      </c>
      <c s="125">
        <f>Предпосылки!AB$246*Предпосылки!$V271*Продажи!AC36*AC$19*(1+Чувствительность!$D$20)*IFERROR(LOOKUP(Предпосылки!$H$219,$C$13:$C$15,AC$13:AC$15),1)</f>
        <v>0</v>
      </c>
      <c s="125">
        <f>Предпосылки!AC$246*Предпосылки!$V271*Продажи!AD36*AD$19*(1+Чувствительность!$D$20)*IFERROR(LOOKUP(Предпосылки!$H$219,$C$13:$C$15,AD$13:AD$15),1)</f>
        <v>0</v>
      </c>
      <c s="125">
        <f>Предпосылки!AD$246*Предпосылки!$V271*Продажи!AE36*AE$19*(1+Чувствительность!$D$20)*IFERROR(LOOKUP(Предпосылки!$H$219,$C$13:$C$15,AE$13:AE$15),1)</f>
        <v>0</v>
      </c>
      <c s="125">
        <f>Предпосылки!AE$246*Предпосылки!$V271*Продажи!AF36*AF$19*(1+Чувствительность!$D$20)*IFERROR(LOOKUP(Предпосылки!$H$219,$C$13:$C$15,AF$13:AF$15),1)</f>
        <v>0</v>
      </c>
      <c s="125">
        <f>Предпосылки!AF$246*Предпосылки!$V271*Продажи!AG36*AG$19*(1+Чувствительность!$D$20)*IFERROR(LOOKUP(Предпосылки!$H$219,$C$13:$C$15,AG$13:AG$15),1)</f>
        <v>0</v>
      </c>
      <c s="125">
        <f>Предпосылки!AG$246*Предпосылки!$V271*Продажи!AH36*AH$19*(1+Чувствительность!$D$20)*IFERROR(LOOKUP(Предпосылки!$H$219,$C$13:$C$15,AH$13:AH$15),1)</f>
        <v>0</v>
      </c>
      <c s="125">
        <f>Предпосылки!AH$246*Предпосылки!$V271*Продажи!AI36*AI$19*(1+Чувствительность!$D$20)*IFERROR(LOOKUP(Предпосылки!$H$219,$C$13:$C$15,AI$13:AI$15),1)</f>
        <v>0</v>
      </c>
      <c s="125">
        <f>Предпосылки!AI$246*Предпосылки!$V271*Продажи!AJ36*AJ$19*(1+Чувствительность!$D$20)*IFERROR(LOOKUP(Предпосылки!$H$219,$C$13:$C$15,AJ$13:AJ$15),1)</f>
        <v>0</v>
      </c>
      <c s="125">
        <f>Предпосылки!AJ$246*Предпосылки!$V271*Продажи!AK36*AK$19*(1+Чувствительность!$D$20)*IFERROR(LOOKUP(Предпосылки!$H$219,$C$13:$C$15,AK$13:AK$15),1)</f>
        <v>0</v>
      </c>
      <c s="125">
        <f>Предпосылки!AK$246*Предпосылки!$V271*Продажи!AL36*AL$19*(1+Чувствительность!$D$20)*IFERROR(LOOKUP(Предпосылки!$H$219,$C$13:$C$15,AL$13:AL$15),1)</f>
        <v>0</v>
      </c>
      <c s="125">
        <f>Предпосылки!AL$246*Предпосылки!$V271*Продажи!AM36*AM$19*(1+Чувствительность!$D$20)*IFERROR(LOOKUP(Предпосылки!$H$219,$C$13:$C$15,AM$13:AM$15),1)</f>
        <v>0</v>
      </c>
      <c s="125">
        <f>Предпосылки!AM$246*Предпосылки!$V271*Продажи!AN36*AN$19*(1+Чувствительность!$D$20)*IFERROR(LOOKUP(Предпосылки!$H$219,$C$13:$C$15,AN$13:AN$15),1)</f>
        <v>0</v>
      </c>
      <c s="125">
        <f>Предпосылки!AN$246*Предпосылки!$V271*Продажи!AO36*AO$19*(1+Чувствительность!$D$20)*IFERROR(LOOKUP(Предпосылки!$H$219,$C$13:$C$15,AO$13:AO$15),1)</f>
        <v>0</v>
      </c>
      <c s="125">
        <f>Предпосылки!AO$246*Предпосылки!$V271*Продажи!AP36*AP$19*(1+Чувствительность!$D$20)*IFERROR(LOOKUP(Предпосылки!$H$219,$C$13:$C$15,AP$13:AP$15),1)</f>
        <v>0</v>
      </c>
      <c s="125">
        <f>Предпосылки!AP$246*Предпосылки!$V271*Продажи!AQ36*AQ$19*(1+Чувствительность!$D$20)*IFERROR(LOOKUP(Предпосылки!$H$219,$C$13:$C$15,AQ$13:AQ$15),1)</f>
        <v>0</v>
      </c>
      <c s="125">
        <f>Предпосылки!AQ$246*Предпосылки!$V271*Продажи!AR36*AR$19*(1+Чувствительность!$D$20)*IFERROR(LOOKUP(Предпосылки!$H$219,$C$13:$C$15,AR$13:AR$15),1)</f>
        <v>0</v>
      </c>
      <c s="125">
        <f>Предпосылки!AR$246*Предпосылки!$V271*Продажи!AS36*AS$19*(1+Чувствительность!$D$20)*IFERROR(LOOKUP(Предпосылки!$H$219,$C$13:$C$15,AS$13:AS$15),1)</f>
        <v>0</v>
      </c>
      <c s="125">
        <f>Предпосылки!AS$246*Предпосылки!$V271*Продажи!AT36*AT$19*(1+Чувствительность!$D$20)*IFERROR(LOOKUP(Предпосылки!$H$219,$C$13:$C$15,AT$13:AT$15),1)</f>
        <v>0</v>
      </c>
      <c s="125">
        <f>Предпосылки!AT$246*Предпосылки!$V271*Продажи!AU36*AU$19*(1+Чувствительность!$D$20)*IFERROR(LOOKUP(Предпосылки!$H$219,$C$13:$C$15,AU$13:AU$15),1)</f>
        <v>0</v>
      </c>
      <c s="125">
        <f>Предпосылки!AU$246*Предпосылки!$V271*Продажи!AV36*AV$19*(1+Чувствительность!$D$20)*IFERROR(LOOKUP(Предпосылки!$H$219,$C$13:$C$15,AV$13:AV$15),1)</f>
        <v>0</v>
      </c>
      <c s="125">
        <f>Предпосылки!AV$246*Предпосылки!$V271*Продажи!AW36*AW$19*(1+Чувствительность!$D$20)*IFERROR(LOOKUP(Предпосылки!$H$219,$C$13:$C$15,AW$13:AW$15),1)</f>
        <v>0</v>
      </c>
      <c s="125">
        <f>Предпосылки!AW$246*Предпосылки!$V271*Продажи!AX36*AX$19*(1+Чувствительность!$D$20)*IFERROR(LOOKUP(Предпосылки!$H$219,$C$13:$C$15,AX$13:AX$15),1)</f>
        <v>0</v>
      </c>
      <c s="125">
        <f>Предпосылки!AX$246*Предпосылки!$V271*Продажи!AY36*AY$19*(1+Чувствительность!$D$20)*IFERROR(LOOKUP(Предпосылки!$H$219,$C$13:$C$15,AY$13:AY$15),1)</f>
        <v>0</v>
      </c>
      <c s="125">
        <f>Предпосылки!AY$246*Предпосылки!$V271*Продажи!AZ36*AZ$19*(1+Чувствительность!$D$20)*IFERROR(LOOKUP(Предпосылки!$H$219,$C$13:$C$15,AZ$13:AZ$15),1)</f>
        <v>0</v>
      </c>
      <c s="125">
        <f>Предпосылки!AZ$246*Предпосылки!$V271*Продажи!BA36*BA$19*(1+Чувствительность!$D$20)*IFERROR(LOOKUP(Предпосылки!$H$219,$C$13:$C$15,BA$13:BA$15),1)</f>
        <v>0</v>
      </c>
      <c s="125">
        <f>Предпосылки!BA$246*Предпосылки!$V271*Продажи!BB36*BB$19*(1+Чувствительность!$D$20)*IFERROR(LOOKUP(Предпосылки!$H$219,$C$13:$C$15,BB$13:BB$15),1)</f>
        <v>0</v>
      </c>
      <c s="125">
        <f>Предпосылки!BB$246*Предпосылки!$V271*Продажи!BC36*BC$19*(1+Чувствительность!$D$20)*IFERROR(LOOKUP(Предпосылки!$H$219,$C$13:$C$15,BC$13:BC$15),1)</f>
        <v>0</v>
      </c>
      <c s="125">
        <f>Предпосылки!BC$246*Предпосылки!$V271*Продажи!BD36*BD$19*(1+Чувствительность!$D$20)*IFERROR(LOOKUP(Предпосылки!$H$219,$C$13:$C$15,BD$13:BD$15),1)</f>
        <v>0</v>
      </c>
      <c s="125">
        <f>Предпосылки!BD$246*Предпосылки!$V271*Продажи!BE36*BE$19*(1+Чувствительность!$D$20)*IFERROR(LOOKUP(Предпосылки!$H$219,$C$13:$C$15,BE$13:BE$15),1)</f>
        <v>0</v>
      </c>
      <c s="125">
        <f>Предпосылки!BE$246*Предпосылки!$V271*Продажи!BF36*BF$19*(1+Чувствительность!$D$20)*IFERROR(LOOKUP(Предпосылки!$H$219,$C$13:$C$15,BF$13:BF$15),1)</f>
        <v>0</v>
      </c>
      <c s="125">
        <f>Предпосылки!BF$246*Предпосылки!$V271*Продажи!BG36*BG$19*(1+Чувствительность!$D$20)*IFERROR(LOOKUP(Предпосылки!$H$219,$C$13:$C$15,BG$13:BG$15),1)</f>
        <v>0</v>
      </c>
      <c s="125">
        <f>Предпосылки!BG$246*Предпосылки!$V271*Продажи!BH36*BH$19*(1+Чувствительность!$D$20)*IFERROR(LOOKUP(Предпосылки!$H$219,$C$13:$C$15,BH$13:BH$15),1)</f>
        <v>0</v>
      </c>
      <c s="125">
        <f>Предпосылки!BH$246*Предпосылки!$V271*Продажи!BI36*BI$19*(1+Чувствительность!$D$20)*IFERROR(LOOKUP(Предпосылки!$H$219,$C$13:$C$15,BI$13:BI$15),1)</f>
        <v>0</v>
      </c>
      <c s="125">
        <f>Предпосылки!BI$246*Предпосылки!$V271*Продажи!BJ36*BJ$19*(1+Чувствительность!$D$20)*IFERROR(LOOKUP(Предпосылки!$H$219,$C$13:$C$15,BJ$13:BJ$15),1)</f>
        <v>0</v>
      </c>
      <c s="125">
        <f>Предпосылки!BJ$246*Предпосылки!$V271*Продажи!BK36*BK$19*(1+Чувствительность!$D$20)*IFERROR(LOOKUP(Предпосылки!$H$219,$C$13:$C$15,BK$13:BK$15),1)</f>
        <v>0</v>
      </c>
      <c s="125">
        <f>Предпосылки!BK$246*Предпосылки!$V271*Продажи!BL36*BL$19*(1+Чувствительность!$D$20)*IFERROR(LOOKUP(Предпосылки!$H$219,$C$13:$C$15,BL$13:BL$15),1)</f>
        <v>0</v>
      </c>
      <c s="125">
        <f>Предпосылки!BL$246*Предпосылки!$V271*Продажи!BM36*BM$19*(1+Чувствительность!$D$20)*IFERROR(LOOKUP(Предпосылки!$H$219,$C$13:$C$15,BM$13:BM$15),1)</f>
        <v>0</v>
      </c>
    </row>
    <row r="456" spans="2:65" ht="15" customHeight="1">
      <c r="B456" s="12" t="str">
        <f t="shared" si="151"/>
        <v>Продукт 20</v>
      </c>
      <c s="124" t="str">
        <f t="shared" si="150"/>
        <v>тыс. руб.</v>
      </c>
      <c s="276">
        <f t="shared" si="152"/>
        <v>0</v>
      </c>
      <c s="125">
        <f>Предпосылки!D$246*Предпосылки!$V272*Продажи!E37*E$19*(1+Чувствительность!$D$20)*IFERROR(LOOKUP(Предпосылки!$H$219,$C$13:$C$15,E$13:E$15),1)</f>
        <v>0</v>
      </c>
      <c s="125">
        <f>Предпосылки!E$246*Предпосылки!$V272*Продажи!F37*F$19*(1+Чувствительность!$D$20)*IFERROR(LOOKUP(Предпосылки!$H$219,$C$13:$C$15,F$13:F$15),1)</f>
        <v>0</v>
      </c>
      <c s="125">
        <f>Предпосылки!F$246*Предпосылки!$V272*Продажи!G37*G$19*(1+Чувствительность!$D$20)*IFERROR(LOOKUP(Предпосылки!$H$219,$C$13:$C$15,G$13:G$15),1)</f>
        <v>0</v>
      </c>
      <c s="125">
        <f>Предпосылки!G$246*Предпосылки!$V272*Продажи!H37*H$19*(1+Чувствительность!$D$20)*IFERROR(LOOKUP(Предпосылки!$H$219,$C$13:$C$15,H$13:H$15),1)</f>
        <v>0</v>
      </c>
      <c s="125">
        <f>Предпосылки!H$246*Предпосылки!$V272*Продажи!I37*I$19*(1+Чувствительность!$D$20)*IFERROR(LOOKUP(Предпосылки!$H$219,$C$13:$C$15,I$13:I$15),1)</f>
        <v>0</v>
      </c>
      <c s="125">
        <f>Предпосылки!I$246*Предпосылки!$V272*Продажи!J37*J$19*(1+Чувствительность!$D$20)*IFERROR(LOOKUP(Предпосылки!$H$219,$C$13:$C$15,J$13:J$15),1)</f>
        <v>0</v>
      </c>
      <c s="125">
        <f>Предпосылки!J$246*Предпосылки!$V272*Продажи!K37*K$19*(1+Чувствительность!$D$20)*IFERROR(LOOKUP(Предпосылки!$H$219,$C$13:$C$15,K$13:K$15),1)</f>
        <v>0</v>
      </c>
      <c s="125">
        <f>Предпосылки!K$246*Предпосылки!$V272*Продажи!L37*L$19*(1+Чувствительность!$D$20)*IFERROR(LOOKUP(Предпосылки!$H$219,$C$13:$C$15,L$13:L$15),1)</f>
        <v>0</v>
      </c>
      <c s="125">
        <f>Предпосылки!L$246*Предпосылки!$V272*Продажи!M37*M$19*(1+Чувствительность!$D$20)*IFERROR(LOOKUP(Предпосылки!$H$219,$C$13:$C$15,M$13:M$15),1)</f>
        <v>0</v>
      </c>
      <c s="125">
        <f>Предпосылки!M$246*Предпосылки!$V272*Продажи!N37*N$19*(1+Чувствительность!$D$20)*IFERROR(LOOKUP(Предпосылки!$H$219,$C$13:$C$15,N$13:N$15),1)</f>
        <v>0</v>
      </c>
      <c s="125">
        <f>Предпосылки!N$246*Предпосылки!$V272*Продажи!O37*O$19*(1+Чувствительность!$D$20)*IFERROR(LOOKUP(Предпосылки!$H$219,$C$13:$C$15,O$13:O$15),1)</f>
        <v>0</v>
      </c>
      <c s="125">
        <f>Предпосылки!O$246*Предпосылки!$V272*Продажи!P37*P$19*(1+Чувствительность!$D$20)*IFERROR(LOOKUP(Предпосылки!$H$219,$C$13:$C$15,P$13:P$15),1)</f>
        <v>0</v>
      </c>
      <c s="125">
        <f>Предпосылки!P$246*Предпосылки!$V272*Продажи!Q37*Q$19*(1+Чувствительность!$D$20)*IFERROR(LOOKUP(Предпосылки!$H$219,$C$13:$C$15,Q$13:Q$15),1)</f>
        <v>0</v>
      </c>
      <c s="125">
        <f>Предпосылки!Q$246*Предпосылки!$V272*Продажи!R37*R$19*(1+Чувствительность!$D$20)*IFERROR(LOOKUP(Предпосылки!$H$219,$C$13:$C$15,R$13:R$15),1)</f>
        <v>0</v>
      </c>
      <c s="125">
        <f>Предпосылки!R$246*Предпосылки!$V272*Продажи!S37*S$19*(1+Чувствительность!$D$20)*IFERROR(LOOKUP(Предпосылки!$H$219,$C$13:$C$15,S$13:S$15),1)</f>
        <v>0</v>
      </c>
      <c s="125">
        <f>Предпосылки!S$246*Предпосылки!$V272*Продажи!T37*T$19*(1+Чувствительность!$D$20)*IFERROR(LOOKUP(Предпосылки!$H$219,$C$13:$C$15,T$13:T$15),1)</f>
        <v>0</v>
      </c>
      <c s="125">
        <f>Предпосылки!T$246*Предпосылки!$V272*Продажи!U37*U$19*(1+Чувствительность!$D$20)*IFERROR(LOOKUP(Предпосылки!$H$219,$C$13:$C$15,U$13:U$15),1)</f>
        <v>0</v>
      </c>
      <c s="125">
        <f>Предпосылки!U$246*Предпосылки!$V272*Продажи!V37*V$19*(1+Чувствительность!$D$20)*IFERROR(LOOKUP(Предпосылки!$H$219,$C$13:$C$15,V$13:V$15),1)</f>
        <v>0</v>
      </c>
      <c s="125">
        <f>Предпосылки!V$246*Предпосылки!$V272*Продажи!W37*W$19*(1+Чувствительность!$D$20)*IFERROR(LOOKUP(Предпосылки!$H$219,$C$13:$C$15,W$13:W$15),1)</f>
        <v>0</v>
      </c>
      <c s="125">
        <f>Предпосылки!W$246*Предпосылки!$V272*Продажи!X37*X$19*(1+Чувствительность!$D$20)*IFERROR(LOOKUP(Предпосылки!$H$219,$C$13:$C$15,X$13:X$15),1)</f>
        <v>0</v>
      </c>
      <c s="125">
        <f>Предпосылки!X$246*Предпосылки!$V272*Продажи!Y37*Y$19*(1+Чувствительность!$D$20)*IFERROR(LOOKUP(Предпосылки!$H$219,$C$13:$C$15,Y$13:Y$15),1)</f>
        <v>0</v>
      </c>
      <c s="125">
        <f>Предпосылки!Y$246*Предпосылки!$V272*Продажи!Z37*Z$19*(1+Чувствительность!$D$20)*IFERROR(LOOKUP(Предпосылки!$H$219,$C$13:$C$15,Z$13:Z$15),1)</f>
        <v>0</v>
      </c>
      <c s="125">
        <f>Предпосылки!Z$246*Предпосылки!$V272*Продажи!AA37*AA$19*(1+Чувствительность!$D$20)*IFERROR(LOOKUP(Предпосылки!$H$219,$C$13:$C$15,AA$13:AA$15),1)</f>
        <v>0</v>
      </c>
      <c s="125">
        <f>Предпосылки!AA$246*Предпосылки!$V272*Продажи!AB37*AB$19*(1+Чувствительность!$D$20)*IFERROR(LOOKUP(Предпосылки!$H$219,$C$13:$C$15,AB$13:AB$15),1)</f>
        <v>0</v>
      </c>
      <c s="125">
        <f>Предпосылки!AB$246*Предпосылки!$V272*Продажи!AC37*AC$19*(1+Чувствительность!$D$20)*IFERROR(LOOKUP(Предпосылки!$H$219,$C$13:$C$15,AC$13:AC$15),1)</f>
        <v>0</v>
      </c>
      <c s="125">
        <f>Предпосылки!AC$246*Предпосылки!$V272*Продажи!AD37*AD$19*(1+Чувствительность!$D$20)*IFERROR(LOOKUP(Предпосылки!$H$219,$C$13:$C$15,AD$13:AD$15),1)</f>
        <v>0</v>
      </c>
      <c s="125">
        <f>Предпосылки!AD$246*Предпосылки!$V272*Продажи!AE37*AE$19*(1+Чувствительность!$D$20)*IFERROR(LOOKUP(Предпосылки!$H$219,$C$13:$C$15,AE$13:AE$15),1)</f>
        <v>0</v>
      </c>
      <c s="125">
        <f>Предпосылки!AE$246*Предпосылки!$V272*Продажи!AF37*AF$19*(1+Чувствительность!$D$20)*IFERROR(LOOKUP(Предпосылки!$H$219,$C$13:$C$15,AF$13:AF$15),1)</f>
        <v>0</v>
      </c>
      <c s="125">
        <f>Предпосылки!AF$246*Предпосылки!$V272*Продажи!AG37*AG$19*(1+Чувствительность!$D$20)*IFERROR(LOOKUP(Предпосылки!$H$219,$C$13:$C$15,AG$13:AG$15),1)</f>
        <v>0</v>
      </c>
      <c s="125">
        <f>Предпосылки!AG$246*Предпосылки!$V272*Продажи!AH37*AH$19*(1+Чувствительность!$D$20)*IFERROR(LOOKUP(Предпосылки!$H$219,$C$13:$C$15,AH$13:AH$15),1)</f>
        <v>0</v>
      </c>
      <c s="125">
        <f>Предпосылки!AH$246*Предпосылки!$V272*Продажи!AI37*AI$19*(1+Чувствительность!$D$20)*IFERROR(LOOKUP(Предпосылки!$H$219,$C$13:$C$15,AI$13:AI$15),1)</f>
        <v>0</v>
      </c>
      <c s="125">
        <f>Предпосылки!AI$246*Предпосылки!$V272*Продажи!AJ37*AJ$19*(1+Чувствительность!$D$20)*IFERROR(LOOKUP(Предпосылки!$H$219,$C$13:$C$15,AJ$13:AJ$15),1)</f>
        <v>0</v>
      </c>
      <c s="125">
        <f>Предпосылки!AJ$246*Предпосылки!$V272*Продажи!AK37*AK$19*(1+Чувствительность!$D$20)*IFERROR(LOOKUP(Предпосылки!$H$219,$C$13:$C$15,AK$13:AK$15),1)</f>
        <v>0</v>
      </c>
      <c s="125">
        <f>Предпосылки!AK$246*Предпосылки!$V272*Продажи!AL37*AL$19*(1+Чувствительность!$D$20)*IFERROR(LOOKUP(Предпосылки!$H$219,$C$13:$C$15,AL$13:AL$15),1)</f>
        <v>0</v>
      </c>
      <c s="125">
        <f>Предпосылки!AL$246*Предпосылки!$V272*Продажи!AM37*AM$19*(1+Чувствительность!$D$20)*IFERROR(LOOKUP(Предпосылки!$H$219,$C$13:$C$15,AM$13:AM$15),1)</f>
        <v>0</v>
      </c>
      <c s="125">
        <f>Предпосылки!AM$246*Предпосылки!$V272*Продажи!AN37*AN$19*(1+Чувствительность!$D$20)*IFERROR(LOOKUP(Предпосылки!$H$219,$C$13:$C$15,AN$13:AN$15),1)</f>
        <v>0</v>
      </c>
      <c s="125">
        <f>Предпосылки!AN$246*Предпосылки!$V272*Продажи!AO37*AO$19*(1+Чувствительность!$D$20)*IFERROR(LOOKUP(Предпосылки!$H$219,$C$13:$C$15,AO$13:AO$15),1)</f>
        <v>0</v>
      </c>
      <c s="125">
        <f>Предпосылки!AO$246*Предпосылки!$V272*Продажи!AP37*AP$19*(1+Чувствительность!$D$20)*IFERROR(LOOKUP(Предпосылки!$H$219,$C$13:$C$15,AP$13:AP$15),1)</f>
        <v>0</v>
      </c>
      <c s="125">
        <f>Предпосылки!AP$246*Предпосылки!$V272*Продажи!AQ37*AQ$19*(1+Чувствительность!$D$20)*IFERROR(LOOKUP(Предпосылки!$H$219,$C$13:$C$15,AQ$13:AQ$15),1)</f>
        <v>0</v>
      </c>
      <c s="125">
        <f>Предпосылки!AQ$246*Предпосылки!$V272*Продажи!AR37*AR$19*(1+Чувствительность!$D$20)*IFERROR(LOOKUP(Предпосылки!$H$219,$C$13:$C$15,AR$13:AR$15),1)</f>
        <v>0</v>
      </c>
      <c s="125">
        <f>Предпосылки!AR$246*Предпосылки!$V272*Продажи!AS37*AS$19*(1+Чувствительность!$D$20)*IFERROR(LOOKUP(Предпосылки!$H$219,$C$13:$C$15,AS$13:AS$15),1)</f>
        <v>0</v>
      </c>
      <c s="125">
        <f>Предпосылки!AS$246*Предпосылки!$V272*Продажи!AT37*AT$19*(1+Чувствительность!$D$20)*IFERROR(LOOKUP(Предпосылки!$H$219,$C$13:$C$15,AT$13:AT$15),1)</f>
        <v>0</v>
      </c>
      <c s="125">
        <f>Предпосылки!AT$246*Предпосылки!$V272*Продажи!AU37*AU$19*(1+Чувствительность!$D$20)*IFERROR(LOOKUP(Предпосылки!$H$219,$C$13:$C$15,AU$13:AU$15),1)</f>
        <v>0</v>
      </c>
      <c s="125">
        <f>Предпосылки!AU$246*Предпосылки!$V272*Продажи!AV37*AV$19*(1+Чувствительность!$D$20)*IFERROR(LOOKUP(Предпосылки!$H$219,$C$13:$C$15,AV$13:AV$15),1)</f>
        <v>0</v>
      </c>
      <c s="125">
        <f>Предпосылки!AV$246*Предпосылки!$V272*Продажи!AW37*AW$19*(1+Чувствительность!$D$20)*IFERROR(LOOKUP(Предпосылки!$H$219,$C$13:$C$15,AW$13:AW$15),1)</f>
        <v>0</v>
      </c>
      <c s="125">
        <f>Предпосылки!AW$246*Предпосылки!$V272*Продажи!AX37*AX$19*(1+Чувствительность!$D$20)*IFERROR(LOOKUP(Предпосылки!$H$219,$C$13:$C$15,AX$13:AX$15),1)</f>
        <v>0</v>
      </c>
      <c s="125">
        <f>Предпосылки!AX$246*Предпосылки!$V272*Продажи!AY37*AY$19*(1+Чувствительность!$D$20)*IFERROR(LOOKUP(Предпосылки!$H$219,$C$13:$C$15,AY$13:AY$15),1)</f>
        <v>0</v>
      </c>
      <c s="125">
        <f>Предпосылки!AY$246*Предпосылки!$V272*Продажи!AZ37*AZ$19*(1+Чувствительность!$D$20)*IFERROR(LOOKUP(Предпосылки!$H$219,$C$13:$C$15,AZ$13:AZ$15),1)</f>
        <v>0</v>
      </c>
      <c s="125">
        <f>Предпосылки!AZ$246*Предпосылки!$V272*Продажи!BA37*BA$19*(1+Чувствительность!$D$20)*IFERROR(LOOKUP(Предпосылки!$H$219,$C$13:$C$15,BA$13:BA$15),1)</f>
        <v>0</v>
      </c>
      <c s="125">
        <f>Предпосылки!BA$246*Предпосылки!$V272*Продажи!BB37*BB$19*(1+Чувствительность!$D$20)*IFERROR(LOOKUP(Предпосылки!$H$219,$C$13:$C$15,BB$13:BB$15),1)</f>
        <v>0</v>
      </c>
      <c s="125">
        <f>Предпосылки!BB$246*Предпосылки!$V272*Продажи!BC37*BC$19*(1+Чувствительность!$D$20)*IFERROR(LOOKUP(Предпосылки!$H$219,$C$13:$C$15,BC$13:BC$15),1)</f>
        <v>0</v>
      </c>
      <c s="125">
        <f>Предпосылки!BC$246*Предпосылки!$V272*Продажи!BD37*BD$19*(1+Чувствительность!$D$20)*IFERROR(LOOKUP(Предпосылки!$H$219,$C$13:$C$15,BD$13:BD$15),1)</f>
        <v>0</v>
      </c>
      <c s="125">
        <f>Предпосылки!BD$246*Предпосылки!$V272*Продажи!BE37*BE$19*(1+Чувствительность!$D$20)*IFERROR(LOOKUP(Предпосылки!$H$219,$C$13:$C$15,BE$13:BE$15),1)</f>
        <v>0</v>
      </c>
      <c s="125">
        <f>Предпосылки!BE$246*Предпосылки!$V272*Продажи!BF37*BF$19*(1+Чувствительность!$D$20)*IFERROR(LOOKUP(Предпосылки!$H$219,$C$13:$C$15,BF$13:BF$15),1)</f>
        <v>0</v>
      </c>
      <c s="125">
        <f>Предпосылки!BF$246*Предпосылки!$V272*Продажи!BG37*BG$19*(1+Чувствительность!$D$20)*IFERROR(LOOKUP(Предпосылки!$H$219,$C$13:$C$15,BG$13:BG$15),1)</f>
        <v>0</v>
      </c>
      <c s="125">
        <f>Предпосылки!BG$246*Предпосылки!$V272*Продажи!BH37*BH$19*(1+Чувствительность!$D$20)*IFERROR(LOOKUP(Предпосылки!$H$219,$C$13:$C$15,BH$13:BH$15),1)</f>
        <v>0</v>
      </c>
      <c s="125">
        <f>Предпосылки!BH$246*Предпосылки!$V272*Продажи!BI37*BI$19*(1+Чувствительность!$D$20)*IFERROR(LOOKUP(Предпосылки!$H$219,$C$13:$C$15,BI$13:BI$15),1)</f>
        <v>0</v>
      </c>
      <c s="125">
        <f>Предпосылки!BI$246*Предпосылки!$V272*Продажи!BJ37*BJ$19*(1+Чувствительность!$D$20)*IFERROR(LOOKUP(Предпосылки!$H$219,$C$13:$C$15,BJ$13:BJ$15),1)</f>
        <v>0</v>
      </c>
      <c s="125">
        <f>Предпосылки!BJ$246*Предпосылки!$V272*Продажи!BK37*BK$19*(1+Чувствительность!$D$20)*IFERROR(LOOKUP(Предпосылки!$H$219,$C$13:$C$15,BK$13:BK$15),1)</f>
        <v>0</v>
      </c>
      <c s="125">
        <f>Предпосылки!BK$246*Предпосылки!$V272*Продажи!BL37*BL$19*(1+Чувствительность!$D$20)*IFERROR(LOOKUP(Предпосылки!$H$219,$C$13:$C$15,BL$13:BL$15),1)</f>
        <v>0</v>
      </c>
      <c s="125">
        <f>Предпосылки!BL$246*Предпосылки!$V272*Продажи!BM37*BM$19*(1+Чувствительность!$D$20)*IFERROR(LOOKUP(Предпосылки!$H$219,$C$13:$C$15,BM$13:BM$15),1)</f>
        <v>0</v>
      </c>
    </row>
    <row r="457" spans="2:65" ht="15" customHeight="1">
      <c r="B457" s="289" t="s">
        <v>454</v>
      </c>
      <c s="290" t="str">
        <f>Единица_измерения</f>
        <v>тыс. руб.</v>
      </c>
      <c s="291">
        <f>SUM(D437:D456)</f>
        <v>0</v>
      </c>
      <c s="276">
        <f>SUM(E437:E456)</f>
        <v>0</v>
      </c>
      <c s="276">
        <f t="shared" si="153" ref="F457:AG457">SUM(F437:F456)</f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3"/>
        <v>0</v>
      </c>
      <c s="276">
        <f t="shared" si="154" ref="AH457:BM457">SUM(AH437:AH456)</f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  <c s="276">
        <f t="shared" si="154"/>
        <v>0</v>
      </c>
    </row>
    <row r="458" ht="15" customHeight="1"/>
    <row r="459" spans="2:69" ht="14.45">
      <c r="B459" s="25" t="str">
        <f>Предпосылки!B247</f>
        <v>Операционные затраты 20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60" spans="2:65" ht="15" customHeight="1">
      <c r="B460" s="12" t="str">
        <f>B437</f>
        <v>Продукт 1</v>
      </c>
      <c s="124" t="str">
        <f t="shared" si="155" ref="C460:C479">Единица_измерения</f>
        <v>тыс. руб.</v>
      </c>
      <c s="276">
        <f>SUM(E460:BM460)</f>
        <v>0</v>
      </c>
      <c s="125">
        <f>Предпосылки!D$247*Предпосылки!$W253*Продажи!E18*E$19*(1+Чувствительность!$D$20)*IFERROR(LOOKUP(Предпосылки!$H$220,$C$13:$C$15,E$13:E$15),1)</f>
        <v>0</v>
      </c>
      <c s="125">
        <f>Предпосылки!E$247*Предпосылки!$W253*Продажи!F18*F$19*(1+Чувствительность!$D$20)*IFERROR(LOOKUP(Предпосылки!$H$220,$C$13:$C$15,F$13:F$15),1)</f>
        <v>0</v>
      </c>
      <c s="125">
        <f>Предпосылки!F$247*Предпосылки!$W253*Продажи!G18*G$19*(1+Чувствительность!$D$20)*IFERROR(LOOKUP(Предпосылки!$H$220,$C$13:$C$15,G$13:G$15),1)</f>
        <v>0</v>
      </c>
      <c s="125">
        <f>Предпосылки!G$247*Предпосылки!$W253*Продажи!H18*H$19*(1+Чувствительность!$D$20)*IFERROR(LOOKUP(Предпосылки!$H$220,$C$13:$C$15,H$13:H$15),1)</f>
        <v>0</v>
      </c>
      <c s="125">
        <f>Предпосылки!H$247*Предпосылки!$W253*Продажи!I18*I$19*(1+Чувствительность!$D$20)*IFERROR(LOOKUP(Предпосылки!$H$220,$C$13:$C$15,I$13:I$15),1)</f>
        <v>0</v>
      </c>
      <c s="125">
        <f>Предпосылки!I$247*Предпосылки!$W253*Продажи!J18*J$19*(1+Чувствительность!$D$20)*IFERROR(LOOKUP(Предпосылки!$H$220,$C$13:$C$15,J$13:J$15),1)</f>
        <v>0</v>
      </c>
      <c s="125">
        <f>Предпосылки!J$247*Предпосылки!$W253*Продажи!K18*K$19*(1+Чувствительность!$D$20)*IFERROR(LOOKUP(Предпосылки!$H$220,$C$13:$C$15,K$13:K$15),1)</f>
        <v>0</v>
      </c>
      <c s="125">
        <f>Предпосылки!K$247*Предпосылки!$W253*Продажи!L18*L$19*(1+Чувствительность!$D$20)*IFERROR(LOOKUP(Предпосылки!$H$220,$C$13:$C$15,L$13:L$15),1)</f>
        <v>0</v>
      </c>
      <c s="125">
        <f>Предпосылки!L$247*Предпосылки!$W253*Продажи!M18*M$19*(1+Чувствительность!$D$20)*IFERROR(LOOKUP(Предпосылки!$H$220,$C$13:$C$15,M$13:M$15),1)</f>
        <v>0</v>
      </c>
      <c s="125">
        <f>Предпосылки!M$247*Предпосылки!$W253*Продажи!N18*N$19*(1+Чувствительность!$D$20)*IFERROR(LOOKUP(Предпосылки!$H$220,$C$13:$C$15,N$13:N$15),1)</f>
        <v>0</v>
      </c>
      <c s="125">
        <f>Предпосылки!N$247*Предпосылки!$W253*Продажи!O18*O$19*(1+Чувствительность!$D$20)*IFERROR(LOOKUP(Предпосылки!$H$220,$C$13:$C$15,O$13:O$15),1)</f>
        <v>0</v>
      </c>
      <c s="125">
        <f>Предпосылки!O$247*Предпосылки!$W253*Продажи!P18*P$19*(1+Чувствительность!$D$20)*IFERROR(LOOKUP(Предпосылки!$H$220,$C$13:$C$15,P$13:P$15),1)</f>
        <v>0</v>
      </c>
      <c s="125">
        <f>Предпосылки!P$247*Предпосылки!$W253*Продажи!Q18*Q$19*(1+Чувствительность!$D$20)*IFERROR(LOOKUP(Предпосылки!$H$220,$C$13:$C$15,Q$13:Q$15),1)</f>
        <v>0</v>
      </c>
      <c s="125">
        <f>Предпосылки!Q$247*Предпосылки!$W253*Продажи!R18*R$19*(1+Чувствительность!$D$20)*IFERROR(LOOKUP(Предпосылки!$H$220,$C$13:$C$15,R$13:R$15),1)</f>
        <v>0</v>
      </c>
      <c s="125">
        <f>Предпосылки!R$247*Предпосылки!$W253*Продажи!S18*S$19*(1+Чувствительность!$D$20)*IFERROR(LOOKUP(Предпосылки!$H$220,$C$13:$C$15,S$13:S$15),1)</f>
        <v>0</v>
      </c>
      <c s="125">
        <f>Предпосылки!S$247*Предпосылки!$W253*Продажи!T18*T$19*(1+Чувствительность!$D$20)*IFERROR(LOOKUP(Предпосылки!$H$220,$C$13:$C$15,T$13:T$15),1)</f>
        <v>0</v>
      </c>
      <c s="125">
        <f>Предпосылки!T$247*Предпосылки!$W253*Продажи!U18*U$19*(1+Чувствительность!$D$20)*IFERROR(LOOKUP(Предпосылки!$H$220,$C$13:$C$15,U$13:U$15),1)</f>
        <v>0</v>
      </c>
      <c s="125">
        <f>Предпосылки!U$247*Предпосылки!$W253*Продажи!V18*V$19*(1+Чувствительность!$D$20)*IFERROR(LOOKUP(Предпосылки!$H$220,$C$13:$C$15,V$13:V$15),1)</f>
        <v>0</v>
      </c>
      <c s="125">
        <f>Предпосылки!V$247*Предпосылки!$W253*Продажи!W18*W$19*(1+Чувствительность!$D$20)*IFERROR(LOOKUP(Предпосылки!$H$220,$C$13:$C$15,W$13:W$15),1)</f>
        <v>0</v>
      </c>
      <c s="125">
        <f>Предпосылки!W$247*Предпосылки!$W253*Продажи!X18*X$19*(1+Чувствительность!$D$20)*IFERROR(LOOKUP(Предпосылки!$H$220,$C$13:$C$15,X$13:X$15),1)</f>
        <v>0</v>
      </c>
      <c s="125">
        <f>Предпосылки!X$247*Предпосылки!$W253*Продажи!Y18*Y$19*(1+Чувствительность!$D$20)*IFERROR(LOOKUP(Предпосылки!$H$220,$C$13:$C$15,Y$13:Y$15),1)</f>
        <v>0</v>
      </c>
      <c s="125">
        <f>Предпосылки!Y$247*Предпосылки!$W253*Продажи!Z18*Z$19*(1+Чувствительность!$D$20)*IFERROR(LOOKUP(Предпосылки!$H$220,$C$13:$C$15,Z$13:Z$15),1)</f>
        <v>0</v>
      </c>
      <c s="125">
        <f>Предпосылки!Z$247*Предпосылки!$W253*Продажи!AA18*AA$19*(1+Чувствительность!$D$20)*IFERROR(LOOKUP(Предпосылки!$H$220,$C$13:$C$15,AA$13:AA$15),1)</f>
        <v>0</v>
      </c>
      <c s="125">
        <f>Предпосылки!AA$247*Предпосылки!$W253*Продажи!AB18*AB$19*(1+Чувствительность!$D$20)*IFERROR(LOOKUP(Предпосылки!$H$220,$C$13:$C$15,AB$13:AB$15),1)</f>
        <v>0</v>
      </c>
      <c s="125">
        <f>Предпосылки!AB$247*Предпосылки!$W253*Продажи!AC18*AC$19*(1+Чувствительность!$D$20)*IFERROR(LOOKUP(Предпосылки!$H$220,$C$13:$C$15,AC$13:AC$15),1)</f>
        <v>0</v>
      </c>
      <c s="125">
        <f>Предпосылки!AC$247*Предпосылки!$W253*Продажи!AD18*AD$19*(1+Чувствительность!$D$20)*IFERROR(LOOKUP(Предпосылки!$H$220,$C$13:$C$15,AD$13:AD$15),1)</f>
        <v>0</v>
      </c>
      <c s="125">
        <f>Предпосылки!AD$247*Предпосылки!$W253*Продажи!AE18*AE$19*(1+Чувствительность!$D$20)*IFERROR(LOOKUP(Предпосылки!$H$220,$C$13:$C$15,AE$13:AE$15),1)</f>
        <v>0</v>
      </c>
      <c s="125">
        <f>Предпосылки!AE$247*Предпосылки!$W253*Продажи!AF18*AF$19*(1+Чувствительность!$D$20)*IFERROR(LOOKUP(Предпосылки!$H$220,$C$13:$C$15,AF$13:AF$15),1)</f>
        <v>0</v>
      </c>
      <c s="125">
        <f>Предпосылки!AF$247*Предпосылки!$W253*Продажи!AG18*AG$19*(1+Чувствительность!$D$20)*IFERROR(LOOKUP(Предпосылки!$H$220,$C$13:$C$15,AG$13:AG$15),1)</f>
        <v>0</v>
      </c>
      <c s="125">
        <f>Предпосылки!AG$247*Предпосылки!$W253*Продажи!AH18*AH$19*(1+Чувствительность!$D$20)*IFERROR(LOOKUP(Предпосылки!$H$220,$C$13:$C$15,AH$13:AH$15),1)</f>
        <v>0</v>
      </c>
      <c s="125">
        <f>Предпосылки!AH$247*Предпосылки!$W253*Продажи!AI18*AI$19*(1+Чувствительность!$D$20)*IFERROR(LOOKUP(Предпосылки!$H$220,$C$13:$C$15,AI$13:AI$15),1)</f>
        <v>0</v>
      </c>
      <c s="125">
        <f>Предпосылки!AI$247*Предпосылки!$W253*Продажи!AJ18*AJ$19*(1+Чувствительность!$D$20)*IFERROR(LOOKUP(Предпосылки!$H$220,$C$13:$C$15,AJ$13:AJ$15),1)</f>
        <v>0</v>
      </c>
      <c s="125">
        <f>Предпосылки!AJ$247*Предпосылки!$W253*Продажи!AK18*AK$19*(1+Чувствительность!$D$20)*IFERROR(LOOKUP(Предпосылки!$H$220,$C$13:$C$15,AK$13:AK$15),1)</f>
        <v>0</v>
      </c>
      <c s="125">
        <f>Предпосылки!AK$247*Предпосылки!$W253*Продажи!AL18*AL$19*(1+Чувствительность!$D$20)*IFERROR(LOOKUP(Предпосылки!$H$220,$C$13:$C$15,AL$13:AL$15),1)</f>
        <v>0</v>
      </c>
      <c s="125">
        <f>Предпосылки!AL$247*Предпосылки!$W253*Продажи!AM18*AM$19*(1+Чувствительность!$D$20)*IFERROR(LOOKUP(Предпосылки!$H$220,$C$13:$C$15,AM$13:AM$15),1)</f>
        <v>0</v>
      </c>
      <c s="125">
        <f>Предпосылки!AM$247*Предпосылки!$W253*Продажи!AN18*AN$19*(1+Чувствительность!$D$20)*IFERROR(LOOKUP(Предпосылки!$H$220,$C$13:$C$15,AN$13:AN$15),1)</f>
        <v>0</v>
      </c>
      <c s="125">
        <f>Предпосылки!AN$247*Предпосылки!$W253*Продажи!AO18*AO$19*(1+Чувствительность!$D$20)*IFERROR(LOOKUP(Предпосылки!$H$220,$C$13:$C$15,AO$13:AO$15),1)</f>
        <v>0</v>
      </c>
      <c s="125">
        <f>Предпосылки!AO$247*Предпосылки!$W253*Продажи!AP18*AP$19*(1+Чувствительность!$D$20)*IFERROR(LOOKUP(Предпосылки!$H$220,$C$13:$C$15,AP$13:AP$15),1)</f>
        <v>0</v>
      </c>
      <c s="125">
        <f>Предпосылки!AP$247*Предпосылки!$W253*Продажи!AQ18*AQ$19*(1+Чувствительность!$D$20)*IFERROR(LOOKUP(Предпосылки!$H$220,$C$13:$C$15,AQ$13:AQ$15),1)</f>
        <v>0</v>
      </c>
      <c s="125">
        <f>Предпосылки!AQ$247*Предпосылки!$W253*Продажи!AR18*AR$19*(1+Чувствительность!$D$20)*IFERROR(LOOKUP(Предпосылки!$H$220,$C$13:$C$15,AR$13:AR$15),1)</f>
        <v>0</v>
      </c>
      <c s="125">
        <f>Предпосылки!AR$247*Предпосылки!$W253*Продажи!AS18*AS$19*(1+Чувствительность!$D$20)*IFERROR(LOOKUP(Предпосылки!$H$220,$C$13:$C$15,AS$13:AS$15),1)</f>
        <v>0</v>
      </c>
      <c s="125">
        <f>Предпосылки!AS$247*Предпосылки!$W253*Продажи!AT18*AT$19*(1+Чувствительность!$D$20)*IFERROR(LOOKUP(Предпосылки!$H$220,$C$13:$C$15,AT$13:AT$15),1)</f>
        <v>0</v>
      </c>
      <c s="125">
        <f>Предпосылки!AT$247*Предпосылки!$W253*Продажи!AU18*AU$19*(1+Чувствительность!$D$20)*IFERROR(LOOKUP(Предпосылки!$H$220,$C$13:$C$15,AU$13:AU$15),1)</f>
        <v>0</v>
      </c>
      <c s="125">
        <f>Предпосылки!AU$247*Предпосылки!$W253*Продажи!AV18*AV$19*(1+Чувствительность!$D$20)*IFERROR(LOOKUP(Предпосылки!$H$220,$C$13:$C$15,AV$13:AV$15),1)</f>
        <v>0</v>
      </c>
      <c s="125">
        <f>Предпосылки!AV$247*Предпосылки!$W253*Продажи!AW18*AW$19*(1+Чувствительность!$D$20)*IFERROR(LOOKUP(Предпосылки!$H$220,$C$13:$C$15,AW$13:AW$15),1)</f>
        <v>0</v>
      </c>
      <c s="125">
        <f>Предпосылки!AW$247*Предпосылки!$W253*Продажи!AX18*AX$19*(1+Чувствительность!$D$20)*IFERROR(LOOKUP(Предпосылки!$H$220,$C$13:$C$15,AX$13:AX$15),1)</f>
        <v>0</v>
      </c>
      <c s="125">
        <f>Предпосылки!AX$247*Предпосылки!$W253*Продажи!AY18*AY$19*(1+Чувствительность!$D$20)*IFERROR(LOOKUP(Предпосылки!$H$220,$C$13:$C$15,AY$13:AY$15),1)</f>
        <v>0</v>
      </c>
      <c s="125">
        <f>Предпосылки!AY$247*Предпосылки!$W253*Продажи!AZ18*AZ$19*(1+Чувствительность!$D$20)*IFERROR(LOOKUP(Предпосылки!$H$220,$C$13:$C$15,AZ$13:AZ$15),1)</f>
        <v>0</v>
      </c>
      <c s="125">
        <f>Предпосылки!AZ$247*Предпосылки!$W253*Продажи!BA18*BA$19*(1+Чувствительность!$D$20)*IFERROR(LOOKUP(Предпосылки!$H$220,$C$13:$C$15,BA$13:BA$15),1)</f>
        <v>0</v>
      </c>
      <c s="125">
        <f>Предпосылки!BA$247*Предпосылки!$W253*Продажи!BB18*BB$19*(1+Чувствительность!$D$20)*IFERROR(LOOKUP(Предпосылки!$H$220,$C$13:$C$15,BB$13:BB$15),1)</f>
        <v>0</v>
      </c>
      <c s="125">
        <f>Предпосылки!BB$247*Предпосылки!$W253*Продажи!BC18*BC$19*(1+Чувствительность!$D$20)*IFERROR(LOOKUP(Предпосылки!$H$220,$C$13:$C$15,BC$13:BC$15),1)</f>
        <v>0</v>
      </c>
      <c s="125">
        <f>Предпосылки!BC$247*Предпосылки!$W253*Продажи!BD18*BD$19*(1+Чувствительность!$D$20)*IFERROR(LOOKUP(Предпосылки!$H$220,$C$13:$C$15,BD$13:BD$15),1)</f>
        <v>0</v>
      </c>
      <c s="125">
        <f>Предпосылки!BD$247*Предпосылки!$W253*Продажи!BE18*BE$19*(1+Чувствительность!$D$20)*IFERROR(LOOKUP(Предпосылки!$H$220,$C$13:$C$15,BE$13:BE$15),1)</f>
        <v>0</v>
      </c>
      <c s="125">
        <f>Предпосылки!BE$247*Предпосылки!$W253*Продажи!BF18*BF$19*(1+Чувствительность!$D$20)*IFERROR(LOOKUP(Предпосылки!$H$220,$C$13:$C$15,BF$13:BF$15),1)</f>
        <v>0</v>
      </c>
      <c s="125">
        <f>Предпосылки!BF$247*Предпосылки!$W253*Продажи!BG18*BG$19*(1+Чувствительность!$D$20)*IFERROR(LOOKUP(Предпосылки!$H$220,$C$13:$C$15,BG$13:BG$15),1)</f>
        <v>0</v>
      </c>
      <c s="125">
        <f>Предпосылки!BG$247*Предпосылки!$W253*Продажи!BH18*BH$19*(1+Чувствительность!$D$20)*IFERROR(LOOKUP(Предпосылки!$H$220,$C$13:$C$15,BH$13:BH$15),1)</f>
        <v>0</v>
      </c>
      <c s="125">
        <f>Предпосылки!BH$247*Предпосылки!$W253*Продажи!BI18*BI$19*(1+Чувствительность!$D$20)*IFERROR(LOOKUP(Предпосылки!$H$220,$C$13:$C$15,BI$13:BI$15),1)</f>
        <v>0</v>
      </c>
      <c s="125">
        <f>Предпосылки!BI$247*Предпосылки!$W253*Продажи!BJ18*BJ$19*(1+Чувствительность!$D$20)*IFERROR(LOOKUP(Предпосылки!$H$220,$C$13:$C$15,BJ$13:BJ$15),1)</f>
        <v>0</v>
      </c>
      <c s="125">
        <f>Предпосылки!BJ$247*Предпосылки!$W253*Продажи!BK18*BK$19*(1+Чувствительность!$D$20)*IFERROR(LOOKUP(Предпосылки!$H$220,$C$13:$C$15,BK$13:BK$15),1)</f>
        <v>0</v>
      </c>
      <c s="125">
        <f>Предпосылки!BK$247*Предпосылки!$W253*Продажи!BL18*BL$19*(1+Чувствительность!$D$20)*IFERROR(LOOKUP(Предпосылки!$H$220,$C$13:$C$15,BL$13:BL$15),1)</f>
        <v>0</v>
      </c>
      <c s="125">
        <f>Предпосылки!BL$247*Предпосылки!$W253*Продажи!BM18*BM$19*(1+Чувствительность!$D$20)*IFERROR(LOOKUP(Предпосылки!$H$220,$C$13:$C$15,BM$13:BM$15),1)</f>
        <v>0</v>
      </c>
    </row>
    <row r="461" spans="2:65" ht="15" customHeight="1">
      <c r="B461" s="12" t="str">
        <f t="shared" si="156" ref="B461:B479">B438</f>
        <v>Продукт 2</v>
      </c>
      <c s="124" t="str">
        <f t="shared" si="155"/>
        <v>тыс. руб.</v>
      </c>
      <c s="276">
        <f t="shared" si="157" ref="D461:D479">SUM(E461:BM461)</f>
        <v>0</v>
      </c>
      <c s="125">
        <f>Предпосылки!D$247*Предпосылки!$W254*Продажи!E19*E$19*(1+Чувствительность!$D$20)*IFERROR(LOOKUP(Предпосылки!$H$220,$C$13:$C$15,E$13:E$15),1)</f>
        <v>0</v>
      </c>
      <c s="125">
        <f>Предпосылки!E$247*Предпосылки!$W254*Продажи!F19*F$19*(1+Чувствительность!$D$20)*IFERROR(LOOKUP(Предпосылки!$H$220,$C$13:$C$15,F$13:F$15),1)</f>
        <v>0</v>
      </c>
      <c s="125">
        <f>Предпосылки!F$247*Предпосылки!$W254*Продажи!G19*G$19*(1+Чувствительность!$D$20)*IFERROR(LOOKUP(Предпосылки!$H$220,$C$13:$C$15,G$13:G$15),1)</f>
        <v>0</v>
      </c>
      <c s="125">
        <f>Предпосылки!G$247*Предпосылки!$W254*Продажи!H19*H$19*(1+Чувствительность!$D$20)*IFERROR(LOOKUP(Предпосылки!$H$220,$C$13:$C$15,H$13:H$15),1)</f>
        <v>0</v>
      </c>
      <c s="125">
        <f>Предпосылки!H$247*Предпосылки!$W254*Продажи!I19*I$19*(1+Чувствительность!$D$20)*IFERROR(LOOKUP(Предпосылки!$H$220,$C$13:$C$15,I$13:I$15),1)</f>
        <v>0</v>
      </c>
      <c s="125">
        <f>Предпосылки!I$247*Предпосылки!$W254*Продажи!J19*J$19*(1+Чувствительность!$D$20)*IFERROR(LOOKUP(Предпосылки!$H$220,$C$13:$C$15,J$13:J$15),1)</f>
        <v>0</v>
      </c>
      <c s="125">
        <f>Предпосылки!J$247*Предпосылки!$W254*Продажи!K19*K$19*(1+Чувствительность!$D$20)*IFERROR(LOOKUP(Предпосылки!$H$220,$C$13:$C$15,K$13:K$15),1)</f>
        <v>0</v>
      </c>
      <c s="125">
        <f>Предпосылки!K$247*Предпосылки!$W254*Продажи!L19*L$19*(1+Чувствительность!$D$20)*IFERROR(LOOKUP(Предпосылки!$H$220,$C$13:$C$15,L$13:L$15),1)</f>
        <v>0</v>
      </c>
      <c s="125">
        <f>Предпосылки!L$247*Предпосылки!$W254*Продажи!M19*M$19*(1+Чувствительность!$D$20)*IFERROR(LOOKUP(Предпосылки!$H$220,$C$13:$C$15,M$13:M$15),1)</f>
        <v>0</v>
      </c>
      <c s="125">
        <f>Предпосылки!M$247*Предпосылки!$W254*Продажи!N19*N$19*(1+Чувствительность!$D$20)*IFERROR(LOOKUP(Предпосылки!$H$220,$C$13:$C$15,N$13:N$15),1)</f>
        <v>0</v>
      </c>
      <c s="125">
        <f>Предпосылки!N$247*Предпосылки!$W254*Продажи!O19*O$19*(1+Чувствительность!$D$20)*IFERROR(LOOKUP(Предпосылки!$H$220,$C$13:$C$15,O$13:O$15),1)</f>
        <v>0</v>
      </c>
      <c s="125">
        <f>Предпосылки!O$247*Предпосылки!$W254*Продажи!P19*P$19*(1+Чувствительность!$D$20)*IFERROR(LOOKUP(Предпосылки!$H$220,$C$13:$C$15,P$13:P$15),1)</f>
        <v>0</v>
      </c>
      <c s="125">
        <f>Предпосылки!P$247*Предпосылки!$W254*Продажи!Q19*Q$19*(1+Чувствительность!$D$20)*IFERROR(LOOKUP(Предпосылки!$H$220,$C$13:$C$15,Q$13:Q$15),1)</f>
        <v>0</v>
      </c>
      <c s="125">
        <f>Предпосылки!Q$247*Предпосылки!$W254*Продажи!R19*R$19*(1+Чувствительность!$D$20)*IFERROR(LOOKUP(Предпосылки!$H$220,$C$13:$C$15,R$13:R$15),1)</f>
        <v>0</v>
      </c>
      <c s="125">
        <f>Предпосылки!R$247*Предпосылки!$W254*Продажи!S19*S$19*(1+Чувствительность!$D$20)*IFERROR(LOOKUP(Предпосылки!$H$220,$C$13:$C$15,S$13:S$15),1)</f>
        <v>0</v>
      </c>
      <c s="125">
        <f>Предпосылки!S$247*Предпосылки!$W254*Продажи!T19*T$19*(1+Чувствительность!$D$20)*IFERROR(LOOKUP(Предпосылки!$H$220,$C$13:$C$15,T$13:T$15),1)</f>
        <v>0</v>
      </c>
      <c s="125">
        <f>Предпосылки!T$247*Предпосылки!$W254*Продажи!U19*U$19*(1+Чувствительность!$D$20)*IFERROR(LOOKUP(Предпосылки!$H$220,$C$13:$C$15,U$13:U$15),1)</f>
        <v>0</v>
      </c>
      <c s="125">
        <f>Предпосылки!U$247*Предпосылки!$W254*Продажи!V19*V$19*(1+Чувствительность!$D$20)*IFERROR(LOOKUP(Предпосылки!$H$220,$C$13:$C$15,V$13:V$15),1)</f>
        <v>0</v>
      </c>
      <c s="125">
        <f>Предпосылки!V$247*Предпосылки!$W254*Продажи!W19*W$19*(1+Чувствительность!$D$20)*IFERROR(LOOKUP(Предпосылки!$H$220,$C$13:$C$15,W$13:W$15),1)</f>
        <v>0</v>
      </c>
      <c s="125">
        <f>Предпосылки!W$247*Предпосылки!$W254*Продажи!X19*X$19*(1+Чувствительность!$D$20)*IFERROR(LOOKUP(Предпосылки!$H$220,$C$13:$C$15,X$13:X$15),1)</f>
        <v>0</v>
      </c>
      <c s="125">
        <f>Предпосылки!X$247*Предпосылки!$W254*Продажи!Y19*Y$19*(1+Чувствительность!$D$20)*IFERROR(LOOKUP(Предпосылки!$H$220,$C$13:$C$15,Y$13:Y$15),1)</f>
        <v>0</v>
      </c>
      <c s="125">
        <f>Предпосылки!Y$247*Предпосылки!$W254*Продажи!Z19*Z$19*(1+Чувствительность!$D$20)*IFERROR(LOOKUP(Предпосылки!$H$220,$C$13:$C$15,Z$13:Z$15),1)</f>
        <v>0</v>
      </c>
      <c s="125">
        <f>Предпосылки!Z$247*Предпосылки!$W254*Продажи!AA19*AA$19*(1+Чувствительность!$D$20)*IFERROR(LOOKUP(Предпосылки!$H$220,$C$13:$C$15,AA$13:AA$15),1)</f>
        <v>0</v>
      </c>
      <c s="125">
        <f>Предпосылки!AA$247*Предпосылки!$W254*Продажи!AB19*AB$19*(1+Чувствительность!$D$20)*IFERROR(LOOKUP(Предпосылки!$H$220,$C$13:$C$15,AB$13:AB$15),1)</f>
        <v>0</v>
      </c>
      <c s="125">
        <f>Предпосылки!AB$247*Предпосылки!$W254*Продажи!AC19*AC$19*(1+Чувствительность!$D$20)*IFERROR(LOOKUP(Предпосылки!$H$220,$C$13:$C$15,AC$13:AC$15),1)</f>
        <v>0</v>
      </c>
      <c s="125">
        <f>Предпосылки!AC$247*Предпосылки!$W254*Продажи!AD19*AD$19*(1+Чувствительность!$D$20)*IFERROR(LOOKUP(Предпосылки!$H$220,$C$13:$C$15,AD$13:AD$15),1)</f>
        <v>0</v>
      </c>
      <c s="125">
        <f>Предпосылки!AD$247*Предпосылки!$W254*Продажи!AE19*AE$19*(1+Чувствительность!$D$20)*IFERROR(LOOKUP(Предпосылки!$H$220,$C$13:$C$15,AE$13:AE$15),1)</f>
        <v>0</v>
      </c>
      <c s="125">
        <f>Предпосылки!AE$247*Предпосылки!$W254*Продажи!AF19*AF$19*(1+Чувствительность!$D$20)*IFERROR(LOOKUP(Предпосылки!$H$220,$C$13:$C$15,AF$13:AF$15),1)</f>
        <v>0</v>
      </c>
      <c s="125">
        <f>Предпосылки!AF$247*Предпосылки!$W254*Продажи!AG19*AG$19*(1+Чувствительность!$D$20)*IFERROR(LOOKUP(Предпосылки!$H$220,$C$13:$C$15,AG$13:AG$15),1)</f>
        <v>0</v>
      </c>
      <c s="125">
        <f>Предпосылки!AG$247*Предпосылки!$W254*Продажи!AH19*AH$19*(1+Чувствительность!$D$20)*IFERROR(LOOKUP(Предпосылки!$H$220,$C$13:$C$15,AH$13:AH$15),1)</f>
        <v>0</v>
      </c>
      <c s="125">
        <f>Предпосылки!AH$247*Предпосылки!$W254*Продажи!AI19*AI$19*(1+Чувствительность!$D$20)*IFERROR(LOOKUP(Предпосылки!$H$220,$C$13:$C$15,AI$13:AI$15),1)</f>
        <v>0</v>
      </c>
      <c s="125">
        <f>Предпосылки!AI$247*Предпосылки!$W254*Продажи!AJ19*AJ$19*(1+Чувствительность!$D$20)*IFERROR(LOOKUP(Предпосылки!$H$220,$C$13:$C$15,AJ$13:AJ$15),1)</f>
        <v>0</v>
      </c>
      <c s="125">
        <f>Предпосылки!AJ$247*Предпосылки!$W254*Продажи!AK19*AK$19*(1+Чувствительность!$D$20)*IFERROR(LOOKUP(Предпосылки!$H$220,$C$13:$C$15,AK$13:AK$15),1)</f>
        <v>0</v>
      </c>
      <c s="125">
        <f>Предпосылки!AK$247*Предпосылки!$W254*Продажи!AL19*AL$19*(1+Чувствительность!$D$20)*IFERROR(LOOKUP(Предпосылки!$H$220,$C$13:$C$15,AL$13:AL$15),1)</f>
        <v>0</v>
      </c>
      <c s="125">
        <f>Предпосылки!AL$247*Предпосылки!$W254*Продажи!AM19*AM$19*(1+Чувствительность!$D$20)*IFERROR(LOOKUP(Предпосылки!$H$220,$C$13:$C$15,AM$13:AM$15),1)</f>
        <v>0</v>
      </c>
      <c s="125">
        <f>Предпосылки!AM$247*Предпосылки!$W254*Продажи!AN19*AN$19*(1+Чувствительность!$D$20)*IFERROR(LOOKUP(Предпосылки!$H$220,$C$13:$C$15,AN$13:AN$15),1)</f>
        <v>0</v>
      </c>
      <c s="125">
        <f>Предпосылки!AN$247*Предпосылки!$W254*Продажи!AO19*AO$19*(1+Чувствительность!$D$20)*IFERROR(LOOKUP(Предпосылки!$H$220,$C$13:$C$15,AO$13:AO$15),1)</f>
        <v>0</v>
      </c>
      <c s="125">
        <f>Предпосылки!AO$247*Предпосылки!$W254*Продажи!AP19*AP$19*(1+Чувствительность!$D$20)*IFERROR(LOOKUP(Предпосылки!$H$220,$C$13:$C$15,AP$13:AP$15),1)</f>
        <v>0</v>
      </c>
      <c s="125">
        <f>Предпосылки!AP$247*Предпосылки!$W254*Продажи!AQ19*AQ$19*(1+Чувствительность!$D$20)*IFERROR(LOOKUP(Предпосылки!$H$220,$C$13:$C$15,AQ$13:AQ$15),1)</f>
        <v>0</v>
      </c>
      <c s="125">
        <f>Предпосылки!AQ$247*Предпосылки!$W254*Продажи!AR19*AR$19*(1+Чувствительность!$D$20)*IFERROR(LOOKUP(Предпосылки!$H$220,$C$13:$C$15,AR$13:AR$15),1)</f>
        <v>0</v>
      </c>
      <c s="125">
        <f>Предпосылки!AR$247*Предпосылки!$W254*Продажи!AS19*AS$19*(1+Чувствительность!$D$20)*IFERROR(LOOKUP(Предпосылки!$H$220,$C$13:$C$15,AS$13:AS$15),1)</f>
        <v>0</v>
      </c>
      <c s="125">
        <f>Предпосылки!AS$247*Предпосылки!$W254*Продажи!AT19*AT$19*(1+Чувствительность!$D$20)*IFERROR(LOOKUP(Предпосылки!$H$220,$C$13:$C$15,AT$13:AT$15),1)</f>
        <v>0</v>
      </c>
      <c s="125">
        <f>Предпосылки!AT$247*Предпосылки!$W254*Продажи!AU19*AU$19*(1+Чувствительность!$D$20)*IFERROR(LOOKUP(Предпосылки!$H$220,$C$13:$C$15,AU$13:AU$15),1)</f>
        <v>0</v>
      </c>
      <c s="125">
        <f>Предпосылки!AU$247*Предпосылки!$W254*Продажи!AV19*AV$19*(1+Чувствительность!$D$20)*IFERROR(LOOKUP(Предпосылки!$H$220,$C$13:$C$15,AV$13:AV$15),1)</f>
        <v>0</v>
      </c>
      <c s="125">
        <f>Предпосылки!AV$247*Предпосылки!$W254*Продажи!AW19*AW$19*(1+Чувствительность!$D$20)*IFERROR(LOOKUP(Предпосылки!$H$220,$C$13:$C$15,AW$13:AW$15),1)</f>
        <v>0</v>
      </c>
      <c s="125">
        <f>Предпосылки!AW$247*Предпосылки!$W254*Продажи!AX19*AX$19*(1+Чувствительность!$D$20)*IFERROR(LOOKUP(Предпосылки!$H$220,$C$13:$C$15,AX$13:AX$15),1)</f>
        <v>0</v>
      </c>
      <c s="125">
        <f>Предпосылки!AX$247*Предпосылки!$W254*Продажи!AY19*AY$19*(1+Чувствительность!$D$20)*IFERROR(LOOKUP(Предпосылки!$H$220,$C$13:$C$15,AY$13:AY$15),1)</f>
        <v>0</v>
      </c>
      <c s="125">
        <f>Предпосылки!AY$247*Предпосылки!$W254*Продажи!AZ19*AZ$19*(1+Чувствительность!$D$20)*IFERROR(LOOKUP(Предпосылки!$H$220,$C$13:$C$15,AZ$13:AZ$15),1)</f>
        <v>0</v>
      </c>
      <c s="125">
        <f>Предпосылки!AZ$247*Предпосылки!$W254*Продажи!BA19*BA$19*(1+Чувствительность!$D$20)*IFERROR(LOOKUP(Предпосылки!$H$220,$C$13:$C$15,BA$13:BA$15),1)</f>
        <v>0</v>
      </c>
      <c s="125">
        <f>Предпосылки!BA$247*Предпосылки!$W254*Продажи!BB19*BB$19*(1+Чувствительность!$D$20)*IFERROR(LOOKUP(Предпосылки!$H$220,$C$13:$C$15,BB$13:BB$15),1)</f>
        <v>0</v>
      </c>
      <c s="125">
        <f>Предпосылки!BB$247*Предпосылки!$W254*Продажи!BC19*BC$19*(1+Чувствительность!$D$20)*IFERROR(LOOKUP(Предпосылки!$H$220,$C$13:$C$15,BC$13:BC$15),1)</f>
        <v>0</v>
      </c>
      <c s="125">
        <f>Предпосылки!BC$247*Предпосылки!$W254*Продажи!BD19*BD$19*(1+Чувствительность!$D$20)*IFERROR(LOOKUP(Предпосылки!$H$220,$C$13:$C$15,BD$13:BD$15),1)</f>
        <v>0</v>
      </c>
      <c s="125">
        <f>Предпосылки!BD$247*Предпосылки!$W254*Продажи!BE19*BE$19*(1+Чувствительность!$D$20)*IFERROR(LOOKUP(Предпосылки!$H$220,$C$13:$C$15,BE$13:BE$15),1)</f>
        <v>0</v>
      </c>
      <c s="125">
        <f>Предпосылки!BE$247*Предпосылки!$W254*Продажи!BF19*BF$19*(1+Чувствительность!$D$20)*IFERROR(LOOKUP(Предпосылки!$H$220,$C$13:$C$15,BF$13:BF$15),1)</f>
        <v>0</v>
      </c>
      <c s="125">
        <f>Предпосылки!BF$247*Предпосылки!$W254*Продажи!BG19*BG$19*(1+Чувствительность!$D$20)*IFERROR(LOOKUP(Предпосылки!$H$220,$C$13:$C$15,BG$13:BG$15),1)</f>
        <v>0</v>
      </c>
      <c s="125">
        <f>Предпосылки!BG$247*Предпосылки!$W254*Продажи!BH19*BH$19*(1+Чувствительность!$D$20)*IFERROR(LOOKUP(Предпосылки!$H$220,$C$13:$C$15,BH$13:BH$15),1)</f>
        <v>0</v>
      </c>
      <c s="125">
        <f>Предпосылки!BH$247*Предпосылки!$W254*Продажи!BI19*BI$19*(1+Чувствительность!$D$20)*IFERROR(LOOKUP(Предпосылки!$H$220,$C$13:$C$15,BI$13:BI$15),1)</f>
        <v>0</v>
      </c>
      <c s="125">
        <f>Предпосылки!BI$247*Предпосылки!$W254*Продажи!BJ19*BJ$19*(1+Чувствительность!$D$20)*IFERROR(LOOKUP(Предпосылки!$H$220,$C$13:$C$15,BJ$13:BJ$15),1)</f>
        <v>0</v>
      </c>
      <c s="125">
        <f>Предпосылки!BJ$247*Предпосылки!$W254*Продажи!BK19*BK$19*(1+Чувствительность!$D$20)*IFERROR(LOOKUP(Предпосылки!$H$220,$C$13:$C$15,BK$13:BK$15),1)</f>
        <v>0</v>
      </c>
      <c s="125">
        <f>Предпосылки!BK$247*Предпосылки!$W254*Продажи!BL19*BL$19*(1+Чувствительность!$D$20)*IFERROR(LOOKUP(Предпосылки!$H$220,$C$13:$C$15,BL$13:BL$15),1)</f>
        <v>0</v>
      </c>
      <c s="125">
        <f>Предпосылки!BL$247*Предпосылки!$W254*Продажи!BM19*BM$19*(1+Чувствительность!$D$20)*IFERROR(LOOKUP(Предпосылки!$H$220,$C$13:$C$15,BM$13:BM$15),1)</f>
        <v>0</v>
      </c>
    </row>
    <row r="462" spans="2:65" ht="15" customHeight="1">
      <c r="B462" s="12" t="str">
        <f t="shared" si="156"/>
        <v>Продукт 3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Предпосылки!D$247*Предпосылки!$W255*Продажи!E20*E$19*(1+Чувствительность!$D$20)*IFERROR(LOOKUP(Предпосылки!$H$220,$C$13:$C$15,E$13:E$15),1)</f>
        <v>0</v>
      </c>
      <c s="125">
        <f>Предпосылки!E$247*Предпосылки!$W255*Продажи!F20*F$19*(1+Чувствительность!$D$20)*IFERROR(LOOKUP(Предпосылки!$H$220,$C$13:$C$15,F$13:F$15),1)</f>
        <v>0</v>
      </c>
      <c s="125">
        <f>Предпосылки!F$247*Предпосылки!$W255*Продажи!G20*G$19*(1+Чувствительность!$D$20)*IFERROR(LOOKUP(Предпосылки!$H$220,$C$13:$C$15,G$13:G$15),1)</f>
        <v>0</v>
      </c>
      <c s="125">
        <f>Предпосылки!G$247*Предпосылки!$W255*Продажи!H20*H$19*(1+Чувствительность!$D$20)*IFERROR(LOOKUP(Предпосылки!$H$220,$C$13:$C$15,H$13:H$15),1)</f>
        <v>0</v>
      </c>
      <c s="125">
        <f>Предпосылки!H$247*Предпосылки!$W255*Продажи!I20*I$19*(1+Чувствительность!$D$20)*IFERROR(LOOKUP(Предпосылки!$H$220,$C$13:$C$15,I$13:I$15),1)</f>
        <v>0</v>
      </c>
      <c s="125">
        <f>Предпосылки!I$247*Предпосылки!$W255*Продажи!J20*J$19*(1+Чувствительность!$D$20)*IFERROR(LOOKUP(Предпосылки!$H$220,$C$13:$C$15,J$13:J$15),1)</f>
        <v>0</v>
      </c>
      <c s="125">
        <f>Предпосылки!J$247*Предпосылки!$W255*Продажи!K20*K$19*(1+Чувствительность!$D$20)*IFERROR(LOOKUP(Предпосылки!$H$220,$C$13:$C$15,K$13:K$15),1)</f>
        <v>0</v>
      </c>
      <c s="125">
        <f>Предпосылки!K$247*Предпосылки!$W255*Продажи!L20*L$19*(1+Чувствительность!$D$20)*IFERROR(LOOKUP(Предпосылки!$H$220,$C$13:$C$15,L$13:L$15),1)</f>
        <v>0</v>
      </c>
      <c s="125">
        <f>Предпосылки!L$247*Предпосылки!$W255*Продажи!M20*M$19*(1+Чувствительность!$D$20)*IFERROR(LOOKUP(Предпосылки!$H$220,$C$13:$C$15,M$13:M$15),1)</f>
        <v>0</v>
      </c>
      <c s="125">
        <f>Предпосылки!M$247*Предпосылки!$W255*Продажи!N20*N$19*(1+Чувствительность!$D$20)*IFERROR(LOOKUP(Предпосылки!$H$220,$C$13:$C$15,N$13:N$15),1)</f>
        <v>0</v>
      </c>
      <c s="125">
        <f>Предпосылки!N$247*Предпосылки!$W255*Продажи!O20*O$19*(1+Чувствительность!$D$20)*IFERROR(LOOKUP(Предпосылки!$H$220,$C$13:$C$15,O$13:O$15),1)</f>
        <v>0</v>
      </c>
      <c s="125">
        <f>Предпосылки!O$247*Предпосылки!$W255*Продажи!P20*P$19*(1+Чувствительность!$D$20)*IFERROR(LOOKUP(Предпосылки!$H$220,$C$13:$C$15,P$13:P$15),1)</f>
        <v>0</v>
      </c>
      <c s="125">
        <f>Предпосылки!P$247*Предпосылки!$W255*Продажи!Q20*Q$19*(1+Чувствительность!$D$20)*IFERROR(LOOKUP(Предпосылки!$H$220,$C$13:$C$15,Q$13:Q$15),1)</f>
        <v>0</v>
      </c>
      <c s="125">
        <f>Предпосылки!Q$247*Предпосылки!$W255*Продажи!R20*R$19*(1+Чувствительность!$D$20)*IFERROR(LOOKUP(Предпосылки!$H$220,$C$13:$C$15,R$13:R$15),1)</f>
        <v>0</v>
      </c>
      <c s="125">
        <f>Предпосылки!R$247*Предпосылки!$W255*Продажи!S20*S$19*(1+Чувствительность!$D$20)*IFERROR(LOOKUP(Предпосылки!$H$220,$C$13:$C$15,S$13:S$15),1)</f>
        <v>0</v>
      </c>
      <c s="125">
        <f>Предпосылки!S$247*Предпосылки!$W255*Продажи!T20*T$19*(1+Чувствительность!$D$20)*IFERROR(LOOKUP(Предпосылки!$H$220,$C$13:$C$15,T$13:T$15),1)</f>
        <v>0</v>
      </c>
      <c s="125">
        <f>Предпосылки!T$247*Предпосылки!$W255*Продажи!U20*U$19*(1+Чувствительность!$D$20)*IFERROR(LOOKUP(Предпосылки!$H$220,$C$13:$C$15,U$13:U$15),1)</f>
        <v>0</v>
      </c>
      <c s="125">
        <f>Предпосылки!U$247*Предпосылки!$W255*Продажи!V20*V$19*(1+Чувствительность!$D$20)*IFERROR(LOOKUP(Предпосылки!$H$220,$C$13:$C$15,V$13:V$15),1)</f>
        <v>0</v>
      </c>
      <c s="125">
        <f>Предпосылки!V$247*Предпосылки!$W255*Продажи!W20*W$19*(1+Чувствительность!$D$20)*IFERROR(LOOKUP(Предпосылки!$H$220,$C$13:$C$15,W$13:W$15),1)</f>
        <v>0</v>
      </c>
      <c s="125">
        <f>Предпосылки!W$247*Предпосылки!$W255*Продажи!X20*X$19*(1+Чувствительность!$D$20)*IFERROR(LOOKUP(Предпосылки!$H$220,$C$13:$C$15,X$13:X$15),1)</f>
        <v>0</v>
      </c>
      <c s="125">
        <f>Предпосылки!X$247*Предпосылки!$W255*Продажи!Y20*Y$19*(1+Чувствительность!$D$20)*IFERROR(LOOKUP(Предпосылки!$H$220,$C$13:$C$15,Y$13:Y$15),1)</f>
        <v>0</v>
      </c>
      <c s="125">
        <f>Предпосылки!Y$247*Предпосылки!$W255*Продажи!Z20*Z$19*(1+Чувствительность!$D$20)*IFERROR(LOOKUP(Предпосылки!$H$220,$C$13:$C$15,Z$13:Z$15),1)</f>
        <v>0</v>
      </c>
      <c s="125">
        <f>Предпосылки!Z$247*Предпосылки!$W255*Продажи!AA20*AA$19*(1+Чувствительность!$D$20)*IFERROR(LOOKUP(Предпосылки!$H$220,$C$13:$C$15,AA$13:AA$15),1)</f>
        <v>0</v>
      </c>
      <c s="125">
        <f>Предпосылки!AA$247*Предпосылки!$W255*Продажи!AB20*AB$19*(1+Чувствительность!$D$20)*IFERROR(LOOKUP(Предпосылки!$H$220,$C$13:$C$15,AB$13:AB$15),1)</f>
        <v>0</v>
      </c>
      <c s="125">
        <f>Предпосылки!AB$247*Предпосылки!$W255*Продажи!AC20*AC$19*(1+Чувствительность!$D$20)*IFERROR(LOOKUP(Предпосылки!$H$220,$C$13:$C$15,AC$13:AC$15),1)</f>
        <v>0</v>
      </c>
      <c s="125">
        <f>Предпосылки!AC$247*Предпосылки!$W255*Продажи!AD20*AD$19*(1+Чувствительность!$D$20)*IFERROR(LOOKUP(Предпосылки!$H$220,$C$13:$C$15,AD$13:AD$15),1)</f>
        <v>0</v>
      </c>
      <c s="125">
        <f>Предпосылки!AD$247*Предпосылки!$W255*Продажи!AE20*AE$19*(1+Чувствительность!$D$20)*IFERROR(LOOKUP(Предпосылки!$H$220,$C$13:$C$15,AE$13:AE$15),1)</f>
        <v>0</v>
      </c>
      <c s="125">
        <f>Предпосылки!AE$247*Предпосылки!$W255*Продажи!AF20*AF$19*(1+Чувствительность!$D$20)*IFERROR(LOOKUP(Предпосылки!$H$220,$C$13:$C$15,AF$13:AF$15),1)</f>
        <v>0</v>
      </c>
      <c s="125">
        <f>Предпосылки!AF$247*Предпосылки!$W255*Продажи!AG20*AG$19*(1+Чувствительность!$D$20)*IFERROR(LOOKUP(Предпосылки!$H$220,$C$13:$C$15,AG$13:AG$15),1)</f>
        <v>0</v>
      </c>
      <c s="125">
        <f>Предпосылки!AG$247*Предпосылки!$W255*Продажи!AH20*AH$19*(1+Чувствительность!$D$20)*IFERROR(LOOKUP(Предпосылки!$H$220,$C$13:$C$15,AH$13:AH$15),1)</f>
        <v>0</v>
      </c>
      <c s="125">
        <f>Предпосылки!AH$247*Предпосылки!$W255*Продажи!AI20*AI$19*(1+Чувствительность!$D$20)*IFERROR(LOOKUP(Предпосылки!$H$220,$C$13:$C$15,AI$13:AI$15),1)</f>
        <v>0</v>
      </c>
      <c s="125">
        <f>Предпосылки!AI$247*Предпосылки!$W255*Продажи!AJ20*AJ$19*(1+Чувствительность!$D$20)*IFERROR(LOOKUP(Предпосылки!$H$220,$C$13:$C$15,AJ$13:AJ$15),1)</f>
        <v>0</v>
      </c>
      <c s="125">
        <f>Предпосылки!AJ$247*Предпосылки!$W255*Продажи!AK20*AK$19*(1+Чувствительность!$D$20)*IFERROR(LOOKUP(Предпосылки!$H$220,$C$13:$C$15,AK$13:AK$15),1)</f>
        <v>0</v>
      </c>
      <c s="125">
        <f>Предпосылки!AK$247*Предпосылки!$W255*Продажи!AL20*AL$19*(1+Чувствительность!$D$20)*IFERROR(LOOKUP(Предпосылки!$H$220,$C$13:$C$15,AL$13:AL$15),1)</f>
        <v>0</v>
      </c>
      <c s="125">
        <f>Предпосылки!AL$247*Предпосылки!$W255*Продажи!AM20*AM$19*(1+Чувствительность!$D$20)*IFERROR(LOOKUP(Предпосылки!$H$220,$C$13:$C$15,AM$13:AM$15),1)</f>
        <v>0</v>
      </c>
      <c s="125">
        <f>Предпосылки!AM$247*Предпосылки!$W255*Продажи!AN20*AN$19*(1+Чувствительность!$D$20)*IFERROR(LOOKUP(Предпосылки!$H$220,$C$13:$C$15,AN$13:AN$15),1)</f>
        <v>0</v>
      </c>
      <c s="125">
        <f>Предпосылки!AN$247*Предпосылки!$W255*Продажи!AO20*AO$19*(1+Чувствительность!$D$20)*IFERROR(LOOKUP(Предпосылки!$H$220,$C$13:$C$15,AO$13:AO$15),1)</f>
        <v>0</v>
      </c>
      <c s="125">
        <f>Предпосылки!AO$247*Предпосылки!$W255*Продажи!AP20*AP$19*(1+Чувствительность!$D$20)*IFERROR(LOOKUP(Предпосылки!$H$220,$C$13:$C$15,AP$13:AP$15),1)</f>
        <v>0</v>
      </c>
      <c s="125">
        <f>Предпосылки!AP$247*Предпосылки!$W255*Продажи!AQ20*AQ$19*(1+Чувствительность!$D$20)*IFERROR(LOOKUP(Предпосылки!$H$220,$C$13:$C$15,AQ$13:AQ$15),1)</f>
        <v>0</v>
      </c>
      <c s="125">
        <f>Предпосылки!AQ$247*Предпосылки!$W255*Продажи!AR20*AR$19*(1+Чувствительность!$D$20)*IFERROR(LOOKUP(Предпосылки!$H$220,$C$13:$C$15,AR$13:AR$15),1)</f>
        <v>0</v>
      </c>
      <c s="125">
        <f>Предпосылки!AR$247*Предпосылки!$W255*Продажи!AS20*AS$19*(1+Чувствительность!$D$20)*IFERROR(LOOKUP(Предпосылки!$H$220,$C$13:$C$15,AS$13:AS$15),1)</f>
        <v>0</v>
      </c>
      <c s="125">
        <f>Предпосылки!AS$247*Предпосылки!$W255*Продажи!AT20*AT$19*(1+Чувствительность!$D$20)*IFERROR(LOOKUP(Предпосылки!$H$220,$C$13:$C$15,AT$13:AT$15),1)</f>
        <v>0</v>
      </c>
      <c s="125">
        <f>Предпосылки!AT$247*Предпосылки!$W255*Продажи!AU20*AU$19*(1+Чувствительность!$D$20)*IFERROR(LOOKUP(Предпосылки!$H$220,$C$13:$C$15,AU$13:AU$15),1)</f>
        <v>0</v>
      </c>
      <c s="125">
        <f>Предпосылки!AU$247*Предпосылки!$W255*Продажи!AV20*AV$19*(1+Чувствительность!$D$20)*IFERROR(LOOKUP(Предпосылки!$H$220,$C$13:$C$15,AV$13:AV$15),1)</f>
        <v>0</v>
      </c>
      <c s="125">
        <f>Предпосылки!AV$247*Предпосылки!$W255*Продажи!AW20*AW$19*(1+Чувствительность!$D$20)*IFERROR(LOOKUP(Предпосылки!$H$220,$C$13:$C$15,AW$13:AW$15),1)</f>
        <v>0</v>
      </c>
      <c s="125">
        <f>Предпосылки!AW$247*Предпосылки!$W255*Продажи!AX20*AX$19*(1+Чувствительность!$D$20)*IFERROR(LOOKUP(Предпосылки!$H$220,$C$13:$C$15,AX$13:AX$15),1)</f>
        <v>0</v>
      </c>
      <c s="125">
        <f>Предпосылки!AX$247*Предпосылки!$W255*Продажи!AY20*AY$19*(1+Чувствительность!$D$20)*IFERROR(LOOKUP(Предпосылки!$H$220,$C$13:$C$15,AY$13:AY$15),1)</f>
        <v>0</v>
      </c>
      <c s="125">
        <f>Предпосылки!AY$247*Предпосылки!$W255*Продажи!AZ20*AZ$19*(1+Чувствительность!$D$20)*IFERROR(LOOKUP(Предпосылки!$H$220,$C$13:$C$15,AZ$13:AZ$15),1)</f>
        <v>0</v>
      </c>
      <c s="125">
        <f>Предпосылки!AZ$247*Предпосылки!$W255*Продажи!BA20*BA$19*(1+Чувствительность!$D$20)*IFERROR(LOOKUP(Предпосылки!$H$220,$C$13:$C$15,BA$13:BA$15),1)</f>
        <v>0</v>
      </c>
      <c s="125">
        <f>Предпосылки!BA$247*Предпосылки!$W255*Продажи!BB20*BB$19*(1+Чувствительность!$D$20)*IFERROR(LOOKUP(Предпосылки!$H$220,$C$13:$C$15,BB$13:BB$15),1)</f>
        <v>0</v>
      </c>
      <c s="125">
        <f>Предпосылки!BB$247*Предпосылки!$W255*Продажи!BC20*BC$19*(1+Чувствительность!$D$20)*IFERROR(LOOKUP(Предпосылки!$H$220,$C$13:$C$15,BC$13:BC$15),1)</f>
        <v>0</v>
      </c>
      <c s="125">
        <f>Предпосылки!BC$247*Предпосылки!$W255*Продажи!BD20*BD$19*(1+Чувствительность!$D$20)*IFERROR(LOOKUP(Предпосылки!$H$220,$C$13:$C$15,BD$13:BD$15),1)</f>
        <v>0</v>
      </c>
      <c s="125">
        <f>Предпосылки!BD$247*Предпосылки!$W255*Продажи!BE20*BE$19*(1+Чувствительность!$D$20)*IFERROR(LOOKUP(Предпосылки!$H$220,$C$13:$C$15,BE$13:BE$15),1)</f>
        <v>0</v>
      </c>
      <c s="125">
        <f>Предпосылки!BE$247*Предпосылки!$W255*Продажи!BF20*BF$19*(1+Чувствительность!$D$20)*IFERROR(LOOKUP(Предпосылки!$H$220,$C$13:$C$15,BF$13:BF$15),1)</f>
        <v>0</v>
      </c>
      <c s="125">
        <f>Предпосылки!BF$247*Предпосылки!$W255*Продажи!BG20*BG$19*(1+Чувствительность!$D$20)*IFERROR(LOOKUP(Предпосылки!$H$220,$C$13:$C$15,BG$13:BG$15),1)</f>
        <v>0</v>
      </c>
      <c s="125">
        <f>Предпосылки!BG$247*Предпосылки!$W255*Продажи!BH20*BH$19*(1+Чувствительность!$D$20)*IFERROR(LOOKUP(Предпосылки!$H$220,$C$13:$C$15,BH$13:BH$15),1)</f>
        <v>0</v>
      </c>
      <c s="125">
        <f>Предпосылки!BH$247*Предпосылки!$W255*Продажи!BI20*BI$19*(1+Чувствительность!$D$20)*IFERROR(LOOKUP(Предпосылки!$H$220,$C$13:$C$15,BI$13:BI$15),1)</f>
        <v>0</v>
      </c>
      <c s="125">
        <f>Предпосылки!BI$247*Предпосылки!$W255*Продажи!BJ20*BJ$19*(1+Чувствительность!$D$20)*IFERROR(LOOKUP(Предпосылки!$H$220,$C$13:$C$15,BJ$13:BJ$15),1)</f>
        <v>0</v>
      </c>
      <c s="125">
        <f>Предпосылки!BJ$247*Предпосылки!$W255*Продажи!BK20*BK$19*(1+Чувствительность!$D$20)*IFERROR(LOOKUP(Предпосылки!$H$220,$C$13:$C$15,BK$13:BK$15),1)</f>
        <v>0</v>
      </c>
      <c s="125">
        <f>Предпосылки!BK$247*Предпосылки!$W255*Продажи!BL20*BL$19*(1+Чувствительность!$D$20)*IFERROR(LOOKUP(Предпосылки!$H$220,$C$13:$C$15,BL$13:BL$15),1)</f>
        <v>0</v>
      </c>
      <c s="125">
        <f>Предпосылки!BL$247*Предпосылки!$W255*Продажи!BM20*BM$19*(1+Чувствительность!$D$20)*IFERROR(LOOKUP(Предпосылки!$H$220,$C$13:$C$15,BM$13:BM$15),1)</f>
        <v>0</v>
      </c>
    </row>
    <row r="463" spans="2:65" ht="15" customHeight="1">
      <c r="B463" s="12" t="str">
        <f t="shared" si="156"/>
        <v>Продукт 4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Предпосылки!D$247*Предпосылки!$W256*Продажи!E21*E$19*(1+Чувствительность!$D$20)*IFERROR(LOOKUP(Предпосылки!$H$220,$C$13:$C$15,E$13:E$15),1)</f>
        <v>0</v>
      </c>
      <c s="125">
        <f>Предпосылки!E$247*Предпосылки!$W256*Продажи!F21*F$19*(1+Чувствительность!$D$20)*IFERROR(LOOKUP(Предпосылки!$H$220,$C$13:$C$15,F$13:F$15),1)</f>
        <v>0</v>
      </c>
      <c s="125">
        <f>Предпосылки!F$247*Предпосылки!$W256*Продажи!G21*G$19*(1+Чувствительность!$D$20)*IFERROR(LOOKUP(Предпосылки!$H$220,$C$13:$C$15,G$13:G$15),1)</f>
        <v>0</v>
      </c>
      <c s="125">
        <f>Предпосылки!G$247*Предпосылки!$W256*Продажи!H21*H$19*(1+Чувствительность!$D$20)*IFERROR(LOOKUP(Предпосылки!$H$220,$C$13:$C$15,H$13:H$15),1)</f>
        <v>0</v>
      </c>
      <c s="125">
        <f>Предпосылки!H$247*Предпосылки!$W256*Продажи!I21*I$19*(1+Чувствительность!$D$20)*IFERROR(LOOKUP(Предпосылки!$H$220,$C$13:$C$15,I$13:I$15),1)</f>
        <v>0</v>
      </c>
      <c s="125">
        <f>Предпосылки!I$247*Предпосылки!$W256*Продажи!J21*J$19*(1+Чувствительность!$D$20)*IFERROR(LOOKUP(Предпосылки!$H$220,$C$13:$C$15,J$13:J$15),1)</f>
        <v>0</v>
      </c>
      <c s="125">
        <f>Предпосылки!J$247*Предпосылки!$W256*Продажи!K21*K$19*(1+Чувствительность!$D$20)*IFERROR(LOOKUP(Предпосылки!$H$220,$C$13:$C$15,K$13:K$15),1)</f>
        <v>0</v>
      </c>
      <c s="125">
        <f>Предпосылки!K$247*Предпосылки!$W256*Продажи!L21*L$19*(1+Чувствительность!$D$20)*IFERROR(LOOKUP(Предпосылки!$H$220,$C$13:$C$15,L$13:L$15),1)</f>
        <v>0</v>
      </c>
      <c s="125">
        <f>Предпосылки!L$247*Предпосылки!$W256*Продажи!M21*M$19*(1+Чувствительность!$D$20)*IFERROR(LOOKUP(Предпосылки!$H$220,$C$13:$C$15,M$13:M$15),1)</f>
        <v>0</v>
      </c>
      <c s="125">
        <f>Предпосылки!M$247*Предпосылки!$W256*Продажи!N21*N$19*(1+Чувствительность!$D$20)*IFERROR(LOOKUP(Предпосылки!$H$220,$C$13:$C$15,N$13:N$15),1)</f>
        <v>0</v>
      </c>
      <c s="125">
        <f>Предпосылки!N$247*Предпосылки!$W256*Продажи!O21*O$19*(1+Чувствительность!$D$20)*IFERROR(LOOKUP(Предпосылки!$H$220,$C$13:$C$15,O$13:O$15),1)</f>
        <v>0</v>
      </c>
      <c s="125">
        <f>Предпосылки!O$247*Предпосылки!$W256*Продажи!P21*P$19*(1+Чувствительность!$D$20)*IFERROR(LOOKUP(Предпосылки!$H$220,$C$13:$C$15,P$13:P$15),1)</f>
        <v>0</v>
      </c>
      <c s="125">
        <f>Предпосылки!P$247*Предпосылки!$W256*Продажи!Q21*Q$19*(1+Чувствительность!$D$20)*IFERROR(LOOKUP(Предпосылки!$H$220,$C$13:$C$15,Q$13:Q$15),1)</f>
        <v>0</v>
      </c>
      <c s="125">
        <f>Предпосылки!Q$247*Предпосылки!$W256*Продажи!R21*R$19*(1+Чувствительность!$D$20)*IFERROR(LOOKUP(Предпосылки!$H$220,$C$13:$C$15,R$13:R$15),1)</f>
        <v>0</v>
      </c>
      <c s="125">
        <f>Предпосылки!R$247*Предпосылки!$W256*Продажи!S21*S$19*(1+Чувствительность!$D$20)*IFERROR(LOOKUP(Предпосылки!$H$220,$C$13:$C$15,S$13:S$15),1)</f>
        <v>0</v>
      </c>
      <c s="125">
        <f>Предпосылки!S$247*Предпосылки!$W256*Продажи!T21*T$19*(1+Чувствительность!$D$20)*IFERROR(LOOKUP(Предпосылки!$H$220,$C$13:$C$15,T$13:T$15),1)</f>
        <v>0</v>
      </c>
      <c s="125">
        <f>Предпосылки!T$247*Предпосылки!$W256*Продажи!U21*U$19*(1+Чувствительность!$D$20)*IFERROR(LOOKUP(Предпосылки!$H$220,$C$13:$C$15,U$13:U$15),1)</f>
        <v>0</v>
      </c>
      <c s="125">
        <f>Предпосылки!U$247*Предпосылки!$W256*Продажи!V21*V$19*(1+Чувствительность!$D$20)*IFERROR(LOOKUP(Предпосылки!$H$220,$C$13:$C$15,V$13:V$15),1)</f>
        <v>0</v>
      </c>
      <c s="125">
        <f>Предпосылки!V$247*Предпосылки!$W256*Продажи!W21*W$19*(1+Чувствительность!$D$20)*IFERROR(LOOKUP(Предпосылки!$H$220,$C$13:$C$15,W$13:W$15),1)</f>
        <v>0</v>
      </c>
      <c s="125">
        <f>Предпосылки!W$247*Предпосылки!$W256*Продажи!X21*X$19*(1+Чувствительность!$D$20)*IFERROR(LOOKUP(Предпосылки!$H$220,$C$13:$C$15,X$13:X$15),1)</f>
        <v>0</v>
      </c>
      <c s="125">
        <f>Предпосылки!X$247*Предпосылки!$W256*Продажи!Y21*Y$19*(1+Чувствительность!$D$20)*IFERROR(LOOKUP(Предпосылки!$H$220,$C$13:$C$15,Y$13:Y$15),1)</f>
        <v>0</v>
      </c>
      <c s="125">
        <f>Предпосылки!Y$247*Предпосылки!$W256*Продажи!Z21*Z$19*(1+Чувствительность!$D$20)*IFERROR(LOOKUP(Предпосылки!$H$220,$C$13:$C$15,Z$13:Z$15),1)</f>
        <v>0</v>
      </c>
      <c s="125">
        <f>Предпосылки!Z$247*Предпосылки!$W256*Продажи!AA21*AA$19*(1+Чувствительность!$D$20)*IFERROR(LOOKUP(Предпосылки!$H$220,$C$13:$C$15,AA$13:AA$15),1)</f>
        <v>0</v>
      </c>
      <c s="125">
        <f>Предпосылки!AA$247*Предпосылки!$W256*Продажи!AB21*AB$19*(1+Чувствительность!$D$20)*IFERROR(LOOKUP(Предпосылки!$H$220,$C$13:$C$15,AB$13:AB$15),1)</f>
        <v>0</v>
      </c>
      <c s="125">
        <f>Предпосылки!AB$247*Предпосылки!$W256*Продажи!AC21*AC$19*(1+Чувствительность!$D$20)*IFERROR(LOOKUP(Предпосылки!$H$220,$C$13:$C$15,AC$13:AC$15),1)</f>
        <v>0</v>
      </c>
      <c s="125">
        <f>Предпосылки!AC$247*Предпосылки!$W256*Продажи!AD21*AD$19*(1+Чувствительность!$D$20)*IFERROR(LOOKUP(Предпосылки!$H$220,$C$13:$C$15,AD$13:AD$15),1)</f>
        <v>0</v>
      </c>
      <c s="125">
        <f>Предпосылки!AD$247*Предпосылки!$W256*Продажи!AE21*AE$19*(1+Чувствительность!$D$20)*IFERROR(LOOKUP(Предпосылки!$H$220,$C$13:$C$15,AE$13:AE$15),1)</f>
        <v>0</v>
      </c>
      <c s="125">
        <f>Предпосылки!AE$247*Предпосылки!$W256*Продажи!AF21*AF$19*(1+Чувствительность!$D$20)*IFERROR(LOOKUP(Предпосылки!$H$220,$C$13:$C$15,AF$13:AF$15),1)</f>
        <v>0</v>
      </c>
      <c s="125">
        <f>Предпосылки!AF$247*Предпосылки!$W256*Продажи!AG21*AG$19*(1+Чувствительность!$D$20)*IFERROR(LOOKUP(Предпосылки!$H$220,$C$13:$C$15,AG$13:AG$15),1)</f>
        <v>0</v>
      </c>
      <c s="125">
        <f>Предпосылки!AG$247*Предпосылки!$W256*Продажи!AH21*AH$19*(1+Чувствительность!$D$20)*IFERROR(LOOKUP(Предпосылки!$H$220,$C$13:$C$15,AH$13:AH$15),1)</f>
        <v>0</v>
      </c>
      <c s="125">
        <f>Предпосылки!AH$247*Предпосылки!$W256*Продажи!AI21*AI$19*(1+Чувствительность!$D$20)*IFERROR(LOOKUP(Предпосылки!$H$220,$C$13:$C$15,AI$13:AI$15),1)</f>
        <v>0</v>
      </c>
      <c s="125">
        <f>Предпосылки!AI$247*Предпосылки!$W256*Продажи!AJ21*AJ$19*(1+Чувствительность!$D$20)*IFERROR(LOOKUP(Предпосылки!$H$220,$C$13:$C$15,AJ$13:AJ$15),1)</f>
        <v>0</v>
      </c>
      <c s="125">
        <f>Предпосылки!AJ$247*Предпосылки!$W256*Продажи!AK21*AK$19*(1+Чувствительность!$D$20)*IFERROR(LOOKUP(Предпосылки!$H$220,$C$13:$C$15,AK$13:AK$15),1)</f>
        <v>0</v>
      </c>
      <c s="125">
        <f>Предпосылки!AK$247*Предпосылки!$W256*Продажи!AL21*AL$19*(1+Чувствительность!$D$20)*IFERROR(LOOKUP(Предпосылки!$H$220,$C$13:$C$15,AL$13:AL$15),1)</f>
        <v>0</v>
      </c>
      <c s="125">
        <f>Предпосылки!AL$247*Предпосылки!$W256*Продажи!AM21*AM$19*(1+Чувствительность!$D$20)*IFERROR(LOOKUP(Предпосылки!$H$220,$C$13:$C$15,AM$13:AM$15),1)</f>
        <v>0</v>
      </c>
      <c s="125">
        <f>Предпосылки!AM$247*Предпосылки!$W256*Продажи!AN21*AN$19*(1+Чувствительность!$D$20)*IFERROR(LOOKUP(Предпосылки!$H$220,$C$13:$C$15,AN$13:AN$15),1)</f>
        <v>0</v>
      </c>
      <c s="125">
        <f>Предпосылки!AN$247*Предпосылки!$W256*Продажи!AO21*AO$19*(1+Чувствительность!$D$20)*IFERROR(LOOKUP(Предпосылки!$H$220,$C$13:$C$15,AO$13:AO$15),1)</f>
        <v>0</v>
      </c>
      <c s="125">
        <f>Предпосылки!AO$247*Предпосылки!$W256*Продажи!AP21*AP$19*(1+Чувствительность!$D$20)*IFERROR(LOOKUP(Предпосылки!$H$220,$C$13:$C$15,AP$13:AP$15),1)</f>
        <v>0</v>
      </c>
      <c s="125">
        <f>Предпосылки!AP$247*Предпосылки!$W256*Продажи!AQ21*AQ$19*(1+Чувствительность!$D$20)*IFERROR(LOOKUP(Предпосылки!$H$220,$C$13:$C$15,AQ$13:AQ$15),1)</f>
        <v>0</v>
      </c>
      <c s="125">
        <f>Предпосылки!AQ$247*Предпосылки!$W256*Продажи!AR21*AR$19*(1+Чувствительность!$D$20)*IFERROR(LOOKUP(Предпосылки!$H$220,$C$13:$C$15,AR$13:AR$15),1)</f>
        <v>0</v>
      </c>
      <c s="125">
        <f>Предпосылки!AR$247*Предпосылки!$W256*Продажи!AS21*AS$19*(1+Чувствительность!$D$20)*IFERROR(LOOKUP(Предпосылки!$H$220,$C$13:$C$15,AS$13:AS$15),1)</f>
        <v>0</v>
      </c>
      <c s="125">
        <f>Предпосылки!AS$247*Предпосылки!$W256*Продажи!AT21*AT$19*(1+Чувствительность!$D$20)*IFERROR(LOOKUP(Предпосылки!$H$220,$C$13:$C$15,AT$13:AT$15),1)</f>
        <v>0</v>
      </c>
      <c s="125">
        <f>Предпосылки!AT$247*Предпосылки!$W256*Продажи!AU21*AU$19*(1+Чувствительность!$D$20)*IFERROR(LOOKUP(Предпосылки!$H$220,$C$13:$C$15,AU$13:AU$15),1)</f>
        <v>0</v>
      </c>
      <c s="125">
        <f>Предпосылки!AU$247*Предпосылки!$W256*Продажи!AV21*AV$19*(1+Чувствительность!$D$20)*IFERROR(LOOKUP(Предпосылки!$H$220,$C$13:$C$15,AV$13:AV$15),1)</f>
        <v>0</v>
      </c>
      <c s="125">
        <f>Предпосылки!AV$247*Предпосылки!$W256*Продажи!AW21*AW$19*(1+Чувствительность!$D$20)*IFERROR(LOOKUP(Предпосылки!$H$220,$C$13:$C$15,AW$13:AW$15),1)</f>
        <v>0</v>
      </c>
      <c s="125">
        <f>Предпосылки!AW$247*Предпосылки!$W256*Продажи!AX21*AX$19*(1+Чувствительность!$D$20)*IFERROR(LOOKUP(Предпосылки!$H$220,$C$13:$C$15,AX$13:AX$15),1)</f>
        <v>0</v>
      </c>
      <c s="125">
        <f>Предпосылки!AX$247*Предпосылки!$W256*Продажи!AY21*AY$19*(1+Чувствительность!$D$20)*IFERROR(LOOKUP(Предпосылки!$H$220,$C$13:$C$15,AY$13:AY$15),1)</f>
        <v>0</v>
      </c>
      <c s="125">
        <f>Предпосылки!AY$247*Предпосылки!$W256*Продажи!AZ21*AZ$19*(1+Чувствительность!$D$20)*IFERROR(LOOKUP(Предпосылки!$H$220,$C$13:$C$15,AZ$13:AZ$15),1)</f>
        <v>0</v>
      </c>
      <c s="125">
        <f>Предпосылки!AZ$247*Предпосылки!$W256*Продажи!BA21*BA$19*(1+Чувствительность!$D$20)*IFERROR(LOOKUP(Предпосылки!$H$220,$C$13:$C$15,BA$13:BA$15),1)</f>
        <v>0</v>
      </c>
      <c s="125">
        <f>Предпосылки!BA$247*Предпосылки!$W256*Продажи!BB21*BB$19*(1+Чувствительность!$D$20)*IFERROR(LOOKUP(Предпосылки!$H$220,$C$13:$C$15,BB$13:BB$15),1)</f>
        <v>0</v>
      </c>
      <c s="125">
        <f>Предпосылки!BB$247*Предпосылки!$W256*Продажи!BC21*BC$19*(1+Чувствительность!$D$20)*IFERROR(LOOKUP(Предпосылки!$H$220,$C$13:$C$15,BC$13:BC$15),1)</f>
        <v>0</v>
      </c>
      <c s="125">
        <f>Предпосылки!BC$247*Предпосылки!$W256*Продажи!BD21*BD$19*(1+Чувствительность!$D$20)*IFERROR(LOOKUP(Предпосылки!$H$220,$C$13:$C$15,BD$13:BD$15),1)</f>
        <v>0</v>
      </c>
      <c s="125">
        <f>Предпосылки!BD$247*Предпосылки!$W256*Продажи!BE21*BE$19*(1+Чувствительность!$D$20)*IFERROR(LOOKUP(Предпосылки!$H$220,$C$13:$C$15,BE$13:BE$15),1)</f>
        <v>0</v>
      </c>
      <c s="125">
        <f>Предпосылки!BE$247*Предпосылки!$W256*Продажи!BF21*BF$19*(1+Чувствительность!$D$20)*IFERROR(LOOKUP(Предпосылки!$H$220,$C$13:$C$15,BF$13:BF$15),1)</f>
        <v>0</v>
      </c>
      <c s="125">
        <f>Предпосылки!BF$247*Предпосылки!$W256*Продажи!BG21*BG$19*(1+Чувствительность!$D$20)*IFERROR(LOOKUP(Предпосылки!$H$220,$C$13:$C$15,BG$13:BG$15),1)</f>
        <v>0</v>
      </c>
      <c s="125">
        <f>Предпосылки!BG$247*Предпосылки!$W256*Продажи!BH21*BH$19*(1+Чувствительность!$D$20)*IFERROR(LOOKUP(Предпосылки!$H$220,$C$13:$C$15,BH$13:BH$15),1)</f>
        <v>0</v>
      </c>
      <c s="125">
        <f>Предпосылки!BH$247*Предпосылки!$W256*Продажи!BI21*BI$19*(1+Чувствительность!$D$20)*IFERROR(LOOKUP(Предпосылки!$H$220,$C$13:$C$15,BI$13:BI$15),1)</f>
        <v>0</v>
      </c>
      <c s="125">
        <f>Предпосылки!BI$247*Предпосылки!$W256*Продажи!BJ21*BJ$19*(1+Чувствительность!$D$20)*IFERROR(LOOKUP(Предпосылки!$H$220,$C$13:$C$15,BJ$13:BJ$15),1)</f>
        <v>0</v>
      </c>
      <c s="125">
        <f>Предпосылки!BJ$247*Предпосылки!$W256*Продажи!BK21*BK$19*(1+Чувствительность!$D$20)*IFERROR(LOOKUP(Предпосылки!$H$220,$C$13:$C$15,BK$13:BK$15),1)</f>
        <v>0</v>
      </c>
      <c s="125">
        <f>Предпосылки!BK$247*Предпосылки!$W256*Продажи!BL21*BL$19*(1+Чувствительность!$D$20)*IFERROR(LOOKUP(Предпосылки!$H$220,$C$13:$C$15,BL$13:BL$15),1)</f>
        <v>0</v>
      </c>
      <c s="125">
        <f>Предпосылки!BL$247*Предпосылки!$W256*Продажи!BM21*BM$19*(1+Чувствительность!$D$20)*IFERROR(LOOKUP(Предпосылки!$H$220,$C$13:$C$15,BM$13:BM$15),1)</f>
        <v>0</v>
      </c>
    </row>
    <row r="464" spans="2:65" ht="15" customHeight="1">
      <c r="B464" s="12" t="str">
        <f t="shared" si="156"/>
        <v>Продукт 5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Предпосылки!D$247*Предпосылки!$W257*Продажи!E22*E$19*(1+Чувствительность!$D$20)*IFERROR(LOOKUP(Предпосылки!$H$220,$C$13:$C$15,E$13:E$15),1)</f>
        <v>0</v>
      </c>
      <c s="125">
        <f>Предпосылки!E$247*Предпосылки!$W257*Продажи!F22*F$19*(1+Чувствительность!$D$20)*IFERROR(LOOKUP(Предпосылки!$H$220,$C$13:$C$15,F$13:F$15),1)</f>
        <v>0</v>
      </c>
      <c s="125">
        <f>Предпосылки!F$247*Предпосылки!$W257*Продажи!G22*G$19*(1+Чувствительность!$D$20)*IFERROR(LOOKUP(Предпосылки!$H$220,$C$13:$C$15,G$13:G$15),1)</f>
        <v>0</v>
      </c>
      <c s="125">
        <f>Предпосылки!G$247*Предпосылки!$W257*Продажи!H22*H$19*(1+Чувствительность!$D$20)*IFERROR(LOOKUP(Предпосылки!$H$220,$C$13:$C$15,H$13:H$15),1)</f>
        <v>0</v>
      </c>
      <c s="125">
        <f>Предпосылки!H$247*Предпосылки!$W257*Продажи!I22*I$19*(1+Чувствительность!$D$20)*IFERROR(LOOKUP(Предпосылки!$H$220,$C$13:$C$15,I$13:I$15),1)</f>
        <v>0</v>
      </c>
      <c s="125">
        <f>Предпосылки!I$247*Предпосылки!$W257*Продажи!J22*J$19*(1+Чувствительность!$D$20)*IFERROR(LOOKUP(Предпосылки!$H$220,$C$13:$C$15,J$13:J$15),1)</f>
        <v>0</v>
      </c>
      <c s="125">
        <f>Предпосылки!J$247*Предпосылки!$W257*Продажи!K22*K$19*(1+Чувствительность!$D$20)*IFERROR(LOOKUP(Предпосылки!$H$220,$C$13:$C$15,K$13:K$15),1)</f>
        <v>0</v>
      </c>
      <c s="125">
        <f>Предпосылки!K$247*Предпосылки!$W257*Продажи!L22*L$19*(1+Чувствительность!$D$20)*IFERROR(LOOKUP(Предпосылки!$H$220,$C$13:$C$15,L$13:L$15),1)</f>
        <v>0</v>
      </c>
      <c s="125">
        <f>Предпосылки!L$247*Предпосылки!$W257*Продажи!M22*M$19*(1+Чувствительность!$D$20)*IFERROR(LOOKUP(Предпосылки!$H$220,$C$13:$C$15,M$13:M$15),1)</f>
        <v>0</v>
      </c>
      <c s="125">
        <f>Предпосылки!M$247*Предпосылки!$W257*Продажи!N22*N$19*(1+Чувствительность!$D$20)*IFERROR(LOOKUP(Предпосылки!$H$220,$C$13:$C$15,N$13:N$15),1)</f>
        <v>0</v>
      </c>
      <c s="125">
        <f>Предпосылки!N$247*Предпосылки!$W257*Продажи!O22*O$19*(1+Чувствительность!$D$20)*IFERROR(LOOKUP(Предпосылки!$H$220,$C$13:$C$15,O$13:O$15),1)</f>
        <v>0</v>
      </c>
      <c s="125">
        <f>Предпосылки!O$247*Предпосылки!$W257*Продажи!P22*P$19*(1+Чувствительность!$D$20)*IFERROR(LOOKUP(Предпосылки!$H$220,$C$13:$C$15,P$13:P$15),1)</f>
        <v>0</v>
      </c>
      <c s="125">
        <f>Предпосылки!P$247*Предпосылки!$W257*Продажи!Q22*Q$19*(1+Чувствительность!$D$20)*IFERROR(LOOKUP(Предпосылки!$H$220,$C$13:$C$15,Q$13:Q$15),1)</f>
        <v>0</v>
      </c>
      <c s="125">
        <f>Предпосылки!Q$247*Предпосылки!$W257*Продажи!R22*R$19*(1+Чувствительность!$D$20)*IFERROR(LOOKUP(Предпосылки!$H$220,$C$13:$C$15,R$13:R$15),1)</f>
        <v>0</v>
      </c>
      <c s="125">
        <f>Предпосылки!R$247*Предпосылки!$W257*Продажи!S22*S$19*(1+Чувствительность!$D$20)*IFERROR(LOOKUP(Предпосылки!$H$220,$C$13:$C$15,S$13:S$15),1)</f>
        <v>0</v>
      </c>
      <c s="125">
        <f>Предпосылки!S$247*Предпосылки!$W257*Продажи!T22*T$19*(1+Чувствительность!$D$20)*IFERROR(LOOKUP(Предпосылки!$H$220,$C$13:$C$15,T$13:T$15),1)</f>
        <v>0</v>
      </c>
      <c s="125">
        <f>Предпосылки!T$247*Предпосылки!$W257*Продажи!U22*U$19*(1+Чувствительность!$D$20)*IFERROR(LOOKUP(Предпосылки!$H$220,$C$13:$C$15,U$13:U$15),1)</f>
        <v>0</v>
      </c>
      <c s="125">
        <f>Предпосылки!U$247*Предпосылки!$W257*Продажи!V22*V$19*(1+Чувствительность!$D$20)*IFERROR(LOOKUP(Предпосылки!$H$220,$C$13:$C$15,V$13:V$15),1)</f>
        <v>0</v>
      </c>
      <c s="125">
        <f>Предпосылки!V$247*Предпосылки!$W257*Продажи!W22*W$19*(1+Чувствительность!$D$20)*IFERROR(LOOKUP(Предпосылки!$H$220,$C$13:$C$15,W$13:W$15),1)</f>
        <v>0</v>
      </c>
      <c s="125">
        <f>Предпосылки!W$247*Предпосылки!$W257*Продажи!X22*X$19*(1+Чувствительность!$D$20)*IFERROR(LOOKUP(Предпосылки!$H$220,$C$13:$C$15,X$13:X$15),1)</f>
        <v>0</v>
      </c>
      <c s="125">
        <f>Предпосылки!X$247*Предпосылки!$W257*Продажи!Y22*Y$19*(1+Чувствительность!$D$20)*IFERROR(LOOKUP(Предпосылки!$H$220,$C$13:$C$15,Y$13:Y$15),1)</f>
        <v>0</v>
      </c>
      <c s="125">
        <f>Предпосылки!Y$247*Предпосылки!$W257*Продажи!Z22*Z$19*(1+Чувствительность!$D$20)*IFERROR(LOOKUP(Предпосылки!$H$220,$C$13:$C$15,Z$13:Z$15),1)</f>
        <v>0</v>
      </c>
      <c s="125">
        <f>Предпосылки!Z$247*Предпосылки!$W257*Продажи!AA22*AA$19*(1+Чувствительность!$D$20)*IFERROR(LOOKUP(Предпосылки!$H$220,$C$13:$C$15,AA$13:AA$15),1)</f>
        <v>0</v>
      </c>
      <c s="125">
        <f>Предпосылки!AA$247*Предпосылки!$W257*Продажи!AB22*AB$19*(1+Чувствительность!$D$20)*IFERROR(LOOKUP(Предпосылки!$H$220,$C$13:$C$15,AB$13:AB$15),1)</f>
        <v>0</v>
      </c>
      <c s="125">
        <f>Предпосылки!AB$247*Предпосылки!$W257*Продажи!AC22*AC$19*(1+Чувствительность!$D$20)*IFERROR(LOOKUP(Предпосылки!$H$220,$C$13:$C$15,AC$13:AC$15),1)</f>
        <v>0</v>
      </c>
      <c s="125">
        <f>Предпосылки!AC$247*Предпосылки!$W257*Продажи!AD22*AD$19*(1+Чувствительность!$D$20)*IFERROR(LOOKUP(Предпосылки!$H$220,$C$13:$C$15,AD$13:AD$15),1)</f>
        <v>0</v>
      </c>
      <c s="125">
        <f>Предпосылки!AD$247*Предпосылки!$W257*Продажи!AE22*AE$19*(1+Чувствительность!$D$20)*IFERROR(LOOKUP(Предпосылки!$H$220,$C$13:$C$15,AE$13:AE$15),1)</f>
        <v>0</v>
      </c>
      <c s="125">
        <f>Предпосылки!AE$247*Предпосылки!$W257*Продажи!AF22*AF$19*(1+Чувствительность!$D$20)*IFERROR(LOOKUP(Предпосылки!$H$220,$C$13:$C$15,AF$13:AF$15),1)</f>
        <v>0</v>
      </c>
      <c s="125">
        <f>Предпосылки!AF$247*Предпосылки!$W257*Продажи!AG22*AG$19*(1+Чувствительность!$D$20)*IFERROR(LOOKUP(Предпосылки!$H$220,$C$13:$C$15,AG$13:AG$15),1)</f>
        <v>0</v>
      </c>
      <c s="125">
        <f>Предпосылки!AG$247*Предпосылки!$W257*Продажи!AH22*AH$19*(1+Чувствительность!$D$20)*IFERROR(LOOKUP(Предпосылки!$H$220,$C$13:$C$15,AH$13:AH$15),1)</f>
        <v>0</v>
      </c>
      <c s="125">
        <f>Предпосылки!AH$247*Предпосылки!$W257*Продажи!AI22*AI$19*(1+Чувствительность!$D$20)*IFERROR(LOOKUP(Предпосылки!$H$220,$C$13:$C$15,AI$13:AI$15),1)</f>
        <v>0</v>
      </c>
      <c s="125">
        <f>Предпосылки!AI$247*Предпосылки!$W257*Продажи!AJ22*AJ$19*(1+Чувствительность!$D$20)*IFERROR(LOOKUP(Предпосылки!$H$220,$C$13:$C$15,AJ$13:AJ$15),1)</f>
        <v>0</v>
      </c>
      <c s="125">
        <f>Предпосылки!AJ$247*Предпосылки!$W257*Продажи!AK22*AK$19*(1+Чувствительность!$D$20)*IFERROR(LOOKUP(Предпосылки!$H$220,$C$13:$C$15,AK$13:AK$15),1)</f>
        <v>0</v>
      </c>
      <c s="125">
        <f>Предпосылки!AK$247*Предпосылки!$W257*Продажи!AL22*AL$19*(1+Чувствительность!$D$20)*IFERROR(LOOKUP(Предпосылки!$H$220,$C$13:$C$15,AL$13:AL$15),1)</f>
        <v>0</v>
      </c>
      <c s="125">
        <f>Предпосылки!AL$247*Предпосылки!$W257*Продажи!AM22*AM$19*(1+Чувствительность!$D$20)*IFERROR(LOOKUP(Предпосылки!$H$220,$C$13:$C$15,AM$13:AM$15),1)</f>
        <v>0</v>
      </c>
      <c s="125">
        <f>Предпосылки!AM$247*Предпосылки!$W257*Продажи!AN22*AN$19*(1+Чувствительность!$D$20)*IFERROR(LOOKUP(Предпосылки!$H$220,$C$13:$C$15,AN$13:AN$15),1)</f>
        <v>0</v>
      </c>
      <c s="125">
        <f>Предпосылки!AN$247*Предпосылки!$W257*Продажи!AO22*AO$19*(1+Чувствительность!$D$20)*IFERROR(LOOKUP(Предпосылки!$H$220,$C$13:$C$15,AO$13:AO$15),1)</f>
        <v>0</v>
      </c>
      <c s="125">
        <f>Предпосылки!AO$247*Предпосылки!$W257*Продажи!AP22*AP$19*(1+Чувствительность!$D$20)*IFERROR(LOOKUP(Предпосылки!$H$220,$C$13:$C$15,AP$13:AP$15),1)</f>
        <v>0</v>
      </c>
      <c s="125">
        <f>Предпосылки!AP$247*Предпосылки!$W257*Продажи!AQ22*AQ$19*(1+Чувствительность!$D$20)*IFERROR(LOOKUP(Предпосылки!$H$220,$C$13:$C$15,AQ$13:AQ$15),1)</f>
        <v>0</v>
      </c>
      <c s="125">
        <f>Предпосылки!AQ$247*Предпосылки!$W257*Продажи!AR22*AR$19*(1+Чувствительность!$D$20)*IFERROR(LOOKUP(Предпосылки!$H$220,$C$13:$C$15,AR$13:AR$15),1)</f>
        <v>0</v>
      </c>
      <c s="125">
        <f>Предпосылки!AR$247*Предпосылки!$W257*Продажи!AS22*AS$19*(1+Чувствительность!$D$20)*IFERROR(LOOKUP(Предпосылки!$H$220,$C$13:$C$15,AS$13:AS$15),1)</f>
        <v>0</v>
      </c>
      <c s="125">
        <f>Предпосылки!AS$247*Предпосылки!$W257*Продажи!AT22*AT$19*(1+Чувствительность!$D$20)*IFERROR(LOOKUP(Предпосылки!$H$220,$C$13:$C$15,AT$13:AT$15),1)</f>
        <v>0</v>
      </c>
      <c s="125">
        <f>Предпосылки!AT$247*Предпосылки!$W257*Продажи!AU22*AU$19*(1+Чувствительность!$D$20)*IFERROR(LOOKUP(Предпосылки!$H$220,$C$13:$C$15,AU$13:AU$15),1)</f>
        <v>0</v>
      </c>
      <c s="125">
        <f>Предпосылки!AU$247*Предпосылки!$W257*Продажи!AV22*AV$19*(1+Чувствительность!$D$20)*IFERROR(LOOKUP(Предпосылки!$H$220,$C$13:$C$15,AV$13:AV$15),1)</f>
        <v>0</v>
      </c>
      <c s="125">
        <f>Предпосылки!AV$247*Предпосылки!$W257*Продажи!AW22*AW$19*(1+Чувствительность!$D$20)*IFERROR(LOOKUP(Предпосылки!$H$220,$C$13:$C$15,AW$13:AW$15),1)</f>
        <v>0</v>
      </c>
      <c s="125">
        <f>Предпосылки!AW$247*Предпосылки!$W257*Продажи!AX22*AX$19*(1+Чувствительность!$D$20)*IFERROR(LOOKUP(Предпосылки!$H$220,$C$13:$C$15,AX$13:AX$15),1)</f>
        <v>0</v>
      </c>
      <c s="125">
        <f>Предпосылки!AX$247*Предпосылки!$W257*Продажи!AY22*AY$19*(1+Чувствительность!$D$20)*IFERROR(LOOKUP(Предпосылки!$H$220,$C$13:$C$15,AY$13:AY$15),1)</f>
        <v>0</v>
      </c>
      <c s="125">
        <f>Предпосылки!AY$247*Предпосылки!$W257*Продажи!AZ22*AZ$19*(1+Чувствительность!$D$20)*IFERROR(LOOKUP(Предпосылки!$H$220,$C$13:$C$15,AZ$13:AZ$15),1)</f>
        <v>0</v>
      </c>
      <c s="125">
        <f>Предпосылки!AZ$247*Предпосылки!$W257*Продажи!BA22*BA$19*(1+Чувствительность!$D$20)*IFERROR(LOOKUP(Предпосылки!$H$220,$C$13:$C$15,BA$13:BA$15),1)</f>
        <v>0</v>
      </c>
      <c s="125">
        <f>Предпосылки!BA$247*Предпосылки!$W257*Продажи!BB22*BB$19*(1+Чувствительность!$D$20)*IFERROR(LOOKUP(Предпосылки!$H$220,$C$13:$C$15,BB$13:BB$15),1)</f>
        <v>0</v>
      </c>
      <c s="125">
        <f>Предпосылки!BB$247*Предпосылки!$W257*Продажи!BC22*BC$19*(1+Чувствительность!$D$20)*IFERROR(LOOKUP(Предпосылки!$H$220,$C$13:$C$15,BC$13:BC$15),1)</f>
        <v>0</v>
      </c>
      <c s="125">
        <f>Предпосылки!BC$247*Предпосылки!$W257*Продажи!BD22*BD$19*(1+Чувствительность!$D$20)*IFERROR(LOOKUP(Предпосылки!$H$220,$C$13:$C$15,BD$13:BD$15),1)</f>
        <v>0</v>
      </c>
      <c s="125">
        <f>Предпосылки!BD$247*Предпосылки!$W257*Продажи!BE22*BE$19*(1+Чувствительность!$D$20)*IFERROR(LOOKUP(Предпосылки!$H$220,$C$13:$C$15,BE$13:BE$15),1)</f>
        <v>0</v>
      </c>
      <c s="125">
        <f>Предпосылки!BE$247*Предпосылки!$W257*Продажи!BF22*BF$19*(1+Чувствительность!$D$20)*IFERROR(LOOKUP(Предпосылки!$H$220,$C$13:$C$15,BF$13:BF$15),1)</f>
        <v>0</v>
      </c>
      <c s="125">
        <f>Предпосылки!BF$247*Предпосылки!$W257*Продажи!BG22*BG$19*(1+Чувствительность!$D$20)*IFERROR(LOOKUP(Предпосылки!$H$220,$C$13:$C$15,BG$13:BG$15),1)</f>
        <v>0</v>
      </c>
      <c s="125">
        <f>Предпосылки!BG$247*Предпосылки!$W257*Продажи!BH22*BH$19*(1+Чувствительность!$D$20)*IFERROR(LOOKUP(Предпосылки!$H$220,$C$13:$C$15,BH$13:BH$15),1)</f>
        <v>0</v>
      </c>
      <c s="125">
        <f>Предпосылки!BH$247*Предпосылки!$W257*Продажи!BI22*BI$19*(1+Чувствительность!$D$20)*IFERROR(LOOKUP(Предпосылки!$H$220,$C$13:$C$15,BI$13:BI$15),1)</f>
        <v>0</v>
      </c>
      <c s="125">
        <f>Предпосылки!BI$247*Предпосылки!$W257*Продажи!BJ22*BJ$19*(1+Чувствительность!$D$20)*IFERROR(LOOKUP(Предпосылки!$H$220,$C$13:$C$15,BJ$13:BJ$15),1)</f>
        <v>0</v>
      </c>
      <c s="125">
        <f>Предпосылки!BJ$247*Предпосылки!$W257*Продажи!BK22*BK$19*(1+Чувствительность!$D$20)*IFERROR(LOOKUP(Предпосылки!$H$220,$C$13:$C$15,BK$13:BK$15),1)</f>
        <v>0</v>
      </c>
      <c s="125">
        <f>Предпосылки!BK$247*Предпосылки!$W257*Продажи!BL22*BL$19*(1+Чувствительность!$D$20)*IFERROR(LOOKUP(Предпосылки!$H$220,$C$13:$C$15,BL$13:BL$15),1)</f>
        <v>0</v>
      </c>
      <c s="125">
        <f>Предпосылки!BL$247*Предпосылки!$W257*Продажи!BM22*BM$19*(1+Чувствительность!$D$20)*IFERROR(LOOKUP(Предпосылки!$H$220,$C$13:$C$15,BM$13:BM$15),1)</f>
        <v>0</v>
      </c>
    </row>
    <row r="465" spans="2:65" ht="15" customHeight="1">
      <c r="B465" s="12" t="str">
        <f t="shared" si="156"/>
        <v>Продукт 6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Предпосылки!D$247*Предпосылки!$W258*Продажи!E23*E$19*(1+Чувствительность!$D$20)*IFERROR(LOOKUP(Предпосылки!$H$220,$C$13:$C$15,E$13:E$15),1)</f>
        <v>0</v>
      </c>
      <c s="125">
        <f>Предпосылки!E$247*Предпосылки!$W258*Продажи!F23*F$19*(1+Чувствительность!$D$20)*IFERROR(LOOKUP(Предпосылки!$H$220,$C$13:$C$15,F$13:F$15),1)</f>
        <v>0</v>
      </c>
      <c s="125">
        <f>Предпосылки!F$247*Предпосылки!$W258*Продажи!G23*G$19*(1+Чувствительность!$D$20)*IFERROR(LOOKUP(Предпосылки!$H$220,$C$13:$C$15,G$13:G$15),1)</f>
        <v>0</v>
      </c>
      <c s="125">
        <f>Предпосылки!G$247*Предпосылки!$W258*Продажи!H23*H$19*(1+Чувствительность!$D$20)*IFERROR(LOOKUP(Предпосылки!$H$220,$C$13:$C$15,H$13:H$15),1)</f>
        <v>0</v>
      </c>
      <c s="125">
        <f>Предпосылки!H$247*Предпосылки!$W258*Продажи!I23*I$19*(1+Чувствительность!$D$20)*IFERROR(LOOKUP(Предпосылки!$H$220,$C$13:$C$15,I$13:I$15),1)</f>
        <v>0</v>
      </c>
      <c s="125">
        <f>Предпосылки!I$247*Предпосылки!$W258*Продажи!J23*J$19*(1+Чувствительность!$D$20)*IFERROR(LOOKUP(Предпосылки!$H$220,$C$13:$C$15,J$13:J$15),1)</f>
        <v>0</v>
      </c>
      <c s="125">
        <f>Предпосылки!J$247*Предпосылки!$W258*Продажи!K23*K$19*(1+Чувствительность!$D$20)*IFERROR(LOOKUP(Предпосылки!$H$220,$C$13:$C$15,K$13:K$15),1)</f>
        <v>0</v>
      </c>
      <c s="125">
        <f>Предпосылки!K$247*Предпосылки!$W258*Продажи!L23*L$19*(1+Чувствительность!$D$20)*IFERROR(LOOKUP(Предпосылки!$H$220,$C$13:$C$15,L$13:L$15),1)</f>
        <v>0</v>
      </c>
      <c s="125">
        <f>Предпосылки!L$247*Предпосылки!$W258*Продажи!M23*M$19*(1+Чувствительность!$D$20)*IFERROR(LOOKUP(Предпосылки!$H$220,$C$13:$C$15,M$13:M$15),1)</f>
        <v>0</v>
      </c>
      <c s="125">
        <f>Предпосылки!M$247*Предпосылки!$W258*Продажи!N23*N$19*(1+Чувствительность!$D$20)*IFERROR(LOOKUP(Предпосылки!$H$220,$C$13:$C$15,N$13:N$15),1)</f>
        <v>0</v>
      </c>
      <c s="125">
        <f>Предпосылки!N$247*Предпосылки!$W258*Продажи!O23*O$19*(1+Чувствительность!$D$20)*IFERROR(LOOKUP(Предпосылки!$H$220,$C$13:$C$15,O$13:O$15),1)</f>
        <v>0</v>
      </c>
      <c s="125">
        <f>Предпосылки!O$247*Предпосылки!$W258*Продажи!P23*P$19*(1+Чувствительность!$D$20)*IFERROR(LOOKUP(Предпосылки!$H$220,$C$13:$C$15,P$13:P$15),1)</f>
        <v>0</v>
      </c>
      <c s="125">
        <f>Предпосылки!P$247*Предпосылки!$W258*Продажи!Q23*Q$19*(1+Чувствительность!$D$20)*IFERROR(LOOKUP(Предпосылки!$H$220,$C$13:$C$15,Q$13:Q$15),1)</f>
        <v>0</v>
      </c>
      <c s="125">
        <f>Предпосылки!Q$247*Предпосылки!$W258*Продажи!R23*R$19*(1+Чувствительность!$D$20)*IFERROR(LOOKUP(Предпосылки!$H$220,$C$13:$C$15,R$13:R$15),1)</f>
        <v>0</v>
      </c>
      <c s="125">
        <f>Предпосылки!R$247*Предпосылки!$W258*Продажи!S23*S$19*(1+Чувствительность!$D$20)*IFERROR(LOOKUP(Предпосылки!$H$220,$C$13:$C$15,S$13:S$15),1)</f>
        <v>0</v>
      </c>
      <c s="125">
        <f>Предпосылки!S$247*Предпосылки!$W258*Продажи!T23*T$19*(1+Чувствительность!$D$20)*IFERROR(LOOKUP(Предпосылки!$H$220,$C$13:$C$15,T$13:T$15),1)</f>
        <v>0</v>
      </c>
      <c s="125">
        <f>Предпосылки!T$247*Предпосылки!$W258*Продажи!U23*U$19*(1+Чувствительность!$D$20)*IFERROR(LOOKUP(Предпосылки!$H$220,$C$13:$C$15,U$13:U$15),1)</f>
        <v>0</v>
      </c>
      <c s="125">
        <f>Предпосылки!U$247*Предпосылки!$W258*Продажи!V23*V$19*(1+Чувствительность!$D$20)*IFERROR(LOOKUP(Предпосылки!$H$220,$C$13:$C$15,V$13:V$15),1)</f>
        <v>0</v>
      </c>
      <c s="125">
        <f>Предпосылки!V$247*Предпосылки!$W258*Продажи!W23*W$19*(1+Чувствительность!$D$20)*IFERROR(LOOKUP(Предпосылки!$H$220,$C$13:$C$15,W$13:W$15),1)</f>
        <v>0</v>
      </c>
      <c s="125">
        <f>Предпосылки!W$247*Предпосылки!$W258*Продажи!X23*X$19*(1+Чувствительность!$D$20)*IFERROR(LOOKUP(Предпосылки!$H$220,$C$13:$C$15,X$13:X$15),1)</f>
        <v>0</v>
      </c>
      <c s="125">
        <f>Предпосылки!X$247*Предпосылки!$W258*Продажи!Y23*Y$19*(1+Чувствительность!$D$20)*IFERROR(LOOKUP(Предпосылки!$H$220,$C$13:$C$15,Y$13:Y$15),1)</f>
        <v>0</v>
      </c>
      <c s="125">
        <f>Предпосылки!Y$247*Предпосылки!$W258*Продажи!Z23*Z$19*(1+Чувствительность!$D$20)*IFERROR(LOOKUP(Предпосылки!$H$220,$C$13:$C$15,Z$13:Z$15),1)</f>
        <v>0</v>
      </c>
      <c s="125">
        <f>Предпосылки!Z$247*Предпосылки!$W258*Продажи!AA23*AA$19*(1+Чувствительность!$D$20)*IFERROR(LOOKUP(Предпосылки!$H$220,$C$13:$C$15,AA$13:AA$15),1)</f>
        <v>0</v>
      </c>
      <c s="125">
        <f>Предпосылки!AA$247*Предпосылки!$W258*Продажи!AB23*AB$19*(1+Чувствительность!$D$20)*IFERROR(LOOKUP(Предпосылки!$H$220,$C$13:$C$15,AB$13:AB$15),1)</f>
        <v>0</v>
      </c>
      <c s="125">
        <f>Предпосылки!AB$247*Предпосылки!$W258*Продажи!AC23*AC$19*(1+Чувствительность!$D$20)*IFERROR(LOOKUP(Предпосылки!$H$220,$C$13:$C$15,AC$13:AC$15),1)</f>
        <v>0</v>
      </c>
      <c s="125">
        <f>Предпосылки!AC$247*Предпосылки!$W258*Продажи!AD23*AD$19*(1+Чувствительность!$D$20)*IFERROR(LOOKUP(Предпосылки!$H$220,$C$13:$C$15,AD$13:AD$15),1)</f>
        <v>0</v>
      </c>
      <c s="125">
        <f>Предпосылки!AD$247*Предпосылки!$W258*Продажи!AE23*AE$19*(1+Чувствительность!$D$20)*IFERROR(LOOKUP(Предпосылки!$H$220,$C$13:$C$15,AE$13:AE$15),1)</f>
        <v>0</v>
      </c>
      <c s="125">
        <f>Предпосылки!AE$247*Предпосылки!$W258*Продажи!AF23*AF$19*(1+Чувствительность!$D$20)*IFERROR(LOOKUP(Предпосылки!$H$220,$C$13:$C$15,AF$13:AF$15),1)</f>
        <v>0</v>
      </c>
      <c s="125">
        <f>Предпосылки!AF$247*Предпосылки!$W258*Продажи!AG23*AG$19*(1+Чувствительность!$D$20)*IFERROR(LOOKUP(Предпосылки!$H$220,$C$13:$C$15,AG$13:AG$15),1)</f>
        <v>0</v>
      </c>
      <c s="125">
        <f>Предпосылки!AG$247*Предпосылки!$W258*Продажи!AH23*AH$19*(1+Чувствительность!$D$20)*IFERROR(LOOKUP(Предпосылки!$H$220,$C$13:$C$15,AH$13:AH$15),1)</f>
        <v>0</v>
      </c>
      <c s="125">
        <f>Предпосылки!AH$247*Предпосылки!$W258*Продажи!AI23*AI$19*(1+Чувствительность!$D$20)*IFERROR(LOOKUP(Предпосылки!$H$220,$C$13:$C$15,AI$13:AI$15),1)</f>
        <v>0</v>
      </c>
      <c s="125">
        <f>Предпосылки!AI$247*Предпосылки!$W258*Продажи!AJ23*AJ$19*(1+Чувствительность!$D$20)*IFERROR(LOOKUP(Предпосылки!$H$220,$C$13:$C$15,AJ$13:AJ$15),1)</f>
        <v>0</v>
      </c>
      <c s="125">
        <f>Предпосылки!AJ$247*Предпосылки!$W258*Продажи!AK23*AK$19*(1+Чувствительность!$D$20)*IFERROR(LOOKUP(Предпосылки!$H$220,$C$13:$C$15,AK$13:AK$15),1)</f>
        <v>0</v>
      </c>
      <c s="125">
        <f>Предпосылки!AK$247*Предпосылки!$W258*Продажи!AL23*AL$19*(1+Чувствительность!$D$20)*IFERROR(LOOKUP(Предпосылки!$H$220,$C$13:$C$15,AL$13:AL$15),1)</f>
        <v>0</v>
      </c>
      <c s="125">
        <f>Предпосылки!AL$247*Предпосылки!$W258*Продажи!AM23*AM$19*(1+Чувствительность!$D$20)*IFERROR(LOOKUP(Предпосылки!$H$220,$C$13:$C$15,AM$13:AM$15),1)</f>
        <v>0</v>
      </c>
      <c s="125">
        <f>Предпосылки!AM$247*Предпосылки!$W258*Продажи!AN23*AN$19*(1+Чувствительность!$D$20)*IFERROR(LOOKUP(Предпосылки!$H$220,$C$13:$C$15,AN$13:AN$15),1)</f>
        <v>0</v>
      </c>
      <c s="125">
        <f>Предпосылки!AN$247*Предпосылки!$W258*Продажи!AO23*AO$19*(1+Чувствительность!$D$20)*IFERROR(LOOKUP(Предпосылки!$H$220,$C$13:$C$15,AO$13:AO$15),1)</f>
        <v>0</v>
      </c>
      <c s="125">
        <f>Предпосылки!AO$247*Предпосылки!$W258*Продажи!AP23*AP$19*(1+Чувствительность!$D$20)*IFERROR(LOOKUP(Предпосылки!$H$220,$C$13:$C$15,AP$13:AP$15),1)</f>
        <v>0</v>
      </c>
      <c s="125">
        <f>Предпосылки!AP$247*Предпосылки!$W258*Продажи!AQ23*AQ$19*(1+Чувствительность!$D$20)*IFERROR(LOOKUP(Предпосылки!$H$220,$C$13:$C$15,AQ$13:AQ$15),1)</f>
        <v>0</v>
      </c>
      <c s="125">
        <f>Предпосылки!AQ$247*Предпосылки!$W258*Продажи!AR23*AR$19*(1+Чувствительность!$D$20)*IFERROR(LOOKUP(Предпосылки!$H$220,$C$13:$C$15,AR$13:AR$15),1)</f>
        <v>0</v>
      </c>
      <c s="125">
        <f>Предпосылки!AR$247*Предпосылки!$W258*Продажи!AS23*AS$19*(1+Чувствительность!$D$20)*IFERROR(LOOKUP(Предпосылки!$H$220,$C$13:$C$15,AS$13:AS$15),1)</f>
        <v>0</v>
      </c>
      <c s="125">
        <f>Предпосылки!AS$247*Предпосылки!$W258*Продажи!AT23*AT$19*(1+Чувствительность!$D$20)*IFERROR(LOOKUP(Предпосылки!$H$220,$C$13:$C$15,AT$13:AT$15),1)</f>
        <v>0</v>
      </c>
      <c s="125">
        <f>Предпосылки!AT$247*Предпосылки!$W258*Продажи!AU23*AU$19*(1+Чувствительность!$D$20)*IFERROR(LOOKUP(Предпосылки!$H$220,$C$13:$C$15,AU$13:AU$15),1)</f>
        <v>0</v>
      </c>
      <c s="125">
        <f>Предпосылки!AU$247*Предпосылки!$W258*Продажи!AV23*AV$19*(1+Чувствительность!$D$20)*IFERROR(LOOKUP(Предпосылки!$H$220,$C$13:$C$15,AV$13:AV$15),1)</f>
        <v>0</v>
      </c>
      <c s="125">
        <f>Предпосылки!AV$247*Предпосылки!$W258*Продажи!AW23*AW$19*(1+Чувствительность!$D$20)*IFERROR(LOOKUP(Предпосылки!$H$220,$C$13:$C$15,AW$13:AW$15),1)</f>
        <v>0</v>
      </c>
      <c s="125">
        <f>Предпосылки!AW$247*Предпосылки!$W258*Продажи!AX23*AX$19*(1+Чувствительность!$D$20)*IFERROR(LOOKUP(Предпосылки!$H$220,$C$13:$C$15,AX$13:AX$15),1)</f>
        <v>0</v>
      </c>
      <c s="125">
        <f>Предпосылки!AX$247*Предпосылки!$W258*Продажи!AY23*AY$19*(1+Чувствительность!$D$20)*IFERROR(LOOKUP(Предпосылки!$H$220,$C$13:$C$15,AY$13:AY$15),1)</f>
        <v>0</v>
      </c>
      <c s="125">
        <f>Предпосылки!AY$247*Предпосылки!$W258*Продажи!AZ23*AZ$19*(1+Чувствительность!$D$20)*IFERROR(LOOKUP(Предпосылки!$H$220,$C$13:$C$15,AZ$13:AZ$15),1)</f>
        <v>0</v>
      </c>
      <c s="125">
        <f>Предпосылки!AZ$247*Предпосылки!$W258*Продажи!BA23*BA$19*(1+Чувствительность!$D$20)*IFERROR(LOOKUP(Предпосылки!$H$220,$C$13:$C$15,BA$13:BA$15),1)</f>
        <v>0</v>
      </c>
      <c s="125">
        <f>Предпосылки!BA$247*Предпосылки!$W258*Продажи!BB23*BB$19*(1+Чувствительность!$D$20)*IFERROR(LOOKUP(Предпосылки!$H$220,$C$13:$C$15,BB$13:BB$15),1)</f>
        <v>0</v>
      </c>
      <c s="125">
        <f>Предпосылки!BB$247*Предпосылки!$W258*Продажи!BC23*BC$19*(1+Чувствительность!$D$20)*IFERROR(LOOKUP(Предпосылки!$H$220,$C$13:$C$15,BC$13:BC$15),1)</f>
        <v>0</v>
      </c>
      <c s="125">
        <f>Предпосылки!BC$247*Предпосылки!$W258*Продажи!BD23*BD$19*(1+Чувствительность!$D$20)*IFERROR(LOOKUP(Предпосылки!$H$220,$C$13:$C$15,BD$13:BD$15),1)</f>
        <v>0</v>
      </c>
      <c s="125">
        <f>Предпосылки!BD$247*Предпосылки!$W258*Продажи!BE23*BE$19*(1+Чувствительность!$D$20)*IFERROR(LOOKUP(Предпосылки!$H$220,$C$13:$C$15,BE$13:BE$15),1)</f>
        <v>0</v>
      </c>
      <c s="125">
        <f>Предпосылки!BE$247*Предпосылки!$W258*Продажи!BF23*BF$19*(1+Чувствительность!$D$20)*IFERROR(LOOKUP(Предпосылки!$H$220,$C$13:$C$15,BF$13:BF$15),1)</f>
        <v>0</v>
      </c>
      <c s="125">
        <f>Предпосылки!BF$247*Предпосылки!$W258*Продажи!BG23*BG$19*(1+Чувствительность!$D$20)*IFERROR(LOOKUP(Предпосылки!$H$220,$C$13:$C$15,BG$13:BG$15),1)</f>
        <v>0</v>
      </c>
      <c s="125">
        <f>Предпосылки!BG$247*Предпосылки!$W258*Продажи!BH23*BH$19*(1+Чувствительность!$D$20)*IFERROR(LOOKUP(Предпосылки!$H$220,$C$13:$C$15,BH$13:BH$15),1)</f>
        <v>0</v>
      </c>
      <c s="125">
        <f>Предпосылки!BH$247*Предпосылки!$W258*Продажи!BI23*BI$19*(1+Чувствительность!$D$20)*IFERROR(LOOKUP(Предпосылки!$H$220,$C$13:$C$15,BI$13:BI$15),1)</f>
        <v>0</v>
      </c>
      <c s="125">
        <f>Предпосылки!BI$247*Предпосылки!$W258*Продажи!BJ23*BJ$19*(1+Чувствительность!$D$20)*IFERROR(LOOKUP(Предпосылки!$H$220,$C$13:$C$15,BJ$13:BJ$15),1)</f>
        <v>0</v>
      </c>
      <c s="125">
        <f>Предпосылки!BJ$247*Предпосылки!$W258*Продажи!BK23*BK$19*(1+Чувствительность!$D$20)*IFERROR(LOOKUP(Предпосылки!$H$220,$C$13:$C$15,BK$13:BK$15),1)</f>
        <v>0</v>
      </c>
      <c s="125">
        <f>Предпосылки!BK$247*Предпосылки!$W258*Продажи!BL23*BL$19*(1+Чувствительность!$D$20)*IFERROR(LOOKUP(Предпосылки!$H$220,$C$13:$C$15,BL$13:BL$15),1)</f>
        <v>0</v>
      </c>
      <c s="125">
        <f>Предпосылки!BL$247*Предпосылки!$W258*Продажи!BM23*BM$19*(1+Чувствительность!$D$20)*IFERROR(LOOKUP(Предпосылки!$H$220,$C$13:$C$15,BM$13:BM$15),1)</f>
        <v>0</v>
      </c>
    </row>
    <row r="466" spans="2:65" ht="15" customHeight="1">
      <c r="B466" s="12" t="str">
        <f t="shared" si="156"/>
        <v>Продукт 7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Предпосылки!D$247*Предпосылки!$W259*Продажи!E24*E$19*(1+Чувствительность!$D$20)*IFERROR(LOOKUP(Предпосылки!$H$220,$C$13:$C$15,E$13:E$15),1)</f>
        <v>0</v>
      </c>
      <c s="125">
        <f>Предпосылки!E$247*Предпосылки!$W259*Продажи!F24*F$19*(1+Чувствительность!$D$20)*IFERROR(LOOKUP(Предпосылки!$H$220,$C$13:$C$15,F$13:F$15),1)</f>
        <v>0</v>
      </c>
      <c s="125">
        <f>Предпосылки!F$247*Предпосылки!$W259*Продажи!G24*G$19*(1+Чувствительность!$D$20)*IFERROR(LOOKUP(Предпосылки!$H$220,$C$13:$C$15,G$13:G$15),1)</f>
        <v>0</v>
      </c>
      <c s="125">
        <f>Предпосылки!G$247*Предпосылки!$W259*Продажи!H24*H$19*(1+Чувствительность!$D$20)*IFERROR(LOOKUP(Предпосылки!$H$220,$C$13:$C$15,H$13:H$15),1)</f>
        <v>0</v>
      </c>
      <c s="125">
        <f>Предпосылки!H$247*Предпосылки!$W259*Продажи!I24*I$19*(1+Чувствительность!$D$20)*IFERROR(LOOKUP(Предпосылки!$H$220,$C$13:$C$15,I$13:I$15),1)</f>
        <v>0</v>
      </c>
      <c s="125">
        <f>Предпосылки!I$247*Предпосылки!$W259*Продажи!J24*J$19*(1+Чувствительность!$D$20)*IFERROR(LOOKUP(Предпосылки!$H$220,$C$13:$C$15,J$13:J$15),1)</f>
        <v>0</v>
      </c>
      <c s="125">
        <f>Предпосылки!J$247*Предпосылки!$W259*Продажи!K24*K$19*(1+Чувствительность!$D$20)*IFERROR(LOOKUP(Предпосылки!$H$220,$C$13:$C$15,K$13:K$15),1)</f>
        <v>0</v>
      </c>
      <c s="125">
        <f>Предпосылки!K$247*Предпосылки!$W259*Продажи!L24*L$19*(1+Чувствительность!$D$20)*IFERROR(LOOKUP(Предпосылки!$H$220,$C$13:$C$15,L$13:L$15),1)</f>
        <v>0</v>
      </c>
      <c s="125">
        <f>Предпосылки!L$247*Предпосылки!$W259*Продажи!M24*M$19*(1+Чувствительность!$D$20)*IFERROR(LOOKUP(Предпосылки!$H$220,$C$13:$C$15,M$13:M$15),1)</f>
        <v>0</v>
      </c>
      <c s="125">
        <f>Предпосылки!M$247*Предпосылки!$W259*Продажи!N24*N$19*(1+Чувствительность!$D$20)*IFERROR(LOOKUP(Предпосылки!$H$220,$C$13:$C$15,N$13:N$15),1)</f>
        <v>0</v>
      </c>
      <c s="125">
        <f>Предпосылки!N$247*Предпосылки!$W259*Продажи!O24*O$19*(1+Чувствительность!$D$20)*IFERROR(LOOKUP(Предпосылки!$H$220,$C$13:$C$15,O$13:O$15),1)</f>
        <v>0</v>
      </c>
      <c s="125">
        <f>Предпосылки!O$247*Предпосылки!$W259*Продажи!P24*P$19*(1+Чувствительность!$D$20)*IFERROR(LOOKUP(Предпосылки!$H$220,$C$13:$C$15,P$13:P$15),1)</f>
        <v>0</v>
      </c>
      <c s="125">
        <f>Предпосылки!P$247*Предпосылки!$W259*Продажи!Q24*Q$19*(1+Чувствительность!$D$20)*IFERROR(LOOKUP(Предпосылки!$H$220,$C$13:$C$15,Q$13:Q$15),1)</f>
        <v>0</v>
      </c>
      <c s="125">
        <f>Предпосылки!Q$247*Предпосылки!$W259*Продажи!R24*R$19*(1+Чувствительность!$D$20)*IFERROR(LOOKUP(Предпосылки!$H$220,$C$13:$C$15,R$13:R$15),1)</f>
        <v>0</v>
      </c>
      <c s="125">
        <f>Предпосылки!R$247*Предпосылки!$W259*Продажи!S24*S$19*(1+Чувствительность!$D$20)*IFERROR(LOOKUP(Предпосылки!$H$220,$C$13:$C$15,S$13:S$15),1)</f>
        <v>0</v>
      </c>
      <c s="125">
        <f>Предпосылки!S$247*Предпосылки!$W259*Продажи!T24*T$19*(1+Чувствительность!$D$20)*IFERROR(LOOKUP(Предпосылки!$H$220,$C$13:$C$15,T$13:T$15),1)</f>
        <v>0</v>
      </c>
      <c s="125">
        <f>Предпосылки!T$247*Предпосылки!$W259*Продажи!U24*U$19*(1+Чувствительность!$D$20)*IFERROR(LOOKUP(Предпосылки!$H$220,$C$13:$C$15,U$13:U$15),1)</f>
        <v>0</v>
      </c>
      <c s="125">
        <f>Предпосылки!U$247*Предпосылки!$W259*Продажи!V24*V$19*(1+Чувствительность!$D$20)*IFERROR(LOOKUP(Предпосылки!$H$220,$C$13:$C$15,V$13:V$15),1)</f>
        <v>0</v>
      </c>
      <c s="125">
        <f>Предпосылки!V$247*Предпосылки!$W259*Продажи!W24*W$19*(1+Чувствительность!$D$20)*IFERROR(LOOKUP(Предпосылки!$H$220,$C$13:$C$15,W$13:W$15),1)</f>
        <v>0</v>
      </c>
      <c s="125">
        <f>Предпосылки!W$247*Предпосылки!$W259*Продажи!X24*X$19*(1+Чувствительность!$D$20)*IFERROR(LOOKUP(Предпосылки!$H$220,$C$13:$C$15,X$13:X$15),1)</f>
        <v>0</v>
      </c>
      <c s="125">
        <f>Предпосылки!X$247*Предпосылки!$W259*Продажи!Y24*Y$19*(1+Чувствительность!$D$20)*IFERROR(LOOKUP(Предпосылки!$H$220,$C$13:$C$15,Y$13:Y$15),1)</f>
        <v>0</v>
      </c>
      <c s="125">
        <f>Предпосылки!Y$247*Предпосылки!$W259*Продажи!Z24*Z$19*(1+Чувствительность!$D$20)*IFERROR(LOOKUP(Предпосылки!$H$220,$C$13:$C$15,Z$13:Z$15),1)</f>
        <v>0</v>
      </c>
      <c s="125">
        <f>Предпосылки!Z$247*Предпосылки!$W259*Продажи!AA24*AA$19*(1+Чувствительность!$D$20)*IFERROR(LOOKUP(Предпосылки!$H$220,$C$13:$C$15,AA$13:AA$15),1)</f>
        <v>0</v>
      </c>
      <c s="125">
        <f>Предпосылки!AA$247*Предпосылки!$W259*Продажи!AB24*AB$19*(1+Чувствительность!$D$20)*IFERROR(LOOKUP(Предпосылки!$H$220,$C$13:$C$15,AB$13:AB$15),1)</f>
        <v>0</v>
      </c>
      <c s="125">
        <f>Предпосылки!AB$247*Предпосылки!$W259*Продажи!AC24*AC$19*(1+Чувствительность!$D$20)*IFERROR(LOOKUP(Предпосылки!$H$220,$C$13:$C$15,AC$13:AC$15),1)</f>
        <v>0</v>
      </c>
      <c s="125">
        <f>Предпосылки!AC$247*Предпосылки!$W259*Продажи!AD24*AD$19*(1+Чувствительность!$D$20)*IFERROR(LOOKUP(Предпосылки!$H$220,$C$13:$C$15,AD$13:AD$15),1)</f>
        <v>0</v>
      </c>
      <c s="125">
        <f>Предпосылки!AD$247*Предпосылки!$W259*Продажи!AE24*AE$19*(1+Чувствительность!$D$20)*IFERROR(LOOKUP(Предпосылки!$H$220,$C$13:$C$15,AE$13:AE$15),1)</f>
        <v>0</v>
      </c>
      <c s="125">
        <f>Предпосылки!AE$247*Предпосылки!$W259*Продажи!AF24*AF$19*(1+Чувствительность!$D$20)*IFERROR(LOOKUP(Предпосылки!$H$220,$C$13:$C$15,AF$13:AF$15),1)</f>
        <v>0</v>
      </c>
      <c s="125">
        <f>Предпосылки!AF$247*Предпосылки!$W259*Продажи!AG24*AG$19*(1+Чувствительность!$D$20)*IFERROR(LOOKUP(Предпосылки!$H$220,$C$13:$C$15,AG$13:AG$15),1)</f>
        <v>0</v>
      </c>
      <c s="125">
        <f>Предпосылки!AG$247*Предпосылки!$W259*Продажи!AH24*AH$19*(1+Чувствительность!$D$20)*IFERROR(LOOKUP(Предпосылки!$H$220,$C$13:$C$15,AH$13:AH$15),1)</f>
        <v>0</v>
      </c>
      <c s="125">
        <f>Предпосылки!AH$247*Предпосылки!$W259*Продажи!AI24*AI$19*(1+Чувствительность!$D$20)*IFERROR(LOOKUP(Предпосылки!$H$220,$C$13:$C$15,AI$13:AI$15),1)</f>
        <v>0</v>
      </c>
      <c s="125">
        <f>Предпосылки!AI$247*Предпосылки!$W259*Продажи!AJ24*AJ$19*(1+Чувствительность!$D$20)*IFERROR(LOOKUP(Предпосылки!$H$220,$C$13:$C$15,AJ$13:AJ$15),1)</f>
        <v>0</v>
      </c>
      <c s="125">
        <f>Предпосылки!AJ$247*Предпосылки!$W259*Продажи!AK24*AK$19*(1+Чувствительность!$D$20)*IFERROR(LOOKUP(Предпосылки!$H$220,$C$13:$C$15,AK$13:AK$15),1)</f>
        <v>0</v>
      </c>
      <c s="125">
        <f>Предпосылки!AK$247*Предпосылки!$W259*Продажи!AL24*AL$19*(1+Чувствительность!$D$20)*IFERROR(LOOKUP(Предпосылки!$H$220,$C$13:$C$15,AL$13:AL$15),1)</f>
        <v>0</v>
      </c>
      <c s="125">
        <f>Предпосылки!AL$247*Предпосылки!$W259*Продажи!AM24*AM$19*(1+Чувствительность!$D$20)*IFERROR(LOOKUP(Предпосылки!$H$220,$C$13:$C$15,AM$13:AM$15),1)</f>
        <v>0</v>
      </c>
      <c s="125">
        <f>Предпосылки!AM$247*Предпосылки!$W259*Продажи!AN24*AN$19*(1+Чувствительность!$D$20)*IFERROR(LOOKUP(Предпосылки!$H$220,$C$13:$C$15,AN$13:AN$15),1)</f>
        <v>0</v>
      </c>
      <c s="125">
        <f>Предпосылки!AN$247*Предпосылки!$W259*Продажи!AO24*AO$19*(1+Чувствительность!$D$20)*IFERROR(LOOKUP(Предпосылки!$H$220,$C$13:$C$15,AO$13:AO$15),1)</f>
        <v>0</v>
      </c>
      <c s="125">
        <f>Предпосылки!AO$247*Предпосылки!$W259*Продажи!AP24*AP$19*(1+Чувствительность!$D$20)*IFERROR(LOOKUP(Предпосылки!$H$220,$C$13:$C$15,AP$13:AP$15),1)</f>
        <v>0</v>
      </c>
      <c s="125">
        <f>Предпосылки!AP$247*Предпосылки!$W259*Продажи!AQ24*AQ$19*(1+Чувствительность!$D$20)*IFERROR(LOOKUP(Предпосылки!$H$220,$C$13:$C$15,AQ$13:AQ$15),1)</f>
        <v>0</v>
      </c>
      <c s="125">
        <f>Предпосылки!AQ$247*Предпосылки!$W259*Продажи!AR24*AR$19*(1+Чувствительность!$D$20)*IFERROR(LOOKUP(Предпосылки!$H$220,$C$13:$C$15,AR$13:AR$15),1)</f>
        <v>0</v>
      </c>
      <c s="125">
        <f>Предпосылки!AR$247*Предпосылки!$W259*Продажи!AS24*AS$19*(1+Чувствительность!$D$20)*IFERROR(LOOKUP(Предпосылки!$H$220,$C$13:$C$15,AS$13:AS$15),1)</f>
        <v>0</v>
      </c>
      <c s="125">
        <f>Предпосылки!AS$247*Предпосылки!$W259*Продажи!AT24*AT$19*(1+Чувствительность!$D$20)*IFERROR(LOOKUP(Предпосылки!$H$220,$C$13:$C$15,AT$13:AT$15),1)</f>
        <v>0</v>
      </c>
      <c s="125">
        <f>Предпосылки!AT$247*Предпосылки!$W259*Продажи!AU24*AU$19*(1+Чувствительность!$D$20)*IFERROR(LOOKUP(Предпосылки!$H$220,$C$13:$C$15,AU$13:AU$15),1)</f>
        <v>0</v>
      </c>
      <c s="125">
        <f>Предпосылки!AU$247*Предпосылки!$W259*Продажи!AV24*AV$19*(1+Чувствительность!$D$20)*IFERROR(LOOKUP(Предпосылки!$H$220,$C$13:$C$15,AV$13:AV$15),1)</f>
        <v>0</v>
      </c>
      <c s="125">
        <f>Предпосылки!AV$247*Предпосылки!$W259*Продажи!AW24*AW$19*(1+Чувствительность!$D$20)*IFERROR(LOOKUP(Предпосылки!$H$220,$C$13:$C$15,AW$13:AW$15),1)</f>
        <v>0</v>
      </c>
      <c s="125">
        <f>Предпосылки!AW$247*Предпосылки!$W259*Продажи!AX24*AX$19*(1+Чувствительность!$D$20)*IFERROR(LOOKUP(Предпосылки!$H$220,$C$13:$C$15,AX$13:AX$15),1)</f>
        <v>0</v>
      </c>
      <c s="125">
        <f>Предпосылки!AX$247*Предпосылки!$W259*Продажи!AY24*AY$19*(1+Чувствительность!$D$20)*IFERROR(LOOKUP(Предпосылки!$H$220,$C$13:$C$15,AY$13:AY$15),1)</f>
        <v>0</v>
      </c>
      <c s="125">
        <f>Предпосылки!AY$247*Предпосылки!$W259*Продажи!AZ24*AZ$19*(1+Чувствительность!$D$20)*IFERROR(LOOKUP(Предпосылки!$H$220,$C$13:$C$15,AZ$13:AZ$15),1)</f>
        <v>0</v>
      </c>
      <c s="125">
        <f>Предпосылки!AZ$247*Предпосылки!$W259*Продажи!BA24*BA$19*(1+Чувствительность!$D$20)*IFERROR(LOOKUP(Предпосылки!$H$220,$C$13:$C$15,BA$13:BA$15),1)</f>
        <v>0</v>
      </c>
      <c s="125">
        <f>Предпосылки!BA$247*Предпосылки!$W259*Продажи!BB24*BB$19*(1+Чувствительность!$D$20)*IFERROR(LOOKUP(Предпосылки!$H$220,$C$13:$C$15,BB$13:BB$15),1)</f>
        <v>0</v>
      </c>
      <c s="125">
        <f>Предпосылки!BB$247*Предпосылки!$W259*Продажи!BC24*BC$19*(1+Чувствительность!$D$20)*IFERROR(LOOKUP(Предпосылки!$H$220,$C$13:$C$15,BC$13:BC$15),1)</f>
        <v>0</v>
      </c>
      <c s="125">
        <f>Предпосылки!BC$247*Предпосылки!$W259*Продажи!BD24*BD$19*(1+Чувствительность!$D$20)*IFERROR(LOOKUP(Предпосылки!$H$220,$C$13:$C$15,BD$13:BD$15),1)</f>
        <v>0</v>
      </c>
      <c s="125">
        <f>Предпосылки!BD$247*Предпосылки!$W259*Продажи!BE24*BE$19*(1+Чувствительность!$D$20)*IFERROR(LOOKUP(Предпосылки!$H$220,$C$13:$C$15,BE$13:BE$15),1)</f>
        <v>0</v>
      </c>
      <c s="125">
        <f>Предпосылки!BE$247*Предпосылки!$W259*Продажи!BF24*BF$19*(1+Чувствительность!$D$20)*IFERROR(LOOKUP(Предпосылки!$H$220,$C$13:$C$15,BF$13:BF$15),1)</f>
        <v>0</v>
      </c>
      <c s="125">
        <f>Предпосылки!BF$247*Предпосылки!$W259*Продажи!BG24*BG$19*(1+Чувствительность!$D$20)*IFERROR(LOOKUP(Предпосылки!$H$220,$C$13:$C$15,BG$13:BG$15),1)</f>
        <v>0</v>
      </c>
      <c s="125">
        <f>Предпосылки!BG$247*Предпосылки!$W259*Продажи!BH24*BH$19*(1+Чувствительность!$D$20)*IFERROR(LOOKUP(Предпосылки!$H$220,$C$13:$C$15,BH$13:BH$15),1)</f>
        <v>0</v>
      </c>
      <c s="125">
        <f>Предпосылки!BH$247*Предпосылки!$W259*Продажи!BI24*BI$19*(1+Чувствительность!$D$20)*IFERROR(LOOKUP(Предпосылки!$H$220,$C$13:$C$15,BI$13:BI$15),1)</f>
        <v>0</v>
      </c>
      <c s="125">
        <f>Предпосылки!BI$247*Предпосылки!$W259*Продажи!BJ24*BJ$19*(1+Чувствительность!$D$20)*IFERROR(LOOKUP(Предпосылки!$H$220,$C$13:$C$15,BJ$13:BJ$15),1)</f>
        <v>0</v>
      </c>
      <c s="125">
        <f>Предпосылки!BJ$247*Предпосылки!$W259*Продажи!BK24*BK$19*(1+Чувствительность!$D$20)*IFERROR(LOOKUP(Предпосылки!$H$220,$C$13:$C$15,BK$13:BK$15),1)</f>
        <v>0</v>
      </c>
      <c s="125">
        <f>Предпосылки!BK$247*Предпосылки!$W259*Продажи!BL24*BL$19*(1+Чувствительность!$D$20)*IFERROR(LOOKUP(Предпосылки!$H$220,$C$13:$C$15,BL$13:BL$15),1)</f>
        <v>0</v>
      </c>
      <c s="125">
        <f>Предпосылки!BL$247*Предпосылки!$W259*Продажи!BM24*BM$19*(1+Чувствительность!$D$20)*IFERROR(LOOKUP(Предпосылки!$H$220,$C$13:$C$15,BM$13:BM$15),1)</f>
        <v>0</v>
      </c>
    </row>
    <row r="467" spans="2:65" ht="15" customHeight="1">
      <c r="B467" s="12" t="str">
        <f t="shared" si="156"/>
        <v>Продукт 8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Предпосылки!D$247*Предпосылки!$W260*Продажи!E25*E$19*(1+Чувствительность!$D$20)*IFERROR(LOOKUP(Предпосылки!$H$220,$C$13:$C$15,E$13:E$15),1)</f>
        <v>0</v>
      </c>
      <c s="125">
        <f>Предпосылки!E$247*Предпосылки!$W260*Продажи!F25*F$19*(1+Чувствительность!$D$20)*IFERROR(LOOKUP(Предпосылки!$H$220,$C$13:$C$15,F$13:F$15),1)</f>
        <v>0</v>
      </c>
      <c s="125">
        <f>Предпосылки!F$247*Предпосылки!$W260*Продажи!G25*G$19*(1+Чувствительность!$D$20)*IFERROR(LOOKUP(Предпосылки!$H$220,$C$13:$C$15,G$13:G$15),1)</f>
        <v>0</v>
      </c>
      <c s="125">
        <f>Предпосылки!G$247*Предпосылки!$W260*Продажи!H25*H$19*(1+Чувствительность!$D$20)*IFERROR(LOOKUP(Предпосылки!$H$220,$C$13:$C$15,H$13:H$15),1)</f>
        <v>0</v>
      </c>
      <c s="125">
        <f>Предпосылки!H$247*Предпосылки!$W260*Продажи!I25*I$19*(1+Чувствительность!$D$20)*IFERROR(LOOKUP(Предпосылки!$H$220,$C$13:$C$15,I$13:I$15),1)</f>
        <v>0</v>
      </c>
      <c s="125">
        <f>Предпосылки!I$247*Предпосылки!$W260*Продажи!J25*J$19*(1+Чувствительность!$D$20)*IFERROR(LOOKUP(Предпосылки!$H$220,$C$13:$C$15,J$13:J$15),1)</f>
        <v>0</v>
      </c>
      <c s="125">
        <f>Предпосылки!J$247*Предпосылки!$W260*Продажи!K25*K$19*(1+Чувствительность!$D$20)*IFERROR(LOOKUP(Предпосылки!$H$220,$C$13:$C$15,K$13:K$15),1)</f>
        <v>0</v>
      </c>
      <c s="125">
        <f>Предпосылки!K$247*Предпосылки!$W260*Продажи!L25*L$19*(1+Чувствительность!$D$20)*IFERROR(LOOKUP(Предпосылки!$H$220,$C$13:$C$15,L$13:L$15),1)</f>
        <v>0</v>
      </c>
      <c s="125">
        <f>Предпосылки!L$247*Предпосылки!$W260*Продажи!M25*M$19*(1+Чувствительность!$D$20)*IFERROR(LOOKUP(Предпосылки!$H$220,$C$13:$C$15,M$13:M$15),1)</f>
        <v>0</v>
      </c>
      <c s="125">
        <f>Предпосылки!M$247*Предпосылки!$W260*Продажи!N25*N$19*(1+Чувствительность!$D$20)*IFERROR(LOOKUP(Предпосылки!$H$220,$C$13:$C$15,N$13:N$15),1)</f>
        <v>0</v>
      </c>
      <c s="125">
        <f>Предпосылки!N$247*Предпосылки!$W260*Продажи!O25*O$19*(1+Чувствительность!$D$20)*IFERROR(LOOKUP(Предпосылки!$H$220,$C$13:$C$15,O$13:O$15),1)</f>
        <v>0</v>
      </c>
      <c s="125">
        <f>Предпосылки!O$247*Предпосылки!$W260*Продажи!P25*P$19*(1+Чувствительность!$D$20)*IFERROR(LOOKUP(Предпосылки!$H$220,$C$13:$C$15,P$13:P$15),1)</f>
        <v>0</v>
      </c>
      <c s="125">
        <f>Предпосылки!P$247*Предпосылки!$W260*Продажи!Q25*Q$19*(1+Чувствительность!$D$20)*IFERROR(LOOKUP(Предпосылки!$H$220,$C$13:$C$15,Q$13:Q$15),1)</f>
        <v>0</v>
      </c>
      <c s="125">
        <f>Предпосылки!Q$247*Предпосылки!$W260*Продажи!R25*R$19*(1+Чувствительность!$D$20)*IFERROR(LOOKUP(Предпосылки!$H$220,$C$13:$C$15,R$13:R$15),1)</f>
        <v>0</v>
      </c>
      <c s="125">
        <f>Предпосылки!R$247*Предпосылки!$W260*Продажи!S25*S$19*(1+Чувствительность!$D$20)*IFERROR(LOOKUP(Предпосылки!$H$220,$C$13:$C$15,S$13:S$15),1)</f>
        <v>0</v>
      </c>
      <c s="125">
        <f>Предпосылки!S$247*Предпосылки!$W260*Продажи!T25*T$19*(1+Чувствительность!$D$20)*IFERROR(LOOKUP(Предпосылки!$H$220,$C$13:$C$15,T$13:T$15),1)</f>
        <v>0</v>
      </c>
      <c s="125">
        <f>Предпосылки!T$247*Предпосылки!$W260*Продажи!U25*U$19*(1+Чувствительность!$D$20)*IFERROR(LOOKUP(Предпосылки!$H$220,$C$13:$C$15,U$13:U$15),1)</f>
        <v>0</v>
      </c>
      <c s="125">
        <f>Предпосылки!U$247*Предпосылки!$W260*Продажи!V25*V$19*(1+Чувствительность!$D$20)*IFERROR(LOOKUP(Предпосылки!$H$220,$C$13:$C$15,V$13:V$15),1)</f>
        <v>0</v>
      </c>
      <c s="125">
        <f>Предпосылки!V$247*Предпосылки!$W260*Продажи!W25*W$19*(1+Чувствительность!$D$20)*IFERROR(LOOKUP(Предпосылки!$H$220,$C$13:$C$15,W$13:W$15),1)</f>
        <v>0</v>
      </c>
      <c s="125">
        <f>Предпосылки!W$247*Предпосылки!$W260*Продажи!X25*X$19*(1+Чувствительность!$D$20)*IFERROR(LOOKUP(Предпосылки!$H$220,$C$13:$C$15,X$13:X$15),1)</f>
        <v>0</v>
      </c>
      <c s="125">
        <f>Предпосылки!X$247*Предпосылки!$W260*Продажи!Y25*Y$19*(1+Чувствительность!$D$20)*IFERROR(LOOKUP(Предпосылки!$H$220,$C$13:$C$15,Y$13:Y$15),1)</f>
        <v>0</v>
      </c>
      <c s="125">
        <f>Предпосылки!Y$247*Предпосылки!$W260*Продажи!Z25*Z$19*(1+Чувствительность!$D$20)*IFERROR(LOOKUP(Предпосылки!$H$220,$C$13:$C$15,Z$13:Z$15),1)</f>
        <v>0</v>
      </c>
      <c s="125">
        <f>Предпосылки!Z$247*Предпосылки!$W260*Продажи!AA25*AA$19*(1+Чувствительность!$D$20)*IFERROR(LOOKUP(Предпосылки!$H$220,$C$13:$C$15,AA$13:AA$15),1)</f>
        <v>0</v>
      </c>
      <c s="125">
        <f>Предпосылки!AA$247*Предпосылки!$W260*Продажи!AB25*AB$19*(1+Чувствительность!$D$20)*IFERROR(LOOKUP(Предпосылки!$H$220,$C$13:$C$15,AB$13:AB$15),1)</f>
        <v>0</v>
      </c>
      <c s="125">
        <f>Предпосылки!AB$247*Предпосылки!$W260*Продажи!AC25*AC$19*(1+Чувствительность!$D$20)*IFERROR(LOOKUP(Предпосылки!$H$220,$C$13:$C$15,AC$13:AC$15),1)</f>
        <v>0</v>
      </c>
      <c s="125">
        <f>Предпосылки!AC$247*Предпосылки!$W260*Продажи!AD25*AD$19*(1+Чувствительность!$D$20)*IFERROR(LOOKUP(Предпосылки!$H$220,$C$13:$C$15,AD$13:AD$15),1)</f>
        <v>0</v>
      </c>
      <c s="125">
        <f>Предпосылки!AD$247*Предпосылки!$W260*Продажи!AE25*AE$19*(1+Чувствительность!$D$20)*IFERROR(LOOKUP(Предпосылки!$H$220,$C$13:$C$15,AE$13:AE$15),1)</f>
        <v>0</v>
      </c>
      <c s="125">
        <f>Предпосылки!AE$247*Предпосылки!$W260*Продажи!AF25*AF$19*(1+Чувствительность!$D$20)*IFERROR(LOOKUP(Предпосылки!$H$220,$C$13:$C$15,AF$13:AF$15),1)</f>
        <v>0</v>
      </c>
      <c s="125">
        <f>Предпосылки!AF$247*Предпосылки!$W260*Продажи!AG25*AG$19*(1+Чувствительность!$D$20)*IFERROR(LOOKUP(Предпосылки!$H$220,$C$13:$C$15,AG$13:AG$15),1)</f>
        <v>0</v>
      </c>
      <c s="125">
        <f>Предпосылки!AG$247*Предпосылки!$W260*Продажи!AH25*AH$19*(1+Чувствительность!$D$20)*IFERROR(LOOKUP(Предпосылки!$H$220,$C$13:$C$15,AH$13:AH$15),1)</f>
        <v>0</v>
      </c>
      <c s="125">
        <f>Предпосылки!AH$247*Предпосылки!$W260*Продажи!AI25*AI$19*(1+Чувствительность!$D$20)*IFERROR(LOOKUP(Предпосылки!$H$220,$C$13:$C$15,AI$13:AI$15),1)</f>
        <v>0</v>
      </c>
      <c s="125">
        <f>Предпосылки!AI$247*Предпосылки!$W260*Продажи!AJ25*AJ$19*(1+Чувствительность!$D$20)*IFERROR(LOOKUP(Предпосылки!$H$220,$C$13:$C$15,AJ$13:AJ$15),1)</f>
        <v>0</v>
      </c>
      <c s="125">
        <f>Предпосылки!AJ$247*Предпосылки!$W260*Продажи!AK25*AK$19*(1+Чувствительность!$D$20)*IFERROR(LOOKUP(Предпосылки!$H$220,$C$13:$C$15,AK$13:AK$15),1)</f>
        <v>0</v>
      </c>
      <c s="125">
        <f>Предпосылки!AK$247*Предпосылки!$W260*Продажи!AL25*AL$19*(1+Чувствительность!$D$20)*IFERROR(LOOKUP(Предпосылки!$H$220,$C$13:$C$15,AL$13:AL$15),1)</f>
        <v>0</v>
      </c>
      <c s="125">
        <f>Предпосылки!AL$247*Предпосылки!$W260*Продажи!AM25*AM$19*(1+Чувствительность!$D$20)*IFERROR(LOOKUP(Предпосылки!$H$220,$C$13:$C$15,AM$13:AM$15),1)</f>
        <v>0</v>
      </c>
      <c s="125">
        <f>Предпосылки!AM$247*Предпосылки!$W260*Продажи!AN25*AN$19*(1+Чувствительность!$D$20)*IFERROR(LOOKUP(Предпосылки!$H$220,$C$13:$C$15,AN$13:AN$15),1)</f>
        <v>0</v>
      </c>
      <c s="125">
        <f>Предпосылки!AN$247*Предпосылки!$W260*Продажи!AO25*AO$19*(1+Чувствительность!$D$20)*IFERROR(LOOKUP(Предпосылки!$H$220,$C$13:$C$15,AO$13:AO$15),1)</f>
        <v>0</v>
      </c>
      <c s="125">
        <f>Предпосылки!AO$247*Предпосылки!$W260*Продажи!AP25*AP$19*(1+Чувствительность!$D$20)*IFERROR(LOOKUP(Предпосылки!$H$220,$C$13:$C$15,AP$13:AP$15),1)</f>
        <v>0</v>
      </c>
      <c s="125">
        <f>Предпосылки!AP$247*Предпосылки!$W260*Продажи!AQ25*AQ$19*(1+Чувствительность!$D$20)*IFERROR(LOOKUP(Предпосылки!$H$220,$C$13:$C$15,AQ$13:AQ$15),1)</f>
        <v>0</v>
      </c>
      <c s="125">
        <f>Предпосылки!AQ$247*Предпосылки!$W260*Продажи!AR25*AR$19*(1+Чувствительность!$D$20)*IFERROR(LOOKUP(Предпосылки!$H$220,$C$13:$C$15,AR$13:AR$15),1)</f>
        <v>0</v>
      </c>
      <c s="125">
        <f>Предпосылки!AR$247*Предпосылки!$W260*Продажи!AS25*AS$19*(1+Чувствительность!$D$20)*IFERROR(LOOKUP(Предпосылки!$H$220,$C$13:$C$15,AS$13:AS$15),1)</f>
        <v>0</v>
      </c>
      <c s="125">
        <f>Предпосылки!AS$247*Предпосылки!$W260*Продажи!AT25*AT$19*(1+Чувствительность!$D$20)*IFERROR(LOOKUP(Предпосылки!$H$220,$C$13:$C$15,AT$13:AT$15),1)</f>
        <v>0</v>
      </c>
      <c s="125">
        <f>Предпосылки!AT$247*Предпосылки!$W260*Продажи!AU25*AU$19*(1+Чувствительность!$D$20)*IFERROR(LOOKUP(Предпосылки!$H$220,$C$13:$C$15,AU$13:AU$15),1)</f>
        <v>0</v>
      </c>
      <c s="125">
        <f>Предпосылки!AU$247*Предпосылки!$W260*Продажи!AV25*AV$19*(1+Чувствительность!$D$20)*IFERROR(LOOKUP(Предпосылки!$H$220,$C$13:$C$15,AV$13:AV$15),1)</f>
        <v>0</v>
      </c>
      <c s="125">
        <f>Предпосылки!AV$247*Предпосылки!$W260*Продажи!AW25*AW$19*(1+Чувствительность!$D$20)*IFERROR(LOOKUP(Предпосылки!$H$220,$C$13:$C$15,AW$13:AW$15),1)</f>
        <v>0</v>
      </c>
      <c s="125">
        <f>Предпосылки!AW$247*Предпосылки!$W260*Продажи!AX25*AX$19*(1+Чувствительность!$D$20)*IFERROR(LOOKUP(Предпосылки!$H$220,$C$13:$C$15,AX$13:AX$15),1)</f>
        <v>0</v>
      </c>
      <c s="125">
        <f>Предпосылки!AX$247*Предпосылки!$W260*Продажи!AY25*AY$19*(1+Чувствительность!$D$20)*IFERROR(LOOKUP(Предпосылки!$H$220,$C$13:$C$15,AY$13:AY$15),1)</f>
        <v>0</v>
      </c>
      <c s="125">
        <f>Предпосылки!AY$247*Предпосылки!$W260*Продажи!AZ25*AZ$19*(1+Чувствительность!$D$20)*IFERROR(LOOKUP(Предпосылки!$H$220,$C$13:$C$15,AZ$13:AZ$15),1)</f>
        <v>0</v>
      </c>
      <c s="125">
        <f>Предпосылки!AZ$247*Предпосылки!$W260*Продажи!BA25*BA$19*(1+Чувствительность!$D$20)*IFERROR(LOOKUP(Предпосылки!$H$220,$C$13:$C$15,BA$13:BA$15),1)</f>
        <v>0</v>
      </c>
      <c s="125">
        <f>Предпосылки!BA$247*Предпосылки!$W260*Продажи!BB25*BB$19*(1+Чувствительность!$D$20)*IFERROR(LOOKUP(Предпосылки!$H$220,$C$13:$C$15,BB$13:BB$15),1)</f>
        <v>0</v>
      </c>
      <c s="125">
        <f>Предпосылки!BB$247*Предпосылки!$W260*Продажи!BC25*BC$19*(1+Чувствительность!$D$20)*IFERROR(LOOKUP(Предпосылки!$H$220,$C$13:$C$15,BC$13:BC$15),1)</f>
        <v>0</v>
      </c>
      <c s="125">
        <f>Предпосылки!BC$247*Предпосылки!$W260*Продажи!BD25*BD$19*(1+Чувствительность!$D$20)*IFERROR(LOOKUP(Предпосылки!$H$220,$C$13:$C$15,BD$13:BD$15),1)</f>
        <v>0</v>
      </c>
      <c s="125">
        <f>Предпосылки!BD$247*Предпосылки!$W260*Продажи!BE25*BE$19*(1+Чувствительность!$D$20)*IFERROR(LOOKUP(Предпосылки!$H$220,$C$13:$C$15,BE$13:BE$15),1)</f>
        <v>0</v>
      </c>
      <c s="125">
        <f>Предпосылки!BE$247*Предпосылки!$W260*Продажи!BF25*BF$19*(1+Чувствительность!$D$20)*IFERROR(LOOKUP(Предпосылки!$H$220,$C$13:$C$15,BF$13:BF$15),1)</f>
        <v>0</v>
      </c>
      <c s="125">
        <f>Предпосылки!BF$247*Предпосылки!$W260*Продажи!BG25*BG$19*(1+Чувствительность!$D$20)*IFERROR(LOOKUP(Предпосылки!$H$220,$C$13:$C$15,BG$13:BG$15),1)</f>
        <v>0</v>
      </c>
      <c s="125">
        <f>Предпосылки!BG$247*Предпосылки!$W260*Продажи!BH25*BH$19*(1+Чувствительность!$D$20)*IFERROR(LOOKUP(Предпосылки!$H$220,$C$13:$C$15,BH$13:BH$15),1)</f>
        <v>0</v>
      </c>
      <c s="125">
        <f>Предпосылки!BH$247*Предпосылки!$W260*Продажи!BI25*BI$19*(1+Чувствительность!$D$20)*IFERROR(LOOKUP(Предпосылки!$H$220,$C$13:$C$15,BI$13:BI$15),1)</f>
        <v>0</v>
      </c>
      <c s="125">
        <f>Предпосылки!BI$247*Предпосылки!$W260*Продажи!BJ25*BJ$19*(1+Чувствительность!$D$20)*IFERROR(LOOKUP(Предпосылки!$H$220,$C$13:$C$15,BJ$13:BJ$15),1)</f>
        <v>0</v>
      </c>
      <c s="125">
        <f>Предпосылки!BJ$247*Предпосылки!$W260*Продажи!BK25*BK$19*(1+Чувствительность!$D$20)*IFERROR(LOOKUP(Предпосылки!$H$220,$C$13:$C$15,BK$13:BK$15),1)</f>
        <v>0</v>
      </c>
      <c s="125">
        <f>Предпосылки!BK$247*Предпосылки!$W260*Продажи!BL25*BL$19*(1+Чувствительность!$D$20)*IFERROR(LOOKUP(Предпосылки!$H$220,$C$13:$C$15,BL$13:BL$15),1)</f>
        <v>0</v>
      </c>
      <c s="125">
        <f>Предпосылки!BL$247*Предпосылки!$W260*Продажи!BM25*BM$19*(1+Чувствительность!$D$20)*IFERROR(LOOKUP(Предпосылки!$H$220,$C$13:$C$15,BM$13:BM$15),1)</f>
        <v>0</v>
      </c>
    </row>
    <row r="468" spans="2:65" ht="15" customHeight="1">
      <c r="B468" s="12" t="str">
        <f t="shared" si="156"/>
        <v>Продукт 9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Предпосылки!D$247*Предпосылки!$W261*Продажи!E26*E$19*(1+Чувствительность!$D$20)*IFERROR(LOOKUP(Предпосылки!$H$220,$C$13:$C$15,E$13:E$15),1)</f>
        <v>0</v>
      </c>
      <c s="125">
        <f>Предпосылки!E$247*Предпосылки!$W261*Продажи!F26*F$19*(1+Чувствительность!$D$20)*IFERROR(LOOKUP(Предпосылки!$H$220,$C$13:$C$15,F$13:F$15),1)</f>
        <v>0</v>
      </c>
      <c s="125">
        <f>Предпосылки!F$247*Предпосылки!$W261*Продажи!G26*G$19*(1+Чувствительность!$D$20)*IFERROR(LOOKUP(Предпосылки!$H$220,$C$13:$C$15,G$13:G$15),1)</f>
        <v>0</v>
      </c>
      <c s="125">
        <f>Предпосылки!G$247*Предпосылки!$W261*Продажи!H26*H$19*(1+Чувствительность!$D$20)*IFERROR(LOOKUP(Предпосылки!$H$220,$C$13:$C$15,H$13:H$15),1)</f>
        <v>0</v>
      </c>
      <c s="125">
        <f>Предпосылки!H$247*Предпосылки!$W261*Продажи!I26*I$19*(1+Чувствительность!$D$20)*IFERROR(LOOKUP(Предпосылки!$H$220,$C$13:$C$15,I$13:I$15),1)</f>
        <v>0</v>
      </c>
      <c s="125">
        <f>Предпосылки!I$247*Предпосылки!$W261*Продажи!J26*J$19*(1+Чувствительность!$D$20)*IFERROR(LOOKUP(Предпосылки!$H$220,$C$13:$C$15,J$13:J$15),1)</f>
        <v>0</v>
      </c>
      <c s="125">
        <f>Предпосылки!J$247*Предпосылки!$W261*Продажи!K26*K$19*(1+Чувствительность!$D$20)*IFERROR(LOOKUP(Предпосылки!$H$220,$C$13:$C$15,K$13:K$15),1)</f>
        <v>0</v>
      </c>
      <c s="125">
        <f>Предпосылки!K$247*Предпосылки!$W261*Продажи!L26*L$19*(1+Чувствительность!$D$20)*IFERROR(LOOKUP(Предпосылки!$H$220,$C$13:$C$15,L$13:L$15),1)</f>
        <v>0</v>
      </c>
      <c s="125">
        <f>Предпосылки!L$247*Предпосылки!$W261*Продажи!M26*M$19*(1+Чувствительность!$D$20)*IFERROR(LOOKUP(Предпосылки!$H$220,$C$13:$C$15,M$13:M$15),1)</f>
        <v>0</v>
      </c>
      <c s="125">
        <f>Предпосылки!M$247*Предпосылки!$W261*Продажи!N26*N$19*(1+Чувствительность!$D$20)*IFERROR(LOOKUP(Предпосылки!$H$220,$C$13:$C$15,N$13:N$15),1)</f>
        <v>0</v>
      </c>
      <c s="125">
        <f>Предпосылки!N$247*Предпосылки!$W261*Продажи!O26*O$19*(1+Чувствительность!$D$20)*IFERROR(LOOKUP(Предпосылки!$H$220,$C$13:$C$15,O$13:O$15),1)</f>
        <v>0</v>
      </c>
      <c s="125">
        <f>Предпосылки!O$247*Предпосылки!$W261*Продажи!P26*P$19*(1+Чувствительность!$D$20)*IFERROR(LOOKUP(Предпосылки!$H$220,$C$13:$C$15,P$13:P$15),1)</f>
        <v>0</v>
      </c>
      <c s="125">
        <f>Предпосылки!P$247*Предпосылки!$W261*Продажи!Q26*Q$19*(1+Чувствительность!$D$20)*IFERROR(LOOKUP(Предпосылки!$H$220,$C$13:$C$15,Q$13:Q$15),1)</f>
        <v>0</v>
      </c>
      <c s="125">
        <f>Предпосылки!Q$247*Предпосылки!$W261*Продажи!R26*R$19*(1+Чувствительность!$D$20)*IFERROR(LOOKUP(Предпосылки!$H$220,$C$13:$C$15,R$13:R$15),1)</f>
        <v>0</v>
      </c>
      <c s="125">
        <f>Предпосылки!R$247*Предпосылки!$W261*Продажи!S26*S$19*(1+Чувствительность!$D$20)*IFERROR(LOOKUP(Предпосылки!$H$220,$C$13:$C$15,S$13:S$15),1)</f>
        <v>0</v>
      </c>
      <c s="125">
        <f>Предпосылки!S$247*Предпосылки!$W261*Продажи!T26*T$19*(1+Чувствительность!$D$20)*IFERROR(LOOKUP(Предпосылки!$H$220,$C$13:$C$15,T$13:T$15),1)</f>
        <v>0</v>
      </c>
      <c s="125">
        <f>Предпосылки!T$247*Предпосылки!$W261*Продажи!U26*U$19*(1+Чувствительность!$D$20)*IFERROR(LOOKUP(Предпосылки!$H$220,$C$13:$C$15,U$13:U$15),1)</f>
        <v>0</v>
      </c>
      <c s="125">
        <f>Предпосылки!U$247*Предпосылки!$W261*Продажи!V26*V$19*(1+Чувствительность!$D$20)*IFERROR(LOOKUP(Предпосылки!$H$220,$C$13:$C$15,V$13:V$15),1)</f>
        <v>0</v>
      </c>
      <c s="125">
        <f>Предпосылки!V$247*Предпосылки!$W261*Продажи!W26*W$19*(1+Чувствительность!$D$20)*IFERROR(LOOKUP(Предпосылки!$H$220,$C$13:$C$15,W$13:W$15),1)</f>
        <v>0</v>
      </c>
      <c s="125">
        <f>Предпосылки!W$247*Предпосылки!$W261*Продажи!X26*X$19*(1+Чувствительность!$D$20)*IFERROR(LOOKUP(Предпосылки!$H$220,$C$13:$C$15,X$13:X$15),1)</f>
        <v>0</v>
      </c>
      <c s="125">
        <f>Предпосылки!X$247*Предпосылки!$W261*Продажи!Y26*Y$19*(1+Чувствительность!$D$20)*IFERROR(LOOKUP(Предпосылки!$H$220,$C$13:$C$15,Y$13:Y$15),1)</f>
        <v>0</v>
      </c>
      <c s="125">
        <f>Предпосылки!Y$247*Предпосылки!$W261*Продажи!Z26*Z$19*(1+Чувствительность!$D$20)*IFERROR(LOOKUP(Предпосылки!$H$220,$C$13:$C$15,Z$13:Z$15),1)</f>
        <v>0</v>
      </c>
      <c s="125">
        <f>Предпосылки!Z$247*Предпосылки!$W261*Продажи!AA26*AA$19*(1+Чувствительность!$D$20)*IFERROR(LOOKUP(Предпосылки!$H$220,$C$13:$C$15,AA$13:AA$15),1)</f>
        <v>0</v>
      </c>
      <c s="125">
        <f>Предпосылки!AA$247*Предпосылки!$W261*Продажи!AB26*AB$19*(1+Чувствительность!$D$20)*IFERROR(LOOKUP(Предпосылки!$H$220,$C$13:$C$15,AB$13:AB$15),1)</f>
        <v>0</v>
      </c>
      <c s="125">
        <f>Предпосылки!AB$247*Предпосылки!$W261*Продажи!AC26*AC$19*(1+Чувствительность!$D$20)*IFERROR(LOOKUP(Предпосылки!$H$220,$C$13:$C$15,AC$13:AC$15),1)</f>
        <v>0</v>
      </c>
      <c s="125">
        <f>Предпосылки!AC$247*Предпосылки!$W261*Продажи!AD26*AD$19*(1+Чувствительность!$D$20)*IFERROR(LOOKUP(Предпосылки!$H$220,$C$13:$C$15,AD$13:AD$15),1)</f>
        <v>0</v>
      </c>
      <c s="125">
        <f>Предпосылки!AD$247*Предпосылки!$W261*Продажи!AE26*AE$19*(1+Чувствительность!$D$20)*IFERROR(LOOKUP(Предпосылки!$H$220,$C$13:$C$15,AE$13:AE$15),1)</f>
        <v>0</v>
      </c>
      <c s="125">
        <f>Предпосылки!AE$247*Предпосылки!$W261*Продажи!AF26*AF$19*(1+Чувствительность!$D$20)*IFERROR(LOOKUP(Предпосылки!$H$220,$C$13:$C$15,AF$13:AF$15),1)</f>
        <v>0</v>
      </c>
      <c s="125">
        <f>Предпосылки!AF$247*Предпосылки!$W261*Продажи!AG26*AG$19*(1+Чувствительность!$D$20)*IFERROR(LOOKUP(Предпосылки!$H$220,$C$13:$C$15,AG$13:AG$15),1)</f>
        <v>0</v>
      </c>
      <c s="125">
        <f>Предпосылки!AG$247*Предпосылки!$W261*Продажи!AH26*AH$19*(1+Чувствительность!$D$20)*IFERROR(LOOKUP(Предпосылки!$H$220,$C$13:$C$15,AH$13:AH$15),1)</f>
        <v>0</v>
      </c>
      <c s="125">
        <f>Предпосылки!AH$247*Предпосылки!$W261*Продажи!AI26*AI$19*(1+Чувствительность!$D$20)*IFERROR(LOOKUP(Предпосылки!$H$220,$C$13:$C$15,AI$13:AI$15),1)</f>
        <v>0</v>
      </c>
      <c s="125">
        <f>Предпосылки!AI$247*Предпосылки!$W261*Продажи!AJ26*AJ$19*(1+Чувствительность!$D$20)*IFERROR(LOOKUP(Предпосылки!$H$220,$C$13:$C$15,AJ$13:AJ$15),1)</f>
        <v>0</v>
      </c>
      <c s="125">
        <f>Предпосылки!AJ$247*Предпосылки!$W261*Продажи!AK26*AK$19*(1+Чувствительность!$D$20)*IFERROR(LOOKUP(Предпосылки!$H$220,$C$13:$C$15,AK$13:AK$15),1)</f>
        <v>0</v>
      </c>
      <c s="125">
        <f>Предпосылки!AK$247*Предпосылки!$W261*Продажи!AL26*AL$19*(1+Чувствительность!$D$20)*IFERROR(LOOKUP(Предпосылки!$H$220,$C$13:$C$15,AL$13:AL$15),1)</f>
        <v>0</v>
      </c>
      <c s="125">
        <f>Предпосылки!AL$247*Предпосылки!$W261*Продажи!AM26*AM$19*(1+Чувствительность!$D$20)*IFERROR(LOOKUP(Предпосылки!$H$220,$C$13:$C$15,AM$13:AM$15),1)</f>
        <v>0</v>
      </c>
      <c s="125">
        <f>Предпосылки!AM$247*Предпосылки!$W261*Продажи!AN26*AN$19*(1+Чувствительность!$D$20)*IFERROR(LOOKUP(Предпосылки!$H$220,$C$13:$C$15,AN$13:AN$15),1)</f>
        <v>0</v>
      </c>
      <c s="125">
        <f>Предпосылки!AN$247*Предпосылки!$W261*Продажи!AO26*AO$19*(1+Чувствительность!$D$20)*IFERROR(LOOKUP(Предпосылки!$H$220,$C$13:$C$15,AO$13:AO$15),1)</f>
        <v>0</v>
      </c>
      <c s="125">
        <f>Предпосылки!AO$247*Предпосылки!$W261*Продажи!AP26*AP$19*(1+Чувствительность!$D$20)*IFERROR(LOOKUP(Предпосылки!$H$220,$C$13:$C$15,AP$13:AP$15),1)</f>
        <v>0</v>
      </c>
      <c s="125">
        <f>Предпосылки!AP$247*Предпосылки!$W261*Продажи!AQ26*AQ$19*(1+Чувствительность!$D$20)*IFERROR(LOOKUP(Предпосылки!$H$220,$C$13:$C$15,AQ$13:AQ$15),1)</f>
        <v>0</v>
      </c>
      <c s="125">
        <f>Предпосылки!AQ$247*Предпосылки!$W261*Продажи!AR26*AR$19*(1+Чувствительность!$D$20)*IFERROR(LOOKUP(Предпосылки!$H$220,$C$13:$C$15,AR$13:AR$15),1)</f>
        <v>0</v>
      </c>
      <c s="125">
        <f>Предпосылки!AR$247*Предпосылки!$W261*Продажи!AS26*AS$19*(1+Чувствительность!$D$20)*IFERROR(LOOKUP(Предпосылки!$H$220,$C$13:$C$15,AS$13:AS$15),1)</f>
        <v>0</v>
      </c>
      <c s="125">
        <f>Предпосылки!AS$247*Предпосылки!$W261*Продажи!AT26*AT$19*(1+Чувствительность!$D$20)*IFERROR(LOOKUP(Предпосылки!$H$220,$C$13:$C$15,AT$13:AT$15),1)</f>
        <v>0</v>
      </c>
      <c s="125">
        <f>Предпосылки!AT$247*Предпосылки!$W261*Продажи!AU26*AU$19*(1+Чувствительность!$D$20)*IFERROR(LOOKUP(Предпосылки!$H$220,$C$13:$C$15,AU$13:AU$15),1)</f>
        <v>0</v>
      </c>
      <c s="125">
        <f>Предпосылки!AU$247*Предпосылки!$W261*Продажи!AV26*AV$19*(1+Чувствительность!$D$20)*IFERROR(LOOKUP(Предпосылки!$H$220,$C$13:$C$15,AV$13:AV$15),1)</f>
        <v>0</v>
      </c>
      <c s="125">
        <f>Предпосылки!AV$247*Предпосылки!$W261*Продажи!AW26*AW$19*(1+Чувствительность!$D$20)*IFERROR(LOOKUP(Предпосылки!$H$220,$C$13:$C$15,AW$13:AW$15),1)</f>
        <v>0</v>
      </c>
      <c s="125">
        <f>Предпосылки!AW$247*Предпосылки!$W261*Продажи!AX26*AX$19*(1+Чувствительность!$D$20)*IFERROR(LOOKUP(Предпосылки!$H$220,$C$13:$C$15,AX$13:AX$15),1)</f>
        <v>0</v>
      </c>
      <c s="125">
        <f>Предпосылки!AX$247*Предпосылки!$W261*Продажи!AY26*AY$19*(1+Чувствительность!$D$20)*IFERROR(LOOKUP(Предпосылки!$H$220,$C$13:$C$15,AY$13:AY$15),1)</f>
        <v>0</v>
      </c>
      <c s="125">
        <f>Предпосылки!AY$247*Предпосылки!$W261*Продажи!AZ26*AZ$19*(1+Чувствительность!$D$20)*IFERROR(LOOKUP(Предпосылки!$H$220,$C$13:$C$15,AZ$13:AZ$15),1)</f>
        <v>0</v>
      </c>
      <c s="125">
        <f>Предпосылки!AZ$247*Предпосылки!$W261*Продажи!BA26*BA$19*(1+Чувствительность!$D$20)*IFERROR(LOOKUP(Предпосылки!$H$220,$C$13:$C$15,BA$13:BA$15),1)</f>
        <v>0</v>
      </c>
      <c s="125">
        <f>Предпосылки!BA$247*Предпосылки!$W261*Продажи!BB26*BB$19*(1+Чувствительность!$D$20)*IFERROR(LOOKUP(Предпосылки!$H$220,$C$13:$C$15,BB$13:BB$15),1)</f>
        <v>0</v>
      </c>
      <c s="125">
        <f>Предпосылки!BB$247*Предпосылки!$W261*Продажи!BC26*BC$19*(1+Чувствительность!$D$20)*IFERROR(LOOKUP(Предпосылки!$H$220,$C$13:$C$15,BC$13:BC$15),1)</f>
        <v>0</v>
      </c>
      <c s="125">
        <f>Предпосылки!BC$247*Предпосылки!$W261*Продажи!BD26*BD$19*(1+Чувствительность!$D$20)*IFERROR(LOOKUP(Предпосылки!$H$220,$C$13:$C$15,BD$13:BD$15),1)</f>
        <v>0</v>
      </c>
      <c s="125">
        <f>Предпосылки!BD$247*Предпосылки!$W261*Продажи!BE26*BE$19*(1+Чувствительность!$D$20)*IFERROR(LOOKUP(Предпосылки!$H$220,$C$13:$C$15,BE$13:BE$15),1)</f>
        <v>0</v>
      </c>
      <c s="125">
        <f>Предпосылки!BE$247*Предпосылки!$W261*Продажи!BF26*BF$19*(1+Чувствительность!$D$20)*IFERROR(LOOKUP(Предпосылки!$H$220,$C$13:$C$15,BF$13:BF$15),1)</f>
        <v>0</v>
      </c>
      <c s="125">
        <f>Предпосылки!BF$247*Предпосылки!$W261*Продажи!BG26*BG$19*(1+Чувствительность!$D$20)*IFERROR(LOOKUP(Предпосылки!$H$220,$C$13:$C$15,BG$13:BG$15),1)</f>
        <v>0</v>
      </c>
      <c s="125">
        <f>Предпосылки!BG$247*Предпосылки!$W261*Продажи!BH26*BH$19*(1+Чувствительность!$D$20)*IFERROR(LOOKUP(Предпосылки!$H$220,$C$13:$C$15,BH$13:BH$15),1)</f>
        <v>0</v>
      </c>
      <c s="125">
        <f>Предпосылки!BH$247*Предпосылки!$W261*Продажи!BI26*BI$19*(1+Чувствительность!$D$20)*IFERROR(LOOKUP(Предпосылки!$H$220,$C$13:$C$15,BI$13:BI$15),1)</f>
        <v>0</v>
      </c>
      <c s="125">
        <f>Предпосылки!BI$247*Предпосылки!$W261*Продажи!BJ26*BJ$19*(1+Чувствительность!$D$20)*IFERROR(LOOKUP(Предпосылки!$H$220,$C$13:$C$15,BJ$13:BJ$15),1)</f>
        <v>0</v>
      </c>
      <c s="125">
        <f>Предпосылки!BJ$247*Предпосылки!$W261*Продажи!BK26*BK$19*(1+Чувствительность!$D$20)*IFERROR(LOOKUP(Предпосылки!$H$220,$C$13:$C$15,BK$13:BK$15),1)</f>
        <v>0</v>
      </c>
      <c s="125">
        <f>Предпосылки!BK$247*Предпосылки!$W261*Продажи!BL26*BL$19*(1+Чувствительность!$D$20)*IFERROR(LOOKUP(Предпосылки!$H$220,$C$13:$C$15,BL$13:BL$15),1)</f>
        <v>0</v>
      </c>
      <c s="125">
        <f>Предпосылки!BL$247*Предпосылки!$W261*Продажи!BM26*BM$19*(1+Чувствительность!$D$20)*IFERROR(LOOKUP(Предпосылки!$H$220,$C$13:$C$15,BM$13:BM$15),1)</f>
        <v>0</v>
      </c>
    </row>
    <row r="469" spans="2:65" ht="15" customHeight="1">
      <c r="B469" s="12" t="str">
        <f t="shared" si="156"/>
        <v>Продукт 10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Предпосылки!D$247*Предпосылки!$W262*Продажи!E27*E$19*(1+Чувствительность!$D$20)*IFERROR(LOOKUP(Предпосылки!$H$220,$C$13:$C$15,E$13:E$15),1)</f>
        <v>0</v>
      </c>
      <c s="125">
        <f>Предпосылки!E$247*Предпосылки!$W262*Продажи!F27*F$19*(1+Чувствительность!$D$20)*IFERROR(LOOKUP(Предпосылки!$H$220,$C$13:$C$15,F$13:F$15),1)</f>
        <v>0</v>
      </c>
      <c s="125">
        <f>Предпосылки!F$247*Предпосылки!$W262*Продажи!G27*G$19*(1+Чувствительность!$D$20)*IFERROR(LOOKUP(Предпосылки!$H$220,$C$13:$C$15,G$13:G$15),1)</f>
        <v>0</v>
      </c>
      <c s="125">
        <f>Предпосылки!G$247*Предпосылки!$W262*Продажи!H27*H$19*(1+Чувствительность!$D$20)*IFERROR(LOOKUP(Предпосылки!$H$220,$C$13:$C$15,H$13:H$15),1)</f>
        <v>0</v>
      </c>
      <c s="125">
        <f>Предпосылки!H$247*Предпосылки!$W262*Продажи!I27*I$19*(1+Чувствительность!$D$20)*IFERROR(LOOKUP(Предпосылки!$H$220,$C$13:$C$15,I$13:I$15),1)</f>
        <v>0</v>
      </c>
      <c s="125">
        <f>Предпосылки!I$247*Предпосылки!$W262*Продажи!J27*J$19*(1+Чувствительность!$D$20)*IFERROR(LOOKUP(Предпосылки!$H$220,$C$13:$C$15,J$13:J$15),1)</f>
        <v>0</v>
      </c>
      <c s="125">
        <f>Предпосылки!J$247*Предпосылки!$W262*Продажи!K27*K$19*(1+Чувствительность!$D$20)*IFERROR(LOOKUP(Предпосылки!$H$220,$C$13:$C$15,K$13:K$15),1)</f>
        <v>0</v>
      </c>
      <c s="125">
        <f>Предпосылки!K$247*Предпосылки!$W262*Продажи!L27*L$19*(1+Чувствительность!$D$20)*IFERROR(LOOKUP(Предпосылки!$H$220,$C$13:$C$15,L$13:L$15),1)</f>
        <v>0</v>
      </c>
      <c s="125">
        <f>Предпосылки!L$247*Предпосылки!$W262*Продажи!M27*M$19*(1+Чувствительность!$D$20)*IFERROR(LOOKUP(Предпосылки!$H$220,$C$13:$C$15,M$13:M$15),1)</f>
        <v>0</v>
      </c>
      <c s="125">
        <f>Предпосылки!M$247*Предпосылки!$W262*Продажи!N27*N$19*(1+Чувствительность!$D$20)*IFERROR(LOOKUP(Предпосылки!$H$220,$C$13:$C$15,N$13:N$15),1)</f>
        <v>0</v>
      </c>
      <c s="125">
        <f>Предпосылки!N$247*Предпосылки!$W262*Продажи!O27*O$19*(1+Чувствительность!$D$20)*IFERROR(LOOKUP(Предпосылки!$H$220,$C$13:$C$15,O$13:O$15),1)</f>
        <v>0</v>
      </c>
      <c s="125">
        <f>Предпосылки!O$247*Предпосылки!$W262*Продажи!P27*P$19*(1+Чувствительность!$D$20)*IFERROR(LOOKUP(Предпосылки!$H$220,$C$13:$C$15,P$13:P$15),1)</f>
        <v>0</v>
      </c>
      <c s="125">
        <f>Предпосылки!P$247*Предпосылки!$W262*Продажи!Q27*Q$19*(1+Чувствительность!$D$20)*IFERROR(LOOKUP(Предпосылки!$H$220,$C$13:$C$15,Q$13:Q$15),1)</f>
        <v>0</v>
      </c>
      <c s="125">
        <f>Предпосылки!Q$247*Предпосылки!$W262*Продажи!R27*R$19*(1+Чувствительность!$D$20)*IFERROR(LOOKUP(Предпосылки!$H$220,$C$13:$C$15,R$13:R$15),1)</f>
        <v>0</v>
      </c>
      <c s="125">
        <f>Предпосылки!R$247*Предпосылки!$W262*Продажи!S27*S$19*(1+Чувствительность!$D$20)*IFERROR(LOOKUP(Предпосылки!$H$220,$C$13:$C$15,S$13:S$15),1)</f>
        <v>0</v>
      </c>
      <c s="125">
        <f>Предпосылки!S$247*Предпосылки!$W262*Продажи!T27*T$19*(1+Чувствительность!$D$20)*IFERROR(LOOKUP(Предпосылки!$H$220,$C$13:$C$15,T$13:T$15),1)</f>
        <v>0</v>
      </c>
      <c s="125">
        <f>Предпосылки!T$247*Предпосылки!$W262*Продажи!U27*U$19*(1+Чувствительность!$D$20)*IFERROR(LOOKUP(Предпосылки!$H$220,$C$13:$C$15,U$13:U$15),1)</f>
        <v>0</v>
      </c>
      <c s="125">
        <f>Предпосылки!U$247*Предпосылки!$W262*Продажи!V27*V$19*(1+Чувствительность!$D$20)*IFERROR(LOOKUP(Предпосылки!$H$220,$C$13:$C$15,V$13:V$15),1)</f>
        <v>0</v>
      </c>
      <c s="125">
        <f>Предпосылки!V$247*Предпосылки!$W262*Продажи!W27*W$19*(1+Чувствительность!$D$20)*IFERROR(LOOKUP(Предпосылки!$H$220,$C$13:$C$15,W$13:W$15),1)</f>
        <v>0</v>
      </c>
      <c s="125">
        <f>Предпосылки!W$247*Предпосылки!$W262*Продажи!X27*X$19*(1+Чувствительность!$D$20)*IFERROR(LOOKUP(Предпосылки!$H$220,$C$13:$C$15,X$13:X$15),1)</f>
        <v>0</v>
      </c>
      <c s="125">
        <f>Предпосылки!X$247*Предпосылки!$W262*Продажи!Y27*Y$19*(1+Чувствительность!$D$20)*IFERROR(LOOKUP(Предпосылки!$H$220,$C$13:$C$15,Y$13:Y$15),1)</f>
        <v>0</v>
      </c>
      <c s="125">
        <f>Предпосылки!Y$247*Предпосылки!$W262*Продажи!Z27*Z$19*(1+Чувствительность!$D$20)*IFERROR(LOOKUP(Предпосылки!$H$220,$C$13:$C$15,Z$13:Z$15),1)</f>
        <v>0</v>
      </c>
      <c s="125">
        <f>Предпосылки!Z$247*Предпосылки!$W262*Продажи!AA27*AA$19*(1+Чувствительность!$D$20)*IFERROR(LOOKUP(Предпосылки!$H$220,$C$13:$C$15,AA$13:AA$15),1)</f>
        <v>0</v>
      </c>
      <c s="125">
        <f>Предпосылки!AA$247*Предпосылки!$W262*Продажи!AB27*AB$19*(1+Чувствительность!$D$20)*IFERROR(LOOKUP(Предпосылки!$H$220,$C$13:$C$15,AB$13:AB$15),1)</f>
        <v>0</v>
      </c>
      <c s="125">
        <f>Предпосылки!AB$247*Предпосылки!$W262*Продажи!AC27*AC$19*(1+Чувствительность!$D$20)*IFERROR(LOOKUP(Предпосылки!$H$220,$C$13:$C$15,AC$13:AC$15),1)</f>
        <v>0</v>
      </c>
      <c s="125">
        <f>Предпосылки!AC$247*Предпосылки!$W262*Продажи!AD27*AD$19*(1+Чувствительность!$D$20)*IFERROR(LOOKUP(Предпосылки!$H$220,$C$13:$C$15,AD$13:AD$15),1)</f>
        <v>0</v>
      </c>
      <c s="125">
        <f>Предпосылки!AD$247*Предпосылки!$W262*Продажи!AE27*AE$19*(1+Чувствительность!$D$20)*IFERROR(LOOKUP(Предпосылки!$H$220,$C$13:$C$15,AE$13:AE$15),1)</f>
        <v>0</v>
      </c>
      <c s="125">
        <f>Предпосылки!AE$247*Предпосылки!$W262*Продажи!AF27*AF$19*(1+Чувствительность!$D$20)*IFERROR(LOOKUP(Предпосылки!$H$220,$C$13:$C$15,AF$13:AF$15),1)</f>
        <v>0</v>
      </c>
      <c s="125">
        <f>Предпосылки!AF$247*Предпосылки!$W262*Продажи!AG27*AG$19*(1+Чувствительность!$D$20)*IFERROR(LOOKUP(Предпосылки!$H$220,$C$13:$C$15,AG$13:AG$15),1)</f>
        <v>0</v>
      </c>
      <c s="125">
        <f>Предпосылки!AG$247*Предпосылки!$W262*Продажи!AH27*AH$19*(1+Чувствительность!$D$20)*IFERROR(LOOKUP(Предпосылки!$H$220,$C$13:$C$15,AH$13:AH$15),1)</f>
        <v>0</v>
      </c>
      <c s="125">
        <f>Предпосылки!AH$247*Предпосылки!$W262*Продажи!AI27*AI$19*(1+Чувствительность!$D$20)*IFERROR(LOOKUP(Предпосылки!$H$220,$C$13:$C$15,AI$13:AI$15),1)</f>
        <v>0</v>
      </c>
      <c s="125">
        <f>Предпосылки!AI$247*Предпосылки!$W262*Продажи!AJ27*AJ$19*(1+Чувствительность!$D$20)*IFERROR(LOOKUP(Предпосылки!$H$220,$C$13:$C$15,AJ$13:AJ$15),1)</f>
        <v>0</v>
      </c>
      <c s="125">
        <f>Предпосылки!AJ$247*Предпосылки!$W262*Продажи!AK27*AK$19*(1+Чувствительность!$D$20)*IFERROR(LOOKUP(Предпосылки!$H$220,$C$13:$C$15,AK$13:AK$15),1)</f>
        <v>0</v>
      </c>
      <c s="125">
        <f>Предпосылки!AK$247*Предпосылки!$W262*Продажи!AL27*AL$19*(1+Чувствительность!$D$20)*IFERROR(LOOKUP(Предпосылки!$H$220,$C$13:$C$15,AL$13:AL$15),1)</f>
        <v>0</v>
      </c>
      <c s="125">
        <f>Предпосылки!AL$247*Предпосылки!$W262*Продажи!AM27*AM$19*(1+Чувствительность!$D$20)*IFERROR(LOOKUP(Предпосылки!$H$220,$C$13:$C$15,AM$13:AM$15),1)</f>
        <v>0</v>
      </c>
      <c s="125">
        <f>Предпосылки!AM$247*Предпосылки!$W262*Продажи!AN27*AN$19*(1+Чувствительность!$D$20)*IFERROR(LOOKUP(Предпосылки!$H$220,$C$13:$C$15,AN$13:AN$15),1)</f>
        <v>0</v>
      </c>
      <c s="125">
        <f>Предпосылки!AN$247*Предпосылки!$W262*Продажи!AO27*AO$19*(1+Чувствительность!$D$20)*IFERROR(LOOKUP(Предпосылки!$H$220,$C$13:$C$15,AO$13:AO$15),1)</f>
        <v>0</v>
      </c>
      <c s="125">
        <f>Предпосылки!AO$247*Предпосылки!$W262*Продажи!AP27*AP$19*(1+Чувствительность!$D$20)*IFERROR(LOOKUP(Предпосылки!$H$220,$C$13:$C$15,AP$13:AP$15),1)</f>
        <v>0</v>
      </c>
      <c s="125">
        <f>Предпосылки!AP$247*Предпосылки!$W262*Продажи!AQ27*AQ$19*(1+Чувствительность!$D$20)*IFERROR(LOOKUP(Предпосылки!$H$220,$C$13:$C$15,AQ$13:AQ$15),1)</f>
        <v>0</v>
      </c>
      <c s="125">
        <f>Предпосылки!AQ$247*Предпосылки!$W262*Продажи!AR27*AR$19*(1+Чувствительность!$D$20)*IFERROR(LOOKUP(Предпосылки!$H$220,$C$13:$C$15,AR$13:AR$15),1)</f>
        <v>0</v>
      </c>
      <c s="125">
        <f>Предпосылки!AR$247*Предпосылки!$W262*Продажи!AS27*AS$19*(1+Чувствительность!$D$20)*IFERROR(LOOKUP(Предпосылки!$H$220,$C$13:$C$15,AS$13:AS$15),1)</f>
        <v>0</v>
      </c>
      <c s="125">
        <f>Предпосылки!AS$247*Предпосылки!$W262*Продажи!AT27*AT$19*(1+Чувствительность!$D$20)*IFERROR(LOOKUP(Предпосылки!$H$220,$C$13:$C$15,AT$13:AT$15),1)</f>
        <v>0</v>
      </c>
      <c s="125">
        <f>Предпосылки!AT$247*Предпосылки!$W262*Продажи!AU27*AU$19*(1+Чувствительность!$D$20)*IFERROR(LOOKUP(Предпосылки!$H$220,$C$13:$C$15,AU$13:AU$15),1)</f>
        <v>0</v>
      </c>
      <c s="125">
        <f>Предпосылки!AU$247*Предпосылки!$W262*Продажи!AV27*AV$19*(1+Чувствительность!$D$20)*IFERROR(LOOKUP(Предпосылки!$H$220,$C$13:$C$15,AV$13:AV$15),1)</f>
        <v>0</v>
      </c>
      <c s="125">
        <f>Предпосылки!AV$247*Предпосылки!$W262*Продажи!AW27*AW$19*(1+Чувствительность!$D$20)*IFERROR(LOOKUP(Предпосылки!$H$220,$C$13:$C$15,AW$13:AW$15),1)</f>
        <v>0</v>
      </c>
      <c s="125">
        <f>Предпосылки!AW$247*Предпосылки!$W262*Продажи!AX27*AX$19*(1+Чувствительность!$D$20)*IFERROR(LOOKUP(Предпосылки!$H$220,$C$13:$C$15,AX$13:AX$15),1)</f>
        <v>0</v>
      </c>
      <c s="125">
        <f>Предпосылки!AX$247*Предпосылки!$W262*Продажи!AY27*AY$19*(1+Чувствительность!$D$20)*IFERROR(LOOKUP(Предпосылки!$H$220,$C$13:$C$15,AY$13:AY$15),1)</f>
        <v>0</v>
      </c>
      <c s="125">
        <f>Предпосылки!AY$247*Предпосылки!$W262*Продажи!AZ27*AZ$19*(1+Чувствительность!$D$20)*IFERROR(LOOKUP(Предпосылки!$H$220,$C$13:$C$15,AZ$13:AZ$15),1)</f>
        <v>0</v>
      </c>
      <c s="125">
        <f>Предпосылки!AZ$247*Предпосылки!$W262*Продажи!BA27*BA$19*(1+Чувствительность!$D$20)*IFERROR(LOOKUP(Предпосылки!$H$220,$C$13:$C$15,BA$13:BA$15),1)</f>
        <v>0</v>
      </c>
      <c s="125">
        <f>Предпосылки!BA$247*Предпосылки!$W262*Продажи!BB27*BB$19*(1+Чувствительность!$D$20)*IFERROR(LOOKUP(Предпосылки!$H$220,$C$13:$C$15,BB$13:BB$15),1)</f>
        <v>0</v>
      </c>
      <c s="125">
        <f>Предпосылки!BB$247*Предпосылки!$W262*Продажи!BC27*BC$19*(1+Чувствительность!$D$20)*IFERROR(LOOKUP(Предпосылки!$H$220,$C$13:$C$15,BC$13:BC$15),1)</f>
        <v>0</v>
      </c>
      <c s="125">
        <f>Предпосылки!BC$247*Предпосылки!$W262*Продажи!BD27*BD$19*(1+Чувствительность!$D$20)*IFERROR(LOOKUP(Предпосылки!$H$220,$C$13:$C$15,BD$13:BD$15),1)</f>
        <v>0</v>
      </c>
      <c s="125">
        <f>Предпосылки!BD$247*Предпосылки!$W262*Продажи!BE27*BE$19*(1+Чувствительность!$D$20)*IFERROR(LOOKUP(Предпосылки!$H$220,$C$13:$C$15,BE$13:BE$15),1)</f>
        <v>0</v>
      </c>
      <c s="125">
        <f>Предпосылки!BE$247*Предпосылки!$W262*Продажи!BF27*BF$19*(1+Чувствительность!$D$20)*IFERROR(LOOKUP(Предпосылки!$H$220,$C$13:$C$15,BF$13:BF$15),1)</f>
        <v>0</v>
      </c>
      <c s="125">
        <f>Предпосылки!BF$247*Предпосылки!$W262*Продажи!BG27*BG$19*(1+Чувствительность!$D$20)*IFERROR(LOOKUP(Предпосылки!$H$220,$C$13:$C$15,BG$13:BG$15),1)</f>
        <v>0</v>
      </c>
      <c s="125">
        <f>Предпосылки!BG$247*Предпосылки!$W262*Продажи!BH27*BH$19*(1+Чувствительность!$D$20)*IFERROR(LOOKUP(Предпосылки!$H$220,$C$13:$C$15,BH$13:BH$15),1)</f>
        <v>0</v>
      </c>
      <c s="125">
        <f>Предпосылки!BH$247*Предпосылки!$W262*Продажи!BI27*BI$19*(1+Чувствительность!$D$20)*IFERROR(LOOKUP(Предпосылки!$H$220,$C$13:$C$15,BI$13:BI$15),1)</f>
        <v>0</v>
      </c>
      <c s="125">
        <f>Предпосылки!BI$247*Предпосылки!$W262*Продажи!BJ27*BJ$19*(1+Чувствительность!$D$20)*IFERROR(LOOKUP(Предпосылки!$H$220,$C$13:$C$15,BJ$13:BJ$15),1)</f>
        <v>0</v>
      </c>
      <c s="125">
        <f>Предпосылки!BJ$247*Предпосылки!$W262*Продажи!BK27*BK$19*(1+Чувствительность!$D$20)*IFERROR(LOOKUP(Предпосылки!$H$220,$C$13:$C$15,BK$13:BK$15),1)</f>
        <v>0</v>
      </c>
      <c s="125">
        <f>Предпосылки!BK$247*Предпосылки!$W262*Продажи!BL27*BL$19*(1+Чувствительность!$D$20)*IFERROR(LOOKUP(Предпосылки!$H$220,$C$13:$C$15,BL$13:BL$15),1)</f>
        <v>0</v>
      </c>
      <c s="125">
        <f>Предпосылки!BL$247*Предпосылки!$W262*Продажи!BM27*BM$19*(1+Чувствительность!$D$20)*IFERROR(LOOKUP(Предпосылки!$H$220,$C$13:$C$15,BM$13:BM$15),1)</f>
        <v>0</v>
      </c>
    </row>
    <row r="470" spans="2:65" ht="15" customHeight="1">
      <c r="B470" s="12" t="str">
        <f t="shared" si="156"/>
        <v>Продукт 11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Предпосылки!D$247*Предпосылки!$W263*Продажи!E28*E$19*(1+Чувствительность!$D$20)*IFERROR(LOOKUP(Предпосылки!$H$220,$C$13:$C$15,E$13:E$15),1)</f>
        <v>0</v>
      </c>
      <c s="125">
        <f>Предпосылки!E$247*Предпосылки!$W263*Продажи!F28*F$19*(1+Чувствительность!$D$20)*IFERROR(LOOKUP(Предпосылки!$H$220,$C$13:$C$15,F$13:F$15),1)</f>
        <v>0</v>
      </c>
      <c s="125">
        <f>Предпосылки!F$247*Предпосылки!$W263*Продажи!G28*G$19*(1+Чувствительность!$D$20)*IFERROR(LOOKUP(Предпосылки!$H$220,$C$13:$C$15,G$13:G$15),1)</f>
        <v>0</v>
      </c>
      <c s="125">
        <f>Предпосылки!G$247*Предпосылки!$W263*Продажи!H28*H$19*(1+Чувствительность!$D$20)*IFERROR(LOOKUP(Предпосылки!$H$220,$C$13:$C$15,H$13:H$15),1)</f>
        <v>0</v>
      </c>
      <c s="125">
        <f>Предпосылки!H$247*Предпосылки!$W263*Продажи!I28*I$19*(1+Чувствительность!$D$20)*IFERROR(LOOKUP(Предпосылки!$H$220,$C$13:$C$15,I$13:I$15),1)</f>
        <v>0</v>
      </c>
      <c s="125">
        <f>Предпосылки!I$247*Предпосылки!$W263*Продажи!J28*J$19*(1+Чувствительность!$D$20)*IFERROR(LOOKUP(Предпосылки!$H$220,$C$13:$C$15,J$13:J$15),1)</f>
        <v>0</v>
      </c>
      <c s="125">
        <f>Предпосылки!J$247*Предпосылки!$W263*Продажи!K28*K$19*(1+Чувствительность!$D$20)*IFERROR(LOOKUP(Предпосылки!$H$220,$C$13:$C$15,K$13:K$15),1)</f>
        <v>0</v>
      </c>
      <c s="125">
        <f>Предпосылки!K$247*Предпосылки!$W263*Продажи!L28*L$19*(1+Чувствительность!$D$20)*IFERROR(LOOKUP(Предпосылки!$H$220,$C$13:$C$15,L$13:L$15),1)</f>
        <v>0</v>
      </c>
      <c s="125">
        <f>Предпосылки!L$247*Предпосылки!$W263*Продажи!M28*M$19*(1+Чувствительность!$D$20)*IFERROR(LOOKUP(Предпосылки!$H$220,$C$13:$C$15,M$13:M$15),1)</f>
        <v>0</v>
      </c>
      <c s="125">
        <f>Предпосылки!M$247*Предпосылки!$W263*Продажи!N28*N$19*(1+Чувствительность!$D$20)*IFERROR(LOOKUP(Предпосылки!$H$220,$C$13:$C$15,N$13:N$15),1)</f>
        <v>0</v>
      </c>
      <c s="125">
        <f>Предпосылки!N$247*Предпосылки!$W263*Продажи!O28*O$19*(1+Чувствительность!$D$20)*IFERROR(LOOKUP(Предпосылки!$H$220,$C$13:$C$15,O$13:O$15),1)</f>
        <v>0</v>
      </c>
      <c s="125">
        <f>Предпосылки!O$247*Предпосылки!$W263*Продажи!P28*P$19*(1+Чувствительность!$D$20)*IFERROR(LOOKUP(Предпосылки!$H$220,$C$13:$C$15,P$13:P$15),1)</f>
        <v>0</v>
      </c>
      <c s="125">
        <f>Предпосылки!P$247*Предпосылки!$W263*Продажи!Q28*Q$19*(1+Чувствительность!$D$20)*IFERROR(LOOKUP(Предпосылки!$H$220,$C$13:$C$15,Q$13:Q$15),1)</f>
        <v>0</v>
      </c>
      <c s="125">
        <f>Предпосылки!Q$247*Предпосылки!$W263*Продажи!R28*R$19*(1+Чувствительность!$D$20)*IFERROR(LOOKUP(Предпосылки!$H$220,$C$13:$C$15,R$13:R$15),1)</f>
        <v>0</v>
      </c>
      <c s="125">
        <f>Предпосылки!R$247*Предпосылки!$W263*Продажи!S28*S$19*(1+Чувствительность!$D$20)*IFERROR(LOOKUP(Предпосылки!$H$220,$C$13:$C$15,S$13:S$15),1)</f>
        <v>0</v>
      </c>
      <c s="125">
        <f>Предпосылки!S$247*Предпосылки!$W263*Продажи!T28*T$19*(1+Чувствительность!$D$20)*IFERROR(LOOKUP(Предпосылки!$H$220,$C$13:$C$15,T$13:T$15),1)</f>
        <v>0</v>
      </c>
      <c s="125">
        <f>Предпосылки!T$247*Предпосылки!$W263*Продажи!U28*U$19*(1+Чувствительность!$D$20)*IFERROR(LOOKUP(Предпосылки!$H$220,$C$13:$C$15,U$13:U$15),1)</f>
        <v>0</v>
      </c>
      <c s="125">
        <f>Предпосылки!U$247*Предпосылки!$W263*Продажи!V28*V$19*(1+Чувствительность!$D$20)*IFERROR(LOOKUP(Предпосылки!$H$220,$C$13:$C$15,V$13:V$15),1)</f>
        <v>0</v>
      </c>
      <c s="125">
        <f>Предпосылки!V$247*Предпосылки!$W263*Продажи!W28*W$19*(1+Чувствительность!$D$20)*IFERROR(LOOKUP(Предпосылки!$H$220,$C$13:$C$15,W$13:W$15),1)</f>
        <v>0</v>
      </c>
      <c s="125">
        <f>Предпосылки!W$247*Предпосылки!$W263*Продажи!X28*X$19*(1+Чувствительность!$D$20)*IFERROR(LOOKUP(Предпосылки!$H$220,$C$13:$C$15,X$13:X$15),1)</f>
        <v>0</v>
      </c>
      <c s="125">
        <f>Предпосылки!X$247*Предпосылки!$W263*Продажи!Y28*Y$19*(1+Чувствительность!$D$20)*IFERROR(LOOKUP(Предпосылки!$H$220,$C$13:$C$15,Y$13:Y$15),1)</f>
        <v>0</v>
      </c>
      <c s="125">
        <f>Предпосылки!Y$247*Предпосылки!$W263*Продажи!Z28*Z$19*(1+Чувствительность!$D$20)*IFERROR(LOOKUP(Предпосылки!$H$220,$C$13:$C$15,Z$13:Z$15),1)</f>
        <v>0</v>
      </c>
      <c s="125">
        <f>Предпосылки!Z$247*Предпосылки!$W263*Продажи!AA28*AA$19*(1+Чувствительность!$D$20)*IFERROR(LOOKUP(Предпосылки!$H$220,$C$13:$C$15,AA$13:AA$15),1)</f>
        <v>0</v>
      </c>
      <c s="125">
        <f>Предпосылки!AA$247*Предпосылки!$W263*Продажи!AB28*AB$19*(1+Чувствительность!$D$20)*IFERROR(LOOKUP(Предпосылки!$H$220,$C$13:$C$15,AB$13:AB$15),1)</f>
        <v>0</v>
      </c>
      <c s="125">
        <f>Предпосылки!AB$247*Предпосылки!$W263*Продажи!AC28*AC$19*(1+Чувствительность!$D$20)*IFERROR(LOOKUP(Предпосылки!$H$220,$C$13:$C$15,AC$13:AC$15),1)</f>
        <v>0</v>
      </c>
      <c s="125">
        <f>Предпосылки!AC$247*Предпосылки!$W263*Продажи!AD28*AD$19*(1+Чувствительность!$D$20)*IFERROR(LOOKUP(Предпосылки!$H$220,$C$13:$C$15,AD$13:AD$15),1)</f>
        <v>0</v>
      </c>
      <c s="125">
        <f>Предпосылки!AD$247*Предпосылки!$W263*Продажи!AE28*AE$19*(1+Чувствительность!$D$20)*IFERROR(LOOKUP(Предпосылки!$H$220,$C$13:$C$15,AE$13:AE$15),1)</f>
        <v>0</v>
      </c>
      <c s="125">
        <f>Предпосылки!AE$247*Предпосылки!$W263*Продажи!AF28*AF$19*(1+Чувствительность!$D$20)*IFERROR(LOOKUP(Предпосылки!$H$220,$C$13:$C$15,AF$13:AF$15),1)</f>
        <v>0</v>
      </c>
      <c s="125">
        <f>Предпосылки!AF$247*Предпосылки!$W263*Продажи!AG28*AG$19*(1+Чувствительность!$D$20)*IFERROR(LOOKUP(Предпосылки!$H$220,$C$13:$C$15,AG$13:AG$15),1)</f>
        <v>0</v>
      </c>
      <c s="125">
        <f>Предпосылки!AG$247*Предпосылки!$W263*Продажи!AH28*AH$19*(1+Чувствительность!$D$20)*IFERROR(LOOKUP(Предпосылки!$H$220,$C$13:$C$15,AH$13:AH$15),1)</f>
        <v>0</v>
      </c>
      <c s="125">
        <f>Предпосылки!AH$247*Предпосылки!$W263*Продажи!AI28*AI$19*(1+Чувствительность!$D$20)*IFERROR(LOOKUP(Предпосылки!$H$220,$C$13:$C$15,AI$13:AI$15),1)</f>
        <v>0</v>
      </c>
      <c s="125">
        <f>Предпосылки!AI$247*Предпосылки!$W263*Продажи!AJ28*AJ$19*(1+Чувствительность!$D$20)*IFERROR(LOOKUP(Предпосылки!$H$220,$C$13:$C$15,AJ$13:AJ$15),1)</f>
        <v>0</v>
      </c>
      <c s="125">
        <f>Предпосылки!AJ$247*Предпосылки!$W263*Продажи!AK28*AK$19*(1+Чувствительность!$D$20)*IFERROR(LOOKUP(Предпосылки!$H$220,$C$13:$C$15,AK$13:AK$15),1)</f>
        <v>0</v>
      </c>
      <c s="125">
        <f>Предпосылки!AK$247*Предпосылки!$W263*Продажи!AL28*AL$19*(1+Чувствительность!$D$20)*IFERROR(LOOKUP(Предпосылки!$H$220,$C$13:$C$15,AL$13:AL$15),1)</f>
        <v>0</v>
      </c>
      <c s="125">
        <f>Предпосылки!AL$247*Предпосылки!$W263*Продажи!AM28*AM$19*(1+Чувствительность!$D$20)*IFERROR(LOOKUP(Предпосылки!$H$220,$C$13:$C$15,AM$13:AM$15),1)</f>
        <v>0</v>
      </c>
      <c s="125">
        <f>Предпосылки!AM$247*Предпосылки!$W263*Продажи!AN28*AN$19*(1+Чувствительность!$D$20)*IFERROR(LOOKUP(Предпосылки!$H$220,$C$13:$C$15,AN$13:AN$15),1)</f>
        <v>0</v>
      </c>
      <c s="125">
        <f>Предпосылки!AN$247*Предпосылки!$W263*Продажи!AO28*AO$19*(1+Чувствительность!$D$20)*IFERROR(LOOKUP(Предпосылки!$H$220,$C$13:$C$15,AO$13:AO$15),1)</f>
        <v>0</v>
      </c>
      <c s="125">
        <f>Предпосылки!AO$247*Предпосылки!$W263*Продажи!AP28*AP$19*(1+Чувствительность!$D$20)*IFERROR(LOOKUP(Предпосылки!$H$220,$C$13:$C$15,AP$13:AP$15),1)</f>
        <v>0</v>
      </c>
      <c s="125">
        <f>Предпосылки!AP$247*Предпосылки!$W263*Продажи!AQ28*AQ$19*(1+Чувствительность!$D$20)*IFERROR(LOOKUP(Предпосылки!$H$220,$C$13:$C$15,AQ$13:AQ$15),1)</f>
        <v>0</v>
      </c>
      <c s="125">
        <f>Предпосылки!AQ$247*Предпосылки!$W263*Продажи!AR28*AR$19*(1+Чувствительность!$D$20)*IFERROR(LOOKUP(Предпосылки!$H$220,$C$13:$C$15,AR$13:AR$15),1)</f>
        <v>0</v>
      </c>
      <c s="125">
        <f>Предпосылки!AR$247*Предпосылки!$W263*Продажи!AS28*AS$19*(1+Чувствительность!$D$20)*IFERROR(LOOKUP(Предпосылки!$H$220,$C$13:$C$15,AS$13:AS$15),1)</f>
        <v>0</v>
      </c>
      <c s="125">
        <f>Предпосылки!AS$247*Предпосылки!$W263*Продажи!AT28*AT$19*(1+Чувствительность!$D$20)*IFERROR(LOOKUP(Предпосылки!$H$220,$C$13:$C$15,AT$13:AT$15),1)</f>
        <v>0</v>
      </c>
      <c s="125">
        <f>Предпосылки!AT$247*Предпосылки!$W263*Продажи!AU28*AU$19*(1+Чувствительность!$D$20)*IFERROR(LOOKUP(Предпосылки!$H$220,$C$13:$C$15,AU$13:AU$15),1)</f>
        <v>0</v>
      </c>
      <c s="125">
        <f>Предпосылки!AU$247*Предпосылки!$W263*Продажи!AV28*AV$19*(1+Чувствительность!$D$20)*IFERROR(LOOKUP(Предпосылки!$H$220,$C$13:$C$15,AV$13:AV$15),1)</f>
        <v>0</v>
      </c>
      <c s="125">
        <f>Предпосылки!AV$247*Предпосылки!$W263*Продажи!AW28*AW$19*(1+Чувствительность!$D$20)*IFERROR(LOOKUP(Предпосылки!$H$220,$C$13:$C$15,AW$13:AW$15),1)</f>
        <v>0</v>
      </c>
      <c s="125">
        <f>Предпосылки!AW$247*Предпосылки!$W263*Продажи!AX28*AX$19*(1+Чувствительность!$D$20)*IFERROR(LOOKUP(Предпосылки!$H$220,$C$13:$C$15,AX$13:AX$15),1)</f>
        <v>0</v>
      </c>
      <c s="125">
        <f>Предпосылки!AX$247*Предпосылки!$W263*Продажи!AY28*AY$19*(1+Чувствительность!$D$20)*IFERROR(LOOKUP(Предпосылки!$H$220,$C$13:$C$15,AY$13:AY$15),1)</f>
        <v>0</v>
      </c>
      <c s="125">
        <f>Предпосылки!AY$247*Предпосылки!$W263*Продажи!AZ28*AZ$19*(1+Чувствительность!$D$20)*IFERROR(LOOKUP(Предпосылки!$H$220,$C$13:$C$15,AZ$13:AZ$15),1)</f>
        <v>0</v>
      </c>
      <c s="125">
        <f>Предпосылки!AZ$247*Предпосылки!$W263*Продажи!BA28*BA$19*(1+Чувствительность!$D$20)*IFERROR(LOOKUP(Предпосылки!$H$220,$C$13:$C$15,BA$13:BA$15),1)</f>
        <v>0</v>
      </c>
      <c s="125">
        <f>Предпосылки!BA$247*Предпосылки!$W263*Продажи!BB28*BB$19*(1+Чувствительность!$D$20)*IFERROR(LOOKUP(Предпосылки!$H$220,$C$13:$C$15,BB$13:BB$15),1)</f>
        <v>0</v>
      </c>
      <c s="125">
        <f>Предпосылки!BB$247*Предпосылки!$W263*Продажи!BC28*BC$19*(1+Чувствительность!$D$20)*IFERROR(LOOKUP(Предпосылки!$H$220,$C$13:$C$15,BC$13:BC$15),1)</f>
        <v>0</v>
      </c>
      <c s="125">
        <f>Предпосылки!BC$247*Предпосылки!$W263*Продажи!BD28*BD$19*(1+Чувствительность!$D$20)*IFERROR(LOOKUP(Предпосылки!$H$220,$C$13:$C$15,BD$13:BD$15),1)</f>
        <v>0</v>
      </c>
      <c s="125">
        <f>Предпосылки!BD$247*Предпосылки!$W263*Продажи!BE28*BE$19*(1+Чувствительность!$D$20)*IFERROR(LOOKUP(Предпосылки!$H$220,$C$13:$C$15,BE$13:BE$15),1)</f>
        <v>0</v>
      </c>
      <c s="125">
        <f>Предпосылки!BE$247*Предпосылки!$W263*Продажи!BF28*BF$19*(1+Чувствительность!$D$20)*IFERROR(LOOKUP(Предпосылки!$H$220,$C$13:$C$15,BF$13:BF$15),1)</f>
        <v>0</v>
      </c>
      <c s="125">
        <f>Предпосылки!BF$247*Предпосылки!$W263*Продажи!BG28*BG$19*(1+Чувствительность!$D$20)*IFERROR(LOOKUP(Предпосылки!$H$220,$C$13:$C$15,BG$13:BG$15),1)</f>
        <v>0</v>
      </c>
      <c s="125">
        <f>Предпосылки!BG$247*Предпосылки!$W263*Продажи!BH28*BH$19*(1+Чувствительность!$D$20)*IFERROR(LOOKUP(Предпосылки!$H$220,$C$13:$C$15,BH$13:BH$15),1)</f>
        <v>0</v>
      </c>
      <c s="125">
        <f>Предпосылки!BH$247*Предпосылки!$W263*Продажи!BI28*BI$19*(1+Чувствительность!$D$20)*IFERROR(LOOKUP(Предпосылки!$H$220,$C$13:$C$15,BI$13:BI$15),1)</f>
        <v>0</v>
      </c>
      <c s="125">
        <f>Предпосылки!BI$247*Предпосылки!$W263*Продажи!BJ28*BJ$19*(1+Чувствительность!$D$20)*IFERROR(LOOKUP(Предпосылки!$H$220,$C$13:$C$15,BJ$13:BJ$15),1)</f>
        <v>0</v>
      </c>
      <c s="125">
        <f>Предпосылки!BJ$247*Предпосылки!$W263*Продажи!BK28*BK$19*(1+Чувствительность!$D$20)*IFERROR(LOOKUP(Предпосылки!$H$220,$C$13:$C$15,BK$13:BK$15),1)</f>
        <v>0</v>
      </c>
      <c s="125">
        <f>Предпосылки!BK$247*Предпосылки!$W263*Продажи!BL28*BL$19*(1+Чувствительность!$D$20)*IFERROR(LOOKUP(Предпосылки!$H$220,$C$13:$C$15,BL$13:BL$15),1)</f>
        <v>0</v>
      </c>
      <c s="125">
        <f>Предпосылки!BL$247*Предпосылки!$W263*Продажи!BM28*BM$19*(1+Чувствительность!$D$20)*IFERROR(LOOKUP(Предпосылки!$H$220,$C$13:$C$15,BM$13:BM$15),1)</f>
        <v>0</v>
      </c>
    </row>
    <row r="471" spans="2:65" ht="15" customHeight="1">
      <c r="B471" s="12" t="str">
        <f t="shared" si="156"/>
        <v>Продукт 12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Предпосылки!D$247*Предпосылки!$W264*Продажи!E29*E$19*(1+Чувствительность!$D$20)*IFERROR(LOOKUP(Предпосылки!$H$220,$C$13:$C$15,E$13:E$15),1)</f>
        <v>0</v>
      </c>
      <c s="125">
        <f>Предпосылки!E$247*Предпосылки!$W264*Продажи!F29*F$19*(1+Чувствительность!$D$20)*IFERROR(LOOKUP(Предпосылки!$H$220,$C$13:$C$15,F$13:F$15),1)</f>
        <v>0</v>
      </c>
      <c s="125">
        <f>Предпосылки!F$247*Предпосылки!$W264*Продажи!G29*G$19*(1+Чувствительность!$D$20)*IFERROR(LOOKUP(Предпосылки!$H$220,$C$13:$C$15,G$13:G$15),1)</f>
        <v>0</v>
      </c>
      <c s="125">
        <f>Предпосылки!G$247*Предпосылки!$W264*Продажи!H29*H$19*(1+Чувствительность!$D$20)*IFERROR(LOOKUP(Предпосылки!$H$220,$C$13:$C$15,H$13:H$15),1)</f>
        <v>0</v>
      </c>
      <c s="125">
        <f>Предпосылки!H$247*Предпосылки!$W264*Продажи!I29*I$19*(1+Чувствительность!$D$20)*IFERROR(LOOKUP(Предпосылки!$H$220,$C$13:$C$15,I$13:I$15),1)</f>
        <v>0</v>
      </c>
      <c s="125">
        <f>Предпосылки!I$247*Предпосылки!$W264*Продажи!J29*J$19*(1+Чувствительность!$D$20)*IFERROR(LOOKUP(Предпосылки!$H$220,$C$13:$C$15,J$13:J$15),1)</f>
        <v>0</v>
      </c>
      <c s="125">
        <f>Предпосылки!J$247*Предпосылки!$W264*Продажи!K29*K$19*(1+Чувствительность!$D$20)*IFERROR(LOOKUP(Предпосылки!$H$220,$C$13:$C$15,K$13:K$15),1)</f>
        <v>0</v>
      </c>
      <c s="125">
        <f>Предпосылки!K$247*Предпосылки!$W264*Продажи!L29*L$19*(1+Чувствительность!$D$20)*IFERROR(LOOKUP(Предпосылки!$H$220,$C$13:$C$15,L$13:L$15),1)</f>
        <v>0</v>
      </c>
      <c s="125">
        <f>Предпосылки!L$247*Предпосылки!$W264*Продажи!M29*M$19*(1+Чувствительность!$D$20)*IFERROR(LOOKUP(Предпосылки!$H$220,$C$13:$C$15,M$13:M$15),1)</f>
        <v>0</v>
      </c>
      <c s="125">
        <f>Предпосылки!M$247*Предпосылки!$W264*Продажи!N29*N$19*(1+Чувствительность!$D$20)*IFERROR(LOOKUP(Предпосылки!$H$220,$C$13:$C$15,N$13:N$15),1)</f>
        <v>0</v>
      </c>
      <c s="125">
        <f>Предпосылки!N$247*Предпосылки!$W264*Продажи!O29*O$19*(1+Чувствительность!$D$20)*IFERROR(LOOKUP(Предпосылки!$H$220,$C$13:$C$15,O$13:O$15),1)</f>
        <v>0</v>
      </c>
      <c s="125">
        <f>Предпосылки!O$247*Предпосылки!$W264*Продажи!P29*P$19*(1+Чувствительность!$D$20)*IFERROR(LOOKUP(Предпосылки!$H$220,$C$13:$C$15,P$13:P$15),1)</f>
        <v>0</v>
      </c>
      <c s="125">
        <f>Предпосылки!P$247*Предпосылки!$W264*Продажи!Q29*Q$19*(1+Чувствительность!$D$20)*IFERROR(LOOKUP(Предпосылки!$H$220,$C$13:$C$15,Q$13:Q$15),1)</f>
        <v>0</v>
      </c>
      <c s="125">
        <f>Предпосылки!Q$247*Предпосылки!$W264*Продажи!R29*R$19*(1+Чувствительность!$D$20)*IFERROR(LOOKUP(Предпосылки!$H$220,$C$13:$C$15,R$13:R$15),1)</f>
        <v>0</v>
      </c>
      <c s="125">
        <f>Предпосылки!R$247*Предпосылки!$W264*Продажи!S29*S$19*(1+Чувствительность!$D$20)*IFERROR(LOOKUP(Предпосылки!$H$220,$C$13:$C$15,S$13:S$15),1)</f>
        <v>0</v>
      </c>
      <c s="125">
        <f>Предпосылки!S$247*Предпосылки!$W264*Продажи!T29*T$19*(1+Чувствительность!$D$20)*IFERROR(LOOKUP(Предпосылки!$H$220,$C$13:$C$15,T$13:T$15),1)</f>
        <v>0</v>
      </c>
      <c s="125">
        <f>Предпосылки!T$247*Предпосылки!$W264*Продажи!U29*U$19*(1+Чувствительность!$D$20)*IFERROR(LOOKUP(Предпосылки!$H$220,$C$13:$C$15,U$13:U$15),1)</f>
        <v>0</v>
      </c>
      <c s="125">
        <f>Предпосылки!U$247*Предпосылки!$W264*Продажи!V29*V$19*(1+Чувствительность!$D$20)*IFERROR(LOOKUP(Предпосылки!$H$220,$C$13:$C$15,V$13:V$15),1)</f>
        <v>0</v>
      </c>
      <c s="125">
        <f>Предпосылки!V$247*Предпосылки!$W264*Продажи!W29*W$19*(1+Чувствительность!$D$20)*IFERROR(LOOKUP(Предпосылки!$H$220,$C$13:$C$15,W$13:W$15),1)</f>
        <v>0</v>
      </c>
      <c s="125">
        <f>Предпосылки!W$247*Предпосылки!$W264*Продажи!X29*X$19*(1+Чувствительность!$D$20)*IFERROR(LOOKUP(Предпосылки!$H$220,$C$13:$C$15,X$13:X$15),1)</f>
        <v>0</v>
      </c>
      <c s="125">
        <f>Предпосылки!X$247*Предпосылки!$W264*Продажи!Y29*Y$19*(1+Чувствительность!$D$20)*IFERROR(LOOKUP(Предпосылки!$H$220,$C$13:$C$15,Y$13:Y$15),1)</f>
        <v>0</v>
      </c>
      <c s="125">
        <f>Предпосылки!Y$247*Предпосылки!$W264*Продажи!Z29*Z$19*(1+Чувствительность!$D$20)*IFERROR(LOOKUP(Предпосылки!$H$220,$C$13:$C$15,Z$13:Z$15),1)</f>
        <v>0</v>
      </c>
      <c s="125">
        <f>Предпосылки!Z$247*Предпосылки!$W264*Продажи!AA29*AA$19*(1+Чувствительность!$D$20)*IFERROR(LOOKUP(Предпосылки!$H$220,$C$13:$C$15,AA$13:AA$15),1)</f>
        <v>0</v>
      </c>
      <c s="125">
        <f>Предпосылки!AA$247*Предпосылки!$W264*Продажи!AB29*AB$19*(1+Чувствительность!$D$20)*IFERROR(LOOKUP(Предпосылки!$H$220,$C$13:$C$15,AB$13:AB$15),1)</f>
        <v>0</v>
      </c>
      <c s="125">
        <f>Предпосылки!AB$247*Предпосылки!$W264*Продажи!AC29*AC$19*(1+Чувствительность!$D$20)*IFERROR(LOOKUP(Предпосылки!$H$220,$C$13:$C$15,AC$13:AC$15),1)</f>
        <v>0</v>
      </c>
      <c s="125">
        <f>Предпосылки!AC$247*Предпосылки!$W264*Продажи!AD29*AD$19*(1+Чувствительность!$D$20)*IFERROR(LOOKUP(Предпосылки!$H$220,$C$13:$C$15,AD$13:AD$15),1)</f>
        <v>0</v>
      </c>
      <c s="125">
        <f>Предпосылки!AD$247*Предпосылки!$W264*Продажи!AE29*AE$19*(1+Чувствительность!$D$20)*IFERROR(LOOKUP(Предпосылки!$H$220,$C$13:$C$15,AE$13:AE$15),1)</f>
        <v>0</v>
      </c>
      <c s="125">
        <f>Предпосылки!AE$247*Предпосылки!$W264*Продажи!AF29*AF$19*(1+Чувствительность!$D$20)*IFERROR(LOOKUP(Предпосылки!$H$220,$C$13:$C$15,AF$13:AF$15),1)</f>
        <v>0</v>
      </c>
      <c s="125">
        <f>Предпосылки!AF$247*Предпосылки!$W264*Продажи!AG29*AG$19*(1+Чувствительность!$D$20)*IFERROR(LOOKUP(Предпосылки!$H$220,$C$13:$C$15,AG$13:AG$15),1)</f>
        <v>0</v>
      </c>
      <c s="125">
        <f>Предпосылки!AG$247*Предпосылки!$W264*Продажи!AH29*AH$19*(1+Чувствительность!$D$20)*IFERROR(LOOKUP(Предпосылки!$H$220,$C$13:$C$15,AH$13:AH$15),1)</f>
        <v>0</v>
      </c>
      <c s="125">
        <f>Предпосылки!AH$247*Предпосылки!$W264*Продажи!AI29*AI$19*(1+Чувствительность!$D$20)*IFERROR(LOOKUP(Предпосылки!$H$220,$C$13:$C$15,AI$13:AI$15),1)</f>
        <v>0</v>
      </c>
      <c s="125">
        <f>Предпосылки!AI$247*Предпосылки!$W264*Продажи!AJ29*AJ$19*(1+Чувствительность!$D$20)*IFERROR(LOOKUP(Предпосылки!$H$220,$C$13:$C$15,AJ$13:AJ$15),1)</f>
        <v>0</v>
      </c>
      <c s="125">
        <f>Предпосылки!AJ$247*Предпосылки!$W264*Продажи!AK29*AK$19*(1+Чувствительность!$D$20)*IFERROR(LOOKUP(Предпосылки!$H$220,$C$13:$C$15,AK$13:AK$15),1)</f>
        <v>0</v>
      </c>
      <c s="125">
        <f>Предпосылки!AK$247*Предпосылки!$W264*Продажи!AL29*AL$19*(1+Чувствительность!$D$20)*IFERROR(LOOKUP(Предпосылки!$H$220,$C$13:$C$15,AL$13:AL$15),1)</f>
        <v>0</v>
      </c>
      <c s="125">
        <f>Предпосылки!AL$247*Предпосылки!$W264*Продажи!AM29*AM$19*(1+Чувствительность!$D$20)*IFERROR(LOOKUP(Предпосылки!$H$220,$C$13:$C$15,AM$13:AM$15),1)</f>
        <v>0</v>
      </c>
      <c s="125">
        <f>Предпосылки!AM$247*Предпосылки!$W264*Продажи!AN29*AN$19*(1+Чувствительность!$D$20)*IFERROR(LOOKUP(Предпосылки!$H$220,$C$13:$C$15,AN$13:AN$15),1)</f>
        <v>0</v>
      </c>
      <c s="125">
        <f>Предпосылки!AN$247*Предпосылки!$W264*Продажи!AO29*AO$19*(1+Чувствительность!$D$20)*IFERROR(LOOKUP(Предпосылки!$H$220,$C$13:$C$15,AO$13:AO$15),1)</f>
        <v>0</v>
      </c>
      <c s="125">
        <f>Предпосылки!AO$247*Предпосылки!$W264*Продажи!AP29*AP$19*(1+Чувствительность!$D$20)*IFERROR(LOOKUP(Предпосылки!$H$220,$C$13:$C$15,AP$13:AP$15),1)</f>
        <v>0</v>
      </c>
      <c s="125">
        <f>Предпосылки!AP$247*Предпосылки!$W264*Продажи!AQ29*AQ$19*(1+Чувствительность!$D$20)*IFERROR(LOOKUP(Предпосылки!$H$220,$C$13:$C$15,AQ$13:AQ$15),1)</f>
        <v>0</v>
      </c>
      <c s="125">
        <f>Предпосылки!AQ$247*Предпосылки!$W264*Продажи!AR29*AR$19*(1+Чувствительность!$D$20)*IFERROR(LOOKUP(Предпосылки!$H$220,$C$13:$C$15,AR$13:AR$15),1)</f>
        <v>0</v>
      </c>
      <c s="125">
        <f>Предпосылки!AR$247*Предпосылки!$W264*Продажи!AS29*AS$19*(1+Чувствительность!$D$20)*IFERROR(LOOKUP(Предпосылки!$H$220,$C$13:$C$15,AS$13:AS$15),1)</f>
        <v>0</v>
      </c>
      <c s="125">
        <f>Предпосылки!AS$247*Предпосылки!$W264*Продажи!AT29*AT$19*(1+Чувствительность!$D$20)*IFERROR(LOOKUP(Предпосылки!$H$220,$C$13:$C$15,AT$13:AT$15),1)</f>
        <v>0</v>
      </c>
      <c s="125">
        <f>Предпосылки!AT$247*Предпосылки!$W264*Продажи!AU29*AU$19*(1+Чувствительность!$D$20)*IFERROR(LOOKUP(Предпосылки!$H$220,$C$13:$C$15,AU$13:AU$15),1)</f>
        <v>0</v>
      </c>
      <c s="125">
        <f>Предпосылки!AU$247*Предпосылки!$W264*Продажи!AV29*AV$19*(1+Чувствительность!$D$20)*IFERROR(LOOKUP(Предпосылки!$H$220,$C$13:$C$15,AV$13:AV$15),1)</f>
        <v>0</v>
      </c>
      <c s="125">
        <f>Предпосылки!AV$247*Предпосылки!$W264*Продажи!AW29*AW$19*(1+Чувствительность!$D$20)*IFERROR(LOOKUP(Предпосылки!$H$220,$C$13:$C$15,AW$13:AW$15),1)</f>
        <v>0</v>
      </c>
      <c s="125">
        <f>Предпосылки!AW$247*Предпосылки!$W264*Продажи!AX29*AX$19*(1+Чувствительность!$D$20)*IFERROR(LOOKUP(Предпосылки!$H$220,$C$13:$C$15,AX$13:AX$15),1)</f>
        <v>0</v>
      </c>
      <c s="125">
        <f>Предпосылки!AX$247*Предпосылки!$W264*Продажи!AY29*AY$19*(1+Чувствительность!$D$20)*IFERROR(LOOKUP(Предпосылки!$H$220,$C$13:$C$15,AY$13:AY$15),1)</f>
        <v>0</v>
      </c>
      <c s="125">
        <f>Предпосылки!AY$247*Предпосылки!$W264*Продажи!AZ29*AZ$19*(1+Чувствительность!$D$20)*IFERROR(LOOKUP(Предпосылки!$H$220,$C$13:$C$15,AZ$13:AZ$15),1)</f>
        <v>0</v>
      </c>
      <c s="125">
        <f>Предпосылки!AZ$247*Предпосылки!$W264*Продажи!BA29*BA$19*(1+Чувствительность!$D$20)*IFERROR(LOOKUP(Предпосылки!$H$220,$C$13:$C$15,BA$13:BA$15),1)</f>
        <v>0</v>
      </c>
      <c s="125">
        <f>Предпосылки!BA$247*Предпосылки!$W264*Продажи!BB29*BB$19*(1+Чувствительность!$D$20)*IFERROR(LOOKUP(Предпосылки!$H$220,$C$13:$C$15,BB$13:BB$15),1)</f>
        <v>0</v>
      </c>
      <c s="125">
        <f>Предпосылки!BB$247*Предпосылки!$W264*Продажи!BC29*BC$19*(1+Чувствительность!$D$20)*IFERROR(LOOKUP(Предпосылки!$H$220,$C$13:$C$15,BC$13:BC$15),1)</f>
        <v>0</v>
      </c>
      <c s="125">
        <f>Предпосылки!BC$247*Предпосылки!$W264*Продажи!BD29*BD$19*(1+Чувствительность!$D$20)*IFERROR(LOOKUP(Предпосылки!$H$220,$C$13:$C$15,BD$13:BD$15),1)</f>
        <v>0</v>
      </c>
      <c s="125">
        <f>Предпосылки!BD$247*Предпосылки!$W264*Продажи!BE29*BE$19*(1+Чувствительность!$D$20)*IFERROR(LOOKUP(Предпосылки!$H$220,$C$13:$C$15,BE$13:BE$15),1)</f>
        <v>0</v>
      </c>
      <c s="125">
        <f>Предпосылки!BE$247*Предпосылки!$W264*Продажи!BF29*BF$19*(1+Чувствительность!$D$20)*IFERROR(LOOKUP(Предпосылки!$H$220,$C$13:$C$15,BF$13:BF$15),1)</f>
        <v>0</v>
      </c>
      <c s="125">
        <f>Предпосылки!BF$247*Предпосылки!$W264*Продажи!BG29*BG$19*(1+Чувствительность!$D$20)*IFERROR(LOOKUP(Предпосылки!$H$220,$C$13:$C$15,BG$13:BG$15),1)</f>
        <v>0</v>
      </c>
      <c s="125">
        <f>Предпосылки!BG$247*Предпосылки!$W264*Продажи!BH29*BH$19*(1+Чувствительность!$D$20)*IFERROR(LOOKUP(Предпосылки!$H$220,$C$13:$C$15,BH$13:BH$15),1)</f>
        <v>0</v>
      </c>
      <c s="125">
        <f>Предпосылки!BH$247*Предпосылки!$W264*Продажи!BI29*BI$19*(1+Чувствительность!$D$20)*IFERROR(LOOKUP(Предпосылки!$H$220,$C$13:$C$15,BI$13:BI$15),1)</f>
        <v>0</v>
      </c>
      <c s="125">
        <f>Предпосылки!BI$247*Предпосылки!$W264*Продажи!BJ29*BJ$19*(1+Чувствительность!$D$20)*IFERROR(LOOKUP(Предпосылки!$H$220,$C$13:$C$15,BJ$13:BJ$15),1)</f>
        <v>0</v>
      </c>
      <c s="125">
        <f>Предпосылки!BJ$247*Предпосылки!$W264*Продажи!BK29*BK$19*(1+Чувствительность!$D$20)*IFERROR(LOOKUP(Предпосылки!$H$220,$C$13:$C$15,BK$13:BK$15),1)</f>
        <v>0</v>
      </c>
      <c s="125">
        <f>Предпосылки!BK$247*Предпосылки!$W264*Продажи!BL29*BL$19*(1+Чувствительность!$D$20)*IFERROR(LOOKUP(Предпосылки!$H$220,$C$13:$C$15,BL$13:BL$15),1)</f>
        <v>0</v>
      </c>
      <c s="125">
        <f>Предпосылки!BL$247*Предпосылки!$W264*Продажи!BM29*BM$19*(1+Чувствительность!$D$20)*IFERROR(LOOKUP(Предпосылки!$H$220,$C$13:$C$15,BM$13:BM$15),1)</f>
        <v>0</v>
      </c>
    </row>
    <row r="472" spans="2:65" ht="15" customHeight="1">
      <c r="B472" s="12" t="str">
        <f t="shared" si="156"/>
        <v>Продукт 13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Предпосылки!D$247*Предпосылки!$W265*Продажи!E30*E$19*(1+Чувствительность!$D$20)*IFERROR(LOOKUP(Предпосылки!$H$220,$C$13:$C$15,E$13:E$15),1)</f>
        <v>0</v>
      </c>
      <c s="125">
        <f>Предпосылки!E$247*Предпосылки!$W265*Продажи!F30*F$19*(1+Чувствительность!$D$20)*IFERROR(LOOKUP(Предпосылки!$H$220,$C$13:$C$15,F$13:F$15),1)</f>
        <v>0</v>
      </c>
      <c s="125">
        <f>Предпосылки!F$247*Предпосылки!$W265*Продажи!G30*G$19*(1+Чувствительность!$D$20)*IFERROR(LOOKUP(Предпосылки!$H$220,$C$13:$C$15,G$13:G$15),1)</f>
        <v>0</v>
      </c>
      <c s="125">
        <f>Предпосылки!G$247*Предпосылки!$W265*Продажи!H30*H$19*(1+Чувствительность!$D$20)*IFERROR(LOOKUP(Предпосылки!$H$220,$C$13:$C$15,H$13:H$15),1)</f>
        <v>0</v>
      </c>
      <c s="125">
        <f>Предпосылки!H$247*Предпосылки!$W265*Продажи!I30*I$19*(1+Чувствительность!$D$20)*IFERROR(LOOKUP(Предпосылки!$H$220,$C$13:$C$15,I$13:I$15),1)</f>
        <v>0</v>
      </c>
      <c s="125">
        <f>Предпосылки!I$247*Предпосылки!$W265*Продажи!J30*J$19*(1+Чувствительность!$D$20)*IFERROR(LOOKUP(Предпосылки!$H$220,$C$13:$C$15,J$13:J$15),1)</f>
        <v>0</v>
      </c>
      <c s="125">
        <f>Предпосылки!J$247*Предпосылки!$W265*Продажи!K30*K$19*(1+Чувствительность!$D$20)*IFERROR(LOOKUP(Предпосылки!$H$220,$C$13:$C$15,K$13:K$15),1)</f>
        <v>0</v>
      </c>
      <c s="125">
        <f>Предпосылки!K$247*Предпосылки!$W265*Продажи!L30*L$19*(1+Чувствительность!$D$20)*IFERROR(LOOKUP(Предпосылки!$H$220,$C$13:$C$15,L$13:L$15),1)</f>
        <v>0</v>
      </c>
      <c s="125">
        <f>Предпосылки!L$247*Предпосылки!$W265*Продажи!M30*M$19*(1+Чувствительность!$D$20)*IFERROR(LOOKUP(Предпосылки!$H$220,$C$13:$C$15,M$13:M$15),1)</f>
        <v>0</v>
      </c>
      <c s="125">
        <f>Предпосылки!M$247*Предпосылки!$W265*Продажи!N30*N$19*(1+Чувствительность!$D$20)*IFERROR(LOOKUP(Предпосылки!$H$220,$C$13:$C$15,N$13:N$15),1)</f>
        <v>0</v>
      </c>
      <c s="125">
        <f>Предпосылки!N$247*Предпосылки!$W265*Продажи!O30*O$19*(1+Чувствительность!$D$20)*IFERROR(LOOKUP(Предпосылки!$H$220,$C$13:$C$15,O$13:O$15),1)</f>
        <v>0</v>
      </c>
      <c s="125">
        <f>Предпосылки!O$247*Предпосылки!$W265*Продажи!P30*P$19*(1+Чувствительность!$D$20)*IFERROR(LOOKUP(Предпосылки!$H$220,$C$13:$C$15,P$13:P$15),1)</f>
        <v>0</v>
      </c>
      <c s="125">
        <f>Предпосылки!P$247*Предпосылки!$W265*Продажи!Q30*Q$19*(1+Чувствительность!$D$20)*IFERROR(LOOKUP(Предпосылки!$H$220,$C$13:$C$15,Q$13:Q$15),1)</f>
        <v>0</v>
      </c>
      <c s="125">
        <f>Предпосылки!Q$247*Предпосылки!$W265*Продажи!R30*R$19*(1+Чувствительность!$D$20)*IFERROR(LOOKUP(Предпосылки!$H$220,$C$13:$C$15,R$13:R$15),1)</f>
        <v>0</v>
      </c>
      <c s="125">
        <f>Предпосылки!R$247*Предпосылки!$W265*Продажи!S30*S$19*(1+Чувствительность!$D$20)*IFERROR(LOOKUP(Предпосылки!$H$220,$C$13:$C$15,S$13:S$15),1)</f>
        <v>0</v>
      </c>
      <c s="125">
        <f>Предпосылки!S$247*Предпосылки!$W265*Продажи!T30*T$19*(1+Чувствительность!$D$20)*IFERROR(LOOKUP(Предпосылки!$H$220,$C$13:$C$15,T$13:T$15),1)</f>
        <v>0</v>
      </c>
      <c s="125">
        <f>Предпосылки!T$247*Предпосылки!$W265*Продажи!U30*U$19*(1+Чувствительность!$D$20)*IFERROR(LOOKUP(Предпосылки!$H$220,$C$13:$C$15,U$13:U$15),1)</f>
        <v>0</v>
      </c>
      <c s="125">
        <f>Предпосылки!U$247*Предпосылки!$W265*Продажи!V30*V$19*(1+Чувствительность!$D$20)*IFERROR(LOOKUP(Предпосылки!$H$220,$C$13:$C$15,V$13:V$15),1)</f>
        <v>0</v>
      </c>
      <c s="125">
        <f>Предпосылки!V$247*Предпосылки!$W265*Продажи!W30*W$19*(1+Чувствительность!$D$20)*IFERROR(LOOKUP(Предпосылки!$H$220,$C$13:$C$15,W$13:W$15),1)</f>
        <v>0</v>
      </c>
      <c s="125">
        <f>Предпосылки!W$247*Предпосылки!$W265*Продажи!X30*X$19*(1+Чувствительность!$D$20)*IFERROR(LOOKUP(Предпосылки!$H$220,$C$13:$C$15,X$13:X$15),1)</f>
        <v>0</v>
      </c>
      <c s="125">
        <f>Предпосылки!X$247*Предпосылки!$W265*Продажи!Y30*Y$19*(1+Чувствительность!$D$20)*IFERROR(LOOKUP(Предпосылки!$H$220,$C$13:$C$15,Y$13:Y$15),1)</f>
        <v>0</v>
      </c>
      <c s="125">
        <f>Предпосылки!Y$247*Предпосылки!$W265*Продажи!Z30*Z$19*(1+Чувствительность!$D$20)*IFERROR(LOOKUP(Предпосылки!$H$220,$C$13:$C$15,Z$13:Z$15),1)</f>
        <v>0</v>
      </c>
      <c s="125">
        <f>Предпосылки!Z$247*Предпосылки!$W265*Продажи!AA30*AA$19*(1+Чувствительность!$D$20)*IFERROR(LOOKUP(Предпосылки!$H$220,$C$13:$C$15,AA$13:AA$15),1)</f>
        <v>0</v>
      </c>
      <c s="125">
        <f>Предпосылки!AA$247*Предпосылки!$W265*Продажи!AB30*AB$19*(1+Чувствительность!$D$20)*IFERROR(LOOKUP(Предпосылки!$H$220,$C$13:$C$15,AB$13:AB$15),1)</f>
        <v>0</v>
      </c>
      <c s="125">
        <f>Предпосылки!AB$247*Предпосылки!$W265*Продажи!AC30*AC$19*(1+Чувствительность!$D$20)*IFERROR(LOOKUP(Предпосылки!$H$220,$C$13:$C$15,AC$13:AC$15),1)</f>
        <v>0</v>
      </c>
      <c s="125">
        <f>Предпосылки!AC$247*Предпосылки!$W265*Продажи!AD30*AD$19*(1+Чувствительность!$D$20)*IFERROR(LOOKUP(Предпосылки!$H$220,$C$13:$C$15,AD$13:AD$15),1)</f>
        <v>0</v>
      </c>
      <c s="125">
        <f>Предпосылки!AD$247*Предпосылки!$W265*Продажи!AE30*AE$19*(1+Чувствительность!$D$20)*IFERROR(LOOKUP(Предпосылки!$H$220,$C$13:$C$15,AE$13:AE$15),1)</f>
        <v>0</v>
      </c>
      <c s="125">
        <f>Предпосылки!AE$247*Предпосылки!$W265*Продажи!AF30*AF$19*(1+Чувствительность!$D$20)*IFERROR(LOOKUP(Предпосылки!$H$220,$C$13:$C$15,AF$13:AF$15),1)</f>
        <v>0</v>
      </c>
      <c s="125">
        <f>Предпосылки!AF$247*Предпосылки!$W265*Продажи!AG30*AG$19*(1+Чувствительность!$D$20)*IFERROR(LOOKUP(Предпосылки!$H$220,$C$13:$C$15,AG$13:AG$15),1)</f>
        <v>0</v>
      </c>
      <c s="125">
        <f>Предпосылки!AG$247*Предпосылки!$W265*Продажи!AH30*AH$19*(1+Чувствительность!$D$20)*IFERROR(LOOKUP(Предпосылки!$H$220,$C$13:$C$15,AH$13:AH$15),1)</f>
        <v>0</v>
      </c>
      <c s="125">
        <f>Предпосылки!AH$247*Предпосылки!$W265*Продажи!AI30*AI$19*(1+Чувствительность!$D$20)*IFERROR(LOOKUP(Предпосылки!$H$220,$C$13:$C$15,AI$13:AI$15),1)</f>
        <v>0</v>
      </c>
      <c s="125">
        <f>Предпосылки!AI$247*Предпосылки!$W265*Продажи!AJ30*AJ$19*(1+Чувствительность!$D$20)*IFERROR(LOOKUP(Предпосылки!$H$220,$C$13:$C$15,AJ$13:AJ$15),1)</f>
        <v>0</v>
      </c>
      <c s="125">
        <f>Предпосылки!AJ$247*Предпосылки!$W265*Продажи!AK30*AK$19*(1+Чувствительность!$D$20)*IFERROR(LOOKUP(Предпосылки!$H$220,$C$13:$C$15,AK$13:AK$15),1)</f>
        <v>0</v>
      </c>
      <c s="125">
        <f>Предпосылки!AK$247*Предпосылки!$W265*Продажи!AL30*AL$19*(1+Чувствительность!$D$20)*IFERROR(LOOKUP(Предпосылки!$H$220,$C$13:$C$15,AL$13:AL$15),1)</f>
        <v>0</v>
      </c>
      <c s="125">
        <f>Предпосылки!AL$247*Предпосылки!$W265*Продажи!AM30*AM$19*(1+Чувствительность!$D$20)*IFERROR(LOOKUP(Предпосылки!$H$220,$C$13:$C$15,AM$13:AM$15),1)</f>
        <v>0</v>
      </c>
      <c s="125">
        <f>Предпосылки!AM$247*Предпосылки!$W265*Продажи!AN30*AN$19*(1+Чувствительность!$D$20)*IFERROR(LOOKUP(Предпосылки!$H$220,$C$13:$C$15,AN$13:AN$15),1)</f>
        <v>0</v>
      </c>
      <c s="125">
        <f>Предпосылки!AN$247*Предпосылки!$W265*Продажи!AO30*AO$19*(1+Чувствительность!$D$20)*IFERROR(LOOKUP(Предпосылки!$H$220,$C$13:$C$15,AO$13:AO$15),1)</f>
        <v>0</v>
      </c>
      <c s="125">
        <f>Предпосылки!AO$247*Предпосылки!$W265*Продажи!AP30*AP$19*(1+Чувствительность!$D$20)*IFERROR(LOOKUP(Предпосылки!$H$220,$C$13:$C$15,AP$13:AP$15),1)</f>
        <v>0</v>
      </c>
      <c s="125">
        <f>Предпосылки!AP$247*Предпосылки!$W265*Продажи!AQ30*AQ$19*(1+Чувствительность!$D$20)*IFERROR(LOOKUP(Предпосылки!$H$220,$C$13:$C$15,AQ$13:AQ$15),1)</f>
        <v>0</v>
      </c>
      <c s="125">
        <f>Предпосылки!AQ$247*Предпосылки!$W265*Продажи!AR30*AR$19*(1+Чувствительность!$D$20)*IFERROR(LOOKUP(Предпосылки!$H$220,$C$13:$C$15,AR$13:AR$15),1)</f>
        <v>0</v>
      </c>
      <c s="125">
        <f>Предпосылки!AR$247*Предпосылки!$W265*Продажи!AS30*AS$19*(1+Чувствительность!$D$20)*IFERROR(LOOKUP(Предпосылки!$H$220,$C$13:$C$15,AS$13:AS$15),1)</f>
        <v>0</v>
      </c>
      <c s="125">
        <f>Предпосылки!AS$247*Предпосылки!$W265*Продажи!AT30*AT$19*(1+Чувствительность!$D$20)*IFERROR(LOOKUP(Предпосылки!$H$220,$C$13:$C$15,AT$13:AT$15),1)</f>
        <v>0</v>
      </c>
      <c s="125">
        <f>Предпосылки!AT$247*Предпосылки!$W265*Продажи!AU30*AU$19*(1+Чувствительность!$D$20)*IFERROR(LOOKUP(Предпосылки!$H$220,$C$13:$C$15,AU$13:AU$15),1)</f>
        <v>0</v>
      </c>
      <c s="125">
        <f>Предпосылки!AU$247*Предпосылки!$W265*Продажи!AV30*AV$19*(1+Чувствительность!$D$20)*IFERROR(LOOKUP(Предпосылки!$H$220,$C$13:$C$15,AV$13:AV$15),1)</f>
        <v>0</v>
      </c>
      <c s="125">
        <f>Предпосылки!AV$247*Предпосылки!$W265*Продажи!AW30*AW$19*(1+Чувствительность!$D$20)*IFERROR(LOOKUP(Предпосылки!$H$220,$C$13:$C$15,AW$13:AW$15),1)</f>
        <v>0</v>
      </c>
      <c s="125">
        <f>Предпосылки!AW$247*Предпосылки!$W265*Продажи!AX30*AX$19*(1+Чувствительность!$D$20)*IFERROR(LOOKUP(Предпосылки!$H$220,$C$13:$C$15,AX$13:AX$15),1)</f>
        <v>0</v>
      </c>
      <c s="125">
        <f>Предпосылки!AX$247*Предпосылки!$W265*Продажи!AY30*AY$19*(1+Чувствительность!$D$20)*IFERROR(LOOKUP(Предпосылки!$H$220,$C$13:$C$15,AY$13:AY$15),1)</f>
        <v>0</v>
      </c>
      <c s="125">
        <f>Предпосылки!AY$247*Предпосылки!$W265*Продажи!AZ30*AZ$19*(1+Чувствительность!$D$20)*IFERROR(LOOKUP(Предпосылки!$H$220,$C$13:$C$15,AZ$13:AZ$15),1)</f>
        <v>0</v>
      </c>
      <c s="125">
        <f>Предпосылки!AZ$247*Предпосылки!$W265*Продажи!BA30*BA$19*(1+Чувствительность!$D$20)*IFERROR(LOOKUP(Предпосылки!$H$220,$C$13:$C$15,BA$13:BA$15),1)</f>
        <v>0</v>
      </c>
      <c s="125">
        <f>Предпосылки!BA$247*Предпосылки!$W265*Продажи!BB30*BB$19*(1+Чувствительность!$D$20)*IFERROR(LOOKUP(Предпосылки!$H$220,$C$13:$C$15,BB$13:BB$15),1)</f>
        <v>0</v>
      </c>
      <c s="125">
        <f>Предпосылки!BB$247*Предпосылки!$W265*Продажи!BC30*BC$19*(1+Чувствительность!$D$20)*IFERROR(LOOKUP(Предпосылки!$H$220,$C$13:$C$15,BC$13:BC$15),1)</f>
        <v>0</v>
      </c>
      <c s="125">
        <f>Предпосылки!BC$247*Предпосылки!$W265*Продажи!BD30*BD$19*(1+Чувствительность!$D$20)*IFERROR(LOOKUP(Предпосылки!$H$220,$C$13:$C$15,BD$13:BD$15),1)</f>
        <v>0</v>
      </c>
      <c s="125">
        <f>Предпосылки!BD$247*Предпосылки!$W265*Продажи!BE30*BE$19*(1+Чувствительность!$D$20)*IFERROR(LOOKUP(Предпосылки!$H$220,$C$13:$C$15,BE$13:BE$15),1)</f>
        <v>0</v>
      </c>
      <c s="125">
        <f>Предпосылки!BE$247*Предпосылки!$W265*Продажи!BF30*BF$19*(1+Чувствительность!$D$20)*IFERROR(LOOKUP(Предпосылки!$H$220,$C$13:$C$15,BF$13:BF$15),1)</f>
        <v>0</v>
      </c>
      <c s="125">
        <f>Предпосылки!BF$247*Предпосылки!$W265*Продажи!BG30*BG$19*(1+Чувствительность!$D$20)*IFERROR(LOOKUP(Предпосылки!$H$220,$C$13:$C$15,BG$13:BG$15),1)</f>
        <v>0</v>
      </c>
      <c s="125">
        <f>Предпосылки!BG$247*Предпосылки!$W265*Продажи!BH30*BH$19*(1+Чувствительность!$D$20)*IFERROR(LOOKUP(Предпосылки!$H$220,$C$13:$C$15,BH$13:BH$15),1)</f>
        <v>0</v>
      </c>
      <c s="125">
        <f>Предпосылки!BH$247*Предпосылки!$W265*Продажи!BI30*BI$19*(1+Чувствительность!$D$20)*IFERROR(LOOKUP(Предпосылки!$H$220,$C$13:$C$15,BI$13:BI$15),1)</f>
        <v>0</v>
      </c>
      <c s="125">
        <f>Предпосылки!BI$247*Предпосылки!$W265*Продажи!BJ30*BJ$19*(1+Чувствительность!$D$20)*IFERROR(LOOKUP(Предпосылки!$H$220,$C$13:$C$15,BJ$13:BJ$15),1)</f>
        <v>0</v>
      </c>
      <c s="125">
        <f>Предпосылки!BJ$247*Предпосылки!$W265*Продажи!BK30*BK$19*(1+Чувствительность!$D$20)*IFERROR(LOOKUP(Предпосылки!$H$220,$C$13:$C$15,BK$13:BK$15),1)</f>
        <v>0</v>
      </c>
      <c s="125">
        <f>Предпосылки!BK$247*Предпосылки!$W265*Продажи!BL30*BL$19*(1+Чувствительность!$D$20)*IFERROR(LOOKUP(Предпосылки!$H$220,$C$13:$C$15,BL$13:BL$15),1)</f>
        <v>0</v>
      </c>
      <c s="125">
        <f>Предпосылки!BL$247*Предпосылки!$W265*Продажи!BM30*BM$19*(1+Чувствительность!$D$20)*IFERROR(LOOKUP(Предпосылки!$H$220,$C$13:$C$15,BM$13:BM$15),1)</f>
        <v>0</v>
      </c>
    </row>
    <row r="473" spans="2:65" ht="15" customHeight="1">
      <c r="B473" s="12" t="str">
        <f t="shared" si="156"/>
        <v>Продукт 14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Предпосылки!D$247*Предпосылки!$W266*Продажи!E31*E$19*(1+Чувствительность!$D$20)*IFERROR(LOOKUP(Предпосылки!$H$220,$C$13:$C$15,E$13:E$15),1)</f>
        <v>0</v>
      </c>
      <c s="125">
        <f>Предпосылки!E$247*Предпосылки!$W266*Продажи!F31*F$19*(1+Чувствительность!$D$20)*IFERROR(LOOKUP(Предпосылки!$H$220,$C$13:$C$15,F$13:F$15),1)</f>
        <v>0</v>
      </c>
      <c s="125">
        <f>Предпосылки!F$247*Предпосылки!$W266*Продажи!G31*G$19*(1+Чувствительность!$D$20)*IFERROR(LOOKUP(Предпосылки!$H$220,$C$13:$C$15,G$13:G$15),1)</f>
        <v>0</v>
      </c>
      <c s="125">
        <f>Предпосылки!G$247*Предпосылки!$W266*Продажи!H31*H$19*(1+Чувствительность!$D$20)*IFERROR(LOOKUP(Предпосылки!$H$220,$C$13:$C$15,H$13:H$15),1)</f>
        <v>0</v>
      </c>
      <c s="125">
        <f>Предпосылки!H$247*Предпосылки!$W266*Продажи!I31*I$19*(1+Чувствительность!$D$20)*IFERROR(LOOKUP(Предпосылки!$H$220,$C$13:$C$15,I$13:I$15),1)</f>
        <v>0</v>
      </c>
      <c s="125">
        <f>Предпосылки!I$247*Предпосылки!$W266*Продажи!J31*J$19*(1+Чувствительность!$D$20)*IFERROR(LOOKUP(Предпосылки!$H$220,$C$13:$C$15,J$13:J$15),1)</f>
        <v>0</v>
      </c>
      <c s="125">
        <f>Предпосылки!J$247*Предпосылки!$W266*Продажи!K31*K$19*(1+Чувствительность!$D$20)*IFERROR(LOOKUP(Предпосылки!$H$220,$C$13:$C$15,K$13:K$15),1)</f>
        <v>0</v>
      </c>
      <c s="125">
        <f>Предпосылки!K$247*Предпосылки!$W266*Продажи!L31*L$19*(1+Чувствительность!$D$20)*IFERROR(LOOKUP(Предпосылки!$H$220,$C$13:$C$15,L$13:L$15),1)</f>
        <v>0</v>
      </c>
      <c s="125">
        <f>Предпосылки!L$247*Предпосылки!$W266*Продажи!M31*M$19*(1+Чувствительность!$D$20)*IFERROR(LOOKUP(Предпосылки!$H$220,$C$13:$C$15,M$13:M$15),1)</f>
        <v>0</v>
      </c>
      <c s="125">
        <f>Предпосылки!M$247*Предпосылки!$W266*Продажи!N31*N$19*(1+Чувствительность!$D$20)*IFERROR(LOOKUP(Предпосылки!$H$220,$C$13:$C$15,N$13:N$15),1)</f>
        <v>0</v>
      </c>
      <c s="125">
        <f>Предпосылки!N$247*Предпосылки!$W266*Продажи!O31*O$19*(1+Чувствительность!$D$20)*IFERROR(LOOKUP(Предпосылки!$H$220,$C$13:$C$15,O$13:O$15),1)</f>
        <v>0</v>
      </c>
      <c s="125">
        <f>Предпосылки!O$247*Предпосылки!$W266*Продажи!P31*P$19*(1+Чувствительность!$D$20)*IFERROR(LOOKUP(Предпосылки!$H$220,$C$13:$C$15,P$13:P$15),1)</f>
        <v>0</v>
      </c>
      <c s="125">
        <f>Предпосылки!P$247*Предпосылки!$W266*Продажи!Q31*Q$19*(1+Чувствительность!$D$20)*IFERROR(LOOKUP(Предпосылки!$H$220,$C$13:$C$15,Q$13:Q$15),1)</f>
        <v>0</v>
      </c>
      <c s="125">
        <f>Предпосылки!Q$247*Предпосылки!$W266*Продажи!R31*R$19*(1+Чувствительность!$D$20)*IFERROR(LOOKUP(Предпосылки!$H$220,$C$13:$C$15,R$13:R$15),1)</f>
        <v>0</v>
      </c>
      <c s="125">
        <f>Предпосылки!R$247*Предпосылки!$W266*Продажи!S31*S$19*(1+Чувствительность!$D$20)*IFERROR(LOOKUP(Предпосылки!$H$220,$C$13:$C$15,S$13:S$15),1)</f>
        <v>0</v>
      </c>
      <c s="125">
        <f>Предпосылки!S$247*Предпосылки!$W266*Продажи!T31*T$19*(1+Чувствительность!$D$20)*IFERROR(LOOKUP(Предпосылки!$H$220,$C$13:$C$15,T$13:T$15),1)</f>
        <v>0</v>
      </c>
      <c s="125">
        <f>Предпосылки!T$247*Предпосылки!$W266*Продажи!U31*U$19*(1+Чувствительность!$D$20)*IFERROR(LOOKUP(Предпосылки!$H$220,$C$13:$C$15,U$13:U$15),1)</f>
        <v>0</v>
      </c>
      <c s="125">
        <f>Предпосылки!U$247*Предпосылки!$W266*Продажи!V31*V$19*(1+Чувствительность!$D$20)*IFERROR(LOOKUP(Предпосылки!$H$220,$C$13:$C$15,V$13:V$15),1)</f>
        <v>0</v>
      </c>
      <c s="125">
        <f>Предпосылки!V$247*Предпосылки!$W266*Продажи!W31*W$19*(1+Чувствительность!$D$20)*IFERROR(LOOKUP(Предпосылки!$H$220,$C$13:$C$15,W$13:W$15),1)</f>
        <v>0</v>
      </c>
      <c s="125">
        <f>Предпосылки!W$247*Предпосылки!$W266*Продажи!X31*X$19*(1+Чувствительность!$D$20)*IFERROR(LOOKUP(Предпосылки!$H$220,$C$13:$C$15,X$13:X$15),1)</f>
        <v>0</v>
      </c>
      <c s="125">
        <f>Предпосылки!X$247*Предпосылки!$W266*Продажи!Y31*Y$19*(1+Чувствительность!$D$20)*IFERROR(LOOKUP(Предпосылки!$H$220,$C$13:$C$15,Y$13:Y$15),1)</f>
        <v>0</v>
      </c>
      <c s="125">
        <f>Предпосылки!Y$247*Предпосылки!$W266*Продажи!Z31*Z$19*(1+Чувствительность!$D$20)*IFERROR(LOOKUP(Предпосылки!$H$220,$C$13:$C$15,Z$13:Z$15),1)</f>
        <v>0</v>
      </c>
      <c s="125">
        <f>Предпосылки!Z$247*Предпосылки!$W266*Продажи!AA31*AA$19*(1+Чувствительность!$D$20)*IFERROR(LOOKUP(Предпосылки!$H$220,$C$13:$C$15,AA$13:AA$15),1)</f>
        <v>0</v>
      </c>
      <c s="125">
        <f>Предпосылки!AA$247*Предпосылки!$W266*Продажи!AB31*AB$19*(1+Чувствительность!$D$20)*IFERROR(LOOKUP(Предпосылки!$H$220,$C$13:$C$15,AB$13:AB$15),1)</f>
        <v>0</v>
      </c>
      <c s="125">
        <f>Предпосылки!AB$247*Предпосылки!$W266*Продажи!AC31*AC$19*(1+Чувствительность!$D$20)*IFERROR(LOOKUP(Предпосылки!$H$220,$C$13:$C$15,AC$13:AC$15),1)</f>
        <v>0</v>
      </c>
      <c s="125">
        <f>Предпосылки!AC$247*Предпосылки!$W266*Продажи!AD31*AD$19*(1+Чувствительность!$D$20)*IFERROR(LOOKUP(Предпосылки!$H$220,$C$13:$C$15,AD$13:AD$15),1)</f>
        <v>0</v>
      </c>
      <c s="125">
        <f>Предпосылки!AD$247*Предпосылки!$W266*Продажи!AE31*AE$19*(1+Чувствительность!$D$20)*IFERROR(LOOKUP(Предпосылки!$H$220,$C$13:$C$15,AE$13:AE$15),1)</f>
        <v>0</v>
      </c>
      <c s="125">
        <f>Предпосылки!AE$247*Предпосылки!$W266*Продажи!AF31*AF$19*(1+Чувствительность!$D$20)*IFERROR(LOOKUP(Предпосылки!$H$220,$C$13:$C$15,AF$13:AF$15),1)</f>
        <v>0</v>
      </c>
      <c s="125">
        <f>Предпосылки!AF$247*Предпосылки!$W266*Продажи!AG31*AG$19*(1+Чувствительность!$D$20)*IFERROR(LOOKUP(Предпосылки!$H$220,$C$13:$C$15,AG$13:AG$15),1)</f>
        <v>0</v>
      </c>
      <c s="125">
        <f>Предпосылки!AG$247*Предпосылки!$W266*Продажи!AH31*AH$19*(1+Чувствительность!$D$20)*IFERROR(LOOKUP(Предпосылки!$H$220,$C$13:$C$15,AH$13:AH$15),1)</f>
        <v>0</v>
      </c>
      <c s="125">
        <f>Предпосылки!AH$247*Предпосылки!$W266*Продажи!AI31*AI$19*(1+Чувствительность!$D$20)*IFERROR(LOOKUP(Предпосылки!$H$220,$C$13:$C$15,AI$13:AI$15),1)</f>
        <v>0</v>
      </c>
      <c s="125">
        <f>Предпосылки!AI$247*Предпосылки!$W266*Продажи!AJ31*AJ$19*(1+Чувствительность!$D$20)*IFERROR(LOOKUP(Предпосылки!$H$220,$C$13:$C$15,AJ$13:AJ$15),1)</f>
        <v>0</v>
      </c>
      <c s="125">
        <f>Предпосылки!AJ$247*Предпосылки!$W266*Продажи!AK31*AK$19*(1+Чувствительность!$D$20)*IFERROR(LOOKUP(Предпосылки!$H$220,$C$13:$C$15,AK$13:AK$15),1)</f>
        <v>0</v>
      </c>
      <c s="125">
        <f>Предпосылки!AK$247*Предпосылки!$W266*Продажи!AL31*AL$19*(1+Чувствительность!$D$20)*IFERROR(LOOKUP(Предпосылки!$H$220,$C$13:$C$15,AL$13:AL$15),1)</f>
        <v>0</v>
      </c>
      <c s="125">
        <f>Предпосылки!AL$247*Предпосылки!$W266*Продажи!AM31*AM$19*(1+Чувствительность!$D$20)*IFERROR(LOOKUP(Предпосылки!$H$220,$C$13:$C$15,AM$13:AM$15),1)</f>
        <v>0</v>
      </c>
      <c s="125">
        <f>Предпосылки!AM$247*Предпосылки!$W266*Продажи!AN31*AN$19*(1+Чувствительность!$D$20)*IFERROR(LOOKUP(Предпосылки!$H$220,$C$13:$C$15,AN$13:AN$15),1)</f>
        <v>0</v>
      </c>
      <c s="125">
        <f>Предпосылки!AN$247*Предпосылки!$W266*Продажи!AO31*AO$19*(1+Чувствительность!$D$20)*IFERROR(LOOKUP(Предпосылки!$H$220,$C$13:$C$15,AO$13:AO$15),1)</f>
        <v>0</v>
      </c>
      <c s="125">
        <f>Предпосылки!AO$247*Предпосылки!$W266*Продажи!AP31*AP$19*(1+Чувствительность!$D$20)*IFERROR(LOOKUP(Предпосылки!$H$220,$C$13:$C$15,AP$13:AP$15),1)</f>
        <v>0</v>
      </c>
      <c s="125">
        <f>Предпосылки!AP$247*Предпосылки!$W266*Продажи!AQ31*AQ$19*(1+Чувствительность!$D$20)*IFERROR(LOOKUP(Предпосылки!$H$220,$C$13:$C$15,AQ$13:AQ$15),1)</f>
        <v>0</v>
      </c>
      <c s="125">
        <f>Предпосылки!AQ$247*Предпосылки!$W266*Продажи!AR31*AR$19*(1+Чувствительность!$D$20)*IFERROR(LOOKUP(Предпосылки!$H$220,$C$13:$C$15,AR$13:AR$15),1)</f>
        <v>0</v>
      </c>
      <c s="125">
        <f>Предпосылки!AR$247*Предпосылки!$W266*Продажи!AS31*AS$19*(1+Чувствительность!$D$20)*IFERROR(LOOKUP(Предпосылки!$H$220,$C$13:$C$15,AS$13:AS$15),1)</f>
        <v>0</v>
      </c>
      <c s="125">
        <f>Предпосылки!AS$247*Предпосылки!$W266*Продажи!AT31*AT$19*(1+Чувствительность!$D$20)*IFERROR(LOOKUP(Предпосылки!$H$220,$C$13:$C$15,AT$13:AT$15),1)</f>
        <v>0</v>
      </c>
      <c s="125">
        <f>Предпосылки!AT$247*Предпосылки!$W266*Продажи!AU31*AU$19*(1+Чувствительность!$D$20)*IFERROR(LOOKUP(Предпосылки!$H$220,$C$13:$C$15,AU$13:AU$15),1)</f>
        <v>0</v>
      </c>
      <c s="125">
        <f>Предпосылки!AU$247*Предпосылки!$W266*Продажи!AV31*AV$19*(1+Чувствительность!$D$20)*IFERROR(LOOKUP(Предпосылки!$H$220,$C$13:$C$15,AV$13:AV$15),1)</f>
        <v>0</v>
      </c>
      <c s="125">
        <f>Предпосылки!AV$247*Предпосылки!$W266*Продажи!AW31*AW$19*(1+Чувствительность!$D$20)*IFERROR(LOOKUP(Предпосылки!$H$220,$C$13:$C$15,AW$13:AW$15),1)</f>
        <v>0</v>
      </c>
      <c s="125">
        <f>Предпосылки!AW$247*Предпосылки!$W266*Продажи!AX31*AX$19*(1+Чувствительность!$D$20)*IFERROR(LOOKUP(Предпосылки!$H$220,$C$13:$C$15,AX$13:AX$15),1)</f>
        <v>0</v>
      </c>
      <c s="125">
        <f>Предпосылки!AX$247*Предпосылки!$W266*Продажи!AY31*AY$19*(1+Чувствительность!$D$20)*IFERROR(LOOKUP(Предпосылки!$H$220,$C$13:$C$15,AY$13:AY$15),1)</f>
        <v>0</v>
      </c>
      <c s="125">
        <f>Предпосылки!AY$247*Предпосылки!$W266*Продажи!AZ31*AZ$19*(1+Чувствительность!$D$20)*IFERROR(LOOKUP(Предпосылки!$H$220,$C$13:$C$15,AZ$13:AZ$15),1)</f>
        <v>0</v>
      </c>
      <c s="125">
        <f>Предпосылки!AZ$247*Предпосылки!$W266*Продажи!BA31*BA$19*(1+Чувствительность!$D$20)*IFERROR(LOOKUP(Предпосылки!$H$220,$C$13:$C$15,BA$13:BA$15),1)</f>
        <v>0</v>
      </c>
      <c s="125">
        <f>Предпосылки!BA$247*Предпосылки!$W266*Продажи!BB31*BB$19*(1+Чувствительность!$D$20)*IFERROR(LOOKUP(Предпосылки!$H$220,$C$13:$C$15,BB$13:BB$15),1)</f>
        <v>0</v>
      </c>
      <c s="125">
        <f>Предпосылки!BB$247*Предпосылки!$W266*Продажи!BC31*BC$19*(1+Чувствительность!$D$20)*IFERROR(LOOKUP(Предпосылки!$H$220,$C$13:$C$15,BC$13:BC$15),1)</f>
        <v>0</v>
      </c>
      <c s="125">
        <f>Предпосылки!BC$247*Предпосылки!$W266*Продажи!BD31*BD$19*(1+Чувствительность!$D$20)*IFERROR(LOOKUP(Предпосылки!$H$220,$C$13:$C$15,BD$13:BD$15),1)</f>
        <v>0</v>
      </c>
      <c s="125">
        <f>Предпосылки!BD$247*Предпосылки!$W266*Продажи!BE31*BE$19*(1+Чувствительность!$D$20)*IFERROR(LOOKUP(Предпосылки!$H$220,$C$13:$C$15,BE$13:BE$15),1)</f>
        <v>0</v>
      </c>
      <c s="125">
        <f>Предпосылки!BE$247*Предпосылки!$W266*Продажи!BF31*BF$19*(1+Чувствительность!$D$20)*IFERROR(LOOKUP(Предпосылки!$H$220,$C$13:$C$15,BF$13:BF$15),1)</f>
        <v>0</v>
      </c>
      <c s="125">
        <f>Предпосылки!BF$247*Предпосылки!$W266*Продажи!BG31*BG$19*(1+Чувствительность!$D$20)*IFERROR(LOOKUP(Предпосылки!$H$220,$C$13:$C$15,BG$13:BG$15),1)</f>
        <v>0</v>
      </c>
      <c s="125">
        <f>Предпосылки!BG$247*Предпосылки!$W266*Продажи!BH31*BH$19*(1+Чувствительность!$D$20)*IFERROR(LOOKUP(Предпосылки!$H$220,$C$13:$C$15,BH$13:BH$15),1)</f>
        <v>0</v>
      </c>
      <c s="125">
        <f>Предпосылки!BH$247*Предпосылки!$W266*Продажи!BI31*BI$19*(1+Чувствительность!$D$20)*IFERROR(LOOKUP(Предпосылки!$H$220,$C$13:$C$15,BI$13:BI$15),1)</f>
        <v>0</v>
      </c>
      <c s="125">
        <f>Предпосылки!BI$247*Предпосылки!$W266*Продажи!BJ31*BJ$19*(1+Чувствительность!$D$20)*IFERROR(LOOKUP(Предпосылки!$H$220,$C$13:$C$15,BJ$13:BJ$15),1)</f>
        <v>0</v>
      </c>
      <c s="125">
        <f>Предпосылки!BJ$247*Предпосылки!$W266*Продажи!BK31*BK$19*(1+Чувствительность!$D$20)*IFERROR(LOOKUP(Предпосылки!$H$220,$C$13:$C$15,BK$13:BK$15),1)</f>
        <v>0</v>
      </c>
      <c s="125">
        <f>Предпосылки!BK$247*Предпосылки!$W266*Продажи!BL31*BL$19*(1+Чувствительность!$D$20)*IFERROR(LOOKUP(Предпосылки!$H$220,$C$13:$C$15,BL$13:BL$15),1)</f>
        <v>0</v>
      </c>
      <c s="125">
        <f>Предпосылки!BL$247*Предпосылки!$W266*Продажи!BM31*BM$19*(1+Чувствительность!$D$20)*IFERROR(LOOKUP(Предпосылки!$H$220,$C$13:$C$15,BM$13:BM$15),1)</f>
        <v>0</v>
      </c>
    </row>
    <row r="474" spans="2:65" ht="15" customHeight="1">
      <c r="B474" s="12" t="str">
        <f t="shared" si="156"/>
        <v>Продукт 15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Предпосылки!D$247*Предпосылки!$W267*Продажи!E32*E$19*(1+Чувствительность!$D$20)*IFERROR(LOOKUP(Предпосылки!$H$220,$C$13:$C$15,E$13:E$15),1)</f>
        <v>0</v>
      </c>
      <c s="125">
        <f>Предпосылки!E$247*Предпосылки!$W267*Продажи!F32*F$19*(1+Чувствительность!$D$20)*IFERROR(LOOKUP(Предпосылки!$H$220,$C$13:$C$15,F$13:F$15),1)</f>
        <v>0</v>
      </c>
      <c s="125">
        <f>Предпосылки!F$247*Предпосылки!$W267*Продажи!G32*G$19*(1+Чувствительность!$D$20)*IFERROR(LOOKUP(Предпосылки!$H$220,$C$13:$C$15,G$13:G$15),1)</f>
        <v>0</v>
      </c>
      <c s="125">
        <f>Предпосылки!G$247*Предпосылки!$W267*Продажи!H32*H$19*(1+Чувствительность!$D$20)*IFERROR(LOOKUP(Предпосылки!$H$220,$C$13:$C$15,H$13:H$15),1)</f>
        <v>0</v>
      </c>
      <c s="125">
        <f>Предпосылки!H$247*Предпосылки!$W267*Продажи!I32*I$19*(1+Чувствительность!$D$20)*IFERROR(LOOKUP(Предпосылки!$H$220,$C$13:$C$15,I$13:I$15),1)</f>
        <v>0</v>
      </c>
      <c s="125">
        <f>Предпосылки!I$247*Предпосылки!$W267*Продажи!J32*J$19*(1+Чувствительность!$D$20)*IFERROR(LOOKUP(Предпосылки!$H$220,$C$13:$C$15,J$13:J$15),1)</f>
        <v>0</v>
      </c>
      <c s="125">
        <f>Предпосылки!J$247*Предпосылки!$W267*Продажи!K32*K$19*(1+Чувствительность!$D$20)*IFERROR(LOOKUP(Предпосылки!$H$220,$C$13:$C$15,K$13:K$15),1)</f>
        <v>0</v>
      </c>
      <c s="125">
        <f>Предпосылки!K$247*Предпосылки!$W267*Продажи!L32*L$19*(1+Чувствительность!$D$20)*IFERROR(LOOKUP(Предпосылки!$H$220,$C$13:$C$15,L$13:L$15),1)</f>
        <v>0</v>
      </c>
      <c s="125">
        <f>Предпосылки!L$247*Предпосылки!$W267*Продажи!M32*M$19*(1+Чувствительность!$D$20)*IFERROR(LOOKUP(Предпосылки!$H$220,$C$13:$C$15,M$13:M$15),1)</f>
        <v>0</v>
      </c>
      <c s="125">
        <f>Предпосылки!M$247*Предпосылки!$W267*Продажи!N32*N$19*(1+Чувствительность!$D$20)*IFERROR(LOOKUP(Предпосылки!$H$220,$C$13:$C$15,N$13:N$15),1)</f>
        <v>0</v>
      </c>
      <c s="125">
        <f>Предпосылки!N$247*Предпосылки!$W267*Продажи!O32*O$19*(1+Чувствительность!$D$20)*IFERROR(LOOKUP(Предпосылки!$H$220,$C$13:$C$15,O$13:O$15),1)</f>
        <v>0</v>
      </c>
      <c s="125">
        <f>Предпосылки!O$247*Предпосылки!$W267*Продажи!P32*P$19*(1+Чувствительность!$D$20)*IFERROR(LOOKUP(Предпосылки!$H$220,$C$13:$C$15,P$13:P$15),1)</f>
        <v>0</v>
      </c>
      <c s="125">
        <f>Предпосылки!P$247*Предпосылки!$W267*Продажи!Q32*Q$19*(1+Чувствительность!$D$20)*IFERROR(LOOKUP(Предпосылки!$H$220,$C$13:$C$15,Q$13:Q$15),1)</f>
        <v>0</v>
      </c>
      <c s="125">
        <f>Предпосылки!Q$247*Предпосылки!$W267*Продажи!R32*R$19*(1+Чувствительность!$D$20)*IFERROR(LOOKUP(Предпосылки!$H$220,$C$13:$C$15,R$13:R$15),1)</f>
        <v>0</v>
      </c>
      <c s="125">
        <f>Предпосылки!R$247*Предпосылки!$W267*Продажи!S32*S$19*(1+Чувствительность!$D$20)*IFERROR(LOOKUP(Предпосылки!$H$220,$C$13:$C$15,S$13:S$15),1)</f>
        <v>0</v>
      </c>
      <c s="125">
        <f>Предпосылки!S$247*Предпосылки!$W267*Продажи!T32*T$19*(1+Чувствительность!$D$20)*IFERROR(LOOKUP(Предпосылки!$H$220,$C$13:$C$15,T$13:T$15),1)</f>
        <v>0</v>
      </c>
      <c s="125">
        <f>Предпосылки!T$247*Предпосылки!$W267*Продажи!U32*U$19*(1+Чувствительность!$D$20)*IFERROR(LOOKUP(Предпосылки!$H$220,$C$13:$C$15,U$13:U$15),1)</f>
        <v>0</v>
      </c>
      <c s="125">
        <f>Предпосылки!U$247*Предпосылки!$W267*Продажи!V32*V$19*(1+Чувствительность!$D$20)*IFERROR(LOOKUP(Предпосылки!$H$220,$C$13:$C$15,V$13:V$15),1)</f>
        <v>0</v>
      </c>
      <c s="125">
        <f>Предпосылки!V$247*Предпосылки!$W267*Продажи!W32*W$19*(1+Чувствительность!$D$20)*IFERROR(LOOKUP(Предпосылки!$H$220,$C$13:$C$15,W$13:W$15),1)</f>
        <v>0</v>
      </c>
      <c s="125">
        <f>Предпосылки!W$247*Предпосылки!$W267*Продажи!X32*X$19*(1+Чувствительность!$D$20)*IFERROR(LOOKUP(Предпосылки!$H$220,$C$13:$C$15,X$13:X$15),1)</f>
        <v>0</v>
      </c>
      <c s="125">
        <f>Предпосылки!X$247*Предпосылки!$W267*Продажи!Y32*Y$19*(1+Чувствительность!$D$20)*IFERROR(LOOKUP(Предпосылки!$H$220,$C$13:$C$15,Y$13:Y$15),1)</f>
        <v>0</v>
      </c>
      <c s="125">
        <f>Предпосылки!Y$247*Предпосылки!$W267*Продажи!Z32*Z$19*(1+Чувствительность!$D$20)*IFERROR(LOOKUP(Предпосылки!$H$220,$C$13:$C$15,Z$13:Z$15),1)</f>
        <v>0</v>
      </c>
      <c s="125">
        <f>Предпосылки!Z$247*Предпосылки!$W267*Продажи!AA32*AA$19*(1+Чувствительность!$D$20)*IFERROR(LOOKUP(Предпосылки!$H$220,$C$13:$C$15,AA$13:AA$15),1)</f>
        <v>0</v>
      </c>
      <c s="125">
        <f>Предпосылки!AA$247*Предпосылки!$W267*Продажи!AB32*AB$19*(1+Чувствительность!$D$20)*IFERROR(LOOKUP(Предпосылки!$H$220,$C$13:$C$15,AB$13:AB$15),1)</f>
        <v>0</v>
      </c>
      <c s="125">
        <f>Предпосылки!AB$247*Предпосылки!$W267*Продажи!AC32*AC$19*(1+Чувствительность!$D$20)*IFERROR(LOOKUP(Предпосылки!$H$220,$C$13:$C$15,AC$13:AC$15),1)</f>
        <v>0</v>
      </c>
      <c s="125">
        <f>Предпосылки!AC$247*Предпосылки!$W267*Продажи!AD32*AD$19*(1+Чувствительность!$D$20)*IFERROR(LOOKUP(Предпосылки!$H$220,$C$13:$C$15,AD$13:AD$15),1)</f>
        <v>0</v>
      </c>
      <c s="125">
        <f>Предпосылки!AD$247*Предпосылки!$W267*Продажи!AE32*AE$19*(1+Чувствительность!$D$20)*IFERROR(LOOKUP(Предпосылки!$H$220,$C$13:$C$15,AE$13:AE$15),1)</f>
        <v>0</v>
      </c>
      <c s="125">
        <f>Предпосылки!AE$247*Предпосылки!$W267*Продажи!AF32*AF$19*(1+Чувствительность!$D$20)*IFERROR(LOOKUP(Предпосылки!$H$220,$C$13:$C$15,AF$13:AF$15),1)</f>
        <v>0</v>
      </c>
      <c s="125">
        <f>Предпосылки!AF$247*Предпосылки!$W267*Продажи!AG32*AG$19*(1+Чувствительность!$D$20)*IFERROR(LOOKUP(Предпосылки!$H$220,$C$13:$C$15,AG$13:AG$15),1)</f>
        <v>0</v>
      </c>
      <c s="125">
        <f>Предпосылки!AG$247*Предпосылки!$W267*Продажи!AH32*AH$19*(1+Чувствительность!$D$20)*IFERROR(LOOKUP(Предпосылки!$H$220,$C$13:$C$15,AH$13:AH$15),1)</f>
        <v>0</v>
      </c>
      <c s="125">
        <f>Предпосылки!AH$247*Предпосылки!$W267*Продажи!AI32*AI$19*(1+Чувствительность!$D$20)*IFERROR(LOOKUP(Предпосылки!$H$220,$C$13:$C$15,AI$13:AI$15),1)</f>
        <v>0</v>
      </c>
      <c s="125">
        <f>Предпосылки!AI$247*Предпосылки!$W267*Продажи!AJ32*AJ$19*(1+Чувствительность!$D$20)*IFERROR(LOOKUP(Предпосылки!$H$220,$C$13:$C$15,AJ$13:AJ$15),1)</f>
        <v>0</v>
      </c>
      <c s="125">
        <f>Предпосылки!AJ$247*Предпосылки!$W267*Продажи!AK32*AK$19*(1+Чувствительность!$D$20)*IFERROR(LOOKUP(Предпосылки!$H$220,$C$13:$C$15,AK$13:AK$15),1)</f>
        <v>0</v>
      </c>
      <c s="125">
        <f>Предпосылки!AK$247*Предпосылки!$W267*Продажи!AL32*AL$19*(1+Чувствительность!$D$20)*IFERROR(LOOKUP(Предпосылки!$H$220,$C$13:$C$15,AL$13:AL$15),1)</f>
        <v>0</v>
      </c>
      <c s="125">
        <f>Предпосылки!AL$247*Предпосылки!$W267*Продажи!AM32*AM$19*(1+Чувствительность!$D$20)*IFERROR(LOOKUP(Предпосылки!$H$220,$C$13:$C$15,AM$13:AM$15),1)</f>
        <v>0</v>
      </c>
      <c s="125">
        <f>Предпосылки!AM$247*Предпосылки!$W267*Продажи!AN32*AN$19*(1+Чувствительность!$D$20)*IFERROR(LOOKUP(Предпосылки!$H$220,$C$13:$C$15,AN$13:AN$15),1)</f>
        <v>0</v>
      </c>
      <c s="125">
        <f>Предпосылки!AN$247*Предпосылки!$W267*Продажи!AO32*AO$19*(1+Чувствительность!$D$20)*IFERROR(LOOKUP(Предпосылки!$H$220,$C$13:$C$15,AO$13:AO$15),1)</f>
        <v>0</v>
      </c>
      <c s="125">
        <f>Предпосылки!AO$247*Предпосылки!$W267*Продажи!AP32*AP$19*(1+Чувствительность!$D$20)*IFERROR(LOOKUP(Предпосылки!$H$220,$C$13:$C$15,AP$13:AP$15),1)</f>
        <v>0</v>
      </c>
      <c s="125">
        <f>Предпосылки!AP$247*Предпосылки!$W267*Продажи!AQ32*AQ$19*(1+Чувствительность!$D$20)*IFERROR(LOOKUP(Предпосылки!$H$220,$C$13:$C$15,AQ$13:AQ$15),1)</f>
        <v>0</v>
      </c>
      <c s="125">
        <f>Предпосылки!AQ$247*Предпосылки!$W267*Продажи!AR32*AR$19*(1+Чувствительность!$D$20)*IFERROR(LOOKUP(Предпосылки!$H$220,$C$13:$C$15,AR$13:AR$15),1)</f>
        <v>0</v>
      </c>
      <c s="125">
        <f>Предпосылки!AR$247*Предпосылки!$W267*Продажи!AS32*AS$19*(1+Чувствительность!$D$20)*IFERROR(LOOKUP(Предпосылки!$H$220,$C$13:$C$15,AS$13:AS$15),1)</f>
        <v>0</v>
      </c>
      <c s="125">
        <f>Предпосылки!AS$247*Предпосылки!$W267*Продажи!AT32*AT$19*(1+Чувствительность!$D$20)*IFERROR(LOOKUP(Предпосылки!$H$220,$C$13:$C$15,AT$13:AT$15),1)</f>
        <v>0</v>
      </c>
      <c s="125">
        <f>Предпосылки!AT$247*Предпосылки!$W267*Продажи!AU32*AU$19*(1+Чувствительность!$D$20)*IFERROR(LOOKUP(Предпосылки!$H$220,$C$13:$C$15,AU$13:AU$15),1)</f>
        <v>0</v>
      </c>
      <c s="125">
        <f>Предпосылки!AU$247*Предпосылки!$W267*Продажи!AV32*AV$19*(1+Чувствительность!$D$20)*IFERROR(LOOKUP(Предпосылки!$H$220,$C$13:$C$15,AV$13:AV$15),1)</f>
        <v>0</v>
      </c>
      <c s="125">
        <f>Предпосылки!AV$247*Предпосылки!$W267*Продажи!AW32*AW$19*(1+Чувствительность!$D$20)*IFERROR(LOOKUP(Предпосылки!$H$220,$C$13:$C$15,AW$13:AW$15),1)</f>
        <v>0</v>
      </c>
      <c s="125">
        <f>Предпосылки!AW$247*Предпосылки!$W267*Продажи!AX32*AX$19*(1+Чувствительность!$D$20)*IFERROR(LOOKUP(Предпосылки!$H$220,$C$13:$C$15,AX$13:AX$15),1)</f>
        <v>0</v>
      </c>
      <c s="125">
        <f>Предпосылки!AX$247*Предпосылки!$W267*Продажи!AY32*AY$19*(1+Чувствительность!$D$20)*IFERROR(LOOKUP(Предпосылки!$H$220,$C$13:$C$15,AY$13:AY$15),1)</f>
        <v>0</v>
      </c>
      <c s="125">
        <f>Предпосылки!AY$247*Предпосылки!$W267*Продажи!AZ32*AZ$19*(1+Чувствительность!$D$20)*IFERROR(LOOKUP(Предпосылки!$H$220,$C$13:$C$15,AZ$13:AZ$15),1)</f>
        <v>0</v>
      </c>
      <c s="125">
        <f>Предпосылки!AZ$247*Предпосылки!$W267*Продажи!BA32*BA$19*(1+Чувствительность!$D$20)*IFERROR(LOOKUP(Предпосылки!$H$220,$C$13:$C$15,BA$13:BA$15),1)</f>
        <v>0</v>
      </c>
      <c s="125">
        <f>Предпосылки!BA$247*Предпосылки!$W267*Продажи!BB32*BB$19*(1+Чувствительность!$D$20)*IFERROR(LOOKUP(Предпосылки!$H$220,$C$13:$C$15,BB$13:BB$15),1)</f>
        <v>0</v>
      </c>
      <c s="125">
        <f>Предпосылки!BB$247*Предпосылки!$W267*Продажи!BC32*BC$19*(1+Чувствительность!$D$20)*IFERROR(LOOKUP(Предпосылки!$H$220,$C$13:$C$15,BC$13:BC$15),1)</f>
        <v>0</v>
      </c>
      <c s="125">
        <f>Предпосылки!BC$247*Предпосылки!$W267*Продажи!BD32*BD$19*(1+Чувствительность!$D$20)*IFERROR(LOOKUP(Предпосылки!$H$220,$C$13:$C$15,BD$13:BD$15),1)</f>
        <v>0</v>
      </c>
      <c s="125">
        <f>Предпосылки!BD$247*Предпосылки!$W267*Продажи!BE32*BE$19*(1+Чувствительность!$D$20)*IFERROR(LOOKUP(Предпосылки!$H$220,$C$13:$C$15,BE$13:BE$15),1)</f>
        <v>0</v>
      </c>
      <c s="125">
        <f>Предпосылки!BE$247*Предпосылки!$W267*Продажи!BF32*BF$19*(1+Чувствительность!$D$20)*IFERROR(LOOKUP(Предпосылки!$H$220,$C$13:$C$15,BF$13:BF$15),1)</f>
        <v>0</v>
      </c>
      <c s="125">
        <f>Предпосылки!BF$247*Предпосылки!$W267*Продажи!BG32*BG$19*(1+Чувствительность!$D$20)*IFERROR(LOOKUP(Предпосылки!$H$220,$C$13:$C$15,BG$13:BG$15),1)</f>
        <v>0</v>
      </c>
      <c s="125">
        <f>Предпосылки!BG$247*Предпосылки!$W267*Продажи!BH32*BH$19*(1+Чувствительность!$D$20)*IFERROR(LOOKUP(Предпосылки!$H$220,$C$13:$C$15,BH$13:BH$15),1)</f>
        <v>0</v>
      </c>
      <c s="125">
        <f>Предпосылки!BH$247*Предпосылки!$W267*Продажи!BI32*BI$19*(1+Чувствительность!$D$20)*IFERROR(LOOKUP(Предпосылки!$H$220,$C$13:$C$15,BI$13:BI$15),1)</f>
        <v>0</v>
      </c>
      <c s="125">
        <f>Предпосылки!BI$247*Предпосылки!$W267*Продажи!BJ32*BJ$19*(1+Чувствительность!$D$20)*IFERROR(LOOKUP(Предпосылки!$H$220,$C$13:$C$15,BJ$13:BJ$15),1)</f>
        <v>0</v>
      </c>
      <c s="125">
        <f>Предпосылки!BJ$247*Предпосылки!$W267*Продажи!BK32*BK$19*(1+Чувствительность!$D$20)*IFERROR(LOOKUP(Предпосылки!$H$220,$C$13:$C$15,BK$13:BK$15),1)</f>
        <v>0</v>
      </c>
      <c s="125">
        <f>Предпосылки!BK$247*Предпосылки!$W267*Продажи!BL32*BL$19*(1+Чувствительность!$D$20)*IFERROR(LOOKUP(Предпосылки!$H$220,$C$13:$C$15,BL$13:BL$15),1)</f>
        <v>0</v>
      </c>
      <c s="125">
        <f>Предпосылки!BL$247*Предпосылки!$W267*Продажи!BM32*BM$19*(1+Чувствительность!$D$20)*IFERROR(LOOKUP(Предпосылки!$H$220,$C$13:$C$15,BM$13:BM$15),1)</f>
        <v>0</v>
      </c>
    </row>
    <row r="475" spans="2:65" ht="15" customHeight="1">
      <c r="B475" s="12" t="str">
        <f t="shared" si="156"/>
        <v>Продукт 16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Предпосылки!D$247*Предпосылки!$W268*Продажи!E33*E$19*(1+Чувствительность!$D$20)*IFERROR(LOOKUP(Предпосылки!$H$220,$C$13:$C$15,E$13:E$15),1)</f>
        <v>0</v>
      </c>
      <c s="125">
        <f>Предпосылки!E$247*Предпосылки!$W268*Продажи!F33*F$19*(1+Чувствительность!$D$20)*IFERROR(LOOKUP(Предпосылки!$H$220,$C$13:$C$15,F$13:F$15),1)</f>
        <v>0</v>
      </c>
      <c s="125">
        <f>Предпосылки!F$247*Предпосылки!$W268*Продажи!G33*G$19*(1+Чувствительность!$D$20)*IFERROR(LOOKUP(Предпосылки!$H$220,$C$13:$C$15,G$13:G$15),1)</f>
        <v>0</v>
      </c>
      <c s="125">
        <f>Предпосылки!G$247*Предпосылки!$W268*Продажи!H33*H$19*(1+Чувствительность!$D$20)*IFERROR(LOOKUP(Предпосылки!$H$220,$C$13:$C$15,H$13:H$15),1)</f>
        <v>0</v>
      </c>
      <c s="125">
        <f>Предпосылки!H$247*Предпосылки!$W268*Продажи!I33*I$19*(1+Чувствительность!$D$20)*IFERROR(LOOKUP(Предпосылки!$H$220,$C$13:$C$15,I$13:I$15),1)</f>
        <v>0</v>
      </c>
      <c s="125">
        <f>Предпосылки!I$247*Предпосылки!$W268*Продажи!J33*J$19*(1+Чувствительность!$D$20)*IFERROR(LOOKUP(Предпосылки!$H$220,$C$13:$C$15,J$13:J$15),1)</f>
        <v>0</v>
      </c>
      <c s="125">
        <f>Предпосылки!J$247*Предпосылки!$W268*Продажи!K33*K$19*(1+Чувствительность!$D$20)*IFERROR(LOOKUP(Предпосылки!$H$220,$C$13:$C$15,K$13:K$15),1)</f>
        <v>0</v>
      </c>
      <c s="125">
        <f>Предпосылки!K$247*Предпосылки!$W268*Продажи!L33*L$19*(1+Чувствительность!$D$20)*IFERROR(LOOKUP(Предпосылки!$H$220,$C$13:$C$15,L$13:L$15),1)</f>
        <v>0</v>
      </c>
      <c s="125">
        <f>Предпосылки!L$247*Предпосылки!$W268*Продажи!M33*M$19*(1+Чувствительность!$D$20)*IFERROR(LOOKUP(Предпосылки!$H$220,$C$13:$C$15,M$13:M$15),1)</f>
        <v>0</v>
      </c>
      <c s="125">
        <f>Предпосылки!M$247*Предпосылки!$W268*Продажи!N33*N$19*(1+Чувствительность!$D$20)*IFERROR(LOOKUP(Предпосылки!$H$220,$C$13:$C$15,N$13:N$15),1)</f>
        <v>0</v>
      </c>
      <c s="125">
        <f>Предпосылки!N$247*Предпосылки!$W268*Продажи!O33*O$19*(1+Чувствительность!$D$20)*IFERROR(LOOKUP(Предпосылки!$H$220,$C$13:$C$15,O$13:O$15),1)</f>
        <v>0</v>
      </c>
      <c s="125">
        <f>Предпосылки!O$247*Предпосылки!$W268*Продажи!P33*P$19*(1+Чувствительность!$D$20)*IFERROR(LOOKUP(Предпосылки!$H$220,$C$13:$C$15,P$13:P$15),1)</f>
        <v>0</v>
      </c>
      <c s="125">
        <f>Предпосылки!P$247*Предпосылки!$W268*Продажи!Q33*Q$19*(1+Чувствительность!$D$20)*IFERROR(LOOKUP(Предпосылки!$H$220,$C$13:$C$15,Q$13:Q$15),1)</f>
        <v>0</v>
      </c>
      <c s="125">
        <f>Предпосылки!Q$247*Предпосылки!$W268*Продажи!R33*R$19*(1+Чувствительность!$D$20)*IFERROR(LOOKUP(Предпосылки!$H$220,$C$13:$C$15,R$13:R$15),1)</f>
        <v>0</v>
      </c>
      <c s="125">
        <f>Предпосылки!R$247*Предпосылки!$W268*Продажи!S33*S$19*(1+Чувствительность!$D$20)*IFERROR(LOOKUP(Предпосылки!$H$220,$C$13:$C$15,S$13:S$15),1)</f>
        <v>0</v>
      </c>
      <c s="125">
        <f>Предпосылки!S$247*Предпосылки!$W268*Продажи!T33*T$19*(1+Чувствительность!$D$20)*IFERROR(LOOKUP(Предпосылки!$H$220,$C$13:$C$15,T$13:T$15),1)</f>
        <v>0</v>
      </c>
      <c s="125">
        <f>Предпосылки!T$247*Предпосылки!$W268*Продажи!U33*U$19*(1+Чувствительность!$D$20)*IFERROR(LOOKUP(Предпосылки!$H$220,$C$13:$C$15,U$13:U$15),1)</f>
        <v>0</v>
      </c>
      <c s="125">
        <f>Предпосылки!U$247*Предпосылки!$W268*Продажи!V33*V$19*(1+Чувствительность!$D$20)*IFERROR(LOOKUP(Предпосылки!$H$220,$C$13:$C$15,V$13:V$15),1)</f>
        <v>0</v>
      </c>
      <c s="125">
        <f>Предпосылки!V$247*Предпосылки!$W268*Продажи!W33*W$19*(1+Чувствительность!$D$20)*IFERROR(LOOKUP(Предпосылки!$H$220,$C$13:$C$15,W$13:W$15),1)</f>
        <v>0</v>
      </c>
      <c s="125">
        <f>Предпосылки!W$247*Предпосылки!$W268*Продажи!X33*X$19*(1+Чувствительность!$D$20)*IFERROR(LOOKUP(Предпосылки!$H$220,$C$13:$C$15,X$13:X$15),1)</f>
        <v>0</v>
      </c>
      <c s="125">
        <f>Предпосылки!X$247*Предпосылки!$W268*Продажи!Y33*Y$19*(1+Чувствительность!$D$20)*IFERROR(LOOKUP(Предпосылки!$H$220,$C$13:$C$15,Y$13:Y$15),1)</f>
        <v>0</v>
      </c>
      <c s="125">
        <f>Предпосылки!Y$247*Предпосылки!$W268*Продажи!Z33*Z$19*(1+Чувствительность!$D$20)*IFERROR(LOOKUP(Предпосылки!$H$220,$C$13:$C$15,Z$13:Z$15),1)</f>
        <v>0</v>
      </c>
      <c s="125">
        <f>Предпосылки!Z$247*Предпосылки!$W268*Продажи!AA33*AA$19*(1+Чувствительность!$D$20)*IFERROR(LOOKUP(Предпосылки!$H$220,$C$13:$C$15,AA$13:AA$15),1)</f>
        <v>0</v>
      </c>
      <c s="125">
        <f>Предпосылки!AA$247*Предпосылки!$W268*Продажи!AB33*AB$19*(1+Чувствительность!$D$20)*IFERROR(LOOKUP(Предпосылки!$H$220,$C$13:$C$15,AB$13:AB$15),1)</f>
        <v>0</v>
      </c>
      <c s="125">
        <f>Предпосылки!AB$247*Предпосылки!$W268*Продажи!AC33*AC$19*(1+Чувствительность!$D$20)*IFERROR(LOOKUP(Предпосылки!$H$220,$C$13:$C$15,AC$13:AC$15),1)</f>
        <v>0</v>
      </c>
      <c s="125">
        <f>Предпосылки!AC$247*Предпосылки!$W268*Продажи!AD33*AD$19*(1+Чувствительность!$D$20)*IFERROR(LOOKUP(Предпосылки!$H$220,$C$13:$C$15,AD$13:AD$15),1)</f>
        <v>0</v>
      </c>
      <c s="125">
        <f>Предпосылки!AD$247*Предпосылки!$W268*Продажи!AE33*AE$19*(1+Чувствительность!$D$20)*IFERROR(LOOKUP(Предпосылки!$H$220,$C$13:$C$15,AE$13:AE$15),1)</f>
        <v>0</v>
      </c>
      <c s="125">
        <f>Предпосылки!AE$247*Предпосылки!$W268*Продажи!AF33*AF$19*(1+Чувствительность!$D$20)*IFERROR(LOOKUP(Предпосылки!$H$220,$C$13:$C$15,AF$13:AF$15),1)</f>
        <v>0</v>
      </c>
      <c s="125">
        <f>Предпосылки!AF$247*Предпосылки!$W268*Продажи!AG33*AG$19*(1+Чувствительность!$D$20)*IFERROR(LOOKUP(Предпосылки!$H$220,$C$13:$C$15,AG$13:AG$15),1)</f>
        <v>0</v>
      </c>
      <c s="125">
        <f>Предпосылки!AG$247*Предпосылки!$W268*Продажи!AH33*AH$19*(1+Чувствительность!$D$20)*IFERROR(LOOKUP(Предпосылки!$H$220,$C$13:$C$15,AH$13:AH$15),1)</f>
        <v>0</v>
      </c>
      <c s="125">
        <f>Предпосылки!AH$247*Предпосылки!$W268*Продажи!AI33*AI$19*(1+Чувствительность!$D$20)*IFERROR(LOOKUP(Предпосылки!$H$220,$C$13:$C$15,AI$13:AI$15),1)</f>
        <v>0</v>
      </c>
      <c s="125">
        <f>Предпосылки!AI$247*Предпосылки!$W268*Продажи!AJ33*AJ$19*(1+Чувствительность!$D$20)*IFERROR(LOOKUP(Предпосылки!$H$220,$C$13:$C$15,AJ$13:AJ$15),1)</f>
        <v>0</v>
      </c>
      <c s="125">
        <f>Предпосылки!AJ$247*Предпосылки!$W268*Продажи!AK33*AK$19*(1+Чувствительность!$D$20)*IFERROR(LOOKUP(Предпосылки!$H$220,$C$13:$C$15,AK$13:AK$15),1)</f>
        <v>0</v>
      </c>
      <c s="125">
        <f>Предпосылки!AK$247*Предпосылки!$W268*Продажи!AL33*AL$19*(1+Чувствительность!$D$20)*IFERROR(LOOKUP(Предпосылки!$H$220,$C$13:$C$15,AL$13:AL$15),1)</f>
        <v>0</v>
      </c>
      <c s="125">
        <f>Предпосылки!AL$247*Предпосылки!$W268*Продажи!AM33*AM$19*(1+Чувствительность!$D$20)*IFERROR(LOOKUP(Предпосылки!$H$220,$C$13:$C$15,AM$13:AM$15),1)</f>
        <v>0</v>
      </c>
      <c s="125">
        <f>Предпосылки!AM$247*Предпосылки!$W268*Продажи!AN33*AN$19*(1+Чувствительность!$D$20)*IFERROR(LOOKUP(Предпосылки!$H$220,$C$13:$C$15,AN$13:AN$15),1)</f>
        <v>0</v>
      </c>
      <c s="125">
        <f>Предпосылки!AN$247*Предпосылки!$W268*Продажи!AO33*AO$19*(1+Чувствительность!$D$20)*IFERROR(LOOKUP(Предпосылки!$H$220,$C$13:$C$15,AO$13:AO$15),1)</f>
        <v>0</v>
      </c>
      <c s="125">
        <f>Предпосылки!AO$247*Предпосылки!$W268*Продажи!AP33*AP$19*(1+Чувствительность!$D$20)*IFERROR(LOOKUP(Предпосылки!$H$220,$C$13:$C$15,AP$13:AP$15),1)</f>
        <v>0</v>
      </c>
      <c s="125">
        <f>Предпосылки!AP$247*Предпосылки!$W268*Продажи!AQ33*AQ$19*(1+Чувствительность!$D$20)*IFERROR(LOOKUP(Предпосылки!$H$220,$C$13:$C$15,AQ$13:AQ$15),1)</f>
        <v>0</v>
      </c>
      <c s="125">
        <f>Предпосылки!AQ$247*Предпосылки!$W268*Продажи!AR33*AR$19*(1+Чувствительность!$D$20)*IFERROR(LOOKUP(Предпосылки!$H$220,$C$13:$C$15,AR$13:AR$15),1)</f>
        <v>0</v>
      </c>
      <c s="125">
        <f>Предпосылки!AR$247*Предпосылки!$W268*Продажи!AS33*AS$19*(1+Чувствительность!$D$20)*IFERROR(LOOKUP(Предпосылки!$H$220,$C$13:$C$15,AS$13:AS$15),1)</f>
        <v>0</v>
      </c>
      <c s="125">
        <f>Предпосылки!AS$247*Предпосылки!$W268*Продажи!AT33*AT$19*(1+Чувствительность!$D$20)*IFERROR(LOOKUP(Предпосылки!$H$220,$C$13:$C$15,AT$13:AT$15),1)</f>
        <v>0</v>
      </c>
      <c s="125">
        <f>Предпосылки!AT$247*Предпосылки!$W268*Продажи!AU33*AU$19*(1+Чувствительность!$D$20)*IFERROR(LOOKUP(Предпосылки!$H$220,$C$13:$C$15,AU$13:AU$15),1)</f>
        <v>0</v>
      </c>
      <c s="125">
        <f>Предпосылки!AU$247*Предпосылки!$W268*Продажи!AV33*AV$19*(1+Чувствительность!$D$20)*IFERROR(LOOKUP(Предпосылки!$H$220,$C$13:$C$15,AV$13:AV$15),1)</f>
        <v>0</v>
      </c>
      <c s="125">
        <f>Предпосылки!AV$247*Предпосылки!$W268*Продажи!AW33*AW$19*(1+Чувствительность!$D$20)*IFERROR(LOOKUP(Предпосылки!$H$220,$C$13:$C$15,AW$13:AW$15),1)</f>
        <v>0</v>
      </c>
      <c s="125">
        <f>Предпосылки!AW$247*Предпосылки!$W268*Продажи!AX33*AX$19*(1+Чувствительность!$D$20)*IFERROR(LOOKUP(Предпосылки!$H$220,$C$13:$C$15,AX$13:AX$15),1)</f>
        <v>0</v>
      </c>
      <c s="125">
        <f>Предпосылки!AX$247*Предпосылки!$W268*Продажи!AY33*AY$19*(1+Чувствительность!$D$20)*IFERROR(LOOKUP(Предпосылки!$H$220,$C$13:$C$15,AY$13:AY$15),1)</f>
        <v>0</v>
      </c>
      <c s="125">
        <f>Предпосылки!AY$247*Предпосылки!$W268*Продажи!AZ33*AZ$19*(1+Чувствительность!$D$20)*IFERROR(LOOKUP(Предпосылки!$H$220,$C$13:$C$15,AZ$13:AZ$15),1)</f>
        <v>0</v>
      </c>
      <c s="125">
        <f>Предпосылки!AZ$247*Предпосылки!$W268*Продажи!BA33*BA$19*(1+Чувствительность!$D$20)*IFERROR(LOOKUP(Предпосылки!$H$220,$C$13:$C$15,BA$13:BA$15),1)</f>
        <v>0</v>
      </c>
      <c s="125">
        <f>Предпосылки!BA$247*Предпосылки!$W268*Продажи!BB33*BB$19*(1+Чувствительность!$D$20)*IFERROR(LOOKUP(Предпосылки!$H$220,$C$13:$C$15,BB$13:BB$15),1)</f>
        <v>0</v>
      </c>
      <c s="125">
        <f>Предпосылки!BB$247*Предпосылки!$W268*Продажи!BC33*BC$19*(1+Чувствительность!$D$20)*IFERROR(LOOKUP(Предпосылки!$H$220,$C$13:$C$15,BC$13:BC$15),1)</f>
        <v>0</v>
      </c>
      <c s="125">
        <f>Предпосылки!BC$247*Предпосылки!$W268*Продажи!BD33*BD$19*(1+Чувствительность!$D$20)*IFERROR(LOOKUP(Предпосылки!$H$220,$C$13:$C$15,BD$13:BD$15),1)</f>
        <v>0</v>
      </c>
      <c s="125">
        <f>Предпосылки!BD$247*Предпосылки!$W268*Продажи!BE33*BE$19*(1+Чувствительность!$D$20)*IFERROR(LOOKUP(Предпосылки!$H$220,$C$13:$C$15,BE$13:BE$15),1)</f>
        <v>0</v>
      </c>
      <c s="125">
        <f>Предпосылки!BE$247*Предпосылки!$W268*Продажи!BF33*BF$19*(1+Чувствительность!$D$20)*IFERROR(LOOKUP(Предпосылки!$H$220,$C$13:$C$15,BF$13:BF$15),1)</f>
        <v>0</v>
      </c>
      <c s="125">
        <f>Предпосылки!BF$247*Предпосылки!$W268*Продажи!BG33*BG$19*(1+Чувствительность!$D$20)*IFERROR(LOOKUP(Предпосылки!$H$220,$C$13:$C$15,BG$13:BG$15),1)</f>
        <v>0</v>
      </c>
      <c s="125">
        <f>Предпосылки!BG$247*Предпосылки!$W268*Продажи!BH33*BH$19*(1+Чувствительность!$D$20)*IFERROR(LOOKUP(Предпосылки!$H$220,$C$13:$C$15,BH$13:BH$15),1)</f>
        <v>0</v>
      </c>
      <c s="125">
        <f>Предпосылки!BH$247*Предпосылки!$W268*Продажи!BI33*BI$19*(1+Чувствительность!$D$20)*IFERROR(LOOKUP(Предпосылки!$H$220,$C$13:$C$15,BI$13:BI$15),1)</f>
        <v>0</v>
      </c>
      <c s="125">
        <f>Предпосылки!BI$247*Предпосылки!$W268*Продажи!BJ33*BJ$19*(1+Чувствительность!$D$20)*IFERROR(LOOKUP(Предпосылки!$H$220,$C$13:$C$15,BJ$13:BJ$15),1)</f>
        <v>0</v>
      </c>
      <c s="125">
        <f>Предпосылки!BJ$247*Предпосылки!$W268*Продажи!BK33*BK$19*(1+Чувствительность!$D$20)*IFERROR(LOOKUP(Предпосылки!$H$220,$C$13:$C$15,BK$13:BK$15),1)</f>
        <v>0</v>
      </c>
      <c s="125">
        <f>Предпосылки!BK$247*Предпосылки!$W268*Продажи!BL33*BL$19*(1+Чувствительность!$D$20)*IFERROR(LOOKUP(Предпосылки!$H$220,$C$13:$C$15,BL$13:BL$15),1)</f>
        <v>0</v>
      </c>
      <c s="125">
        <f>Предпосылки!BL$247*Предпосылки!$W268*Продажи!BM33*BM$19*(1+Чувствительность!$D$20)*IFERROR(LOOKUP(Предпосылки!$H$220,$C$13:$C$15,BM$13:BM$15),1)</f>
        <v>0</v>
      </c>
    </row>
    <row r="476" spans="2:65" ht="15" customHeight="1">
      <c r="B476" s="12" t="str">
        <f t="shared" si="156"/>
        <v>Продукт 17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Предпосылки!D$247*Предпосылки!$W269*Продажи!E34*E$19*(1+Чувствительность!$D$20)*IFERROR(LOOKUP(Предпосылки!$H$220,$C$13:$C$15,E$13:E$15),1)</f>
        <v>0</v>
      </c>
      <c s="125">
        <f>Предпосылки!E$247*Предпосылки!$W269*Продажи!F34*F$19*(1+Чувствительность!$D$20)*IFERROR(LOOKUP(Предпосылки!$H$220,$C$13:$C$15,F$13:F$15),1)</f>
        <v>0</v>
      </c>
      <c s="125">
        <f>Предпосылки!F$247*Предпосылки!$W269*Продажи!G34*G$19*(1+Чувствительность!$D$20)*IFERROR(LOOKUP(Предпосылки!$H$220,$C$13:$C$15,G$13:G$15),1)</f>
        <v>0</v>
      </c>
      <c s="125">
        <f>Предпосылки!G$247*Предпосылки!$W269*Продажи!H34*H$19*(1+Чувствительность!$D$20)*IFERROR(LOOKUP(Предпосылки!$H$220,$C$13:$C$15,H$13:H$15),1)</f>
        <v>0</v>
      </c>
      <c s="125">
        <f>Предпосылки!H$247*Предпосылки!$W269*Продажи!I34*I$19*(1+Чувствительность!$D$20)*IFERROR(LOOKUP(Предпосылки!$H$220,$C$13:$C$15,I$13:I$15),1)</f>
        <v>0</v>
      </c>
      <c s="125">
        <f>Предпосылки!I$247*Предпосылки!$W269*Продажи!J34*J$19*(1+Чувствительность!$D$20)*IFERROR(LOOKUP(Предпосылки!$H$220,$C$13:$C$15,J$13:J$15),1)</f>
        <v>0</v>
      </c>
      <c s="125">
        <f>Предпосылки!J$247*Предпосылки!$W269*Продажи!K34*K$19*(1+Чувствительность!$D$20)*IFERROR(LOOKUP(Предпосылки!$H$220,$C$13:$C$15,K$13:K$15),1)</f>
        <v>0</v>
      </c>
      <c s="125">
        <f>Предпосылки!K$247*Предпосылки!$W269*Продажи!L34*L$19*(1+Чувствительность!$D$20)*IFERROR(LOOKUP(Предпосылки!$H$220,$C$13:$C$15,L$13:L$15),1)</f>
        <v>0</v>
      </c>
      <c s="125">
        <f>Предпосылки!L$247*Предпосылки!$W269*Продажи!M34*M$19*(1+Чувствительность!$D$20)*IFERROR(LOOKUP(Предпосылки!$H$220,$C$13:$C$15,M$13:M$15),1)</f>
        <v>0</v>
      </c>
      <c s="125">
        <f>Предпосылки!M$247*Предпосылки!$W269*Продажи!N34*N$19*(1+Чувствительность!$D$20)*IFERROR(LOOKUP(Предпосылки!$H$220,$C$13:$C$15,N$13:N$15),1)</f>
        <v>0</v>
      </c>
      <c s="125">
        <f>Предпосылки!N$247*Предпосылки!$W269*Продажи!O34*O$19*(1+Чувствительность!$D$20)*IFERROR(LOOKUP(Предпосылки!$H$220,$C$13:$C$15,O$13:O$15),1)</f>
        <v>0</v>
      </c>
      <c s="125">
        <f>Предпосылки!O$247*Предпосылки!$W269*Продажи!P34*P$19*(1+Чувствительность!$D$20)*IFERROR(LOOKUP(Предпосылки!$H$220,$C$13:$C$15,P$13:P$15),1)</f>
        <v>0</v>
      </c>
      <c s="125">
        <f>Предпосылки!P$247*Предпосылки!$W269*Продажи!Q34*Q$19*(1+Чувствительность!$D$20)*IFERROR(LOOKUP(Предпосылки!$H$220,$C$13:$C$15,Q$13:Q$15),1)</f>
        <v>0</v>
      </c>
      <c s="125">
        <f>Предпосылки!Q$247*Предпосылки!$W269*Продажи!R34*R$19*(1+Чувствительность!$D$20)*IFERROR(LOOKUP(Предпосылки!$H$220,$C$13:$C$15,R$13:R$15),1)</f>
        <v>0</v>
      </c>
      <c s="125">
        <f>Предпосылки!R$247*Предпосылки!$W269*Продажи!S34*S$19*(1+Чувствительность!$D$20)*IFERROR(LOOKUP(Предпосылки!$H$220,$C$13:$C$15,S$13:S$15),1)</f>
        <v>0</v>
      </c>
      <c s="125">
        <f>Предпосылки!S$247*Предпосылки!$W269*Продажи!T34*T$19*(1+Чувствительность!$D$20)*IFERROR(LOOKUP(Предпосылки!$H$220,$C$13:$C$15,T$13:T$15),1)</f>
        <v>0</v>
      </c>
      <c s="125">
        <f>Предпосылки!T$247*Предпосылки!$W269*Продажи!U34*U$19*(1+Чувствительность!$D$20)*IFERROR(LOOKUP(Предпосылки!$H$220,$C$13:$C$15,U$13:U$15),1)</f>
        <v>0</v>
      </c>
      <c s="125">
        <f>Предпосылки!U$247*Предпосылки!$W269*Продажи!V34*V$19*(1+Чувствительность!$D$20)*IFERROR(LOOKUP(Предпосылки!$H$220,$C$13:$C$15,V$13:V$15),1)</f>
        <v>0</v>
      </c>
      <c s="125">
        <f>Предпосылки!V$247*Предпосылки!$W269*Продажи!W34*W$19*(1+Чувствительность!$D$20)*IFERROR(LOOKUP(Предпосылки!$H$220,$C$13:$C$15,W$13:W$15),1)</f>
        <v>0</v>
      </c>
      <c s="125">
        <f>Предпосылки!W$247*Предпосылки!$W269*Продажи!X34*X$19*(1+Чувствительность!$D$20)*IFERROR(LOOKUP(Предпосылки!$H$220,$C$13:$C$15,X$13:X$15),1)</f>
        <v>0</v>
      </c>
      <c s="125">
        <f>Предпосылки!X$247*Предпосылки!$W269*Продажи!Y34*Y$19*(1+Чувствительность!$D$20)*IFERROR(LOOKUP(Предпосылки!$H$220,$C$13:$C$15,Y$13:Y$15),1)</f>
        <v>0</v>
      </c>
      <c s="125">
        <f>Предпосылки!Y$247*Предпосылки!$W269*Продажи!Z34*Z$19*(1+Чувствительность!$D$20)*IFERROR(LOOKUP(Предпосылки!$H$220,$C$13:$C$15,Z$13:Z$15),1)</f>
        <v>0</v>
      </c>
      <c s="125">
        <f>Предпосылки!Z$247*Предпосылки!$W269*Продажи!AA34*AA$19*(1+Чувствительность!$D$20)*IFERROR(LOOKUP(Предпосылки!$H$220,$C$13:$C$15,AA$13:AA$15),1)</f>
        <v>0</v>
      </c>
      <c s="125">
        <f>Предпосылки!AA$247*Предпосылки!$W269*Продажи!AB34*AB$19*(1+Чувствительность!$D$20)*IFERROR(LOOKUP(Предпосылки!$H$220,$C$13:$C$15,AB$13:AB$15),1)</f>
        <v>0</v>
      </c>
      <c s="125">
        <f>Предпосылки!AB$247*Предпосылки!$W269*Продажи!AC34*AC$19*(1+Чувствительность!$D$20)*IFERROR(LOOKUP(Предпосылки!$H$220,$C$13:$C$15,AC$13:AC$15),1)</f>
        <v>0</v>
      </c>
      <c s="125">
        <f>Предпосылки!AC$247*Предпосылки!$W269*Продажи!AD34*AD$19*(1+Чувствительность!$D$20)*IFERROR(LOOKUP(Предпосылки!$H$220,$C$13:$C$15,AD$13:AD$15),1)</f>
        <v>0</v>
      </c>
      <c s="125">
        <f>Предпосылки!AD$247*Предпосылки!$W269*Продажи!AE34*AE$19*(1+Чувствительность!$D$20)*IFERROR(LOOKUP(Предпосылки!$H$220,$C$13:$C$15,AE$13:AE$15),1)</f>
        <v>0</v>
      </c>
      <c s="125">
        <f>Предпосылки!AE$247*Предпосылки!$W269*Продажи!AF34*AF$19*(1+Чувствительность!$D$20)*IFERROR(LOOKUP(Предпосылки!$H$220,$C$13:$C$15,AF$13:AF$15),1)</f>
        <v>0</v>
      </c>
      <c s="125">
        <f>Предпосылки!AF$247*Предпосылки!$W269*Продажи!AG34*AG$19*(1+Чувствительность!$D$20)*IFERROR(LOOKUP(Предпосылки!$H$220,$C$13:$C$15,AG$13:AG$15),1)</f>
        <v>0</v>
      </c>
      <c s="125">
        <f>Предпосылки!AG$247*Предпосылки!$W269*Продажи!AH34*AH$19*(1+Чувствительность!$D$20)*IFERROR(LOOKUP(Предпосылки!$H$220,$C$13:$C$15,AH$13:AH$15),1)</f>
        <v>0</v>
      </c>
      <c s="125">
        <f>Предпосылки!AH$247*Предпосылки!$W269*Продажи!AI34*AI$19*(1+Чувствительность!$D$20)*IFERROR(LOOKUP(Предпосылки!$H$220,$C$13:$C$15,AI$13:AI$15),1)</f>
        <v>0</v>
      </c>
      <c s="125">
        <f>Предпосылки!AI$247*Предпосылки!$W269*Продажи!AJ34*AJ$19*(1+Чувствительность!$D$20)*IFERROR(LOOKUP(Предпосылки!$H$220,$C$13:$C$15,AJ$13:AJ$15),1)</f>
        <v>0</v>
      </c>
      <c s="125">
        <f>Предпосылки!AJ$247*Предпосылки!$W269*Продажи!AK34*AK$19*(1+Чувствительность!$D$20)*IFERROR(LOOKUP(Предпосылки!$H$220,$C$13:$C$15,AK$13:AK$15),1)</f>
        <v>0</v>
      </c>
      <c s="125">
        <f>Предпосылки!AK$247*Предпосылки!$W269*Продажи!AL34*AL$19*(1+Чувствительность!$D$20)*IFERROR(LOOKUP(Предпосылки!$H$220,$C$13:$C$15,AL$13:AL$15),1)</f>
        <v>0</v>
      </c>
      <c s="125">
        <f>Предпосылки!AL$247*Предпосылки!$W269*Продажи!AM34*AM$19*(1+Чувствительность!$D$20)*IFERROR(LOOKUP(Предпосылки!$H$220,$C$13:$C$15,AM$13:AM$15),1)</f>
        <v>0</v>
      </c>
      <c s="125">
        <f>Предпосылки!AM$247*Предпосылки!$W269*Продажи!AN34*AN$19*(1+Чувствительность!$D$20)*IFERROR(LOOKUP(Предпосылки!$H$220,$C$13:$C$15,AN$13:AN$15),1)</f>
        <v>0</v>
      </c>
      <c s="125">
        <f>Предпосылки!AN$247*Предпосылки!$W269*Продажи!AO34*AO$19*(1+Чувствительность!$D$20)*IFERROR(LOOKUP(Предпосылки!$H$220,$C$13:$C$15,AO$13:AO$15),1)</f>
        <v>0</v>
      </c>
      <c s="125">
        <f>Предпосылки!AO$247*Предпосылки!$W269*Продажи!AP34*AP$19*(1+Чувствительность!$D$20)*IFERROR(LOOKUP(Предпосылки!$H$220,$C$13:$C$15,AP$13:AP$15),1)</f>
        <v>0</v>
      </c>
      <c s="125">
        <f>Предпосылки!AP$247*Предпосылки!$W269*Продажи!AQ34*AQ$19*(1+Чувствительность!$D$20)*IFERROR(LOOKUP(Предпосылки!$H$220,$C$13:$C$15,AQ$13:AQ$15),1)</f>
        <v>0</v>
      </c>
      <c s="125">
        <f>Предпосылки!AQ$247*Предпосылки!$W269*Продажи!AR34*AR$19*(1+Чувствительность!$D$20)*IFERROR(LOOKUP(Предпосылки!$H$220,$C$13:$C$15,AR$13:AR$15),1)</f>
        <v>0</v>
      </c>
      <c s="125">
        <f>Предпосылки!AR$247*Предпосылки!$W269*Продажи!AS34*AS$19*(1+Чувствительность!$D$20)*IFERROR(LOOKUP(Предпосылки!$H$220,$C$13:$C$15,AS$13:AS$15),1)</f>
        <v>0</v>
      </c>
      <c s="125">
        <f>Предпосылки!AS$247*Предпосылки!$W269*Продажи!AT34*AT$19*(1+Чувствительность!$D$20)*IFERROR(LOOKUP(Предпосылки!$H$220,$C$13:$C$15,AT$13:AT$15),1)</f>
        <v>0</v>
      </c>
      <c s="125">
        <f>Предпосылки!AT$247*Предпосылки!$W269*Продажи!AU34*AU$19*(1+Чувствительность!$D$20)*IFERROR(LOOKUP(Предпосылки!$H$220,$C$13:$C$15,AU$13:AU$15),1)</f>
        <v>0</v>
      </c>
      <c s="125">
        <f>Предпосылки!AU$247*Предпосылки!$W269*Продажи!AV34*AV$19*(1+Чувствительность!$D$20)*IFERROR(LOOKUP(Предпосылки!$H$220,$C$13:$C$15,AV$13:AV$15),1)</f>
        <v>0</v>
      </c>
      <c s="125">
        <f>Предпосылки!AV$247*Предпосылки!$W269*Продажи!AW34*AW$19*(1+Чувствительность!$D$20)*IFERROR(LOOKUP(Предпосылки!$H$220,$C$13:$C$15,AW$13:AW$15),1)</f>
        <v>0</v>
      </c>
      <c s="125">
        <f>Предпосылки!AW$247*Предпосылки!$W269*Продажи!AX34*AX$19*(1+Чувствительность!$D$20)*IFERROR(LOOKUP(Предпосылки!$H$220,$C$13:$C$15,AX$13:AX$15),1)</f>
        <v>0</v>
      </c>
      <c s="125">
        <f>Предпосылки!AX$247*Предпосылки!$W269*Продажи!AY34*AY$19*(1+Чувствительность!$D$20)*IFERROR(LOOKUP(Предпосылки!$H$220,$C$13:$C$15,AY$13:AY$15),1)</f>
        <v>0</v>
      </c>
      <c s="125">
        <f>Предпосылки!AY$247*Предпосылки!$W269*Продажи!AZ34*AZ$19*(1+Чувствительность!$D$20)*IFERROR(LOOKUP(Предпосылки!$H$220,$C$13:$C$15,AZ$13:AZ$15),1)</f>
        <v>0</v>
      </c>
      <c s="125">
        <f>Предпосылки!AZ$247*Предпосылки!$W269*Продажи!BA34*BA$19*(1+Чувствительность!$D$20)*IFERROR(LOOKUP(Предпосылки!$H$220,$C$13:$C$15,BA$13:BA$15),1)</f>
        <v>0</v>
      </c>
      <c s="125">
        <f>Предпосылки!BA$247*Предпосылки!$W269*Продажи!BB34*BB$19*(1+Чувствительность!$D$20)*IFERROR(LOOKUP(Предпосылки!$H$220,$C$13:$C$15,BB$13:BB$15),1)</f>
        <v>0</v>
      </c>
      <c s="125">
        <f>Предпосылки!BB$247*Предпосылки!$W269*Продажи!BC34*BC$19*(1+Чувствительность!$D$20)*IFERROR(LOOKUP(Предпосылки!$H$220,$C$13:$C$15,BC$13:BC$15),1)</f>
        <v>0</v>
      </c>
      <c s="125">
        <f>Предпосылки!BC$247*Предпосылки!$W269*Продажи!BD34*BD$19*(1+Чувствительность!$D$20)*IFERROR(LOOKUP(Предпосылки!$H$220,$C$13:$C$15,BD$13:BD$15),1)</f>
        <v>0</v>
      </c>
      <c s="125">
        <f>Предпосылки!BD$247*Предпосылки!$W269*Продажи!BE34*BE$19*(1+Чувствительность!$D$20)*IFERROR(LOOKUP(Предпосылки!$H$220,$C$13:$C$15,BE$13:BE$15),1)</f>
        <v>0</v>
      </c>
      <c s="125">
        <f>Предпосылки!BE$247*Предпосылки!$W269*Продажи!BF34*BF$19*(1+Чувствительность!$D$20)*IFERROR(LOOKUP(Предпосылки!$H$220,$C$13:$C$15,BF$13:BF$15),1)</f>
        <v>0</v>
      </c>
      <c s="125">
        <f>Предпосылки!BF$247*Предпосылки!$W269*Продажи!BG34*BG$19*(1+Чувствительность!$D$20)*IFERROR(LOOKUP(Предпосылки!$H$220,$C$13:$C$15,BG$13:BG$15),1)</f>
        <v>0</v>
      </c>
      <c s="125">
        <f>Предпосылки!BG$247*Предпосылки!$W269*Продажи!BH34*BH$19*(1+Чувствительность!$D$20)*IFERROR(LOOKUP(Предпосылки!$H$220,$C$13:$C$15,BH$13:BH$15),1)</f>
        <v>0</v>
      </c>
      <c s="125">
        <f>Предпосылки!BH$247*Предпосылки!$W269*Продажи!BI34*BI$19*(1+Чувствительность!$D$20)*IFERROR(LOOKUP(Предпосылки!$H$220,$C$13:$C$15,BI$13:BI$15),1)</f>
        <v>0</v>
      </c>
      <c s="125">
        <f>Предпосылки!BI$247*Предпосылки!$W269*Продажи!BJ34*BJ$19*(1+Чувствительность!$D$20)*IFERROR(LOOKUP(Предпосылки!$H$220,$C$13:$C$15,BJ$13:BJ$15),1)</f>
        <v>0</v>
      </c>
      <c s="125">
        <f>Предпосылки!BJ$247*Предпосылки!$W269*Продажи!BK34*BK$19*(1+Чувствительность!$D$20)*IFERROR(LOOKUP(Предпосылки!$H$220,$C$13:$C$15,BK$13:BK$15),1)</f>
        <v>0</v>
      </c>
      <c s="125">
        <f>Предпосылки!BK$247*Предпосылки!$W269*Продажи!BL34*BL$19*(1+Чувствительность!$D$20)*IFERROR(LOOKUP(Предпосылки!$H$220,$C$13:$C$15,BL$13:BL$15),1)</f>
        <v>0</v>
      </c>
      <c s="125">
        <f>Предпосылки!BL$247*Предпосылки!$W269*Продажи!BM34*BM$19*(1+Чувствительность!$D$20)*IFERROR(LOOKUP(Предпосылки!$H$220,$C$13:$C$15,BM$13:BM$15),1)</f>
        <v>0</v>
      </c>
    </row>
    <row r="477" spans="2:65" ht="15" customHeight="1">
      <c r="B477" s="12" t="str">
        <f t="shared" si="156"/>
        <v>Продукт 18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Предпосылки!D$247*Предпосылки!$W270*Продажи!E35*E$19*(1+Чувствительность!$D$20)*IFERROR(LOOKUP(Предпосылки!$H$220,$C$13:$C$15,E$13:E$15),1)</f>
        <v>0</v>
      </c>
      <c s="125">
        <f>Предпосылки!E$247*Предпосылки!$W270*Продажи!F35*F$19*(1+Чувствительность!$D$20)*IFERROR(LOOKUP(Предпосылки!$H$220,$C$13:$C$15,F$13:F$15),1)</f>
        <v>0</v>
      </c>
      <c s="125">
        <f>Предпосылки!F$247*Предпосылки!$W270*Продажи!G35*G$19*(1+Чувствительность!$D$20)*IFERROR(LOOKUP(Предпосылки!$H$220,$C$13:$C$15,G$13:G$15),1)</f>
        <v>0</v>
      </c>
      <c s="125">
        <f>Предпосылки!G$247*Предпосылки!$W270*Продажи!H35*H$19*(1+Чувствительность!$D$20)*IFERROR(LOOKUP(Предпосылки!$H$220,$C$13:$C$15,H$13:H$15),1)</f>
        <v>0</v>
      </c>
      <c s="125">
        <f>Предпосылки!H$247*Предпосылки!$W270*Продажи!I35*I$19*(1+Чувствительность!$D$20)*IFERROR(LOOKUP(Предпосылки!$H$220,$C$13:$C$15,I$13:I$15),1)</f>
        <v>0</v>
      </c>
      <c s="125">
        <f>Предпосылки!I$247*Предпосылки!$W270*Продажи!J35*J$19*(1+Чувствительность!$D$20)*IFERROR(LOOKUP(Предпосылки!$H$220,$C$13:$C$15,J$13:J$15),1)</f>
        <v>0</v>
      </c>
      <c s="125">
        <f>Предпосылки!J$247*Предпосылки!$W270*Продажи!K35*K$19*(1+Чувствительность!$D$20)*IFERROR(LOOKUP(Предпосылки!$H$220,$C$13:$C$15,K$13:K$15),1)</f>
        <v>0</v>
      </c>
      <c s="125">
        <f>Предпосылки!K$247*Предпосылки!$W270*Продажи!L35*L$19*(1+Чувствительность!$D$20)*IFERROR(LOOKUP(Предпосылки!$H$220,$C$13:$C$15,L$13:L$15),1)</f>
        <v>0</v>
      </c>
      <c s="125">
        <f>Предпосылки!L$247*Предпосылки!$W270*Продажи!M35*M$19*(1+Чувствительность!$D$20)*IFERROR(LOOKUP(Предпосылки!$H$220,$C$13:$C$15,M$13:M$15),1)</f>
        <v>0</v>
      </c>
      <c s="125">
        <f>Предпосылки!M$247*Предпосылки!$W270*Продажи!N35*N$19*(1+Чувствительность!$D$20)*IFERROR(LOOKUP(Предпосылки!$H$220,$C$13:$C$15,N$13:N$15),1)</f>
        <v>0</v>
      </c>
      <c s="125">
        <f>Предпосылки!N$247*Предпосылки!$W270*Продажи!O35*O$19*(1+Чувствительность!$D$20)*IFERROR(LOOKUP(Предпосылки!$H$220,$C$13:$C$15,O$13:O$15),1)</f>
        <v>0</v>
      </c>
      <c s="125">
        <f>Предпосылки!O$247*Предпосылки!$W270*Продажи!P35*P$19*(1+Чувствительность!$D$20)*IFERROR(LOOKUP(Предпосылки!$H$220,$C$13:$C$15,P$13:P$15),1)</f>
        <v>0</v>
      </c>
      <c s="125">
        <f>Предпосылки!P$247*Предпосылки!$W270*Продажи!Q35*Q$19*(1+Чувствительность!$D$20)*IFERROR(LOOKUP(Предпосылки!$H$220,$C$13:$C$15,Q$13:Q$15),1)</f>
        <v>0</v>
      </c>
      <c s="125">
        <f>Предпосылки!Q$247*Предпосылки!$W270*Продажи!R35*R$19*(1+Чувствительность!$D$20)*IFERROR(LOOKUP(Предпосылки!$H$220,$C$13:$C$15,R$13:R$15),1)</f>
        <v>0</v>
      </c>
      <c s="125">
        <f>Предпосылки!R$247*Предпосылки!$W270*Продажи!S35*S$19*(1+Чувствительность!$D$20)*IFERROR(LOOKUP(Предпосылки!$H$220,$C$13:$C$15,S$13:S$15),1)</f>
        <v>0</v>
      </c>
      <c s="125">
        <f>Предпосылки!S$247*Предпосылки!$W270*Продажи!T35*T$19*(1+Чувствительность!$D$20)*IFERROR(LOOKUP(Предпосылки!$H$220,$C$13:$C$15,T$13:T$15),1)</f>
        <v>0</v>
      </c>
      <c s="125">
        <f>Предпосылки!T$247*Предпосылки!$W270*Продажи!U35*U$19*(1+Чувствительность!$D$20)*IFERROR(LOOKUP(Предпосылки!$H$220,$C$13:$C$15,U$13:U$15),1)</f>
        <v>0</v>
      </c>
      <c s="125">
        <f>Предпосылки!U$247*Предпосылки!$W270*Продажи!V35*V$19*(1+Чувствительность!$D$20)*IFERROR(LOOKUP(Предпосылки!$H$220,$C$13:$C$15,V$13:V$15),1)</f>
        <v>0</v>
      </c>
      <c s="125">
        <f>Предпосылки!V$247*Предпосылки!$W270*Продажи!W35*W$19*(1+Чувствительность!$D$20)*IFERROR(LOOKUP(Предпосылки!$H$220,$C$13:$C$15,W$13:W$15),1)</f>
        <v>0</v>
      </c>
      <c s="125">
        <f>Предпосылки!W$247*Предпосылки!$W270*Продажи!X35*X$19*(1+Чувствительность!$D$20)*IFERROR(LOOKUP(Предпосылки!$H$220,$C$13:$C$15,X$13:X$15),1)</f>
        <v>0</v>
      </c>
      <c s="125">
        <f>Предпосылки!X$247*Предпосылки!$W270*Продажи!Y35*Y$19*(1+Чувствительность!$D$20)*IFERROR(LOOKUP(Предпосылки!$H$220,$C$13:$C$15,Y$13:Y$15),1)</f>
        <v>0</v>
      </c>
      <c s="125">
        <f>Предпосылки!Y$247*Предпосылки!$W270*Продажи!Z35*Z$19*(1+Чувствительность!$D$20)*IFERROR(LOOKUP(Предпосылки!$H$220,$C$13:$C$15,Z$13:Z$15),1)</f>
        <v>0</v>
      </c>
      <c s="125">
        <f>Предпосылки!Z$247*Предпосылки!$W270*Продажи!AA35*AA$19*(1+Чувствительность!$D$20)*IFERROR(LOOKUP(Предпосылки!$H$220,$C$13:$C$15,AA$13:AA$15),1)</f>
        <v>0</v>
      </c>
      <c s="125">
        <f>Предпосылки!AA$247*Предпосылки!$W270*Продажи!AB35*AB$19*(1+Чувствительность!$D$20)*IFERROR(LOOKUP(Предпосылки!$H$220,$C$13:$C$15,AB$13:AB$15),1)</f>
        <v>0</v>
      </c>
      <c s="125">
        <f>Предпосылки!AB$247*Предпосылки!$W270*Продажи!AC35*AC$19*(1+Чувствительность!$D$20)*IFERROR(LOOKUP(Предпосылки!$H$220,$C$13:$C$15,AC$13:AC$15),1)</f>
        <v>0</v>
      </c>
      <c s="125">
        <f>Предпосылки!AC$247*Предпосылки!$W270*Продажи!AD35*AD$19*(1+Чувствительность!$D$20)*IFERROR(LOOKUP(Предпосылки!$H$220,$C$13:$C$15,AD$13:AD$15),1)</f>
        <v>0</v>
      </c>
      <c s="125">
        <f>Предпосылки!AD$247*Предпосылки!$W270*Продажи!AE35*AE$19*(1+Чувствительность!$D$20)*IFERROR(LOOKUP(Предпосылки!$H$220,$C$13:$C$15,AE$13:AE$15),1)</f>
        <v>0</v>
      </c>
      <c s="125">
        <f>Предпосылки!AE$247*Предпосылки!$W270*Продажи!AF35*AF$19*(1+Чувствительность!$D$20)*IFERROR(LOOKUP(Предпосылки!$H$220,$C$13:$C$15,AF$13:AF$15),1)</f>
        <v>0</v>
      </c>
      <c s="125">
        <f>Предпосылки!AF$247*Предпосылки!$W270*Продажи!AG35*AG$19*(1+Чувствительность!$D$20)*IFERROR(LOOKUP(Предпосылки!$H$220,$C$13:$C$15,AG$13:AG$15),1)</f>
        <v>0</v>
      </c>
      <c s="125">
        <f>Предпосылки!AG$247*Предпосылки!$W270*Продажи!AH35*AH$19*(1+Чувствительность!$D$20)*IFERROR(LOOKUP(Предпосылки!$H$220,$C$13:$C$15,AH$13:AH$15),1)</f>
        <v>0</v>
      </c>
      <c s="125">
        <f>Предпосылки!AH$247*Предпосылки!$W270*Продажи!AI35*AI$19*(1+Чувствительность!$D$20)*IFERROR(LOOKUP(Предпосылки!$H$220,$C$13:$C$15,AI$13:AI$15),1)</f>
        <v>0</v>
      </c>
      <c s="125">
        <f>Предпосылки!AI$247*Предпосылки!$W270*Продажи!AJ35*AJ$19*(1+Чувствительность!$D$20)*IFERROR(LOOKUP(Предпосылки!$H$220,$C$13:$C$15,AJ$13:AJ$15),1)</f>
        <v>0</v>
      </c>
      <c s="125">
        <f>Предпосылки!AJ$247*Предпосылки!$W270*Продажи!AK35*AK$19*(1+Чувствительность!$D$20)*IFERROR(LOOKUP(Предпосылки!$H$220,$C$13:$C$15,AK$13:AK$15),1)</f>
        <v>0</v>
      </c>
      <c s="125">
        <f>Предпосылки!AK$247*Предпосылки!$W270*Продажи!AL35*AL$19*(1+Чувствительность!$D$20)*IFERROR(LOOKUP(Предпосылки!$H$220,$C$13:$C$15,AL$13:AL$15),1)</f>
        <v>0</v>
      </c>
      <c s="125">
        <f>Предпосылки!AL$247*Предпосылки!$W270*Продажи!AM35*AM$19*(1+Чувствительность!$D$20)*IFERROR(LOOKUP(Предпосылки!$H$220,$C$13:$C$15,AM$13:AM$15),1)</f>
        <v>0</v>
      </c>
      <c s="125">
        <f>Предпосылки!AM$247*Предпосылки!$W270*Продажи!AN35*AN$19*(1+Чувствительность!$D$20)*IFERROR(LOOKUP(Предпосылки!$H$220,$C$13:$C$15,AN$13:AN$15),1)</f>
        <v>0</v>
      </c>
      <c s="125">
        <f>Предпосылки!AN$247*Предпосылки!$W270*Продажи!AO35*AO$19*(1+Чувствительность!$D$20)*IFERROR(LOOKUP(Предпосылки!$H$220,$C$13:$C$15,AO$13:AO$15),1)</f>
        <v>0</v>
      </c>
      <c s="125">
        <f>Предпосылки!AO$247*Предпосылки!$W270*Продажи!AP35*AP$19*(1+Чувствительность!$D$20)*IFERROR(LOOKUP(Предпосылки!$H$220,$C$13:$C$15,AP$13:AP$15),1)</f>
        <v>0</v>
      </c>
      <c s="125">
        <f>Предпосылки!AP$247*Предпосылки!$W270*Продажи!AQ35*AQ$19*(1+Чувствительность!$D$20)*IFERROR(LOOKUP(Предпосылки!$H$220,$C$13:$C$15,AQ$13:AQ$15),1)</f>
        <v>0</v>
      </c>
      <c s="125">
        <f>Предпосылки!AQ$247*Предпосылки!$W270*Продажи!AR35*AR$19*(1+Чувствительность!$D$20)*IFERROR(LOOKUP(Предпосылки!$H$220,$C$13:$C$15,AR$13:AR$15),1)</f>
        <v>0</v>
      </c>
      <c s="125">
        <f>Предпосылки!AR$247*Предпосылки!$W270*Продажи!AS35*AS$19*(1+Чувствительность!$D$20)*IFERROR(LOOKUP(Предпосылки!$H$220,$C$13:$C$15,AS$13:AS$15),1)</f>
        <v>0</v>
      </c>
      <c s="125">
        <f>Предпосылки!AS$247*Предпосылки!$W270*Продажи!AT35*AT$19*(1+Чувствительность!$D$20)*IFERROR(LOOKUP(Предпосылки!$H$220,$C$13:$C$15,AT$13:AT$15),1)</f>
        <v>0</v>
      </c>
      <c s="125">
        <f>Предпосылки!AT$247*Предпосылки!$W270*Продажи!AU35*AU$19*(1+Чувствительность!$D$20)*IFERROR(LOOKUP(Предпосылки!$H$220,$C$13:$C$15,AU$13:AU$15),1)</f>
        <v>0</v>
      </c>
      <c s="125">
        <f>Предпосылки!AU$247*Предпосылки!$W270*Продажи!AV35*AV$19*(1+Чувствительность!$D$20)*IFERROR(LOOKUP(Предпосылки!$H$220,$C$13:$C$15,AV$13:AV$15),1)</f>
        <v>0</v>
      </c>
      <c s="125">
        <f>Предпосылки!AV$247*Предпосылки!$W270*Продажи!AW35*AW$19*(1+Чувствительность!$D$20)*IFERROR(LOOKUP(Предпосылки!$H$220,$C$13:$C$15,AW$13:AW$15),1)</f>
        <v>0</v>
      </c>
      <c s="125">
        <f>Предпосылки!AW$247*Предпосылки!$W270*Продажи!AX35*AX$19*(1+Чувствительность!$D$20)*IFERROR(LOOKUP(Предпосылки!$H$220,$C$13:$C$15,AX$13:AX$15),1)</f>
        <v>0</v>
      </c>
      <c s="125">
        <f>Предпосылки!AX$247*Предпосылки!$W270*Продажи!AY35*AY$19*(1+Чувствительность!$D$20)*IFERROR(LOOKUP(Предпосылки!$H$220,$C$13:$C$15,AY$13:AY$15),1)</f>
        <v>0</v>
      </c>
      <c s="125">
        <f>Предпосылки!AY$247*Предпосылки!$W270*Продажи!AZ35*AZ$19*(1+Чувствительность!$D$20)*IFERROR(LOOKUP(Предпосылки!$H$220,$C$13:$C$15,AZ$13:AZ$15),1)</f>
        <v>0</v>
      </c>
      <c s="125">
        <f>Предпосылки!AZ$247*Предпосылки!$W270*Продажи!BA35*BA$19*(1+Чувствительность!$D$20)*IFERROR(LOOKUP(Предпосылки!$H$220,$C$13:$C$15,BA$13:BA$15),1)</f>
        <v>0</v>
      </c>
      <c s="125">
        <f>Предпосылки!BA$247*Предпосылки!$W270*Продажи!BB35*BB$19*(1+Чувствительность!$D$20)*IFERROR(LOOKUP(Предпосылки!$H$220,$C$13:$C$15,BB$13:BB$15),1)</f>
        <v>0</v>
      </c>
      <c s="125">
        <f>Предпосылки!BB$247*Предпосылки!$W270*Продажи!BC35*BC$19*(1+Чувствительность!$D$20)*IFERROR(LOOKUP(Предпосылки!$H$220,$C$13:$C$15,BC$13:BC$15),1)</f>
        <v>0</v>
      </c>
      <c s="125">
        <f>Предпосылки!BC$247*Предпосылки!$W270*Продажи!BD35*BD$19*(1+Чувствительность!$D$20)*IFERROR(LOOKUP(Предпосылки!$H$220,$C$13:$C$15,BD$13:BD$15),1)</f>
        <v>0</v>
      </c>
      <c s="125">
        <f>Предпосылки!BD$247*Предпосылки!$W270*Продажи!BE35*BE$19*(1+Чувствительность!$D$20)*IFERROR(LOOKUP(Предпосылки!$H$220,$C$13:$C$15,BE$13:BE$15),1)</f>
        <v>0</v>
      </c>
      <c s="125">
        <f>Предпосылки!BE$247*Предпосылки!$W270*Продажи!BF35*BF$19*(1+Чувствительность!$D$20)*IFERROR(LOOKUP(Предпосылки!$H$220,$C$13:$C$15,BF$13:BF$15),1)</f>
        <v>0</v>
      </c>
      <c s="125">
        <f>Предпосылки!BF$247*Предпосылки!$W270*Продажи!BG35*BG$19*(1+Чувствительность!$D$20)*IFERROR(LOOKUP(Предпосылки!$H$220,$C$13:$C$15,BG$13:BG$15),1)</f>
        <v>0</v>
      </c>
      <c s="125">
        <f>Предпосылки!BG$247*Предпосылки!$W270*Продажи!BH35*BH$19*(1+Чувствительность!$D$20)*IFERROR(LOOKUP(Предпосылки!$H$220,$C$13:$C$15,BH$13:BH$15),1)</f>
        <v>0</v>
      </c>
      <c s="125">
        <f>Предпосылки!BH$247*Предпосылки!$W270*Продажи!BI35*BI$19*(1+Чувствительность!$D$20)*IFERROR(LOOKUP(Предпосылки!$H$220,$C$13:$C$15,BI$13:BI$15),1)</f>
        <v>0</v>
      </c>
      <c s="125">
        <f>Предпосылки!BI$247*Предпосылки!$W270*Продажи!BJ35*BJ$19*(1+Чувствительность!$D$20)*IFERROR(LOOKUP(Предпосылки!$H$220,$C$13:$C$15,BJ$13:BJ$15),1)</f>
        <v>0</v>
      </c>
      <c s="125">
        <f>Предпосылки!BJ$247*Предпосылки!$W270*Продажи!BK35*BK$19*(1+Чувствительность!$D$20)*IFERROR(LOOKUP(Предпосылки!$H$220,$C$13:$C$15,BK$13:BK$15),1)</f>
        <v>0</v>
      </c>
      <c s="125">
        <f>Предпосылки!BK$247*Предпосылки!$W270*Продажи!BL35*BL$19*(1+Чувствительность!$D$20)*IFERROR(LOOKUP(Предпосылки!$H$220,$C$13:$C$15,BL$13:BL$15),1)</f>
        <v>0</v>
      </c>
      <c s="125">
        <f>Предпосылки!BL$247*Предпосылки!$W270*Продажи!BM35*BM$19*(1+Чувствительность!$D$20)*IFERROR(LOOKUP(Предпосылки!$H$220,$C$13:$C$15,BM$13:BM$15),1)</f>
        <v>0</v>
      </c>
    </row>
    <row r="478" spans="2:65" ht="15" customHeight="1">
      <c r="B478" s="12" t="str">
        <f t="shared" si="156"/>
        <v>Продукт 19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Предпосылки!D$247*Предпосылки!$W271*Продажи!E36*E$19*(1+Чувствительность!$D$20)*IFERROR(LOOKUP(Предпосылки!$H$220,$C$13:$C$15,E$13:E$15),1)</f>
        <v>0</v>
      </c>
      <c s="125">
        <f>Предпосылки!E$247*Предпосылки!$W271*Продажи!F36*F$19*(1+Чувствительность!$D$20)*IFERROR(LOOKUP(Предпосылки!$H$220,$C$13:$C$15,F$13:F$15),1)</f>
        <v>0</v>
      </c>
      <c s="125">
        <f>Предпосылки!F$247*Предпосылки!$W271*Продажи!G36*G$19*(1+Чувствительность!$D$20)*IFERROR(LOOKUP(Предпосылки!$H$220,$C$13:$C$15,G$13:G$15),1)</f>
        <v>0</v>
      </c>
      <c s="125">
        <f>Предпосылки!G$247*Предпосылки!$W271*Продажи!H36*H$19*(1+Чувствительность!$D$20)*IFERROR(LOOKUP(Предпосылки!$H$220,$C$13:$C$15,H$13:H$15),1)</f>
        <v>0</v>
      </c>
      <c s="125">
        <f>Предпосылки!H$247*Предпосылки!$W271*Продажи!I36*I$19*(1+Чувствительность!$D$20)*IFERROR(LOOKUP(Предпосылки!$H$220,$C$13:$C$15,I$13:I$15),1)</f>
        <v>0</v>
      </c>
      <c s="125">
        <f>Предпосылки!I$247*Предпосылки!$W271*Продажи!J36*J$19*(1+Чувствительность!$D$20)*IFERROR(LOOKUP(Предпосылки!$H$220,$C$13:$C$15,J$13:J$15),1)</f>
        <v>0</v>
      </c>
      <c s="125">
        <f>Предпосылки!J$247*Предпосылки!$W271*Продажи!K36*K$19*(1+Чувствительность!$D$20)*IFERROR(LOOKUP(Предпосылки!$H$220,$C$13:$C$15,K$13:K$15),1)</f>
        <v>0</v>
      </c>
      <c s="125">
        <f>Предпосылки!K$247*Предпосылки!$W271*Продажи!L36*L$19*(1+Чувствительность!$D$20)*IFERROR(LOOKUP(Предпосылки!$H$220,$C$13:$C$15,L$13:L$15),1)</f>
        <v>0</v>
      </c>
      <c s="125">
        <f>Предпосылки!L$247*Предпосылки!$W271*Продажи!M36*M$19*(1+Чувствительность!$D$20)*IFERROR(LOOKUP(Предпосылки!$H$220,$C$13:$C$15,M$13:M$15),1)</f>
        <v>0</v>
      </c>
      <c s="125">
        <f>Предпосылки!M$247*Предпосылки!$W271*Продажи!N36*N$19*(1+Чувствительность!$D$20)*IFERROR(LOOKUP(Предпосылки!$H$220,$C$13:$C$15,N$13:N$15),1)</f>
        <v>0</v>
      </c>
      <c s="125">
        <f>Предпосылки!N$247*Предпосылки!$W271*Продажи!O36*O$19*(1+Чувствительность!$D$20)*IFERROR(LOOKUP(Предпосылки!$H$220,$C$13:$C$15,O$13:O$15),1)</f>
        <v>0</v>
      </c>
      <c s="125">
        <f>Предпосылки!O$247*Предпосылки!$W271*Продажи!P36*P$19*(1+Чувствительность!$D$20)*IFERROR(LOOKUP(Предпосылки!$H$220,$C$13:$C$15,P$13:P$15),1)</f>
        <v>0</v>
      </c>
      <c s="125">
        <f>Предпосылки!P$247*Предпосылки!$W271*Продажи!Q36*Q$19*(1+Чувствительность!$D$20)*IFERROR(LOOKUP(Предпосылки!$H$220,$C$13:$C$15,Q$13:Q$15),1)</f>
        <v>0</v>
      </c>
      <c s="125">
        <f>Предпосылки!Q$247*Предпосылки!$W271*Продажи!R36*R$19*(1+Чувствительность!$D$20)*IFERROR(LOOKUP(Предпосылки!$H$220,$C$13:$C$15,R$13:R$15),1)</f>
        <v>0</v>
      </c>
      <c s="125">
        <f>Предпосылки!R$247*Предпосылки!$W271*Продажи!S36*S$19*(1+Чувствительность!$D$20)*IFERROR(LOOKUP(Предпосылки!$H$220,$C$13:$C$15,S$13:S$15),1)</f>
        <v>0</v>
      </c>
      <c s="125">
        <f>Предпосылки!S$247*Предпосылки!$W271*Продажи!T36*T$19*(1+Чувствительность!$D$20)*IFERROR(LOOKUP(Предпосылки!$H$220,$C$13:$C$15,T$13:T$15),1)</f>
        <v>0</v>
      </c>
      <c s="125">
        <f>Предпосылки!T$247*Предпосылки!$W271*Продажи!U36*U$19*(1+Чувствительность!$D$20)*IFERROR(LOOKUP(Предпосылки!$H$220,$C$13:$C$15,U$13:U$15),1)</f>
        <v>0</v>
      </c>
      <c s="125">
        <f>Предпосылки!U$247*Предпосылки!$W271*Продажи!V36*V$19*(1+Чувствительность!$D$20)*IFERROR(LOOKUP(Предпосылки!$H$220,$C$13:$C$15,V$13:V$15),1)</f>
        <v>0</v>
      </c>
      <c s="125">
        <f>Предпосылки!V$247*Предпосылки!$W271*Продажи!W36*W$19*(1+Чувствительность!$D$20)*IFERROR(LOOKUP(Предпосылки!$H$220,$C$13:$C$15,W$13:W$15),1)</f>
        <v>0</v>
      </c>
      <c s="125">
        <f>Предпосылки!W$247*Предпосылки!$W271*Продажи!X36*X$19*(1+Чувствительность!$D$20)*IFERROR(LOOKUP(Предпосылки!$H$220,$C$13:$C$15,X$13:X$15),1)</f>
        <v>0</v>
      </c>
      <c s="125">
        <f>Предпосылки!X$247*Предпосылки!$W271*Продажи!Y36*Y$19*(1+Чувствительность!$D$20)*IFERROR(LOOKUP(Предпосылки!$H$220,$C$13:$C$15,Y$13:Y$15),1)</f>
        <v>0</v>
      </c>
      <c s="125">
        <f>Предпосылки!Y$247*Предпосылки!$W271*Продажи!Z36*Z$19*(1+Чувствительность!$D$20)*IFERROR(LOOKUP(Предпосылки!$H$220,$C$13:$C$15,Z$13:Z$15),1)</f>
        <v>0</v>
      </c>
      <c s="125">
        <f>Предпосылки!Z$247*Предпосылки!$W271*Продажи!AA36*AA$19*(1+Чувствительность!$D$20)*IFERROR(LOOKUP(Предпосылки!$H$220,$C$13:$C$15,AA$13:AA$15),1)</f>
        <v>0</v>
      </c>
      <c s="125">
        <f>Предпосылки!AA$247*Предпосылки!$W271*Продажи!AB36*AB$19*(1+Чувствительность!$D$20)*IFERROR(LOOKUP(Предпосылки!$H$220,$C$13:$C$15,AB$13:AB$15),1)</f>
        <v>0</v>
      </c>
      <c s="125">
        <f>Предпосылки!AB$247*Предпосылки!$W271*Продажи!AC36*AC$19*(1+Чувствительность!$D$20)*IFERROR(LOOKUP(Предпосылки!$H$220,$C$13:$C$15,AC$13:AC$15),1)</f>
        <v>0</v>
      </c>
      <c s="125">
        <f>Предпосылки!AC$247*Предпосылки!$W271*Продажи!AD36*AD$19*(1+Чувствительность!$D$20)*IFERROR(LOOKUP(Предпосылки!$H$220,$C$13:$C$15,AD$13:AD$15),1)</f>
        <v>0</v>
      </c>
      <c s="125">
        <f>Предпосылки!AD$247*Предпосылки!$W271*Продажи!AE36*AE$19*(1+Чувствительность!$D$20)*IFERROR(LOOKUP(Предпосылки!$H$220,$C$13:$C$15,AE$13:AE$15),1)</f>
        <v>0</v>
      </c>
      <c s="125">
        <f>Предпосылки!AE$247*Предпосылки!$W271*Продажи!AF36*AF$19*(1+Чувствительность!$D$20)*IFERROR(LOOKUP(Предпосылки!$H$220,$C$13:$C$15,AF$13:AF$15),1)</f>
        <v>0</v>
      </c>
      <c s="125">
        <f>Предпосылки!AF$247*Предпосылки!$W271*Продажи!AG36*AG$19*(1+Чувствительность!$D$20)*IFERROR(LOOKUP(Предпосылки!$H$220,$C$13:$C$15,AG$13:AG$15),1)</f>
        <v>0</v>
      </c>
      <c s="125">
        <f>Предпосылки!AG$247*Предпосылки!$W271*Продажи!AH36*AH$19*(1+Чувствительность!$D$20)*IFERROR(LOOKUP(Предпосылки!$H$220,$C$13:$C$15,AH$13:AH$15),1)</f>
        <v>0</v>
      </c>
      <c s="125">
        <f>Предпосылки!AH$247*Предпосылки!$W271*Продажи!AI36*AI$19*(1+Чувствительность!$D$20)*IFERROR(LOOKUP(Предпосылки!$H$220,$C$13:$C$15,AI$13:AI$15),1)</f>
        <v>0</v>
      </c>
      <c s="125">
        <f>Предпосылки!AI$247*Предпосылки!$W271*Продажи!AJ36*AJ$19*(1+Чувствительность!$D$20)*IFERROR(LOOKUP(Предпосылки!$H$220,$C$13:$C$15,AJ$13:AJ$15),1)</f>
        <v>0</v>
      </c>
      <c s="125">
        <f>Предпосылки!AJ$247*Предпосылки!$W271*Продажи!AK36*AK$19*(1+Чувствительность!$D$20)*IFERROR(LOOKUP(Предпосылки!$H$220,$C$13:$C$15,AK$13:AK$15),1)</f>
        <v>0</v>
      </c>
      <c s="125">
        <f>Предпосылки!AK$247*Предпосылки!$W271*Продажи!AL36*AL$19*(1+Чувствительность!$D$20)*IFERROR(LOOKUP(Предпосылки!$H$220,$C$13:$C$15,AL$13:AL$15),1)</f>
        <v>0</v>
      </c>
      <c s="125">
        <f>Предпосылки!AL$247*Предпосылки!$W271*Продажи!AM36*AM$19*(1+Чувствительность!$D$20)*IFERROR(LOOKUP(Предпосылки!$H$220,$C$13:$C$15,AM$13:AM$15),1)</f>
        <v>0</v>
      </c>
      <c s="125">
        <f>Предпосылки!AM$247*Предпосылки!$W271*Продажи!AN36*AN$19*(1+Чувствительность!$D$20)*IFERROR(LOOKUP(Предпосылки!$H$220,$C$13:$C$15,AN$13:AN$15),1)</f>
        <v>0</v>
      </c>
      <c s="125">
        <f>Предпосылки!AN$247*Предпосылки!$W271*Продажи!AO36*AO$19*(1+Чувствительность!$D$20)*IFERROR(LOOKUP(Предпосылки!$H$220,$C$13:$C$15,AO$13:AO$15),1)</f>
        <v>0</v>
      </c>
      <c s="125">
        <f>Предпосылки!AO$247*Предпосылки!$W271*Продажи!AP36*AP$19*(1+Чувствительность!$D$20)*IFERROR(LOOKUP(Предпосылки!$H$220,$C$13:$C$15,AP$13:AP$15),1)</f>
        <v>0</v>
      </c>
      <c s="125">
        <f>Предпосылки!AP$247*Предпосылки!$W271*Продажи!AQ36*AQ$19*(1+Чувствительность!$D$20)*IFERROR(LOOKUP(Предпосылки!$H$220,$C$13:$C$15,AQ$13:AQ$15),1)</f>
        <v>0</v>
      </c>
      <c s="125">
        <f>Предпосылки!AQ$247*Предпосылки!$W271*Продажи!AR36*AR$19*(1+Чувствительность!$D$20)*IFERROR(LOOKUP(Предпосылки!$H$220,$C$13:$C$15,AR$13:AR$15),1)</f>
        <v>0</v>
      </c>
      <c s="125">
        <f>Предпосылки!AR$247*Предпосылки!$W271*Продажи!AS36*AS$19*(1+Чувствительность!$D$20)*IFERROR(LOOKUP(Предпосылки!$H$220,$C$13:$C$15,AS$13:AS$15),1)</f>
        <v>0</v>
      </c>
      <c s="125">
        <f>Предпосылки!AS$247*Предпосылки!$W271*Продажи!AT36*AT$19*(1+Чувствительность!$D$20)*IFERROR(LOOKUP(Предпосылки!$H$220,$C$13:$C$15,AT$13:AT$15),1)</f>
        <v>0</v>
      </c>
      <c s="125">
        <f>Предпосылки!AT$247*Предпосылки!$W271*Продажи!AU36*AU$19*(1+Чувствительность!$D$20)*IFERROR(LOOKUP(Предпосылки!$H$220,$C$13:$C$15,AU$13:AU$15),1)</f>
        <v>0</v>
      </c>
      <c s="125">
        <f>Предпосылки!AU$247*Предпосылки!$W271*Продажи!AV36*AV$19*(1+Чувствительность!$D$20)*IFERROR(LOOKUP(Предпосылки!$H$220,$C$13:$C$15,AV$13:AV$15),1)</f>
        <v>0</v>
      </c>
      <c s="125">
        <f>Предпосылки!AV$247*Предпосылки!$W271*Продажи!AW36*AW$19*(1+Чувствительность!$D$20)*IFERROR(LOOKUP(Предпосылки!$H$220,$C$13:$C$15,AW$13:AW$15),1)</f>
        <v>0</v>
      </c>
      <c s="125">
        <f>Предпосылки!AW$247*Предпосылки!$W271*Продажи!AX36*AX$19*(1+Чувствительность!$D$20)*IFERROR(LOOKUP(Предпосылки!$H$220,$C$13:$C$15,AX$13:AX$15),1)</f>
        <v>0</v>
      </c>
      <c s="125">
        <f>Предпосылки!AX$247*Предпосылки!$W271*Продажи!AY36*AY$19*(1+Чувствительность!$D$20)*IFERROR(LOOKUP(Предпосылки!$H$220,$C$13:$C$15,AY$13:AY$15),1)</f>
        <v>0</v>
      </c>
      <c s="125">
        <f>Предпосылки!AY$247*Предпосылки!$W271*Продажи!AZ36*AZ$19*(1+Чувствительность!$D$20)*IFERROR(LOOKUP(Предпосылки!$H$220,$C$13:$C$15,AZ$13:AZ$15),1)</f>
        <v>0</v>
      </c>
      <c s="125">
        <f>Предпосылки!AZ$247*Предпосылки!$W271*Продажи!BA36*BA$19*(1+Чувствительность!$D$20)*IFERROR(LOOKUP(Предпосылки!$H$220,$C$13:$C$15,BA$13:BA$15),1)</f>
        <v>0</v>
      </c>
      <c s="125">
        <f>Предпосылки!BA$247*Предпосылки!$W271*Продажи!BB36*BB$19*(1+Чувствительность!$D$20)*IFERROR(LOOKUP(Предпосылки!$H$220,$C$13:$C$15,BB$13:BB$15),1)</f>
        <v>0</v>
      </c>
      <c s="125">
        <f>Предпосылки!BB$247*Предпосылки!$W271*Продажи!BC36*BC$19*(1+Чувствительность!$D$20)*IFERROR(LOOKUP(Предпосылки!$H$220,$C$13:$C$15,BC$13:BC$15),1)</f>
        <v>0</v>
      </c>
      <c s="125">
        <f>Предпосылки!BC$247*Предпосылки!$W271*Продажи!BD36*BD$19*(1+Чувствительность!$D$20)*IFERROR(LOOKUP(Предпосылки!$H$220,$C$13:$C$15,BD$13:BD$15),1)</f>
        <v>0</v>
      </c>
      <c s="125">
        <f>Предпосылки!BD$247*Предпосылки!$W271*Продажи!BE36*BE$19*(1+Чувствительность!$D$20)*IFERROR(LOOKUP(Предпосылки!$H$220,$C$13:$C$15,BE$13:BE$15),1)</f>
        <v>0</v>
      </c>
      <c s="125">
        <f>Предпосылки!BE$247*Предпосылки!$W271*Продажи!BF36*BF$19*(1+Чувствительность!$D$20)*IFERROR(LOOKUP(Предпосылки!$H$220,$C$13:$C$15,BF$13:BF$15),1)</f>
        <v>0</v>
      </c>
      <c s="125">
        <f>Предпосылки!BF$247*Предпосылки!$W271*Продажи!BG36*BG$19*(1+Чувствительность!$D$20)*IFERROR(LOOKUP(Предпосылки!$H$220,$C$13:$C$15,BG$13:BG$15),1)</f>
        <v>0</v>
      </c>
      <c s="125">
        <f>Предпосылки!BG$247*Предпосылки!$W271*Продажи!BH36*BH$19*(1+Чувствительность!$D$20)*IFERROR(LOOKUP(Предпосылки!$H$220,$C$13:$C$15,BH$13:BH$15),1)</f>
        <v>0</v>
      </c>
      <c s="125">
        <f>Предпосылки!BH$247*Предпосылки!$W271*Продажи!BI36*BI$19*(1+Чувствительность!$D$20)*IFERROR(LOOKUP(Предпосылки!$H$220,$C$13:$C$15,BI$13:BI$15),1)</f>
        <v>0</v>
      </c>
      <c s="125">
        <f>Предпосылки!BI$247*Предпосылки!$W271*Продажи!BJ36*BJ$19*(1+Чувствительность!$D$20)*IFERROR(LOOKUP(Предпосылки!$H$220,$C$13:$C$15,BJ$13:BJ$15),1)</f>
        <v>0</v>
      </c>
      <c s="125">
        <f>Предпосылки!BJ$247*Предпосылки!$W271*Продажи!BK36*BK$19*(1+Чувствительность!$D$20)*IFERROR(LOOKUP(Предпосылки!$H$220,$C$13:$C$15,BK$13:BK$15),1)</f>
        <v>0</v>
      </c>
      <c s="125">
        <f>Предпосылки!BK$247*Предпосылки!$W271*Продажи!BL36*BL$19*(1+Чувствительность!$D$20)*IFERROR(LOOKUP(Предпосылки!$H$220,$C$13:$C$15,BL$13:BL$15),1)</f>
        <v>0</v>
      </c>
      <c s="125">
        <f>Предпосылки!BL$247*Предпосылки!$W271*Продажи!BM36*BM$19*(1+Чувствительность!$D$20)*IFERROR(LOOKUP(Предпосылки!$H$220,$C$13:$C$15,BM$13:BM$15),1)</f>
        <v>0</v>
      </c>
    </row>
    <row r="479" spans="2:65" ht="15" customHeight="1">
      <c r="B479" s="12" t="str">
        <f t="shared" si="156"/>
        <v>Продукт 20</v>
      </c>
      <c s="124" t="str">
        <f t="shared" si="155"/>
        <v>тыс. руб.</v>
      </c>
      <c s="276">
        <f t="shared" si="157"/>
        <v>0</v>
      </c>
      <c s="125">
        <f>Предпосылки!D$247*Предпосылки!$W272*Продажи!E37*E$19*(1+Чувствительность!$D$20)*IFERROR(LOOKUP(Предпосылки!$H$220,$C$13:$C$15,E$13:E$15),1)</f>
        <v>0</v>
      </c>
      <c s="125">
        <f>Предпосылки!E$247*Предпосылки!$W272*Продажи!F37*F$19*(1+Чувствительность!$D$20)*IFERROR(LOOKUP(Предпосылки!$H$220,$C$13:$C$15,F$13:F$15),1)</f>
        <v>0</v>
      </c>
      <c s="125">
        <f>Предпосылки!F$247*Предпосылки!$W272*Продажи!G37*G$19*(1+Чувствительность!$D$20)*IFERROR(LOOKUP(Предпосылки!$H$220,$C$13:$C$15,G$13:G$15),1)</f>
        <v>0</v>
      </c>
      <c s="125">
        <f>Предпосылки!G$247*Предпосылки!$W272*Продажи!H37*H$19*(1+Чувствительность!$D$20)*IFERROR(LOOKUP(Предпосылки!$H$220,$C$13:$C$15,H$13:H$15),1)</f>
        <v>0</v>
      </c>
      <c s="125">
        <f>Предпосылки!H$247*Предпосылки!$W272*Продажи!I37*I$19*(1+Чувствительность!$D$20)*IFERROR(LOOKUP(Предпосылки!$H$220,$C$13:$C$15,I$13:I$15),1)</f>
        <v>0</v>
      </c>
      <c s="125">
        <f>Предпосылки!I$247*Предпосылки!$W272*Продажи!J37*J$19*(1+Чувствительность!$D$20)*IFERROR(LOOKUP(Предпосылки!$H$220,$C$13:$C$15,J$13:J$15),1)</f>
        <v>0</v>
      </c>
      <c s="125">
        <f>Предпосылки!J$247*Предпосылки!$W272*Продажи!K37*K$19*(1+Чувствительность!$D$20)*IFERROR(LOOKUP(Предпосылки!$H$220,$C$13:$C$15,K$13:K$15),1)</f>
        <v>0</v>
      </c>
      <c s="125">
        <f>Предпосылки!K$247*Предпосылки!$W272*Продажи!L37*L$19*(1+Чувствительность!$D$20)*IFERROR(LOOKUP(Предпосылки!$H$220,$C$13:$C$15,L$13:L$15),1)</f>
        <v>0</v>
      </c>
      <c s="125">
        <f>Предпосылки!L$247*Предпосылки!$W272*Продажи!M37*M$19*(1+Чувствительность!$D$20)*IFERROR(LOOKUP(Предпосылки!$H$220,$C$13:$C$15,M$13:M$15),1)</f>
        <v>0</v>
      </c>
      <c s="125">
        <f>Предпосылки!M$247*Предпосылки!$W272*Продажи!N37*N$19*(1+Чувствительность!$D$20)*IFERROR(LOOKUP(Предпосылки!$H$220,$C$13:$C$15,N$13:N$15),1)</f>
        <v>0</v>
      </c>
      <c s="125">
        <f>Предпосылки!N$247*Предпосылки!$W272*Продажи!O37*O$19*(1+Чувствительность!$D$20)*IFERROR(LOOKUP(Предпосылки!$H$220,$C$13:$C$15,O$13:O$15),1)</f>
        <v>0</v>
      </c>
      <c s="125">
        <f>Предпосылки!O$247*Предпосылки!$W272*Продажи!P37*P$19*(1+Чувствительность!$D$20)*IFERROR(LOOKUP(Предпосылки!$H$220,$C$13:$C$15,P$13:P$15),1)</f>
        <v>0</v>
      </c>
      <c s="125">
        <f>Предпосылки!P$247*Предпосылки!$W272*Продажи!Q37*Q$19*(1+Чувствительность!$D$20)*IFERROR(LOOKUP(Предпосылки!$H$220,$C$13:$C$15,Q$13:Q$15),1)</f>
        <v>0</v>
      </c>
      <c s="125">
        <f>Предпосылки!Q$247*Предпосылки!$W272*Продажи!R37*R$19*(1+Чувствительность!$D$20)*IFERROR(LOOKUP(Предпосылки!$H$220,$C$13:$C$15,R$13:R$15),1)</f>
        <v>0</v>
      </c>
      <c s="125">
        <f>Предпосылки!R$247*Предпосылки!$W272*Продажи!S37*S$19*(1+Чувствительность!$D$20)*IFERROR(LOOKUP(Предпосылки!$H$220,$C$13:$C$15,S$13:S$15),1)</f>
        <v>0</v>
      </c>
      <c s="125">
        <f>Предпосылки!S$247*Предпосылки!$W272*Продажи!T37*T$19*(1+Чувствительность!$D$20)*IFERROR(LOOKUP(Предпосылки!$H$220,$C$13:$C$15,T$13:T$15),1)</f>
        <v>0</v>
      </c>
      <c s="125">
        <f>Предпосылки!T$247*Предпосылки!$W272*Продажи!U37*U$19*(1+Чувствительность!$D$20)*IFERROR(LOOKUP(Предпосылки!$H$220,$C$13:$C$15,U$13:U$15),1)</f>
        <v>0</v>
      </c>
      <c s="125">
        <f>Предпосылки!U$247*Предпосылки!$W272*Продажи!V37*V$19*(1+Чувствительность!$D$20)*IFERROR(LOOKUP(Предпосылки!$H$220,$C$13:$C$15,V$13:V$15),1)</f>
        <v>0</v>
      </c>
      <c s="125">
        <f>Предпосылки!V$247*Предпосылки!$W272*Продажи!W37*W$19*(1+Чувствительность!$D$20)*IFERROR(LOOKUP(Предпосылки!$H$220,$C$13:$C$15,W$13:W$15),1)</f>
        <v>0</v>
      </c>
      <c s="125">
        <f>Предпосылки!W$247*Предпосылки!$W272*Продажи!X37*X$19*(1+Чувствительность!$D$20)*IFERROR(LOOKUP(Предпосылки!$H$220,$C$13:$C$15,X$13:X$15),1)</f>
        <v>0</v>
      </c>
      <c s="125">
        <f>Предпосылки!X$247*Предпосылки!$W272*Продажи!Y37*Y$19*(1+Чувствительность!$D$20)*IFERROR(LOOKUP(Предпосылки!$H$220,$C$13:$C$15,Y$13:Y$15),1)</f>
        <v>0</v>
      </c>
      <c s="125">
        <f>Предпосылки!Y$247*Предпосылки!$W272*Продажи!Z37*Z$19*(1+Чувствительность!$D$20)*IFERROR(LOOKUP(Предпосылки!$H$220,$C$13:$C$15,Z$13:Z$15),1)</f>
        <v>0</v>
      </c>
      <c s="125">
        <f>Предпосылки!Z$247*Предпосылки!$W272*Продажи!AA37*AA$19*(1+Чувствительность!$D$20)*IFERROR(LOOKUP(Предпосылки!$H$220,$C$13:$C$15,AA$13:AA$15),1)</f>
        <v>0</v>
      </c>
      <c s="125">
        <f>Предпосылки!AA$247*Предпосылки!$W272*Продажи!AB37*AB$19*(1+Чувствительность!$D$20)*IFERROR(LOOKUP(Предпосылки!$H$220,$C$13:$C$15,AB$13:AB$15),1)</f>
        <v>0</v>
      </c>
      <c s="125">
        <f>Предпосылки!AB$247*Предпосылки!$W272*Продажи!AC37*AC$19*(1+Чувствительность!$D$20)*IFERROR(LOOKUP(Предпосылки!$H$220,$C$13:$C$15,AC$13:AC$15),1)</f>
        <v>0</v>
      </c>
      <c s="125">
        <f>Предпосылки!AC$247*Предпосылки!$W272*Продажи!AD37*AD$19*(1+Чувствительность!$D$20)*IFERROR(LOOKUP(Предпосылки!$H$220,$C$13:$C$15,AD$13:AD$15),1)</f>
        <v>0</v>
      </c>
      <c s="125">
        <f>Предпосылки!AD$247*Предпосылки!$W272*Продажи!AE37*AE$19*(1+Чувствительность!$D$20)*IFERROR(LOOKUP(Предпосылки!$H$220,$C$13:$C$15,AE$13:AE$15),1)</f>
        <v>0</v>
      </c>
      <c s="125">
        <f>Предпосылки!AE$247*Предпосылки!$W272*Продажи!AF37*AF$19*(1+Чувствительность!$D$20)*IFERROR(LOOKUP(Предпосылки!$H$220,$C$13:$C$15,AF$13:AF$15),1)</f>
        <v>0</v>
      </c>
      <c s="125">
        <f>Предпосылки!AF$247*Предпосылки!$W272*Продажи!AG37*AG$19*(1+Чувствительность!$D$20)*IFERROR(LOOKUP(Предпосылки!$H$220,$C$13:$C$15,AG$13:AG$15),1)</f>
        <v>0</v>
      </c>
      <c s="125">
        <f>Предпосылки!AG$247*Предпосылки!$W272*Продажи!AH37*AH$19*(1+Чувствительность!$D$20)*IFERROR(LOOKUP(Предпосылки!$H$220,$C$13:$C$15,AH$13:AH$15),1)</f>
        <v>0</v>
      </c>
      <c s="125">
        <f>Предпосылки!AH$247*Предпосылки!$W272*Продажи!AI37*AI$19*(1+Чувствительность!$D$20)*IFERROR(LOOKUP(Предпосылки!$H$220,$C$13:$C$15,AI$13:AI$15),1)</f>
        <v>0</v>
      </c>
      <c s="125">
        <f>Предпосылки!AI$247*Предпосылки!$W272*Продажи!AJ37*AJ$19*(1+Чувствительность!$D$20)*IFERROR(LOOKUP(Предпосылки!$H$220,$C$13:$C$15,AJ$13:AJ$15),1)</f>
        <v>0</v>
      </c>
      <c s="125">
        <f>Предпосылки!AJ$247*Предпосылки!$W272*Продажи!AK37*AK$19*(1+Чувствительность!$D$20)*IFERROR(LOOKUP(Предпосылки!$H$220,$C$13:$C$15,AK$13:AK$15),1)</f>
        <v>0</v>
      </c>
      <c s="125">
        <f>Предпосылки!AK$247*Предпосылки!$W272*Продажи!AL37*AL$19*(1+Чувствительность!$D$20)*IFERROR(LOOKUP(Предпосылки!$H$220,$C$13:$C$15,AL$13:AL$15),1)</f>
        <v>0</v>
      </c>
      <c s="125">
        <f>Предпосылки!AL$247*Предпосылки!$W272*Продажи!AM37*AM$19*(1+Чувствительность!$D$20)*IFERROR(LOOKUP(Предпосылки!$H$220,$C$13:$C$15,AM$13:AM$15),1)</f>
        <v>0</v>
      </c>
      <c s="125">
        <f>Предпосылки!AM$247*Предпосылки!$W272*Продажи!AN37*AN$19*(1+Чувствительность!$D$20)*IFERROR(LOOKUP(Предпосылки!$H$220,$C$13:$C$15,AN$13:AN$15),1)</f>
        <v>0</v>
      </c>
      <c s="125">
        <f>Предпосылки!AN$247*Предпосылки!$W272*Продажи!AO37*AO$19*(1+Чувствительность!$D$20)*IFERROR(LOOKUP(Предпосылки!$H$220,$C$13:$C$15,AO$13:AO$15),1)</f>
        <v>0</v>
      </c>
      <c s="125">
        <f>Предпосылки!AO$247*Предпосылки!$W272*Продажи!AP37*AP$19*(1+Чувствительность!$D$20)*IFERROR(LOOKUP(Предпосылки!$H$220,$C$13:$C$15,AP$13:AP$15),1)</f>
        <v>0</v>
      </c>
      <c s="125">
        <f>Предпосылки!AP$247*Предпосылки!$W272*Продажи!AQ37*AQ$19*(1+Чувствительность!$D$20)*IFERROR(LOOKUP(Предпосылки!$H$220,$C$13:$C$15,AQ$13:AQ$15),1)</f>
        <v>0</v>
      </c>
      <c s="125">
        <f>Предпосылки!AQ$247*Предпосылки!$W272*Продажи!AR37*AR$19*(1+Чувствительность!$D$20)*IFERROR(LOOKUP(Предпосылки!$H$220,$C$13:$C$15,AR$13:AR$15),1)</f>
        <v>0</v>
      </c>
      <c s="125">
        <f>Предпосылки!AR$247*Предпосылки!$W272*Продажи!AS37*AS$19*(1+Чувствительность!$D$20)*IFERROR(LOOKUP(Предпосылки!$H$220,$C$13:$C$15,AS$13:AS$15),1)</f>
        <v>0</v>
      </c>
      <c s="125">
        <f>Предпосылки!AS$247*Предпосылки!$W272*Продажи!AT37*AT$19*(1+Чувствительность!$D$20)*IFERROR(LOOKUP(Предпосылки!$H$220,$C$13:$C$15,AT$13:AT$15),1)</f>
        <v>0</v>
      </c>
      <c s="125">
        <f>Предпосылки!AT$247*Предпосылки!$W272*Продажи!AU37*AU$19*(1+Чувствительность!$D$20)*IFERROR(LOOKUP(Предпосылки!$H$220,$C$13:$C$15,AU$13:AU$15),1)</f>
        <v>0</v>
      </c>
      <c s="125">
        <f>Предпосылки!AU$247*Предпосылки!$W272*Продажи!AV37*AV$19*(1+Чувствительность!$D$20)*IFERROR(LOOKUP(Предпосылки!$H$220,$C$13:$C$15,AV$13:AV$15),1)</f>
        <v>0</v>
      </c>
      <c s="125">
        <f>Предпосылки!AV$247*Предпосылки!$W272*Продажи!AW37*AW$19*(1+Чувствительность!$D$20)*IFERROR(LOOKUP(Предпосылки!$H$220,$C$13:$C$15,AW$13:AW$15),1)</f>
        <v>0</v>
      </c>
      <c s="125">
        <f>Предпосылки!AW$247*Предпосылки!$W272*Продажи!AX37*AX$19*(1+Чувствительность!$D$20)*IFERROR(LOOKUP(Предпосылки!$H$220,$C$13:$C$15,AX$13:AX$15),1)</f>
        <v>0</v>
      </c>
      <c s="125">
        <f>Предпосылки!AX$247*Предпосылки!$W272*Продажи!AY37*AY$19*(1+Чувствительность!$D$20)*IFERROR(LOOKUP(Предпосылки!$H$220,$C$13:$C$15,AY$13:AY$15),1)</f>
        <v>0</v>
      </c>
      <c s="125">
        <f>Предпосылки!AY$247*Предпосылки!$W272*Продажи!AZ37*AZ$19*(1+Чувствительность!$D$20)*IFERROR(LOOKUP(Предпосылки!$H$220,$C$13:$C$15,AZ$13:AZ$15),1)</f>
        <v>0</v>
      </c>
      <c s="125">
        <f>Предпосылки!AZ$247*Предпосылки!$W272*Продажи!BA37*BA$19*(1+Чувствительность!$D$20)*IFERROR(LOOKUP(Предпосылки!$H$220,$C$13:$C$15,BA$13:BA$15),1)</f>
        <v>0</v>
      </c>
      <c s="125">
        <f>Предпосылки!BA$247*Предпосылки!$W272*Продажи!BB37*BB$19*(1+Чувствительность!$D$20)*IFERROR(LOOKUP(Предпосылки!$H$220,$C$13:$C$15,BB$13:BB$15),1)</f>
        <v>0</v>
      </c>
      <c s="125">
        <f>Предпосылки!BB$247*Предпосылки!$W272*Продажи!BC37*BC$19*(1+Чувствительность!$D$20)*IFERROR(LOOKUP(Предпосылки!$H$220,$C$13:$C$15,BC$13:BC$15),1)</f>
        <v>0</v>
      </c>
      <c s="125">
        <f>Предпосылки!BC$247*Предпосылки!$W272*Продажи!BD37*BD$19*(1+Чувствительность!$D$20)*IFERROR(LOOKUP(Предпосылки!$H$220,$C$13:$C$15,BD$13:BD$15),1)</f>
        <v>0</v>
      </c>
      <c s="125">
        <f>Предпосылки!BD$247*Предпосылки!$W272*Продажи!BE37*BE$19*(1+Чувствительность!$D$20)*IFERROR(LOOKUP(Предпосылки!$H$220,$C$13:$C$15,BE$13:BE$15),1)</f>
        <v>0</v>
      </c>
      <c s="125">
        <f>Предпосылки!BE$247*Предпосылки!$W272*Продажи!BF37*BF$19*(1+Чувствительность!$D$20)*IFERROR(LOOKUP(Предпосылки!$H$220,$C$13:$C$15,BF$13:BF$15),1)</f>
        <v>0</v>
      </c>
      <c s="125">
        <f>Предпосылки!BF$247*Предпосылки!$W272*Продажи!BG37*BG$19*(1+Чувствительность!$D$20)*IFERROR(LOOKUP(Предпосылки!$H$220,$C$13:$C$15,BG$13:BG$15),1)</f>
        <v>0</v>
      </c>
      <c s="125">
        <f>Предпосылки!BG$247*Предпосылки!$W272*Продажи!BH37*BH$19*(1+Чувствительность!$D$20)*IFERROR(LOOKUP(Предпосылки!$H$220,$C$13:$C$15,BH$13:BH$15),1)</f>
        <v>0</v>
      </c>
      <c s="125">
        <f>Предпосылки!BH$247*Предпосылки!$W272*Продажи!BI37*BI$19*(1+Чувствительность!$D$20)*IFERROR(LOOKUP(Предпосылки!$H$220,$C$13:$C$15,BI$13:BI$15),1)</f>
        <v>0</v>
      </c>
      <c s="125">
        <f>Предпосылки!BI$247*Предпосылки!$W272*Продажи!BJ37*BJ$19*(1+Чувствительность!$D$20)*IFERROR(LOOKUP(Предпосылки!$H$220,$C$13:$C$15,BJ$13:BJ$15),1)</f>
        <v>0</v>
      </c>
      <c s="125">
        <f>Предпосылки!BJ$247*Предпосылки!$W272*Продажи!BK37*BK$19*(1+Чувствительность!$D$20)*IFERROR(LOOKUP(Предпосылки!$H$220,$C$13:$C$15,BK$13:BK$15),1)</f>
        <v>0</v>
      </c>
      <c s="125">
        <f>Предпосылки!BK$247*Предпосылки!$W272*Продажи!BL37*BL$19*(1+Чувствительность!$D$20)*IFERROR(LOOKUP(Предпосылки!$H$220,$C$13:$C$15,BL$13:BL$15),1)</f>
        <v>0</v>
      </c>
      <c s="125">
        <f>Предпосылки!BL$247*Предпосылки!$W272*Продажи!BM37*BM$19*(1+Чувствительность!$D$20)*IFERROR(LOOKUP(Предпосылки!$H$220,$C$13:$C$15,BM$13:BM$15),1)</f>
        <v>0</v>
      </c>
    </row>
    <row r="480" spans="2:65" ht="15" customHeight="1">
      <c r="B480" s="289" t="s">
        <v>454</v>
      </c>
      <c s="290" t="str">
        <f>Единица_измерения</f>
        <v>тыс. руб.</v>
      </c>
      <c s="291">
        <f>SUM(D460:D479)</f>
        <v>0</v>
      </c>
      <c s="276">
        <f>SUM(E460:E479)</f>
        <v>0</v>
      </c>
      <c s="276">
        <f t="shared" si="158" ref="F480:AG480">SUM(F460:F479)</f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9" ref="AH480:BM480">SUM(AH460:AH479)</f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</row>
    <row r="481" ht="15" customHeight="1"/>
    <row r="482" spans="2:2" ht="15" customHeight="1">
      <c r="B482" s="24" t="s">
        <v>858</v>
      </c>
    </row>
    <row r="483" spans="2:69" ht="14.45">
      <c r="B483" s="25" t="s">
        <v>859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84" spans="2:65" ht="15" customHeight="1">
      <c r="B484" s="12" t="str">
        <f>IF(ISBLANK(Предпосылки!B201),"-",Предпосылки!B201)</f>
        <v>Операционные затраты 1</v>
      </c>
      <c s="124" t="str">
        <f t="shared" si="160" ref="C484:C503">Единица_измерения</f>
        <v>тыс. руб.</v>
      </c>
      <c s="276">
        <f>SUM(E484:BM484)</f>
        <v>0</v>
      </c>
      <c s="125">
        <f>E43</f>
        <v>0</v>
      </c>
      <c s="125">
        <f t="shared" si="161" ref="F484:AG484">F43</f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2" ref="AH484:BM484">AH43</f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</row>
    <row r="485" spans="2:65" ht="15" customHeight="1">
      <c r="B485" s="12" t="str">
        <f>IF(ISBLANK(Предпосылки!B202),"-",Предпосылки!B202)</f>
        <v>Операционные затраты 2</v>
      </c>
      <c s="124" t="str">
        <f t="shared" si="160"/>
        <v>тыс. руб.</v>
      </c>
      <c s="276">
        <f t="shared" si="163" ref="D485:D503">SUM(E485:BM485)</f>
        <v>0</v>
      </c>
      <c s="125">
        <f>E66</f>
        <v>0</v>
      </c>
      <c s="125">
        <f t="shared" si="164" ref="F485:AG485">F66</f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5" ref="AH485:BM485">AH66</f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</row>
    <row r="486" spans="2:65" ht="15" customHeight="1">
      <c r="B486" s="12" t="str">
        <f>IF(ISBLANK(Предпосылки!B203),"-",Предпосылки!B203)</f>
        <v>Операционные затраты 3</v>
      </c>
      <c s="124" t="str">
        <f t="shared" si="160"/>
        <v>тыс. руб.</v>
      </c>
      <c s="276">
        <f t="shared" si="163"/>
        <v>0</v>
      </c>
      <c s="125">
        <f>E89</f>
        <v>0</v>
      </c>
      <c s="125">
        <f t="shared" si="166" ref="F486:AG486">F89</f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7" ref="AH486:BM486">AH89</f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</row>
    <row r="487" spans="2:65" ht="15" customHeight="1">
      <c r="B487" s="12" t="str">
        <f>IF(ISBLANK(Предпосылки!B204),"-",Предпосылки!B204)</f>
        <v>Операционные затраты 4</v>
      </c>
      <c s="124" t="str">
        <f t="shared" si="160"/>
        <v>тыс. руб.</v>
      </c>
      <c s="276">
        <f t="shared" si="163"/>
        <v>0</v>
      </c>
      <c s="125">
        <f>E112</f>
        <v>0</v>
      </c>
      <c s="125">
        <f t="shared" si="168" ref="F487:AG487">F112</f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9" ref="AH487:BM487">AH112</f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</row>
    <row r="488" spans="2:65" ht="15" customHeight="1">
      <c r="B488" s="12" t="str">
        <f>IF(ISBLANK(Предпосылки!B205),"-",Предпосылки!B205)</f>
        <v>Операционные затраты 5</v>
      </c>
      <c s="124" t="str">
        <f t="shared" si="160"/>
        <v>тыс. руб.</v>
      </c>
      <c s="276">
        <f t="shared" si="163"/>
        <v>0</v>
      </c>
      <c s="125">
        <f>E135</f>
        <v>0</v>
      </c>
      <c s="125">
        <f t="shared" si="170" ref="F488:AG488">F135</f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1" ref="AH488:BM488">AH135</f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  <c s="125">
        <f t="shared" si="171"/>
        <v>0</v>
      </c>
    </row>
    <row r="489" spans="2:65" ht="15" customHeight="1">
      <c r="B489" s="12" t="str">
        <f>IF(ISBLANK(Предпосылки!B206),"-",Предпосылки!B206)</f>
        <v>Операционные затраты 6</v>
      </c>
      <c s="124" t="str">
        <f t="shared" si="160"/>
        <v>тыс. руб.</v>
      </c>
      <c s="276">
        <f t="shared" si="163"/>
        <v>0</v>
      </c>
      <c s="125">
        <f>E158</f>
        <v>0</v>
      </c>
      <c s="125">
        <f t="shared" si="172" ref="F489:AG489">F158</f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3" ref="AH489:BM489">AH158</f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</row>
    <row r="490" spans="2:65" ht="15" customHeight="1">
      <c r="B490" s="12" t="str">
        <f>IF(ISBLANK(Предпосылки!B207),"-",Предпосылки!B207)</f>
        <v>Операционные затраты 7</v>
      </c>
      <c s="124" t="str">
        <f t="shared" si="160"/>
        <v>тыс. руб.</v>
      </c>
      <c s="276">
        <f t="shared" si="163"/>
        <v>0</v>
      </c>
      <c s="125">
        <f>E181</f>
        <v>0</v>
      </c>
      <c s="125">
        <f t="shared" si="174" ref="F490:AG490">F181</f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5" ref="AH490:BM490">AH181</f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  <c s="125">
        <f t="shared" si="175"/>
        <v>0</v>
      </c>
    </row>
    <row r="491" spans="2:65" ht="15" customHeight="1">
      <c r="B491" s="12" t="str">
        <f>IF(ISBLANK(Предпосылки!B208),"-",Предпосылки!B208)</f>
        <v>Операционные затраты 8</v>
      </c>
      <c s="124" t="str">
        <f t="shared" si="160"/>
        <v>тыс. руб.</v>
      </c>
      <c s="276">
        <f t="shared" si="163"/>
        <v>0</v>
      </c>
      <c s="125">
        <f>E204</f>
        <v>0</v>
      </c>
      <c s="125">
        <f t="shared" si="176" ref="F491:AG491">F204</f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7" ref="AH491:BM491">AH204</f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</row>
    <row r="492" spans="2:65" ht="15" customHeight="1">
      <c r="B492" s="12" t="str">
        <f>IF(ISBLANK(Предпосылки!B209),"-",Предпосылки!B209)</f>
        <v>Операционные затраты 9</v>
      </c>
      <c s="124" t="str">
        <f t="shared" si="160"/>
        <v>тыс. руб.</v>
      </c>
      <c s="276">
        <f t="shared" si="163"/>
        <v>0</v>
      </c>
      <c s="125">
        <f>E227</f>
        <v>0</v>
      </c>
      <c s="125">
        <f t="shared" si="178" ref="F492:AG492">F227</f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9" ref="AH492:BM492">AH227</f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</row>
    <row r="493" spans="2:65" ht="15" customHeight="1">
      <c r="B493" s="12" t="str">
        <f>IF(ISBLANK(Предпосылки!B210),"-",Предпосылки!B210)</f>
        <v>Операционные затраты 10</v>
      </c>
      <c s="124" t="str">
        <f t="shared" si="160"/>
        <v>тыс. руб.</v>
      </c>
      <c s="276">
        <f t="shared" si="163"/>
        <v>0</v>
      </c>
      <c s="125">
        <f>E250</f>
        <v>0</v>
      </c>
      <c s="125">
        <f t="shared" si="180" ref="F493:AG493">F250</f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1" ref="AH493:BM493">AH250</f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</row>
    <row r="494" spans="2:65" ht="15" customHeight="1">
      <c r="B494" s="12" t="str">
        <f>IF(ISBLANK(Предпосылки!B211),"-",Предпосылки!B211)</f>
        <v>Операционные затраты 11</v>
      </c>
      <c s="124" t="str">
        <f t="shared" si="160"/>
        <v>тыс. руб.</v>
      </c>
      <c s="276">
        <f t="shared" si="163"/>
        <v>0</v>
      </c>
      <c s="125">
        <f>E273</f>
        <v>0</v>
      </c>
      <c s="125">
        <f t="shared" si="182" ref="F494:AG494">F273</f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3" ref="AH494:BM494">AH273</f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</row>
    <row r="495" spans="2:65" ht="15" customHeight="1">
      <c r="B495" s="12" t="str">
        <f>IF(ISBLANK(Предпосылки!B212),"-",Предпосылки!B212)</f>
        <v>Операционные затраты 12</v>
      </c>
      <c s="124" t="str">
        <f t="shared" si="160"/>
        <v>тыс. руб.</v>
      </c>
      <c s="276">
        <f t="shared" si="163"/>
        <v>0</v>
      </c>
      <c s="125">
        <f>E296</f>
        <v>0</v>
      </c>
      <c s="125">
        <f t="shared" si="184" ref="F495:AG495">F296</f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5" ref="AH495:BM495">AH296</f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</row>
    <row r="496" spans="2:65" ht="15" customHeight="1">
      <c r="B496" s="12" t="str">
        <f>IF(ISBLANK(Предпосылки!B213),"-",Предпосылки!B213)</f>
        <v>Операционные затраты 13</v>
      </c>
      <c s="124" t="str">
        <f t="shared" si="160"/>
        <v>тыс. руб.</v>
      </c>
      <c s="276">
        <f t="shared" si="163"/>
        <v>0</v>
      </c>
      <c s="125">
        <f>E319</f>
        <v>0</v>
      </c>
      <c s="125">
        <f t="shared" si="186" ref="F496:AG496">F319</f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7" ref="AH496:BM496">AH319</f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</row>
    <row r="497" spans="2:65" ht="15" customHeight="1">
      <c r="B497" s="12" t="str">
        <f>IF(ISBLANK(Предпосылки!B214),"-",Предпосылки!B214)</f>
        <v>Операционные затраты 14</v>
      </c>
      <c s="124" t="str">
        <f t="shared" si="160"/>
        <v>тыс. руб.</v>
      </c>
      <c s="276">
        <f t="shared" si="163"/>
        <v>0</v>
      </c>
      <c s="125">
        <f>E342</f>
        <v>0</v>
      </c>
      <c s="125">
        <f t="shared" si="188" ref="F497:AG497">F342</f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9" ref="AH497:BM497">AH342</f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</row>
    <row r="498" spans="2:65" ht="15" customHeight="1">
      <c r="B498" s="12" t="str">
        <f>IF(ISBLANK(Предпосылки!B215),"-",Предпосылки!B215)</f>
        <v>Операционные затраты 15</v>
      </c>
      <c s="124" t="str">
        <f t="shared" si="160"/>
        <v>тыс. руб.</v>
      </c>
      <c s="276">
        <f t="shared" si="163"/>
        <v>0</v>
      </c>
      <c s="125">
        <f>E365</f>
        <v>0</v>
      </c>
      <c s="125">
        <f t="shared" si="190" ref="F498:AG498">F365</f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1" ref="AH498:BM498">AH365</f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</row>
    <row r="499" spans="2:65" ht="15" customHeight="1">
      <c r="B499" s="12" t="str">
        <f>IF(ISBLANK(Предпосылки!B216),"-",Предпосылки!B216)</f>
        <v>Операционные затраты 16</v>
      </c>
      <c s="124" t="str">
        <f t="shared" si="160"/>
        <v>тыс. руб.</v>
      </c>
      <c s="276">
        <f t="shared" si="163"/>
        <v>0</v>
      </c>
      <c s="125">
        <f>E388</f>
        <v>0</v>
      </c>
      <c s="125">
        <f t="shared" si="192" ref="F499:AG499">F388</f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3" ref="AH499:BM499">AH388</f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</row>
    <row r="500" spans="2:65" ht="15" customHeight="1">
      <c r="B500" s="12" t="str">
        <f>IF(ISBLANK(Предпосылки!B217),"-",Предпосылки!B217)</f>
        <v>Операционные затраты 17</v>
      </c>
      <c s="124" t="str">
        <f t="shared" si="160"/>
        <v>тыс. руб.</v>
      </c>
      <c s="276">
        <f t="shared" si="163"/>
        <v>0</v>
      </c>
      <c s="125">
        <f>E411</f>
        <v>0</v>
      </c>
      <c s="125">
        <f t="shared" si="194" ref="F500:AG500">F411</f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5" ref="AH500:BM500">AH411</f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</row>
    <row r="501" spans="2:65" ht="15" customHeight="1">
      <c r="B501" s="12" t="str">
        <f>IF(ISBLANK(Предпосылки!B218),"-",Предпосылки!B218)</f>
        <v>Операционные затраты 18</v>
      </c>
      <c s="124" t="str">
        <f t="shared" si="160"/>
        <v>тыс. руб.</v>
      </c>
      <c s="276">
        <f t="shared" si="163"/>
        <v>0</v>
      </c>
      <c s="125">
        <f>E434</f>
        <v>0</v>
      </c>
      <c s="125">
        <f t="shared" si="196" ref="F501:AG501">F434</f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7" ref="AH501:BM501">AH434</f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</row>
    <row r="502" spans="2:65" ht="15" customHeight="1">
      <c r="B502" s="12" t="str">
        <f>IF(ISBLANK(Предпосылки!B219),"-",Предпосылки!B219)</f>
        <v>Операционные затраты 19</v>
      </c>
      <c s="124" t="str">
        <f t="shared" si="160"/>
        <v>тыс. руб.</v>
      </c>
      <c s="276">
        <f t="shared" si="163"/>
        <v>0</v>
      </c>
      <c s="125">
        <f>E457</f>
        <v>0</v>
      </c>
      <c s="125">
        <f t="shared" si="198" ref="F502:AG502">F457</f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9" ref="AH502:BM502">AH457</f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</row>
    <row r="503" spans="2:65" ht="15" customHeight="1">
      <c r="B503" s="12" t="str">
        <f>IF(ISBLANK(Предпосылки!B220),"-",Предпосылки!B220)</f>
        <v>Операционные затраты 20</v>
      </c>
      <c s="124" t="str">
        <f t="shared" si="160"/>
        <v>тыс. руб.</v>
      </c>
      <c s="276">
        <f t="shared" si="163"/>
        <v>0</v>
      </c>
      <c s="125">
        <f>E480</f>
        <v>0</v>
      </c>
      <c s="125">
        <f t="shared" si="200" ref="F503:AG503">F480</f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1" ref="AH503:BM503">AH480</f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</row>
    <row r="504" spans="2:65" ht="15" customHeight="1">
      <c r="B504" s="289" t="s">
        <v>454</v>
      </c>
      <c s="290" t="str">
        <f>Единица_измерения</f>
        <v>тыс. руб.</v>
      </c>
      <c s="291">
        <f>SUM(D484:D503)</f>
        <v>0</v>
      </c>
      <c s="276">
        <f>SUM(E484:E503)</f>
        <v>0</v>
      </c>
      <c s="276">
        <f t="shared" si="202" ref="F504:AG504">SUM(F484:F503)</f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3" ref="AH504:BM504">SUM(AH484:AH503)</f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</row>
    <row r="505" ht="15" customHeight="1"/>
    <row r="506" spans="2:69" ht="14.45">
      <c r="B506" s="25" t="s">
        <v>860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07" spans="2:65" ht="15" customHeight="1">
      <c r="B507" s="12" t="str">
        <f>B230</f>
        <v>Продукт 1</v>
      </c>
      <c s="124" t="str">
        <f t="shared" si="204" ref="C507:C526">Единица_измерения</f>
        <v>тыс. руб.</v>
      </c>
      <c s="276">
        <f>SUM(E507:BM507)</f>
        <v>0</v>
      </c>
      <c s="125">
        <f>SUM(E23,E46,E69,E92,E115,E138,E161,E184,E207,E230,E253,E276,E299,E322,E345,E368,E391,E414,E437,E460)</f>
        <v>0</v>
      </c>
      <c s="125">
        <f t="shared" si="205" ref="F507:AG507">SUM(F23,F46,F69,F92,F115,F138,F161,F184,F207,F230,F253,F276,F299,F322,F345,F368,F391,F414,F437,F460)</f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6" ref="AH507:BM507">SUM(AH23,AH46,AH69,AH92,AH115,AH138,AH161,AH184,AH207,AH230,AH253,AH276,AH299,AH322,AH345,AH368,AH391,AH414,AH437,AH460)</f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</row>
    <row r="508" spans="2:65" ht="15" customHeight="1">
      <c r="B508" s="12" t="str">
        <f t="shared" si="207" ref="B508:B526">B231</f>
        <v>Продукт 2</v>
      </c>
      <c s="124" t="str">
        <f t="shared" si="204"/>
        <v>тыс. руб.</v>
      </c>
      <c s="276">
        <f t="shared" si="208" ref="D508:D526">SUM(E508:BM508)</f>
        <v>0</v>
      </c>
      <c s="125">
        <f t="shared" si="209" ref="E508:AG508">SUM(E24,E47,E70,E93,E116,E139,E162,E185,E208,E231,E254,E277,E300,E323,E346,E369,E392,E415,E438,E461)</f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10" ref="AH508:BM508">SUM(AH24,AH47,AH70,AH93,AH116,AH139,AH162,AH185,AH208,AH231,AH254,AH277,AH300,AH323,AH346,AH369,AH392,AH415,AH438,AH461)</f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</row>
    <row r="509" spans="2:65" ht="15" customHeight="1">
      <c r="B509" s="12" t="str">
        <f t="shared" si="207"/>
        <v>Продукт 3</v>
      </c>
      <c s="124" t="str">
        <f t="shared" si="204"/>
        <v>тыс. руб.</v>
      </c>
      <c s="276">
        <f t="shared" si="208"/>
        <v>0</v>
      </c>
      <c s="125">
        <f t="shared" si="211" ref="E509:AG509">SUM(E25,E48,E71,E94,E117,E140,E163,E186,E209,E232,E255,E278,E301,E324,E347,E370,E393,E416,E439,E462)</f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2" ref="AH509:BM509">SUM(AH25,AH48,AH71,AH94,AH117,AH140,AH163,AH186,AH209,AH232,AH255,AH278,AH301,AH324,AH347,AH370,AH393,AH416,AH439,AH462)</f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</row>
    <row r="510" spans="2:65" ht="15" customHeight="1">
      <c r="B510" s="12" t="str">
        <f t="shared" si="207"/>
        <v>Продукт 4</v>
      </c>
      <c s="124" t="str">
        <f t="shared" si="204"/>
        <v>тыс. руб.</v>
      </c>
      <c s="276">
        <f t="shared" si="208"/>
        <v>0</v>
      </c>
      <c s="125">
        <f t="shared" si="213" ref="E510:AG510">SUM(E26,E49,E72,E95,E118,E141,E164,E187,E210,E233,E256,E279,E302,E325,E348,E371,E394,E417,E440,E463)</f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4" ref="AH510:BM510">SUM(AH26,AH49,AH72,AH95,AH118,AH141,AH164,AH187,AH210,AH233,AH256,AH279,AH302,AH325,AH348,AH371,AH394,AH417,AH440,AH463)</f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</row>
    <row r="511" spans="2:65" ht="15" customHeight="1">
      <c r="B511" s="12" t="str">
        <f t="shared" si="207"/>
        <v>Продукт 5</v>
      </c>
      <c s="124" t="str">
        <f t="shared" si="204"/>
        <v>тыс. руб.</v>
      </c>
      <c s="276">
        <f t="shared" si="208"/>
        <v>0</v>
      </c>
      <c s="125">
        <f t="shared" si="215" ref="E511:AG511">SUM(E27,E50,E73,E96,E119,E142,E165,E188,E211,E234,E257,E280,E303,E326,E349,E372,E395,E418,E441,E464)</f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6" ref="AH511:BM511">SUM(AH27,AH50,AH73,AH96,AH119,AH142,AH165,AH188,AH211,AH234,AH257,AH280,AH303,AH326,AH349,AH372,AH395,AH418,AH441,AH464)</f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</row>
    <row r="512" spans="2:65" ht="15" customHeight="1">
      <c r="B512" s="12" t="str">
        <f t="shared" si="207"/>
        <v>Продукт 6</v>
      </c>
      <c s="124" t="str">
        <f t="shared" si="204"/>
        <v>тыс. руб.</v>
      </c>
      <c s="276">
        <f t="shared" si="208"/>
        <v>0</v>
      </c>
      <c s="125">
        <f t="shared" si="217" ref="E512:AG512">SUM(E28,E51,E74,E97,E120,E143,E166,E189,E212,E235,E258,E281,E304,E327,E350,E373,E396,E419,E442,E465)</f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8" ref="AH512:BM512">SUM(AH28,AH51,AH74,AH97,AH120,AH143,AH166,AH189,AH212,AH235,AH258,AH281,AH304,AH327,AH350,AH373,AH396,AH419,AH442,AH465)</f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</row>
    <row r="513" spans="2:65" ht="15" customHeight="1">
      <c r="B513" s="12" t="str">
        <f t="shared" si="207"/>
        <v>Продукт 7</v>
      </c>
      <c s="124" t="str">
        <f t="shared" si="204"/>
        <v>тыс. руб.</v>
      </c>
      <c s="276">
        <f t="shared" si="208"/>
        <v>0</v>
      </c>
      <c s="125">
        <f t="shared" si="219" ref="E513:AG513">SUM(E29,E52,E75,E98,E121,E144,E167,E190,E213,E236,E259,E282,E305,E328,E351,E374,E397,E420,E443,E466)</f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20" ref="AH513:BM513">SUM(AH29,AH52,AH75,AH98,AH121,AH144,AH167,AH190,AH213,AH236,AH259,AH282,AH305,AH328,AH351,AH374,AH397,AH420,AH443,AH466)</f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</row>
    <row r="514" spans="2:65" ht="15" customHeight="1">
      <c r="B514" s="12" t="str">
        <f t="shared" si="207"/>
        <v>Продукт 8</v>
      </c>
      <c s="124" t="str">
        <f t="shared" si="204"/>
        <v>тыс. руб.</v>
      </c>
      <c s="276">
        <f t="shared" si="208"/>
        <v>0</v>
      </c>
      <c s="125">
        <f t="shared" si="221" ref="E514:AG514">SUM(E30,E53,E76,E99,E122,E145,E168,E191,E214,E237,E260,E283,E306,E329,E352,E375,E398,E421,E444,E467)</f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2" ref="AH514:BM514">SUM(AH30,AH53,AH76,AH99,AH122,AH145,AH168,AH191,AH214,AH237,AH260,AH283,AH306,AH329,AH352,AH375,AH398,AH421,AH444,AH467)</f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</row>
    <row r="515" spans="2:65" ht="15" customHeight="1">
      <c r="B515" s="12" t="str">
        <f t="shared" si="207"/>
        <v>Продукт 9</v>
      </c>
      <c s="124" t="str">
        <f t="shared" si="204"/>
        <v>тыс. руб.</v>
      </c>
      <c s="276">
        <f t="shared" si="208"/>
        <v>0</v>
      </c>
      <c s="125">
        <f t="shared" si="223" ref="E515:AG515">SUM(E31,E54,E77,E100,E123,E146,E169,E192,E215,E238,E261,E284,E307,E330,E353,E376,E399,E422,E445,E468)</f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4" ref="AH515:BM515">SUM(AH31,AH54,AH77,AH100,AH123,AH146,AH169,AH192,AH215,AH238,AH261,AH284,AH307,AH330,AH353,AH376,AH399,AH422,AH445,AH468)</f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</row>
    <row r="516" spans="2:65" ht="15" customHeight="1">
      <c r="B516" s="12" t="str">
        <f t="shared" si="207"/>
        <v>Продукт 10</v>
      </c>
      <c s="124" t="str">
        <f t="shared" si="204"/>
        <v>тыс. руб.</v>
      </c>
      <c s="276">
        <f t="shared" si="208"/>
        <v>0</v>
      </c>
      <c s="125">
        <f t="shared" si="225" ref="E516:AG516">SUM(E32,E55,E78,E101,E124,E147,E170,E193,E216,E239,E262,E285,E308,E331,E354,E377,E400,E423,E446,E469)</f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5"/>
        <v>0</v>
      </c>
      <c s="125">
        <f t="shared" si="226" ref="AH516:BM516">SUM(AH32,AH55,AH78,AH101,AH124,AH147,AH170,AH193,AH216,AH239,AH262,AH285,AH308,AH331,AH354,AH377,AH400,AH423,AH446,AH469)</f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</row>
    <row r="517" spans="2:65" ht="15" customHeight="1">
      <c r="B517" s="12" t="str">
        <f t="shared" si="207"/>
        <v>Продукт 11</v>
      </c>
      <c s="124" t="str">
        <f t="shared" si="204"/>
        <v>тыс. руб.</v>
      </c>
      <c s="276">
        <f t="shared" si="208"/>
        <v>0</v>
      </c>
      <c s="125">
        <f t="shared" si="227" ref="E517:AG517">SUM(E33,E56,E79,E102,E125,E148,E171,E194,E217,E240,E263,E286,E309,E332,E355,E378,E401,E424,E447,E470)</f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7"/>
        <v>0</v>
      </c>
      <c s="125">
        <f t="shared" si="228" ref="AH517:BM517">SUM(AH33,AH56,AH79,AH102,AH125,AH148,AH171,AH194,AH217,AH240,AH263,AH286,AH309,AH332,AH355,AH378,AH401,AH424,AH447,AH470)</f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</row>
    <row r="518" spans="2:65" ht="15" customHeight="1">
      <c r="B518" s="12" t="str">
        <f t="shared" si="207"/>
        <v>Продукт 12</v>
      </c>
      <c s="124" t="str">
        <f t="shared" si="204"/>
        <v>тыс. руб.</v>
      </c>
      <c s="276">
        <f t="shared" si="208"/>
        <v>0</v>
      </c>
      <c s="125">
        <f t="shared" si="229" ref="E518:AG518">SUM(E34,E57,E80,E103,E126,E149,E172,E195,E218,E241,E264,E287,E310,E333,E356,E379,E402,E425,E448,E471)</f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29"/>
        <v>0</v>
      </c>
      <c s="125">
        <f t="shared" si="230" ref="AH518:BM518">SUM(AH34,AH57,AH80,AH103,AH126,AH149,AH172,AH195,AH218,AH241,AH264,AH287,AH310,AH333,AH356,AH379,AH402,AH425,AH448,AH471)</f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</row>
    <row r="519" spans="2:65" ht="15" customHeight="1">
      <c r="B519" s="12" t="str">
        <f t="shared" si="207"/>
        <v>Продукт 13</v>
      </c>
      <c s="124" t="str">
        <f t="shared" si="204"/>
        <v>тыс. руб.</v>
      </c>
      <c s="276">
        <f t="shared" si="208"/>
        <v>0</v>
      </c>
      <c s="125">
        <f t="shared" si="231" ref="E519:AG519">SUM(E35,E58,E81,E104,E127,E150,E173,E196,E219,E242,E265,E288,E311,E334,E357,E380,E403,E426,E449,E472)</f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1"/>
        <v>0</v>
      </c>
      <c s="125">
        <f t="shared" si="232" ref="AH519:BM519">SUM(AH35,AH58,AH81,AH104,AH127,AH150,AH173,AH196,AH219,AH242,AH265,AH288,AH311,AH334,AH357,AH380,AH403,AH426,AH449,AH472)</f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</row>
    <row r="520" spans="2:65" ht="15" customHeight="1">
      <c r="B520" s="12" t="str">
        <f t="shared" si="207"/>
        <v>Продукт 14</v>
      </c>
      <c s="124" t="str">
        <f t="shared" si="204"/>
        <v>тыс. руб.</v>
      </c>
      <c s="276">
        <f t="shared" si="208"/>
        <v>0</v>
      </c>
      <c s="125">
        <f t="shared" si="233" ref="E520:AG520">SUM(E36,E59,E82,E105,E128,E151,E174,E197,E220,E243,E266,E289,E312,E335,E358,E381,E404,E427,E450,E473)</f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3"/>
        <v>0</v>
      </c>
      <c s="125">
        <f t="shared" si="234" ref="AH520:BM520">SUM(AH36,AH59,AH82,AH105,AH128,AH151,AH174,AH197,AH220,AH243,AH266,AH289,AH312,AH335,AH358,AH381,AH404,AH427,AH450,AH473)</f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</row>
    <row r="521" spans="2:65" ht="15" customHeight="1">
      <c r="B521" s="12" t="str">
        <f t="shared" si="207"/>
        <v>Продукт 15</v>
      </c>
      <c s="124" t="str">
        <f t="shared" si="204"/>
        <v>тыс. руб.</v>
      </c>
      <c s="276">
        <f t="shared" si="208"/>
        <v>0</v>
      </c>
      <c s="125">
        <f t="shared" si="235" ref="E521:AG521">SUM(E37,E60,E83,E106,E129,E152,E175,E198,E221,E244,E267,E290,E313,E336,E359,E382,E405,E428,E451,E474)</f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5"/>
        <v>0</v>
      </c>
      <c s="125">
        <f t="shared" si="236" ref="AH521:BM521">SUM(AH37,AH60,AH83,AH106,AH129,AH152,AH175,AH198,AH221,AH244,AH267,AH290,AH313,AH336,AH359,AH382,AH405,AH428,AH451,AH474)</f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</row>
    <row r="522" spans="2:65" ht="15" customHeight="1">
      <c r="B522" s="12" t="str">
        <f t="shared" si="207"/>
        <v>Продукт 16</v>
      </c>
      <c s="124" t="str">
        <f t="shared" si="204"/>
        <v>тыс. руб.</v>
      </c>
      <c s="276">
        <f t="shared" si="208"/>
        <v>0</v>
      </c>
      <c s="125">
        <f t="shared" si="237" ref="E522:AG522">SUM(E38,E61,E84,E107,E130,E153,E176,E199,E222,E245,E268,E291,E314,E337,E360,E383,E406,E429,E452,E475)</f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7"/>
        <v>0</v>
      </c>
      <c s="125">
        <f t="shared" si="238" ref="AH522:BM522">SUM(AH38,AH61,AH84,AH107,AH130,AH153,AH176,AH199,AH222,AH245,AH268,AH291,AH314,AH337,AH360,AH383,AH406,AH429,AH452,AH475)</f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</row>
    <row r="523" spans="2:65" ht="15" customHeight="1">
      <c r="B523" s="12" t="str">
        <f t="shared" si="207"/>
        <v>Продукт 17</v>
      </c>
      <c s="124" t="str">
        <f t="shared" si="204"/>
        <v>тыс. руб.</v>
      </c>
      <c s="276">
        <f t="shared" si="208"/>
        <v>0</v>
      </c>
      <c s="125">
        <f t="shared" si="239" ref="E523:AG523">SUM(E39,E62,E85,E108,E131,E154,E177,E200,E223,E246,E269,E292,E315,E338,E361,E384,E407,E430,E453,E476)</f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39"/>
        <v>0</v>
      </c>
      <c s="125">
        <f t="shared" si="240" ref="AH523:BM523">SUM(AH39,AH62,AH85,AH108,AH131,AH154,AH177,AH200,AH223,AH246,AH269,AH292,AH315,AH338,AH361,AH384,AH407,AH430,AH453,AH476)</f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</row>
    <row r="524" spans="2:65" ht="15" customHeight="1">
      <c r="B524" s="12" t="str">
        <f t="shared" si="207"/>
        <v>Продукт 18</v>
      </c>
      <c s="124" t="str">
        <f t="shared" si="204"/>
        <v>тыс. руб.</v>
      </c>
      <c s="276">
        <f t="shared" si="208"/>
        <v>0</v>
      </c>
      <c s="125">
        <f t="shared" si="241" ref="E524:AG524">SUM(E40,E63,E86,E109,E132,E155,E178,E201,E224,E247,E270,E293,E316,E339,E362,E385,E408,E431,E454,E477)</f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1"/>
        <v>0</v>
      </c>
      <c s="125">
        <f t="shared" si="242" ref="AH524:BM524">SUM(AH40,AH63,AH86,AH109,AH132,AH155,AH178,AH201,AH224,AH247,AH270,AH293,AH316,AH339,AH362,AH385,AH408,AH431,AH454,AH477)</f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</row>
    <row r="525" spans="2:65" ht="15" customHeight="1">
      <c r="B525" s="12" t="str">
        <f t="shared" si="207"/>
        <v>Продукт 19</v>
      </c>
      <c s="124" t="str">
        <f t="shared" si="204"/>
        <v>тыс. руб.</v>
      </c>
      <c s="276">
        <f t="shared" si="208"/>
        <v>0</v>
      </c>
      <c s="125">
        <f t="shared" si="243" ref="E525:AG525">SUM(E41,E64,E87,E110,E133,E156,E179,E202,E225,E248,E271,E294,E317,E340,E363,E386,E409,E432,E455,E478)</f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3"/>
        <v>0</v>
      </c>
      <c s="125">
        <f t="shared" si="244" ref="AH525:BM525">SUM(AH41,AH64,AH87,AH110,AH133,AH156,AH179,AH202,AH225,AH248,AH271,AH294,AH317,AH340,AH363,AH386,AH409,AH432,AH455,AH478)</f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</row>
    <row r="526" spans="2:65" ht="15" customHeight="1">
      <c r="B526" s="12" t="str">
        <f t="shared" si="207"/>
        <v>Продукт 20</v>
      </c>
      <c s="124" t="str">
        <f t="shared" si="204"/>
        <v>тыс. руб.</v>
      </c>
      <c s="276">
        <f t="shared" si="208"/>
        <v>0</v>
      </c>
      <c s="125">
        <f t="shared" si="245" ref="E526:AG526">SUM(E42,E65,E88,E111,E134,E157,E180,E203,E226,E249,E272,E295,E318,E341,E364,E387,E410,E433,E456,E479)</f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5"/>
        <v>0</v>
      </c>
      <c s="125">
        <f t="shared" si="246" ref="AH526:BM526">SUM(AH42,AH65,AH88,AH111,AH134,AH157,AH180,AH203,AH226,AH249,AH272,AH295,AH318,AH341,AH364,AH387,AH410,AH433,AH456,AH479)</f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</row>
    <row r="527" spans="2:65" ht="15" customHeight="1">
      <c r="B527" s="289" t="s">
        <v>454</v>
      </c>
      <c s="290" t="str">
        <f>Единица_измерения</f>
        <v>тыс. руб.</v>
      </c>
      <c s="291">
        <f>SUM(D507:D526)</f>
        <v>0</v>
      </c>
      <c s="276">
        <f>SUM(E507:E526)</f>
        <v>0</v>
      </c>
      <c s="276">
        <f t="shared" si="247" ref="F527:AG527">SUM(F507:F526)</f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7"/>
        <v>0</v>
      </c>
      <c s="276">
        <f t="shared" si="248" ref="AH527:BM527">SUM(AH507:AH526)</f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  <c s="276">
        <f t="shared" si="248"/>
        <v>0</v>
      </c>
    </row>
    <row r="528" ht="15" customHeight="1"/>
    <row r="529" spans="2:2" ht="15" customHeight="1">
      <c r="B529" s="24" t="s">
        <v>861</v>
      </c>
    </row>
    <row r="530" spans="2:69" ht="14.45">
      <c r="B530" s="25" t="s">
        <v>859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31" spans="2:65" ht="15" customHeight="1">
      <c r="B531" s="12" t="str">
        <f t="shared" si="249" ref="B531:B550">B484</f>
        <v>Операционные затраты 1</v>
      </c>
      <c s="124" t="str">
        <f t="shared" si="250" ref="C531:C550">Единица_измерения</f>
        <v>тыс. руб.</v>
      </c>
      <c s="276">
        <f>SUM(E531:BM531)</f>
        <v>0</v>
      </c>
      <c s="125">
        <f>E484/(1+IFERROR(INDEX(E$10:E$11,Предпосылки!$I201,),0))*IFERROR(INDEX(E$10:E$11,Предпосылки!$I201,),0)</f>
        <v>0</v>
      </c>
      <c s="170">
        <f>F484/(1+IFERROR(INDEX(F$10:F$11,Предпосылки!$I201,),0))*IFERROR(INDEX(F$10:F$11,Предпосылки!$I201,),0)</f>
        <v>0</v>
      </c>
      <c s="125">
        <f>G484/(1+IFERROR(INDEX(G$10:G$11,Предпосылки!$I201,),0))*IFERROR(INDEX(G$10:G$11,Предпосылки!$I201,),0)</f>
        <v>0</v>
      </c>
      <c s="125">
        <f>H484/(1+IFERROR(INDEX(H$10:H$11,Предпосылки!$I201,),0))*IFERROR(INDEX(H$10:H$11,Предпосылки!$I201,),0)</f>
        <v>0</v>
      </c>
      <c s="125">
        <f>I484/(1+IFERROR(INDEX(I$10:I$11,Предпосылки!$I201,),0))*IFERROR(INDEX(I$10:I$11,Предпосылки!$I201,),0)</f>
        <v>0</v>
      </c>
      <c s="125">
        <f>J484/(1+IFERROR(INDEX(J$10:J$11,Предпосылки!$I201,),0))*IFERROR(INDEX(J$10:J$11,Предпосылки!$I201,),0)</f>
        <v>0</v>
      </c>
      <c s="125">
        <f>K484/(1+IFERROR(INDEX(K$10:K$11,Предпосылки!$I201,),0))*IFERROR(INDEX(K$10:K$11,Предпосылки!$I201,),0)</f>
        <v>0</v>
      </c>
      <c s="125">
        <f>L484/(1+IFERROR(INDEX(L$10:L$11,Предпосылки!$I201,),0))*IFERROR(INDEX(L$10:L$11,Предпосылки!$I201,),0)</f>
        <v>0</v>
      </c>
      <c s="125">
        <f>M484/(1+IFERROR(INDEX(M$10:M$11,Предпосылки!$I201,),0))*IFERROR(INDEX(M$10:M$11,Предпосылки!$I201,),0)</f>
        <v>0</v>
      </c>
      <c s="125">
        <f>N484/(1+IFERROR(INDEX(N$10:N$11,Предпосылки!$I201,),0))*IFERROR(INDEX(N$10:N$11,Предпосылки!$I201,),0)</f>
        <v>0</v>
      </c>
      <c s="125">
        <f>O484/(1+IFERROR(INDEX(O$10:O$11,Предпосылки!$I201,),0))*IFERROR(INDEX(O$10:O$11,Предпосылки!$I201,),0)</f>
        <v>0</v>
      </c>
      <c s="125">
        <f>P484/(1+IFERROR(INDEX(P$10:P$11,Предпосылки!$I201,),0))*IFERROR(INDEX(P$10:P$11,Предпосылки!$I201,),0)</f>
        <v>0</v>
      </c>
      <c s="125">
        <f>Q484/(1+IFERROR(INDEX(Q$10:Q$11,Предпосылки!$I201,),0))*IFERROR(INDEX(Q$10:Q$11,Предпосылки!$I201,),0)</f>
        <v>0</v>
      </c>
      <c s="125">
        <f>R484/(1+IFERROR(INDEX(R$10:R$11,Предпосылки!$I201,),0))*IFERROR(INDEX(R$10:R$11,Предпосылки!$I201,),0)</f>
        <v>0</v>
      </c>
      <c s="125">
        <f>S484/(1+IFERROR(INDEX(S$10:S$11,Предпосылки!$I201,),0))*IFERROR(INDEX(S$10:S$11,Предпосылки!$I201,),0)</f>
        <v>0</v>
      </c>
      <c s="125">
        <f>T484/(1+IFERROR(INDEX(T$10:T$11,Предпосылки!$I201,),0))*IFERROR(INDEX(T$10:T$11,Предпосылки!$I201,),0)</f>
        <v>0</v>
      </c>
      <c s="125">
        <f>U484/(1+IFERROR(INDEX(U$10:U$11,Предпосылки!$I201,),0))*IFERROR(INDEX(U$10:U$11,Предпосылки!$I201,),0)</f>
        <v>0</v>
      </c>
      <c s="125">
        <f>V484/(1+IFERROR(INDEX(V$10:V$11,Предпосылки!$I201,),0))*IFERROR(INDEX(V$10:V$11,Предпосылки!$I201,),0)</f>
        <v>0</v>
      </c>
      <c s="125">
        <f>W484/(1+IFERROR(INDEX(W$10:W$11,Предпосылки!$I201,),0))*IFERROR(INDEX(W$10:W$11,Предпосылки!$I201,),0)</f>
        <v>0</v>
      </c>
      <c s="125">
        <f>X484/(1+IFERROR(INDEX(X$10:X$11,Предпосылки!$I201,),0))*IFERROR(INDEX(X$10:X$11,Предпосылки!$I201,),0)</f>
        <v>0</v>
      </c>
      <c s="125">
        <f>Y484/(1+IFERROR(INDEX(Y$10:Y$11,Предпосылки!$I201,),0))*IFERROR(INDEX(Y$10:Y$11,Предпосылки!$I201,),0)</f>
        <v>0</v>
      </c>
      <c s="125">
        <f>Z484/(1+IFERROR(INDEX(Z$10:Z$11,Предпосылки!$I201,),0))*IFERROR(INDEX(Z$10:Z$11,Предпосылки!$I201,),0)</f>
        <v>0</v>
      </c>
      <c s="125">
        <f>AA484/(1+IFERROR(INDEX(AA$10:AA$11,Предпосылки!$I201,),0))*IFERROR(INDEX(AA$10:AA$11,Предпосылки!$I201,),0)</f>
        <v>0</v>
      </c>
      <c s="125">
        <f>AB484/(1+IFERROR(INDEX(AB$10:AB$11,Предпосылки!$I201,),0))*IFERROR(INDEX(AB$10:AB$11,Предпосылки!$I201,),0)</f>
        <v>0</v>
      </c>
      <c s="125">
        <f>AC484/(1+IFERROR(INDEX(AC$10:AC$11,Предпосылки!$I201,),0))*IFERROR(INDEX(AC$10:AC$11,Предпосылки!$I201,),0)</f>
        <v>0</v>
      </c>
      <c s="125">
        <f>AD484/(1+IFERROR(INDEX(AD$10:AD$11,Предпосылки!$I201,),0))*IFERROR(INDEX(AD$10:AD$11,Предпосылки!$I201,),0)</f>
        <v>0</v>
      </c>
      <c s="125">
        <f>AE484/(1+IFERROR(INDEX(AE$10:AE$11,Предпосылки!$I201,),0))*IFERROR(INDEX(AE$10:AE$11,Предпосылки!$I201,),0)</f>
        <v>0</v>
      </c>
      <c s="125">
        <f>AF484/(1+IFERROR(INDEX(AF$10:AF$11,Предпосылки!$I201,),0))*IFERROR(INDEX(AF$10:AF$11,Предпосылки!$I201,),0)</f>
        <v>0</v>
      </c>
      <c s="125">
        <f>AG484/(1+IFERROR(INDEX(AG$10:AG$11,Предпосылки!$I201,),0))*IFERROR(INDEX(AG$10:AG$11,Предпосылки!$I201,),0)</f>
        <v>0</v>
      </c>
      <c s="125">
        <f>AH484/(1+IFERROR(INDEX(AH$10:AH$11,Предпосылки!$I201,),0))*IFERROR(INDEX(AH$10:AH$11,Предпосылки!$I201,),0)</f>
        <v>0</v>
      </c>
      <c s="125">
        <f>AI484/(1+IFERROR(INDEX(AI$10:AI$11,Предпосылки!$I201,),0))*IFERROR(INDEX(AI$10:AI$11,Предпосылки!$I201,),0)</f>
        <v>0</v>
      </c>
      <c s="125">
        <f>AJ484/(1+IFERROR(INDEX(AJ$10:AJ$11,Предпосылки!$I201,),0))*IFERROR(INDEX(AJ$10:AJ$11,Предпосылки!$I201,),0)</f>
        <v>0</v>
      </c>
      <c s="125">
        <f>AK484/(1+IFERROR(INDEX(AK$10:AK$11,Предпосылки!$I201,),0))*IFERROR(INDEX(AK$10:AK$11,Предпосылки!$I201,),0)</f>
        <v>0</v>
      </c>
      <c s="125">
        <f>AL484/(1+IFERROR(INDEX(AL$10:AL$11,Предпосылки!$I201,),0))*IFERROR(INDEX(AL$10:AL$11,Предпосылки!$I201,),0)</f>
        <v>0</v>
      </c>
      <c s="125">
        <f>AM484/(1+IFERROR(INDEX(AM$10:AM$11,Предпосылки!$I201,),0))*IFERROR(INDEX(AM$10:AM$11,Предпосылки!$I201,),0)</f>
        <v>0</v>
      </c>
      <c s="125">
        <f>AN484/(1+IFERROR(INDEX(AN$10:AN$11,Предпосылки!$I201,),0))*IFERROR(INDEX(AN$10:AN$11,Предпосылки!$I201,),0)</f>
        <v>0</v>
      </c>
      <c s="125">
        <f>AO484/(1+IFERROR(INDEX(AO$10:AO$11,Предпосылки!$I201,),0))*IFERROR(INDEX(AO$10:AO$11,Предпосылки!$I201,),0)</f>
        <v>0</v>
      </c>
      <c s="125">
        <f>AP484/(1+IFERROR(INDEX(AP$10:AP$11,Предпосылки!$I201,),0))*IFERROR(INDEX(AP$10:AP$11,Предпосылки!$I201,),0)</f>
        <v>0</v>
      </c>
      <c s="125">
        <f>AQ484/(1+IFERROR(INDEX(AQ$10:AQ$11,Предпосылки!$I201,),0))*IFERROR(INDEX(AQ$10:AQ$11,Предпосылки!$I201,),0)</f>
        <v>0</v>
      </c>
      <c s="125">
        <f>AR484/(1+IFERROR(INDEX(AR$10:AR$11,Предпосылки!$I201,),0))*IFERROR(INDEX(AR$10:AR$11,Предпосылки!$I201,),0)</f>
        <v>0</v>
      </c>
      <c s="125">
        <f>AS484/(1+IFERROR(INDEX(AS$10:AS$11,Предпосылки!$I201,),0))*IFERROR(INDEX(AS$10:AS$11,Предпосылки!$I201,),0)</f>
        <v>0</v>
      </c>
      <c s="125">
        <f>AT484/(1+IFERROR(INDEX(AT$10:AT$11,Предпосылки!$I201,),0))*IFERROR(INDEX(AT$10:AT$11,Предпосылки!$I201,),0)</f>
        <v>0</v>
      </c>
      <c s="125">
        <f>AU484/(1+IFERROR(INDEX(AU$10:AU$11,Предпосылки!$I201,),0))*IFERROR(INDEX(AU$10:AU$11,Предпосылки!$I201,),0)</f>
        <v>0</v>
      </c>
      <c s="125">
        <f>AV484/(1+IFERROR(INDEX(AV$10:AV$11,Предпосылки!$I201,),0))*IFERROR(INDEX(AV$10:AV$11,Предпосылки!$I201,),0)</f>
        <v>0</v>
      </c>
      <c s="125">
        <f>AW484/(1+IFERROR(INDEX(AW$10:AW$11,Предпосылки!$I201,),0))*IFERROR(INDEX(AW$10:AW$11,Предпосылки!$I201,),0)</f>
        <v>0</v>
      </c>
      <c s="125">
        <f>AX484/(1+IFERROR(INDEX(AX$10:AX$11,Предпосылки!$I201,),0))*IFERROR(INDEX(AX$10:AX$11,Предпосылки!$I201,),0)</f>
        <v>0</v>
      </c>
      <c s="125">
        <f>AY484/(1+IFERROR(INDEX(AY$10:AY$11,Предпосылки!$I201,),0))*IFERROR(INDEX(AY$10:AY$11,Предпосылки!$I201,),0)</f>
        <v>0</v>
      </c>
      <c s="125">
        <f>AZ484/(1+IFERROR(INDEX(AZ$10:AZ$11,Предпосылки!$I201,),0))*IFERROR(INDEX(AZ$10:AZ$11,Предпосылки!$I201,),0)</f>
        <v>0</v>
      </c>
      <c s="125">
        <f>BA484/(1+IFERROR(INDEX(BA$10:BA$11,Предпосылки!$I201,),0))*IFERROR(INDEX(BA$10:BA$11,Предпосылки!$I201,),0)</f>
        <v>0</v>
      </c>
      <c s="125">
        <f>BB484/(1+IFERROR(INDEX(BB$10:BB$11,Предпосылки!$I201,),0))*IFERROR(INDEX(BB$10:BB$11,Предпосылки!$I201,),0)</f>
        <v>0</v>
      </c>
      <c s="125">
        <f>BC484/(1+IFERROR(INDEX(BC$10:BC$11,Предпосылки!$I201,),0))*IFERROR(INDEX(BC$10:BC$11,Предпосылки!$I201,),0)</f>
        <v>0</v>
      </c>
      <c s="125">
        <f>BD484/(1+IFERROR(INDEX(BD$10:BD$11,Предпосылки!$I201,),0))*IFERROR(INDEX(BD$10:BD$11,Предпосылки!$I201,),0)</f>
        <v>0</v>
      </c>
      <c s="125">
        <f>BE484/(1+IFERROR(INDEX(BE$10:BE$11,Предпосылки!$I201,),0))*IFERROR(INDEX(BE$10:BE$11,Предпосылки!$I201,),0)</f>
        <v>0</v>
      </c>
      <c s="125">
        <f>BF484/(1+IFERROR(INDEX(BF$10:BF$11,Предпосылки!$I201,),0))*IFERROR(INDEX(BF$10:BF$11,Предпосылки!$I201,),0)</f>
        <v>0</v>
      </c>
      <c s="125">
        <f>BG484/(1+IFERROR(INDEX(BG$10:BG$11,Предпосылки!$I201,),0))*IFERROR(INDEX(BG$10:BG$11,Предпосылки!$I201,),0)</f>
        <v>0</v>
      </c>
      <c s="125">
        <f>BH484/(1+IFERROR(INDEX(BH$10:BH$11,Предпосылки!$I201,),0))*IFERROR(INDEX(BH$10:BH$11,Предпосылки!$I201,),0)</f>
        <v>0</v>
      </c>
      <c s="125">
        <f>BI484/(1+IFERROR(INDEX(BI$10:BI$11,Предпосылки!$I201,),0))*IFERROR(INDEX(BI$10:BI$11,Предпосылки!$I201,),0)</f>
        <v>0</v>
      </c>
      <c s="125">
        <f>BJ484/(1+IFERROR(INDEX(BJ$10:BJ$11,Предпосылки!$I201,),0))*IFERROR(INDEX(BJ$10:BJ$11,Предпосылки!$I201,),0)</f>
        <v>0</v>
      </c>
      <c s="125">
        <f>BK484/(1+IFERROR(INDEX(BK$10:BK$11,Предпосылки!$I201,),0))*IFERROR(INDEX(BK$10:BK$11,Предпосылки!$I201,),0)</f>
        <v>0</v>
      </c>
      <c s="125">
        <f>BL484/(1+IFERROR(INDEX(BL$10:BL$11,Предпосылки!$I201,),0))*IFERROR(INDEX(BL$10:BL$11,Предпосылки!$I201,),0)</f>
        <v>0</v>
      </c>
      <c s="125">
        <f>BM484/(1+IFERROR(INDEX(BM$10:BM$11,Предпосылки!$I201,),0))*IFERROR(INDEX(BM$10:BM$11,Предпосылки!$I201,),0)</f>
        <v>0</v>
      </c>
    </row>
    <row r="532" spans="2:65" ht="15" customHeight="1">
      <c r="B532" s="12" t="str">
        <f t="shared" si="249"/>
        <v>Операционные затраты 2</v>
      </c>
      <c s="124" t="str">
        <f t="shared" si="250"/>
        <v>тыс. руб.</v>
      </c>
      <c s="276">
        <f t="shared" si="251" ref="D532:D550">SUM(E532:BM532)</f>
        <v>0</v>
      </c>
      <c s="125">
        <f>E485/(1+IFERROR(INDEX(E$10:E$11,Предпосылки!$I202,),0))*IFERROR(INDEX(E$10:E$11,Предпосылки!$I202,),0)</f>
        <v>0</v>
      </c>
      <c s="170">
        <f>F485/(1+IFERROR(INDEX(F$10:F$11,Предпосылки!$I202,),0))*IFERROR(INDEX(F$10:F$11,Предпосылки!$I202,),0)</f>
        <v>0</v>
      </c>
      <c s="125">
        <f>G485/(1+IFERROR(INDEX(G$10:G$11,Предпосылки!$I202,),0))*IFERROR(INDEX(G$10:G$11,Предпосылки!$I202,),0)</f>
        <v>0</v>
      </c>
      <c s="125">
        <f>H485/(1+IFERROR(INDEX(H$10:H$11,Предпосылки!$I202,),0))*IFERROR(INDEX(H$10:H$11,Предпосылки!$I202,),0)</f>
        <v>0</v>
      </c>
      <c s="125">
        <f>I485/(1+IFERROR(INDEX(I$10:I$11,Предпосылки!$I202,),0))*IFERROR(INDEX(I$10:I$11,Предпосылки!$I202,),0)</f>
        <v>0</v>
      </c>
      <c s="125">
        <f>J485/(1+IFERROR(INDEX(J$10:J$11,Предпосылки!$I202,),0))*IFERROR(INDEX(J$10:J$11,Предпосылки!$I202,),0)</f>
        <v>0</v>
      </c>
      <c s="125">
        <f>K485/(1+IFERROR(INDEX(K$10:K$11,Предпосылки!$I202,),0))*IFERROR(INDEX(K$10:K$11,Предпосылки!$I202,),0)</f>
        <v>0</v>
      </c>
      <c s="125">
        <f>L485/(1+IFERROR(INDEX(L$10:L$11,Предпосылки!$I202,),0))*IFERROR(INDEX(L$10:L$11,Предпосылки!$I202,),0)</f>
        <v>0</v>
      </c>
      <c s="125">
        <f>M485/(1+IFERROR(INDEX(M$10:M$11,Предпосылки!$I202,),0))*IFERROR(INDEX(M$10:M$11,Предпосылки!$I202,),0)</f>
        <v>0</v>
      </c>
      <c s="125">
        <f>N485/(1+IFERROR(INDEX(N$10:N$11,Предпосылки!$I202,),0))*IFERROR(INDEX(N$10:N$11,Предпосылки!$I202,),0)</f>
        <v>0</v>
      </c>
      <c s="125">
        <f>O485/(1+IFERROR(INDEX(O$10:O$11,Предпосылки!$I202,),0))*IFERROR(INDEX(O$10:O$11,Предпосылки!$I202,),0)</f>
        <v>0</v>
      </c>
      <c s="125">
        <f>P485/(1+IFERROR(INDEX(P$10:P$11,Предпосылки!$I202,),0))*IFERROR(INDEX(P$10:P$11,Предпосылки!$I202,),0)</f>
        <v>0</v>
      </c>
      <c s="125">
        <f>Q485/(1+IFERROR(INDEX(Q$10:Q$11,Предпосылки!$I202,),0))*IFERROR(INDEX(Q$10:Q$11,Предпосылки!$I202,),0)</f>
        <v>0</v>
      </c>
      <c s="125">
        <f>R485/(1+IFERROR(INDEX(R$10:R$11,Предпосылки!$I202,),0))*IFERROR(INDEX(R$10:R$11,Предпосылки!$I202,),0)</f>
        <v>0</v>
      </c>
      <c s="125">
        <f>S485/(1+IFERROR(INDEX(S$10:S$11,Предпосылки!$I202,),0))*IFERROR(INDEX(S$10:S$11,Предпосылки!$I202,),0)</f>
        <v>0</v>
      </c>
      <c s="125">
        <f>T485/(1+IFERROR(INDEX(T$10:T$11,Предпосылки!$I202,),0))*IFERROR(INDEX(T$10:T$11,Предпосылки!$I202,),0)</f>
        <v>0</v>
      </c>
      <c s="125">
        <f>U485/(1+IFERROR(INDEX(U$10:U$11,Предпосылки!$I202,),0))*IFERROR(INDEX(U$10:U$11,Предпосылки!$I202,),0)</f>
        <v>0</v>
      </c>
      <c s="125">
        <f>V485/(1+IFERROR(INDEX(V$10:V$11,Предпосылки!$I202,),0))*IFERROR(INDEX(V$10:V$11,Предпосылки!$I202,),0)</f>
        <v>0</v>
      </c>
      <c s="125">
        <f>W485/(1+IFERROR(INDEX(W$10:W$11,Предпосылки!$I202,),0))*IFERROR(INDEX(W$10:W$11,Предпосылки!$I202,),0)</f>
        <v>0</v>
      </c>
      <c s="125">
        <f>X485/(1+IFERROR(INDEX(X$10:X$11,Предпосылки!$I202,),0))*IFERROR(INDEX(X$10:X$11,Предпосылки!$I202,),0)</f>
        <v>0</v>
      </c>
      <c s="125">
        <f>Y485/(1+IFERROR(INDEX(Y$10:Y$11,Предпосылки!$I202,),0))*IFERROR(INDEX(Y$10:Y$11,Предпосылки!$I202,),0)</f>
        <v>0</v>
      </c>
      <c s="125">
        <f>Z485/(1+IFERROR(INDEX(Z$10:Z$11,Предпосылки!$I202,),0))*IFERROR(INDEX(Z$10:Z$11,Предпосылки!$I202,),0)</f>
        <v>0</v>
      </c>
      <c s="125">
        <f>AA485/(1+IFERROR(INDEX(AA$10:AA$11,Предпосылки!$I202,),0))*IFERROR(INDEX(AA$10:AA$11,Предпосылки!$I202,),0)</f>
        <v>0</v>
      </c>
      <c s="125">
        <f>AB485/(1+IFERROR(INDEX(AB$10:AB$11,Предпосылки!$I202,),0))*IFERROR(INDEX(AB$10:AB$11,Предпосылки!$I202,),0)</f>
        <v>0</v>
      </c>
      <c s="125">
        <f>AC485/(1+IFERROR(INDEX(AC$10:AC$11,Предпосылки!$I202,),0))*IFERROR(INDEX(AC$10:AC$11,Предпосылки!$I202,),0)</f>
        <v>0</v>
      </c>
      <c s="125">
        <f>AD485/(1+IFERROR(INDEX(AD$10:AD$11,Предпосылки!$I202,),0))*IFERROR(INDEX(AD$10:AD$11,Предпосылки!$I202,),0)</f>
        <v>0</v>
      </c>
      <c s="125">
        <f>AE485/(1+IFERROR(INDEX(AE$10:AE$11,Предпосылки!$I202,),0))*IFERROR(INDEX(AE$10:AE$11,Предпосылки!$I202,),0)</f>
        <v>0</v>
      </c>
      <c s="125">
        <f>AF485/(1+IFERROR(INDEX(AF$10:AF$11,Предпосылки!$I202,),0))*IFERROR(INDEX(AF$10:AF$11,Предпосылки!$I202,),0)</f>
        <v>0</v>
      </c>
      <c s="125">
        <f>AG485/(1+IFERROR(INDEX(AG$10:AG$11,Предпосылки!$I202,),0))*IFERROR(INDEX(AG$10:AG$11,Предпосылки!$I202,),0)</f>
        <v>0</v>
      </c>
      <c s="125">
        <f>AH485/(1+IFERROR(INDEX(AH$10:AH$11,Предпосылки!$I202,),0))*IFERROR(INDEX(AH$10:AH$11,Предпосылки!$I202,),0)</f>
        <v>0</v>
      </c>
      <c s="125">
        <f>AI485/(1+IFERROR(INDEX(AI$10:AI$11,Предпосылки!$I202,),0))*IFERROR(INDEX(AI$10:AI$11,Предпосылки!$I202,),0)</f>
        <v>0</v>
      </c>
      <c s="125">
        <f>AJ485/(1+IFERROR(INDEX(AJ$10:AJ$11,Предпосылки!$I202,),0))*IFERROR(INDEX(AJ$10:AJ$11,Предпосылки!$I202,),0)</f>
        <v>0</v>
      </c>
      <c s="125">
        <f>AK485/(1+IFERROR(INDEX(AK$10:AK$11,Предпосылки!$I202,),0))*IFERROR(INDEX(AK$10:AK$11,Предпосылки!$I202,),0)</f>
        <v>0</v>
      </c>
      <c s="125">
        <f>AL485/(1+IFERROR(INDEX(AL$10:AL$11,Предпосылки!$I202,),0))*IFERROR(INDEX(AL$10:AL$11,Предпосылки!$I202,),0)</f>
        <v>0</v>
      </c>
      <c s="125">
        <f>AM485/(1+IFERROR(INDEX(AM$10:AM$11,Предпосылки!$I202,),0))*IFERROR(INDEX(AM$10:AM$11,Предпосылки!$I202,),0)</f>
        <v>0</v>
      </c>
      <c s="125">
        <f>AN485/(1+IFERROR(INDEX(AN$10:AN$11,Предпосылки!$I202,),0))*IFERROR(INDEX(AN$10:AN$11,Предпосылки!$I202,),0)</f>
        <v>0</v>
      </c>
      <c s="125">
        <f>AO485/(1+IFERROR(INDEX(AO$10:AO$11,Предпосылки!$I202,),0))*IFERROR(INDEX(AO$10:AO$11,Предпосылки!$I202,),0)</f>
        <v>0</v>
      </c>
      <c s="125">
        <f>AP485/(1+IFERROR(INDEX(AP$10:AP$11,Предпосылки!$I202,),0))*IFERROR(INDEX(AP$10:AP$11,Предпосылки!$I202,),0)</f>
        <v>0</v>
      </c>
      <c s="125">
        <f>AQ485/(1+IFERROR(INDEX(AQ$10:AQ$11,Предпосылки!$I202,),0))*IFERROR(INDEX(AQ$10:AQ$11,Предпосылки!$I202,),0)</f>
        <v>0</v>
      </c>
      <c s="125">
        <f>AR485/(1+IFERROR(INDEX(AR$10:AR$11,Предпосылки!$I202,),0))*IFERROR(INDEX(AR$10:AR$11,Предпосылки!$I202,),0)</f>
        <v>0</v>
      </c>
      <c s="125">
        <f>AS485/(1+IFERROR(INDEX(AS$10:AS$11,Предпосылки!$I202,),0))*IFERROR(INDEX(AS$10:AS$11,Предпосылки!$I202,),0)</f>
        <v>0</v>
      </c>
      <c s="125">
        <f>AT485/(1+IFERROR(INDEX(AT$10:AT$11,Предпосылки!$I202,),0))*IFERROR(INDEX(AT$10:AT$11,Предпосылки!$I202,),0)</f>
        <v>0</v>
      </c>
      <c s="125">
        <f>AU485/(1+IFERROR(INDEX(AU$10:AU$11,Предпосылки!$I202,),0))*IFERROR(INDEX(AU$10:AU$11,Предпосылки!$I202,),0)</f>
        <v>0</v>
      </c>
      <c s="125">
        <f>AV485/(1+IFERROR(INDEX(AV$10:AV$11,Предпосылки!$I202,),0))*IFERROR(INDEX(AV$10:AV$11,Предпосылки!$I202,),0)</f>
        <v>0</v>
      </c>
      <c s="125">
        <f>AW485/(1+IFERROR(INDEX(AW$10:AW$11,Предпосылки!$I202,),0))*IFERROR(INDEX(AW$10:AW$11,Предпосылки!$I202,),0)</f>
        <v>0</v>
      </c>
      <c s="125">
        <f>AX485/(1+IFERROR(INDEX(AX$10:AX$11,Предпосылки!$I202,),0))*IFERROR(INDEX(AX$10:AX$11,Предпосылки!$I202,),0)</f>
        <v>0</v>
      </c>
      <c s="125">
        <f>AY485/(1+IFERROR(INDEX(AY$10:AY$11,Предпосылки!$I202,),0))*IFERROR(INDEX(AY$10:AY$11,Предпосылки!$I202,),0)</f>
        <v>0</v>
      </c>
      <c s="125">
        <f>AZ485/(1+IFERROR(INDEX(AZ$10:AZ$11,Предпосылки!$I202,),0))*IFERROR(INDEX(AZ$10:AZ$11,Предпосылки!$I202,),0)</f>
        <v>0</v>
      </c>
      <c s="125">
        <f>BA485/(1+IFERROR(INDEX(BA$10:BA$11,Предпосылки!$I202,),0))*IFERROR(INDEX(BA$10:BA$11,Предпосылки!$I202,),0)</f>
        <v>0</v>
      </c>
      <c s="125">
        <f>BB485/(1+IFERROR(INDEX(BB$10:BB$11,Предпосылки!$I202,),0))*IFERROR(INDEX(BB$10:BB$11,Предпосылки!$I202,),0)</f>
        <v>0</v>
      </c>
      <c s="125">
        <f>BC485/(1+IFERROR(INDEX(BC$10:BC$11,Предпосылки!$I202,),0))*IFERROR(INDEX(BC$10:BC$11,Предпосылки!$I202,),0)</f>
        <v>0</v>
      </c>
      <c s="125">
        <f>BD485/(1+IFERROR(INDEX(BD$10:BD$11,Предпосылки!$I202,),0))*IFERROR(INDEX(BD$10:BD$11,Предпосылки!$I202,),0)</f>
        <v>0</v>
      </c>
      <c s="125">
        <f>BE485/(1+IFERROR(INDEX(BE$10:BE$11,Предпосылки!$I202,),0))*IFERROR(INDEX(BE$10:BE$11,Предпосылки!$I202,),0)</f>
        <v>0</v>
      </c>
      <c s="125">
        <f>BF485/(1+IFERROR(INDEX(BF$10:BF$11,Предпосылки!$I202,),0))*IFERROR(INDEX(BF$10:BF$11,Предпосылки!$I202,),0)</f>
        <v>0</v>
      </c>
      <c s="125">
        <f>BG485/(1+IFERROR(INDEX(BG$10:BG$11,Предпосылки!$I202,),0))*IFERROR(INDEX(BG$10:BG$11,Предпосылки!$I202,),0)</f>
        <v>0</v>
      </c>
      <c s="125">
        <f>BH485/(1+IFERROR(INDEX(BH$10:BH$11,Предпосылки!$I202,),0))*IFERROR(INDEX(BH$10:BH$11,Предпосылки!$I202,),0)</f>
        <v>0</v>
      </c>
      <c s="125">
        <f>BI485/(1+IFERROR(INDEX(BI$10:BI$11,Предпосылки!$I202,),0))*IFERROR(INDEX(BI$10:BI$11,Предпосылки!$I202,),0)</f>
        <v>0</v>
      </c>
      <c s="125">
        <f>BJ485/(1+IFERROR(INDEX(BJ$10:BJ$11,Предпосылки!$I202,),0))*IFERROR(INDEX(BJ$10:BJ$11,Предпосылки!$I202,),0)</f>
        <v>0</v>
      </c>
      <c s="125">
        <f>BK485/(1+IFERROR(INDEX(BK$10:BK$11,Предпосылки!$I202,),0))*IFERROR(INDEX(BK$10:BK$11,Предпосылки!$I202,),0)</f>
        <v>0</v>
      </c>
      <c s="125">
        <f>BL485/(1+IFERROR(INDEX(BL$10:BL$11,Предпосылки!$I202,),0))*IFERROR(INDEX(BL$10:BL$11,Предпосылки!$I202,),0)</f>
        <v>0</v>
      </c>
      <c s="125">
        <f>BM485/(1+IFERROR(INDEX(BM$10:BM$11,Предпосылки!$I202,),0))*IFERROR(INDEX(BM$10:BM$11,Предпосылки!$I202,),0)</f>
        <v>0</v>
      </c>
    </row>
    <row r="533" spans="2:65" ht="15" customHeight="1">
      <c r="B533" s="12" t="str">
        <f t="shared" si="249"/>
        <v>Операционные затраты 3</v>
      </c>
      <c s="124" t="str">
        <f t="shared" si="250"/>
        <v>тыс. руб.</v>
      </c>
      <c s="276">
        <f t="shared" si="251"/>
        <v>0</v>
      </c>
      <c s="125">
        <f>E486/(1+IFERROR(INDEX(E$10:E$11,Предпосылки!$I203,),0))*IFERROR(INDEX(E$10:E$11,Предпосылки!$I203,),0)</f>
        <v>0</v>
      </c>
      <c s="170">
        <f>F486/(1+IFERROR(INDEX(F$10:F$11,Предпосылки!$I203,),0))*IFERROR(INDEX(F$10:F$11,Предпосылки!$I203,),0)</f>
        <v>0</v>
      </c>
      <c s="125">
        <f>G486/(1+IFERROR(INDEX(G$10:G$11,Предпосылки!$I203,),0))*IFERROR(INDEX(G$10:G$11,Предпосылки!$I203,),0)</f>
        <v>0</v>
      </c>
      <c s="125">
        <f>H486/(1+IFERROR(INDEX(H$10:H$11,Предпосылки!$I203,),0))*IFERROR(INDEX(H$10:H$11,Предпосылки!$I203,),0)</f>
        <v>0</v>
      </c>
      <c s="125">
        <f>I486/(1+IFERROR(INDEX(I$10:I$11,Предпосылки!$I203,),0))*IFERROR(INDEX(I$10:I$11,Предпосылки!$I203,),0)</f>
        <v>0</v>
      </c>
      <c s="125">
        <f>J486/(1+IFERROR(INDEX(J$10:J$11,Предпосылки!$I203,),0))*IFERROR(INDEX(J$10:J$11,Предпосылки!$I203,),0)</f>
        <v>0</v>
      </c>
      <c s="125">
        <f>K486/(1+IFERROR(INDEX(K$10:K$11,Предпосылки!$I203,),0))*IFERROR(INDEX(K$10:K$11,Предпосылки!$I203,),0)</f>
        <v>0</v>
      </c>
      <c s="125">
        <f>L486/(1+IFERROR(INDEX(L$10:L$11,Предпосылки!$I203,),0))*IFERROR(INDEX(L$10:L$11,Предпосылки!$I203,),0)</f>
        <v>0</v>
      </c>
      <c s="125">
        <f>M486/(1+IFERROR(INDEX(M$10:M$11,Предпосылки!$I203,),0))*IFERROR(INDEX(M$10:M$11,Предпосылки!$I203,),0)</f>
        <v>0</v>
      </c>
      <c s="125">
        <f>N486/(1+IFERROR(INDEX(N$10:N$11,Предпосылки!$I203,),0))*IFERROR(INDEX(N$10:N$11,Предпосылки!$I203,),0)</f>
        <v>0</v>
      </c>
      <c s="125">
        <f>O486/(1+IFERROR(INDEX(O$10:O$11,Предпосылки!$I203,),0))*IFERROR(INDEX(O$10:O$11,Предпосылки!$I203,),0)</f>
        <v>0</v>
      </c>
      <c s="125">
        <f>P486/(1+IFERROR(INDEX(P$10:P$11,Предпосылки!$I203,),0))*IFERROR(INDEX(P$10:P$11,Предпосылки!$I203,),0)</f>
        <v>0</v>
      </c>
      <c s="125">
        <f>Q486/(1+IFERROR(INDEX(Q$10:Q$11,Предпосылки!$I203,),0))*IFERROR(INDEX(Q$10:Q$11,Предпосылки!$I203,),0)</f>
        <v>0</v>
      </c>
      <c s="125">
        <f>R486/(1+IFERROR(INDEX(R$10:R$11,Предпосылки!$I203,),0))*IFERROR(INDEX(R$10:R$11,Предпосылки!$I203,),0)</f>
        <v>0</v>
      </c>
      <c s="125">
        <f>S486/(1+IFERROR(INDEX(S$10:S$11,Предпосылки!$I203,),0))*IFERROR(INDEX(S$10:S$11,Предпосылки!$I203,),0)</f>
        <v>0</v>
      </c>
      <c s="125">
        <f>T486/(1+IFERROR(INDEX(T$10:T$11,Предпосылки!$I203,),0))*IFERROR(INDEX(T$10:T$11,Предпосылки!$I203,),0)</f>
        <v>0</v>
      </c>
      <c s="125">
        <f>U486/(1+IFERROR(INDEX(U$10:U$11,Предпосылки!$I203,),0))*IFERROR(INDEX(U$10:U$11,Предпосылки!$I203,),0)</f>
        <v>0</v>
      </c>
      <c s="125">
        <f>V486/(1+IFERROR(INDEX(V$10:V$11,Предпосылки!$I203,),0))*IFERROR(INDEX(V$10:V$11,Предпосылки!$I203,),0)</f>
        <v>0</v>
      </c>
      <c s="125">
        <f>W486/(1+IFERROR(INDEX(W$10:W$11,Предпосылки!$I203,),0))*IFERROR(INDEX(W$10:W$11,Предпосылки!$I203,),0)</f>
        <v>0</v>
      </c>
      <c s="125">
        <f>X486/(1+IFERROR(INDEX(X$10:X$11,Предпосылки!$I203,),0))*IFERROR(INDEX(X$10:X$11,Предпосылки!$I203,),0)</f>
        <v>0</v>
      </c>
      <c s="125">
        <f>Y486/(1+IFERROR(INDEX(Y$10:Y$11,Предпосылки!$I203,),0))*IFERROR(INDEX(Y$10:Y$11,Предпосылки!$I203,),0)</f>
        <v>0</v>
      </c>
      <c s="125">
        <f>Z486/(1+IFERROR(INDEX(Z$10:Z$11,Предпосылки!$I203,),0))*IFERROR(INDEX(Z$10:Z$11,Предпосылки!$I203,),0)</f>
        <v>0</v>
      </c>
      <c s="125">
        <f>AA486/(1+IFERROR(INDEX(AA$10:AA$11,Предпосылки!$I203,),0))*IFERROR(INDEX(AA$10:AA$11,Предпосылки!$I203,),0)</f>
        <v>0</v>
      </c>
      <c s="125">
        <f>AB486/(1+IFERROR(INDEX(AB$10:AB$11,Предпосылки!$I203,),0))*IFERROR(INDEX(AB$10:AB$11,Предпосылки!$I203,),0)</f>
        <v>0</v>
      </c>
      <c s="125">
        <f>AC486/(1+IFERROR(INDEX(AC$10:AC$11,Предпосылки!$I203,),0))*IFERROR(INDEX(AC$10:AC$11,Предпосылки!$I203,),0)</f>
        <v>0</v>
      </c>
      <c s="125">
        <f>AD486/(1+IFERROR(INDEX(AD$10:AD$11,Предпосылки!$I203,),0))*IFERROR(INDEX(AD$10:AD$11,Предпосылки!$I203,),0)</f>
        <v>0</v>
      </c>
      <c s="125">
        <f>AE486/(1+IFERROR(INDEX(AE$10:AE$11,Предпосылки!$I203,),0))*IFERROR(INDEX(AE$10:AE$11,Предпосылки!$I203,),0)</f>
        <v>0</v>
      </c>
      <c s="125">
        <f>AF486/(1+IFERROR(INDEX(AF$10:AF$11,Предпосылки!$I203,),0))*IFERROR(INDEX(AF$10:AF$11,Предпосылки!$I203,),0)</f>
        <v>0</v>
      </c>
      <c s="125">
        <f>AG486/(1+IFERROR(INDEX(AG$10:AG$11,Предпосылки!$I203,),0))*IFERROR(INDEX(AG$10:AG$11,Предпосылки!$I203,),0)</f>
        <v>0</v>
      </c>
      <c s="125">
        <f>AH486/(1+IFERROR(INDEX(AH$10:AH$11,Предпосылки!$I203,),0))*IFERROR(INDEX(AH$10:AH$11,Предпосылки!$I203,),0)</f>
        <v>0</v>
      </c>
      <c s="125">
        <f>AI486/(1+IFERROR(INDEX(AI$10:AI$11,Предпосылки!$I203,),0))*IFERROR(INDEX(AI$10:AI$11,Предпосылки!$I203,),0)</f>
        <v>0</v>
      </c>
      <c s="125">
        <f>AJ486/(1+IFERROR(INDEX(AJ$10:AJ$11,Предпосылки!$I203,),0))*IFERROR(INDEX(AJ$10:AJ$11,Предпосылки!$I203,),0)</f>
        <v>0</v>
      </c>
      <c s="125">
        <f>AK486/(1+IFERROR(INDEX(AK$10:AK$11,Предпосылки!$I203,),0))*IFERROR(INDEX(AK$10:AK$11,Предпосылки!$I203,),0)</f>
        <v>0</v>
      </c>
      <c s="125">
        <f>AL486/(1+IFERROR(INDEX(AL$10:AL$11,Предпосылки!$I203,),0))*IFERROR(INDEX(AL$10:AL$11,Предпосылки!$I203,),0)</f>
        <v>0</v>
      </c>
      <c s="125">
        <f>AM486/(1+IFERROR(INDEX(AM$10:AM$11,Предпосылки!$I203,),0))*IFERROR(INDEX(AM$10:AM$11,Предпосылки!$I203,),0)</f>
        <v>0</v>
      </c>
      <c s="125">
        <f>AN486/(1+IFERROR(INDEX(AN$10:AN$11,Предпосылки!$I203,),0))*IFERROR(INDEX(AN$10:AN$11,Предпосылки!$I203,),0)</f>
        <v>0</v>
      </c>
      <c s="125">
        <f>AO486/(1+IFERROR(INDEX(AO$10:AO$11,Предпосылки!$I203,),0))*IFERROR(INDEX(AO$10:AO$11,Предпосылки!$I203,),0)</f>
        <v>0</v>
      </c>
      <c s="125">
        <f>AP486/(1+IFERROR(INDEX(AP$10:AP$11,Предпосылки!$I203,),0))*IFERROR(INDEX(AP$10:AP$11,Предпосылки!$I203,),0)</f>
        <v>0</v>
      </c>
      <c s="125">
        <f>AQ486/(1+IFERROR(INDEX(AQ$10:AQ$11,Предпосылки!$I203,),0))*IFERROR(INDEX(AQ$10:AQ$11,Предпосылки!$I203,),0)</f>
        <v>0</v>
      </c>
      <c s="125">
        <f>AR486/(1+IFERROR(INDEX(AR$10:AR$11,Предпосылки!$I203,),0))*IFERROR(INDEX(AR$10:AR$11,Предпосылки!$I203,),0)</f>
        <v>0</v>
      </c>
      <c s="125">
        <f>AS486/(1+IFERROR(INDEX(AS$10:AS$11,Предпосылки!$I203,),0))*IFERROR(INDEX(AS$10:AS$11,Предпосылки!$I203,),0)</f>
        <v>0</v>
      </c>
      <c s="125">
        <f>AT486/(1+IFERROR(INDEX(AT$10:AT$11,Предпосылки!$I203,),0))*IFERROR(INDEX(AT$10:AT$11,Предпосылки!$I203,),0)</f>
        <v>0</v>
      </c>
      <c s="125">
        <f>AU486/(1+IFERROR(INDEX(AU$10:AU$11,Предпосылки!$I203,),0))*IFERROR(INDEX(AU$10:AU$11,Предпосылки!$I203,),0)</f>
        <v>0</v>
      </c>
      <c s="125">
        <f>AV486/(1+IFERROR(INDEX(AV$10:AV$11,Предпосылки!$I203,),0))*IFERROR(INDEX(AV$10:AV$11,Предпосылки!$I203,),0)</f>
        <v>0</v>
      </c>
      <c s="125">
        <f>AW486/(1+IFERROR(INDEX(AW$10:AW$11,Предпосылки!$I203,),0))*IFERROR(INDEX(AW$10:AW$11,Предпосылки!$I203,),0)</f>
        <v>0</v>
      </c>
      <c s="125">
        <f>AX486/(1+IFERROR(INDEX(AX$10:AX$11,Предпосылки!$I203,),0))*IFERROR(INDEX(AX$10:AX$11,Предпосылки!$I203,),0)</f>
        <v>0</v>
      </c>
      <c s="125">
        <f>AY486/(1+IFERROR(INDEX(AY$10:AY$11,Предпосылки!$I203,),0))*IFERROR(INDEX(AY$10:AY$11,Предпосылки!$I203,),0)</f>
        <v>0</v>
      </c>
      <c s="125">
        <f>AZ486/(1+IFERROR(INDEX(AZ$10:AZ$11,Предпосылки!$I203,),0))*IFERROR(INDEX(AZ$10:AZ$11,Предпосылки!$I203,),0)</f>
        <v>0</v>
      </c>
      <c s="125">
        <f>BA486/(1+IFERROR(INDEX(BA$10:BA$11,Предпосылки!$I203,),0))*IFERROR(INDEX(BA$10:BA$11,Предпосылки!$I203,),0)</f>
        <v>0</v>
      </c>
      <c s="125">
        <f>BB486/(1+IFERROR(INDEX(BB$10:BB$11,Предпосылки!$I203,),0))*IFERROR(INDEX(BB$10:BB$11,Предпосылки!$I203,),0)</f>
        <v>0</v>
      </c>
      <c s="125">
        <f>BC486/(1+IFERROR(INDEX(BC$10:BC$11,Предпосылки!$I203,),0))*IFERROR(INDEX(BC$10:BC$11,Предпосылки!$I203,),0)</f>
        <v>0</v>
      </c>
      <c s="125">
        <f>BD486/(1+IFERROR(INDEX(BD$10:BD$11,Предпосылки!$I203,),0))*IFERROR(INDEX(BD$10:BD$11,Предпосылки!$I203,),0)</f>
        <v>0</v>
      </c>
      <c s="125">
        <f>BE486/(1+IFERROR(INDEX(BE$10:BE$11,Предпосылки!$I203,),0))*IFERROR(INDEX(BE$10:BE$11,Предпосылки!$I203,),0)</f>
        <v>0</v>
      </c>
      <c s="125">
        <f>BF486/(1+IFERROR(INDEX(BF$10:BF$11,Предпосылки!$I203,),0))*IFERROR(INDEX(BF$10:BF$11,Предпосылки!$I203,),0)</f>
        <v>0</v>
      </c>
      <c s="125">
        <f>BG486/(1+IFERROR(INDEX(BG$10:BG$11,Предпосылки!$I203,),0))*IFERROR(INDEX(BG$10:BG$11,Предпосылки!$I203,),0)</f>
        <v>0</v>
      </c>
      <c s="125">
        <f>BH486/(1+IFERROR(INDEX(BH$10:BH$11,Предпосылки!$I203,),0))*IFERROR(INDEX(BH$10:BH$11,Предпосылки!$I203,),0)</f>
        <v>0</v>
      </c>
      <c s="125">
        <f>BI486/(1+IFERROR(INDEX(BI$10:BI$11,Предпосылки!$I203,),0))*IFERROR(INDEX(BI$10:BI$11,Предпосылки!$I203,),0)</f>
        <v>0</v>
      </c>
      <c s="125">
        <f>BJ486/(1+IFERROR(INDEX(BJ$10:BJ$11,Предпосылки!$I203,),0))*IFERROR(INDEX(BJ$10:BJ$11,Предпосылки!$I203,),0)</f>
        <v>0</v>
      </c>
      <c s="125">
        <f>BK486/(1+IFERROR(INDEX(BK$10:BK$11,Предпосылки!$I203,),0))*IFERROR(INDEX(BK$10:BK$11,Предпосылки!$I203,),0)</f>
        <v>0</v>
      </c>
      <c s="125">
        <f>BL486/(1+IFERROR(INDEX(BL$10:BL$11,Предпосылки!$I203,),0))*IFERROR(INDEX(BL$10:BL$11,Предпосылки!$I203,),0)</f>
        <v>0</v>
      </c>
      <c s="125">
        <f>BM486/(1+IFERROR(INDEX(BM$10:BM$11,Предпосылки!$I203,),0))*IFERROR(INDEX(BM$10:BM$11,Предпосылки!$I203,),0)</f>
        <v>0</v>
      </c>
    </row>
    <row r="534" spans="2:65" ht="15" customHeight="1">
      <c r="B534" s="12" t="str">
        <f t="shared" si="249"/>
        <v>Операционные затраты 4</v>
      </c>
      <c s="124" t="str">
        <f t="shared" si="250"/>
        <v>тыс. руб.</v>
      </c>
      <c s="276">
        <f t="shared" si="251"/>
        <v>0</v>
      </c>
      <c s="125">
        <f>E487/(1+IFERROR(INDEX(E$10:E$11,Предпосылки!$I204,),0))*IFERROR(INDEX(E$10:E$11,Предпосылки!$I204,),0)</f>
        <v>0</v>
      </c>
      <c s="170">
        <f>F487/(1+IFERROR(INDEX(F$10:F$11,Предпосылки!$I204,),0))*IFERROR(INDEX(F$10:F$11,Предпосылки!$I204,),0)</f>
        <v>0</v>
      </c>
      <c s="125">
        <f>G487/(1+IFERROR(INDEX(G$10:G$11,Предпосылки!$I204,),0))*IFERROR(INDEX(G$10:G$11,Предпосылки!$I204,),0)</f>
        <v>0</v>
      </c>
      <c s="125">
        <f>H487/(1+IFERROR(INDEX(H$10:H$11,Предпосылки!$I204,),0))*IFERROR(INDEX(H$10:H$11,Предпосылки!$I204,),0)</f>
        <v>0</v>
      </c>
      <c s="125">
        <f>I487/(1+IFERROR(INDEX(I$10:I$11,Предпосылки!$I204,),0))*IFERROR(INDEX(I$10:I$11,Предпосылки!$I204,),0)</f>
        <v>0</v>
      </c>
      <c s="125">
        <f>J487/(1+IFERROR(INDEX(J$10:J$11,Предпосылки!$I204,),0))*IFERROR(INDEX(J$10:J$11,Предпосылки!$I204,),0)</f>
        <v>0</v>
      </c>
      <c s="125">
        <f>K487/(1+IFERROR(INDEX(K$10:K$11,Предпосылки!$I204,),0))*IFERROR(INDEX(K$10:K$11,Предпосылки!$I204,),0)</f>
        <v>0</v>
      </c>
      <c s="125">
        <f>L487/(1+IFERROR(INDEX(L$10:L$11,Предпосылки!$I204,),0))*IFERROR(INDEX(L$10:L$11,Предпосылки!$I204,),0)</f>
        <v>0</v>
      </c>
      <c s="125">
        <f>M487/(1+IFERROR(INDEX(M$10:M$11,Предпосылки!$I204,),0))*IFERROR(INDEX(M$10:M$11,Предпосылки!$I204,),0)</f>
        <v>0</v>
      </c>
      <c s="125">
        <f>N487/(1+IFERROR(INDEX(N$10:N$11,Предпосылки!$I204,),0))*IFERROR(INDEX(N$10:N$11,Предпосылки!$I204,),0)</f>
        <v>0</v>
      </c>
      <c s="125">
        <f>O487/(1+IFERROR(INDEX(O$10:O$11,Предпосылки!$I204,),0))*IFERROR(INDEX(O$10:O$11,Предпосылки!$I204,),0)</f>
        <v>0</v>
      </c>
      <c s="125">
        <f>P487/(1+IFERROR(INDEX(P$10:P$11,Предпосылки!$I204,),0))*IFERROR(INDEX(P$10:P$11,Предпосылки!$I204,),0)</f>
        <v>0</v>
      </c>
      <c s="125">
        <f>Q487/(1+IFERROR(INDEX(Q$10:Q$11,Предпосылки!$I204,),0))*IFERROR(INDEX(Q$10:Q$11,Предпосылки!$I204,),0)</f>
        <v>0</v>
      </c>
      <c s="125">
        <f>R487/(1+IFERROR(INDEX(R$10:R$11,Предпосылки!$I204,),0))*IFERROR(INDEX(R$10:R$11,Предпосылки!$I204,),0)</f>
        <v>0</v>
      </c>
      <c s="125">
        <f>S487/(1+IFERROR(INDEX(S$10:S$11,Предпосылки!$I204,),0))*IFERROR(INDEX(S$10:S$11,Предпосылки!$I204,),0)</f>
        <v>0</v>
      </c>
      <c s="125">
        <f>T487/(1+IFERROR(INDEX(T$10:T$11,Предпосылки!$I204,),0))*IFERROR(INDEX(T$10:T$11,Предпосылки!$I204,),0)</f>
        <v>0</v>
      </c>
      <c s="125">
        <f>U487/(1+IFERROR(INDEX(U$10:U$11,Предпосылки!$I204,),0))*IFERROR(INDEX(U$10:U$11,Предпосылки!$I204,),0)</f>
        <v>0</v>
      </c>
      <c s="125">
        <f>V487/(1+IFERROR(INDEX(V$10:V$11,Предпосылки!$I204,),0))*IFERROR(INDEX(V$10:V$11,Предпосылки!$I204,),0)</f>
        <v>0</v>
      </c>
      <c s="125">
        <f>W487/(1+IFERROR(INDEX(W$10:W$11,Предпосылки!$I204,),0))*IFERROR(INDEX(W$10:W$11,Предпосылки!$I204,),0)</f>
        <v>0</v>
      </c>
      <c s="125">
        <f>X487/(1+IFERROR(INDEX(X$10:X$11,Предпосылки!$I204,),0))*IFERROR(INDEX(X$10:X$11,Предпосылки!$I204,),0)</f>
        <v>0</v>
      </c>
      <c s="125">
        <f>Y487/(1+IFERROR(INDEX(Y$10:Y$11,Предпосылки!$I204,),0))*IFERROR(INDEX(Y$10:Y$11,Предпосылки!$I204,),0)</f>
        <v>0</v>
      </c>
      <c s="125">
        <f>Z487/(1+IFERROR(INDEX(Z$10:Z$11,Предпосылки!$I204,),0))*IFERROR(INDEX(Z$10:Z$11,Предпосылки!$I204,),0)</f>
        <v>0</v>
      </c>
      <c s="125">
        <f>AA487/(1+IFERROR(INDEX(AA$10:AA$11,Предпосылки!$I204,),0))*IFERROR(INDEX(AA$10:AA$11,Предпосылки!$I204,),0)</f>
        <v>0</v>
      </c>
      <c s="125">
        <f>AB487/(1+IFERROR(INDEX(AB$10:AB$11,Предпосылки!$I204,),0))*IFERROR(INDEX(AB$10:AB$11,Предпосылки!$I204,),0)</f>
        <v>0</v>
      </c>
      <c s="125">
        <f>AC487/(1+IFERROR(INDEX(AC$10:AC$11,Предпосылки!$I204,),0))*IFERROR(INDEX(AC$10:AC$11,Предпосылки!$I204,),0)</f>
        <v>0</v>
      </c>
      <c s="125">
        <f>AD487/(1+IFERROR(INDEX(AD$10:AD$11,Предпосылки!$I204,),0))*IFERROR(INDEX(AD$10:AD$11,Предпосылки!$I204,),0)</f>
        <v>0</v>
      </c>
      <c s="125">
        <f>AE487/(1+IFERROR(INDEX(AE$10:AE$11,Предпосылки!$I204,),0))*IFERROR(INDEX(AE$10:AE$11,Предпосылки!$I204,),0)</f>
        <v>0</v>
      </c>
      <c s="125">
        <f>AF487/(1+IFERROR(INDEX(AF$10:AF$11,Предпосылки!$I204,),0))*IFERROR(INDEX(AF$10:AF$11,Предпосылки!$I204,),0)</f>
        <v>0</v>
      </c>
      <c s="125">
        <f>AG487/(1+IFERROR(INDEX(AG$10:AG$11,Предпосылки!$I204,),0))*IFERROR(INDEX(AG$10:AG$11,Предпосылки!$I204,),0)</f>
        <v>0</v>
      </c>
      <c s="125">
        <f>AH487/(1+IFERROR(INDEX(AH$10:AH$11,Предпосылки!$I204,),0))*IFERROR(INDEX(AH$10:AH$11,Предпосылки!$I204,),0)</f>
        <v>0</v>
      </c>
      <c s="125">
        <f>AI487/(1+IFERROR(INDEX(AI$10:AI$11,Предпосылки!$I204,),0))*IFERROR(INDEX(AI$10:AI$11,Предпосылки!$I204,),0)</f>
        <v>0</v>
      </c>
      <c s="125">
        <f>AJ487/(1+IFERROR(INDEX(AJ$10:AJ$11,Предпосылки!$I204,),0))*IFERROR(INDEX(AJ$10:AJ$11,Предпосылки!$I204,),0)</f>
        <v>0</v>
      </c>
      <c s="125">
        <f>AK487/(1+IFERROR(INDEX(AK$10:AK$11,Предпосылки!$I204,),0))*IFERROR(INDEX(AK$10:AK$11,Предпосылки!$I204,),0)</f>
        <v>0</v>
      </c>
      <c s="125">
        <f>AL487/(1+IFERROR(INDEX(AL$10:AL$11,Предпосылки!$I204,),0))*IFERROR(INDEX(AL$10:AL$11,Предпосылки!$I204,),0)</f>
        <v>0</v>
      </c>
      <c s="125">
        <f>AM487/(1+IFERROR(INDEX(AM$10:AM$11,Предпосылки!$I204,),0))*IFERROR(INDEX(AM$10:AM$11,Предпосылки!$I204,),0)</f>
        <v>0</v>
      </c>
      <c s="125">
        <f>AN487/(1+IFERROR(INDEX(AN$10:AN$11,Предпосылки!$I204,),0))*IFERROR(INDEX(AN$10:AN$11,Предпосылки!$I204,),0)</f>
        <v>0</v>
      </c>
      <c s="125">
        <f>AO487/(1+IFERROR(INDEX(AO$10:AO$11,Предпосылки!$I204,),0))*IFERROR(INDEX(AO$10:AO$11,Предпосылки!$I204,),0)</f>
        <v>0</v>
      </c>
      <c s="125">
        <f>AP487/(1+IFERROR(INDEX(AP$10:AP$11,Предпосылки!$I204,),0))*IFERROR(INDEX(AP$10:AP$11,Предпосылки!$I204,),0)</f>
        <v>0</v>
      </c>
      <c s="125">
        <f>AQ487/(1+IFERROR(INDEX(AQ$10:AQ$11,Предпосылки!$I204,),0))*IFERROR(INDEX(AQ$10:AQ$11,Предпосылки!$I204,),0)</f>
        <v>0</v>
      </c>
      <c s="125">
        <f>AR487/(1+IFERROR(INDEX(AR$10:AR$11,Предпосылки!$I204,),0))*IFERROR(INDEX(AR$10:AR$11,Предпосылки!$I204,),0)</f>
        <v>0</v>
      </c>
      <c s="125">
        <f>AS487/(1+IFERROR(INDEX(AS$10:AS$11,Предпосылки!$I204,),0))*IFERROR(INDEX(AS$10:AS$11,Предпосылки!$I204,),0)</f>
        <v>0</v>
      </c>
      <c s="125">
        <f>AT487/(1+IFERROR(INDEX(AT$10:AT$11,Предпосылки!$I204,),0))*IFERROR(INDEX(AT$10:AT$11,Предпосылки!$I204,),0)</f>
        <v>0</v>
      </c>
      <c s="125">
        <f>AU487/(1+IFERROR(INDEX(AU$10:AU$11,Предпосылки!$I204,),0))*IFERROR(INDEX(AU$10:AU$11,Предпосылки!$I204,),0)</f>
        <v>0</v>
      </c>
      <c s="125">
        <f>AV487/(1+IFERROR(INDEX(AV$10:AV$11,Предпосылки!$I204,),0))*IFERROR(INDEX(AV$10:AV$11,Предпосылки!$I204,),0)</f>
        <v>0</v>
      </c>
      <c s="125">
        <f>AW487/(1+IFERROR(INDEX(AW$10:AW$11,Предпосылки!$I204,),0))*IFERROR(INDEX(AW$10:AW$11,Предпосылки!$I204,),0)</f>
        <v>0</v>
      </c>
      <c s="125">
        <f>AX487/(1+IFERROR(INDEX(AX$10:AX$11,Предпосылки!$I204,),0))*IFERROR(INDEX(AX$10:AX$11,Предпосылки!$I204,),0)</f>
        <v>0</v>
      </c>
      <c s="125">
        <f>AY487/(1+IFERROR(INDEX(AY$10:AY$11,Предпосылки!$I204,),0))*IFERROR(INDEX(AY$10:AY$11,Предпосылки!$I204,),0)</f>
        <v>0</v>
      </c>
      <c s="125">
        <f>AZ487/(1+IFERROR(INDEX(AZ$10:AZ$11,Предпосылки!$I204,),0))*IFERROR(INDEX(AZ$10:AZ$11,Предпосылки!$I204,),0)</f>
        <v>0</v>
      </c>
      <c s="125">
        <f>BA487/(1+IFERROR(INDEX(BA$10:BA$11,Предпосылки!$I204,),0))*IFERROR(INDEX(BA$10:BA$11,Предпосылки!$I204,),0)</f>
        <v>0</v>
      </c>
      <c s="125">
        <f>BB487/(1+IFERROR(INDEX(BB$10:BB$11,Предпосылки!$I204,),0))*IFERROR(INDEX(BB$10:BB$11,Предпосылки!$I204,),0)</f>
        <v>0</v>
      </c>
      <c s="125">
        <f>BC487/(1+IFERROR(INDEX(BC$10:BC$11,Предпосылки!$I204,),0))*IFERROR(INDEX(BC$10:BC$11,Предпосылки!$I204,),0)</f>
        <v>0</v>
      </c>
      <c s="125">
        <f>BD487/(1+IFERROR(INDEX(BD$10:BD$11,Предпосылки!$I204,),0))*IFERROR(INDEX(BD$10:BD$11,Предпосылки!$I204,),0)</f>
        <v>0</v>
      </c>
      <c s="125">
        <f>BE487/(1+IFERROR(INDEX(BE$10:BE$11,Предпосылки!$I204,),0))*IFERROR(INDEX(BE$10:BE$11,Предпосылки!$I204,),0)</f>
        <v>0</v>
      </c>
      <c s="125">
        <f>BF487/(1+IFERROR(INDEX(BF$10:BF$11,Предпосылки!$I204,),0))*IFERROR(INDEX(BF$10:BF$11,Предпосылки!$I204,),0)</f>
        <v>0</v>
      </c>
      <c s="125">
        <f>BG487/(1+IFERROR(INDEX(BG$10:BG$11,Предпосылки!$I204,),0))*IFERROR(INDEX(BG$10:BG$11,Предпосылки!$I204,),0)</f>
        <v>0</v>
      </c>
      <c s="125">
        <f>BH487/(1+IFERROR(INDEX(BH$10:BH$11,Предпосылки!$I204,),0))*IFERROR(INDEX(BH$10:BH$11,Предпосылки!$I204,),0)</f>
        <v>0</v>
      </c>
      <c s="125">
        <f>BI487/(1+IFERROR(INDEX(BI$10:BI$11,Предпосылки!$I204,),0))*IFERROR(INDEX(BI$10:BI$11,Предпосылки!$I204,),0)</f>
        <v>0</v>
      </c>
      <c s="125">
        <f>BJ487/(1+IFERROR(INDEX(BJ$10:BJ$11,Предпосылки!$I204,),0))*IFERROR(INDEX(BJ$10:BJ$11,Предпосылки!$I204,),0)</f>
        <v>0</v>
      </c>
      <c s="125">
        <f>BK487/(1+IFERROR(INDEX(BK$10:BK$11,Предпосылки!$I204,),0))*IFERROR(INDEX(BK$10:BK$11,Предпосылки!$I204,),0)</f>
        <v>0</v>
      </c>
      <c s="125">
        <f>BL487/(1+IFERROR(INDEX(BL$10:BL$11,Предпосылки!$I204,),0))*IFERROR(INDEX(BL$10:BL$11,Предпосылки!$I204,),0)</f>
        <v>0</v>
      </c>
      <c s="125">
        <f>BM487/(1+IFERROR(INDEX(BM$10:BM$11,Предпосылки!$I204,),0))*IFERROR(INDEX(BM$10:BM$11,Предпосылки!$I204,),0)</f>
        <v>0</v>
      </c>
    </row>
    <row r="535" spans="2:65" ht="15" customHeight="1">
      <c r="B535" s="12" t="str">
        <f t="shared" si="249"/>
        <v>Операционные затраты 5</v>
      </c>
      <c s="124" t="str">
        <f t="shared" si="250"/>
        <v>тыс. руб.</v>
      </c>
      <c s="276">
        <f t="shared" si="251"/>
        <v>0</v>
      </c>
      <c s="125">
        <f>E488/(1+IFERROR(INDEX(E$10:E$11,Предпосылки!$I205,),0))*IFERROR(INDEX(E$10:E$11,Предпосылки!$I205,),0)</f>
        <v>0</v>
      </c>
      <c s="170">
        <f>F488/(1+IFERROR(INDEX(F$10:F$11,Предпосылки!$I205,),0))*IFERROR(INDEX(F$10:F$11,Предпосылки!$I205,),0)</f>
        <v>0</v>
      </c>
      <c s="125">
        <f>G488/(1+IFERROR(INDEX(G$10:G$11,Предпосылки!$I205,),0))*IFERROR(INDEX(G$10:G$11,Предпосылки!$I205,),0)</f>
        <v>0</v>
      </c>
      <c s="125">
        <f>H488/(1+IFERROR(INDEX(H$10:H$11,Предпосылки!$I205,),0))*IFERROR(INDEX(H$10:H$11,Предпосылки!$I205,),0)</f>
        <v>0</v>
      </c>
      <c s="125">
        <f>I488/(1+IFERROR(INDEX(I$10:I$11,Предпосылки!$I205,),0))*IFERROR(INDEX(I$10:I$11,Предпосылки!$I205,),0)</f>
        <v>0</v>
      </c>
      <c s="125">
        <f>J488/(1+IFERROR(INDEX(J$10:J$11,Предпосылки!$I205,),0))*IFERROR(INDEX(J$10:J$11,Предпосылки!$I205,),0)</f>
        <v>0</v>
      </c>
      <c s="125">
        <f>K488/(1+IFERROR(INDEX(K$10:K$11,Предпосылки!$I205,),0))*IFERROR(INDEX(K$10:K$11,Предпосылки!$I205,),0)</f>
        <v>0</v>
      </c>
      <c s="125">
        <f>L488/(1+IFERROR(INDEX(L$10:L$11,Предпосылки!$I205,),0))*IFERROR(INDEX(L$10:L$11,Предпосылки!$I205,),0)</f>
        <v>0</v>
      </c>
      <c s="125">
        <f>M488/(1+IFERROR(INDEX(M$10:M$11,Предпосылки!$I205,),0))*IFERROR(INDEX(M$10:M$11,Предпосылки!$I205,),0)</f>
        <v>0</v>
      </c>
      <c s="125">
        <f>N488/(1+IFERROR(INDEX(N$10:N$11,Предпосылки!$I205,),0))*IFERROR(INDEX(N$10:N$11,Предпосылки!$I205,),0)</f>
        <v>0</v>
      </c>
      <c s="125">
        <f>O488/(1+IFERROR(INDEX(O$10:O$11,Предпосылки!$I205,),0))*IFERROR(INDEX(O$10:O$11,Предпосылки!$I205,),0)</f>
        <v>0</v>
      </c>
      <c s="125">
        <f>P488/(1+IFERROR(INDEX(P$10:P$11,Предпосылки!$I205,),0))*IFERROR(INDEX(P$10:P$11,Предпосылки!$I205,),0)</f>
        <v>0</v>
      </c>
      <c s="125">
        <f>Q488/(1+IFERROR(INDEX(Q$10:Q$11,Предпосылки!$I205,),0))*IFERROR(INDEX(Q$10:Q$11,Предпосылки!$I205,),0)</f>
        <v>0</v>
      </c>
      <c s="125">
        <f>R488/(1+IFERROR(INDEX(R$10:R$11,Предпосылки!$I205,),0))*IFERROR(INDEX(R$10:R$11,Предпосылки!$I205,),0)</f>
        <v>0</v>
      </c>
      <c s="125">
        <f>S488/(1+IFERROR(INDEX(S$10:S$11,Предпосылки!$I205,),0))*IFERROR(INDEX(S$10:S$11,Предпосылки!$I205,),0)</f>
        <v>0</v>
      </c>
      <c s="125">
        <f>T488/(1+IFERROR(INDEX(T$10:T$11,Предпосылки!$I205,),0))*IFERROR(INDEX(T$10:T$11,Предпосылки!$I205,),0)</f>
        <v>0</v>
      </c>
      <c s="125">
        <f>U488/(1+IFERROR(INDEX(U$10:U$11,Предпосылки!$I205,),0))*IFERROR(INDEX(U$10:U$11,Предпосылки!$I205,),0)</f>
        <v>0</v>
      </c>
      <c s="125">
        <f>V488/(1+IFERROR(INDEX(V$10:V$11,Предпосылки!$I205,),0))*IFERROR(INDEX(V$10:V$11,Предпосылки!$I205,),0)</f>
        <v>0</v>
      </c>
      <c s="125">
        <f>W488/(1+IFERROR(INDEX(W$10:W$11,Предпосылки!$I205,),0))*IFERROR(INDEX(W$10:W$11,Предпосылки!$I205,),0)</f>
        <v>0</v>
      </c>
      <c s="125">
        <f>X488/(1+IFERROR(INDEX(X$10:X$11,Предпосылки!$I205,),0))*IFERROR(INDEX(X$10:X$11,Предпосылки!$I205,),0)</f>
        <v>0</v>
      </c>
      <c s="125">
        <f>Y488/(1+IFERROR(INDEX(Y$10:Y$11,Предпосылки!$I205,),0))*IFERROR(INDEX(Y$10:Y$11,Предпосылки!$I205,),0)</f>
        <v>0</v>
      </c>
      <c s="125">
        <f>Z488/(1+IFERROR(INDEX(Z$10:Z$11,Предпосылки!$I205,),0))*IFERROR(INDEX(Z$10:Z$11,Предпосылки!$I205,),0)</f>
        <v>0</v>
      </c>
      <c s="125">
        <f>AA488/(1+IFERROR(INDEX(AA$10:AA$11,Предпосылки!$I205,),0))*IFERROR(INDEX(AA$10:AA$11,Предпосылки!$I205,),0)</f>
        <v>0</v>
      </c>
      <c s="125">
        <f>AB488/(1+IFERROR(INDEX(AB$10:AB$11,Предпосылки!$I205,),0))*IFERROR(INDEX(AB$10:AB$11,Предпосылки!$I205,),0)</f>
        <v>0</v>
      </c>
      <c s="125">
        <f>AC488/(1+IFERROR(INDEX(AC$10:AC$11,Предпосылки!$I205,),0))*IFERROR(INDEX(AC$10:AC$11,Предпосылки!$I205,),0)</f>
        <v>0</v>
      </c>
      <c s="125">
        <f>AD488/(1+IFERROR(INDEX(AD$10:AD$11,Предпосылки!$I205,),0))*IFERROR(INDEX(AD$10:AD$11,Предпосылки!$I205,),0)</f>
        <v>0</v>
      </c>
      <c s="125">
        <f>AE488/(1+IFERROR(INDEX(AE$10:AE$11,Предпосылки!$I205,),0))*IFERROR(INDEX(AE$10:AE$11,Предпосылки!$I205,),0)</f>
        <v>0</v>
      </c>
      <c s="125">
        <f>AF488/(1+IFERROR(INDEX(AF$10:AF$11,Предпосылки!$I205,),0))*IFERROR(INDEX(AF$10:AF$11,Предпосылки!$I205,),0)</f>
        <v>0</v>
      </c>
      <c s="125">
        <f>AG488/(1+IFERROR(INDEX(AG$10:AG$11,Предпосылки!$I205,),0))*IFERROR(INDEX(AG$10:AG$11,Предпосылки!$I205,),0)</f>
        <v>0</v>
      </c>
      <c s="125">
        <f>AH488/(1+IFERROR(INDEX(AH$10:AH$11,Предпосылки!$I205,),0))*IFERROR(INDEX(AH$10:AH$11,Предпосылки!$I205,),0)</f>
        <v>0</v>
      </c>
      <c s="125">
        <f>AI488/(1+IFERROR(INDEX(AI$10:AI$11,Предпосылки!$I205,),0))*IFERROR(INDEX(AI$10:AI$11,Предпосылки!$I205,),0)</f>
        <v>0</v>
      </c>
      <c s="125">
        <f>AJ488/(1+IFERROR(INDEX(AJ$10:AJ$11,Предпосылки!$I205,),0))*IFERROR(INDEX(AJ$10:AJ$11,Предпосылки!$I205,),0)</f>
        <v>0</v>
      </c>
      <c s="125">
        <f>AK488/(1+IFERROR(INDEX(AK$10:AK$11,Предпосылки!$I205,),0))*IFERROR(INDEX(AK$10:AK$11,Предпосылки!$I205,),0)</f>
        <v>0</v>
      </c>
      <c s="125">
        <f>AL488/(1+IFERROR(INDEX(AL$10:AL$11,Предпосылки!$I205,),0))*IFERROR(INDEX(AL$10:AL$11,Предпосылки!$I205,),0)</f>
        <v>0</v>
      </c>
      <c s="125">
        <f>AM488/(1+IFERROR(INDEX(AM$10:AM$11,Предпосылки!$I205,),0))*IFERROR(INDEX(AM$10:AM$11,Предпосылки!$I205,),0)</f>
        <v>0</v>
      </c>
      <c s="125">
        <f>AN488/(1+IFERROR(INDEX(AN$10:AN$11,Предпосылки!$I205,),0))*IFERROR(INDEX(AN$10:AN$11,Предпосылки!$I205,),0)</f>
        <v>0</v>
      </c>
      <c s="125">
        <f>AO488/(1+IFERROR(INDEX(AO$10:AO$11,Предпосылки!$I205,),0))*IFERROR(INDEX(AO$10:AO$11,Предпосылки!$I205,),0)</f>
        <v>0</v>
      </c>
      <c s="125">
        <f>AP488/(1+IFERROR(INDEX(AP$10:AP$11,Предпосылки!$I205,),0))*IFERROR(INDEX(AP$10:AP$11,Предпосылки!$I205,),0)</f>
        <v>0</v>
      </c>
      <c s="125">
        <f>AQ488/(1+IFERROR(INDEX(AQ$10:AQ$11,Предпосылки!$I205,),0))*IFERROR(INDEX(AQ$10:AQ$11,Предпосылки!$I205,),0)</f>
        <v>0</v>
      </c>
      <c s="125">
        <f>AR488/(1+IFERROR(INDEX(AR$10:AR$11,Предпосылки!$I205,),0))*IFERROR(INDEX(AR$10:AR$11,Предпосылки!$I205,),0)</f>
        <v>0</v>
      </c>
      <c s="125">
        <f>AS488/(1+IFERROR(INDEX(AS$10:AS$11,Предпосылки!$I205,),0))*IFERROR(INDEX(AS$10:AS$11,Предпосылки!$I205,),0)</f>
        <v>0</v>
      </c>
      <c s="125">
        <f>AT488/(1+IFERROR(INDEX(AT$10:AT$11,Предпосылки!$I205,),0))*IFERROR(INDEX(AT$10:AT$11,Предпосылки!$I205,),0)</f>
        <v>0</v>
      </c>
      <c s="125">
        <f>AU488/(1+IFERROR(INDEX(AU$10:AU$11,Предпосылки!$I205,),0))*IFERROR(INDEX(AU$10:AU$11,Предпосылки!$I205,),0)</f>
        <v>0</v>
      </c>
      <c s="125">
        <f>AV488/(1+IFERROR(INDEX(AV$10:AV$11,Предпосылки!$I205,),0))*IFERROR(INDEX(AV$10:AV$11,Предпосылки!$I205,),0)</f>
        <v>0</v>
      </c>
      <c s="125">
        <f>AW488/(1+IFERROR(INDEX(AW$10:AW$11,Предпосылки!$I205,),0))*IFERROR(INDEX(AW$10:AW$11,Предпосылки!$I205,),0)</f>
        <v>0</v>
      </c>
      <c s="125">
        <f>AX488/(1+IFERROR(INDEX(AX$10:AX$11,Предпосылки!$I205,),0))*IFERROR(INDEX(AX$10:AX$11,Предпосылки!$I205,),0)</f>
        <v>0</v>
      </c>
      <c s="125">
        <f>AY488/(1+IFERROR(INDEX(AY$10:AY$11,Предпосылки!$I205,),0))*IFERROR(INDEX(AY$10:AY$11,Предпосылки!$I205,),0)</f>
        <v>0</v>
      </c>
      <c s="125">
        <f>AZ488/(1+IFERROR(INDEX(AZ$10:AZ$11,Предпосылки!$I205,),0))*IFERROR(INDEX(AZ$10:AZ$11,Предпосылки!$I205,),0)</f>
        <v>0</v>
      </c>
      <c s="125">
        <f>BA488/(1+IFERROR(INDEX(BA$10:BA$11,Предпосылки!$I205,),0))*IFERROR(INDEX(BA$10:BA$11,Предпосылки!$I205,),0)</f>
        <v>0</v>
      </c>
      <c s="125">
        <f>BB488/(1+IFERROR(INDEX(BB$10:BB$11,Предпосылки!$I205,),0))*IFERROR(INDEX(BB$10:BB$11,Предпосылки!$I205,),0)</f>
        <v>0</v>
      </c>
      <c s="125">
        <f>BC488/(1+IFERROR(INDEX(BC$10:BC$11,Предпосылки!$I205,),0))*IFERROR(INDEX(BC$10:BC$11,Предпосылки!$I205,),0)</f>
        <v>0</v>
      </c>
      <c s="125">
        <f>BD488/(1+IFERROR(INDEX(BD$10:BD$11,Предпосылки!$I205,),0))*IFERROR(INDEX(BD$10:BD$11,Предпосылки!$I205,),0)</f>
        <v>0</v>
      </c>
      <c s="125">
        <f>BE488/(1+IFERROR(INDEX(BE$10:BE$11,Предпосылки!$I205,),0))*IFERROR(INDEX(BE$10:BE$11,Предпосылки!$I205,),0)</f>
        <v>0</v>
      </c>
      <c s="125">
        <f>BF488/(1+IFERROR(INDEX(BF$10:BF$11,Предпосылки!$I205,),0))*IFERROR(INDEX(BF$10:BF$11,Предпосылки!$I205,),0)</f>
        <v>0</v>
      </c>
      <c s="125">
        <f>BG488/(1+IFERROR(INDEX(BG$10:BG$11,Предпосылки!$I205,),0))*IFERROR(INDEX(BG$10:BG$11,Предпосылки!$I205,),0)</f>
        <v>0</v>
      </c>
      <c s="125">
        <f>BH488/(1+IFERROR(INDEX(BH$10:BH$11,Предпосылки!$I205,),0))*IFERROR(INDEX(BH$10:BH$11,Предпосылки!$I205,),0)</f>
        <v>0</v>
      </c>
      <c s="125">
        <f>BI488/(1+IFERROR(INDEX(BI$10:BI$11,Предпосылки!$I205,),0))*IFERROR(INDEX(BI$10:BI$11,Предпосылки!$I205,),0)</f>
        <v>0</v>
      </c>
      <c s="125">
        <f>BJ488/(1+IFERROR(INDEX(BJ$10:BJ$11,Предпосылки!$I205,),0))*IFERROR(INDEX(BJ$10:BJ$11,Предпосылки!$I205,),0)</f>
        <v>0</v>
      </c>
      <c s="125">
        <f>BK488/(1+IFERROR(INDEX(BK$10:BK$11,Предпосылки!$I205,),0))*IFERROR(INDEX(BK$10:BK$11,Предпосылки!$I205,),0)</f>
        <v>0</v>
      </c>
      <c s="125">
        <f>BL488/(1+IFERROR(INDEX(BL$10:BL$11,Предпосылки!$I205,),0))*IFERROR(INDEX(BL$10:BL$11,Предпосылки!$I205,),0)</f>
        <v>0</v>
      </c>
      <c s="125">
        <f>BM488/(1+IFERROR(INDEX(BM$10:BM$11,Предпосылки!$I205,),0))*IFERROR(INDEX(BM$10:BM$11,Предпосылки!$I205,),0)</f>
        <v>0</v>
      </c>
    </row>
    <row r="536" spans="2:65" ht="15" customHeight="1">
      <c r="B536" s="12" t="str">
        <f t="shared" si="249"/>
        <v>Операционные затраты 6</v>
      </c>
      <c s="124" t="str">
        <f t="shared" si="250"/>
        <v>тыс. руб.</v>
      </c>
      <c s="276">
        <f t="shared" si="251"/>
        <v>0</v>
      </c>
      <c s="125">
        <f>E489/(1+IFERROR(INDEX(E$10:E$11,Предпосылки!$I206,),0))*IFERROR(INDEX(E$10:E$11,Предпосылки!$I206,),0)</f>
        <v>0</v>
      </c>
      <c s="170">
        <f>F489/(1+IFERROR(INDEX(F$10:F$11,Предпосылки!$I206,),0))*IFERROR(INDEX(F$10:F$11,Предпосылки!$I206,),0)</f>
        <v>0</v>
      </c>
      <c s="125">
        <f>G489/(1+IFERROR(INDEX(G$10:G$11,Предпосылки!$I206,),0))*IFERROR(INDEX(G$10:G$11,Предпосылки!$I206,),0)</f>
        <v>0</v>
      </c>
      <c s="125">
        <f>H489/(1+IFERROR(INDEX(H$10:H$11,Предпосылки!$I206,),0))*IFERROR(INDEX(H$10:H$11,Предпосылки!$I206,),0)</f>
        <v>0</v>
      </c>
      <c s="125">
        <f>I489/(1+IFERROR(INDEX(I$10:I$11,Предпосылки!$I206,),0))*IFERROR(INDEX(I$10:I$11,Предпосылки!$I206,),0)</f>
        <v>0</v>
      </c>
      <c s="125">
        <f>J489/(1+IFERROR(INDEX(J$10:J$11,Предпосылки!$I206,),0))*IFERROR(INDEX(J$10:J$11,Предпосылки!$I206,),0)</f>
        <v>0</v>
      </c>
      <c s="125">
        <f>K489/(1+IFERROR(INDEX(K$10:K$11,Предпосылки!$I206,),0))*IFERROR(INDEX(K$10:K$11,Предпосылки!$I206,),0)</f>
        <v>0</v>
      </c>
      <c s="125">
        <f>L489/(1+IFERROR(INDEX(L$10:L$11,Предпосылки!$I206,),0))*IFERROR(INDEX(L$10:L$11,Предпосылки!$I206,),0)</f>
        <v>0</v>
      </c>
      <c s="125">
        <f>M489/(1+IFERROR(INDEX(M$10:M$11,Предпосылки!$I206,),0))*IFERROR(INDEX(M$10:M$11,Предпосылки!$I206,),0)</f>
        <v>0</v>
      </c>
      <c s="125">
        <f>N489/(1+IFERROR(INDEX(N$10:N$11,Предпосылки!$I206,),0))*IFERROR(INDEX(N$10:N$11,Предпосылки!$I206,),0)</f>
        <v>0</v>
      </c>
      <c s="125">
        <f>O489/(1+IFERROR(INDEX(O$10:O$11,Предпосылки!$I206,),0))*IFERROR(INDEX(O$10:O$11,Предпосылки!$I206,),0)</f>
        <v>0</v>
      </c>
      <c s="125">
        <f>P489/(1+IFERROR(INDEX(P$10:P$11,Предпосылки!$I206,),0))*IFERROR(INDEX(P$10:P$11,Предпосылки!$I206,),0)</f>
        <v>0</v>
      </c>
      <c s="125">
        <f>Q489/(1+IFERROR(INDEX(Q$10:Q$11,Предпосылки!$I206,),0))*IFERROR(INDEX(Q$10:Q$11,Предпосылки!$I206,),0)</f>
        <v>0</v>
      </c>
      <c s="125">
        <f>R489/(1+IFERROR(INDEX(R$10:R$11,Предпосылки!$I206,),0))*IFERROR(INDEX(R$10:R$11,Предпосылки!$I206,),0)</f>
        <v>0</v>
      </c>
      <c s="125">
        <f>S489/(1+IFERROR(INDEX(S$10:S$11,Предпосылки!$I206,),0))*IFERROR(INDEX(S$10:S$11,Предпосылки!$I206,),0)</f>
        <v>0</v>
      </c>
      <c s="125">
        <f>T489/(1+IFERROR(INDEX(T$10:T$11,Предпосылки!$I206,),0))*IFERROR(INDEX(T$10:T$11,Предпосылки!$I206,),0)</f>
        <v>0</v>
      </c>
      <c s="125">
        <f>U489/(1+IFERROR(INDEX(U$10:U$11,Предпосылки!$I206,),0))*IFERROR(INDEX(U$10:U$11,Предпосылки!$I206,),0)</f>
        <v>0</v>
      </c>
      <c s="125">
        <f>V489/(1+IFERROR(INDEX(V$10:V$11,Предпосылки!$I206,),0))*IFERROR(INDEX(V$10:V$11,Предпосылки!$I206,),0)</f>
        <v>0</v>
      </c>
      <c s="125">
        <f>W489/(1+IFERROR(INDEX(W$10:W$11,Предпосылки!$I206,),0))*IFERROR(INDEX(W$10:W$11,Предпосылки!$I206,),0)</f>
        <v>0</v>
      </c>
      <c s="125">
        <f>X489/(1+IFERROR(INDEX(X$10:X$11,Предпосылки!$I206,),0))*IFERROR(INDEX(X$10:X$11,Предпосылки!$I206,),0)</f>
        <v>0</v>
      </c>
      <c s="125">
        <f>Y489/(1+IFERROR(INDEX(Y$10:Y$11,Предпосылки!$I206,),0))*IFERROR(INDEX(Y$10:Y$11,Предпосылки!$I206,),0)</f>
        <v>0</v>
      </c>
      <c s="125">
        <f>Z489/(1+IFERROR(INDEX(Z$10:Z$11,Предпосылки!$I206,),0))*IFERROR(INDEX(Z$10:Z$11,Предпосылки!$I206,),0)</f>
        <v>0</v>
      </c>
      <c s="125">
        <f>AA489/(1+IFERROR(INDEX(AA$10:AA$11,Предпосылки!$I206,),0))*IFERROR(INDEX(AA$10:AA$11,Предпосылки!$I206,),0)</f>
        <v>0</v>
      </c>
      <c s="125">
        <f>AB489/(1+IFERROR(INDEX(AB$10:AB$11,Предпосылки!$I206,),0))*IFERROR(INDEX(AB$10:AB$11,Предпосылки!$I206,),0)</f>
        <v>0</v>
      </c>
      <c s="125">
        <f>AC489/(1+IFERROR(INDEX(AC$10:AC$11,Предпосылки!$I206,),0))*IFERROR(INDEX(AC$10:AC$11,Предпосылки!$I206,),0)</f>
        <v>0</v>
      </c>
      <c s="125">
        <f>AD489/(1+IFERROR(INDEX(AD$10:AD$11,Предпосылки!$I206,),0))*IFERROR(INDEX(AD$10:AD$11,Предпосылки!$I206,),0)</f>
        <v>0</v>
      </c>
      <c s="125">
        <f>AE489/(1+IFERROR(INDEX(AE$10:AE$11,Предпосылки!$I206,),0))*IFERROR(INDEX(AE$10:AE$11,Предпосылки!$I206,),0)</f>
        <v>0</v>
      </c>
      <c s="125">
        <f>AF489/(1+IFERROR(INDEX(AF$10:AF$11,Предпосылки!$I206,),0))*IFERROR(INDEX(AF$10:AF$11,Предпосылки!$I206,),0)</f>
        <v>0</v>
      </c>
      <c s="125">
        <f>AG489/(1+IFERROR(INDEX(AG$10:AG$11,Предпосылки!$I206,),0))*IFERROR(INDEX(AG$10:AG$11,Предпосылки!$I206,),0)</f>
        <v>0</v>
      </c>
      <c s="125">
        <f>AH489/(1+IFERROR(INDEX(AH$10:AH$11,Предпосылки!$I206,),0))*IFERROR(INDEX(AH$10:AH$11,Предпосылки!$I206,),0)</f>
        <v>0</v>
      </c>
      <c s="125">
        <f>AI489/(1+IFERROR(INDEX(AI$10:AI$11,Предпосылки!$I206,),0))*IFERROR(INDEX(AI$10:AI$11,Предпосылки!$I206,),0)</f>
        <v>0</v>
      </c>
      <c s="125">
        <f>AJ489/(1+IFERROR(INDEX(AJ$10:AJ$11,Предпосылки!$I206,),0))*IFERROR(INDEX(AJ$10:AJ$11,Предпосылки!$I206,),0)</f>
        <v>0</v>
      </c>
      <c s="125">
        <f>AK489/(1+IFERROR(INDEX(AK$10:AK$11,Предпосылки!$I206,),0))*IFERROR(INDEX(AK$10:AK$11,Предпосылки!$I206,),0)</f>
        <v>0</v>
      </c>
      <c s="125">
        <f>AL489/(1+IFERROR(INDEX(AL$10:AL$11,Предпосылки!$I206,),0))*IFERROR(INDEX(AL$10:AL$11,Предпосылки!$I206,),0)</f>
        <v>0</v>
      </c>
      <c s="125">
        <f>AM489/(1+IFERROR(INDEX(AM$10:AM$11,Предпосылки!$I206,),0))*IFERROR(INDEX(AM$10:AM$11,Предпосылки!$I206,),0)</f>
        <v>0</v>
      </c>
      <c s="125">
        <f>AN489/(1+IFERROR(INDEX(AN$10:AN$11,Предпосылки!$I206,),0))*IFERROR(INDEX(AN$10:AN$11,Предпосылки!$I206,),0)</f>
        <v>0</v>
      </c>
      <c s="125">
        <f>AO489/(1+IFERROR(INDEX(AO$10:AO$11,Предпосылки!$I206,),0))*IFERROR(INDEX(AO$10:AO$11,Предпосылки!$I206,),0)</f>
        <v>0</v>
      </c>
      <c s="125">
        <f>AP489/(1+IFERROR(INDEX(AP$10:AP$11,Предпосылки!$I206,),0))*IFERROR(INDEX(AP$10:AP$11,Предпосылки!$I206,),0)</f>
        <v>0</v>
      </c>
      <c s="125">
        <f>AQ489/(1+IFERROR(INDEX(AQ$10:AQ$11,Предпосылки!$I206,),0))*IFERROR(INDEX(AQ$10:AQ$11,Предпосылки!$I206,),0)</f>
        <v>0</v>
      </c>
      <c s="125">
        <f>AR489/(1+IFERROR(INDEX(AR$10:AR$11,Предпосылки!$I206,),0))*IFERROR(INDEX(AR$10:AR$11,Предпосылки!$I206,),0)</f>
        <v>0</v>
      </c>
      <c s="125">
        <f>AS489/(1+IFERROR(INDEX(AS$10:AS$11,Предпосылки!$I206,),0))*IFERROR(INDEX(AS$10:AS$11,Предпосылки!$I206,),0)</f>
        <v>0</v>
      </c>
      <c s="125">
        <f>AT489/(1+IFERROR(INDEX(AT$10:AT$11,Предпосылки!$I206,),0))*IFERROR(INDEX(AT$10:AT$11,Предпосылки!$I206,),0)</f>
        <v>0</v>
      </c>
      <c s="125">
        <f>AU489/(1+IFERROR(INDEX(AU$10:AU$11,Предпосылки!$I206,),0))*IFERROR(INDEX(AU$10:AU$11,Предпосылки!$I206,),0)</f>
        <v>0</v>
      </c>
      <c s="125">
        <f>AV489/(1+IFERROR(INDEX(AV$10:AV$11,Предпосылки!$I206,),0))*IFERROR(INDEX(AV$10:AV$11,Предпосылки!$I206,),0)</f>
        <v>0</v>
      </c>
      <c s="125">
        <f>AW489/(1+IFERROR(INDEX(AW$10:AW$11,Предпосылки!$I206,),0))*IFERROR(INDEX(AW$10:AW$11,Предпосылки!$I206,),0)</f>
        <v>0</v>
      </c>
      <c s="125">
        <f>AX489/(1+IFERROR(INDEX(AX$10:AX$11,Предпосылки!$I206,),0))*IFERROR(INDEX(AX$10:AX$11,Предпосылки!$I206,),0)</f>
        <v>0</v>
      </c>
      <c s="125">
        <f>AY489/(1+IFERROR(INDEX(AY$10:AY$11,Предпосылки!$I206,),0))*IFERROR(INDEX(AY$10:AY$11,Предпосылки!$I206,),0)</f>
        <v>0</v>
      </c>
      <c s="125">
        <f>AZ489/(1+IFERROR(INDEX(AZ$10:AZ$11,Предпосылки!$I206,),0))*IFERROR(INDEX(AZ$10:AZ$11,Предпосылки!$I206,),0)</f>
        <v>0</v>
      </c>
      <c s="125">
        <f>BA489/(1+IFERROR(INDEX(BA$10:BA$11,Предпосылки!$I206,),0))*IFERROR(INDEX(BA$10:BA$11,Предпосылки!$I206,),0)</f>
        <v>0</v>
      </c>
      <c s="125">
        <f>BB489/(1+IFERROR(INDEX(BB$10:BB$11,Предпосылки!$I206,),0))*IFERROR(INDEX(BB$10:BB$11,Предпосылки!$I206,),0)</f>
        <v>0</v>
      </c>
      <c s="125">
        <f>BC489/(1+IFERROR(INDEX(BC$10:BC$11,Предпосылки!$I206,),0))*IFERROR(INDEX(BC$10:BC$11,Предпосылки!$I206,),0)</f>
        <v>0</v>
      </c>
      <c s="125">
        <f>BD489/(1+IFERROR(INDEX(BD$10:BD$11,Предпосылки!$I206,),0))*IFERROR(INDEX(BD$10:BD$11,Предпосылки!$I206,),0)</f>
        <v>0</v>
      </c>
      <c s="125">
        <f>BE489/(1+IFERROR(INDEX(BE$10:BE$11,Предпосылки!$I206,),0))*IFERROR(INDEX(BE$10:BE$11,Предпосылки!$I206,),0)</f>
        <v>0</v>
      </c>
      <c s="125">
        <f>BF489/(1+IFERROR(INDEX(BF$10:BF$11,Предпосылки!$I206,),0))*IFERROR(INDEX(BF$10:BF$11,Предпосылки!$I206,),0)</f>
        <v>0</v>
      </c>
      <c s="125">
        <f>BG489/(1+IFERROR(INDEX(BG$10:BG$11,Предпосылки!$I206,),0))*IFERROR(INDEX(BG$10:BG$11,Предпосылки!$I206,),0)</f>
        <v>0</v>
      </c>
      <c s="125">
        <f>BH489/(1+IFERROR(INDEX(BH$10:BH$11,Предпосылки!$I206,),0))*IFERROR(INDEX(BH$10:BH$11,Предпосылки!$I206,),0)</f>
        <v>0</v>
      </c>
      <c s="125">
        <f>BI489/(1+IFERROR(INDEX(BI$10:BI$11,Предпосылки!$I206,),0))*IFERROR(INDEX(BI$10:BI$11,Предпосылки!$I206,),0)</f>
        <v>0</v>
      </c>
      <c s="125">
        <f>BJ489/(1+IFERROR(INDEX(BJ$10:BJ$11,Предпосылки!$I206,),0))*IFERROR(INDEX(BJ$10:BJ$11,Предпосылки!$I206,),0)</f>
        <v>0</v>
      </c>
      <c s="125">
        <f>BK489/(1+IFERROR(INDEX(BK$10:BK$11,Предпосылки!$I206,),0))*IFERROR(INDEX(BK$10:BK$11,Предпосылки!$I206,),0)</f>
        <v>0</v>
      </c>
      <c s="125">
        <f>BL489/(1+IFERROR(INDEX(BL$10:BL$11,Предпосылки!$I206,),0))*IFERROR(INDEX(BL$10:BL$11,Предпосылки!$I206,),0)</f>
        <v>0</v>
      </c>
      <c s="125">
        <f>BM489/(1+IFERROR(INDEX(BM$10:BM$11,Предпосылки!$I206,),0))*IFERROR(INDEX(BM$10:BM$11,Предпосылки!$I206,),0)</f>
        <v>0</v>
      </c>
    </row>
    <row r="537" spans="2:65" ht="15" customHeight="1">
      <c r="B537" s="12" t="str">
        <f t="shared" si="249"/>
        <v>Операционные затраты 7</v>
      </c>
      <c s="124" t="str">
        <f t="shared" si="250"/>
        <v>тыс. руб.</v>
      </c>
      <c s="276">
        <f t="shared" si="251"/>
        <v>0</v>
      </c>
      <c s="125">
        <f>E490/(1+IFERROR(INDEX(E$10:E$11,Предпосылки!$I207,),0))*IFERROR(INDEX(E$10:E$11,Предпосылки!$I207,),0)</f>
        <v>0</v>
      </c>
      <c s="170">
        <f>F490/(1+IFERROR(INDEX(F$10:F$11,Предпосылки!$I207,),0))*IFERROR(INDEX(F$10:F$11,Предпосылки!$I207,),0)</f>
        <v>0</v>
      </c>
      <c s="125">
        <f>G490/(1+IFERROR(INDEX(G$10:G$11,Предпосылки!$I207,),0))*IFERROR(INDEX(G$10:G$11,Предпосылки!$I207,),0)</f>
        <v>0</v>
      </c>
      <c s="125">
        <f>H490/(1+IFERROR(INDEX(H$10:H$11,Предпосылки!$I207,),0))*IFERROR(INDEX(H$10:H$11,Предпосылки!$I207,),0)</f>
        <v>0</v>
      </c>
      <c s="125">
        <f>I490/(1+IFERROR(INDEX(I$10:I$11,Предпосылки!$I207,),0))*IFERROR(INDEX(I$10:I$11,Предпосылки!$I207,),0)</f>
        <v>0</v>
      </c>
      <c s="125">
        <f>J490/(1+IFERROR(INDEX(J$10:J$11,Предпосылки!$I207,),0))*IFERROR(INDEX(J$10:J$11,Предпосылки!$I207,),0)</f>
        <v>0</v>
      </c>
      <c s="125">
        <f>K490/(1+IFERROR(INDEX(K$10:K$11,Предпосылки!$I207,),0))*IFERROR(INDEX(K$10:K$11,Предпосылки!$I207,),0)</f>
        <v>0</v>
      </c>
      <c s="125">
        <f>L490/(1+IFERROR(INDEX(L$10:L$11,Предпосылки!$I207,),0))*IFERROR(INDEX(L$10:L$11,Предпосылки!$I207,),0)</f>
        <v>0</v>
      </c>
      <c s="125">
        <f>M490/(1+IFERROR(INDEX(M$10:M$11,Предпосылки!$I207,),0))*IFERROR(INDEX(M$10:M$11,Предпосылки!$I207,),0)</f>
        <v>0</v>
      </c>
      <c s="125">
        <f>N490/(1+IFERROR(INDEX(N$10:N$11,Предпосылки!$I207,),0))*IFERROR(INDEX(N$10:N$11,Предпосылки!$I207,),0)</f>
        <v>0</v>
      </c>
      <c s="125">
        <f>O490/(1+IFERROR(INDEX(O$10:O$11,Предпосылки!$I207,),0))*IFERROR(INDEX(O$10:O$11,Предпосылки!$I207,),0)</f>
        <v>0</v>
      </c>
      <c s="125">
        <f>P490/(1+IFERROR(INDEX(P$10:P$11,Предпосылки!$I207,),0))*IFERROR(INDEX(P$10:P$11,Предпосылки!$I207,),0)</f>
        <v>0</v>
      </c>
      <c s="125">
        <f>Q490/(1+IFERROR(INDEX(Q$10:Q$11,Предпосылки!$I207,),0))*IFERROR(INDEX(Q$10:Q$11,Предпосылки!$I207,),0)</f>
        <v>0</v>
      </c>
      <c s="125">
        <f>R490/(1+IFERROR(INDEX(R$10:R$11,Предпосылки!$I207,),0))*IFERROR(INDEX(R$10:R$11,Предпосылки!$I207,),0)</f>
        <v>0</v>
      </c>
      <c s="125">
        <f>S490/(1+IFERROR(INDEX(S$10:S$11,Предпосылки!$I207,),0))*IFERROR(INDEX(S$10:S$11,Предпосылки!$I207,),0)</f>
        <v>0</v>
      </c>
      <c s="125">
        <f>T490/(1+IFERROR(INDEX(T$10:T$11,Предпосылки!$I207,),0))*IFERROR(INDEX(T$10:T$11,Предпосылки!$I207,),0)</f>
        <v>0</v>
      </c>
      <c s="125">
        <f>U490/(1+IFERROR(INDEX(U$10:U$11,Предпосылки!$I207,),0))*IFERROR(INDEX(U$10:U$11,Предпосылки!$I207,),0)</f>
        <v>0</v>
      </c>
      <c s="125">
        <f>V490/(1+IFERROR(INDEX(V$10:V$11,Предпосылки!$I207,),0))*IFERROR(INDEX(V$10:V$11,Предпосылки!$I207,),0)</f>
        <v>0</v>
      </c>
      <c s="125">
        <f>W490/(1+IFERROR(INDEX(W$10:W$11,Предпосылки!$I207,),0))*IFERROR(INDEX(W$10:W$11,Предпосылки!$I207,),0)</f>
        <v>0</v>
      </c>
      <c s="125">
        <f>X490/(1+IFERROR(INDEX(X$10:X$11,Предпосылки!$I207,),0))*IFERROR(INDEX(X$10:X$11,Предпосылки!$I207,),0)</f>
        <v>0</v>
      </c>
      <c s="125">
        <f>Y490/(1+IFERROR(INDEX(Y$10:Y$11,Предпосылки!$I207,),0))*IFERROR(INDEX(Y$10:Y$11,Предпосылки!$I207,),0)</f>
        <v>0</v>
      </c>
      <c s="125">
        <f>Z490/(1+IFERROR(INDEX(Z$10:Z$11,Предпосылки!$I207,),0))*IFERROR(INDEX(Z$10:Z$11,Предпосылки!$I207,),0)</f>
        <v>0</v>
      </c>
      <c s="125">
        <f>AA490/(1+IFERROR(INDEX(AA$10:AA$11,Предпосылки!$I207,),0))*IFERROR(INDEX(AA$10:AA$11,Предпосылки!$I207,),0)</f>
        <v>0</v>
      </c>
      <c s="125">
        <f>AB490/(1+IFERROR(INDEX(AB$10:AB$11,Предпосылки!$I207,),0))*IFERROR(INDEX(AB$10:AB$11,Предпосылки!$I207,),0)</f>
        <v>0</v>
      </c>
      <c s="125">
        <f>AC490/(1+IFERROR(INDEX(AC$10:AC$11,Предпосылки!$I207,),0))*IFERROR(INDEX(AC$10:AC$11,Предпосылки!$I207,),0)</f>
        <v>0</v>
      </c>
      <c s="125">
        <f>AD490/(1+IFERROR(INDEX(AD$10:AD$11,Предпосылки!$I207,),0))*IFERROR(INDEX(AD$10:AD$11,Предпосылки!$I207,),0)</f>
        <v>0</v>
      </c>
      <c s="125">
        <f>AE490/(1+IFERROR(INDEX(AE$10:AE$11,Предпосылки!$I207,),0))*IFERROR(INDEX(AE$10:AE$11,Предпосылки!$I207,),0)</f>
        <v>0</v>
      </c>
      <c s="125">
        <f>AF490/(1+IFERROR(INDEX(AF$10:AF$11,Предпосылки!$I207,),0))*IFERROR(INDEX(AF$10:AF$11,Предпосылки!$I207,),0)</f>
        <v>0</v>
      </c>
      <c s="125">
        <f>AG490/(1+IFERROR(INDEX(AG$10:AG$11,Предпосылки!$I207,),0))*IFERROR(INDEX(AG$10:AG$11,Предпосылки!$I207,),0)</f>
        <v>0</v>
      </c>
      <c s="125">
        <f>AH490/(1+IFERROR(INDEX(AH$10:AH$11,Предпосылки!$I207,),0))*IFERROR(INDEX(AH$10:AH$11,Предпосылки!$I207,),0)</f>
        <v>0</v>
      </c>
      <c s="125">
        <f>AI490/(1+IFERROR(INDEX(AI$10:AI$11,Предпосылки!$I207,),0))*IFERROR(INDEX(AI$10:AI$11,Предпосылки!$I207,),0)</f>
        <v>0</v>
      </c>
      <c s="125">
        <f>AJ490/(1+IFERROR(INDEX(AJ$10:AJ$11,Предпосылки!$I207,),0))*IFERROR(INDEX(AJ$10:AJ$11,Предпосылки!$I207,),0)</f>
        <v>0</v>
      </c>
      <c s="125">
        <f>AK490/(1+IFERROR(INDEX(AK$10:AK$11,Предпосылки!$I207,),0))*IFERROR(INDEX(AK$10:AK$11,Предпосылки!$I207,),0)</f>
        <v>0</v>
      </c>
      <c s="125">
        <f>AL490/(1+IFERROR(INDEX(AL$10:AL$11,Предпосылки!$I207,),0))*IFERROR(INDEX(AL$10:AL$11,Предпосылки!$I207,),0)</f>
        <v>0</v>
      </c>
      <c s="125">
        <f>AM490/(1+IFERROR(INDEX(AM$10:AM$11,Предпосылки!$I207,),0))*IFERROR(INDEX(AM$10:AM$11,Предпосылки!$I207,),0)</f>
        <v>0</v>
      </c>
      <c s="125">
        <f>AN490/(1+IFERROR(INDEX(AN$10:AN$11,Предпосылки!$I207,),0))*IFERROR(INDEX(AN$10:AN$11,Предпосылки!$I207,),0)</f>
        <v>0</v>
      </c>
      <c s="125">
        <f>AO490/(1+IFERROR(INDEX(AO$10:AO$11,Предпосылки!$I207,),0))*IFERROR(INDEX(AO$10:AO$11,Предпосылки!$I207,),0)</f>
        <v>0</v>
      </c>
      <c s="125">
        <f>AP490/(1+IFERROR(INDEX(AP$10:AP$11,Предпосылки!$I207,),0))*IFERROR(INDEX(AP$10:AP$11,Предпосылки!$I207,),0)</f>
        <v>0</v>
      </c>
      <c s="125">
        <f>AQ490/(1+IFERROR(INDEX(AQ$10:AQ$11,Предпосылки!$I207,),0))*IFERROR(INDEX(AQ$10:AQ$11,Предпосылки!$I207,),0)</f>
        <v>0</v>
      </c>
      <c s="125">
        <f>AR490/(1+IFERROR(INDEX(AR$10:AR$11,Предпосылки!$I207,),0))*IFERROR(INDEX(AR$10:AR$11,Предпосылки!$I207,),0)</f>
        <v>0</v>
      </c>
      <c s="125">
        <f>AS490/(1+IFERROR(INDEX(AS$10:AS$11,Предпосылки!$I207,),0))*IFERROR(INDEX(AS$10:AS$11,Предпосылки!$I207,),0)</f>
        <v>0</v>
      </c>
      <c s="125">
        <f>AT490/(1+IFERROR(INDEX(AT$10:AT$11,Предпосылки!$I207,),0))*IFERROR(INDEX(AT$10:AT$11,Предпосылки!$I207,),0)</f>
        <v>0</v>
      </c>
      <c s="125">
        <f>AU490/(1+IFERROR(INDEX(AU$10:AU$11,Предпосылки!$I207,),0))*IFERROR(INDEX(AU$10:AU$11,Предпосылки!$I207,),0)</f>
        <v>0</v>
      </c>
      <c s="125">
        <f>AV490/(1+IFERROR(INDEX(AV$10:AV$11,Предпосылки!$I207,),0))*IFERROR(INDEX(AV$10:AV$11,Предпосылки!$I207,),0)</f>
        <v>0</v>
      </c>
      <c s="125">
        <f>AW490/(1+IFERROR(INDEX(AW$10:AW$11,Предпосылки!$I207,),0))*IFERROR(INDEX(AW$10:AW$11,Предпосылки!$I207,),0)</f>
        <v>0</v>
      </c>
      <c s="125">
        <f>AX490/(1+IFERROR(INDEX(AX$10:AX$11,Предпосылки!$I207,),0))*IFERROR(INDEX(AX$10:AX$11,Предпосылки!$I207,),0)</f>
        <v>0</v>
      </c>
      <c s="125">
        <f>AY490/(1+IFERROR(INDEX(AY$10:AY$11,Предпосылки!$I207,),0))*IFERROR(INDEX(AY$10:AY$11,Предпосылки!$I207,),0)</f>
        <v>0</v>
      </c>
      <c s="125">
        <f>AZ490/(1+IFERROR(INDEX(AZ$10:AZ$11,Предпосылки!$I207,),0))*IFERROR(INDEX(AZ$10:AZ$11,Предпосылки!$I207,),0)</f>
        <v>0</v>
      </c>
      <c s="125">
        <f>BA490/(1+IFERROR(INDEX(BA$10:BA$11,Предпосылки!$I207,),0))*IFERROR(INDEX(BA$10:BA$11,Предпосылки!$I207,),0)</f>
        <v>0</v>
      </c>
      <c s="125">
        <f>BB490/(1+IFERROR(INDEX(BB$10:BB$11,Предпосылки!$I207,),0))*IFERROR(INDEX(BB$10:BB$11,Предпосылки!$I207,),0)</f>
        <v>0</v>
      </c>
      <c s="125">
        <f>BC490/(1+IFERROR(INDEX(BC$10:BC$11,Предпосылки!$I207,),0))*IFERROR(INDEX(BC$10:BC$11,Предпосылки!$I207,),0)</f>
        <v>0</v>
      </c>
      <c s="125">
        <f>BD490/(1+IFERROR(INDEX(BD$10:BD$11,Предпосылки!$I207,),0))*IFERROR(INDEX(BD$10:BD$11,Предпосылки!$I207,),0)</f>
        <v>0</v>
      </c>
      <c s="125">
        <f>BE490/(1+IFERROR(INDEX(BE$10:BE$11,Предпосылки!$I207,),0))*IFERROR(INDEX(BE$10:BE$11,Предпосылки!$I207,),0)</f>
        <v>0</v>
      </c>
      <c s="125">
        <f>BF490/(1+IFERROR(INDEX(BF$10:BF$11,Предпосылки!$I207,),0))*IFERROR(INDEX(BF$10:BF$11,Предпосылки!$I207,),0)</f>
        <v>0</v>
      </c>
      <c s="125">
        <f>BG490/(1+IFERROR(INDEX(BG$10:BG$11,Предпосылки!$I207,),0))*IFERROR(INDEX(BG$10:BG$11,Предпосылки!$I207,),0)</f>
        <v>0</v>
      </c>
      <c s="125">
        <f>BH490/(1+IFERROR(INDEX(BH$10:BH$11,Предпосылки!$I207,),0))*IFERROR(INDEX(BH$10:BH$11,Предпосылки!$I207,),0)</f>
        <v>0</v>
      </c>
      <c s="125">
        <f>BI490/(1+IFERROR(INDEX(BI$10:BI$11,Предпосылки!$I207,),0))*IFERROR(INDEX(BI$10:BI$11,Предпосылки!$I207,),0)</f>
        <v>0</v>
      </c>
      <c s="125">
        <f>BJ490/(1+IFERROR(INDEX(BJ$10:BJ$11,Предпосылки!$I207,),0))*IFERROR(INDEX(BJ$10:BJ$11,Предпосылки!$I207,),0)</f>
        <v>0</v>
      </c>
      <c s="125">
        <f>BK490/(1+IFERROR(INDEX(BK$10:BK$11,Предпосылки!$I207,),0))*IFERROR(INDEX(BK$10:BK$11,Предпосылки!$I207,),0)</f>
        <v>0</v>
      </c>
      <c s="125">
        <f>BL490/(1+IFERROR(INDEX(BL$10:BL$11,Предпосылки!$I207,),0))*IFERROR(INDEX(BL$10:BL$11,Предпосылки!$I207,),0)</f>
        <v>0</v>
      </c>
      <c s="125">
        <f>BM490/(1+IFERROR(INDEX(BM$10:BM$11,Предпосылки!$I207,),0))*IFERROR(INDEX(BM$10:BM$11,Предпосылки!$I207,),0)</f>
        <v>0</v>
      </c>
    </row>
    <row r="538" spans="2:65" ht="15" customHeight="1">
      <c r="B538" s="12" t="str">
        <f t="shared" si="249"/>
        <v>Операционные затраты 8</v>
      </c>
      <c s="124" t="str">
        <f t="shared" si="250"/>
        <v>тыс. руб.</v>
      </c>
      <c s="276">
        <f t="shared" si="251"/>
        <v>0</v>
      </c>
      <c s="125">
        <f>E491/(1+IFERROR(INDEX(E$10:E$11,Предпосылки!$I208,),0))*IFERROR(INDEX(E$10:E$11,Предпосылки!$I208,),0)</f>
        <v>0</v>
      </c>
      <c s="170">
        <f>F491/(1+IFERROR(INDEX(F$10:F$11,Предпосылки!$I208,),0))*IFERROR(INDEX(F$10:F$11,Предпосылки!$I208,),0)</f>
        <v>0</v>
      </c>
      <c s="125">
        <f>G491/(1+IFERROR(INDEX(G$10:G$11,Предпосылки!$I208,),0))*IFERROR(INDEX(G$10:G$11,Предпосылки!$I208,),0)</f>
        <v>0</v>
      </c>
      <c s="125">
        <f>H491/(1+IFERROR(INDEX(H$10:H$11,Предпосылки!$I208,),0))*IFERROR(INDEX(H$10:H$11,Предпосылки!$I208,),0)</f>
        <v>0</v>
      </c>
      <c s="125">
        <f>I491/(1+IFERROR(INDEX(I$10:I$11,Предпосылки!$I208,),0))*IFERROR(INDEX(I$10:I$11,Предпосылки!$I208,),0)</f>
        <v>0</v>
      </c>
      <c s="125">
        <f>J491/(1+IFERROR(INDEX(J$10:J$11,Предпосылки!$I208,),0))*IFERROR(INDEX(J$10:J$11,Предпосылки!$I208,),0)</f>
        <v>0</v>
      </c>
      <c s="125">
        <f>K491/(1+IFERROR(INDEX(K$10:K$11,Предпосылки!$I208,),0))*IFERROR(INDEX(K$10:K$11,Предпосылки!$I208,),0)</f>
        <v>0</v>
      </c>
      <c s="125">
        <f>L491/(1+IFERROR(INDEX(L$10:L$11,Предпосылки!$I208,),0))*IFERROR(INDEX(L$10:L$11,Предпосылки!$I208,),0)</f>
        <v>0</v>
      </c>
      <c s="125">
        <f>M491/(1+IFERROR(INDEX(M$10:M$11,Предпосылки!$I208,),0))*IFERROR(INDEX(M$10:M$11,Предпосылки!$I208,),0)</f>
        <v>0</v>
      </c>
      <c s="125">
        <f>N491/(1+IFERROR(INDEX(N$10:N$11,Предпосылки!$I208,),0))*IFERROR(INDEX(N$10:N$11,Предпосылки!$I208,),0)</f>
        <v>0</v>
      </c>
      <c s="125">
        <f>O491/(1+IFERROR(INDEX(O$10:O$11,Предпосылки!$I208,),0))*IFERROR(INDEX(O$10:O$11,Предпосылки!$I208,),0)</f>
        <v>0</v>
      </c>
      <c s="125">
        <f>P491/(1+IFERROR(INDEX(P$10:P$11,Предпосылки!$I208,),0))*IFERROR(INDEX(P$10:P$11,Предпосылки!$I208,),0)</f>
        <v>0</v>
      </c>
      <c s="125">
        <f>Q491/(1+IFERROR(INDEX(Q$10:Q$11,Предпосылки!$I208,),0))*IFERROR(INDEX(Q$10:Q$11,Предпосылки!$I208,),0)</f>
        <v>0</v>
      </c>
      <c s="125">
        <f>R491/(1+IFERROR(INDEX(R$10:R$11,Предпосылки!$I208,),0))*IFERROR(INDEX(R$10:R$11,Предпосылки!$I208,),0)</f>
        <v>0</v>
      </c>
      <c s="125">
        <f>S491/(1+IFERROR(INDEX(S$10:S$11,Предпосылки!$I208,),0))*IFERROR(INDEX(S$10:S$11,Предпосылки!$I208,),0)</f>
        <v>0</v>
      </c>
      <c s="125">
        <f>T491/(1+IFERROR(INDEX(T$10:T$11,Предпосылки!$I208,),0))*IFERROR(INDEX(T$10:T$11,Предпосылки!$I208,),0)</f>
        <v>0</v>
      </c>
      <c s="125">
        <f>U491/(1+IFERROR(INDEX(U$10:U$11,Предпосылки!$I208,),0))*IFERROR(INDEX(U$10:U$11,Предпосылки!$I208,),0)</f>
        <v>0</v>
      </c>
      <c s="125">
        <f>V491/(1+IFERROR(INDEX(V$10:V$11,Предпосылки!$I208,),0))*IFERROR(INDEX(V$10:V$11,Предпосылки!$I208,),0)</f>
        <v>0</v>
      </c>
      <c s="125">
        <f>W491/(1+IFERROR(INDEX(W$10:W$11,Предпосылки!$I208,),0))*IFERROR(INDEX(W$10:W$11,Предпосылки!$I208,),0)</f>
        <v>0</v>
      </c>
      <c s="125">
        <f>X491/(1+IFERROR(INDEX(X$10:X$11,Предпосылки!$I208,),0))*IFERROR(INDEX(X$10:X$11,Предпосылки!$I208,),0)</f>
        <v>0</v>
      </c>
      <c s="125">
        <f>Y491/(1+IFERROR(INDEX(Y$10:Y$11,Предпосылки!$I208,),0))*IFERROR(INDEX(Y$10:Y$11,Предпосылки!$I208,),0)</f>
        <v>0</v>
      </c>
      <c s="125">
        <f>Z491/(1+IFERROR(INDEX(Z$10:Z$11,Предпосылки!$I208,),0))*IFERROR(INDEX(Z$10:Z$11,Предпосылки!$I208,),0)</f>
        <v>0</v>
      </c>
      <c s="125">
        <f>AA491/(1+IFERROR(INDEX(AA$10:AA$11,Предпосылки!$I208,),0))*IFERROR(INDEX(AA$10:AA$11,Предпосылки!$I208,),0)</f>
        <v>0</v>
      </c>
      <c s="125">
        <f>AB491/(1+IFERROR(INDEX(AB$10:AB$11,Предпосылки!$I208,),0))*IFERROR(INDEX(AB$10:AB$11,Предпосылки!$I208,),0)</f>
        <v>0</v>
      </c>
      <c s="125">
        <f>AC491/(1+IFERROR(INDEX(AC$10:AC$11,Предпосылки!$I208,),0))*IFERROR(INDEX(AC$10:AC$11,Предпосылки!$I208,),0)</f>
        <v>0</v>
      </c>
      <c s="125">
        <f>AD491/(1+IFERROR(INDEX(AD$10:AD$11,Предпосылки!$I208,),0))*IFERROR(INDEX(AD$10:AD$11,Предпосылки!$I208,),0)</f>
        <v>0</v>
      </c>
      <c s="125">
        <f>AE491/(1+IFERROR(INDEX(AE$10:AE$11,Предпосылки!$I208,),0))*IFERROR(INDEX(AE$10:AE$11,Предпосылки!$I208,),0)</f>
        <v>0</v>
      </c>
      <c s="125">
        <f>AF491/(1+IFERROR(INDEX(AF$10:AF$11,Предпосылки!$I208,),0))*IFERROR(INDEX(AF$10:AF$11,Предпосылки!$I208,),0)</f>
        <v>0</v>
      </c>
      <c s="125">
        <f>AG491/(1+IFERROR(INDEX(AG$10:AG$11,Предпосылки!$I208,),0))*IFERROR(INDEX(AG$10:AG$11,Предпосылки!$I208,),0)</f>
        <v>0</v>
      </c>
      <c s="125">
        <f>AH491/(1+IFERROR(INDEX(AH$10:AH$11,Предпосылки!$I208,),0))*IFERROR(INDEX(AH$10:AH$11,Предпосылки!$I208,),0)</f>
        <v>0</v>
      </c>
      <c s="125">
        <f>AI491/(1+IFERROR(INDEX(AI$10:AI$11,Предпосылки!$I208,),0))*IFERROR(INDEX(AI$10:AI$11,Предпосылки!$I208,),0)</f>
        <v>0</v>
      </c>
      <c s="125">
        <f>AJ491/(1+IFERROR(INDEX(AJ$10:AJ$11,Предпосылки!$I208,),0))*IFERROR(INDEX(AJ$10:AJ$11,Предпосылки!$I208,),0)</f>
        <v>0</v>
      </c>
      <c s="125">
        <f>AK491/(1+IFERROR(INDEX(AK$10:AK$11,Предпосылки!$I208,),0))*IFERROR(INDEX(AK$10:AK$11,Предпосылки!$I208,),0)</f>
        <v>0</v>
      </c>
      <c s="125">
        <f>AL491/(1+IFERROR(INDEX(AL$10:AL$11,Предпосылки!$I208,),0))*IFERROR(INDEX(AL$10:AL$11,Предпосылки!$I208,),0)</f>
        <v>0</v>
      </c>
      <c s="125">
        <f>AM491/(1+IFERROR(INDEX(AM$10:AM$11,Предпосылки!$I208,),0))*IFERROR(INDEX(AM$10:AM$11,Предпосылки!$I208,),0)</f>
        <v>0</v>
      </c>
      <c s="125">
        <f>AN491/(1+IFERROR(INDEX(AN$10:AN$11,Предпосылки!$I208,),0))*IFERROR(INDEX(AN$10:AN$11,Предпосылки!$I208,),0)</f>
        <v>0</v>
      </c>
      <c s="125">
        <f>AO491/(1+IFERROR(INDEX(AO$10:AO$11,Предпосылки!$I208,),0))*IFERROR(INDEX(AO$10:AO$11,Предпосылки!$I208,),0)</f>
        <v>0</v>
      </c>
      <c s="125">
        <f>AP491/(1+IFERROR(INDEX(AP$10:AP$11,Предпосылки!$I208,),0))*IFERROR(INDEX(AP$10:AP$11,Предпосылки!$I208,),0)</f>
        <v>0</v>
      </c>
      <c s="125">
        <f>AQ491/(1+IFERROR(INDEX(AQ$10:AQ$11,Предпосылки!$I208,),0))*IFERROR(INDEX(AQ$10:AQ$11,Предпосылки!$I208,),0)</f>
        <v>0</v>
      </c>
      <c s="125">
        <f>AR491/(1+IFERROR(INDEX(AR$10:AR$11,Предпосылки!$I208,),0))*IFERROR(INDEX(AR$10:AR$11,Предпосылки!$I208,),0)</f>
        <v>0</v>
      </c>
      <c s="125">
        <f>AS491/(1+IFERROR(INDEX(AS$10:AS$11,Предпосылки!$I208,),0))*IFERROR(INDEX(AS$10:AS$11,Предпосылки!$I208,),0)</f>
        <v>0</v>
      </c>
      <c s="125">
        <f>AT491/(1+IFERROR(INDEX(AT$10:AT$11,Предпосылки!$I208,),0))*IFERROR(INDEX(AT$10:AT$11,Предпосылки!$I208,),0)</f>
        <v>0</v>
      </c>
      <c s="125">
        <f>AU491/(1+IFERROR(INDEX(AU$10:AU$11,Предпосылки!$I208,),0))*IFERROR(INDEX(AU$10:AU$11,Предпосылки!$I208,),0)</f>
        <v>0</v>
      </c>
      <c s="125">
        <f>AV491/(1+IFERROR(INDEX(AV$10:AV$11,Предпосылки!$I208,),0))*IFERROR(INDEX(AV$10:AV$11,Предпосылки!$I208,),0)</f>
        <v>0</v>
      </c>
      <c s="125">
        <f>AW491/(1+IFERROR(INDEX(AW$10:AW$11,Предпосылки!$I208,),0))*IFERROR(INDEX(AW$10:AW$11,Предпосылки!$I208,),0)</f>
        <v>0</v>
      </c>
      <c s="125">
        <f>AX491/(1+IFERROR(INDEX(AX$10:AX$11,Предпосылки!$I208,),0))*IFERROR(INDEX(AX$10:AX$11,Предпосылки!$I208,),0)</f>
        <v>0</v>
      </c>
      <c s="125">
        <f>AY491/(1+IFERROR(INDEX(AY$10:AY$11,Предпосылки!$I208,),0))*IFERROR(INDEX(AY$10:AY$11,Предпосылки!$I208,),0)</f>
        <v>0</v>
      </c>
      <c s="125">
        <f>AZ491/(1+IFERROR(INDEX(AZ$10:AZ$11,Предпосылки!$I208,),0))*IFERROR(INDEX(AZ$10:AZ$11,Предпосылки!$I208,),0)</f>
        <v>0</v>
      </c>
      <c s="125">
        <f>BA491/(1+IFERROR(INDEX(BA$10:BA$11,Предпосылки!$I208,),0))*IFERROR(INDEX(BA$10:BA$11,Предпосылки!$I208,),0)</f>
        <v>0</v>
      </c>
      <c s="125">
        <f>BB491/(1+IFERROR(INDEX(BB$10:BB$11,Предпосылки!$I208,),0))*IFERROR(INDEX(BB$10:BB$11,Предпосылки!$I208,),0)</f>
        <v>0</v>
      </c>
      <c s="125">
        <f>BC491/(1+IFERROR(INDEX(BC$10:BC$11,Предпосылки!$I208,),0))*IFERROR(INDEX(BC$10:BC$11,Предпосылки!$I208,),0)</f>
        <v>0</v>
      </c>
      <c s="125">
        <f>BD491/(1+IFERROR(INDEX(BD$10:BD$11,Предпосылки!$I208,),0))*IFERROR(INDEX(BD$10:BD$11,Предпосылки!$I208,),0)</f>
        <v>0</v>
      </c>
      <c s="125">
        <f>BE491/(1+IFERROR(INDEX(BE$10:BE$11,Предпосылки!$I208,),0))*IFERROR(INDEX(BE$10:BE$11,Предпосылки!$I208,),0)</f>
        <v>0</v>
      </c>
      <c s="125">
        <f>BF491/(1+IFERROR(INDEX(BF$10:BF$11,Предпосылки!$I208,),0))*IFERROR(INDEX(BF$10:BF$11,Предпосылки!$I208,),0)</f>
        <v>0</v>
      </c>
      <c s="125">
        <f>BG491/(1+IFERROR(INDEX(BG$10:BG$11,Предпосылки!$I208,),0))*IFERROR(INDEX(BG$10:BG$11,Предпосылки!$I208,),0)</f>
        <v>0</v>
      </c>
      <c s="125">
        <f>BH491/(1+IFERROR(INDEX(BH$10:BH$11,Предпосылки!$I208,),0))*IFERROR(INDEX(BH$10:BH$11,Предпосылки!$I208,),0)</f>
        <v>0</v>
      </c>
      <c s="125">
        <f>BI491/(1+IFERROR(INDEX(BI$10:BI$11,Предпосылки!$I208,),0))*IFERROR(INDEX(BI$10:BI$11,Предпосылки!$I208,),0)</f>
        <v>0</v>
      </c>
      <c s="125">
        <f>BJ491/(1+IFERROR(INDEX(BJ$10:BJ$11,Предпосылки!$I208,),0))*IFERROR(INDEX(BJ$10:BJ$11,Предпосылки!$I208,),0)</f>
        <v>0</v>
      </c>
      <c s="125">
        <f>BK491/(1+IFERROR(INDEX(BK$10:BK$11,Предпосылки!$I208,),0))*IFERROR(INDEX(BK$10:BK$11,Предпосылки!$I208,),0)</f>
        <v>0</v>
      </c>
      <c s="125">
        <f>BL491/(1+IFERROR(INDEX(BL$10:BL$11,Предпосылки!$I208,),0))*IFERROR(INDEX(BL$10:BL$11,Предпосылки!$I208,),0)</f>
        <v>0</v>
      </c>
      <c s="125">
        <f>BM491/(1+IFERROR(INDEX(BM$10:BM$11,Предпосылки!$I208,),0))*IFERROR(INDEX(BM$10:BM$11,Предпосылки!$I208,),0)</f>
        <v>0</v>
      </c>
    </row>
    <row r="539" spans="2:65" ht="15" customHeight="1">
      <c r="B539" s="12" t="str">
        <f t="shared" si="249"/>
        <v>Операционные затраты 9</v>
      </c>
      <c s="124" t="str">
        <f t="shared" si="250"/>
        <v>тыс. руб.</v>
      </c>
      <c s="276">
        <f t="shared" si="251"/>
        <v>0</v>
      </c>
      <c s="125">
        <f>E492/(1+IFERROR(INDEX(E$10:E$11,Предпосылки!$I209,),0))*IFERROR(INDEX(E$10:E$11,Предпосылки!$I209,),0)</f>
        <v>0</v>
      </c>
      <c s="170">
        <f>F492/(1+IFERROR(INDEX(F$10:F$11,Предпосылки!$I209,),0))*IFERROR(INDEX(F$10:F$11,Предпосылки!$I209,),0)</f>
        <v>0</v>
      </c>
      <c s="125">
        <f>G492/(1+IFERROR(INDEX(G$10:G$11,Предпосылки!$I209,),0))*IFERROR(INDEX(G$10:G$11,Предпосылки!$I209,),0)</f>
        <v>0</v>
      </c>
      <c s="125">
        <f>H492/(1+IFERROR(INDEX(H$10:H$11,Предпосылки!$I209,),0))*IFERROR(INDEX(H$10:H$11,Предпосылки!$I209,),0)</f>
        <v>0</v>
      </c>
      <c s="125">
        <f>I492/(1+IFERROR(INDEX(I$10:I$11,Предпосылки!$I209,),0))*IFERROR(INDEX(I$10:I$11,Предпосылки!$I209,),0)</f>
        <v>0</v>
      </c>
      <c s="125">
        <f>J492/(1+IFERROR(INDEX(J$10:J$11,Предпосылки!$I209,),0))*IFERROR(INDEX(J$10:J$11,Предпосылки!$I209,),0)</f>
        <v>0</v>
      </c>
      <c s="125">
        <f>K492/(1+IFERROR(INDEX(K$10:K$11,Предпосылки!$I209,),0))*IFERROR(INDEX(K$10:K$11,Предпосылки!$I209,),0)</f>
        <v>0</v>
      </c>
      <c s="125">
        <f>L492/(1+IFERROR(INDEX(L$10:L$11,Предпосылки!$I209,),0))*IFERROR(INDEX(L$10:L$11,Предпосылки!$I209,),0)</f>
        <v>0</v>
      </c>
      <c s="125">
        <f>M492/(1+IFERROR(INDEX(M$10:M$11,Предпосылки!$I209,),0))*IFERROR(INDEX(M$10:M$11,Предпосылки!$I209,),0)</f>
        <v>0</v>
      </c>
      <c s="125">
        <f>N492/(1+IFERROR(INDEX(N$10:N$11,Предпосылки!$I209,),0))*IFERROR(INDEX(N$10:N$11,Предпосылки!$I209,),0)</f>
        <v>0</v>
      </c>
      <c s="125">
        <f>O492/(1+IFERROR(INDEX(O$10:O$11,Предпосылки!$I209,),0))*IFERROR(INDEX(O$10:O$11,Предпосылки!$I209,),0)</f>
        <v>0</v>
      </c>
      <c s="125">
        <f>P492/(1+IFERROR(INDEX(P$10:P$11,Предпосылки!$I209,),0))*IFERROR(INDEX(P$10:P$11,Предпосылки!$I209,),0)</f>
        <v>0</v>
      </c>
      <c s="125">
        <f>Q492/(1+IFERROR(INDEX(Q$10:Q$11,Предпосылки!$I209,),0))*IFERROR(INDEX(Q$10:Q$11,Предпосылки!$I209,),0)</f>
        <v>0</v>
      </c>
      <c s="125">
        <f>R492/(1+IFERROR(INDEX(R$10:R$11,Предпосылки!$I209,),0))*IFERROR(INDEX(R$10:R$11,Предпосылки!$I209,),0)</f>
        <v>0</v>
      </c>
      <c s="125">
        <f>S492/(1+IFERROR(INDEX(S$10:S$11,Предпосылки!$I209,),0))*IFERROR(INDEX(S$10:S$11,Предпосылки!$I209,),0)</f>
        <v>0</v>
      </c>
      <c s="125">
        <f>T492/(1+IFERROR(INDEX(T$10:T$11,Предпосылки!$I209,),0))*IFERROR(INDEX(T$10:T$11,Предпосылки!$I209,),0)</f>
        <v>0</v>
      </c>
      <c s="125">
        <f>U492/(1+IFERROR(INDEX(U$10:U$11,Предпосылки!$I209,),0))*IFERROR(INDEX(U$10:U$11,Предпосылки!$I209,),0)</f>
        <v>0</v>
      </c>
      <c s="125">
        <f>V492/(1+IFERROR(INDEX(V$10:V$11,Предпосылки!$I209,),0))*IFERROR(INDEX(V$10:V$11,Предпосылки!$I209,),0)</f>
        <v>0</v>
      </c>
      <c s="125">
        <f>W492/(1+IFERROR(INDEX(W$10:W$11,Предпосылки!$I209,),0))*IFERROR(INDEX(W$10:W$11,Предпосылки!$I209,),0)</f>
        <v>0</v>
      </c>
      <c s="125">
        <f>X492/(1+IFERROR(INDEX(X$10:X$11,Предпосылки!$I209,),0))*IFERROR(INDEX(X$10:X$11,Предпосылки!$I209,),0)</f>
        <v>0</v>
      </c>
      <c s="125">
        <f>Y492/(1+IFERROR(INDEX(Y$10:Y$11,Предпосылки!$I209,),0))*IFERROR(INDEX(Y$10:Y$11,Предпосылки!$I209,),0)</f>
        <v>0</v>
      </c>
      <c s="125">
        <f>Z492/(1+IFERROR(INDEX(Z$10:Z$11,Предпосылки!$I209,),0))*IFERROR(INDEX(Z$10:Z$11,Предпосылки!$I209,),0)</f>
        <v>0</v>
      </c>
      <c s="125">
        <f>AA492/(1+IFERROR(INDEX(AA$10:AA$11,Предпосылки!$I209,),0))*IFERROR(INDEX(AA$10:AA$11,Предпосылки!$I209,),0)</f>
        <v>0</v>
      </c>
      <c s="125">
        <f>AB492/(1+IFERROR(INDEX(AB$10:AB$11,Предпосылки!$I209,),0))*IFERROR(INDEX(AB$10:AB$11,Предпосылки!$I209,),0)</f>
        <v>0</v>
      </c>
      <c s="125">
        <f>AC492/(1+IFERROR(INDEX(AC$10:AC$11,Предпосылки!$I209,),0))*IFERROR(INDEX(AC$10:AC$11,Предпосылки!$I209,),0)</f>
        <v>0</v>
      </c>
      <c s="125">
        <f>AD492/(1+IFERROR(INDEX(AD$10:AD$11,Предпосылки!$I209,),0))*IFERROR(INDEX(AD$10:AD$11,Предпосылки!$I209,),0)</f>
        <v>0</v>
      </c>
      <c s="125">
        <f>AE492/(1+IFERROR(INDEX(AE$10:AE$11,Предпосылки!$I209,),0))*IFERROR(INDEX(AE$10:AE$11,Предпосылки!$I209,),0)</f>
        <v>0</v>
      </c>
      <c s="125">
        <f>AF492/(1+IFERROR(INDEX(AF$10:AF$11,Предпосылки!$I209,),0))*IFERROR(INDEX(AF$10:AF$11,Предпосылки!$I209,),0)</f>
        <v>0</v>
      </c>
      <c s="125">
        <f>AG492/(1+IFERROR(INDEX(AG$10:AG$11,Предпосылки!$I209,),0))*IFERROR(INDEX(AG$10:AG$11,Предпосылки!$I209,),0)</f>
        <v>0</v>
      </c>
      <c s="125">
        <f>AH492/(1+IFERROR(INDEX(AH$10:AH$11,Предпосылки!$I209,),0))*IFERROR(INDEX(AH$10:AH$11,Предпосылки!$I209,),0)</f>
        <v>0</v>
      </c>
      <c s="125">
        <f>AI492/(1+IFERROR(INDEX(AI$10:AI$11,Предпосылки!$I209,),0))*IFERROR(INDEX(AI$10:AI$11,Предпосылки!$I209,),0)</f>
        <v>0</v>
      </c>
      <c s="125">
        <f>AJ492/(1+IFERROR(INDEX(AJ$10:AJ$11,Предпосылки!$I209,),0))*IFERROR(INDEX(AJ$10:AJ$11,Предпосылки!$I209,),0)</f>
        <v>0</v>
      </c>
      <c s="125">
        <f>AK492/(1+IFERROR(INDEX(AK$10:AK$11,Предпосылки!$I209,),0))*IFERROR(INDEX(AK$10:AK$11,Предпосылки!$I209,),0)</f>
        <v>0</v>
      </c>
      <c s="125">
        <f>AL492/(1+IFERROR(INDEX(AL$10:AL$11,Предпосылки!$I209,),0))*IFERROR(INDEX(AL$10:AL$11,Предпосылки!$I209,),0)</f>
        <v>0</v>
      </c>
      <c s="125">
        <f>AM492/(1+IFERROR(INDEX(AM$10:AM$11,Предпосылки!$I209,),0))*IFERROR(INDEX(AM$10:AM$11,Предпосылки!$I209,),0)</f>
        <v>0</v>
      </c>
      <c s="125">
        <f>AN492/(1+IFERROR(INDEX(AN$10:AN$11,Предпосылки!$I209,),0))*IFERROR(INDEX(AN$10:AN$11,Предпосылки!$I209,),0)</f>
        <v>0</v>
      </c>
      <c s="125">
        <f>AO492/(1+IFERROR(INDEX(AO$10:AO$11,Предпосылки!$I209,),0))*IFERROR(INDEX(AO$10:AO$11,Предпосылки!$I209,),0)</f>
        <v>0</v>
      </c>
      <c s="125">
        <f>AP492/(1+IFERROR(INDEX(AP$10:AP$11,Предпосылки!$I209,),0))*IFERROR(INDEX(AP$10:AP$11,Предпосылки!$I209,),0)</f>
        <v>0</v>
      </c>
      <c s="125">
        <f>AQ492/(1+IFERROR(INDEX(AQ$10:AQ$11,Предпосылки!$I209,),0))*IFERROR(INDEX(AQ$10:AQ$11,Предпосылки!$I209,),0)</f>
        <v>0</v>
      </c>
      <c s="125">
        <f>AR492/(1+IFERROR(INDEX(AR$10:AR$11,Предпосылки!$I209,),0))*IFERROR(INDEX(AR$10:AR$11,Предпосылки!$I209,),0)</f>
        <v>0</v>
      </c>
      <c s="125">
        <f>AS492/(1+IFERROR(INDEX(AS$10:AS$11,Предпосылки!$I209,),0))*IFERROR(INDEX(AS$10:AS$11,Предпосылки!$I209,),0)</f>
        <v>0</v>
      </c>
      <c s="125">
        <f>AT492/(1+IFERROR(INDEX(AT$10:AT$11,Предпосылки!$I209,),0))*IFERROR(INDEX(AT$10:AT$11,Предпосылки!$I209,),0)</f>
        <v>0</v>
      </c>
      <c s="125">
        <f>AU492/(1+IFERROR(INDEX(AU$10:AU$11,Предпосылки!$I209,),0))*IFERROR(INDEX(AU$10:AU$11,Предпосылки!$I209,),0)</f>
        <v>0</v>
      </c>
      <c s="125">
        <f>AV492/(1+IFERROR(INDEX(AV$10:AV$11,Предпосылки!$I209,),0))*IFERROR(INDEX(AV$10:AV$11,Предпосылки!$I209,),0)</f>
        <v>0</v>
      </c>
      <c s="125">
        <f>AW492/(1+IFERROR(INDEX(AW$10:AW$11,Предпосылки!$I209,),0))*IFERROR(INDEX(AW$10:AW$11,Предпосылки!$I209,),0)</f>
        <v>0</v>
      </c>
      <c s="125">
        <f>AX492/(1+IFERROR(INDEX(AX$10:AX$11,Предпосылки!$I209,),0))*IFERROR(INDEX(AX$10:AX$11,Предпосылки!$I209,),0)</f>
        <v>0</v>
      </c>
      <c s="125">
        <f>AY492/(1+IFERROR(INDEX(AY$10:AY$11,Предпосылки!$I209,),0))*IFERROR(INDEX(AY$10:AY$11,Предпосылки!$I209,),0)</f>
        <v>0</v>
      </c>
      <c s="125">
        <f>AZ492/(1+IFERROR(INDEX(AZ$10:AZ$11,Предпосылки!$I209,),0))*IFERROR(INDEX(AZ$10:AZ$11,Предпосылки!$I209,),0)</f>
        <v>0</v>
      </c>
      <c s="125">
        <f>BA492/(1+IFERROR(INDEX(BA$10:BA$11,Предпосылки!$I209,),0))*IFERROR(INDEX(BA$10:BA$11,Предпосылки!$I209,),0)</f>
        <v>0</v>
      </c>
      <c s="125">
        <f>BB492/(1+IFERROR(INDEX(BB$10:BB$11,Предпосылки!$I209,),0))*IFERROR(INDEX(BB$10:BB$11,Предпосылки!$I209,),0)</f>
        <v>0</v>
      </c>
      <c s="125">
        <f>BC492/(1+IFERROR(INDEX(BC$10:BC$11,Предпосылки!$I209,),0))*IFERROR(INDEX(BC$10:BC$11,Предпосылки!$I209,),0)</f>
        <v>0</v>
      </c>
      <c s="125">
        <f>BD492/(1+IFERROR(INDEX(BD$10:BD$11,Предпосылки!$I209,),0))*IFERROR(INDEX(BD$10:BD$11,Предпосылки!$I209,),0)</f>
        <v>0</v>
      </c>
      <c s="125">
        <f>BE492/(1+IFERROR(INDEX(BE$10:BE$11,Предпосылки!$I209,),0))*IFERROR(INDEX(BE$10:BE$11,Предпосылки!$I209,),0)</f>
        <v>0</v>
      </c>
      <c s="125">
        <f>BF492/(1+IFERROR(INDEX(BF$10:BF$11,Предпосылки!$I209,),0))*IFERROR(INDEX(BF$10:BF$11,Предпосылки!$I209,),0)</f>
        <v>0</v>
      </c>
      <c s="125">
        <f>BG492/(1+IFERROR(INDEX(BG$10:BG$11,Предпосылки!$I209,),0))*IFERROR(INDEX(BG$10:BG$11,Предпосылки!$I209,),0)</f>
        <v>0</v>
      </c>
      <c s="125">
        <f>BH492/(1+IFERROR(INDEX(BH$10:BH$11,Предпосылки!$I209,),0))*IFERROR(INDEX(BH$10:BH$11,Предпосылки!$I209,),0)</f>
        <v>0</v>
      </c>
      <c s="125">
        <f>BI492/(1+IFERROR(INDEX(BI$10:BI$11,Предпосылки!$I209,),0))*IFERROR(INDEX(BI$10:BI$11,Предпосылки!$I209,),0)</f>
        <v>0</v>
      </c>
      <c s="125">
        <f>BJ492/(1+IFERROR(INDEX(BJ$10:BJ$11,Предпосылки!$I209,),0))*IFERROR(INDEX(BJ$10:BJ$11,Предпосылки!$I209,),0)</f>
        <v>0</v>
      </c>
      <c s="125">
        <f>BK492/(1+IFERROR(INDEX(BK$10:BK$11,Предпосылки!$I209,),0))*IFERROR(INDEX(BK$10:BK$11,Предпосылки!$I209,),0)</f>
        <v>0</v>
      </c>
      <c s="125">
        <f>BL492/(1+IFERROR(INDEX(BL$10:BL$11,Предпосылки!$I209,),0))*IFERROR(INDEX(BL$10:BL$11,Предпосылки!$I209,),0)</f>
        <v>0</v>
      </c>
      <c s="125">
        <f>BM492/(1+IFERROR(INDEX(BM$10:BM$11,Предпосылки!$I209,),0))*IFERROR(INDEX(BM$10:BM$11,Предпосылки!$I209,),0)</f>
        <v>0</v>
      </c>
    </row>
    <row r="540" spans="2:65" ht="15" customHeight="1">
      <c r="B540" s="12" t="str">
        <f t="shared" si="249"/>
        <v>Операционные затраты 10</v>
      </c>
      <c s="124" t="str">
        <f t="shared" si="250"/>
        <v>тыс. руб.</v>
      </c>
      <c s="276">
        <f t="shared" si="251"/>
        <v>0</v>
      </c>
      <c s="125">
        <f>E493/(1+IFERROR(INDEX(E$10:E$11,Предпосылки!$I210,),0))*IFERROR(INDEX(E$10:E$11,Предпосылки!$I210,),0)</f>
        <v>0</v>
      </c>
      <c s="170">
        <f>F493/(1+IFERROR(INDEX(F$10:F$11,Предпосылки!$I210,),0))*IFERROR(INDEX(F$10:F$11,Предпосылки!$I210,),0)</f>
        <v>0</v>
      </c>
      <c s="125">
        <f>G493/(1+IFERROR(INDEX(G$10:G$11,Предпосылки!$I210,),0))*IFERROR(INDEX(G$10:G$11,Предпосылки!$I210,),0)</f>
        <v>0</v>
      </c>
      <c s="125">
        <f>H493/(1+IFERROR(INDEX(H$10:H$11,Предпосылки!$I210,),0))*IFERROR(INDEX(H$10:H$11,Предпосылки!$I210,),0)</f>
        <v>0</v>
      </c>
      <c s="125">
        <f>I493/(1+IFERROR(INDEX(I$10:I$11,Предпосылки!$I210,),0))*IFERROR(INDEX(I$10:I$11,Предпосылки!$I210,),0)</f>
        <v>0</v>
      </c>
      <c s="125">
        <f>J493/(1+IFERROR(INDEX(J$10:J$11,Предпосылки!$I210,),0))*IFERROR(INDEX(J$10:J$11,Предпосылки!$I210,),0)</f>
        <v>0</v>
      </c>
      <c s="125">
        <f>K493/(1+IFERROR(INDEX(K$10:K$11,Предпосылки!$I210,),0))*IFERROR(INDEX(K$10:K$11,Предпосылки!$I210,),0)</f>
        <v>0</v>
      </c>
      <c s="125">
        <f>L493/(1+IFERROR(INDEX(L$10:L$11,Предпосылки!$I210,),0))*IFERROR(INDEX(L$10:L$11,Предпосылки!$I210,),0)</f>
        <v>0</v>
      </c>
      <c s="125">
        <f>M493/(1+IFERROR(INDEX(M$10:M$11,Предпосылки!$I210,),0))*IFERROR(INDEX(M$10:M$11,Предпосылки!$I210,),0)</f>
        <v>0</v>
      </c>
      <c s="125">
        <f>N493/(1+IFERROR(INDEX(N$10:N$11,Предпосылки!$I210,),0))*IFERROR(INDEX(N$10:N$11,Предпосылки!$I210,),0)</f>
        <v>0</v>
      </c>
      <c s="125">
        <f>O493/(1+IFERROR(INDEX(O$10:O$11,Предпосылки!$I210,),0))*IFERROR(INDEX(O$10:O$11,Предпосылки!$I210,),0)</f>
        <v>0</v>
      </c>
      <c s="125">
        <f>P493/(1+IFERROR(INDEX(P$10:P$11,Предпосылки!$I210,),0))*IFERROR(INDEX(P$10:P$11,Предпосылки!$I210,),0)</f>
        <v>0</v>
      </c>
      <c s="125">
        <f>Q493/(1+IFERROR(INDEX(Q$10:Q$11,Предпосылки!$I210,),0))*IFERROR(INDEX(Q$10:Q$11,Предпосылки!$I210,),0)</f>
        <v>0</v>
      </c>
      <c s="125">
        <f>R493/(1+IFERROR(INDEX(R$10:R$11,Предпосылки!$I210,),0))*IFERROR(INDEX(R$10:R$11,Предпосылки!$I210,),0)</f>
        <v>0</v>
      </c>
      <c s="125">
        <f>S493/(1+IFERROR(INDEX(S$10:S$11,Предпосылки!$I210,),0))*IFERROR(INDEX(S$10:S$11,Предпосылки!$I210,),0)</f>
        <v>0</v>
      </c>
      <c s="125">
        <f>T493/(1+IFERROR(INDEX(T$10:T$11,Предпосылки!$I210,),0))*IFERROR(INDEX(T$10:T$11,Предпосылки!$I210,),0)</f>
        <v>0</v>
      </c>
      <c s="125">
        <f>U493/(1+IFERROR(INDEX(U$10:U$11,Предпосылки!$I210,),0))*IFERROR(INDEX(U$10:U$11,Предпосылки!$I210,),0)</f>
        <v>0</v>
      </c>
      <c s="125">
        <f>V493/(1+IFERROR(INDEX(V$10:V$11,Предпосылки!$I210,),0))*IFERROR(INDEX(V$10:V$11,Предпосылки!$I210,),0)</f>
        <v>0</v>
      </c>
      <c s="125">
        <f>W493/(1+IFERROR(INDEX(W$10:W$11,Предпосылки!$I210,),0))*IFERROR(INDEX(W$10:W$11,Предпосылки!$I210,),0)</f>
        <v>0</v>
      </c>
      <c s="125">
        <f>X493/(1+IFERROR(INDEX(X$10:X$11,Предпосылки!$I210,),0))*IFERROR(INDEX(X$10:X$11,Предпосылки!$I210,),0)</f>
        <v>0</v>
      </c>
      <c s="125">
        <f>Y493/(1+IFERROR(INDEX(Y$10:Y$11,Предпосылки!$I210,),0))*IFERROR(INDEX(Y$10:Y$11,Предпосылки!$I210,),0)</f>
        <v>0</v>
      </c>
      <c s="125">
        <f>Z493/(1+IFERROR(INDEX(Z$10:Z$11,Предпосылки!$I210,),0))*IFERROR(INDEX(Z$10:Z$11,Предпосылки!$I210,),0)</f>
        <v>0</v>
      </c>
      <c s="125">
        <f>AA493/(1+IFERROR(INDEX(AA$10:AA$11,Предпосылки!$I210,),0))*IFERROR(INDEX(AA$10:AA$11,Предпосылки!$I210,),0)</f>
        <v>0</v>
      </c>
      <c s="125">
        <f>AB493/(1+IFERROR(INDEX(AB$10:AB$11,Предпосылки!$I210,),0))*IFERROR(INDEX(AB$10:AB$11,Предпосылки!$I210,),0)</f>
        <v>0</v>
      </c>
      <c s="125">
        <f>AC493/(1+IFERROR(INDEX(AC$10:AC$11,Предпосылки!$I210,),0))*IFERROR(INDEX(AC$10:AC$11,Предпосылки!$I210,),0)</f>
        <v>0</v>
      </c>
      <c s="125">
        <f>AD493/(1+IFERROR(INDEX(AD$10:AD$11,Предпосылки!$I210,),0))*IFERROR(INDEX(AD$10:AD$11,Предпосылки!$I210,),0)</f>
        <v>0</v>
      </c>
      <c s="125">
        <f>AE493/(1+IFERROR(INDEX(AE$10:AE$11,Предпосылки!$I210,),0))*IFERROR(INDEX(AE$10:AE$11,Предпосылки!$I210,),0)</f>
        <v>0</v>
      </c>
      <c s="125">
        <f>AF493/(1+IFERROR(INDEX(AF$10:AF$11,Предпосылки!$I210,),0))*IFERROR(INDEX(AF$10:AF$11,Предпосылки!$I210,),0)</f>
        <v>0</v>
      </c>
      <c s="125">
        <f>AG493/(1+IFERROR(INDEX(AG$10:AG$11,Предпосылки!$I210,),0))*IFERROR(INDEX(AG$10:AG$11,Предпосылки!$I210,),0)</f>
        <v>0</v>
      </c>
      <c s="125">
        <f>AH493/(1+IFERROR(INDEX(AH$10:AH$11,Предпосылки!$I210,),0))*IFERROR(INDEX(AH$10:AH$11,Предпосылки!$I210,),0)</f>
        <v>0</v>
      </c>
      <c s="125">
        <f>AI493/(1+IFERROR(INDEX(AI$10:AI$11,Предпосылки!$I210,),0))*IFERROR(INDEX(AI$10:AI$11,Предпосылки!$I210,),0)</f>
        <v>0</v>
      </c>
      <c s="125">
        <f>AJ493/(1+IFERROR(INDEX(AJ$10:AJ$11,Предпосылки!$I210,),0))*IFERROR(INDEX(AJ$10:AJ$11,Предпосылки!$I210,),0)</f>
        <v>0</v>
      </c>
      <c s="125">
        <f>AK493/(1+IFERROR(INDEX(AK$10:AK$11,Предпосылки!$I210,),0))*IFERROR(INDEX(AK$10:AK$11,Предпосылки!$I210,),0)</f>
        <v>0</v>
      </c>
      <c s="125">
        <f>AL493/(1+IFERROR(INDEX(AL$10:AL$11,Предпосылки!$I210,),0))*IFERROR(INDEX(AL$10:AL$11,Предпосылки!$I210,),0)</f>
        <v>0</v>
      </c>
      <c s="125">
        <f>AM493/(1+IFERROR(INDEX(AM$10:AM$11,Предпосылки!$I210,),0))*IFERROR(INDEX(AM$10:AM$11,Предпосылки!$I210,),0)</f>
        <v>0</v>
      </c>
      <c s="125">
        <f>AN493/(1+IFERROR(INDEX(AN$10:AN$11,Предпосылки!$I210,),0))*IFERROR(INDEX(AN$10:AN$11,Предпосылки!$I210,),0)</f>
        <v>0</v>
      </c>
      <c s="125">
        <f>AO493/(1+IFERROR(INDEX(AO$10:AO$11,Предпосылки!$I210,),0))*IFERROR(INDEX(AO$10:AO$11,Предпосылки!$I210,),0)</f>
        <v>0</v>
      </c>
      <c s="125">
        <f>AP493/(1+IFERROR(INDEX(AP$10:AP$11,Предпосылки!$I210,),0))*IFERROR(INDEX(AP$10:AP$11,Предпосылки!$I210,),0)</f>
        <v>0</v>
      </c>
      <c s="125">
        <f>AQ493/(1+IFERROR(INDEX(AQ$10:AQ$11,Предпосылки!$I210,),0))*IFERROR(INDEX(AQ$10:AQ$11,Предпосылки!$I210,),0)</f>
        <v>0</v>
      </c>
      <c s="125">
        <f>AR493/(1+IFERROR(INDEX(AR$10:AR$11,Предпосылки!$I210,),0))*IFERROR(INDEX(AR$10:AR$11,Предпосылки!$I210,),0)</f>
        <v>0</v>
      </c>
      <c s="125">
        <f>AS493/(1+IFERROR(INDEX(AS$10:AS$11,Предпосылки!$I210,),0))*IFERROR(INDEX(AS$10:AS$11,Предпосылки!$I210,),0)</f>
        <v>0</v>
      </c>
      <c s="125">
        <f>AT493/(1+IFERROR(INDEX(AT$10:AT$11,Предпосылки!$I210,),0))*IFERROR(INDEX(AT$10:AT$11,Предпосылки!$I210,),0)</f>
        <v>0</v>
      </c>
      <c s="125">
        <f>AU493/(1+IFERROR(INDEX(AU$10:AU$11,Предпосылки!$I210,),0))*IFERROR(INDEX(AU$10:AU$11,Предпосылки!$I210,),0)</f>
        <v>0</v>
      </c>
      <c s="125">
        <f>AV493/(1+IFERROR(INDEX(AV$10:AV$11,Предпосылки!$I210,),0))*IFERROR(INDEX(AV$10:AV$11,Предпосылки!$I210,),0)</f>
        <v>0</v>
      </c>
      <c s="125">
        <f>AW493/(1+IFERROR(INDEX(AW$10:AW$11,Предпосылки!$I210,),0))*IFERROR(INDEX(AW$10:AW$11,Предпосылки!$I210,),0)</f>
        <v>0</v>
      </c>
      <c s="125">
        <f>AX493/(1+IFERROR(INDEX(AX$10:AX$11,Предпосылки!$I210,),0))*IFERROR(INDEX(AX$10:AX$11,Предпосылки!$I210,),0)</f>
        <v>0</v>
      </c>
      <c s="125">
        <f>AY493/(1+IFERROR(INDEX(AY$10:AY$11,Предпосылки!$I210,),0))*IFERROR(INDEX(AY$10:AY$11,Предпосылки!$I210,),0)</f>
        <v>0</v>
      </c>
      <c s="125">
        <f>AZ493/(1+IFERROR(INDEX(AZ$10:AZ$11,Предпосылки!$I210,),0))*IFERROR(INDEX(AZ$10:AZ$11,Предпосылки!$I210,),0)</f>
        <v>0</v>
      </c>
      <c s="125">
        <f>BA493/(1+IFERROR(INDEX(BA$10:BA$11,Предпосылки!$I210,),0))*IFERROR(INDEX(BA$10:BA$11,Предпосылки!$I210,),0)</f>
        <v>0</v>
      </c>
      <c s="125">
        <f>BB493/(1+IFERROR(INDEX(BB$10:BB$11,Предпосылки!$I210,),0))*IFERROR(INDEX(BB$10:BB$11,Предпосылки!$I210,),0)</f>
        <v>0</v>
      </c>
      <c s="125">
        <f>BC493/(1+IFERROR(INDEX(BC$10:BC$11,Предпосылки!$I210,),0))*IFERROR(INDEX(BC$10:BC$11,Предпосылки!$I210,),0)</f>
        <v>0</v>
      </c>
      <c s="125">
        <f>BD493/(1+IFERROR(INDEX(BD$10:BD$11,Предпосылки!$I210,),0))*IFERROR(INDEX(BD$10:BD$11,Предпосылки!$I210,),0)</f>
        <v>0</v>
      </c>
      <c s="125">
        <f>BE493/(1+IFERROR(INDEX(BE$10:BE$11,Предпосылки!$I210,),0))*IFERROR(INDEX(BE$10:BE$11,Предпосылки!$I210,),0)</f>
        <v>0</v>
      </c>
      <c s="125">
        <f>BF493/(1+IFERROR(INDEX(BF$10:BF$11,Предпосылки!$I210,),0))*IFERROR(INDEX(BF$10:BF$11,Предпосылки!$I210,),0)</f>
        <v>0</v>
      </c>
      <c s="125">
        <f>BG493/(1+IFERROR(INDEX(BG$10:BG$11,Предпосылки!$I210,),0))*IFERROR(INDEX(BG$10:BG$11,Предпосылки!$I210,),0)</f>
        <v>0</v>
      </c>
      <c s="125">
        <f>BH493/(1+IFERROR(INDEX(BH$10:BH$11,Предпосылки!$I210,),0))*IFERROR(INDEX(BH$10:BH$11,Предпосылки!$I210,),0)</f>
        <v>0</v>
      </c>
      <c s="125">
        <f>BI493/(1+IFERROR(INDEX(BI$10:BI$11,Предпосылки!$I210,),0))*IFERROR(INDEX(BI$10:BI$11,Предпосылки!$I210,),0)</f>
        <v>0</v>
      </c>
      <c s="125">
        <f>BJ493/(1+IFERROR(INDEX(BJ$10:BJ$11,Предпосылки!$I210,),0))*IFERROR(INDEX(BJ$10:BJ$11,Предпосылки!$I210,),0)</f>
        <v>0</v>
      </c>
      <c s="125">
        <f>BK493/(1+IFERROR(INDEX(BK$10:BK$11,Предпосылки!$I210,),0))*IFERROR(INDEX(BK$10:BK$11,Предпосылки!$I210,),0)</f>
        <v>0</v>
      </c>
      <c s="125">
        <f>BL493/(1+IFERROR(INDEX(BL$10:BL$11,Предпосылки!$I210,),0))*IFERROR(INDEX(BL$10:BL$11,Предпосылки!$I210,),0)</f>
        <v>0</v>
      </c>
      <c s="125">
        <f>BM493/(1+IFERROR(INDEX(BM$10:BM$11,Предпосылки!$I210,),0))*IFERROR(INDEX(BM$10:BM$11,Предпосылки!$I210,),0)</f>
        <v>0</v>
      </c>
    </row>
    <row r="541" spans="2:65" ht="15" customHeight="1">
      <c r="B541" s="12" t="str">
        <f t="shared" si="249"/>
        <v>Операционные затраты 11</v>
      </c>
      <c s="124" t="str">
        <f t="shared" si="250"/>
        <v>тыс. руб.</v>
      </c>
      <c s="276">
        <f t="shared" si="251"/>
        <v>0</v>
      </c>
      <c s="125">
        <f>E494/(1+IFERROR(INDEX(E$10:E$11,Предпосылки!$I211,),0))*IFERROR(INDEX(E$10:E$11,Предпосылки!$I211,),0)</f>
        <v>0</v>
      </c>
      <c s="170">
        <f>F494/(1+IFERROR(INDEX(F$10:F$11,Предпосылки!$I211,),0))*IFERROR(INDEX(F$10:F$11,Предпосылки!$I211,),0)</f>
        <v>0</v>
      </c>
      <c s="125">
        <f>G494/(1+IFERROR(INDEX(G$10:G$11,Предпосылки!$I211,),0))*IFERROR(INDEX(G$10:G$11,Предпосылки!$I211,),0)</f>
        <v>0</v>
      </c>
      <c s="125">
        <f>H494/(1+IFERROR(INDEX(H$10:H$11,Предпосылки!$I211,),0))*IFERROR(INDEX(H$10:H$11,Предпосылки!$I211,),0)</f>
        <v>0</v>
      </c>
      <c s="125">
        <f>I494/(1+IFERROR(INDEX(I$10:I$11,Предпосылки!$I211,),0))*IFERROR(INDEX(I$10:I$11,Предпосылки!$I211,),0)</f>
        <v>0</v>
      </c>
      <c s="125">
        <f>J494/(1+IFERROR(INDEX(J$10:J$11,Предпосылки!$I211,),0))*IFERROR(INDEX(J$10:J$11,Предпосылки!$I211,),0)</f>
        <v>0</v>
      </c>
      <c s="125">
        <f>K494/(1+IFERROR(INDEX(K$10:K$11,Предпосылки!$I211,),0))*IFERROR(INDEX(K$10:K$11,Предпосылки!$I211,),0)</f>
        <v>0</v>
      </c>
      <c s="125">
        <f>L494/(1+IFERROR(INDEX(L$10:L$11,Предпосылки!$I211,),0))*IFERROR(INDEX(L$10:L$11,Предпосылки!$I211,),0)</f>
        <v>0</v>
      </c>
      <c s="125">
        <f>M494/(1+IFERROR(INDEX(M$10:M$11,Предпосылки!$I211,),0))*IFERROR(INDEX(M$10:M$11,Предпосылки!$I211,),0)</f>
        <v>0</v>
      </c>
      <c s="125">
        <f>N494/(1+IFERROR(INDEX(N$10:N$11,Предпосылки!$I211,),0))*IFERROR(INDEX(N$10:N$11,Предпосылки!$I211,),0)</f>
        <v>0</v>
      </c>
      <c s="125">
        <f>O494/(1+IFERROR(INDEX(O$10:O$11,Предпосылки!$I211,),0))*IFERROR(INDEX(O$10:O$11,Предпосылки!$I211,),0)</f>
        <v>0</v>
      </c>
      <c s="125">
        <f>P494/(1+IFERROR(INDEX(P$10:P$11,Предпосылки!$I211,),0))*IFERROR(INDEX(P$10:P$11,Предпосылки!$I211,),0)</f>
        <v>0</v>
      </c>
      <c s="125">
        <f>Q494/(1+IFERROR(INDEX(Q$10:Q$11,Предпосылки!$I211,),0))*IFERROR(INDEX(Q$10:Q$11,Предпосылки!$I211,),0)</f>
        <v>0</v>
      </c>
      <c s="125">
        <f>R494/(1+IFERROR(INDEX(R$10:R$11,Предпосылки!$I211,),0))*IFERROR(INDEX(R$10:R$11,Предпосылки!$I211,),0)</f>
        <v>0</v>
      </c>
      <c s="125">
        <f>S494/(1+IFERROR(INDEX(S$10:S$11,Предпосылки!$I211,),0))*IFERROR(INDEX(S$10:S$11,Предпосылки!$I211,),0)</f>
        <v>0</v>
      </c>
      <c s="125">
        <f>T494/(1+IFERROR(INDEX(T$10:T$11,Предпосылки!$I211,),0))*IFERROR(INDEX(T$10:T$11,Предпосылки!$I211,),0)</f>
        <v>0</v>
      </c>
      <c s="125">
        <f>U494/(1+IFERROR(INDEX(U$10:U$11,Предпосылки!$I211,),0))*IFERROR(INDEX(U$10:U$11,Предпосылки!$I211,),0)</f>
        <v>0</v>
      </c>
      <c s="125">
        <f>V494/(1+IFERROR(INDEX(V$10:V$11,Предпосылки!$I211,),0))*IFERROR(INDEX(V$10:V$11,Предпосылки!$I211,),0)</f>
        <v>0</v>
      </c>
      <c s="125">
        <f>W494/(1+IFERROR(INDEX(W$10:W$11,Предпосылки!$I211,),0))*IFERROR(INDEX(W$10:W$11,Предпосылки!$I211,),0)</f>
        <v>0</v>
      </c>
      <c s="125">
        <f>X494/(1+IFERROR(INDEX(X$10:X$11,Предпосылки!$I211,),0))*IFERROR(INDEX(X$10:X$11,Предпосылки!$I211,),0)</f>
        <v>0</v>
      </c>
      <c s="125">
        <f>Y494/(1+IFERROR(INDEX(Y$10:Y$11,Предпосылки!$I211,),0))*IFERROR(INDEX(Y$10:Y$11,Предпосылки!$I211,),0)</f>
        <v>0</v>
      </c>
      <c s="125">
        <f>Z494/(1+IFERROR(INDEX(Z$10:Z$11,Предпосылки!$I211,),0))*IFERROR(INDEX(Z$10:Z$11,Предпосылки!$I211,),0)</f>
        <v>0</v>
      </c>
      <c s="125">
        <f>AA494/(1+IFERROR(INDEX(AA$10:AA$11,Предпосылки!$I211,),0))*IFERROR(INDEX(AA$10:AA$11,Предпосылки!$I211,),0)</f>
        <v>0</v>
      </c>
      <c s="125">
        <f>AB494/(1+IFERROR(INDEX(AB$10:AB$11,Предпосылки!$I211,),0))*IFERROR(INDEX(AB$10:AB$11,Предпосылки!$I211,),0)</f>
        <v>0</v>
      </c>
      <c s="125">
        <f>AC494/(1+IFERROR(INDEX(AC$10:AC$11,Предпосылки!$I211,),0))*IFERROR(INDEX(AC$10:AC$11,Предпосылки!$I211,),0)</f>
        <v>0</v>
      </c>
      <c s="125">
        <f>AD494/(1+IFERROR(INDEX(AD$10:AD$11,Предпосылки!$I211,),0))*IFERROR(INDEX(AD$10:AD$11,Предпосылки!$I211,),0)</f>
        <v>0</v>
      </c>
      <c s="125">
        <f>AE494/(1+IFERROR(INDEX(AE$10:AE$11,Предпосылки!$I211,),0))*IFERROR(INDEX(AE$10:AE$11,Предпосылки!$I211,),0)</f>
        <v>0</v>
      </c>
      <c s="125">
        <f>AF494/(1+IFERROR(INDEX(AF$10:AF$11,Предпосылки!$I211,),0))*IFERROR(INDEX(AF$10:AF$11,Предпосылки!$I211,),0)</f>
        <v>0</v>
      </c>
      <c s="125">
        <f>AG494/(1+IFERROR(INDEX(AG$10:AG$11,Предпосылки!$I211,),0))*IFERROR(INDEX(AG$10:AG$11,Предпосылки!$I211,),0)</f>
        <v>0</v>
      </c>
      <c s="125">
        <f>AH494/(1+IFERROR(INDEX(AH$10:AH$11,Предпосылки!$I211,),0))*IFERROR(INDEX(AH$10:AH$11,Предпосылки!$I211,),0)</f>
        <v>0</v>
      </c>
      <c s="125">
        <f>AI494/(1+IFERROR(INDEX(AI$10:AI$11,Предпосылки!$I211,),0))*IFERROR(INDEX(AI$10:AI$11,Предпосылки!$I211,),0)</f>
        <v>0</v>
      </c>
      <c s="125">
        <f>AJ494/(1+IFERROR(INDEX(AJ$10:AJ$11,Предпосылки!$I211,),0))*IFERROR(INDEX(AJ$10:AJ$11,Предпосылки!$I211,),0)</f>
        <v>0</v>
      </c>
      <c s="125">
        <f>AK494/(1+IFERROR(INDEX(AK$10:AK$11,Предпосылки!$I211,),0))*IFERROR(INDEX(AK$10:AK$11,Предпосылки!$I211,),0)</f>
        <v>0</v>
      </c>
      <c s="125">
        <f>AL494/(1+IFERROR(INDEX(AL$10:AL$11,Предпосылки!$I211,),0))*IFERROR(INDEX(AL$10:AL$11,Предпосылки!$I211,),0)</f>
        <v>0</v>
      </c>
      <c s="125">
        <f>AM494/(1+IFERROR(INDEX(AM$10:AM$11,Предпосылки!$I211,),0))*IFERROR(INDEX(AM$10:AM$11,Предпосылки!$I211,),0)</f>
        <v>0</v>
      </c>
      <c s="125">
        <f>AN494/(1+IFERROR(INDEX(AN$10:AN$11,Предпосылки!$I211,),0))*IFERROR(INDEX(AN$10:AN$11,Предпосылки!$I211,),0)</f>
        <v>0</v>
      </c>
      <c s="125">
        <f>AO494/(1+IFERROR(INDEX(AO$10:AO$11,Предпосылки!$I211,),0))*IFERROR(INDEX(AO$10:AO$11,Предпосылки!$I211,),0)</f>
        <v>0</v>
      </c>
      <c s="125">
        <f>AP494/(1+IFERROR(INDEX(AP$10:AP$11,Предпосылки!$I211,),0))*IFERROR(INDEX(AP$10:AP$11,Предпосылки!$I211,),0)</f>
        <v>0</v>
      </c>
      <c s="125">
        <f>AQ494/(1+IFERROR(INDEX(AQ$10:AQ$11,Предпосылки!$I211,),0))*IFERROR(INDEX(AQ$10:AQ$11,Предпосылки!$I211,),0)</f>
        <v>0</v>
      </c>
      <c s="125">
        <f>AR494/(1+IFERROR(INDEX(AR$10:AR$11,Предпосылки!$I211,),0))*IFERROR(INDEX(AR$10:AR$11,Предпосылки!$I211,),0)</f>
        <v>0</v>
      </c>
      <c s="125">
        <f>AS494/(1+IFERROR(INDEX(AS$10:AS$11,Предпосылки!$I211,),0))*IFERROR(INDEX(AS$10:AS$11,Предпосылки!$I211,),0)</f>
        <v>0</v>
      </c>
      <c s="125">
        <f>AT494/(1+IFERROR(INDEX(AT$10:AT$11,Предпосылки!$I211,),0))*IFERROR(INDEX(AT$10:AT$11,Предпосылки!$I211,),0)</f>
        <v>0</v>
      </c>
      <c s="125">
        <f>AU494/(1+IFERROR(INDEX(AU$10:AU$11,Предпосылки!$I211,),0))*IFERROR(INDEX(AU$10:AU$11,Предпосылки!$I211,),0)</f>
        <v>0</v>
      </c>
      <c s="125">
        <f>AV494/(1+IFERROR(INDEX(AV$10:AV$11,Предпосылки!$I211,),0))*IFERROR(INDEX(AV$10:AV$11,Предпосылки!$I211,),0)</f>
        <v>0</v>
      </c>
      <c s="125">
        <f>AW494/(1+IFERROR(INDEX(AW$10:AW$11,Предпосылки!$I211,),0))*IFERROR(INDEX(AW$10:AW$11,Предпосылки!$I211,),0)</f>
        <v>0</v>
      </c>
      <c s="125">
        <f>AX494/(1+IFERROR(INDEX(AX$10:AX$11,Предпосылки!$I211,),0))*IFERROR(INDEX(AX$10:AX$11,Предпосылки!$I211,),0)</f>
        <v>0</v>
      </c>
      <c s="125">
        <f>AY494/(1+IFERROR(INDEX(AY$10:AY$11,Предпосылки!$I211,),0))*IFERROR(INDEX(AY$10:AY$11,Предпосылки!$I211,),0)</f>
        <v>0</v>
      </c>
      <c s="125">
        <f>AZ494/(1+IFERROR(INDEX(AZ$10:AZ$11,Предпосылки!$I211,),0))*IFERROR(INDEX(AZ$10:AZ$11,Предпосылки!$I211,),0)</f>
        <v>0</v>
      </c>
      <c s="125">
        <f>BA494/(1+IFERROR(INDEX(BA$10:BA$11,Предпосылки!$I211,),0))*IFERROR(INDEX(BA$10:BA$11,Предпосылки!$I211,),0)</f>
        <v>0</v>
      </c>
      <c s="125">
        <f>BB494/(1+IFERROR(INDEX(BB$10:BB$11,Предпосылки!$I211,),0))*IFERROR(INDEX(BB$10:BB$11,Предпосылки!$I211,),0)</f>
        <v>0</v>
      </c>
      <c s="125">
        <f>BC494/(1+IFERROR(INDEX(BC$10:BC$11,Предпосылки!$I211,),0))*IFERROR(INDEX(BC$10:BC$11,Предпосылки!$I211,),0)</f>
        <v>0</v>
      </c>
      <c s="125">
        <f>BD494/(1+IFERROR(INDEX(BD$10:BD$11,Предпосылки!$I211,),0))*IFERROR(INDEX(BD$10:BD$11,Предпосылки!$I211,),0)</f>
        <v>0</v>
      </c>
      <c s="125">
        <f>BE494/(1+IFERROR(INDEX(BE$10:BE$11,Предпосылки!$I211,),0))*IFERROR(INDEX(BE$10:BE$11,Предпосылки!$I211,),0)</f>
        <v>0</v>
      </c>
      <c s="125">
        <f>BF494/(1+IFERROR(INDEX(BF$10:BF$11,Предпосылки!$I211,),0))*IFERROR(INDEX(BF$10:BF$11,Предпосылки!$I211,),0)</f>
        <v>0</v>
      </c>
      <c s="125">
        <f>BG494/(1+IFERROR(INDEX(BG$10:BG$11,Предпосылки!$I211,),0))*IFERROR(INDEX(BG$10:BG$11,Предпосылки!$I211,),0)</f>
        <v>0</v>
      </c>
      <c s="125">
        <f>BH494/(1+IFERROR(INDEX(BH$10:BH$11,Предпосылки!$I211,),0))*IFERROR(INDEX(BH$10:BH$11,Предпосылки!$I211,),0)</f>
        <v>0</v>
      </c>
      <c s="125">
        <f>BI494/(1+IFERROR(INDEX(BI$10:BI$11,Предпосылки!$I211,),0))*IFERROR(INDEX(BI$10:BI$11,Предпосылки!$I211,),0)</f>
        <v>0</v>
      </c>
      <c s="125">
        <f>BJ494/(1+IFERROR(INDEX(BJ$10:BJ$11,Предпосылки!$I211,),0))*IFERROR(INDEX(BJ$10:BJ$11,Предпосылки!$I211,),0)</f>
        <v>0</v>
      </c>
      <c s="125">
        <f>BK494/(1+IFERROR(INDEX(BK$10:BK$11,Предпосылки!$I211,),0))*IFERROR(INDEX(BK$10:BK$11,Предпосылки!$I211,),0)</f>
        <v>0</v>
      </c>
      <c s="125">
        <f>BL494/(1+IFERROR(INDEX(BL$10:BL$11,Предпосылки!$I211,),0))*IFERROR(INDEX(BL$10:BL$11,Предпосылки!$I211,),0)</f>
        <v>0</v>
      </c>
      <c s="125">
        <f>BM494/(1+IFERROR(INDEX(BM$10:BM$11,Предпосылки!$I211,),0))*IFERROR(INDEX(BM$10:BM$11,Предпосылки!$I211,),0)</f>
        <v>0</v>
      </c>
    </row>
    <row r="542" spans="2:65" ht="15" customHeight="1">
      <c r="B542" s="12" t="str">
        <f t="shared" si="249"/>
        <v>Операционные затраты 12</v>
      </c>
      <c s="124" t="str">
        <f t="shared" si="250"/>
        <v>тыс. руб.</v>
      </c>
      <c s="276">
        <f t="shared" si="251"/>
        <v>0</v>
      </c>
      <c s="125">
        <f>E495/(1+IFERROR(INDEX(E$10:E$11,Предпосылки!$I212,),0))*IFERROR(INDEX(E$10:E$11,Предпосылки!$I212,),0)</f>
        <v>0</v>
      </c>
      <c s="170">
        <f>F495/(1+IFERROR(INDEX(F$10:F$11,Предпосылки!$I212,),0))*IFERROR(INDEX(F$10:F$11,Предпосылки!$I212,),0)</f>
        <v>0</v>
      </c>
      <c s="125">
        <f>G495/(1+IFERROR(INDEX(G$10:G$11,Предпосылки!$I212,),0))*IFERROR(INDEX(G$10:G$11,Предпосылки!$I212,),0)</f>
        <v>0</v>
      </c>
      <c s="125">
        <f>H495/(1+IFERROR(INDEX(H$10:H$11,Предпосылки!$I212,),0))*IFERROR(INDEX(H$10:H$11,Предпосылки!$I212,),0)</f>
        <v>0</v>
      </c>
      <c s="125">
        <f>I495/(1+IFERROR(INDEX(I$10:I$11,Предпосылки!$I212,),0))*IFERROR(INDEX(I$10:I$11,Предпосылки!$I212,),0)</f>
        <v>0</v>
      </c>
      <c s="125">
        <f>J495/(1+IFERROR(INDEX(J$10:J$11,Предпосылки!$I212,),0))*IFERROR(INDEX(J$10:J$11,Предпосылки!$I212,),0)</f>
        <v>0</v>
      </c>
      <c s="125">
        <f>K495/(1+IFERROR(INDEX(K$10:K$11,Предпосылки!$I212,),0))*IFERROR(INDEX(K$10:K$11,Предпосылки!$I212,),0)</f>
        <v>0</v>
      </c>
      <c s="125">
        <f>L495/(1+IFERROR(INDEX(L$10:L$11,Предпосылки!$I212,),0))*IFERROR(INDEX(L$10:L$11,Предпосылки!$I212,),0)</f>
        <v>0</v>
      </c>
      <c s="125">
        <f>M495/(1+IFERROR(INDEX(M$10:M$11,Предпосылки!$I212,),0))*IFERROR(INDEX(M$10:M$11,Предпосылки!$I212,),0)</f>
        <v>0</v>
      </c>
      <c s="125">
        <f>N495/(1+IFERROR(INDEX(N$10:N$11,Предпосылки!$I212,),0))*IFERROR(INDEX(N$10:N$11,Предпосылки!$I212,),0)</f>
        <v>0</v>
      </c>
      <c s="125">
        <f>O495/(1+IFERROR(INDEX(O$10:O$11,Предпосылки!$I212,),0))*IFERROR(INDEX(O$10:O$11,Предпосылки!$I212,),0)</f>
        <v>0</v>
      </c>
      <c s="125">
        <f>P495/(1+IFERROR(INDEX(P$10:P$11,Предпосылки!$I212,),0))*IFERROR(INDEX(P$10:P$11,Предпосылки!$I212,),0)</f>
        <v>0</v>
      </c>
      <c s="125">
        <f>Q495/(1+IFERROR(INDEX(Q$10:Q$11,Предпосылки!$I212,),0))*IFERROR(INDEX(Q$10:Q$11,Предпосылки!$I212,),0)</f>
        <v>0</v>
      </c>
      <c s="125">
        <f>R495/(1+IFERROR(INDEX(R$10:R$11,Предпосылки!$I212,),0))*IFERROR(INDEX(R$10:R$11,Предпосылки!$I212,),0)</f>
        <v>0</v>
      </c>
      <c s="125">
        <f>S495/(1+IFERROR(INDEX(S$10:S$11,Предпосылки!$I212,),0))*IFERROR(INDEX(S$10:S$11,Предпосылки!$I212,),0)</f>
        <v>0</v>
      </c>
      <c s="125">
        <f>T495/(1+IFERROR(INDEX(T$10:T$11,Предпосылки!$I212,),0))*IFERROR(INDEX(T$10:T$11,Предпосылки!$I212,),0)</f>
        <v>0</v>
      </c>
      <c s="125">
        <f>U495/(1+IFERROR(INDEX(U$10:U$11,Предпосылки!$I212,),0))*IFERROR(INDEX(U$10:U$11,Предпосылки!$I212,),0)</f>
        <v>0</v>
      </c>
      <c s="125">
        <f>V495/(1+IFERROR(INDEX(V$10:V$11,Предпосылки!$I212,),0))*IFERROR(INDEX(V$10:V$11,Предпосылки!$I212,),0)</f>
        <v>0</v>
      </c>
      <c s="125">
        <f>W495/(1+IFERROR(INDEX(W$10:W$11,Предпосылки!$I212,),0))*IFERROR(INDEX(W$10:W$11,Предпосылки!$I212,),0)</f>
        <v>0</v>
      </c>
      <c s="125">
        <f>X495/(1+IFERROR(INDEX(X$10:X$11,Предпосылки!$I212,),0))*IFERROR(INDEX(X$10:X$11,Предпосылки!$I212,),0)</f>
        <v>0</v>
      </c>
      <c s="125">
        <f>Y495/(1+IFERROR(INDEX(Y$10:Y$11,Предпосылки!$I212,),0))*IFERROR(INDEX(Y$10:Y$11,Предпосылки!$I212,),0)</f>
        <v>0</v>
      </c>
      <c s="125">
        <f>Z495/(1+IFERROR(INDEX(Z$10:Z$11,Предпосылки!$I212,),0))*IFERROR(INDEX(Z$10:Z$11,Предпосылки!$I212,),0)</f>
        <v>0</v>
      </c>
      <c s="125">
        <f>AA495/(1+IFERROR(INDEX(AA$10:AA$11,Предпосылки!$I212,),0))*IFERROR(INDEX(AA$10:AA$11,Предпосылки!$I212,),0)</f>
        <v>0</v>
      </c>
      <c s="125">
        <f>AB495/(1+IFERROR(INDEX(AB$10:AB$11,Предпосылки!$I212,),0))*IFERROR(INDEX(AB$10:AB$11,Предпосылки!$I212,),0)</f>
        <v>0</v>
      </c>
      <c s="125">
        <f>AC495/(1+IFERROR(INDEX(AC$10:AC$11,Предпосылки!$I212,),0))*IFERROR(INDEX(AC$10:AC$11,Предпосылки!$I212,),0)</f>
        <v>0</v>
      </c>
      <c s="125">
        <f>AD495/(1+IFERROR(INDEX(AD$10:AD$11,Предпосылки!$I212,),0))*IFERROR(INDEX(AD$10:AD$11,Предпосылки!$I212,),0)</f>
        <v>0</v>
      </c>
      <c s="125">
        <f>AE495/(1+IFERROR(INDEX(AE$10:AE$11,Предпосылки!$I212,),0))*IFERROR(INDEX(AE$10:AE$11,Предпосылки!$I212,),0)</f>
        <v>0</v>
      </c>
      <c s="125">
        <f>AF495/(1+IFERROR(INDEX(AF$10:AF$11,Предпосылки!$I212,),0))*IFERROR(INDEX(AF$10:AF$11,Предпосылки!$I212,),0)</f>
        <v>0</v>
      </c>
      <c s="125">
        <f>AG495/(1+IFERROR(INDEX(AG$10:AG$11,Предпосылки!$I212,),0))*IFERROR(INDEX(AG$10:AG$11,Предпосылки!$I212,),0)</f>
        <v>0</v>
      </c>
      <c s="125">
        <f>AH495/(1+IFERROR(INDEX(AH$10:AH$11,Предпосылки!$I212,),0))*IFERROR(INDEX(AH$10:AH$11,Предпосылки!$I212,),0)</f>
        <v>0</v>
      </c>
      <c s="125">
        <f>AI495/(1+IFERROR(INDEX(AI$10:AI$11,Предпосылки!$I212,),0))*IFERROR(INDEX(AI$10:AI$11,Предпосылки!$I212,),0)</f>
        <v>0</v>
      </c>
      <c s="125">
        <f>AJ495/(1+IFERROR(INDEX(AJ$10:AJ$11,Предпосылки!$I212,),0))*IFERROR(INDEX(AJ$10:AJ$11,Предпосылки!$I212,),0)</f>
        <v>0</v>
      </c>
      <c s="125">
        <f>AK495/(1+IFERROR(INDEX(AK$10:AK$11,Предпосылки!$I212,),0))*IFERROR(INDEX(AK$10:AK$11,Предпосылки!$I212,),0)</f>
        <v>0</v>
      </c>
      <c s="125">
        <f>AL495/(1+IFERROR(INDEX(AL$10:AL$11,Предпосылки!$I212,),0))*IFERROR(INDEX(AL$10:AL$11,Предпосылки!$I212,),0)</f>
        <v>0</v>
      </c>
      <c s="125">
        <f>AM495/(1+IFERROR(INDEX(AM$10:AM$11,Предпосылки!$I212,),0))*IFERROR(INDEX(AM$10:AM$11,Предпосылки!$I212,),0)</f>
        <v>0</v>
      </c>
      <c s="125">
        <f>AN495/(1+IFERROR(INDEX(AN$10:AN$11,Предпосылки!$I212,),0))*IFERROR(INDEX(AN$10:AN$11,Предпосылки!$I212,),0)</f>
        <v>0</v>
      </c>
      <c s="125">
        <f>AO495/(1+IFERROR(INDEX(AO$10:AO$11,Предпосылки!$I212,),0))*IFERROR(INDEX(AO$10:AO$11,Предпосылки!$I212,),0)</f>
        <v>0</v>
      </c>
      <c s="125">
        <f>AP495/(1+IFERROR(INDEX(AP$10:AP$11,Предпосылки!$I212,),0))*IFERROR(INDEX(AP$10:AP$11,Предпосылки!$I212,),0)</f>
        <v>0</v>
      </c>
      <c s="125">
        <f>AQ495/(1+IFERROR(INDEX(AQ$10:AQ$11,Предпосылки!$I212,),0))*IFERROR(INDEX(AQ$10:AQ$11,Предпосылки!$I212,),0)</f>
        <v>0</v>
      </c>
      <c s="125">
        <f>AR495/(1+IFERROR(INDEX(AR$10:AR$11,Предпосылки!$I212,),0))*IFERROR(INDEX(AR$10:AR$11,Предпосылки!$I212,),0)</f>
        <v>0</v>
      </c>
      <c s="125">
        <f>AS495/(1+IFERROR(INDEX(AS$10:AS$11,Предпосылки!$I212,),0))*IFERROR(INDEX(AS$10:AS$11,Предпосылки!$I212,),0)</f>
        <v>0</v>
      </c>
      <c s="125">
        <f>AT495/(1+IFERROR(INDEX(AT$10:AT$11,Предпосылки!$I212,),0))*IFERROR(INDEX(AT$10:AT$11,Предпосылки!$I212,),0)</f>
        <v>0</v>
      </c>
      <c s="125">
        <f>AU495/(1+IFERROR(INDEX(AU$10:AU$11,Предпосылки!$I212,),0))*IFERROR(INDEX(AU$10:AU$11,Предпосылки!$I212,),0)</f>
        <v>0</v>
      </c>
      <c s="125">
        <f>AV495/(1+IFERROR(INDEX(AV$10:AV$11,Предпосылки!$I212,),0))*IFERROR(INDEX(AV$10:AV$11,Предпосылки!$I212,),0)</f>
        <v>0</v>
      </c>
      <c s="125">
        <f>AW495/(1+IFERROR(INDEX(AW$10:AW$11,Предпосылки!$I212,),0))*IFERROR(INDEX(AW$10:AW$11,Предпосылки!$I212,),0)</f>
        <v>0</v>
      </c>
      <c s="125">
        <f>AX495/(1+IFERROR(INDEX(AX$10:AX$11,Предпосылки!$I212,),0))*IFERROR(INDEX(AX$10:AX$11,Предпосылки!$I212,),0)</f>
        <v>0</v>
      </c>
      <c s="125">
        <f>AY495/(1+IFERROR(INDEX(AY$10:AY$11,Предпосылки!$I212,),0))*IFERROR(INDEX(AY$10:AY$11,Предпосылки!$I212,),0)</f>
        <v>0</v>
      </c>
      <c s="125">
        <f>AZ495/(1+IFERROR(INDEX(AZ$10:AZ$11,Предпосылки!$I212,),0))*IFERROR(INDEX(AZ$10:AZ$11,Предпосылки!$I212,),0)</f>
        <v>0</v>
      </c>
      <c s="125">
        <f>BA495/(1+IFERROR(INDEX(BA$10:BA$11,Предпосылки!$I212,),0))*IFERROR(INDEX(BA$10:BA$11,Предпосылки!$I212,),0)</f>
        <v>0</v>
      </c>
      <c s="125">
        <f>BB495/(1+IFERROR(INDEX(BB$10:BB$11,Предпосылки!$I212,),0))*IFERROR(INDEX(BB$10:BB$11,Предпосылки!$I212,),0)</f>
        <v>0</v>
      </c>
      <c s="125">
        <f>BC495/(1+IFERROR(INDEX(BC$10:BC$11,Предпосылки!$I212,),0))*IFERROR(INDEX(BC$10:BC$11,Предпосылки!$I212,),0)</f>
        <v>0</v>
      </c>
      <c s="125">
        <f>BD495/(1+IFERROR(INDEX(BD$10:BD$11,Предпосылки!$I212,),0))*IFERROR(INDEX(BD$10:BD$11,Предпосылки!$I212,),0)</f>
        <v>0</v>
      </c>
      <c s="125">
        <f>BE495/(1+IFERROR(INDEX(BE$10:BE$11,Предпосылки!$I212,),0))*IFERROR(INDEX(BE$10:BE$11,Предпосылки!$I212,),0)</f>
        <v>0</v>
      </c>
      <c s="125">
        <f>BF495/(1+IFERROR(INDEX(BF$10:BF$11,Предпосылки!$I212,),0))*IFERROR(INDEX(BF$10:BF$11,Предпосылки!$I212,),0)</f>
        <v>0</v>
      </c>
      <c s="125">
        <f>BG495/(1+IFERROR(INDEX(BG$10:BG$11,Предпосылки!$I212,),0))*IFERROR(INDEX(BG$10:BG$11,Предпосылки!$I212,),0)</f>
        <v>0</v>
      </c>
      <c s="125">
        <f>BH495/(1+IFERROR(INDEX(BH$10:BH$11,Предпосылки!$I212,),0))*IFERROR(INDEX(BH$10:BH$11,Предпосылки!$I212,),0)</f>
        <v>0</v>
      </c>
      <c s="125">
        <f>BI495/(1+IFERROR(INDEX(BI$10:BI$11,Предпосылки!$I212,),0))*IFERROR(INDEX(BI$10:BI$11,Предпосылки!$I212,),0)</f>
        <v>0</v>
      </c>
      <c s="125">
        <f>BJ495/(1+IFERROR(INDEX(BJ$10:BJ$11,Предпосылки!$I212,),0))*IFERROR(INDEX(BJ$10:BJ$11,Предпосылки!$I212,),0)</f>
        <v>0</v>
      </c>
      <c s="125">
        <f>BK495/(1+IFERROR(INDEX(BK$10:BK$11,Предпосылки!$I212,),0))*IFERROR(INDEX(BK$10:BK$11,Предпосылки!$I212,),0)</f>
        <v>0</v>
      </c>
      <c s="125">
        <f>BL495/(1+IFERROR(INDEX(BL$10:BL$11,Предпосылки!$I212,),0))*IFERROR(INDEX(BL$10:BL$11,Предпосылки!$I212,),0)</f>
        <v>0</v>
      </c>
      <c s="125">
        <f>BM495/(1+IFERROR(INDEX(BM$10:BM$11,Предпосылки!$I212,),0))*IFERROR(INDEX(BM$10:BM$11,Предпосылки!$I212,),0)</f>
        <v>0</v>
      </c>
    </row>
    <row r="543" spans="2:65" ht="15" customHeight="1">
      <c r="B543" s="12" t="str">
        <f t="shared" si="249"/>
        <v>Операционные затраты 13</v>
      </c>
      <c s="124" t="str">
        <f t="shared" si="250"/>
        <v>тыс. руб.</v>
      </c>
      <c s="276">
        <f t="shared" si="251"/>
        <v>0</v>
      </c>
      <c s="125">
        <f>E496/(1+IFERROR(INDEX(E$10:E$11,Предпосылки!$I213,),0))*IFERROR(INDEX(E$10:E$11,Предпосылки!$I213,),0)</f>
        <v>0</v>
      </c>
      <c s="170">
        <f>F496/(1+IFERROR(INDEX(F$10:F$11,Предпосылки!$I213,),0))*IFERROR(INDEX(F$10:F$11,Предпосылки!$I213,),0)</f>
        <v>0</v>
      </c>
      <c s="125">
        <f>G496/(1+IFERROR(INDEX(G$10:G$11,Предпосылки!$I213,),0))*IFERROR(INDEX(G$10:G$11,Предпосылки!$I213,),0)</f>
        <v>0</v>
      </c>
      <c s="125">
        <f>H496/(1+IFERROR(INDEX(H$10:H$11,Предпосылки!$I213,),0))*IFERROR(INDEX(H$10:H$11,Предпосылки!$I213,),0)</f>
        <v>0</v>
      </c>
      <c s="125">
        <f>I496/(1+IFERROR(INDEX(I$10:I$11,Предпосылки!$I213,),0))*IFERROR(INDEX(I$10:I$11,Предпосылки!$I213,),0)</f>
        <v>0</v>
      </c>
      <c s="125">
        <f>J496/(1+IFERROR(INDEX(J$10:J$11,Предпосылки!$I213,),0))*IFERROR(INDEX(J$10:J$11,Предпосылки!$I213,),0)</f>
        <v>0</v>
      </c>
      <c s="125">
        <f>K496/(1+IFERROR(INDEX(K$10:K$11,Предпосылки!$I213,),0))*IFERROR(INDEX(K$10:K$11,Предпосылки!$I213,),0)</f>
        <v>0</v>
      </c>
      <c s="125">
        <f>L496/(1+IFERROR(INDEX(L$10:L$11,Предпосылки!$I213,),0))*IFERROR(INDEX(L$10:L$11,Предпосылки!$I213,),0)</f>
        <v>0</v>
      </c>
      <c s="125">
        <f>M496/(1+IFERROR(INDEX(M$10:M$11,Предпосылки!$I213,),0))*IFERROR(INDEX(M$10:M$11,Предпосылки!$I213,),0)</f>
        <v>0</v>
      </c>
      <c s="125">
        <f>N496/(1+IFERROR(INDEX(N$10:N$11,Предпосылки!$I213,),0))*IFERROR(INDEX(N$10:N$11,Предпосылки!$I213,),0)</f>
        <v>0</v>
      </c>
      <c s="125">
        <f>O496/(1+IFERROR(INDEX(O$10:O$11,Предпосылки!$I213,),0))*IFERROR(INDEX(O$10:O$11,Предпосылки!$I213,),0)</f>
        <v>0</v>
      </c>
      <c s="125">
        <f>P496/(1+IFERROR(INDEX(P$10:P$11,Предпосылки!$I213,),0))*IFERROR(INDEX(P$10:P$11,Предпосылки!$I213,),0)</f>
        <v>0</v>
      </c>
      <c s="125">
        <f>Q496/(1+IFERROR(INDEX(Q$10:Q$11,Предпосылки!$I213,),0))*IFERROR(INDEX(Q$10:Q$11,Предпосылки!$I213,),0)</f>
        <v>0</v>
      </c>
      <c s="125">
        <f>R496/(1+IFERROR(INDEX(R$10:R$11,Предпосылки!$I213,),0))*IFERROR(INDEX(R$10:R$11,Предпосылки!$I213,),0)</f>
        <v>0</v>
      </c>
      <c s="125">
        <f>S496/(1+IFERROR(INDEX(S$10:S$11,Предпосылки!$I213,),0))*IFERROR(INDEX(S$10:S$11,Предпосылки!$I213,),0)</f>
        <v>0</v>
      </c>
      <c s="125">
        <f>T496/(1+IFERROR(INDEX(T$10:T$11,Предпосылки!$I213,),0))*IFERROR(INDEX(T$10:T$11,Предпосылки!$I213,),0)</f>
        <v>0</v>
      </c>
      <c s="125">
        <f>U496/(1+IFERROR(INDEX(U$10:U$11,Предпосылки!$I213,),0))*IFERROR(INDEX(U$10:U$11,Предпосылки!$I213,),0)</f>
        <v>0</v>
      </c>
      <c s="125">
        <f>V496/(1+IFERROR(INDEX(V$10:V$11,Предпосылки!$I213,),0))*IFERROR(INDEX(V$10:V$11,Предпосылки!$I213,),0)</f>
        <v>0</v>
      </c>
      <c s="125">
        <f>W496/(1+IFERROR(INDEX(W$10:W$11,Предпосылки!$I213,),0))*IFERROR(INDEX(W$10:W$11,Предпосылки!$I213,),0)</f>
        <v>0</v>
      </c>
      <c s="125">
        <f>X496/(1+IFERROR(INDEX(X$10:X$11,Предпосылки!$I213,),0))*IFERROR(INDEX(X$10:X$11,Предпосылки!$I213,),0)</f>
        <v>0</v>
      </c>
      <c s="125">
        <f>Y496/(1+IFERROR(INDEX(Y$10:Y$11,Предпосылки!$I213,),0))*IFERROR(INDEX(Y$10:Y$11,Предпосылки!$I213,),0)</f>
        <v>0</v>
      </c>
      <c s="125">
        <f>Z496/(1+IFERROR(INDEX(Z$10:Z$11,Предпосылки!$I213,),0))*IFERROR(INDEX(Z$10:Z$11,Предпосылки!$I213,),0)</f>
        <v>0</v>
      </c>
      <c s="125">
        <f>AA496/(1+IFERROR(INDEX(AA$10:AA$11,Предпосылки!$I213,),0))*IFERROR(INDEX(AA$10:AA$11,Предпосылки!$I213,),0)</f>
        <v>0</v>
      </c>
      <c s="125">
        <f>AB496/(1+IFERROR(INDEX(AB$10:AB$11,Предпосылки!$I213,),0))*IFERROR(INDEX(AB$10:AB$11,Предпосылки!$I213,),0)</f>
        <v>0</v>
      </c>
      <c s="125">
        <f>AC496/(1+IFERROR(INDEX(AC$10:AC$11,Предпосылки!$I213,),0))*IFERROR(INDEX(AC$10:AC$11,Предпосылки!$I213,),0)</f>
        <v>0</v>
      </c>
      <c s="125">
        <f>AD496/(1+IFERROR(INDEX(AD$10:AD$11,Предпосылки!$I213,),0))*IFERROR(INDEX(AD$10:AD$11,Предпосылки!$I213,),0)</f>
        <v>0</v>
      </c>
      <c s="125">
        <f>AE496/(1+IFERROR(INDEX(AE$10:AE$11,Предпосылки!$I213,),0))*IFERROR(INDEX(AE$10:AE$11,Предпосылки!$I213,),0)</f>
        <v>0</v>
      </c>
      <c s="125">
        <f>AF496/(1+IFERROR(INDEX(AF$10:AF$11,Предпосылки!$I213,),0))*IFERROR(INDEX(AF$10:AF$11,Предпосылки!$I213,),0)</f>
        <v>0</v>
      </c>
      <c s="125">
        <f>AG496/(1+IFERROR(INDEX(AG$10:AG$11,Предпосылки!$I213,),0))*IFERROR(INDEX(AG$10:AG$11,Предпосылки!$I213,),0)</f>
        <v>0</v>
      </c>
      <c s="125">
        <f>AH496/(1+IFERROR(INDEX(AH$10:AH$11,Предпосылки!$I213,),0))*IFERROR(INDEX(AH$10:AH$11,Предпосылки!$I213,),0)</f>
        <v>0</v>
      </c>
      <c s="125">
        <f>AI496/(1+IFERROR(INDEX(AI$10:AI$11,Предпосылки!$I213,),0))*IFERROR(INDEX(AI$10:AI$11,Предпосылки!$I213,),0)</f>
        <v>0</v>
      </c>
      <c s="125">
        <f>AJ496/(1+IFERROR(INDEX(AJ$10:AJ$11,Предпосылки!$I213,),0))*IFERROR(INDEX(AJ$10:AJ$11,Предпосылки!$I213,),0)</f>
        <v>0</v>
      </c>
      <c s="125">
        <f>AK496/(1+IFERROR(INDEX(AK$10:AK$11,Предпосылки!$I213,),0))*IFERROR(INDEX(AK$10:AK$11,Предпосылки!$I213,),0)</f>
        <v>0</v>
      </c>
      <c s="125">
        <f>AL496/(1+IFERROR(INDEX(AL$10:AL$11,Предпосылки!$I213,),0))*IFERROR(INDEX(AL$10:AL$11,Предпосылки!$I213,),0)</f>
        <v>0</v>
      </c>
      <c s="125">
        <f>AM496/(1+IFERROR(INDEX(AM$10:AM$11,Предпосылки!$I213,),0))*IFERROR(INDEX(AM$10:AM$11,Предпосылки!$I213,),0)</f>
        <v>0</v>
      </c>
      <c s="125">
        <f>AN496/(1+IFERROR(INDEX(AN$10:AN$11,Предпосылки!$I213,),0))*IFERROR(INDEX(AN$10:AN$11,Предпосылки!$I213,),0)</f>
        <v>0</v>
      </c>
      <c s="125">
        <f>AO496/(1+IFERROR(INDEX(AO$10:AO$11,Предпосылки!$I213,),0))*IFERROR(INDEX(AO$10:AO$11,Предпосылки!$I213,),0)</f>
        <v>0</v>
      </c>
      <c s="125">
        <f>AP496/(1+IFERROR(INDEX(AP$10:AP$11,Предпосылки!$I213,),0))*IFERROR(INDEX(AP$10:AP$11,Предпосылки!$I213,),0)</f>
        <v>0</v>
      </c>
      <c s="125">
        <f>AQ496/(1+IFERROR(INDEX(AQ$10:AQ$11,Предпосылки!$I213,),0))*IFERROR(INDEX(AQ$10:AQ$11,Предпосылки!$I213,),0)</f>
        <v>0</v>
      </c>
      <c s="125">
        <f>AR496/(1+IFERROR(INDEX(AR$10:AR$11,Предпосылки!$I213,),0))*IFERROR(INDEX(AR$10:AR$11,Предпосылки!$I213,),0)</f>
        <v>0</v>
      </c>
      <c s="125">
        <f>AS496/(1+IFERROR(INDEX(AS$10:AS$11,Предпосылки!$I213,),0))*IFERROR(INDEX(AS$10:AS$11,Предпосылки!$I213,),0)</f>
        <v>0</v>
      </c>
      <c s="125">
        <f>AT496/(1+IFERROR(INDEX(AT$10:AT$11,Предпосылки!$I213,),0))*IFERROR(INDEX(AT$10:AT$11,Предпосылки!$I213,),0)</f>
        <v>0</v>
      </c>
      <c s="125">
        <f>AU496/(1+IFERROR(INDEX(AU$10:AU$11,Предпосылки!$I213,),0))*IFERROR(INDEX(AU$10:AU$11,Предпосылки!$I213,),0)</f>
        <v>0</v>
      </c>
      <c s="125">
        <f>AV496/(1+IFERROR(INDEX(AV$10:AV$11,Предпосылки!$I213,),0))*IFERROR(INDEX(AV$10:AV$11,Предпосылки!$I213,),0)</f>
        <v>0</v>
      </c>
      <c s="125">
        <f>AW496/(1+IFERROR(INDEX(AW$10:AW$11,Предпосылки!$I213,),0))*IFERROR(INDEX(AW$10:AW$11,Предпосылки!$I213,),0)</f>
        <v>0</v>
      </c>
      <c s="125">
        <f>AX496/(1+IFERROR(INDEX(AX$10:AX$11,Предпосылки!$I213,),0))*IFERROR(INDEX(AX$10:AX$11,Предпосылки!$I213,),0)</f>
        <v>0</v>
      </c>
      <c s="125">
        <f>AY496/(1+IFERROR(INDEX(AY$10:AY$11,Предпосылки!$I213,),0))*IFERROR(INDEX(AY$10:AY$11,Предпосылки!$I213,),0)</f>
        <v>0</v>
      </c>
      <c s="125">
        <f>AZ496/(1+IFERROR(INDEX(AZ$10:AZ$11,Предпосылки!$I213,),0))*IFERROR(INDEX(AZ$10:AZ$11,Предпосылки!$I213,),0)</f>
        <v>0</v>
      </c>
      <c s="125">
        <f>BA496/(1+IFERROR(INDEX(BA$10:BA$11,Предпосылки!$I213,),0))*IFERROR(INDEX(BA$10:BA$11,Предпосылки!$I213,),0)</f>
        <v>0</v>
      </c>
      <c s="125">
        <f>BB496/(1+IFERROR(INDEX(BB$10:BB$11,Предпосылки!$I213,),0))*IFERROR(INDEX(BB$10:BB$11,Предпосылки!$I213,),0)</f>
        <v>0</v>
      </c>
      <c s="125">
        <f>BC496/(1+IFERROR(INDEX(BC$10:BC$11,Предпосылки!$I213,),0))*IFERROR(INDEX(BC$10:BC$11,Предпосылки!$I213,),0)</f>
        <v>0</v>
      </c>
      <c s="125">
        <f>BD496/(1+IFERROR(INDEX(BD$10:BD$11,Предпосылки!$I213,),0))*IFERROR(INDEX(BD$10:BD$11,Предпосылки!$I213,),0)</f>
        <v>0</v>
      </c>
      <c s="125">
        <f>BE496/(1+IFERROR(INDEX(BE$10:BE$11,Предпосылки!$I213,),0))*IFERROR(INDEX(BE$10:BE$11,Предпосылки!$I213,),0)</f>
        <v>0</v>
      </c>
      <c s="125">
        <f>BF496/(1+IFERROR(INDEX(BF$10:BF$11,Предпосылки!$I213,),0))*IFERROR(INDEX(BF$10:BF$11,Предпосылки!$I213,),0)</f>
        <v>0</v>
      </c>
      <c s="125">
        <f>BG496/(1+IFERROR(INDEX(BG$10:BG$11,Предпосылки!$I213,),0))*IFERROR(INDEX(BG$10:BG$11,Предпосылки!$I213,),0)</f>
        <v>0</v>
      </c>
      <c s="125">
        <f>BH496/(1+IFERROR(INDEX(BH$10:BH$11,Предпосылки!$I213,),0))*IFERROR(INDEX(BH$10:BH$11,Предпосылки!$I213,),0)</f>
        <v>0</v>
      </c>
      <c s="125">
        <f>BI496/(1+IFERROR(INDEX(BI$10:BI$11,Предпосылки!$I213,),0))*IFERROR(INDEX(BI$10:BI$11,Предпосылки!$I213,),0)</f>
        <v>0</v>
      </c>
      <c s="125">
        <f>BJ496/(1+IFERROR(INDEX(BJ$10:BJ$11,Предпосылки!$I213,),0))*IFERROR(INDEX(BJ$10:BJ$11,Предпосылки!$I213,),0)</f>
        <v>0</v>
      </c>
      <c s="125">
        <f>BK496/(1+IFERROR(INDEX(BK$10:BK$11,Предпосылки!$I213,),0))*IFERROR(INDEX(BK$10:BK$11,Предпосылки!$I213,),0)</f>
        <v>0</v>
      </c>
      <c s="125">
        <f>BL496/(1+IFERROR(INDEX(BL$10:BL$11,Предпосылки!$I213,),0))*IFERROR(INDEX(BL$10:BL$11,Предпосылки!$I213,),0)</f>
        <v>0</v>
      </c>
      <c s="125">
        <f>BM496/(1+IFERROR(INDEX(BM$10:BM$11,Предпосылки!$I213,),0))*IFERROR(INDEX(BM$10:BM$11,Предпосылки!$I213,),0)</f>
        <v>0</v>
      </c>
    </row>
    <row r="544" spans="2:65" ht="15" customHeight="1">
      <c r="B544" s="12" t="str">
        <f t="shared" si="249"/>
        <v>Операционные затраты 14</v>
      </c>
      <c s="124" t="str">
        <f t="shared" si="250"/>
        <v>тыс. руб.</v>
      </c>
      <c s="276">
        <f t="shared" si="251"/>
        <v>0</v>
      </c>
      <c s="125">
        <f>E497/(1+IFERROR(INDEX(E$10:E$11,Предпосылки!$I214,),0))*IFERROR(INDEX(E$10:E$11,Предпосылки!$I214,),0)</f>
        <v>0</v>
      </c>
      <c s="170">
        <f>F497/(1+IFERROR(INDEX(F$10:F$11,Предпосылки!$I214,),0))*IFERROR(INDEX(F$10:F$11,Предпосылки!$I214,),0)</f>
        <v>0</v>
      </c>
      <c s="125">
        <f>G497/(1+IFERROR(INDEX(G$10:G$11,Предпосылки!$I214,),0))*IFERROR(INDEX(G$10:G$11,Предпосылки!$I214,),0)</f>
        <v>0</v>
      </c>
      <c s="125">
        <f>H497/(1+IFERROR(INDEX(H$10:H$11,Предпосылки!$I214,),0))*IFERROR(INDEX(H$10:H$11,Предпосылки!$I214,),0)</f>
        <v>0</v>
      </c>
      <c s="125">
        <f>I497/(1+IFERROR(INDEX(I$10:I$11,Предпосылки!$I214,),0))*IFERROR(INDEX(I$10:I$11,Предпосылки!$I214,),0)</f>
        <v>0</v>
      </c>
      <c s="125">
        <f>J497/(1+IFERROR(INDEX(J$10:J$11,Предпосылки!$I214,),0))*IFERROR(INDEX(J$10:J$11,Предпосылки!$I214,),0)</f>
        <v>0</v>
      </c>
      <c s="125">
        <f>K497/(1+IFERROR(INDEX(K$10:K$11,Предпосылки!$I214,),0))*IFERROR(INDEX(K$10:K$11,Предпосылки!$I214,),0)</f>
        <v>0</v>
      </c>
      <c s="125">
        <f>L497/(1+IFERROR(INDEX(L$10:L$11,Предпосылки!$I214,),0))*IFERROR(INDEX(L$10:L$11,Предпосылки!$I214,),0)</f>
        <v>0</v>
      </c>
      <c s="125">
        <f>M497/(1+IFERROR(INDEX(M$10:M$11,Предпосылки!$I214,),0))*IFERROR(INDEX(M$10:M$11,Предпосылки!$I214,),0)</f>
        <v>0</v>
      </c>
      <c s="125">
        <f>N497/(1+IFERROR(INDEX(N$10:N$11,Предпосылки!$I214,),0))*IFERROR(INDEX(N$10:N$11,Предпосылки!$I214,),0)</f>
        <v>0</v>
      </c>
      <c s="125">
        <f>O497/(1+IFERROR(INDEX(O$10:O$11,Предпосылки!$I214,),0))*IFERROR(INDEX(O$10:O$11,Предпосылки!$I214,),0)</f>
        <v>0</v>
      </c>
      <c s="125">
        <f>P497/(1+IFERROR(INDEX(P$10:P$11,Предпосылки!$I214,),0))*IFERROR(INDEX(P$10:P$11,Предпосылки!$I214,),0)</f>
        <v>0</v>
      </c>
      <c s="125">
        <f>Q497/(1+IFERROR(INDEX(Q$10:Q$11,Предпосылки!$I214,),0))*IFERROR(INDEX(Q$10:Q$11,Предпосылки!$I214,),0)</f>
        <v>0</v>
      </c>
      <c s="125">
        <f>R497/(1+IFERROR(INDEX(R$10:R$11,Предпосылки!$I214,),0))*IFERROR(INDEX(R$10:R$11,Предпосылки!$I214,),0)</f>
        <v>0</v>
      </c>
      <c s="125">
        <f>S497/(1+IFERROR(INDEX(S$10:S$11,Предпосылки!$I214,),0))*IFERROR(INDEX(S$10:S$11,Предпосылки!$I214,),0)</f>
        <v>0</v>
      </c>
      <c s="125">
        <f>T497/(1+IFERROR(INDEX(T$10:T$11,Предпосылки!$I214,),0))*IFERROR(INDEX(T$10:T$11,Предпосылки!$I214,),0)</f>
        <v>0</v>
      </c>
      <c s="125">
        <f>U497/(1+IFERROR(INDEX(U$10:U$11,Предпосылки!$I214,),0))*IFERROR(INDEX(U$10:U$11,Предпосылки!$I214,),0)</f>
        <v>0</v>
      </c>
      <c s="125">
        <f>V497/(1+IFERROR(INDEX(V$10:V$11,Предпосылки!$I214,),0))*IFERROR(INDEX(V$10:V$11,Предпосылки!$I214,),0)</f>
        <v>0</v>
      </c>
      <c s="125">
        <f>W497/(1+IFERROR(INDEX(W$10:W$11,Предпосылки!$I214,),0))*IFERROR(INDEX(W$10:W$11,Предпосылки!$I214,),0)</f>
        <v>0</v>
      </c>
      <c s="125">
        <f>X497/(1+IFERROR(INDEX(X$10:X$11,Предпосылки!$I214,),0))*IFERROR(INDEX(X$10:X$11,Предпосылки!$I214,),0)</f>
        <v>0</v>
      </c>
      <c s="125">
        <f>Y497/(1+IFERROR(INDEX(Y$10:Y$11,Предпосылки!$I214,),0))*IFERROR(INDEX(Y$10:Y$11,Предпосылки!$I214,),0)</f>
        <v>0</v>
      </c>
      <c s="125">
        <f>Z497/(1+IFERROR(INDEX(Z$10:Z$11,Предпосылки!$I214,),0))*IFERROR(INDEX(Z$10:Z$11,Предпосылки!$I214,),0)</f>
        <v>0</v>
      </c>
      <c s="125">
        <f>AA497/(1+IFERROR(INDEX(AA$10:AA$11,Предпосылки!$I214,),0))*IFERROR(INDEX(AA$10:AA$11,Предпосылки!$I214,),0)</f>
        <v>0</v>
      </c>
      <c s="125">
        <f>AB497/(1+IFERROR(INDEX(AB$10:AB$11,Предпосылки!$I214,),0))*IFERROR(INDEX(AB$10:AB$11,Предпосылки!$I214,),0)</f>
        <v>0</v>
      </c>
      <c s="125">
        <f>AC497/(1+IFERROR(INDEX(AC$10:AC$11,Предпосылки!$I214,),0))*IFERROR(INDEX(AC$10:AC$11,Предпосылки!$I214,),0)</f>
        <v>0</v>
      </c>
      <c s="125">
        <f>AD497/(1+IFERROR(INDEX(AD$10:AD$11,Предпосылки!$I214,),0))*IFERROR(INDEX(AD$10:AD$11,Предпосылки!$I214,),0)</f>
        <v>0</v>
      </c>
      <c s="125">
        <f>AE497/(1+IFERROR(INDEX(AE$10:AE$11,Предпосылки!$I214,),0))*IFERROR(INDEX(AE$10:AE$11,Предпосылки!$I214,),0)</f>
        <v>0</v>
      </c>
      <c s="125">
        <f>AF497/(1+IFERROR(INDEX(AF$10:AF$11,Предпосылки!$I214,),0))*IFERROR(INDEX(AF$10:AF$11,Предпосылки!$I214,),0)</f>
        <v>0</v>
      </c>
      <c s="125">
        <f>AG497/(1+IFERROR(INDEX(AG$10:AG$11,Предпосылки!$I214,),0))*IFERROR(INDEX(AG$10:AG$11,Предпосылки!$I214,),0)</f>
        <v>0</v>
      </c>
      <c s="125">
        <f>AH497/(1+IFERROR(INDEX(AH$10:AH$11,Предпосылки!$I214,),0))*IFERROR(INDEX(AH$10:AH$11,Предпосылки!$I214,),0)</f>
        <v>0</v>
      </c>
      <c s="125">
        <f>AI497/(1+IFERROR(INDEX(AI$10:AI$11,Предпосылки!$I214,),0))*IFERROR(INDEX(AI$10:AI$11,Предпосылки!$I214,),0)</f>
        <v>0</v>
      </c>
      <c s="125">
        <f>AJ497/(1+IFERROR(INDEX(AJ$10:AJ$11,Предпосылки!$I214,),0))*IFERROR(INDEX(AJ$10:AJ$11,Предпосылки!$I214,),0)</f>
        <v>0</v>
      </c>
      <c s="125">
        <f>AK497/(1+IFERROR(INDEX(AK$10:AK$11,Предпосылки!$I214,),0))*IFERROR(INDEX(AK$10:AK$11,Предпосылки!$I214,),0)</f>
        <v>0</v>
      </c>
      <c s="125">
        <f>AL497/(1+IFERROR(INDEX(AL$10:AL$11,Предпосылки!$I214,),0))*IFERROR(INDEX(AL$10:AL$11,Предпосылки!$I214,),0)</f>
        <v>0</v>
      </c>
      <c s="125">
        <f>AM497/(1+IFERROR(INDEX(AM$10:AM$11,Предпосылки!$I214,),0))*IFERROR(INDEX(AM$10:AM$11,Предпосылки!$I214,),0)</f>
        <v>0</v>
      </c>
      <c s="125">
        <f>AN497/(1+IFERROR(INDEX(AN$10:AN$11,Предпосылки!$I214,),0))*IFERROR(INDEX(AN$10:AN$11,Предпосылки!$I214,),0)</f>
        <v>0</v>
      </c>
      <c s="125">
        <f>AO497/(1+IFERROR(INDEX(AO$10:AO$11,Предпосылки!$I214,),0))*IFERROR(INDEX(AO$10:AO$11,Предпосылки!$I214,),0)</f>
        <v>0</v>
      </c>
      <c s="125">
        <f>AP497/(1+IFERROR(INDEX(AP$10:AP$11,Предпосылки!$I214,),0))*IFERROR(INDEX(AP$10:AP$11,Предпосылки!$I214,),0)</f>
        <v>0</v>
      </c>
      <c s="125">
        <f>AQ497/(1+IFERROR(INDEX(AQ$10:AQ$11,Предпосылки!$I214,),0))*IFERROR(INDEX(AQ$10:AQ$11,Предпосылки!$I214,),0)</f>
        <v>0</v>
      </c>
      <c s="125">
        <f>AR497/(1+IFERROR(INDEX(AR$10:AR$11,Предпосылки!$I214,),0))*IFERROR(INDEX(AR$10:AR$11,Предпосылки!$I214,),0)</f>
        <v>0</v>
      </c>
      <c s="125">
        <f>AS497/(1+IFERROR(INDEX(AS$10:AS$11,Предпосылки!$I214,),0))*IFERROR(INDEX(AS$10:AS$11,Предпосылки!$I214,),0)</f>
        <v>0</v>
      </c>
      <c s="125">
        <f>AT497/(1+IFERROR(INDEX(AT$10:AT$11,Предпосылки!$I214,),0))*IFERROR(INDEX(AT$10:AT$11,Предпосылки!$I214,),0)</f>
        <v>0</v>
      </c>
      <c s="125">
        <f>AU497/(1+IFERROR(INDEX(AU$10:AU$11,Предпосылки!$I214,),0))*IFERROR(INDEX(AU$10:AU$11,Предпосылки!$I214,),0)</f>
        <v>0</v>
      </c>
      <c s="125">
        <f>AV497/(1+IFERROR(INDEX(AV$10:AV$11,Предпосылки!$I214,),0))*IFERROR(INDEX(AV$10:AV$11,Предпосылки!$I214,),0)</f>
        <v>0</v>
      </c>
      <c s="125">
        <f>AW497/(1+IFERROR(INDEX(AW$10:AW$11,Предпосылки!$I214,),0))*IFERROR(INDEX(AW$10:AW$11,Предпосылки!$I214,),0)</f>
        <v>0</v>
      </c>
      <c s="125">
        <f>AX497/(1+IFERROR(INDEX(AX$10:AX$11,Предпосылки!$I214,),0))*IFERROR(INDEX(AX$10:AX$11,Предпосылки!$I214,),0)</f>
        <v>0</v>
      </c>
      <c s="125">
        <f>AY497/(1+IFERROR(INDEX(AY$10:AY$11,Предпосылки!$I214,),0))*IFERROR(INDEX(AY$10:AY$11,Предпосылки!$I214,),0)</f>
        <v>0</v>
      </c>
      <c s="125">
        <f>AZ497/(1+IFERROR(INDEX(AZ$10:AZ$11,Предпосылки!$I214,),0))*IFERROR(INDEX(AZ$10:AZ$11,Предпосылки!$I214,),0)</f>
        <v>0</v>
      </c>
      <c s="125">
        <f>BA497/(1+IFERROR(INDEX(BA$10:BA$11,Предпосылки!$I214,),0))*IFERROR(INDEX(BA$10:BA$11,Предпосылки!$I214,),0)</f>
        <v>0</v>
      </c>
      <c s="125">
        <f>BB497/(1+IFERROR(INDEX(BB$10:BB$11,Предпосылки!$I214,),0))*IFERROR(INDEX(BB$10:BB$11,Предпосылки!$I214,),0)</f>
        <v>0</v>
      </c>
      <c s="125">
        <f>BC497/(1+IFERROR(INDEX(BC$10:BC$11,Предпосылки!$I214,),0))*IFERROR(INDEX(BC$10:BC$11,Предпосылки!$I214,),0)</f>
        <v>0</v>
      </c>
      <c s="125">
        <f>BD497/(1+IFERROR(INDEX(BD$10:BD$11,Предпосылки!$I214,),0))*IFERROR(INDEX(BD$10:BD$11,Предпосылки!$I214,),0)</f>
        <v>0</v>
      </c>
      <c s="125">
        <f>BE497/(1+IFERROR(INDEX(BE$10:BE$11,Предпосылки!$I214,),0))*IFERROR(INDEX(BE$10:BE$11,Предпосылки!$I214,),0)</f>
        <v>0</v>
      </c>
      <c s="125">
        <f>BF497/(1+IFERROR(INDEX(BF$10:BF$11,Предпосылки!$I214,),0))*IFERROR(INDEX(BF$10:BF$11,Предпосылки!$I214,),0)</f>
        <v>0</v>
      </c>
      <c s="125">
        <f>BG497/(1+IFERROR(INDEX(BG$10:BG$11,Предпосылки!$I214,),0))*IFERROR(INDEX(BG$10:BG$11,Предпосылки!$I214,),0)</f>
        <v>0</v>
      </c>
      <c s="125">
        <f>BH497/(1+IFERROR(INDEX(BH$10:BH$11,Предпосылки!$I214,),0))*IFERROR(INDEX(BH$10:BH$11,Предпосылки!$I214,),0)</f>
        <v>0</v>
      </c>
      <c s="125">
        <f>BI497/(1+IFERROR(INDEX(BI$10:BI$11,Предпосылки!$I214,),0))*IFERROR(INDEX(BI$10:BI$11,Предпосылки!$I214,),0)</f>
        <v>0</v>
      </c>
      <c s="125">
        <f>BJ497/(1+IFERROR(INDEX(BJ$10:BJ$11,Предпосылки!$I214,),0))*IFERROR(INDEX(BJ$10:BJ$11,Предпосылки!$I214,),0)</f>
        <v>0</v>
      </c>
      <c s="125">
        <f>BK497/(1+IFERROR(INDEX(BK$10:BK$11,Предпосылки!$I214,),0))*IFERROR(INDEX(BK$10:BK$11,Предпосылки!$I214,),0)</f>
        <v>0</v>
      </c>
      <c s="125">
        <f>BL497/(1+IFERROR(INDEX(BL$10:BL$11,Предпосылки!$I214,),0))*IFERROR(INDEX(BL$10:BL$11,Предпосылки!$I214,),0)</f>
        <v>0</v>
      </c>
      <c s="125">
        <f>BM497/(1+IFERROR(INDEX(BM$10:BM$11,Предпосылки!$I214,),0))*IFERROR(INDEX(BM$10:BM$11,Предпосылки!$I214,),0)</f>
        <v>0</v>
      </c>
    </row>
    <row r="545" spans="2:65" ht="15" customHeight="1">
      <c r="B545" s="12" t="str">
        <f t="shared" si="249"/>
        <v>Операционные затраты 15</v>
      </c>
      <c s="124" t="str">
        <f t="shared" si="250"/>
        <v>тыс. руб.</v>
      </c>
      <c s="276">
        <f t="shared" si="251"/>
        <v>0</v>
      </c>
      <c s="125">
        <f>E498/(1+IFERROR(INDEX(E$10:E$11,Предпосылки!$I215,),0))*IFERROR(INDEX(E$10:E$11,Предпосылки!$I215,),0)</f>
        <v>0</v>
      </c>
      <c s="170">
        <f>F498/(1+IFERROR(INDEX(F$10:F$11,Предпосылки!$I215,),0))*IFERROR(INDEX(F$10:F$11,Предпосылки!$I215,),0)</f>
        <v>0</v>
      </c>
      <c s="125">
        <f>G498/(1+IFERROR(INDEX(G$10:G$11,Предпосылки!$I215,),0))*IFERROR(INDEX(G$10:G$11,Предпосылки!$I215,),0)</f>
        <v>0</v>
      </c>
      <c s="125">
        <f>H498/(1+IFERROR(INDEX(H$10:H$11,Предпосылки!$I215,),0))*IFERROR(INDEX(H$10:H$11,Предпосылки!$I215,),0)</f>
        <v>0</v>
      </c>
      <c s="125">
        <f>I498/(1+IFERROR(INDEX(I$10:I$11,Предпосылки!$I215,),0))*IFERROR(INDEX(I$10:I$11,Предпосылки!$I215,),0)</f>
        <v>0</v>
      </c>
      <c s="125">
        <f>J498/(1+IFERROR(INDEX(J$10:J$11,Предпосылки!$I215,),0))*IFERROR(INDEX(J$10:J$11,Предпосылки!$I215,),0)</f>
        <v>0</v>
      </c>
      <c s="125">
        <f>K498/(1+IFERROR(INDEX(K$10:K$11,Предпосылки!$I215,),0))*IFERROR(INDEX(K$10:K$11,Предпосылки!$I215,),0)</f>
        <v>0</v>
      </c>
      <c s="125">
        <f>L498/(1+IFERROR(INDEX(L$10:L$11,Предпосылки!$I215,),0))*IFERROR(INDEX(L$10:L$11,Предпосылки!$I215,),0)</f>
        <v>0</v>
      </c>
      <c s="125">
        <f>M498/(1+IFERROR(INDEX(M$10:M$11,Предпосылки!$I215,),0))*IFERROR(INDEX(M$10:M$11,Предпосылки!$I215,),0)</f>
        <v>0</v>
      </c>
      <c s="125">
        <f>N498/(1+IFERROR(INDEX(N$10:N$11,Предпосылки!$I215,),0))*IFERROR(INDEX(N$10:N$11,Предпосылки!$I215,),0)</f>
        <v>0</v>
      </c>
      <c s="125">
        <f>O498/(1+IFERROR(INDEX(O$10:O$11,Предпосылки!$I215,),0))*IFERROR(INDEX(O$10:O$11,Предпосылки!$I215,),0)</f>
        <v>0</v>
      </c>
      <c s="125">
        <f>P498/(1+IFERROR(INDEX(P$10:P$11,Предпосылки!$I215,),0))*IFERROR(INDEX(P$10:P$11,Предпосылки!$I215,),0)</f>
        <v>0</v>
      </c>
      <c s="125">
        <f>Q498/(1+IFERROR(INDEX(Q$10:Q$11,Предпосылки!$I215,),0))*IFERROR(INDEX(Q$10:Q$11,Предпосылки!$I215,),0)</f>
        <v>0</v>
      </c>
      <c s="125">
        <f>R498/(1+IFERROR(INDEX(R$10:R$11,Предпосылки!$I215,),0))*IFERROR(INDEX(R$10:R$11,Предпосылки!$I215,),0)</f>
        <v>0</v>
      </c>
      <c s="125">
        <f>S498/(1+IFERROR(INDEX(S$10:S$11,Предпосылки!$I215,),0))*IFERROR(INDEX(S$10:S$11,Предпосылки!$I215,),0)</f>
        <v>0</v>
      </c>
      <c s="125">
        <f>T498/(1+IFERROR(INDEX(T$10:T$11,Предпосылки!$I215,),0))*IFERROR(INDEX(T$10:T$11,Предпосылки!$I215,),0)</f>
        <v>0</v>
      </c>
      <c s="125">
        <f>U498/(1+IFERROR(INDEX(U$10:U$11,Предпосылки!$I215,),0))*IFERROR(INDEX(U$10:U$11,Предпосылки!$I215,),0)</f>
        <v>0</v>
      </c>
      <c s="125">
        <f>V498/(1+IFERROR(INDEX(V$10:V$11,Предпосылки!$I215,),0))*IFERROR(INDEX(V$10:V$11,Предпосылки!$I215,),0)</f>
        <v>0</v>
      </c>
      <c s="125">
        <f>W498/(1+IFERROR(INDEX(W$10:W$11,Предпосылки!$I215,),0))*IFERROR(INDEX(W$10:W$11,Предпосылки!$I215,),0)</f>
        <v>0</v>
      </c>
      <c s="125">
        <f>X498/(1+IFERROR(INDEX(X$10:X$11,Предпосылки!$I215,),0))*IFERROR(INDEX(X$10:X$11,Предпосылки!$I215,),0)</f>
        <v>0</v>
      </c>
      <c s="125">
        <f>Y498/(1+IFERROR(INDEX(Y$10:Y$11,Предпосылки!$I215,),0))*IFERROR(INDEX(Y$10:Y$11,Предпосылки!$I215,),0)</f>
        <v>0</v>
      </c>
      <c s="125">
        <f>Z498/(1+IFERROR(INDEX(Z$10:Z$11,Предпосылки!$I215,),0))*IFERROR(INDEX(Z$10:Z$11,Предпосылки!$I215,),0)</f>
        <v>0</v>
      </c>
      <c s="125">
        <f>AA498/(1+IFERROR(INDEX(AA$10:AA$11,Предпосылки!$I215,),0))*IFERROR(INDEX(AA$10:AA$11,Предпосылки!$I215,),0)</f>
        <v>0</v>
      </c>
      <c s="125">
        <f>AB498/(1+IFERROR(INDEX(AB$10:AB$11,Предпосылки!$I215,),0))*IFERROR(INDEX(AB$10:AB$11,Предпосылки!$I215,),0)</f>
        <v>0</v>
      </c>
      <c s="125">
        <f>AC498/(1+IFERROR(INDEX(AC$10:AC$11,Предпосылки!$I215,),0))*IFERROR(INDEX(AC$10:AC$11,Предпосылки!$I215,),0)</f>
        <v>0</v>
      </c>
      <c s="125">
        <f>AD498/(1+IFERROR(INDEX(AD$10:AD$11,Предпосылки!$I215,),0))*IFERROR(INDEX(AD$10:AD$11,Предпосылки!$I215,),0)</f>
        <v>0</v>
      </c>
      <c s="125">
        <f>AE498/(1+IFERROR(INDEX(AE$10:AE$11,Предпосылки!$I215,),0))*IFERROR(INDEX(AE$10:AE$11,Предпосылки!$I215,),0)</f>
        <v>0</v>
      </c>
      <c s="125">
        <f>AF498/(1+IFERROR(INDEX(AF$10:AF$11,Предпосылки!$I215,),0))*IFERROR(INDEX(AF$10:AF$11,Предпосылки!$I215,),0)</f>
        <v>0</v>
      </c>
      <c s="125">
        <f>AG498/(1+IFERROR(INDEX(AG$10:AG$11,Предпосылки!$I215,),0))*IFERROR(INDEX(AG$10:AG$11,Предпосылки!$I215,),0)</f>
        <v>0</v>
      </c>
      <c s="125">
        <f>AH498/(1+IFERROR(INDEX(AH$10:AH$11,Предпосылки!$I215,),0))*IFERROR(INDEX(AH$10:AH$11,Предпосылки!$I215,),0)</f>
        <v>0</v>
      </c>
      <c s="125">
        <f>AI498/(1+IFERROR(INDEX(AI$10:AI$11,Предпосылки!$I215,),0))*IFERROR(INDEX(AI$10:AI$11,Предпосылки!$I215,),0)</f>
        <v>0</v>
      </c>
      <c s="125">
        <f>AJ498/(1+IFERROR(INDEX(AJ$10:AJ$11,Предпосылки!$I215,),0))*IFERROR(INDEX(AJ$10:AJ$11,Предпосылки!$I215,),0)</f>
        <v>0</v>
      </c>
      <c s="125">
        <f>AK498/(1+IFERROR(INDEX(AK$10:AK$11,Предпосылки!$I215,),0))*IFERROR(INDEX(AK$10:AK$11,Предпосылки!$I215,),0)</f>
        <v>0</v>
      </c>
      <c s="125">
        <f>AL498/(1+IFERROR(INDEX(AL$10:AL$11,Предпосылки!$I215,),0))*IFERROR(INDEX(AL$10:AL$11,Предпосылки!$I215,),0)</f>
        <v>0</v>
      </c>
      <c s="125">
        <f>AM498/(1+IFERROR(INDEX(AM$10:AM$11,Предпосылки!$I215,),0))*IFERROR(INDEX(AM$10:AM$11,Предпосылки!$I215,),0)</f>
        <v>0</v>
      </c>
      <c s="125">
        <f>AN498/(1+IFERROR(INDEX(AN$10:AN$11,Предпосылки!$I215,),0))*IFERROR(INDEX(AN$10:AN$11,Предпосылки!$I215,),0)</f>
        <v>0</v>
      </c>
      <c s="125">
        <f>AO498/(1+IFERROR(INDEX(AO$10:AO$11,Предпосылки!$I215,),0))*IFERROR(INDEX(AO$10:AO$11,Предпосылки!$I215,),0)</f>
        <v>0</v>
      </c>
      <c s="125">
        <f>AP498/(1+IFERROR(INDEX(AP$10:AP$11,Предпосылки!$I215,),0))*IFERROR(INDEX(AP$10:AP$11,Предпосылки!$I215,),0)</f>
        <v>0</v>
      </c>
      <c s="125">
        <f>AQ498/(1+IFERROR(INDEX(AQ$10:AQ$11,Предпосылки!$I215,),0))*IFERROR(INDEX(AQ$10:AQ$11,Предпосылки!$I215,),0)</f>
        <v>0</v>
      </c>
      <c s="125">
        <f>AR498/(1+IFERROR(INDEX(AR$10:AR$11,Предпосылки!$I215,),0))*IFERROR(INDEX(AR$10:AR$11,Предпосылки!$I215,),0)</f>
        <v>0</v>
      </c>
      <c s="125">
        <f>AS498/(1+IFERROR(INDEX(AS$10:AS$11,Предпосылки!$I215,),0))*IFERROR(INDEX(AS$10:AS$11,Предпосылки!$I215,),0)</f>
        <v>0</v>
      </c>
      <c s="125">
        <f>AT498/(1+IFERROR(INDEX(AT$10:AT$11,Предпосылки!$I215,),0))*IFERROR(INDEX(AT$10:AT$11,Предпосылки!$I215,),0)</f>
        <v>0</v>
      </c>
      <c s="125">
        <f>AU498/(1+IFERROR(INDEX(AU$10:AU$11,Предпосылки!$I215,),0))*IFERROR(INDEX(AU$10:AU$11,Предпосылки!$I215,),0)</f>
        <v>0</v>
      </c>
      <c s="125">
        <f>AV498/(1+IFERROR(INDEX(AV$10:AV$11,Предпосылки!$I215,),0))*IFERROR(INDEX(AV$10:AV$11,Предпосылки!$I215,),0)</f>
        <v>0</v>
      </c>
      <c s="125">
        <f>AW498/(1+IFERROR(INDEX(AW$10:AW$11,Предпосылки!$I215,),0))*IFERROR(INDEX(AW$10:AW$11,Предпосылки!$I215,),0)</f>
        <v>0</v>
      </c>
      <c s="125">
        <f>AX498/(1+IFERROR(INDEX(AX$10:AX$11,Предпосылки!$I215,),0))*IFERROR(INDEX(AX$10:AX$11,Предпосылки!$I215,),0)</f>
        <v>0</v>
      </c>
      <c s="125">
        <f>AY498/(1+IFERROR(INDEX(AY$10:AY$11,Предпосылки!$I215,),0))*IFERROR(INDEX(AY$10:AY$11,Предпосылки!$I215,),0)</f>
        <v>0</v>
      </c>
      <c s="125">
        <f>AZ498/(1+IFERROR(INDEX(AZ$10:AZ$11,Предпосылки!$I215,),0))*IFERROR(INDEX(AZ$10:AZ$11,Предпосылки!$I215,),0)</f>
        <v>0</v>
      </c>
      <c s="125">
        <f>BA498/(1+IFERROR(INDEX(BA$10:BA$11,Предпосылки!$I215,),0))*IFERROR(INDEX(BA$10:BA$11,Предпосылки!$I215,),0)</f>
        <v>0</v>
      </c>
      <c s="125">
        <f>BB498/(1+IFERROR(INDEX(BB$10:BB$11,Предпосылки!$I215,),0))*IFERROR(INDEX(BB$10:BB$11,Предпосылки!$I215,),0)</f>
        <v>0</v>
      </c>
      <c s="125">
        <f>BC498/(1+IFERROR(INDEX(BC$10:BC$11,Предпосылки!$I215,),0))*IFERROR(INDEX(BC$10:BC$11,Предпосылки!$I215,),0)</f>
        <v>0</v>
      </c>
      <c s="125">
        <f>BD498/(1+IFERROR(INDEX(BD$10:BD$11,Предпосылки!$I215,),0))*IFERROR(INDEX(BD$10:BD$11,Предпосылки!$I215,),0)</f>
        <v>0</v>
      </c>
      <c s="125">
        <f>BE498/(1+IFERROR(INDEX(BE$10:BE$11,Предпосылки!$I215,),0))*IFERROR(INDEX(BE$10:BE$11,Предпосылки!$I215,),0)</f>
        <v>0</v>
      </c>
      <c s="125">
        <f>BF498/(1+IFERROR(INDEX(BF$10:BF$11,Предпосылки!$I215,),0))*IFERROR(INDEX(BF$10:BF$11,Предпосылки!$I215,),0)</f>
        <v>0</v>
      </c>
      <c s="125">
        <f>BG498/(1+IFERROR(INDEX(BG$10:BG$11,Предпосылки!$I215,),0))*IFERROR(INDEX(BG$10:BG$11,Предпосылки!$I215,),0)</f>
        <v>0</v>
      </c>
      <c s="125">
        <f>BH498/(1+IFERROR(INDEX(BH$10:BH$11,Предпосылки!$I215,),0))*IFERROR(INDEX(BH$10:BH$11,Предпосылки!$I215,),0)</f>
        <v>0</v>
      </c>
      <c s="125">
        <f>BI498/(1+IFERROR(INDEX(BI$10:BI$11,Предпосылки!$I215,),0))*IFERROR(INDEX(BI$10:BI$11,Предпосылки!$I215,),0)</f>
        <v>0</v>
      </c>
      <c s="125">
        <f>BJ498/(1+IFERROR(INDEX(BJ$10:BJ$11,Предпосылки!$I215,),0))*IFERROR(INDEX(BJ$10:BJ$11,Предпосылки!$I215,),0)</f>
        <v>0</v>
      </c>
      <c s="125">
        <f>BK498/(1+IFERROR(INDEX(BK$10:BK$11,Предпосылки!$I215,),0))*IFERROR(INDEX(BK$10:BK$11,Предпосылки!$I215,),0)</f>
        <v>0</v>
      </c>
      <c s="125">
        <f>BL498/(1+IFERROR(INDEX(BL$10:BL$11,Предпосылки!$I215,),0))*IFERROR(INDEX(BL$10:BL$11,Предпосылки!$I215,),0)</f>
        <v>0</v>
      </c>
      <c s="125">
        <f>BM498/(1+IFERROR(INDEX(BM$10:BM$11,Предпосылки!$I215,),0))*IFERROR(INDEX(BM$10:BM$11,Предпосылки!$I215,),0)</f>
        <v>0</v>
      </c>
    </row>
    <row r="546" spans="2:65" ht="15" customHeight="1">
      <c r="B546" s="12" t="str">
        <f t="shared" si="249"/>
        <v>Операционные затраты 16</v>
      </c>
      <c s="124" t="str">
        <f t="shared" si="250"/>
        <v>тыс. руб.</v>
      </c>
      <c s="276">
        <f t="shared" si="251"/>
        <v>0</v>
      </c>
      <c s="125">
        <f>E499/(1+IFERROR(INDEX(E$10:E$11,Предпосылки!$I216,),0))*IFERROR(INDEX(E$10:E$11,Предпосылки!$I216,),0)</f>
        <v>0</v>
      </c>
      <c s="170">
        <f>F499/(1+IFERROR(INDEX(F$10:F$11,Предпосылки!$I216,),0))*IFERROR(INDEX(F$10:F$11,Предпосылки!$I216,),0)</f>
        <v>0</v>
      </c>
      <c s="125">
        <f>G499/(1+IFERROR(INDEX(G$10:G$11,Предпосылки!$I216,),0))*IFERROR(INDEX(G$10:G$11,Предпосылки!$I216,),0)</f>
        <v>0</v>
      </c>
      <c s="125">
        <f>H499/(1+IFERROR(INDEX(H$10:H$11,Предпосылки!$I216,),0))*IFERROR(INDEX(H$10:H$11,Предпосылки!$I216,),0)</f>
        <v>0</v>
      </c>
      <c s="125">
        <f>I499/(1+IFERROR(INDEX(I$10:I$11,Предпосылки!$I216,),0))*IFERROR(INDEX(I$10:I$11,Предпосылки!$I216,),0)</f>
        <v>0</v>
      </c>
      <c s="125">
        <f>J499/(1+IFERROR(INDEX(J$10:J$11,Предпосылки!$I216,),0))*IFERROR(INDEX(J$10:J$11,Предпосылки!$I216,),0)</f>
        <v>0</v>
      </c>
      <c s="125">
        <f>K499/(1+IFERROR(INDEX(K$10:K$11,Предпосылки!$I216,),0))*IFERROR(INDEX(K$10:K$11,Предпосылки!$I216,),0)</f>
        <v>0</v>
      </c>
      <c s="125">
        <f>L499/(1+IFERROR(INDEX(L$10:L$11,Предпосылки!$I216,),0))*IFERROR(INDEX(L$10:L$11,Предпосылки!$I216,),0)</f>
        <v>0</v>
      </c>
      <c s="125">
        <f>M499/(1+IFERROR(INDEX(M$10:M$11,Предпосылки!$I216,),0))*IFERROR(INDEX(M$10:M$11,Предпосылки!$I216,),0)</f>
        <v>0</v>
      </c>
      <c s="125">
        <f>N499/(1+IFERROR(INDEX(N$10:N$11,Предпосылки!$I216,),0))*IFERROR(INDEX(N$10:N$11,Предпосылки!$I216,),0)</f>
        <v>0</v>
      </c>
      <c s="125">
        <f>O499/(1+IFERROR(INDEX(O$10:O$11,Предпосылки!$I216,),0))*IFERROR(INDEX(O$10:O$11,Предпосылки!$I216,),0)</f>
        <v>0</v>
      </c>
      <c s="125">
        <f>P499/(1+IFERROR(INDEX(P$10:P$11,Предпосылки!$I216,),0))*IFERROR(INDEX(P$10:P$11,Предпосылки!$I216,),0)</f>
        <v>0</v>
      </c>
      <c s="125">
        <f>Q499/(1+IFERROR(INDEX(Q$10:Q$11,Предпосылки!$I216,),0))*IFERROR(INDEX(Q$10:Q$11,Предпосылки!$I216,),0)</f>
        <v>0</v>
      </c>
      <c s="125">
        <f>R499/(1+IFERROR(INDEX(R$10:R$11,Предпосылки!$I216,),0))*IFERROR(INDEX(R$10:R$11,Предпосылки!$I216,),0)</f>
        <v>0</v>
      </c>
      <c s="125">
        <f>S499/(1+IFERROR(INDEX(S$10:S$11,Предпосылки!$I216,),0))*IFERROR(INDEX(S$10:S$11,Предпосылки!$I216,),0)</f>
        <v>0</v>
      </c>
      <c s="125">
        <f>T499/(1+IFERROR(INDEX(T$10:T$11,Предпосылки!$I216,),0))*IFERROR(INDEX(T$10:T$11,Предпосылки!$I216,),0)</f>
        <v>0</v>
      </c>
      <c s="125">
        <f>U499/(1+IFERROR(INDEX(U$10:U$11,Предпосылки!$I216,),0))*IFERROR(INDEX(U$10:U$11,Предпосылки!$I216,),0)</f>
        <v>0</v>
      </c>
      <c s="125">
        <f>V499/(1+IFERROR(INDEX(V$10:V$11,Предпосылки!$I216,),0))*IFERROR(INDEX(V$10:V$11,Предпосылки!$I216,),0)</f>
        <v>0</v>
      </c>
      <c s="125">
        <f>W499/(1+IFERROR(INDEX(W$10:W$11,Предпосылки!$I216,),0))*IFERROR(INDEX(W$10:W$11,Предпосылки!$I216,),0)</f>
        <v>0</v>
      </c>
      <c s="125">
        <f>X499/(1+IFERROR(INDEX(X$10:X$11,Предпосылки!$I216,),0))*IFERROR(INDEX(X$10:X$11,Предпосылки!$I216,),0)</f>
        <v>0</v>
      </c>
      <c s="125">
        <f>Y499/(1+IFERROR(INDEX(Y$10:Y$11,Предпосылки!$I216,),0))*IFERROR(INDEX(Y$10:Y$11,Предпосылки!$I216,),0)</f>
        <v>0</v>
      </c>
      <c s="125">
        <f>Z499/(1+IFERROR(INDEX(Z$10:Z$11,Предпосылки!$I216,),0))*IFERROR(INDEX(Z$10:Z$11,Предпосылки!$I216,),0)</f>
        <v>0</v>
      </c>
      <c s="125">
        <f>AA499/(1+IFERROR(INDEX(AA$10:AA$11,Предпосылки!$I216,),0))*IFERROR(INDEX(AA$10:AA$11,Предпосылки!$I216,),0)</f>
        <v>0</v>
      </c>
      <c s="125">
        <f>AB499/(1+IFERROR(INDEX(AB$10:AB$11,Предпосылки!$I216,),0))*IFERROR(INDEX(AB$10:AB$11,Предпосылки!$I216,),0)</f>
        <v>0</v>
      </c>
      <c s="125">
        <f>AC499/(1+IFERROR(INDEX(AC$10:AC$11,Предпосылки!$I216,),0))*IFERROR(INDEX(AC$10:AC$11,Предпосылки!$I216,),0)</f>
        <v>0</v>
      </c>
      <c s="125">
        <f>AD499/(1+IFERROR(INDEX(AD$10:AD$11,Предпосылки!$I216,),0))*IFERROR(INDEX(AD$10:AD$11,Предпосылки!$I216,),0)</f>
        <v>0</v>
      </c>
      <c s="125">
        <f>AE499/(1+IFERROR(INDEX(AE$10:AE$11,Предпосылки!$I216,),0))*IFERROR(INDEX(AE$10:AE$11,Предпосылки!$I216,),0)</f>
        <v>0</v>
      </c>
      <c s="125">
        <f>AF499/(1+IFERROR(INDEX(AF$10:AF$11,Предпосылки!$I216,),0))*IFERROR(INDEX(AF$10:AF$11,Предпосылки!$I216,),0)</f>
        <v>0</v>
      </c>
      <c s="125">
        <f>AG499/(1+IFERROR(INDEX(AG$10:AG$11,Предпосылки!$I216,),0))*IFERROR(INDEX(AG$10:AG$11,Предпосылки!$I216,),0)</f>
        <v>0</v>
      </c>
      <c s="125">
        <f>AH499/(1+IFERROR(INDEX(AH$10:AH$11,Предпосылки!$I216,),0))*IFERROR(INDEX(AH$10:AH$11,Предпосылки!$I216,),0)</f>
        <v>0</v>
      </c>
      <c s="125">
        <f>AI499/(1+IFERROR(INDEX(AI$10:AI$11,Предпосылки!$I216,),0))*IFERROR(INDEX(AI$10:AI$11,Предпосылки!$I216,),0)</f>
        <v>0</v>
      </c>
      <c s="125">
        <f>AJ499/(1+IFERROR(INDEX(AJ$10:AJ$11,Предпосылки!$I216,),0))*IFERROR(INDEX(AJ$10:AJ$11,Предпосылки!$I216,),0)</f>
        <v>0</v>
      </c>
      <c s="125">
        <f>AK499/(1+IFERROR(INDEX(AK$10:AK$11,Предпосылки!$I216,),0))*IFERROR(INDEX(AK$10:AK$11,Предпосылки!$I216,),0)</f>
        <v>0</v>
      </c>
      <c s="125">
        <f>AL499/(1+IFERROR(INDEX(AL$10:AL$11,Предпосылки!$I216,),0))*IFERROR(INDEX(AL$10:AL$11,Предпосылки!$I216,),0)</f>
        <v>0</v>
      </c>
      <c s="125">
        <f>AM499/(1+IFERROR(INDEX(AM$10:AM$11,Предпосылки!$I216,),0))*IFERROR(INDEX(AM$10:AM$11,Предпосылки!$I216,),0)</f>
        <v>0</v>
      </c>
      <c s="125">
        <f>AN499/(1+IFERROR(INDEX(AN$10:AN$11,Предпосылки!$I216,),0))*IFERROR(INDEX(AN$10:AN$11,Предпосылки!$I216,),0)</f>
        <v>0</v>
      </c>
      <c s="125">
        <f>AO499/(1+IFERROR(INDEX(AO$10:AO$11,Предпосылки!$I216,),0))*IFERROR(INDEX(AO$10:AO$11,Предпосылки!$I216,),0)</f>
        <v>0</v>
      </c>
      <c s="125">
        <f>AP499/(1+IFERROR(INDEX(AP$10:AP$11,Предпосылки!$I216,),0))*IFERROR(INDEX(AP$10:AP$11,Предпосылки!$I216,),0)</f>
        <v>0</v>
      </c>
      <c s="125">
        <f>AQ499/(1+IFERROR(INDEX(AQ$10:AQ$11,Предпосылки!$I216,),0))*IFERROR(INDEX(AQ$10:AQ$11,Предпосылки!$I216,),0)</f>
        <v>0</v>
      </c>
      <c s="125">
        <f>AR499/(1+IFERROR(INDEX(AR$10:AR$11,Предпосылки!$I216,),0))*IFERROR(INDEX(AR$10:AR$11,Предпосылки!$I216,),0)</f>
        <v>0</v>
      </c>
      <c s="125">
        <f>AS499/(1+IFERROR(INDEX(AS$10:AS$11,Предпосылки!$I216,),0))*IFERROR(INDEX(AS$10:AS$11,Предпосылки!$I216,),0)</f>
        <v>0</v>
      </c>
      <c s="125">
        <f>AT499/(1+IFERROR(INDEX(AT$10:AT$11,Предпосылки!$I216,),0))*IFERROR(INDEX(AT$10:AT$11,Предпосылки!$I216,),0)</f>
        <v>0</v>
      </c>
      <c s="125">
        <f>AU499/(1+IFERROR(INDEX(AU$10:AU$11,Предпосылки!$I216,),0))*IFERROR(INDEX(AU$10:AU$11,Предпосылки!$I216,),0)</f>
        <v>0</v>
      </c>
      <c s="125">
        <f>AV499/(1+IFERROR(INDEX(AV$10:AV$11,Предпосылки!$I216,),0))*IFERROR(INDEX(AV$10:AV$11,Предпосылки!$I216,),0)</f>
        <v>0</v>
      </c>
      <c s="125">
        <f>AW499/(1+IFERROR(INDEX(AW$10:AW$11,Предпосылки!$I216,),0))*IFERROR(INDEX(AW$10:AW$11,Предпосылки!$I216,),0)</f>
        <v>0</v>
      </c>
      <c s="125">
        <f>AX499/(1+IFERROR(INDEX(AX$10:AX$11,Предпосылки!$I216,),0))*IFERROR(INDEX(AX$10:AX$11,Предпосылки!$I216,),0)</f>
        <v>0</v>
      </c>
      <c s="125">
        <f>AY499/(1+IFERROR(INDEX(AY$10:AY$11,Предпосылки!$I216,),0))*IFERROR(INDEX(AY$10:AY$11,Предпосылки!$I216,),0)</f>
        <v>0</v>
      </c>
      <c s="125">
        <f>AZ499/(1+IFERROR(INDEX(AZ$10:AZ$11,Предпосылки!$I216,),0))*IFERROR(INDEX(AZ$10:AZ$11,Предпосылки!$I216,),0)</f>
        <v>0</v>
      </c>
      <c s="125">
        <f>BA499/(1+IFERROR(INDEX(BA$10:BA$11,Предпосылки!$I216,),0))*IFERROR(INDEX(BA$10:BA$11,Предпосылки!$I216,),0)</f>
        <v>0</v>
      </c>
      <c s="125">
        <f>BB499/(1+IFERROR(INDEX(BB$10:BB$11,Предпосылки!$I216,),0))*IFERROR(INDEX(BB$10:BB$11,Предпосылки!$I216,),0)</f>
        <v>0</v>
      </c>
      <c s="125">
        <f>BC499/(1+IFERROR(INDEX(BC$10:BC$11,Предпосылки!$I216,),0))*IFERROR(INDEX(BC$10:BC$11,Предпосылки!$I216,),0)</f>
        <v>0</v>
      </c>
      <c s="125">
        <f>BD499/(1+IFERROR(INDEX(BD$10:BD$11,Предпосылки!$I216,),0))*IFERROR(INDEX(BD$10:BD$11,Предпосылки!$I216,),0)</f>
        <v>0</v>
      </c>
      <c s="125">
        <f>BE499/(1+IFERROR(INDEX(BE$10:BE$11,Предпосылки!$I216,),0))*IFERROR(INDEX(BE$10:BE$11,Предпосылки!$I216,),0)</f>
        <v>0</v>
      </c>
      <c s="125">
        <f>BF499/(1+IFERROR(INDEX(BF$10:BF$11,Предпосылки!$I216,),0))*IFERROR(INDEX(BF$10:BF$11,Предпосылки!$I216,),0)</f>
        <v>0</v>
      </c>
      <c s="125">
        <f>BG499/(1+IFERROR(INDEX(BG$10:BG$11,Предпосылки!$I216,),0))*IFERROR(INDEX(BG$10:BG$11,Предпосылки!$I216,),0)</f>
        <v>0</v>
      </c>
      <c s="125">
        <f>BH499/(1+IFERROR(INDEX(BH$10:BH$11,Предпосылки!$I216,),0))*IFERROR(INDEX(BH$10:BH$11,Предпосылки!$I216,),0)</f>
        <v>0</v>
      </c>
      <c s="125">
        <f>BI499/(1+IFERROR(INDEX(BI$10:BI$11,Предпосылки!$I216,),0))*IFERROR(INDEX(BI$10:BI$11,Предпосылки!$I216,),0)</f>
        <v>0</v>
      </c>
      <c s="125">
        <f>BJ499/(1+IFERROR(INDEX(BJ$10:BJ$11,Предпосылки!$I216,),0))*IFERROR(INDEX(BJ$10:BJ$11,Предпосылки!$I216,),0)</f>
        <v>0</v>
      </c>
      <c s="125">
        <f>BK499/(1+IFERROR(INDEX(BK$10:BK$11,Предпосылки!$I216,),0))*IFERROR(INDEX(BK$10:BK$11,Предпосылки!$I216,),0)</f>
        <v>0</v>
      </c>
      <c s="125">
        <f>BL499/(1+IFERROR(INDEX(BL$10:BL$11,Предпосылки!$I216,),0))*IFERROR(INDEX(BL$10:BL$11,Предпосылки!$I216,),0)</f>
        <v>0</v>
      </c>
      <c s="125">
        <f>BM499/(1+IFERROR(INDEX(BM$10:BM$11,Предпосылки!$I216,),0))*IFERROR(INDEX(BM$10:BM$11,Предпосылки!$I216,),0)</f>
        <v>0</v>
      </c>
    </row>
    <row r="547" spans="2:65" ht="15" customHeight="1">
      <c r="B547" s="12" t="str">
        <f t="shared" si="249"/>
        <v>Операционные затраты 17</v>
      </c>
      <c s="124" t="str">
        <f t="shared" si="250"/>
        <v>тыс. руб.</v>
      </c>
      <c s="276">
        <f t="shared" si="251"/>
        <v>0</v>
      </c>
      <c s="125">
        <f>E500/(1+IFERROR(INDEX(E$10:E$11,Предпосылки!$I217,),0))*IFERROR(INDEX(E$10:E$11,Предпосылки!$I217,),0)</f>
        <v>0</v>
      </c>
      <c s="170">
        <f>F500/(1+IFERROR(INDEX(F$10:F$11,Предпосылки!$I217,),0))*IFERROR(INDEX(F$10:F$11,Предпосылки!$I217,),0)</f>
        <v>0</v>
      </c>
      <c s="125">
        <f>G500/(1+IFERROR(INDEX(G$10:G$11,Предпосылки!$I217,),0))*IFERROR(INDEX(G$10:G$11,Предпосылки!$I217,),0)</f>
        <v>0</v>
      </c>
      <c s="125">
        <f>H500/(1+IFERROR(INDEX(H$10:H$11,Предпосылки!$I217,),0))*IFERROR(INDEX(H$10:H$11,Предпосылки!$I217,),0)</f>
        <v>0</v>
      </c>
      <c s="125">
        <f>I500/(1+IFERROR(INDEX(I$10:I$11,Предпосылки!$I217,),0))*IFERROR(INDEX(I$10:I$11,Предпосылки!$I217,),0)</f>
        <v>0</v>
      </c>
      <c s="125">
        <f>J500/(1+IFERROR(INDEX(J$10:J$11,Предпосылки!$I217,),0))*IFERROR(INDEX(J$10:J$11,Предпосылки!$I217,),0)</f>
        <v>0</v>
      </c>
      <c s="125">
        <f>K500/(1+IFERROR(INDEX(K$10:K$11,Предпосылки!$I217,),0))*IFERROR(INDEX(K$10:K$11,Предпосылки!$I217,),0)</f>
        <v>0</v>
      </c>
      <c s="125">
        <f>L500/(1+IFERROR(INDEX(L$10:L$11,Предпосылки!$I217,),0))*IFERROR(INDEX(L$10:L$11,Предпосылки!$I217,),0)</f>
        <v>0</v>
      </c>
      <c s="125">
        <f>M500/(1+IFERROR(INDEX(M$10:M$11,Предпосылки!$I217,),0))*IFERROR(INDEX(M$10:M$11,Предпосылки!$I217,),0)</f>
        <v>0</v>
      </c>
      <c s="125">
        <f>N500/(1+IFERROR(INDEX(N$10:N$11,Предпосылки!$I217,),0))*IFERROR(INDEX(N$10:N$11,Предпосылки!$I217,),0)</f>
        <v>0</v>
      </c>
      <c s="125">
        <f>O500/(1+IFERROR(INDEX(O$10:O$11,Предпосылки!$I217,),0))*IFERROR(INDEX(O$10:O$11,Предпосылки!$I217,),0)</f>
        <v>0</v>
      </c>
      <c s="125">
        <f>P500/(1+IFERROR(INDEX(P$10:P$11,Предпосылки!$I217,),0))*IFERROR(INDEX(P$10:P$11,Предпосылки!$I217,),0)</f>
        <v>0</v>
      </c>
      <c s="125">
        <f>Q500/(1+IFERROR(INDEX(Q$10:Q$11,Предпосылки!$I217,),0))*IFERROR(INDEX(Q$10:Q$11,Предпосылки!$I217,),0)</f>
        <v>0</v>
      </c>
      <c s="125">
        <f>R500/(1+IFERROR(INDEX(R$10:R$11,Предпосылки!$I217,),0))*IFERROR(INDEX(R$10:R$11,Предпосылки!$I217,),0)</f>
        <v>0</v>
      </c>
      <c s="125">
        <f>S500/(1+IFERROR(INDEX(S$10:S$11,Предпосылки!$I217,),0))*IFERROR(INDEX(S$10:S$11,Предпосылки!$I217,),0)</f>
        <v>0</v>
      </c>
      <c s="125">
        <f>T500/(1+IFERROR(INDEX(T$10:T$11,Предпосылки!$I217,),0))*IFERROR(INDEX(T$10:T$11,Предпосылки!$I217,),0)</f>
        <v>0</v>
      </c>
      <c s="125">
        <f>U500/(1+IFERROR(INDEX(U$10:U$11,Предпосылки!$I217,),0))*IFERROR(INDEX(U$10:U$11,Предпосылки!$I217,),0)</f>
        <v>0</v>
      </c>
      <c s="125">
        <f>V500/(1+IFERROR(INDEX(V$10:V$11,Предпосылки!$I217,),0))*IFERROR(INDEX(V$10:V$11,Предпосылки!$I217,),0)</f>
        <v>0</v>
      </c>
      <c s="125">
        <f>W500/(1+IFERROR(INDEX(W$10:W$11,Предпосылки!$I217,),0))*IFERROR(INDEX(W$10:W$11,Предпосылки!$I217,),0)</f>
        <v>0</v>
      </c>
      <c s="125">
        <f>X500/(1+IFERROR(INDEX(X$10:X$11,Предпосылки!$I217,),0))*IFERROR(INDEX(X$10:X$11,Предпосылки!$I217,),0)</f>
        <v>0</v>
      </c>
      <c s="125">
        <f>Y500/(1+IFERROR(INDEX(Y$10:Y$11,Предпосылки!$I217,),0))*IFERROR(INDEX(Y$10:Y$11,Предпосылки!$I217,),0)</f>
        <v>0</v>
      </c>
      <c s="125">
        <f>Z500/(1+IFERROR(INDEX(Z$10:Z$11,Предпосылки!$I217,),0))*IFERROR(INDEX(Z$10:Z$11,Предпосылки!$I217,),0)</f>
        <v>0</v>
      </c>
      <c s="125">
        <f>AA500/(1+IFERROR(INDEX(AA$10:AA$11,Предпосылки!$I217,),0))*IFERROR(INDEX(AA$10:AA$11,Предпосылки!$I217,),0)</f>
        <v>0</v>
      </c>
      <c s="125">
        <f>AB500/(1+IFERROR(INDEX(AB$10:AB$11,Предпосылки!$I217,),0))*IFERROR(INDEX(AB$10:AB$11,Предпосылки!$I217,),0)</f>
        <v>0</v>
      </c>
      <c s="125">
        <f>AC500/(1+IFERROR(INDEX(AC$10:AC$11,Предпосылки!$I217,),0))*IFERROR(INDEX(AC$10:AC$11,Предпосылки!$I217,),0)</f>
        <v>0</v>
      </c>
      <c s="125">
        <f>AD500/(1+IFERROR(INDEX(AD$10:AD$11,Предпосылки!$I217,),0))*IFERROR(INDEX(AD$10:AD$11,Предпосылки!$I217,),0)</f>
        <v>0</v>
      </c>
      <c s="125">
        <f>AE500/(1+IFERROR(INDEX(AE$10:AE$11,Предпосылки!$I217,),0))*IFERROR(INDEX(AE$10:AE$11,Предпосылки!$I217,),0)</f>
        <v>0</v>
      </c>
      <c s="125">
        <f>AF500/(1+IFERROR(INDEX(AF$10:AF$11,Предпосылки!$I217,),0))*IFERROR(INDEX(AF$10:AF$11,Предпосылки!$I217,),0)</f>
        <v>0</v>
      </c>
      <c s="125">
        <f>AG500/(1+IFERROR(INDEX(AG$10:AG$11,Предпосылки!$I217,),0))*IFERROR(INDEX(AG$10:AG$11,Предпосылки!$I217,),0)</f>
        <v>0</v>
      </c>
      <c s="125">
        <f>AH500/(1+IFERROR(INDEX(AH$10:AH$11,Предпосылки!$I217,),0))*IFERROR(INDEX(AH$10:AH$11,Предпосылки!$I217,),0)</f>
        <v>0</v>
      </c>
      <c s="125">
        <f>AI500/(1+IFERROR(INDEX(AI$10:AI$11,Предпосылки!$I217,),0))*IFERROR(INDEX(AI$10:AI$11,Предпосылки!$I217,),0)</f>
        <v>0</v>
      </c>
      <c s="125">
        <f>AJ500/(1+IFERROR(INDEX(AJ$10:AJ$11,Предпосылки!$I217,),0))*IFERROR(INDEX(AJ$10:AJ$11,Предпосылки!$I217,),0)</f>
        <v>0</v>
      </c>
      <c s="125">
        <f>AK500/(1+IFERROR(INDEX(AK$10:AK$11,Предпосылки!$I217,),0))*IFERROR(INDEX(AK$10:AK$11,Предпосылки!$I217,),0)</f>
        <v>0</v>
      </c>
      <c s="125">
        <f>AL500/(1+IFERROR(INDEX(AL$10:AL$11,Предпосылки!$I217,),0))*IFERROR(INDEX(AL$10:AL$11,Предпосылки!$I217,),0)</f>
        <v>0</v>
      </c>
      <c s="125">
        <f>AM500/(1+IFERROR(INDEX(AM$10:AM$11,Предпосылки!$I217,),0))*IFERROR(INDEX(AM$10:AM$11,Предпосылки!$I217,),0)</f>
        <v>0</v>
      </c>
      <c s="125">
        <f>AN500/(1+IFERROR(INDEX(AN$10:AN$11,Предпосылки!$I217,),0))*IFERROR(INDEX(AN$10:AN$11,Предпосылки!$I217,),0)</f>
        <v>0</v>
      </c>
      <c s="125">
        <f>AO500/(1+IFERROR(INDEX(AO$10:AO$11,Предпосылки!$I217,),0))*IFERROR(INDEX(AO$10:AO$11,Предпосылки!$I217,),0)</f>
        <v>0</v>
      </c>
      <c s="125">
        <f>AP500/(1+IFERROR(INDEX(AP$10:AP$11,Предпосылки!$I217,),0))*IFERROR(INDEX(AP$10:AP$11,Предпосылки!$I217,),0)</f>
        <v>0</v>
      </c>
      <c s="125">
        <f>AQ500/(1+IFERROR(INDEX(AQ$10:AQ$11,Предпосылки!$I217,),0))*IFERROR(INDEX(AQ$10:AQ$11,Предпосылки!$I217,),0)</f>
        <v>0</v>
      </c>
      <c s="125">
        <f>AR500/(1+IFERROR(INDEX(AR$10:AR$11,Предпосылки!$I217,),0))*IFERROR(INDEX(AR$10:AR$11,Предпосылки!$I217,),0)</f>
        <v>0</v>
      </c>
      <c s="125">
        <f>AS500/(1+IFERROR(INDEX(AS$10:AS$11,Предпосылки!$I217,),0))*IFERROR(INDEX(AS$10:AS$11,Предпосылки!$I217,),0)</f>
        <v>0</v>
      </c>
      <c s="125">
        <f>AT500/(1+IFERROR(INDEX(AT$10:AT$11,Предпосылки!$I217,),0))*IFERROR(INDEX(AT$10:AT$11,Предпосылки!$I217,),0)</f>
        <v>0</v>
      </c>
      <c s="125">
        <f>AU500/(1+IFERROR(INDEX(AU$10:AU$11,Предпосылки!$I217,),0))*IFERROR(INDEX(AU$10:AU$11,Предпосылки!$I217,),0)</f>
        <v>0</v>
      </c>
      <c s="125">
        <f>AV500/(1+IFERROR(INDEX(AV$10:AV$11,Предпосылки!$I217,),0))*IFERROR(INDEX(AV$10:AV$11,Предпосылки!$I217,),0)</f>
        <v>0</v>
      </c>
      <c s="125">
        <f>AW500/(1+IFERROR(INDEX(AW$10:AW$11,Предпосылки!$I217,),0))*IFERROR(INDEX(AW$10:AW$11,Предпосылки!$I217,),0)</f>
        <v>0</v>
      </c>
      <c s="125">
        <f>AX500/(1+IFERROR(INDEX(AX$10:AX$11,Предпосылки!$I217,),0))*IFERROR(INDEX(AX$10:AX$11,Предпосылки!$I217,),0)</f>
        <v>0</v>
      </c>
      <c s="125">
        <f>AY500/(1+IFERROR(INDEX(AY$10:AY$11,Предпосылки!$I217,),0))*IFERROR(INDEX(AY$10:AY$11,Предпосылки!$I217,),0)</f>
        <v>0</v>
      </c>
      <c s="125">
        <f>AZ500/(1+IFERROR(INDEX(AZ$10:AZ$11,Предпосылки!$I217,),0))*IFERROR(INDEX(AZ$10:AZ$11,Предпосылки!$I217,),0)</f>
        <v>0</v>
      </c>
      <c s="125">
        <f>BA500/(1+IFERROR(INDEX(BA$10:BA$11,Предпосылки!$I217,),0))*IFERROR(INDEX(BA$10:BA$11,Предпосылки!$I217,),0)</f>
        <v>0</v>
      </c>
      <c s="125">
        <f>BB500/(1+IFERROR(INDEX(BB$10:BB$11,Предпосылки!$I217,),0))*IFERROR(INDEX(BB$10:BB$11,Предпосылки!$I217,),0)</f>
        <v>0</v>
      </c>
      <c s="125">
        <f>BC500/(1+IFERROR(INDEX(BC$10:BC$11,Предпосылки!$I217,),0))*IFERROR(INDEX(BC$10:BC$11,Предпосылки!$I217,),0)</f>
        <v>0</v>
      </c>
      <c s="125">
        <f>BD500/(1+IFERROR(INDEX(BD$10:BD$11,Предпосылки!$I217,),0))*IFERROR(INDEX(BD$10:BD$11,Предпосылки!$I217,),0)</f>
        <v>0</v>
      </c>
      <c s="125">
        <f>BE500/(1+IFERROR(INDEX(BE$10:BE$11,Предпосылки!$I217,),0))*IFERROR(INDEX(BE$10:BE$11,Предпосылки!$I217,),0)</f>
        <v>0</v>
      </c>
      <c s="125">
        <f>BF500/(1+IFERROR(INDEX(BF$10:BF$11,Предпосылки!$I217,),0))*IFERROR(INDEX(BF$10:BF$11,Предпосылки!$I217,),0)</f>
        <v>0</v>
      </c>
      <c s="125">
        <f>BG500/(1+IFERROR(INDEX(BG$10:BG$11,Предпосылки!$I217,),0))*IFERROR(INDEX(BG$10:BG$11,Предпосылки!$I217,),0)</f>
        <v>0</v>
      </c>
      <c s="125">
        <f>BH500/(1+IFERROR(INDEX(BH$10:BH$11,Предпосылки!$I217,),0))*IFERROR(INDEX(BH$10:BH$11,Предпосылки!$I217,),0)</f>
        <v>0</v>
      </c>
      <c s="125">
        <f>BI500/(1+IFERROR(INDEX(BI$10:BI$11,Предпосылки!$I217,),0))*IFERROR(INDEX(BI$10:BI$11,Предпосылки!$I217,),0)</f>
        <v>0</v>
      </c>
      <c s="125">
        <f>BJ500/(1+IFERROR(INDEX(BJ$10:BJ$11,Предпосылки!$I217,),0))*IFERROR(INDEX(BJ$10:BJ$11,Предпосылки!$I217,),0)</f>
        <v>0</v>
      </c>
      <c s="125">
        <f>BK500/(1+IFERROR(INDEX(BK$10:BK$11,Предпосылки!$I217,),0))*IFERROR(INDEX(BK$10:BK$11,Предпосылки!$I217,),0)</f>
        <v>0</v>
      </c>
      <c s="125">
        <f>BL500/(1+IFERROR(INDEX(BL$10:BL$11,Предпосылки!$I217,),0))*IFERROR(INDEX(BL$10:BL$11,Предпосылки!$I217,),0)</f>
        <v>0</v>
      </c>
      <c s="125">
        <f>BM500/(1+IFERROR(INDEX(BM$10:BM$11,Предпосылки!$I217,),0))*IFERROR(INDEX(BM$10:BM$11,Предпосылки!$I217,),0)</f>
        <v>0</v>
      </c>
    </row>
    <row r="548" spans="2:65" ht="15" customHeight="1">
      <c r="B548" s="12" t="str">
        <f t="shared" si="249"/>
        <v>Операционные затраты 18</v>
      </c>
      <c s="124" t="str">
        <f t="shared" si="250"/>
        <v>тыс. руб.</v>
      </c>
      <c s="276">
        <f t="shared" si="251"/>
        <v>0</v>
      </c>
      <c s="125">
        <f>E501/(1+IFERROR(INDEX(E$10:E$11,Предпосылки!$I218,),0))*IFERROR(INDEX(E$10:E$11,Предпосылки!$I218,),0)</f>
        <v>0</v>
      </c>
      <c s="170">
        <f>F501/(1+IFERROR(INDEX(F$10:F$11,Предпосылки!$I218,),0))*IFERROR(INDEX(F$10:F$11,Предпосылки!$I218,),0)</f>
        <v>0</v>
      </c>
      <c s="125">
        <f>G501/(1+IFERROR(INDEX(G$10:G$11,Предпосылки!$I218,),0))*IFERROR(INDEX(G$10:G$11,Предпосылки!$I218,),0)</f>
        <v>0</v>
      </c>
      <c s="125">
        <f>H501/(1+IFERROR(INDEX(H$10:H$11,Предпосылки!$I218,),0))*IFERROR(INDEX(H$10:H$11,Предпосылки!$I218,),0)</f>
        <v>0</v>
      </c>
      <c s="125">
        <f>I501/(1+IFERROR(INDEX(I$10:I$11,Предпосылки!$I218,),0))*IFERROR(INDEX(I$10:I$11,Предпосылки!$I218,),0)</f>
        <v>0</v>
      </c>
      <c s="125">
        <f>J501/(1+IFERROR(INDEX(J$10:J$11,Предпосылки!$I218,),0))*IFERROR(INDEX(J$10:J$11,Предпосылки!$I218,),0)</f>
        <v>0</v>
      </c>
      <c s="125">
        <f>K501/(1+IFERROR(INDEX(K$10:K$11,Предпосылки!$I218,),0))*IFERROR(INDEX(K$10:K$11,Предпосылки!$I218,),0)</f>
        <v>0</v>
      </c>
      <c s="125">
        <f>L501/(1+IFERROR(INDEX(L$10:L$11,Предпосылки!$I218,),0))*IFERROR(INDEX(L$10:L$11,Предпосылки!$I218,),0)</f>
        <v>0</v>
      </c>
      <c s="125">
        <f>M501/(1+IFERROR(INDEX(M$10:M$11,Предпосылки!$I218,),0))*IFERROR(INDEX(M$10:M$11,Предпосылки!$I218,),0)</f>
        <v>0</v>
      </c>
      <c s="125">
        <f>N501/(1+IFERROR(INDEX(N$10:N$11,Предпосылки!$I218,),0))*IFERROR(INDEX(N$10:N$11,Предпосылки!$I218,),0)</f>
        <v>0</v>
      </c>
      <c s="125">
        <f>O501/(1+IFERROR(INDEX(O$10:O$11,Предпосылки!$I218,),0))*IFERROR(INDEX(O$10:O$11,Предпосылки!$I218,),0)</f>
        <v>0</v>
      </c>
      <c s="125">
        <f>P501/(1+IFERROR(INDEX(P$10:P$11,Предпосылки!$I218,),0))*IFERROR(INDEX(P$10:P$11,Предпосылки!$I218,),0)</f>
        <v>0</v>
      </c>
      <c s="125">
        <f>Q501/(1+IFERROR(INDEX(Q$10:Q$11,Предпосылки!$I218,),0))*IFERROR(INDEX(Q$10:Q$11,Предпосылки!$I218,),0)</f>
        <v>0</v>
      </c>
      <c s="125">
        <f>R501/(1+IFERROR(INDEX(R$10:R$11,Предпосылки!$I218,),0))*IFERROR(INDEX(R$10:R$11,Предпосылки!$I218,),0)</f>
        <v>0</v>
      </c>
      <c s="125">
        <f>S501/(1+IFERROR(INDEX(S$10:S$11,Предпосылки!$I218,),0))*IFERROR(INDEX(S$10:S$11,Предпосылки!$I218,),0)</f>
        <v>0</v>
      </c>
      <c s="125">
        <f>T501/(1+IFERROR(INDEX(T$10:T$11,Предпосылки!$I218,),0))*IFERROR(INDEX(T$10:T$11,Предпосылки!$I218,),0)</f>
        <v>0</v>
      </c>
      <c s="125">
        <f>U501/(1+IFERROR(INDEX(U$10:U$11,Предпосылки!$I218,),0))*IFERROR(INDEX(U$10:U$11,Предпосылки!$I218,),0)</f>
        <v>0</v>
      </c>
      <c s="125">
        <f>V501/(1+IFERROR(INDEX(V$10:V$11,Предпосылки!$I218,),0))*IFERROR(INDEX(V$10:V$11,Предпосылки!$I218,),0)</f>
        <v>0</v>
      </c>
      <c s="125">
        <f>W501/(1+IFERROR(INDEX(W$10:W$11,Предпосылки!$I218,),0))*IFERROR(INDEX(W$10:W$11,Предпосылки!$I218,),0)</f>
        <v>0</v>
      </c>
      <c s="125">
        <f>X501/(1+IFERROR(INDEX(X$10:X$11,Предпосылки!$I218,),0))*IFERROR(INDEX(X$10:X$11,Предпосылки!$I218,),0)</f>
        <v>0</v>
      </c>
      <c s="125">
        <f>Y501/(1+IFERROR(INDEX(Y$10:Y$11,Предпосылки!$I218,),0))*IFERROR(INDEX(Y$10:Y$11,Предпосылки!$I218,),0)</f>
        <v>0</v>
      </c>
      <c s="125">
        <f>Z501/(1+IFERROR(INDEX(Z$10:Z$11,Предпосылки!$I218,),0))*IFERROR(INDEX(Z$10:Z$11,Предпосылки!$I218,),0)</f>
        <v>0</v>
      </c>
      <c s="125">
        <f>AA501/(1+IFERROR(INDEX(AA$10:AA$11,Предпосылки!$I218,),0))*IFERROR(INDEX(AA$10:AA$11,Предпосылки!$I218,),0)</f>
        <v>0</v>
      </c>
      <c s="125">
        <f>AB501/(1+IFERROR(INDEX(AB$10:AB$11,Предпосылки!$I218,),0))*IFERROR(INDEX(AB$10:AB$11,Предпосылки!$I218,),0)</f>
        <v>0</v>
      </c>
      <c s="125">
        <f>AC501/(1+IFERROR(INDEX(AC$10:AC$11,Предпосылки!$I218,),0))*IFERROR(INDEX(AC$10:AC$11,Предпосылки!$I218,),0)</f>
        <v>0</v>
      </c>
      <c s="125">
        <f>AD501/(1+IFERROR(INDEX(AD$10:AD$11,Предпосылки!$I218,),0))*IFERROR(INDEX(AD$10:AD$11,Предпосылки!$I218,),0)</f>
        <v>0</v>
      </c>
      <c s="125">
        <f>AE501/(1+IFERROR(INDEX(AE$10:AE$11,Предпосылки!$I218,),0))*IFERROR(INDEX(AE$10:AE$11,Предпосылки!$I218,),0)</f>
        <v>0</v>
      </c>
      <c s="125">
        <f>AF501/(1+IFERROR(INDEX(AF$10:AF$11,Предпосылки!$I218,),0))*IFERROR(INDEX(AF$10:AF$11,Предпосылки!$I218,),0)</f>
        <v>0</v>
      </c>
      <c s="125">
        <f>AG501/(1+IFERROR(INDEX(AG$10:AG$11,Предпосылки!$I218,),0))*IFERROR(INDEX(AG$10:AG$11,Предпосылки!$I218,),0)</f>
        <v>0</v>
      </c>
      <c s="125">
        <f>AH501/(1+IFERROR(INDEX(AH$10:AH$11,Предпосылки!$I218,),0))*IFERROR(INDEX(AH$10:AH$11,Предпосылки!$I218,),0)</f>
        <v>0</v>
      </c>
      <c s="125">
        <f>AI501/(1+IFERROR(INDEX(AI$10:AI$11,Предпосылки!$I218,),0))*IFERROR(INDEX(AI$10:AI$11,Предпосылки!$I218,),0)</f>
        <v>0</v>
      </c>
      <c s="125">
        <f>AJ501/(1+IFERROR(INDEX(AJ$10:AJ$11,Предпосылки!$I218,),0))*IFERROR(INDEX(AJ$10:AJ$11,Предпосылки!$I218,),0)</f>
        <v>0</v>
      </c>
      <c s="125">
        <f>AK501/(1+IFERROR(INDEX(AK$10:AK$11,Предпосылки!$I218,),0))*IFERROR(INDEX(AK$10:AK$11,Предпосылки!$I218,),0)</f>
        <v>0</v>
      </c>
      <c s="125">
        <f>AL501/(1+IFERROR(INDEX(AL$10:AL$11,Предпосылки!$I218,),0))*IFERROR(INDEX(AL$10:AL$11,Предпосылки!$I218,),0)</f>
        <v>0</v>
      </c>
      <c s="125">
        <f>AM501/(1+IFERROR(INDEX(AM$10:AM$11,Предпосылки!$I218,),0))*IFERROR(INDEX(AM$10:AM$11,Предпосылки!$I218,),0)</f>
        <v>0</v>
      </c>
      <c s="125">
        <f>AN501/(1+IFERROR(INDEX(AN$10:AN$11,Предпосылки!$I218,),0))*IFERROR(INDEX(AN$10:AN$11,Предпосылки!$I218,),0)</f>
        <v>0</v>
      </c>
      <c s="125">
        <f>AO501/(1+IFERROR(INDEX(AO$10:AO$11,Предпосылки!$I218,),0))*IFERROR(INDEX(AO$10:AO$11,Предпосылки!$I218,),0)</f>
        <v>0</v>
      </c>
      <c s="125">
        <f>AP501/(1+IFERROR(INDEX(AP$10:AP$11,Предпосылки!$I218,),0))*IFERROR(INDEX(AP$10:AP$11,Предпосылки!$I218,),0)</f>
        <v>0</v>
      </c>
      <c s="125">
        <f>AQ501/(1+IFERROR(INDEX(AQ$10:AQ$11,Предпосылки!$I218,),0))*IFERROR(INDEX(AQ$10:AQ$11,Предпосылки!$I218,),0)</f>
        <v>0</v>
      </c>
      <c s="125">
        <f>AR501/(1+IFERROR(INDEX(AR$10:AR$11,Предпосылки!$I218,),0))*IFERROR(INDEX(AR$10:AR$11,Предпосылки!$I218,),0)</f>
        <v>0</v>
      </c>
      <c s="125">
        <f>AS501/(1+IFERROR(INDEX(AS$10:AS$11,Предпосылки!$I218,),0))*IFERROR(INDEX(AS$10:AS$11,Предпосылки!$I218,),0)</f>
        <v>0</v>
      </c>
      <c s="125">
        <f>AT501/(1+IFERROR(INDEX(AT$10:AT$11,Предпосылки!$I218,),0))*IFERROR(INDEX(AT$10:AT$11,Предпосылки!$I218,),0)</f>
        <v>0</v>
      </c>
      <c s="125">
        <f>AU501/(1+IFERROR(INDEX(AU$10:AU$11,Предпосылки!$I218,),0))*IFERROR(INDEX(AU$10:AU$11,Предпосылки!$I218,),0)</f>
        <v>0</v>
      </c>
      <c s="125">
        <f>AV501/(1+IFERROR(INDEX(AV$10:AV$11,Предпосылки!$I218,),0))*IFERROR(INDEX(AV$10:AV$11,Предпосылки!$I218,),0)</f>
        <v>0</v>
      </c>
      <c s="125">
        <f>AW501/(1+IFERROR(INDEX(AW$10:AW$11,Предпосылки!$I218,),0))*IFERROR(INDEX(AW$10:AW$11,Предпосылки!$I218,),0)</f>
        <v>0</v>
      </c>
      <c s="125">
        <f>AX501/(1+IFERROR(INDEX(AX$10:AX$11,Предпосылки!$I218,),0))*IFERROR(INDEX(AX$10:AX$11,Предпосылки!$I218,),0)</f>
        <v>0</v>
      </c>
      <c s="125">
        <f>AY501/(1+IFERROR(INDEX(AY$10:AY$11,Предпосылки!$I218,),0))*IFERROR(INDEX(AY$10:AY$11,Предпосылки!$I218,),0)</f>
        <v>0</v>
      </c>
      <c s="125">
        <f>AZ501/(1+IFERROR(INDEX(AZ$10:AZ$11,Предпосылки!$I218,),0))*IFERROR(INDEX(AZ$10:AZ$11,Предпосылки!$I218,),0)</f>
        <v>0</v>
      </c>
      <c s="125">
        <f>BA501/(1+IFERROR(INDEX(BA$10:BA$11,Предпосылки!$I218,),0))*IFERROR(INDEX(BA$10:BA$11,Предпосылки!$I218,),0)</f>
        <v>0</v>
      </c>
      <c s="125">
        <f>BB501/(1+IFERROR(INDEX(BB$10:BB$11,Предпосылки!$I218,),0))*IFERROR(INDEX(BB$10:BB$11,Предпосылки!$I218,),0)</f>
        <v>0</v>
      </c>
      <c s="125">
        <f>BC501/(1+IFERROR(INDEX(BC$10:BC$11,Предпосылки!$I218,),0))*IFERROR(INDEX(BC$10:BC$11,Предпосылки!$I218,),0)</f>
        <v>0</v>
      </c>
      <c s="125">
        <f>BD501/(1+IFERROR(INDEX(BD$10:BD$11,Предпосылки!$I218,),0))*IFERROR(INDEX(BD$10:BD$11,Предпосылки!$I218,),0)</f>
        <v>0</v>
      </c>
      <c s="125">
        <f>BE501/(1+IFERROR(INDEX(BE$10:BE$11,Предпосылки!$I218,),0))*IFERROR(INDEX(BE$10:BE$11,Предпосылки!$I218,),0)</f>
        <v>0</v>
      </c>
      <c s="125">
        <f>BF501/(1+IFERROR(INDEX(BF$10:BF$11,Предпосылки!$I218,),0))*IFERROR(INDEX(BF$10:BF$11,Предпосылки!$I218,),0)</f>
        <v>0</v>
      </c>
      <c s="125">
        <f>BG501/(1+IFERROR(INDEX(BG$10:BG$11,Предпосылки!$I218,),0))*IFERROR(INDEX(BG$10:BG$11,Предпосылки!$I218,),0)</f>
        <v>0</v>
      </c>
      <c s="125">
        <f>BH501/(1+IFERROR(INDEX(BH$10:BH$11,Предпосылки!$I218,),0))*IFERROR(INDEX(BH$10:BH$11,Предпосылки!$I218,),0)</f>
        <v>0</v>
      </c>
      <c s="125">
        <f>BI501/(1+IFERROR(INDEX(BI$10:BI$11,Предпосылки!$I218,),0))*IFERROR(INDEX(BI$10:BI$11,Предпосылки!$I218,),0)</f>
        <v>0</v>
      </c>
      <c s="125">
        <f>BJ501/(1+IFERROR(INDEX(BJ$10:BJ$11,Предпосылки!$I218,),0))*IFERROR(INDEX(BJ$10:BJ$11,Предпосылки!$I218,),0)</f>
        <v>0</v>
      </c>
      <c s="125">
        <f>BK501/(1+IFERROR(INDEX(BK$10:BK$11,Предпосылки!$I218,),0))*IFERROR(INDEX(BK$10:BK$11,Предпосылки!$I218,),0)</f>
        <v>0</v>
      </c>
      <c s="125">
        <f>BL501/(1+IFERROR(INDEX(BL$10:BL$11,Предпосылки!$I218,),0))*IFERROR(INDEX(BL$10:BL$11,Предпосылки!$I218,),0)</f>
        <v>0</v>
      </c>
      <c s="125">
        <f>BM501/(1+IFERROR(INDEX(BM$10:BM$11,Предпосылки!$I218,),0))*IFERROR(INDEX(BM$10:BM$11,Предпосылки!$I218,),0)</f>
        <v>0</v>
      </c>
    </row>
    <row r="549" spans="2:65" ht="15" customHeight="1">
      <c r="B549" s="12" t="str">
        <f t="shared" si="249"/>
        <v>Операционные затраты 19</v>
      </c>
      <c s="124" t="str">
        <f t="shared" si="250"/>
        <v>тыс. руб.</v>
      </c>
      <c s="276">
        <f t="shared" si="251"/>
        <v>0</v>
      </c>
      <c s="125">
        <f>E502/(1+IFERROR(INDEX(E$10:E$11,Предпосылки!$I219,),0))*IFERROR(INDEX(E$10:E$11,Предпосылки!$I219,),0)</f>
        <v>0</v>
      </c>
      <c s="170">
        <f>F502/(1+IFERROR(INDEX(F$10:F$11,Предпосылки!$I219,),0))*IFERROR(INDEX(F$10:F$11,Предпосылки!$I219,),0)</f>
        <v>0</v>
      </c>
      <c s="125">
        <f>G502/(1+IFERROR(INDEX(G$10:G$11,Предпосылки!$I219,),0))*IFERROR(INDEX(G$10:G$11,Предпосылки!$I219,),0)</f>
        <v>0</v>
      </c>
      <c s="125">
        <f>H502/(1+IFERROR(INDEX(H$10:H$11,Предпосылки!$I219,),0))*IFERROR(INDEX(H$10:H$11,Предпосылки!$I219,),0)</f>
        <v>0</v>
      </c>
      <c s="125">
        <f>I502/(1+IFERROR(INDEX(I$10:I$11,Предпосылки!$I219,),0))*IFERROR(INDEX(I$10:I$11,Предпосылки!$I219,),0)</f>
        <v>0</v>
      </c>
      <c s="125">
        <f>J502/(1+IFERROR(INDEX(J$10:J$11,Предпосылки!$I219,),0))*IFERROR(INDEX(J$10:J$11,Предпосылки!$I219,),0)</f>
        <v>0</v>
      </c>
      <c s="125">
        <f>K502/(1+IFERROR(INDEX(K$10:K$11,Предпосылки!$I219,),0))*IFERROR(INDEX(K$10:K$11,Предпосылки!$I219,),0)</f>
        <v>0</v>
      </c>
      <c s="125">
        <f>L502/(1+IFERROR(INDEX(L$10:L$11,Предпосылки!$I219,),0))*IFERROR(INDEX(L$10:L$11,Предпосылки!$I219,),0)</f>
        <v>0</v>
      </c>
      <c s="125">
        <f>M502/(1+IFERROR(INDEX(M$10:M$11,Предпосылки!$I219,),0))*IFERROR(INDEX(M$10:M$11,Предпосылки!$I219,),0)</f>
        <v>0</v>
      </c>
      <c s="125">
        <f>N502/(1+IFERROR(INDEX(N$10:N$11,Предпосылки!$I219,),0))*IFERROR(INDEX(N$10:N$11,Предпосылки!$I219,),0)</f>
        <v>0</v>
      </c>
      <c s="125">
        <f>O502/(1+IFERROR(INDEX(O$10:O$11,Предпосылки!$I219,),0))*IFERROR(INDEX(O$10:O$11,Предпосылки!$I219,),0)</f>
        <v>0</v>
      </c>
      <c s="125">
        <f>P502/(1+IFERROR(INDEX(P$10:P$11,Предпосылки!$I219,),0))*IFERROR(INDEX(P$10:P$11,Предпосылки!$I219,),0)</f>
        <v>0</v>
      </c>
      <c s="125">
        <f>Q502/(1+IFERROR(INDEX(Q$10:Q$11,Предпосылки!$I219,),0))*IFERROR(INDEX(Q$10:Q$11,Предпосылки!$I219,),0)</f>
        <v>0</v>
      </c>
      <c s="125">
        <f>R502/(1+IFERROR(INDEX(R$10:R$11,Предпосылки!$I219,),0))*IFERROR(INDEX(R$10:R$11,Предпосылки!$I219,),0)</f>
        <v>0</v>
      </c>
      <c s="125">
        <f>S502/(1+IFERROR(INDEX(S$10:S$11,Предпосылки!$I219,),0))*IFERROR(INDEX(S$10:S$11,Предпосылки!$I219,),0)</f>
        <v>0</v>
      </c>
      <c s="125">
        <f>T502/(1+IFERROR(INDEX(T$10:T$11,Предпосылки!$I219,),0))*IFERROR(INDEX(T$10:T$11,Предпосылки!$I219,),0)</f>
        <v>0</v>
      </c>
      <c s="125">
        <f>U502/(1+IFERROR(INDEX(U$10:U$11,Предпосылки!$I219,),0))*IFERROR(INDEX(U$10:U$11,Предпосылки!$I219,),0)</f>
        <v>0</v>
      </c>
      <c s="125">
        <f>V502/(1+IFERROR(INDEX(V$10:V$11,Предпосылки!$I219,),0))*IFERROR(INDEX(V$10:V$11,Предпосылки!$I219,),0)</f>
        <v>0</v>
      </c>
      <c s="125">
        <f>W502/(1+IFERROR(INDEX(W$10:W$11,Предпосылки!$I219,),0))*IFERROR(INDEX(W$10:W$11,Предпосылки!$I219,),0)</f>
        <v>0</v>
      </c>
      <c s="125">
        <f>X502/(1+IFERROR(INDEX(X$10:X$11,Предпосылки!$I219,),0))*IFERROR(INDEX(X$10:X$11,Предпосылки!$I219,),0)</f>
        <v>0</v>
      </c>
      <c s="125">
        <f>Y502/(1+IFERROR(INDEX(Y$10:Y$11,Предпосылки!$I219,),0))*IFERROR(INDEX(Y$10:Y$11,Предпосылки!$I219,),0)</f>
        <v>0</v>
      </c>
      <c s="125">
        <f>Z502/(1+IFERROR(INDEX(Z$10:Z$11,Предпосылки!$I219,),0))*IFERROR(INDEX(Z$10:Z$11,Предпосылки!$I219,),0)</f>
        <v>0</v>
      </c>
      <c s="125">
        <f>AA502/(1+IFERROR(INDEX(AA$10:AA$11,Предпосылки!$I219,),0))*IFERROR(INDEX(AA$10:AA$11,Предпосылки!$I219,),0)</f>
        <v>0</v>
      </c>
      <c s="125">
        <f>AB502/(1+IFERROR(INDEX(AB$10:AB$11,Предпосылки!$I219,),0))*IFERROR(INDEX(AB$10:AB$11,Предпосылки!$I219,),0)</f>
        <v>0</v>
      </c>
      <c s="125">
        <f>AC502/(1+IFERROR(INDEX(AC$10:AC$11,Предпосылки!$I219,),0))*IFERROR(INDEX(AC$10:AC$11,Предпосылки!$I219,),0)</f>
        <v>0</v>
      </c>
      <c s="125">
        <f>AD502/(1+IFERROR(INDEX(AD$10:AD$11,Предпосылки!$I219,),0))*IFERROR(INDEX(AD$10:AD$11,Предпосылки!$I219,),0)</f>
        <v>0</v>
      </c>
      <c s="125">
        <f>AE502/(1+IFERROR(INDEX(AE$10:AE$11,Предпосылки!$I219,),0))*IFERROR(INDEX(AE$10:AE$11,Предпосылки!$I219,),0)</f>
        <v>0</v>
      </c>
      <c s="125">
        <f>AF502/(1+IFERROR(INDEX(AF$10:AF$11,Предпосылки!$I219,),0))*IFERROR(INDEX(AF$10:AF$11,Предпосылки!$I219,),0)</f>
        <v>0</v>
      </c>
      <c s="125">
        <f>AG502/(1+IFERROR(INDEX(AG$10:AG$11,Предпосылки!$I219,),0))*IFERROR(INDEX(AG$10:AG$11,Предпосылки!$I219,),0)</f>
        <v>0</v>
      </c>
      <c s="125">
        <f>AH502/(1+IFERROR(INDEX(AH$10:AH$11,Предпосылки!$I219,),0))*IFERROR(INDEX(AH$10:AH$11,Предпосылки!$I219,),0)</f>
        <v>0</v>
      </c>
      <c s="125">
        <f>AI502/(1+IFERROR(INDEX(AI$10:AI$11,Предпосылки!$I219,),0))*IFERROR(INDEX(AI$10:AI$11,Предпосылки!$I219,),0)</f>
        <v>0</v>
      </c>
      <c s="125">
        <f>AJ502/(1+IFERROR(INDEX(AJ$10:AJ$11,Предпосылки!$I219,),0))*IFERROR(INDEX(AJ$10:AJ$11,Предпосылки!$I219,),0)</f>
        <v>0</v>
      </c>
      <c s="125">
        <f>AK502/(1+IFERROR(INDEX(AK$10:AK$11,Предпосылки!$I219,),0))*IFERROR(INDEX(AK$10:AK$11,Предпосылки!$I219,),0)</f>
        <v>0</v>
      </c>
      <c s="125">
        <f>AL502/(1+IFERROR(INDEX(AL$10:AL$11,Предпосылки!$I219,),0))*IFERROR(INDEX(AL$10:AL$11,Предпосылки!$I219,),0)</f>
        <v>0</v>
      </c>
      <c s="125">
        <f>AM502/(1+IFERROR(INDEX(AM$10:AM$11,Предпосылки!$I219,),0))*IFERROR(INDEX(AM$10:AM$11,Предпосылки!$I219,),0)</f>
        <v>0</v>
      </c>
      <c s="125">
        <f>AN502/(1+IFERROR(INDEX(AN$10:AN$11,Предпосылки!$I219,),0))*IFERROR(INDEX(AN$10:AN$11,Предпосылки!$I219,),0)</f>
        <v>0</v>
      </c>
      <c s="125">
        <f>AO502/(1+IFERROR(INDEX(AO$10:AO$11,Предпосылки!$I219,),0))*IFERROR(INDEX(AO$10:AO$11,Предпосылки!$I219,),0)</f>
        <v>0</v>
      </c>
      <c s="125">
        <f>AP502/(1+IFERROR(INDEX(AP$10:AP$11,Предпосылки!$I219,),0))*IFERROR(INDEX(AP$10:AP$11,Предпосылки!$I219,),0)</f>
        <v>0</v>
      </c>
      <c s="125">
        <f>AQ502/(1+IFERROR(INDEX(AQ$10:AQ$11,Предпосылки!$I219,),0))*IFERROR(INDEX(AQ$10:AQ$11,Предпосылки!$I219,),0)</f>
        <v>0</v>
      </c>
      <c s="125">
        <f>AR502/(1+IFERROR(INDEX(AR$10:AR$11,Предпосылки!$I219,),0))*IFERROR(INDEX(AR$10:AR$11,Предпосылки!$I219,),0)</f>
        <v>0</v>
      </c>
      <c s="125">
        <f>AS502/(1+IFERROR(INDEX(AS$10:AS$11,Предпосылки!$I219,),0))*IFERROR(INDEX(AS$10:AS$11,Предпосылки!$I219,),0)</f>
        <v>0</v>
      </c>
      <c s="125">
        <f>AT502/(1+IFERROR(INDEX(AT$10:AT$11,Предпосылки!$I219,),0))*IFERROR(INDEX(AT$10:AT$11,Предпосылки!$I219,),0)</f>
        <v>0</v>
      </c>
      <c s="125">
        <f>AU502/(1+IFERROR(INDEX(AU$10:AU$11,Предпосылки!$I219,),0))*IFERROR(INDEX(AU$10:AU$11,Предпосылки!$I219,),0)</f>
        <v>0</v>
      </c>
      <c s="125">
        <f>AV502/(1+IFERROR(INDEX(AV$10:AV$11,Предпосылки!$I219,),0))*IFERROR(INDEX(AV$10:AV$11,Предпосылки!$I219,),0)</f>
        <v>0</v>
      </c>
      <c s="125">
        <f>AW502/(1+IFERROR(INDEX(AW$10:AW$11,Предпосылки!$I219,),0))*IFERROR(INDEX(AW$10:AW$11,Предпосылки!$I219,),0)</f>
        <v>0</v>
      </c>
      <c s="125">
        <f>AX502/(1+IFERROR(INDEX(AX$10:AX$11,Предпосылки!$I219,),0))*IFERROR(INDEX(AX$10:AX$11,Предпосылки!$I219,),0)</f>
        <v>0</v>
      </c>
      <c s="125">
        <f>AY502/(1+IFERROR(INDEX(AY$10:AY$11,Предпосылки!$I219,),0))*IFERROR(INDEX(AY$10:AY$11,Предпосылки!$I219,),0)</f>
        <v>0</v>
      </c>
      <c s="125">
        <f>AZ502/(1+IFERROR(INDEX(AZ$10:AZ$11,Предпосылки!$I219,),0))*IFERROR(INDEX(AZ$10:AZ$11,Предпосылки!$I219,),0)</f>
        <v>0</v>
      </c>
      <c s="125">
        <f>BA502/(1+IFERROR(INDEX(BA$10:BA$11,Предпосылки!$I219,),0))*IFERROR(INDEX(BA$10:BA$11,Предпосылки!$I219,),0)</f>
        <v>0</v>
      </c>
      <c s="125">
        <f>BB502/(1+IFERROR(INDEX(BB$10:BB$11,Предпосылки!$I219,),0))*IFERROR(INDEX(BB$10:BB$11,Предпосылки!$I219,),0)</f>
        <v>0</v>
      </c>
      <c s="125">
        <f>BC502/(1+IFERROR(INDEX(BC$10:BC$11,Предпосылки!$I219,),0))*IFERROR(INDEX(BC$10:BC$11,Предпосылки!$I219,),0)</f>
        <v>0</v>
      </c>
      <c s="125">
        <f>BD502/(1+IFERROR(INDEX(BD$10:BD$11,Предпосылки!$I219,),0))*IFERROR(INDEX(BD$10:BD$11,Предпосылки!$I219,),0)</f>
        <v>0</v>
      </c>
      <c s="125">
        <f>BE502/(1+IFERROR(INDEX(BE$10:BE$11,Предпосылки!$I219,),0))*IFERROR(INDEX(BE$10:BE$11,Предпосылки!$I219,),0)</f>
        <v>0</v>
      </c>
      <c s="125">
        <f>BF502/(1+IFERROR(INDEX(BF$10:BF$11,Предпосылки!$I219,),0))*IFERROR(INDEX(BF$10:BF$11,Предпосылки!$I219,),0)</f>
        <v>0</v>
      </c>
      <c s="125">
        <f>BG502/(1+IFERROR(INDEX(BG$10:BG$11,Предпосылки!$I219,),0))*IFERROR(INDEX(BG$10:BG$11,Предпосылки!$I219,),0)</f>
        <v>0</v>
      </c>
      <c s="125">
        <f>BH502/(1+IFERROR(INDEX(BH$10:BH$11,Предпосылки!$I219,),0))*IFERROR(INDEX(BH$10:BH$11,Предпосылки!$I219,),0)</f>
        <v>0</v>
      </c>
      <c s="125">
        <f>BI502/(1+IFERROR(INDEX(BI$10:BI$11,Предпосылки!$I219,),0))*IFERROR(INDEX(BI$10:BI$11,Предпосылки!$I219,),0)</f>
        <v>0</v>
      </c>
      <c s="125">
        <f>BJ502/(1+IFERROR(INDEX(BJ$10:BJ$11,Предпосылки!$I219,),0))*IFERROR(INDEX(BJ$10:BJ$11,Предпосылки!$I219,),0)</f>
        <v>0</v>
      </c>
      <c s="125">
        <f>BK502/(1+IFERROR(INDEX(BK$10:BK$11,Предпосылки!$I219,),0))*IFERROR(INDEX(BK$10:BK$11,Предпосылки!$I219,),0)</f>
        <v>0</v>
      </c>
      <c s="125">
        <f>BL502/(1+IFERROR(INDEX(BL$10:BL$11,Предпосылки!$I219,),0))*IFERROR(INDEX(BL$10:BL$11,Предпосылки!$I219,),0)</f>
        <v>0</v>
      </c>
      <c s="125">
        <f>BM502/(1+IFERROR(INDEX(BM$10:BM$11,Предпосылки!$I219,),0))*IFERROR(INDEX(BM$10:BM$11,Предпосылки!$I219,),0)</f>
        <v>0</v>
      </c>
    </row>
    <row r="550" spans="2:65" ht="15" customHeight="1">
      <c r="B550" s="12" t="str">
        <f t="shared" si="249"/>
        <v>Операционные затраты 20</v>
      </c>
      <c s="124" t="str">
        <f t="shared" si="250"/>
        <v>тыс. руб.</v>
      </c>
      <c s="276">
        <f t="shared" si="251"/>
        <v>0</v>
      </c>
      <c s="125">
        <f>E503/(1+IFERROR(INDEX(E$10:E$11,Предпосылки!$I220,),0))*IFERROR(INDEX(E$10:E$11,Предпосылки!$I220,),0)</f>
        <v>0</v>
      </c>
      <c s="170">
        <f>F503/(1+IFERROR(INDEX(F$10:F$11,Предпосылки!$I220,),0))*IFERROR(INDEX(F$10:F$11,Предпосылки!$I220,),0)</f>
        <v>0</v>
      </c>
      <c s="125">
        <f>G503/(1+IFERROR(INDEX(G$10:G$11,Предпосылки!$I220,),0))*IFERROR(INDEX(G$10:G$11,Предпосылки!$I220,),0)</f>
        <v>0</v>
      </c>
      <c s="125">
        <f>H503/(1+IFERROR(INDEX(H$10:H$11,Предпосылки!$I220,),0))*IFERROR(INDEX(H$10:H$11,Предпосылки!$I220,),0)</f>
        <v>0</v>
      </c>
      <c s="125">
        <f>I503/(1+IFERROR(INDEX(I$10:I$11,Предпосылки!$I220,),0))*IFERROR(INDEX(I$10:I$11,Предпосылки!$I220,),0)</f>
        <v>0</v>
      </c>
      <c s="125">
        <f>J503/(1+IFERROR(INDEX(J$10:J$11,Предпосылки!$I220,),0))*IFERROR(INDEX(J$10:J$11,Предпосылки!$I220,),0)</f>
        <v>0</v>
      </c>
      <c s="125">
        <f>K503/(1+IFERROR(INDEX(K$10:K$11,Предпосылки!$I220,),0))*IFERROR(INDEX(K$10:K$11,Предпосылки!$I220,),0)</f>
        <v>0</v>
      </c>
      <c s="125">
        <f>L503/(1+IFERROR(INDEX(L$10:L$11,Предпосылки!$I220,),0))*IFERROR(INDEX(L$10:L$11,Предпосылки!$I220,),0)</f>
        <v>0</v>
      </c>
      <c s="125">
        <f>M503/(1+IFERROR(INDEX(M$10:M$11,Предпосылки!$I220,),0))*IFERROR(INDEX(M$10:M$11,Предпосылки!$I220,),0)</f>
        <v>0</v>
      </c>
      <c s="125">
        <f>N503/(1+IFERROR(INDEX(N$10:N$11,Предпосылки!$I220,),0))*IFERROR(INDEX(N$10:N$11,Предпосылки!$I220,),0)</f>
        <v>0</v>
      </c>
      <c s="125">
        <f>O503/(1+IFERROR(INDEX(O$10:O$11,Предпосылки!$I220,),0))*IFERROR(INDEX(O$10:O$11,Предпосылки!$I220,),0)</f>
        <v>0</v>
      </c>
      <c s="125">
        <f>P503/(1+IFERROR(INDEX(P$10:P$11,Предпосылки!$I220,),0))*IFERROR(INDEX(P$10:P$11,Предпосылки!$I220,),0)</f>
        <v>0</v>
      </c>
      <c s="125">
        <f>Q503/(1+IFERROR(INDEX(Q$10:Q$11,Предпосылки!$I220,),0))*IFERROR(INDEX(Q$10:Q$11,Предпосылки!$I220,),0)</f>
        <v>0</v>
      </c>
      <c s="125">
        <f>R503/(1+IFERROR(INDEX(R$10:R$11,Предпосылки!$I220,),0))*IFERROR(INDEX(R$10:R$11,Предпосылки!$I220,),0)</f>
        <v>0</v>
      </c>
      <c s="125">
        <f>S503/(1+IFERROR(INDEX(S$10:S$11,Предпосылки!$I220,),0))*IFERROR(INDEX(S$10:S$11,Предпосылки!$I220,),0)</f>
        <v>0</v>
      </c>
      <c s="125">
        <f>T503/(1+IFERROR(INDEX(T$10:T$11,Предпосылки!$I220,),0))*IFERROR(INDEX(T$10:T$11,Предпосылки!$I220,),0)</f>
        <v>0</v>
      </c>
      <c s="125">
        <f>U503/(1+IFERROR(INDEX(U$10:U$11,Предпосылки!$I220,),0))*IFERROR(INDEX(U$10:U$11,Предпосылки!$I220,),0)</f>
        <v>0</v>
      </c>
      <c s="125">
        <f>V503/(1+IFERROR(INDEX(V$10:V$11,Предпосылки!$I220,),0))*IFERROR(INDEX(V$10:V$11,Предпосылки!$I220,),0)</f>
        <v>0</v>
      </c>
      <c s="125">
        <f>W503/(1+IFERROR(INDEX(W$10:W$11,Предпосылки!$I220,),0))*IFERROR(INDEX(W$10:W$11,Предпосылки!$I220,),0)</f>
        <v>0</v>
      </c>
      <c s="125">
        <f>X503/(1+IFERROR(INDEX(X$10:X$11,Предпосылки!$I220,),0))*IFERROR(INDEX(X$10:X$11,Предпосылки!$I220,),0)</f>
        <v>0</v>
      </c>
      <c s="125">
        <f>Y503/(1+IFERROR(INDEX(Y$10:Y$11,Предпосылки!$I220,),0))*IFERROR(INDEX(Y$10:Y$11,Предпосылки!$I220,),0)</f>
        <v>0</v>
      </c>
      <c s="125">
        <f>Z503/(1+IFERROR(INDEX(Z$10:Z$11,Предпосылки!$I220,),0))*IFERROR(INDEX(Z$10:Z$11,Предпосылки!$I220,),0)</f>
        <v>0</v>
      </c>
      <c s="125">
        <f>AA503/(1+IFERROR(INDEX(AA$10:AA$11,Предпосылки!$I220,),0))*IFERROR(INDEX(AA$10:AA$11,Предпосылки!$I220,),0)</f>
        <v>0</v>
      </c>
      <c s="125">
        <f>AB503/(1+IFERROR(INDEX(AB$10:AB$11,Предпосылки!$I220,),0))*IFERROR(INDEX(AB$10:AB$11,Предпосылки!$I220,),0)</f>
        <v>0</v>
      </c>
      <c s="125">
        <f>AC503/(1+IFERROR(INDEX(AC$10:AC$11,Предпосылки!$I220,),0))*IFERROR(INDEX(AC$10:AC$11,Предпосылки!$I220,),0)</f>
        <v>0</v>
      </c>
      <c s="125">
        <f>AD503/(1+IFERROR(INDEX(AD$10:AD$11,Предпосылки!$I220,),0))*IFERROR(INDEX(AD$10:AD$11,Предпосылки!$I220,),0)</f>
        <v>0</v>
      </c>
      <c s="125">
        <f>AE503/(1+IFERROR(INDEX(AE$10:AE$11,Предпосылки!$I220,),0))*IFERROR(INDEX(AE$10:AE$11,Предпосылки!$I220,),0)</f>
        <v>0</v>
      </c>
      <c s="125">
        <f>AF503/(1+IFERROR(INDEX(AF$10:AF$11,Предпосылки!$I220,),0))*IFERROR(INDEX(AF$10:AF$11,Предпосылки!$I220,),0)</f>
        <v>0</v>
      </c>
      <c s="125">
        <f>AG503/(1+IFERROR(INDEX(AG$10:AG$11,Предпосылки!$I220,),0))*IFERROR(INDEX(AG$10:AG$11,Предпосылки!$I220,),0)</f>
        <v>0</v>
      </c>
      <c s="125">
        <f>AH503/(1+IFERROR(INDEX(AH$10:AH$11,Предпосылки!$I220,),0))*IFERROR(INDEX(AH$10:AH$11,Предпосылки!$I220,),0)</f>
        <v>0</v>
      </c>
      <c s="125">
        <f>AI503/(1+IFERROR(INDEX(AI$10:AI$11,Предпосылки!$I220,),0))*IFERROR(INDEX(AI$10:AI$11,Предпосылки!$I220,),0)</f>
        <v>0</v>
      </c>
      <c s="125">
        <f>AJ503/(1+IFERROR(INDEX(AJ$10:AJ$11,Предпосылки!$I220,),0))*IFERROR(INDEX(AJ$10:AJ$11,Предпосылки!$I220,),0)</f>
        <v>0</v>
      </c>
      <c s="125">
        <f>AK503/(1+IFERROR(INDEX(AK$10:AK$11,Предпосылки!$I220,),0))*IFERROR(INDEX(AK$10:AK$11,Предпосылки!$I220,),0)</f>
        <v>0</v>
      </c>
      <c s="125">
        <f>AL503/(1+IFERROR(INDEX(AL$10:AL$11,Предпосылки!$I220,),0))*IFERROR(INDEX(AL$10:AL$11,Предпосылки!$I220,),0)</f>
        <v>0</v>
      </c>
      <c s="125">
        <f>AM503/(1+IFERROR(INDEX(AM$10:AM$11,Предпосылки!$I220,),0))*IFERROR(INDEX(AM$10:AM$11,Предпосылки!$I220,),0)</f>
        <v>0</v>
      </c>
      <c s="125">
        <f>AN503/(1+IFERROR(INDEX(AN$10:AN$11,Предпосылки!$I220,),0))*IFERROR(INDEX(AN$10:AN$11,Предпосылки!$I220,),0)</f>
        <v>0</v>
      </c>
      <c s="125">
        <f>AO503/(1+IFERROR(INDEX(AO$10:AO$11,Предпосылки!$I220,),0))*IFERROR(INDEX(AO$10:AO$11,Предпосылки!$I220,),0)</f>
        <v>0</v>
      </c>
      <c s="125">
        <f>AP503/(1+IFERROR(INDEX(AP$10:AP$11,Предпосылки!$I220,),0))*IFERROR(INDEX(AP$10:AP$11,Предпосылки!$I220,),0)</f>
        <v>0</v>
      </c>
      <c s="125">
        <f>AQ503/(1+IFERROR(INDEX(AQ$10:AQ$11,Предпосылки!$I220,),0))*IFERROR(INDEX(AQ$10:AQ$11,Предпосылки!$I220,),0)</f>
        <v>0</v>
      </c>
      <c s="125">
        <f>AR503/(1+IFERROR(INDEX(AR$10:AR$11,Предпосылки!$I220,),0))*IFERROR(INDEX(AR$10:AR$11,Предпосылки!$I220,),0)</f>
        <v>0</v>
      </c>
      <c s="125">
        <f>AS503/(1+IFERROR(INDEX(AS$10:AS$11,Предпосылки!$I220,),0))*IFERROR(INDEX(AS$10:AS$11,Предпосылки!$I220,),0)</f>
        <v>0</v>
      </c>
      <c s="125">
        <f>AT503/(1+IFERROR(INDEX(AT$10:AT$11,Предпосылки!$I220,),0))*IFERROR(INDEX(AT$10:AT$11,Предпосылки!$I220,),0)</f>
        <v>0</v>
      </c>
      <c s="125">
        <f>AU503/(1+IFERROR(INDEX(AU$10:AU$11,Предпосылки!$I220,),0))*IFERROR(INDEX(AU$10:AU$11,Предпосылки!$I220,),0)</f>
        <v>0</v>
      </c>
      <c s="125">
        <f>AV503/(1+IFERROR(INDEX(AV$10:AV$11,Предпосылки!$I220,),0))*IFERROR(INDEX(AV$10:AV$11,Предпосылки!$I220,),0)</f>
        <v>0</v>
      </c>
      <c s="125">
        <f>AW503/(1+IFERROR(INDEX(AW$10:AW$11,Предпосылки!$I220,),0))*IFERROR(INDEX(AW$10:AW$11,Предпосылки!$I220,),0)</f>
        <v>0</v>
      </c>
      <c s="125">
        <f>AX503/(1+IFERROR(INDEX(AX$10:AX$11,Предпосылки!$I220,),0))*IFERROR(INDEX(AX$10:AX$11,Предпосылки!$I220,),0)</f>
        <v>0</v>
      </c>
      <c s="125">
        <f>AY503/(1+IFERROR(INDEX(AY$10:AY$11,Предпосылки!$I220,),0))*IFERROR(INDEX(AY$10:AY$11,Предпосылки!$I220,),0)</f>
        <v>0</v>
      </c>
      <c s="125">
        <f>AZ503/(1+IFERROR(INDEX(AZ$10:AZ$11,Предпосылки!$I220,),0))*IFERROR(INDEX(AZ$10:AZ$11,Предпосылки!$I220,),0)</f>
        <v>0</v>
      </c>
      <c s="125">
        <f>BA503/(1+IFERROR(INDEX(BA$10:BA$11,Предпосылки!$I220,),0))*IFERROR(INDEX(BA$10:BA$11,Предпосылки!$I220,),0)</f>
        <v>0</v>
      </c>
      <c s="125">
        <f>BB503/(1+IFERROR(INDEX(BB$10:BB$11,Предпосылки!$I220,),0))*IFERROR(INDEX(BB$10:BB$11,Предпосылки!$I220,),0)</f>
        <v>0</v>
      </c>
      <c s="125">
        <f>BC503/(1+IFERROR(INDEX(BC$10:BC$11,Предпосылки!$I220,),0))*IFERROR(INDEX(BC$10:BC$11,Предпосылки!$I220,),0)</f>
        <v>0</v>
      </c>
      <c s="125">
        <f>BD503/(1+IFERROR(INDEX(BD$10:BD$11,Предпосылки!$I220,),0))*IFERROR(INDEX(BD$10:BD$11,Предпосылки!$I220,),0)</f>
        <v>0</v>
      </c>
      <c s="125">
        <f>BE503/(1+IFERROR(INDEX(BE$10:BE$11,Предпосылки!$I220,),0))*IFERROR(INDEX(BE$10:BE$11,Предпосылки!$I220,),0)</f>
        <v>0</v>
      </c>
      <c s="125">
        <f>BF503/(1+IFERROR(INDEX(BF$10:BF$11,Предпосылки!$I220,),0))*IFERROR(INDEX(BF$10:BF$11,Предпосылки!$I220,),0)</f>
        <v>0</v>
      </c>
      <c s="125">
        <f>BG503/(1+IFERROR(INDEX(BG$10:BG$11,Предпосылки!$I220,),0))*IFERROR(INDEX(BG$10:BG$11,Предпосылки!$I220,),0)</f>
        <v>0</v>
      </c>
      <c s="125">
        <f>BH503/(1+IFERROR(INDEX(BH$10:BH$11,Предпосылки!$I220,),0))*IFERROR(INDEX(BH$10:BH$11,Предпосылки!$I220,),0)</f>
        <v>0</v>
      </c>
      <c s="125">
        <f>BI503/(1+IFERROR(INDEX(BI$10:BI$11,Предпосылки!$I220,),0))*IFERROR(INDEX(BI$10:BI$11,Предпосылки!$I220,),0)</f>
        <v>0</v>
      </c>
      <c s="125">
        <f>BJ503/(1+IFERROR(INDEX(BJ$10:BJ$11,Предпосылки!$I220,),0))*IFERROR(INDEX(BJ$10:BJ$11,Предпосылки!$I220,),0)</f>
        <v>0</v>
      </c>
      <c s="125">
        <f>BK503/(1+IFERROR(INDEX(BK$10:BK$11,Предпосылки!$I220,),0))*IFERROR(INDEX(BK$10:BK$11,Предпосылки!$I220,),0)</f>
        <v>0</v>
      </c>
      <c s="125">
        <f>BL503/(1+IFERROR(INDEX(BL$10:BL$11,Предпосылки!$I220,),0))*IFERROR(INDEX(BL$10:BL$11,Предпосылки!$I220,),0)</f>
        <v>0</v>
      </c>
      <c s="125">
        <f>BM503/(1+IFERROR(INDEX(BM$10:BM$11,Предпосылки!$I220,),0))*IFERROR(INDEX(BM$10:BM$11,Предпосылки!$I220,),0)</f>
        <v>0</v>
      </c>
    </row>
    <row r="551" spans="2:65" ht="15" customHeight="1">
      <c r="B551" s="289" t="s">
        <v>454</v>
      </c>
      <c s="290" t="str">
        <f>Единица_измерения</f>
        <v>тыс. руб.</v>
      </c>
      <c s="291">
        <f>SUM(D531:D550)</f>
        <v>0</v>
      </c>
      <c s="276">
        <f>SUM(E531:E550)</f>
        <v>0</v>
      </c>
      <c s="276">
        <f t="shared" si="252" ref="F551:AG551">SUM(F531:F550)</f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2"/>
        <v>0</v>
      </c>
      <c s="276">
        <f t="shared" si="253" ref="AH551:BM551">SUM(AH531:AH550)</f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</row>
    <row r="552" ht="15" customHeight="1"/>
    <row r="553" spans="2:69" ht="14.45">
      <c r="B553" s="25" t="s">
        <v>860</v>
      </c>
      <c s="19"/>
      <c s="19"/>
      <c s="19"/>
      <c s="16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54" spans="2:65" ht="15" customHeight="1">
      <c r="B554" s="12" t="str">
        <f>B507</f>
        <v>Продукт 1</v>
      </c>
      <c s="124" t="str">
        <f t="shared" si="254" ref="C554:C573">Единица_измерения</f>
        <v>тыс. руб.</v>
      </c>
      <c s="276">
        <f>SUM(E554:BM554)</f>
        <v>0</v>
      </c>
      <c s="125">
        <f>SUM(E23/(1+IFERROR(INDEX(E$10:E$11,Предпосылки!$I201,),0))*IFERROR(INDEX(E$10:E$11,Предпосылки!$I201,),0),E46/(1+IFERROR(INDEX(E$10:E$11,Предпосылки!$I202,),0))*IFERROR(INDEX(E$10:E$11,Предпосылки!$I202,),0),E69/(1+IFERROR(INDEX(E$10:E$11,Предпосылки!$I203,),0))*IFERROR(INDEX(E$10:E$11,Предпосылки!$I203,),0),E92/(1+IFERROR(INDEX(E$10:E$11,Предпосылки!$I204,),0))*IFERROR(INDEX(E$10:E$11,Предпосылки!$I204,),0),E115/(1+IFERROR(INDEX(E$10:E$11,Предпосылки!$I205,),0))*IFERROR(INDEX(E$10:E$11,Предпосылки!$I205,),0),E138/(1+IFERROR(INDEX(E$10:E$11,Предпосылки!$I206,),0))*IFERROR(INDEX(E$10:E$11,Предпосылки!$I206,),0),E161/(1+IFERROR(INDEX(E$10:E$11,Предпосылки!$I207,),0))*IFERROR(INDEX(E$10:E$11,Предпосылки!$I207,),0),E184/(1+IFERROR(INDEX(E$10:E$11,Предпосылки!$I208,),0))*IFERROR(INDEX(E$10:E$11,Предпосылки!$I208,),0),E207/(1+IFERROR(INDEX(E$10:E$11,Предпосылки!$I209,),0))*IFERROR(INDEX(E$10:E$11,Предпосылки!$I209,),0),E230/(1+IFERROR(INDEX(E$10:E$11,Предпосылки!$I210,),0))*IFERROR(INDEX(E$10:E$11,Предпосылки!$I210,),0),E253/(1+IFERROR(INDEX(E$10:E$11,Предпосылки!$I211,),0))*IFERROR(INDEX(E$10:E$11,Предпосылки!$I211,),0),E276/(1+IFERROR(INDEX(E$10:E$11,Предпосылки!$I212,),0))*IFERROR(INDEX(E$10:E$11,Предпосылки!$I212,),0),E299/(1+IFERROR(INDEX(E$10:E$11,Предпосылки!$I213,),0))*IFERROR(INDEX(E$10:E$11,Предпосылки!$I213,),0),E322/(1+IFERROR(INDEX(E$10:E$11,Предпосылки!$I214,),0))*IFERROR(INDEX(E$10:E$11,Предпосылки!$I214,),0),E345/(1+IFERROR(INDEX(E$10:E$11,Предпосылки!$I215,),0))*IFERROR(INDEX(E$10:E$11,Предпосылки!$I215,),0),E368/(1+IFERROR(INDEX(E$10:E$11,Предпосылки!$I216,),0))*IFERROR(INDEX(E$10:E$11,Предпосылки!$I216,),0),E391/(1+IFERROR(INDEX(E$10:E$11,Предпосылки!$I217,),0))*IFERROR(INDEX(E$10:E$11,Предпосылки!$I217,),0),E414/(1+IFERROR(INDEX(E$10:E$11,Предпосылки!$I218,),0))*IFERROR(INDEX(E$10:E$11,Предпосылки!$I218,),0),E437/(1+IFERROR(INDEX(E$10:E$11,Предпосылки!$I219,),0))*IFERROR(INDEX(E$10:E$11,Предпосылки!$I219,),0),E460/(1+IFERROR(INDEX(E$10:E$11,Предпосылки!$I220,),0))*IFERROR(INDEX(E$10:E$11,Предпосылки!$I220,),0))</f>
        <v>0</v>
      </c>
      <c s="125">
        <f>SUM(F23/(1+IFERROR(INDEX(F$10:F$11,Предпосылки!$I$201,),0))*IFERROR(INDEX(F$10:F$11,Предпосылки!$I$201,),0),F46/(1+IFERROR(INDEX(F$10:F$11,Предпосылки!$I$202,),0))*IFERROR(INDEX(F$10:F$11,Предпосылки!$I$202,),0),F69/(1+IFERROR(INDEX(F$10:F$11,Предпосылки!$I$203,),0))*IFERROR(INDEX(F$10:F$11,Предпосылки!$I$203,),0),F92/(1+IFERROR(INDEX(F$10:F$11,Предпосылки!$I$204,),0))*IFERROR(INDEX(F$10:F$11,Предпосылки!$I$204,),0),F115/(1+IFERROR(INDEX(F$10:F$11,Предпосылки!$I$205,),0))*IFERROR(INDEX(F$10:F$11,Предпосылки!$I$205,),0),F138/(1+IFERROR(INDEX(F$10:F$11,Предпосылки!$I$206,),0))*IFERROR(INDEX(F$10:F$11,Предпосылки!$I$206,),0),F161/(1+IFERROR(INDEX(F$10:F$11,Предпосылки!$I$207,),0))*IFERROR(INDEX(F$10:F$11,Предпосылки!$I$207,),0),F184/(1+IFERROR(INDEX(F$10:F$11,Предпосылки!$I$208,),0))*IFERROR(INDEX(F$10:F$11,Предпосылки!$I$208,),0),F207/(1+IFERROR(INDEX(F$10:F$11,Предпосылки!$I$209,),0))*IFERROR(INDEX(F$10:F$11,Предпосылки!$I$209,),0),F230/(1+IFERROR(INDEX(F$10:F$11,Предпосылки!$I$210,),0))*IFERROR(INDEX(F$10:F$11,Предпосылки!$I$210,),0),F253/(1+IFERROR(INDEX(F$10:F$11,Предпосылки!$I$211,),0))*IFERROR(INDEX(F$10:F$11,Предпосылки!$I$211,),0),F276/(1+IFERROR(INDEX(F$10:F$11,Предпосылки!$I$212,),0))*IFERROR(INDEX(F$10:F$11,Предпосылки!$I$212,),0),F299/(1+IFERROR(INDEX(F$10:F$11,Предпосылки!$I$213,),0))*IFERROR(INDEX(F$10:F$11,Предпосылки!$I$213,),0),F322/(1+IFERROR(INDEX(F$10:F$11,Предпосылки!$I$214,),0))*IFERROR(INDEX(F$10:F$11,Предпосылки!$I$214,),0),F345/(1+IFERROR(INDEX(F$10:F$11,Предпосылки!$I$215,),0))*IFERROR(INDEX(F$10:F$11,Предпосылки!$I$215,),0),F368/(1+IFERROR(INDEX(F$10:F$11,Предпосылки!$I$216,),0))*IFERROR(INDEX(F$10:F$11,Предпосылки!$I$216,),0),F391/(1+IFERROR(INDEX(F$10:F$11,Предпосылки!$I$217,),0))*IFERROR(INDEX(F$10:F$11,Предпосылки!$I$217,),0),F414/(1+IFERROR(INDEX(F$10:F$11,Предпосылки!$I$218,),0))*IFERROR(INDEX(F$10:F$11,Предпосылки!$I$218,),0),F437/(1+IFERROR(INDEX(F$10:F$11,Предпосылки!$I$219,),0))*IFERROR(INDEX(F$10:F$11,Предпосылки!$I$219,),0),F460/(1+IFERROR(INDEX(F$10:F$11,Предпосылки!$I$220,),0))*IFERROR(INDEX(F$10:F$11,Предпосылки!$I$220,),0))</f>
        <v>0</v>
      </c>
      <c s="125">
        <f>SUM(G23/(1+IFERROR(INDEX(G$10:G$11,Предпосылки!$I$201,),0))*IFERROR(INDEX(G$10:G$11,Предпосылки!$I$201,),0),G46/(1+IFERROR(INDEX(G$10:G$11,Предпосылки!$I$202,),0))*IFERROR(INDEX(G$10:G$11,Предпосылки!$I$202,),0),G69/(1+IFERROR(INDEX(G$10:G$11,Предпосылки!$I$203,),0))*IFERROR(INDEX(G$10:G$11,Предпосылки!$I$203,),0),G92/(1+IFERROR(INDEX(G$10:G$11,Предпосылки!$I$204,),0))*IFERROR(INDEX(G$10:G$11,Предпосылки!$I$204,),0),G115/(1+IFERROR(INDEX(G$10:G$11,Предпосылки!$I$205,),0))*IFERROR(INDEX(G$10:G$11,Предпосылки!$I$205,),0),G138/(1+IFERROR(INDEX(G$10:G$11,Предпосылки!$I$206,),0))*IFERROR(INDEX(G$10:G$11,Предпосылки!$I$206,),0),G161/(1+IFERROR(INDEX(G$10:G$11,Предпосылки!$I$207,),0))*IFERROR(INDEX(G$10:G$11,Предпосылки!$I$207,),0),G184/(1+IFERROR(INDEX(G$10:G$11,Предпосылки!$I$208,),0))*IFERROR(INDEX(G$10:G$11,Предпосылки!$I$208,),0),G207/(1+IFERROR(INDEX(G$10:G$11,Предпосылки!$I$209,),0))*IFERROR(INDEX(G$10:G$11,Предпосылки!$I$209,),0),G230/(1+IFERROR(INDEX(G$10:G$11,Предпосылки!$I$210,),0))*IFERROR(INDEX(G$10:G$11,Предпосылки!$I$210,),0),G253/(1+IFERROR(INDEX(G$10:G$11,Предпосылки!$I$211,),0))*IFERROR(INDEX(G$10:G$11,Предпосылки!$I$211,),0),G276/(1+IFERROR(INDEX(G$10:G$11,Предпосылки!$I$212,),0))*IFERROR(INDEX(G$10:G$11,Предпосылки!$I$212,),0),G299/(1+IFERROR(INDEX(G$10:G$11,Предпосылки!$I$213,),0))*IFERROR(INDEX(G$10:G$11,Предпосылки!$I$213,),0),G322/(1+IFERROR(INDEX(G$10:G$11,Предпосылки!$I$214,),0))*IFERROR(INDEX(G$10:G$11,Предпосылки!$I$214,),0),G345/(1+IFERROR(INDEX(G$10:G$11,Предпосылки!$I$215,),0))*IFERROR(INDEX(G$10:G$11,Предпосылки!$I$215,),0),G368/(1+IFERROR(INDEX(G$10:G$11,Предпосылки!$I$216,),0))*IFERROR(INDEX(G$10:G$11,Предпосылки!$I$216,),0),G391/(1+IFERROR(INDEX(G$10:G$11,Предпосылки!$I$217,),0))*IFERROR(INDEX(G$10:G$11,Предпосылки!$I$217,),0),G414/(1+IFERROR(INDEX(G$10:G$11,Предпосылки!$I$218,),0))*IFERROR(INDEX(G$10:G$11,Предпосылки!$I$218,),0),G437/(1+IFERROR(INDEX(G$10:G$11,Предпосылки!$I$219,),0))*IFERROR(INDEX(G$10:G$11,Предпосылки!$I$219,),0),G460/(1+IFERROR(INDEX(G$10:G$11,Предпосылки!$I$220,),0))*IFERROR(INDEX(G$10:G$11,Предпосылки!$I$220,),0))</f>
        <v>0</v>
      </c>
      <c s="125">
        <f>SUM(H23/(1+IFERROR(INDEX(H$10:H$11,Предпосылки!$I$201,),0))*IFERROR(INDEX(H$10:H$11,Предпосылки!$I$201,),0),H46/(1+IFERROR(INDEX(H$10:H$11,Предпосылки!$I$202,),0))*IFERROR(INDEX(H$10:H$11,Предпосылки!$I$202,),0),H69/(1+IFERROR(INDEX(H$10:H$11,Предпосылки!$I$203,),0))*IFERROR(INDEX(H$10:H$11,Предпосылки!$I$203,),0),H92/(1+IFERROR(INDEX(H$10:H$11,Предпосылки!$I$204,),0))*IFERROR(INDEX(H$10:H$11,Предпосылки!$I$204,),0),H115/(1+IFERROR(INDEX(H$10:H$11,Предпосылки!$I$205,),0))*IFERROR(INDEX(H$10:H$11,Предпосылки!$I$205,),0),H138/(1+IFERROR(INDEX(H$10:H$11,Предпосылки!$I$206,),0))*IFERROR(INDEX(H$10:H$11,Предпосылки!$I$206,),0),H161/(1+IFERROR(INDEX(H$10:H$11,Предпосылки!$I$207,),0))*IFERROR(INDEX(H$10:H$11,Предпосылки!$I$207,),0),H184/(1+IFERROR(INDEX(H$10:H$11,Предпосылки!$I$208,),0))*IFERROR(INDEX(H$10:H$11,Предпосылки!$I$208,),0),H207/(1+IFERROR(INDEX(H$10:H$11,Предпосылки!$I$209,),0))*IFERROR(INDEX(H$10:H$11,Предпосылки!$I$209,),0),H230/(1+IFERROR(INDEX(H$10:H$11,Предпосылки!$I$210,),0))*IFERROR(INDEX(H$10:H$11,Предпосылки!$I$210,),0),H253/(1+IFERROR(INDEX(H$10:H$11,Предпосылки!$I$211,),0))*IFERROR(INDEX(H$10:H$11,Предпосылки!$I$211,),0),H276/(1+IFERROR(INDEX(H$10:H$11,Предпосылки!$I$212,),0))*IFERROR(INDEX(H$10:H$11,Предпосылки!$I$212,),0),H299/(1+IFERROR(INDEX(H$10:H$11,Предпосылки!$I$213,),0))*IFERROR(INDEX(H$10:H$11,Предпосылки!$I$213,),0),H322/(1+IFERROR(INDEX(H$10:H$11,Предпосылки!$I$214,),0))*IFERROR(INDEX(H$10:H$11,Предпосылки!$I$214,),0),H345/(1+IFERROR(INDEX(H$10:H$11,Предпосылки!$I$215,),0))*IFERROR(INDEX(H$10:H$11,Предпосылки!$I$215,),0),H368/(1+IFERROR(INDEX(H$10:H$11,Предпосылки!$I$216,),0))*IFERROR(INDEX(H$10:H$11,Предпосылки!$I$216,),0),H391/(1+IFERROR(INDEX(H$10:H$11,Предпосылки!$I$217,),0))*IFERROR(INDEX(H$10:H$11,Предпосылки!$I$217,),0),H414/(1+IFERROR(INDEX(H$10:H$11,Предпосылки!$I$218,),0))*IFERROR(INDEX(H$10:H$11,Предпосылки!$I$218,),0),H437/(1+IFERROR(INDEX(H$10:H$11,Предпосылки!$I$219,),0))*IFERROR(INDEX(H$10:H$11,Предпосылки!$I$219,),0),H460/(1+IFERROR(INDEX(H$10:H$11,Предпосылки!$I$220,),0))*IFERROR(INDEX(H$10:H$11,Предпосылки!$I$220,),0))</f>
        <v>0</v>
      </c>
      <c s="125">
        <f>SUM(I23/(1+IFERROR(INDEX(I$10:I$11,Предпосылки!$I$201,),0))*IFERROR(INDEX(I$10:I$11,Предпосылки!$I$201,),0),I46/(1+IFERROR(INDEX(I$10:I$11,Предпосылки!$I$202,),0))*IFERROR(INDEX(I$10:I$11,Предпосылки!$I$202,),0),I69/(1+IFERROR(INDEX(I$10:I$11,Предпосылки!$I$203,),0))*IFERROR(INDEX(I$10:I$11,Предпосылки!$I$203,),0),I92/(1+IFERROR(INDEX(I$10:I$11,Предпосылки!$I$204,),0))*IFERROR(INDEX(I$10:I$11,Предпосылки!$I$204,),0),I115/(1+IFERROR(INDEX(I$10:I$11,Предпосылки!$I$205,),0))*IFERROR(INDEX(I$10:I$11,Предпосылки!$I$205,),0),I138/(1+IFERROR(INDEX(I$10:I$11,Предпосылки!$I$206,),0))*IFERROR(INDEX(I$10:I$11,Предпосылки!$I$206,),0),I161/(1+IFERROR(INDEX(I$10:I$11,Предпосылки!$I$207,),0))*IFERROR(INDEX(I$10:I$11,Предпосылки!$I$207,),0),I184/(1+IFERROR(INDEX(I$10:I$11,Предпосылки!$I$208,),0))*IFERROR(INDEX(I$10:I$11,Предпосылки!$I$208,),0),I207/(1+IFERROR(INDEX(I$10:I$11,Предпосылки!$I$209,),0))*IFERROR(INDEX(I$10:I$11,Предпосылки!$I$209,),0),I230/(1+IFERROR(INDEX(I$10:I$11,Предпосылки!$I$210,),0))*IFERROR(INDEX(I$10:I$11,Предпосылки!$I$210,),0),I253/(1+IFERROR(INDEX(I$10:I$11,Предпосылки!$I$211,),0))*IFERROR(INDEX(I$10:I$11,Предпосылки!$I$211,),0),I276/(1+IFERROR(INDEX(I$10:I$11,Предпосылки!$I$212,),0))*IFERROR(INDEX(I$10:I$11,Предпосылки!$I$212,),0),I299/(1+IFERROR(INDEX(I$10:I$11,Предпосылки!$I$213,),0))*IFERROR(INDEX(I$10:I$11,Предпосылки!$I$213,),0),I322/(1+IFERROR(INDEX(I$10:I$11,Предпосылки!$I$214,),0))*IFERROR(INDEX(I$10:I$11,Предпосылки!$I$214,),0),I345/(1+IFERROR(INDEX(I$10:I$11,Предпосылки!$I$215,),0))*IFERROR(INDEX(I$10:I$11,Предпосылки!$I$215,),0),I368/(1+IFERROR(INDEX(I$10:I$11,Предпосылки!$I$216,),0))*IFERROR(INDEX(I$10:I$11,Предпосылки!$I$216,),0),I391/(1+IFERROR(INDEX(I$10:I$11,Предпосылки!$I$217,),0))*IFERROR(INDEX(I$10:I$11,Предпосылки!$I$217,),0),I414/(1+IFERROR(INDEX(I$10:I$11,Предпосылки!$I$218,),0))*IFERROR(INDEX(I$10:I$11,Предпосылки!$I$218,),0),I437/(1+IFERROR(INDEX(I$10:I$11,Предпосылки!$I$219,),0))*IFERROR(INDEX(I$10:I$11,Предпосылки!$I$219,),0),I460/(1+IFERROR(INDEX(I$10:I$11,Предпосылки!$I$220,),0))*IFERROR(INDEX(I$10:I$11,Предпосылки!$I$220,),0))</f>
        <v>0</v>
      </c>
      <c s="125">
        <f>SUM(J23/(1+IFERROR(INDEX(J$10:J$11,Предпосылки!$I$201,),0))*IFERROR(INDEX(J$10:J$11,Предпосылки!$I$201,),0),J46/(1+IFERROR(INDEX(J$10:J$11,Предпосылки!$I$202,),0))*IFERROR(INDEX(J$10:J$11,Предпосылки!$I$202,),0),J69/(1+IFERROR(INDEX(J$10:J$11,Предпосылки!$I$203,),0))*IFERROR(INDEX(J$10:J$11,Предпосылки!$I$203,),0),J92/(1+IFERROR(INDEX(J$10:J$11,Предпосылки!$I$204,),0))*IFERROR(INDEX(J$10:J$11,Предпосылки!$I$204,),0),J115/(1+IFERROR(INDEX(J$10:J$11,Предпосылки!$I$205,),0))*IFERROR(INDEX(J$10:J$11,Предпосылки!$I$205,),0),J138/(1+IFERROR(INDEX(J$10:J$11,Предпосылки!$I$206,),0))*IFERROR(INDEX(J$10:J$11,Предпосылки!$I$206,),0),J161/(1+IFERROR(INDEX(J$10:J$11,Предпосылки!$I$207,),0))*IFERROR(INDEX(J$10:J$11,Предпосылки!$I$207,),0),J184/(1+IFERROR(INDEX(J$10:J$11,Предпосылки!$I$208,),0))*IFERROR(INDEX(J$10:J$11,Предпосылки!$I$208,),0),J207/(1+IFERROR(INDEX(J$10:J$11,Предпосылки!$I$209,),0))*IFERROR(INDEX(J$10:J$11,Предпосылки!$I$209,),0),J230/(1+IFERROR(INDEX(J$10:J$11,Предпосылки!$I$210,),0))*IFERROR(INDEX(J$10:J$11,Предпосылки!$I$210,),0),J253/(1+IFERROR(INDEX(J$10:J$11,Предпосылки!$I$211,),0))*IFERROR(INDEX(J$10:J$11,Предпосылки!$I$211,),0),J276/(1+IFERROR(INDEX(J$10:J$11,Предпосылки!$I$212,),0))*IFERROR(INDEX(J$10:J$11,Предпосылки!$I$212,),0),J299/(1+IFERROR(INDEX(J$10:J$11,Предпосылки!$I$213,),0))*IFERROR(INDEX(J$10:J$11,Предпосылки!$I$213,),0),J322/(1+IFERROR(INDEX(J$10:J$11,Предпосылки!$I$214,),0))*IFERROR(INDEX(J$10:J$11,Предпосылки!$I$214,),0),J345/(1+IFERROR(INDEX(J$10:J$11,Предпосылки!$I$215,),0))*IFERROR(INDEX(J$10:J$11,Предпосылки!$I$215,),0),J368/(1+IFERROR(INDEX(J$10:J$11,Предпосылки!$I$216,),0))*IFERROR(INDEX(J$10:J$11,Предпосылки!$I$216,),0),J391/(1+IFERROR(INDEX(J$10:J$11,Предпосылки!$I$217,),0))*IFERROR(INDEX(J$10:J$11,Предпосылки!$I$217,),0),J414/(1+IFERROR(INDEX(J$10:J$11,Предпосылки!$I$218,),0))*IFERROR(INDEX(J$10:J$11,Предпосылки!$I$218,),0),J437/(1+IFERROR(INDEX(J$10:J$11,Предпосылки!$I$219,),0))*IFERROR(INDEX(J$10:J$11,Предпосылки!$I$219,),0),J460/(1+IFERROR(INDEX(J$10:J$11,Предпосылки!$I$220,),0))*IFERROR(INDEX(J$10:J$11,Предпосылки!$I$220,),0))</f>
        <v>0</v>
      </c>
      <c s="125">
        <f>SUM(K23/(1+IFERROR(INDEX(K$10:K$11,Предпосылки!$I$201,),0))*IFERROR(INDEX(K$10:K$11,Предпосылки!$I$201,),0),K46/(1+IFERROR(INDEX(K$10:K$11,Предпосылки!$I$202,),0))*IFERROR(INDEX(K$10:K$11,Предпосылки!$I$202,),0),K69/(1+IFERROR(INDEX(K$10:K$11,Предпосылки!$I$203,),0))*IFERROR(INDEX(K$10:K$11,Предпосылки!$I$203,),0),K92/(1+IFERROR(INDEX(K$10:K$11,Предпосылки!$I$204,),0))*IFERROR(INDEX(K$10:K$11,Предпосылки!$I$204,),0),K115/(1+IFERROR(INDEX(K$10:K$11,Предпосылки!$I$205,),0))*IFERROR(INDEX(K$10:K$11,Предпосылки!$I$205,),0),K138/(1+IFERROR(INDEX(K$10:K$11,Предпосылки!$I$206,),0))*IFERROR(INDEX(K$10:K$11,Предпосылки!$I$206,),0),K161/(1+IFERROR(INDEX(K$10:K$11,Предпосылки!$I$207,),0))*IFERROR(INDEX(K$10:K$11,Предпосылки!$I$207,),0),K184/(1+IFERROR(INDEX(K$10:K$11,Предпосылки!$I$208,),0))*IFERROR(INDEX(K$10:K$11,Предпосылки!$I$208,),0),K207/(1+IFERROR(INDEX(K$10:K$11,Предпосылки!$I$209,),0))*IFERROR(INDEX(K$10:K$11,Предпосылки!$I$209,),0),K230/(1+IFERROR(INDEX(K$10:K$11,Предпосылки!$I$210,),0))*IFERROR(INDEX(K$10:K$11,Предпосылки!$I$210,),0),K253/(1+IFERROR(INDEX(K$10:K$11,Предпосылки!$I$211,),0))*IFERROR(INDEX(K$10:K$11,Предпосылки!$I$211,),0),K276/(1+IFERROR(INDEX(K$10:K$11,Предпосылки!$I$212,),0))*IFERROR(INDEX(K$10:K$11,Предпосылки!$I$212,),0),K299/(1+IFERROR(INDEX(K$10:K$11,Предпосылки!$I$213,),0))*IFERROR(INDEX(K$10:K$11,Предпосылки!$I$213,),0),K322/(1+IFERROR(INDEX(K$10:K$11,Предпосылки!$I$214,),0))*IFERROR(INDEX(K$10:K$11,Предпосылки!$I$214,),0),K345/(1+IFERROR(INDEX(K$10:K$11,Предпосылки!$I$215,),0))*IFERROR(INDEX(K$10:K$11,Предпосылки!$I$215,),0),K368/(1+IFERROR(INDEX(K$10:K$11,Предпосылки!$I$216,),0))*IFERROR(INDEX(K$10:K$11,Предпосылки!$I$216,),0),K391/(1+IFERROR(INDEX(K$10:K$11,Предпосылки!$I$217,),0))*IFERROR(INDEX(K$10:K$11,Предпосылки!$I$217,),0),K414/(1+IFERROR(INDEX(K$10:K$11,Предпосылки!$I$218,),0))*IFERROR(INDEX(K$10:K$11,Предпосылки!$I$218,),0),K437/(1+IFERROR(INDEX(K$10:K$11,Предпосылки!$I$219,),0))*IFERROR(INDEX(K$10:K$11,Предпосылки!$I$219,),0),K460/(1+IFERROR(INDEX(K$10:K$11,Предпосылки!$I$220,),0))*IFERROR(INDEX(K$10:K$11,Предпосылки!$I$220,),0))</f>
        <v>0</v>
      </c>
      <c s="125">
        <f>SUM(L23/(1+IFERROR(INDEX(L$10:L$11,Предпосылки!$I$201,),0))*IFERROR(INDEX(L$10:L$11,Предпосылки!$I$201,),0),L46/(1+IFERROR(INDEX(L$10:L$11,Предпосылки!$I$202,),0))*IFERROR(INDEX(L$10:L$11,Предпосылки!$I$202,),0),L69/(1+IFERROR(INDEX(L$10:L$11,Предпосылки!$I$203,),0))*IFERROR(INDEX(L$10:L$11,Предпосылки!$I$203,),0),L92/(1+IFERROR(INDEX(L$10:L$11,Предпосылки!$I$204,),0))*IFERROR(INDEX(L$10:L$11,Предпосылки!$I$204,),0),L115/(1+IFERROR(INDEX(L$10:L$11,Предпосылки!$I$205,),0))*IFERROR(INDEX(L$10:L$11,Предпосылки!$I$205,),0),L138/(1+IFERROR(INDEX(L$10:L$11,Предпосылки!$I$206,),0))*IFERROR(INDEX(L$10:L$11,Предпосылки!$I$206,),0),L161/(1+IFERROR(INDEX(L$10:L$11,Предпосылки!$I$207,),0))*IFERROR(INDEX(L$10:L$11,Предпосылки!$I$207,),0),L184/(1+IFERROR(INDEX(L$10:L$11,Предпосылки!$I$208,),0))*IFERROR(INDEX(L$10:L$11,Предпосылки!$I$208,),0),L207/(1+IFERROR(INDEX(L$10:L$11,Предпосылки!$I$209,),0))*IFERROR(INDEX(L$10:L$11,Предпосылки!$I$209,),0),L230/(1+IFERROR(INDEX(L$10:L$11,Предпосылки!$I$210,),0))*IFERROR(INDEX(L$10:L$11,Предпосылки!$I$210,),0),L253/(1+IFERROR(INDEX(L$10:L$11,Предпосылки!$I$211,),0))*IFERROR(INDEX(L$10:L$11,Предпосылки!$I$211,),0),L276/(1+IFERROR(INDEX(L$10:L$11,Предпосылки!$I$212,),0))*IFERROR(INDEX(L$10:L$11,Предпосылки!$I$212,),0),L299/(1+IFERROR(INDEX(L$10:L$11,Предпосылки!$I$213,),0))*IFERROR(INDEX(L$10:L$11,Предпосылки!$I$213,),0),L322/(1+IFERROR(INDEX(L$10:L$11,Предпосылки!$I$214,),0))*IFERROR(INDEX(L$10:L$11,Предпосылки!$I$214,),0),L345/(1+IFERROR(INDEX(L$10:L$11,Предпосылки!$I$215,),0))*IFERROR(INDEX(L$10:L$11,Предпосылки!$I$215,),0),L368/(1+IFERROR(INDEX(L$10:L$11,Предпосылки!$I$216,),0))*IFERROR(INDEX(L$10:L$11,Предпосылки!$I$216,),0),L391/(1+IFERROR(INDEX(L$10:L$11,Предпосылки!$I$217,),0))*IFERROR(INDEX(L$10:L$11,Предпосылки!$I$217,),0),L414/(1+IFERROR(INDEX(L$10:L$11,Предпосылки!$I$218,),0))*IFERROR(INDEX(L$10:L$11,Предпосылки!$I$218,),0),L437/(1+IFERROR(INDEX(L$10:L$11,Предпосылки!$I$219,),0))*IFERROR(INDEX(L$10:L$11,Предпосылки!$I$219,),0),L460/(1+IFERROR(INDEX(L$10:L$11,Предпосылки!$I$220,),0))*IFERROR(INDEX(L$10:L$11,Предпосылки!$I$220,),0))</f>
        <v>0</v>
      </c>
      <c s="125">
        <f>SUM(M23/(1+IFERROR(INDEX(M$10:M$11,Предпосылки!$I$201,),0))*IFERROR(INDEX(M$10:M$11,Предпосылки!$I$201,),0),M46/(1+IFERROR(INDEX(M$10:M$11,Предпосылки!$I$202,),0))*IFERROR(INDEX(M$10:M$11,Предпосылки!$I$202,),0),M69/(1+IFERROR(INDEX(M$10:M$11,Предпосылки!$I$203,),0))*IFERROR(INDEX(M$10:M$11,Предпосылки!$I$203,),0),M92/(1+IFERROR(INDEX(M$10:M$11,Предпосылки!$I$204,),0))*IFERROR(INDEX(M$10:M$11,Предпосылки!$I$204,),0),M115/(1+IFERROR(INDEX(M$10:M$11,Предпосылки!$I$205,),0))*IFERROR(INDEX(M$10:M$11,Предпосылки!$I$205,),0),M138/(1+IFERROR(INDEX(M$10:M$11,Предпосылки!$I$206,),0))*IFERROR(INDEX(M$10:M$11,Предпосылки!$I$206,),0),M161/(1+IFERROR(INDEX(M$10:M$11,Предпосылки!$I$207,),0))*IFERROR(INDEX(M$10:M$11,Предпосылки!$I$207,),0),M184/(1+IFERROR(INDEX(M$10:M$11,Предпосылки!$I$208,),0))*IFERROR(INDEX(M$10:M$11,Предпосылки!$I$208,),0),M207/(1+IFERROR(INDEX(M$10:M$11,Предпосылки!$I$209,),0))*IFERROR(INDEX(M$10:M$11,Предпосылки!$I$209,),0),M230/(1+IFERROR(INDEX(M$10:M$11,Предпосылки!$I$210,),0))*IFERROR(INDEX(M$10:M$11,Предпосылки!$I$210,),0),M253/(1+IFERROR(INDEX(M$10:M$11,Предпосылки!$I$211,),0))*IFERROR(INDEX(M$10:M$11,Предпосылки!$I$211,),0),M276/(1+IFERROR(INDEX(M$10:M$11,Предпосылки!$I$212,),0))*IFERROR(INDEX(M$10:M$11,Предпосылки!$I$212,),0),M299/(1+IFERROR(INDEX(M$10:M$11,Предпосылки!$I$213,),0))*IFERROR(INDEX(M$10:M$11,Предпосылки!$I$213,),0),M322/(1+IFERROR(INDEX(M$10:M$11,Предпосылки!$I$214,),0))*IFERROR(INDEX(M$10:M$11,Предпосылки!$I$214,),0),M345/(1+IFERROR(INDEX(M$10:M$11,Предпосылки!$I$215,),0))*IFERROR(INDEX(M$10:M$11,Предпосылки!$I$215,),0),M368/(1+IFERROR(INDEX(M$10:M$11,Предпосылки!$I$216,),0))*IFERROR(INDEX(M$10:M$11,Предпосылки!$I$216,),0),M391/(1+IFERROR(INDEX(M$10:M$11,Предпосылки!$I$217,),0))*IFERROR(INDEX(M$10:M$11,Предпосылки!$I$217,),0),M414/(1+IFERROR(INDEX(M$10:M$11,Предпосылки!$I$218,),0))*IFERROR(INDEX(M$10:M$11,Предпосылки!$I$218,),0),M437/(1+IFERROR(INDEX(M$10:M$11,Предпосылки!$I$219,),0))*IFERROR(INDEX(M$10:M$11,Предпосылки!$I$219,),0),M460/(1+IFERROR(INDEX(M$10:M$11,Предпосылки!$I$220,),0))*IFERROR(INDEX(M$10:M$11,Предпосылки!$I$220,),0))</f>
        <v>0</v>
      </c>
      <c s="125">
        <f>SUM(N23/(1+IFERROR(INDEX(N$10:N$11,Предпосылки!$I$201,),0))*IFERROR(INDEX(N$10:N$11,Предпосылки!$I$201,),0),N46/(1+IFERROR(INDEX(N$10:N$11,Предпосылки!$I$202,),0))*IFERROR(INDEX(N$10:N$11,Предпосылки!$I$202,),0),N69/(1+IFERROR(INDEX(N$10:N$11,Предпосылки!$I$203,),0))*IFERROR(INDEX(N$10:N$11,Предпосылки!$I$203,),0),N92/(1+IFERROR(INDEX(N$10:N$11,Предпосылки!$I$204,),0))*IFERROR(INDEX(N$10:N$11,Предпосылки!$I$204,),0),N115/(1+IFERROR(INDEX(N$10:N$11,Предпосылки!$I$205,),0))*IFERROR(INDEX(N$10:N$11,Предпосылки!$I$205,),0),N138/(1+IFERROR(INDEX(N$10:N$11,Предпосылки!$I$206,),0))*IFERROR(INDEX(N$10:N$11,Предпосылки!$I$206,),0),N161/(1+IFERROR(INDEX(N$10:N$11,Предпосылки!$I$207,),0))*IFERROR(INDEX(N$10:N$11,Предпосылки!$I$207,),0),N184/(1+IFERROR(INDEX(N$10:N$11,Предпосылки!$I$208,),0))*IFERROR(INDEX(N$10:N$11,Предпосылки!$I$208,),0),N207/(1+IFERROR(INDEX(N$10:N$11,Предпосылки!$I$209,),0))*IFERROR(INDEX(N$10:N$11,Предпосылки!$I$209,),0),N230/(1+IFERROR(INDEX(N$10:N$11,Предпосылки!$I$210,),0))*IFERROR(INDEX(N$10:N$11,Предпосылки!$I$210,),0),N253/(1+IFERROR(INDEX(N$10:N$11,Предпосылки!$I$211,),0))*IFERROR(INDEX(N$10:N$11,Предпосылки!$I$211,),0),N276/(1+IFERROR(INDEX(N$10:N$11,Предпосылки!$I$212,),0))*IFERROR(INDEX(N$10:N$11,Предпосылки!$I$212,),0),N299/(1+IFERROR(INDEX(N$10:N$11,Предпосылки!$I$213,),0))*IFERROR(INDEX(N$10:N$11,Предпосылки!$I$213,),0),N322/(1+IFERROR(INDEX(N$10:N$11,Предпосылки!$I$214,),0))*IFERROR(INDEX(N$10:N$11,Предпосылки!$I$214,),0),N345/(1+IFERROR(INDEX(N$10:N$11,Предпосылки!$I$215,),0))*IFERROR(INDEX(N$10:N$11,Предпосылки!$I$215,),0),N368/(1+IFERROR(INDEX(N$10:N$11,Предпосылки!$I$216,),0))*IFERROR(INDEX(N$10:N$11,Предпосылки!$I$216,),0),N391/(1+IFERROR(INDEX(N$10:N$11,Предпосылки!$I$217,),0))*IFERROR(INDEX(N$10:N$11,Предпосылки!$I$217,),0),N414/(1+IFERROR(INDEX(N$10:N$11,Предпосылки!$I$218,),0))*IFERROR(INDEX(N$10:N$11,Предпосылки!$I$218,),0),N437/(1+IFERROR(INDEX(N$10:N$11,Предпосылки!$I$219,),0))*IFERROR(INDEX(N$10:N$11,Предпосылки!$I$219,),0),N460/(1+IFERROR(INDEX(N$10:N$11,Предпосылки!$I$220,),0))*IFERROR(INDEX(N$10:N$11,Предпосылки!$I$220,),0))</f>
        <v>0</v>
      </c>
      <c s="125">
        <f>SUM(O23/(1+IFERROR(INDEX(O$10:O$11,Предпосылки!$I$201,),0))*IFERROR(INDEX(O$10:O$11,Предпосылки!$I$201,),0),O46/(1+IFERROR(INDEX(O$10:O$11,Предпосылки!$I$202,),0))*IFERROR(INDEX(O$10:O$11,Предпосылки!$I$202,),0),O69/(1+IFERROR(INDEX(O$10:O$11,Предпосылки!$I$203,),0))*IFERROR(INDEX(O$10:O$11,Предпосылки!$I$203,),0),O92/(1+IFERROR(INDEX(O$10:O$11,Предпосылки!$I$204,),0))*IFERROR(INDEX(O$10:O$11,Предпосылки!$I$204,),0),O115/(1+IFERROR(INDEX(O$10:O$11,Предпосылки!$I$205,),0))*IFERROR(INDEX(O$10:O$11,Предпосылки!$I$205,),0),O138/(1+IFERROR(INDEX(O$10:O$11,Предпосылки!$I$206,),0))*IFERROR(INDEX(O$10:O$11,Предпосылки!$I$206,),0),O161/(1+IFERROR(INDEX(O$10:O$11,Предпосылки!$I$207,),0))*IFERROR(INDEX(O$10:O$11,Предпосылки!$I$207,),0),O184/(1+IFERROR(INDEX(O$10:O$11,Предпосылки!$I$208,),0))*IFERROR(INDEX(O$10:O$11,Предпосылки!$I$208,),0),O207/(1+IFERROR(INDEX(O$10:O$11,Предпосылки!$I$209,),0))*IFERROR(INDEX(O$10:O$11,Предпосылки!$I$209,),0),O230/(1+IFERROR(INDEX(O$10:O$11,Предпосылки!$I$210,),0))*IFERROR(INDEX(O$10:O$11,Предпосылки!$I$210,),0),O253/(1+IFERROR(INDEX(O$10:O$11,Предпосылки!$I$211,),0))*IFERROR(INDEX(O$10:O$11,Предпосылки!$I$211,),0),O276/(1+IFERROR(INDEX(O$10:O$11,Предпосылки!$I$212,),0))*IFERROR(INDEX(O$10:O$11,Предпосылки!$I$212,),0),O299/(1+IFERROR(INDEX(O$10:O$11,Предпосылки!$I$213,),0))*IFERROR(INDEX(O$10:O$11,Предпосылки!$I$213,),0),O322/(1+IFERROR(INDEX(O$10:O$11,Предпосылки!$I$214,),0))*IFERROR(INDEX(O$10:O$11,Предпосылки!$I$214,),0),O345/(1+IFERROR(INDEX(O$10:O$11,Предпосылки!$I$215,),0))*IFERROR(INDEX(O$10:O$11,Предпосылки!$I$215,),0),O368/(1+IFERROR(INDEX(O$10:O$11,Предпосылки!$I$216,),0))*IFERROR(INDEX(O$10:O$11,Предпосылки!$I$216,),0),O391/(1+IFERROR(INDEX(O$10:O$11,Предпосылки!$I$217,),0))*IFERROR(INDEX(O$10:O$11,Предпосылки!$I$217,),0),O414/(1+IFERROR(INDEX(O$10:O$11,Предпосылки!$I$218,),0))*IFERROR(INDEX(O$10:O$11,Предпосылки!$I$218,),0),O437/(1+IFERROR(INDEX(O$10:O$11,Предпосылки!$I$219,),0))*IFERROR(INDEX(O$10:O$11,Предпосылки!$I$219,),0),O460/(1+IFERROR(INDEX(O$10:O$11,Предпосылки!$I$220,),0))*IFERROR(INDEX(O$10:O$11,Предпосылки!$I$220,),0))</f>
        <v>0</v>
      </c>
      <c s="125">
        <f>SUM(P23/(1+IFERROR(INDEX(P$10:P$11,Предпосылки!$I$201,),0))*IFERROR(INDEX(P$10:P$11,Предпосылки!$I$201,),0),P46/(1+IFERROR(INDEX(P$10:P$11,Предпосылки!$I$202,),0))*IFERROR(INDEX(P$10:P$11,Предпосылки!$I$202,),0),P69/(1+IFERROR(INDEX(P$10:P$11,Предпосылки!$I$203,),0))*IFERROR(INDEX(P$10:P$11,Предпосылки!$I$203,),0),P92/(1+IFERROR(INDEX(P$10:P$11,Предпосылки!$I$204,),0))*IFERROR(INDEX(P$10:P$11,Предпосылки!$I$204,),0),P115/(1+IFERROR(INDEX(P$10:P$11,Предпосылки!$I$205,),0))*IFERROR(INDEX(P$10:P$11,Предпосылки!$I$205,),0),P138/(1+IFERROR(INDEX(P$10:P$11,Предпосылки!$I$206,),0))*IFERROR(INDEX(P$10:P$11,Предпосылки!$I$206,),0),P161/(1+IFERROR(INDEX(P$10:P$11,Предпосылки!$I$207,),0))*IFERROR(INDEX(P$10:P$11,Предпосылки!$I$207,),0),P184/(1+IFERROR(INDEX(P$10:P$11,Предпосылки!$I$208,),0))*IFERROR(INDEX(P$10:P$11,Предпосылки!$I$208,),0),P207/(1+IFERROR(INDEX(P$10:P$11,Предпосылки!$I$209,),0))*IFERROR(INDEX(P$10:P$11,Предпосылки!$I$209,),0),P230/(1+IFERROR(INDEX(P$10:P$11,Предпосылки!$I$210,),0))*IFERROR(INDEX(P$10:P$11,Предпосылки!$I$210,),0),P253/(1+IFERROR(INDEX(P$10:P$11,Предпосылки!$I$211,),0))*IFERROR(INDEX(P$10:P$11,Предпосылки!$I$211,),0),P276/(1+IFERROR(INDEX(P$10:P$11,Предпосылки!$I$212,),0))*IFERROR(INDEX(P$10:P$11,Предпосылки!$I$212,),0),P299/(1+IFERROR(INDEX(P$10:P$11,Предпосылки!$I$213,),0))*IFERROR(INDEX(P$10:P$11,Предпосылки!$I$213,),0),P322/(1+IFERROR(INDEX(P$10:P$11,Предпосылки!$I$214,),0))*IFERROR(INDEX(P$10:P$11,Предпосылки!$I$214,),0),P345/(1+IFERROR(INDEX(P$10:P$11,Предпосылки!$I$215,),0))*IFERROR(INDEX(P$10:P$11,Предпосылки!$I$215,),0),P368/(1+IFERROR(INDEX(P$10:P$11,Предпосылки!$I$216,),0))*IFERROR(INDEX(P$10:P$11,Предпосылки!$I$216,),0),P391/(1+IFERROR(INDEX(P$10:P$11,Предпосылки!$I$217,),0))*IFERROR(INDEX(P$10:P$11,Предпосылки!$I$217,),0),P414/(1+IFERROR(INDEX(P$10:P$11,Предпосылки!$I$218,),0))*IFERROR(INDEX(P$10:P$11,Предпосылки!$I$218,),0),P437/(1+IFERROR(INDEX(P$10:P$11,Предпосылки!$I$219,),0))*IFERROR(INDEX(P$10:P$11,Предпосылки!$I$219,),0),P460/(1+IFERROR(INDEX(P$10:P$11,Предпосылки!$I$220,),0))*IFERROR(INDEX(P$10:P$11,Предпосылки!$I$220,),0))</f>
        <v>0</v>
      </c>
      <c s="125">
        <f>SUM(Q23/(1+IFERROR(INDEX(Q$10:Q$11,Предпосылки!$I$201,),0))*IFERROR(INDEX(Q$10:Q$11,Предпосылки!$I$201,),0),Q46/(1+IFERROR(INDEX(Q$10:Q$11,Предпосылки!$I$202,),0))*IFERROR(INDEX(Q$10:Q$11,Предпосылки!$I$202,),0),Q69/(1+IFERROR(INDEX(Q$10:Q$11,Предпосылки!$I$203,),0))*IFERROR(INDEX(Q$10:Q$11,Предпосылки!$I$203,),0),Q92/(1+IFERROR(INDEX(Q$10:Q$11,Предпосылки!$I$204,),0))*IFERROR(INDEX(Q$10:Q$11,Предпосылки!$I$204,),0),Q115/(1+IFERROR(INDEX(Q$10:Q$11,Предпосылки!$I$205,),0))*IFERROR(INDEX(Q$10:Q$11,Предпосылки!$I$205,),0),Q138/(1+IFERROR(INDEX(Q$10:Q$11,Предпосылки!$I$206,),0))*IFERROR(INDEX(Q$10:Q$11,Предпосылки!$I$206,),0),Q161/(1+IFERROR(INDEX(Q$10:Q$11,Предпосылки!$I$207,),0))*IFERROR(INDEX(Q$10:Q$11,Предпосылки!$I$207,),0),Q184/(1+IFERROR(INDEX(Q$10:Q$11,Предпосылки!$I$208,),0))*IFERROR(INDEX(Q$10:Q$11,Предпосылки!$I$208,),0),Q207/(1+IFERROR(INDEX(Q$10:Q$11,Предпосылки!$I$209,),0))*IFERROR(INDEX(Q$10:Q$11,Предпосылки!$I$209,),0),Q230/(1+IFERROR(INDEX(Q$10:Q$11,Предпосылки!$I$210,),0))*IFERROR(INDEX(Q$10:Q$11,Предпосылки!$I$210,),0),Q253/(1+IFERROR(INDEX(Q$10:Q$11,Предпосылки!$I$211,),0))*IFERROR(INDEX(Q$10:Q$11,Предпосылки!$I$211,),0),Q276/(1+IFERROR(INDEX(Q$10:Q$11,Предпосылки!$I$212,),0))*IFERROR(INDEX(Q$10:Q$11,Предпосылки!$I$212,),0),Q299/(1+IFERROR(INDEX(Q$10:Q$11,Предпосылки!$I$213,),0))*IFERROR(INDEX(Q$10:Q$11,Предпосылки!$I$213,),0),Q322/(1+IFERROR(INDEX(Q$10:Q$11,Предпосылки!$I$214,),0))*IFERROR(INDEX(Q$10:Q$11,Предпосылки!$I$214,),0),Q345/(1+IFERROR(INDEX(Q$10:Q$11,Предпосылки!$I$215,),0))*IFERROR(INDEX(Q$10:Q$11,Предпосылки!$I$215,),0),Q368/(1+IFERROR(INDEX(Q$10:Q$11,Предпосылки!$I$216,),0))*IFERROR(INDEX(Q$10:Q$11,Предпосылки!$I$216,),0),Q391/(1+IFERROR(INDEX(Q$10:Q$11,Предпосылки!$I$217,),0))*IFERROR(INDEX(Q$10:Q$11,Предпосылки!$I$217,),0),Q414/(1+IFERROR(INDEX(Q$10:Q$11,Предпосылки!$I$218,),0))*IFERROR(INDEX(Q$10:Q$11,Предпосылки!$I$218,),0),Q437/(1+IFERROR(INDEX(Q$10:Q$11,Предпосылки!$I$219,),0))*IFERROR(INDEX(Q$10:Q$11,Предпосылки!$I$219,),0),Q460/(1+IFERROR(INDEX(Q$10:Q$11,Предпосылки!$I$220,),0))*IFERROR(INDEX(Q$10:Q$11,Предпосылки!$I$220,),0))</f>
        <v>0</v>
      </c>
      <c s="125">
        <f>SUM(R23/(1+IFERROR(INDEX(R$10:R$11,Предпосылки!$I$201,),0))*IFERROR(INDEX(R$10:R$11,Предпосылки!$I$201,),0),R46/(1+IFERROR(INDEX(R$10:R$11,Предпосылки!$I$202,),0))*IFERROR(INDEX(R$10:R$11,Предпосылки!$I$202,),0),R69/(1+IFERROR(INDEX(R$10:R$11,Предпосылки!$I$203,),0))*IFERROR(INDEX(R$10:R$11,Предпосылки!$I$203,),0),R92/(1+IFERROR(INDEX(R$10:R$11,Предпосылки!$I$204,),0))*IFERROR(INDEX(R$10:R$11,Предпосылки!$I$204,),0),R115/(1+IFERROR(INDEX(R$10:R$11,Предпосылки!$I$205,),0))*IFERROR(INDEX(R$10:R$11,Предпосылки!$I$205,),0),R138/(1+IFERROR(INDEX(R$10:R$11,Предпосылки!$I$206,),0))*IFERROR(INDEX(R$10:R$11,Предпосылки!$I$206,),0),R161/(1+IFERROR(INDEX(R$10:R$11,Предпосылки!$I$207,),0))*IFERROR(INDEX(R$10:R$11,Предпосылки!$I$207,),0),R184/(1+IFERROR(INDEX(R$10:R$11,Предпосылки!$I$208,),0))*IFERROR(INDEX(R$10:R$11,Предпосылки!$I$208,),0),R207/(1+IFERROR(INDEX(R$10:R$11,Предпосылки!$I$209,),0))*IFERROR(INDEX(R$10:R$11,Предпосылки!$I$209,),0),R230/(1+IFERROR(INDEX(R$10:R$11,Предпосылки!$I$210,),0))*IFERROR(INDEX(R$10:R$11,Предпосылки!$I$210,),0),R253/(1+IFERROR(INDEX(R$10:R$11,Предпосылки!$I$211,),0))*IFERROR(INDEX(R$10:R$11,Предпосылки!$I$211,),0),R276/(1+IFERROR(INDEX(R$10:R$11,Предпосылки!$I$212,),0))*IFERROR(INDEX(R$10:R$11,Предпосылки!$I$212,),0),R299/(1+IFERROR(INDEX(R$10:R$11,Предпосылки!$I$213,),0))*IFERROR(INDEX(R$10:R$11,Предпосылки!$I$213,),0),R322/(1+IFERROR(INDEX(R$10:R$11,Предпосылки!$I$214,),0))*IFERROR(INDEX(R$10:R$11,Предпосылки!$I$214,),0),R345/(1+IFERROR(INDEX(R$10:R$11,Предпосылки!$I$215,),0))*IFERROR(INDEX(R$10:R$11,Предпосылки!$I$215,),0),R368/(1+IFERROR(INDEX(R$10:R$11,Предпосылки!$I$216,),0))*IFERROR(INDEX(R$10:R$11,Предпосылки!$I$216,),0),R391/(1+IFERROR(INDEX(R$10:R$11,Предпосылки!$I$217,),0))*IFERROR(INDEX(R$10:R$11,Предпосылки!$I$217,),0),R414/(1+IFERROR(INDEX(R$10:R$11,Предпосылки!$I$218,),0))*IFERROR(INDEX(R$10:R$11,Предпосылки!$I$218,),0),R437/(1+IFERROR(INDEX(R$10:R$11,Предпосылки!$I$219,),0))*IFERROR(INDEX(R$10:R$11,Предпосылки!$I$219,),0),R460/(1+IFERROR(INDEX(R$10:R$11,Предпосылки!$I$220,),0))*IFERROR(INDEX(R$10:R$11,Предпосылки!$I$220,),0))</f>
        <v>0</v>
      </c>
      <c s="125">
        <f>SUM(S23/(1+IFERROR(INDEX(S$10:S$11,Предпосылки!$I$201,),0))*IFERROR(INDEX(S$10:S$11,Предпосылки!$I$201,),0),S46/(1+IFERROR(INDEX(S$10:S$11,Предпосылки!$I$202,),0))*IFERROR(INDEX(S$10:S$11,Предпосылки!$I$202,),0),S69/(1+IFERROR(INDEX(S$10:S$11,Предпосылки!$I$203,),0))*IFERROR(INDEX(S$10:S$11,Предпосылки!$I$203,),0),S92/(1+IFERROR(INDEX(S$10:S$11,Предпосылки!$I$204,),0))*IFERROR(INDEX(S$10:S$11,Предпосылки!$I$204,),0),S115/(1+IFERROR(INDEX(S$10:S$11,Предпосылки!$I$205,),0))*IFERROR(INDEX(S$10:S$11,Предпосылки!$I$205,),0),S138/(1+IFERROR(INDEX(S$10:S$11,Предпосылки!$I$206,),0))*IFERROR(INDEX(S$10:S$11,Предпосылки!$I$206,),0),S161/(1+IFERROR(INDEX(S$10:S$11,Предпосылки!$I$207,),0))*IFERROR(INDEX(S$10:S$11,Предпосылки!$I$207,),0),S184/(1+IFERROR(INDEX(S$10:S$11,Предпосылки!$I$208,),0))*IFERROR(INDEX(S$10:S$11,Предпосылки!$I$208,),0),S207/(1+IFERROR(INDEX(S$10:S$11,Предпосылки!$I$209,),0))*IFERROR(INDEX(S$10:S$11,Предпосылки!$I$209,),0),S230/(1+IFERROR(INDEX(S$10:S$11,Предпосылки!$I$210,),0))*IFERROR(INDEX(S$10:S$11,Предпосылки!$I$210,),0),S253/(1+IFERROR(INDEX(S$10:S$11,Предпосылки!$I$211,),0))*IFERROR(INDEX(S$10:S$11,Предпосылки!$I$211,),0),S276/(1+IFERROR(INDEX(S$10:S$11,Предпосылки!$I$212,),0))*IFERROR(INDEX(S$10:S$11,Предпосылки!$I$212,),0),S299/(1+IFERROR(INDEX(S$10:S$11,Предпосылки!$I$213,),0))*IFERROR(INDEX(S$10:S$11,Предпосылки!$I$213,),0),S322/(1+IFERROR(INDEX(S$10:S$11,Предпосылки!$I$214,),0))*IFERROR(INDEX(S$10:S$11,Предпосылки!$I$214,),0),S345/(1+IFERROR(INDEX(S$10:S$11,Предпосылки!$I$215,),0))*IFERROR(INDEX(S$10:S$11,Предпосылки!$I$215,),0),S368/(1+IFERROR(INDEX(S$10:S$11,Предпосылки!$I$216,),0))*IFERROR(INDEX(S$10:S$11,Предпосылки!$I$216,),0),S391/(1+IFERROR(INDEX(S$10:S$11,Предпосылки!$I$217,),0))*IFERROR(INDEX(S$10:S$11,Предпосылки!$I$217,),0),S414/(1+IFERROR(INDEX(S$10:S$11,Предпосылки!$I$218,),0))*IFERROR(INDEX(S$10:S$11,Предпосылки!$I$218,),0),S437/(1+IFERROR(INDEX(S$10:S$11,Предпосылки!$I$219,),0))*IFERROR(INDEX(S$10:S$11,Предпосылки!$I$219,),0),S460/(1+IFERROR(INDEX(S$10:S$11,Предпосылки!$I$220,),0))*IFERROR(INDEX(S$10:S$11,Предпосылки!$I$220,),0))</f>
        <v>0</v>
      </c>
      <c s="125">
        <f>SUM(T23/(1+IFERROR(INDEX(T$10:T$11,Предпосылки!$I$201,),0))*IFERROR(INDEX(T$10:T$11,Предпосылки!$I$201,),0),T46/(1+IFERROR(INDEX(T$10:T$11,Предпосылки!$I$202,),0))*IFERROR(INDEX(T$10:T$11,Предпосылки!$I$202,),0),T69/(1+IFERROR(INDEX(T$10:T$11,Предпосылки!$I$203,),0))*IFERROR(INDEX(T$10:T$11,Предпосылки!$I$203,),0),T92/(1+IFERROR(INDEX(T$10:T$11,Предпосылки!$I$204,),0))*IFERROR(INDEX(T$10:T$11,Предпосылки!$I$204,),0),T115/(1+IFERROR(INDEX(T$10:T$11,Предпосылки!$I$205,),0))*IFERROR(INDEX(T$10:T$11,Предпосылки!$I$205,),0),T138/(1+IFERROR(INDEX(T$10:T$11,Предпосылки!$I$206,),0))*IFERROR(INDEX(T$10:T$11,Предпосылки!$I$206,),0),T161/(1+IFERROR(INDEX(T$10:T$11,Предпосылки!$I$207,),0))*IFERROR(INDEX(T$10:T$11,Предпосылки!$I$207,),0),T184/(1+IFERROR(INDEX(T$10:T$11,Предпосылки!$I$208,),0))*IFERROR(INDEX(T$10:T$11,Предпосылки!$I$208,),0),T207/(1+IFERROR(INDEX(T$10:T$11,Предпосылки!$I$209,),0))*IFERROR(INDEX(T$10:T$11,Предпосылки!$I$209,),0),T230/(1+IFERROR(INDEX(T$10:T$11,Предпосылки!$I$210,),0))*IFERROR(INDEX(T$10:T$11,Предпосылки!$I$210,),0),T253/(1+IFERROR(INDEX(T$10:T$11,Предпосылки!$I$211,),0))*IFERROR(INDEX(T$10:T$11,Предпосылки!$I$211,),0),T276/(1+IFERROR(INDEX(T$10:T$11,Предпосылки!$I$212,),0))*IFERROR(INDEX(T$10:T$11,Предпосылки!$I$212,),0),T299/(1+IFERROR(INDEX(T$10:T$11,Предпосылки!$I$213,),0))*IFERROR(INDEX(T$10:T$11,Предпосылки!$I$213,),0),T322/(1+IFERROR(INDEX(T$10:T$11,Предпосылки!$I$214,),0))*IFERROR(INDEX(T$10:T$11,Предпосылки!$I$214,),0),T345/(1+IFERROR(INDEX(T$10:T$11,Предпосылки!$I$215,),0))*IFERROR(INDEX(T$10:T$11,Предпосылки!$I$215,),0),T368/(1+IFERROR(INDEX(T$10:T$11,Предпосылки!$I$216,),0))*IFERROR(INDEX(T$10:T$11,Предпосылки!$I$216,),0),T391/(1+IFERROR(INDEX(T$10:T$11,Предпосылки!$I$217,),0))*IFERROR(INDEX(T$10:T$11,Предпосылки!$I$217,),0),T414/(1+IFERROR(INDEX(T$10:T$11,Предпосылки!$I$218,),0))*IFERROR(INDEX(T$10:T$11,Предпосылки!$I$218,),0),T437/(1+IFERROR(INDEX(T$10:T$11,Предпосылки!$I$219,),0))*IFERROR(INDEX(T$10:T$11,Предпосылки!$I$219,),0),T460/(1+IFERROR(INDEX(T$10:T$11,Предпосылки!$I$220,),0))*IFERROR(INDEX(T$10:T$11,Предпосылки!$I$220,),0))</f>
        <v>0</v>
      </c>
      <c s="125">
        <f>SUM(U23/(1+IFERROR(INDEX(U$10:U$11,Предпосылки!$I$201,),0))*IFERROR(INDEX(U$10:U$11,Предпосылки!$I$201,),0),U46/(1+IFERROR(INDEX(U$10:U$11,Предпосылки!$I$202,),0))*IFERROR(INDEX(U$10:U$11,Предпосылки!$I$202,),0),U69/(1+IFERROR(INDEX(U$10:U$11,Предпосылки!$I$203,),0))*IFERROR(INDEX(U$10:U$11,Предпосылки!$I$203,),0),U92/(1+IFERROR(INDEX(U$10:U$11,Предпосылки!$I$204,),0))*IFERROR(INDEX(U$10:U$11,Предпосылки!$I$204,),0),U115/(1+IFERROR(INDEX(U$10:U$11,Предпосылки!$I$205,),0))*IFERROR(INDEX(U$10:U$11,Предпосылки!$I$205,),0),U138/(1+IFERROR(INDEX(U$10:U$11,Предпосылки!$I$206,),0))*IFERROR(INDEX(U$10:U$11,Предпосылки!$I$206,),0),U161/(1+IFERROR(INDEX(U$10:U$11,Предпосылки!$I$207,),0))*IFERROR(INDEX(U$10:U$11,Предпосылки!$I$207,),0),U184/(1+IFERROR(INDEX(U$10:U$11,Предпосылки!$I$208,),0))*IFERROR(INDEX(U$10:U$11,Предпосылки!$I$208,),0),U207/(1+IFERROR(INDEX(U$10:U$11,Предпосылки!$I$209,),0))*IFERROR(INDEX(U$10:U$11,Предпосылки!$I$209,),0),U230/(1+IFERROR(INDEX(U$10:U$11,Предпосылки!$I$210,),0))*IFERROR(INDEX(U$10:U$11,Предпосылки!$I$210,),0),U253/(1+IFERROR(INDEX(U$10:U$11,Предпосылки!$I$211,),0))*IFERROR(INDEX(U$10:U$11,Предпосылки!$I$211,),0),U276/(1+IFERROR(INDEX(U$10:U$11,Предпосылки!$I$212,),0))*IFERROR(INDEX(U$10:U$11,Предпосылки!$I$212,),0),U299/(1+IFERROR(INDEX(U$10:U$11,Предпосылки!$I$213,),0))*IFERROR(INDEX(U$10:U$11,Предпосылки!$I$213,),0),U322/(1+IFERROR(INDEX(U$10:U$11,Предпосылки!$I$214,),0))*IFERROR(INDEX(U$10:U$11,Предпосылки!$I$214,),0),U345/(1+IFERROR(INDEX(U$10:U$11,Предпосылки!$I$215,),0))*IFERROR(INDEX(U$10:U$11,Предпосылки!$I$215,),0),U368/(1+IFERROR(INDEX(U$10:U$11,Предпосылки!$I$216,),0))*IFERROR(INDEX(U$10:U$11,Предпосылки!$I$216,),0),U391/(1+IFERROR(INDEX(U$10:U$11,Предпосылки!$I$217,),0))*IFERROR(INDEX(U$10:U$11,Предпосылки!$I$217,),0),U414/(1+IFERROR(INDEX(U$10:U$11,Предпосылки!$I$218,),0))*IFERROR(INDEX(U$10:U$11,Предпосылки!$I$218,),0),U437/(1+IFERROR(INDEX(U$10:U$11,Предпосылки!$I$219,),0))*IFERROR(INDEX(U$10:U$11,Предпосылки!$I$219,),0),U460/(1+IFERROR(INDEX(U$10:U$11,Предпосылки!$I$220,),0))*IFERROR(INDEX(U$10:U$11,Предпосылки!$I$220,),0))</f>
        <v>0</v>
      </c>
      <c s="125">
        <f>SUM(V23/(1+IFERROR(INDEX(V$10:V$11,Предпосылки!$I$201,),0))*IFERROR(INDEX(V$10:V$11,Предпосылки!$I$201,),0),V46/(1+IFERROR(INDEX(V$10:V$11,Предпосылки!$I$202,),0))*IFERROR(INDEX(V$10:V$11,Предпосылки!$I$202,),0),V69/(1+IFERROR(INDEX(V$10:V$11,Предпосылки!$I$203,),0))*IFERROR(INDEX(V$10:V$11,Предпосылки!$I$203,),0),V92/(1+IFERROR(INDEX(V$10:V$11,Предпосылки!$I$204,),0))*IFERROR(INDEX(V$10:V$11,Предпосылки!$I$204,),0),V115/(1+IFERROR(INDEX(V$10:V$11,Предпосылки!$I$205,),0))*IFERROR(INDEX(V$10:V$11,Предпосылки!$I$205,),0),V138/(1+IFERROR(INDEX(V$10:V$11,Предпосылки!$I$206,),0))*IFERROR(INDEX(V$10:V$11,Предпосылки!$I$206,),0),V161/(1+IFERROR(INDEX(V$10:V$11,Предпосылки!$I$207,),0))*IFERROR(INDEX(V$10:V$11,Предпосылки!$I$207,),0),V184/(1+IFERROR(INDEX(V$10:V$11,Предпосылки!$I$208,),0))*IFERROR(INDEX(V$10:V$11,Предпосылки!$I$208,),0),V207/(1+IFERROR(INDEX(V$10:V$11,Предпосылки!$I$209,),0))*IFERROR(INDEX(V$10:V$11,Предпосылки!$I$209,),0),V230/(1+IFERROR(INDEX(V$10:V$11,Предпосылки!$I$210,),0))*IFERROR(INDEX(V$10:V$11,Предпосылки!$I$210,),0),V253/(1+IFERROR(INDEX(V$10:V$11,Предпосылки!$I$211,),0))*IFERROR(INDEX(V$10:V$11,Предпосылки!$I$211,),0),V276/(1+IFERROR(INDEX(V$10:V$11,Предпосылки!$I$212,),0))*IFERROR(INDEX(V$10:V$11,Предпосылки!$I$212,),0),V299/(1+IFERROR(INDEX(V$10:V$11,Предпосылки!$I$213,),0))*IFERROR(INDEX(V$10:V$11,Предпосылки!$I$213,),0),V322/(1+IFERROR(INDEX(V$10:V$11,Предпосылки!$I$214,),0))*IFERROR(INDEX(V$10:V$11,Предпосылки!$I$214,),0),V345/(1+IFERROR(INDEX(V$10:V$11,Предпосылки!$I$215,),0))*IFERROR(INDEX(V$10:V$11,Предпосылки!$I$215,),0),V368/(1+IFERROR(INDEX(V$10:V$11,Предпосылки!$I$216,),0))*IFERROR(INDEX(V$10:V$11,Предпосылки!$I$216,),0),V391/(1+IFERROR(INDEX(V$10:V$11,Предпосылки!$I$217,),0))*IFERROR(INDEX(V$10:V$11,Предпосылки!$I$217,),0),V414/(1+IFERROR(INDEX(V$10:V$11,Предпосылки!$I$218,),0))*IFERROR(INDEX(V$10:V$11,Предпосылки!$I$218,),0),V437/(1+IFERROR(INDEX(V$10:V$11,Предпосылки!$I$219,),0))*IFERROR(INDEX(V$10:V$11,Предпосылки!$I$219,),0),V460/(1+IFERROR(INDEX(V$10:V$11,Предпосылки!$I$220,),0))*IFERROR(INDEX(V$10:V$11,Предпосылки!$I$220,),0))</f>
        <v>0</v>
      </c>
      <c s="125">
        <f>SUM(W23/(1+IFERROR(INDEX(W$10:W$11,Предпосылки!$I$201,),0))*IFERROR(INDEX(W$10:W$11,Предпосылки!$I$201,),0),W46/(1+IFERROR(INDEX(W$10:W$11,Предпосылки!$I$202,),0))*IFERROR(INDEX(W$10:W$11,Предпосылки!$I$202,),0),W69/(1+IFERROR(INDEX(W$10:W$11,Предпосылки!$I$203,),0))*IFERROR(INDEX(W$10:W$11,Предпосылки!$I$203,),0),W92/(1+IFERROR(INDEX(W$10:W$11,Предпосылки!$I$204,),0))*IFERROR(INDEX(W$10:W$11,Предпосылки!$I$204,),0),W115/(1+IFERROR(INDEX(W$10:W$11,Предпосылки!$I$205,),0))*IFERROR(INDEX(W$10:W$11,Предпосылки!$I$205,),0),W138/(1+IFERROR(INDEX(W$10:W$11,Предпосылки!$I$206,),0))*IFERROR(INDEX(W$10:W$11,Предпосылки!$I$206,),0),W161/(1+IFERROR(INDEX(W$10:W$11,Предпосылки!$I$207,),0))*IFERROR(INDEX(W$10:W$11,Предпосылки!$I$207,),0),W184/(1+IFERROR(INDEX(W$10:W$11,Предпосылки!$I$208,),0))*IFERROR(INDEX(W$10:W$11,Предпосылки!$I$208,),0),W207/(1+IFERROR(INDEX(W$10:W$11,Предпосылки!$I$209,),0))*IFERROR(INDEX(W$10:W$11,Предпосылки!$I$209,),0),W230/(1+IFERROR(INDEX(W$10:W$11,Предпосылки!$I$210,),0))*IFERROR(INDEX(W$10:W$11,Предпосылки!$I$210,),0),W253/(1+IFERROR(INDEX(W$10:W$11,Предпосылки!$I$211,),0))*IFERROR(INDEX(W$10:W$11,Предпосылки!$I$211,),0),W276/(1+IFERROR(INDEX(W$10:W$11,Предпосылки!$I$212,),0))*IFERROR(INDEX(W$10:W$11,Предпосылки!$I$212,),0),W299/(1+IFERROR(INDEX(W$10:W$11,Предпосылки!$I$213,),0))*IFERROR(INDEX(W$10:W$11,Предпосылки!$I$213,),0),W322/(1+IFERROR(INDEX(W$10:W$11,Предпосылки!$I$214,),0))*IFERROR(INDEX(W$10:W$11,Предпосылки!$I$214,),0),W345/(1+IFERROR(INDEX(W$10:W$11,Предпосылки!$I$215,),0))*IFERROR(INDEX(W$10:W$11,Предпосылки!$I$215,),0),W368/(1+IFERROR(INDEX(W$10:W$11,Предпосылки!$I$216,),0))*IFERROR(INDEX(W$10:W$11,Предпосылки!$I$216,),0),W391/(1+IFERROR(INDEX(W$10:W$11,Предпосылки!$I$217,),0))*IFERROR(INDEX(W$10:W$11,Предпосылки!$I$217,),0),W414/(1+IFERROR(INDEX(W$10:W$11,Предпосылки!$I$218,),0))*IFERROR(INDEX(W$10:W$11,Предпосылки!$I$218,),0),W437/(1+IFERROR(INDEX(W$10:W$11,Предпосылки!$I$219,),0))*IFERROR(INDEX(W$10:W$11,Предпосылки!$I$219,),0),W460/(1+IFERROR(INDEX(W$10:W$11,Предпосылки!$I$220,),0))*IFERROR(INDEX(W$10:W$11,Предпосылки!$I$220,),0))</f>
        <v>0</v>
      </c>
      <c s="125">
        <f>SUM(X23/(1+IFERROR(INDEX(X$10:X$11,Предпосылки!$I$201,),0))*IFERROR(INDEX(X$10:X$11,Предпосылки!$I$201,),0),X46/(1+IFERROR(INDEX(X$10:X$11,Предпосылки!$I$202,),0))*IFERROR(INDEX(X$10:X$11,Предпосылки!$I$202,),0),X69/(1+IFERROR(INDEX(X$10:X$11,Предпосылки!$I$203,),0))*IFERROR(INDEX(X$10:X$11,Предпосылки!$I$203,),0),X92/(1+IFERROR(INDEX(X$10:X$11,Предпосылки!$I$204,),0))*IFERROR(INDEX(X$10:X$11,Предпосылки!$I$204,),0),X115/(1+IFERROR(INDEX(X$10:X$11,Предпосылки!$I$205,),0))*IFERROR(INDEX(X$10:X$11,Предпосылки!$I$205,),0),X138/(1+IFERROR(INDEX(X$10:X$11,Предпосылки!$I$206,),0))*IFERROR(INDEX(X$10:X$11,Предпосылки!$I$206,),0),X161/(1+IFERROR(INDEX(X$10:X$11,Предпосылки!$I$207,),0))*IFERROR(INDEX(X$10:X$11,Предпосылки!$I$207,),0),X184/(1+IFERROR(INDEX(X$10:X$11,Предпосылки!$I$208,),0))*IFERROR(INDEX(X$10:X$11,Предпосылки!$I$208,),0),X207/(1+IFERROR(INDEX(X$10:X$11,Предпосылки!$I$209,),0))*IFERROR(INDEX(X$10:X$11,Предпосылки!$I$209,),0),X230/(1+IFERROR(INDEX(X$10:X$11,Предпосылки!$I$210,),0))*IFERROR(INDEX(X$10:X$11,Предпосылки!$I$210,),0),X253/(1+IFERROR(INDEX(X$10:X$11,Предпосылки!$I$211,),0))*IFERROR(INDEX(X$10:X$11,Предпосылки!$I$211,),0),X276/(1+IFERROR(INDEX(X$10:X$11,Предпосылки!$I$212,),0))*IFERROR(INDEX(X$10:X$11,Предпосылки!$I$212,),0),X299/(1+IFERROR(INDEX(X$10:X$11,Предпосылки!$I$213,),0))*IFERROR(INDEX(X$10:X$11,Предпосылки!$I$213,),0),X322/(1+IFERROR(INDEX(X$10:X$11,Предпосылки!$I$214,),0))*IFERROR(INDEX(X$10:X$11,Предпосылки!$I$214,),0),X345/(1+IFERROR(INDEX(X$10:X$11,Предпосылки!$I$215,),0))*IFERROR(INDEX(X$10:X$11,Предпосылки!$I$215,),0),X368/(1+IFERROR(INDEX(X$10:X$11,Предпосылки!$I$216,),0))*IFERROR(INDEX(X$10:X$11,Предпосылки!$I$216,),0),X391/(1+IFERROR(INDEX(X$10:X$11,Предпосылки!$I$217,),0))*IFERROR(INDEX(X$10:X$11,Предпосылки!$I$217,),0),X414/(1+IFERROR(INDEX(X$10:X$11,Предпосылки!$I$218,),0))*IFERROR(INDEX(X$10:X$11,Предпосылки!$I$218,),0),X437/(1+IFERROR(INDEX(X$10:X$11,Предпосылки!$I$219,),0))*IFERROR(INDEX(X$10:X$11,Предпосылки!$I$219,),0),X460/(1+IFERROR(INDEX(X$10:X$11,Предпосылки!$I$220,),0))*IFERROR(INDEX(X$10:X$11,Предпосылки!$I$220,),0))</f>
        <v>0</v>
      </c>
      <c s="125">
        <f>SUM(Y23/(1+IFERROR(INDEX(Y$10:Y$11,Предпосылки!$I$201,),0))*IFERROR(INDEX(Y$10:Y$11,Предпосылки!$I$201,),0),Y46/(1+IFERROR(INDEX(Y$10:Y$11,Предпосылки!$I$202,),0))*IFERROR(INDEX(Y$10:Y$11,Предпосылки!$I$202,),0),Y69/(1+IFERROR(INDEX(Y$10:Y$11,Предпосылки!$I$203,),0))*IFERROR(INDEX(Y$10:Y$11,Предпосылки!$I$203,),0),Y92/(1+IFERROR(INDEX(Y$10:Y$11,Предпосылки!$I$204,),0))*IFERROR(INDEX(Y$10:Y$11,Предпосылки!$I$204,),0),Y115/(1+IFERROR(INDEX(Y$10:Y$11,Предпосылки!$I$205,),0))*IFERROR(INDEX(Y$10:Y$11,Предпосылки!$I$205,),0),Y138/(1+IFERROR(INDEX(Y$10:Y$11,Предпосылки!$I$206,),0))*IFERROR(INDEX(Y$10:Y$11,Предпосылки!$I$206,),0),Y161/(1+IFERROR(INDEX(Y$10:Y$11,Предпосылки!$I$207,),0))*IFERROR(INDEX(Y$10:Y$11,Предпосылки!$I$207,),0),Y184/(1+IFERROR(INDEX(Y$10:Y$11,Предпосылки!$I$208,),0))*IFERROR(INDEX(Y$10:Y$11,Предпосылки!$I$208,),0),Y207/(1+IFERROR(INDEX(Y$10:Y$11,Предпосылки!$I$209,),0))*IFERROR(INDEX(Y$10:Y$11,Предпосылки!$I$209,),0),Y230/(1+IFERROR(INDEX(Y$10:Y$11,Предпосылки!$I$210,),0))*IFERROR(INDEX(Y$10:Y$11,Предпосылки!$I$210,),0),Y253/(1+IFERROR(INDEX(Y$10:Y$11,Предпосылки!$I$211,),0))*IFERROR(INDEX(Y$10:Y$11,Предпосылки!$I$211,),0),Y276/(1+IFERROR(INDEX(Y$10:Y$11,Предпосылки!$I$212,),0))*IFERROR(INDEX(Y$10:Y$11,Предпосылки!$I$212,),0),Y299/(1+IFERROR(INDEX(Y$10:Y$11,Предпосылки!$I$213,),0))*IFERROR(INDEX(Y$10:Y$11,Предпосылки!$I$213,),0),Y322/(1+IFERROR(INDEX(Y$10:Y$11,Предпосылки!$I$214,),0))*IFERROR(INDEX(Y$10:Y$11,Предпосылки!$I$214,),0),Y345/(1+IFERROR(INDEX(Y$10:Y$11,Предпосылки!$I$215,),0))*IFERROR(INDEX(Y$10:Y$11,Предпосылки!$I$215,),0),Y368/(1+IFERROR(INDEX(Y$10:Y$11,Предпосылки!$I$216,),0))*IFERROR(INDEX(Y$10:Y$11,Предпосылки!$I$216,),0),Y391/(1+IFERROR(INDEX(Y$10:Y$11,Предпосылки!$I$217,),0))*IFERROR(INDEX(Y$10:Y$11,Предпосылки!$I$217,),0),Y414/(1+IFERROR(INDEX(Y$10:Y$11,Предпосылки!$I$218,),0))*IFERROR(INDEX(Y$10:Y$11,Предпосылки!$I$218,),0),Y437/(1+IFERROR(INDEX(Y$10:Y$11,Предпосылки!$I$219,),0))*IFERROR(INDEX(Y$10:Y$11,Предпосылки!$I$219,),0),Y460/(1+IFERROR(INDEX(Y$10:Y$11,Предпосылки!$I$220,),0))*IFERROR(INDEX(Y$10:Y$11,Предпосылки!$I$220,),0))</f>
        <v>0</v>
      </c>
      <c s="125">
        <f>SUM(Z23/(1+IFERROR(INDEX(Z$10:Z$11,Предпосылки!$I$201,),0))*IFERROR(INDEX(Z$10:Z$11,Предпосылки!$I$201,),0),Z46/(1+IFERROR(INDEX(Z$10:Z$11,Предпосылки!$I$202,),0))*IFERROR(INDEX(Z$10:Z$11,Предпосылки!$I$202,),0),Z69/(1+IFERROR(INDEX(Z$10:Z$11,Предпосылки!$I$203,),0))*IFERROR(INDEX(Z$10:Z$11,Предпосылки!$I$203,),0),Z92/(1+IFERROR(INDEX(Z$10:Z$11,Предпосылки!$I$204,),0))*IFERROR(INDEX(Z$10:Z$11,Предпосылки!$I$204,),0),Z115/(1+IFERROR(INDEX(Z$10:Z$11,Предпосылки!$I$205,),0))*IFERROR(INDEX(Z$10:Z$11,Предпосылки!$I$205,),0),Z138/(1+IFERROR(INDEX(Z$10:Z$11,Предпосылки!$I$206,),0))*IFERROR(INDEX(Z$10:Z$11,Предпосылки!$I$206,),0),Z161/(1+IFERROR(INDEX(Z$10:Z$11,Предпосылки!$I$207,),0))*IFERROR(INDEX(Z$10:Z$11,Предпосылки!$I$207,),0),Z184/(1+IFERROR(INDEX(Z$10:Z$11,Предпосылки!$I$208,),0))*IFERROR(INDEX(Z$10:Z$11,Предпосылки!$I$208,),0),Z207/(1+IFERROR(INDEX(Z$10:Z$11,Предпосылки!$I$209,),0))*IFERROR(INDEX(Z$10:Z$11,Предпосылки!$I$209,),0),Z230/(1+IFERROR(INDEX(Z$10:Z$11,Предпосылки!$I$210,),0))*IFERROR(INDEX(Z$10:Z$11,Предпосылки!$I$210,),0),Z253/(1+IFERROR(INDEX(Z$10:Z$11,Предпосылки!$I$211,),0))*IFERROR(INDEX(Z$10:Z$11,Предпосылки!$I$211,),0),Z276/(1+IFERROR(INDEX(Z$10:Z$11,Предпосылки!$I$212,),0))*IFERROR(INDEX(Z$10:Z$11,Предпосылки!$I$212,),0),Z299/(1+IFERROR(INDEX(Z$10:Z$11,Предпосылки!$I$213,),0))*IFERROR(INDEX(Z$10:Z$11,Предпосылки!$I$213,),0),Z322/(1+IFERROR(INDEX(Z$10:Z$11,Предпосылки!$I$214,),0))*IFERROR(INDEX(Z$10:Z$11,Предпосылки!$I$214,),0),Z345/(1+IFERROR(INDEX(Z$10:Z$11,Предпосылки!$I$215,),0))*IFERROR(INDEX(Z$10:Z$11,Предпосылки!$I$215,),0),Z368/(1+IFERROR(INDEX(Z$10:Z$11,Предпосылки!$I$216,),0))*IFERROR(INDEX(Z$10:Z$11,Предпосылки!$I$216,),0),Z391/(1+IFERROR(INDEX(Z$10:Z$11,Предпосылки!$I$217,),0))*IFERROR(INDEX(Z$10:Z$11,Предпосылки!$I$217,),0),Z414/(1+IFERROR(INDEX(Z$10:Z$11,Предпосылки!$I$218,),0))*IFERROR(INDEX(Z$10:Z$11,Предпосылки!$I$218,),0),Z437/(1+IFERROR(INDEX(Z$10:Z$11,Предпосылки!$I$219,),0))*IFERROR(INDEX(Z$10:Z$11,Предпосылки!$I$219,),0),Z460/(1+IFERROR(INDEX(Z$10:Z$11,Предпосылки!$I$220,),0))*IFERROR(INDEX(Z$10:Z$11,Предпосылки!$I$220,),0))</f>
        <v>0</v>
      </c>
      <c s="125">
        <f>SUM(AA23/(1+IFERROR(INDEX(AA$10:AA$11,Предпосылки!$I$201,),0))*IFERROR(INDEX(AA$10:AA$11,Предпосылки!$I$201,),0),AA46/(1+IFERROR(INDEX(AA$10:AA$11,Предпосылки!$I$202,),0))*IFERROR(INDEX(AA$10:AA$11,Предпосылки!$I$202,),0),AA69/(1+IFERROR(INDEX(AA$10:AA$11,Предпосылки!$I$203,),0))*IFERROR(INDEX(AA$10:AA$11,Предпосылки!$I$203,),0),AA92/(1+IFERROR(INDEX(AA$10:AA$11,Предпосылки!$I$204,),0))*IFERROR(INDEX(AA$10:AA$11,Предпосылки!$I$204,),0),AA115/(1+IFERROR(INDEX(AA$10:AA$11,Предпосылки!$I$205,),0))*IFERROR(INDEX(AA$10:AA$11,Предпосылки!$I$205,),0),AA138/(1+IFERROR(INDEX(AA$10:AA$11,Предпосылки!$I$206,),0))*IFERROR(INDEX(AA$10:AA$11,Предпосылки!$I$206,),0),AA161/(1+IFERROR(INDEX(AA$10:AA$11,Предпосылки!$I$207,),0))*IFERROR(INDEX(AA$10:AA$11,Предпосылки!$I$207,),0),AA184/(1+IFERROR(INDEX(AA$10:AA$11,Предпосылки!$I$208,),0))*IFERROR(INDEX(AA$10:AA$11,Предпосылки!$I$208,),0),AA207/(1+IFERROR(INDEX(AA$10:AA$11,Предпосылки!$I$209,),0))*IFERROR(INDEX(AA$10:AA$11,Предпосылки!$I$209,),0),AA230/(1+IFERROR(INDEX(AA$10:AA$11,Предпосылки!$I$210,),0))*IFERROR(INDEX(AA$10:AA$11,Предпосылки!$I$210,),0),AA253/(1+IFERROR(INDEX(AA$10:AA$11,Предпосылки!$I$211,),0))*IFERROR(INDEX(AA$10:AA$11,Предпосылки!$I$211,),0),AA276/(1+IFERROR(INDEX(AA$10:AA$11,Предпосылки!$I$212,),0))*IFERROR(INDEX(AA$10:AA$11,Предпосылки!$I$212,),0),AA299/(1+IFERROR(INDEX(AA$10:AA$11,Предпосылки!$I$213,),0))*IFERROR(INDEX(AA$10:AA$11,Предпосылки!$I$213,),0),AA322/(1+IFERROR(INDEX(AA$10:AA$11,Предпосылки!$I$214,),0))*IFERROR(INDEX(AA$10:AA$11,Предпосылки!$I$214,),0),AA345/(1+IFERROR(INDEX(AA$10:AA$11,Предпосылки!$I$215,),0))*IFERROR(INDEX(AA$10:AA$11,Предпосылки!$I$215,),0),AA368/(1+IFERROR(INDEX(AA$10:AA$11,Предпосылки!$I$216,),0))*IFERROR(INDEX(AA$10:AA$11,Предпосылки!$I$216,),0),AA391/(1+IFERROR(INDEX(AA$10:AA$11,Предпосылки!$I$217,),0))*IFERROR(INDEX(AA$10:AA$11,Предпосылки!$I$217,),0),AA414/(1+IFERROR(INDEX(AA$10:AA$11,Предпосылки!$I$218,),0))*IFERROR(INDEX(AA$10:AA$11,Предпосылки!$I$218,),0),AA437/(1+IFERROR(INDEX(AA$10:AA$11,Предпосылки!$I$219,),0))*IFERROR(INDEX(AA$10:AA$11,Предпосылки!$I$219,),0),AA460/(1+IFERROR(INDEX(AA$10:AA$11,Предпосылки!$I$220,),0))*IFERROR(INDEX(AA$10:AA$11,Предпосылки!$I$220,),0))</f>
        <v>0</v>
      </c>
      <c s="125">
        <f>SUM(AB23/(1+IFERROR(INDEX(AB$10:AB$11,Предпосылки!$I$201,),0))*IFERROR(INDEX(AB$10:AB$11,Предпосылки!$I$201,),0),AB46/(1+IFERROR(INDEX(AB$10:AB$11,Предпосылки!$I$202,),0))*IFERROR(INDEX(AB$10:AB$11,Предпосылки!$I$202,),0),AB69/(1+IFERROR(INDEX(AB$10:AB$11,Предпосылки!$I$203,),0))*IFERROR(INDEX(AB$10:AB$11,Предпосылки!$I$203,),0),AB92/(1+IFERROR(INDEX(AB$10:AB$11,Предпосылки!$I$204,),0))*IFERROR(INDEX(AB$10:AB$11,Предпосылки!$I$204,),0),AB115/(1+IFERROR(INDEX(AB$10:AB$11,Предпосылки!$I$205,),0))*IFERROR(INDEX(AB$10:AB$11,Предпосылки!$I$205,),0),AB138/(1+IFERROR(INDEX(AB$10:AB$11,Предпосылки!$I$206,),0))*IFERROR(INDEX(AB$10:AB$11,Предпосылки!$I$206,),0),AB161/(1+IFERROR(INDEX(AB$10:AB$11,Предпосылки!$I$207,),0))*IFERROR(INDEX(AB$10:AB$11,Предпосылки!$I$207,),0),AB184/(1+IFERROR(INDEX(AB$10:AB$11,Предпосылки!$I$208,),0))*IFERROR(INDEX(AB$10:AB$11,Предпосылки!$I$208,),0),AB207/(1+IFERROR(INDEX(AB$10:AB$11,Предпосылки!$I$209,),0))*IFERROR(INDEX(AB$10:AB$11,Предпосылки!$I$209,),0),AB230/(1+IFERROR(INDEX(AB$10:AB$11,Предпосылки!$I$210,),0))*IFERROR(INDEX(AB$10:AB$11,Предпосылки!$I$210,),0),AB253/(1+IFERROR(INDEX(AB$10:AB$11,Предпосылки!$I$211,),0))*IFERROR(INDEX(AB$10:AB$11,Предпосылки!$I$211,),0),AB276/(1+IFERROR(INDEX(AB$10:AB$11,Предпосылки!$I$212,),0))*IFERROR(INDEX(AB$10:AB$11,Предпосылки!$I$212,),0),AB299/(1+IFERROR(INDEX(AB$10:AB$11,Предпосылки!$I$213,),0))*IFERROR(INDEX(AB$10:AB$11,Предпосылки!$I$213,),0),AB322/(1+IFERROR(INDEX(AB$10:AB$11,Предпосылки!$I$214,),0))*IFERROR(INDEX(AB$10:AB$11,Предпосылки!$I$214,),0),AB345/(1+IFERROR(INDEX(AB$10:AB$11,Предпосылки!$I$215,),0))*IFERROR(INDEX(AB$10:AB$11,Предпосылки!$I$215,),0),AB368/(1+IFERROR(INDEX(AB$10:AB$11,Предпосылки!$I$216,),0))*IFERROR(INDEX(AB$10:AB$11,Предпосылки!$I$216,),0),AB391/(1+IFERROR(INDEX(AB$10:AB$11,Предпосылки!$I$217,),0))*IFERROR(INDEX(AB$10:AB$11,Предпосылки!$I$217,),0),AB414/(1+IFERROR(INDEX(AB$10:AB$11,Предпосылки!$I$218,),0))*IFERROR(INDEX(AB$10:AB$11,Предпосылки!$I$218,),0),AB437/(1+IFERROR(INDEX(AB$10:AB$11,Предпосылки!$I$219,),0))*IFERROR(INDEX(AB$10:AB$11,Предпосылки!$I$219,),0),AB460/(1+IFERROR(INDEX(AB$10:AB$11,Предпосылки!$I$220,),0))*IFERROR(INDEX(AB$10:AB$11,Предпосылки!$I$220,),0))</f>
        <v>0</v>
      </c>
      <c s="125">
        <f>SUM(AC23/(1+IFERROR(INDEX(AC$10:AC$11,Предпосылки!$I$201,),0))*IFERROR(INDEX(AC$10:AC$11,Предпосылки!$I$201,),0),AC46/(1+IFERROR(INDEX(AC$10:AC$11,Предпосылки!$I$202,),0))*IFERROR(INDEX(AC$10:AC$11,Предпосылки!$I$202,),0),AC69/(1+IFERROR(INDEX(AC$10:AC$11,Предпосылки!$I$203,),0))*IFERROR(INDEX(AC$10:AC$11,Предпосылки!$I$203,),0),AC92/(1+IFERROR(INDEX(AC$10:AC$11,Предпосылки!$I$204,),0))*IFERROR(INDEX(AC$10:AC$11,Предпосылки!$I$204,),0),AC115/(1+IFERROR(INDEX(AC$10:AC$11,Предпосылки!$I$205,),0))*IFERROR(INDEX(AC$10:AC$11,Предпосылки!$I$205,),0),AC138/(1+IFERROR(INDEX(AC$10:AC$11,Предпосылки!$I$206,),0))*IFERROR(INDEX(AC$10:AC$11,Предпосылки!$I$206,),0),AC161/(1+IFERROR(INDEX(AC$10:AC$11,Предпосылки!$I$207,),0))*IFERROR(INDEX(AC$10:AC$11,Предпосылки!$I$207,),0),AC184/(1+IFERROR(INDEX(AC$10:AC$11,Предпосылки!$I$208,),0))*IFERROR(INDEX(AC$10:AC$11,Предпосылки!$I$208,),0),AC207/(1+IFERROR(INDEX(AC$10:AC$11,Предпосылки!$I$209,),0))*IFERROR(INDEX(AC$10:AC$11,Предпосылки!$I$209,),0),AC230/(1+IFERROR(INDEX(AC$10:AC$11,Предпосылки!$I$210,),0))*IFERROR(INDEX(AC$10:AC$11,Предпосылки!$I$210,),0),AC253/(1+IFERROR(INDEX(AC$10:AC$11,Предпосылки!$I$211,),0))*IFERROR(INDEX(AC$10:AC$11,Предпосылки!$I$211,),0),AC276/(1+IFERROR(INDEX(AC$10:AC$11,Предпосылки!$I$212,),0))*IFERROR(INDEX(AC$10:AC$11,Предпосылки!$I$212,),0),AC299/(1+IFERROR(INDEX(AC$10:AC$11,Предпосылки!$I$213,),0))*IFERROR(INDEX(AC$10:AC$11,Предпосылки!$I$213,),0),AC322/(1+IFERROR(INDEX(AC$10:AC$11,Предпосылки!$I$214,),0))*IFERROR(INDEX(AC$10:AC$11,Предпосылки!$I$214,),0),AC345/(1+IFERROR(INDEX(AC$10:AC$11,Предпосылки!$I$215,),0))*IFERROR(INDEX(AC$10:AC$11,Предпосылки!$I$215,),0),AC368/(1+IFERROR(INDEX(AC$10:AC$11,Предпосылки!$I$216,),0))*IFERROR(INDEX(AC$10:AC$11,Предпосылки!$I$216,),0),AC391/(1+IFERROR(INDEX(AC$10:AC$11,Предпосылки!$I$217,),0))*IFERROR(INDEX(AC$10:AC$11,Предпосылки!$I$217,),0),AC414/(1+IFERROR(INDEX(AC$10:AC$11,Предпосылки!$I$218,),0))*IFERROR(INDEX(AC$10:AC$11,Предпосылки!$I$218,),0),AC437/(1+IFERROR(INDEX(AC$10:AC$11,Предпосылки!$I$219,),0))*IFERROR(INDEX(AC$10:AC$11,Предпосылки!$I$219,),0),AC460/(1+IFERROR(INDEX(AC$10:AC$11,Предпосылки!$I$220,),0))*IFERROR(INDEX(AC$10:AC$11,Предпосылки!$I$220,),0))</f>
        <v>0</v>
      </c>
      <c s="125">
        <f>SUM(AD23/(1+IFERROR(INDEX(AD$10:AD$11,Предпосылки!$I$201,),0))*IFERROR(INDEX(AD$10:AD$11,Предпосылки!$I$201,),0),AD46/(1+IFERROR(INDEX(AD$10:AD$11,Предпосылки!$I$202,),0))*IFERROR(INDEX(AD$10:AD$11,Предпосылки!$I$202,),0),AD69/(1+IFERROR(INDEX(AD$10:AD$11,Предпосылки!$I$203,),0))*IFERROR(INDEX(AD$10:AD$11,Предпосылки!$I$203,),0),AD92/(1+IFERROR(INDEX(AD$10:AD$11,Предпосылки!$I$204,),0))*IFERROR(INDEX(AD$10:AD$11,Предпосылки!$I$204,),0),AD115/(1+IFERROR(INDEX(AD$10:AD$11,Предпосылки!$I$205,),0))*IFERROR(INDEX(AD$10:AD$11,Предпосылки!$I$205,),0),AD138/(1+IFERROR(INDEX(AD$10:AD$11,Предпосылки!$I$206,),0))*IFERROR(INDEX(AD$10:AD$11,Предпосылки!$I$206,),0),AD161/(1+IFERROR(INDEX(AD$10:AD$11,Предпосылки!$I$207,),0))*IFERROR(INDEX(AD$10:AD$11,Предпосылки!$I$207,),0),AD184/(1+IFERROR(INDEX(AD$10:AD$11,Предпосылки!$I$208,),0))*IFERROR(INDEX(AD$10:AD$11,Предпосылки!$I$208,),0),AD207/(1+IFERROR(INDEX(AD$10:AD$11,Предпосылки!$I$209,),0))*IFERROR(INDEX(AD$10:AD$11,Предпосылки!$I$209,),0),AD230/(1+IFERROR(INDEX(AD$10:AD$11,Предпосылки!$I$210,),0))*IFERROR(INDEX(AD$10:AD$11,Предпосылки!$I$210,),0),AD253/(1+IFERROR(INDEX(AD$10:AD$11,Предпосылки!$I$211,),0))*IFERROR(INDEX(AD$10:AD$11,Предпосылки!$I$211,),0),AD276/(1+IFERROR(INDEX(AD$10:AD$11,Предпосылки!$I$212,),0))*IFERROR(INDEX(AD$10:AD$11,Предпосылки!$I$212,),0),AD299/(1+IFERROR(INDEX(AD$10:AD$11,Предпосылки!$I$213,),0))*IFERROR(INDEX(AD$10:AD$11,Предпосылки!$I$213,),0),AD322/(1+IFERROR(INDEX(AD$10:AD$11,Предпосылки!$I$214,),0))*IFERROR(INDEX(AD$10:AD$11,Предпосылки!$I$214,),0),AD345/(1+IFERROR(INDEX(AD$10:AD$11,Предпосылки!$I$215,),0))*IFERROR(INDEX(AD$10:AD$11,Предпосылки!$I$215,),0),AD368/(1+IFERROR(INDEX(AD$10:AD$11,Предпосылки!$I$216,),0))*IFERROR(INDEX(AD$10:AD$11,Предпосылки!$I$216,),0),AD391/(1+IFERROR(INDEX(AD$10:AD$11,Предпосылки!$I$217,),0))*IFERROR(INDEX(AD$10:AD$11,Предпосылки!$I$217,),0),AD414/(1+IFERROR(INDEX(AD$10:AD$11,Предпосылки!$I$218,),0))*IFERROR(INDEX(AD$10:AD$11,Предпосылки!$I$218,),0),AD437/(1+IFERROR(INDEX(AD$10:AD$11,Предпосылки!$I$219,),0))*IFERROR(INDEX(AD$10:AD$11,Предпосылки!$I$219,),0),AD460/(1+IFERROR(INDEX(AD$10:AD$11,Предпосылки!$I$220,),0))*IFERROR(INDEX(AD$10:AD$11,Предпосылки!$I$220,),0))</f>
        <v>0</v>
      </c>
      <c s="125">
        <f>SUM(AE23/(1+IFERROR(INDEX(AE$10:AE$11,Предпосылки!$I$201,),0))*IFERROR(INDEX(AE$10:AE$11,Предпосылки!$I$201,),0),AE46/(1+IFERROR(INDEX(AE$10:AE$11,Предпосылки!$I$202,),0))*IFERROR(INDEX(AE$10:AE$11,Предпосылки!$I$202,),0),AE69/(1+IFERROR(INDEX(AE$10:AE$11,Предпосылки!$I$203,),0))*IFERROR(INDEX(AE$10:AE$11,Предпосылки!$I$203,),0),AE92/(1+IFERROR(INDEX(AE$10:AE$11,Предпосылки!$I$204,),0))*IFERROR(INDEX(AE$10:AE$11,Предпосылки!$I$204,),0),AE115/(1+IFERROR(INDEX(AE$10:AE$11,Предпосылки!$I$205,),0))*IFERROR(INDEX(AE$10:AE$11,Предпосылки!$I$205,),0),AE138/(1+IFERROR(INDEX(AE$10:AE$11,Предпосылки!$I$206,),0))*IFERROR(INDEX(AE$10:AE$11,Предпосылки!$I$206,),0),AE161/(1+IFERROR(INDEX(AE$10:AE$11,Предпосылки!$I$207,),0))*IFERROR(INDEX(AE$10:AE$11,Предпосылки!$I$207,),0),AE184/(1+IFERROR(INDEX(AE$10:AE$11,Предпосылки!$I$208,),0))*IFERROR(INDEX(AE$10:AE$11,Предпосылки!$I$208,),0),AE207/(1+IFERROR(INDEX(AE$10:AE$11,Предпосылки!$I$209,),0))*IFERROR(INDEX(AE$10:AE$11,Предпосылки!$I$209,),0),AE230/(1+IFERROR(INDEX(AE$10:AE$11,Предпосылки!$I$210,),0))*IFERROR(INDEX(AE$10:AE$11,Предпосылки!$I$210,),0),AE253/(1+IFERROR(INDEX(AE$10:AE$11,Предпосылки!$I$211,),0))*IFERROR(INDEX(AE$10:AE$11,Предпосылки!$I$211,),0),AE276/(1+IFERROR(INDEX(AE$10:AE$11,Предпосылки!$I$212,),0))*IFERROR(INDEX(AE$10:AE$11,Предпосылки!$I$212,),0),AE299/(1+IFERROR(INDEX(AE$10:AE$11,Предпосылки!$I$213,),0))*IFERROR(INDEX(AE$10:AE$11,Предпосылки!$I$213,),0),AE322/(1+IFERROR(INDEX(AE$10:AE$11,Предпосылки!$I$214,),0))*IFERROR(INDEX(AE$10:AE$11,Предпосылки!$I$214,),0),AE345/(1+IFERROR(INDEX(AE$10:AE$11,Предпосылки!$I$215,),0))*IFERROR(INDEX(AE$10:AE$11,Предпосылки!$I$215,),0),AE368/(1+IFERROR(INDEX(AE$10:AE$11,Предпосылки!$I$216,),0))*IFERROR(INDEX(AE$10:AE$11,Предпосылки!$I$216,),0),AE391/(1+IFERROR(INDEX(AE$10:AE$11,Предпосылки!$I$217,),0))*IFERROR(INDEX(AE$10:AE$11,Предпосылки!$I$217,),0),AE414/(1+IFERROR(INDEX(AE$10:AE$11,Предпосылки!$I$218,),0))*IFERROR(INDEX(AE$10:AE$11,Предпосылки!$I$218,),0),AE437/(1+IFERROR(INDEX(AE$10:AE$11,Предпосылки!$I$219,),0))*IFERROR(INDEX(AE$10:AE$11,Предпосылки!$I$219,),0),AE460/(1+IFERROR(INDEX(AE$10:AE$11,Предпосылки!$I$220,),0))*IFERROR(INDEX(AE$10:AE$11,Предпосылки!$I$220,),0))</f>
        <v>0</v>
      </c>
      <c s="125">
        <f>SUM(AF23/(1+IFERROR(INDEX(AF$10:AF$11,Предпосылки!$I$201,),0))*IFERROR(INDEX(AF$10:AF$11,Предпосылки!$I$201,),0),AF46/(1+IFERROR(INDEX(AF$10:AF$11,Предпосылки!$I$202,),0))*IFERROR(INDEX(AF$10:AF$11,Предпосылки!$I$202,),0),AF69/(1+IFERROR(INDEX(AF$10:AF$11,Предпосылки!$I$203,),0))*IFERROR(INDEX(AF$10:AF$11,Предпосылки!$I$203,),0),AF92/(1+IFERROR(INDEX(AF$10:AF$11,Предпосылки!$I$204,),0))*IFERROR(INDEX(AF$10:AF$11,Предпосылки!$I$204,),0),AF115/(1+IFERROR(INDEX(AF$10:AF$11,Предпосылки!$I$205,),0))*IFERROR(INDEX(AF$10:AF$11,Предпосылки!$I$205,),0),AF138/(1+IFERROR(INDEX(AF$10:AF$11,Предпосылки!$I$206,),0))*IFERROR(INDEX(AF$10:AF$11,Предпосылки!$I$206,),0),AF161/(1+IFERROR(INDEX(AF$10:AF$11,Предпосылки!$I$207,),0))*IFERROR(INDEX(AF$10:AF$11,Предпосылки!$I$207,),0),AF184/(1+IFERROR(INDEX(AF$10:AF$11,Предпосылки!$I$208,),0))*IFERROR(INDEX(AF$10:AF$11,Предпосылки!$I$208,),0),AF207/(1+IFERROR(INDEX(AF$10:AF$11,Предпосылки!$I$209,),0))*IFERROR(INDEX(AF$10:AF$11,Предпосылки!$I$209,),0),AF230/(1+IFERROR(INDEX(AF$10:AF$11,Предпосылки!$I$210,),0))*IFERROR(INDEX(AF$10:AF$11,Предпосылки!$I$210,),0),AF253/(1+IFERROR(INDEX(AF$10:AF$11,Предпосылки!$I$211,),0))*IFERROR(INDEX(AF$10:AF$11,Предпосылки!$I$211,),0),AF276/(1+IFERROR(INDEX(AF$10:AF$11,Предпосылки!$I$212,),0))*IFERROR(INDEX(AF$10:AF$11,Предпосылки!$I$212,),0),AF299/(1+IFERROR(INDEX(AF$10:AF$11,Предпосылки!$I$213,),0))*IFERROR(INDEX(AF$10:AF$11,Предпосылки!$I$213,),0),AF322/(1+IFERROR(INDEX(AF$10:AF$11,Предпосылки!$I$214,),0))*IFERROR(INDEX(AF$10:AF$11,Предпосылки!$I$214,),0),AF345/(1+IFERROR(INDEX(AF$10:AF$11,Предпосылки!$I$215,),0))*IFERROR(INDEX(AF$10:AF$11,Предпосылки!$I$215,),0),AF368/(1+IFERROR(INDEX(AF$10:AF$11,Предпосылки!$I$216,),0))*IFERROR(INDEX(AF$10:AF$11,Предпосылки!$I$216,),0),AF391/(1+IFERROR(INDEX(AF$10:AF$11,Предпосылки!$I$217,),0))*IFERROR(INDEX(AF$10:AF$11,Предпосылки!$I$217,),0),AF414/(1+IFERROR(INDEX(AF$10:AF$11,Предпосылки!$I$218,),0))*IFERROR(INDEX(AF$10:AF$11,Предпосылки!$I$218,),0),AF437/(1+IFERROR(INDEX(AF$10:AF$11,Предпосылки!$I$219,),0))*IFERROR(INDEX(AF$10:AF$11,Предпосылки!$I$219,),0),AF460/(1+IFERROR(INDEX(AF$10:AF$11,Предпосылки!$I$220,),0))*IFERROR(INDEX(AF$10:AF$11,Предпосылки!$I$220,),0))</f>
        <v>0</v>
      </c>
      <c s="125">
        <f>SUM(AG23/(1+IFERROR(INDEX(AG$10:AG$11,Предпосылки!$I$201,),0))*IFERROR(INDEX(AG$10:AG$11,Предпосылки!$I$201,),0),AG46/(1+IFERROR(INDEX(AG$10:AG$11,Предпосылки!$I$202,),0))*IFERROR(INDEX(AG$10:AG$11,Предпосылки!$I$202,),0),AG69/(1+IFERROR(INDEX(AG$10:AG$11,Предпосылки!$I$203,),0))*IFERROR(INDEX(AG$10:AG$11,Предпосылки!$I$203,),0),AG92/(1+IFERROR(INDEX(AG$10:AG$11,Предпосылки!$I$204,),0))*IFERROR(INDEX(AG$10:AG$11,Предпосылки!$I$204,),0),AG115/(1+IFERROR(INDEX(AG$10:AG$11,Предпосылки!$I$205,),0))*IFERROR(INDEX(AG$10:AG$11,Предпосылки!$I$205,),0),AG138/(1+IFERROR(INDEX(AG$10:AG$11,Предпосылки!$I$206,),0))*IFERROR(INDEX(AG$10:AG$11,Предпосылки!$I$206,),0),AG161/(1+IFERROR(INDEX(AG$10:AG$11,Предпосылки!$I$207,),0))*IFERROR(INDEX(AG$10:AG$11,Предпосылки!$I$207,),0),AG184/(1+IFERROR(INDEX(AG$10:AG$11,Предпосылки!$I$208,),0))*IFERROR(INDEX(AG$10:AG$11,Предпосылки!$I$208,),0),AG207/(1+IFERROR(INDEX(AG$10:AG$11,Предпосылки!$I$209,),0))*IFERROR(INDEX(AG$10:AG$11,Предпосылки!$I$209,),0),AG230/(1+IFERROR(INDEX(AG$10:AG$11,Предпосылки!$I$210,),0))*IFERROR(INDEX(AG$10:AG$11,Предпосылки!$I$210,),0),AG253/(1+IFERROR(INDEX(AG$10:AG$11,Предпосылки!$I$211,),0))*IFERROR(INDEX(AG$10:AG$11,Предпосылки!$I$211,),0),AG276/(1+IFERROR(INDEX(AG$10:AG$11,Предпосылки!$I$212,),0))*IFERROR(INDEX(AG$10:AG$11,Предпосылки!$I$212,),0),AG299/(1+IFERROR(INDEX(AG$10:AG$11,Предпосылки!$I$213,),0))*IFERROR(INDEX(AG$10:AG$11,Предпосылки!$I$213,),0),AG322/(1+IFERROR(INDEX(AG$10:AG$11,Предпосылки!$I$214,),0))*IFERROR(INDEX(AG$10:AG$11,Предпосылки!$I$214,),0),AG345/(1+IFERROR(INDEX(AG$10:AG$11,Предпосылки!$I$215,),0))*IFERROR(INDEX(AG$10:AG$11,Предпосылки!$I$215,),0),AG368/(1+IFERROR(INDEX(AG$10:AG$11,Предпосылки!$I$216,),0))*IFERROR(INDEX(AG$10:AG$11,Предпосылки!$I$216,),0),AG391/(1+IFERROR(INDEX(AG$10:AG$11,Предпосылки!$I$217,),0))*IFERROR(INDEX(AG$10:AG$11,Предпосылки!$I$217,),0),AG414/(1+IFERROR(INDEX(AG$10:AG$11,Предпосылки!$I$218,),0))*IFERROR(INDEX(AG$10:AG$11,Предпосылки!$I$218,),0),AG437/(1+IFERROR(INDEX(AG$10:AG$11,Предпосылки!$I$219,),0))*IFERROR(INDEX(AG$10:AG$11,Предпосылки!$I$219,),0),AG460/(1+IFERROR(INDEX(AG$10:AG$11,Предпосылки!$I$220,),0))*IFERROR(INDEX(AG$10:AG$11,Предпосылки!$I$220,),0))</f>
        <v>0</v>
      </c>
      <c s="125">
        <f>SUM(AH23/(1+IFERROR(INDEX(AH$10:AH$11,Предпосылки!$I$201,),0))*IFERROR(INDEX(AH$10:AH$11,Предпосылки!$I$201,),0),AH46/(1+IFERROR(INDEX(AH$10:AH$11,Предпосылки!$I$202,),0))*IFERROR(INDEX(AH$10:AH$11,Предпосылки!$I$202,),0),AH69/(1+IFERROR(INDEX(AH$10:AH$11,Предпосылки!$I$203,),0))*IFERROR(INDEX(AH$10:AH$11,Предпосылки!$I$203,),0),AH92/(1+IFERROR(INDEX(AH$10:AH$11,Предпосылки!$I$204,),0))*IFERROR(INDEX(AH$10:AH$11,Предпосылки!$I$204,),0),AH115/(1+IFERROR(INDEX(AH$10:AH$11,Предпосылки!$I$205,),0))*IFERROR(INDEX(AH$10:AH$11,Предпосылки!$I$205,),0),AH138/(1+IFERROR(INDEX(AH$10:AH$11,Предпосылки!$I$206,),0))*IFERROR(INDEX(AH$10:AH$11,Предпосылки!$I$206,),0),AH161/(1+IFERROR(INDEX(AH$10:AH$11,Предпосылки!$I$207,),0))*IFERROR(INDEX(AH$10:AH$11,Предпосылки!$I$207,),0),AH184/(1+IFERROR(INDEX(AH$10:AH$11,Предпосылки!$I$208,),0))*IFERROR(INDEX(AH$10:AH$11,Предпосылки!$I$208,),0),AH207/(1+IFERROR(INDEX(AH$10:AH$11,Предпосылки!$I$209,),0))*IFERROR(INDEX(AH$10:AH$11,Предпосылки!$I$209,),0),AH230/(1+IFERROR(INDEX(AH$10:AH$11,Предпосылки!$I$210,),0))*IFERROR(INDEX(AH$10:AH$11,Предпосылки!$I$210,),0),AH253/(1+IFERROR(INDEX(AH$10:AH$11,Предпосылки!$I$211,),0))*IFERROR(INDEX(AH$10:AH$11,Предпосылки!$I$211,),0),AH276/(1+IFERROR(INDEX(AH$10:AH$11,Предпосылки!$I$212,),0))*IFERROR(INDEX(AH$10:AH$11,Предпосылки!$I$212,),0),AH299/(1+IFERROR(INDEX(AH$10:AH$11,Предпосылки!$I$213,),0))*IFERROR(INDEX(AH$10:AH$11,Предпосылки!$I$213,),0),AH322/(1+IFERROR(INDEX(AH$10:AH$11,Предпосылки!$I$214,),0))*IFERROR(INDEX(AH$10:AH$11,Предпосылки!$I$214,),0),AH345/(1+IFERROR(INDEX(AH$10:AH$11,Предпосылки!$I$215,),0))*IFERROR(INDEX(AH$10:AH$11,Предпосылки!$I$215,),0),AH368/(1+IFERROR(INDEX(AH$10:AH$11,Предпосылки!$I$216,),0))*IFERROR(INDEX(AH$10:AH$11,Предпосылки!$I$216,),0),AH391/(1+IFERROR(INDEX(AH$10:AH$11,Предпосылки!$I$217,),0))*IFERROR(INDEX(AH$10:AH$11,Предпосылки!$I$217,),0),AH414/(1+IFERROR(INDEX(AH$10:AH$11,Предпосылки!$I$218,),0))*IFERROR(INDEX(AH$10:AH$11,Предпосылки!$I$218,),0),AH437/(1+IFERROR(INDEX(AH$10:AH$11,Предпосылки!$I$219,),0))*IFERROR(INDEX(AH$10:AH$11,Предпосылки!$I$219,),0),AH460/(1+IFERROR(INDEX(AH$10:AH$11,Предпосылки!$I$220,),0))*IFERROR(INDEX(AH$10:AH$11,Предпосылки!$I$220,),0))</f>
        <v>0</v>
      </c>
      <c s="125">
        <f>SUM(AI23/(1+IFERROR(INDEX(AI$10:AI$11,Предпосылки!$I$201,),0))*IFERROR(INDEX(AI$10:AI$11,Предпосылки!$I$201,),0),AI46/(1+IFERROR(INDEX(AI$10:AI$11,Предпосылки!$I$202,),0))*IFERROR(INDEX(AI$10:AI$11,Предпосылки!$I$202,),0),AI69/(1+IFERROR(INDEX(AI$10:AI$11,Предпосылки!$I$203,),0))*IFERROR(INDEX(AI$10:AI$11,Предпосылки!$I$203,),0),AI92/(1+IFERROR(INDEX(AI$10:AI$11,Предпосылки!$I$204,),0))*IFERROR(INDEX(AI$10:AI$11,Предпосылки!$I$204,),0),AI115/(1+IFERROR(INDEX(AI$10:AI$11,Предпосылки!$I$205,),0))*IFERROR(INDEX(AI$10:AI$11,Предпосылки!$I$205,),0),AI138/(1+IFERROR(INDEX(AI$10:AI$11,Предпосылки!$I$206,),0))*IFERROR(INDEX(AI$10:AI$11,Предпосылки!$I$206,),0),AI161/(1+IFERROR(INDEX(AI$10:AI$11,Предпосылки!$I$207,),0))*IFERROR(INDEX(AI$10:AI$11,Предпосылки!$I$207,),0),AI184/(1+IFERROR(INDEX(AI$10:AI$11,Предпосылки!$I$208,),0))*IFERROR(INDEX(AI$10:AI$11,Предпосылки!$I$208,),0),AI207/(1+IFERROR(INDEX(AI$10:AI$11,Предпосылки!$I$209,),0))*IFERROR(INDEX(AI$10:AI$11,Предпосылки!$I$209,),0),AI230/(1+IFERROR(INDEX(AI$10:AI$11,Предпосылки!$I$210,),0))*IFERROR(INDEX(AI$10:AI$11,Предпосылки!$I$210,),0),AI253/(1+IFERROR(INDEX(AI$10:AI$11,Предпосылки!$I$211,),0))*IFERROR(INDEX(AI$10:AI$11,Предпосылки!$I$211,),0),AI276/(1+IFERROR(INDEX(AI$10:AI$11,Предпосылки!$I$212,),0))*IFERROR(INDEX(AI$10:AI$11,Предпосылки!$I$212,),0),AI299/(1+IFERROR(INDEX(AI$10:AI$11,Предпосылки!$I$213,),0))*IFERROR(INDEX(AI$10:AI$11,Предпосылки!$I$213,),0),AI322/(1+IFERROR(INDEX(AI$10:AI$11,Предпосылки!$I$214,),0))*IFERROR(INDEX(AI$10:AI$11,Предпосылки!$I$214,),0),AI345/(1+IFERROR(INDEX(AI$10:AI$11,Предпосылки!$I$215,),0))*IFERROR(INDEX(AI$10:AI$11,Предпосылки!$I$215,),0),AI368/(1+IFERROR(INDEX(AI$10:AI$11,Предпосылки!$I$216,),0))*IFERROR(INDEX(AI$10:AI$11,Предпосылки!$I$216,),0),AI391/(1+IFERROR(INDEX(AI$10:AI$11,Предпосылки!$I$217,),0))*IFERROR(INDEX(AI$10:AI$11,Предпосылки!$I$217,),0),AI414/(1+IFERROR(INDEX(AI$10:AI$11,Предпосылки!$I$218,),0))*IFERROR(INDEX(AI$10:AI$11,Предпосылки!$I$218,),0),AI437/(1+IFERROR(INDEX(AI$10:AI$11,Предпосылки!$I$219,),0))*IFERROR(INDEX(AI$10:AI$11,Предпосылки!$I$219,),0),AI460/(1+IFERROR(INDEX(AI$10:AI$11,Предпосылки!$I$220,),0))*IFERROR(INDEX(AI$10:AI$11,Предпосылки!$I$220,),0))</f>
        <v>0</v>
      </c>
      <c s="125">
        <f>SUM(AJ23/(1+IFERROR(INDEX(AJ$10:AJ$11,Предпосылки!$I$201,),0))*IFERROR(INDEX(AJ$10:AJ$11,Предпосылки!$I$201,),0),AJ46/(1+IFERROR(INDEX(AJ$10:AJ$11,Предпосылки!$I$202,),0))*IFERROR(INDEX(AJ$10:AJ$11,Предпосылки!$I$202,),0),AJ69/(1+IFERROR(INDEX(AJ$10:AJ$11,Предпосылки!$I$203,),0))*IFERROR(INDEX(AJ$10:AJ$11,Предпосылки!$I$203,),0),AJ92/(1+IFERROR(INDEX(AJ$10:AJ$11,Предпосылки!$I$204,),0))*IFERROR(INDEX(AJ$10:AJ$11,Предпосылки!$I$204,),0),AJ115/(1+IFERROR(INDEX(AJ$10:AJ$11,Предпосылки!$I$205,),0))*IFERROR(INDEX(AJ$10:AJ$11,Предпосылки!$I$205,),0),AJ138/(1+IFERROR(INDEX(AJ$10:AJ$11,Предпосылки!$I$206,),0))*IFERROR(INDEX(AJ$10:AJ$11,Предпосылки!$I$206,),0),AJ161/(1+IFERROR(INDEX(AJ$10:AJ$11,Предпосылки!$I$207,),0))*IFERROR(INDEX(AJ$10:AJ$11,Предпосылки!$I$207,),0),AJ184/(1+IFERROR(INDEX(AJ$10:AJ$11,Предпосылки!$I$208,),0))*IFERROR(INDEX(AJ$10:AJ$11,Предпосылки!$I$208,),0),AJ207/(1+IFERROR(INDEX(AJ$10:AJ$11,Предпосылки!$I$209,),0))*IFERROR(INDEX(AJ$10:AJ$11,Предпосылки!$I$209,),0),AJ230/(1+IFERROR(INDEX(AJ$10:AJ$11,Предпосылки!$I$210,),0))*IFERROR(INDEX(AJ$10:AJ$11,Предпосылки!$I$210,),0),AJ253/(1+IFERROR(INDEX(AJ$10:AJ$11,Предпосылки!$I$211,),0))*IFERROR(INDEX(AJ$10:AJ$11,Предпосылки!$I$211,),0),AJ276/(1+IFERROR(INDEX(AJ$10:AJ$11,Предпосылки!$I$212,),0))*IFERROR(INDEX(AJ$10:AJ$11,Предпосылки!$I$212,),0),AJ299/(1+IFERROR(INDEX(AJ$10:AJ$11,Предпосылки!$I$213,),0))*IFERROR(INDEX(AJ$10:AJ$11,Предпосылки!$I$213,),0),AJ322/(1+IFERROR(INDEX(AJ$10:AJ$11,Предпосылки!$I$214,),0))*IFERROR(INDEX(AJ$10:AJ$11,Предпосылки!$I$214,),0),AJ345/(1+IFERROR(INDEX(AJ$10:AJ$11,Предпосылки!$I$215,),0))*IFERROR(INDEX(AJ$10:AJ$11,Предпосылки!$I$215,),0),AJ368/(1+IFERROR(INDEX(AJ$10:AJ$11,Предпосылки!$I$216,),0))*IFERROR(INDEX(AJ$10:AJ$11,Предпосылки!$I$216,),0),AJ391/(1+IFERROR(INDEX(AJ$10:AJ$11,Предпосылки!$I$217,),0))*IFERROR(INDEX(AJ$10:AJ$11,Предпосылки!$I$217,),0),AJ414/(1+IFERROR(INDEX(AJ$10:AJ$11,Предпосылки!$I$218,),0))*IFERROR(INDEX(AJ$10:AJ$11,Предпосылки!$I$218,),0),AJ437/(1+IFERROR(INDEX(AJ$10:AJ$11,Предпосылки!$I$219,),0))*IFERROR(INDEX(AJ$10:AJ$11,Предпосылки!$I$219,),0),AJ460/(1+IFERROR(INDEX(AJ$10:AJ$11,Предпосылки!$I$220,),0))*IFERROR(INDEX(AJ$10:AJ$11,Предпосылки!$I$220,),0))</f>
        <v>0</v>
      </c>
      <c s="125">
        <f>SUM(AK23/(1+IFERROR(INDEX(AK$10:AK$11,Предпосылки!$I$201,),0))*IFERROR(INDEX(AK$10:AK$11,Предпосылки!$I$201,),0),AK46/(1+IFERROR(INDEX(AK$10:AK$11,Предпосылки!$I$202,),0))*IFERROR(INDEX(AK$10:AK$11,Предпосылки!$I$202,),0),AK69/(1+IFERROR(INDEX(AK$10:AK$11,Предпосылки!$I$203,),0))*IFERROR(INDEX(AK$10:AK$11,Предпосылки!$I$203,),0),AK92/(1+IFERROR(INDEX(AK$10:AK$11,Предпосылки!$I$204,),0))*IFERROR(INDEX(AK$10:AK$11,Предпосылки!$I$204,),0),AK115/(1+IFERROR(INDEX(AK$10:AK$11,Предпосылки!$I$205,),0))*IFERROR(INDEX(AK$10:AK$11,Предпосылки!$I$205,),0),AK138/(1+IFERROR(INDEX(AK$10:AK$11,Предпосылки!$I$206,),0))*IFERROR(INDEX(AK$10:AK$11,Предпосылки!$I$206,),0),AK161/(1+IFERROR(INDEX(AK$10:AK$11,Предпосылки!$I$207,),0))*IFERROR(INDEX(AK$10:AK$11,Предпосылки!$I$207,),0),AK184/(1+IFERROR(INDEX(AK$10:AK$11,Предпосылки!$I$208,),0))*IFERROR(INDEX(AK$10:AK$11,Предпосылки!$I$208,),0),AK207/(1+IFERROR(INDEX(AK$10:AK$11,Предпосылки!$I$209,),0))*IFERROR(INDEX(AK$10:AK$11,Предпосылки!$I$209,),0),AK230/(1+IFERROR(INDEX(AK$10:AK$11,Предпосылки!$I$210,),0))*IFERROR(INDEX(AK$10:AK$11,Предпосылки!$I$210,),0),AK253/(1+IFERROR(INDEX(AK$10:AK$11,Предпосылки!$I$211,),0))*IFERROR(INDEX(AK$10:AK$11,Предпосылки!$I$211,),0),AK276/(1+IFERROR(INDEX(AK$10:AK$11,Предпосылки!$I$212,),0))*IFERROR(INDEX(AK$10:AK$11,Предпосылки!$I$212,),0),AK299/(1+IFERROR(INDEX(AK$10:AK$11,Предпосылки!$I$213,),0))*IFERROR(INDEX(AK$10:AK$11,Предпосылки!$I$213,),0),AK322/(1+IFERROR(INDEX(AK$10:AK$11,Предпосылки!$I$214,),0))*IFERROR(INDEX(AK$10:AK$11,Предпосылки!$I$214,),0),AK345/(1+IFERROR(INDEX(AK$10:AK$11,Предпосылки!$I$215,),0))*IFERROR(INDEX(AK$10:AK$11,Предпосылки!$I$215,),0),AK368/(1+IFERROR(INDEX(AK$10:AK$11,Предпосылки!$I$216,),0))*IFERROR(INDEX(AK$10:AK$11,Предпосылки!$I$216,),0),AK391/(1+IFERROR(INDEX(AK$10:AK$11,Предпосылки!$I$217,),0))*IFERROR(INDEX(AK$10:AK$11,Предпосылки!$I$217,),0),AK414/(1+IFERROR(INDEX(AK$10:AK$11,Предпосылки!$I$218,),0))*IFERROR(INDEX(AK$10:AK$11,Предпосылки!$I$218,),0),AK437/(1+IFERROR(INDEX(AK$10:AK$11,Предпосылки!$I$219,),0))*IFERROR(INDEX(AK$10:AK$11,Предпосылки!$I$219,),0),AK460/(1+IFERROR(INDEX(AK$10:AK$11,Предпосылки!$I$220,),0))*IFERROR(INDEX(AK$10:AK$11,Предпосылки!$I$220,),0))</f>
        <v>0</v>
      </c>
      <c s="125">
        <f>SUM(AL23/(1+IFERROR(INDEX(AL$10:AL$11,Предпосылки!$I$201,),0))*IFERROR(INDEX(AL$10:AL$11,Предпосылки!$I$201,),0),AL46/(1+IFERROR(INDEX(AL$10:AL$11,Предпосылки!$I$202,),0))*IFERROR(INDEX(AL$10:AL$11,Предпосылки!$I$202,),0),AL69/(1+IFERROR(INDEX(AL$10:AL$11,Предпосылки!$I$203,),0))*IFERROR(INDEX(AL$10:AL$11,Предпосылки!$I$203,),0),AL92/(1+IFERROR(INDEX(AL$10:AL$11,Предпосылки!$I$204,),0))*IFERROR(INDEX(AL$10:AL$11,Предпосылки!$I$204,),0),AL115/(1+IFERROR(INDEX(AL$10:AL$11,Предпосылки!$I$205,),0))*IFERROR(INDEX(AL$10:AL$11,Предпосылки!$I$205,),0),AL138/(1+IFERROR(INDEX(AL$10:AL$11,Предпосылки!$I$206,),0))*IFERROR(INDEX(AL$10:AL$11,Предпосылки!$I$206,),0),AL161/(1+IFERROR(INDEX(AL$10:AL$11,Предпосылки!$I$207,),0))*IFERROR(INDEX(AL$10:AL$11,Предпосылки!$I$207,),0),AL184/(1+IFERROR(INDEX(AL$10:AL$11,Предпосылки!$I$208,),0))*IFERROR(INDEX(AL$10:AL$11,Предпосылки!$I$208,),0),AL207/(1+IFERROR(INDEX(AL$10:AL$11,Предпосылки!$I$209,),0))*IFERROR(INDEX(AL$10:AL$11,Предпосылки!$I$209,),0),AL230/(1+IFERROR(INDEX(AL$10:AL$11,Предпосылки!$I$210,),0))*IFERROR(INDEX(AL$10:AL$11,Предпосылки!$I$210,),0),AL253/(1+IFERROR(INDEX(AL$10:AL$11,Предпосылки!$I$211,),0))*IFERROR(INDEX(AL$10:AL$11,Предпосылки!$I$211,),0),AL276/(1+IFERROR(INDEX(AL$10:AL$11,Предпосылки!$I$212,),0))*IFERROR(INDEX(AL$10:AL$11,Предпосылки!$I$212,),0),AL299/(1+IFERROR(INDEX(AL$10:AL$11,Предпосылки!$I$213,),0))*IFERROR(INDEX(AL$10:AL$11,Предпосылки!$I$213,),0),AL322/(1+IFERROR(INDEX(AL$10:AL$11,Предпосылки!$I$214,),0))*IFERROR(INDEX(AL$10:AL$11,Предпосылки!$I$214,),0),AL345/(1+IFERROR(INDEX(AL$10:AL$11,Предпосылки!$I$215,),0))*IFERROR(INDEX(AL$10:AL$11,Предпосылки!$I$215,),0),AL368/(1+IFERROR(INDEX(AL$10:AL$11,Предпосылки!$I$216,),0))*IFERROR(INDEX(AL$10:AL$11,Предпосылки!$I$216,),0),AL391/(1+IFERROR(INDEX(AL$10:AL$11,Предпосылки!$I$217,),0))*IFERROR(INDEX(AL$10:AL$11,Предпосылки!$I$217,),0),AL414/(1+IFERROR(INDEX(AL$10:AL$11,Предпосылки!$I$218,),0))*IFERROR(INDEX(AL$10:AL$11,Предпосылки!$I$218,),0),AL437/(1+IFERROR(INDEX(AL$10:AL$11,Предпосылки!$I$219,),0))*IFERROR(INDEX(AL$10:AL$11,Предпосылки!$I$219,),0),AL460/(1+IFERROR(INDEX(AL$10:AL$11,Предпосылки!$I$220,),0))*IFERROR(INDEX(AL$10:AL$11,Предпосылки!$I$220,),0))</f>
        <v>0</v>
      </c>
      <c s="125">
        <f>SUM(AM23/(1+IFERROR(INDEX(AM$10:AM$11,Предпосылки!$I$201,),0))*IFERROR(INDEX(AM$10:AM$11,Предпосылки!$I$201,),0),AM46/(1+IFERROR(INDEX(AM$10:AM$11,Предпосылки!$I$202,),0))*IFERROR(INDEX(AM$10:AM$11,Предпосылки!$I$202,),0),AM69/(1+IFERROR(INDEX(AM$10:AM$11,Предпосылки!$I$203,),0))*IFERROR(INDEX(AM$10:AM$11,Предпосылки!$I$203,),0),AM92/(1+IFERROR(INDEX(AM$10:AM$11,Предпосылки!$I$204,),0))*IFERROR(INDEX(AM$10:AM$11,Предпосылки!$I$204,),0),AM115/(1+IFERROR(INDEX(AM$10:AM$11,Предпосылки!$I$205,),0))*IFERROR(INDEX(AM$10:AM$11,Предпосылки!$I$205,),0),AM138/(1+IFERROR(INDEX(AM$10:AM$11,Предпосылки!$I$206,),0))*IFERROR(INDEX(AM$10:AM$11,Предпосылки!$I$206,),0),AM161/(1+IFERROR(INDEX(AM$10:AM$11,Предпосылки!$I$207,),0))*IFERROR(INDEX(AM$10:AM$11,Предпосылки!$I$207,),0),AM184/(1+IFERROR(INDEX(AM$10:AM$11,Предпосылки!$I$208,),0))*IFERROR(INDEX(AM$10:AM$11,Предпосылки!$I$208,),0),AM207/(1+IFERROR(INDEX(AM$10:AM$11,Предпосылки!$I$209,),0))*IFERROR(INDEX(AM$10:AM$11,Предпосылки!$I$209,),0),AM230/(1+IFERROR(INDEX(AM$10:AM$11,Предпосылки!$I$210,),0))*IFERROR(INDEX(AM$10:AM$11,Предпосылки!$I$210,),0),AM253/(1+IFERROR(INDEX(AM$10:AM$11,Предпосылки!$I$211,),0))*IFERROR(INDEX(AM$10:AM$11,Предпосылки!$I$211,),0),AM276/(1+IFERROR(INDEX(AM$10:AM$11,Предпосылки!$I$212,),0))*IFERROR(INDEX(AM$10:AM$11,Предпосылки!$I$212,),0),AM299/(1+IFERROR(INDEX(AM$10:AM$11,Предпосылки!$I$213,),0))*IFERROR(INDEX(AM$10:AM$11,Предпосылки!$I$213,),0),AM322/(1+IFERROR(INDEX(AM$10:AM$11,Предпосылки!$I$214,),0))*IFERROR(INDEX(AM$10:AM$11,Предпосылки!$I$214,),0),AM345/(1+IFERROR(INDEX(AM$10:AM$11,Предпосылки!$I$215,),0))*IFERROR(INDEX(AM$10:AM$11,Предпосылки!$I$215,),0),AM368/(1+IFERROR(INDEX(AM$10:AM$11,Предпосылки!$I$216,),0))*IFERROR(INDEX(AM$10:AM$11,Предпосылки!$I$216,),0),AM391/(1+IFERROR(INDEX(AM$10:AM$11,Предпосылки!$I$217,),0))*IFERROR(INDEX(AM$10:AM$11,Предпосылки!$I$217,),0),AM414/(1+IFERROR(INDEX(AM$10:AM$11,Предпосылки!$I$218,),0))*IFERROR(INDEX(AM$10:AM$11,Предпосылки!$I$218,),0),AM437/(1+IFERROR(INDEX(AM$10:AM$11,Предпосылки!$I$219,),0))*IFERROR(INDEX(AM$10:AM$11,Предпосылки!$I$219,),0),AM460/(1+IFERROR(INDEX(AM$10:AM$11,Предпосылки!$I$220,),0))*IFERROR(INDEX(AM$10:AM$11,Предпосылки!$I$220,),0))</f>
        <v>0</v>
      </c>
      <c s="125">
        <f>SUM(AN23/(1+IFERROR(INDEX(AN$10:AN$11,Предпосылки!$I$201,),0))*IFERROR(INDEX(AN$10:AN$11,Предпосылки!$I$201,),0),AN46/(1+IFERROR(INDEX(AN$10:AN$11,Предпосылки!$I$202,),0))*IFERROR(INDEX(AN$10:AN$11,Предпосылки!$I$202,),0),AN69/(1+IFERROR(INDEX(AN$10:AN$11,Предпосылки!$I$203,),0))*IFERROR(INDEX(AN$10:AN$11,Предпосылки!$I$203,),0),AN92/(1+IFERROR(INDEX(AN$10:AN$11,Предпосылки!$I$204,),0))*IFERROR(INDEX(AN$10:AN$11,Предпосылки!$I$204,),0),AN115/(1+IFERROR(INDEX(AN$10:AN$11,Предпосылки!$I$205,),0))*IFERROR(INDEX(AN$10:AN$11,Предпосылки!$I$205,),0),AN138/(1+IFERROR(INDEX(AN$10:AN$11,Предпосылки!$I$206,),0))*IFERROR(INDEX(AN$10:AN$11,Предпосылки!$I$206,),0),AN161/(1+IFERROR(INDEX(AN$10:AN$11,Предпосылки!$I$207,),0))*IFERROR(INDEX(AN$10:AN$11,Предпосылки!$I$207,),0),AN184/(1+IFERROR(INDEX(AN$10:AN$11,Предпосылки!$I$208,),0))*IFERROR(INDEX(AN$10:AN$11,Предпосылки!$I$208,),0),AN207/(1+IFERROR(INDEX(AN$10:AN$11,Предпосылки!$I$209,),0))*IFERROR(INDEX(AN$10:AN$11,Предпосылки!$I$209,),0),AN230/(1+IFERROR(INDEX(AN$10:AN$11,Предпосылки!$I$210,),0))*IFERROR(INDEX(AN$10:AN$11,Предпосылки!$I$210,),0),AN253/(1+IFERROR(INDEX(AN$10:AN$11,Предпосылки!$I$211,),0))*IFERROR(INDEX(AN$10:AN$11,Предпосылки!$I$211,),0),AN276/(1+IFERROR(INDEX(AN$10:AN$11,Предпосылки!$I$212,),0))*IFERROR(INDEX(AN$10:AN$11,Предпосылки!$I$212,),0),AN299/(1+IFERROR(INDEX(AN$10:AN$11,Предпосылки!$I$213,),0))*IFERROR(INDEX(AN$10:AN$11,Предпосылки!$I$213,),0),AN322/(1+IFERROR(INDEX(AN$10:AN$11,Предпосылки!$I$214,),0))*IFERROR(INDEX(AN$10:AN$11,Предпосылки!$I$214,),0),AN345/(1+IFERROR(INDEX(AN$10:AN$11,Предпосылки!$I$215,),0))*IFERROR(INDEX(AN$10:AN$11,Предпосылки!$I$215,),0),AN368/(1+IFERROR(INDEX(AN$10:AN$11,Предпосылки!$I$216,),0))*IFERROR(INDEX(AN$10:AN$11,Предпосылки!$I$216,),0),AN391/(1+IFERROR(INDEX(AN$10:AN$11,Предпосылки!$I$217,),0))*IFERROR(INDEX(AN$10:AN$11,Предпосылки!$I$217,),0),AN414/(1+IFERROR(INDEX(AN$10:AN$11,Предпосылки!$I$218,),0))*IFERROR(INDEX(AN$10:AN$11,Предпосылки!$I$218,),0),AN437/(1+IFERROR(INDEX(AN$10:AN$11,Предпосылки!$I$219,),0))*IFERROR(INDEX(AN$10:AN$11,Предпосылки!$I$219,),0),AN460/(1+IFERROR(INDEX(AN$10:AN$11,Предпосылки!$I$220,),0))*IFERROR(INDEX(AN$10:AN$11,Предпосылки!$I$220,),0))</f>
        <v>0</v>
      </c>
      <c s="125">
        <f>SUM(AO23/(1+IFERROR(INDEX(AO$10:AO$11,Предпосылки!$I$201,),0))*IFERROR(INDEX(AO$10:AO$11,Предпосылки!$I$201,),0),AO46/(1+IFERROR(INDEX(AO$10:AO$11,Предпосылки!$I$202,),0))*IFERROR(INDEX(AO$10:AO$11,Предпосылки!$I$202,),0),AO69/(1+IFERROR(INDEX(AO$10:AO$11,Предпосылки!$I$203,),0))*IFERROR(INDEX(AO$10:AO$11,Предпосылки!$I$203,),0),AO92/(1+IFERROR(INDEX(AO$10:AO$11,Предпосылки!$I$204,),0))*IFERROR(INDEX(AO$10:AO$11,Предпосылки!$I$204,),0),AO115/(1+IFERROR(INDEX(AO$10:AO$11,Предпосылки!$I$205,),0))*IFERROR(INDEX(AO$10:AO$11,Предпосылки!$I$205,),0),AO138/(1+IFERROR(INDEX(AO$10:AO$11,Предпосылки!$I$206,),0))*IFERROR(INDEX(AO$10:AO$11,Предпосылки!$I$206,),0),AO161/(1+IFERROR(INDEX(AO$10:AO$11,Предпосылки!$I$207,),0))*IFERROR(INDEX(AO$10:AO$11,Предпосылки!$I$207,),0),AO184/(1+IFERROR(INDEX(AO$10:AO$11,Предпосылки!$I$208,),0))*IFERROR(INDEX(AO$10:AO$11,Предпосылки!$I$208,),0),AO207/(1+IFERROR(INDEX(AO$10:AO$11,Предпосылки!$I$209,),0))*IFERROR(INDEX(AO$10:AO$11,Предпосылки!$I$209,),0),AO230/(1+IFERROR(INDEX(AO$10:AO$11,Предпосылки!$I$210,),0))*IFERROR(INDEX(AO$10:AO$11,Предпосылки!$I$210,),0),AO253/(1+IFERROR(INDEX(AO$10:AO$11,Предпосылки!$I$211,),0))*IFERROR(INDEX(AO$10:AO$11,Предпосылки!$I$211,),0),AO276/(1+IFERROR(INDEX(AO$10:AO$11,Предпосылки!$I$212,),0))*IFERROR(INDEX(AO$10:AO$11,Предпосылки!$I$212,),0),AO299/(1+IFERROR(INDEX(AO$10:AO$11,Предпосылки!$I$213,),0))*IFERROR(INDEX(AO$10:AO$11,Предпосылки!$I$213,),0),AO322/(1+IFERROR(INDEX(AO$10:AO$11,Предпосылки!$I$214,),0))*IFERROR(INDEX(AO$10:AO$11,Предпосылки!$I$214,),0),AO345/(1+IFERROR(INDEX(AO$10:AO$11,Предпосылки!$I$215,),0))*IFERROR(INDEX(AO$10:AO$11,Предпосылки!$I$215,),0),AO368/(1+IFERROR(INDEX(AO$10:AO$11,Предпосылки!$I$216,),0))*IFERROR(INDEX(AO$10:AO$11,Предпосылки!$I$216,),0),AO391/(1+IFERROR(INDEX(AO$10:AO$11,Предпосылки!$I$217,),0))*IFERROR(INDEX(AO$10:AO$11,Предпосылки!$I$217,),0),AO414/(1+IFERROR(INDEX(AO$10:AO$11,Предпосылки!$I$218,),0))*IFERROR(INDEX(AO$10:AO$11,Предпосылки!$I$218,),0),AO437/(1+IFERROR(INDEX(AO$10:AO$11,Предпосылки!$I$219,),0))*IFERROR(INDEX(AO$10:AO$11,Предпосылки!$I$219,),0),AO460/(1+IFERROR(INDEX(AO$10:AO$11,Предпосылки!$I$220,),0))*IFERROR(INDEX(AO$10:AO$11,Предпосылки!$I$220,),0))</f>
        <v>0</v>
      </c>
      <c s="125">
        <f>SUM(AP23/(1+IFERROR(INDEX(AP$10:AP$11,Предпосылки!$I$201,),0))*IFERROR(INDEX(AP$10:AP$11,Предпосылки!$I$201,),0),AP46/(1+IFERROR(INDEX(AP$10:AP$11,Предпосылки!$I$202,),0))*IFERROR(INDEX(AP$10:AP$11,Предпосылки!$I$202,),0),AP69/(1+IFERROR(INDEX(AP$10:AP$11,Предпосылки!$I$203,),0))*IFERROR(INDEX(AP$10:AP$11,Предпосылки!$I$203,),0),AP92/(1+IFERROR(INDEX(AP$10:AP$11,Предпосылки!$I$204,),0))*IFERROR(INDEX(AP$10:AP$11,Предпосылки!$I$204,),0),AP115/(1+IFERROR(INDEX(AP$10:AP$11,Предпосылки!$I$205,),0))*IFERROR(INDEX(AP$10:AP$11,Предпосылки!$I$205,),0),AP138/(1+IFERROR(INDEX(AP$10:AP$11,Предпосылки!$I$206,),0))*IFERROR(INDEX(AP$10:AP$11,Предпосылки!$I$206,),0),AP161/(1+IFERROR(INDEX(AP$10:AP$11,Предпосылки!$I$207,),0))*IFERROR(INDEX(AP$10:AP$11,Предпосылки!$I$207,),0),AP184/(1+IFERROR(INDEX(AP$10:AP$11,Предпосылки!$I$208,),0))*IFERROR(INDEX(AP$10:AP$11,Предпосылки!$I$208,),0),AP207/(1+IFERROR(INDEX(AP$10:AP$11,Предпосылки!$I$209,),0))*IFERROR(INDEX(AP$10:AP$11,Предпосылки!$I$209,),0),AP230/(1+IFERROR(INDEX(AP$10:AP$11,Предпосылки!$I$210,),0))*IFERROR(INDEX(AP$10:AP$11,Предпосылки!$I$210,),0),AP253/(1+IFERROR(INDEX(AP$10:AP$11,Предпосылки!$I$211,),0))*IFERROR(INDEX(AP$10:AP$11,Предпосылки!$I$211,),0),AP276/(1+IFERROR(INDEX(AP$10:AP$11,Предпосылки!$I$212,),0))*IFERROR(INDEX(AP$10:AP$11,Предпосылки!$I$212,),0),AP299/(1+IFERROR(INDEX(AP$10:AP$11,Предпосылки!$I$213,),0))*IFERROR(INDEX(AP$10:AP$11,Предпосылки!$I$213,),0),AP322/(1+IFERROR(INDEX(AP$10:AP$11,Предпосылки!$I$214,),0))*IFERROR(INDEX(AP$10:AP$11,Предпосылки!$I$214,),0),AP345/(1+IFERROR(INDEX(AP$10:AP$11,Предпосылки!$I$215,),0))*IFERROR(INDEX(AP$10:AP$11,Предпосылки!$I$215,),0),AP368/(1+IFERROR(INDEX(AP$10:AP$11,Предпосылки!$I$216,),0))*IFERROR(INDEX(AP$10:AP$11,Предпосылки!$I$216,),0),AP391/(1+IFERROR(INDEX(AP$10:AP$11,Предпосылки!$I$217,),0))*IFERROR(INDEX(AP$10:AP$11,Предпосылки!$I$217,),0),AP414/(1+IFERROR(INDEX(AP$10:AP$11,Предпосылки!$I$218,),0))*IFERROR(INDEX(AP$10:AP$11,Предпосылки!$I$218,),0),AP437/(1+IFERROR(INDEX(AP$10:AP$11,Предпосылки!$I$219,),0))*IFERROR(INDEX(AP$10:AP$11,Предпосылки!$I$219,),0),AP460/(1+IFERROR(INDEX(AP$10:AP$11,Предпосылки!$I$220,),0))*IFERROR(INDEX(AP$10:AP$11,Предпосылки!$I$220,),0))</f>
        <v>0</v>
      </c>
      <c s="125">
        <f>SUM(AQ23/(1+IFERROR(INDEX(AQ$10:AQ$11,Предпосылки!$I$201,),0))*IFERROR(INDEX(AQ$10:AQ$11,Предпосылки!$I$201,),0),AQ46/(1+IFERROR(INDEX(AQ$10:AQ$11,Предпосылки!$I$202,),0))*IFERROR(INDEX(AQ$10:AQ$11,Предпосылки!$I$202,),0),AQ69/(1+IFERROR(INDEX(AQ$10:AQ$11,Предпосылки!$I$203,),0))*IFERROR(INDEX(AQ$10:AQ$11,Предпосылки!$I$203,),0),AQ92/(1+IFERROR(INDEX(AQ$10:AQ$11,Предпосылки!$I$204,),0))*IFERROR(INDEX(AQ$10:AQ$11,Предпосылки!$I$204,),0),AQ115/(1+IFERROR(INDEX(AQ$10:AQ$11,Предпосылки!$I$205,),0))*IFERROR(INDEX(AQ$10:AQ$11,Предпосылки!$I$205,),0),AQ138/(1+IFERROR(INDEX(AQ$10:AQ$11,Предпосылки!$I$206,),0))*IFERROR(INDEX(AQ$10:AQ$11,Предпосылки!$I$206,),0),AQ161/(1+IFERROR(INDEX(AQ$10:AQ$11,Предпосылки!$I$207,),0))*IFERROR(INDEX(AQ$10:AQ$11,Предпосылки!$I$207,),0),AQ184/(1+IFERROR(INDEX(AQ$10:AQ$11,Предпосылки!$I$208,),0))*IFERROR(INDEX(AQ$10:AQ$11,Предпосылки!$I$208,),0),AQ207/(1+IFERROR(INDEX(AQ$10:AQ$11,Предпосылки!$I$209,),0))*IFERROR(INDEX(AQ$10:AQ$11,Предпосылки!$I$209,),0),AQ230/(1+IFERROR(INDEX(AQ$10:AQ$11,Предпосылки!$I$210,),0))*IFERROR(INDEX(AQ$10:AQ$11,Предпосылки!$I$210,),0),AQ253/(1+IFERROR(INDEX(AQ$10:AQ$11,Предпосылки!$I$211,),0))*IFERROR(INDEX(AQ$10:AQ$11,Предпосылки!$I$211,),0),AQ276/(1+IFERROR(INDEX(AQ$10:AQ$11,Предпосылки!$I$212,),0))*IFERROR(INDEX(AQ$10:AQ$11,Предпосылки!$I$212,),0),AQ299/(1+IFERROR(INDEX(AQ$10:AQ$11,Предпосылки!$I$213,),0))*IFERROR(INDEX(AQ$10:AQ$11,Предпосылки!$I$213,),0),AQ322/(1+IFERROR(INDEX(AQ$10:AQ$11,Предпосылки!$I$214,),0))*IFERROR(INDEX(AQ$10:AQ$11,Предпосылки!$I$214,),0),AQ345/(1+IFERROR(INDEX(AQ$10:AQ$11,Предпосылки!$I$215,),0))*IFERROR(INDEX(AQ$10:AQ$11,Предпосылки!$I$215,),0),AQ368/(1+IFERROR(INDEX(AQ$10:AQ$11,Предпосылки!$I$216,),0))*IFERROR(INDEX(AQ$10:AQ$11,Предпосылки!$I$216,),0),AQ391/(1+IFERROR(INDEX(AQ$10:AQ$11,Предпосылки!$I$217,),0))*IFERROR(INDEX(AQ$10:AQ$11,Предпосылки!$I$217,),0),AQ414/(1+IFERROR(INDEX(AQ$10:AQ$11,Предпосылки!$I$218,),0))*IFERROR(INDEX(AQ$10:AQ$11,Предпосылки!$I$218,),0),AQ437/(1+IFERROR(INDEX(AQ$10:AQ$11,Предпосылки!$I$219,),0))*IFERROR(INDEX(AQ$10:AQ$11,Предпосылки!$I$219,),0),AQ460/(1+IFERROR(INDEX(AQ$10:AQ$11,Предпосылки!$I$220,),0))*IFERROR(INDEX(AQ$10:AQ$11,Предпосылки!$I$220,),0))</f>
        <v>0</v>
      </c>
      <c s="125">
        <f>SUM(AR23/(1+IFERROR(INDEX(AR$10:AR$11,Предпосылки!$I$201,),0))*IFERROR(INDEX(AR$10:AR$11,Предпосылки!$I$201,),0),AR46/(1+IFERROR(INDEX(AR$10:AR$11,Предпосылки!$I$202,),0))*IFERROR(INDEX(AR$10:AR$11,Предпосылки!$I$202,),0),AR69/(1+IFERROR(INDEX(AR$10:AR$11,Предпосылки!$I$203,),0))*IFERROR(INDEX(AR$10:AR$11,Предпосылки!$I$203,),0),AR92/(1+IFERROR(INDEX(AR$10:AR$11,Предпосылки!$I$204,),0))*IFERROR(INDEX(AR$10:AR$11,Предпосылки!$I$204,),0),AR115/(1+IFERROR(INDEX(AR$10:AR$11,Предпосылки!$I$205,),0))*IFERROR(INDEX(AR$10:AR$11,Предпосылки!$I$205,),0),AR138/(1+IFERROR(INDEX(AR$10:AR$11,Предпосылки!$I$206,),0))*IFERROR(INDEX(AR$10:AR$11,Предпосылки!$I$206,),0),AR161/(1+IFERROR(INDEX(AR$10:AR$11,Предпосылки!$I$207,),0))*IFERROR(INDEX(AR$10:AR$11,Предпосылки!$I$207,),0),AR184/(1+IFERROR(INDEX(AR$10:AR$11,Предпосылки!$I$208,),0))*IFERROR(INDEX(AR$10:AR$11,Предпосылки!$I$208,),0),AR207/(1+IFERROR(INDEX(AR$10:AR$11,Предпосылки!$I$209,),0))*IFERROR(INDEX(AR$10:AR$11,Предпосылки!$I$209,),0),AR230/(1+IFERROR(INDEX(AR$10:AR$11,Предпосылки!$I$210,),0))*IFERROR(INDEX(AR$10:AR$11,Предпосылки!$I$210,),0),AR253/(1+IFERROR(INDEX(AR$10:AR$11,Предпосылки!$I$211,),0))*IFERROR(INDEX(AR$10:AR$11,Предпосылки!$I$211,),0),AR276/(1+IFERROR(INDEX(AR$10:AR$11,Предпосылки!$I$212,),0))*IFERROR(INDEX(AR$10:AR$11,Предпосылки!$I$212,),0),AR299/(1+IFERROR(INDEX(AR$10:AR$11,Предпосылки!$I$213,),0))*IFERROR(INDEX(AR$10:AR$11,Предпосылки!$I$213,),0),AR322/(1+IFERROR(INDEX(AR$10:AR$11,Предпосылки!$I$214,),0))*IFERROR(INDEX(AR$10:AR$11,Предпосылки!$I$214,),0),AR345/(1+IFERROR(INDEX(AR$10:AR$11,Предпосылки!$I$215,),0))*IFERROR(INDEX(AR$10:AR$11,Предпосылки!$I$215,),0),AR368/(1+IFERROR(INDEX(AR$10:AR$11,Предпосылки!$I$216,),0))*IFERROR(INDEX(AR$10:AR$11,Предпосылки!$I$216,),0),AR391/(1+IFERROR(INDEX(AR$10:AR$11,Предпосылки!$I$217,),0))*IFERROR(INDEX(AR$10:AR$11,Предпосылки!$I$217,),0),AR414/(1+IFERROR(INDEX(AR$10:AR$11,Предпосылки!$I$218,),0))*IFERROR(INDEX(AR$10:AR$11,Предпосылки!$I$218,),0),AR437/(1+IFERROR(INDEX(AR$10:AR$11,Предпосылки!$I$219,),0))*IFERROR(INDEX(AR$10:AR$11,Предпосылки!$I$219,),0),AR460/(1+IFERROR(INDEX(AR$10:AR$11,Предпосылки!$I$220,),0))*IFERROR(INDEX(AR$10:AR$11,Предпосылки!$I$220,),0))</f>
        <v>0</v>
      </c>
      <c s="125">
        <f>SUM(AS23/(1+IFERROR(INDEX(AS$10:AS$11,Предпосылки!$I$201,),0))*IFERROR(INDEX(AS$10:AS$11,Предпосылки!$I$201,),0),AS46/(1+IFERROR(INDEX(AS$10:AS$11,Предпосылки!$I$202,),0))*IFERROR(INDEX(AS$10:AS$11,Предпосылки!$I$202,),0),AS69/(1+IFERROR(INDEX(AS$10:AS$11,Предпосылки!$I$203,),0))*IFERROR(INDEX(AS$10:AS$11,Предпосылки!$I$203,),0),AS92/(1+IFERROR(INDEX(AS$10:AS$11,Предпосылки!$I$204,),0))*IFERROR(INDEX(AS$10:AS$11,Предпосылки!$I$204,),0),AS115/(1+IFERROR(INDEX(AS$10:AS$11,Предпосылки!$I$205,),0))*IFERROR(INDEX(AS$10:AS$11,Предпосылки!$I$205,),0),AS138/(1+IFERROR(INDEX(AS$10:AS$11,Предпосылки!$I$206,),0))*IFERROR(INDEX(AS$10:AS$11,Предпосылки!$I$206,),0),AS161/(1+IFERROR(INDEX(AS$10:AS$11,Предпосылки!$I$207,),0))*IFERROR(INDEX(AS$10:AS$11,Предпосылки!$I$207,),0),AS184/(1+IFERROR(INDEX(AS$10:AS$11,Предпосылки!$I$208,),0))*IFERROR(INDEX(AS$10:AS$11,Предпосылки!$I$208,),0),AS207/(1+IFERROR(INDEX(AS$10:AS$11,Предпосылки!$I$209,),0))*IFERROR(INDEX(AS$10:AS$11,Предпосылки!$I$209,),0),AS230/(1+IFERROR(INDEX(AS$10:AS$11,Предпосылки!$I$210,),0))*IFERROR(INDEX(AS$10:AS$11,Предпосылки!$I$210,),0),AS253/(1+IFERROR(INDEX(AS$10:AS$11,Предпосылки!$I$211,),0))*IFERROR(INDEX(AS$10:AS$11,Предпосылки!$I$211,),0),AS276/(1+IFERROR(INDEX(AS$10:AS$11,Предпосылки!$I$212,),0))*IFERROR(INDEX(AS$10:AS$11,Предпосылки!$I$212,),0),AS299/(1+IFERROR(INDEX(AS$10:AS$11,Предпосылки!$I$213,),0))*IFERROR(INDEX(AS$10:AS$11,Предпосылки!$I$213,),0),AS322/(1+IFERROR(INDEX(AS$10:AS$11,Предпосылки!$I$214,),0))*IFERROR(INDEX(AS$10:AS$11,Предпосылки!$I$214,),0),AS345/(1+IFERROR(INDEX(AS$10:AS$11,Предпосылки!$I$215,),0))*IFERROR(INDEX(AS$10:AS$11,Предпосылки!$I$215,),0),AS368/(1+IFERROR(INDEX(AS$10:AS$11,Предпосылки!$I$216,),0))*IFERROR(INDEX(AS$10:AS$11,Предпосылки!$I$216,),0),AS391/(1+IFERROR(INDEX(AS$10:AS$11,Предпосылки!$I$217,),0))*IFERROR(INDEX(AS$10:AS$11,Предпосылки!$I$217,),0),AS414/(1+IFERROR(INDEX(AS$10:AS$11,Предпосылки!$I$218,),0))*IFERROR(INDEX(AS$10:AS$11,Предпосылки!$I$218,),0),AS437/(1+IFERROR(INDEX(AS$10:AS$11,Предпосылки!$I$219,),0))*IFERROR(INDEX(AS$10:AS$11,Предпосылки!$I$219,),0),AS460/(1+IFERROR(INDEX(AS$10:AS$11,Предпосылки!$I$220,),0))*IFERROR(INDEX(AS$10:AS$11,Предпосылки!$I$220,),0))</f>
        <v>0</v>
      </c>
      <c s="125">
        <f>SUM(AT23/(1+IFERROR(INDEX(AT$10:AT$11,Предпосылки!$I$201,),0))*IFERROR(INDEX(AT$10:AT$11,Предпосылки!$I$201,),0),AT46/(1+IFERROR(INDEX(AT$10:AT$11,Предпосылки!$I$202,),0))*IFERROR(INDEX(AT$10:AT$11,Предпосылки!$I$202,),0),AT69/(1+IFERROR(INDEX(AT$10:AT$11,Предпосылки!$I$203,),0))*IFERROR(INDEX(AT$10:AT$11,Предпосылки!$I$203,),0),AT92/(1+IFERROR(INDEX(AT$10:AT$11,Предпосылки!$I$204,),0))*IFERROR(INDEX(AT$10:AT$11,Предпосылки!$I$204,),0),AT115/(1+IFERROR(INDEX(AT$10:AT$11,Предпосылки!$I$205,),0))*IFERROR(INDEX(AT$10:AT$11,Предпосылки!$I$205,),0),AT138/(1+IFERROR(INDEX(AT$10:AT$11,Предпосылки!$I$206,),0))*IFERROR(INDEX(AT$10:AT$11,Предпосылки!$I$206,),0),AT161/(1+IFERROR(INDEX(AT$10:AT$11,Предпосылки!$I$207,),0))*IFERROR(INDEX(AT$10:AT$11,Предпосылки!$I$207,),0),AT184/(1+IFERROR(INDEX(AT$10:AT$11,Предпосылки!$I$208,),0))*IFERROR(INDEX(AT$10:AT$11,Предпосылки!$I$208,),0),AT207/(1+IFERROR(INDEX(AT$10:AT$11,Предпосылки!$I$209,),0))*IFERROR(INDEX(AT$10:AT$11,Предпосылки!$I$209,),0),AT230/(1+IFERROR(INDEX(AT$10:AT$11,Предпосылки!$I$210,),0))*IFERROR(INDEX(AT$10:AT$11,Предпосылки!$I$210,),0),AT253/(1+IFERROR(INDEX(AT$10:AT$11,Предпосылки!$I$211,),0))*IFERROR(INDEX(AT$10:AT$11,Предпосылки!$I$211,),0),AT276/(1+IFERROR(INDEX(AT$10:AT$11,Предпосылки!$I$212,),0))*IFERROR(INDEX(AT$10:AT$11,Предпосылки!$I$212,),0),AT299/(1+IFERROR(INDEX(AT$10:AT$11,Предпосылки!$I$213,),0))*IFERROR(INDEX(AT$10:AT$11,Предпосылки!$I$213,),0),AT322/(1+IFERROR(INDEX(AT$10:AT$11,Предпосылки!$I$214,),0))*IFERROR(INDEX(AT$10:AT$11,Предпосылки!$I$214,),0),AT345/(1+IFERROR(INDEX(AT$10:AT$11,Предпосылки!$I$215,),0))*IFERROR(INDEX(AT$10:AT$11,Предпосылки!$I$215,),0),AT368/(1+IFERROR(INDEX(AT$10:AT$11,Предпосылки!$I$216,),0))*IFERROR(INDEX(AT$10:AT$11,Предпосылки!$I$216,),0),AT391/(1+IFERROR(INDEX(AT$10:AT$11,Предпосылки!$I$217,),0))*IFERROR(INDEX(AT$10:AT$11,Предпосылки!$I$217,),0),AT414/(1+IFERROR(INDEX(AT$10:AT$11,Предпосылки!$I$218,),0))*IFERROR(INDEX(AT$10:AT$11,Предпосылки!$I$218,),0),AT437/(1+IFERROR(INDEX(AT$10:AT$11,Предпосылки!$I$219,),0))*IFERROR(INDEX(AT$10:AT$11,Предпосылки!$I$219,),0),AT460/(1+IFERROR(INDEX(AT$10:AT$11,Предпосылки!$I$220,),0))*IFERROR(INDEX(AT$10:AT$11,Предпосылки!$I$220,),0))</f>
        <v>0</v>
      </c>
      <c s="125">
        <f>SUM(AU23/(1+IFERROR(INDEX(AU$10:AU$11,Предпосылки!$I$201,),0))*IFERROR(INDEX(AU$10:AU$11,Предпосылки!$I$201,),0),AU46/(1+IFERROR(INDEX(AU$10:AU$11,Предпосылки!$I$202,),0))*IFERROR(INDEX(AU$10:AU$11,Предпосылки!$I$202,),0),AU69/(1+IFERROR(INDEX(AU$10:AU$11,Предпосылки!$I$203,),0))*IFERROR(INDEX(AU$10:AU$11,Предпосылки!$I$203,),0),AU92/(1+IFERROR(INDEX(AU$10:AU$11,Предпосылки!$I$204,),0))*IFERROR(INDEX(AU$10:AU$11,Предпосылки!$I$204,),0),AU115/(1+IFERROR(INDEX(AU$10:AU$11,Предпосылки!$I$205,),0))*IFERROR(INDEX(AU$10:AU$11,Предпосылки!$I$205,),0),AU138/(1+IFERROR(INDEX(AU$10:AU$11,Предпосылки!$I$206,),0))*IFERROR(INDEX(AU$10:AU$11,Предпосылки!$I$206,),0),AU161/(1+IFERROR(INDEX(AU$10:AU$11,Предпосылки!$I$207,),0))*IFERROR(INDEX(AU$10:AU$11,Предпосылки!$I$207,),0),AU184/(1+IFERROR(INDEX(AU$10:AU$11,Предпосылки!$I$208,),0))*IFERROR(INDEX(AU$10:AU$11,Предпосылки!$I$208,),0),AU207/(1+IFERROR(INDEX(AU$10:AU$11,Предпосылки!$I$209,),0))*IFERROR(INDEX(AU$10:AU$11,Предпосылки!$I$209,),0),AU230/(1+IFERROR(INDEX(AU$10:AU$11,Предпосылки!$I$210,),0))*IFERROR(INDEX(AU$10:AU$11,Предпосылки!$I$210,),0),AU253/(1+IFERROR(INDEX(AU$10:AU$11,Предпосылки!$I$211,),0))*IFERROR(INDEX(AU$10:AU$11,Предпосылки!$I$211,),0),AU276/(1+IFERROR(INDEX(AU$10:AU$11,Предпосылки!$I$212,),0))*IFERROR(INDEX(AU$10:AU$11,Предпосылки!$I$212,),0),AU299/(1+IFERROR(INDEX(AU$10:AU$11,Предпосылки!$I$213,),0))*IFERROR(INDEX(AU$10:AU$11,Предпосылки!$I$213,),0),AU322/(1+IFERROR(INDEX(AU$10:AU$11,Предпосылки!$I$214,),0))*IFERROR(INDEX(AU$10:AU$11,Предпосылки!$I$214,),0),AU345/(1+IFERROR(INDEX(AU$10:AU$11,Предпосылки!$I$215,),0))*IFERROR(INDEX(AU$10:AU$11,Предпосылки!$I$215,),0),AU368/(1+IFERROR(INDEX(AU$10:AU$11,Предпосылки!$I$216,),0))*IFERROR(INDEX(AU$10:AU$11,Предпосылки!$I$216,),0),AU391/(1+IFERROR(INDEX(AU$10:AU$11,Предпосылки!$I$217,),0))*IFERROR(INDEX(AU$10:AU$11,Предпосылки!$I$217,),0),AU414/(1+IFERROR(INDEX(AU$10:AU$11,Предпосылки!$I$218,),0))*IFERROR(INDEX(AU$10:AU$11,Предпосылки!$I$218,),0),AU437/(1+IFERROR(INDEX(AU$10:AU$11,Предпосылки!$I$219,),0))*IFERROR(INDEX(AU$10:AU$11,Предпосылки!$I$219,),0),AU460/(1+IFERROR(INDEX(AU$10:AU$11,Предпосылки!$I$220,),0))*IFERROR(INDEX(AU$10:AU$11,Предпосылки!$I$220,),0))</f>
        <v>0</v>
      </c>
      <c s="125">
        <f>SUM(AV23/(1+IFERROR(INDEX(AV$10:AV$11,Предпосылки!$I$201,),0))*IFERROR(INDEX(AV$10:AV$11,Предпосылки!$I$201,),0),AV46/(1+IFERROR(INDEX(AV$10:AV$11,Предпосылки!$I$202,),0))*IFERROR(INDEX(AV$10:AV$11,Предпосылки!$I$202,),0),AV69/(1+IFERROR(INDEX(AV$10:AV$11,Предпосылки!$I$203,),0))*IFERROR(INDEX(AV$10:AV$11,Предпосылки!$I$203,),0),AV92/(1+IFERROR(INDEX(AV$10:AV$11,Предпосылки!$I$204,),0))*IFERROR(INDEX(AV$10:AV$11,Предпосылки!$I$204,),0),AV115/(1+IFERROR(INDEX(AV$10:AV$11,Предпосылки!$I$205,),0))*IFERROR(INDEX(AV$10:AV$11,Предпосылки!$I$205,),0),AV138/(1+IFERROR(INDEX(AV$10:AV$11,Предпосылки!$I$206,),0))*IFERROR(INDEX(AV$10:AV$11,Предпосылки!$I$206,),0),AV161/(1+IFERROR(INDEX(AV$10:AV$11,Предпосылки!$I$207,),0))*IFERROR(INDEX(AV$10:AV$11,Предпосылки!$I$207,),0),AV184/(1+IFERROR(INDEX(AV$10:AV$11,Предпосылки!$I$208,),0))*IFERROR(INDEX(AV$10:AV$11,Предпосылки!$I$208,),0),AV207/(1+IFERROR(INDEX(AV$10:AV$11,Предпосылки!$I$209,),0))*IFERROR(INDEX(AV$10:AV$11,Предпосылки!$I$209,),0),AV230/(1+IFERROR(INDEX(AV$10:AV$11,Предпосылки!$I$210,),0))*IFERROR(INDEX(AV$10:AV$11,Предпосылки!$I$210,),0),AV253/(1+IFERROR(INDEX(AV$10:AV$11,Предпосылки!$I$211,),0))*IFERROR(INDEX(AV$10:AV$11,Предпосылки!$I$211,),0),AV276/(1+IFERROR(INDEX(AV$10:AV$11,Предпосылки!$I$212,),0))*IFERROR(INDEX(AV$10:AV$11,Предпосылки!$I$212,),0),AV299/(1+IFERROR(INDEX(AV$10:AV$11,Предпосылки!$I$213,),0))*IFERROR(INDEX(AV$10:AV$11,Предпосылки!$I$213,),0),AV322/(1+IFERROR(INDEX(AV$10:AV$11,Предпосылки!$I$214,),0))*IFERROR(INDEX(AV$10:AV$11,Предпосылки!$I$214,),0),AV345/(1+IFERROR(INDEX(AV$10:AV$11,Предпосылки!$I$215,),0))*IFERROR(INDEX(AV$10:AV$11,Предпосылки!$I$215,),0),AV368/(1+IFERROR(INDEX(AV$10:AV$11,Предпосылки!$I$216,),0))*IFERROR(INDEX(AV$10:AV$11,Предпосылки!$I$216,),0),AV391/(1+IFERROR(INDEX(AV$10:AV$11,Предпосылки!$I$217,),0))*IFERROR(INDEX(AV$10:AV$11,Предпосылки!$I$217,),0),AV414/(1+IFERROR(INDEX(AV$10:AV$11,Предпосылки!$I$218,),0))*IFERROR(INDEX(AV$10:AV$11,Предпосылки!$I$218,),0),AV437/(1+IFERROR(INDEX(AV$10:AV$11,Предпосылки!$I$219,),0))*IFERROR(INDEX(AV$10:AV$11,Предпосылки!$I$219,),0),AV460/(1+IFERROR(INDEX(AV$10:AV$11,Предпосылки!$I$220,),0))*IFERROR(INDEX(AV$10:AV$11,Предпосылки!$I$220,),0))</f>
        <v>0</v>
      </c>
      <c s="125">
        <f>SUM(AW23/(1+IFERROR(INDEX(AW$10:AW$11,Предпосылки!$I$201,),0))*IFERROR(INDEX(AW$10:AW$11,Предпосылки!$I$201,),0),AW46/(1+IFERROR(INDEX(AW$10:AW$11,Предпосылки!$I$202,),0))*IFERROR(INDEX(AW$10:AW$11,Предпосылки!$I$202,),0),AW69/(1+IFERROR(INDEX(AW$10:AW$11,Предпосылки!$I$203,),0))*IFERROR(INDEX(AW$10:AW$11,Предпосылки!$I$203,),0),AW92/(1+IFERROR(INDEX(AW$10:AW$11,Предпосылки!$I$204,),0))*IFERROR(INDEX(AW$10:AW$11,Предпосылки!$I$204,),0),AW115/(1+IFERROR(INDEX(AW$10:AW$11,Предпосылки!$I$205,),0))*IFERROR(INDEX(AW$10:AW$11,Предпосылки!$I$205,),0),AW138/(1+IFERROR(INDEX(AW$10:AW$11,Предпосылки!$I$206,),0))*IFERROR(INDEX(AW$10:AW$11,Предпосылки!$I$206,),0),AW161/(1+IFERROR(INDEX(AW$10:AW$11,Предпосылки!$I$207,),0))*IFERROR(INDEX(AW$10:AW$11,Предпосылки!$I$207,),0),AW184/(1+IFERROR(INDEX(AW$10:AW$11,Предпосылки!$I$208,),0))*IFERROR(INDEX(AW$10:AW$11,Предпосылки!$I$208,),0),AW207/(1+IFERROR(INDEX(AW$10:AW$11,Предпосылки!$I$209,),0))*IFERROR(INDEX(AW$10:AW$11,Предпосылки!$I$209,),0),AW230/(1+IFERROR(INDEX(AW$10:AW$11,Предпосылки!$I$210,),0))*IFERROR(INDEX(AW$10:AW$11,Предпосылки!$I$210,),0),AW253/(1+IFERROR(INDEX(AW$10:AW$11,Предпосылки!$I$211,),0))*IFERROR(INDEX(AW$10:AW$11,Предпосылки!$I$211,),0),AW276/(1+IFERROR(INDEX(AW$10:AW$11,Предпосылки!$I$212,),0))*IFERROR(INDEX(AW$10:AW$11,Предпосылки!$I$212,),0),AW299/(1+IFERROR(INDEX(AW$10:AW$11,Предпосылки!$I$213,),0))*IFERROR(INDEX(AW$10:AW$11,Предпосылки!$I$213,),0),AW322/(1+IFERROR(INDEX(AW$10:AW$11,Предпосылки!$I$214,),0))*IFERROR(INDEX(AW$10:AW$11,Предпосылки!$I$214,),0),AW345/(1+IFERROR(INDEX(AW$10:AW$11,Предпосылки!$I$215,),0))*IFERROR(INDEX(AW$10:AW$11,Предпосылки!$I$215,),0),AW368/(1+IFERROR(INDEX(AW$10:AW$11,Предпосылки!$I$216,),0))*IFERROR(INDEX(AW$10:AW$11,Предпосылки!$I$216,),0),AW391/(1+IFERROR(INDEX(AW$10:AW$11,Предпосылки!$I$217,),0))*IFERROR(INDEX(AW$10:AW$11,Предпосылки!$I$217,),0),AW414/(1+IFERROR(INDEX(AW$10:AW$11,Предпосылки!$I$218,),0))*IFERROR(INDEX(AW$10:AW$11,Предпосылки!$I$218,),0),AW437/(1+IFERROR(INDEX(AW$10:AW$11,Предпосылки!$I$219,),0))*IFERROR(INDEX(AW$10:AW$11,Предпосылки!$I$219,),0),AW460/(1+IFERROR(INDEX(AW$10:AW$11,Предпосылки!$I$220,),0))*IFERROR(INDEX(AW$10:AW$11,Предпосылки!$I$220,),0))</f>
        <v>0</v>
      </c>
      <c s="125">
        <f>SUM(AX23/(1+IFERROR(INDEX(AX$10:AX$11,Предпосылки!$I$201,),0))*IFERROR(INDEX(AX$10:AX$11,Предпосылки!$I$201,),0),AX46/(1+IFERROR(INDEX(AX$10:AX$11,Предпосылки!$I$202,),0))*IFERROR(INDEX(AX$10:AX$11,Предпосылки!$I$202,),0),AX69/(1+IFERROR(INDEX(AX$10:AX$11,Предпосылки!$I$203,),0))*IFERROR(INDEX(AX$10:AX$11,Предпосылки!$I$203,),0),AX92/(1+IFERROR(INDEX(AX$10:AX$11,Предпосылки!$I$204,),0))*IFERROR(INDEX(AX$10:AX$11,Предпосылки!$I$204,),0),AX115/(1+IFERROR(INDEX(AX$10:AX$11,Предпосылки!$I$205,),0))*IFERROR(INDEX(AX$10:AX$11,Предпосылки!$I$205,),0),AX138/(1+IFERROR(INDEX(AX$10:AX$11,Предпосылки!$I$206,),0))*IFERROR(INDEX(AX$10:AX$11,Предпосылки!$I$206,),0),AX161/(1+IFERROR(INDEX(AX$10:AX$11,Предпосылки!$I$207,),0))*IFERROR(INDEX(AX$10:AX$11,Предпосылки!$I$207,),0),AX184/(1+IFERROR(INDEX(AX$10:AX$11,Предпосылки!$I$208,),0))*IFERROR(INDEX(AX$10:AX$11,Предпосылки!$I$208,),0),AX207/(1+IFERROR(INDEX(AX$10:AX$11,Предпосылки!$I$209,),0))*IFERROR(INDEX(AX$10:AX$11,Предпосылки!$I$209,),0),AX230/(1+IFERROR(INDEX(AX$10:AX$11,Предпосылки!$I$210,),0))*IFERROR(INDEX(AX$10:AX$11,Предпосылки!$I$210,),0),AX253/(1+IFERROR(INDEX(AX$10:AX$11,Предпосылки!$I$211,),0))*IFERROR(INDEX(AX$10:AX$11,Предпосылки!$I$211,),0),AX276/(1+IFERROR(INDEX(AX$10:AX$11,Предпосылки!$I$212,),0))*IFERROR(INDEX(AX$10:AX$11,Предпосылки!$I$212,),0),AX299/(1+IFERROR(INDEX(AX$10:AX$11,Предпосылки!$I$213,),0))*IFERROR(INDEX(AX$10:AX$11,Предпосылки!$I$213,),0),AX322/(1+IFERROR(INDEX(AX$10:AX$11,Предпосылки!$I$214,),0))*IFERROR(INDEX(AX$10:AX$11,Предпосылки!$I$214,),0),AX345/(1+IFERROR(INDEX(AX$10:AX$11,Предпосылки!$I$215,),0))*IFERROR(INDEX(AX$10:AX$11,Предпосылки!$I$215,),0),AX368/(1+IFERROR(INDEX(AX$10:AX$11,Предпосылки!$I$216,),0))*IFERROR(INDEX(AX$10:AX$11,Предпосылки!$I$216,),0),AX391/(1+IFERROR(INDEX(AX$10:AX$11,Предпосылки!$I$217,),0))*IFERROR(INDEX(AX$10:AX$11,Предпосылки!$I$217,),0),AX414/(1+IFERROR(INDEX(AX$10:AX$11,Предпосылки!$I$218,),0))*IFERROR(INDEX(AX$10:AX$11,Предпосылки!$I$218,),0),AX437/(1+IFERROR(INDEX(AX$10:AX$11,Предпосылки!$I$219,),0))*IFERROR(INDEX(AX$10:AX$11,Предпосылки!$I$219,),0),AX460/(1+IFERROR(INDEX(AX$10:AX$11,Предпосылки!$I$220,),0))*IFERROR(INDEX(AX$10:AX$11,Предпосылки!$I$220,),0))</f>
        <v>0</v>
      </c>
      <c s="125">
        <f>SUM(AY23/(1+IFERROR(INDEX(AY$10:AY$11,Предпосылки!$I$201,),0))*IFERROR(INDEX(AY$10:AY$11,Предпосылки!$I$201,),0),AY46/(1+IFERROR(INDEX(AY$10:AY$11,Предпосылки!$I$202,),0))*IFERROR(INDEX(AY$10:AY$11,Предпосылки!$I$202,),0),AY69/(1+IFERROR(INDEX(AY$10:AY$11,Предпосылки!$I$203,),0))*IFERROR(INDEX(AY$10:AY$11,Предпосылки!$I$203,),0),AY92/(1+IFERROR(INDEX(AY$10:AY$11,Предпосылки!$I$204,),0))*IFERROR(INDEX(AY$10:AY$11,Предпосылки!$I$204,),0),AY115/(1+IFERROR(INDEX(AY$10:AY$11,Предпосылки!$I$205,),0))*IFERROR(INDEX(AY$10:AY$11,Предпосылки!$I$205,),0),AY138/(1+IFERROR(INDEX(AY$10:AY$11,Предпосылки!$I$206,),0))*IFERROR(INDEX(AY$10:AY$11,Предпосылки!$I$206,),0),AY161/(1+IFERROR(INDEX(AY$10:AY$11,Предпосылки!$I$207,),0))*IFERROR(INDEX(AY$10:AY$11,Предпосылки!$I$207,),0),AY184/(1+IFERROR(INDEX(AY$10:AY$11,Предпосылки!$I$208,),0))*IFERROR(INDEX(AY$10:AY$11,Предпосылки!$I$208,),0),AY207/(1+IFERROR(INDEX(AY$10:AY$11,Предпосылки!$I$209,),0))*IFERROR(INDEX(AY$10:AY$11,Предпосылки!$I$209,),0),AY230/(1+IFERROR(INDEX(AY$10:AY$11,Предпосылки!$I$210,),0))*IFERROR(INDEX(AY$10:AY$11,Предпосылки!$I$210,),0),AY253/(1+IFERROR(INDEX(AY$10:AY$11,Предпосылки!$I$211,),0))*IFERROR(INDEX(AY$10:AY$11,Предпосылки!$I$211,),0),AY276/(1+IFERROR(INDEX(AY$10:AY$11,Предпосылки!$I$212,),0))*IFERROR(INDEX(AY$10:AY$11,Предпосылки!$I$212,),0),AY299/(1+IFERROR(INDEX(AY$10:AY$11,Предпосылки!$I$213,),0))*IFERROR(INDEX(AY$10:AY$11,Предпосылки!$I$213,),0),AY322/(1+IFERROR(INDEX(AY$10:AY$11,Предпосылки!$I$214,),0))*IFERROR(INDEX(AY$10:AY$11,Предпосылки!$I$214,),0),AY345/(1+IFERROR(INDEX(AY$10:AY$11,Предпосылки!$I$215,),0))*IFERROR(INDEX(AY$10:AY$11,Предпосылки!$I$215,),0),AY368/(1+IFERROR(INDEX(AY$10:AY$11,Предпосылки!$I$216,),0))*IFERROR(INDEX(AY$10:AY$11,Предпосылки!$I$216,),0),AY391/(1+IFERROR(INDEX(AY$10:AY$11,Предпосылки!$I$217,),0))*IFERROR(INDEX(AY$10:AY$11,Предпосылки!$I$217,),0),AY414/(1+IFERROR(INDEX(AY$10:AY$11,Предпосылки!$I$218,),0))*IFERROR(INDEX(AY$10:AY$11,Предпосылки!$I$218,),0),AY437/(1+IFERROR(INDEX(AY$10:AY$11,Предпосылки!$I$219,),0))*IFERROR(INDEX(AY$10:AY$11,Предпосылки!$I$219,),0),AY460/(1+IFERROR(INDEX(AY$10:AY$11,Предпосылки!$I$220,),0))*IFERROR(INDEX(AY$10:AY$11,Предпосылки!$I$220,),0))</f>
        <v>0</v>
      </c>
      <c s="125">
        <f>SUM(AZ23/(1+IFERROR(INDEX(AZ$10:AZ$11,Предпосылки!$I$201,),0))*IFERROR(INDEX(AZ$10:AZ$11,Предпосылки!$I$201,),0),AZ46/(1+IFERROR(INDEX(AZ$10:AZ$11,Предпосылки!$I$202,),0))*IFERROR(INDEX(AZ$10:AZ$11,Предпосылки!$I$202,),0),AZ69/(1+IFERROR(INDEX(AZ$10:AZ$11,Предпосылки!$I$203,),0))*IFERROR(INDEX(AZ$10:AZ$11,Предпосылки!$I$203,),0),AZ92/(1+IFERROR(INDEX(AZ$10:AZ$11,Предпосылки!$I$204,),0))*IFERROR(INDEX(AZ$10:AZ$11,Предпосылки!$I$204,),0),AZ115/(1+IFERROR(INDEX(AZ$10:AZ$11,Предпосылки!$I$205,),0))*IFERROR(INDEX(AZ$10:AZ$11,Предпосылки!$I$205,),0),AZ138/(1+IFERROR(INDEX(AZ$10:AZ$11,Предпосылки!$I$206,),0))*IFERROR(INDEX(AZ$10:AZ$11,Предпосылки!$I$206,),0),AZ161/(1+IFERROR(INDEX(AZ$10:AZ$11,Предпосылки!$I$207,),0))*IFERROR(INDEX(AZ$10:AZ$11,Предпосылки!$I$207,),0),AZ184/(1+IFERROR(INDEX(AZ$10:AZ$11,Предпосылки!$I$208,),0))*IFERROR(INDEX(AZ$10:AZ$11,Предпосылки!$I$208,),0),AZ207/(1+IFERROR(INDEX(AZ$10:AZ$11,Предпосылки!$I$209,),0))*IFERROR(INDEX(AZ$10:AZ$11,Предпосылки!$I$209,),0),AZ230/(1+IFERROR(INDEX(AZ$10:AZ$11,Предпосылки!$I$210,),0))*IFERROR(INDEX(AZ$10:AZ$11,Предпосылки!$I$210,),0),AZ253/(1+IFERROR(INDEX(AZ$10:AZ$11,Предпосылки!$I$211,),0))*IFERROR(INDEX(AZ$10:AZ$11,Предпосылки!$I$211,),0),AZ276/(1+IFERROR(INDEX(AZ$10:AZ$11,Предпосылки!$I$212,),0))*IFERROR(INDEX(AZ$10:AZ$11,Предпосылки!$I$212,),0),AZ299/(1+IFERROR(INDEX(AZ$10:AZ$11,Предпосылки!$I$213,),0))*IFERROR(INDEX(AZ$10:AZ$11,Предпосылки!$I$213,),0),AZ322/(1+IFERROR(INDEX(AZ$10:AZ$11,Предпосылки!$I$214,),0))*IFERROR(INDEX(AZ$10:AZ$11,Предпосылки!$I$214,),0),AZ345/(1+IFERROR(INDEX(AZ$10:AZ$11,Предпосылки!$I$215,),0))*IFERROR(INDEX(AZ$10:AZ$11,Предпосылки!$I$215,),0),AZ368/(1+IFERROR(INDEX(AZ$10:AZ$11,Предпосылки!$I$216,),0))*IFERROR(INDEX(AZ$10:AZ$11,Предпосылки!$I$216,),0),AZ391/(1+IFERROR(INDEX(AZ$10:AZ$11,Предпосылки!$I$217,),0))*IFERROR(INDEX(AZ$10:AZ$11,Предпосылки!$I$217,),0),AZ414/(1+IFERROR(INDEX(AZ$10:AZ$11,Предпосылки!$I$218,),0))*IFERROR(INDEX(AZ$10:AZ$11,Предпосылки!$I$218,),0),AZ437/(1+IFERROR(INDEX(AZ$10:AZ$11,Предпосылки!$I$219,),0))*IFERROR(INDEX(AZ$10:AZ$11,Предпосылки!$I$219,),0),AZ460/(1+IFERROR(INDEX(AZ$10:AZ$11,Предпосылки!$I$220,),0))*IFERROR(INDEX(AZ$10:AZ$11,Предпосылки!$I$220,),0))</f>
        <v>0</v>
      </c>
      <c s="125">
        <f>SUM(BA23/(1+IFERROR(INDEX(BA$10:BA$11,Предпосылки!$I$201,),0))*IFERROR(INDEX(BA$10:BA$11,Предпосылки!$I$201,),0),BA46/(1+IFERROR(INDEX(BA$10:BA$11,Предпосылки!$I$202,),0))*IFERROR(INDEX(BA$10:BA$11,Предпосылки!$I$202,),0),BA69/(1+IFERROR(INDEX(BA$10:BA$11,Предпосылки!$I$203,),0))*IFERROR(INDEX(BA$10:BA$11,Предпосылки!$I$203,),0),BA92/(1+IFERROR(INDEX(BA$10:BA$11,Предпосылки!$I$204,),0))*IFERROR(INDEX(BA$10:BA$11,Предпосылки!$I$204,),0),BA115/(1+IFERROR(INDEX(BA$10:BA$11,Предпосылки!$I$205,),0))*IFERROR(INDEX(BA$10:BA$11,Предпосылки!$I$205,),0),BA138/(1+IFERROR(INDEX(BA$10:BA$11,Предпосылки!$I$206,),0))*IFERROR(INDEX(BA$10:BA$11,Предпосылки!$I$206,),0),BA161/(1+IFERROR(INDEX(BA$10:BA$11,Предпосылки!$I$207,),0))*IFERROR(INDEX(BA$10:BA$11,Предпосылки!$I$207,),0),BA184/(1+IFERROR(INDEX(BA$10:BA$11,Предпосылки!$I$208,),0))*IFERROR(INDEX(BA$10:BA$11,Предпосылки!$I$208,),0),BA207/(1+IFERROR(INDEX(BA$10:BA$11,Предпосылки!$I$209,),0))*IFERROR(INDEX(BA$10:BA$11,Предпосылки!$I$209,),0),BA230/(1+IFERROR(INDEX(BA$10:BA$11,Предпосылки!$I$210,),0))*IFERROR(INDEX(BA$10:BA$11,Предпосылки!$I$210,),0),BA253/(1+IFERROR(INDEX(BA$10:BA$11,Предпосылки!$I$211,),0))*IFERROR(INDEX(BA$10:BA$11,Предпосылки!$I$211,),0),BA276/(1+IFERROR(INDEX(BA$10:BA$11,Предпосылки!$I$212,),0))*IFERROR(INDEX(BA$10:BA$11,Предпосылки!$I$212,),0),BA299/(1+IFERROR(INDEX(BA$10:BA$11,Предпосылки!$I$213,),0))*IFERROR(INDEX(BA$10:BA$11,Предпосылки!$I$213,),0),BA322/(1+IFERROR(INDEX(BA$10:BA$11,Предпосылки!$I$214,),0))*IFERROR(INDEX(BA$10:BA$11,Предпосылки!$I$214,),0),BA345/(1+IFERROR(INDEX(BA$10:BA$11,Предпосылки!$I$215,),0))*IFERROR(INDEX(BA$10:BA$11,Предпосылки!$I$215,),0),BA368/(1+IFERROR(INDEX(BA$10:BA$11,Предпосылки!$I$216,),0))*IFERROR(INDEX(BA$10:BA$11,Предпосылки!$I$216,),0),BA391/(1+IFERROR(INDEX(BA$10:BA$11,Предпосылки!$I$217,),0))*IFERROR(INDEX(BA$10:BA$11,Предпосылки!$I$217,),0),BA414/(1+IFERROR(INDEX(BA$10:BA$11,Предпосылки!$I$218,),0))*IFERROR(INDEX(BA$10:BA$11,Предпосылки!$I$218,),0),BA437/(1+IFERROR(INDEX(BA$10:BA$11,Предпосылки!$I$219,),0))*IFERROR(INDEX(BA$10:BA$11,Предпосылки!$I$219,),0),BA460/(1+IFERROR(INDEX(BA$10:BA$11,Предпосылки!$I$220,),0))*IFERROR(INDEX(BA$10:BA$11,Предпосылки!$I$220,),0))</f>
        <v>0</v>
      </c>
      <c s="125">
        <f>SUM(BB23/(1+IFERROR(INDEX(BB$10:BB$11,Предпосылки!$I$201,),0))*IFERROR(INDEX(BB$10:BB$11,Предпосылки!$I$201,),0),BB46/(1+IFERROR(INDEX(BB$10:BB$11,Предпосылки!$I$202,),0))*IFERROR(INDEX(BB$10:BB$11,Предпосылки!$I$202,),0),BB69/(1+IFERROR(INDEX(BB$10:BB$11,Предпосылки!$I$203,),0))*IFERROR(INDEX(BB$10:BB$11,Предпосылки!$I$203,),0),BB92/(1+IFERROR(INDEX(BB$10:BB$11,Предпосылки!$I$204,),0))*IFERROR(INDEX(BB$10:BB$11,Предпосылки!$I$204,),0),BB115/(1+IFERROR(INDEX(BB$10:BB$11,Предпосылки!$I$205,),0))*IFERROR(INDEX(BB$10:BB$11,Предпосылки!$I$205,),0),BB138/(1+IFERROR(INDEX(BB$10:BB$11,Предпосылки!$I$206,),0))*IFERROR(INDEX(BB$10:BB$11,Предпосылки!$I$206,),0),BB161/(1+IFERROR(INDEX(BB$10:BB$11,Предпосылки!$I$207,),0))*IFERROR(INDEX(BB$10:BB$11,Предпосылки!$I$207,),0),BB184/(1+IFERROR(INDEX(BB$10:BB$11,Предпосылки!$I$208,),0))*IFERROR(INDEX(BB$10:BB$11,Предпосылки!$I$208,),0),BB207/(1+IFERROR(INDEX(BB$10:BB$11,Предпосылки!$I$209,),0))*IFERROR(INDEX(BB$10:BB$11,Предпосылки!$I$209,),0),BB230/(1+IFERROR(INDEX(BB$10:BB$11,Предпосылки!$I$210,),0))*IFERROR(INDEX(BB$10:BB$11,Предпосылки!$I$210,),0),BB253/(1+IFERROR(INDEX(BB$10:BB$11,Предпосылки!$I$211,),0))*IFERROR(INDEX(BB$10:BB$11,Предпосылки!$I$211,),0),BB276/(1+IFERROR(INDEX(BB$10:BB$11,Предпосылки!$I$212,),0))*IFERROR(INDEX(BB$10:BB$11,Предпосылки!$I$212,),0),BB299/(1+IFERROR(INDEX(BB$10:BB$11,Предпосылки!$I$213,),0))*IFERROR(INDEX(BB$10:BB$11,Предпосылки!$I$213,),0),BB322/(1+IFERROR(INDEX(BB$10:BB$11,Предпосылки!$I$214,),0))*IFERROR(INDEX(BB$10:BB$11,Предпосылки!$I$214,),0),BB345/(1+IFERROR(INDEX(BB$10:BB$11,Предпосылки!$I$215,),0))*IFERROR(INDEX(BB$10:BB$11,Предпосылки!$I$215,),0),BB368/(1+IFERROR(INDEX(BB$10:BB$11,Предпосылки!$I$216,),0))*IFERROR(INDEX(BB$10:BB$11,Предпосылки!$I$216,),0),BB391/(1+IFERROR(INDEX(BB$10:BB$11,Предпосылки!$I$217,),0))*IFERROR(INDEX(BB$10:BB$11,Предпосылки!$I$217,),0),BB414/(1+IFERROR(INDEX(BB$10:BB$11,Предпосылки!$I$218,),0))*IFERROR(INDEX(BB$10:BB$11,Предпосылки!$I$218,),0),BB437/(1+IFERROR(INDEX(BB$10:BB$11,Предпосылки!$I$219,),0))*IFERROR(INDEX(BB$10:BB$11,Предпосылки!$I$219,),0),BB460/(1+IFERROR(INDEX(BB$10:BB$11,Предпосылки!$I$220,),0))*IFERROR(INDEX(BB$10:BB$11,Предпосылки!$I$220,),0))</f>
        <v>0</v>
      </c>
      <c s="125">
        <f>SUM(BC23/(1+IFERROR(INDEX(BC$10:BC$11,Предпосылки!$I$201,),0))*IFERROR(INDEX(BC$10:BC$11,Предпосылки!$I$201,),0),BC46/(1+IFERROR(INDEX(BC$10:BC$11,Предпосылки!$I$202,),0))*IFERROR(INDEX(BC$10:BC$11,Предпосылки!$I$202,),0),BC69/(1+IFERROR(INDEX(BC$10:BC$11,Предпосылки!$I$203,),0))*IFERROR(INDEX(BC$10:BC$11,Предпосылки!$I$203,),0),BC92/(1+IFERROR(INDEX(BC$10:BC$11,Предпосылки!$I$204,),0))*IFERROR(INDEX(BC$10:BC$11,Предпосылки!$I$204,),0),BC115/(1+IFERROR(INDEX(BC$10:BC$11,Предпосылки!$I$205,),0))*IFERROR(INDEX(BC$10:BC$11,Предпосылки!$I$205,),0),BC138/(1+IFERROR(INDEX(BC$10:BC$11,Предпосылки!$I$206,),0))*IFERROR(INDEX(BC$10:BC$11,Предпосылки!$I$206,),0),BC161/(1+IFERROR(INDEX(BC$10:BC$11,Предпосылки!$I$207,),0))*IFERROR(INDEX(BC$10:BC$11,Предпосылки!$I$207,),0),BC184/(1+IFERROR(INDEX(BC$10:BC$11,Предпосылки!$I$208,),0))*IFERROR(INDEX(BC$10:BC$11,Предпосылки!$I$208,),0),BC207/(1+IFERROR(INDEX(BC$10:BC$11,Предпосылки!$I$209,),0))*IFERROR(INDEX(BC$10:BC$11,Предпосылки!$I$209,),0),BC230/(1+IFERROR(INDEX(BC$10:BC$11,Предпосылки!$I$210,),0))*IFERROR(INDEX(BC$10:BC$11,Предпосылки!$I$210,),0),BC253/(1+IFERROR(INDEX(BC$10:BC$11,Предпосылки!$I$211,),0))*IFERROR(INDEX(BC$10:BC$11,Предпосылки!$I$211,),0),BC276/(1+IFERROR(INDEX(BC$10:BC$11,Предпосылки!$I$212,),0))*IFERROR(INDEX(BC$10:BC$11,Предпосылки!$I$212,),0),BC299/(1+IFERROR(INDEX(BC$10:BC$11,Предпосылки!$I$213,),0))*IFERROR(INDEX(BC$10:BC$11,Предпосылки!$I$213,),0),BC322/(1+IFERROR(INDEX(BC$10:BC$11,Предпосылки!$I$214,),0))*IFERROR(INDEX(BC$10:BC$11,Предпосылки!$I$214,),0),BC345/(1+IFERROR(INDEX(BC$10:BC$11,Предпосылки!$I$215,),0))*IFERROR(INDEX(BC$10:BC$11,Предпосылки!$I$215,),0),BC368/(1+IFERROR(INDEX(BC$10:BC$11,Предпосылки!$I$216,),0))*IFERROR(INDEX(BC$10:BC$11,Предпосылки!$I$216,),0),BC391/(1+IFERROR(INDEX(BC$10:BC$11,Предпосылки!$I$217,),0))*IFERROR(INDEX(BC$10:BC$11,Предпосылки!$I$217,),0),BC414/(1+IFERROR(INDEX(BC$10:BC$11,Предпосылки!$I$218,),0))*IFERROR(INDEX(BC$10:BC$11,Предпосылки!$I$218,),0),BC437/(1+IFERROR(INDEX(BC$10:BC$11,Предпосылки!$I$219,),0))*IFERROR(INDEX(BC$10:BC$11,Предпосылки!$I$219,),0),BC460/(1+IFERROR(INDEX(BC$10:BC$11,Предпосылки!$I$220,),0))*IFERROR(INDEX(BC$10:BC$11,Предпосылки!$I$220,),0))</f>
        <v>0</v>
      </c>
      <c s="125">
        <f>SUM(BD23/(1+IFERROR(INDEX(BD$10:BD$11,Предпосылки!$I$201,),0))*IFERROR(INDEX(BD$10:BD$11,Предпосылки!$I$201,),0),BD46/(1+IFERROR(INDEX(BD$10:BD$11,Предпосылки!$I$202,),0))*IFERROR(INDEX(BD$10:BD$11,Предпосылки!$I$202,),0),BD69/(1+IFERROR(INDEX(BD$10:BD$11,Предпосылки!$I$203,),0))*IFERROR(INDEX(BD$10:BD$11,Предпосылки!$I$203,),0),BD92/(1+IFERROR(INDEX(BD$10:BD$11,Предпосылки!$I$204,),0))*IFERROR(INDEX(BD$10:BD$11,Предпосылки!$I$204,),0),BD115/(1+IFERROR(INDEX(BD$10:BD$11,Предпосылки!$I$205,),0))*IFERROR(INDEX(BD$10:BD$11,Предпосылки!$I$205,),0),BD138/(1+IFERROR(INDEX(BD$10:BD$11,Предпосылки!$I$206,),0))*IFERROR(INDEX(BD$10:BD$11,Предпосылки!$I$206,),0),BD161/(1+IFERROR(INDEX(BD$10:BD$11,Предпосылки!$I$207,),0))*IFERROR(INDEX(BD$10:BD$11,Предпосылки!$I$207,),0),BD184/(1+IFERROR(INDEX(BD$10:BD$11,Предпосылки!$I$208,),0))*IFERROR(INDEX(BD$10:BD$11,Предпосылки!$I$208,),0),BD207/(1+IFERROR(INDEX(BD$10:BD$11,Предпосылки!$I$209,),0))*IFERROR(INDEX(BD$10:BD$11,Предпосылки!$I$209,),0),BD230/(1+IFERROR(INDEX(BD$10:BD$11,Предпосылки!$I$210,),0))*IFERROR(INDEX(BD$10:BD$11,Предпосылки!$I$210,),0),BD253/(1+IFERROR(INDEX(BD$10:BD$11,Предпосылки!$I$211,),0))*IFERROR(INDEX(BD$10:BD$11,Предпосылки!$I$211,),0),BD276/(1+IFERROR(INDEX(BD$10:BD$11,Предпосылки!$I$212,),0))*IFERROR(INDEX(BD$10:BD$11,Предпосылки!$I$212,),0),BD299/(1+IFERROR(INDEX(BD$10:BD$11,Предпосылки!$I$213,),0))*IFERROR(INDEX(BD$10:BD$11,Предпосылки!$I$213,),0),BD322/(1+IFERROR(INDEX(BD$10:BD$11,Предпосылки!$I$214,),0))*IFERROR(INDEX(BD$10:BD$11,Предпосылки!$I$214,),0),BD345/(1+IFERROR(INDEX(BD$10:BD$11,Предпосылки!$I$215,),0))*IFERROR(INDEX(BD$10:BD$11,Предпосылки!$I$215,),0),BD368/(1+IFERROR(INDEX(BD$10:BD$11,Предпосылки!$I$216,),0))*IFERROR(INDEX(BD$10:BD$11,Предпосылки!$I$216,),0),BD391/(1+IFERROR(INDEX(BD$10:BD$11,Предпосылки!$I$217,),0))*IFERROR(INDEX(BD$10:BD$11,Предпосылки!$I$217,),0),BD414/(1+IFERROR(INDEX(BD$10:BD$11,Предпосылки!$I$218,),0))*IFERROR(INDEX(BD$10:BD$11,Предпосылки!$I$218,),0),BD437/(1+IFERROR(INDEX(BD$10:BD$11,Предпосылки!$I$219,),0))*IFERROR(INDEX(BD$10:BD$11,Предпосылки!$I$219,),0),BD460/(1+IFERROR(INDEX(BD$10:BD$11,Предпосылки!$I$220,),0))*IFERROR(INDEX(BD$10:BD$11,Предпосылки!$I$220,),0))</f>
        <v>0</v>
      </c>
      <c s="125">
        <f>SUM(BE23/(1+IFERROR(INDEX(BE$10:BE$11,Предпосылки!$I$201,),0))*IFERROR(INDEX(BE$10:BE$11,Предпосылки!$I$201,),0),BE46/(1+IFERROR(INDEX(BE$10:BE$11,Предпосылки!$I$202,),0))*IFERROR(INDEX(BE$10:BE$11,Предпосылки!$I$202,),0),BE69/(1+IFERROR(INDEX(BE$10:BE$11,Предпосылки!$I$203,),0))*IFERROR(INDEX(BE$10:BE$11,Предпосылки!$I$203,),0),BE92/(1+IFERROR(INDEX(BE$10:BE$11,Предпосылки!$I$204,),0))*IFERROR(INDEX(BE$10:BE$11,Предпосылки!$I$204,),0),BE115/(1+IFERROR(INDEX(BE$10:BE$11,Предпосылки!$I$205,),0))*IFERROR(INDEX(BE$10:BE$11,Предпосылки!$I$205,),0),BE138/(1+IFERROR(INDEX(BE$10:BE$11,Предпосылки!$I$206,),0))*IFERROR(INDEX(BE$10:BE$11,Предпосылки!$I$206,),0),BE161/(1+IFERROR(INDEX(BE$10:BE$11,Предпосылки!$I$207,),0))*IFERROR(INDEX(BE$10:BE$11,Предпосылки!$I$207,),0),BE184/(1+IFERROR(INDEX(BE$10:BE$11,Предпосылки!$I$208,),0))*IFERROR(INDEX(BE$10:BE$11,Предпосылки!$I$208,),0),BE207/(1+IFERROR(INDEX(BE$10:BE$11,Предпосылки!$I$209,),0))*IFERROR(INDEX(BE$10:BE$11,Предпосылки!$I$209,),0),BE230/(1+IFERROR(INDEX(BE$10:BE$11,Предпосылки!$I$210,),0))*IFERROR(INDEX(BE$10:BE$11,Предпосылки!$I$210,),0),BE253/(1+IFERROR(INDEX(BE$10:BE$11,Предпосылки!$I$211,),0))*IFERROR(INDEX(BE$10:BE$11,Предпосылки!$I$211,),0),BE276/(1+IFERROR(INDEX(BE$10:BE$11,Предпосылки!$I$212,),0))*IFERROR(INDEX(BE$10:BE$11,Предпосылки!$I$212,),0),BE299/(1+IFERROR(INDEX(BE$10:BE$11,Предпосылки!$I$213,),0))*IFERROR(INDEX(BE$10:BE$11,Предпосылки!$I$213,),0),BE322/(1+IFERROR(INDEX(BE$10:BE$11,Предпосылки!$I$214,),0))*IFERROR(INDEX(BE$10:BE$11,Предпосылки!$I$214,),0),BE345/(1+IFERROR(INDEX(BE$10:BE$11,Предпосылки!$I$215,),0))*IFERROR(INDEX(BE$10:BE$11,Предпосылки!$I$215,),0),BE368/(1+IFERROR(INDEX(BE$10:BE$11,Предпосылки!$I$216,),0))*IFERROR(INDEX(BE$10:BE$11,Предпосылки!$I$216,),0),BE391/(1+IFERROR(INDEX(BE$10:BE$11,Предпосылки!$I$217,),0))*IFERROR(INDEX(BE$10:BE$11,Предпосылки!$I$217,),0),BE414/(1+IFERROR(INDEX(BE$10:BE$11,Предпосылки!$I$218,),0))*IFERROR(INDEX(BE$10:BE$11,Предпосылки!$I$218,),0),BE437/(1+IFERROR(INDEX(BE$10:BE$11,Предпосылки!$I$219,),0))*IFERROR(INDEX(BE$10:BE$11,Предпосылки!$I$219,),0),BE460/(1+IFERROR(INDEX(BE$10:BE$11,Предпосылки!$I$220,),0))*IFERROR(INDEX(BE$10:BE$11,Предпосылки!$I$220,),0))</f>
        <v>0</v>
      </c>
      <c s="125">
        <f>SUM(BF23/(1+IFERROR(INDEX(BF$10:BF$11,Предпосылки!$I$201,),0))*IFERROR(INDEX(BF$10:BF$11,Предпосылки!$I$201,),0),BF46/(1+IFERROR(INDEX(BF$10:BF$11,Предпосылки!$I$202,),0))*IFERROR(INDEX(BF$10:BF$11,Предпосылки!$I$202,),0),BF69/(1+IFERROR(INDEX(BF$10:BF$11,Предпосылки!$I$203,),0))*IFERROR(INDEX(BF$10:BF$11,Предпосылки!$I$203,),0),BF92/(1+IFERROR(INDEX(BF$10:BF$11,Предпосылки!$I$204,),0))*IFERROR(INDEX(BF$10:BF$11,Предпосылки!$I$204,),0),BF115/(1+IFERROR(INDEX(BF$10:BF$11,Предпосылки!$I$205,),0))*IFERROR(INDEX(BF$10:BF$11,Предпосылки!$I$205,),0),BF138/(1+IFERROR(INDEX(BF$10:BF$11,Предпосылки!$I$206,),0))*IFERROR(INDEX(BF$10:BF$11,Предпосылки!$I$206,),0),BF161/(1+IFERROR(INDEX(BF$10:BF$11,Предпосылки!$I$207,),0))*IFERROR(INDEX(BF$10:BF$11,Предпосылки!$I$207,),0),BF184/(1+IFERROR(INDEX(BF$10:BF$11,Предпосылки!$I$208,),0))*IFERROR(INDEX(BF$10:BF$11,Предпосылки!$I$208,),0),BF207/(1+IFERROR(INDEX(BF$10:BF$11,Предпосылки!$I$209,),0))*IFERROR(INDEX(BF$10:BF$11,Предпосылки!$I$209,),0),BF230/(1+IFERROR(INDEX(BF$10:BF$11,Предпосылки!$I$210,),0))*IFERROR(INDEX(BF$10:BF$11,Предпосылки!$I$210,),0),BF253/(1+IFERROR(INDEX(BF$10:BF$11,Предпосылки!$I$211,),0))*IFERROR(INDEX(BF$10:BF$11,Предпосылки!$I$211,),0),BF276/(1+IFERROR(INDEX(BF$10:BF$11,Предпосылки!$I$212,),0))*IFERROR(INDEX(BF$10:BF$11,Предпосылки!$I$212,),0),BF299/(1+IFERROR(INDEX(BF$10:BF$11,Предпосылки!$I$213,),0))*IFERROR(INDEX(BF$10:BF$11,Предпосылки!$I$213,),0),BF322/(1+IFERROR(INDEX(BF$10:BF$11,Предпосылки!$I$214,),0))*IFERROR(INDEX(BF$10:BF$11,Предпосылки!$I$214,),0),BF345/(1+IFERROR(INDEX(BF$10:BF$11,Предпосылки!$I$215,),0))*IFERROR(INDEX(BF$10:BF$11,Предпосылки!$I$215,),0),BF368/(1+IFERROR(INDEX(BF$10:BF$11,Предпосылки!$I$216,),0))*IFERROR(INDEX(BF$10:BF$11,Предпосылки!$I$216,),0),BF391/(1+IFERROR(INDEX(BF$10:BF$11,Предпосылки!$I$217,),0))*IFERROR(INDEX(BF$10:BF$11,Предпосылки!$I$217,),0),BF414/(1+IFERROR(INDEX(BF$10:BF$11,Предпосылки!$I$218,),0))*IFERROR(INDEX(BF$10:BF$11,Предпосылки!$I$218,),0),BF437/(1+IFERROR(INDEX(BF$10:BF$11,Предпосылки!$I$219,),0))*IFERROR(INDEX(BF$10:BF$11,Предпосылки!$I$219,),0),BF460/(1+IFERROR(INDEX(BF$10:BF$11,Предпосылки!$I$220,),0))*IFERROR(INDEX(BF$10:BF$11,Предпосылки!$I$220,),0))</f>
        <v>0</v>
      </c>
      <c s="125">
        <f>SUM(BG23/(1+IFERROR(INDEX(BG$10:BG$11,Предпосылки!$I$201,),0))*IFERROR(INDEX(BG$10:BG$11,Предпосылки!$I$201,),0),BG46/(1+IFERROR(INDEX(BG$10:BG$11,Предпосылки!$I$202,),0))*IFERROR(INDEX(BG$10:BG$11,Предпосылки!$I$202,),0),BG69/(1+IFERROR(INDEX(BG$10:BG$11,Предпосылки!$I$203,),0))*IFERROR(INDEX(BG$10:BG$11,Предпосылки!$I$203,),0),BG92/(1+IFERROR(INDEX(BG$10:BG$11,Предпосылки!$I$204,),0))*IFERROR(INDEX(BG$10:BG$11,Предпосылки!$I$204,),0),BG115/(1+IFERROR(INDEX(BG$10:BG$11,Предпосылки!$I$205,),0))*IFERROR(INDEX(BG$10:BG$11,Предпосылки!$I$205,),0),BG138/(1+IFERROR(INDEX(BG$10:BG$11,Предпосылки!$I$206,),0))*IFERROR(INDEX(BG$10:BG$11,Предпосылки!$I$206,),0),BG161/(1+IFERROR(INDEX(BG$10:BG$11,Предпосылки!$I$207,),0))*IFERROR(INDEX(BG$10:BG$11,Предпосылки!$I$207,),0),BG184/(1+IFERROR(INDEX(BG$10:BG$11,Предпосылки!$I$208,),0))*IFERROR(INDEX(BG$10:BG$11,Предпосылки!$I$208,),0),BG207/(1+IFERROR(INDEX(BG$10:BG$11,Предпосылки!$I$209,),0))*IFERROR(INDEX(BG$10:BG$11,Предпосылки!$I$209,),0),BG230/(1+IFERROR(INDEX(BG$10:BG$11,Предпосылки!$I$210,),0))*IFERROR(INDEX(BG$10:BG$11,Предпосылки!$I$210,),0),BG253/(1+IFERROR(INDEX(BG$10:BG$11,Предпосылки!$I$211,),0))*IFERROR(INDEX(BG$10:BG$11,Предпосылки!$I$211,),0),BG276/(1+IFERROR(INDEX(BG$10:BG$11,Предпосылки!$I$212,),0))*IFERROR(INDEX(BG$10:BG$11,Предпосылки!$I$212,),0),BG299/(1+IFERROR(INDEX(BG$10:BG$11,Предпосылки!$I$213,),0))*IFERROR(INDEX(BG$10:BG$11,Предпосылки!$I$213,),0),BG322/(1+IFERROR(INDEX(BG$10:BG$11,Предпосылки!$I$214,),0))*IFERROR(INDEX(BG$10:BG$11,Предпосылки!$I$214,),0),BG345/(1+IFERROR(INDEX(BG$10:BG$11,Предпосылки!$I$215,),0))*IFERROR(INDEX(BG$10:BG$11,Предпосылки!$I$215,),0),BG368/(1+IFERROR(INDEX(BG$10:BG$11,Предпосылки!$I$216,),0))*IFERROR(INDEX(BG$10:BG$11,Предпосылки!$I$216,),0),BG391/(1+IFERROR(INDEX(BG$10:BG$11,Предпосылки!$I$217,),0))*IFERROR(INDEX(BG$10:BG$11,Предпосылки!$I$217,),0),BG414/(1+IFERROR(INDEX(BG$10:BG$11,Предпосылки!$I$218,),0))*IFERROR(INDEX(BG$10:BG$11,Предпосылки!$I$218,),0),BG437/(1+IFERROR(INDEX(BG$10:BG$11,Предпосылки!$I$219,),0))*IFERROR(INDEX(BG$10:BG$11,Предпосылки!$I$219,),0),BG460/(1+IFERROR(INDEX(BG$10:BG$11,Предпосылки!$I$220,),0))*IFERROR(INDEX(BG$10:BG$11,Предпосылки!$I$220,),0))</f>
        <v>0</v>
      </c>
      <c s="125">
        <f>SUM(BH23/(1+IFERROR(INDEX(BH$10:BH$11,Предпосылки!$I$201,),0))*IFERROR(INDEX(BH$10:BH$11,Предпосылки!$I$201,),0),BH46/(1+IFERROR(INDEX(BH$10:BH$11,Предпосылки!$I$202,),0))*IFERROR(INDEX(BH$10:BH$11,Предпосылки!$I$202,),0),BH69/(1+IFERROR(INDEX(BH$10:BH$11,Предпосылки!$I$203,),0))*IFERROR(INDEX(BH$10:BH$11,Предпосылки!$I$203,),0),BH92/(1+IFERROR(INDEX(BH$10:BH$11,Предпосылки!$I$204,),0))*IFERROR(INDEX(BH$10:BH$11,Предпосылки!$I$204,),0),BH115/(1+IFERROR(INDEX(BH$10:BH$11,Предпосылки!$I$205,),0))*IFERROR(INDEX(BH$10:BH$11,Предпосылки!$I$205,),0),BH138/(1+IFERROR(INDEX(BH$10:BH$11,Предпосылки!$I$206,),0))*IFERROR(INDEX(BH$10:BH$11,Предпосылки!$I$206,),0),BH161/(1+IFERROR(INDEX(BH$10:BH$11,Предпосылки!$I$207,),0))*IFERROR(INDEX(BH$10:BH$11,Предпосылки!$I$207,),0),BH184/(1+IFERROR(INDEX(BH$10:BH$11,Предпосылки!$I$208,),0))*IFERROR(INDEX(BH$10:BH$11,Предпосылки!$I$208,),0),BH207/(1+IFERROR(INDEX(BH$10:BH$11,Предпосылки!$I$209,),0))*IFERROR(INDEX(BH$10:BH$11,Предпосылки!$I$209,),0),BH230/(1+IFERROR(INDEX(BH$10:BH$11,Предпосылки!$I$210,),0))*IFERROR(INDEX(BH$10:BH$11,Предпосылки!$I$210,),0),BH253/(1+IFERROR(INDEX(BH$10:BH$11,Предпосылки!$I$211,),0))*IFERROR(INDEX(BH$10:BH$11,Предпосылки!$I$211,),0),BH276/(1+IFERROR(INDEX(BH$10:BH$11,Предпосылки!$I$212,),0))*IFERROR(INDEX(BH$10:BH$11,Предпосылки!$I$212,),0),BH299/(1+IFERROR(INDEX(BH$10:BH$11,Предпосылки!$I$213,),0))*IFERROR(INDEX(BH$10:BH$11,Предпосылки!$I$213,),0),BH322/(1+IFERROR(INDEX(BH$10:BH$11,Предпосылки!$I$214,),0))*IFERROR(INDEX(BH$10:BH$11,Предпосылки!$I$214,),0),BH345/(1+IFERROR(INDEX(BH$10:BH$11,Предпосылки!$I$215,),0))*IFERROR(INDEX(BH$10:BH$11,Предпосылки!$I$215,),0),BH368/(1+IFERROR(INDEX(BH$10:BH$11,Предпосылки!$I$216,),0))*IFERROR(INDEX(BH$10:BH$11,Предпосылки!$I$216,),0),BH391/(1+IFERROR(INDEX(BH$10:BH$11,Предпосылки!$I$217,),0))*IFERROR(INDEX(BH$10:BH$11,Предпосылки!$I$217,),0),BH414/(1+IFERROR(INDEX(BH$10:BH$11,Предпосылки!$I$218,),0))*IFERROR(INDEX(BH$10:BH$11,Предпосылки!$I$218,),0),BH437/(1+IFERROR(INDEX(BH$10:BH$11,Предпосылки!$I$219,),0))*IFERROR(INDEX(BH$10:BH$11,Предпосылки!$I$219,),0),BH460/(1+IFERROR(INDEX(BH$10:BH$11,Предпосылки!$I$220,),0))*IFERROR(INDEX(BH$10:BH$11,Предпосылки!$I$220,),0))</f>
        <v>0</v>
      </c>
      <c s="125">
        <f>SUM(BI23/(1+IFERROR(INDEX(BI$10:BI$11,Предпосылки!$I$201,),0))*IFERROR(INDEX(BI$10:BI$11,Предпосылки!$I$201,),0),BI46/(1+IFERROR(INDEX(BI$10:BI$11,Предпосылки!$I$202,),0))*IFERROR(INDEX(BI$10:BI$11,Предпосылки!$I$202,),0),BI69/(1+IFERROR(INDEX(BI$10:BI$11,Предпосылки!$I$203,),0))*IFERROR(INDEX(BI$10:BI$11,Предпосылки!$I$203,),0),BI92/(1+IFERROR(INDEX(BI$10:BI$11,Предпосылки!$I$204,),0))*IFERROR(INDEX(BI$10:BI$11,Предпосылки!$I$204,),0),BI115/(1+IFERROR(INDEX(BI$10:BI$11,Предпосылки!$I$205,),0))*IFERROR(INDEX(BI$10:BI$11,Предпосылки!$I$205,),0),BI138/(1+IFERROR(INDEX(BI$10:BI$11,Предпосылки!$I$206,),0))*IFERROR(INDEX(BI$10:BI$11,Предпосылки!$I$206,),0),BI161/(1+IFERROR(INDEX(BI$10:BI$11,Предпосылки!$I$207,),0))*IFERROR(INDEX(BI$10:BI$11,Предпосылки!$I$207,),0),BI184/(1+IFERROR(INDEX(BI$10:BI$11,Предпосылки!$I$208,),0))*IFERROR(INDEX(BI$10:BI$11,Предпосылки!$I$208,),0),BI207/(1+IFERROR(INDEX(BI$10:BI$11,Предпосылки!$I$209,),0))*IFERROR(INDEX(BI$10:BI$11,Предпосылки!$I$209,),0),BI230/(1+IFERROR(INDEX(BI$10:BI$11,Предпосылки!$I$210,),0))*IFERROR(INDEX(BI$10:BI$11,Предпосылки!$I$210,),0),BI253/(1+IFERROR(INDEX(BI$10:BI$11,Предпосылки!$I$211,),0))*IFERROR(INDEX(BI$10:BI$11,Предпосылки!$I$211,),0),BI276/(1+IFERROR(INDEX(BI$10:BI$11,Предпосылки!$I$212,),0))*IFERROR(INDEX(BI$10:BI$11,Предпосылки!$I$212,),0),BI299/(1+IFERROR(INDEX(BI$10:BI$11,Предпосылки!$I$213,),0))*IFERROR(INDEX(BI$10:BI$11,Предпосылки!$I$213,),0),BI322/(1+IFERROR(INDEX(BI$10:BI$11,Предпосылки!$I$214,),0))*IFERROR(INDEX(BI$10:BI$11,Предпосылки!$I$214,),0),BI345/(1+IFERROR(INDEX(BI$10:BI$11,Предпосылки!$I$215,),0))*IFERROR(INDEX(BI$10:BI$11,Предпосылки!$I$215,),0),BI368/(1+IFERROR(INDEX(BI$10:BI$11,Предпосылки!$I$216,),0))*IFERROR(INDEX(BI$10:BI$11,Предпосылки!$I$216,),0),BI391/(1+IFERROR(INDEX(BI$10:BI$11,Предпосылки!$I$217,),0))*IFERROR(INDEX(BI$10:BI$11,Предпосылки!$I$217,),0),BI414/(1+IFERROR(INDEX(BI$10:BI$11,Предпосылки!$I$218,),0))*IFERROR(INDEX(BI$10:BI$11,Предпосылки!$I$218,),0),BI437/(1+IFERROR(INDEX(BI$10:BI$11,Предпосылки!$I$219,),0))*IFERROR(INDEX(BI$10:BI$11,Предпосылки!$I$219,),0),BI460/(1+IFERROR(INDEX(BI$10:BI$11,Предпосылки!$I$220,),0))*IFERROR(INDEX(BI$10:BI$11,Предпосылки!$I$220,),0))</f>
        <v>0</v>
      </c>
      <c s="125">
        <f>SUM(BJ23/(1+IFERROR(INDEX(BJ$10:BJ$11,Предпосылки!$I$201,),0))*IFERROR(INDEX(BJ$10:BJ$11,Предпосылки!$I$201,),0),BJ46/(1+IFERROR(INDEX(BJ$10:BJ$11,Предпосылки!$I$202,),0))*IFERROR(INDEX(BJ$10:BJ$11,Предпосылки!$I$202,),0),BJ69/(1+IFERROR(INDEX(BJ$10:BJ$11,Предпосылки!$I$203,),0))*IFERROR(INDEX(BJ$10:BJ$11,Предпосылки!$I$203,),0),BJ92/(1+IFERROR(INDEX(BJ$10:BJ$11,Предпосылки!$I$204,),0))*IFERROR(INDEX(BJ$10:BJ$11,Предпосылки!$I$204,),0),BJ115/(1+IFERROR(INDEX(BJ$10:BJ$11,Предпосылки!$I$205,),0))*IFERROR(INDEX(BJ$10:BJ$11,Предпосылки!$I$205,),0),BJ138/(1+IFERROR(INDEX(BJ$10:BJ$11,Предпосылки!$I$206,),0))*IFERROR(INDEX(BJ$10:BJ$11,Предпосылки!$I$206,),0),BJ161/(1+IFERROR(INDEX(BJ$10:BJ$11,Предпосылки!$I$207,),0))*IFERROR(INDEX(BJ$10:BJ$11,Предпосылки!$I$207,),0),BJ184/(1+IFERROR(INDEX(BJ$10:BJ$11,Предпосылки!$I$208,),0))*IFERROR(INDEX(BJ$10:BJ$11,Предпосылки!$I$208,),0),BJ207/(1+IFERROR(INDEX(BJ$10:BJ$11,Предпосылки!$I$209,),0))*IFERROR(INDEX(BJ$10:BJ$11,Предпосылки!$I$209,),0),BJ230/(1+IFERROR(INDEX(BJ$10:BJ$11,Предпосылки!$I$210,),0))*IFERROR(INDEX(BJ$10:BJ$11,Предпосылки!$I$210,),0),BJ253/(1+IFERROR(INDEX(BJ$10:BJ$11,Предпосылки!$I$211,),0))*IFERROR(INDEX(BJ$10:BJ$11,Предпосылки!$I$211,),0),BJ276/(1+IFERROR(INDEX(BJ$10:BJ$11,Предпосылки!$I$212,),0))*IFERROR(INDEX(BJ$10:BJ$11,Предпосылки!$I$212,),0),BJ299/(1+IFERROR(INDEX(BJ$10:BJ$11,Предпосылки!$I$213,),0))*IFERROR(INDEX(BJ$10:BJ$11,Предпосылки!$I$213,),0),BJ322/(1+IFERROR(INDEX(BJ$10:BJ$11,Предпосылки!$I$214,),0))*IFERROR(INDEX(BJ$10:BJ$11,Предпосылки!$I$214,),0),BJ345/(1+IFERROR(INDEX(BJ$10:BJ$11,Предпосылки!$I$215,),0))*IFERROR(INDEX(BJ$10:BJ$11,Предпосылки!$I$215,),0),BJ368/(1+IFERROR(INDEX(BJ$10:BJ$11,Предпосылки!$I$216,),0))*IFERROR(INDEX(BJ$10:BJ$11,Предпосылки!$I$216,),0),BJ391/(1+IFERROR(INDEX(BJ$10:BJ$11,Предпосылки!$I$217,),0))*IFERROR(INDEX(BJ$10:BJ$11,Предпосылки!$I$217,),0),BJ414/(1+IFERROR(INDEX(BJ$10:BJ$11,Предпосылки!$I$218,),0))*IFERROR(INDEX(BJ$10:BJ$11,Предпосылки!$I$218,),0),BJ437/(1+IFERROR(INDEX(BJ$10:BJ$11,Предпосылки!$I$219,),0))*IFERROR(INDEX(BJ$10:BJ$11,Предпосылки!$I$219,),0),BJ460/(1+IFERROR(INDEX(BJ$10:BJ$11,Предпосылки!$I$220,),0))*IFERROR(INDEX(BJ$10:BJ$11,Предпосылки!$I$220,),0))</f>
        <v>0</v>
      </c>
      <c s="125">
        <f>SUM(BK23/(1+IFERROR(INDEX(BK$10:BK$11,Предпосылки!$I$201,),0))*IFERROR(INDEX(BK$10:BK$11,Предпосылки!$I$201,),0),BK46/(1+IFERROR(INDEX(BK$10:BK$11,Предпосылки!$I$202,),0))*IFERROR(INDEX(BK$10:BK$11,Предпосылки!$I$202,),0),BK69/(1+IFERROR(INDEX(BK$10:BK$11,Предпосылки!$I$203,),0))*IFERROR(INDEX(BK$10:BK$11,Предпосылки!$I$203,),0),BK92/(1+IFERROR(INDEX(BK$10:BK$11,Предпосылки!$I$204,),0))*IFERROR(INDEX(BK$10:BK$11,Предпосылки!$I$204,),0),BK115/(1+IFERROR(INDEX(BK$10:BK$11,Предпосылки!$I$205,),0))*IFERROR(INDEX(BK$10:BK$11,Предпосылки!$I$205,),0),BK138/(1+IFERROR(INDEX(BK$10:BK$11,Предпосылки!$I$206,),0))*IFERROR(INDEX(BK$10:BK$11,Предпосылки!$I$206,),0),BK161/(1+IFERROR(INDEX(BK$10:BK$11,Предпосылки!$I$207,),0))*IFERROR(INDEX(BK$10:BK$11,Предпосылки!$I$207,),0),BK184/(1+IFERROR(INDEX(BK$10:BK$11,Предпосылки!$I$208,),0))*IFERROR(INDEX(BK$10:BK$11,Предпосылки!$I$208,),0),BK207/(1+IFERROR(INDEX(BK$10:BK$11,Предпосылки!$I$209,),0))*IFERROR(INDEX(BK$10:BK$11,Предпосылки!$I$209,),0),BK230/(1+IFERROR(INDEX(BK$10:BK$11,Предпосылки!$I$210,),0))*IFERROR(INDEX(BK$10:BK$11,Предпосылки!$I$210,),0),BK253/(1+IFERROR(INDEX(BK$10:BK$11,Предпосылки!$I$211,),0))*IFERROR(INDEX(BK$10:BK$11,Предпосылки!$I$211,),0),BK276/(1+IFERROR(INDEX(BK$10:BK$11,Предпосылки!$I$212,),0))*IFERROR(INDEX(BK$10:BK$11,Предпосылки!$I$212,),0),BK299/(1+IFERROR(INDEX(BK$10:BK$11,Предпосылки!$I$213,),0))*IFERROR(INDEX(BK$10:BK$11,Предпосылки!$I$213,),0),BK322/(1+IFERROR(INDEX(BK$10:BK$11,Предпосылки!$I$214,),0))*IFERROR(INDEX(BK$10:BK$11,Предпосылки!$I$214,),0),BK345/(1+IFERROR(INDEX(BK$10:BK$11,Предпосылки!$I$215,),0))*IFERROR(INDEX(BK$10:BK$11,Предпосылки!$I$215,),0),BK368/(1+IFERROR(INDEX(BK$10:BK$11,Предпосылки!$I$216,),0))*IFERROR(INDEX(BK$10:BK$11,Предпосылки!$I$216,),0),BK391/(1+IFERROR(INDEX(BK$10:BK$11,Предпосылки!$I$217,),0))*IFERROR(INDEX(BK$10:BK$11,Предпосылки!$I$217,),0),BK414/(1+IFERROR(INDEX(BK$10:BK$11,Предпосылки!$I$218,),0))*IFERROR(INDEX(BK$10:BK$11,Предпосылки!$I$218,),0),BK437/(1+IFERROR(INDEX(BK$10:BK$11,Предпосылки!$I$219,),0))*IFERROR(INDEX(BK$10:BK$11,Предпосылки!$I$219,),0),BK460/(1+IFERROR(INDEX(BK$10:BK$11,Предпосылки!$I$220,),0))*IFERROR(INDEX(BK$10:BK$11,Предпосылки!$I$220,),0))</f>
        <v>0</v>
      </c>
      <c s="125">
        <f>SUM(BL23/(1+IFERROR(INDEX(BL$10:BL$11,Предпосылки!$I$201,),0))*IFERROR(INDEX(BL$10:BL$11,Предпосылки!$I$201,),0),BL46/(1+IFERROR(INDEX(BL$10:BL$11,Предпосылки!$I$202,),0))*IFERROR(INDEX(BL$10:BL$11,Предпосылки!$I$202,),0),BL69/(1+IFERROR(INDEX(BL$10:BL$11,Предпосылки!$I$203,),0))*IFERROR(INDEX(BL$10:BL$11,Предпосылки!$I$203,),0),BL92/(1+IFERROR(INDEX(BL$10:BL$11,Предпосылки!$I$204,),0))*IFERROR(INDEX(BL$10:BL$11,Предпосылки!$I$204,),0),BL115/(1+IFERROR(INDEX(BL$10:BL$11,Предпосылки!$I$205,),0))*IFERROR(INDEX(BL$10:BL$11,Предпосылки!$I$205,),0),BL138/(1+IFERROR(INDEX(BL$10:BL$11,Предпосылки!$I$206,),0))*IFERROR(INDEX(BL$10:BL$11,Предпосылки!$I$206,),0),BL161/(1+IFERROR(INDEX(BL$10:BL$11,Предпосылки!$I$207,),0))*IFERROR(INDEX(BL$10:BL$11,Предпосылки!$I$207,),0),BL184/(1+IFERROR(INDEX(BL$10:BL$11,Предпосылки!$I$208,),0))*IFERROR(INDEX(BL$10:BL$11,Предпосылки!$I$208,),0),BL207/(1+IFERROR(INDEX(BL$10:BL$11,Предпосылки!$I$209,),0))*IFERROR(INDEX(BL$10:BL$11,Предпосылки!$I$209,),0),BL230/(1+IFERROR(INDEX(BL$10:BL$11,Предпосылки!$I$210,),0))*IFERROR(INDEX(BL$10:BL$11,Предпосылки!$I$210,),0),BL253/(1+IFERROR(INDEX(BL$10:BL$11,Предпосылки!$I$211,),0))*IFERROR(INDEX(BL$10:BL$11,Предпосылки!$I$211,),0),BL276/(1+IFERROR(INDEX(BL$10:BL$11,Предпосылки!$I$212,),0))*IFERROR(INDEX(BL$10:BL$11,Предпосылки!$I$212,),0),BL299/(1+IFERROR(INDEX(BL$10:BL$11,Предпосылки!$I$213,),0))*IFERROR(INDEX(BL$10:BL$11,Предпосылки!$I$213,),0),BL322/(1+IFERROR(INDEX(BL$10:BL$11,Предпосылки!$I$214,),0))*IFERROR(INDEX(BL$10:BL$11,Предпосылки!$I$214,),0),BL345/(1+IFERROR(INDEX(BL$10:BL$11,Предпосылки!$I$215,),0))*IFERROR(INDEX(BL$10:BL$11,Предпосылки!$I$215,),0),BL368/(1+IFERROR(INDEX(BL$10:BL$11,Предпосылки!$I$216,),0))*IFERROR(INDEX(BL$10:BL$11,Предпосылки!$I$216,),0),BL391/(1+IFERROR(INDEX(BL$10:BL$11,Предпосылки!$I$217,),0))*IFERROR(INDEX(BL$10:BL$11,Предпосылки!$I$217,),0),BL414/(1+IFERROR(INDEX(BL$10:BL$11,Предпосылки!$I$218,),0))*IFERROR(INDEX(BL$10:BL$11,Предпосылки!$I$218,),0),BL437/(1+IFERROR(INDEX(BL$10:BL$11,Предпосылки!$I$219,),0))*IFERROR(INDEX(BL$10:BL$11,Предпосылки!$I$219,),0),BL460/(1+IFERROR(INDEX(BL$10:BL$11,Предпосылки!$I$220,),0))*IFERROR(INDEX(BL$10:BL$11,Предпосылки!$I$220,),0))</f>
        <v>0</v>
      </c>
      <c s="125">
        <f>SUM(BM23/(1+IFERROR(INDEX(BM$10:BM$11,Предпосылки!$I$201,),0))*IFERROR(INDEX(BM$10:BM$11,Предпосылки!$I$201,),0),BM46/(1+IFERROR(INDEX(BM$10:BM$11,Предпосылки!$I$202,),0))*IFERROR(INDEX(BM$10:BM$11,Предпосылки!$I$202,),0),BM69/(1+IFERROR(INDEX(BM$10:BM$11,Предпосылки!$I$203,),0))*IFERROR(INDEX(BM$10:BM$11,Предпосылки!$I$203,),0),BM92/(1+IFERROR(INDEX(BM$10:BM$11,Предпосылки!$I$204,),0))*IFERROR(INDEX(BM$10:BM$11,Предпосылки!$I$204,),0),BM115/(1+IFERROR(INDEX(BM$10:BM$11,Предпосылки!$I$205,),0))*IFERROR(INDEX(BM$10:BM$11,Предпосылки!$I$205,),0),BM138/(1+IFERROR(INDEX(BM$10:BM$11,Предпосылки!$I$206,),0))*IFERROR(INDEX(BM$10:BM$11,Предпосылки!$I$206,),0),BM161/(1+IFERROR(INDEX(BM$10:BM$11,Предпосылки!$I$207,),0))*IFERROR(INDEX(BM$10:BM$11,Предпосылки!$I$207,),0),BM184/(1+IFERROR(INDEX(BM$10:BM$11,Предпосылки!$I$208,),0))*IFERROR(INDEX(BM$10:BM$11,Предпосылки!$I$208,),0),BM207/(1+IFERROR(INDEX(BM$10:BM$11,Предпосылки!$I$209,),0))*IFERROR(INDEX(BM$10:BM$11,Предпосылки!$I$209,),0),BM230/(1+IFERROR(INDEX(BM$10:BM$11,Предпосылки!$I$210,),0))*IFERROR(INDEX(BM$10:BM$11,Предпосылки!$I$210,),0),BM253/(1+IFERROR(INDEX(BM$10:BM$11,Предпосылки!$I$211,),0))*IFERROR(INDEX(BM$10:BM$11,Предпосылки!$I$211,),0),BM276/(1+IFERROR(INDEX(BM$10:BM$11,Предпосылки!$I$212,),0))*IFERROR(INDEX(BM$10:BM$11,Предпосылки!$I$212,),0),BM299/(1+IFERROR(INDEX(BM$10:BM$11,Предпосылки!$I$213,),0))*IFERROR(INDEX(BM$10:BM$11,Предпосылки!$I$213,),0),BM322/(1+IFERROR(INDEX(BM$10:BM$11,Предпосылки!$I$214,),0))*IFERROR(INDEX(BM$10:BM$11,Предпосылки!$I$214,),0),BM345/(1+IFERROR(INDEX(BM$10:BM$11,Предпосылки!$I$215,),0))*IFERROR(INDEX(BM$10:BM$11,Предпосылки!$I$215,),0),BM368/(1+IFERROR(INDEX(BM$10:BM$11,Предпосылки!$I$216,),0))*IFERROR(INDEX(BM$10:BM$11,Предпосылки!$I$216,),0),BM391/(1+IFERROR(INDEX(BM$10:BM$11,Предпосылки!$I$217,),0))*IFERROR(INDEX(BM$10:BM$11,Предпосылки!$I$217,),0),BM414/(1+IFERROR(INDEX(BM$10:BM$11,Предпосылки!$I$218,),0))*IFERROR(INDEX(BM$10:BM$11,Предпосылки!$I$218,),0),BM437/(1+IFERROR(INDEX(BM$10:BM$11,Предпосылки!$I$219,),0))*IFERROR(INDEX(BM$10:BM$11,Предпосылки!$I$219,),0),BM460/(1+IFERROR(INDEX(BM$10:BM$11,Предпосылки!$I$220,),0))*IFERROR(INDEX(BM$10:BM$11,Предпосылки!$I$220,),0))</f>
        <v>0</v>
      </c>
    </row>
    <row r="555" spans="2:65" ht="15" customHeight="1">
      <c r="B555" s="12" t="str">
        <f t="shared" si="255" ref="B555:B573">B508</f>
        <v>Продукт 2</v>
      </c>
      <c s="124" t="str">
        <f t="shared" si="254"/>
        <v>тыс. руб.</v>
      </c>
      <c s="276">
        <f t="shared" si="256" ref="D555:D573">SUM(E555:BM555)</f>
        <v>0</v>
      </c>
      <c s="125">
        <f>SUM(E24/(1+IFERROR(INDEX(E$10:E$11,Предпосылки!$I202,),0))*IFERROR(INDEX(E$10:E$11,Предпосылки!$I202,),0),E47/(1+IFERROR(INDEX(E$10:E$11,Предпосылки!$I203,),0))*IFERROR(INDEX(E$10:E$11,Предпосылки!$I203,),0),E70/(1+IFERROR(INDEX(E$10:E$11,Предпосылки!$I204,),0))*IFERROR(INDEX(E$10:E$11,Предпосылки!$I204,),0),E93/(1+IFERROR(INDEX(E$10:E$11,Предпосылки!$I205,),0))*IFERROR(INDEX(E$10:E$11,Предпосылки!$I205,),0),E116/(1+IFERROR(INDEX(E$10:E$11,Предпосылки!$I206,),0))*IFERROR(INDEX(E$10:E$11,Предпосылки!$I206,),0),E139/(1+IFERROR(INDEX(E$10:E$11,Предпосылки!$I207,),0))*IFERROR(INDEX(E$10:E$11,Предпосылки!$I207,),0),E162/(1+IFERROR(INDEX(E$10:E$11,Предпосылки!$I208,),0))*IFERROR(INDEX(E$10:E$11,Предпосылки!$I208,),0),E185/(1+IFERROR(INDEX(E$10:E$11,Предпосылки!$I209,),0))*IFERROR(INDEX(E$10:E$11,Предпосылки!$I209,),0),E208/(1+IFERROR(INDEX(E$10:E$11,Предпосылки!$I210,),0))*IFERROR(INDEX(E$10:E$11,Предпосылки!$I210,),0),E231/(1+IFERROR(INDEX(E$10:E$11,Предпосылки!$I211,),0))*IFERROR(INDEX(E$10:E$11,Предпосылки!$I211,),0),E254/(1+IFERROR(INDEX(E$10:E$11,Предпосылки!$I212,),0))*IFERROR(INDEX(E$10:E$11,Предпосылки!$I212,),0),E277/(1+IFERROR(INDEX(E$10:E$11,Предпосылки!$I213,),0))*IFERROR(INDEX(E$10:E$11,Предпосылки!$I213,),0),E300/(1+IFERROR(INDEX(E$10:E$11,Предпосылки!$I214,),0))*IFERROR(INDEX(E$10:E$11,Предпосылки!$I214,),0),E323/(1+IFERROR(INDEX(E$10:E$11,Предпосылки!$I215,),0))*IFERROR(INDEX(E$10:E$11,Предпосылки!$I215,),0),E346/(1+IFERROR(INDEX(E$10:E$11,Предпосылки!$I216,),0))*IFERROR(INDEX(E$10:E$11,Предпосылки!$I216,),0),E369/(1+IFERROR(INDEX(E$10:E$11,Предпосылки!$I217,),0))*IFERROR(INDEX(E$10:E$11,Предпосылки!$I217,),0),E392/(1+IFERROR(INDEX(E$10:E$11,Предпосылки!$I218,),0))*IFERROR(INDEX(E$10:E$11,Предпосылки!$I218,),0),E415/(1+IFERROR(INDEX(E$10:E$11,Предпосылки!$I219,),0))*IFERROR(INDEX(E$10:E$11,Предпосылки!$I219,),0),E438/(1+IFERROR(INDEX(E$10:E$11,Предпосылки!$I220,),0))*IFERROR(INDEX(E$10:E$11,Предпосылки!$I220,),0),E461/(1+IFERROR(INDEX(E$10:E$11,Предпосылки!$I221,),0))*IFERROR(INDEX(E$10:E$11,Предпосылки!$I221,),0))</f>
        <v>0</v>
      </c>
      <c s="125">
        <f>SUM(F24/(1+IFERROR(INDEX(F$10:F$11,Предпосылки!$I$201,),0))*IFERROR(INDEX(F$10:F$11,Предпосылки!$I$201,),0),F47/(1+IFERROR(INDEX(F$10:F$11,Предпосылки!$I$202,),0))*IFERROR(INDEX(F$10:F$11,Предпосылки!$I$202,),0),F70/(1+IFERROR(INDEX(F$10:F$11,Предпосылки!$I$203,),0))*IFERROR(INDEX(F$10:F$11,Предпосылки!$I$203,),0),F93/(1+IFERROR(INDEX(F$10:F$11,Предпосылки!$I$204,),0))*IFERROR(INDEX(F$10:F$11,Предпосылки!$I$204,),0),F116/(1+IFERROR(INDEX(F$10:F$11,Предпосылки!$I$205,),0))*IFERROR(INDEX(F$10:F$11,Предпосылки!$I$205,),0),F139/(1+IFERROR(INDEX(F$10:F$11,Предпосылки!$I$206,),0))*IFERROR(INDEX(F$10:F$11,Предпосылки!$I$206,),0),F162/(1+IFERROR(INDEX(F$10:F$11,Предпосылки!$I$207,),0))*IFERROR(INDEX(F$10:F$11,Предпосылки!$I$207,),0),F185/(1+IFERROR(INDEX(F$10:F$11,Предпосылки!$I$208,),0))*IFERROR(INDEX(F$10:F$11,Предпосылки!$I$208,),0),F208/(1+IFERROR(INDEX(F$10:F$11,Предпосылки!$I$209,),0))*IFERROR(INDEX(F$10:F$11,Предпосылки!$I$209,),0),F231/(1+IFERROR(INDEX(F$10:F$11,Предпосылки!$I$210,),0))*IFERROR(INDEX(F$10:F$11,Предпосылки!$I$210,),0),F254/(1+IFERROR(INDEX(F$10:F$11,Предпосылки!$I$211,),0))*IFERROR(INDEX(F$10:F$11,Предпосылки!$I$211,),0),F277/(1+IFERROR(INDEX(F$10:F$11,Предпосылки!$I$212,),0))*IFERROR(INDEX(F$10:F$11,Предпосылки!$I$212,),0),F300/(1+IFERROR(INDEX(F$10:F$11,Предпосылки!$I$213,),0))*IFERROR(INDEX(F$10:F$11,Предпосылки!$I$213,),0),F323/(1+IFERROR(INDEX(F$10:F$11,Предпосылки!$I$214,),0))*IFERROR(INDEX(F$10:F$11,Предпосылки!$I$214,),0),F346/(1+IFERROR(INDEX(F$10:F$11,Предпосылки!$I$215,),0))*IFERROR(INDEX(F$10:F$11,Предпосылки!$I$215,),0),F369/(1+IFERROR(INDEX(F$10:F$11,Предпосылки!$I$216,),0))*IFERROR(INDEX(F$10:F$11,Предпосылки!$I$216,),0),F392/(1+IFERROR(INDEX(F$10:F$11,Предпосылки!$I$217,),0))*IFERROR(INDEX(F$10:F$11,Предпосылки!$I$217,),0),F415/(1+IFERROR(INDEX(F$10:F$11,Предпосылки!$I$218,),0))*IFERROR(INDEX(F$10:F$11,Предпосылки!$I$218,),0),F438/(1+IFERROR(INDEX(F$10:F$11,Предпосылки!$I$219,),0))*IFERROR(INDEX(F$10:F$11,Предпосылки!$I$219,),0),F461/(1+IFERROR(INDEX(F$10:F$11,Предпосылки!$I$220,),0))*IFERROR(INDEX(F$10:F$11,Предпосылки!$I$220,),0))</f>
        <v>0</v>
      </c>
      <c s="125">
        <f>SUM(G24/(1+IFERROR(INDEX(G$10:G$11,Предпосылки!$I$201,),0))*IFERROR(INDEX(G$10:G$11,Предпосылки!$I$201,),0),G47/(1+IFERROR(INDEX(G$10:G$11,Предпосылки!$I$202,),0))*IFERROR(INDEX(G$10:G$11,Предпосылки!$I$202,),0),G70/(1+IFERROR(INDEX(G$10:G$11,Предпосылки!$I$203,),0))*IFERROR(INDEX(G$10:G$11,Предпосылки!$I$203,),0),G93/(1+IFERROR(INDEX(G$10:G$11,Предпосылки!$I$204,),0))*IFERROR(INDEX(G$10:G$11,Предпосылки!$I$204,),0),G116/(1+IFERROR(INDEX(G$10:G$11,Предпосылки!$I$205,),0))*IFERROR(INDEX(G$10:G$11,Предпосылки!$I$205,),0),G139/(1+IFERROR(INDEX(G$10:G$11,Предпосылки!$I$206,),0))*IFERROR(INDEX(G$10:G$11,Предпосылки!$I$206,),0),G162/(1+IFERROR(INDEX(G$10:G$11,Предпосылки!$I$207,),0))*IFERROR(INDEX(G$10:G$11,Предпосылки!$I$207,),0),G185/(1+IFERROR(INDEX(G$10:G$11,Предпосылки!$I$208,),0))*IFERROR(INDEX(G$10:G$11,Предпосылки!$I$208,),0),G208/(1+IFERROR(INDEX(G$10:G$11,Предпосылки!$I$209,),0))*IFERROR(INDEX(G$10:G$11,Предпосылки!$I$209,),0),G231/(1+IFERROR(INDEX(G$10:G$11,Предпосылки!$I$210,),0))*IFERROR(INDEX(G$10:G$11,Предпосылки!$I$210,),0),G254/(1+IFERROR(INDEX(G$10:G$11,Предпосылки!$I$211,),0))*IFERROR(INDEX(G$10:G$11,Предпосылки!$I$211,),0),G277/(1+IFERROR(INDEX(G$10:G$11,Предпосылки!$I$212,),0))*IFERROR(INDEX(G$10:G$11,Предпосылки!$I$212,),0),G300/(1+IFERROR(INDEX(G$10:G$11,Предпосылки!$I$213,),0))*IFERROR(INDEX(G$10:G$11,Предпосылки!$I$213,),0),G323/(1+IFERROR(INDEX(G$10:G$11,Предпосылки!$I$214,),0))*IFERROR(INDEX(G$10:G$11,Предпосылки!$I$214,),0),G346/(1+IFERROR(INDEX(G$10:G$11,Предпосылки!$I$215,),0))*IFERROR(INDEX(G$10:G$11,Предпосылки!$I$215,),0),G369/(1+IFERROR(INDEX(G$10:G$11,Предпосылки!$I$216,),0))*IFERROR(INDEX(G$10:G$11,Предпосылки!$I$216,),0),G392/(1+IFERROR(INDEX(G$10:G$11,Предпосылки!$I$217,),0))*IFERROR(INDEX(G$10:G$11,Предпосылки!$I$217,),0),G415/(1+IFERROR(INDEX(G$10:G$11,Предпосылки!$I$218,),0))*IFERROR(INDEX(G$10:G$11,Предпосылки!$I$218,),0),G438/(1+IFERROR(INDEX(G$10:G$11,Предпосылки!$I$219,),0))*IFERROR(INDEX(G$10:G$11,Предпосылки!$I$219,),0),G461/(1+IFERROR(INDEX(G$10:G$11,Предпосылки!$I$220,),0))*IFERROR(INDEX(G$10:G$11,Предпосылки!$I$220,),0))</f>
        <v>0</v>
      </c>
      <c s="125">
        <f>SUM(H24/(1+IFERROR(INDEX(H$10:H$11,Предпосылки!$I$201,),0))*IFERROR(INDEX(H$10:H$11,Предпосылки!$I$201,),0),H47/(1+IFERROR(INDEX(H$10:H$11,Предпосылки!$I$202,),0))*IFERROR(INDEX(H$10:H$11,Предпосылки!$I$202,),0),H70/(1+IFERROR(INDEX(H$10:H$11,Предпосылки!$I$203,),0))*IFERROR(INDEX(H$10:H$11,Предпосылки!$I$203,),0),H93/(1+IFERROR(INDEX(H$10:H$11,Предпосылки!$I$204,),0))*IFERROR(INDEX(H$10:H$11,Предпосылки!$I$204,),0),H116/(1+IFERROR(INDEX(H$10:H$11,Предпосылки!$I$205,),0))*IFERROR(INDEX(H$10:H$11,Предпосылки!$I$205,),0),H139/(1+IFERROR(INDEX(H$10:H$11,Предпосылки!$I$206,),0))*IFERROR(INDEX(H$10:H$11,Предпосылки!$I$206,),0),H162/(1+IFERROR(INDEX(H$10:H$11,Предпосылки!$I$207,),0))*IFERROR(INDEX(H$10:H$11,Предпосылки!$I$207,),0),H185/(1+IFERROR(INDEX(H$10:H$11,Предпосылки!$I$208,),0))*IFERROR(INDEX(H$10:H$11,Предпосылки!$I$208,),0),H208/(1+IFERROR(INDEX(H$10:H$11,Предпосылки!$I$209,),0))*IFERROR(INDEX(H$10:H$11,Предпосылки!$I$209,),0),H231/(1+IFERROR(INDEX(H$10:H$11,Предпосылки!$I$210,),0))*IFERROR(INDEX(H$10:H$11,Предпосылки!$I$210,),0),H254/(1+IFERROR(INDEX(H$10:H$11,Предпосылки!$I$211,),0))*IFERROR(INDEX(H$10:H$11,Предпосылки!$I$211,),0),H277/(1+IFERROR(INDEX(H$10:H$11,Предпосылки!$I$212,),0))*IFERROR(INDEX(H$10:H$11,Предпосылки!$I$212,),0),H300/(1+IFERROR(INDEX(H$10:H$11,Предпосылки!$I$213,),0))*IFERROR(INDEX(H$10:H$11,Предпосылки!$I$213,),0),H323/(1+IFERROR(INDEX(H$10:H$11,Предпосылки!$I$214,),0))*IFERROR(INDEX(H$10:H$11,Предпосылки!$I$214,),0),H346/(1+IFERROR(INDEX(H$10:H$11,Предпосылки!$I$215,),0))*IFERROR(INDEX(H$10:H$11,Предпосылки!$I$215,),0),H369/(1+IFERROR(INDEX(H$10:H$11,Предпосылки!$I$216,),0))*IFERROR(INDEX(H$10:H$11,Предпосылки!$I$216,),0),H392/(1+IFERROR(INDEX(H$10:H$11,Предпосылки!$I$217,),0))*IFERROR(INDEX(H$10:H$11,Предпосылки!$I$217,),0),H415/(1+IFERROR(INDEX(H$10:H$11,Предпосылки!$I$218,),0))*IFERROR(INDEX(H$10:H$11,Предпосылки!$I$218,),0),H438/(1+IFERROR(INDEX(H$10:H$11,Предпосылки!$I$219,),0))*IFERROR(INDEX(H$10:H$11,Предпосылки!$I$219,),0),H461/(1+IFERROR(INDEX(H$10:H$11,Предпосылки!$I$220,),0))*IFERROR(INDEX(H$10:H$11,Предпосылки!$I$220,),0))</f>
        <v>0</v>
      </c>
      <c s="125">
        <f>SUM(I24/(1+IFERROR(INDEX(I$10:I$11,Предпосылки!$I$201,),0))*IFERROR(INDEX(I$10:I$11,Предпосылки!$I$201,),0),I47/(1+IFERROR(INDEX(I$10:I$11,Предпосылки!$I$202,),0))*IFERROR(INDEX(I$10:I$11,Предпосылки!$I$202,),0),I70/(1+IFERROR(INDEX(I$10:I$11,Предпосылки!$I$203,),0))*IFERROR(INDEX(I$10:I$11,Предпосылки!$I$203,),0),I93/(1+IFERROR(INDEX(I$10:I$11,Предпосылки!$I$204,),0))*IFERROR(INDEX(I$10:I$11,Предпосылки!$I$204,),0),I116/(1+IFERROR(INDEX(I$10:I$11,Предпосылки!$I$205,),0))*IFERROR(INDEX(I$10:I$11,Предпосылки!$I$205,),0),I139/(1+IFERROR(INDEX(I$10:I$11,Предпосылки!$I$206,),0))*IFERROR(INDEX(I$10:I$11,Предпосылки!$I$206,),0),I162/(1+IFERROR(INDEX(I$10:I$11,Предпосылки!$I$207,),0))*IFERROR(INDEX(I$10:I$11,Предпосылки!$I$207,),0),I185/(1+IFERROR(INDEX(I$10:I$11,Предпосылки!$I$208,),0))*IFERROR(INDEX(I$10:I$11,Предпосылки!$I$208,),0),I208/(1+IFERROR(INDEX(I$10:I$11,Предпосылки!$I$209,),0))*IFERROR(INDEX(I$10:I$11,Предпосылки!$I$209,),0),I231/(1+IFERROR(INDEX(I$10:I$11,Предпосылки!$I$210,),0))*IFERROR(INDEX(I$10:I$11,Предпосылки!$I$210,),0),I254/(1+IFERROR(INDEX(I$10:I$11,Предпосылки!$I$211,),0))*IFERROR(INDEX(I$10:I$11,Предпосылки!$I$211,),0),I277/(1+IFERROR(INDEX(I$10:I$11,Предпосылки!$I$212,),0))*IFERROR(INDEX(I$10:I$11,Предпосылки!$I$212,),0),I300/(1+IFERROR(INDEX(I$10:I$11,Предпосылки!$I$213,),0))*IFERROR(INDEX(I$10:I$11,Предпосылки!$I$213,),0),I323/(1+IFERROR(INDEX(I$10:I$11,Предпосылки!$I$214,),0))*IFERROR(INDEX(I$10:I$11,Предпосылки!$I$214,),0),I346/(1+IFERROR(INDEX(I$10:I$11,Предпосылки!$I$215,),0))*IFERROR(INDEX(I$10:I$11,Предпосылки!$I$215,),0),I369/(1+IFERROR(INDEX(I$10:I$11,Предпосылки!$I$216,),0))*IFERROR(INDEX(I$10:I$11,Предпосылки!$I$216,),0),I392/(1+IFERROR(INDEX(I$10:I$11,Предпосылки!$I$217,),0))*IFERROR(INDEX(I$10:I$11,Предпосылки!$I$217,),0),I415/(1+IFERROR(INDEX(I$10:I$11,Предпосылки!$I$218,),0))*IFERROR(INDEX(I$10:I$11,Предпосылки!$I$218,),0),I438/(1+IFERROR(INDEX(I$10:I$11,Предпосылки!$I$219,),0))*IFERROR(INDEX(I$10:I$11,Предпосылки!$I$219,),0),I461/(1+IFERROR(INDEX(I$10:I$11,Предпосылки!$I$220,),0))*IFERROR(INDEX(I$10:I$11,Предпосылки!$I$220,),0))</f>
        <v>0</v>
      </c>
      <c s="125">
        <f>SUM(J24/(1+IFERROR(INDEX(J$10:J$11,Предпосылки!$I$201,),0))*IFERROR(INDEX(J$10:J$11,Предпосылки!$I$201,),0),J47/(1+IFERROR(INDEX(J$10:J$11,Предпосылки!$I$202,),0))*IFERROR(INDEX(J$10:J$11,Предпосылки!$I$202,),0),J70/(1+IFERROR(INDEX(J$10:J$11,Предпосылки!$I$203,),0))*IFERROR(INDEX(J$10:J$11,Предпосылки!$I$203,),0),J93/(1+IFERROR(INDEX(J$10:J$11,Предпосылки!$I$204,),0))*IFERROR(INDEX(J$10:J$11,Предпосылки!$I$204,),0),J116/(1+IFERROR(INDEX(J$10:J$11,Предпосылки!$I$205,),0))*IFERROR(INDEX(J$10:J$11,Предпосылки!$I$205,),0),J139/(1+IFERROR(INDEX(J$10:J$11,Предпосылки!$I$206,),0))*IFERROR(INDEX(J$10:J$11,Предпосылки!$I$206,),0),J162/(1+IFERROR(INDEX(J$10:J$11,Предпосылки!$I$207,),0))*IFERROR(INDEX(J$10:J$11,Предпосылки!$I$207,),0),J185/(1+IFERROR(INDEX(J$10:J$11,Предпосылки!$I$208,),0))*IFERROR(INDEX(J$10:J$11,Предпосылки!$I$208,),0),J208/(1+IFERROR(INDEX(J$10:J$11,Предпосылки!$I$209,),0))*IFERROR(INDEX(J$10:J$11,Предпосылки!$I$209,),0),J231/(1+IFERROR(INDEX(J$10:J$11,Предпосылки!$I$210,),0))*IFERROR(INDEX(J$10:J$11,Предпосылки!$I$210,),0),J254/(1+IFERROR(INDEX(J$10:J$11,Предпосылки!$I$211,),0))*IFERROR(INDEX(J$10:J$11,Предпосылки!$I$211,),0),J277/(1+IFERROR(INDEX(J$10:J$11,Предпосылки!$I$212,),0))*IFERROR(INDEX(J$10:J$11,Предпосылки!$I$212,),0),J300/(1+IFERROR(INDEX(J$10:J$11,Предпосылки!$I$213,),0))*IFERROR(INDEX(J$10:J$11,Предпосылки!$I$213,),0),J323/(1+IFERROR(INDEX(J$10:J$11,Предпосылки!$I$214,),0))*IFERROR(INDEX(J$10:J$11,Предпосылки!$I$214,),0),J346/(1+IFERROR(INDEX(J$10:J$11,Предпосылки!$I$215,),0))*IFERROR(INDEX(J$10:J$11,Предпосылки!$I$215,),0),J369/(1+IFERROR(INDEX(J$10:J$11,Предпосылки!$I$216,),0))*IFERROR(INDEX(J$10:J$11,Предпосылки!$I$216,),0),J392/(1+IFERROR(INDEX(J$10:J$11,Предпосылки!$I$217,),0))*IFERROR(INDEX(J$10:J$11,Предпосылки!$I$217,),0),J415/(1+IFERROR(INDEX(J$10:J$11,Предпосылки!$I$218,),0))*IFERROR(INDEX(J$10:J$11,Предпосылки!$I$218,),0),J438/(1+IFERROR(INDEX(J$10:J$11,Предпосылки!$I$219,),0))*IFERROR(INDEX(J$10:J$11,Предпосылки!$I$219,),0),J461/(1+IFERROR(INDEX(J$10:J$11,Предпосылки!$I$220,),0))*IFERROR(INDEX(J$10:J$11,Предпосылки!$I$220,),0))</f>
        <v>0</v>
      </c>
      <c s="125">
        <f>SUM(K24/(1+IFERROR(INDEX(K$10:K$11,Предпосылки!$I$201,),0))*IFERROR(INDEX(K$10:K$11,Предпосылки!$I$201,),0),K47/(1+IFERROR(INDEX(K$10:K$11,Предпосылки!$I$202,),0))*IFERROR(INDEX(K$10:K$11,Предпосылки!$I$202,),0),K70/(1+IFERROR(INDEX(K$10:K$11,Предпосылки!$I$203,),0))*IFERROR(INDEX(K$10:K$11,Предпосылки!$I$203,),0),K93/(1+IFERROR(INDEX(K$10:K$11,Предпосылки!$I$204,),0))*IFERROR(INDEX(K$10:K$11,Предпосылки!$I$204,),0),K116/(1+IFERROR(INDEX(K$10:K$11,Предпосылки!$I$205,),0))*IFERROR(INDEX(K$10:K$11,Предпосылки!$I$205,),0),K139/(1+IFERROR(INDEX(K$10:K$11,Предпосылки!$I$206,),0))*IFERROR(INDEX(K$10:K$11,Предпосылки!$I$206,),0),K162/(1+IFERROR(INDEX(K$10:K$11,Предпосылки!$I$207,),0))*IFERROR(INDEX(K$10:K$11,Предпосылки!$I$207,),0),K185/(1+IFERROR(INDEX(K$10:K$11,Предпосылки!$I$208,),0))*IFERROR(INDEX(K$10:K$11,Предпосылки!$I$208,),0),K208/(1+IFERROR(INDEX(K$10:K$11,Предпосылки!$I$209,),0))*IFERROR(INDEX(K$10:K$11,Предпосылки!$I$209,),0),K231/(1+IFERROR(INDEX(K$10:K$11,Предпосылки!$I$210,),0))*IFERROR(INDEX(K$10:K$11,Предпосылки!$I$210,),0),K254/(1+IFERROR(INDEX(K$10:K$11,Предпосылки!$I$211,),0))*IFERROR(INDEX(K$10:K$11,Предпосылки!$I$211,),0),K277/(1+IFERROR(INDEX(K$10:K$11,Предпосылки!$I$212,),0))*IFERROR(INDEX(K$10:K$11,Предпосылки!$I$212,),0),K300/(1+IFERROR(INDEX(K$10:K$11,Предпосылки!$I$213,),0))*IFERROR(INDEX(K$10:K$11,Предпосылки!$I$213,),0),K323/(1+IFERROR(INDEX(K$10:K$11,Предпосылки!$I$214,),0))*IFERROR(INDEX(K$10:K$11,Предпосылки!$I$214,),0),K346/(1+IFERROR(INDEX(K$10:K$11,Предпосылки!$I$215,),0))*IFERROR(INDEX(K$10:K$11,Предпосылки!$I$215,),0),K369/(1+IFERROR(INDEX(K$10:K$11,Предпосылки!$I$216,),0))*IFERROR(INDEX(K$10:K$11,Предпосылки!$I$216,),0),K392/(1+IFERROR(INDEX(K$10:K$11,Предпосылки!$I$217,),0))*IFERROR(INDEX(K$10:K$11,Предпосылки!$I$217,),0),K415/(1+IFERROR(INDEX(K$10:K$11,Предпосылки!$I$218,),0))*IFERROR(INDEX(K$10:K$11,Предпосылки!$I$218,),0),K438/(1+IFERROR(INDEX(K$10:K$11,Предпосылки!$I$219,),0))*IFERROR(INDEX(K$10:K$11,Предпосылки!$I$219,),0),K461/(1+IFERROR(INDEX(K$10:K$11,Предпосылки!$I$220,),0))*IFERROR(INDEX(K$10:K$11,Предпосылки!$I$220,),0))</f>
        <v>0</v>
      </c>
      <c s="125">
        <f>SUM(L24/(1+IFERROR(INDEX(L$10:L$11,Предпосылки!$I$201,),0))*IFERROR(INDEX(L$10:L$11,Предпосылки!$I$201,),0),L47/(1+IFERROR(INDEX(L$10:L$11,Предпосылки!$I$202,),0))*IFERROR(INDEX(L$10:L$11,Предпосылки!$I$202,),0),L70/(1+IFERROR(INDEX(L$10:L$11,Предпосылки!$I$203,),0))*IFERROR(INDEX(L$10:L$11,Предпосылки!$I$203,),0),L93/(1+IFERROR(INDEX(L$10:L$11,Предпосылки!$I$204,),0))*IFERROR(INDEX(L$10:L$11,Предпосылки!$I$204,),0),L116/(1+IFERROR(INDEX(L$10:L$11,Предпосылки!$I$205,),0))*IFERROR(INDEX(L$10:L$11,Предпосылки!$I$205,),0),L139/(1+IFERROR(INDEX(L$10:L$11,Предпосылки!$I$206,),0))*IFERROR(INDEX(L$10:L$11,Предпосылки!$I$206,),0),L162/(1+IFERROR(INDEX(L$10:L$11,Предпосылки!$I$207,),0))*IFERROR(INDEX(L$10:L$11,Предпосылки!$I$207,),0),L185/(1+IFERROR(INDEX(L$10:L$11,Предпосылки!$I$208,),0))*IFERROR(INDEX(L$10:L$11,Предпосылки!$I$208,),0),L208/(1+IFERROR(INDEX(L$10:L$11,Предпосылки!$I$209,),0))*IFERROR(INDEX(L$10:L$11,Предпосылки!$I$209,),0),L231/(1+IFERROR(INDEX(L$10:L$11,Предпосылки!$I$210,),0))*IFERROR(INDEX(L$10:L$11,Предпосылки!$I$210,),0),L254/(1+IFERROR(INDEX(L$10:L$11,Предпосылки!$I$211,),0))*IFERROR(INDEX(L$10:L$11,Предпосылки!$I$211,),0),L277/(1+IFERROR(INDEX(L$10:L$11,Предпосылки!$I$212,),0))*IFERROR(INDEX(L$10:L$11,Предпосылки!$I$212,),0),L300/(1+IFERROR(INDEX(L$10:L$11,Предпосылки!$I$213,),0))*IFERROR(INDEX(L$10:L$11,Предпосылки!$I$213,),0),L323/(1+IFERROR(INDEX(L$10:L$11,Предпосылки!$I$214,),0))*IFERROR(INDEX(L$10:L$11,Предпосылки!$I$214,),0),L346/(1+IFERROR(INDEX(L$10:L$11,Предпосылки!$I$215,),0))*IFERROR(INDEX(L$10:L$11,Предпосылки!$I$215,),0),L369/(1+IFERROR(INDEX(L$10:L$11,Предпосылки!$I$216,),0))*IFERROR(INDEX(L$10:L$11,Предпосылки!$I$216,),0),L392/(1+IFERROR(INDEX(L$10:L$11,Предпосылки!$I$217,),0))*IFERROR(INDEX(L$10:L$11,Предпосылки!$I$217,),0),L415/(1+IFERROR(INDEX(L$10:L$11,Предпосылки!$I$218,),0))*IFERROR(INDEX(L$10:L$11,Предпосылки!$I$218,),0),L438/(1+IFERROR(INDEX(L$10:L$11,Предпосылки!$I$219,),0))*IFERROR(INDEX(L$10:L$11,Предпосылки!$I$219,),0),L461/(1+IFERROR(INDEX(L$10:L$11,Предпосылки!$I$220,),0))*IFERROR(INDEX(L$10:L$11,Предпосылки!$I$220,),0))</f>
        <v>0</v>
      </c>
      <c s="125">
        <f>SUM(M24/(1+IFERROR(INDEX(M$10:M$11,Предпосылки!$I$201,),0))*IFERROR(INDEX(M$10:M$11,Предпосылки!$I$201,),0),M47/(1+IFERROR(INDEX(M$10:M$11,Предпосылки!$I$202,),0))*IFERROR(INDEX(M$10:M$11,Предпосылки!$I$202,),0),M70/(1+IFERROR(INDEX(M$10:M$11,Предпосылки!$I$203,),0))*IFERROR(INDEX(M$10:M$11,Предпосылки!$I$203,),0),M93/(1+IFERROR(INDEX(M$10:M$11,Предпосылки!$I$204,),0))*IFERROR(INDEX(M$10:M$11,Предпосылки!$I$204,),0),M116/(1+IFERROR(INDEX(M$10:M$11,Предпосылки!$I$205,),0))*IFERROR(INDEX(M$10:M$11,Предпосылки!$I$205,),0),M139/(1+IFERROR(INDEX(M$10:M$11,Предпосылки!$I$206,),0))*IFERROR(INDEX(M$10:M$11,Предпосылки!$I$206,),0),M162/(1+IFERROR(INDEX(M$10:M$11,Предпосылки!$I$207,),0))*IFERROR(INDEX(M$10:M$11,Предпосылки!$I$207,),0),M185/(1+IFERROR(INDEX(M$10:M$11,Предпосылки!$I$208,),0))*IFERROR(INDEX(M$10:M$11,Предпосылки!$I$208,),0),M208/(1+IFERROR(INDEX(M$10:M$11,Предпосылки!$I$209,),0))*IFERROR(INDEX(M$10:M$11,Предпосылки!$I$209,),0),M231/(1+IFERROR(INDEX(M$10:M$11,Предпосылки!$I$210,),0))*IFERROR(INDEX(M$10:M$11,Предпосылки!$I$210,),0),M254/(1+IFERROR(INDEX(M$10:M$11,Предпосылки!$I$211,),0))*IFERROR(INDEX(M$10:M$11,Предпосылки!$I$211,),0),M277/(1+IFERROR(INDEX(M$10:M$11,Предпосылки!$I$212,),0))*IFERROR(INDEX(M$10:M$11,Предпосылки!$I$212,),0),M300/(1+IFERROR(INDEX(M$10:M$11,Предпосылки!$I$213,),0))*IFERROR(INDEX(M$10:M$11,Предпосылки!$I$213,),0),M323/(1+IFERROR(INDEX(M$10:M$11,Предпосылки!$I$214,),0))*IFERROR(INDEX(M$10:M$11,Предпосылки!$I$214,),0),M346/(1+IFERROR(INDEX(M$10:M$11,Предпосылки!$I$215,),0))*IFERROR(INDEX(M$10:M$11,Предпосылки!$I$215,),0),M369/(1+IFERROR(INDEX(M$10:M$11,Предпосылки!$I$216,),0))*IFERROR(INDEX(M$10:M$11,Предпосылки!$I$216,),0),M392/(1+IFERROR(INDEX(M$10:M$11,Предпосылки!$I$217,),0))*IFERROR(INDEX(M$10:M$11,Предпосылки!$I$217,),0),M415/(1+IFERROR(INDEX(M$10:M$11,Предпосылки!$I$218,),0))*IFERROR(INDEX(M$10:M$11,Предпосылки!$I$218,),0),M438/(1+IFERROR(INDEX(M$10:M$11,Предпосылки!$I$219,),0))*IFERROR(INDEX(M$10:M$11,Предпосылки!$I$219,),0),M461/(1+IFERROR(INDEX(M$10:M$11,Предпосылки!$I$220,),0))*IFERROR(INDEX(M$10:M$11,Предпосылки!$I$220,),0))</f>
        <v>0</v>
      </c>
      <c s="125">
        <f>SUM(N24/(1+IFERROR(INDEX(N$10:N$11,Предпосылки!$I$201,),0))*IFERROR(INDEX(N$10:N$11,Предпосылки!$I$201,),0),N47/(1+IFERROR(INDEX(N$10:N$11,Предпосылки!$I$202,),0))*IFERROR(INDEX(N$10:N$11,Предпосылки!$I$202,),0),N70/(1+IFERROR(INDEX(N$10:N$11,Предпосылки!$I$203,),0))*IFERROR(INDEX(N$10:N$11,Предпосылки!$I$203,),0),N93/(1+IFERROR(INDEX(N$10:N$11,Предпосылки!$I$204,),0))*IFERROR(INDEX(N$10:N$11,Предпосылки!$I$204,),0),N116/(1+IFERROR(INDEX(N$10:N$11,Предпосылки!$I$205,),0))*IFERROR(INDEX(N$10:N$11,Предпосылки!$I$205,),0),N139/(1+IFERROR(INDEX(N$10:N$11,Предпосылки!$I$206,),0))*IFERROR(INDEX(N$10:N$11,Предпосылки!$I$206,),0),N162/(1+IFERROR(INDEX(N$10:N$11,Предпосылки!$I$207,),0))*IFERROR(INDEX(N$10:N$11,Предпосылки!$I$207,),0),N185/(1+IFERROR(INDEX(N$10:N$11,Предпосылки!$I$208,),0))*IFERROR(INDEX(N$10:N$11,Предпосылки!$I$208,),0),N208/(1+IFERROR(INDEX(N$10:N$11,Предпосылки!$I$209,),0))*IFERROR(INDEX(N$10:N$11,Предпосылки!$I$209,),0),N231/(1+IFERROR(INDEX(N$10:N$11,Предпосылки!$I$210,),0))*IFERROR(INDEX(N$10:N$11,Предпосылки!$I$210,),0),N254/(1+IFERROR(INDEX(N$10:N$11,Предпосылки!$I$211,),0))*IFERROR(INDEX(N$10:N$11,Предпосылки!$I$211,),0),N277/(1+IFERROR(INDEX(N$10:N$11,Предпосылки!$I$212,),0))*IFERROR(INDEX(N$10:N$11,Предпосылки!$I$212,),0),N300/(1+IFERROR(INDEX(N$10:N$11,Предпосылки!$I$213,),0))*IFERROR(INDEX(N$10:N$11,Предпосылки!$I$213,),0),N323/(1+IFERROR(INDEX(N$10:N$11,Предпосылки!$I$214,),0))*IFERROR(INDEX(N$10:N$11,Предпосылки!$I$214,),0),N346/(1+IFERROR(INDEX(N$10:N$11,Предпосылки!$I$215,),0))*IFERROR(INDEX(N$10:N$11,Предпосылки!$I$215,),0),N369/(1+IFERROR(INDEX(N$10:N$11,Предпосылки!$I$216,),0))*IFERROR(INDEX(N$10:N$11,Предпосылки!$I$216,),0),N392/(1+IFERROR(INDEX(N$10:N$11,Предпосылки!$I$217,),0))*IFERROR(INDEX(N$10:N$11,Предпосылки!$I$217,),0),N415/(1+IFERROR(INDEX(N$10:N$11,Предпосылки!$I$218,),0))*IFERROR(INDEX(N$10:N$11,Предпосылки!$I$218,),0),N438/(1+IFERROR(INDEX(N$10:N$11,Предпосылки!$I$219,),0))*IFERROR(INDEX(N$10:N$11,Предпосылки!$I$219,),0),N461/(1+IFERROR(INDEX(N$10:N$11,Предпосылки!$I$220,),0))*IFERROR(INDEX(N$10:N$11,Предпосылки!$I$220,),0))</f>
        <v>0</v>
      </c>
      <c s="125">
        <f>SUM(O24/(1+IFERROR(INDEX(O$10:O$11,Предпосылки!$I$201,),0))*IFERROR(INDEX(O$10:O$11,Предпосылки!$I$201,),0),O47/(1+IFERROR(INDEX(O$10:O$11,Предпосылки!$I$202,),0))*IFERROR(INDEX(O$10:O$11,Предпосылки!$I$202,),0),O70/(1+IFERROR(INDEX(O$10:O$11,Предпосылки!$I$203,),0))*IFERROR(INDEX(O$10:O$11,Предпосылки!$I$203,),0),O93/(1+IFERROR(INDEX(O$10:O$11,Предпосылки!$I$204,),0))*IFERROR(INDEX(O$10:O$11,Предпосылки!$I$204,),0),O116/(1+IFERROR(INDEX(O$10:O$11,Предпосылки!$I$205,),0))*IFERROR(INDEX(O$10:O$11,Предпосылки!$I$205,),0),O139/(1+IFERROR(INDEX(O$10:O$11,Предпосылки!$I$206,),0))*IFERROR(INDEX(O$10:O$11,Предпосылки!$I$206,),0),O162/(1+IFERROR(INDEX(O$10:O$11,Предпосылки!$I$207,),0))*IFERROR(INDEX(O$10:O$11,Предпосылки!$I$207,),0),O185/(1+IFERROR(INDEX(O$10:O$11,Предпосылки!$I$208,),0))*IFERROR(INDEX(O$10:O$11,Предпосылки!$I$208,),0),O208/(1+IFERROR(INDEX(O$10:O$11,Предпосылки!$I$209,),0))*IFERROR(INDEX(O$10:O$11,Предпосылки!$I$209,),0),O231/(1+IFERROR(INDEX(O$10:O$11,Предпосылки!$I$210,),0))*IFERROR(INDEX(O$10:O$11,Предпосылки!$I$210,),0),O254/(1+IFERROR(INDEX(O$10:O$11,Предпосылки!$I$211,),0))*IFERROR(INDEX(O$10:O$11,Предпосылки!$I$211,),0),O277/(1+IFERROR(INDEX(O$10:O$11,Предпосылки!$I$212,),0))*IFERROR(INDEX(O$10:O$11,Предпосылки!$I$212,),0),O300/(1+IFERROR(INDEX(O$10:O$11,Предпосылки!$I$213,),0))*IFERROR(INDEX(O$10:O$11,Предпосылки!$I$213,),0),O323/(1+IFERROR(INDEX(O$10:O$11,Предпосылки!$I$214,),0))*IFERROR(INDEX(O$10:O$11,Предпосылки!$I$214,),0),O346/(1+IFERROR(INDEX(O$10:O$11,Предпосылки!$I$215,),0))*IFERROR(INDEX(O$10:O$11,Предпосылки!$I$215,),0),O369/(1+IFERROR(INDEX(O$10:O$11,Предпосылки!$I$216,),0))*IFERROR(INDEX(O$10:O$11,Предпосылки!$I$216,),0),O392/(1+IFERROR(INDEX(O$10:O$11,Предпосылки!$I$217,),0))*IFERROR(INDEX(O$10:O$11,Предпосылки!$I$217,),0),O415/(1+IFERROR(INDEX(O$10:O$11,Предпосылки!$I$218,),0))*IFERROR(INDEX(O$10:O$11,Предпосылки!$I$218,),0),O438/(1+IFERROR(INDEX(O$10:O$11,Предпосылки!$I$219,),0))*IFERROR(INDEX(O$10:O$11,Предпосылки!$I$219,),0),O461/(1+IFERROR(INDEX(O$10:O$11,Предпосылки!$I$220,),0))*IFERROR(INDEX(O$10:O$11,Предпосылки!$I$220,),0))</f>
        <v>0</v>
      </c>
      <c s="125">
        <f>SUM(P24/(1+IFERROR(INDEX(P$10:P$11,Предпосылки!$I$201,),0))*IFERROR(INDEX(P$10:P$11,Предпосылки!$I$201,),0),P47/(1+IFERROR(INDEX(P$10:P$11,Предпосылки!$I$202,),0))*IFERROR(INDEX(P$10:P$11,Предпосылки!$I$202,),0),P70/(1+IFERROR(INDEX(P$10:P$11,Предпосылки!$I$203,),0))*IFERROR(INDEX(P$10:P$11,Предпосылки!$I$203,),0),P93/(1+IFERROR(INDEX(P$10:P$11,Предпосылки!$I$204,),0))*IFERROR(INDEX(P$10:P$11,Предпосылки!$I$204,),0),P116/(1+IFERROR(INDEX(P$10:P$11,Предпосылки!$I$205,),0))*IFERROR(INDEX(P$10:P$11,Предпосылки!$I$205,),0),P139/(1+IFERROR(INDEX(P$10:P$11,Предпосылки!$I$206,),0))*IFERROR(INDEX(P$10:P$11,Предпосылки!$I$206,),0),P162/(1+IFERROR(INDEX(P$10:P$11,Предпосылки!$I$207,),0))*IFERROR(INDEX(P$10:P$11,Предпосылки!$I$207,),0),P185/(1+IFERROR(INDEX(P$10:P$11,Предпосылки!$I$208,),0))*IFERROR(INDEX(P$10:P$11,Предпосылки!$I$208,),0),P208/(1+IFERROR(INDEX(P$10:P$11,Предпосылки!$I$209,),0))*IFERROR(INDEX(P$10:P$11,Предпосылки!$I$209,),0),P231/(1+IFERROR(INDEX(P$10:P$11,Предпосылки!$I$210,),0))*IFERROR(INDEX(P$10:P$11,Предпосылки!$I$210,),0),P254/(1+IFERROR(INDEX(P$10:P$11,Предпосылки!$I$211,),0))*IFERROR(INDEX(P$10:P$11,Предпосылки!$I$211,),0),P277/(1+IFERROR(INDEX(P$10:P$11,Предпосылки!$I$212,),0))*IFERROR(INDEX(P$10:P$11,Предпосылки!$I$212,),0),P300/(1+IFERROR(INDEX(P$10:P$11,Предпосылки!$I$213,),0))*IFERROR(INDEX(P$10:P$11,Предпосылки!$I$213,),0),P323/(1+IFERROR(INDEX(P$10:P$11,Предпосылки!$I$214,),0))*IFERROR(INDEX(P$10:P$11,Предпосылки!$I$214,),0),P346/(1+IFERROR(INDEX(P$10:P$11,Предпосылки!$I$215,),0))*IFERROR(INDEX(P$10:P$11,Предпосылки!$I$215,),0),P369/(1+IFERROR(INDEX(P$10:P$11,Предпосылки!$I$216,),0))*IFERROR(INDEX(P$10:P$11,Предпосылки!$I$216,),0),P392/(1+IFERROR(INDEX(P$10:P$11,Предпосылки!$I$217,),0))*IFERROR(INDEX(P$10:P$11,Предпосылки!$I$217,),0),P415/(1+IFERROR(INDEX(P$10:P$11,Предпосылки!$I$218,),0))*IFERROR(INDEX(P$10:P$11,Предпосылки!$I$218,),0),P438/(1+IFERROR(INDEX(P$10:P$11,Предпосылки!$I$219,),0))*IFERROR(INDEX(P$10:P$11,Предпосылки!$I$219,),0),P461/(1+IFERROR(INDEX(P$10:P$11,Предпосылки!$I$220,),0))*IFERROR(INDEX(P$10:P$11,Предпосылки!$I$220,),0))</f>
        <v>0</v>
      </c>
      <c s="125">
        <f>SUM(Q24/(1+IFERROR(INDEX(Q$10:Q$11,Предпосылки!$I$201,),0))*IFERROR(INDEX(Q$10:Q$11,Предпосылки!$I$201,),0),Q47/(1+IFERROR(INDEX(Q$10:Q$11,Предпосылки!$I$202,),0))*IFERROR(INDEX(Q$10:Q$11,Предпосылки!$I$202,),0),Q70/(1+IFERROR(INDEX(Q$10:Q$11,Предпосылки!$I$203,),0))*IFERROR(INDEX(Q$10:Q$11,Предпосылки!$I$203,),0),Q93/(1+IFERROR(INDEX(Q$10:Q$11,Предпосылки!$I$204,),0))*IFERROR(INDEX(Q$10:Q$11,Предпосылки!$I$204,),0),Q116/(1+IFERROR(INDEX(Q$10:Q$11,Предпосылки!$I$205,),0))*IFERROR(INDEX(Q$10:Q$11,Предпосылки!$I$205,),0),Q139/(1+IFERROR(INDEX(Q$10:Q$11,Предпосылки!$I$206,),0))*IFERROR(INDEX(Q$10:Q$11,Предпосылки!$I$206,),0),Q162/(1+IFERROR(INDEX(Q$10:Q$11,Предпосылки!$I$207,),0))*IFERROR(INDEX(Q$10:Q$11,Предпосылки!$I$207,),0),Q185/(1+IFERROR(INDEX(Q$10:Q$11,Предпосылки!$I$208,),0))*IFERROR(INDEX(Q$10:Q$11,Предпосылки!$I$208,),0),Q208/(1+IFERROR(INDEX(Q$10:Q$11,Предпосылки!$I$209,),0))*IFERROR(INDEX(Q$10:Q$11,Предпосылки!$I$209,),0),Q231/(1+IFERROR(INDEX(Q$10:Q$11,Предпосылки!$I$210,),0))*IFERROR(INDEX(Q$10:Q$11,Предпосылки!$I$210,),0),Q254/(1+IFERROR(INDEX(Q$10:Q$11,Предпосылки!$I$211,),0))*IFERROR(INDEX(Q$10:Q$11,Предпосылки!$I$211,),0),Q277/(1+IFERROR(INDEX(Q$10:Q$11,Предпосылки!$I$212,),0))*IFERROR(INDEX(Q$10:Q$11,Предпосылки!$I$212,),0),Q300/(1+IFERROR(INDEX(Q$10:Q$11,Предпосылки!$I$213,),0))*IFERROR(INDEX(Q$10:Q$11,Предпосылки!$I$213,),0),Q323/(1+IFERROR(INDEX(Q$10:Q$11,Предпосылки!$I$214,),0))*IFERROR(INDEX(Q$10:Q$11,Предпосылки!$I$214,),0),Q346/(1+IFERROR(INDEX(Q$10:Q$11,Предпосылки!$I$215,),0))*IFERROR(INDEX(Q$10:Q$11,Предпосылки!$I$215,),0),Q369/(1+IFERROR(INDEX(Q$10:Q$11,Предпосылки!$I$216,),0))*IFERROR(INDEX(Q$10:Q$11,Предпосылки!$I$216,),0),Q392/(1+IFERROR(INDEX(Q$10:Q$11,Предпосылки!$I$217,),0))*IFERROR(INDEX(Q$10:Q$11,Предпосылки!$I$217,),0),Q415/(1+IFERROR(INDEX(Q$10:Q$11,Предпосылки!$I$218,),0))*IFERROR(INDEX(Q$10:Q$11,Предпосылки!$I$218,),0),Q438/(1+IFERROR(INDEX(Q$10:Q$11,Предпосылки!$I$219,),0))*IFERROR(INDEX(Q$10:Q$11,Предпосылки!$I$219,),0),Q461/(1+IFERROR(INDEX(Q$10:Q$11,Предпосылки!$I$220,),0))*IFERROR(INDEX(Q$10:Q$11,Предпосылки!$I$220,),0))</f>
        <v>0</v>
      </c>
      <c s="125">
        <f>SUM(R24/(1+IFERROR(INDEX(R$10:R$11,Предпосылки!$I$201,),0))*IFERROR(INDEX(R$10:R$11,Предпосылки!$I$201,),0),R47/(1+IFERROR(INDEX(R$10:R$11,Предпосылки!$I$202,),0))*IFERROR(INDEX(R$10:R$11,Предпосылки!$I$202,),0),R70/(1+IFERROR(INDEX(R$10:R$11,Предпосылки!$I$203,),0))*IFERROR(INDEX(R$10:R$11,Предпосылки!$I$203,),0),R93/(1+IFERROR(INDEX(R$10:R$11,Предпосылки!$I$204,),0))*IFERROR(INDEX(R$10:R$11,Предпосылки!$I$204,),0),R116/(1+IFERROR(INDEX(R$10:R$11,Предпосылки!$I$205,),0))*IFERROR(INDEX(R$10:R$11,Предпосылки!$I$205,),0),R139/(1+IFERROR(INDEX(R$10:R$11,Предпосылки!$I$206,),0))*IFERROR(INDEX(R$10:R$11,Предпосылки!$I$206,),0),R162/(1+IFERROR(INDEX(R$10:R$11,Предпосылки!$I$207,),0))*IFERROR(INDEX(R$10:R$11,Предпосылки!$I$207,),0),R185/(1+IFERROR(INDEX(R$10:R$11,Предпосылки!$I$208,),0))*IFERROR(INDEX(R$10:R$11,Предпосылки!$I$208,),0),R208/(1+IFERROR(INDEX(R$10:R$11,Предпосылки!$I$209,),0))*IFERROR(INDEX(R$10:R$11,Предпосылки!$I$209,),0),R231/(1+IFERROR(INDEX(R$10:R$11,Предпосылки!$I$210,),0))*IFERROR(INDEX(R$10:R$11,Предпосылки!$I$210,),0),R254/(1+IFERROR(INDEX(R$10:R$11,Предпосылки!$I$211,),0))*IFERROR(INDEX(R$10:R$11,Предпосылки!$I$211,),0),R277/(1+IFERROR(INDEX(R$10:R$11,Предпосылки!$I$212,),0))*IFERROR(INDEX(R$10:R$11,Предпосылки!$I$212,),0),R300/(1+IFERROR(INDEX(R$10:R$11,Предпосылки!$I$213,),0))*IFERROR(INDEX(R$10:R$11,Предпосылки!$I$213,),0),R323/(1+IFERROR(INDEX(R$10:R$11,Предпосылки!$I$214,),0))*IFERROR(INDEX(R$10:R$11,Предпосылки!$I$214,),0),R346/(1+IFERROR(INDEX(R$10:R$11,Предпосылки!$I$215,),0))*IFERROR(INDEX(R$10:R$11,Предпосылки!$I$215,),0),R369/(1+IFERROR(INDEX(R$10:R$11,Предпосылки!$I$216,),0))*IFERROR(INDEX(R$10:R$11,Предпосылки!$I$216,),0),R392/(1+IFERROR(INDEX(R$10:R$11,Предпосылки!$I$217,),0))*IFERROR(INDEX(R$10:R$11,Предпосылки!$I$217,),0),R415/(1+IFERROR(INDEX(R$10:R$11,Предпосылки!$I$218,),0))*IFERROR(INDEX(R$10:R$11,Предпосылки!$I$218,),0),R438/(1+IFERROR(INDEX(R$10:R$11,Предпосылки!$I$219,),0))*IFERROR(INDEX(R$10:R$11,Предпосылки!$I$219,),0),R461/(1+IFERROR(INDEX(R$10:R$11,Предпосылки!$I$220,),0))*IFERROR(INDEX(R$10:R$11,Предпосылки!$I$220,),0))</f>
        <v>0</v>
      </c>
      <c s="125">
        <f>SUM(S24/(1+IFERROR(INDEX(S$10:S$11,Предпосылки!$I$201,),0))*IFERROR(INDEX(S$10:S$11,Предпосылки!$I$201,),0),S47/(1+IFERROR(INDEX(S$10:S$11,Предпосылки!$I$202,),0))*IFERROR(INDEX(S$10:S$11,Предпосылки!$I$202,),0),S70/(1+IFERROR(INDEX(S$10:S$11,Предпосылки!$I$203,),0))*IFERROR(INDEX(S$10:S$11,Предпосылки!$I$203,),0),S93/(1+IFERROR(INDEX(S$10:S$11,Предпосылки!$I$204,),0))*IFERROR(INDEX(S$10:S$11,Предпосылки!$I$204,),0),S116/(1+IFERROR(INDEX(S$10:S$11,Предпосылки!$I$205,),0))*IFERROR(INDEX(S$10:S$11,Предпосылки!$I$205,),0),S139/(1+IFERROR(INDEX(S$10:S$11,Предпосылки!$I$206,),0))*IFERROR(INDEX(S$10:S$11,Предпосылки!$I$206,),0),S162/(1+IFERROR(INDEX(S$10:S$11,Предпосылки!$I$207,),0))*IFERROR(INDEX(S$10:S$11,Предпосылки!$I$207,),0),S185/(1+IFERROR(INDEX(S$10:S$11,Предпосылки!$I$208,),0))*IFERROR(INDEX(S$10:S$11,Предпосылки!$I$208,),0),S208/(1+IFERROR(INDEX(S$10:S$11,Предпосылки!$I$209,),0))*IFERROR(INDEX(S$10:S$11,Предпосылки!$I$209,),0),S231/(1+IFERROR(INDEX(S$10:S$11,Предпосылки!$I$210,),0))*IFERROR(INDEX(S$10:S$11,Предпосылки!$I$210,),0),S254/(1+IFERROR(INDEX(S$10:S$11,Предпосылки!$I$211,),0))*IFERROR(INDEX(S$10:S$11,Предпосылки!$I$211,),0),S277/(1+IFERROR(INDEX(S$10:S$11,Предпосылки!$I$212,),0))*IFERROR(INDEX(S$10:S$11,Предпосылки!$I$212,),0),S300/(1+IFERROR(INDEX(S$10:S$11,Предпосылки!$I$213,),0))*IFERROR(INDEX(S$10:S$11,Предпосылки!$I$213,),0),S323/(1+IFERROR(INDEX(S$10:S$11,Предпосылки!$I$214,),0))*IFERROR(INDEX(S$10:S$11,Предпосылки!$I$214,),0),S346/(1+IFERROR(INDEX(S$10:S$11,Предпосылки!$I$215,),0))*IFERROR(INDEX(S$10:S$11,Предпосылки!$I$215,),0),S369/(1+IFERROR(INDEX(S$10:S$11,Предпосылки!$I$216,),0))*IFERROR(INDEX(S$10:S$11,Предпосылки!$I$216,),0),S392/(1+IFERROR(INDEX(S$10:S$11,Предпосылки!$I$217,),0))*IFERROR(INDEX(S$10:S$11,Предпосылки!$I$217,),0),S415/(1+IFERROR(INDEX(S$10:S$11,Предпосылки!$I$218,),0))*IFERROR(INDEX(S$10:S$11,Предпосылки!$I$218,),0),S438/(1+IFERROR(INDEX(S$10:S$11,Предпосылки!$I$219,),0))*IFERROR(INDEX(S$10:S$11,Предпосылки!$I$219,),0),S461/(1+IFERROR(INDEX(S$10:S$11,Предпосылки!$I$220,),0))*IFERROR(INDEX(S$10:S$11,Предпосылки!$I$220,),0))</f>
        <v>0</v>
      </c>
      <c s="125">
        <f>SUM(T24/(1+IFERROR(INDEX(T$10:T$11,Предпосылки!$I$201,),0))*IFERROR(INDEX(T$10:T$11,Предпосылки!$I$201,),0),T47/(1+IFERROR(INDEX(T$10:T$11,Предпосылки!$I$202,),0))*IFERROR(INDEX(T$10:T$11,Предпосылки!$I$202,),0),T70/(1+IFERROR(INDEX(T$10:T$11,Предпосылки!$I$203,),0))*IFERROR(INDEX(T$10:T$11,Предпосылки!$I$203,),0),T93/(1+IFERROR(INDEX(T$10:T$11,Предпосылки!$I$204,),0))*IFERROR(INDEX(T$10:T$11,Предпосылки!$I$204,),0),T116/(1+IFERROR(INDEX(T$10:T$11,Предпосылки!$I$205,),0))*IFERROR(INDEX(T$10:T$11,Предпосылки!$I$205,),0),T139/(1+IFERROR(INDEX(T$10:T$11,Предпосылки!$I$206,),0))*IFERROR(INDEX(T$10:T$11,Предпосылки!$I$206,),0),T162/(1+IFERROR(INDEX(T$10:T$11,Предпосылки!$I$207,),0))*IFERROR(INDEX(T$10:T$11,Предпосылки!$I$207,),0),T185/(1+IFERROR(INDEX(T$10:T$11,Предпосылки!$I$208,),0))*IFERROR(INDEX(T$10:T$11,Предпосылки!$I$208,),0),T208/(1+IFERROR(INDEX(T$10:T$11,Предпосылки!$I$209,),0))*IFERROR(INDEX(T$10:T$11,Предпосылки!$I$209,),0),T231/(1+IFERROR(INDEX(T$10:T$11,Предпосылки!$I$210,),0))*IFERROR(INDEX(T$10:T$11,Предпосылки!$I$210,),0),T254/(1+IFERROR(INDEX(T$10:T$11,Предпосылки!$I$211,),0))*IFERROR(INDEX(T$10:T$11,Предпосылки!$I$211,),0),T277/(1+IFERROR(INDEX(T$10:T$11,Предпосылки!$I$212,),0))*IFERROR(INDEX(T$10:T$11,Предпосылки!$I$212,),0),T300/(1+IFERROR(INDEX(T$10:T$11,Предпосылки!$I$213,),0))*IFERROR(INDEX(T$10:T$11,Предпосылки!$I$213,),0),T323/(1+IFERROR(INDEX(T$10:T$11,Предпосылки!$I$214,),0))*IFERROR(INDEX(T$10:T$11,Предпосылки!$I$214,),0),T346/(1+IFERROR(INDEX(T$10:T$11,Предпосылки!$I$215,),0))*IFERROR(INDEX(T$10:T$11,Предпосылки!$I$215,),0),T369/(1+IFERROR(INDEX(T$10:T$11,Предпосылки!$I$216,),0))*IFERROR(INDEX(T$10:T$11,Предпосылки!$I$216,),0),T392/(1+IFERROR(INDEX(T$10:T$11,Предпосылки!$I$217,),0))*IFERROR(INDEX(T$10:T$11,Предпосылки!$I$217,),0),T415/(1+IFERROR(INDEX(T$10:T$11,Предпосылки!$I$218,),0))*IFERROR(INDEX(T$10:T$11,Предпосылки!$I$218,),0),T438/(1+IFERROR(INDEX(T$10:T$11,Предпосылки!$I$219,),0))*IFERROR(INDEX(T$10:T$11,Предпосылки!$I$219,),0),T461/(1+IFERROR(INDEX(T$10:T$11,Предпосылки!$I$220,),0))*IFERROR(INDEX(T$10:T$11,Предпосылки!$I$220,),0))</f>
        <v>0</v>
      </c>
      <c s="125">
        <f>SUM(U24/(1+IFERROR(INDEX(U$10:U$11,Предпосылки!$I$201,),0))*IFERROR(INDEX(U$10:U$11,Предпосылки!$I$201,),0),U47/(1+IFERROR(INDEX(U$10:U$11,Предпосылки!$I$202,),0))*IFERROR(INDEX(U$10:U$11,Предпосылки!$I$202,),0),U70/(1+IFERROR(INDEX(U$10:U$11,Предпосылки!$I$203,),0))*IFERROR(INDEX(U$10:U$11,Предпосылки!$I$203,),0),U93/(1+IFERROR(INDEX(U$10:U$11,Предпосылки!$I$204,),0))*IFERROR(INDEX(U$10:U$11,Предпосылки!$I$204,),0),U116/(1+IFERROR(INDEX(U$10:U$11,Предпосылки!$I$205,),0))*IFERROR(INDEX(U$10:U$11,Предпосылки!$I$205,),0),U139/(1+IFERROR(INDEX(U$10:U$11,Предпосылки!$I$206,),0))*IFERROR(INDEX(U$10:U$11,Предпосылки!$I$206,),0),U162/(1+IFERROR(INDEX(U$10:U$11,Предпосылки!$I$207,),0))*IFERROR(INDEX(U$10:U$11,Предпосылки!$I$207,),0),U185/(1+IFERROR(INDEX(U$10:U$11,Предпосылки!$I$208,),0))*IFERROR(INDEX(U$10:U$11,Предпосылки!$I$208,),0),U208/(1+IFERROR(INDEX(U$10:U$11,Предпосылки!$I$209,),0))*IFERROR(INDEX(U$10:U$11,Предпосылки!$I$209,),0),U231/(1+IFERROR(INDEX(U$10:U$11,Предпосылки!$I$210,),0))*IFERROR(INDEX(U$10:U$11,Предпосылки!$I$210,),0),U254/(1+IFERROR(INDEX(U$10:U$11,Предпосылки!$I$211,),0))*IFERROR(INDEX(U$10:U$11,Предпосылки!$I$211,),0),U277/(1+IFERROR(INDEX(U$10:U$11,Предпосылки!$I$212,),0))*IFERROR(INDEX(U$10:U$11,Предпосылки!$I$212,),0),U300/(1+IFERROR(INDEX(U$10:U$11,Предпосылки!$I$213,),0))*IFERROR(INDEX(U$10:U$11,Предпосылки!$I$213,),0),U323/(1+IFERROR(INDEX(U$10:U$11,Предпосылки!$I$214,),0))*IFERROR(INDEX(U$10:U$11,Предпосылки!$I$214,),0),U346/(1+IFERROR(INDEX(U$10:U$11,Предпосылки!$I$215,),0))*IFERROR(INDEX(U$10:U$11,Предпосылки!$I$215,),0),U369/(1+IFERROR(INDEX(U$10:U$11,Предпосылки!$I$216,),0))*IFERROR(INDEX(U$10:U$11,Предпосылки!$I$216,),0),U392/(1+IFERROR(INDEX(U$10:U$11,Предпосылки!$I$217,),0))*IFERROR(INDEX(U$10:U$11,Предпосылки!$I$217,),0),U415/(1+IFERROR(INDEX(U$10:U$11,Предпосылки!$I$218,),0))*IFERROR(INDEX(U$10:U$11,Предпосылки!$I$218,),0),U438/(1+IFERROR(INDEX(U$10:U$11,Предпосылки!$I$219,),0))*IFERROR(INDEX(U$10:U$11,Предпосылки!$I$219,),0),U461/(1+IFERROR(INDEX(U$10:U$11,Предпосылки!$I$220,),0))*IFERROR(INDEX(U$10:U$11,Предпосылки!$I$220,),0))</f>
        <v>0</v>
      </c>
      <c s="125">
        <f>SUM(V24/(1+IFERROR(INDEX(V$10:V$11,Предпосылки!$I$201,),0))*IFERROR(INDEX(V$10:V$11,Предпосылки!$I$201,),0),V47/(1+IFERROR(INDEX(V$10:V$11,Предпосылки!$I$202,),0))*IFERROR(INDEX(V$10:V$11,Предпосылки!$I$202,),0),V70/(1+IFERROR(INDEX(V$10:V$11,Предпосылки!$I$203,),0))*IFERROR(INDEX(V$10:V$11,Предпосылки!$I$203,),0),V93/(1+IFERROR(INDEX(V$10:V$11,Предпосылки!$I$204,),0))*IFERROR(INDEX(V$10:V$11,Предпосылки!$I$204,),0),V116/(1+IFERROR(INDEX(V$10:V$11,Предпосылки!$I$205,),0))*IFERROR(INDEX(V$10:V$11,Предпосылки!$I$205,),0),V139/(1+IFERROR(INDEX(V$10:V$11,Предпосылки!$I$206,),0))*IFERROR(INDEX(V$10:V$11,Предпосылки!$I$206,),0),V162/(1+IFERROR(INDEX(V$10:V$11,Предпосылки!$I$207,),0))*IFERROR(INDEX(V$10:V$11,Предпосылки!$I$207,),0),V185/(1+IFERROR(INDEX(V$10:V$11,Предпосылки!$I$208,),0))*IFERROR(INDEX(V$10:V$11,Предпосылки!$I$208,),0),V208/(1+IFERROR(INDEX(V$10:V$11,Предпосылки!$I$209,),0))*IFERROR(INDEX(V$10:V$11,Предпосылки!$I$209,),0),V231/(1+IFERROR(INDEX(V$10:V$11,Предпосылки!$I$210,),0))*IFERROR(INDEX(V$10:V$11,Предпосылки!$I$210,),0),V254/(1+IFERROR(INDEX(V$10:V$11,Предпосылки!$I$211,),0))*IFERROR(INDEX(V$10:V$11,Предпосылки!$I$211,),0),V277/(1+IFERROR(INDEX(V$10:V$11,Предпосылки!$I$212,),0))*IFERROR(INDEX(V$10:V$11,Предпосылки!$I$212,),0),V300/(1+IFERROR(INDEX(V$10:V$11,Предпосылки!$I$213,),0))*IFERROR(INDEX(V$10:V$11,Предпосылки!$I$213,),0),V323/(1+IFERROR(INDEX(V$10:V$11,Предпосылки!$I$214,),0))*IFERROR(INDEX(V$10:V$11,Предпосылки!$I$214,),0),V346/(1+IFERROR(INDEX(V$10:V$11,Предпосылки!$I$215,),0))*IFERROR(INDEX(V$10:V$11,Предпосылки!$I$215,),0),V369/(1+IFERROR(INDEX(V$10:V$11,Предпосылки!$I$216,),0))*IFERROR(INDEX(V$10:V$11,Предпосылки!$I$216,),0),V392/(1+IFERROR(INDEX(V$10:V$11,Предпосылки!$I$217,),0))*IFERROR(INDEX(V$10:V$11,Предпосылки!$I$217,),0),V415/(1+IFERROR(INDEX(V$10:V$11,Предпосылки!$I$218,),0))*IFERROR(INDEX(V$10:V$11,Предпосылки!$I$218,),0),V438/(1+IFERROR(INDEX(V$10:V$11,Предпосылки!$I$219,),0))*IFERROR(INDEX(V$10:V$11,Предпосылки!$I$219,),0),V461/(1+IFERROR(INDEX(V$10:V$11,Предпосылки!$I$220,),0))*IFERROR(INDEX(V$10:V$11,Предпосылки!$I$220,),0))</f>
        <v>0</v>
      </c>
      <c s="125">
        <f>SUM(W24/(1+IFERROR(INDEX(W$10:W$11,Предпосылки!$I$201,),0))*IFERROR(INDEX(W$10:W$11,Предпосылки!$I$201,),0),W47/(1+IFERROR(INDEX(W$10:W$11,Предпосылки!$I$202,),0))*IFERROR(INDEX(W$10:W$11,Предпосылки!$I$202,),0),W70/(1+IFERROR(INDEX(W$10:W$11,Предпосылки!$I$203,),0))*IFERROR(INDEX(W$10:W$11,Предпосылки!$I$203,),0),W93/(1+IFERROR(INDEX(W$10:W$11,Предпосылки!$I$204,),0))*IFERROR(INDEX(W$10:W$11,Предпосылки!$I$204,),0),W116/(1+IFERROR(INDEX(W$10:W$11,Предпосылки!$I$205,),0))*IFERROR(INDEX(W$10:W$11,Предпосылки!$I$205,),0),W139/(1+IFERROR(INDEX(W$10:W$11,Предпосылки!$I$206,),0))*IFERROR(INDEX(W$10:W$11,Предпосылки!$I$206,),0),W162/(1+IFERROR(INDEX(W$10:W$11,Предпосылки!$I$207,),0))*IFERROR(INDEX(W$10:W$11,Предпосылки!$I$207,),0),W185/(1+IFERROR(INDEX(W$10:W$11,Предпосылки!$I$208,),0))*IFERROR(INDEX(W$10:W$11,Предпосылки!$I$208,),0),W208/(1+IFERROR(INDEX(W$10:W$11,Предпосылки!$I$209,),0))*IFERROR(INDEX(W$10:W$11,Предпосылки!$I$209,),0),W231/(1+IFERROR(INDEX(W$10:W$11,Предпосылки!$I$210,),0))*IFERROR(INDEX(W$10:W$11,Предпосылки!$I$210,),0),W254/(1+IFERROR(INDEX(W$10:W$11,Предпосылки!$I$211,),0))*IFERROR(INDEX(W$10:W$11,Предпосылки!$I$211,),0),W277/(1+IFERROR(INDEX(W$10:W$11,Предпосылки!$I$212,),0))*IFERROR(INDEX(W$10:W$11,Предпосылки!$I$212,),0),W300/(1+IFERROR(INDEX(W$10:W$11,Предпосылки!$I$213,),0))*IFERROR(INDEX(W$10:W$11,Предпосылки!$I$213,),0),W323/(1+IFERROR(INDEX(W$10:W$11,Предпосылки!$I$214,),0))*IFERROR(INDEX(W$10:W$11,Предпосылки!$I$214,),0),W346/(1+IFERROR(INDEX(W$10:W$11,Предпосылки!$I$215,),0))*IFERROR(INDEX(W$10:W$11,Предпосылки!$I$215,),0),W369/(1+IFERROR(INDEX(W$10:W$11,Предпосылки!$I$216,),0))*IFERROR(INDEX(W$10:W$11,Предпосылки!$I$216,),0),W392/(1+IFERROR(INDEX(W$10:W$11,Предпосылки!$I$217,),0))*IFERROR(INDEX(W$10:W$11,Предпосылки!$I$217,),0),W415/(1+IFERROR(INDEX(W$10:W$11,Предпосылки!$I$218,),0))*IFERROR(INDEX(W$10:W$11,Предпосылки!$I$218,),0),W438/(1+IFERROR(INDEX(W$10:W$11,Предпосылки!$I$219,),0))*IFERROR(INDEX(W$10:W$11,Предпосылки!$I$219,),0),W461/(1+IFERROR(INDEX(W$10:W$11,Предпосылки!$I$220,),0))*IFERROR(INDEX(W$10:W$11,Предпосылки!$I$220,),0))</f>
        <v>0</v>
      </c>
      <c s="125">
        <f>SUM(X24/(1+IFERROR(INDEX(X$10:X$11,Предпосылки!$I$201,),0))*IFERROR(INDEX(X$10:X$11,Предпосылки!$I$201,),0),X47/(1+IFERROR(INDEX(X$10:X$11,Предпосылки!$I$202,),0))*IFERROR(INDEX(X$10:X$11,Предпосылки!$I$202,),0),X70/(1+IFERROR(INDEX(X$10:X$11,Предпосылки!$I$203,),0))*IFERROR(INDEX(X$10:X$11,Предпосылки!$I$203,),0),X93/(1+IFERROR(INDEX(X$10:X$11,Предпосылки!$I$204,),0))*IFERROR(INDEX(X$10:X$11,Предпосылки!$I$204,),0),X116/(1+IFERROR(INDEX(X$10:X$11,Предпосылки!$I$205,),0))*IFERROR(INDEX(X$10:X$11,Предпосылки!$I$205,),0),X139/(1+IFERROR(INDEX(X$10:X$11,Предпосылки!$I$206,),0))*IFERROR(INDEX(X$10:X$11,Предпосылки!$I$206,),0),X162/(1+IFERROR(INDEX(X$10:X$11,Предпосылки!$I$207,),0))*IFERROR(INDEX(X$10:X$11,Предпосылки!$I$207,),0),X185/(1+IFERROR(INDEX(X$10:X$11,Предпосылки!$I$208,),0))*IFERROR(INDEX(X$10:X$11,Предпосылки!$I$208,),0),X208/(1+IFERROR(INDEX(X$10:X$11,Предпосылки!$I$209,),0))*IFERROR(INDEX(X$10:X$11,Предпосылки!$I$209,),0),X231/(1+IFERROR(INDEX(X$10:X$11,Предпосылки!$I$210,),0))*IFERROR(INDEX(X$10:X$11,Предпосылки!$I$210,),0),X254/(1+IFERROR(INDEX(X$10:X$11,Предпосылки!$I$211,),0))*IFERROR(INDEX(X$10:X$11,Предпосылки!$I$211,),0),X277/(1+IFERROR(INDEX(X$10:X$11,Предпосылки!$I$212,),0))*IFERROR(INDEX(X$10:X$11,Предпосылки!$I$212,),0),X300/(1+IFERROR(INDEX(X$10:X$11,Предпосылки!$I$213,),0))*IFERROR(INDEX(X$10:X$11,Предпосылки!$I$213,),0),X323/(1+IFERROR(INDEX(X$10:X$11,Предпосылки!$I$214,),0))*IFERROR(INDEX(X$10:X$11,Предпосылки!$I$214,),0),X346/(1+IFERROR(INDEX(X$10:X$11,Предпосылки!$I$215,),0))*IFERROR(INDEX(X$10:X$11,Предпосылки!$I$215,),0),X369/(1+IFERROR(INDEX(X$10:X$11,Предпосылки!$I$216,),0))*IFERROR(INDEX(X$10:X$11,Предпосылки!$I$216,),0),X392/(1+IFERROR(INDEX(X$10:X$11,Предпосылки!$I$217,),0))*IFERROR(INDEX(X$10:X$11,Предпосылки!$I$217,),0),X415/(1+IFERROR(INDEX(X$10:X$11,Предпосылки!$I$218,),0))*IFERROR(INDEX(X$10:X$11,Предпосылки!$I$218,),0),X438/(1+IFERROR(INDEX(X$10:X$11,Предпосылки!$I$219,),0))*IFERROR(INDEX(X$10:X$11,Предпосылки!$I$219,),0),X461/(1+IFERROR(INDEX(X$10:X$11,Предпосылки!$I$220,),0))*IFERROR(INDEX(X$10:X$11,Предпосылки!$I$220,),0))</f>
        <v>0</v>
      </c>
      <c s="125">
        <f>SUM(Y24/(1+IFERROR(INDEX(Y$10:Y$11,Предпосылки!$I$201,),0))*IFERROR(INDEX(Y$10:Y$11,Предпосылки!$I$201,),0),Y47/(1+IFERROR(INDEX(Y$10:Y$11,Предпосылки!$I$202,),0))*IFERROR(INDEX(Y$10:Y$11,Предпосылки!$I$202,),0),Y70/(1+IFERROR(INDEX(Y$10:Y$11,Предпосылки!$I$203,),0))*IFERROR(INDEX(Y$10:Y$11,Предпосылки!$I$203,),0),Y93/(1+IFERROR(INDEX(Y$10:Y$11,Предпосылки!$I$204,),0))*IFERROR(INDEX(Y$10:Y$11,Предпосылки!$I$204,),0),Y116/(1+IFERROR(INDEX(Y$10:Y$11,Предпосылки!$I$205,),0))*IFERROR(INDEX(Y$10:Y$11,Предпосылки!$I$205,),0),Y139/(1+IFERROR(INDEX(Y$10:Y$11,Предпосылки!$I$206,),0))*IFERROR(INDEX(Y$10:Y$11,Предпосылки!$I$206,),0),Y162/(1+IFERROR(INDEX(Y$10:Y$11,Предпосылки!$I$207,),0))*IFERROR(INDEX(Y$10:Y$11,Предпосылки!$I$207,),0),Y185/(1+IFERROR(INDEX(Y$10:Y$11,Предпосылки!$I$208,),0))*IFERROR(INDEX(Y$10:Y$11,Предпосылки!$I$208,),0),Y208/(1+IFERROR(INDEX(Y$10:Y$11,Предпосылки!$I$209,),0))*IFERROR(INDEX(Y$10:Y$11,Предпосылки!$I$209,),0),Y231/(1+IFERROR(INDEX(Y$10:Y$11,Предпосылки!$I$210,),0))*IFERROR(INDEX(Y$10:Y$11,Предпосылки!$I$210,),0),Y254/(1+IFERROR(INDEX(Y$10:Y$11,Предпосылки!$I$211,),0))*IFERROR(INDEX(Y$10:Y$11,Предпосылки!$I$211,),0),Y277/(1+IFERROR(INDEX(Y$10:Y$11,Предпосылки!$I$212,),0))*IFERROR(INDEX(Y$10:Y$11,Предпосылки!$I$212,),0),Y300/(1+IFERROR(INDEX(Y$10:Y$11,Предпосылки!$I$213,),0))*IFERROR(INDEX(Y$10:Y$11,Предпосылки!$I$213,),0),Y323/(1+IFERROR(INDEX(Y$10:Y$11,Предпосылки!$I$214,),0))*IFERROR(INDEX(Y$10:Y$11,Предпосылки!$I$214,),0),Y346/(1+IFERROR(INDEX(Y$10:Y$11,Предпосылки!$I$215,),0))*IFERROR(INDEX(Y$10:Y$11,Предпосылки!$I$215,),0),Y369/(1+IFERROR(INDEX(Y$10:Y$11,Предпосылки!$I$216,),0))*IFERROR(INDEX(Y$10:Y$11,Предпосылки!$I$216,),0),Y392/(1+IFERROR(INDEX(Y$10:Y$11,Предпосылки!$I$217,),0))*IFERROR(INDEX(Y$10:Y$11,Предпосылки!$I$217,),0),Y415/(1+IFERROR(INDEX(Y$10:Y$11,Предпосылки!$I$218,),0))*IFERROR(INDEX(Y$10:Y$11,Предпосылки!$I$218,),0),Y438/(1+IFERROR(INDEX(Y$10:Y$11,Предпосылки!$I$219,),0))*IFERROR(INDEX(Y$10:Y$11,Предпосылки!$I$219,),0),Y461/(1+IFERROR(INDEX(Y$10:Y$11,Предпосылки!$I$220,),0))*IFERROR(INDEX(Y$10:Y$11,Предпосылки!$I$220,),0))</f>
        <v>0</v>
      </c>
      <c s="125">
        <f>SUM(Z24/(1+IFERROR(INDEX(Z$10:Z$11,Предпосылки!$I$201,),0))*IFERROR(INDEX(Z$10:Z$11,Предпосылки!$I$201,),0),Z47/(1+IFERROR(INDEX(Z$10:Z$11,Предпосылки!$I$202,),0))*IFERROR(INDEX(Z$10:Z$11,Предпосылки!$I$202,),0),Z70/(1+IFERROR(INDEX(Z$10:Z$11,Предпосылки!$I$203,),0))*IFERROR(INDEX(Z$10:Z$11,Предпосылки!$I$203,),0),Z93/(1+IFERROR(INDEX(Z$10:Z$11,Предпосылки!$I$204,),0))*IFERROR(INDEX(Z$10:Z$11,Предпосылки!$I$204,),0),Z116/(1+IFERROR(INDEX(Z$10:Z$11,Предпосылки!$I$205,),0))*IFERROR(INDEX(Z$10:Z$11,Предпосылки!$I$205,),0),Z139/(1+IFERROR(INDEX(Z$10:Z$11,Предпосылки!$I$206,),0))*IFERROR(INDEX(Z$10:Z$11,Предпосылки!$I$206,),0),Z162/(1+IFERROR(INDEX(Z$10:Z$11,Предпосылки!$I$207,),0))*IFERROR(INDEX(Z$10:Z$11,Предпосылки!$I$207,),0),Z185/(1+IFERROR(INDEX(Z$10:Z$11,Предпосылки!$I$208,),0))*IFERROR(INDEX(Z$10:Z$11,Предпосылки!$I$208,),0),Z208/(1+IFERROR(INDEX(Z$10:Z$11,Предпосылки!$I$209,),0))*IFERROR(INDEX(Z$10:Z$11,Предпосылки!$I$209,),0),Z231/(1+IFERROR(INDEX(Z$10:Z$11,Предпосылки!$I$210,),0))*IFERROR(INDEX(Z$10:Z$11,Предпосылки!$I$210,),0),Z254/(1+IFERROR(INDEX(Z$10:Z$11,Предпосылки!$I$211,),0))*IFERROR(INDEX(Z$10:Z$11,Предпосылки!$I$211,),0),Z277/(1+IFERROR(INDEX(Z$10:Z$11,Предпосылки!$I$212,),0))*IFERROR(INDEX(Z$10:Z$11,Предпосылки!$I$212,),0),Z300/(1+IFERROR(INDEX(Z$10:Z$11,Предпосылки!$I$213,),0))*IFERROR(INDEX(Z$10:Z$11,Предпосылки!$I$213,),0),Z323/(1+IFERROR(INDEX(Z$10:Z$11,Предпосылки!$I$214,),0))*IFERROR(INDEX(Z$10:Z$11,Предпосылки!$I$214,),0),Z346/(1+IFERROR(INDEX(Z$10:Z$11,Предпосылки!$I$215,),0))*IFERROR(INDEX(Z$10:Z$11,Предпосылки!$I$215,),0),Z369/(1+IFERROR(INDEX(Z$10:Z$11,Предпосылки!$I$216,),0))*IFERROR(INDEX(Z$10:Z$11,Предпосылки!$I$216,),0),Z392/(1+IFERROR(INDEX(Z$10:Z$11,Предпосылки!$I$217,),0))*IFERROR(INDEX(Z$10:Z$11,Предпосылки!$I$217,),0),Z415/(1+IFERROR(INDEX(Z$10:Z$11,Предпосылки!$I$218,),0))*IFERROR(INDEX(Z$10:Z$11,Предпосылки!$I$218,),0),Z438/(1+IFERROR(INDEX(Z$10:Z$11,Предпосылки!$I$219,),0))*IFERROR(INDEX(Z$10:Z$11,Предпосылки!$I$219,),0),Z461/(1+IFERROR(INDEX(Z$10:Z$11,Предпосылки!$I$220,),0))*IFERROR(INDEX(Z$10:Z$11,Предпосылки!$I$220,),0))</f>
        <v>0</v>
      </c>
      <c s="125">
        <f>SUM(AA24/(1+IFERROR(INDEX(AA$10:AA$11,Предпосылки!$I$201,),0))*IFERROR(INDEX(AA$10:AA$11,Предпосылки!$I$201,),0),AA47/(1+IFERROR(INDEX(AA$10:AA$11,Предпосылки!$I$202,),0))*IFERROR(INDEX(AA$10:AA$11,Предпосылки!$I$202,),0),AA70/(1+IFERROR(INDEX(AA$10:AA$11,Предпосылки!$I$203,),0))*IFERROR(INDEX(AA$10:AA$11,Предпосылки!$I$203,),0),AA93/(1+IFERROR(INDEX(AA$10:AA$11,Предпосылки!$I$204,),0))*IFERROR(INDEX(AA$10:AA$11,Предпосылки!$I$204,),0),AA116/(1+IFERROR(INDEX(AA$10:AA$11,Предпосылки!$I$205,),0))*IFERROR(INDEX(AA$10:AA$11,Предпосылки!$I$205,),0),AA139/(1+IFERROR(INDEX(AA$10:AA$11,Предпосылки!$I$206,),0))*IFERROR(INDEX(AA$10:AA$11,Предпосылки!$I$206,),0),AA162/(1+IFERROR(INDEX(AA$10:AA$11,Предпосылки!$I$207,),0))*IFERROR(INDEX(AA$10:AA$11,Предпосылки!$I$207,),0),AA185/(1+IFERROR(INDEX(AA$10:AA$11,Предпосылки!$I$208,),0))*IFERROR(INDEX(AA$10:AA$11,Предпосылки!$I$208,),0),AA208/(1+IFERROR(INDEX(AA$10:AA$11,Предпосылки!$I$209,),0))*IFERROR(INDEX(AA$10:AA$11,Предпосылки!$I$209,),0),AA231/(1+IFERROR(INDEX(AA$10:AA$11,Предпосылки!$I$210,),0))*IFERROR(INDEX(AA$10:AA$11,Предпосылки!$I$210,),0),AA254/(1+IFERROR(INDEX(AA$10:AA$11,Предпосылки!$I$211,),0))*IFERROR(INDEX(AA$10:AA$11,Предпосылки!$I$211,),0),AA277/(1+IFERROR(INDEX(AA$10:AA$11,Предпосылки!$I$212,),0))*IFERROR(INDEX(AA$10:AA$11,Предпосылки!$I$212,),0),AA300/(1+IFERROR(INDEX(AA$10:AA$11,Предпосылки!$I$213,),0))*IFERROR(INDEX(AA$10:AA$11,Предпосылки!$I$213,),0),AA323/(1+IFERROR(INDEX(AA$10:AA$11,Предпосылки!$I$214,),0))*IFERROR(INDEX(AA$10:AA$11,Предпосылки!$I$214,),0),AA346/(1+IFERROR(INDEX(AA$10:AA$11,Предпосылки!$I$215,),0))*IFERROR(INDEX(AA$10:AA$11,Предпосылки!$I$215,),0),AA369/(1+IFERROR(INDEX(AA$10:AA$11,Предпосылки!$I$216,),0))*IFERROR(INDEX(AA$10:AA$11,Предпосылки!$I$216,),0),AA392/(1+IFERROR(INDEX(AA$10:AA$11,Предпосылки!$I$217,),0))*IFERROR(INDEX(AA$10:AA$11,Предпосылки!$I$217,),0),AA415/(1+IFERROR(INDEX(AA$10:AA$11,Предпосылки!$I$218,),0))*IFERROR(INDEX(AA$10:AA$11,Предпосылки!$I$218,),0),AA438/(1+IFERROR(INDEX(AA$10:AA$11,Предпосылки!$I$219,),0))*IFERROR(INDEX(AA$10:AA$11,Предпосылки!$I$219,),0),AA461/(1+IFERROR(INDEX(AA$10:AA$11,Предпосылки!$I$220,),0))*IFERROR(INDEX(AA$10:AA$11,Предпосылки!$I$220,),0))</f>
        <v>0</v>
      </c>
      <c s="125">
        <f>SUM(AB24/(1+IFERROR(INDEX(AB$10:AB$11,Предпосылки!$I$201,),0))*IFERROR(INDEX(AB$10:AB$11,Предпосылки!$I$201,),0),AB47/(1+IFERROR(INDEX(AB$10:AB$11,Предпосылки!$I$202,),0))*IFERROR(INDEX(AB$10:AB$11,Предпосылки!$I$202,),0),AB70/(1+IFERROR(INDEX(AB$10:AB$11,Предпосылки!$I$203,),0))*IFERROR(INDEX(AB$10:AB$11,Предпосылки!$I$203,),0),AB93/(1+IFERROR(INDEX(AB$10:AB$11,Предпосылки!$I$204,),0))*IFERROR(INDEX(AB$10:AB$11,Предпосылки!$I$204,),0),AB116/(1+IFERROR(INDEX(AB$10:AB$11,Предпосылки!$I$205,),0))*IFERROR(INDEX(AB$10:AB$11,Предпосылки!$I$205,),0),AB139/(1+IFERROR(INDEX(AB$10:AB$11,Предпосылки!$I$206,),0))*IFERROR(INDEX(AB$10:AB$11,Предпосылки!$I$206,),0),AB162/(1+IFERROR(INDEX(AB$10:AB$11,Предпосылки!$I$207,),0))*IFERROR(INDEX(AB$10:AB$11,Предпосылки!$I$207,),0),AB185/(1+IFERROR(INDEX(AB$10:AB$11,Предпосылки!$I$208,),0))*IFERROR(INDEX(AB$10:AB$11,Предпосылки!$I$208,),0),AB208/(1+IFERROR(INDEX(AB$10:AB$11,Предпосылки!$I$209,),0))*IFERROR(INDEX(AB$10:AB$11,Предпосылки!$I$209,),0),AB231/(1+IFERROR(INDEX(AB$10:AB$11,Предпосылки!$I$210,),0))*IFERROR(INDEX(AB$10:AB$11,Предпосылки!$I$210,),0),AB254/(1+IFERROR(INDEX(AB$10:AB$11,Предпосылки!$I$211,),0))*IFERROR(INDEX(AB$10:AB$11,Предпосылки!$I$211,),0),AB277/(1+IFERROR(INDEX(AB$10:AB$11,Предпосылки!$I$212,),0))*IFERROR(INDEX(AB$10:AB$11,Предпосылки!$I$212,),0),AB300/(1+IFERROR(INDEX(AB$10:AB$11,Предпосылки!$I$213,),0))*IFERROR(INDEX(AB$10:AB$11,Предпосылки!$I$213,),0),AB323/(1+IFERROR(INDEX(AB$10:AB$11,Предпосылки!$I$214,),0))*IFERROR(INDEX(AB$10:AB$11,Предпосылки!$I$214,),0),AB346/(1+IFERROR(INDEX(AB$10:AB$11,Предпосылки!$I$215,),0))*IFERROR(INDEX(AB$10:AB$11,Предпосылки!$I$215,),0),AB369/(1+IFERROR(INDEX(AB$10:AB$11,Предпосылки!$I$216,),0))*IFERROR(INDEX(AB$10:AB$11,Предпосылки!$I$216,),0),AB392/(1+IFERROR(INDEX(AB$10:AB$11,Предпосылки!$I$217,),0))*IFERROR(INDEX(AB$10:AB$11,Предпосылки!$I$217,),0),AB415/(1+IFERROR(INDEX(AB$10:AB$11,Предпосылки!$I$218,),0))*IFERROR(INDEX(AB$10:AB$11,Предпосылки!$I$218,),0),AB438/(1+IFERROR(INDEX(AB$10:AB$11,Предпосылки!$I$219,),0))*IFERROR(INDEX(AB$10:AB$11,Предпосылки!$I$219,),0),AB461/(1+IFERROR(INDEX(AB$10:AB$11,Предпосылки!$I$220,),0))*IFERROR(INDEX(AB$10:AB$11,Предпосылки!$I$220,),0))</f>
        <v>0</v>
      </c>
      <c s="125">
        <f>SUM(AC24/(1+IFERROR(INDEX(AC$10:AC$11,Предпосылки!$I$201,),0))*IFERROR(INDEX(AC$10:AC$11,Предпосылки!$I$201,),0),AC47/(1+IFERROR(INDEX(AC$10:AC$11,Предпосылки!$I$202,),0))*IFERROR(INDEX(AC$10:AC$11,Предпосылки!$I$202,),0),AC70/(1+IFERROR(INDEX(AC$10:AC$11,Предпосылки!$I$203,),0))*IFERROR(INDEX(AC$10:AC$11,Предпосылки!$I$203,),0),AC93/(1+IFERROR(INDEX(AC$10:AC$11,Предпосылки!$I$204,),0))*IFERROR(INDEX(AC$10:AC$11,Предпосылки!$I$204,),0),AC116/(1+IFERROR(INDEX(AC$10:AC$11,Предпосылки!$I$205,),0))*IFERROR(INDEX(AC$10:AC$11,Предпосылки!$I$205,),0),AC139/(1+IFERROR(INDEX(AC$10:AC$11,Предпосылки!$I$206,),0))*IFERROR(INDEX(AC$10:AC$11,Предпосылки!$I$206,),0),AC162/(1+IFERROR(INDEX(AC$10:AC$11,Предпосылки!$I$207,),0))*IFERROR(INDEX(AC$10:AC$11,Предпосылки!$I$207,),0),AC185/(1+IFERROR(INDEX(AC$10:AC$11,Предпосылки!$I$208,),0))*IFERROR(INDEX(AC$10:AC$11,Предпосылки!$I$208,),0),AC208/(1+IFERROR(INDEX(AC$10:AC$11,Предпосылки!$I$209,),0))*IFERROR(INDEX(AC$10:AC$11,Предпосылки!$I$209,),0),AC231/(1+IFERROR(INDEX(AC$10:AC$11,Предпосылки!$I$210,),0))*IFERROR(INDEX(AC$10:AC$11,Предпосылки!$I$210,),0),AC254/(1+IFERROR(INDEX(AC$10:AC$11,Предпосылки!$I$211,),0))*IFERROR(INDEX(AC$10:AC$11,Предпосылки!$I$211,),0),AC277/(1+IFERROR(INDEX(AC$10:AC$11,Предпосылки!$I$212,),0))*IFERROR(INDEX(AC$10:AC$11,Предпосылки!$I$212,),0),AC300/(1+IFERROR(INDEX(AC$10:AC$11,Предпосылки!$I$213,),0))*IFERROR(INDEX(AC$10:AC$11,Предпосылки!$I$213,),0),AC323/(1+IFERROR(INDEX(AC$10:AC$11,Предпосылки!$I$214,),0))*IFERROR(INDEX(AC$10:AC$11,Предпосылки!$I$214,),0),AC346/(1+IFERROR(INDEX(AC$10:AC$11,Предпосылки!$I$215,),0))*IFERROR(INDEX(AC$10:AC$11,Предпосылки!$I$215,),0),AC369/(1+IFERROR(INDEX(AC$10:AC$11,Предпосылки!$I$216,),0))*IFERROR(INDEX(AC$10:AC$11,Предпосылки!$I$216,),0),AC392/(1+IFERROR(INDEX(AC$10:AC$11,Предпосылки!$I$217,),0))*IFERROR(INDEX(AC$10:AC$11,Предпосылки!$I$217,),0),AC415/(1+IFERROR(INDEX(AC$10:AC$11,Предпосылки!$I$218,),0))*IFERROR(INDEX(AC$10:AC$11,Предпосылки!$I$218,),0),AC438/(1+IFERROR(INDEX(AC$10:AC$11,Предпосылки!$I$219,),0))*IFERROR(INDEX(AC$10:AC$11,Предпосылки!$I$219,),0),AC461/(1+IFERROR(INDEX(AC$10:AC$11,Предпосылки!$I$220,),0))*IFERROR(INDEX(AC$10:AC$11,Предпосылки!$I$220,),0))</f>
        <v>0</v>
      </c>
      <c s="125">
        <f>SUM(AD24/(1+IFERROR(INDEX(AD$10:AD$11,Предпосылки!$I$201,),0))*IFERROR(INDEX(AD$10:AD$11,Предпосылки!$I$201,),0),AD47/(1+IFERROR(INDEX(AD$10:AD$11,Предпосылки!$I$202,),0))*IFERROR(INDEX(AD$10:AD$11,Предпосылки!$I$202,),0),AD70/(1+IFERROR(INDEX(AD$10:AD$11,Предпосылки!$I$203,),0))*IFERROR(INDEX(AD$10:AD$11,Предпосылки!$I$203,),0),AD93/(1+IFERROR(INDEX(AD$10:AD$11,Предпосылки!$I$204,),0))*IFERROR(INDEX(AD$10:AD$11,Предпосылки!$I$204,),0),AD116/(1+IFERROR(INDEX(AD$10:AD$11,Предпосылки!$I$205,),0))*IFERROR(INDEX(AD$10:AD$11,Предпосылки!$I$205,),0),AD139/(1+IFERROR(INDEX(AD$10:AD$11,Предпосылки!$I$206,),0))*IFERROR(INDEX(AD$10:AD$11,Предпосылки!$I$206,),0),AD162/(1+IFERROR(INDEX(AD$10:AD$11,Предпосылки!$I$207,),0))*IFERROR(INDEX(AD$10:AD$11,Предпосылки!$I$207,),0),AD185/(1+IFERROR(INDEX(AD$10:AD$11,Предпосылки!$I$208,),0))*IFERROR(INDEX(AD$10:AD$11,Предпосылки!$I$208,),0),AD208/(1+IFERROR(INDEX(AD$10:AD$11,Предпосылки!$I$209,),0))*IFERROR(INDEX(AD$10:AD$11,Предпосылки!$I$209,),0),AD231/(1+IFERROR(INDEX(AD$10:AD$11,Предпосылки!$I$210,),0))*IFERROR(INDEX(AD$10:AD$11,Предпосылки!$I$210,),0),AD254/(1+IFERROR(INDEX(AD$10:AD$11,Предпосылки!$I$211,),0))*IFERROR(INDEX(AD$10:AD$11,Предпосылки!$I$211,),0),AD277/(1+IFERROR(INDEX(AD$10:AD$11,Предпосылки!$I$212,),0))*IFERROR(INDEX(AD$10:AD$11,Предпосылки!$I$212,),0),AD300/(1+IFERROR(INDEX(AD$10:AD$11,Предпосылки!$I$213,),0))*IFERROR(INDEX(AD$10:AD$11,Предпосылки!$I$213,),0),AD323/(1+IFERROR(INDEX(AD$10:AD$11,Предпосылки!$I$214,),0))*IFERROR(INDEX(AD$10:AD$11,Предпосылки!$I$214,),0),AD346/(1+IFERROR(INDEX(AD$10:AD$11,Предпосылки!$I$215,),0))*IFERROR(INDEX(AD$10:AD$11,Предпосылки!$I$215,),0),AD369/(1+IFERROR(INDEX(AD$10:AD$11,Предпосылки!$I$216,),0))*IFERROR(INDEX(AD$10:AD$11,Предпосылки!$I$216,),0),AD392/(1+IFERROR(INDEX(AD$10:AD$11,Предпосылки!$I$217,),0))*IFERROR(INDEX(AD$10:AD$11,Предпосылки!$I$217,),0),AD415/(1+IFERROR(INDEX(AD$10:AD$11,Предпосылки!$I$218,),0))*IFERROR(INDEX(AD$10:AD$11,Предпосылки!$I$218,),0),AD438/(1+IFERROR(INDEX(AD$10:AD$11,Предпосылки!$I$219,),0))*IFERROR(INDEX(AD$10:AD$11,Предпосылки!$I$219,),0),AD461/(1+IFERROR(INDEX(AD$10:AD$11,Предпосылки!$I$220,),0))*IFERROR(INDEX(AD$10:AD$11,Предпосылки!$I$220,),0))</f>
        <v>0</v>
      </c>
      <c s="125">
        <f>SUM(AE24/(1+IFERROR(INDEX(AE$10:AE$11,Предпосылки!$I$201,),0))*IFERROR(INDEX(AE$10:AE$11,Предпосылки!$I$201,),0),AE47/(1+IFERROR(INDEX(AE$10:AE$11,Предпосылки!$I$202,),0))*IFERROR(INDEX(AE$10:AE$11,Предпосылки!$I$202,),0),AE70/(1+IFERROR(INDEX(AE$10:AE$11,Предпосылки!$I$203,),0))*IFERROR(INDEX(AE$10:AE$11,Предпосылки!$I$203,),0),AE93/(1+IFERROR(INDEX(AE$10:AE$11,Предпосылки!$I$204,),0))*IFERROR(INDEX(AE$10:AE$11,Предпосылки!$I$204,),0),AE116/(1+IFERROR(INDEX(AE$10:AE$11,Предпосылки!$I$205,),0))*IFERROR(INDEX(AE$10:AE$11,Предпосылки!$I$205,),0),AE139/(1+IFERROR(INDEX(AE$10:AE$11,Предпосылки!$I$206,),0))*IFERROR(INDEX(AE$10:AE$11,Предпосылки!$I$206,),0),AE162/(1+IFERROR(INDEX(AE$10:AE$11,Предпосылки!$I$207,),0))*IFERROR(INDEX(AE$10:AE$11,Предпосылки!$I$207,),0),AE185/(1+IFERROR(INDEX(AE$10:AE$11,Предпосылки!$I$208,),0))*IFERROR(INDEX(AE$10:AE$11,Предпосылки!$I$208,),0),AE208/(1+IFERROR(INDEX(AE$10:AE$11,Предпосылки!$I$209,),0))*IFERROR(INDEX(AE$10:AE$11,Предпосылки!$I$209,),0),AE231/(1+IFERROR(INDEX(AE$10:AE$11,Предпосылки!$I$210,),0))*IFERROR(INDEX(AE$10:AE$11,Предпосылки!$I$210,),0),AE254/(1+IFERROR(INDEX(AE$10:AE$11,Предпосылки!$I$211,),0))*IFERROR(INDEX(AE$10:AE$11,Предпосылки!$I$211,),0),AE277/(1+IFERROR(INDEX(AE$10:AE$11,Предпосылки!$I$212,),0))*IFERROR(INDEX(AE$10:AE$11,Предпосылки!$I$212,),0),AE300/(1+IFERROR(INDEX(AE$10:AE$11,Предпосылки!$I$213,),0))*IFERROR(INDEX(AE$10:AE$11,Предпосылки!$I$213,),0),AE323/(1+IFERROR(INDEX(AE$10:AE$11,Предпосылки!$I$214,),0))*IFERROR(INDEX(AE$10:AE$11,Предпосылки!$I$214,),0),AE346/(1+IFERROR(INDEX(AE$10:AE$11,Предпосылки!$I$215,),0))*IFERROR(INDEX(AE$10:AE$11,Предпосылки!$I$215,),0),AE369/(1+IFERROR(INDEX(AE$10:AE$11,Предпосылки!$I$216,),0))*IFERROR(INDEX(AE$10:AE$11,Предпосылки!$I$216,),0),AE392/(1+IFERROR(INDEX(AE$10:AE$11,Предпосылки!$I$217,),0))*IFERROR(INDEX(AE$10:AE$11,Предпосылки!$I$217,),0),AE415/(1+IFERROR(INDEX(AE$10:AE$11,Предпосылки!$I$218,),0))*IFERROR(INDEX(AE$10:AE$11,Предпосылки!$I$218,),0),AE438/(1+IFERROR(INDEX(AE$10:AE$11,Предпосылки!$I$219,),0))*IFERROR(INDEX(AE$10:AE$11,Предпосылки!$I$219,),0),AE461/(1+IFERROR(INDEX(AE$10:AE$11,Предпосылки!$I$220,),0))*IFERROR(INDEX(AE$10:AE$11,Предпосылки!$I$220,),0))</f>
        <v>0</v>
      </c>
      <c s="125">
        <f>SUM(AF24/(1+IFERROR(INDEX(AF$10:AF$11,Предпосылки!$I$201,),0))*IFERROR(INDEX(AF$10:AF$11,Предпосылки!$I$201,),0),AF47/(1+IFERROR(INDEX(AF$10:AF$11,Предпосылки!$I$202,),0))*IFERROR(INDEX(AF$10:AF$11,Предпосылки!$I$202,),0),AF70/(1+IFERROR(INDEX(AF$10:AF$11,Предпосылки!$I$203,),0))*IFERROR(INDEX(AF$10:AF$11,Предпосылки!$I$203,),0),AF93/(1+IFERROR(INDEX(AF$10:AF$11,Предпосылки!$I$204,),0))*IFERROR(INDEX(AF$10:AF$11,Предпосылки!$I$204,),0),AF116/(1+IFERROR(INDEX(AF$10:AF$11,Предпосылки!$I$205,),0))*IFERROR(INDEX(AF$10:AF$11,Предпосылки!$I$205,),0),AF139/(1+IFERROR(INDEX(AF$10:AF$11,Предпосылки!$I$206,),0))*IFERROR(INDEX(AF$10:AF$11,Предпосылки!$I$206,),0),AF162/(1+IFERROR(INDEX(AF$10:AF$11,Предпосылки!$I$207,),0))*IFERROR(INDEX(AF$10:AF$11,Предпосылки!$I$207,),0),AF185/(1+IFERROR(INDEX(AF$10:AF$11,Предпосылки!$I$208,),0))*IFERROR(INDEX(AF$10:AF$11,Предпосылки!$I$208,),0),AF208/(1+IFERROR(INDEX(AF$10:AF$11,Предпосылки!$I$209,),0))*IFERROR(INDEX(AF$10:AF$11,Предпосылки!$I$209,),0),AF231/(1+IFERROR(INDEX(AF$10:AF$11,Предпосылки!$I$210,),0))*IFERROR(INDEX(AF$10:AF$11,Предпосылки!$I$210,),0),AF254/(1+IFERROR(INDEX(AF$10:AF$11,Предпосылки!$I$211,),0))*IFERROR(INDEX(AF$10:AF$11,Предпосылки!$I$211,),0),AF277/(1+IFERROR(INDEX(AF$10:AF$11,Предпосылки!$I$212,),0))*IFERROR(INDEX(AF$10:AF$11,Предпосылки!$I$212,),0),AF300/(1+IFERROR(INDEX(AF$10:AF$11,Предпосылки!$I$213,),0))*IFERROR(INDEX(AF$10:AF$11,Предпосылки!$I$213,),0),AF323/(1+IFERROR(INDEX(AF$10:AF$11,Предпосылки!$I$214,),0))*IFERROR(INDEX(AF$10:AF$11,Предпосылки!$I$214,),0),AF346/(1+IFERROR(INDEX(AF$10:AF$11,Предпосылки!$I$215,),0))*IFERROR(INDEX(AF$10:AF$11,Предпосылки!$I$215,),0),AF369/(1+IFERROR(INDEX(AF$10:AF$11,Предпосылки!$I$216,),0))*IFERROR(INDEX(AF$10:AF$11,Предпосылки!$I$216,),0),AF392/(1+IFERROR(INDEX(AF$10:AF$11,Предпосылки!$I$217,),0))*IFERROR(INDEX(AF$10:AF$11,Предпосылки!$I$217,),0),AF415/(1+IFERROR(INDEX(AF$10:AF$11,Предпосылки!$I$218,),0))*IFERROR(INDEX(AF$10:AF$11,Предпосылки!$I$218,),0),AF438/(1+IFERROR(INDEX(AF$10:AF$11,Предпосылки!$I$219,),0))*IFERROR(INDEX(AF$10:AF$11,Предпосылки!$I$219,),0),AF461/(1+IFERROR(INDEX(AF$10:AF$11,Предпосылки!$I$220,),0))*IFERROR(INDEX(AF$10:AF$11,Предпосылки!$I$220,),0))</f>
        <v>0</v>
      </c>
      <c s="125">
        <f>SUM(AG24/(1+IFERROR(INDEX(AG$10:AG$11,Предпосылки!$I$201,),0))*IFERROR(INDEX(AG$10:AG$11,Предпосылки!$I$201,),0),AG47/(1+IFERROR(INDEX(AG$10:AG$11,Предпосылки!$I$202,),0))*IFERROR(INDEX(AG$10:AG$11,Предпосылки!$I$202,),0),AG70/(1+IFERROR(INDEX(AG$10:AG$11,Предпосылки!$I$203,),0))*IFERROR(INDEX(AG$10:AG$11,Предпосылки!$I$203,),0),AG93/(1+IFERROR(INDEX(AG$10:AG$11,Предпосылки!$I$204,),0))*IFERROR(INDEX(AG$10:AG$11,Предпосылки!$I$204,),0),AG116/(1+IFERROR(INDEX(AG$10:AG$11,Предпосылки!$I$205,),0))*IFERROR(INDEX(AG$10:AG$11,Предпосылки!$I$205,),0),AG139/(1+IFERROR(INDEX(AG$10:AG$11,Предпосылки!$I$206,),0))*IFERROR(INDEX(AG$10:AG$11,Предпосылки!$I$206,),0),AG162/(1+IFERROR(INDEX(AG$10:AG$11,Предпосылки!$I$207,),0))*IFERROR(INDEX(AG$10:AG$11,Предпосылки!$I$207,),0),AG185/(1+IFERROR(INDEX(AG$10:AG$11,Предпосылки!$I$208,),0))*IFERROR(INDEX(AG$10:AG$11,Предпосылки!$I$208,),0),AG208/(1+IFERROR(INDEX(AG$10:AG$11,Предпосылки!$I$209,),0))*IFERROR(INDEX(AG$10:AG$11,Предпосылки!$I$209,),0),AG231/(1+IFERROR(INDEX(AG$10:AG$11,Предпосылки!$I$210,),0))*IFERROR(INDEX(AG$10:AG$11,Предпосылки!$I$210,),0),AG254/(1+IFERROR(INDEX(AG$10:AG$11,Предпосылки!$I$211,),0))*IFERROR(INDEX(AG$10:AG$11,Предпосылки!$I$211,),0),AG277/(1+IFERROR(INDEX(AG$10:AG$11,Предпосылки!$I$212,),0))*IFERROR(INDEX(AG$10:AG$11,Предпосылки!$I$212,),0),AG300/(1+IFERROR(INDEX(AG$10:AG$11,Предпосылки!$I$213,),0))*IFERROR(INDEX(AG$10:AG$11,Предпосылки!$I$213,),0),AG323/(1+IFERROR(INDEX(AG$10:AG$11,Предпосылки!$I$214,),0))*IFERROR(INDEX(AG$10:AG$11,Предпосылки!$I$214,),0),AG346/(1+IFERROR(INDEX(AG$10:AG$11,Предпосылки!$I$215,),0))*IFERROR(INDEX(AG$10:AG$11,Предпосылки!$I$215,),0),AG369/(1+IFERROR(INDEX(AG$10:AG$11,Предпосылки!$I$216,),0))*IFERROR(INDEX(AG$10:AG$11,Предпосылки!$I$216,),0),AG392/(1+IFERROR(INDEX(AG$10:AG$11,Предпосылки!$I$217,),0))*IFERROR(INDEX(AG$10:AG$11,Предпосылки!$I$217,),0),AG415/(1+IFERROR(INDEX(AG$10:AG$11,Предпосылки!$I$218,),0))*IFERROR(INDEX(AG$10:AG$11,Предпосылки!$I$218,),0),AG438/(1+IFERROR(INDEX(AG$10:AG$11,Предпосылки!$I$219,),0))*IFERROR(INDEX(AG$10:AG$11,Предпосылки!$I$219,),0),AG461/(1+IFERROR(INDEX(AG$10:AG$11,Предпосылки!$I$220,),0))*IFERROR(INDEX(AG$10:AG$11,Предпосылки!$I$220,),0))</f>
        <v>0</v>
      </c>
      <c s="125">
        <f>SUM(AH24/(1+IFERROR(INDEX(AH$10:AH$11,Предпосылки!$I$201,),0))*IFERROR(INDEX(AH$10:AH$11,Предпосылки!$I$201,),0),AH47/(1+IFERROR(INDEX(AH$10:AH$11,Предпосылки!$I$202,),0))*IFERROR(INDEX(AH$10:AH$11,Предпосылки!$I$202,),0),AH70/(1+IFERROR(INDEX(AH$10:AH$11,Предпосылки!$I$203,),0))*IFERROR(INDEX(AH$10:AH$11,Предпосылки!$I$203,),0),AH93/(1+IFERROR(INDEX(AH$10:AH$11,Предпосылки!$I$204,),0))*IFERROR(INDEX(AH$10:AH$11,Предпосылки!$I$204,),0),AH116/(1+IFERROR(INDEX(AH$10:AH$11,Предпосылки!$I$205,),0))*IFERROR(INDEX(AH$10:AH$11,Предпосылки!$I$205,),0),AH139/(1+IFERROR(INDEX(AH$10:AH$11,Предпосылки!$I$206,),0))*IFERROR(INDEX(AH$10:AH$11,Предпосылки!$I$206,),0),AH162/(1+IFERROR(INDEX(AH$10:AH$11,Предпосылки!$I$207,),0))*IFERROR(INDEX(AH$10:AH$11,Предпосылки!$I$207,),0),AH185/(1+IFERROR(INDEX(AH$10:AH$11,Предпосылки!$I$208,),0))*IFERROR(INDEX(AH$10:AH$11,Предпосылки!$I$208,),0),AH208/(1+IFERROR(INDEX(AH$10:AH$11,Предпосылки!$I$209,),0))*IFERROR(INDEX(AH$10:AH$11,Предпосылки!$I$209,),0),AH231/(1+IFERROR(INDEX(AH$10:AH$11,Предпосылки!$I$210,),0))*IFERROR(INDEX(AH$10:AH$11,Предпосылки!$I$210,),0),AH254/(1+IFERROR(INDEX(AH$10:AH$11,Предпосылки!$I$211,),0))*IFERROR(INDEX(AH$10:AH$11,Предпосылки!$I$211,),0),AH277/(1+IFERROR(INDEX(AH$10:AH$11,Предпосылки!$I$212,),0))*IFERROR(INDEX(AH$10:AH$11,Предпосылки!$I$212,),0),AH300/(1+IFERROR(INDEX(AH$10:AH$11,Предпосылки!$I$213,),0))*IFERROR(INDEX(AH$10:AH$11,Предпосылки!$I$213,),0),AH323/(1+IFERROR(INDEX(AH$10:AH$11,Предпосылки!$I$214,),0))*IFERROR(INDEX(AH$10:AH$11,Предпосылки!$I$214,),0),AH346/(1+IFERROR(INDEX(AH$10:AH$11,Предпосылки!$I$215,),0))*IFERROR(INDEX(AH$10:AH$11,Предпосылки!$I$215,),0),AH369/(1+IFERROR(INDEX(AH$10:AH$11,Предпосылки!$I$216,),0))*IFERROR(INDEX(AH$10:AH$11,Предпосылки!$I$216,),0),AH392/(1+IFERROR(INDEX(AH$10:AH$11,Предпосылки!$I$217,),0))*IFERROR(INDEX(AH$10:AH$11,Предпосылки!$I$217,),0),AH415/(1+IFERROR(INDEX(AH$10:AH$11,Предпосылки!$I$218,),0))*IFERROR(INDEX(AH$10:AH$11,Предпосылки!$I$218,),0),AH438/(1+IFERROR(INDEX(AH$10:AH$11,Предпосылки!$I$219,),0))*IFERROR(INDEX(AH$10:AH$11,Предпосылки!$I$219,),0),AH461/(1+IFERROR(INDEX(AH$10:AH$11,Предпосылки!$I$220,),0))*IFERROR(INDEX(AH$10:AH$11,Предпосылки!$I$220,),0))</f>
        <v>0</v>
      </c>
      <c s="125">
        <f>SUM(AI24/(1+IFERROR(INDEX(AI$10:AI$11,Предпосылки!$I$201,),0))*IFERROR(INDEX(AI$10:AI$11,Предпосылки!$I$201,),0),AI47/(1+IFERROR(INDEX(AI$10:AI$11,Предпосылки!$I$202,),0))*IFERROR(INDEX(AI$10:AI$11,Предпосылки!$I$202,),0),AI70/(1+IFERROR(INDEX(AI$10:AI$11,Предпосылки!$I$203,),0))*IFERROR(INDEX(AI$10:AI$11,Предпосылки!$I$203,),0),AI93/(1+IFERROR(INDEX(AI$10:AI$11,Предпосылки!$I$204,),0))*IFERROR(INDEX(AI$10:AI$11,Предпосылки!$I$204,),0),AI116/(1+IFERROR(INDEX(AI$10:AI$11,Предпосылки!$I$205,),0))*IFERROR(INDEX(AI$10:AI$11,Предпосылки!$I$205,),0),AI139/(1+IFERROR(INDEX(AI$10:AI$11,Предпосылки!$I$206,),0))*IFERROR(INDEX(AI$10:AI$11,Предпосылки!$I$206,),0),AI162/(1+IFERROR(INDEX(AI$10:AI$11,Предпосылки!$I$207,),0))*IFERROR(INDEX(AI$10:AI$11,Предпосылки!$I$207,),0),AI185/(1+IFERROR(INDEX(AI$10:AI$11,Предпосылки!$I$208,),0))*IFERROR(INDEX(AI$10:AI$11,Предпосылки!$I$208,),0),AI208/(1+IFERROR(INDEX(AI$10:AI$11,Предпосылки!$I$209,),0))*IFERROR(INDEX(AI$10:AI$11,Предпосылки!$I$209,),0),AI231/(1+IFERROR(INDEX(AI$10:AI$11,Предпосылки!$I$210,),0))*IFERROR(INDEX(AI$10:AI$11,Предпосылки!$I$210,),0),AI254/(1+IFERROR(INDEX(AI$10:AI$11,Предпосылки!$I$211,),0))*IFERROR(INDEX(AI$10:AI$11,Предпосылки!$I$211,),0),AI277/(1+IFERROR(INDEX(AI$10:AI$11,Предпосылки!$I$212,),0))*IFERROR(INDEX(AI$10:AI$11,Предпосылки!$I$212,),0),AI300/(1+IFERROR(INDEX(AI$10:AI$11,Предпосылки!$I$213,),0))*IFERROR(INDEX(AI$10:AI$11,Предпосылки!$I$213,),0),AI323/(1+IFERROR(INDEX(AI$10:AI$11,Предпосылки!$I$214,),0))*IFERROR(INDEX(AI$10:AI$11,Предпосылки!$I$214,),0),AI346/(1+IFERROR(INDEX(AI$10:AI$11,Предпосылки!$I$215,),0))*IFERROR(INDEX(AI$10:AI$11,Предпосылки!$I$215,),0),AI369/(1+IFERROR(INDEX(AI$10:AI$11,Предпосылки!$I$216,),0))*IFERROR(INDEX(AI$10:AI$11,Предпосылки!$I$216,),0),AI392/(1+IFERROR(INDEX(AI$10:AI$11,Предпосылки!$I$217,),0))*IFERROR(INDEX(AI$10:AI$11,Предпосылки!$I$217,),0),AI415/(1+IFERROR(INDEX(AI$10:AI$11,Предпосылки!$I$218,),0))*IFERROR(INDEX(AI$10:AI$11,Предпосылки!$I$218,),0),AI438/(1+IFERROR(INDEX(AI$10:AI$11,Предпосылки!$I$219,),0))*IFERROR(INDEX(AI$10:AI$11,Предпосылки!$I$219,),0),AI461/(1+IFERROR(INDEX(AI$10:AI$11,Предпосылки!$I$220,),0))*IFERROR(INDEX(AI$10:AI$11,Предпосылки!$I$220,),0))</f>
        <v>0</v>
      </c>
      <c s="125">
        <f>SUM(AJ24/(1+IFERROR(INDEX(AJ$10:AJ$11,Предпосылки!$I$201,),0))*IFERROR(INDEX(AJ$10:AJ$11,Предпосылки!$I$201,),0),AJ47/(1+IFERROR(INDEX(AJ$10:AJ$11,Предпосылки!$I$202,),0))*IFERROR(INDEX(AJ$10:AJ$11,Предпосылки!$I$202,),0),AJ70/(1+IFERROR(INDEX(AJ$10:AJ$11,Предпосылки!$I$203,),0))*IFERROR(INDEX(AJ$10:AJ$11,Предпосылки!$I$203,),0),AJ93/(1+IFERROR(INDEX(AJ$10:AJ$11,Предпосылки!$I$204,),0))*IFERROR(INDEX(AJ$10:AJ$11,Предпосылки!$I$204,),0),AJ116/(1+IFERROR(INDEX(AJ$10:AJ$11,Предпосылки!$I$205,),0))*IFERROR(INDEX(AJ$10:AJ$11,Предпосылки!$I$205,),0),AJ139/(1+IFERROR(INDEX(AJ$10:AJ$11,Предпосылки!$I$206,),0))*IFERROR(INDEX(AJ$10:AJ$11,Предпосылки!$I$206,),0),AJ162/(1+IFERROR(INDEX(AJ$10:AJ$11,Предпосылки!$I$207,),0))*IFERROR(INDEX(AJ$10:AJ$11,Предпосылки!$I$207,),0),AJ185/(1+IFERROR(INDEX(AJ$10:AJ$11,Предпосылки!$I$208,),0))*IFERROR(INDEX(AJ$10:AJ$11,Предпосылки!$I$208,),0),AJ208/(1+IFERROR(INDEX(AJ$10:AJ$11,Предпосылки!$I$209,),0))*IFERROR(INDEX(AJ$10:AJ$11,Предпосылки!$I$209,),0),AJ231/(1+IFERROR(INDEX(AJ$10:AJ$11,Предпосылки!$I$210,),0))*IFERROR(INDEX(AJ$10:AJ$11,Предпосылки!$I$210,),0),AJ254/(1+IFERROR(INDEX(AJ$10:AJ$11,Предпосылки!$I$211,),0))*IFERROR(INDEX(AJ$10:AJ$11,Предпосылки!$I$211,),0),AJ277/(1+IFERROR(INDEX(AJ$10:AJ$11,Предпосылки!$I$212,),0))*IFERROR(INDEX(AJ$10:AJ$11,Предпосылки!$I$212,),0),AJ300/(1+IFERROR(INDEX(AJ$10:AJ$11,Предпосылки!$I$213,),0))*IFERROR(INDEX(AJ$10:AJ$11,Предпосылки!$I$213,),0),AJ323/(1+IFERROR(INDEX(AJ$10:AJ$11,Предпосылки!$I$214,),0))*IFERROR(INDEX(AJ$10:AJ$11,Предпосылки!$I$214,),0),AJ346/(1+IFERROR(INDEX(AJ$10:AJ$11,Предпосылки!$I$215,),0))*IFERROR(INDEX(AJ$10:AJ$11,Предпосылки!$I$215,),0),AJ369/(1+IFERROR(INDEX(AJ$10:AJ$11,Предпосылки!$I$216,),0))*IFERROR(INDEX(AJ$10:AJ$11,Предпосылки!$I$216,),0),AJ392/(1+IFERROR(INDEX(AJ$10:AJ$11,Предпосылки!$I$217,),0))*IFERROR(INDEX(AJ$10:AJ$11,Предпосылки!$I$217,),0),AJ415/(1+IFERROR(INDEX(AJ$10:AJ$11,Предпосылки!$I$218,),0))*IFERROR(INDEX(AJ$10:AJ$11,Предпосылки!$I$218,),0),AJ438/(1+IFERROR(INDEX(AJ$10:AJ$11,Предпосылки!$I$219,),0))*IFERROR(INDEX(AJ$10:AJ$11,Предпосылки!$I$219,),0),AJ461/(1+IFERROR(INDEX(AJ$10:AJ$11,Предпосылки!$I$220,),0))*IFERROR(INDEX(AJ$10:AJ$11,Предпосылки!$I$220,),0))</f>
        <v>0</v>
      </c>
      <c s="125">
        <f>SUM(AK24/(1+IFERROR(INDEX(AK$10:AK$11,Предпосылки!$I$201,),0))*IFERROR(INDEX(AK$10:AK$11,Предпосылки!$I$201,),0),AK47/(1+IFERROR(INDEX(AK$10:AK$11,Предпосылки!$I$202,),0))*IFERROR(INDEX(AK$10:AK$11,Предпосылки!$I$202,),0),AK70/(1+IFERROR(INDEX(AK$10:AK$11,Предпосылки!$I$203,),0))*IFERROR(INDEX(AK$10:AK$11,Предпосылки!$I$203,),0),AK93/(1+IFERROR(INDEX(AK$10:AK$11,Предпосылки!$I$204,),0))*IFERROR(INDEX(AK$10:AK$11,Предпосылки!$I$204,),0),AK116/(1+IFERROR(INDEX(AK$10:AK$11,Предпосылки!$I$205,),0))*IFERROR(INDEX(AK$10:AK$11,Предпосылки!$I$205,),0),AK139/(1+IFERROR(INDEX(AK$10:AK$11,Предпосылки!$I$206,),0))*IFERROR(INDEX(AK$10:AK$11,Предпосылки!$I$206,),0),AK162/(1+IFERROR(INDEX(AK$10:AK$11,Предпосылки!$I$207,),0))*IFERROR(INDEX(AK$10:AK$11,Предпосылки!$I$207,),0),AK185/(1+IFERROR(INDEX(AK$10:AK$11,Предпосылки!$I$208,),0))*IFERROR(INDEX(AK$10:AK$11,Предпосылки!$I$208,),0),AK208/(1+IFERROR(INDEX(AK$10:AK$11,Предпосылки!$I$209,),0))*IFERROR(INDEX(AK$10:AK$11,Предпосылки!$I$209,),0),AK231/(1+IFERROR(INDEX(AK$10:AK$11,Предпосылки!$I$210,),0))*IFERROR(INDEX(AK$10:AK$11,Предпосылки!$I$210,),0),AK254/(1+IFERROR(INDEX(AK$10:AK$11,Предпосылки!$I$211,),0))*IFERROR(INDEX(AK$10:AK$11,Предпосылки!$I$211,),0),AK277/(1+IFERROR(INDEX(AK$10:AK$11,Предпосылки!$I$212,),0))*IFERROR(INDEX(AK$10:AK$11,Предпосылки!$I$212,),0),AK300/(1+IFERROR(INDEX(AK$10:AK$11,Предпосылки!$I$213,),0))*IFERROR(INDEX(AK$10:AK$11,Предпосылки!$I$213,),0),AK323/(1+IFERROR(INDEX(AK$10:AK$11,Предпосылки!$I$214,),0))*IFERROR(INDEX(AK$10:AK$11,Предпосылки!$I$214,),0),AK346/(1+IFERROR(INDEX(AK$10:AK$11,Предпосылки!$I$215,),0))*IFERROR(INDEX(AK$10:AK$11,Предпосылки!$I$215,),0),AK369/(1+IFERROR(INDEX(AK$10:AK$11,Предпосылки!$I$216,),0))*IFERROR(INDEX(AK$10:AK$11,Предпосылки!$I$216,),0),AK392/(1+IFERROR(INDEX(AK$10:AK$11,Предпосылки!$I$217,),0))*IFERROR(INDEX(AK$10:AK$11,Предпосылки!$I$217,),0),AK415/(1+IFERROR(INDEX(AK$10:AK$11,Предпосылки!$I$218,),0))*IFERROR(INDEX(AK$10:AK$11,Предпосылки!$I$218,),0),AK438/(1+IFERROR(INDEX(AK$10:AK$11,Предпосылки!$I$219,),0))*IFERROR(INDEX(AK$10:AK$11,Предпосылки!$I$219,),0),AK461/(1+IFERROR(INDEX(AK$10:AK$11,Предпосылки!$I$220,),0))*IFERROR(INDEX(AK$10:AK$11,Предпосылки!$I$220,),0))</f>
        <v>0</v>
      </c>
      <c s="125">
        <f>SUM(AL24/(1+IFERROR(INDEX(AL$10:AL$11,Предпосылки!$I$201,),0))*IFERROR(INDEX(AL$10:AL$11,Предпосылки!$I$201,),0),AL47/(1+IFERROR(INDEX(AL$10:AL$11,Предпосылки!$I$202,),0))*IFERROR(INDEX(AL$10:AL$11,Предпосылки!$I$202,),0),AL70/(1+IFERROR(INDEX(AL$10:AL$11,Предпосылки!$I$203,),0))*IFERROR(INDEX(AL$10:AL$11,Предпосылки!$I$203,),0),AL93/(1+IFERROR(INDEX(AL$10:AL$11,Предпосылки!$I$204,),0))*IFERROR(INDEX(AL$10:AL$11,Предпосылки!$I$204,),0),AL116/(1+IFERROR(INDEX(AL$10:AL$11,Предпосылки!$I$205,),0))*IFERROR(INDEX(AL$10:AL$11,Предпосылки!$I$205,),0),AL139/(1+IFERROR(INDEX(AL$10:AL$11,Предпосылки!$I$206,),0))*IFERROR(INDEX(AL$10:AL$11,Предпосылки!$I$206,),0),AL162/(1+IFERROR(INDEX(AL$10:AL$11,Предпосылки!$I$207,),0))*IFERROR(INDEX(AL$10:AL$11,Предпосылки!$I$207,),0),AL185/(1+IFERROR(INDEX(AL$10:AL$11,Предпосылки!$I$208,),0))*IFERROR(INDEX(AL$10:AL$11,Предпосылки!$I$208,),0),AL208/(1+IFERROR(INDEX(AL$10:AL$11,Предпосылки!$I$209,),0))*IFERROR(INDEX(AL$10:AL$11,Предпосылки!$I$209,),0),AL231/(1+IFERROR(INDEX(AL$10:AL$11,Предпосылки!$I$210,),0))*IFERROR(INDEX(AL$10:AL$11,Предпосылки!$I$210,),0),AL254/(1+IFERROR(INDEX(AL$10:AL$11,Предпосылки!$I$211,),0))*IFERROR(INDEX(AL$10:AL$11,Предпосылки!$I$211,),0),AL277/(1+IFERROR(INDEX(AL$10:AL$11,Предпосылки!$I$212,),0))*IFERROR(INDEX(AL$10:AL$11,Предпосылки!$I$212,),0),AL300/(1+IFERROR(INDEX(AL$10:AL$11,Предпосылки!$I$213,),0))*IFERROR(INDEX(AL$10:AL$11,Предпосылки!$I$213,),0),AL323/(1+IFERROR(INDEX(AL$10:AL$11,Предпосылки!$I$214,),0))*IFERROR(INDEX(AL$10:AL$11,Предпосылки!$I$214,),0),AL346/(1+IFERROR(INDEX(AL$10:AL$11,Предпосылки!$I$215,),0))*IFERROR(INDEX(AL$10:AL$11,Предпосылки!$I$215,),0),AL369/(1+IFERROR(INDEX(AL$10:AL$11,Предпосылки!$I$216,),0))*IFERROR(INDEX(AL$10:AL$11,Предпосылки!$I$216,),0),AL392/(1+IFERROR(INDEX(AL$10:AL$11,Предпосылки!$I$217,),0))*IFERROR(INDEX(AL$10:AL$11,Предпосылки!$I$217,),0),AL415/(1+IFERROR(INDEX(AL$10:AL$11,Предпосылки!$I$218,),0))*IFERROR(INDEX(AL$10:AL$11,Предпосылки!$I$218,),0),AL438/(1+IFERROR(INDEX(AL$10:AL$11,Предпосылки!$I$219,),0))*IFERROR(INDEX(AL$10:AL$11,Предпосылки!$I$219,),0),AL461/(1+IFERROR(INDEX(AL$10:AL$11,Предпосылки!$I$220,),0))*IFERROR(INDEX(AL$10:AL$11,Предпосылки!$I$220,),0))</f>
        <v>0</v>
      </c>
      <c s="125">
        <f>SUM(AM24/(1+IFERROR(INDEX(AM$10:AM$11,Предпосылки!$I$201,),0))*IFERROR(INDEX(AM$10:AM$11,Предпосылки!$I$201,),0),AM47/(1+IFERROR(INDEX(AM$10:AM$11,Предпосылки!$I$202,),0))*IFERROR(INDEX(AM$10:AM$11,Предпосылки!$I$202,),0),AM70/(1+IFERROR(INDEX(AM$10:AM$11,Предпосылки!$I$203,),0))*IFERROR(INDEX(AM$10:AM$11,Предпосылки!$I$203,),0),AM93/(1+IFERROR(INDEX(AM$10:AM$11,Предпосылки!$I$204,),0))*IFERROR(INDEX(AM$10:AM$11,Предпосылки!$I$204,),0),AM116/(1+IFERROR(INDEX(AM$10:AM$11,Предпосылки!$I$205,),0))*IFERROR(INDEX(AM$10:AM$11,Предпосылки!$I$205,),0),AM139/(1+IFERROR(INDEX(AM$10:AM$11,Предпосылки!$I$206,),0))*IFERROR(INDEX(AM$10:AM$11,Предпосылки!$I$206,),0),AM162/(1+IFERROR(INDEX(AM$10:AM$11,Предпосылки!$I$207,),0))*IFERROR(INDEX(AM$10:AM$11,Предпосылки!$I$207,),0),AM185/(1+IFERROR(INDEX(AM$10:AM$11,Предпосылки!$I$208,),0))*IFERROR(INDEX(AM$10:AM$11,Предпосылки!$I$208,),0),AM208/(1+IFERROR(INDEX(AM$10:AM$11,Предпосылки!$I$209,),0))*IFERROR(INDEX(AM$10:AM$11,Предпосылки!$I$209,),0),AM231/(1+IFERROR(INDEX(AM$10:AM$11,Предпосылки!$I$210,),0))*IFERROR(INDEX(AM$10:AM$11,Предпосылки!$I$210,),0),AM254/(1+IFERROR(INDEX(AM$10:AM$11,Предпосылки!$I$211,),0))*IFERROR(INDEX(AM$10:AM$11,Предпосылки!$I$211,),0),AM277/(1+IFERROR(INDEX(AM$10:AM$11,Предпосылки!$I$212,),0))*IFERROR(INDEX(AM$10:AM$11,Предпосылки!$I$212,),0),AM300/(1+IFERROR(INDEX(AM$10:AM$11,Предпосылки!$I$213,),0))*IFERROR(INDEX(AM$10:AM$11,Предпосылки!$I$213,),0),AM323/(1+IFERROR(INDEX(AM$10:AM$11,Предпосылки!$I$214,),0))*IFERROR(INDEX(AM$10:AM$11,Предпосылки!$I$214,),0),AM346/(1+IFERROR(INDEX(AM$10:AM$11,Предпосылки!$I$215,),0))*IFERROR(INDEX(AM$10:AM$11,Предпосылки!$I$215,),0),AM369/(1+IFERROR(INDEX(AM$10:AM$11,Предпосылки!$I$216,),0))*IFERROR(INDEX(AM$10:AM$11,Предпосылки!$I$216,),0),AM392/(1+IFERROR(INDEX(AM$10:AM$11,Предпосылки!$I$217,),0))*IFERROR(INDEX(AM$10:AM$11,Предпосылки!$I$217,),0),AM415/(1+IFERROR(INDEX(AM$10:AM$11,Предпосылки!$I$218,),0))*IFERROR(INDEX(AM$10:AM$11,Предпосылки!$I$218,),0),AM438/(1+IFERROR(INDEX(AM$10:AM$11,Предпосылки!$I$219,),0))*IFERROR(INDEX(AM$10:AM$11,Предпосылки!$I$219,),0),AM461/(1+IFERROR(INDEX(AM$10:AM$11,Предпосылки!$I$220,),0))*IFERROR(INDEX(AM$10:AM$11,Предпосылки!$I$220,),0))</f>
        <v>0</v>
      </c>
      <c s="125">
        <f>SUM(AN24/(1+IFERROR(INDEX(AN$10:AN$11,Предпосылки!$I$201,),0))*IFERROR(INDEX(AN$10:AN$11,Предпосылки!$I$201,),0),AN47/(1+IFERROR(INDEX(AN$10:AN$11,Предпосылки!$I$202,),0))*IFERROR(INDEX(AN$10:AN$11,Предпосылки!$I$202,),0),AN70/(1+IFERROR(INDEX(AN$10:AN$11,Предпосылки!$I$203,),0))*IFERROR(INDEX(AN$10:AN$11,Предпосылки!$I$203,),0),AN93/(1+IFERROR(INDEX(AN$10:AN$11,Предпосылки!$I$204,),0))*IFERROR(INDEX(AN$10:AN$11,Предпосылки!$I$204,),0),AN116/(1+IFERROR(INDEX(AN$10:AN$11,Предпосылки!$I$205,),0))*IFERROR(INDEX(AN$10:AN$11,Предпосылки!$I$205,),0),AN139/(1+IFERROR(INDEX(AN$10:AN$11,Предпосылки!$I$206,),0))*IFERROR(INDEX(AN$10:AN$11,Предпосылки!$I$206,),0),AN162/(1+IFERROR(INDEX(AN$10:AN$11,Предпосылки!$I$207,),0))*IFERROR(INDEX(AN$10:AN$11,Предпосылки!$I$207,),0),AN185/(1+IFERROR(INDEX(AN$10:AN$11,Предпосылки!$I$208,),0))*IFERROR(INDEX(AN$10:AN$11,Предпосылки!$I$208,),0),AN208/(1+IFERROR(INDEX(AN$10:AN$11,Предпосылки!$I$209,),0))*IFERROR(INDEX(AN$10:AN$11,Предпосылки!$I$209,),0),AN231/(1+IFERROR(INDEX(AN$10:AN$11,Предпосылки!$I$210,),0))*IFERROR(INDEX(AN$10:AN$11,Предпосылки!$I$210,),0),AN254/(1+IFERROR(INDEX(AN$10:AN$11,Предпосылки!$I$211,),0))*IFERROR(INDEX(AN$10:AN$11,Предпосылки!$I$211,),0),AN277/(1+IFERROR(INDEX(AN$10:AN$11,Предпосылки!$I$212,),0))*IFERROR(INDEX(AN$10:AN$11,Предпосылки!$I$212,),0),AN300/(1+IFERROR(INDEX(AN$10:AN$11,Предпосылки!$I$213,),0))*IFERROR(INDEX(AN$10:AN$11,Предпосылки!$I$213,),0),AN323/(1+IFERROR(INDEX(AN$10:AN$11,Предпосылки!$I$214,),0))*IFERROR(INDEX(AN$10:AN$11,Предпосылки!$I$214,),0),AN346/(1+IFERROR(INDEX(AN$10:AN$11,Предпосылки!$I$215,),0))*IFERROR(INDEX(AN$10:AN$11,Предпосылки!$I$215,),0),AN369/(1+IFERROR(INDEX(AN$10:AN$11,Предпосылки!$I$216,),0))*IFERROR(INDEX(AN$10:AN$11,Предпосылки!$I$216,),0),AN392/(1+IFERROR(INDEX(AN$10:AN$11,Предпосылки!$I$217,),0))*IFERROR(INDEX(AN$10:AN$11,Предпосылки!$I$217,),0),AN415/(1+IFERROR(INDEX(AN$10:AN$11,Предпосылки!$I$218,),0))*IFERROR(INDEX(AN$10:AN$11,Предпосылки!$I$218,),0),AN438/(1+IFERROR(INDEX(AN$10:AN$11,Предпосылки!$I$219,),0))*IFERROR(INDEX(AN$10:AN$11,Предпосылки!$I$219,),0),AN461/(1+IFERROR(INDEX(AN$10:AN$11,Предпосылки!$I$220,),0))*IFERROR(INDEX(AN$10:AN$11,Предпосылки!$I$220,),0))</f>
        <v>0</v>
      </c>
      <c s="125">
        <f>SUM(AO24/(1+IFERROR(INDEX(AO$10:AO$11,Предпосылки!$I$201,),0))*IFERROR(INDEX(AO$10:AO$11,Предпосылки!$I$201,),0),AO47/(1+IFERROR(INDEX(AO$10:AO$11,Предпосылки!$I$202,),0))*IFERROR(INDEX(AO$10:AO$11,Предпосылки!$I$202,),0),AO70/(1+IFERROR(INDEX(AO$10:AO$11,Предпосылки!$I$203,),0))*IFERROR(INDEX(AO$10:AO$11,Предпосылки!$I$203,),0),AO93/(1+IFERROR(INDEX(AO$10:AO$11,Предпосылки!$I$204,),0))*IFERROR(INDEX(AO$10:AO$11,Предпосылки!$I$204,),0),AO116/(1+IFERROR(INDEX(AO$10:AO$11,Предпосылки!$I$205,),0))*IFERROR(INDEX(AO$10:AO$11,Предпосылки!$I$205,),0),AO139/(1+IFERROR(INDEX(AO$10:AO$11,Предпосылки!$I$206,),0))*IFERROR(INDEX(AO$10:AO$11,Предпосылки!$I$206,),0),AO162/(1+IFERROR(INDEX(AO$10:AO$11,Предпосылки!$I$207,),0))*IFERROR(INDEX(AO$10:AO$11,Предпосылки!$I$207,),0),AO185/(1+IFERROR(INDEX(AO$10:AO$11,Предпосылки!$I$208,),0))*IFERROR(INDEX(AO$10:AO$11,Предпосылки!$I$208,),0),AO208/(1+IFERROR(INDEX(AO$10:AO$11,Предпосылки!$I$209,),0))*IFERROR(INDEX(AO$10:AO$11,Предпосылки!$I$209,),0),AO231/(1+IFERROR(INDEX(AO$10:AO$11,Предпосылки!$I$210,),0))*IFERROR(INDEX(AO$10:AO$11,Предпосылки!$I$210,),0),AO254/(1+IFERROR(INDEX(AO$10:AO$11,Предпосылки!$I$211,),0))*IFERROR(INDEX(AO$10:AO$11,Предпосылки!$I$211,),0),AO277/(1+IFERROR(INDEX(AO$10:AO$11,Предпосылки!$I$212,),0))*IFERROR(INDEX(AO$10:AO$11,Предпосылки!$I$212,),0),AO300/(1+IFERROR(INDEX(AO$10:AO$11,Предпосылки!$I$213,),0))*IFERROR(INDEX(AO$10:AO$11,Предпосылки!$I$213,),0),AO323/(1+IFERROR(INDEX(AO$10:AO$11,Предпосылки!$I$214,),0))*IFERROR(INDEX(AO$10:AO$11,Предпосылки!$I$214,),0),AO346/(1+IFERROR(INDEX(AO$10:AO$11,Предпосылки!$I$215,),0))*IFERROR(INDEX(AO$10:AO$11,Предпосылки!$I$215,),0),AO369/(1+IFERROR(INDEX(AO$10:AO$11,Предпосылки!$I$216,),0))*IFERROR(INDEX(AO$10:AO$11,Предпосылки!$I$216,),0),AO392/(1+IFERROR(INDEX(AO$10:AO$11,Предпосылки!$I$217,),0))*IFERROR(INDEX(AO$10:AO$11,Предпосылки!$I$217,),0),AO415/(1+IFERROR(INDEX(AO$10:AO$11,Предпосылки!$I$218,),0))*IFERROR(INDEX(AO$10:AO$11,Предпосылки!$I$218,),0),AO438/(1+IFERROR(INDEX(AO$10:AO$11,Предпосылки!$I$219,),0))*IFERROR(INDEX(AO$10:AO$11,Предпосылки!$I$219,),0),AO461/(1+IFERROR(INDEX(AO$10:AO$11,Предпосылки!$I$220,),0))*IFERROR(INDEX(AO$10:AO$11,Предпосылки!$I$220,),0))</f>
        <v>0</v>
      </c>
      <c s="125">
        <f>SUM(AP24/(1+IFERROR(INDEX(AP$10:AP$11,Предпосылки!$I$201,),0))*IFERROR(INDEX(AP$10:AP$11,Предпосылки!$I$201,),0),AP47/(1+IFERROR(INDEX(AP$10:AP$11,Предпосылки!$I$202,),0))*IFERROR(INDEX(AP$10:AP$11,Предпосылки!$I$202,),0),AP70/(1+IFERROR(INDEX(AP$10:AP$11,Предпосылки!$I$203,),0))*IFERROR(INDEX(AP$10:AP$11,Предпосылки!$I$203,),0),AP93/(1+IFERROR(INDEX(AP$10:AP$11,Предпосылки!$I$204,),0))*IFERROR(INDEX(AP$10:AP$11,Предпосылки!$I$204,),0),AP116/(1+IFERROR(INDEX(AP$10:AP$11,Предпосылки!$I$205,),0))*IFERROR(INDEX(AP$10:AP$11,Предпосылки!$I$205,),0),AP139/(1+IFERROR(INDEX(AP$10:AP$11,Предпосылки!$I$206,),0))*IFERROR(INDEX(AP$10:AP$11,Предпосылки!$I$206,),0),AP162/(1+IFERROR(INDEX(AP$10:AP$11,Предпосылки!$I$207,),0))*IFERROR(INDEX(AP$10:AP$11,Предпосылки!$I$207,),0),AP185/(1+IFERROR(INDEX(AP$10:AP$11,Предпосылки!$I$208,),0))*IFERROR(INDEX(AP$10:AP$11,Предпосылки!$I$208,),0),AP208/(1+IFERROR(INDEX(AP$10:AP$11,Предпосылки!$I$209,),0))*IFERROR(INDEX(AP$10:AP$11,Предпосылки!$I$209,),0),AP231/(1+IFERROR(INDEX(AP$10:AP$11,Предпосылки!$I$210,),0))*IFERROR(INDEX(AP$10:AP$11,Предпосылки!$I$210,),0),AP254/(1+IFERROR(INDEX(AP$10:AP$11,Предпосылки!$I$211,),0))*IFERROR(INDEX(AP$10:AP$11,Предпосылки!$I$211,),0),AP277/(1+IFERROR(INDEX(AP$10:AP$11,Предпосылки!$I$212,),0))*IFERROR(INDEX(AP$10:AP$11,Предпосылки!$I$212,),0),AP300/(1+IFERROR(INDEX(AP$10:AP$11,Предпосылки!$I$213,),0))*IFERROR(INDEX(AP$10:AP$11,Предпосылки!$I$213,),0),AP323/(1+IFERROR(INDEX(AP$10:AP$11,Предпосылки!$I$214,),0))*IFERROR(INDEX(AP$10:AP$11,Предпосылки!$I$214,),0),AP346/(1+IFERROR(INDEX(AP$10:AP$11,Предпосылки!$I$215,),0))*IFERROR(INDEX(AP$10:AP$11,Предпосылки!$I$215,),0),AP369/(1+IFERROR(INDEX(AP$10:AP$11,Предпосылки!$I$216,),0))*IFERROR(INDEX(AP$10:AP$11,Предпосылки!$I$216,),0),AP392/(1+IFERROR(INDEX(AP$10:AP$11,Предпосылки!$I$217,),0))*IFERROR(INDEX(AP$10:AP$11,Предпосылки!$I$217,),0),AP415/(1+IFERROR(INDEX(AP$10:AP$11,Предпосылки!$I$218,),0))*IFERROR(INDEX(AP$10:AP$11,Предпосылки!$I$218,),0),AP438/(1+IFERROR(INDEX(AP$10:AP$11,Предпосылки!$I$219,),0))*IFERROR(INDEX(AP$10:AP$11,Предпосылки!$I$219,),0),AP461/(1+IFERROR(INDEX(AP$10:AP$11,Предпосылки!$I$220,),0))*IFERROR(INDEX(AP$10:AP$11,Предпосылки!$I$220,),0))</f>
        <v>0</v>
      </c>
      <c s="125">
        <f>SUM(AQ24/(1+IFERROR(INDEX(AQ$10:AQ$11,Предпосылки!$I$201,),0))*IFERROR(INDEX(AQ$10:AQ$11,Предпосылки!$I$201,),0),AQ47/(1+IFERROR(INDEX(AQ$10:AQ$11,Предпосылки!$I$202,),0))*IFERROR(INDEX(AQ$10:AQ$11,Предпосылки!$I$202,),0),AQ70/(1+IFERROR(INDEX(AQ$10:AQ$11,Предпосылки!$I$203,),0))*IFERROR(INDEX(AQ$10:AQ$11,Предпосылки!$I$203,),0),AQ93/(1+IFERROR(INDEX(AQ$10:AQ$11,Предпосылки!$I$204,),0))*IFERROR(INDEX(AQ$10:AQ$11,Предпосылки!$I$204,),0),AQ116/(1+IFERROR(INDEX(AQ$10:AQ$11,Предпосылки!$I$205,),0))*IFERROR(INDEX(AQ$10:AQ$11,Предпосылки!$I$205,),0),AQ139/(1+IFERROR(INDEX(AQ$10:AQ$11,Предпосылки!$I$206,),0))*IFERROR(INDEX(AQ$10:AQ$11,Предпосылки!$I$206,),0),AQ162/(1+IFERROR(INDEX(AQ$10:AQ$11,Предпосылки!$I$207,),0))*IFERROR(INDEX(AQ$10:AQ$11,Предпосылки!$I$207,),0),AQ185/(1+IFERROR(INDEX(AQ$10:AQ$11,Предпосылки!$I$208,),0))*IFERROR(INDEX(AQ$10:AQ$11,Предпосылки!$I$208,),0),AQ208/(1+IFERROR(INDEX(AQ$10:AQ$11,Предпосылки!$I$209,),0))*IFERROR(INDEX(AQ$10:AQ$11,Предпосылки!$I$209,),0),AQ231/(1+IFERROR(INDEX(AQ$10:AQ$11,Предпосылки!$I$210,),0))*IFERROR(INDEX(AQ$10:AQ$11,Предпосылки!$I$210,),0),AQ254/(1+IFERROR(INDEX(AQ$10:AQ$11,Предпосылки!$I$211,),0))*IFERROR(INDEX(AQ$10:AQ$11,Предпосылки!$I$211,),0),AQ277/(1+IFERROR(INDEX(AQ$10:AQ$11,Предпосылки!$I$212,),0))*IFERROR(INDEX(AQ$10:AQ$11,Предпосылки!$I$212,),0),AQ300/(1+IFERROR(INDEX(AQ$10:AQ$11,Предпосылки!$I$213,),0))*IFERROR(INDEX(AQ$10:AQ$11,Предпосылки!$I$213,),0),AQ323/(1+IFERROR(INDEX(AQ$10:AQ$11,Предпосылки!$I$214,),0))*IFERROR(INDEX(AQ$10:AQ$11,Предпосылки!$I$214,),0),AQ346/(1+IFERROR(INDEX(AQ$10:AQ$11,Предпосылки!$I$215,),0))*IFERROR(INDEX(AQ$10:AQ$11,Предпосылки!$I$215,),0),AQ369/(1+IFERROR(INDEX(AQ$10:AQ$11,Предпосылки!$I$216,),0))*IFERROR(INDEX(AQ$10:AQ$11,Предпосылки!$I$216,),0),AQ392/(1+IFERROR(INDEX(AQ$10:AQ$11,Предпосылки!$I$217,),0))*IFERROR(INDEX(AQ$10:AQ$11,Предпосылки!$I$217,),0),AQ415/(1+IFERROR(INDEX(AQ$10:AQ$11,Предпосылки!$I$218,),0))*IFERROR(INDEX(AQ$10:AQ$11,Предпосылки!$I$218,),0),AQ438/(1+IFERROR(INDEX(AQ$10:AQ$11,Предпосылки!$I$219,),0))*IFERROR(INDEX(AQ$10:AQ$11,Предпосылки!$I$219,),0),AQ461/(1+IFERROR(INDEX(AQ$10:AQ$11,Предпосылки!$I$220,),0))*IFERROR(INDEX(AQ$10:AQ$11,Предпосылки!$I$220,),0))</f>
        <v>0</v>
      </c>
      <c s="125">
        <f>SUM(AR24/(1+IFERROR(INDEX(AR$10:AR$11,Предпосылки!$I$201,),0))*IFERROR(INDEX(AR$10:AR$11,Предпосылки!$I$201,),0),AR47/(1+IFERROR(INDEX(AR$10:AR$11,Предпосылки!$I$202,),0))*IFERROR(INDEX(AR$10:AR$11,Предпосылки!$I$202,),0),AR70/(1+IFERROR(INDEX(AR$10:AR$11,Предпосылки!$I$203,),0))*IFERROR(INDEX(AR$10:AR$11,Предпосылки!$I$203,),0),AR93/(1+IFERROR(INDEX(AR$10:AR$11,Предпосылки!$I$204,),0))*IFERROR(INDEX(AR$10:AR$11,Предпосылки!$I$204,),0),AR116/(1+IFERROR(INDEX(AR$10:AR$11,Предпосылки!$I$205,),0))*IFERROR(INDEX(AR$10:AR$11,Предпосылки!$I$205,),0),AR139/(1+IFERROR(INDEX(AR$10:AR$11,Предпосылки!$I$206,),0))*IFERROR(INDEX(AR$10:AR$11,Предпосылки!$I$206,),0),AR162/(1+IFERROR(INDEX(AR$10:AR$11,Предпосылки!$I$207,),0))*IFERROR(INDEX(AR$10:AR$11,Предпосылки!$I$207,),0),AR185/(1+IFERROR(INDEX(AR$10:AR$11,Предпосылки!$I$208,),0))*IFERROR(INDEX(AR$10:AR$11,Предпосылки!$I$208,),0),AR208/(1+IFERROR(INDEX(AR$10:AR$11,Предпосылки!$I$209,),0))*IFERROR(INDEX(AR$10:AR$11,Предпосылки!$I$209,),0),AR231/(1+IFERROR(INDEX(AR$10:AR$11,Предпосылки!$I$210,),0))*IFERROR(INDEX(AR$10:AR$11,Предпосылки!$I$210,),0),AR254/(1+IFERROR(INDEX(AR$10:AR$11,Предпосылки!$I$211,),0))*IFERROR(INDEX(AR$10:AR$11,Предпосылки!$I$211,),0),AR277/(1+IFERROR(INDEX(AR$10:AR$11,Предпосылки!$I$212,),0))*IFERROR(INDEX(AR$10:AR$11,Предпосылки!$I$212,),0),AR300/(1+IFERROR(INDEX(AR$10:AR$11,Предпосылки!$I$213,),0))*IFERROR(INDEX(AR$10:AR$11,Предпосылки!$I$213,),0),AR323/(1+IFERROR(INDEX(AR$10:AR$11,Предпосылки!$I$214,),0))*IFERROR(INDEX(AR$10:AR$11,Предпосылки!$I$214,),0),AR346/(1+IFERROR(INDEX(AR$10:AR$11,Предпосылки!$I$215,),0))*IFERROR(INDEX(AR$10:AR$11,Предпосылки!$I$215,),0),AR369/(1+IFERROR(INDEX(AR$10:AR$11,Предпосылки!$I$216,),0))*IFERROR(INDEX(AR$10:AR$11,Предпосылки!$I$216,),0),AR392/(1+IFERROR(INDEX(AR$10:AR$11,Предпосылки!$I$217,),0))*IFERROR(INDEX(AR$10:AR$11,Предпосылки!$I$217,),0),AR415/(1+IFERROR(INDEX(AR$10:AR$11,Предпосылки!$I$218,),0))*IFERROR(INDEX(AR$10:AR$11,Предпосылки!$I$218,),0),AR438/(1+IFERROR(INDEX(AR$10:AR$11,Предпосылки!$I$219,),0))*IFERROR(INDEX(AR$10:AR$11,Предпосылки!$I$219,),0),AR461/(1+IFERROR(INDEX(AR$10:AR$11,Предпосылки!$I$220,),0))*IFERROR(INDEX(AR$10:AR$11,Предпосылки!$I$220,),0))</f>
        <v>0</v>
      </c>
      <c s="125">
        <f>SUM(AS24/(1+IFERROR(INDEX(AS$10:AS$11,Предпосылки!$I$201,),0))*IFERROR(INDEX(AS$10:AS$11,Предпосылки!$I$201,),0),AS47/(1+IFERROR(INDEX(AS$10:AS$11,Предпосылки!$I$202,),0))*IFERROR(INDEX(AS$10:AS$11,Предпосылки!$I$202,),0),AS70/(1+IFERROR(INDEX(AS$10:AS$11,Предпосылки!$I$203,),0))*IFERROR(INDEX(AS$10:AS$11,Предпосылки!$I$203,),0),AS93/(1+IFERROR(INDEX(AS$10:AS$11,Предпосылки!$I$204,),0))*IFERROR(INDEX(AS$10:AS$11,Предпосылки!$I$204,),0),AS116/(1+IFERROR(INDEX(AS$10:AS$11,Предпосылки!$I$205,),0))*IFERROR(INDEX(AS$10:AS$11,Предпосылки!$I$205,),0),AS139/(1+IFERROR(INDEX(AS$10:AS$11,Предпосылки!$I$206,),0))*IFERROR(INDEX(AS$10:AS$11,Предпосылки!$I$206,),0),AS162/(1+IFERROR(INDEX(AS$10:AS$11,Предпосылки!$I$207,),0))*IFERROR(INDEX(AS$10:AS$11,Предпосылки!$I$207,),0),AS185/(1+IFERROR(INDEX(AS$10:AS$11,Предпосылки!$I$208,),0))*IFERROR(INDEX(AS$10:AS$11,Предпосылки!$I$208,),0),AS208/(1+IFERROR(INDEX(AS$10:AS$11,Предпосылки!$I$209,),0))*IFERROR(INDEX(AS$10:AS$11,Предпосылки!$I$209,),0),AS231/(1+IFERROR(INDEX(AS$10:AS$11,Предпосылки!$I$210,),0))*IFERROR(INDEX(AS$10:AS$11,Предпосылки!$I$210,),0),AS254/(1+IFERROR(INDEX(AS$10:AS$11,Предпосылки!$I$211,),0))*IFERROR(INDEX(AS$10:AS$11,Предпосылки!$I$211,),0),AS277/(1+IFERROR(INDEX(AS$10:AS$11,Предпосылки!$I$212,),0))*IFERROR(INDEX(AS$10:AS$11,Предпосылки!$I$212,),0),AS300/(1+IFERROR(INDEX(AS$10:AS$11,Предпосылки!$I$213,),0))*IFERROR(INDEX(AS$10:AS$11,Предпосылки!$I$213,),0),AS323/(1+IFERROR(INDEX(AS$10:AS$11,Предпосылки!$I$214,),0))*IFERROR(INDEX(AS$10:AS$11,Предпосылки!$I$214,),0),AS346/(1+IFERROR(INDEX(AS$10:AS$11,Предпосылки!$I$215,),0))*IFERROR(INDEX(AS$10:AS$11,Предпосылки!$I$215,),0),AS369/(1+IFERROR(INDEX(AS$10:AS$11,Предпосылки!$I$216,),0))*IFERROR(INDEX(AS$10:AS$11,Предпосылки!$I$216,),0),AS392/(1+IFERROR(INDEX(AS$10:AS$11,Предпосылки!$I$217,),0))*IFERROR(INDEX(AS$10:AS$11,Предпосылки!$I$217,),0),AS415/(1+IFERROR(INDEX(AS$10:AS$11,Предпосылки!$I$218,),0))*IFERROR(INDEX(AS$10:AS$11,Предпосылки!$I$218,),0),AS438/(1+IFERROR(INDEX(AS$10:AS$11,Предпосылки!$I$219,),0))*IFERROR(INDEX(AS$10:AS$11,Предпосылки!$I$219,),0),AS461/(1+IFERROR(INDEX(AS$10:AS$11,Предпосылки!$I$220,),0))*IFERROR(INDEX(AS$10:AS$11,Предпосылки!$I$220,),0))</f>
        <v>0</v>
      </c>
      <c s="125">
        <f>SUM(AT24/(1+IFERROR(INDEX(AT$10:AT$11,Предпосылки!$I$201,),0))*IFERROR(INDEX(AT$10:AT$11,Предпосылки!$I$201,),0),AT47/(1+IFERROR(INDEX(AT$10:AT$11,Предпосылки!$I$202,),0))*IFERROR(INDEX(AT$10:AT$11,Предпосылки!$I$202,),0),AT70/(1+IFERROR(INDEX(AT$10:AT$11,Предпосылки!$I$203,),0))*IFERROR(INDEX(AT$10:AT$11,Предпосылки!$I$203,),0),AT93/(1+IFERROR(INDEX(AT$10:AT$11,Предпосылки!$I$204,),0))*IFERROR(INDEX(AT$10:AT$11,Предпосылки!$I$204,),0),AT116/(1+IFERROR(INDEX(AT$10:AT$11,Предпосылки!$I$205,),0))*IFERROR(INDEX(AT$10:AT$11,Предпосылки!$I$205,),0),AT139/(1+IFERROR(INDEX(AT$10:AT$11,Предпосылки!$I$206,),0))*IFERROR(INDEX(AT$10:AT$11,Предпосылки!$I$206,),0),AT162/(1+IFERROR(INDEX(AT$10:AT$11,Предпосылки!$I$207,),0))*IFERROR(INDEX(AT$10:AT$11,Предпосылки!$I$207,),0),AT185/(1+IFERROR(INDEX(AT$10:AT$11,Предпосылки!$I$208,),0))*IFERROR(INDEX(AT$10:AT$11,Предпосылки!$I$208,),0),AT208/(1+IFERROR(INDEX(AT$10:AT$11,Предпосылки!$I$209,),0))*IFERROR(INDEX(AT$10:AT$11,Предпосылки!$I$209,),0),AT231/(1+IFERROR(INDEX(AT$10:AT$11,Предпосылки!$I$210,),0))*IFERROR(INDEX(AT$10:AT$11,Предпосылки!$I$210,),0),AT254/(1+IFERROR(INDEX(AT$10:AT$11,Предпосылки!$I$211,),0))*IFERROR(INDEX(AT$10:AT$11,Предпосылки!$I$211,),0),AT277/(1+IFERROR(INDEX(AT$10:AT$11,Предпосылки!$I$212,),0))*IFERROR(INDEX(AT$10:AT$11,Предпосылки!$I$212,),0),AT300/(1+IFERROR(INDEX(AT$10:AT$11,Предпосылки!$I$213,),0))*IFERROR(INDEX(AT$10:AT$11,Предпосылки!$I$213,),0),AT323/(1+IFERROR(INDEX(AT$10:AT$11,Предпосылки!$I$214,),0))*IFERROR(INDEX(AT$10:AT$11,Предпосылки!$I$214,),0),AT346/(1+IFERROR(INDEX(AT$10:AT$11,Предпосылки!$I$215,),0))*IFERROR(INDEX(AT$10:AT$11,Предпосылки!$I$215,),0),AT369/(1+IFERROR(INDEX(AT$10:AT$11,Предпосылки!$I$216,),0))*IFERROR(INDEX(AT$10:AT$11,Предпосылки!$I$216,),0),AT392/(1+IFERROR(INDEX(AT$10:AT$11,Предпосылки!$I$217,),0))*IFERROR(INDEX(AT$10:AT$11,Предпосылки!$I$217,),0),AT415/(1+IFERROR(INDEX(AT$10:AT$11,Предпосылки!$I$218,),0))*IFERROR(INDEX(AT$10:AT$11,Предпосылки!$I$218,),0),AT438/(1+IFERROR(INDEX(AT$10:AT$11,Предпосылки!$I$219,),0))*IFERROR(INDEX(AT$10:AT$11,Предпосылки!$I$219,),0),AT461/(1+IFERROR(INDEX(AT$10:AT$11,Предпосылки!$I$220,),0))*IFERROR(INDEX(AT$10:AT$11,Предпосылки!$I$220,),0))</f>
        <v>0</v>
      </c>
      <c s="125">
        <f>SUM(AU24/(1+IFERROR(INDEX(AU$10:AU$11,Предпосылки!$I$201,),0))*IFERROR(INDEX(AU$10:AU$11,Предпосылки!$I$201,),0),AU47/(1+IFERROR(INDEX(AU$10:AU$11,Предпосылки!$I$202,),0))*IFERROR(INDEX(AU$10:AU$11,Предпосылки!$I$202,),0),AU70/(1+IFERROR(INDEX(AU$10:AU$11,Предпосылки!$I$203,),0))*IFERROR(INDEX(AU$10:AU$11,Предпосылки!$I$203,),0),AU93/(1+IFERROR(INDEX(AU$10:AU$11,Предпосылки!$I$204,),0))*IFERROR(INDEX(AU$10:AU$11,Предпосылки!$I$204,),0),AU116/(1+IFERROR(INDEX(AU$10:AU$11,Предпосылки!$I$205,),0))*IFERROR(INDEX(AU$10:AU$11,Предпосылки!$I$205,),0),AU139/(1+IFERROR(INDEX(AU$10:AU$11,Предпосылки!$I$206,),0))*IFERROR(INDEX(AU$10:AU$11,Предпосылки!$I$206,),0),AU162/(1+IFERROR(INDEX(AU$10:AU$11,Предпосылки!$I$207,),0))*IFERROR(INDEX(AU$10:AU$11,Предпосылки!$I$207,),0),AU185/(1+IFERROR(INDEX(AU$10:AU$11,Предпосылки!$I$208,),0))*IFERROR(INDEX(AU$10:AU$11,Предпосылки!$I$208,),0),AU208/(1+IFERROR(INDEX(AU$10:AU$11,Предпосылки!$I$209,),0))*IFERROR(INDEX(AU$10:AU$11,Предпосылки!$I$209,),0),AU231/(1+IFERROR(INDEX(AU$10:AU$11,Предпосылки!$I$210,),0))*IFERROR(INDEX(AU$10:AU$11,Предпосылки!$I$210,),0),AU254/(1+IFERROR(INDEX(AU$10:AU$11,Предпосылки!$I$211,),0))*IFERROR(INDEX(AU$10:AU$11,Предпосылки!$I$211,),0),AU277/(1+IFERROR(INDEX(AU$10:AU$11,Предпосылки!$I$212,),0))*IFERROR(INDEX(AU$10:AU$11,Предпосылки!$I$212,),0),AU300/(1+IFERROR(INDEX(AU$10:AU$11,Предпосылки!$I$213,),0))*IFERROR(INDEX(AU$10:AU$11,Предпосылки!$I$213,),0),AU323/(1+IFERROR(INDEX(AU$10:AU$11,Предпосылки!$I$214,),0))*IFERROR(INDEX(AU$10:AU$11,Предпосылки!$I$214,),0),AU346/(1+IFERROR(INDEX(AU$10:AU$11,Предпосылки!$I$215,),0))*IFERROR(INDEX(AU$10:AU$11,Предпосылки!$I$215,),0),AU369/(1+IFERROR(INDEX(AU$10:AU$11,Предпосылки!$I$216,),0))*IFERROR(INDEX(AU$10:AU$11,Предпосылки!$I$216,),0),AU392/(1+IFERROR(INDEX(AU$10:AU$11,Предпосылки!$I$217,),0))*IFERROR(INDEX(AU$10:AU$11,Предпосылки!$I$217,),0),AU415/(1+IFERROR(INDEX(AU$10:AU$11,Предпосылки!$I$218,),0))*IFERROR(INDEX(AU$10:AU$11,Предпосылки!$I$218,),0),AU438/(1+IFERROR(INDEX(AU$10:AU$11,Предпосылки!$I$219,),0))*IFERROR(INDEX(AU$10:AU$11,Предпосылки!$I$219,),0),AU461/(1+IFERROR(INDEX(AU$10:AU$11,Предпосылки!$I$220,),0))*IFERROR(INDEX(AU$10:AU$11,Предпосылки!$I$220,),0))</f>
        <v>0</v>
      </c>
      <c s="125">
        <f>SUM(AV24/(1+IFERROR(INDEX(AV$10:AV$11,Предпосылки!$I$201,),0))*IFERROR(INDEX(AV$10:AV$11,Предпосылки!$I$201,),0),AV47/(1+IFERROR(INDEX(AV$10:AV$11,Предпосылки!$I$202,),0))*IFERROR(INDEX(AV$10:AV$11,Предпосылки!$I$202,),0),AV70/(1+IFERROR(INDEX(AV$10:AV$11,Предпосылки!$I$203,),0))*IFERROR(INDEX(AV$10:AV$11,Предпосылки!$I$203,),0),AV93/(1+IFERROR(INDEX(AV$10:AV$11,Предпосылки!$I$204,),0))*IFERROR(INDEX(AV$10:AV$11,Предпосылки!$I$204,),0),AV116/(1+IFERROR(INDEX(AV$10:AV$11,Предпосылки!$I$205,),0))*IFERROR(INDEX(AV$10:AV$11,Предпосылки!$I$205,),0),AV139/(1+IFERROR(INDEX(AV$10:AV$11,Предпосылки!$I$206,),0))*IFERROR(INDEX(AV$10:AV$11,Предпосылки!$I$206,),0),AV162/(1+IFERROR(INDEX(AV$10:AV$11,Предпосылки!$I$207,),0))*IFERROR(INDEX(AV$10:AV$11,Предпосылки!$I$207,),0),AV185/(1+IFERROR(INDEX(AV$10:AV$11,Предпосылки!$I$208,),0))*IFERROR(INDEX(AV$10:AV$11,Предпосылки!$I$208,),0),AV208/(1+IFERROR(INDEX(AV$10:AV$11,Предпосылки!$I$209,),0))*IFERROR(INDEX(AV$10:AV$11,Предпосылки!$I$209,),0),AV231/(1+IFERROR(INDEX(AV$10:AV$11,Предпосылки!$I$210,),0))*IFERROR(INDEX(AV$10:AV$11,Предпосылки!$I$210,),0),AV254/(1+IFERROR(INDEX(AV$10:AV$11,Предпосылки!$I$211,),0))*IFERROR(INDEX(AV$10:AV$11,Предпосылки!$I$211,),0),AV277/(1+IFERROR(INDEX(AV$10:AV$11,Предпосылки!$I$212,),0))*IFERROR(INDEX(AV$10:AV$11,Предпосылки!$I$212,),0),AV300/(1+IFERROR(INDEX(AV$10:AV$11,Предпосылки!$I$213,),0))*IFERROR(INDEX(AV$10:AV$11,Предпосылки!$I$213,),0),AV323/(1+IFERROR(INDEX(AV$10:AV$11,Предпосылки!$I$214,),0))*IFERROR(INDEX(AV$10:AV$11,Предпосылки!$I$214,),0),AV346/(1+IFERROR(INDEX(AV$10:AV$11,Предпосылки!$I$215,),0))*IFERROR(INDEX(AV$10:AV$11,Предпосылки!$I$215,),0),AV369/(1+IFERROR(INDEX(AV$10:AV$11,Предпосылки!$I$216,),0))*IFERROR(INDEX(AV$10:AV$11,Предпосылки!$I$216,),0),AV392/(1+IFERROR(INDEX(AV$10:AV$11,Предпосылки!$I$217,),0))*IFERROR(INDEX(AV$10:AV$11,Предпосылки!$I$217,),0),AV415/(1+IFERROR(INDEX(AV$10:AV$11,Предпосылки!$I$218,),0))*IFERROR(INDEX(AV$10:AV$11,Предпосылки!$I$218,),0),AV438/(1+IFERROR(INDEX(AV$10:AV$11,Предпосылки!$I$219,),0))*IFERROR(INDEX(AV$10:AV$11,Предпосылки!$I$219,),0),AV461/(1+IFERROR(INDEX(AV$10:AV$11,Предпосылки!$I$220,),0))*IFERROR(INDEX(AV$10:AV$11,Предпосылки!$I$220,),0))</f>
        <v>0</v>
      </c>
      <c s="125">
        <f>SUM(AW24/(1+IFERROR(INDEX(AW$10:AW$11,Предпосылки!$I$201,),0))*IFERROR(INDEX(AW$10:AW$11,Предпосылки!$I$201,),0),AW47/(1+IFERROR(INDEX(AW$10:AW$11,Предпосылки!$I$202,),0))*IFERROR(INDEX(AW$10:AW$11,Предпосылки!$I$202,),0),AW70/(1+IFERROR(INDEX(AW$10:AW$11,Предпосылки!$I$203,),0))*IFERROR(INDEX(AW$10:AW$11,Предпосылки!$I$203,),0),AW93/(1+IFERROR(INDEX(AW$10:AW$11,Предпосылки!$I$204,),0))*IFERROR(INDEX(AW$10:AW$11,Предпосылки!$I$204,),0),AW116/(1+IFERROR(INDEX(AW$10:AW$11,Предпосылки!$I$205,),0))*IFERROR(INDEX(AW$10:AW$11,Предпосылки!$I$205,),0),AW139/(1+IFERROR(INDEX(AW$10:AW$11,Предпосылки!$I$206,),0))*IFERROR(INDEX(AW$10:AW$11,Предпосылки!$I$206,),0),AW162/(1+IFERROR(INDEX(AW$10:AW$11,Предпосылки!$I$207,),0))*IFERROR(INDEX(AW$10:AW$11,Предпосылки!$I$207,),0),AW185/(1+IFERROR(INDEX(AW$10:AW$11,Предпосылки!$I$208,),0))*IFERROR(INDEX(AW$10:AW$11,Предпосылки!$I$208,),0),AW208/(1+IFERROR(INDEX(AW$10:AW$11,Предпосылки!$I$209,),0))*IFERROR(INDEX(AW$10:AW$11,Предпосылки!$I$209,),0),AW231/(1+IFERROR(INDEX(AW$10:AW$11,Предпосылки!$I$210,),0))*IFERROR(INDEX(AW$10:AW$11,Предпосылки!$I$210,),0),AW254/(1+IFERROR(INDEX(AW$10:AW$11,Предпосылки!$I$211,),0))*IFERROR(INDEX(AW$10:AW$11,Предпосылки!$I$211,),0),AW277/(1+IFERROR(INDEX(AW$10:AW$11,Предпосылки!$I$212,),0))*IFERROR(INDEX(AW$10:AW$11,Предпосылки!$I$212,),0),AW300/(1+IFERROR(INDEX(AW$10:AW$11,Предпосылки!$I$213,),0))*IFERROR(INDEX(AW$10:AW$11,Предпосылки!$I$213,),0),AW323/(1+IFERROR(INDEX(AW$10:AW$11,Предпосылки!$I$214,),0))*IFERROR(INDEX(AW$10:AW$11,Предпосылки!$I$214,),0),AW346/(1+IFERROR(INDEX(AW$10:AW$11,Предпосылки!$I$215,),0))*IFERROR(INDEX(AW$10:AW$11,Предпосылки!$I$215,),0),AW369/(1+IFERROR(INDEX(AW$10:AW$11,Предпосылки!$I$216,),0))*IFERROR(INDEX(AW$10:AW$11,Предпосылки!$I$216,),0),AW392/(1+IFERROR(INDEX(AW$10:AW$11,Предпосылки!$I$217,),0))*IFERROR(INDEX(AW$10:AW$11,Предпосылки!$I$217,),0),AW415/(1+IFERROR(INDEX(AW$10:AW$11,Предпосылки!$I$218,),0))*IFERROR(INDEX(AW$10:AW$11,Предпосылки!$I$218,),0),AW438/(1+IFERROR(INDEX(AW$10:AW$11,Предпосылки!$I$219,),0))*IFERROR(INDEX(AW$10:AW$11,Предпосылки!$I$219,),0),AW461/(1+IFERROR(INDEX(AW$10:AW$11,Предпосылки!$I$220,),0))*IFERROR(INDEX(AW$10:AW$11,Предпосылки!$I$220,),0))</f>
        <v>0</v>
      </c>
      <c s="125">
        <f>SUM(AX24/(1+IFERROR(INDEX(AX$10:AX$11,Предпосылки!$I$201,),0))*IFERROR(INDEX(AX$10:AX$11,Предпосылки!$I$201,),0),AX47/(1+IFERROR(INDEX(AX$10:AX$11,Предпосылки!$I$202,),0))*IFERROR(INDEX(AX$10:AX$11,Предпосылки!$I$202,),0),AX70/(1+IFERROR(INDEX(AX$10:AX$11,Предпосылки!$I$203,),0))*IFERROR(INDEX(AX$10:AX$11,Предпосылки!$I$203,),0),AX93/(1+IFERROR(INDEX(AX$10:AX$11,Предпосылки!$I$204,),0))*IFERROR(INDEX(AX$10:AX$11,Предпосылки!$I$204,),0),AX116/(1+IFERROR(INDEX(AX$10:AX$11,Предпосылки!$I$205,),0))*IFERROR(INDEX(AX$10:AX$11,Предпосылки!$I$205,),0),AX139/(1+IFERROR(INDEX(AX$10:AX$11,Предпосылки!$I$206,),0))*IFERROR(INDEX(AX$10:AX$11,Предпосылки!$I$206,),0),AX162/(1+IFERROR(INDEX(AX$10:AX$11,Предпосылки!$I$207,),0))*IFERROR(INDEX(AX$10:AX$11,Предпосылки!$I$207,),0),AX185/(1+IFERROR(INDEX(AX$10:AX$11,Предпосылки!$I$208,),0))*IFERROR(INDEX(AX$10:AX$11,Предпосылки!$I$208,),0),AX208/(1+IFERROR(INDEX(AX$10:AX$11,Предпосылки!$I$209,),0))*IFERROR(INDEX(AX$10:AX$11,Предпосылки!$I$209,),0),AX231/(1+IFERROR(INDEX(AX$10:AX$11,Предпосылки!$I$210,),0))*IFERROR(INDEX(AX$10:AX$11,Предпосылки!$I$210,),0),AX254/(1+IFERROR(INDEX(AX$10:AX$11,Предпосылки!$I$211,),0))*IFERROR(INDEX(AX$10:AX$11,Предпосылки!$I$211,),0),AX277/(1+IFERROR(INDEX(AX$10:AX$11,Предпосылки!$I$212,),0))*IFERROR(INDEX(AX$10:AX$11,Предпосылки!$I$212,),0),AX300/(1+IFERROR(INDEX(AX$10:AX$11,Предпосылки!$I$213,),0))*IFERROR(INDEX(AX$10:AX$11,Предпосылки!$I$213,),0),AX323/(1+IFERROR(INDEX(AX$10:AX$11,Предпосылки!$I$214,),0))*IFERROR(INDEX(AX$10:AX$11,Предпосылки!$I$214,),0),AX346/(1+IFERROR(INDEX(AX$10:AX$11,Предпосылки!$I$215,),0))*IFERROR(INDEX(AX$10:AX$11,Предпосылки!$I$215,),0),AX369/(1+IFERROR(INDEX(AX$10:AX$11,Предпосылки!$I$216,),0))*IFERROR(INDEX(AX$10:AX$11,Предпосылки!$I$216,),0),AX392/(1+IFERROR(INDEX(AX$10:AX$11,Предпосылки!$I$217,),0))*IFERROR(INDEX(AX$10:AX$11,Предпосылки!$I$217,),0),AX415/(1+IFERROR(INDEX(AX$10:AX$11,Предпосылки!$I$218,),0))*IFERROR(INDEX(AX$10:AX$11,Предпосылки!$I$218,),0),AX438/(1+IFERROR(INDEX(AX$10:AX$11,Предпосылки!$I$219,),0))*IFERROR(INDEX(AX$10:AX$11,Предпосылки!$I$219,),0),AX461/(1+IFERROR(INDEX(AX$10:AX$11,Предпосылки!$I$220,),0))*IFERROR(INDEX(AX$10:AX$11,Предпосылки!$I$220,),0))</f>
        <v>0</v>
      </c>
      <c s="125">
        <f>SUM(AY24/(1+IFERROR(INDEX(AY$10:AY$11,Предпосылки!$I$201,),0))*IFERROR(INDEX(AY$10:AY$11,Предпосылки!$I$201,),0),AY47/(1+IFERROR(INDEX(AY$10:AY$11,Предпосылки!$I$202,),0))*IFERROR(INDEX(AY$10:AY$11,Предпосылки!$I$202,),0),AY70/(1+IFERROR(INDEX(AY$10:AY$11,Предпосылки!$I$203,),0))*IFERROR(INDEX(AY$10:AY$11,Предпосылки!$I$203,),0),AY93/(1+IFERROR(INDEX(AY$10:AY$11,Предпосылки!$I$204,),0))*IFERROR(INDEX(AY$10:AY$11,Предпосылки!$I$204,),0),AY116/(1+IFERROR(INDEX(AY$10:AY$11,Предпосылки!$I$205,),0))*IFERROR(INDEX(AY$10:AY$11,Предпосылки!$I$205,),0),AY139/(1+IFERROR(INDEX(AY$10:AY$11,Предпосылки!$I$206,),0))*IFERROR(INDEX(AY$10:AY$11,Предпосылки!$I$206,),0),AY162/(1+IFERROR(INDEX(AY$10:AY$11,Предпосылки!$I$207,),0))*IFERROR(INDEX(AY$10:AY$11,Предпосылки!$I$207,),0),AY185/(1+IFERROR(INDEX(AY$10:AY$11,Предпосылки!$I$208,),0))*IFERROR(INDEX(AY$10:AY$11,Предпосылки!$I$208,),0),AY208/(1+IFERROR(INDEX(AY$10:AY$11,Предпосылки!$I$209,),0))*IFERROR(INDEX(AY$10:AY$11,Предпосылки!$I$209,),0),AY231/(1+IFERROR(INDEX(AY$10:AY$11,Предпосылки!$I$210,),0))*IFERROR(INDEX(AY$10:AY$11,Предпосылки!$I$210,),0),AY254/(1+IFERROR(INDEX(AY$10:AY$11,Предпосылки!$I$211,),0))*IFERROR(INDEX(AY$10:AY$11,Предпосылки!$I$211,),0),AY277/(1+IFERROR(INDEX(AY$10:AY$11,Предпосылки!$I$212,),0))*IFERROR(INDEX(AY$10:AY$11,Предпосылки!$I$212,),0),AY300/(1+IFERROR(INDEX(AY$10:AY$11,Предпосылки!$I$213,),0))*IFERROR(INDEX(AY$10:AY$11,Предпосылки!$I$213,),0),AY323/(1+IFERROR(INDEX(AY$10:AY$11,Предпосылки!$I$214,),0))*IFERROR(INDEX(AY$10:AY$11,Предпосылки!$I$214,),0),AY346/(1+IFERROR(INDEX(AY$10:AY$11,Предпосылки!$I$215,),0))*IFERROR(INDEX(AY$10:AY$11,Предпосылки!$I$215,),0),AY369/(1+IFERROR(INDEX(AY$10:AY$11,Предпосылки!$I$216,),0))*IFERROR(INDEX(AY$10:AY$11,Предпосылки!$I$216,),0),AY392/(1+IFERROR(INDEX(AY$10:AY$11,Предпосылки!$I$217,),0))*IFERROR(INDEX(AY$10:AY$11,Предпосылки!$I$217,),0),AY415/(1+IFERROR(INDEX(AY$10:AY$11,Предпосылки!$I$218,),0))*IFERROR(INDEX(AY$10:AY$11,Предпосылки!$I$218,),0),AY438/(1+IFERROR(INDEX(AY$10:AY$11,Предпосылки!$I$219,),0))*IFERROR(INDEX(AY$10:AY$11,Предпосылки!$I$219,),0),AY461/(1+IFERROR(INDEX(AY$10:AY$11,Предпосылки!$I$220,),0))*IFERROR(INDEX(AY$10:AY$11,Предпосылки!$I$220,),0))</f>
        <v>0</v>
      </c>
      <c s="125">
        <f>SUM(AZ24/(1+IFERROR(INDEX(AZ$10:AZ$11,Предпосылки!$I$201,),0))*IFERROR(INDEX(AZ$10:AZ$11,Предпосылки!$I$201,),0),AZ47/(1+IFERROR(INDEX(AZ$10:AZ$11,Предпосылки!$I$202,),0))*IFERROR(INDEX(AZ$10:AZ$11,Предпосылки!$I$202,),0),AZ70/(1+IFERROR(INDEX(AZ$10:AZ$11,Предпосылки!$I$203,),0))*IFERROR(INDEX(AZ$10:AZ$11,Предпосылки!$I$203,),0),AZ93/(1+IFERROR(INDEX(AZ$10:AZ$11,Предпосылки!$I$204,),0))*IFERROR(INDEX(AZ$10:AZ$11,Предпосылки!$I$204,),0),AZ116/(1+IFERROR(INDEX(AZ$10:AZ$11,Предпосылки!$I$205,),0))*IFERROR(INDEX(AZ$10:AZ$11,Предпосылки!$I$205,),0),AZ139/(1+IFERROR(INDEX(AZ$10:AZ$11,Предпосылки!$I$206,),0))*IFERROR(INDEX(AZ$10:AZ$11,Предпосылки!$I$206,),0),AZ162/(1+IFERROR(INDEX(AZ$10:AZ$11,Предпосылки!$I$207,),0))*IFERROR(INDEX(AZ$10:AZ$11,Предпосылки!$I$207,),0),AZ185/(1+IFERROR(INDEX(AZ$10:AZ$11,Предпосылки!$I$208,),0))*IFERROR(INDEX(AZ$10:AZ$11,Предпосылки!$I$208,),0),AZ208/(1+IFERROR(INDEX(AZ$10:AZ$11,Предпосылки!$I$209,),0))*IFERROR(INDEX(AZ$10:AZ$11,Предпосылки!$I$209,),0),AZ231/(1+IFERROR(INDEX(AZ$10:AZ$11,Предпосылки!$I$210,),0))*IFERROR(INDEX(AZ$10:AZ$11,Предпосылки!$I$210,),0),AZ254/(1+IFERROR(INDEX(AZ$10:AZ$11,Предпосылки!$I$211,),0))*IFERROR(INDEX(AZ$10:AZ$11,Предпосылки!$I$211,),0),AZ277/(1+IFERROR(INDEX(AZ$10:AZ$11,Предпосылки!$I$212,),0))*IFERROR(INDEX(AZ$10:AZ$11,Предпосылки!$I$212,),0),AZ300/(1+IFERROR(INDEX(AZ$10:AZ$11,Предпосылки!$I$213,),0))*IFERROR(INDEX(AZ$10:AZ$11,Предпосылки!$I$213,),0),AZ323/(1+IFERROR(INDEX(AZ$10:AZ$11,Предпосылки!$I$214,),0))*IFERROR(INDEX(AZ$10:AZ$11,Предпосылки!$I$214,),0),AZ346/(1+IFERROR(INDEX(AZ$10:AZ$11,Предпосылки!$I$215,),0))*IFERROR(INDEX(AZ$10:AZ$11,Предпосылки!$I$215,),0),AZ369/(1+IFERROR(INDEX(AZ$10:AZ$11,Предпосылки!$I$216,),0))*IFERROR(INDEX(AZ$10:AZ$11,Предпосылки!$I$216,),0),AZ392/(1+IFERROR(INDEX(AZ$10:AZ$11,Предпосылки!$I$217,),0))*IFERROR(INDEX(AZ$10:AZ$11,Предпосылки!$I$217,),0),AZ415/(1+IFERROR(INDEX(AZ$10:AZ$11,Предпосылки!$I$218,),0))*IFERROR(INDEX(AZ$10:AZ$11,Предпосылки!$I$218,),0),AZ438/(1+IFERROR(INDEX(AZ$10:AZ$11,Предпосылки!$I$219,),0))*IFERROR(INDEX(AZ$10:AZ$11,Предпосылки!$I$219,),0),AZ461/(1+IFERROR(INDEX(AZ$10:AZ$11,Предпосылки!$I$220,),0))*IFERROR(INDEX(AZ$10:AZ$11,Предпосылки!$I$220,),0))</f>
        <v>0</v>
      </c>
      <c s="125">
        <f>SUM(BA24/(1+IFERROR(INDEX(BA$10:BA$11,Предпосылки!$I$201,),0))*IFERROR(INDEX(BA$10:BA$11,Предпосылки!$I$201,),0),BA47/(1+IFERROR(INDEX(BA$10:BA$11,Предпосылки!$I$202,),0))*IFERROR(INDEX(BA$10:BA$11,Предпосылки!$I$202,),0),BA70/(1+IFERROR(INDEX(BA$10:BA$11,Предпосылки!$I$203,),0))*IFERROR(INDEX(BA$10:BA$11,Предпосылки!$I$203,),0),BA93/(1+IFERROR(INDEX(BA$10:BA$11,Предпосылки!$I$204,),0))*IFERROR(INDEX(BA$10:BA$11,Предпосылки!$I$204,),0),BA116/(1+IFERROR(INDEX(BA$10:BA$11,Предпосылки!$I$205,),0))*IFERROR(INDEX(BA$10:BA$11,Предпосылки!$I$205,),0),BA139/(1+IFERROR(INDEX(BA$10:BA$11,Предпосылки!$I$206,),0))*IFERROR(INDEX(BA$10:BA$11,Предпосылки!$I$206,),0),BA162/(1+IFERROR(INDEX(BA$10:BA$11,Предпосылки!$I$207,),0))*IFERROR(INDEX(BA$10:BA$11,Предпосылки!$I$207,),0),BA185/(1+IFERROR(INDEX(BA$10:BA$11,Предпосылки!$I$208,),0))*IFERROR(INDEX(BA$10:BA$11,Предпосылки!$I$208,),0),BA208/(1+IFERROR(INDEX(BA$10:BA$11,Предпосылки!$I$209,),0))*IFERROR(INDEX(BA$10:BA$11,Предпосылки!$I$209,),0),BA231/(1+IFERROR(INDEX(BA$10:BA$11,Предпосылки!$I$210,),0))*IFERROR(INDEX(BA$10:BA$11,Предпосылки!$I$210,),0),BA254/(1+IFERROR(INDEX(BA$10:BA$11,Предпосылки!$I$211,),0))*IFERROR(INDEX(BA$10:BA$11,Предпосылки!$I$211,),0),BA277/(1+IFERROR(INDEX(BA$10:BA$11,Предпосылки!$I$212,),0))*IFERROR(INDEX(BA$10:BA$11,Предпосылки!$I$212,),0),BA300/(1+IFERROR(INDEX(BA$10:BA$11,Предпосылки!$I$213,),0))*IFERROR(INDEX(BA$10:BA$11,Предпосылки!$I$213,),0),BA323/(1+IFERROR(INDEX(BA$10:BA$11,Предпосылки!$I$214,),0))*IFERROR(INDEX(BA$10:BA$11,Предпосылки!$I$214,),0),BA346/(1+IFERROR(INDEX(BA$10:BA$11,Предпосылки!$I$215,),0))*IFERROR(INDEX(BA$10:BA$11,Предпосылки!$I$215,),0),BA369/(1+IFERROR(INDEX(BA$10:BA$11,Предпосылки!$I$216,),0))*IFERROR(INDEX(BA$10:BA$11,Предпосылки!$I$216,),0),BA392/(1+IFERROR(INDEX(BA$10:BA$11,Предпосылки!$I$217,),0))*IFERROR(INDEX(BA$10:BA$11,Предпосылки!$I$217,),0),BA415/(1+IFERROR(INDEX(BA$10:BA$11,Предпосылки!$I$218,),0))*IFERROR(INDEX(BA$10:BA$11,Предпосылки!$I$218,),0),BA438/(1+IFERROR(INDEX(BA$10:BA$11,Предпосылки!$I$219,),0))*IFERROR(INDEX(BA$10:BA$11,Предпосылки!$I$219,),0),BA461/(1+IFERROR(INDEX(BA$10:BA$11,Предпосылки!$I$220,),0))*IFERROR(INDEX(BA$10:BA$11,Предпосылки!$I$220,),0))</f>
        <v>0</v>
      </c>
      <c s="125">
        <f>SUM(BB24/(1+IFERROR(INDEX(BB$10:BB$11,Предпосылки!$I$201,),0))*IFERROR(INDEX(BB$10:BB$11,Предпосылки!$I$201,),0),BB47/(1+IFERROR(INDEX(BB$10:BB$11,Предпосылки!$I$202,),0))*IFERROR(INDEX(BB$10:BB$11,Предпосылки!$I$202,),0),BB70/(1+IFERROR(INDEX(BB$10:BB$11,Предпосылки!$I$203,),0))*IFERROR(INDEX(BB$10:BB$11,Предпосылки!$I$203,),0),BB93/(1+IFERROR(INDEX(BB$10:BB$11,Предпосылки!$I$204,),0))*IFERROR(INDEX(BB$10:BB$11,Предпосылки!$I$204,),0),BB116/(1+IFERROR(INDEX(BB$10:BB$11,Предпосылки!$I$205,),0))*IFERROR(INDEX(BB$10:BB$11,Предпосылки!$I$205,),0),BB139/(1+IFERROR(INDEX(BB$10:BB$11,Предпосылки!$I$206,),0))*IFERROR(INDEX(BB$10:BB$11,Предпосылки!$I$206,),0),BB162/(1+IFERROR(INDEX(BB$10:BB$11,Предпосылки!$I$207,),0))*IFERROR(INDEX(BB$10:BB$11,Предпосылки!$I$207,),0),BB185/(1+IFERROR(INDEX(BB$10:BB$11,Предпосылки!$I$208,),0))*IFERROR(INDEX(BB$10:BB$11,Предпосылки!$I$208,),0),BB208/(1+IFERROR(INDEX(BB$10:BB$11,Предпосылки!$I$209,),0))*IFERROR(INDEX(BB$10:BB$11,Предпосылки!$I$209,),0),BB231/(1+IFERROR(INDEX(BB$10:BB$11,Предпосылки!$I$210,),0))*IFERROR(INDEX(BB$10:BB$11,Предпосылки!$I$210,),0),BB254/(1+IFERROR(INDEX(BB$10:BB$11,Предпосылки!$I$211,),0))*IFERROR(INDEX(BB$10:BB$11,Предпосылки!$I$211,),0),BB277/(1+IFERROR(INDEX(BB$10:BB$11,Предпосылки!$I$212,),0))*IFERROR(INDEX(BB$10:BB$11,Предпосылки!$I$212,),0),BB300/(1+IFERROR(INDEX(BB$10:BB$11,Предпосылки!$I$213,),0))*IFERROR(INDEX(BB$10:BB$11,Предпосылки!$I$213,),0),BB323/(1+IFERROR(INDEX(BB$10:BB$11,Предпосылки!$I$214,),0))*IFERROR(INDEX(BB$10:BB$11,Предпосылки!$I$214,),0),BB346/(1+IFERROR(INDEX(BB$10:BB$11,Предпосылки!$I$215,),0))*IFERROR(INDEX(BB$10:BB$11,Предпосылки!$I$215,),0),BB369/(1+IFERROR(INDEX(BB$10:BB$11,Предпосылки!$I$216,),0))*IFERROR(INDEX(BB$10:BB$11,Предпосылки!$I$216,),0),BB392/(1+IFERROR(INDEX(BB$10:BB$11,Предпосылки!$I$217,),0))*IFERROR(INDEX(BB$10:BB$11,Предпосылки!$I$217,),0),BB415/(1+IFERROR(INDEX(BB$10:BB$11,Предпосылки!$I$218,),0))*IFERROR(INDEX(BB$10:BB$11,Предпосылки!$I$218,),0),BB438/(1+IFERROR(INDEX(BB$10:BB$11,Предпосылки!$I$219,),0))*IFERROR(INDEX(BB$10:BB$11,Предпосылки!$I$219,),0),BB461/(1+IFERROR(INDEX(BB$10:BB$11,Предпосылки!$I$220,),0))*IFERROR(INDEX(BB$10:BB$11,Предпосылки!$I$220,),0))</f>
        <v>0</v>
      </c>
      <c s="125">
        <f>SUM(BC24/(1+IFERROR(INDEX(BC$10:BC$11,Предпосылки!$I$201,),0))*IFERROR(INDEX(BC$10:BC$11,Предпосылки!$I$201,),0),BC47/(1+IFERROR(INDEX(BC$10:BC$11,Предпосылки!$I$202,),0))*IFERROR(INDEX(BC$10:BC$11,Предпосылки!$I$202,),0),BC70/(1+IFERROR(INDEX(BC$10:BC$11,Предпосылки!$I$203,),0))*IFERROR(INDEX(BC$10:BC$11,Предпосылки!$I$203,),0),BC93/(1+IFERROR(INDEX(BC$10:BC$11,Предпосылки!$I$204,),0))*IFERROR(INDEX(BC$10:BC$11,Предпосылки!$I$204,),0),BC116/(1+IFERROR(INDEX(BC$10:BC$11,Предпосылки!$I$205,),0))*IFERROR(INDEX(BC$10:BC$11,Предпосылки!$I$205,),0),BC139/(1+IFERROR(INDEX(BC$10:BC$11,Предпосылки!$I$206,),0))*IFERROR(INDEX(BC$10:BC$11,Предпосылки!$I$206,),0),BC162/(1+IFERROR(INDEX(BC$10:BC$11,Предпосылки!$I$207,),0))*IFERROR(INDEX(BC$10:BC$11,Предпосылки!$I$207,),0),BC185/(1+IFERROR(INDEX(BC$10:BC$11,Предпосылки!$I$208,),0))*IFERROR(INDEX(BC$10:BC$11,Предпосылки!$I$208,),0),BC208/(1+IFERROR(INDEX(BC$10:BC$11,Предпосылки!$I$209,),0))*IFERROR(INDEX(BC$10:BC$11,Предпосылки!$I$209,),0),BC231/(1+IFERROR(INDEX(BC$10:BC$11,Предпосылки!$I$210,),0))*IFERROR(INDEX(BC$10:BC$11,Предпосылки!$I$210,),0),BC254/(1+IFERROR(INDEX(BC$10:BC$11,Предпосылки!$I$211,),0))*IFERROR(INDEX(BC$10:BC$11,Предпосылки!$I$211,),0),BC277/(1+IFERROR(INDEX(BC$10:BC$11,Предпосылки!$I$212,),0))*IFERROR(INDEX(BC$10:BC$11,Предпосылки!$I$212,),0),BC300/(1+IFERROR(INDEX(BC$10:BC$11,Предпосылки!$I$213,),0))*IFERROR(INDEX(BC$10:BC$11,Предпосылки!$I$213,),0),BC323/(1+IFERROR(INDEX(BC$10:BC$11,Предпосылки!$I$214,),0))*IFERROR(INDEX(BC$10:BC$11,Предпосылки!$I$214,),0),BC346/(1+IFERROR(INDEX(BC$10:BC$11,Предпосылки!$I$215,),0))*IFERROR(INDEX(BC$10:BC$11,Предпосылки!$I$215,),0),BC369/(1+IFERROR(INDEX(BC$10:BC$11,Предпосылки!$I$216,),0))*IFERROR(INDEX(BC$10:BC$11,Предпосылки!$I$216,),0),BC392/(1+IFERROR(INDEX(BC$10:BC$11,Предпосылки!$I$217,),0))*IFERROR(INDEX(BC$10:BC$11,Предпосылки!$I$217,),0),BC415/(1+IFERROR(INDEX(BC$10:BC$11,Предпосылки!$I$218,),0))*IFERROR(INDEX(BC$10:BC$11,Предпосылки!$I$218,),0),BC438/(1+IFERROR(INDEX(BC$10:BC$11,Предпосылки!$I$219,),0))*IFERROR(INDEX(BC$10:BC$11,Предпосылки!$I$219,),0),BC461/(1+IFERROR(INDEX(BC$10:BC$11,Предпосылки!$I$220,),0))*IFERROR(INDEX(BC$10:BC$11,Предпосылки!$I$220,),0))</f>
        <v>0</v>
      </c>
      <c s="125">
        <f>SUM(BD24/(1+IFERROR(INDEX(BD$10:BD$11,Предпосылки!$I$201,),0))*IFERROR(INDEX(BD$10:BD$11,Предпосылки!$I$201,),0),BD47/(1+IFERROR(INDEX(BD$10:BD$11,Предпосылки!$I$202,),0))*IFERROR(INDEX(BD$10:BD$11,Предпосылки!$I$202,),0),BD70/(1+IFERROR(INDEX(BD$10:BD$11,Предпосылки!$I$203,),0))*IFERROR(INDEX(BD$10:BD$11,Предпосылки!$I$203,),0),BD93/(1+IFERROR(INDEX(BD$10:BD$11,Предпосылки!$I$204,),0))*IFERROR(INDEX(BD$10:BD$11,Предпосылки!$I$204,),0),BD116/(1+IFERROR(INDEX(BD$10:BD$11,Предпосылки!$I$205,),0))*IFERROR(INDEX(BD$10:BD$11,Предпосылки!$I$205,),0),BD139/(1+IFERROR(INDEX(BD$10:BD$11,Предпосылки!$I$206,),0))*IFERROR(INDEX(BD$10:BD$11,Предпосылки!$I$206,),0),BD162/(1+IFERROR(INDEX(BD$10:BD$11,Предпосылки!$I$207,),0))*IFERROR(INDEX(BD$10:BD$11,Предпосылки!$I$207,),0),BD185/(1+IFERROR(INDEX(BD$10:BD$11,Предпосылки!$I$208,),0))*IFERROR(INDEX(BD$10:BD$11,Предпосылки!$I$208,),0),BD208/(1+IFERROR(INDEX(BD$10:BD$11,Предпосылки!$I$209,),0))*IFERROR(INDEX(BD$10:BD$11,Предпосылки!$I$209,),0),BD231/(1+IFERROR(INDEX(BD$10:BD$11,Предпосылки!$I$210,),0))*IFERROR(INDEX(BD$10:BD$11,Предпосылки!$I$210,),0),BD254/(1+IFERROR(INDEX(BD$10:BD$11,Предпосылки!$I$211,),0))*IFERROR(INDEX(BD$10:BD$11,Предпосылки!$I$211,),0),BD277/(1+IFERROR(INDEX(BD$10:BD$11,Предпосылки!$I$212,),0))*IFERROR(INDEX(BD$10:BD$11,Предпосылки!$I$212,),0),BD300/(1+IFERROR(INDEX(BD$10:BD$11,Предпосылки!$I$213,),0))*IFERROR(INDEX(BD$10:BD$11,Предпосылки!$I$213,),0),BD323/(1+IFERROR(INDEX(BD$10:BD$11,Предпосылки!$I$214,),0))*IFERROR(INDEX(BD$10:BD$11,Предпосылки!$I$214,),0),BD346/(1+IFERROR(INDEX(BD$10:BD$11,Предпосылки!$I$215,),0))*IFERROR(INDEX(BD$10:BD$11,Предпосылки!$I$215,),0),BD369/(1+IFERROR(INDEX(BD$10:BD$11,Предпосылки!$I$216,),0))*IFERROR(INDEX(BD$10:BD$11,Предпосылки!$I$216,),0),BD392/(1+IFERROR(INDEX(BD$10:BD$11,Предпосылки!$I$217,),0))*IFERROR(INDEX(BD$10:BD$11,Предпосылки!$I$217,),0),BD415/(1+IFERROR(INDEX(BD$10:BD$11,Предпосылки!$I$218,),0))*IFERROR(INDEX(BD$10:BD$11,Предпосылки!$I$218,),0),BD438/(1+IFERROR(INDEX(BD$10:BD$11,Предпосылки!$I$219,),0))*IFERROR(INDEX(BD$10:BD$11,Предпосылки!$I$219,),0),BD461/(1+IFERROR(INDEX(BD$10:BD$11,Предпосылки!$I$220,),0))*IFERROR(INDEX(BD$10:BD$11,Предпосылки!$I$220,),0))</f>
        <v>0</v>
      </c>
      <c s="125">
        <f>SUM(BE24/(1+IFERROR(INDEX(BE$10:BE$11,Предпосылки!$I$201,),0))*IFERROR(INDEX(BE$10:BE$11,Предпосылки!$I$201,),0),BE47/(1+IFERROR(INDEX(BE$10:BE$11,Предпосылки!$I$202,),0))*IFERROR(INDEX(BE$10:BE$11,Предпосылки!$I$202,),0),BE70/(1+IFERROR(INDEX(BE$10:BE$11,Предпосылки!$I$203,),0))*IFERROR(INDEX(BE$10:BE$11,Предпосылки!$I$203,),0),BE93/(1+IFERROR(INDEX(BE$10:BE$11,Предпосылки!$I$204,),0))*IFERROR(INDEX(BE$10:BE$11,Предпосылки!$I$204,),0),BE116/(1+IFERROR(INDEX(BE$10:BE$11,Предпосылки!$I$205,),0))*IFERROR(INDEX(BE$10:BE$11,Предпосылки!$I$205,),0),BE139/(1+IFERROR(INDEX(BE$10:BE$11,Предпосылки!$I$206,),0))*IFERROR(INDEX(BE$10:BE$11,Предпосылки!$I$206,),0),BE162/(1+IFERROR(INDEX(BE$10:BE$11,Предпосылки!$I$207,),0))*IFERROR(INDEX(BE$10:BE$11,Предпосылки!$I$207,),0),BE185/(1+IFERROR(INDEX(BE$10:BE$11,Предпосылки!$I$208,),0))*IFERROR(INDEX(BE$10:BE$11,Предпосылки!$I$208,),0),BE208/(1+IFERROR(INDEX(BE$10:BE$11,Предпосылки!$I$209,),0))*IFERROR(INDEX(BE$10:BE$11,Предпосылки!$I$209,),0),BE231/(1+IFERROR(INDEX(BE$10:BE$11,Предпосылки!$I$210,),0))*IFERROR(INDEX(BE$10:BE$11,Предпосылки!$I$210,),0),BE254/(1+IFERROR(INDEX(BE$10:BE$11,Предпосылки!$I$211,),0))*IFERROR(INDEX(BE$10:BE$11,Предпосылки!$I$211,),0),BE277/(1+IFERROR(INDEX(BE$10:BE$11,Предпосылки!$I$212,),0))*IFERROR(INDEX(BE$10:BE$11,Предпосылки!$I$212,),0),BE300/(1+IFERROR(INDEX(BE$10:BE$11,Предпосылки!$I$213,),0))*IFERROR(INDEX(BE$10:BE$11,Предпосылки!$I$213,),0),BE323/(1+IFERROR(INDEX(BE$10:BE$11,Предпосылки!$I$214,),0))*IFERROR(INDEX(BE$10:BE$11,Предпосылки!$I$214,),0),BE346/(1+IFERROR(INDEX(BE$10:BE$11,Предпосылки!$I$215,),0))*IFERROR(INDEX(BE$10:BE$11,Предпосылки!$I$215,),0),BE369/(1+IFERROR(INDEX(BE$10:BE$11,Предпосылки!$I$216,),0))*IFERROR(INDEX(BE$10:BE$11,Предпосылки!$I$216,),0),BE392/(1+IFERROR(INDEX(BE$10:BE$11,Предпосылки!$I$217,),0))*IFERROR(INDEX(BE$10:BE$11,Предпосылки!$I$217,),0),BE415/(1+IFERROR(INDEX(BE$10:BE$11,Предпосылки!$I$218,),0))*IFERROR(INDEX(BE$10:BE$11,Предпосылки!$I$218,),0),BE438/(1+IFERROR(INDEX(BE$10:BE$11,Предпосылки!$I$219,),0))*IFERROR(INDEX(BE$10:BE$11,Предпосылки!$I$219,),0),BE461/(1+IFERROR(INDEX(BE$10:BE$11,Предпосылки!$I$220,),0))*IFERROR(INDEX(BE$10:BE$11,Предпосылки!$I$220,),0))</f>
        <v>0</v>
      </c>
      <c s="125">
        <f>SUM(BF24/(1+IFERROR(INDEX(BF$10:BF$11,Предпосылки!$I$201,),0))*IFERROR(INDEX(BF$10:BF$11,Предпосылки!$I$201,),0),BF47/(1+IFERROR(INDEX(BF$10:BF$11,Предпосылки!$I$202,),0))*IFERROR(INDEX(BF$10:BF$11,Предпосылки!$I$202,),0),BF70/(1+IFERROR(INDEX(BF$10:BF$11,Предпосылки!$I$203,),0))*IFERROR(INDEX(BF$10:BF$11,Предпосылки!$I$203,),0),BF93/(1+IFERROR(INDEX(BF$10:BF$11,Предпосылки!$I$204,),0))*IFERROR(INDEX(BF$10:BF$11,Предпосылки!$I$204,),0),BF116/(1+IFERROR(INDEX(BF$10:BF$11,Предпосылки!$I$205,),0))*IFERROR(INDEX(BF$10:BF$11,Предпосылки!$I$205,),0),BF139/(1+IFERROR(INDEX(BF$10:BF$11,Предпосылки!$I$206,),0))*IFERROR(INDEX(BF$10:BF$11,Предпосылки!$I$206,),0),BF162/(1+IFERROR(INDEX(BF$10:BF$11,Предпосылки!$I$207,),0))*IFERROR(INDEX(BF$10:BF$11,Предпосылки!$I$207,),0),BF185/(1+IFERROR(INDEX(BF$10:BF$11,Предпосылки!$I$208,),0))*IFERROR(INDEX(BF$10:BF$11,Предпосылки!$I$208,),0),BF208/(1+IFERROR(INDEX(BF$10:BF$11,Предпосылки!$I$209,),0))*IFERROR(INDEX(BF$10:BF$11,Предпосылки!$I$209,),0),BF231/(1+IFERROR(INDEX(BF$10:BF$11,Предпосылки!$I$210,),0))*IFERROR(INDEX(BF$10:BF$11,Предпосылки!$I$210,),0),BF254/(1+IFERROR(INDEX(BF$10:BF$11,Предпосылки!$I$211,),0))*IFERROR(INDEX(BF$10:BF$11,Предпосылки!$I$211,),0),BF277/(1+IFERROR(INDEX(BF$10:BF$11,Предпосылки!$I$212,),0))*IFERROR(INDEX(BF$10:BF$11,Предпосылки!$I$212,),0),BF300/(1+IFERROR(INDEX(BF$10:BF$11,Предпосылки!$I$213,),0))*IFERROR(INDEX(BF$10:BF$11,Предпосылки!$I$213,),0),BF323/(1+IFERROR(INDEX(BF$10:BF$11,Предпосылки!$I$214,),0))*IFERROR(INDEX(BF$10:BF$11,Предпосылки!$I$214,),0),BF346/(1+IFERROR(INDEX(BF$10:BF$11,Предпосылки!$I$215,),0))*IFERROR(INDEX(BF$10:BF$11,Предпосылки!$I$215,),0),BF369/(1+IFERROR(INDEX(BF$10:BF$11,Предпосылки!$I$216,),0))*IFERROR(INDEX(BF$10:BF$11,Предпосылки!$I$216,),0),BF392/(1+IFERROR(INDEX(BF$10:BF$11,Предпосылки!$I$217,),0))*IFERROR(INDEX(BF$10:BF$11,Предпосылки!$I$217,),0),BF415/(1+IFERROR(INDEX(BF$10:BF$11,Предпосылки!$I$218,),0))*IFERROR(INDEX(BF$10:BF$11,Предпосылки!$I$218,),0),BF438/(1+IFERROR(INDEX(BF$10:BF$11,Предпосылки!$I$219,),0))*IFERROR(INDEX(BF$10:BF$11,Предпосылки!$I$219,),0),BF461/(1+IFERROR(INDEX(BF$10:BF$11,Предпосылки!$I$220,),0))*IFERROR(INDEX(BF$10:BF$11,Предпосылки!$I$220,),0))</f>
        <v>0</v>
      </c>
      <c s="125">
        <f>SUM(BG24/(1+IFERROR(INDEX(BG$10:BG$11,Предпосылки!$I$201,),0))*IFERROR(INDEX(BG$10:BG$11,Предпосылки!$I$201,),0),BG47/(1+IFERROR(INDEX(BG$10:BG$11,Предпосылки!$I$202,),0))*IFERROR(INDEX(BG$10:BG$11,Предпосылки!$I$202,),0),BG70/(1+IFERROR(INDEX(BG$10:BG$11,Предпосылки!$I$203,),0))*IFERROR(INDEX(BG$10:BG$11,Предпосылки!$I$203,),0),BG93/(1+IFERROR(INDEX(BG$10:BG$11,Предпосылки!$I$204,),0))*IFERROR(INDEX(BG$10:BG$11,Предпосылки!$I$204,),0),BG116/(1+IFERROR(INDEX(BG$10:BG$11,Предпосылки!$I$205,),0))*IFERROR(INDEX(BG$10:BG$11,Предпосылки!$I$205,),0),BG139/(1+IFERROR(INDEX(BG$10:BG$11,Предпосылки!$I$206,),0))*IFERROR(INDEX(BG$10:BG$11,Предпосылки!$I$206,),0),BG162/(1+IFERROR(INDEX(BG$10:BG$11,Предпосылки!$I$207,),0))*IFERROR(INDEX(BG$10:BG$11,Предпосылки!$I$207,),0),BG185/(1+IFERROR(INDEX(BG$10:BG$11,Предпосылки!$I$208,),0))*IFERROR(INDEX(BG$10:BG$11,Предпосылки!$I$208,),0),BG208/(1+IFERROR(INDEX(BG$10:BG$11,Предпосылки!$I$209,),0))*IFERROR(INDEX(BG$10:BG$11,Предпосылки!$I$209,),0),BG231/(1+IFERROR(INDEX(BG$10:BG$11,Предпосылки!$I$210,),0))*IFERROR(INDEX(BG$10:BG$11,Предпосылки!$I$210,),0),BG254/(1+IFERROR(INDEX(BG$10:BG$11,Предпосылки!$I$211,),0))*IFERROR(INDEX(BG$10:BG$11,Предпосылки!$I$211,),0),BG277/(1+IFERROR(INDEX(BG$10:BG$11,Предпосылки!$I$212,),0))*IFERROR(INDEX(BG$10:BG$11,Предпосылки!$I$212,),0),BG300/(1+IFERROR(INDEX(BG$10:BG$11,Предпосылки!$I$213,),0))*IFERROR(INDEX(BG$10:BG$11,Предпосылки!$I$213,),0),BG323/(1+IFERROR(INDEX(BG$10:BG$11,Предпосылки!$I$214,),0))*IFERROR(INDEX(BG$10:BG$11,Предпосылки!$I$214,),0),BG346/(1+IFERROR(INDEX(BG$10:BG$11,Предпосылки!$I$215,),0))*IFERROR(INDEX(BG$10:BG$11,Предпосылки!$I$215,),0),BG369/(1+IFERROR(INDEX(BG$10:BG$11,Предпосылки!$I$216,),0))*IFERROR(INDEX(BG$10:BG$11,Предпосылки!$I$216,),0),BG392/(1+IFERROR(INDEX(BG$10:BG$11,Предпосылки!$I$217,),0))*IFERROR(INDEX(BG$10:BG$11,Предпосылки!$I$217,),0),BG415/(1+IFERROR(INDEX(BG$10:BG$11,Предпосылки!$I$218,),0))*IFERROR(INDEX(BG$10:BG$11,Предпосылки!$I$218,),0),BG438/(1+IFERROR(INDEX(BG$10:BG$11,Предпосылки!$I$219,),0))*IFERROR(INDEX(BG$10:BG$11,Предпосылки!$I$219,),0),BG461/(1+IFERROR(INDEX(BG$10:BG$11,Предпосылки!$I$220,),0))*IFERROR(INDEX(BG$10:BG$11,Предпосылки!$I$220,),0))</f>
        <v>0</v>
      </c>
      <c s="125">
        <f>SUM(BH24/(1+IFERROR(INDEX(BH$10:BH$11,Предпосылки!$I$201,),0))*IFERROR(INDEX(BH$10:BH$11,Предпосылки!$I$201,),0),BH47/(1+IFERROR(INDEX(BH$10:BH$11,Предпосылки!$I$202,),0))*IFERROR(INDEX(BH$10:BH$11,Предпосылки!$I$202,),0),BH70/(1+IFERROR(INDEX(BH$10:BH$11,Предпосылки!$I$203,),0))*IFERROR(INDEX(BH$10:BH$11,Предпосылки!$I$203,),0),BH93/(1+IFERROR(INDEX(BH$10:BH$11,Предпосылки!$I$204,),0))*IFERROR(INDEX(BH$10:BH$11,Предпосылки!$I$204,),0),BH116/(1+IFERROR(INDEX(BH$10:BH$11,Предпосылки!$I$205,),0))*IFERROR(INDEX(BH$10:BH$11,Предпосылки!$I$205,),0),BH139/(1+IFERROR(INDEX(BH$10:BH$11,Предпосылки!$I$206,),0))*IFERROR(INDEX(BH$10:BH$11,Предпосылки!$I$206,),0),BH162/(1+IFERROR(INDEX(BH$10:BH$11,Предпосылки!$I$207,),0))*IFERROR(INDEX(BH$10:BH$11,Предпосылки!$I$207,),0),BH185/(1+IFERROR(INDEX(BH$10:BH$11,Предпосылки!$I$208,),0))*IFERROR(INDEX(BH$10:BH$11,Предпосылки!$I$208,),0),BH208/(1+IFERROR(INDEX(BH$10:BH$11,Предпосылки!$I$209,),0))*IFERROR(INDEX(BH$10:BH$11,Предпосылки!$I$209,),0),BH231/(1+IFERROR(INDEX(BH$10:BH$11,Предпосылки!$I$210,),0))*IFERROR(INDEX(BH$10:BH$11,Предпосылки!$I$210,),0),BH254/(1+IFERROR(INDEX(BH$10:BH$11,Предпосылки!$I$211,),0))*IFERROR(INDEX(BH$10:BH$11,Предпосылки!$I$211,),0),BH277/(1+IFERROR(INDEX(BH$10:BH$11,Предпосылки!$I$212,),0))*IFERROR(INDEX(BH$10:BH$11,Предпосылки!$I$212,),0),BH300/(1+IFERROR(INDEX(BH$10:BH$11,Предпосылки!$I$213,),0))*IFERROR(INDEX(BH$10:BH$11,Предпосылки!$I$213,),0),BH323/(1+IFERROR(INDEX(BH$10:BH$11,Предпосылки!$I$214,),0))*IFERROR(INDEX(BH$10:BH$11,Предпосылки!$I$214,),0),BH346/(1+IFERROR(INDEX(BH$10:BH$11,Предпосылки!$I$215,),0))*IFERROR(INDEX(BH$10:BH$11,Предпосылки!$I$215,),0),BH369/(1+IFERROR(INDEX(BH$10:BH$11,Предпосылки!$I$216,),0))*IFERROR(INDEX(BH$10:BH$11,Предпосылки!$I$216,),0),BH392/(1+IFERROR(INDEX(BH$10:BH$11,Предпосылки!$I$217,),0))*IFERROR(INDEX(BH$10:BH$11,Предпосылки!$I$217,),0),BH415/(1+IFERROR(INDEX(BH$10:BH$11,Предпосылки!$I$218,),0))*IFERROR(INDEX(BH$10:BH$11,Предпосылки!$I$218,),0),BH438/(1+IFERROR(INDEX(BH$10:BH$11,Предпосылки!$I$219,),0))*IFERROR(INDEX(BH$10:BH$11,Предпосылки!$I$219,),0),BH461/(1+IFERROR(INDEX(BH$10:BH$11,Предпосылки!$I$220,),0))*IFERROR(INDEX(BH$10:BH$11,Предпосылки!$I$220,),0))</f>
        <v>0</v>
      </c>
      <c s="125">
        <f>SUM(BI24/(1+IFERROR(INDEX(BI$10:BI$11,Предпосылки!$I$201,),0))*IFERROR(INDEX(BI$10:BI$11,Предпосылки!$I$201,),0),BI47/(1+IFERROR(INDEX(BI$10:BI$11,Предпосылки!$I$202,),0))*IFERROR(INDEX(BI$10:BI$11,Предпосылки!$I$202,),0),BI70/(1+IFERROR(INDEX(BI$10:BI$11,Предпосылки!$I$203,),0))*IFERROR(INDEX(BI$10:BI$11,Предпосылки!$I$203,),0),BI93/(1+IFERROR(INDEX(BI$10:BI$11,Предпосылки!$I$204,),0))*IFERROR(INDEX(BI$10:BI$11,Предпосылки!$I$204,),0),BI116/(1+IFERROR(INDEX(BI$10:BI$11,Предпосылки!$I$205,),0))*IFERROR(INDEX(BI$10:BI$11,Предпосылки!$I$205,),0),BI139/(1+IFERROR(INDEX(BI$10:BI$11,Предпосылки!$I$206,),0))*IFERROR(INDEX(BI$10:BI$11,Предпосылки!$I$206,),0),BI162/(1+IFERROR(INDEX(BI$10:BI$11,Предпосылки!$I$207,),0))*IFERROR(INDEX(BI$10:BI$11,Предпосылки!$I$207,),0),BI185/(1+IFERROR(INDEX(BI$10:BI$11,Предпосылки!$I$208,),0))*IFERROR(INDEX(BI$10:BI$11,Предпосылки!$I$208,),0),BI208/(1+IFERROR(INDEX(BI$10:BI$11,Предпосылки!$I$209,),0))*IFERROR(INDEX(BI$10:BI$11,Предпосылки!$I$209,),0),BI231/(1+IFERROR(INDEX(BI$10:BI$11,Предпосылки!$I$210,),0))*IFERROR(INDEX(BI$10:BI$11,Предпосылки!$I$210,),0),BI254/(1+IFERROR(INDEX(BI$10:BI$11,Предпосылки!$I$211,),0))*IFERROR(INDEX(BI$10:BI$11,Предпосылки!$I$211,),0),BI277/(1+IFERROR(INDEX(BI$10:BI$11,Предпосылки!$I$212,),0))*IFERROR(INDEX(BI$10:BI$11,Предпосылки!$I$212,),0),BI300/(1+IFERROR(INDEX(BI$10:BI$11,Предпосылки!$I$213,),0))*IFERROR(INDEX(BI$10:BI$11,Предпосылки!$I$213,),0),BI323/(1+IFERROR(INDEX(BI$10:BI$11,Предпосылки!$I$214,),0))*IFERROR(INDEX(BI$10:BI$11,Предпосылки!$I$214,),0),BI346/(1+IFERROR(INDEX(BI$10:BI$11,Предпосылки!$I$215,),0))*IFERROR(INDEX(BI$10:BI$11,Предпосылки!$I$215,),0),BI369/(1+IFERROR(INDEX(BI$10:BI$11,Предпосылки!$I$216,),0))*IFERROR(INDEX(BI$10:BI$11,Предпосылки!$I$216,),0),BI392/(1+IFERROR(INDEX(BI$10:BI$11,Предпосылки!$I$217,),0))*IFERROR(INDEX(BI$10:BI$11,Предпосылки!$I$217,),0),BI415/(1+IFERROR(INDEX(BI$10:BI$11,Предпосылки!$I$218,),0))*IFERROR(INDEX(BI$10:BI$11,Предпосылки!$I$218,),0),BI438/(1+IFERROR(INDEX(BI$10:BI$11,Предпосылки!$I$219,),0))*IFERROR(INDEX(BI$10:BI$11,Предпосылки!$I$219,),0),BI461/(1+IFERROR(INDEX(BI$10:BI$11,Предпосылки!$I$220,),0))*IFERROR(INDEX(BI$10:BI$11,Предпосылки!$I$220,),0))</f>
        <v>0</v>
      </c>
      <c s="125">
        <f>SUM(BJ24/(1+IFERROR(INDEX(BJ$10:BJ$11,Предпосылки!$I$201,),0))*IFERROR(INDEX(BJ$10:BJ$11,Предпосылки!$I$201,),0),BJ47/(1+IFERROR(INDEX(BJ$10:BJ$11,Предпосылки!$I$202,),0))*IFERROR(INDEX(BJ$10:BJ$11,Предпосылки!$I$202,),0),BJ70/(1+IFERROR(INDEX(BJ$10:BJ$11,Предпосылки!$I$203,),0))*IFERROR(INDEX(BJ$10:BJ$11,Предпосылки!$I$203,),0),BJ93/(1+IFERROR(INDEX(BJ$10:BJ$11,Предпосылки!$I$204,),0))*IFERROR(INDEX(BJ$10:BJ$11,Предпосылки!$I$204,),0),BJ116/(1+IFERROR(INDEX(BJ$10:BJ$11,Предпосылки!$I$205,),0))*IFERROR(INDEX(BJ$10:BJ$11,Предпосылки!$I$205,),0),BJ139/(1+IFERROR(INDEX(BJ$10:BJ$11,Предпосылки!$I$206,),0))*IFERROR(INDEX(BJ$10:BJ$11,Предпосылки!$I$206,),0),BJ162/(1+IFERROR(INDEX(BJ$10:BJ$11,Предпосылки!$I$207,),0))*IFERROR(INDEX(BJ$10:BJ$11,Предпосылки!$I$207,),0),BJ185/(1+IFERROR(INDEX(BJ$10:BJ$11,Предпосылки!$I$208,),0))*IFERROR(INDEX(BJ$10:BJ$11,Предпосылки!$I$208,),0),BJ208/(1+IFERROR(INDEX(BJ$10:BJ$11,Предпосылки!$I$209,),0))*IFERROR(INDEX(BJ$10:BJ$11,Предпосылки!$I$209,),0),BJ231/(1+IFERROR(INDEX(BJ$10:BJ$11,Предпосылки!$I$210,),0))*IFERROR(INDEX(BJ$10:BJ$11,Предпосылки!$I$210,),0),BJ254/(1+IFERROR(INDEX(BJ$10:BJ$11,Предпосылки!$I$211,),0))*IFERROR(INDEX(BJ$10:BJ$11,Предпосылки!$I$211,),0),BJ277/(1+IFERROR(INDEX(BJ$10:BJ$11,Предпосылки!$I$212,),0))*IFERROR(INDEX(BJ$10:BJ$11,Предпосылки!$I$212,),0),BJ300/(1+IFERROR(INDEX(BJ$10:BJ$11,Предпосылки!$I$213,),0))*IFERROR(INDEX(BJ$10:BJ$11,Предпосылки!$I$213,),0),BJ323/(1+IFERROR(INDEX(BJ$10:BJ$11,Предпосылки!$I$214,),0))*IFERROR(INDEX(BJ$10:BJ$11,Предпосылки!$I$214,),0),BJ346/(1+IFERROR(INDEX(BJ$10:BJ$11,Предпосылки!$I$215,),0))*IFERROR(INDEX(BJ$10:BJ$11,Предпосылки!$I$215,),0),BJ369/(1+IFERROR(INDEX(BJ$10:BJ$11,Предпосылки!$I$216,),0))*IFERROR(INDEX(BJ$10:BJ$11,Предпосылки!$I$216,),0),BJ392/(1+IFERROR(INDEX(BJ$10:BJ$11,Предпосылки!$I$217,),0))*IFERROR(INDEX(BJ$10:BJ$11,Предпосылки!$I$217,),0),BJ415/(1+IFERROR(INDEX(BJ$10:BJ$11,Предпосылки!$I$218,),0))*IFERROR(INDEX(BJ$10:BJ$11,Предпосылки!$I$218,),0),BJ438/(1+IFERROR(INDEX(BJ$10:BJ$11,Предпосылки!$I$219,),0))*IFERROR(INDEX(BJ$10:BJ$11,Предпосылки!$I$219,),0),BJ461/(1+IFERROR(INDEX(BJ$10:BJ$11,Предпосылки!$I$220,),0))*IFERROR(INDEX(BJ$10:BJ$11,Предпосылки!$I$220,),0))</f>
        <v>0</v>
      </c>
      <c s="125">
        <f>SUM(BK24/(1+IFERROR(INDEX(BK$10:BK$11,Предпосылки!$I$201,),0))*IFERROR(INDEX(BK$10:BK$11,Предпосылки!$I$201,),0),BK47/(1+IFERROR(INDEX(BK$10:BK$11,Предпосылки!$I$202,),0))*IFERROR(INDEX(BK$10:BK$11,Предпосылки!$I$202,),0),BK70/(1+IFERROR(INDEX(BK$10:BK$11,Предпосылки!$I$203,),0))*IFERROR(INDEX(BK$10:BK$11,Предпосылки!$I$203,),0),BK93/(1+IFERROR(INDEX(BK$10:BK$11,Предпосылки!$I$204,),0))*IFERROR(INDEX(BK$10:BK$11,Предпосылки!$I$204,),0),BK116/(1+IFERROR(INDEX(BK$10:BK$11,Предпосылки!$I$205,),0))*IFERROR(INDEX(BK$10:BK$11,Предпосылки!$I$205,),0),BK139/(1+IFERROR(INDEX(BK$10:BK$11,Предпосылки!$I$206,),0))*IFERROR(INDEX(BK$10:BK$11,Предпосылки!$I$206,),0),BK162/(1+IFERROR(INDEX(BK$10:BK$11,Предпосылки!$I$207,),0))*IFERROR(INDEX(BK$10:BK$11,Предпосылки!$I$207,),0),BK185/(1+IFERROR(INDEX(BK$10:BK$11,Предпосылки!$I$208,),0))*IFERROR(INDEX(BK$10:BK$11,Предпосылки!$I$208,),0),BK208/(1+IFERROR(INDEX(BK$10:BK$11,Предпосылки!$I$209,),0))*IFERROR(INDEX(BK$10:BK$11,Предпосылки!$I$209,),0),BK231/(1+IFERROR(INDEX(BK$10:BK$11,Предпосылки!$I$210,),0))*IFERROR(INDEX(BK$10:BK$11,Предпосылки!$I$210,),0),BK254/(1+IFERROR(INDEX(BK$10:BK$11,Предпосылки!$I$211,),0))*IFERROR(INDEX(BK$10:BK$11,Предпосылки!$I$211,),0),BK277/(1+IFERROR(INDEX(BK$10:BK$11,Предпосылки!$I$212,),0))*IFERROR(INDEX(BK$10:BK$11,Предпосылки!$I$212,),0),BK300/(1+IFERROR(INDEX(BK$10:BK$11,Предпосылки!$I$213,),0))*IFERROR(INDEX(BK$10:BK$11,Предпосылки!$I$213,),0),BK323/(1+IFERROR(INDEX(BK$10:BK$11,Предпосылки!$I$214,),0))*IFERROR(INDEX(BK$10:BK$11,Предпосылки!$I$214,),0),BK346/(1+IFERROR(INDEX(BK$10:BK$11,Предпосылки!$I$215,),0))*IFERROR(INDEX(BK$10:BK$11,Предпосылки!$I$215,),0),BK369/(1+IFERROR(INDEX(BK$10:BK$11,Предпосылки!$I$216,),0))*IFERROR(INDEX(BK$10:BK$11,Предпосылки!$I$216,),0),BK392/(1+IFERROR(INDEX(BK$10:BK$11,Предпосылки!$I$217,),0))*IFERROR(INDEX(BK$10:BK$11,Предпосылки!$I$217,),0),BK415/(1+IFERROR(INDEX(BK$10:BK$11,Предпосылки!$I$218,),0))*IFERROR(INDEX(BK$10:BK$11,Предпосылки!$I$218,),0),BK438/(1+IFERROR(INDEX(BK$10:BK$11,Предпосылки!$I$219,),0))*IFERROR(INDEX(BK$10:BK$11,Предпосылки!$I$219,),0),BK461/(1+IFERROR(INDEX(BK$10:BK$11,Предпосылки!$I$220,),0))*IFERROR(INDEX(BK$10:BK$11,Предпосылки!$I$220,),0))</f>
        <v>0</v>
      </c>
      <c s="125">
        <f>SUM(BL24/(1+IFERROR(INDEX(BL$10:BL$11,Предпосылки!$I$201,),0))*IFERROR(INDEX(BL$10:BL$11,Предпосылки!$I$201,),0),BL47/(1+IFERROR(INDEX(BL$10:BL$11,Предпосылки!$I$202,),0))*IFERROR(INDEX(BL$10:BL$11,Предпосылки!$I$202,),0),BL70/(1+IFERROR(INDEX(BL$10:BL$11,Предпосылки!$I$203,),0))*IFERROR(INDEX(BL$10:BL$11,Предпосылки!$I$203,),0),BL93/(1+IFERROR(INDEX(BL$10:BL$11,Предпосылки!$I$204,),0))*IFERROR(INDEX(BL$10:BL$11,Предпосылки!$I$204,),0),BL116/(1+IFERROR(INDEX(BL$10:BL$11,Предпосылки!$I$205,),0))*IFERROR(INDEX(BL$10:BL$11,Предпосылки!$I$205,),0),BL139/(1+IFERROR(INDEX(BL$10:BL$11,Предпосылки!$I$206,),0))*IFERROR(INDEX(BL$10:BL$11,Предпосылки!$I$206,),0),BL162/(1+IFERROR(INDEX(BL$10:BL$11,Предпосылки!$I$207,),0))*IFERROR(INDEX(BL$10:BL$11,Предпосылки!$I$207,),0),BL185/(1+IFERROR(INDEX(BL$10:BL$11,Предпосылки!$I$208,),0))*IFERROR(INDEX(BL$10:BL$11,Предпосылки!$I$208,),0),BL208/(1+IFERROR(INDEX(BL$10:BL$11,Предпосылки!$I$209,),0))*IFERROR(INDEX(BL$10:BL$11,Предпосылки!$I$209,),0),BL231/(1+IFERROR(INDEX(BL$10:BL$11,Предпосылки!$I$210,),0))*IFERROR(INDEX(BL$10:BL$11,Предпосылки!$I$210,),0),BL254/(1+IFERROR(INDEX(BL$10:BL$11,Предпосылки!$I$211,),0))*IFERROR(INDEX(BL$10:BL$11,Предпосылки!$I$211,),0),BL277/(1+IFERROR(INDEX(BL$10:BL$11,Предпосылки!$I$212,),0))*IFERROR(INDEX(BL$10:BL$11,Предпосылки!$I$212,),0),BL300/(1+IFERROR(INDEX(BL$10:BL$11,Предпосылки!$I$213,),0))*IFERROR(INDEX(BL$10:BL$11,Предпосылки!$I$213,),0),BL323/(1+IFERROR(INDEX(BL$10:BL$11,Предпосылки!$I$214,),0))*IFERROR(INDEX(BL$10:BL$11,Предпосылки!$I$214,),0),BL346/(1+IFERROR(INDEX(BL$10:BL$11,Предпосылки!$I$215,),0))*IFERROR(INDEX(BL$10:BL$11,Предпосылки!$I$215,),0),BL369/(1+IFERROR(INDEX(BL$10:BL$11,Предпосылки!$I$216,),0))*IFERROR(INDEX(BL$10:BL$11,Предпосылки!$I$216,),0),BL392/(1+IFERROR(INDEX(BL$10:BL$11,Предпосылки!$I$217,),0))*IFERROR(INDEX(BL$10:BL$11,Предпосылки!$I$217,),0),BL415/(1+IFERROR(INDEX(BL$10:BL$11,Предпосылки!$I$218,),0))*IFERROR(INDEX(BL$10:BL$11,Предпосылки!$I$218,),0),BL438/(1+IFERROR(INDEX(BL$10:BL$11,Предпосылки!$I$219,),0))*IFERROR(INDEX(BL$10:BL$11,Предпосылки!$I$219,),0),BL461/(1+IFERROR(INDEX(BL$10:BL$11,Предпосылки!$I$220,),0))*IFERROR(INDEX(BL$10:BL$11,Предпосылки!$I$220,),0))</f>
        <v>0</v>
      </c>
      <c s="125">
        <f>SUM(BM24/(1+IFERROR(INDEX(BM$10:BM$11,Предпосылки!$I$201,),0))*IFERROR(INDEX(BM$10:BM$11,Предпосылки!$I$201,),0),BM47/(1+IFERROR(INDEX(BM$10:BM$11,Предпосылки!$I$202,),0))*IFERROR(INDEX(BM$10:BM$11,Предпосылки!$I$202,),0),BM70/(1+IFERROR(INDEX(BM$10:BM$11,Предпосылки!$I$203,),0))*IFERROR(INDEX(BM$10:BM$11,Предпосылки!$I$203,),0),BM93/(1+IFERROR(INDEX(BM$10:BM$11,Предпосылки!$I$204,),0))*IFERROR(INDEX(BM$10:BM$11,Предпосылки!$I$204,),0),BM116/(1+IFERROR(INDEX(BM$10:BM$11,Предпосылки!$I$205,),0))*IFERROR(INDEX(BM$10:BM$11,Предпосылки!$I$205,),0),BM139/(1+IFERROR(INDEX(BM$10:BM$11,Предпосылки!$I$206,),0))*IFERROR(INDEX(BM$10:BM$11,Предпосылки!$I$206,),0),BM162/(1+IFERROR(INDEX(BM$10:BM$11,Предпосылки!$I$207,),0))*IFERROR(INDEX(BM$10:BM$11,Предпосылки!$I$207,),0),BM185/(1+IFERROR(INDEX(BM$10:BM$11,Предпосылки!$I$208,),0))*IFERROR(INDEX(BM$10:BM$11,Предпосылки!$I$208,),0),BM208/(1+IFERROR(INDEX(BM$10:BM$11,Предпосылки!$I$209,),0))*IFERROR(INDEX(BM$10:BM$11,Предпосылки!$I$209,),0),BM231/(1+IFERROR(INDEX(BM$10:BM$11,Предпосылки!$I$210,),0))*IFERROR(INDEX(BM$10:BM$11,Предпосылки!$I$210,),0),BM254/(1+IFERROR(INDEX(BM$10:BM$11,Предпосылки!$I$211,),0))*IFERROR(INDEX(BM$10:BM$11,Предпосылки!$I$211,),0),BM277/(1+IFERROR(INDEX(BM$10:BM$11,Предпосылки!$I$212,),0))*IFERROR(INDEX(BM$10:BM$11,Предпосылки!$I$212,),0),BM300/(1+IFERROR(INDEX(BM$10:BM$11,Предпосылки!$I$213,),0))*IFERROR(INDEX(BM$10:BM$11,Предпосылки!$I$213,),0),BM323/(1+IFERROR(INDEX(BM$10:BM$11,Предпосылки!$I$214,),0))*IFERROR(INDEX(BM$10:BM$11,Предпосылки!$I$214,),0),BM346/(1+IFERROR(INDEX(BM$10:BM$11,Предпосылки!$I$215,),0))*IFERROR(INDEX(BM$10:BM$11,Предпосылки!$I$215,),0),BM369/(1+IFERROR(INDEX(BM$10:BM$11,Предпосылки!$I$216,),0))*IFERROR(INDEX(BM$10:BM$11,Предпосылки!$I$216,),0),BM392/(1+IFERROR(INDEX(BM$10:BM$11,Предпосылки!$I$217,),0))*IFERROR(INDEX(BM$10:BM$11,Предпосылки!$I$217,),0),BM415/(1+IFERROR(INDEX(BM$10:BM$11,Предпосылки!$I$218,),0))*IFERROR(INDEX(BM$10:BM$11,Предпосылки!$I$218,),0),BM438/(1+IFERROR(INDEX(BM$10:BM$11,Предпосылки!$I$219,),0))*IFERROR(INDEX(BM$10:BM$11,Предпосылки!$I$219,),0),BM461/(1+IFERROR(INDEX(BM$10:BM$11,Предпосылки!$I$220,),0))*IFERROR(INDEX(BM$10:BM$11,Предпосылки!$I$220,),0))</f>
        <v>0</v>
      </c>
    </row>
    <row r="556" spans="2:65" ht="15" customHeight="1">
      <c r="B556" s="12" t="str">
        <f t="shared" si="255"/>
        <v>Продукт 3</v>
      </c>
      <c s="124" t="str">
        <f t="shared" si="254"/>
        <v>тыс. руб.</v>
      </c>
      <c s="276">
        <f t="shared" si="256"/>
        <v>0</v>
      </c>
      <c s="125">
        <f>SUM(E25/(1+IFERROR(INDEX(E$10:E$11,Предпосылки!$I203,),0))*IFERROR(INDEX(E$10:E$11,Предпосылки!$I203,),0),E48/(1+IFERROR(INDEX(E$10:E$11,Предпосылки!$I204,),0))*IFERROR(INDEX(E$10:E$11,Предпосылки!$I204,),0),E71/(1+IFERROR(INDEX(E$10:E$11,Предпосылки!$I205,),0))*IFERROR(INDEX(E$10:E$11,Предпосылки!$I205,),0),E94/(1+IFERROR(INDEX(E$10:E$11,Предпосылки!$I206,),0))*IFERROR(INDEX(E$10:E$11,Предпосылки!$I206,),0),E117/(1+IFERROR(INDEX(E$10:E$11,Предпосылки!$I207,),0))*IFERROR(INDEX(E$10:E$11,Предпосылки!$I207,),0),E140/(1+IFERROR(INDEX(E$10:E$11,Предпосылки!$I208,),0))*IFERROR(INDEX(E$10:E$11,Предпосылки!$I208,),0),E163/(1+IFERROR(INDEX(E$10:E$11,Предпосылки!$I209,),0))*IFERROR(INDEX(E$10:E$11,Предпосылки!$I209,),0),E186/(1+IFERROR(INDEX(E$10:E$11,Предпосылки!$I210,),0))*IFERROR(INDEX(E$10:E$11,Предпосылки!$I210,),0),E209/(1+IFERROR(INDEX(E$10:E$11,Предпосылки!$I211,),0))*IFERROR(INDEX(E$10:E$11,Предпосылки!$I211,),0),E232/(1+IFERROR(INDEX(E$10:E$11,Предпосылки!$I212,),0))*IFERROR(INDEX(E$10:E$11,Предпосылки!$I212,),0),E255/(1+IFERROR(INDEX(E$10:E$11,Предпосылки!$I213,),0))*IFERROR(INDEX(E$10:E$11,Предпосылки!$I213,),0),E278/(1+IFERROR(INDEX(E$10:E$11,Предпосылки!$I214,),0))*IFERROR(INDEX(E$10:E$11,Предпосылки!$I214,),0),E301/(1+IFERROR(INDEX(E$10:E$11,Предпосылки!$I215,),0))*IFERROR(INDEX(E$10:E$11,Предпосылки!$I215,),0),E324/(1+IFERROR(INDEX(E$10:E$11,Предпосылки!$I216,),0))*IFERROR(INDEX(E$10:E$11,Предпосылки!$I216,),0),E347/(1+IFERROR(INDEX(E$10:E$11,Предпосылки!$I217,),0))*IFERROR(INDEX(E$10:E$11,Предпосылки!$I217,),0),E370/(1+IFERROR(INDEX(E$10:E$11,Предпосылки!$I218,),0))*IFERROR(INDEX(E$10:E$11,Предпосылки!$I218,),0),E393/(1+IFERROR(INDEX(E$10:E$11,Предпосылки!$I219,),0))*IFERROR(INDEX(E$10:E$11,Предпосылки!$I219,),0),E416/(1+IFERROR(INDEX(E$10:E$11,Предпосылки!$I220,),0))*IFERROR(INDEX(E$10:E$11,Предпосылки!$I220,),0),E439/(1+IFERROR(INDEX(E$10:E$11,Предпосылки!$I221,),0))*IFERROR(INDEX(E$10:E$11,Предпосылки!$I221,),0),E462/(1+IFERROR(INDEX(E$10:E$11,Предпосылки!$I222,),0))*IFERROR(INDEX(E$10:E$11,Предпосылки!$I222,),0))</f>
        <v>0</v>
      </c>
      <c s="125">
        <f>SUM(F25/(1+IFERROR(INDEX(F$10:F$11,Предпосылки!$I$201,),0))*IFERROR(INDEX(F$10:F$11,Предпосылки!$I$201,),0),F48/(1+IFERROR(INDEX(F$10:F$11,Предпосылки!$I$202,),0))*IFERROR(INDEX(F$10:F$11,Предпосылки!$I$202,),0),F71/(1+IFERROR(INDEX(F$10:F$11,Предпосылки!$I$203,),0))*IFERROR(INDEX(F$10:F$11,Предпосылки!$I$203,),0),F94/(1+IFERROR(INDEX(F$10:F$11,Предпосылки!$I$204,),0))*IFERROR(INDEX(F$10:F$11,Предпосылки!$I$204,),0),F117/(1+IFERROR(INDEX(F$10:F$11,Предпосылки!$I$205,),0))*IFERROR(INDEX(F$10:F$11,Предпосылки!$I$205,),0),F140/(1+IFERROR(INDEX(F$10:F$11,Предпосылки!$I$206,),0))*IFERROR(INDEX(F$10:F$11,Предпосылки!$I$206,),0),F163/(1+IFERROR(INDEX(F$10:F$11,Предпосылки!$I$207,),0))*IFERROR(INDEX(F$10:F$11,Предпосылки!$I$207,),0),F186/(1+IFERROR(INDEX(F$10:F$11,Предпосылки!$I$208,),0))*IFERROR(INDEX(F$10:F$11,Предпосылки!$I$208,),0),F209/(1+IFERROR(INDEX(F$10:F$11,Предпосылки!$I$209,),0))*IFERROR(INDEX(F$10:F$11,Предпосылки!$I$209,),0),F232/(1+IFERROR(INDEX(F$10:F$11,Предпосылки!$I$210,),0))*IFERROR(INDEX(F$10:F$11,Предпосылки!$I$210,),0),F255/(1+IFERROR(INDEX(F$10:F$11,Предпосылки!$I$211,),0))*IFERROR(INDEX(F$10:F$11,Предпосылки!$I$211,),0),F278/(1+IFERROR(INDEX(F$10:F$11,Предпосылки!$I$212,),0))*IFERROR(INDEX(F$10:F$11,Предпосылки!$I$212,),0),F301/(1+IFERROR(INDEX(F$10:F$11,Предпосылки!$I$213,),0))*IFERROR(INDEX(F$10:F$11,Предпосылки!$I$213,),0),F324/(1+IFERROR(INDEX(F$10:F$11,Предпосылки!$I$214,),0))*IFERROR(INDEX(F$10:F$11,Предпосылки!$I$214,),0),F347/(1+IFERROR(INDEX(F$10:F$11,Предпосылки!$I$215,),0))*IFERROR(INDEX(F$10:F$11,Предпосылки!$I$215,),0),F370/(1+IFERROR(INDEX(F$10:F$11,Предпосылки!$I$216,),0))*IFERROR(INDEX(F$10:F$11,Предпосылки!$I$216,),0),F393/(1+IFERROR(INDEX(F$10:F$11,Предпосылки!$I$217,),0))*IFERROR(INDEX(F$10:F$11,Предпосылки!$I$217,),0),F416/(1+IFERROR(INDEX(F$10:F$11,Предпосылки!$I$218,),0))*IFERROR(INDEX(F$10:F$11,Предпосылки!$I$218,),0),F439/(1+IFERROR(INDEX(F$10:F$11,Предпосылки!$I$219,),0))*IFERROR(INDEX(F$10:F$11,Предпосылки!$I$219,),0),F462/(1+IFERROR(INDEX(F$10:F$11,Предпосылки!$I$220,),0))*IFERROR(INDEX(F$10:F$11,Предпосылки!$I$220,),0))</f>
        <v>0</v>
      </c>
      <c s="125">
        <f>SUM(G25/(1+IFERROR(INDEX(G$10:G$11,Предпосылки!$I$201,),0))*IFERROR(INDEX(G$10:G$11,Предпосылки!$I$201,),0),G48/(1+IFERROR(INDEX(G$10:G$11,Предпосылки!$I$202,),0))*IFERROR(INDEX(G$10:G$11,Предпосылки!$I$202,),0),G71/(1+IFERROR(INDEX(G$10:G$11,Предпосылки!$I$203,),0))*IFERROR(INDEX(G$10:G$11,Предпосылки!$I$203,),0),G94/(1+IFERROR(INDEX(G$10:G$11,Предпосылки!$I$204,),0))*IFERROR(INDEX(G$10:G$11,Предпосылки!$I$204,),0),G117/(1+IFERROR(INDEX(G$10:G$11,Предпосылки!$I$205,),0))*IFERROR(INDEX(G$10:G$11,Предпосылки!$I$205,),0),G140/(1+IFERROR(INDEX(G$10:G$11,Предпосылки!$I$206,),0))*IFERROR(INDEX(G$10:G$11,Предпосылки!$I$206,),0),G163/(1+IFERROR(INDEX(G$10:G$11,Предпосылки!$I$207,),0))*IFERROR(INDEX(G$10:G$11,Предпосылки!$I$207,),0),G186/(1+IFERROR(INDEX(G$10:G$11,Предпосылки!$I$208,),0))*IFERROR(INDEX(G$10:G$11,Предпосылки!$I$208,),0),G209/(1+IFERROR(INDEX(G$10:G$11,Предпосылки!$I$209,),0))*IFERROR(INDEX(G$10:G$11,Предпосылки!$I$209,),0),G232/(1+IFERROR(INDEX(G$10:G$11,Предпосылки!$I$210,),0))*IFERROR(INDEX(G$10:G$11,Предпосылки!$I$210,),0),G255/(1+IFERROR(INDEX(G$10:G$11,Предпосылки!$I$211,),0))*IFERROR(INDEX(G$10:G$11,Предпосылки!$I$211,),0),G278/(1+IFERROR(INDEX(G$10:G$11,Предпосылки!$I$212,),0))*IFERROR(INDEX(G$10:G$11,Предпосылки!$I$212,),0),G301/(1+IFERROR(INDEX(G$10:G$11,Предпосылки!$I$213,),0))*IFERROR(INDEX(G$10:G$11,Предпосылки!$I$213,),0),G324/(1+IFERROR(INDEX(G$10:G$11,Предпосылки!$I$214,),0))*IFERROR(INDEX(G$10:G$11,Предпосылки!$I$214,),0),G347/(1+IFERROR(INDEX(G$10:G$11,Предпосылки!$I$215,),0))*IFERROR(INDEX(G$10:G$11,Предпосылки!$I$215,),0),G370/(1+IFERROR(INDEX(G$10:G$11,Предпосылки!$I$216,),0))*IFERROR(INDEX(G$10:G$11,Предпосылки!$I$216,),0),G393/(1+IFERROR(INDEX(G$10:G$11,Предпосылки!$I$217,),0))*IFERROR(INDEX(G$10:G$11,Предпосылки!$I$217,),0),G416/(1+IFERROR(INDEX(G$10:G$11,Предпосылки!$I$218,),0))*IFERROR(INDEX(G$10:G$11,Предпосылки!$I$218,),0),G439/(1+IFERROR(INDEX(G$10:G$11,Предпосылки!$I$219,),0))*IFERROR(INDEX(G$10:G$11,Предпосылки!$I$219,),0),G462/(1+IFERROR(INDEX(G$10:G$11,Предпосылки!$I$220,),0))*IFERROR(INDEX(G$10:G$11,Предпосылки!$I$220,),0))</f>
        <v>0</v>
      </c>
      <c s="125">
        <f>SUM(H25/(1+IFERROR(INDEX(H$10:H$11,Предпосылки!$I$201,),0))*IFERROR(INDEX(H$10:H$11,Предпосылки!$I$201,),0),H48/(1+IFERROR(INDEX(H$10:H$11,Предпосылки!$I$202,),0))*IFERROR(INDEX(H$10:H$11,Предпосылки!$I$202,),0),H71/(1+IFERROR(INDEX(H$10:H$11,Предпосылки!$I$203,),0))*IFERROR(INDEX(H$10:H$11,Предпосылки!$I$203,),0),H94/(1+IFERROR(INDEX(H$10:H$11,Предпосылки!$I$204,),0))*IFERROR(INDEX(H$10:H$11,Предпосылки!$I$204,),0),H117/(1+IFERROR(INDEX(H$10:H$11,Предпосылки!$I$205,),0))*IFERROR(INDEX(H$10:H$11,Предпосылки!$I$205,),0),H140/(1+IFERROR(INDEX(H$10:H$11,Предпосылки!$I$206,),0))*IFERROR(INDEX(H$10:H$11,Предпосылки!$I$206,),0),H163/(1+IFERROR(INDEX(H$10:H$11,Предпосылки!$I$207,),0))*IFERROR(INDEX(H$10:H$11,Предпосылки!$I$207,),0),H186/(1+IFERROR(INDEX(H$10:H$11,Предпосылки!$I$208,),0))*IFERROR(INDEX(H$10:H$11,Предпосылки!$I$208,),0),H209/(1+IFERROR(INDEX(H$10:H$11,Предпосылки!$I$209,),0))*IFERROR(INDEX(H$10:H$11,Предпосылки!$I$209,),0),H232/(1+IFERROR(INDEX(H$10:H$11,Предпосылки!$I$210,),0))*IFERROR(INDEX(H$10:H$11,Предпосылки!$I$210,),0),H255/(1+IFERROR(INDEX(H$10:H$11,Предпосылки!$I$211,),0))*IFERROR(INDEX(H$10:H$11,Предпосылки!$I$211,),0),H278/(1+IFERROR(INDEX(H$10:H$11,Предпосылки!$I$212,),0))*IFERROR(INDEX(H$10:H$11,Предпосылки!$I$212,),0),H301/(1+IFERROR(INDEX(H$10:H$11,Предпосылки!$I$213,),0))*IFERROR(INDEX(H$10:H$11,Предпосылки!$I$213,),0),H324/(1+IFERROR(INDEX(H$10:H$11,Предпосылки!$I$214,),0))*IFERROR(INDEX(H$10:H$11,Предпосылки!$I$214,),0),H347/(1+IFERROR(INDEX(H$10:H$11,Предпосылки!$I$215,),0))*IFERROR(INDEX(H$10:H$11,Предпосылки!$I$215,),0),H370/(1+IFERROR(INDEX(H$10:H$11,Предпосылки!$I$216,),0))*IFERROR(INDEX(H$10:H$11,Предпосылки!$I$216,),0),H393/(1+IFERROR(INDEX(H$10:H$11,Предпосылки!$I$217,),0))*IFERROR(INDEX(H$10:H$11,Предпосылки!$I$217,),0),H416/(1+IFERROR(INDEX(H$10:H$11,Предпосылки!$I$218,),0))*IFERROR(INDEX(H$10:H$11,Предпосылки!$I$218,),0),H439/(1+IFERROR(INDEX(H$10:H$11,Предпосылки!$I$219,),0))*IFERROR(INDEX(H$10:H$11,Предпосылки!$I$219,),0),H462/(1+IFERROR(INDEX(H$10:H$11,Предпосылки!$I$220,),0))*IFERROR(INDEX(H$10:H$11,Предпосылки!$I$220,),0))</f>
        <v>0</v>
      </c>
      <c s="125">
        <f>SUM(I25/(1+IFERROR(INDEX(I$10:I$11,Предпосылки!$I$201,),0))*IFERROR(INDEX(I$10:I$11,Предпосылки!$I$201,),0),I48/(1+IFERROR(INDEX(I$10:I$11,Предпосылки!$I$202,),0))*IFERROR(INDEX(I$10:I$11,Предпосылки!$I$202,),0),I71/(1+IFERROR(INDEX(I$10:I$11,Предпосылки!$I$203,),0))*IFERROR(INDEX(I$10:I$11,Предпосылки!$I$203,),0),I94/(1+IFERROR(INDEX(I$10:I$11,Предпосылки!$I$204,),0))*IFERROR(INDEX(I$10:I$11,Предпосылки!$I$204,),0),I117/(1+IFERROR(INDEX(I$10:I$11,Предпосылки!$I$205,),0))*IFERROR(INDEX(I$10:I$11,Предпосылки!$I$205,),0),I140/(1+IFERROR(INDEX(I$10:I$11,Предпосылки!$I$206,),0))*IFERROR(INDEX(I$10:I$11,Предпосылки!$I$206,),0),I163/(1+IFERROR(INDEX(I$10:I$11,Предпосылки!$I$207,),0))*IFERROR(INDEX(I$10:I$11,Предпосылки!$I$207,),0),I186/(1+IFERROR(INDEX(I$10:I$11,Предпосылки!$I$208,),0))*IFERROR(INDEX(I$10:I$11,Предпосылки!$I$208,),0),I209/(1+IFERROR(INDEX(I$10:I$11,Предпосылки!$I$209,),0))*IFERROR(INDEX(I$10:I$11,Предпосылки!$I$209,),0),I232/(1+IFERROR(INDEX(I$10:I$11,Предпосылки!$I$210,),0))*IFERROR(INDEX(I$10:I$11,Предпосылки!$I$210,),0),I255/(1+IFERROR(INDEX(I$10:I$11,Предпосылки!$I$211,),0))*IFERROR(INDEX(I$10:I$11,Предпосылки!$I$211,),0),I278/(1+IFERROR(INDEX(I$10:I$11,Предпосылки!$I$212,),0))*IFERROR(INDEX(I$10:I$11,Предпосылки!$I$212,),0),I301/(1+IFERROR(INDEX(I$10:I$11,Предпосылки!$I$213,),0))*IFERROR(INDEX(I$10:I$11,Предпосылки!$I$213,),0),I324/(1+IFERROR(INDEX(I$10:I$11,Предпосылки!$I$214,),0))*IFERROR(INDEX(I$10:I$11,Предпосылки!$I$214,),0),I347/(1+IFERROR(INDEX(I$10:I$11,Предпосылки!$I$215,),0))*IFERROR(INDEX(I$10:I$11,Предпосылки!$I$215,),0),I370/(1+IFERROR(INDEX(I$10:I$11,Предпосылки!$I$216,),0))*IFERROR(INDEX(I$10:I$11,Предпосылки!$I$216,),0),I393/(1+IFERROR(INDEX(I$10:I$11,Предпосылки!$I$217,),0))*IFERROR(INDEX(I$10:I$11,Предпосылки!$I$217,),0),I416/(1+IFERROR(INDEX(I$10:I$11,Предпосылки!$I$218,),0))*IFERROR(INDEX(I$10:I$11,Предпосылки!$I$218,),0),I439/(1+IFERROR(INDEX(I$10:I$11,Предпосылки!$I$219,),0))*IFERROR(INDEX(I$10:I$11,Предпосылки!$I$219,),0),I462/(1+IFERROR(INDEX(I$10:I$11,Предпосылки!$I$220,),0))*IFERROR(INDEX(I$10:I$11,Предпосылки!$I$220,),0))</f>
        <v>0</v>
      </c>
      <c s="125">
        <f>SUM(J25/(1+IFERROR(INDEX(J$10:J$11,Предпосылки!$I$201,),0))*IFERROR(INDEX(J$10:J$11,Предпосылки!$I$201,),0),J48/(1+IFERROR(INDEX(J$10:J$11,Предпосылки!$I$202,),0))*IFERROR(INDEX(J$10:J$11,Предпосылки!$I$202,),0),J71/(1+IFERROR(INDEX(J$10:J$11,Предпосылки!$I$203,),0))*IFERROR(INDEX(J$10:J$11,Предпосылки!$I$203,),0),J94/(1+IFERROR(INDEX(J$10:J$11,Предпосылки!$I$204,),0))*IFERROR(INDEX(J$10:J$11,Предпосылки!$I$204,),0),J117/(1+IFERROR(INDEX(J$10:J$11,Предпосылки!$I$205,),0))*IFERROR(INDEX(J$10:J$11,Предпосылки!$I$205,),0),J140/(1+IFERROR(INDEX(J$10:J$11,Предпосылки!$I$206,),0))*IFERROR(INDEX(J$10:J$11,Предпосылки!$I$206,),0),J163/(1+IFERROR(INDEX(J$10:J$11,Предпосылки!$I$207,),0))*IFERROR(INDEX(J$10:J$11,Предпосылки!$I$207,),0),J186/(1+IFERROR(INDEX(J$10:J$11,Предпосылки!$I$208,),0))*IFERROR(INDEX(J$10:J$11,Предпосылки!$I$208,),0),J209/(1+IFERROR(INDEX(J$10:J$11,Предпосылки!$I$209,),0))*IFERROR(INDEX(J$10:J$11,Предпосылки!$I$209,),0),J232/(1+IFERROR(INDEX(J$10:J$11,Предпосылки!$I$210,),0))*IFERROR(INDEX(J$10:J$11,Предпосылки!$I$210,),0),J255/(1+IFERROR(INDEX(J$10:J$11,Предпосылки!$I$211,),0))*IFERROR(INDEX(J$10:J$11,Предпосылки!$I$211,),0),J278/(1+IFERROR(INDEX(J$10:J$11,Предпосылки!$I$212,),0))*IFERROR(INDEX(J$10:J$11,Предпосылки!$I$212,),0),J301/(1+IFERROR(INDEX(J$10:J$11,Предпосылки!$I$213,),0))*IFERROR(INDEX(J$10:J$11,Предпосылки!$I$213,),0),J324/(1+IFERROR(INDEX(J$10:J$11,Предпосылки!$I$214,),0))*IFERROR(INDEX(J$10:J$11,Предпосылки!$I$214,),0),J347/(1+IFERROR(INDEX(J$10:J$11,Предпосылки!$I$215,),0))*IFERROR(INDEX(J$10:J$11,Предпосылки!$I$215,),0),J370/(1+IFERROR(INDEX(J$10:J$11,Предпосылки!$I$216,),0))*IFERROR(INDEX(J$10:J$11,Предпосылки!$I$216,),0),J393/(1+IFERROR(INDEX(J$10:J$11,Предпосылки!$I$217,),0))*IFERROR(INDEX(J$10:J$11,Предпосылки!$I$217,),0),J416/(1+IFERROR(INDEX(J$10:J$11,Предпосылки!$I$218,),0))*IFERROR(INDEX(J$10:J$11,Предпосылки!$I$218,),0),J439/(1+IFERROR(INDEX(J$10:J$11,Предпосылки!$I$219,),0))*IFERROR(INDEX(J$10:J$11,Предпосылки!$I$219,),0),J462/(1+IFERROR(INDEX(J$10:J$11,Предпосылки!$I$220,),0))*IFERROR(INDEX(J$10:J$11,Предпосылки!$I$220,),0))</f>
        <v>0</v>
      </c>
      <c s="125">
        <f>SUM(K25/(1+IFERROR(INDEX(K$10:K$11,Предпосылки!$I$201,),0))*IFERROR(INDEX(K$10:K$11,Предпосылки!$I$201,),0),K48/(1+IFERROR(INDEX(K$10:K$11,Предпосылки!$I$202,),0))*IFERROR(INDEX(K$10:K$11,Предпосылки!$I$202,),0),K71/(1+IFERROR(INDEX(K$10:K$11,Предпосылки!$I$203,),0))*IFERROR(INDEX(K$10:K$11,Предпосылки!$I$203,),0),K94/(1+IFERROR(INDEX(K$10:K$11,Предпосылки!$I$204,),0))*IFERROR(INDEX(K$10:K$11,Предпосылки!$I$204,),0),K117/(1+IFERROR(INDEX(K$10:K$11,Предпосылки!$I$205,),0))*IFERROR(INDEX(K$10:K$11,Предпосылки!$I$205,),0),K140/(1+IFERROR(INDEX(K$10:K$11,Предпосылки!$I$206,),0))*IFERROR(INDEX(K$10:K$11,Предпосылки!$I$206,),0),K163/(1+IFERROR(INDEX(K$10:K$11,Предпосылки!$I$207,),0))*IFERROR(INDEX(K$10:K$11,Предпосылки!$I$207,),0),K186/(1+IFERROR(INDEX(K$10:K$11,Предпосылки!$I$208,),0))*IFERROR(INDEX(K$10:K$11,Предпосылки!$I$208,),0),K209/(1+IFERROR(INDEX(K$10:K$11,Предпосылки!$I$209,),0))*IFERROR(INDEX(K$10:K$11,Предпосылки!$I$209,),0),K232/(1+IFERROR(INDEX(K$10:K$11,Предпосылки!$I$210,),0))*IFERROR(INDEX(K$10:K$11,Предпосылки!$I$210,),0),K255/(1+IFERROR(INDEX(K$10:K$11,Предпосылки!$I$211,),0))*IFERROR(INDEX(K$10:K$11,Предпосылки!$I$211,),0),K278/(1+IFERROR(INDEX(K$10:K$11,Предпосылки!$I$212,),0))*IFERROR(INDEX(K$10:K$11,Предпосылки!$I$212,),0),K301/(1+IFERROR(INDEX(K$10:K$11,Предпосылки!$I$213,),0))*IFERROR(INDEX(K$10:K$11,Предпосылки!$I$213,),0),K324/(1+IFERROR(INDEX(K$10:K$11,Предпосылки!$I$214,),0))*IFERROR(INDEX(K$10:K$11,Предпосылки!$I$214,),0),K347/(1+IFERROR(INDEX(K$10:K$11,Предпосылки!$I$215,),0))*IFERROR(INDEX(K$10:K$11,Предпосылки!$I$215,),0),K370/(1+IFERROR(INDEX(K$10:K$11,Предпосылки!$I$216,),0))*IFERROR(INDEX(K$10:K$11,Предпосылки!$I$216,),0),K393/(1+IFERROR(INDEX(K$10:K$11,Предпосылки!$I$217,),0))*IFERROR(INDEX(K$10:K$11,Предпосылки!$I$217,),0),K416/(1+IFERROR(INDEX(K$10:K$11,Предпосылки!$I$218,),0))*IFERROR(INDEX(K$10:K$11,Предпосылки!$I$218,),0),K439/(1+IFERROR(INDEX(K$10:K$11,Предпосылки!$I$219,),0))*IFERROR(INDEX(K$10:K$11,Предпосылки!$I$219,),0),K462/(1+IFERROR(INDEX(K$10:K$11,Предпосылки!$I$220,),0))*IFERROR(INDEX(K$10:K$11,Предпосылки!$I$220,),0))</f>
        <v>0</v>
      </c>
      <c s="125">
        <f>SUM(L25/(1+IFERROR(INDEX(L$10:L$11,Предпосылки!$I$201,),0))*IFERROR(INDEX(L$10:L$11,Предпосылки!$I$201,),0),L48/(1+IFERROR(INDEX(L$10:L$11,Предпосылки!$I$202,),0))*IFERROR(INDEX(L$10:L$11,Предпосылки!$I$202,),0),L71/(1+IFERROR(INDEX(L$10:L$11,Предпосылки!$I$203,),0))*IFERROR(INDEX(L$10:L$11,Предпосылки!$I$203,),0),L94/(1+IFERROR(INDEX(L$10:L$11,Предпосылки!$I$204,),0))*IFERROR(INDEX(L$10:L$11,Предпосылки!$I$204,),0),L117/(1+IFERROR(INDEX(L$10:L$11,Предпосылки!$I$205,),0))*IFERROR(INDEX(L$10:L$11,Предпосылки!$I$205,),0),L140/(1+IFERROR(INDEX(L$10:L$11,Предпосылки!$I$206,),0))*IFERROR(INDEX(L$10:L$11,Предпосылки!$I$206,),0),L163/(1+IFERROR(INDEX(L$10:L$11,Предпосылки!$I$207,),0))*IFERROR(INDEX(L$10:L$11,Предпосылки!$I$207,),0),L186/(1+IFERROR(INDEX(L$10:L$11,Предпосылки!$I$208,),0))*IFERROR(INDEX(L$10:L$11,Предпосылки!$I$208,),0),L209/(1+IFERROR(INDEX(L$10:L$11,Предпосылки!$I$209,),0))*IFERROR(INDEX(L$10:L$11,Предпосылки!$I$209,),0),L232/(1+IFERROR(INDEX(L$10:L$11,Предпосылки!$I$210,),0))*IFERROR(INDEX(L$10:L$11,Предпосылки!$I$210,),0),L255/(1+IFERROR(INDEX(L$10:L$11,Предпосылки!$I$211,),0))*IFERROR(INDEX(L$10:L$11,Предпосылки!$I$211,),0),L278/(1+IFERROR(INDEX(L$10:L$11,Предпосылки!$I$212,),0))*IFERROR(INDEX(L$10:L$11,Предпосылки!$I$212,),0),L301/(1+IFERROR(INDEX(L$10:L$11,Предпосылки!$I$213,),0))*IFERROR(INDEX(L$10:L$11,Предпосылки!$I$213,),0),L324/(1+IFERROR(INDEX(L$10:L$11,Предпосылки!$I$214,),0))*IFERROR(INDEX(L$10:L$11,Предпосылки!$I$214,),0),L347/(1+IFERROR(INDEX(L$10:L$11,Предпосылки!$I$215,),0))*IFERROR(INDEX(L$10:L$11,Предпосылки!$I$215,),0),L370/(1+IFERROR(INDEX(L$10:L$11,Предпосылки!$I$216,),0))*IFERROR(INDEX(L$10:L$11,Предпосылки!$I$216,),0),L393/(1+IFERROR(INDEX(L$10:L$11,Предпосылки!$I$217,),0))*IFERROR(INDEX(L$10:L$11,Предпосылки!$I$217,),0),L416/(1+IFERROR(INDEX(L$10:L$11,Предпосылки!$I$218,),0))*IFERROR(INDEX(L$10:L$11,Предпосылки!$I$218,),0),L439/(1+IFERROR(INDEX(L$10:L$11,Предпосылки!$I$219,),0))*IFERROR(INDEX(L$10:L$11,Предпосылки!$I$219,),0),L462/(1+IFERROR(INDEX(L$10:L$11,Предпосылки!$I$220,),0))*IFERROR(INDEX(L$10:L$11,Предпосылки!$I$220,),0))</f>
        <v>0</v>
      </c>
      <c s="125">
        <f>SUM(M25/(1+IFERROR(INDEX(M$10:M$11,Предпосылки!$I$201,),0))*IFERROR(INDEX(M$10:M$11,Предпосылки!$I$201,),0),M48/(1+IFERROR(INDEX(M$10:M$11,Предпосылки!$I$202,),0))*IFERROR(INDEX(M$10:M$11,Предпосылки!$I$202,),0),M71/(1+IFERROR(INDEX(M$10:M$11,Предпосылки!$I$203,),0))*IFERROR(INDEX(M$10:M$11,Предпосылки!$I$203,),0),M94/(1+IFERROR(INDEX(M$10:M$11,Предпосылки!$I$204,),0))*IFERROR(INDEX(M$10:M$11,Предпосылки!$I$204,),0),M117/(1+IFERROR(INDEX(M$10:M$11,Предпосылки!$I$205,),0))*IFERROR(INDEX(M$10:M$11,Предпосылки!$I$205,),0),M140/(1+IFERROR(INDEX(M$10:M$11,Предпосылки!$I$206,),0))*IFERROR(INDEX(M$10:M$11,Предпосылки!$I$206,),0),M163/(1+IFERROR(INDEX(M$10:M$11,Предпосылки!$I$207,),0))*IFERROR(INDEX(M$10:M$11,Предпосылки!$I$207,),0),M186/(1+IFERROR(INDEX(M$10:M$11,Предпосылки!$I$208,),0))*IFERROR(INDEX(M$10:M$11,Предпосылки!$I$208,),0),M209/(1+IFERROR(INDEX(M$10:M$11,Предпосылки!$I$209,),0))*IFERROR(INDEX(M$10:M$11,Предпосылки!$I$209,),0),M232/(1+IFERROR(INDEX(M$10:M$11,Предпосылки!$I$210,),0))*IFERROR(INDEX(M$10:M$11,Предпосылки!$I$210,),0),M255/(1+IFERROR(INDEX(M$10:M$11,Предпосылки!$I$211,),0))*IFERROR(INDEX(M$10:M$11,Предпосылки!$I$211,),0),M278/(1+IFERROR(INDEX(M$10:M$11,Предпосылки!$I$212,),0))*IFERROR(INDEX(M$10:M$11,Предпосылки!$I$212,),0),M301/(1+IFERROR(INDEX(M$10:M$11,Предпосылки!$I$213,),0))*IFERROR(INDEX(M$10:M$11,Предпосылки!$I$213,),0),M324/(1+IFERROR(INDEX(M$10:M$11,Предпосылки!$I$214,),0))*IFERROR(INDEX(M$10:M$11,Предпосылки!$I$214,),0),M347/(1+IFERROR(INDEX(M$10:M$11,Предпосылки!$I$215,),0))*IFERROR(INDEX(M$10:M$11,Предпосылки!$I$215,),0),M370/(1+IFERROR(INDEX(M$10:M$11,Предпосылки!$I$216,),0))*IFERROR(INDEX(M$10:M$11,Предпосылки!$I$216,),0),M393/(1+IFERROR(INDEX(M$10:M$11,Предпосылки!$I$217,),0))*IFERROR(INDEX(M$10:M$11,Предпосылки!$I$217,),0),M416/(1+IFERROR(INDEX(M$10:M$11,Предпосылки!$I$218,),0))*IFERROR(INDEX(M$10:M$11,Предпосылки!$I$218,),0),M439/(1+IFERROR(INDEX(M$10:M$11,Предпосылки!$I$219,),0))*IFERROR(INDEX(M$10:M$11,Предпосылки!$I$219,),0),M462/(1+IFERROR(INDEX(M$10:M$11,Предпосылки!$I$220,),0))*IFERROR(INDEX(M$10:M$11,Предпосылки!$I$220,),0))</f>
        <v>0</v>
      </c>
      <c s="125">
        <f>SUM(N25/(1+IFERROR(INDEX(N$10:N$11,Предпосылки!$I$201,),0))*IFERROR(INDEX(N$10:N$11,Предпосылки!$I$201,),0),N48/(1+IFERROR(INDEX(N$10:N$11,Предпосылки!$I$202,),0))*IFERROR(INDEX(N$10:N$11,Предпосылки!$I$202,),0),N71/(1+IFERROR(INDEX(N$10:N$11,Предпосылки!$I$203,),0))*IFERROR(INDEX(N$10:N$11,Предпосылки!$I$203,),0),N94/(1+IFERROR(INDEX(N$10:N$11,Предпосылки!$I$204,),0))*IFERROR(INDEX(N$10:N$11,Предпосылки!$I$204,),0),N117/(1+IFERROR(INDEX(N$10:N$11,Предпосылки!$I$205,),0))*IFERROR(INDEX(N$10:N$11,Предпосылки!$I$205,),0),N140/(1+IFERROR(INDEX(N$10:N$11,Предпосылки!$I$206,),0))*IFERROR(INDEX(N$10:N$11,Предпосылки!$I$206,),0),N163/(1+IFERROR(INDEX(N$10:N$11,Предпосылки!$I$207,),0))*IFERROR(INDEX(N$10:N$11,Предпосылки!$I$207,),0),N186/(1+IFERROR(INDEX(N$10:N$11,Предпосылки!$I$208,),0))*IFERROR(INDEX(N$10:N$11,Предпосылки!$I$208,),0),N209/(1+IFERROR(INDEX(N$10:N$11,Предпосылки!$I$209,),0))*IFERROR(INDEX(N$10:N$11,Предпосылки!$I$209,),0),N232/(1+IFERROR(INDEX(N$10:N$11,Предпосылки!$I$210,),0))*IFERROR(INDEX(N$10:N$11,Предпосылки!$I$210,),0),N255/(1+IFERROR(INDEX(N$10:N$11,Предпосылки!$I$211,),0))*IFERROR(INDEX(N$10:N$11,Предпосылки!$I$211,),0),N278/(1+IFERROR(INDEX(N$10:N$11,Предпосылки!$I$212,),0))*IFERROR(INDEX(N$10:N$11,Предпосылки!$I$212,),0),N301/(1+IFERROR(INDEX(N$10:N$11,Предпосылки!$I$213,),0))*IFERROR(INDEX(N$10:N$11,Предпосылки!$I$213,),0),N324/(1+IFERROR(INDEX(N$10:N$11,Предпосылки!$I$214,),0))*IFERROR(INDEX(N$10:N$11,Предпосылки!$I$214,),0),N347/(1+IFERROR(INDEX(N$10:N$11,Предпосылки!$I$215,),0))*IFERROR(INDEX(N$10:N$11,Предпосылки!$I$215,),0),N370/(1+IFERROR(INDEX(N$10:N$11,Предпосылки!$I$216,),0))*IFERROR(INDEX(N$10:N$11,Предпосылки!$I$216,),0),N393/(1+IFERROR(INDEX(N$10:N$11,Предпосылки!$I$217,),0))*IFERROR(INDEX(N$10:N$11,Предпосылки!$I$217,),0),N416/(1+IFERROR(INDEX(N$10:N$11,Предпосылки!$I$218,),0))*IFERROR(INDEX(N$10:N$11,Предпосылки!$I$218,),0),N439/(1+IFERROR(INDEX(N$10:N$11,Предпосылки!$I$219,),0))*IFERROR(INDEX(N$10:N$11,Предпосылки!$I$219,),0),N462/(1+IFERROR(INDEX(N$10:N$11,Предпосылки!$I$220,),0))*IFERROR(INDEX(N$10:N$11,Предпосылки!$I$220,),0))</f>
        <v>0</v>
      </c>
      <c s="125">
        <f>SUM(O25/(1+IFERROR(INDEX(O$10:O$11,Предпосылки!$I$201,),0))*IFERROR(INDEX(O$10:O$11,Предпосылки!$I$201,),0),O48/(1+IFERROR(INDEX(O$10:O$11,Предпосылки!$I$202,),0))*IFERROR(INDEX(O$10:O$11,Предпосылки!$I$202,),0),O71/(1+IFERROR(INDEX(O$10:O$11,Предпосылки!$I$203,),0))*IFERROR(INDEX(O$10:O$11,Предпосылки!$I$203,),0),O94/(1+IFERROR(INDEX(O$10:O$11,Предпосылки!$I$204,),0))*IFERROR(INDEX(O$10:O$11,Предпосылки!$I$204,),0),O117/(1+IFERROR(INDEX(O$10:O$11,Предпосылки!$I$205,),0))*IFERROR(INDEX(O$10:O$11,Предпосылки!$I$205,),0),O140/(1+IFERROR(INDEX(O$10:O$11,Предпосылки!$I$206,),0))*IFERROR(INDEX(O$10:O$11,Предпосылки!$I$206,),0),O163/(1+IFERROR(INDEX(O$10:O$11,Предпосылки!$I$207,),0))*IFERROR(INDEX(O$10:O$11,Предпосылки!$I$207,),0),O186/(1+IFERROR(INDEX(O$10:O$11,Предпосылки!$I$208,),0))*IFERROR(INDEX(O$10:O$11,Предпосылки!$I$208,),0),O209/(1+IFERROR(INDEX(O$10:O$11,Предпосылки!$I$209,),0))*IFERROR(INDEX(O$10:O$11,Предпосылки!$I$209,),0),O232/(1+IFERROR(INDEX(O$10:O$11,Предпосылки!$I$210,),0))*IFERROR(INDEX(O$10:O$11,Предпосылки!$I$210,),0),O255/(1+IFERROR(INDEX(O$10:O$11,Предпосылки!$I$211,),0))*IFERROR(INDEX(O$10:O$11,Предпосылки!$I$211,),0),O278/(1+IFERROR(INDEX(O$10:O$11,Предпосылки!$I$212,),0))*IFERROR(INDEX(O$10:O$11,Предпосылки!$I$212,),0),O301/(1+IFERROR(INDEX(O$10:O$11,Предпосылки!$I$213,),0))*IFERROR(INDEX(O$10:O$11,Предпосылки!$I$213,),0),O324/(1+IFERROR(INDEX(O$10:O$11,Предпосылки!$I$214,),0))*IFERROR(INDEX(O$10:O$11,Предпосылки!$I$214,),0),O347/(1+IFERROR(INDEX(O$10:O$11,Предпосылки!$I$215,),0))*IFERROR(INDEX(O$10:O$11,Предпосылки!$I$215,),0),O370/(1+IFERROR(INDEX(O$10:O$11,Предпосылки!$I$216,),0))*IFERROR(INDEX(O$10:O$11,Предпосылки!$I$216,),0),O393/(1+IFERROR(INDEX(O$10:O$11,Предпосылки!$I$217,),0))*IFERROR(INDEX(O$10:O$11,Предпосылки!$I$217,),0),O416/(1+IFERROR(INDEX(O$10:O$11,Предпосылки!$I$218,),0))*IFERROR(INDEX(O$10:O$11,Предпосылки!$I$218,),0),O439/(1+IFERROR(INDEX(O$10:O$11,Предпосылки!$I$219,),0))*IFERROR(INDEX(O$10:O$11,Предпосылки!$I$219,),0),O462/(1+IFERROR(INDEX(O$10:O$11,Предпосылки!$I$220,),0))*IFERROR(INDEX(O$10:O$11,Предпосылки!$I$220,),0))</f>
        <v>0</v>
      </c>
      <c s="125">
        <f>SUM(P25/(1+IFERROR(INDEX(P$10:P$11,Предпосылки!$I$201,),0))*IFERROR(INDEX(P$10:P$11,Предпосылки!$I$201,),0),P48/(1+IFERROR(INDEX(P$10:P$11,Предпосылки!$I$202,),0))*IFERROR(INDEX(P$10:P$11,Предпосылки!$I$202,),0),P71/(1+IFERROR(INDEX(P$10:P$11,Предпосылки!$I$203,),0))*IFERROR(INDEX(P$10:P$11,Предпосылки!$I$203,),0),P94/(1+IFERROR(INDEX(P$10:P$11,Предпосылки!$I$204,),0))*IFERROR(INDEX(P$10:P$11,Предпосылки!$I$204,),0),P117/(1+IFERROR(INDEX(P$10:P$11,Предпосылки!$I$205,),0))*IFERROR(INDEX(P$10:P$11,Предпосылки!$I$205,),0),P140/(1+IFERROR(INDEX(P$10:P$11,Предпосылки!$I$206,),0))*IFERROR(INDEX(P$10:P$11,Предпосылки!$I$206,),0),P163/(1+IFERROR(INDEX(P$10:P$11,Предпосылки!$I$207,),0))*IFERROR(INDEX(P$10:P$11,Предпосылки!$I$207,),0),P186/(1+IFERROR(INDEX(P$10:P$11,Предпосылки!$I$208,),0))*IFERROR(INDEX(P$10:P$11,Предпосылки!$I$208,),0),P209/(1+IFERROR(INDEX(P$10:P$11,Предпосылки!$I$209,),0))*IFERROR(INDEX(P$10:P$11,Предпосылки!$I$209,),0),P232/(1+IFERROR(INDEX(P$10:P$11,Предпосылки!$I$210,),0))*IFERROR(INDEX(P$10:P$11,Предпосылки!$I$210,),0),P255/(1+IFERROR(INDEX(P$10:P$11,Предпосылки!$I$211,),0))*IFERROR(INDEX(P$10:P$11,Предпосылки!$I$211,),0),P278/(1+IFERROR(INDEX(P$10:P$11,Предпосылки!$I$212,),0))*IFERROR(INDEX(P$10:P$11,Предпосылки!$I$212,),0),P301/(1+IFERROR(INDEX(P$10:P$11,Предпосылки!$I$213,),0))*IFERROR(INDEX(P$10:P$11,Предпосылки!$I$213,),0),P324/(1+IFERROR(INDEX(P$10:P$11,Предпосылки!$I$214,),0))*IFERROR(INDEX(P$10:P$11,Предпосылки!$I$214,),0),P347/(1+IFERROR(INDEX(P$10:P$11,Предпосылки!$I$215,),0))*IFERROR(INDEX(P$10:P$11,Предпосылки!$I$215,),0),P370/(1+IFERROR(INDEX(P$10:P$11,Предпосылки!$I$216,),0))*IFERROR(INDEX(P$10:P$11,Предпосылки!$I$216,),0),P393/(1+IFERROR(INDEX(P$10:P$11,Предпосылки!$I$217,),0))*IFERROR(INDEX(P$10:P$11,Предпосылки!$I$217,),0),P416/(1+IFERROR(INDEX(P$10:P$11,Предпосылки!$I$218,),0))*IFERROR(INDEX(P$10:P$11,Предпосылки!$I$218,),0),P439/(1+IFERROR(INDEX(P$10:P$11,Предпосылки!$I$219,),0))*IFERROR(INDEX(P$10:P$11,Предпосылки!$I$219,),0),P462/(1+IFERROR(INDEX(P$10:P$11,Предпосылки!$I$220,),0))*IFERROR(INDEX(P$10:P$11,Предпосылки!$I$220,),0))</f>
        <v>0</v>
      </c>
      <c s="125">
        <f>SUM(Q25/(1+IFERROR(INDEX(Q$10:Q$11,Предпосылки!$I$201,),0))*IFERROR(INDEX(Q$10:Q$11,Предпосылки!$I$201,),0),Q48/(1+IFERROR(INDEX(Q$10:Q$11,Предпосылки!$I$202,),0))*IFERROR(INDEX(Q$10:Q$11,Предпосылки!$I$202,),0),Q71/(1+IFERROR(INDEX(Q$10:Q$11,Предпосылки!$I$203,),0))*IFERROR(INDEX(Q$10:Q$11,Предпосылки!$I$203,),0),Q94/(1+IFERROR(INDEX(Q$10:Q$11,Предпосылки!$I$204,),0))*IFERROR(INDEX(Q$10:Q$11,Предпосылки!$I$204,),0),Q117/(1+IFERROR(INDEX(Q$10:Q$11,Предпосылки!$I$205,),0))*IFERROR(INDEX(Q$10:Q$11,Предпосылки!$I$205,),0),Q140/(1+IFERROR(INDEX(Q$10:Q$11,Предпосылки!$I$206,),0))*IFERROR(INDEX(Q$10:Q$11,Предпосылки!$I$206,),0),Q163/(1+IFERROR(INDEX(Q$10:Q$11,Предпосылки!$I$207,),0))*IFERROR(INDEX(Q$10:Q$11,Предпосылки!$I$207,),0),Q186/(1+IFERROR(INDEX(Q$10:Q$11,Предпосылки!$I$208,),0))*IFERROR(INDEX(Q$10:Q$11,Предпосылки!$I$208,),0),Q209/(1+IFERROR(INDEX(Q$10:Q$11,Предпосылки!$I$209,),0))*IFERROR(INDEX(Q$10:Q$11,Предпосылки!$I$209,),0),Q232/(1+IFERROR(INDEX(Q$10:Q$11,Предпосылки!$I$210,),0))*IFERROR(INDEX(Q$10:Q$11,Предпосылки!$I$210,),0),Q255/(1+IFERROR(INDEX(Q$10:Q$11,Предпосылки!$I$211,),0))*IFERROR(INDEX(Q$10:Q$11,Предпосылки!$I$211,),0),Q278/(1+IFERROR(INDEX(Q$10:Q$11,Предпосылки!$I$212,),0))*IFERROR(INDEX(Q$10:Q$11,Предпосылки!$I$212,),0),Q301/(1+IFERROR(INDEX(Q$10:Q$11,Предпосылки!$I$213,),0))*IFERROR(INDEX(Q$10:Q$11,Предпосылки!$I$213,),0),Q324/(1+IFERROR(INDEX(Q$10:Q$11,Предпосылки!$I$214,),0))*IFERROR(INDEX(Q$10:Q$11,Предпосылки!$I$214,),0),Q347/(1+IFERROR(INDEX(Q$10:Q$11,Предпосылки!$I$215,),0))*IFERROR(INDEX(Q$10:Q$11,Предпосылки!$I$215,),0),Q370/(1+IFERROR(INDEX(Q$10:Q$11,Предпосылки!$I$216,),0))*IFERROR(INDEX(Q$10:Q$11,Предпосылки!$I$216,),0),Q393/(1+IFERROR(INDEX(Q$10:Q$11,Предпосылки!$I$217,),0))*IFERROR(INDEX(Q$10:Q$11,Предпосылки!$I$217,),0),Q416/(1+IFERROR(INDEX(Q$10:Q$11,Предпосылки!$I$218,),0))*IFERROR(INDEX(Q$10:Q$11,Предпосылки!$I$218,),0),Q439/(1+IFERROR(INDEX(Q$10:Q$11,Предпосылки!$I$219,),0))*IFERROR(INDEX(Q$10:Q$11,Предпосылки!$I$219,),0),Q462/(1+IFERROR(INDEX(Q$10:Q$11,Предпосылки!$I$220,),0))*IFERROR(INDEX(Q$10:Q$11,Предпосылки!$I$220,),0))</f>
        <v>0</v>
      </c>
      <c s="125">
        <f>SUM(R25/(1+IFERROR(INDEX(R$10:R$11,Предпосылки!$I$201,),0))*IFERROR(INDEX(R$10:R$11,Предпосылки!$I$201,),0),R48/(1+IFERROR(INDEX(R$10:R$11,Предпосылки!$I$202,),0))*IFERROR(INDEX(R$10:R$11,Предпосылки!$I$202,),0),R71/(1+IFERROR(INDEX(R$10:R$11,Предпосылки!$I$203,),0))*IFERROR(INDEX(R$10:R$11,Предпосылки!$I$203,),0),R94/(1+IFERROR(INDEX(R$10:R$11,Предпосылки!$I$204,),0))*IFERROR(INDEX(R$10:R$11,Предпосылки!$I$204,),0),R117/(1+IFERROR(INDEX(R$10:R$11,Предпосылки!$I$205,),0))*IFERROR(INDEX(R$10:R$11,Предпосылки!$I$205,),0),R140/(1+IFERROR(INDEX(R$10:R$11,Предпосылки!$I$206,),0))*IFERROR(INDEX(R$10:R$11,Предпосылки!$I$206,),0),R163/(1+IFERROR(INDEX(R$10:R$11,Предпосылки!$I$207,),0))*IFERROR(INDEX(R$10:R$11,Предпосылки!$I$207,),0),R186/(1+IFERROR(INDEX(R$10:R$11,Предпосылки!$I$208,),0))*IFERROR(INDEX(R$10:R$11,Предпосылки!$I$208,),0),R209/(1+IFERROR(INDEX(R$10:R$11,Предпосылки!$I$209,),0))*IFERROR(INDEX(R$10:R$11,Предпосылки!$I$209,),0),R232/(1+IFERROR(INDEX(R$10:R$11,Предпосылки!$I$210,),0))*IFERROR(INDEX(R$10:R$11,Предпосылки!$I$210,),0),R255/(1+IFERROR(INDEX(R$10:R$11,Предпосылки!$I$211,),0))*IFERROR(INDEX(R$10:R$11,Предпосылки!$I$211,),0),R278/(1+IFERROR(INDEX(R$10:R$11,Предпосылки!$I$212,),0))*IFERROR(INDEX(R$10:R$11,Предпосылки!$I$212,),0),R301/(1+IFERROR(INDEX(R$10:R$11,Предпосылки!$I$213,),0))*IFERROR(INDEX(R$10:R$11,Предпосылки!$I$213,),0),R324/(1+IFERROR(INDEX(R$10:R$11,Предпосылки!$I$214,),0))*IFERROR(INDEX(R$10:R$11,Предпосылки!$I$214,),0),R347/(1+IFERROR(INDEX(R$10:R$11,Предпосылки!$I$215,),0))*IFERROR(INDEX(R$10:R$11,Предпосылки!$I$215,),0),R370/(1+IFERROR(INDEX(R$10:R$11,Предпосылки!$I$216,),0))*IFERROR(INDEX(R$10:R$11,Предпосылки!$I$216,),0),R393/(1+IFERROR(INDEX(R$10:R$11,Предпосылки!$I$217,),0))*IFERROR(INDEX(R$10:R$11,Предпосылки!$I$217,),0),R416/(1+IFERROR(INDEX(R$10:R$11,Предпосылки!$I$218,),0))*IFERROR(INDEX(R$10:R$11,Предпосылки!$I$218,),0),R439/(1+IFERROR(INDEX(R$10:R$11,Предпосылки!$I$219,),0))*IFERROR(INDEX(R$10:R$11,Предпосылки!$I$219,),0),R462/(1+IFERROR(INDEX(R$10:R$11,Предпосылки!$I$220,),0))*IFERROR(INDEX(R$10:R$11,Предпосылки!$I$220,),0))</f>
        <v>0</v>
      </c>
      <c s="125">
        <f>SUM(S25/(1+IFERROR(INDEX(S$10:S$11,Предпосылки!$I$201,),0))*IFERROR(INDEX(S$10:S$11,Предпосылки!$I$201,),0),S48/(1+IFERROR(INDEX(S$10:S$11,Предпосылки!$I$202,),0))*IFERROR(INDEX(S$10:S$11,Предпосылки!$I$202,),0),S71/(1+IFERROR(INDEX(S$10:S$11,Предпосылки!$I$203,),0))*IFERROR(INDEX(S$10:S$11,Предпосылки!$I$203,),0),S94/(1+IFERROR(INDEX(S$10:S$11,Предпосылки!$I$204,),0))*IFERROR(INDEX(S$10:S$11,Предпосылки!$I$204,),0),S117/(1+IFERROR(INDEX(S$10:S$11,Предпосылки!$I$205,),0))*IFERROR(INDEX(S$10:S$11,Предпосылки!$I$205,),0),S140/(1+IFERROR(INDEX(S$10:S$11,Предпосылки!$I$206,),0))*IFERROR(INDEX(S$10:S$11,Предпосылки!$I$206,),0),S163/(1+IFERROR(INDEX(S$10:S$11,Предпосылки!$I$207,),0))*IFERROR(INDEX(S$10:S$11,Предпосылки!$I$207,),0),S186/(1+IFERROR(INDEX(S$10:S$11,Предпосылки!$I$208,),0))*IFERROR(INDEX(S$10:S$11,Предпосылки!$I$208,),0),S209/(1+IFERROR(INDEX(S$10:S$11,Предпосылки!$I$209,),0))*IFERROR(INDEX(S$10:S$11,Предпосылки!$I$209,),0),S232/(1+IFERROR(INDEX(S$10:S$11,Предпосылки!$I$210,),0))*IFERROR(INDEX(S$10:S$11,Предпосылки!$I$210,),0),S255/(1+IFERROR(INDEX(S$10:S$11,Предпосылки!$I$211,),0))*IFERROR(INDEX(S$10:S$11,Предпосылки!$I$211,),0),S278/(1+IFERROR(INDEX(S$10:S$11,Предпосылки!$I$212,),0))*IFERROR(INDEX(S$10:S$11,Предпосылки!$I$212,),0),S301/(1+IFERROR(INDEX(S$10:S$11,Предпосылки!$I$213,),0))*IFERROR(INDEX(S$10:S$11,Предпосылки!$I$213,),0),S324/(1+IFERROR(INDEX(S$10:S$11,Предпосылки!$I$214,),0))*IFERROR(INDEX(S$10:S$11,Предпосылки!$I$214,),0),S347/(1+IFERROR(INDEX(S$10:S$11,Предпосылки!$I$215,),0))*IFERROR(INDEX(S$10:S$11,Предпосылки!$I$215,),0),S370/(1+IFERROR(INDEX(S$10:S$11,Предпосылки!$I$216,),0))*IFERROR(INDEX(S$10:S$11,Предпосылки!$I$216,),0),S393/(1+IFERROR(INDEX(S$10:S$11,Предпосылки!$I$217,),0))*IFERROR(INDEX(S$10:S$11,Предпосылки!$I$217,),0),S416/(1+IFERROR(INDEX(S$10:S$11,Предпосылки!$I$218,),0))*IFERROR(INDEX(S$10:S$11,Предпосылки!$I$218,),0),S439/(1+IFERROR(INDEX(S$10:S$11,Предпосылки!$I$219,),0))*IFERROR(INDEX(S$10:S$11,Предпосылки!$I$219,),0),S462/(1+IFERROR(INDEX(S$10:S$11,Предпосылки!$I$220,),0))*IFERROR(INDEX(S$10:S$11,Предпосылки!$I$220,),0))</f>
        <v>0</v>
      </c>
      <c s="125">
        <f>SUM(T25/(1+IFERROR(INDEX(T$10:T$11,Предпосылки!$I$201,),0))*IFERROR(INDEX(T$10:T$11,Предпосылки!$I$201,),0),T48/(1+IFERROR(INDEX(T$10:T$11,Предпосылки!$I$202,),0))*IFERROR(INDEX(T$10:T$11,Предпосылки!$I$202,),0),T71/(1+IFERROR(INDEX(T$10:T$11,Предпосылки!$I$203,),0))*IFERROR(INDEX(T$10:T$11,Предпосылки!$I$203,),0),T94/(1+IFERROR(INDEX(T$10:T$11,Предпосылки!$I$204,),0))*IFERROR(INDEX(T$10:T$11,Предпосылки!$I$204,),0),T117/(1+IFERROR(INDEX(T$10:T$11,Предпосылки!$I$205,),0))*IFERROR(INDEX(T$10:T$11,Предпосылки!$I$205,),0),T140/(1+IFERROR(INDEX(T$10:T$11,Предпосылки!$I$206,),0))*IFERROR(INDEX(T$10:T$11,Предпосылки!$I$206,),0),T163/(1+IFERROR(INDEX(T$10:T$11,Предпосылки!$I$207,),0))*IFERROR(INDEX(T$10:T$11,Предпосылки!$I$207,),0),T186/(1+IFERROR(INDEX(T$10:T$11,Предпосылки!$I$208,),0))*IFERROR(INDEX(T$10:T$11,Предпосылки!$I$208,),0),T209/(1+IFERROR(INDEX(T$10:T$11,Предпосылки!$I$209,),0))*IFERROR(INDEX(T$10:T$11,Предпосылки!$I$209,),0),T232/(1+IFERROR(INDEX(T$10:T$11,Предпосылки!$I$210,),0))*IFERROR(INDEX(T$10:T$11,Предпосылки!$I$210,),0),T255/(1+IFERROR(INDEX(T$10:T$11,Предпосылки!$I$211,),0))*IFERROR(INDEX(T$10:T$11,Предпосылки!$I$211,),0),T278/(1+IFERROR(INDEX(T$10:T$11,Предпосылки!$I$212,),0))*IFERROR(INDEX(T$10:T$11,Предпосылки!$I$212,),0),T301/(1+IFERROR(INDEX(T$10:T$11,Предпосылки!$I$213,),0))*IFERROR(INDEX(T$10:T$11,Предпосылки!$I$213,),0),T324/(1+IFERROR(INDEX(T$10:T$11,Предпосылки!$I$214,),0))*IFERROR(INDEX(T$10:T$11,Предпосылки!$I$214,),0),T347/(1+IFERROR(INDEX(T$10:T$11,Предпосылки!$I$215,),0))*IFERROR(INDEX(T$10:T$11,Предпосылки!$I$215,),0),T370/(1+IFERROR(INDEX(T$10:T$11,Предпосылки!$I$216,),0))*IFERROR(INDEX(T$10:T$11,Предпосылки!$I$216,),0),T393/(1+IFERROR(INDEX(T$10:T$11,Предпосылки!$I$217,),0))*IFERROR(INDEX(T$10:T$11,Предпосылки!$I$217,),0),T416/(1+IFERROR(INDEX(T$10:T$11,Предпосылки!$I$218,),0))*IFERROR(INDEX(T$10:T$11,Предпосылки!$I$218,),0),T439/(1+IFERROR(INDEX(T$10:T$11,Предпосылки!$I$219,),0))*IFERROR(INDEX(T$10:T$11,Предпосылки!$I$219,),0),T462/(1+IFERROR(INDEX(T$10:T$11,Предпосылки!$I$220,),0))*IFERROR(INDEX(T$10:T$11,Предпосылки!$I$220,),0))</f>
        <v>0</v>
      </c>
      <c s="125">
        <f>SUM(U25/(1+IFERROR(INDEX(U$10:U$11,Предпосылки!$I$201,),0))*IFERROR(INDEX(U$10:U$11,Предпосылки!$I$201,),0),U48/(1+IFERROR(INDEX(U$10:U$11,Предпосылки!$I$202,),0))*IFERROR(INDEX(U$10:U$11,Предпосылки!$I$202,),0),U71/(1+IFERROR(INDEX(U$10:U$11,Предпосылки!$I$203,),0))*IFERROR(INDEX(U$10:U$11,Предпосылки!$I$203,),0),U94/(1+IFERROR(INDEX(U$10:U$11,Предпосылки!$I$204,),0))*IFERROR(INDEX(U$10:U$11,Предпосылки!$I$204,),0),U117/(1+IFERROR(INDEX(U$10:U$11,Предпосылки!$I$205,),0))*IFERROR(INDEX(U$10:U$11,Предпосылки!$I$205,),0),U140/(1+IFERROR(INDEX(U$10:U$11,Предпосылки!$I$206,),0))*IFERROR(INDEX(U$10:U$11,Предпосылки!$I$206,),0),U163/(1+IFERROR(INDEX(U$10:U$11,Предпосылки!$I$207,),0))*IFERROR(INDEX(U$10:U$11,Предпосылки!$I$207,),0),U186/(1+IFERROR(INDEX(U$10:U$11,Предпосылки!$I$208,),0))*IFERROR(INDEX(U$10:U$11,Предпосылки!$I$208,),0),U209/(1+IFERROR(INDEX(U$10:U$11,Предпосылки!$I$209,),0))*IFERROR(INDEX(U$10:U$11,Предпосылки!$I$209,),0),U232/(1+IFERROR(INDEX(U$10:U$11,Предпосылки!$I$210,),0))*IFERROR(INDEX(U$10:U$11,Предпосылки!$I$210,),0),U255/(1+IFERROR(INDEX(U$10:U$11,Предпосылки!$I$211,),0))*IFERROR(INDEX(U$10:U$11,Предпосылки!$I$211,),0),U278/(1+IFERROR(INDEX(U$10:U$11,Предпосылки!$I$212,),0))*IFERROR(INDEX(U$10:U$11,Предпосылки!$I$212,),0),U301/(1+IFERROR(INDEX(U$10:U$11,Предпосылки!$I$213,),0))*IFERROR(INDEX(U$10:U$11,Предпосылки!$I$213,),0),U324/(1+IFERROR(INDEX(U$10:U$11,Предпосылки!$I$214,),0))*IFERROR(INDEX(U$10:U$11,Предпосылки!$I$214,),0),U347/(1+IFERROR(INDEX(U$10:U$11,Предпосылки!$I$215,),0))*IFERROR(INDEX(U$10:U$11,Предпосылки!$I$215,),0),U370/(1+IFERROR(INDEX(U$10:U$11,Предпосылки!$I$216,),0))*IFERROR(INDEX(U$10:U$11,Предпосылки!$I$216,),0),U393/(1+IFERROR(INDEX(U$10:U$11,Предпосылки!$I$217,),0))*IFERROR(INDEX(U$10:U$11,Предпосылки!$I$217,),0),U416/(1+IFERROR(INDEX(U$10:U$11,Предпосылки!$I$218,),0))*IFERROR(INDEX(U$10:U$11,Предпосылки!$I$218,),0),U439/(1+IFERROR(INDEX(U$10:U$11,Предпосылки!$I$219,),0))*IFERROR(INDEX(U$10:U$11,Предпосылки!$I$219,),0),U462/(1+IFERROR(INDEX(U$10:U$11,Предпосылки!$I$220,),0))*IFERROR(INDEX(U$10:U$11,Предпосылки!$I$220,),0))</f>
        <v>0</v>
      </c>
      <c s="125">
        <f>SUM(V25/(1+IFERROR(INDEX(V$10:V$11,Предпосылки!$I$201,),0))*IFERROR(INDEX(V$10:V$11,Предпосылки!$I$201,),0),V48/(1+IFERROR(INDEX(V$10:V$11,Предпосылки!$I$202,),0))*IFERROR(INDEX(V$10:V$11,Предпосылки!$I$202,),0),V71/(1+IFERROR(INDEX(V$10:V$11,Предпосылки!$I$203,),0))*IFERROR(INDEX(V$10:V$11,Предпосылки!$I$203,),0),V94/(1+IFERROR(INDEX(V$10:V$11,Предпосылки!$I$204,),0))*IFERROR(INDEX(V$10:V$11,Предпосылки!$I$204,),0),V117/(1+IFERROR(INDEX(V$10:V$11,Предпосылки!$I$205,),0))*IFERROR(INDEX(V$10:V$11,Предпосылки!$I$205,),0),V140/(1+IFERROR(INDEX(V$10:V$11,Предпосылки!$I$206,),0))*IFERROR(INDEX(V$10:V$11,Предпосылки!$I$206,),0),V163/(1+IFERROR(INDEX(V$10:V$11,Предпосылки!$I$207,),0))*IFERROR(INDEX(V$10:V$11,Предпосылки!$I$207,),0),V186/(1+IFERROR(INDEX(V$10:V$11,Предпосылки!$I$208,),0))*IFERROR(INDEX(V$10:V$11,Предпосылки!$I$208,),0),V209/(1+IFERROR(INDEX(V$10:V$11,Предпосылки!$I$209,),0))*IFERROR(INDEX(V$10:V$11,Предпосылки!$I$209,),0),V232/(1+IFERROR(INDEX(V$10:V$11,Предпосылки!$I$210,),0))*IFERROR(INDEX(V$10:V$11,Предпосылки!$I$210,),0),V255/(1+IFERROR(INDEX(V$10:V$11,Предпосылки!$I$211,),0))*IFERROR(INDEX(V$10:V$11,Предпосылки!$I$211,),0),V278/(1+IFERROR(INDEX(V$10:V$11,Предпосылки!$I$212,),0))*IFERROR(INDEX(V$10:V$11,Предпосылки!$I$212,),0),V301/(1+IFERROR(INDEX(V$10:V$11,Предпосылки!$I$213,),0))*IFERROR(INDEX(V$10:V$11,Предпосылки!$I$213,),0),V324/(1+IFERROR(INDEX(V$10:V$11,Предпосылки!$I$214,),0))*IFERROR(INDEX(V$10:V$11,Предпосылки!$I$214,),0),V347/(1+IFERROR(INDEX(V$10:V$11,Предпосылки!$I$215,),0))*IFERROR(INDEX(V$10:V$11,Предпосылки!$I$215,),0),V370/(1+IFERROR(INDEX(V$10:V$11,Предпосылки!$I$216,),0))*IFERROR(INDEX(V$10:V$11,Предпосылки!$I$216,),0),V393/(1+IFERROR(INDEX(V$10:V$11,Предпосылки!$I$217,),0))*IFERROR(INDEX(V$10:V$11,Предпосылки!$I$217,),0),V416/(1+IFERROR(INDEX(V$10:V$11,Предпосылки!$I$218,),0))*IFERROR(INDEX(V$10:V$11,Предпосылки!$I$218,),0),V439/(1+IFERROR(INDEX(V$10:V$11,Предпосылки!$I$219,),0))*IFERROR(INDEX(V$10:V$11,Предпосылки!$I$219,),0),V462/(1+IFERROR(INDEX(V$10:V$11,Предпосылки!$I$220,),0))*IFERROR(INDEX(V$10:V$11,Предпосылки!$I$220,),0))</f>
        <v>0</v>
      </c>
      <c s="125">
        <f>SUM(W25/(1+IFERROR(INDEX(W$10:W$11,Предпосылки!$I$201,),0))*IFERROR(INDEX(W$10:W$11,Предпосылки!$I$201,),0),W48/(1+IFERROR(INDEX(W$10:W$11,Предпосылки!$I$202,),0))*IFERROR(INDEX(W$10:W$11,Предпосылки!$I$202,),0),W71/(1+IFERROR(INDEX(W$10:W$11,Предпосылки!$I$203,),0))*IFERROR(INDEX(W$10:W$11,Предпосылки!$I$203,),0),W94/(1+IFERROR(INDEX(W$10:W$11,Предпосылки!$I$204,),0))*IFERROR(INDEX(W$10:W$11,Предпосылки!$I$204,),0),W117/(1+IFERROR(INDEX(W$10:W$11,Предпосылки!$I$205,),0))*IFERROR(INDEX(W$10:W$11,Предпосылки!$I$205,),0),W140/(1+IFERROR(INDEX(W$10:W$11,Предпосылки!$I$206,),0))*IFERROR(INDEX(W$10:W$11,Предпосылки!$I$206,),0),W163/(1+IFERROR(INDEX(W$10:W$11,Предпосылки!$I$207,),0))*IFERROR(INDEX(W$10:W$11,Предпосылки!$I$207,),0),W186/(1+IFERROR(INDEX(W$10:W$11,Предпосылки!$I$208,),0))*IFERROR(INDEX(W$10:W$11,Предпосылки!$I$208,),0),W209/(1+IFERROR(INDEX(W$10:W$11,Предпосылки!$I$209,),0))*IFERROR(INDEX(W$10:W$11,Предпосылки!$I$209,),0),W232/(1+IFERROR(INDEX(W$10:W$11,Предпосылки!$I$210,),0))*IFERROR(INDEX(W$10:W$11,Предпосылки!$I$210,),0),W255/(1+IFERROR(INDEX(W$10:W$11,Предпосылки!$I$211,),0))*IFERROR(INDEX(W$10:W$11,Предпосылки!$I$211,),0),W278/(1+IFERROR(INDEX(W$10:W$11,Предпосылки!$I$212,),0))*IFERROR(INDEX(W$10:W$11,Предпосылки!$I$212,),0),W301/(1+IFERROR(INDEX(W$10:W$11,Предпосылки!$I$213,),0))*IFERROR(INDEX(W$10:W$11,Предпосылки!$I$213,),0),W324/(1+IFERROR(INDEX(W$10:W$11,Предпосылки!$I$214,),0))*IFERROR(INDEX(W$10:W$11,Предпосылки!$I$214,),0),W347/(1+IFERROR(INDEX(W$10:W$11,Предпосылки!$I$215,),0))*IFERROR(INDEX(W$10:W$11,Предпосылки!$I$215,),0),W370/(1+IFERROR(INDEX(W$10:W$11,Предпосылки!$I$216,),0))*IFERROR(INDEX(W$10:W$11,Предпосылки!$I$216,),0),W393/(1+IFERROR(INDEX(W$10:W$11,Предпосылки!$I$217,),0))*IFERROR(INDEX(W$10:W$11,Предпосылки!$I$217,),0),W416/(1+IFERROR(INDEX(W$10:W$11,Предпосылки!$I$218,),0))*IFERROR(INDEX(W$10:W$11,Предпосылки!$I$218,),0),W439/(1+IFERROR(INDEX(W$10:W$11,Предпосылки!$I$219,),0))*IFERROR(INDEX(W$10:W$11,Предпосылки!$I$219,),0),W462/(1+IFERROR(INDEX(W$10:W$11,Предпосылки!$I$220,),0))*IFERROR(INDEX(W$10:W$11,Предпосылки!$I$220,),0))</f>
        <v>0</v>
      </c>
      <c s="125">
        <f>SUM(X25/(1+IFERROR(INDEX(X$10:X$11,Предпосылки!$I$201,),0))*IFERROR(INDEX(X$10:X$11,Предпосылки!$I$201,),0),X48/(1+IFERROR(INDEX(X$10:X$11,Предпосылки!$I$202,),0))*IFERROR(INDEX(X$10:X$11,Предпосылки!$I$202,),0),X71/(1+IFERROR(INDEX(X$10:X$11,Предпосылки!$I$203,),0))*IFERROR(INDEX(X$10:X$11,Предпосылки!$I$203,),0),X94/(1+IFERROR(INDEX(X$10:X$11,Предпосылки!$I$204,),0))*IFERROR(INDEX(X$10:X$11,Предпосылки!$I$204,),0),X117/(1+IFERROR(INDEX(X$10:X$11,Предпосылки!$I$205,),0))*IFERROR(INDEX(X$10:X$11,Предпосылки!$I$205,),0),X140/(1+IFERROR(INDEX(X$10:X$11,Предпосылки!$I$206,),0))*IFERROR(INDEX(X$10:X$11,Предпосылки!$I$206,),0),X163/(1+IFERROR(INDEX(X$10:X$11,Предпосылки!$I$207,),0))*IFERROR(INDEX(X$10:X$11,Предпосылки!$I$207,),0),X186/(1+IFERROR(INDEX(X$10:X$11,Предпосылки!$I$208,),0))*IFERROR(INDEX(X$10:X$11,Предпосылки!$I$208,),0),X209/(1+IFERROR(INDEX(X$10:X$11,Предпосылки!$I$209,),0))*IFERROR(INDEX(X$10:X$11,Предпосылки!$I$209,),0),X232/(1+IFERROR(INDEX(X$10:X$11,Предпосылки!$I$210,),0))*IFERROR(INDEX(X$10:X$11,Предпосылки!$I$210,),0),X255/(1+IFERROR(INDEX(X$10:X$11,Предпосылки!$I$211,),0))*IFERROR(INDEX(X$10:X$11,Предпосылки!$I$211,),0),X278/(1+IFERROR(INDEX(X$10:X$11,Предпосылки!$I$212,),0))*IFERROR(INDEX(X$10:X$11,Предпосылки!$I$212,),0),X301/(1+IFERROR(INDEX(X$10:X$11,Предпосылки!$I$213,),0))*IFERROR(INDEX(X$10:X$11,Предпосылки!$I$213,),0),X324/(1+IFERROR(INDEX(X$10:X$11,Предпосылки!$I$214,),0))*IFERROR(INDEX(X$10:X$11,Предпосылки!$I$214,),0),X347/(1+IFERROR(INDEX(X$10:X$11,Предпосылки!$I$215,),0))*IFERROR(INDEX(X$10:X$11,Предпосылки!$I$215,),0),X370/(1+IFERROR(INDEX(X$10:X$11,Предпосылки!$I$216,),0))*IFERROR(INDEX(X$10:X$11,Предпосылки!$I$216,),0),X393/(1+IFERROR(INDEX(X$10:X$11,Предпосылки!$I$217,),0))*IFERROR(INDEX(X$10:X$11,Предпосылки!$I$217,),0),X416/(1+IFERROR(INDEX(X$10:X$11,Предпосылки!$I$218,),0))*IFERROR(INDEX(X$10:X$11,Предпосылки!$I$218,),0),X439/(1+IFERROR(INDEX(X$10:X$11,Предпосылки!$I$219,),0))*IFERROR(INDEX(X$10:X$11,Предпосылки!$I$219,),0),X462/(1+IFERROR(INDEX(X$10:X$11,Предпосылки!$I$220,),0))*IFERROR(INDEX(X$10:X$11,Предпосылки!$I$220,),0))</f>
        <v>0</v>
      </c>
      <c s="125">
        <f>SUM(Y25/(1+IFERROR(INDEX(Y$10:Y$11,Предпосылки!$I$201,),0))*IFERROR(INDEX(Y$10:Y$11,Предпосылки!$I$201,),0),Y48/(1+IFERROR(INDEX(Y$10:Y$11,Предпосылки!$I$202,),0))*IFERROR(INDEX(Y$10:Y$11,Предпосылки!$I$202,),0),Y71/(1+IFERROR(INDEX(Y$10:Y$11,Предпосылки!$I$203,),0))*IFERROR(INDEX(Y$10:Y$11,Предпосылки!$I$203,),0),Y94/(1+IFERROR(INDEX(Y$10:Y$11,Предпосылки!$I$204,),0))*IFERROR(INDEX(Y$10:Y$11,Предпосылки!$I$204,),0),Y117/(1+IFERROR(INDEX(Y$10:Y$11,Предпосылки!$I$205,),0))*IFERROR(INDEX(Y$10:Y$11,Предпосылки!$I$205,),0),Y140/(1+IFERROR(INDEX(Y$10:Y$11,Предпосылки!$I$206,),0))*IFERROR(INDEX(Y$10:Y$11,Предпосылки!$I$206,),0),Y163/(1+IFERROR(INDEX(Y$10:Y$11,Предпосылки!$I$207,),0))*IFERROR(INDEX(Y$10:Y$11,Предпосылки!$I$207,),0),Y186/(1+IFERROR(INDEX(Y$10:Y$11,Предпосылки!$I$208,),0))*IFERROR(INDEX(Y$10:Y$11,Предпосылки!$I$208,),0),Y209/(1+IFERROR(INDEX(Y$10:Y$11,Предпосылки!$I$209,),0))*IFERROR(INDEX(Y$10:Y$11,Предпосылки!$I$209,),0),Y232/(1+IFERROR(INDEX(Y$10:Y$11,Предпосылки!$I$210,),0))*IFERROR(INDEX(Y$10:Y$11,Предпосылки!$I$210,),0),Y255/(1+IFERROR(INDEX(Y$10:Y$11,Предпосылки!$I$211,),0))*IFERROR(INDEX(Y$10:Y$11,Предпосылки!$I$211,),0),Y278/(1+IFERROR(INDEX(Y$10:Y$11,Предпосылки!$I$212,),0))*IFERROR(INDEX(Y$10:Y$11,Предпосылки!$I$212,),0),Y301/(1+IFERROR(INDEX(Y$10:Y$11,Предпосылки!$I$213,),0))*IFERROR(INDEX(Y$10:Y$11,Предпосылки!$I$213,),0),Y324/(1+IFERROR(INDEX(Y$10:Y$11,Предпосылки!$I$214,),0))*IFERROR(INDEX(Y$10:Y$11,Предпосылки!$I$214,),0),Y347/(1+IFERROR(INDEX(Y$10:Y$11,Предпосылки!$I$215,),0))*IFERROR(INDEX(Y$10:Y$11,Предпосылки!$I$215,),0),Y370/(1+IFERROR(INDEX(Y$10:Y$11,Предпосылки!$I$216,),0))*IFERROR(INDEX(Y$10:Y$11,Предпосылки!$I$216,),0),Y393/(1+IFERROR(INDEX(Y$10:Y$11,Предпосылки!$I$217,),0))*IFERROR(INDEX(Y$10:Y$11,Предпосылки!$I$217,),0),Y416/(1+IFERROR(INDEX(Y$10:Y$11,Предпосылки!$I$218,),0))*IFERROR(INDEX(Y$10:Y$11,Предпосылки!$I$218,),0),Y439/(1+IFERROR(INDEX(Y$10:Y$11,Предпосылки!$I$219,),0))*IFERROR(INDEX(Y$10:Y$11,Предпосылки!$I$219,),0),Y462/(1+IFERROR(INDEX(Y$10:Y$11,Предпосылки!$I$220,),0))*IFERROR(INDEX(Y$10:Y$11,Предпосылки!$I$220,),0))</f>
        <v>0</v>
      </c>
      <c s="125">
        <f>SUM(Z25/(1+IFERROR(INDEX(Z$10:Z$11,Предпосылки!$I$201,),0))*IFERROR(INDEX(Z$10:Z$11,Предпосылки!$I$201,),0),Z48/(1+IFERROR(INDEX(Z$10:Z$11,Предпосылки!$I$202,),0))*IFERROR(INDEX(Z$10:Z$11,Предпосылки!$I$202,),0),Z71/(1+IFERROR(INDEX(Z$10:Z$11,Предпосылки!$I$203,),0))*IFERROR(INDEX(Z$10:Z$11,Предпосылки!$I$203,),0),Z94/(1+IFERROR(INDEX(Z$10:Z$11,Предпосылки!$I$204,),0))*IFERROR(INDEX(Z$10:Z$11,Предпосылки!$I$204,),0),Z117/(1+IFERROR(INDEX(Z$10:Z$11,Предпосылки!$I$205,),0))*IFERROR(INDEX(Z$10:Z$11,Предпосылки!$I$205,),0),Z140/(1+IFERROR(INDEX(Z$10:Z$11,Предпосылки!$I$206,),0))*IFERROR(INDEX(Z$10:Z$11,Предпосылки!$I$206,),0),Z163/(1+IFERROR(INDEX(Z$10:Z$11,Предпосылки!$I$207,),0))*IFERROR(INDEX(Z$10:Z$11,Предпосылки!$I$207,),0),Z186/(1+IFERROR(INDEX(Z$10:Z$11,Предпосылки!$I$208,),0))*IFERROR(INDEX(Z$10:Z$11,Предпосылки!$I$208,),0),Z209/(1+IFERROR(INDEX(Z$10:Z$11,Предпосылки!$I$209,),0))*IFERROR(INDEX(Z$10:Z$11,Предпосылки!$I$209,),0),Z232/(1+IFERROR(INDEX(Z$10:Z$11,Предпосылки!$I$210,),0))*IFERROR(INDEX(Z$10:Z$11,Предпосылки!$I$210,),0),Z255/(1+IFERROR(INDEX(Z$10:Z$11,Предпосылки!$I$211,),0))*IFERROR(INDEX(Z$10:Z$11,Предпосылки!$I$211,),0),Z278/(1+IFERROR(INDEX(Z$10:Z$11,Предпосылки!$I$212,),0))*IFERROR(INDEX(Z$10:Z$11,Предпосылки!$I$212,),0),Z301/(1+IFERROR(INDEX(Z$10:Z$11,Предпосылки!$I$213,),0))*IFERROR(INDEX(Z$10:Z$11,Предпосылки!$I$213,),0),Z324/(1+IFERROR(INDEX(Z$10:Z$11,Предпосылки!$I$214,),0))*IFERROR(INDEX(Z$10:Z$11,Предпосылки!$I$214,),0),Z347/(1+IFERROR(INDEX(Z$10:Z$11,Предпосылки!$I$215,),0))*IFERROR(INDEX(Z$10:Z$11,Предпосылки!$I$215,),0),Z370/(1+IFERROR(INDEX(Z$10:Z$11,Предпосылки!$I$216,),0))*IFERROR(INDEX(Z$10:Z$11,Предпосылки!$I$216,),0),Z393/(1+IFERROR(INDEX(Z$10:Z$11,Предпосылки!$I$217,),0))*IFERROR(INDEX(Z$10:Z$11,Предпосылки!$I$217,),0),Z416/(1+IFERROR(INDEX(Z$10:Z$11,Предпосылки!$I$218,),0))*IFERROR(INDEX(Z$10:Z$11,Предпосылки!$I$218,),0),Z439/(1+IFERROR(INDEX(Z$10:Z$11,Предпосылки!$I$219,),0))*IFERROR(INDEX(Z$10:Z$11,Предпосылки!$I$219,),0),Z462/(1+IFERROR(INDEX(Z$10:Z$11,Предпосылки!$I$220,),0))*IFERROR(INDEX(Z$10:Z$11,Предпосылки!$I$220,),0))</f>
        <v>0</v>
      </c>
      <c s="125">
        <f>SUM(AA25/(1+IFERROR(INDEX(AA$10:AA$11,Предпосылки!$I$201,),0))*IFERROR(INDEX(AA$10:AA$11,Предпосылки!$I$201,),0),AA48/(1+IFERROR(INDEX(AA$10:AA$11,Предпосылки!$I$202,),0))*IFERROR(INDEX(AA$10:AA$11,Предпосылки!$I$202,),0),AA71/(1+IFERROR(INDEX(AA$10:AA$11,Предпосылки!$I$203,),0))*IFERROR(INDEX(AA$10:AA$11,Предпосылки!$I$203,),0),AA94/(1+IFERROR(INDEX(AA$10:AA$11,Предпосылки!$I$204,),0))*IFERROR(INDEX(AA$10:AA$11,Предпосылки!$I$204,),0),AA117/(1+IFERROR(INDEX(AA$10:AA$11,Предпосылки!$I$205,),0))*IFERROR(INDEX(AA$10:AA$11,Предпосылки!$I$205,),0),AA140/(1+IFERROR(INDEX(AA$10:AA$11,Предпосылки!$I$206,),0))*IFERROR(INDEX(AA$10:AA$11,Предпосылки!$I$206,),0),AA163/(1+IFERROR(INDEX(AA$10:AA$11,Предпосылки!$I$207,),0))*IFERROR(INDEX(AA$10:AA$11,Предпосылки!$I$207,),0),AA186/(1+IFERROR(INDEX(AA$10:AA$11,Предпосылки!$I$208,),0))*IFERROR(INDEX(AA$10:AA$11,Предпосылки!$I$208,),0),AA209/(1+IFERROR(INDEX(AA$10:AA$11,Предпосылки!$I$209,),0))*IFERROR(INDEX(AA$10:AA$11,Предпосылки!$I$209,),0),AA232/(1+IFERROR(INDEX(AA$10:AA$11,Предпосылки!$I$210,),0))*IFERROR(INDEX(AA$10:AA$11,Предпосылки!$I$210,),0),AA255/(1+IFERROR(INDEX(AA$10:AA$11,Предпосылки!$I$211,),0))*IFERROR(INDEX(AA$10:AA$11,Предпосылки!$I$211,),0),AA278/(1+IFERROR(INDEX(AA$10:AA$11,Предпосылки!$I$212,),0))*IFERROR(INDEX(AA$10:AA$11,Предпосылки!$I$212,),0),AA301/(1+IFERROR(INDEX(AA$10:AA$11,Предпосылки!$I$213,),0))*IFERROR(INDEX(AA$10:AA$11,Предпосылки!$I$213,),0),AA324/(1+IFERROR(INDEX(AA$10:AA$11,Предпосылки!$I$214,),0))*IFERROR(INDEX(AA$10:AA$11,Предпосылки!$I$214,),0),AA347/(1+IFERROR(INDEX(AA$10:AA$11,Предпосылки!$I$215,),0))*IFERROR(INDEX(AA$10:AA$11,Предпосылки!$I$215,),0),AA370/(1+IFERROR(INDEX(AA$10:AA$11,Предпосылки!$I$216,),0))*IFERROR(INDEX(AA$10:AA$11,Предпосылки!$I$216,),0),AA393/(1+IFERROR(INDEX(AA$10:AA$11,Предпосылки!$I$217,),0))*IFERROR(INDEX(AA$10:AA$11,Предпосылки!$I$217,),0),AA416/(1+IFERROR(INDEX(AA$10:AA$11,Предпосылки!$I$218,),0))*IFERROR(INDEX(AA$10:AA$11,Предпосылки!$I$218,),0),AA439/(1+IFERROR(INDEX(AA$10:AA$11,Предпосылки!$I$219,),0))*IFERROR(INDEX(AA$10:AA$11,Предпосылки!$I$219,),0),AA462/(1+IFERROR(INDEX(AA$10:AA$11,Предпосылки!$I$220,),0))*IFERROR(INDEX(AA$10:AA$11,Предпосылки!$I$220,),0))</f>
        <v>0</v>
      </c>
      <c s="125">
        <f>SUM(AB25/(1+IFERROR(INDEX(AB$10:AB$11,Предпосылки!$I$201,),0))*IFERROR(INDEX(AB$10:AB$11,Предпосылки!$I$201,),0),AB48/(1+IFERROR(INDEX(AB$10:AB$11,Предпосылки!$I$202,),0))*IFERROR(INDEX(AB$10:AB$11,Предпосылки!$I$202,),0),AB71/(1+IFERROR(INDEX(AB$10:AB$11,Предпосылки!$I$203,),0))*IFERROR(INDEX(AB$10:AB$11,Предпосылки!$I$203,),0),AB94/(1+IFERROR(INDEX(AB$10:AB$11,Предпосылки!$I$204,),0))*IFERROR(INDEX(AB$10:AB$11,Предпосылки!$I$204,),0),AB117/(1+IFERROR(INDEX(AB$10:AB$11,Предпосылки!$I$205,),0))*IFERROR(INDEX(AB$10:AB$11,Предпосылки!$I$205,),0),AB140/(1+IFERROR(INDEX(AB$10:AB$11,Предпосылки!$I$206,),0))*IFERROR(INDEX(AB$10:AB$11,Предпосылки!$I$206,),0),AB163/(1+IFERROR(INDEX(AB$10:AB$11,Предпосылки!$I$207,),0))*IFERROR(INDEX(AB$10:AB$11,Предпосылки!$I$207,),0),AB186/(1+IFERROR(INDEX(AB$10:AB$11,Предпосылки!$I$208,),0))*IFERROR(INDEX(AB$10:AB$11,Предпосылки!$I$208,),0),AB209/(1+IFERROR(INDEX(AB$10:AB$11,Предпосылки!$I$209,),0))*IFERROR(INDEX(AB$10:AB$11,Предпосылки!$I$209,),0),AB232/(1+IFERROR(INDEX(AB$10:AB$11,Предпосылки!$I$210,),0))*IFERROR(INDEX(AB$10:AB$11,Предпосылки!$I$210,),0),AB255/(1+IFERROR(INDEX(AB$10:AB$11,Предпосылки!$I$211,),0))*IFERROR(INDEX(AB$10:AB$11,Предпосылки!$I$211,),0),AB278/(1+IFERROR(INDEX(AB$10:AB$11,Предпосылки!$I$212,),0))*IFERROR(INDEX(AB$10:AB$11,Предпосылки!$I$212,),0),AB301/(1+IFERROR(INDEX(AB$10:AB$11,Предпосылки!$I$213,),0))*IFERROR(INDEX(AB$10:AB$11,Предпосылки!$I$213,),0),AB324/(1+IFERROR(INDEX(AB$10:AB$11,Предпосылки!$I$214,),0))*IFERROR(INDEX(AB$10:AB$11,Предпосылки!$I$214,),0),AB347/(1+IFERROR(INDEX(AB$10:AB$11,Предпосылки!$I$215,),0))*IFERROR(INDEX(AB$10:AB$11,Предпосылки!$I$215,),0),AB370/(1+IFERROR(INDEX(AB$10:AB$11,Предпосылки!$I$216,),0))*IFERROR(INDEX(AB$10:AB$11,Предпосылки!$I$216,),0),AB393/(1+IFERROR(INDEX(AB$10:AB$11,Предпосылки!$I$217,),0))*IFERROR(INDEX(AB$10:AB$11,Предпосылки!$I$217,),0),AB416/(1+IFERROR(INDEX(AB$10:AB$11,Предпосылки!$I$218,),0))*IFERROR(INDEX(AB$10:AB$11,Предпосылки!$I$218,),0),AB439/(1+IFERROR(INDEX(AB$10:AB$11,Предпосылки!$I$219,),0))*IFERROR(INDEX(AB$10:AB$11,Предпосылки!$I$219,),0),AB462/(1+IFERROR(INDEX(AB$10:AB$11,Предпосылки!$I$220,),0))*IFERROR(INDEX(AB$10:AB$11,Предпосылки!$I$220,),0))</f>
        <v>0</v>
      </c>
      <c s="125">
        <f>SUM(AC25/(1+IFERROR(INDEX(AC$10:AC$11,Предпосылки!$I$201,),0))*IFERROR(INDEX(AC$10:AC$11,Предпосылки!$I$201,),0),AC48/(1+IFERROR(INDEX(AC$10:AC$11,Предпосылки!$I$202,),0))*IFERROR(INDEX(AC$10:AC$11,Предпосылки!$I$202,),0),AC71/(1+IFERROR(INDEX(AC$10:AC$11,Предпосылки!$I$203,),0))*IFERROR(INDEX(AC$10:AC$11,Предпосылки!$I$203,),0),AC94/(1+IFERROR(INDEX(AC$10:AC$11,Предпосылки!$I$204,),0))*IFERROR(INDEX(AC$10:AC$11,Предпосылки!$I$204,),0),AC117/(1+IFERROR(INDEX(AC$10:AC$11,Предпосылки!$I$205,),0))*IFERROR(INDEX(AC$10:AC$11,Предпосылки!$I$205,),0),AC140/(1+IFERROR(INDEX(AC$10:AC$11,Предпосылки!$I$206,),0))*IFERROR(INDEX(AC$10:AC$11,Предпосылки!$I$206,),0),AC163/(1+IFERROR(INDEX(AC$10:AC$11,Предпосылки!$I$207,),0))*IFERROR(INDEX(AC$10:AC$11,Предпосылки!$I$207,),0),AC186/(1+IFERROR(INDEX(AC$10:AC$11,Предпосылки!$I$208,),0))*IFERROR(INDEX(AC$10:AC$11,Предпосылки!$I$208,),0),AC209/(1+IFERROR(INDEX(AC$10:AC$11,Предпосылки!$I$209,),0))*IFERROR(INDEX(AC$10:AC$11,Предпосылки!$I$209,),0),AC232/(1+IFERROR(INDEX(AC$10:AC$11,Предпосылки!$I$210,),0))*IFERROR(INDEX(AC$10:AC$11,Предпосылки!$I$210,),0),AC255/(1+IFERROR(INDEX(AC$10:AC$11,Предпосылки!$I$211,),0))*IFERROR(INDEX(AC$10:AC$11,Предпосылки!$I$211,),0),AC278/(1+IFERROR(INDEX(AC$10:AC$11,Предпосылки!$I$212,),0))*IFERROR(INDEX(AC$10:AC$11,Предпосылки!$I$212,),0),AC301/(1+IFERROR(INDEX(AC$10:AC$11,Предпосылки!$I$213,),0))*IFERROR(INDEX(AC$10:AC$11,Предпосылки!$I$213,),0),AC324/(1+IFERROR(INDEX(AC$10:AC$11,Предпосылки!$I$214,),0))*IFERROR(INDEX(AC$10:AC$11,Предпосылки!$I$214,),0),AC347/(1+IFERROR(INDEX(AC$10:AC$11,Предпосылки!$I$215,),0))*IFERROR(INDEX(AC$10:AC$11,Предпосылки!$I$215,),0),AC370/(1+IFERROR(INDEX(AC$10:AC$11,Предпосылки!$I$216,),0))*IFERROR(INDEX(AC$10:AC$11,Предпосылки!$I$216,),0),AC393/(1+IFERROR(INDEX(AC$10:AC$11,Предпосылки!$I$217,),0))*IFERROR(INDEX(AC$10:AC$11,Предпосылки!$I$217,),0),AC416/(1+IFERROR(INDEX(AC$10:AC$11,Предпосылки!$I$218,),0))*IFERROR(INDEX(AC$10:AC$11,Предпосылки!$I$218,),0),AC439/(1+IFERROR(INDEX(AC$10:AC$11,Предпосылки!$I$219,),0))*IFERROR(INDEX(AC$10:AC$11,Предпосылки!$I$219,),0),AC462/(1+IFERROR(INDEX(AC$10:AC$11,Предпосылки!$I$220,),0))*IFERROR(INDEX(AC$10:AC$11,Предпосылки!$I$220,),0))</f>
        <v>0</v>
      </c>
      <c s="125">
        <f>SUM(AD25/(1+IFERROR(INDEX(AD$10:AD$11,Предпосылки!$I$201,),0))*IFERROR(INDEX(AD$10:AD$11,Предпосылки!$I$201,),0),AD48/(1+IFERROR(INDEX(AD$10:AD$11,Предпосылки!$I$202,),0))*IFERROR(INDEX(AD$10:AD$11,Предпосылки!$I$202,),0),AD71/(1+IFERROR(INDEX(AD$10:AD$11,Предпосылки!$I$203,),0))*IFERROR(INDEX(AD$10:AD$11,Предпосылки!$I$203,),0),AD94/(1+IFERROR(INDEX(AD$10:AD$11,Предпосылки!$I$204,),0))*IFERROR(INDEX(AD$10:AD$11,Предпосылки!$I$204,),0),AD117/(1+IFERROR(INDEX(AD$10:AD$11,Предпосылки!$I$205,),0))*IFERROR(INDEX(AD$10:AD$11,Предпосылки!$I$205,),0),AD140/(1+IFERROR(INDEX(AD$10:AD$11,Предпосылки!$I$206,),0))*IFERROR(INDEX(AD$10:AD$11,Предпосылки!$I$206,),0),AD163/(1+IFERROR(INDEX(AD$10:AD$11,Предпосылки!$I$207,),0))*IFERROR(INDEX(AD$10:AD$11,Предпосылки!$I$207,),0),AD186/(1+IFERROR(INDEX(AD$10:AD$11,Предпосылки!$I$208,),0))*IFERROR(INDEX(AD$10:AD$11,Предпосылки!$I$208,),0),AD209/(1+IFERROR(INDEX(AD$10:AD$11,Предпосылки!$I$209,),0))*IFERROR(INDEX(AD$10:AD$11,Предпосылки!$I$209,),0),AD232/(1+IFERROR(INDEX(AD$10:AD$11,Предпосылки!$I$210,),0))*IFERROR(INDEX(AD$10:AD$11,Предпосылки!$I$210,),0),AD255/(1+IFERROR(INDEX(AD$10:AD$11,Предпосылки!$I$211,),0))*IFERROR(INDEX(AD$10:AD$11,Предпосылки!$I$211,),0),AD278/(1+IFERROR(INDEX(AD$10:AD$11,Предпосылки!$I$212,),0))*IFERROR(INDEX(AD$10:AD$11,Предпосылки!$I$212,),0),AD301/(1+IFERROR(INDEX(AD$10:AD$11,Предпосылки!$I$213,),0))*IFERROR(INDEX(AD$10:AD$11,Предпосылки!$I$213,),0),AD324/(1+IFERROR(INDEX(AD$10:AD$11,Предпосылки!$I$214,),0))*IFERROR(INDEX(AD$10:AD$11,Предпосылки!$I$214,),0),AD347/(1+IFERROR(INDEX(AD$10:AD$11,Предпосылки!$I$215,),0))*IFERROR(INDEX(AD$10:AD$11,Предпосылки!$I$215,),0),AD370/(1+IFERROR(INDEX(AD$10:AD$11,Предпосылки!$I$216,),0))*IFERROR(INDEX(AD$10:AD$11,Предпосылки!$I$216,),0),AD393/(1+IFERROR(INDEX(AD$10:AD$11,Предпосылки!$I$217,),0))*IFERROR(INDEX(AD$10:AD$11,Предпосылки!$I$217,),0),AD416/(1+IFERROR(INDEX(AD$10:AD$11,Предпосылки!$I$218,),0))*IFERROR(INDEX(AD$10:AD$11,Предпосылки!$I$218,),0),AD439/(1+IFERROR(INDEX(AD$10:AD$11,Предпосылки!$I$219,),0))*IFERROR(INDEX(AD$10:AD$11,Предпосылки!$I$219,),0),AD462/(1+IFERROR(INDEX(AD$10:AD$11,Предпосылки!$I$220,),0))*IFERROR(INDEX(AD$10:AD$11,Предпосылки!$I$220,),0))</f>
        <v>0</v>
      </c>
      <c s="125">
        <f>SUM(AE25/(1+IFERROR(INDEX(AE$10:AE$11,Предпосылки!$I$201,),0))*IFERROR(INDEX(AE$10:AE$11,Предпосылки!$I$201,),0),AE48/(1+IFERROR(INDEX(AE$10:AE$11,Предпосылки!$I$202,),0))*IFERROR(INDEX(AE$10:AE$11,Предпосылки!$I$202,),0),AE71/(1+IFERROR(INDEX(AE$10:AE$11,Предпосылки!$I$203,),0))*IFERROR(INDEX(AE$10:AE$11,Предпосылки!$I$203,),0),AE94/(1+IFERROR(INDEX(AE$10:AE$11,Предпосылки!$I$204,),0))*IFERROR(INDEX(AE$10:AE$11,Предпосылки!$I$204,),0),AE117/(1+IFERROR(INDEX(AE$10:AE$11,Предпосылки!$I$205,),0))*IFERROR(INDEX(AE$10:AE$11,Предпосылки!$I$205,),0),AE140/(1+IFERROR(INDEX(AE$10:AE$11,Предпосылки!$I$206,),0))*IFERROR(INDEX(AE$10:AE$11,Предпосылки!$I$206,),0),AE163/(1+IFERROR(INDEX(AE$10:AE$11,Предпосылки!$I$207,),0))*IFERROR(INDEX(AE$10:AE$11,Предпосылки!$I$207,),0),AE186/(1+IFERROR(INDEX(AE$10:AE$11,Предпосылки!$I$208,),0))*IFERROR(INDEX(AE$10:AE$11,Предпосылки!$I$208,),0),AE209/(1+IFERROR(INDEX(AE$10:AE$11,Предпосылки!$I$209,),0))*IFERROR(INDEX(AE$10:AE$11,Предпосылки!$I$209,),0),AE232/(1+IFERROR(INDEX(AE$10:AE$11,Предпосылки!$I$210,),0))*IFERROR(INDEX(AE$10:AE$11,Предпосылки!$I$210,),0),AE255/(1+IFERROR(INDEX(AE$10:AE$11,Предпосылки!$I$211,),0))*IFERROR(INDEX(AE$10:AE$11,Предпосылки!$I$211,),0),AE278/(1+IFERROR(INDEX(AE$10:AE$11,Предпосылки!$I$212,),0))*IFERROR(INDEX(AE$10:AE$11,Предпосылки!$I$212,),0),AE301/(1+IFERROR(INDEX(AE$10:AE$11,Предпосылки!$I$213,),0))*IFERROR(INDEX(AE$10:AE$11,Предпосылки!$I$213,),0),AE324/(1+IFERROR(INDEX(AE$10:AE$11,Предпосылки!$I$214,),0))*IFERROR(INDEX(AE$10:AE$11,Предпосылки!$I$214,),0),AE347/(1+IFERROR(INDEX(AE$10:AE$11,Предпосылки!$I$215,),0))*IFERROR(INDEX(AE$10:AE$11,Предпосылки!$I$215,),0),AE370/(1+IFERROR(INDEX(AE$10:AE$11,Предпосылки!$I$216,),0))*IFERROR(INDEX(AE$10:AE$11,Предпосылки!$I$216,),0),AE393/(1+IFERROR(INDEX(AE$10:AE$11,Предпосылки!$I$217,),0))*IFERROR(INDEX(AE$10:AE$11,Предпосылки!$I$217,),0),AE416/(1+IFERROR(INDEX(AE$10:AE$11,Предпосылки!$I$218,),0))*IFERROR(INDEX(AE$10:AE$11,Предпосылки!$I$218,),0),AE439/(1+IFERROR(INDEX(AE$10:AE$11,Предпосылки!$I$219,),0))*IFERROR(INDEX(AE$10:AE$11,Предпосылки!$I$219,),0),AE462/(1+IFERROR(INDEX(AE$10:AE$11,Предпосылки!$I$220,),0))*IFERROR(INDEX(AE$10:AE$11,Предпосылки!$I$220,),0))</f>
        <v>0</v>
      </c>
      <c s="125">
        <f>SUM(AF25/(1+IFERROR(INDEX(AF$10:AF$11,Предпосылки!$I$201,),0))*IFERROR(INDEX(AF$10:AF$11,Предпосылки!$I$201,),0),AF48/(1+IFERROR(INDEX(AF$10:AF$11,Предпосылки!$I$202,),0))*IFERROR(INDEX(AF$10:AF$11,Предпосылки!$I$202,),0),AF71/(1+IFERROR(INDEX(AF$10:AF$11,Предпосылки!$I$203,),0))*IFERROR(INDEX(AF$10:AF$11,Предпосылки!$I$203,),0),AF94/(1+IFERROR(INDEX(AF$10:AF$11,Предпосылки!$I$204,),0))*IFERROR(INDEX(AF$10:AF$11,Предпосылки!$I$204,),0),AF117/(1+IFERROR(INDEX(AF$10:AF$11,Предпосылки!$I$205,),0))*IFERROR(INDEX(AF$10:AF$11,Предпосылки!$I$205,),0),AF140/(1+IFERROR(INDEX(AF$10:AF$11,Предпосылки!$I$206,),0))*IFERROR(INDEX(AF$10:AF$11,Предпосылки!$I$206,),0),AF163/(1+IFERROR(INDEX(AF$10:AF$11,Предпосылки!$I$207,),0))*IFERROR(INDEX(AF$10:AF$11,Предпосылки!$I$207,),0),AF186/(1+IFERROR(INDEX(AF$10:AF$11,Предпосылки!$I$208,),0))*IFERROR(INDEX(AF$10:AF$11,Предпосылки!$I$208,),0),AF209/(1+IFERROR(INDEX(AF$10:AF$11,Предпосылки!$I$209,),0))*IFERROR(INDEX(AF$10:AF$11,Предпосылки!$I$209,),0),AF232/(1+IFERROR(INDEX(AF$10:AF$11,Предпосылки!$I$210,),0))*IFERROR(INDEX(AF$10:AF$11,Предпосылки!$I$210,),0),AF255/(1+IFERROR(INDEX(AF$10:AF$11,Предпосылки!$I$211,),0))*IFERROR(INDEX(AF$10:AF$11,Предпосылки!$I$211,),0),AF278/(1+IFERROR(INDEX(AF$10:AF$11,Предпосылки!$I$212,),0))*IFERROR(INDEX(AF$10:AF$11,Предпосылки!$I$212,),0),AF301/(1+IFERROR(INDEX(AF$10:AF$11,Предпосылки!$I$213,),0))*IFERROR(INDEX(AF$10:AF$11,Предпосылки!$I$213,),0),AF324/(1+IFERROR(INDEX(AF$10:AF$11,Предпосылки!$I$214,),0))*IFERROR(INDEX(AF$10:AF$11,Предпосылки!$I$214,),0),AF347/(1+IFERROR(INDEX(AF$10:AF$11,Предпосылки!$I$215,),0))*IFERROR(INDEX(AF$10:AF$11,Предпосылки!$I$215,),0),AF370/(1+IFERROR(INDEX(AF$10:AF$11,Предпосылки!$I$216,),0))*IFERROR(INDEX(AF$10:AF$11,Предпосылки!$I$216,),0),AF393/(1+IFERROR(INDEX(AF$10:AF$11,Предпосылки!$I$217,),0))*IFERROR(INDEX(AF$10:AF$11,Предпосылки!$I$217,),0),AF416/(1+IFERROR(INDEX(AF$10:AF$11,Предпосылки!$I$218,),0))*IFERROR(INDEX(AF$10:AF$11,Предпосылки!$I$218,),0),AF439/(1+IFERROR(INDEX(AF$10:AF$11,Предпосылки!$I$219,),0))*IFERROR(INDEX(AF$10:AF$11,Предпосылки!$I$219,),0),AF462/(1+IFERROR(INDEX(AF$10:AF$11,Предпосылки!$I$220,),0))*IFERROR(INDEX(AF$10:AF$11,Предпосылки!$I$220,),0))</f>
        <v>0</v>
      </c>
      <c s="125">
        <f>SUM(AG25/(1+IFERROR(INDEX(AG$10:AG$11,Предпосылки!$I$201,),0))*IFERROR(INDEX(AG$10:AG$11,Предпосылки!$I$201,),0),AG48/(1+IFERROR(INDEX(AG$10:AG$11,Предпосылки!$I$202,),0))*IFERROR(INDEX(AG$10:AG$11,Предпосылки!$I$202,),0),AG71/(1+IFERROR(INDEX(AG$10:AG$11,Предпосылки!$I$203,),0))*IFERROR(INDEX(AG$10:AG$11,Предпосылки!$I$203,),0),AG94/(1+IFERROR(INDEX(AG$10:AG$11,Предпосылки!$I$204,),0))*IFERROR(INDEX(AG$10:AG$11,Предпосылки!$I$204,),0),AG117/(1+IFERROR(INDEX(AG$10:AG$11,Предпосылки!$I$205,),0))*IFERROR(INDEX(AG$10:AG$11,Предпосылки!$I$205,),0),AG140/(1+IFERROR(INDEX(AG$10:AG$11,Предпосылки!$I$206,),0))*IFERROR(INDEX(AG$10:AG$11,Предпосылки!$I$206,),0),AG163/(1+IFERROR(INDEX(AG$10:AG$11,Предпосылки!$I$207,),0))*IFERROR(INDEX(AG$10:AG$11,Предпосылки!$I$207,),0),AG186/(1+IFERROR(INDEX(AG$10:AG$11,Предпосылки!$I$208,),0))*IFERROR(INDEX(AG$10:AG$11,Предпосылки!$I$208,),0),AG209/(1+IFERROR(INDEX(AG$10:AG$11,Предпосылки!$I$209,),0))*IFERROR(INDEX(AG$10:AG$11,Предпосылки!$I$209,),0),AG232/(1+IFERROR(INDEX(AG$10:AG$11,Предпосылки!$I$210,),0))*IFERROR(INDEX(AG$10:AG$11,Предпосылки!$I$210,),0),AG255/(1+IFERROR(INDEX(AG$10:AG$11,Предпосылки!$I$211,),0))*IFERROR(INDEX(AG$10:AG$11,Предпосылки!$I$211,),0),AG278/(1+IFERROR(INDEX(AG$10:AG$11,Предпосылки!$I$212,),0))*IFERROR(INDEX(AG$10:AG$11,Предпосылки!$I$212,),0),AG301/(1+IFERROR(INDEX(AG$10:AG$11,Предпосылки!$I$213,),0))*IFERROR(INDEX(AG$10:AG$11,Предпосылки!$I$213,),0),AG324/(1+IFERROR(INDEX(AG$10:AG$11,Предпосылки!$I$214,),0))*IFERROR(INDEX(AG$10:AG$11,Предпосылки!$I$214,),0),AG347/(1+IFERROR(INDEX(AG$10:AG$11,Предпосылки!$I$215,),0))*IFERROR(INDEX(AG$10:AG$11,Предпосылки!$I$215,),0),AG370/(1+IFERROR(INDEX(AG$10:AG$11,Предпосылки!$I$216,),0))*IFERROR(INDEX(AG$10:AG$11,Предпосылки!$I$216,),0),AG393/(1+IFERROR(INDEX(AG$10:AG$11,Предпосылки!$I$217,),0))*IFERROR(INDEX(AG$10:AG$11,Предпосылки!$I$217,),0),AG416/(1+IFERROR(INDEX(AG$10:AG$11,Предпосылки!$I$218,),0))*IFERROR(INDEX(AG$10:AG$11,Предпосылки!$I$218,),0),AG439/(1+IFERROR(INDEX(AG$10:AG$11,Предпосылки!$I$219,),0))*IFERROR(INDEX(AG$10:AG$11,Предпосылки!$I$219,),0),AG462/(1+IFERROR(INDEX(AG$10:AG$11,Предпосылки!$I$220,),0))*IFERROR(INDEX(AG$10:AG$11,Предпосылки!$I$220,),0))</f>
        <v>0</v>
      </c>
      <c s="125">
        <f>SUM(AH25/(1+IFERROR(INDEX(AH$10:AH$11,Предпосылки!$I$201,),0))*IFERROR(INDEX(AH$10:AH$11,Предпосылки!$I$201,),0),AH48/(1+IFERROR(INDEX(AH$10:AH$11,Предпосылки!$I$202,),0))*IFERROR(INDEX(AH$10:AH$11,Предпосылки!$I$202,),0),AH71/(1+IFERROR(INDEX(AH$10:AH$11,Предпосылки!$I$203,),0))*IFERROR(INDEX(AH$10:AH$11,Предпосылки!$I$203,),0),AH94/(1+IFERROR(INDEX(AH$10:AH$11,Предпосылки!$I$204,),0))*IFERROR(INDEX(AH$10:AH$11,Предпосылки!$I$204,),0),AH117/(1+IFERROR(INDEX(AH$10:AH$11,Предпосылки!$I$205,),0))*IFERROR(INDEX(AH$10:AH$11,Предпосылки!$I$205,),0),AH140/(1+IFERROR(INDEX(AH$10:AH$11,Предпосылки!$I$206,),0))*IFERROR(INDEX(AH$10:AH$11,Предпосылки!$I$206,),0),AH163/(1+IFERROR(INDEX(AH$10:AH$11,Предпосылки!$I$207,),0))*IFERROR(INDEX(AH$10:AH$11,Предпосылки!$I$207,),0),AH186/(1+IFERROR(INDEX(AH$10:AH$11,Предпосылки!$I$208,),0))*IFERROR(INDEX(AH$10:AH$11,Предпосылки!$I$208,),0),AH209/(1+IFERROR(INDEX(AH$10:AH$11,Предпосылки!$I$209,),0))*IFERROR(INDEX(AH$10:AH$11,Предпосылки!$I$209,),0),AH232/(1+IFERROR(INDEX(AH$10:AH$11,Предпосылки!$I$210,),0))*IFERROR(INDEX(AH$10:AH$11,Предпосылки!$I$210,),0),AH255/(1+IFERROR(INDEX(AH$10:AH$11,Предпосылки!$I$211,),0))*IFERROR(INDEX(AH$10:AH$11,Предпосылки!$I$211,),0),AH278/(1+IFERROR(INDEX(AH$10:AH$11,Предпосылки!$I$212,),0))*IFERROR(INDEX(AH$10:AH$11,Предпосылки!$I$212,),0),AH301/(1+IFERROR(INDEX(AH$10:AH$11,Предпосылки!$I$213,),0))*IFERROR(INDEX(AH$10:AH$11,Предпосылки!$I$213,),0),AH324/(1+IFERROR(INDEX(AH$10:AH$11,Предпосылки!$I$214,),0))*IFERROR(INDEX(AH$10:AH$11,Предпосылки!$I$214,),0),AH347/(1+IFERROR(INDEX(AH$10:AH$11,Предпосылки!$I$215,),0))*IFERROR(INDEX(AH$10:AH$11,Предпосылки!$I$215,),0),AH370/(1+IFERROR(INDEX(AH$10:AH$11,Предпосылки!$I$216,),0))*IFERROR(INDEX(AH$10:AH$11,Предпосылки!$I$216,),0),AH393/(1+IFERROR(INDEX(AH$10:AH$11,Предпосылки!$I$217,),0))*IFERROR(INDEX(AH$10:AH$11,Предпосылки!$I$217,),0),AH416/(1+IFERROR(INDEX(AH$10:AH$11,Предпосылки!$I$218,),0))*IFERROR(INDEX(AH$10:AH$11,Предпосылки!$I$218,),0),AH439/(1+IFERROR(INDEX(AH$10:AH$11,Предпосылки!$I$219,),0))*IFERROR(INDEX(AH$10:AH$11,Предпосылки!$I$219,),0),AH462/(1+IFERROR(INDEX(AH$10:AH$11,Предпосылки!$I$220,),0))*IFERROR(INDEX(AH$10:AH$11,Предпосылки!$I$220,),0))</f>
        <v>0</v>
      </c>
      <c s="125">
        <f>SUM(AI25/(1+IFERROR(INDEX(AI$10:AI$11,Предпосылки!$I$201,),0))*IFERROR(INDEX(AI$10:AI$11,Предпосылки!$I$201,),0),AI48/(1+IFERROR(INDEX(AI$10:AI$11,Предпосылки!$I$202,),0))*IFERROR(INDEX(AI$10:AI$11,Предпосылки!$I$202,),0),AI71/(1+IFERROR(INDEX(AI$10:AI$11,Предпосылки!$I$203,),0))*IFERROR(INDEX(AI$10:AI$11,Предпосылки!$I$203,),0),AI94/(1+IFERROR(INDEX(AI$10:AI$11,Предпосылки!$I$204,),0))*IFERROR(INDEX(AI$10:AI$11,Предпосылки!$I$204,),0),AI117/(1+IFERROR(INDEX(AI$10:AI$11,Предпосылки!$I$205,),0))*IFERROR(INDEX(AI$10:AI$11,Предпосылки!$I$205,),0),AI140/(1+IFERROR(INDEX(AI$10:AI$11,Предпосылки!$I$206,),0))*IFERROR(INDEX(AI$10:AI$11,Предпосылки!$I$206,),0),AI163/(1+IFERROR(INDEX(AI$10:AI$11,Предпосылки!$I$207,),0))*IFERROR(INDEX(AI$10:AI$11,Предпосылки!$I$207,),0),AI186/(1+IFERROR(INDEX(AI$10:AI$11,Предпосылки!$I$208,),0))*IFERROR(INDEX(AI$10:AI$11,Предпосылки!$I$208,),0),AI209/(1+IFERROR(INDEX(AI$10:AI$11,Предпосылки!$I$209,),0))*IFERROR(INDEX(AI$10:AI$11,Предпосылки!$I$209,),0),AI232/(1+IFERROR(INDEX(AI$10:AI$11,Предпосылки!$I$210,),0))*IFERROR(INDEX(AI$10:AI$11,Предпосылки!$I$210,),0),AI255/(1+IFERROR(INDEX(AI$10:AI$11,Предпосылки!$I$211,),0))*IFERROR(INDEX(AI$10:AI$11,Предпосылки!$I$211,),0),AI278/(1+IFERROR(INDEX(AI$10:AI$11,Предпосылки!$I$212,),0))*IFERROR(INDEX(AI$10:AI$11,Предпосылки!$I$212,),0),AI301/(1+IFERROR(INDEX(AI$10:AI$11,Предпосылки!$I$213,),0))*IFERROR(INDEX(AI$10:AI$11,Предпосылки!$I$213,),0),AI324/(1+IFERROR(INDEX(AI$10:AI$11,Предпосылки!$I$214,),0))*IFERROR(INDEX(AI$10:AI$11,Предпосылки!$I$214,),0),AI347/(1+IFERROR(INDEX(AI$10:AI$11,Предпосылки!$I$215,),0))*IFERROR(INDEX(AI$10:AI$11,Предпосылки!$I$215,),0),AI370/(1+IFERROR(INDEX(AI$10:AI$11,Предпосылки!$I$216,),0))*IFERROR(INDEX(AI$10:AI$11,Предпосылки!$I$216,),0),AI393/(1+IFERROR(INDEX(AI$10:AI$11,Предпосылки!$I$217,),0))*IFERROR(INDEX(AI$10:AI$11,Предпосылки!$I$217,),0),AI416/(1+IFERROR(INDEX(AI$10:AI$11,Предпосылки!$I$218,),0))*IFERROR(INDEX(AI$10:AI$11,Предпосылки!$I$218,),0),AI439/(1+IFERROR(INDEX(AI$10:AI$11,Предпосылки!$I$219,),0))*IFERROR(INDEX(AI$10:AI$11,Предпосылки!$I$219,),0),AI462/(1+IFERROR(INDEX(AI$10:AI$11,Предпосылки!$I$220,),0))*IFERROR(INDEX(AI$10:AI$11,Предпосылки!$I$220,),0))</f>
        <v>0</v>
      </c>
      <c s="125">
        <f>SUM(AJ25/(1+IFERROR(INDEX(AJ$10:AJ$11,Предпосылки!$I$201,),0))*IFERROR(INDEX(AJ$10:AJ$11,Предпосылки!$I$201,),0),AJ48/(1+IFERROR(INDEX(AJ$10:AJ$11,Предпосылки!$I$202,),0))*IFERROR(INDEX(AJ$10:AJ$11,Предпосылки!$I$202,),0),AJ71/(1+IFERROR(INDEX(AJ$10:AJ$11,Предпосылки!$I$203,),0))*IFERROR(INDEX(AJ$10:AJ$11,Предпосылки!$I$203,),0),AJ94/(1+IFERROR(INDEX(AJ$10:AJ$11,Предпосылки!$I$204,),0))*IFERROR(INDEX(AJ$10:AJ$11,Предпосылки!$I$204,),0),AJ117/(1+IFERROR(INDEX(AJ$10:AJ$11,Предпосылки!$I$205,),0))*IFERROR(INDEX(AJ$10:AJ$11,Предпосылки!$I$205,),0),AJ140/(1+IFERROR(INDEX(AJ$10:AJ$11,Предпосылки!$I$206,),0))*IFERROR(INDEX(AJ$10:AJ$11,Предпосылки!$I$206,),0),AJ163/(1+IFERROR(INDEX(AJ$10:AJ$11,Предпосылки!$I$207,),0))*IFERROR(INDEX(AJ$10:AJ$11,Предпосылки!$I$207,),0),AJ186/(1+IFERROR(INDEX(AJ$10:AJ$11,Предпосылки!$I$208,),0))*IFERROR(INDEX(AJ$10:AJ$11,Предпосылки!$I$208,),0),AJ209/(1+IFERROR(INDEX(AJ$10:AJ$11,Предпосылки!$I$209,),0))*IFERROR(INDEX(AJ$10:AJ$11,Предпосылки!$I$209,),0),AJ232/(1+IFERROR(INDEX(AJ$10:AJ$11,Предпосылки!$I$210,),0))*IFERROR(INDEX(AJ$10:AJ$11,Предпосылки!$I$210,),0),AJ255/(1+IFERROR(INDEX(AJ$10:AJ$11,Предпосылки!$I$211,),0))*IFERROR(INDEX(AJ$10:AJ$11,Предпосылки!$I$211,),0),AJ278/(1+IFERROR(INDEX(AJ$10:AJ$11,Предпосылки!$I$212,),0))*IFERROR(INDEX(AJ$10:AJ$11,Предпосылки!$I$212,),0),AJ301/(1+IFERROR(INDEX(AJ$10:AJ$11,Предпосылки!$I$213,),0))*IFERROR(INDEX(AJ$10:AJ$11,Предпосылки!$I$213,),0),AJ324/(1+IFERROR(INDEX(AJ$10:AJ$11,Предпосылки!$I$214,),0))*IFERROR(INDEX(AJ$10:AJ$11,Предпосылки!$I$214,),0),AJ347/(1+IFERROR(INDEX(AJ$10:AJ$11,Предпосылки!$I$215,),0))*IFERROR(INDEX(AJ$10:AJ$11,Предпосылки!$I$215,),0),AJ370/(1+IFERROR(INDEX(AJ$10:AJ$11,Предпосылки!$I$216,),0))*IFERROR(INDEX(AJ$10:AJ$11,Предпосылки!$I$216,),0),AJ393/(1+IFERROR(INDEX(AJ$10:AJ$11,Предпосылки!$I$217,),0))*IFERROR(INDEX(AJ$10:AJ$11,Предпосылки!$I$217,),0),AJ416/(1+IFERROR(INDEX(AJ$10:AJ$11,Предпосылки!$I$218,),0))*IFERROR(INDEX(AJ$10:AJ$11,Предпосылки!$I$218,),0),AJ439/(1+IFERROR(INDEX(AJ$10:AJ$11,Предпосылки!$I$219,),0))*IFERROR(INDEX(AJ$10:AJ$11,Предпосылки!$I$219,),0),AJ462/(1+IFERROR(INDEX(AJ$10:AJ$11,Предпосылки!$I$220,),0))*IFERROR(INDEX(AJ$10:AJ$11,Предпосылки!$I$220,),0))</f>
        <v>0</v>
      </c>
      <c s="125">
        <f>SUM(AK25/(1+IFERROR(INDEX(AK$10:AK$11,Предпосылки!$I$201,),0))*IFERROR(INDEX(AK$10:AK$11,Предпосылки!$I$201,),0),AK48/(1+IFERROR(INDEX(AK$10:AK$11,Предпосылки!$I$202,),0))*IFERROR(INDEX(AK$10:AK$11,Предпосылки!$I$202,),0),AK71/(1+IFERROR(INDEX(AK$10:AK$11,Предпосылки!$I$203,),0))*IFERROR(INDEX(AK$10:AK$11,Предпосылки!$I$203,),0),AK94/(1+IFERROR(INDEX(AK$10:AK$11,Предпосылки!$I$204,),0))*IFERROR(INDEX(AK$10:AK$11,Предпосылки!$I$204,),0),AK117/(1+IFERROR(INDEX(AK$10:AK$11,Предпосылки!$I$205,),0))*IFERROR(INDEX(AK$10:AK$11,Предпосылки!$I$205,),0),AK140/(1+IFERROR(INDEX(AK$10:AK$11,Предпосылки!$I$206,),0))*IFERROR(INDEX(AK$10:AK$11,Предпосылки!$I$206,),0),AK163/(1+IFERROR(INDEX(AK$10:AK$11,Предпосылки!$I$207,),0))*IFERROR(INDEX(AK$10:AK$11,Предпосылки!$I$207,),0),AK186/(1+IFERROR(INDEX(AK$10:AK$11,Предпосылки!$I$208,),0))*IFERROR(INDEX(AK$10:AK$11,Предпосылки!$I$208,),0),AK209/(1+IFERROR(INDEX(AK$10:AK$11,Предпосылки!$I$209,),0))*IFERROR(INDEX(AK$10:AK$11,Предпосылки!$I$209,),0),AK232/(1+IFERROR(INDEX(AK$10:AK$11,Предпосылки!$I$210,),0))*IFERROR(INDEX(AK$10:AK$11,Предпосылки!$I$210,),0),AK255/(1+IFERROR(INDEX(AK$10:AK$11,Предпосылки!$I$211,),0))*IFERROR(INDEX(AK$10:AK$11,Предпосылки!$I$211,),0),AK278/(1+IFERROR(INDEX(AK$10:AK$11,Предпосылки!$I$212,),0))*IFERROR(INDEX(AK$10:AK$11,Предпосылки!$I$212,),0),AK301/(1+IFERROR(INDEX(AK$10:AK$11,Предпосылки!$I$213,),0))*IFERROR(INDEX(AK$10:AK$11,Предпосылки!$I$213,),0),AK324/(1+IFERROR(INDEX(AK$10:AK$11,Предпосылки!$I$214,),0))*IFERROR(INDEX(AK$10:AK$11,Предпосылки!$I$214,),0),AK347/(1+IFERROR(INDEX(AK$10:AK$11,Предпосылки!$I$215,),0))*IFERROR(INDEX(AK$10:AK$11,Предпосылки!$I$215,),0),AK370/(1+IFERROR(INDEX(AK$10:AK$11,Предпосылки!$I$216,),0))*IFERROR(INDEX(AK$10:AK$11,Предпосылки!$I$216,),0),AK393/(1+IFERROR(INDEX(AK$10:AK$11,Предпосылки!$I$217,),0))*IFERROR(INDEX(AK$10:AK$11,Предпосылки!$I$217,),0),AK416/(1+IFERROR(INDEX(AK$10:AK$11,Предпосылки!$I$218,),0))*IFERROR(INDEX(AK$10:AK$11,Предпосылки!$I$218,),0),AK439/(1+IFERROR(INDEX(AK$10:AK$11,Предпосылки!$I$219,),0))*IFERROR(INDEX(AK$10:AK$11,Предпосылки!$I$219,),0),AK462/(1+IFERROR(INDEX(AK$10:AK$11,Предпосылки!$I$220,),0))*IFERROR(INDEX(AK$10:AK$11,Предпосылки!$I$220,),0))</f>
        <v>0</v>
      </c>
      <c s="125">
        <f>SUM(AL25/(1+IFERROR(INDEX(AL$10:AL$11,Предпосылки!$I$201,),0))*IFERROR(INDEX(AL$10:AL$11,Предпосылки!$I$201,),0),AL48/(1+IFERROR(INDEX(AL$10:AL$11,Предпосылки!$I$202,),0))*IFERROR(INDEX(AL$10:AL$11,Предпосылки!$I$202,),0),AL71/(1+IFERROR(INDEX(AL$10:AL$11,Предпосылки!$I$203,),0))*IFERROR(INDEX(AL$10:AL$11,Предпосылки!$I$203,),0),AL94/(1+IFERROR(INDEX(AL$10:AL$11,Предпосылки!$I$204,),0))*IFERROR(INDEX(AL$10:AL$11,Предпосылки!$I$204,),0),AL117/(1+IFERROR(INDEX(AL$10:AL$11,Предпосылки!$I$205,),0))*IFERROR(INDEX(AL$10:AL$11,Предпосылки!$I$205,),0),AL140/(1+IFERROR(INDEX(AL$10:AL$11,Предпосылки!$I$206,),0))*IFERROR(INDEX(AL$10:AL$11,Предпосылки!$I$206,),0),AL163/(1+IFERROR(INDEX(AL$10:AL$11,Предпосылки!$I$207,),0))*IFERROR(INDEX(AL$10:AL$11,Предпосылки!$I$207,),0),AL186/(1+IFERROR(INDEX(AL$10:AL$11,Предпосылки!$I$208,),0))*IFERROR(INDEX(AL$10:AL$11,Предпосылки!$I$208,),0),AL209/(1+IFERROR(INDEX(AL$10:AL$11,Предпосылки!$I$209,),0))*IFERROR(INDEX(AL$10:AL$11,Предпосылки!$I$209,),0),AL232/(1+IFERROR(INDEX(AL$10:AL$11,Предпосылки!$I$210,),0))*IFERROR(INDEX(AL$10:AL$11,Предпосылки!$I$210,),0),AL255/(1+IFERROR(INDEX(AL$10:AL$11,Предпосылки!$I$211,),0))*IFERROR(INDEX(AL$10:AL$11,Предпосылки!$I$211,),0),AL278/(1+IFERROR(INDEX(AL$10:AL$11,Предпосылки!$I$212,),0))*IFERROR(INDEX(AL$10:AL$11,Предпосылки!$I$212,),0),AL301/(1+IFERROR(INDEX(AL$10:AL$11,Предпосылки!$I$213,),0))*IFERROR(INDEX(AL$10:AL$11,Предпосылки!$I$213,),0),AL324/(1+IFERROR(INDEX(AL$10:AL$11,Предпосылки!$I$214,),0))*IFERROR(INDEX(AL$10:AL$11,Предпосылки!$I$214,),0),AL347/(1+IFERROR(INDEX(AL$10:AL$11,Предпосылки!$I$215,),0))*IFERROR(INDEX(AL$10:AL$11,Предпосылки!$I$215,),0),AL370/(1+IFERROR(INDEX(AL$10:AL$11,Предпосылки!$I$216,),0))*IFERROR(INDEX(AL$10:AL$11,Предпосылки!$I$216,),0),AL393/(1+IFERROR(INDEX(AL$10:AL$11,Предпосылки!$I$217,),0))*IFERROR(INDEX(AL$10:AL$11,Предпосылки!$I$217,),0),AL416/(1+IFERROR(INDEX(AL$10:AL$11,Предпосылки!$I$218,),0))*IFERROR(INDEX(AL$10:AL$11,Предпосылки!$I$218,),0),AL439/(1+IFERROR(INDEX(AL$10:AL$11,Предпосылки!$I$219,),0))*IFERROR(INDEX(AL$10:AL$11,Предпосылки!$I$219,),0),AL462/(1+IFERROR(INDEX(AL$10:AL$11,Предпосылки!$I$220,),0))*IFERROR(INDEX(AL$10:AL$11,Предпосылки!$I$220,),0))</f>
        <v>0</v>
      </c>
      <c s="125">
        <f>SUM(AM25/(1+IFERROR(INDEX(AM$10:AM$11,Предпосылки!$I$201,),0))*IFERROR(INDEX(AM$10:AM$11,Предпосылки!$I$201,),0),AM48/(1+IFERROR(INDEX(AM$10:AM$11,Предпосылки!$I$202,),0))*IFERROR(INDEX(AM$10:AM$11,Предпосылки!$I$202,),0),AM71/(1+IFERROR(INDEX(AM$10:AM$11,Предпосылки!$I$203,),0))*IFERROR(INDEX(AM$10:AM$11,Предпосылки!$I$203,),0),AM94/(1+IFERROR(INDEX(AM$10:AM$11,Предпосылки!$I$204,),0))*IFERROR(INDEX(AM$10:AM$11,Предпосылки!$I$204,),0),AM117/(1+IFERROR(INDEX(AM$10:AM$11,Предпосылки!$I$205,),0))*IFERROR(INDEX(AM$10:AM$11,Предпосылки!$I$205,),0),AM140/(1+IFERROR(INDEX(AM$10:AM$11,Предпосылки!$I$206,),0))*IFERROR(INDEX(AM$10:AM$11,Предпосылки!$I$206,),0),AM163/(1+IFERROR(INDEX(AM$10:AM$11,Предпосылки!$I$207,),0))*IFERROR(INDEX(AM$10:AM$11,Предпосылки!$I$207,),0),AM186/(1+IFERROR(INDEX(AM$10:AM$11,Предпосылки!$I$208,),0))*IFERROR(INDEX(AM$10:AM$11,Предпосылки!$I$208,),0),AM209/(1+IFERROR(INDEX(AM$10:AM$11,Предпосылки!$I$209,),0))*IFERROR(INDEX(AM$10:AM$11,Предпосылки!$I$209,),0),AM232/(1+IFERROR(INDEX(AM$10:AM$11,Предпосылки!$I$210,),0))*IFERROR(INDEX(AM$10:AM$11,Предпосылки!$I$210,),0),AM255/(1+IFERROR(INDEX(AM$10:AM$11,Предпосылки!$I$211,),0))*IFERROR(INDEX(AM$10:AM$11,Предпосылки!$I$211,),0),AM278/(1+IFERROR(INDEX(AM$10:AM$11,Предпосылки!$I$212,),0))*IFERROR(INDEX(AM$10:AM$11,Предпосылки!$I$212,),0),AM301/(1+IFERROR(INDEX(AM$10:AM$11,Предпосылки!$I$213,),0))*IFERROR(INDEX(AM$10:AM$11,Предпосылки!$I$213,),0),AM324/(1+IFERROR(INDEX(AM$10:AM$11,Предпосылки!$I$214,),0))*IFERROR(INDEX(AM$10:AM$11,Предпосылки!$I$214,),0),AM347/(1+IFERROR(INDEX(AM$10:AM$11,Предпосылки!$I$215,),0))*IFERROR(INDEX(AM$10:AM$11,Предпосылки!$I$215,),0),AM370/(1+IFERROR(INDEX(AM$10:AM$11,Предпосылки!$I$216,),0))*IFERROR(INDEX(AM$10:AM$11,Предпосылки!$I$216,),0),AM393/(1+IFERROR(INDEX(AM$10:AM$11,Предпосылки!$I$217,),0))*IFERROR(INDEX(AM$10:AM$11,Предпосылки!$I$217,),0),AM416/(1+IFERROR(INDEX(AM$10:AM$11,Предпосылки!$I$218,),0))*IFERROR(INDEX(AM$10:AM$11,Предпосылки!$I$218,),0),AM439/(1+IFERROR(INDEX(AM$10:AM$11,Предпосылки!$I$219,),0))*IFERROR(INDEX(AM$10:AM$11,Предпосылки!$I$219,),0),AM462/(1+IFERROR(INDEX(AM$10:AM$11,Предпосылки!$I$220,),0))*IFERROR(INDEX(AM$10:AM$11,Предпосылки!$I$220,),0))</f>
        <v>0</v>
      </c>
      <c s="125">
        <f>SUM(AN25/(1+IFERROR(INDEX(AN$10:AN$11,Предпосылки!$I$201,),0))*IFERROR(INDEX(AN$10:AN$11,Предпосылки!$I$201,),0),AN48/(1+IFERROR(INDEX(AN$10:AN$11,Предпосылки!$I$202,),0))*IFERROR(INDEX(AN$10:AN$11,Предпосылки!$I$202,),0),AN71/(1+IFERROR(INDEX(AN$10:AN$11,Предпосылки!$I$203,),0))*IFERROR(INDEX(AN$10:AN$11,Предпосылки!$I$203,),0),AN94/(1+IFERROR(INDEX(AN$10:AN$11,Предпосылки!$I$204,),0))*IFERROR(INDEX(AN$10:AN$11,Предпосылки!$I$204,),0),AN117/(1+IFERROR(INDEX(AN$10:AN$11,Предпосылки!$I$205,),0))*IFERROR(INDEX(AN$10:AN$11,Предпосылки!$I$205,),0),AN140/(1+IFERROR(INDEX(AN$10:AN$11,Предпосылки!$I$206,),0))*IFERROR(INDEX(AN$10:AN$11,Предпосылки!$I$206,),0),AN163/(1+IFERROR(INDEX(AN$10:AN$11,Предпосылки!$I$207,),0))*IFERROR(INDEX(AN$10:AN$11,Предпосылки!$I$207,),0),AN186/(1+IFERROR(INDEX(AN$10:AN$11,Предпосылки!$I$208,),0))*IFERROR(INDEX(AN$10:AN$11,Предпосылки!$I$208,),0),AN209/(1+IFERROR(INDEX(AN$10:AN$11,Предпосылки!$I$209,),0))*IFERROR(INDEX(AN$10:AN$11,Предпосылки!$I$209,),0),AN232/(1+IFERROR(INDEX(AN$10:AN$11,Предпосылки!$I$210,),0))*IFERROR(INDEX(AN$10:AN$11,Предпосылки!$I$210,),0),AN255/(1+IFERROR(INDEX(AN$10:AN$11,Предпосылки!$I$211,),0))*IFERROR(INDEX(AN$10:AN$11,Предпосылки!$I$211,),0),AN278/(1+IFERROR(INDEX(AN$10:AN$11,Предпосылки!$I$212,),0))*IFERROR(INDEX(AN$10:AN$11,Предпосылки!$I$212,),0),AN301/(1+IFERROR(INDEX(AN$10:AN$11,Предпосылки!$I$213,),0))*IFERROR(INDEX(AN$10:AN$11,Предпосылки!$I$213,),0),AN324/(1+IFERROR(INDEX(AN$10:AN$11,Предпосылки!$I$214,),0))*IFERROR(INDEX(AN$10:AN$11,Предпосылки!$I$214,),0),AN347/(1+IFERROR(INDEX(AN$10:AN$11,Предпосылки!$I$215,),0))*IFERROR(INDEX(AN$10:AN$11,Предпосылки!$I$215,),0),AN370/(1+IFERROR(INDEX(AN$10:AN$11,Предпосылки!$I$216,),0))*IFERROR(INDEX(AN$10:AN$11,Предпосылки!$I$216,),0),AN393/(1+IFERROR(INDEX(AN$10:AN$11,Предпосылки!$I$217,),0))*IFERROR(INDEX(AN$10:AN$11,Предпосылки!$I$217,),0),AN416/(1+IFERROR(INDEX(AN$10:AN$11,Предпосылки!$I$218,),0))*IFERROR(INDEX(AN$10:AN$11,Предпосылки!$I$218,),0),AN439/(1+IFERROR(INDEX(AN$10:AN$11,Предпосылки!$I$219,),0))*IFERROR(INDEX(AN$10:AN$11,Предпосылки!$I$219,),0),AN462/(1+IFERROR(INDEX(AN$10:AN$11,Предпосылки!$I$220,),0))*IFERROR(INDEX(AN$10:AN$11,Предпосылки!$I$220,),0))</f>
        <v>0</v>
      </c>
      <c s="125">
        <f>SUM(AO25/(1+IFERROR(INDEX(AO$10:AO$11,Предпосылки!$I$201,),0))*IFERROR(INDEX(AO$10:AO$11,Предпосылки!$I$201,),0),AO48/(1+IFERROR(INDEX(AO$10:AO$11,Предпосылки!$I$202,),0))*IFERROR(INDEX(AO$10:AO$11,Предпосылки!$I$202,),0),AO71/(1+IFERROR(INDEX(AO$10:AO$11,Предпосылки!$I$203,),0))*IFERROR(INDEX(AO$10:AO$11,Предпосылки!$I$203,),0),AO94/(1+IFERROR(INDEX(AO$10:AO$11,Предпосылки!$I$204,),0))*IFERROR(INDEX(AO$10:AO$11,Предпосылки!$I$204,),0),AO117/(1+IFERROR(INDEX(AO$10:AO$11,Предпосылки!$I$205,),0))*IFERROR(INDEX(AO$10:AO$11,Предпосылки!$I$205,),0),AO140/(1+IFERROR(INDEX(AO$10:AO$11,Предпосылки!$I$206,),0))*IFERROR(INDEX(AO$10:AO$11,Предпосылки!$I$206,),0),AO163/(1+IFERROR(INDEX(AO$10:AO$11,Предпосылки!$I$207,),0))*IFERROR(INDEX(AO$10:AO$11,Предпосылки!$I$207,),0),AO186/(1+IFERROR(INDEX(AO$10:AO$11,Предпосылки!$I$208,),0))*IFERROR(INDEX(AO$10:AO$11,Предпосылки!$I$208,),0),AO209/(1+IFERROR(INDEX(AO$10:AO$11,Предпосылки!$I$209,),0))*IFERROR(INDEX(AO$10:AO$11,Предпосылки!$I$209,),0),AO232/(1+IFERROR(INDEX(AO$10:AO$11,Предпосылки!$I$210,),0))*IFERROR(INDEX(AO$10:AO$11,Предпосылки!$I$210,),0),AO255/(1+IFERROR(INDEX(AO$10:AO$11,Предпосылки!$I$211,),0))*IFERROR(INDEX(AO$10:AO$11,Предпосылки!$I$211,),0),AO278/(1+IFERROR(INDEX(AO$10:AO$11,Предпосылки!$I$212,),0))*IFERROR(INDEX(AO$10:AO$11,Предпосылки!$I$212,),0),AO301/(1+IFERROR(INDEX(AO$10:AO$11,Предпосылки!$I$213,),0))*IFERROR(INDEX(AO$10:AO$11,Предпосылки!$I$213,),0),AO324/(1+IFERROR(INDEX(AO$10:AO$11,Предпосылки!$I$214,),0))*IFERROR(INDEX(AO$10:AO$11,Предпосылки!$I$214,),0),AO347/(1+IFERROR(INDEX(AO$10:AO$11,Предпосылки!$I$215,),0))*IFERROR(INDEX(AO$10:AO$11,Предпосылки!$I$215,),0),AO370/(1+IFERROR(INDEX(AO$10:AO$11,Предпосылки!$I$216,),0))*IFERROR(INDEX(AO$10:AO$11,Предпосылки!$I$216,),0),AO393/(1+IFERROR(INDEX(AO$10:AO$11,Предпосылки!$I$217,),0))*IFERROR(INDEX(AO$10:AO$11,Предпосылки!$I$217,),0),AO416/(1+IFERROR(INDEX(AO$10:AO$11,Предпосылки!$I$218,),0))*IFERROR(INDEX(AO$10:AO$11,Предпосылки!$I$218,),0),AO439/(1+IFERROR(INDEX(AO$10:AO$11,Предпосылки!$I$219,),0))*IFERROR(INDEX(AO$10:AO$11,Предпосылки!$I$219,),0),AO462/(1+IFERROR(INDEX(AO$10:AO$11,Предпосылки!$I$220,),0))*IFERROR(INDEX(AO$10:AO$11,Предпосылки!$I$220,),0))</f>
        <v>0</v>
      </c>
      <c s="125">
        <f>SUM(AP25/(1+IFERROR(INDEX(AP$10:AP$11,Предпосылки!$I$201,),0))*IFERROR(INDEX(AP$10:AP$11,Предпосылки!$I$201,),0),AP48/(1+IFERROR(INDEX(AP$10:AP$11,Предпосылки!$I$202,),0))*IFERROR(INDEX(AP$10:AP$11,Предпосылки!$I$202,),0),AP71/(1+IFERROR(INDEX(AP$10:AP$11,Предпосылки!$I$203,),0))*IFERROR(INDEX(AP$10:AP$11,Предпосылки!$I$203,),0),AP94/(1+IFERROR(INDEX(AP$10:AP$11,Предпосылки!$I$204,),0))*IFERROR(INDEX(AP$10:AP$11,Предпосылки!$I$204,),0),AP117/(1+IFERROR(INDEX(AP$10:AP$11,Предпосылки!$I$205,),0))*IFERROR(INDEX(AP$10:AP$11,Предпосылки!$I$205,),0),AP140/(1+IFERROR(INDEX(AP$10:AP$11,Предпосылки!$I$206,),0))*IFERROR(INDEX(AP$10:AP$11,Предпосылки!$I$206,),0),AP163/(1+IFERROR(INDEX(AP$10:AP$11,Предпосылки!$I$207,),0))*IFERROR(INDEX(AP$10:AP$11,Предпосылки!$I$207,),0),AP186/(1+IFERROR(INDEX(AP$10:AP$11,Предпосылки!$I$208,),0))*IFERROR(INDEX(AP$10:AP$11,Предпосылки!$I$208,),0),AP209/(1+IFERROR(INDEX(AP$10:AP$11,Предпосылки!$I$209,),0))*IFERROR(INDEX(AP$10:AP$11,Предпосылки!$I$209,),0),AP232/(1+IFERROR(INDEX(AP$10:AP$11,Предпосылки!$I$210,),0))*IFERROR(INDEX(AP$10:AP$11,Предпосылки!$I$210,),0),AP255/(1+IFERROR(INDEX(AP$10:AP$11,Предпосылки!$I$211,),0))*IFERROR(INDEX(AP$10:AP$11,Предпосылки!$I$211,),0),AP278/(1+IFERROR(INDEX(AP$10:AP$11,Предпосылки!$I$212,),0))*IFERROR(INDEX(AP$10:AP$11,Предпосылки!$I$212,),0),AP301/(1+IFERROR(INDEX(AP$10:AP$11,Предпосылки!$I$213,),0))*IFERROR(INDEX(AP$10:AP$11,Предпосылки!$I$213,),0),AP324/(1+IFERROR(INDEX(AP$10:AP$11,Предпосылки!$I$214,),0))*IFERROR(INDEX(AP$10:AP$11,Предпосылки!$I$214,),0),AP347/(1+IFERROR(INDEX(AP$10:AP$11,Предпосылки!$I$215,),0))*IFERROR(INDEX(AP$10:AP$11,Предпосылки!$I$215,),0),AP370/(1+IFERROR(INDEX(AP$10:AP$11,Предпосылки!$I$216,),0))*IFERROR(INDEX(AP$10:AP$11,Предпосылки!$I$216,),0),AP393/(1+IFERROR(INDEX(AP$10:AP$11,Предпосылки!$I$217,),0))*IFERROR(INDEX(AP$10:AP$11,Предпосылки!$I$217,),0),AP416/(1+IFERROR(INDEX(AP$10:AP$11,Предпосылки!$I$218,),0))*IFERROR(INDEX(AP$10:AP$11,Предпосылки!$I$218,),0),AP439/(1+IFERROR(INDEX(AP$10:AP$11,Предпосылки!$I$219,),0))*IFERROR(INDEX(AP$10:AP$11,Предпосылки!$I$219,),0),AP462/(1+IFERROR(INDEX(AP$10:AP$11,Предпосылки!$I$220,),0))*IFERROR(INDEX(AP$10:AP$11,Предпосылки!$I$220,),0))</f>
        <v>0</v>
      </c>
      <c s="125">
        <f>SUM(AQ25/(1+IFERROR(INDEX(AQ$10:AQ$11,Предпосылки!$I$201,),0))*IFERROR(INDEX(AQ$10:AQ$11,Предпосылки!$I$201,),0),AQ48/(1+IFERROR(INDEX(AQ$10:AQ$11,Предпосылки!$I$202,),0))*IFERROR(INDEX(AQ$10:AQ$11,Предпосылки!$I$202,),0),AQ71/(1+IFERROR(INDEX(AQ$10:AQ$11,Предпосылки!$I$203,),0))*IFERROR(INDEX(AQ$10:AQ$11,Предпосылки!$I$203,),0),AQ94/(1+IFERROR(INDEX(AQ$10:AQ$11,Предпосылки!$I$204,),0))*IFERROR(INDEX(AQ$10:AQ$11,Предпосылки!$I$204,),0),AQ117/(1+IFERROR(INDEX(AQ$10:AQ$11,Предпосылки!$I$205,),0))*IFERROR(INDEX(AQ$10:AQ$11,Предпосылки!$I$205,),0),AQ140/(1+IFERROR(INDEX(AQ$10:AQ$11,Предпосылки!$I$206,),0))*IFERROR(INDEX(AQ$10:AQ$11,Предпосылки!$I$206,),0),AQ163/(1+IFERROR(INDEX(AQ$10:AQ$11,Предпосылки!$I$207,),0))*IFERROR(INDEX(AQ$10:AQ$11,Предпосылки!$I$207,),0),AQ186/(1+IFERROR(INDEX(AQ$10:AQ$11,Предпосылки!$I$208,),0))*IFERROR(INDEX(AQ$10:AQ$11,Предпосылки!$I$208,),0),AQ209/(1+IFERROR(INDEX(AQ$10:AQ$11,Предпосылки!$I$209,),0))*IFERROR(INDEX(AQ$10:AQ$11,Предпосылки!$I$209,),0),AQ232/(1+IFERROR(INDEX(AQ$10:AQ$11,Предпосылки!$I$210,),0))*IFERROR(INDEX(AQ$10:AQ$11,Предпосылки!$I$210,),0),AQ255/(1+IFERROR(INDEX(AQ$10:AQ$11,Предпосылки!$I$211,),0))*IFERROR(INDEX(AQ$10:AQ$11,Предпосылки!$I$211,),0),AQ278/(1+IFERROR(INDEX(AQ$10:AQ$11,Предпосылки!$I$212,),0))*IFERROR(INDEX(AQ$10:AQ$11,Предпосылки!$I$212,),0),AQ301/(1+IFERROR(INDEX(AQ$10:AQ$11,Предпосылки!$I$213,),0))*IFERROR(INDEX(AQ$10:AQ$11,Предпосылки!$I$213,),0),AQ324/(1+IFERROR(INDEX(AQ$10:AQ$11,Предпосылки!$I$214,),0))*IFERROR(INDEX(AQ$10:AQ$11,Предпосылки!$I$214,),0),AQ347/(1+IFERROR(INDEX(AQ$10:AQ$11,Предпосылки!$I$215,),0))*IFERROR(INDEX(AQ$10:AQ$11,Предпосылки!$I$215,),0),AQ370/(1+IFERROR(INDEX(AQ$10:AQ$11,Предпосылки!$I$216,),0))*IFERROR(INDEX(AQ$10:AQ$11,Предпосылки!$I$216,),0),AQ393/(1+IFERROR(INDEX(AQ$10:AQ$11,Предпосылки!$I$217,),0))*IFERROR(INDEX(AQ$10:AQ$11,Предпосылки!$I$217,),0),AQ416/(1+IFERROR(INDEX(AQ$10:AQ$11,Предпосылки!$I$218,),0))*IFERROR(INDEX(AQ$10:AQ$11,Предпосылки!$I$218,),0),AQ439/(1+IFERROR(INDEX(AQ$10:AQ$11,Предпосылки!$I$219,),0))*IFERROR(INDEX(AQ$10:AQ$11,Предпосылки!$I$219,),0),AQ462/(1+IFERROR(INDEX(AQ$10:AQ$11,Предпосылки!$I$220,),0))*IFERROR(INDEX(AQ$10:AQ$11,Предпосылки!$I$220,),0))</f>
        <v>0</v>
      </c>
      <c s="125">
        <f>SUM(AR25/(1+IFERROR(INDEX(AR$10:AR$11,Предпосылки!$I$201,),0))*IFERROR(INDEX(AR$10:AR$11,Предпосылки!$I$201,),0),AR48/(1+IFERROR(INDEX(AR$10:AR$11,Предпосылки!$I$202,),0))*IFERROR(INDEX(AR$10:AR$11,Предпосылки!$I$202,),0),AR71/(1+IFERROR(INDEX(AR$10:AR$11,Предпосылки!$I$203,),0))*IFERROR(INDEX(AR$10:AR$11,Предпосылки!$I$203,),0),AR94/(1+IFERROR(INDEX(AR$10:AR$11,Предпосылки!$I$204,),0))*IFERROR(INDEX(AR$10:AR$11,Предпосылки!$I$204,),0),AR117/(1+IFERROR(INDEX(AR$10:AR$11,Предпосылки!$I$205,),0))*IFERROR(INDEX(AR$10:AR$11,Предпосылки!$I$205,),0),AR140/(1+IFERROR(INDEX(AR$10:AR$11,Предпосылки!$I$206,),0))*IFERROR(INDEX(AR$10:AR$11,Предпосылки!$I$206,),0),AR163/(1+IFERROR(INDEX(AR$10:AR$11,Предпосылки!$I$207,),0))*IFERROR(INDEX(AR$10:AR$11,Предпосылки!$I$207,),0),AR186/(1+IFERROR(INDEX(AR$10:AR$11,Предпосылки!$I$208,),0))*IFERROR(INDEX(AR$10:AR$11,Предпосылки!$I$208,),0),AR209/(1+IFERROR(INDEX(AR$10:AR$11,Предпосылки!$I$209,),0))*IFERROR(INDEX(AR$10:AR$11,Предпосылки!$I$209,),0),AR232/(1+IFERROR(INDEX(AR$10:AR$11,Предпосылки!$I$210,),0))*IFERROR(INDEX(AR$10:AR$11,Предпосылки!$I$210,),0),AR255/(1+IFERROR(INDEX(AR$10:AR$11,Предпосылки!$I$211,),0))*IFERROR(INDEX(AR$10:AR$11,Предпосылки!$I$211,),0),AR278/(1+IFERROR(INDEX(AR$10:AR$11,Предпосылки!$I$212,),0))*IFERROR(INDEX(AR$10:AR$11,Предпосылки!$I$212,),0),AR301/(1+IFERROR(INDEX(AR$10:AR$11,Предпосылки!$I$213,),0))*IFERROR(INDEX(AR$10:AR$11,Предпосылки!$I$213,),0),AR324/(1+IFERROR(INDEX(AR$10:AR$11,Предпосылки!$I$214,),0))*IFERROR(INDEX(AR$10:AR$11,Предпосылки!$I$214,),0),AR347/(1+IFERROR(INDEX(AR$10:AR$11,Предпосылки!$I$215,),0))*IFERROR(INDEX(AR$10:AR$11,Предпосылки!$I$215,),0),AR370/(1+IFERROR(INDEX(AR$10:AR$11,Предпосылки!$I$216,),0))*IFERROR(INDEX(AR$10:AR$11,Предпосылки!$I$216,),0),AR393/(1+IFERROR(INDEX(AR$10:AR$11,Предпосылки!$I$217,),0))*IFERROR(INDEX(AR$10:AR$11,Предпосылки!$I$217,),0),AR416/(1+IFERROR(INDEX(AR$10:AR$11,Предпосылки!$I$218,),0))*IFERROR(INDEX(AR$10:AR$11,Предпосылки!$I$218,),0),AR439/(1+IFERROR(INDEX(AR$10:AR$11,Предпосылки!$I$219,),0))*IFERROR(INDEX(AR$10:AR$11,Предпосылки!$I$219,),0),AR462/(1+IFERROR(INDEX(AR$10:AR$11,Предпосылки!$I$220,),0))*IFERROR(INDEX(AR$10:AR$11,Предпосылки!$I$220,),0))</f>
        <v>0</v>
      </c>
      <c s="125">
        <f>SUM(AS25/(1+IFERROR(INDEX(AS$10:AS$11,Предпосылки!$I$201,),0))*IFERROR(INDEX(AS$10:AS$11,Предпосылки!$I$201,),0),AS48/(1+IFERROR(INDEX(AS$10:AS$11,Предпосылки!$I$202,),0))*IFERROR(INDEX(AS$10:AS$11,Предпосылки!$I$202,),0),AS71/(1+IFERROR(INDEX(AS$10:AS$11,Предпосылки!$I$203,),0))*IFERROR(INDEX(AS$10:AS$11,Предпосылки!$I$203,),0),AS94/(1+IFERROR(INDEX(AS$10:AS$11,Предпосылки!$I$204,),0))*IFERROR(INDEX(AS$10:AS$11,Предпосылки!$I$204,),0),AS117/(1+IFERROR(INDEX(AS$10:AS$11,Предпосылки!$I$205,),0))*IFERROR(INDEX(AS$10:AS$11,Предпосылки!$I$205,),0),AS140/(1+IFERROR(INDEX(AS$10:AS$11,Предпосылки!$I$206,),0))*IFERROR(INDEX(AS$10:AS$11,Предпосылки!$I$206,),0),AS163/(1+IFERROR(INDEX(AS$10:AS$11,Предпосылки!$I$207,),0))*IFERROR(INDEX(AS$10:AS$11,Предпосылки!$I$207,),0),AS186/(1+IFERROR(INDEX(AS$10:AS$11,Предпосылки!$I$208,),0))*IFERROR(INDEX(AS$10:AS$11,Предпосылки!$I$208,),0),AS209/(1+IFERROR(INDEX(AS$10:AS$11,Предпосылки!$I$209,),0))*IFERROR(INDEX(AS$10:AS$11,Предпосылки!$I$209,),0),AS232/(1+IFERROR(INDEX(AS$10:AS$11,Предпосылки!$I$210,),0))*IFERROR(INDEX(AS$10:AS$11,Предпосылки!$I$210,),0),AS255/(1+IFERROR(INDEX(AS$10:AS$11,Предпосылки!$I$211,),0))*IFERROR(INDEX(AS$10:AS$11,Предпосылки!$I$211,),0),AS278/(1+IFERROR(INDEX(AS$10:AS$11,Предпосылки!$I$212,),0))*IFERROR(INDEX(AS$10:AS$11,Предпосылки!$I$212,),0),AS301/(1+IFERROR(INDEX(AS$10:AS$11,Предпосылки!$I$213,),0))*IFERROR(INDEX(AS$10:AS$11,Предпосылки!$I$213,),0),AS324/(1+IFERROR(INDEX(AS$10:AS$11,Предпосылки!$I$214,),0))*IFERROR(INDEX(AS$10:AS$11,Предпосылки!$I$214,),0),AS347/(1+IFERROR(INDEX(AS$10:AS$11,Предпосылки!$I$215,),0))*IFERROR(INDEX(AS$10:AS$11,Предпосылки!$I$215,),0),AS370/(1+IFERROR(INDEX(AS$10:AS$11,Предпосылки!$I$216,),0))*IFERROR(INDEX(AS$10:AS$11,Предпосылки!$I$216,),0),AS393/(1+IFERROR(INDEX(AS$10:AS$11,Предпосылки!$I$217,),0))*IFERROR(INDEX(AS$10:AS$11,Предпосылки!$I$217,),0),AS416/(1+IFERROR(INDEX(AS$10:AS$11,Предпосылки!$I$218,),0))*IFERROR(INDEX(AS$10:AS$11,Предпосылки!$I$218,),0),AS439/(1+IFERROR(INDEX(AS$10:AS$11,Предпосылки!$I$219,),0))*IFERROR(INDEX(AS$10:AS$11,Предпосылки!$I$219,),0),AS462/(1+IFERROR(INDEX(AS$10:AS$11,Предпосылки!$I$220,),0))*IFERROR(INDEX(AS$10:AS$11,Предпосылки!$I$220,),0))</f>
        <v>0</v>
      </c>
      <c s="125">
        <f>SUM(AT25/(1+IFERROR(INDEX(AT$10:AT$11,Предпосылки!$I$201,),0))*IFERROR(INDEX(AT$10:AT$11,Предпосылки!$I$201,),0),AT48/(1+IFERROR(INDEX(AT$10:AT$11,Предпосылки!$I$202,),0))*IFERROR(INDEX(AT$10:AT$11,Предпосылки!$I$202,),0),AT71/(1+IFERROR(INDEX(AT$10:AT$11,Предпосылки!$I$203,),0))*IFERROR(INDEX(AT$10:AT$11,Предпосылки!$I$203,),0),AT94/(1+IFERROR(INDEX(AT$10:AT$11,Предпосылки!$I$204,),0))*IFERROR(INDEX(AT$10:AT$11,Предпосылки!$I$204,),0),AT117/(1+IFERROR(INDEX(AT$10:AT$11,Предпосылки!$I$205,),0))*IFERROR(INDEX(AT$10:AT$11,Предпосылки!$I$205,),0),AT140/(1+IFERROR(INDEX(AT$10:AT$11,Предпосылки!$I$206,),0))*IFERROR(INDEX(AT$10:AT$11,Предпосылки!$I$206,),0),AT163/(1+IFERROR(INDEX(AT$10:AT$11,Предпосылки!$I$207,),0))*IFERROR(INDEX(AT$10:AT$11,Предпосылки!$I$207,),0),AT186/(1+IFERROR(INDEX(AT$10:AT$11,Предпосылки!$I$208,),0))*IFERROR(INDEX(AT$10:AT$11,Предпосылки!$I$208,),0),AT209/(1+IFERROR(INDEX(AT$10:AT$11,Предпосылки!$I$209,),0))*IFERROR(INDEX(AT$10:AT$11,Предпосылки!$I$209,),0),AT232/(1+IFERROR(INDEX(AT$10:AT$11,Предпосылки!$I$210,),0))*IFERROR(INDEX(AT$10:AT$11,Предпосылки!$I$210,),0),AT255/(1+IFERROR(INDEX(AT$10:AT$11,Предпосылки!$I$211,),0))*IFERROR(INDEX(AT$10:AT$11,Предпосылки!$I$211,),0),AT278/(1+IFERROR(INDEX(AT$10:AT$11,Предпосылки!$I$212,),0))*IFERROR(INDEX(AT$10:AT$11,Предпосылки!$I$212,),0),AT301/(1+IFERROR(INDEX(AT$10:AT$11,Предпосылки!$I$213,),0))*IFERROR(INDEX(AT$10:AT$11,Предпосылки!$I$213,),0),AT324/(1+IFERROR(INDEX(AT$10:AT$11,Предпосылки!$I$214,),0))*IFERROR(INDEX(AT$10:AT$11,Предпосылки!$I$214,),0),AT347/(1+IFERROR(INDEX(AT$10:AT$11,Предпосылки!$I$215,),0))*IFERROR(INDEX(AT$10:AT$11,Предпосылки!$I$215,),0),AT370/(1+IFERROR(INDEX(AT$10:AT$11,Предпосылки!$I$216,),0))*IFERROR(INDEX(AT$10:AT$11,Предпосылки!$I$216,),0),AT393/(1+IFERROR(INDEX(AT$10:AT$11,Предпосылки!$I$217,),0))*IFERROR(INDEX(AT$10:AT$11,Предпосылки!$I$217,),0),AT416/(1+IFERROR(INDEX(AT$10:AT$11,Предпосылки!$I$218,),0))*IFERROR(INDEX(AT$10:AT$11,Предпосылки!$I$218,),0),AT439/(1+IFERROR(INDEX(AT$10:AT$11,Предпосылки!$I$219,),0))*IFERROR(INDEX(AT$10:AT$11,Предпосылки!$I$219,),0),AT462/(1+IFERROR(INDEX(AT$10:AT$11,Предпосылки!$I$220,),0))*IFERROR(INDEX(AT$10:AT$11,Предпосылки!$I$220,),0))</f>
        <v>0</v>
      </c>
      <c s="125">
        <f>SUM(AU25/(1+IFERROR(INDEX(AU$10:AU$11,Предпосылки!$I$201,),0))*IFERROR(INDEX(AU$10:AU$11,Предпосылки!$I$201,),0),AU48/(1+IFERROR(INDEX(AU$10:AU$11,Предпосылки!$I$202,),0))*IFERROR(INDEX(AU$10:AU$11,Предпосылки!$I$202,),0),AU71/(1+IFERROR(INDEX(AU$10:AU$11,Предпосылки!$I$203,),0))*IFERROR(INDEX(AU$10:AU$11,Предпосылки!$I$203,),0),AU94/(1+IFERROR(INDEX(AU$10:AU$11,Предпосылки!$I$204,),0))*IFERROR(INDEX(AU$10:AU$11,Предпосылки!$I$204,),0),AU117/(1+IFERROR(INDEX(AU$10:AU$11,Предпосылки!$I$205,),0))*IFERROR(INDEX(AU$10:AU$11,Предпосылки!$I$205,),0),AU140/(1+IFERROR(INDEX(AU$10:AU$11,Предпосылки!$I$206,),0))*IFERROR(INDEX(AU$10:AU$11,Предпосылки!$I$206,),0),AU163/(1+IFERROR(INDEX(AU$10:AU$11,Предпосылки!$I$207,),0))*IFERROR(INDEX(AU$10:AU$11,Предпосылки!$I$207,),0),AU186/(1+IFERROR(INDEX(AU$10:AU$11,Предпосылки!$I$208,),0))*IFERROR(INDEX(AU$10:AU$11,Предпосылки!$I$208,),0),AU209/(1+IFERROR(INDEX(AU$10:AU$11,Предпосылки!$I$209,),0))*IFERROR(INDEX(AU$10:AU$11,Предпосылки!$I$209,),0),AU232/(1+IFERROR(INDEX(AU$10:AU$11,Предпосылки!$I$210,),0))*IFERROR(INDEX(AU$10:AU$11,Предпосылки!$I$210,),0),AU255/(1+IFERROR(INDEX(AU$10:AU$11,Предпосылки!$I$211,),0))*IFERROR(INDEX(AU$10:AU$11,Предпосылки!$I$211,),0),AU278/(1+IFERROR(INDEX(AU$10:AU$11,Предпосылки!$I$212,),0))*IFERROR(INDEX(AU$10:AU$11,Предпосылки!$I$212,),0),AU301/(1+IFERROR(INDEX(AU$10:AU$11,Предпосылки!$I$213,),0))*IFERROR(INDEX(AU$10:AU$11,Предпосылки!$I$213,),0),AU324/(1+IFERROR(INDEX(AU$10:AU$11,Предпосылки!$I$214,),0))*IFERROR(INDEX(AU$10:AU$11,Предпосылки!$I$214,),0),AU347/(1+IFERROR(INDEX(AU$10:AU$11,Предпосылки!$I$215,),0))*IFERROR(INDEX(AU$10:AU$11,Предпосылки!$I$215,),0),AU370/(1+IFERROR(INDEX(AU$10:AU$11,Предпосылки!$I$216,),0))*IFERROR(INDEX(AU$10:AU$11,Предпосылки!$I$216,),0),AU393/(1+IFERROR(INDEX(AU$10:AU$11,Предпосылки!$I$217,),0))*IFERROR(INDEX(AU$10:AU$11,Предпосылки!$I$217,),0),AU416/(1+IFERROR(INDEX(AU$10:AU$11,Предпосылки!$I$218,),0))*IFERROR(INDEX(AU$10:AU$11,Предпосылки!$I$218,),0),AU439/(1+IFERROR(INDEX(AU$10:AU$11,Предпосылки!$I$219,),0))*IFERROR(INDEX(AU$10:AU$11,Предпосылки!$I$219,),0),AU462/(1+IFERROR(INDEX(AU$10:AU$11,Предпосылки!$I$220,),0))*IFERROR(INDEX(AU$10:AU$11,Предпосылки!$I$220,),0))</f>
        <v>0</v>
      </c>
      <c s="125">
        <f>SUM(AV25/(1+IFERROR(INDEX(AV$10:AV$11,Предпосылки!$I$201,),0))*IFERROR(INDEX(AV$10:AV$11,Предпосылки!$I$201,),0),AV48/(1+IFERROR(INDEX(AV$10:AV$11,Предпосылки!$I$202,),0))*IFERROR(INDEX(AV$10:AV$11,Предпосылки!$I$202,),0),AV71/(1+IFERROR(INDEX(AV$10:AV$11,Предпосылки!$I$203,),0))*IFERROR(INDEX(AV$10:AV$11,Предпосылки!$I$203,),0),AV94/(1+IFERROR(INDEX(AV$10:AV$11,Предпосылки!$I$204,),0))*IFERROR(INDEX(AV$10:AV$11,Предпосылки!$I$204,),0),AV117/(1+IFERROR(INDEX(AV$10:AV$11,Предпосылки!$I$205,),0))*IFERROR(INDEX(AV$10:AV$11,Предпосылки!$I$205,),0),AV140/(1+IFERROR(INDEX(AV$10:AV$11,Предпосылки!$I$206,),0))*IFERROR(INDEX(AV$10:AV$11,Предпосылки!$I$206,),0),AV163/(1+IFERROR(INDEX(AV$10:AV$11,Предпосылки!$I$207,),0))*IFERROR(INDEX(AV$10:AV$11,Предпосылки!$I$207,),0),AV186/(1+IFERROR(INDEX(AV$10:AV$11,Предпосылки!$I$208,),0))*IFERROR(INDEX(AV$10:AV$11,Предпосылки!$I$208,),0),AV209/(1+IFERROR(INDEX(AV$10:AV$11,Предпосылки!$I$209,),0))*IFERROR(INDEX(AV$10:AV$11,Предпосылки!$I$209,),0),AV232/(1+IFERROR(INDEX(AV$10:AV$11,Предпосылки!$I$210,),0))*IFERROR(INDEX(AV$10:AV$11,Предпосылки!$I$210,),0),AV255/(1+IFERROR(INDEX(AV$10:AV$11,Предпосылки!$I$211,),0))*IFERROR(INDEX(AV$10:AV$11,Предпосылки!$I$211,),0),AV278/(1+IFERROR(INDEX(AV$10:AV$11,Предпосылки!$I$212,),0))*IFERROR(INDEX(AV$10:AV$11,Предпосылки!$I$212,),0),AV301/(1+IFERROR(INDEX(AV$10:AV$11,Предпосылки!$I$213,),0))*IFERROR(INDEX(AV$10:AV$11,Предпосылки!$I$213,),0),AV324/(1+IFERROR(INDEX(AV$10:AV$11,Предпосылки!$I$214,),0))*IFERROR(INDEX(AV$10:AV$11,Предпосылки!$I$214,),0),AV347/(1+IFERROR(INDEX(AV$10:AV$11,Предпосылки!$I$215,),0))*IFERROR(INDEX(AV$10:AV$11,Предпосылки!$I$215,),0),AV370/(1+IFERROR(INDEX(AV$10:AV$11,Предпосылки!$I$216,),0))*IFERROR(INDEX(AV$10:AV$11,Предпосылки!$I$216,),0),AV393/(1+IFERROR(INDEX(AV$10:AV$11,Предпосылки!$I$217,),0))*IFERROR(INDEX(AV$10:AV$11,Предпосылки!$I$217,),0),AV416/(1+IFERROR(INDEX(AV$10:AV$11,Предпосылки!$I$218,),0))*IFERROR(INDEX(AV$10:AV$11,Предпосылки!$I$218,),0),AV439/(1+IFERROR(INDEX(AV$10:AV$11,Предпосылки!$I$219,),0))*IFERROR(INDEX(AV$10:AV$11,Предпосылки!$I$219,),0),AV462/(1+IFERROR(INDEX(AV$10:AV$11,Предпосылки!$I$220,),0))*IFERROR(INDEX(AV$10:AV$11,Предпосылки!$I$220,),0))</f>
        <v>0</v>
      </c>
      <c s="125">
        <f>SUM(AW25/(1+IFERROR(INDEX(AW$10:AW$11,Предпосылки!$I$201,),0))*IFERROR(INDEX(AW$10:AW$11,Предпосылки!$I$201,),0),AW48/(1+IFERROR(INDEX(AW$10:AW$11,Предпосылки!$I$202,),0))*IFERROR(INDEX(AW$10:AW$11,Предпосылки!$I$202,),0),AW71/(1+IFERROR(INDEX(AW$10:AW$11,Предпосылки!$I$203,),0))*IFERROR(INDEX(AW$10:AW$11,Предпосылки!$I$203,),0),AW94/(1+IFERROR(INDEX(AW$10:AW$11,Предпосылки!$I$204,),0))*IFERROR(INDEX(AW$10:AW$11,Предпосылки!$I$204,),0),AW117/(1+IFERROR(INDEX(AW$10:AW$11,Предпосылки!$I$205,),0))*IFERROR(INDEX(AW$10:AW$11,Предпосылки!$I$205,),0),AW140/(1+IFERROR(INDEX(AW$10:AW$11,Предпосылки!$I$206,),0))*IFERROR(INDEX(AW$10:AW$11,Предпосылки!$I$206,),0),AW163/(1+IFERROR(INDEX(AW$10:AW$11,Предпосылки!$I$207,),0))*IFERROR(INDEX(AW$10:AW$11,Предпосылки!$I$207,),0),AW186/(1+IFERROR(INDEX(AW$10:AW$11,Предпосылки!$I$208,),0))*IFERROR(INDEX(AW$10:AW$11,Предпосылки!$I$208,),0),AW209/(1+IFERROR(INDEX(AW$10:AW$11,Предпосылки!$I$209,),0))*IFERROR(INDEX(AW$10:AW$11,Предпосылки!$I$209,),0),AW232/(1+IFERROR(INDEX(AW$10:AW$11,Предпосылки!$I$210,),0))*IFERROR(INDEX(AW$10:AW$11,Предпосылки!$I$210,),0),AW255/(1+IFERROR(INDEX(AW$10:AW$11,Предпосылки!$I$211,),0))*IFERROR(INDEX(AW$10:AW$11,Предпосылки!$I$211,),0),AW278/(1+IFERROR(INDEX(AW$10:AW$11,Предпосылки!$I$212,),0))*IFERROR(INDEX(AW$10:AW$11,Предпосылки!$I$212,),0),AW301/(1+IFERROR(INDEX(AW$10:AW$11,Предпосылки!$I$213,),0))*IFERROR(INDEX(AW$10:AW$11,Предпосылки!$I$213,),0),AW324/(1+IFERROR(INDEX(AW$10:AW$11,Предпосылки!$I$214,),0))*IFERROR(INDEX(AW$10:AW$11,Предпосылки!$I$214,),0),AW347/(1+IFERROR(INDEX(AW$10:AW$11,Предпосылки!$I$215,),0))*IFERROR(INDEX(AW$10:AW$11,Предпосылки!$I$215,),0),AW370/(1+IFERROR(INDEX(AW$10:AW$11,Предпосылки!$I$216,),0))*IFERROR(INDEX(AW$10:AW$11,Предпосылки!$I$216,),0),AW393/(1+IFERROR(INDEX(AW$10:AW$11,Предпосылки!$I$217,),0))*IFERROR(INDEX(AW$10:AW$11,Предпосылки!$I$217,),0),AW416/(1+IFERROR(INDEX(AW$10:AW$11,Предпосылки!$I$218,),0))*IFERROR(INDEX(AW$10:AW$11,Предпосылки!$I$218,),0),AW439/(1+IFERROR(INDEX(AW$10:AW$11,Предпосылки!$I$219,),0))*IFERROR(INDEX(AW$10:AW$11,Предпосылки!$I$219,),0),AW462/(1+IFERROR(INDEX(AW$10:AW$11,Предпосылки!$I$220,),0))*IFERROR(INDEX(AW$10:AW$11,Предпосылки!$I$220,),0))</f>
        <v>0</v>
      </c>
      <c s="125">
        <f>SUM(AX25/(1+IFERROR(INDEX(AX$10:AX$11,Предпосылки!$I$201,),0))*IFERROR(INDEX(AX$10:AX$11,Предпосылки!$I$201,),0),AX48/(1+IFERROR(INDEX(AX$10:AX$11,Предпосылки!$I$202,),0))*IFERROR(INDEX(AX$10:AX$11,Предпосылки!$I$202,),0),AX71/(1+IFERROR(INDEX(AX$10:AX$11,Предпосылки!$I$203,),0))*IFERROR(INDEX(AX$10:AX$11,Предпосылки!$I$203,),0),AX94/(1+IFERROR(INDEX(AX$10:AX$11,Предпосылки!$I$204,),0))*IFERROR(INDEX(AX$10:AX$11,Предпосылки!$I$204,),0),AX117/(1+IFERROR(INDEX(AX$10:AX$11,Предпосылки!$I$205,),0))*IFERROR(INDEX(AX$10:AX$11,Предпосылки!$I$205,),0),AX140/(1+IFERROR(INDEX(AX$10:AX$11,Предпосылки!$I$206,),0))*IFERROR(INDEX(AX$10:AX$11,Предпосылки!$I$206,),0),AX163/(1+IFERROR(INDEX(AX$10:AX$11,Предпосылки!$I$207,),0))*IFERROR(INDEX(AX$10:AX$11,Предпосылки!$I$207,),0),AX186/(1+IFERROR(INDEX(AX$10:AX$11,Предпосылки!$I$208,),0))*IFERROR(INDEX(AX$10:AX$11,Предпосылки!$I$208,),0),AX209/(1+IFERROR(INDEX(AX$10:AX$11,Предпосылки!$I$209,),0))*IFERROR(INDEX(AX$10:AX$11,Предпосылки!$I$209,),0),AX232/(1+IFERROR(INDEX(AX$10:AX$11,Предпосылки!$I$210,),0))*IFERROR(INDEX(AX$10:AX$11,Предпосылки!$I$210,),0),AX255/(1+IFERROR(INDEX(AX$10:AX$11,Предпосылки!$I$211,),0))*IFERROR(INDEX(AX$10:AX$11,Предпосылки!$I$211,),0),AX278/(1+IFERROR(INDEX(AX$10:AX$11,Предпосылки!$I$212,),0))*IFERROR(INDEX(AX$10:AX$11,Предпосылки!$I$212,),0),AX301/(1+IFERROR(INDEX(AX$10:AX$11,Предпосылки!$I$213,),0))*IFERROR(INDEX(AX$10:AX$11,Предпосылки!$I$213,),0),AX324/(1+IFERROR(INDEX(AX$10:AX$11,Предпосылки!$I$214,),0))*IFERROR(INDEX(AX$10:AX$11,Предпосылки!$I$214,),0),AX347/(1+IFERROR(INDEX(AX$10:AX$11,Предпосылки!$I$215,),0))*IFERROR(INDEX(AX$10:AX$11,Предпосылки!$I$215,),0),AX370/(1+IFERROR(INDEX(AX$10:AX$11,Предпосылки!$I$216,),0))*IFERROR(INDEX(AX$10:AX$11,Предпосылки!$I$216,),0),AX393/(1+IFERROR(INDEX(AX$10:AX$11,Предпосылки!$I$217,),0))*IFERROR(INDEX(AX$10:AX$11,Предпосылки!$I$217,),0),AX416/(1+IFERROR(INDEX(AX$10:AX$11,Предпосылки!$I$218,),0))*IFERROR(INDEX(AX$10:AX$11,Предпосылки!$I$218,),0),AX439/(1+IFERROR(INDEX(AX$10:AX$11,Предпосылки!$I$219,),0))*IFERROR(INDEX(AX$10:AX$11,Предпосылки!$I$219,),0),AX462/(1+IFERROR(INDEX(AX$10:AX$11,Предпосылки!$I$220,),0))*IFERROR(INDEX(AX$10:AX$11,Предпосылки!$I$220,),0))</f>
        <v>0</v>
      </c>
      <c s="125">
        <f>SUM(AY25/(1+IFERROR(INDEX(AY$10:AY$11,Предпосылки!$I$201,),0))*IFERROR(INDEX(AY$10:AY$11,Предпосылки!$I$201,),0),AY48/(1+IFERROR(INDEX(AY$10:AY$11,Предпосылки!$I$202,),0))*IFERROR(INDEX(AY$10:AY$11,Предпосылки!$I$202,),0),AY71/(1+IFERROR(INDEX(AY$10:AY$11,Предпосылки!$I$203,),0))*IFERROR(INDEX(AY$10:AY$11,Предпосылки!$I$203,),0),AY94/(1+IFERROR(INDEX(AY$10:AY$11,Предпосылки!$I$204,),0))*IFERROR(INDEX(AY$10:AY$11,Предпосылки!$I$204,),0),AY117/(1+IFERROR(INDEX(AY$10:AY$11,Предпосылки!$I$205,),0))*IFERROR(INDEX(AY$10:AY$11,Предпосылки!$I$205,),0),AY140/(1+IFERROR(INDEX(AY$10:AY$11,Предпосылки!$I$206,),0))*IFERROR(INDEX(AY$10:AY$11,Предпосылки!$I$206,),0),AY163/(1+IFERROR(INDEX(AY$10:AY$11,Предпосылки!$I$207,),0))*IFERROR(INDEX(AY$10:AY$11,Предпосылки!$I$207,),0),AY186/(1+IFERROR(INDEX(AY$10:AY$11,Предпосылки!$I$208,),0))*IFERROR(INDEX(AY$10:AY$11,Предпосылки!$I$208,),0),AY209/(1+IFERROR(INDEX(AY$10:AY$11,Предпосылки!$I$209,),0))*IFERROR(INDEX(AY$10:AY$11,Предпосылки!$I$209,),0),AY232/(1+IFERROR(INDEX(AY$10:AY$11,Предпосылки!$I$210,),0))*IFERROR(INDEX(AY$10:AY$11,Предпосылки!$I$210,),0),AY255/(1+IFERROR(INDEX(AY$10:AY$11,Предпосылки!$I$211,),0))*IFERROR(INDEX(AY$10:AY$11,Предпосылки!$I$211,),0),AY278/(1+IFERROR(INDEX(AY$10:AY$11,Предпосылки!$I$212,),0))*IFERROR(INDEX(AY$10:AY$11,Предпосылки!$I$212,),0),AY301/(1+IFERROR(INDEX(AY$10:AY$11,Предпосылки!$I$213,),0))*IFERROR(INDEX(AY$10:AY$11,Предпосылки!$I$213,),0),AY324/(1+IFERROR(INDEX(AY$10:AY$11,Предпосылки!$I$214,),0))*IFERROR(INDEX(AY$10:AY$11,Предпосылки!$I$214,),0),AY347/(1+IFERROR(INDEX(AY$10:AY$11,Предпосылки!$I$215,),0))*IFERROR(INDEX(AY$10:AY$11,Предпосылки!$I$215,),0),AY370/(1+IFERROR(INDEX(AY$10:AY$11,Предпосылки!$I$216,),0))*IFERROR(INDEX(AY$10:AY$11,Предпосылки!$I$216,),0),AY393/(1+IFERROR(INDEX(AY$10:AY$11,Предпосылки!$I$217,),0))*IFERROR(INDEX(AY$10:AY$11,Предпосылки!$I$217,),0),AY416/(1+IFERROR(INDEX(AY$10:AY$11,Предпосылки!$I$218,),0))*IFERROR(INDEX(AY$10:AY$11,Предпосылки!$I$218,),0),AY439/(1+IFERROR(INDEX(AY$10:AY$11,Предпосылки!$I$219,),0))*IFERROR(INDEX(AY$10:AY$11,Предпосылки!$I$219,),0),AY462/(1+IFERROR(INDEX(AY$10:AY$11,Предпосылки!$I$220,),0))*IFERROR(INDEX(AY$10:AY$11,Предпосылки!$I$220,),0))</f>
        <v>0</v>
      </c>
      <c s="125">
        <f>SUM(AZ25/(1+IFERROR(INDEX(AZ$10:AZ$11,Предпосылки!$I$201,),0))*IFERROR(INDEX(AZ$10:AZ$11,Предпосылки!$I$201,),0),AZ48/(1+IFERROR(INDEX(AZ$10:AZ$11,Предпосылки!$I$202,),0))*IFERROR(INDEX(AZ$10:AZ$11,Предпосылки!$I$202,),0),AZ71/(1+IFERROR(INDEX(AZ$10:AZ$11,Предпосылки!$I$203,),0))*IFERROR(INDEX(AZ$10:AZ$11,Предпосылки!$I$203,),0),AZ94/(1+IFERROR(INDEX(AZ$10:AZ$11,Предпосылки!$I$204,),0))*IFERROR(INDEX(AZ$10:AZ$11,Предпосылки!$I$204,),0),AZ117/(1+IFERROR(INDEX(AZ$10:AZ$11,Предпосылки!$I$205,),0))*IFERROR(INDEX(AZ$10:AZ$11,Предпосылки!$I$205,),0),AZ140/(1+IFERROR(INDEX(AZ$10:AZ$11,Предпосылки!$I$206,),0))*IFERROR(INDEX(AZ$10:AZ$11,Предпосылки!$I$206,),0),AZ163/(1+IFERROR(INDEX(AZ$10:AZ$11,Предпосылки!$I$207,),0))*IFERROR(INDEX(AZ$10:AZ$11,Предпосылки!$I$207,),0),AZ186/(1+IFERROR(INDEX(AZ$10:AZ$11,Предпосылки!$I$208,),0))*IFERROR(INDEX(AZ$10:AZ$11,Предпосылки!$I$208,),0),AZ209/(1+IFERROR(INDEX(AZ$10:AZ$11,Предпосылки!$I$209,),0))*IFERROR(INDEX(AZ$10:AZ$11,Предпосылки!$I$209,),0),AZ232/(1+IFERROR(INDEX(AZ$10:AZ$11,Предпосылки!$I$210,),0))*IFERROR(INDEX(AZ$10:AZ$11,Предпосылки!$I$210,),0),AZ255/(1+IFERROR(INDEX(AZ$10:AZ$11,Предпосылки!$I$211,),0))*IFERROR(INDEX(AZ$10:AZ$11,Предпосылки!$I$211,),0),AZ278/(1+IFERROR(INDEX(AZ$10:AZ$11,Предпосылки!$I$212,),0))*IFERROR(INDEX(AZ$10:AZ$11,Предпосылки!$I$212,),0),AZ301/(1+IFERROR(INDEX(AZ$10:AZ$11,Предпосылки!$I$213,),0))*IFERROR(INDEX(AZ$10:AZ$11,Предпосылки!$I$213,),0),AZ324/(1+IFERROR(INDEX(AZ$10:AZ$11,Предпосылки!$I$214,),0))*IFERROR(INDEX(AZ$10:AZ$11,Предпосылки!$I$214,),0),AZ347/(1+IFERROR(INDEX(AZ$10:AZ$11,Предпосылки!$I$215,),0))*IFERROR(INDEX(AZ$10:AZ$11,Предпосылки!$I$215,),0),AZ370/(1+IFERROR(INDEX(AZ$10:AZ$11,Предпосылки!$I$216,),0))*IFERROR(INDEX(AZ$10:AZ$11,Предпосылки!$I$216,),0),AZ393/(1+IFERROR(INDEX(AZ$10:AZ$11,Предпосылки!$I$217,),0))*IFERROR(INDEX(AZ$10:AZ$11,Предпосылки!$I$217,),0),AZ416/(1+IFERROR(INDEX(AZ$10:AZ$11,Предпосылки!$I$218,),0))*IFERROR(INDEX(AZ$10:AZ$11,Предпосылки!$I$218,),0),AZ439/(1+IFERROR(INDEX(AZ$10:AZ$11,Предпосылки!$I$219,),0))*IFERROR(INDEX(AZ$10:AZ$11,Предпосылки!$I$219,),0),AZ462/(1+IFERROR(INDEX(AZ$10:AZ$11,Предпосылки!$I$220,),0))*IFERROR(INDEX(AZ$10:AZ$11,Предпосылки!$I$220,),0))</f>
        <v>0</v>
      </c>
      <c s="125">
        <f>SUM(BA25/(1+IFERROR(INDEX(BA$10:BA$11,Предпосылки!$I$201,),0))*IFERROR(INDEX(BA$10:BA$11,Предпосылки!$I$201,),0),BA48/(1+IFERROR(INDEX(BA$10:BA$11,Предпосылки!$I$202,),0))*IFERROR(INDEX(BA$10:BA$11,Предпосылки!$I$202,),0),BA71/(1+IFERROR(INDEX(BA$10:BA$11,Предпосылки!$I$203,),0))*IFERROR(INDEX(BA$10:BA$11,Предпосылки!$I$203,),0),BA94/(1+IFERROR(INDEX(BA$10:BA$11,Предпосылки!$I$204,),0))*IFERROR(INDEX(BA$10:BA$11,Предпосылки!$I$204,),0),BA117/(1+IFERROR(INDEX(BA$10:BA$11,Предпосылки!$I$205,),0))*IFERROR(INDEX(BA$10:BA$11,Предпосылки!$I$205,),0),BA140/(1+IFERROR(INDEX(BA$10:BA$11,Предпосылки!$I$206,),0))*IFERROR(INDEX(BA$10:BA$11,Предпосылки!$I$206,),0),BA163/(1+IFERROR(INDEX(BA$10:BA$11,Предпосылки!$I$207,),0))*IFERROR(INDEX(BA$10:BA$11,Предпосылки!$I$207,),0),BA186/(1+IFERROR(INDEX(BA$10:BA$11,Предпосылки!$I$208,),0))*IFERROR(INDEX(BA$10:BA$11,Предпосылки!$I$208,),0),BA209/(1+IFERROR(INDEX(BA$10:BA$11,Предпосылки!$I$209,),0))*IFERROR(INDEX(BA$10:BA$11,Предпосылки!$I$209,),0),BA232/(1+IFERROR(INDEX(BA$10:BA$11,Предпосылки!$I$210,),0))*IFERROR(INDEX(BA$10:BA$11,Предпосылки!$I$210,),0),BA255/(1+IFERROR(INDEX(BA$10:BA$11,Предпосылки!$I$211,),0))*IFERROR(INDEX(BA$10:BA$11,Предпосылки!$I$211,),0),BA278/(1+IFERROR(INDEX(BA$10:BA$11,Предпосылки!$I$212,),0))*IFERROR(INDEX(BA$10:BA$11,Предпосылки!$I$212,),0),BA301/(1+IFERROR(INDEX(BA$10:BA$11,Предпосылки!$I$213,),0))*IFERROR(INDEX(BA$10:BA$11,Предпосылки!$I$213,),0),BA324/(1+IFERROR(INDEX(BA$10:BA$11,Предпосылки!$I$214,),0))*IFERROR(INDEX(BA$10:BA$11,Предпосылки!$I$214,),0),BA347/(1+IFERROR(INDEX(BA$10:BA$11,Предпосылки!$I$215,),0))*IFERROR(INDEX(BA$10:BA$11,Предпосылки!$I$215,),0),BA370/(1+IFERROR(INDEX(BA$10:BA$11,Предпосылки!$I$216,),0))*IFERROR(INDEX(BA$10:BA$11,Предпосылки!$I$216,),0),BA393/(1+IFERROR(INDEX(BA$10:BA$11,Предпосылки!$I$217,),0))*IFERROR(INDEX(BA$10:BA$11,Предпосылки!$I$217,),0),BA416/(1+IFERROR(INDEX(BA$10:BA$11,Предпосылки!$I$218,),0))*IFERROR(INDEX(BA$10:BA$11,Предпосылки!$I$218,),0),BA439/(1+IFERROR(INDEX(BA$10:BA$11,Предпосылки!$I$219,),0))*IFERROR(INDEX(BA$10:BA$11,Предпосылки!$I$219,),0),BA462/(1+IFERROR(INDEX(BA$10:BA$11,Предпосылки!$I$220,),0))*IFERROR(INDEX(BA$10:BA$11,Предпосылки!$I$220,),0))</f>
        <v>0</v>
      </c>
      <c s="125">
        <f>SUM(BB25/(1+IFERROR(INDEX(BB$10:BB$11,Предпосылки!$I$201,),0))*IFERROR(INDEX(BB$10:BB$11,Предпосылки!$I$201,),0),BB48/(1+IFERROR(INDEX(BB$10:BB$11,Предпосылки!$I$202,),0))*IFERROR(INDEX(BB$10:BB$11,Предпосылки!$I$202,),0),BB71/(1+IFERROR(INDEX(BB$10:BB$11,Предпосылки!$I$203,),0))*IFERROR(INDEX(BB$10:BB$11,Предпосылки!$I$203,),0),BB94/(1+IFERROR(INDEX(BB$10:BB$11,Предпосылки!$I$204,),0))*IFERROR(INDEX(BB$10:BB$11,Предпосылки!$I$204,),0),BB117/(1+IFERROR(INDEX(BB$10:BB$11,Предпосылки!$I$205,),0))*IFERROR(INDEX(BB$10:BB$11,Предпосылки!$I$205,),0),BB140/(1+IFERROR(INDEX(BB$10:BB$11,Предпосылки!$I$206,),0))*IFERROR(INDEX(BB$10:BB$11,Предпосылки!$I$206,),0),BB163/(1+IFERROR(INDEX(BB$10:BB$11,Предпосылки!$I$207,),0))*IFERROR(INDEX(BB$10:BB$11,Предпосылки!$I$207,),0),BB186/(1+IFERROR(INDEX(BB$10:BB$11,Предпосылки!$I$208,),0))*IFERROR(INDEX(BB$10:BB$11,Предпосылки!$I$208,),0),BB209/(1+IFERROR(INDEX(BB$10:BB$11,Предпосылки!$I$209,),0))*IFERROR(INDEX(BB$10:BB$11,Предпосылки!$I$209,),0),BB232/(1+IFERROR(INDEX(BB$10:BB$11,Предпосылки!$I$210,),0))*IFERROR(INDEX(BB$10:BB$11,Предпосылки!$I$210,),0),BB255/(1+IFERROR(INDEX(BB$10:BB$11,Предпосылки!$I$211,),0))*IFERROR(INDEX(BB$10:BB$11,Предпосылки!$I$211,),0),BB278/(1+IFERROR(INDEX(BB$10:BB$11,Предпосылки!$I$212,),0))*IFERROR(INDEX(BB$10:BB$11,Предпосылки!$I$212,),0),BB301/(1+IFERROR(INDEX(BB$10:BB$11,Предпосылки!$I$213,),0))*IFERROR(INDEX(BB$10:BB$11,Предпосылки!$I$213,),0),BB324/(1+IFERROR(INDEX(BB$10:BB$11,Предпосылки!$I$214,),0))*IFERROR(INDEX(BB$10:BB$11,Предпосылки!$I$214,),0),BB347/(1+IFERROR(INDEX(BB$10:BB$11,Предпосылки!$I$215,),0))*IFERROR(INDEX(BB$10:BB$11,Предпосылки!$I$215,),0),BB370/(1+IFERROR(INDEX(BB$10:BB$11,Предпосылки!$I$216,),0))*IFERROR(INDEX(BB$10:BB$11,Предпосылки!$I$216,),0),BB393/(1+IFERROR(INDEX(BB$10:BB$11,Предпосылки!$I$217,),0))*IFERROR(INDEX(BB$10:BB$11,Предпосылки!$I$217,),0),BB416/(1+IFERROR(INDEX(BB$10:BB$11,Предпосылки!$I$218,),0))*IFERROR(INDEX(BB$10:BB$11,Предпосылки!$I$218,),0),BB439/(1+IFERROR(INDEX(BB$10:BB$11,Предпосылки!$I$219,),0))*IFERROR(INDEX(BB$10:BB$11,Предпосылки!$I$219,),0),BB462/(1+IFERROR(INDEX(BB$10:BB$11,Предпосылки!$I$220,),0))*IFERROR(INDEX(BB$10:BB$11,Предпосылки!$I$220,),0))</f>
        <v>0</v>
      </c>
      <c s="125">
        <f>SUM(BC25/(1+IFERROR(INDEX(BC$10:BC$11,Предпосылки!$I$201,),0))*IFERROR(INDEX(BC$10:BC$11,Предпосылки!$I$201,),0),BC48/(1+IFERROR(INDEX(BC$10:BC$11,Предпосылки!$I$202,),0))*IFERROR(INDEX(BC$10:BC$11,Предпосылки!$I$202,),0),BC71/(1+IFERROR(INDEX(BC$10:BC$11,Предпосылки!$I$203,),0))*IFERROR(INDEX(BC$10:BC$11,Предпосылки!$I$203,),0),BC94/(1+IFERROR(INDEX(BC$10:BC$11,Предпосылки!$I$204,),0))*IFERROR(INDEX(BC$10:BC$11,Предпосылки!$I$204,),0),BC117/(1+IFERROR(INDEX(BC$10:BC$11,Предпосылки!$I$205,),0))*IFERROR(INDEX(BC$10:BC$11,Предпосылки!$I$205,),0),BC140/(1+IFERROR(INDEX(BC$10:BC$11,Предпосылки!$I$206,),0))*IFERROR(INDEX(BC$10:BC$11,Предпосылки!$I$206,),0),BC163/(1+IFERROR(INDEX(BC$10:BC$11,Предпосылки!$I$207,),0))*IFERROR(INDEX(BC$10:BC$11,Предпосылки!$I$207,),0),BC186/(1+IFERROR(INDEX(BC$10:BC$11,Предпосылки!$I$208,),0))*IFERROR(INDEX(BC$10:BC$11,Предпосылки!$I$208,),0),BC209/(1+IFERROR(INDEX(BC$10:BC$11,Предпосылки!$I$209,),0))*IFERROR(INDEX(BC$10:BC$11,Предпосылки!$I$209,),0),BC232/(1+IFERROR(INDEX(BC$10:BC$11,Предпосылки!$I$210,),0))*IFERROR(INDEX(BC$10:BC$11,Предпосылки!$I$210,),0),BC255/(1+IFERROR(INDEX(BC$10:BC$11,Предпосылки!$I$211,),0))*IFERROR(INDEX(BC$10:BC$11,Предпосылки!$I$211,),0),BC278/(1+IFERROR(INDEX(BC$10:BC$11,Предпосылки!$I$212,),0))*IFERROR(INDEX(BC$10:BC$11,Предпосылки!$I$212,),0),BC301/(1+IFERROR(INDEX(BC$10:BC$11,Предпосылки!$I$213,),0))*IFERROR(INDEX(BC$10:BC$11,Предпосылки!$I$213,),0),BC324/(1+IFERROR(INDEX(BC$10:BC$11,Предпосылки!$I$214,),0))*IFERROR(INDEX(BC$10:BC$11,Предпосылки!$I$214,),0),BC347/(1+IFERROR(INDEX(BC$10:BC$11,Предпосылки!$I$215,),0))*IFERROR(INDEX(BC$10:BC$11,Предпосылки!$I$215,),0),BC370/(1+IFERROR(INDEX(BC$10:BC$11,Предпосылки!$I$216,),0))*IFERROR(INDEX(BC$10:BC$11,Предпосылки!$I$216,),0),BC393/(1+IFERROR(INDEX(BC$10:BC$11,Предпосылки!$I$217,),0))*IFERROR(INDEX(BC$10:BC$11,Предпосылки!$I$217,),0),BC416/(1+IFERROR(INDEX(BC$10:BC$11,Предпосылки!$I$218,),0))*IFERROR(INDEX(BC$10:BC$11,Предпосылки!$I$218,),0),BC439/(1+IFERROR(INDEX(BC$10:BC$11,Предпосылки!$I$219,),0))*IFERROR(INDEX(BC$10:BC$11,Предпосылки!$I$219,),0),BC462/(1+IFERROR(INDEX(BC$10:BC$11,Предпосылки!$I$220,),0))*IFERROR(INDEX(BC$10:BC$11,Предпосылки!$I$220,),0))</f>
        <v>0</v>
      </c>
      <c s="125">
        <f>SUM(BD25/(1+IFERROR(INDEX(BD$10:BD$11,Предпосылки!$I$201,),0))*IFERROR(INDEX(BD$10:BD$11,Предпосылки!$I$201,),0),BD48/(1+IFERROR(INDEX(BD$10:BD$11,Предпосылки!$I$202,),0))*IFERROR(INDEX(BD$10:BD$11,Предпосылки!$I$202,),0),BD71/(1+IFERROR(INDEX(BD$10:BD$11,Предпосылки!$I$203,),0))*IFERROR(INDEX(BD$10:BD$11,Предпосылки!$I$203,),0),BD94/(1+IFERROR(INDEX(BD$10:BD$11,Предпосылки!$I$204,),0))*IFERROR(INDEX(BD$10:BD$11,Предпосылки!$I$204,),0),BD117/(1+IFERROR(INDEX(BD$10:BD$11,Предпосылки!$I$205,),0))*IFERROR(INDEX(BD$10:BD$11,Предпосылки!$I$205,),0),BD140/(1+IFERROR(INDEX(BD$10:BD$11,Предпосылки!$I$206,),0))*IFERROR(INDEX(BD$10:BD$11,Предпосылки!$I$206,),0),BD163/(1+IFERROR(INDEX(BD$10:BD$11,Предпосылки!$I$207,),0))*IFERROR(INDEX(BD$10:BD$11,Предпосылки!$I$207,),0),BD186/(1+IFERROR(INDEX(BD$10:BD$11,Предпосылки!$I$208,),0))*IFERROR(INDEX(BD$10:BD$11,Предпосылки!$I$208,),0),BD209/(1+IFERROR(INDEX(BD$10:BD$11,Предпосылки!$I$209,),0))*IFERROR(INDEX(BD$10:BD$11,Предпосылки!$I$209,),0),BD232/(1+IFERROR(INDEX(BD$10:BD$11,Предпосылки!$I$210,),0))*IFERROR(INDEX(BD$10:BD$11,Предпосылки!$I$210,),0),BD255/(1+IFERROR(INDEX(BD$10:BD$11,Предпосылки!$I$211,),0))*IFERROR(INDEX(BD$10:BD$11,Предпосылки!$I$211,),0),BD278/(1+IFERROR(INDEX(BD$10:BD$11,Предпосылки!$I$212,),0))*IFERROR(INDEX(BD$10:BD$11,Предпосылки!$I$212,),0),BD301/(1+IFERROR(INDEX(BD$10:BD$11,Предпосылки!$I$213,),0))*IFERROR(INDEX(BD$10:BD$11,Предпосылки!$I$213,),0),BD324/(1+IFERROR(INDEX(BD$10:BD$11,Предпосылки!$I$214,),0))*IFERROR(INDEX(BD$10:BD$11,Предпосылки!$I$214,),0),BD347/(1+IFERROR(INDEX(BD$10:BD$11,Предпосылки!$I$215,),0))*IFERROR(INDEX(BD$10:BD$11,Предпосылки!$I$215,),0),BD370/(1+IFERROR(INDEX(BD$10:BD$11,Предпосылки!$I$216,),0))*IFERROR(INDEX(BD$10:BD$11,Предпосылки!$I$216,),0),BD393/(1+IFERROR(INDEX(BD$10:BD$11,Предпосылки!$I$217,),0))*IFERROR(INDEX(BD$10:BD$11,Предпосылки!$I$217,),0),BD416/(1+IFERROR(INDEX(BD$10:BD$11,Предпосылки!$I$218,),0))*IFERROR(INDEX(BD$10:BD$11,Предпосылки!$I$218,),0),BD439/(1+IFERROR(INDEX(BD$10:BD$11,Предпосылки!$I$219,),0))*IFERROR(INDEX(BD$10:BD$11,Предпосылки!$I$219,),0),BD462/(1+IFERROR(INDEX(BD$10:BD$11,Предпосылки!$I$220,),0))*IFERROR(INDEX(BD$10:BD$11,Предпосылки!$I$220,),0))</f>
        <v>0</v>
      </c>
      <c s="125">
        <f>SUM(BE25/(1+IFERROR(INDEX(BE$10:BE$11,Предпосылки!$I$201,),0))*IFERROR(INDEX(BE$10:BE$11,Предпосылки!$I$201,),0),BE48/(1+IFERROR(INDEX(BE$10:BE$11,Предпосылки!$I$202,),0))*IFERROR(INDEX(BE$10:BE$11,Предпосылки!$I$202,),0),BE71/(1+IFERROR(INDEX(BE$10:BE$11,Предпосылки!$I$203,),0))*IFERROR(INDEX(BE$10:BE$11,Предпосылки!$I$203,),0),BE94/(1+IFERROR(INDEX(BE$10:BE$11,Предпосылки!$I$204,),0))*IFERROR(INDEX(BE$10:BE$11,Предпосылки!$I$204,),0),BE117/(1+IFERROR(INDEX(BE$10:BE$11,Предпосылки!$I$205,),0))*IFERROR(INDEX(BE$10:BE$11,Предпосылки!$I$205,),0),BE140/(1+IFERROR(INDEX(BE$10:BE$11,Предпосылки!$I$206,),0))*IFERROR(INDEX(BE$10:BE$11,Предпосылки!$I$206,),0),BE163/(1+IFERROR(INDEX(BE$10:BE$11,Предпосылки!$I$207,),0))*IFERROR(INDEX(BE$10:BE$11,Предпосылки!$I$207,),0),BE186/(1+IFERROR(INDEX(BE$10:BE$11,Предпосылки!$I$208,),0))*IFERROR(INDEX(BE$10:BE$11,Предпосылки!$I$208,),0),BE209/(1+IFERROR(INDEX(BE$10:BE$11,Предпосылки!$I$209,),0))*IFERROR(INDEX(BE$10:BE$11,Предпосылки!$I$209,),0),BE232/(1+IFERROR(INDEX(BE$10:BE$11,Предпосылки!$I$210,),0))*IFERROR(INDEX(BE$10:BE$11,Предпосылки!$I$210,),0),BE255/(1+IFERROR(INDEX(BE$10:BE$11,Предпосылки!$I$211,),0))*IFERROR(INDEX(BE$10:BE$11,Предпосылки!$I$211,),0),BE278/(1+IFERROR(INDEX(BE$10:BE$11,Предпосылки!$I$212,),0))*IFERROR(INDEX(BE$10:BE$11,Предпосылки!$I$212,),0),BE301/(1+IFERROR(INDEX(BE$10:BE$11,Предпосылки!$I$213,),0))*IFERROR(INDEX(BE$10:BE$11,Предпосылки!$I$213,),0),BE324/(1+IFERROR(INDEX(BE$10:BE$11,Предпосылки!$I$214,),0))*IFERROR(INDEX(BE$10:BE$11,Предпосылки!$I$214,),0),BE347/(1+IFERROR(INDEX(BE$10:BE$11,Предпосылки!$I$215,),0))*IFERROR(INDEX(BE$10:BE$11,Предпосылки!$I$215,),0),BE370/(1+IFERROR(INDEX(BE$10:BE$11,Предпосылки!$I$216,),0))*IFERROR(INDEX(BE$10:BE$11,Предпосылки!$I$216,),0),BE393/(1+IFERROR(INDEX(BE$10:BE$11,Предпосылки!$I$217,),0))*IFERROR(INDEX(BE$10:BE$11,Предпосылки!$I$217,),0),BE416/(1+IFERROR(INDEX(BE$10:BE$11,Предпосылки!$I$218,),0))*IFERROR(INDEX(BE$10:BE$11,Предпосылки!$I$218,),0),BE439/(1+IFERROR(INDEX(BE$10:BE$11,Предпосылки!$I$219,),0))*IFERROR(INDEX(BE$10:BE$11,Предпосылки!$I$219,),0),BE462/(1+IFERROR(INDEX(BE$10:BE$11,Предпосылки!$I$220,),0))*IFERROR(INDEX(BE$10:BE$11,Предпосылки!$I$220,),0))</f>
        <v>0</v>
      </c>
      <c s="125">
        <f>SUM(BF25/(1+IFERROR(INDEX(BF$10:BF$11,Предпосылки!$I$201,),0))*IFERROR(INDEX(BF$10:BF$11,Предпосылки!$I$201,),0),BF48/(1+IFERROR(INDEX(BF$10:BF$11,Предпосылки!$I$202,),0))*IFERROR(INDEX(BF$10:BF$11,Предпосылки!$I$202,),0),BF71/(1+IFERROR(INDEX(BF$10:BF$11,Предпосылки!$I$203,),0))*IFERROR(INDEX(BF$10:BF$11,Предпосылки!$I$203,),0),BF94/(1+IFERROR(INDEX(BF$10:BF$11,Предпосылки!$I$204,),0))*IFERROR(INDEX(BF$10:BF$11,Предпосылки!$I$204,),0),BF117/(1+IFERROR(INDEX(BF$10:BF$11,Предпосылки!$I$205,),0))*IFERROR(INDEX(BF$10:BF$11,Предпосылки!$I$205,),0),BF140/(1+IFERROR(INDEX(BF$10:BF$11,Предпосылки!$I$206,),0))*IFERROR(INDEX(BF$10:BF$11,Предпосылки!$I$206,),0),BF163/(1+IFERROR(INDEX(BF$10:BF$11,Предпосылки!$I$207,),0))*IFERROR(INDEX(BF$10:BF$11,Предпосылки!$I$207,),0),BF186/(1+IFERROR(INDEX(BF$10:BF$11,Предпосылки!$I$208,),0))*IFERROR(INDEX(BF$10:BF$11,Предпосылки!$I$208,),0),BF209/(1+IFERROR(INDEX(BF$10:BF$11,Предпосылки!$I$209,),0))*IFERROR(INDEX(BF$10:BF$11,Предпосылки!$I$209,),0),BF232/(1+IFERROR(INDEX(BF$10:BF$11,Предпосылки!$I$210,),0))*IFERROR(INDEX(BF$10:BF$11,Предпосылки!$I$210,),0),BF255/(1+IFERROR(INDEX(BF$10:BF$11,Предпосылки!$I$211,),0))*IFERROR(INDEX(BF$10:BF$11,Предпосылки!$I$211,),0),BF278/(1+IFERROR(INDEX(BF$10:BF$11,Предпосылки!$I$212,),0))*IFERROR(INDEX(BF$10:BF$11,Предпосылки!$I$212,),0),BF301/(1+IFERROR(INDEX(BF$10:BF$11,Предпосылки!$I$213,),0))*IFERROR(INDEX(BF$10:BF$11,Предпосылки!$I$213,),0),BF324/(1+IFERROR(INDEX(BF$10:BF$11,Предпосылки!$I$214,),0))*IFERROR(INDEX(BF$10:BF$11,Предпосылки!$I$214,),0),BF347/(1+IFERROR(INDEX(BF$10:BF$11,Предпосылки!$I$215,),0))*IFERROR(INDEX(BF$10:BF$11,Предпосылки!$I$215,),0),BF370/(1+IFERROR(INDEX(BF$10:BF$11,Предпосылки!$I$216,),0))*IFERROR(INDEX(BF$10:BF$11,Предпосылки!$I$216,),0),BF393/(1+IFERROR(INDEX(BF$10:BF$11,Предпосылки!$I$217,),0))*IFERROR(INDEX(BF$10:BF$11,Предпосылки!$I$217,),0),BF416/(1+IFERROR(INDEX(BF$10:BF$11,Предпосылки!$I$218,),0))*IFERROR(INDEX(BF$10:BF$11,Предпосылки!$I$218,),0),BF439/(1+IFERROR(INDEX(BF$10:BF$11,Предпосылки!$I$219,),0))*IFERROR(INDEX(BF$10:BF$11,Предпосылки!$I$219,),0),BF462/(1+IFERROR(INDEX(BF$10:BF$11,Предпосылки!$I$220,),0))*IFERROR(INDEX(BF$10:BF$11,Предпосылки!$I$220,),0))</f>
        <v>0</v>
      </c>
      <c s="125">
        <f>SUM(BG25/(1+IFERROR(INDEX(BG$10:BG$11,Предпосылки!$I$201,),0))*IFERROR(INDEX(BG$10:BG$11,Предпосылки!$I$201,),0),BG48/(1+IFERROR(INDEX(BG$10:BG$11,Предпосылки!$I$202,),0))*IFERROR(INDEX(BG$10:BG$11,Предпосылки!$I$202,),0),BG71/(1+IFERROR(INDEX(BG$10:BG$11,Предпосылки!$I$203,),0))*IFERROR(INDEX(BG$10:BG$11,Предпосылки!$I$203,),0),BG94/(1+IFERROR(INDEX(BG$10:BG$11,Предпосылки!$I$204,),0))*IFERROR(INDEX(BG$10:BG$11,Предпосылки!$I$204,),0),BG117/(1+IFERROR(INDEX(BG$10:BG$11,Предпосылки!$I$205,),0))*IFERROR(INDEX(BG$10:BG$11,Предпосылки!$I$205,),0),BG140/(1+IFERROR(INDEX(BG$10:BG$11,Предпосылки!$I$206,),0))*IFERROR(INDEX(BG$10:BG$11,Предпосылки!$I$206,),0),BG163/(1+IFERROR(INDEX(BG$10:BG$11,Предпосылки!$I$207,),0))*IFERROR(INDEX(BG$10:BG$11,Предпосылки!$I$207,),0),BG186/(1+IFERROR(INDEX(BG$10:BG$11,Предпосылки!$I$208,),0))*IFERROR(INDEX(BG$10:BG$11,Предпосылки!$I$208,),0),BG209/(1+IFERROR(INDEX(BG$10:BG$11,Предпосылки!$I$209,),0))*IFERROR(INDEX(BG$10:BG$11,Предпосылки!$I$209,),0),BG232/(1+IFERROR(INDEX(BG$10:BG$11,Предпосылки!$I$210,),0))*IFERROR(INDEX(BG$10:BG$11,Предпосылки!$I$210,),0),BG255/(1+IFERROR(INDEX(BG$10:BG$11,Предпосылки!$I$211,),0))*IFERROR(INDEX(BG$10:BG$11,Предпосылки!$I$211,),0),BG278/(1+IFERROR(INDEX(BG$10:BG$11,Предпосылки!$I$212,),0))*IFERROR(INDEX(BG$10:BG$11,Предпосылки!$I$212,),0),BG301/(1+IFERROR(INDEX(BG$10:BG$11,Предпосылки!$I$213,),0))*IFERROR(INDEX(BG$10:BG$11,Предпосылки!$I$213,),0),BG324/(1+IFERROR(INDEX(BG$10:BG$11,Предпосылки!$I$214,),0))*IFERROR(INDEX(BG$10:BG$11,Предпосылки!$I$214,),0),BG347/(1+IFERROR(INDEX(BG$10:BG$11,Предпосылки!$I$215,),0))*IFERROR(INDEX(BG$10:BG$11,Предпосылки!$I$215,),0),BG370/(1+IFERROR(INDEX(BG$10:BG$11,Предпосылки!$I$216,),0))*IFERROR(INDEX(BG$10:BG$11,Предпосылки!$I$216,),0),BG393/(1+IFERROR(INDEX(BG$10:BG$11,Предпосылки!$I$217,),0))*IFERROR(INDEX(BG$10:BG$11,Предпосылки!$I$217,),0),BG416/(1+IFERROR(INDEX(BG$10:BG$11,Предпосылки!$I$218,),0))*IFERROR(INDEX(BG$10:BG$11,Предпосылки!$I$218,),0),BG439/(1+IFERROR(INDEX(BG$10:BG$11,Предпосылки!$I$219,),0))*IFERROR(INDEX(BG$10:BG$11,Предпосылки!$I$219,),0),BG462/(1+IFERROR(INDEX(BG$10:BG$11,Предпосылки!$I$220,),0))*IFERROR(INDEX(BG$10:BG$11,Предпосылки!$I$220,),0))</f>
        <v>0</v>
      </c>
      <c s="125">
        <f>SUM(BH25/(1+IFERROR(INDEX(BH$10:BH$11,Предпосылки!$I$201,),0))*IFERROR(INDEX(BH$10:BH$11,Предпосылки!$I$201,),0),BH48/(1+IFERROR(INDEX(BH$10:BH$11,Предпосылки!$I$202,),0))*IFERROR(INDEX(BH$10:BH$11,Предпосылки!$I$202,),0),BH71/(1+IFERROR(INDEX(BH$10:BH$11,Предпосылки!$I$203,),0))*IFERROR(INDEX(BH$10:BH$11,Предпосылки!$I$203,),0),BH94/(1+IFERROR(INDEX(BH$10:BH$11,Предпосылки!$I$204,),0))*IFERROR(INDEX(BH$10:BH$11,Предпосылки!$I$204,),0),BH117/(1+IFERROR(INDEX(BH$10:BH$11,Предпосылки!$I$205,),0))*IFERROR(INDEX(BH$10:BH$11,Предпосылки!$I$205,),0),BH140/(1+IFERROR(INDEX(BH$10:BH$11,Предпосылки!$I$206,),0))*IFERROR(INDEX(BH$10:BH$11,Предпосылки!$I$206,),0),BH163/(1+IFERROR(INDEX(BH$10:BH$11,Предпосылки!$I$207,),0))*IFERROR(INDEX(BH$10:BH$11,Предпосылки!$I$207,),0),BH186/(1+IFERROR(INDEX(BH$10:BH$11,Предпосылки!$I$208,),0))*IFERROR(INDEX(BH$10:BH$11,Предпосылки!$I$208,),0),BH209/(1+IFERROR(INDEX(BH$10:BH$11,Предпосылки!$I$209,),0))*IFERROR(INDEX(BH$10:BH$11,Предпосылки!$I$209,),0),BH232/(1+IFERROR(INDEX(BH$10:BH$11,Предпосылки!$I$210,),0))*IFERROR(INDEX(BH$10:BH$11,Предпосылки!$I$210,),0),BH255/(1+IFERROR(INDEX(BH$10:BH$11,Предпосылки!$I$211,),0))*IFERROR(INDEX(BH$10:BH$11,Предпосылки!$I$211,),0),BH278/(1+IFERROR(INDEX(BH$10:BH$11,Предпосылки!$I$212,),0))*IFERROR(INDEX(BH$10:BH$11,Предпосылки!$I$212,),0),BH301/(1+IFERROR(INDEX(BH$10:BH$11,Предпосылки!$I$213,),0))*IFERROR(INDEX(BH$10:BH$11,Предпосылки!$I$213,),0),BH324/(1+IFERROR(INDEX(BH$10:BH$11,Предпосылки!$I$214,),0))*IFERROR(INDEX(BH$10:BH$11,Предпосылки!$I$214,),0),BH347/(1+IFERROR(INDEX(BH$10:BH$11,Предпосылки!$I$215,),0))*IFERROR(INDEX(BH$10:BH$11,Предпосылки!$I$215,),0),BH370/(1+IFERROR(INDEX(BH$10:BH$11,Предпосылки!$I$216,),0))*IFERROR(INDEX(BH$10:BH$11,Предпосылки!$I$216,),0),BH393/(1+IFERROR(INDEX(BH$10:BH$11,Предпосылки!$I$217,),0))*IFERROR(INDEX(BH$10:BH$11,Предпосылки!$I$217,),0),BH416/(1+IFERROR(INDEX(BH$10:BH$11,Предпосылки!$I$218,),0))*IFERROR(INDEX(BH$10:BH$11,Предпосылки!$I$218,),0),BH439/(1+IFERROR(INDEX(BH$10:BH$11,Предпосылки!$I$219,),0))*IFERROR(INDEX(BH$10:BH$11,Предпосылки!$I$219,),0),BH462/(1+IFERROR(INDEX(BH$10:BH$11,Предпосылки!$I$220,),0))*IFERROR(INDEX(BH$10:BH$11,Предпосылки!$I$220,),0))</f>
        <v>0</v>
      </c>
      <c s="125">
        <f>SUM(BI25/(1+IFERROR(INDEX(BI$10:BI$11,Предпосылки!$I$201,),0))*IFERROR(INDEX(BI$10:BI$11,Предпосылки!$I$201,),0),BI48/(1+IFERROR(INDEX(BI$10:BI$11,Предпосылки!$I$202,),0))*IFERROR(INDEX(BI$10:BI$11,Предпосылки!$I$202,),0),BI71/(1+IFERROR(INDEX(BI$10:BI$11,Предпосылки!$I$203,),0))*IFERROR(INDEX(BI$10:BI$11,Предпосылки!$I$203,),0),BI94/(1+IFERROR(INDEX(BI$10:BI$11,Предпосылки!$I$204,),0))*IFERROR(INDEX(BI$10:BI$11,Предпосылки!$I$204,),0),BI117/(1+IFERROR(INDEX(BI$10:BI$11,Предпосылки!$I$205,),0))*IFERROR(INDEX(BI$10:BI$11,Предпосылки!$I$205,),0),BI140/(1+IFERROR(INDEX(BI$10:BI$11,Предпосылки!$I$206,),0))*IFERROR(INDEX(BI$10:BI$11,Предпосылки!$I$206,),0),BI163/(1+IFERROR(INDEX(BI$10:BI$11,Предпосылки!$I$207,),0))*IFERROR(INDEX(BI$10:BI$11,Предпосылки!$I$207,),0),BI186/(1+IFERROR(INDEX(BI$10:BI$11,Предпосылки!$I$208,),0))*IFERROR(INDEX(BI$10:BI$11,Предпосылки!$I$208,),0),BI209/(1+IFERROR(INDEX(BI$10:BI$11,Предпосылки!$I$209,),0))*IFERROR(INDEX(BI$10:BI$11,Предпосылки!$I$209,),0),BI232/(1+IFERROR(INDEX(BI$10:BI$11,Предпосылки!$I$210,),0))*IFERROR(INDEX(BI$10:BI$11,Предпосылки!$I$210,),0),BI255/(1+IFERROR(INDEX(BI$10:BI$11,Предпосылки!$I$211,),0))*IFERROR(INDEX(BI$10:BI$11,Предпосылки!$I$211,),0),BI278/(1+IFERROR(INDEX(BI$10:BI$11,Предпосылки!$I$212,),0))*IFERROR(INDEX(BI$10:BI$11,Предпосылки!$I$212,),0),BI301/(1+IFERROR(INDEX(BI$10:BI$11,Предпосылки!$I$213,),0))*IFERROR(INDEX(BI$10:BI$11,Предпосылки!$I$213,),0),BI324/(1+IFERROR(INDEX(BI$10:BI$11,Предпосылки!$I$214,),0))*IFERROR(INDEX(BI$10:BI$11,Предпосылки!$I$214,),0),BI347/(1+IFERROR(INDEX(BI$10:BI$11,Предпосылки!$I$215,),0))*IFERROR(INDEX(BI$10:BI$11,Предпосылки!$I$215,),0),BI370/(1+IFERROR(INDEX(BI$10:BI$11,Предпосылки!$I$216,),0))*IFERROR(INDEX(BI$10:BI$11,Предпосылки!$I$216,),0),BI393/(1+IFERROR(INDEX(BI$10:BI$11,Предпосылки!$I$217,),0))*IFERROR(INDEX(BI$10:BI$11,Предпосылки!$I$217,),0),BI416/(1+IFERROR(INDEX(BI$10:BI$11,Предпосылки!$I$218,),0))*IFERROR(INDEX(BI$10:BI$11,Предпосылки!$I$218,),0),BI439/(1+IFERROR(INDEX(BI$10:BI$11,Предпосылки!$I$219,),0))*IFERROR(INDEX(BI$10:BI$11,Предпосылки!$I$219,),0),BI462/(1+IFERROR(INDEX(BI$10:BI$11,Предпосылки!$I$220,),0))*IFERROR(INDEX(BI$10:BI$11,Предпосылки!$I$220,),0))</f>
        <v>0</v>
      </c>
      <c s="125">
        <f>SUM(BJ25/(1+IFERROR(INDEX(BJ$10:BJ$11,Предпосылки!$I$201,),0))*IFERROR(INDEX(BJ$10:BJ$11,Предпосылки!$I$201,),0),BJ48/(1+IFERROR(INDEX(BJ$10:BJ$11,Предпосылки!$I$202,),0))*IFERROR(INDEX(BJ$10:BJ$11,Предпосылки!$I$202,),0),BJ71/(1+IFERROR(INDEX(BJ$10:BJ$11,Предпосылки!$I$203,),0))*IFERROR(INDEX(BJ$10:BJ$11,Предпосылки!$I$203,),0),BJ94/(1+IFERROR(INDEX(BJ$10:BJ$11,Предпосылки!$I$204,),0))*IFERROR(INDEX(BJ$10:BJ$11,Предпосылки!$I$204,),0),BJ117/(1+IFERROR(INDEX(BJ$10:BJ$11,Предпосылки!$I$205,),0))*IFERROR(INDEX(BJ$10:BJ$11,Предпосылки!$I$205,),0),BJ140/(1+IFERROR(INDEX(BJ$10:BJ$11,Предпосылки!$I$206,),0))*IFERROR(INDEX(BJ$10:BJ$11,Предпосылки!$I$206,),0),BJ163/(1+IFERROR(INDEX(BJ$10:BJ$11,Предпосылки!$I$207,),0))*IFERROR(INDEX(BJ$10:BJ$11,Предпосылки!$I$207,),0),BJ186/(1+IFERROR(INDEX(BJ$10:BJ$11,Предпосылки!$I$208,),0))*IFERROR(INDEX(BJ$10:BJ$11,Предпосылки!$I$208,),0),BJ209/(1+IFERROR(INDEX(BJ$10:BJ$11,Предпосылки!$I$209,),0))*IFERROR(INDEX(BJ$10:BJ$11,Предпосылки!$I$209,),0),BJ232/(1+IFERROR(INDEX(BJ$10:BJ$11,Предпосылки!$I$210,),0))*IFERROR(INDEX(BJ$10:BJ$11,Предпосылки!$I$210,),0),BJ255/(1+IFERROR(INDEX(BJ$10:BJ$11,Предпосылки!$I$211,),0))*IFERROR(INDEX(BJ$10:BJ$11,Предпосылки!$I$211,),0),BJ278/(1+IFERROR(INDEX(BJ$10:BJ$11,Предпосылки!$I$212,),0))*IFERROR(INDEX(BJ$10:BJ$11,Предпосылки!$I$212,),0),BJ301/(1+IFERROR(INDEX(BJ$10:BJ$11,Предпосылки!$I$213,),0))*IFERROR(INDEX(BJ$10:BJ$11,Предпосылки!$I$213,),0),BJ324/(1+IFERROR(INDEX(BJ$10:BJ$11,Предпосылки!$I$214,),0))*IFERROR(INDEX(BJ$10:BJ$11,Предпосылки!$I$214,),0),BJ347/(1+IFERROR(INDEX(BJ$10:BJ$11,Предпосылки!$I$215,),0))*IFERROR(INDEX(BJ$10:BJ$11,Предпосылки!$I$215,),0),BJ370/(1+IFERROR(INDEX(BJ$10:BJ$11,Предпосылки!$I$216,),0))*IFERROR(INDEX(BJ$10:BJ$11,Предпосылки!$I$216,),0),BJ393/(1+IFERROR(INDEX(BJ$10:BJ$11,Предпосылки!$I$217,),0))*IFERROR(INDEX(BJ$10:BJ$11,Предпосылки!$I$217,),0),BJ416/(1+IFERROR(INDEX(BJ$10:BJ$11,Предпосылки!$I$218,),0))*IFERROR(INDEX(BJ$10:BJ$11,Предпосылки!$I$218,),0),BJ439/(1+IFERROR(INDEX(BJ$10:BJ$11,Предпосылки!$I$219,),0))*IFERROR(INDEX(BJ$10:BJ$11,Предпосылки!$I$219,),0),BJ462/(1+IFERROR(INDEX(BJ$10:BJ$11,Предпосылки!$I$220,),0))*IFERROR(INDEX(BJ$10:BJ$11,Предпосылки!$I$220,),0))</f>
        <v>0</v>
      </c>
      <c s="125">
        <f>SUM(BK25/(1+IFERROR(INDEX(BK$10:BK$11,Предпосылки!$I$201,),0))*IFERROR(INDEX(BK$10:BK$11,Предпосылки!$I$201,),0),BK48/(1+IFERROR(INDEX(BK$10:BK$11,Предпосылки!$I$202,),0))*IFERROR(INDEX(BK$10:BK$11,Предпосылки!$I$202,),0),BK71/(1+IFERROR(INDEX(BK$10:BK$11,Предпосылки!$I$203,),0))*IFERROR(INDEX(BK$10:BK$11,Предпосылки!$I$203,),0),BK94/(1+IFERROR(INDEX(BK$10:BK$11,Предпосылки!$I$204,),0))*IFERROR(INDEX(BK$10:BK$11,Предпосылки!$I$204,),0),BK117/(1+IFERROR(INDEX(BK$10:BK$11,Предпосылки!$I$205,),0))*IFERROR(INDEX(BK$10:BK$11,Предпосылки!$I$205,),0),BK140/(1+IFERROR(INDEX(BK$10:BK$11,Предпосылки!$I$206,),0))*IFERROR(INDEX(BK$10:BK$11,Предпосылки!$I$206,),0),BK163/(1+IFERROR(INDEX(BK$10:BK$11,Предпосылки!$I$207,),0))*IFERROR(INDEX(BK$10:BK$11,Предпосылки!$I$207,),0),BK186/(1+IFERROR(INDEX(BK$10:BK$11,Предпосылки!$I$208,),0))*IFERROR(INDEX(BK$10:BK$11,Предпосылки!$I$208,),0),BK209/(1+IFERROR(INDEX(BK$10:BK$11,Предпосылки!$I$209,),0))*IFERROR(INDEX(BK$10:BK$11,Предпосылки!$I$209,),0),BK232/(1+IFERROR(INDEX(BK$10:BK$11,Предпосылки!$I$210,),0))*IFERROR(INDEX(BK$10:BK$11,Предпосылки!$I$210,),0),BK255/(1+IFERROR(INDEX(BK$10:BK$11,Предпосылки!$I$211,),0))*IFERROR(INDEX(BK$10:BK$11,Предпосылки!$I$211,),0),BK278/(1+IFERROR(INDEX(BK$10:BK$11,Предпосылки!$I$212,),0))*IFERROR(INDEX(BK$10:BK$11,Предпосылки!$I$212,),0),BK301/(1+IFERROR(INDEX(BK$10:BK$11,Предпосылки!$I$213,),0))*IFERROR(INDEX(BK$10:BK$11,Предпосылки!$I$213,),0),BK324/(1+IFERROR(INDEX(BK$10:BK$11,Предпосылки!$I$214,),0))*IFERROR(INDEX(BK$10:BK$11,Предпосылки!$I$214,),0),BK347/(1+IFERROR(INDEX(BK$10:BK$11,Предпосылки!$I$215,),0))*IFERROR(INDEX(BK$10:BK$11,Предпосылки!$I$215,),0),BK370/(1+IFERROR(INDEX(BK$10:BK$11,Предпосылки!$I$216,),0))*IFERROR(INDEX(BK$10:BK$11,Предпосылки!$I$216,),0),BK393/(1+IFERROR(INDEX(BK$10:BK$11,Предпосылки!$I$217,),0))*IFERROR(INDEX(BK$10:BK$11,Предпосылки!$I$217,),0),BK416/(1+IFERROR(INDEX(BK$10:BK$11,Предпосылки!$I$218,),0))*IFERROR(INDEX(BK$10:BK$11,Предпосылки!$I$218,),0),BK439/(1+IFERROR(INDEX(BK$10:BK$11,Предпосылки!$I$219,),0))*IFERROR(INDEX(BK$10:BK$11,Предпосылки!$I$219,),0),BK462/(1+IFERROR(INDEX(BK$10:BK$11,Предпосылки!$I$220,),0))*IFERROR(INDEX(BK$10:BK$11,Предпосылки!$I$220,),0))</f>
        <v>0</v>
      </c>
      <c s="125">
        <f>SUM(BL25/(1+IFERROR(INDEX(BL$10:BL$11,Предпосылки!$I$201,),0))*IFERROR(INDEX(BL$10:BL$11,Предпосылки!$I$201,),0),BL48/(1+IFERROR(INDEX(BL$10:BL$11,Предпосылки!$I$202,),0))*IFERROR(INDEX(BL$10:BL$11,Предпосылки!$I$202,),0),BL71/(1+IFERROR(INDEX(BL$10:BL$11,Предпосылки!$I$203,),0))*IFERROR(INDEX(BL$10:BL$11,Предпосылки!$I$203,),0),BL94/(1+IFERROR(INDEX(BL$10:BL$11,Предпосылки!$I$204,),0))*IFERROR(INDEX(BL$10:BL$11,Предпосылки!$I$204,),0),BL117/(1+IFERROR(INDEX(BL$10:BL$11,Предпосылки!$I$205,),0))*IFERROR(INDEX(BL$10:BL$11,Предпосылки!$I$205,),0),BL140/(1+IFERROR(INDEX(BL$10:BL$11,Предпосылки!$I$206,),0))*IFERROR(INDEX(BL$10:BL$11,Предпосылки!$I$206,),0),BL163/(1+IFERROR(INDEX(BL$10:BL$11,Предпосылки!$I$207,),0))*IFERROR(INDEX(BL$10:BL$11,Предпосылки!$I$207,),0),BL186/(1+IFERROR(INDEX(BL$10:BL$11,Предпосылки!$I$208,),0))*IFERROR(INDEX(BL$10:BL$11,Предпосылки!$I$208,),0),BL209/(1+IFERROR(INDEX(BL$10:BL$11,Предпосылки!$I$209,),0))*IFERROR(INDEX(BL$10:BL$11,Предпосылки!$I$209,),0),BL232/(1+IFERROR(INDEX(BL$10:BL$11,Предпосылки!$I$210,),0))*IFERROR(INDEX(BL$10:BL$11,Предпосылки!$I$210,),0),BL255/(1+IFERROR(INDEX(BL$10:BL$11,Предпосылки!$I$211,),0))*IFERROR(INDEX(BL$10:BL$11,Предпосылки!$I$211,),0),BL278/(1+IFERROR(INDEX(BL$10:BL$11,Предпосылки!$I$212,),0))*IFERROR(INDEX(BL$10:BL$11,Предпосылки!$I$212,),0),BL301/(1+IFERROR(INDEX(BL$10:BL$11,Предпосылки!$I$213,),0))*IFERROR(INDEX(BL$10:BL$11,Предпосылки!$I$213,),0),BL324/(1+IFERROR(INDEX(BL$10:BL$11,Предпосылки!$I$214,),0))*IFERROR(INDEX(BL$10:BL$11,Предпосылки!$I$214,),0),BL347/(1+IFERROR(INDEX(BL$10:BL$11,Предпосылки!$I$215,),0))*IFERROR(INDEX(BL$10:BL$11,Предпосылки!$I$215,),0),BL370/(1+IFERROR(INDEX(BL$10:BL$11,Предпосылки!$I$216,),0))*IFERROR(INDEX(BL$10:BL$11,Предпосылки!$I$216,),0),BL393/(1+IFERROR(INDEX(BL$10:BL$11,Предпосылки!$I$217,),0))*IFERROR(INDEX(BL$10:BL$11,Предпосылки!$I$217,),0),BL416/(1+IFERROR(INDEX(BL$10:BL$11,Предпосылки!$I$218,),0))*IFERROR(INDEX(BL$10:BL$11,Предпосылки!$I$218,),0),BL439/(1+IFERROR(INDEX(BL$10:BL$11,Предпосылки!$I$219,),0))*IFERROR(INDEX(BL$10:BL$11,Предпосылки!$I$219,),0),BL462/(1+IFERROR(INDEX(BL$10:BL$11,Предпосылки!$I$220,),0))*IFERROR(INDEX(BL$10:BL$11,Предпосылки!$I$220,),0))</f>
        <v>0</v>
      </c>
      <c s="125">
        <f>SUM(BM25/(1+IFERROR(INDEX(BM$10:BM$11,Предпосылки!$I$201,),0))*IFERROR(INDEX(BM$10:BM$11,Предпосылки!$I$201,),0),BM48/(1+IFERROR(INDEX(BM$10:BM$11,Предпосылки!$I$202,),0))*IFERROR(INDEX(BM$10:BM$11,Предпосылки!$I$202,),0),BM71/(1+IFERROR(INDEX(BM$10:BM$11,Предпосылки!$I$203,),0))*IFERROR(INDEX(BM$10:BM$11,Предпосылки!$I$203,),0),BM94/(1+IFERROR(INDEX(BM$10:BM$11,Предпосылки!$I$204,),0))*IFERROR(INDEX(BM$10:BM$11,Предпосылки!$I$204,),0),BM117/(1+IFERROR(INDEX(BM$10:BM$11,Предпосылки!$I$205,),0))*IFERROR(INDEX(BM$10:BM$11,Предпосылки!$I$205,),0),BM140/(1+IFERROR(INDEX(BM$10:BM$11,Предпосылки!$I$206,),0))*IFERROR(INDEX(BM$10:BM$11,Предпосылки!$I$206,),0),BM163/(1+IFERROR(INDEX(BM$10:BM$11,Предпосылки!$I$207,),0))*IFERROR(INDEX(BM$10:BM$11,Предпосылки!$I$207,),0),BM186/(1+IFERROR(INDEX(BM$10:BM$11,Предпосылки!$I$208,),0))*IFERROR(INDEX(BM$10:BM$11,Предпосылки!$I$208,),0),BM209/(1+IFERROR(INDEX(BM$10:BM$11,Предпосылки!$I$209,),0))*IFERROR(INDEX(BM$10:BM$11,Предпосылки!$I$209,),0),BM232/(1+IFERROR(INDEX(BM$10:BM$11,Предпосылки!$I$210,),0))*IFERROR(INDEX(BM$10:BM$11,Предпосылки!$I$210,),0),BM255/(1+IFERROR(INDEX(BM$10:BM$11,Предпосылки!$I$211,),0))*IFERROR(INDEX(BM$10:BM$11,Предпосылки!$I$211,),0),BM278/(1+IFERROR(INDEX(BM$10:BM$11,Предпосылки!$I$212,),0))*IFERROR(INDEX(BM$10:BM$11,Предпосылки!$I$212,),0),BM301/(1+IFERROR(INDEX(BM$10:BM$11,Предпосылки!$I$213,),0))*IFERROR(INDEX(BM$10:BM$11,Предпосылки!$I$213,),0),BM324/(1+IFERROR(INDEX(BM$10:BM$11,Предпосылки!$I$214,),0))*IFERROR(INDEX(BM$10:BM$11,Предпосылки!$I$214,),0),BM347/(1+IFERROR(INDEX(BM$10:BM$11,Предпосылки!$I$215,),0))*IFERROR(INDEX(BM$10:BM$11,Предпосылки!$I$215,),0),BM370/(1+IFERROR(INDEX(BM$10:BM$11,Предпосылки!$I$216,),0))*IFERROR(INDEX(BM$10:BM$11,Предпосылки!$I$216,),0),BM393/(1+IFERROR(INDEX(BM$10:BM$11,Предпосылки!$I$217,),0))*IFERROR(INDEX(BM$10:BM$11,Предпосылки!$I$217,),0),BM416/(1+IFERROR(INDEX(BM$10:BM$11,Предпосылки!$I$218,),0))*IFERROR(INDEX(BM$10:BM$11,Предпосылки!$I$218,),0),BM439/(1+IFERROR(INDEX(BM$10:BM$11,Предпосылки!$I$219,),0))*IFERROR(INDEX(BM$10:BM$11,Предпосылки!$I$219,),0),BM462/(1+IFERROR(INDEX(BM$10:BM$11,Предпосылки!$I$220,),0))*IFERROR(INDEX(BM$10:BM$11,Предпосылки!$I$220,),0))</f>
        <v>0</v>
      </c>
    </row>
    <row r="557" spans="2:65" ht="15" customHeight="1">
      <c r="B557" s="12" t="str">
        <f t="shared" si="255"/>
        <v>Продукт 4</v>
      </c>
      <c s="124" t="str">
        <f t="shared" si="254"/>
        <v>тыс. руб.</v>
      </c>
      <c s="276">
        <f t="shared" si="256"/>
        <v>0</v>
      </c>
      <c s="125">
        <f>SUM(E26/(1+IFERROR(INDEX(E$10:E$11,Предпосылки!$I204,),0))*IFERROR(INDEX(E$10:E$11,Предпосылки!$I204,),0),E49/(1+IFERROR(INDEX(E$10:E$11,Предпосылки!$I205,),0))*IFERROR(INDEX(E$10:E$11,Предпосылки!$I205,),0),E72/(1+IFERROR(INDEX(E$10:E$11,Предпосылки!$I206,),0))*IFERROR(INDEX(E$10:E$11,Предпосылки!$I206,),0),E95/(1+IFERROR(INDEX(E$10:E$11,Предпосылки!$I207,),0))*IFERROR(INDEX(E$10:E$11,Предпосылки!$I207,),0),E118/(1+IFERROR(INDEX(E$10:E$11,Предпосылки!$I208,),0))*IFERROR(INDEX(E$10:E$11,Предпосылки!$I208,),0),E141/(1+IFERROR(INDEX(E$10:E$11,Предпосылки!$I209,),0))*IFERROR(INDEX(E$10:E$11,Предпосылки!$I209,),0),E164/(1+IFERROR(INDEX(E$10:E$11,Предпосылки!$I210,),0))*IFERROR(INDEX(E$10:E$11,Предпосылки!$I210,),0),E187/(1+IFERROR(INDEX(E$10:E$11,Предпосылки!$I211,),0))*IFERROR(INDEX(E$10:E$11,Предпосылки!$I211,),0),E210/(1+IFERROR(INDEX(E$10:E$11,Предпосылки!$I212,),0))*IFERROR(INDEX(E$10:E$11,Предпосылки!$I212,),0),E233/(1+IFERROR(INDEX(E$10:E$11,Предпосылки!$I213,),0))*IFERROR(INDEX(E$10:E$11,Предпосылки!$I213,),0),E256/(1+IFERROR(INDEX(E$10:E$11,Предпосылки!$I214,),0))*IFERROR(INDEX(E$10:E$11,Предпосылки!$I214,),0),E279/(1+IFERROR(INDEX(E$10:E$11,Предпосылки!$I215,),0))*IFERROR(INDEX(E$10:E$11,Предпосылки!$I215,),0),E302/(1+IFERROR(INDEX(E$10:E$11,Предпосылки!$I216,),0))*IFERROR(INDEX(E$10:E$11,Предпосылки!$I216,),0),E325/(1+IFERROR(INDEX(E$10:E$11,Предпосылки!$I217,),0))*IFERROR(INDEX(E$10:E$11,Предпосылки!$I217,),0),E348/(1+IFERROR(INDEX(E$10:E$11,Предпосылки!$I218,),0))*IFERROR(INDEX(E$10:E$11,Предпосылки!$I218,),0),E371/(1+IFERROR(INDEX(E$10:E$11,Предпосылки!$I219,),0))*IFERROR(INDEX(E$10:E$11,Предпосылки!$I219,),0),E394/(1+IFERROR(INDEX(E$10:E$11,Предпосылки!$I220,),0))*IFERROR(INDEX(E$10:E$11,Предпосылки!$I220,),0),E417/(1+IFERROR(INDEX(E$10:E$11,Предпосылки!$I221,),0))*IFERROR(INDEX(E$10:E$11,Предпосылки!$I221,),0),E440/(1+IFERROR(INDEX(E$10:E$11,Предпосылки!$I222,),0))*IFERROR(INDEX(E$10:E$11,Предпосылки!$I222,),0),E463/(1+IFERROR(INDEX(E$10:E$11,Предпосылки!$I223,),0))*IFERROR(INDEX(E$10:E$11,Предпосылки!$I223,),0))</f>
        <v>0</v>
      </c>
      <c s="125">
        <f>SUM(F26/(1+IFERROR(INDEX(F$10:F$11,Предпосылки!$I$201,),0))*IFERROR(INDEX(F$10:F$11,Предпосылки!$I$201,),0),F49/(1+IFERROR(INDEX(F$10:F$11,Предпосылки!$I$202,),0))*IFERROR(INDEX(F$10:F$11,Предпосылки!$I$202,),0),F72/(1+IFERROR(INDEX(F$10:F$11,Предпосылки!$I$203,),0))*IFERROR(INDEX(F$10:F$11,Предпосылки!$I$203,),0),F95/(1+IFERROR(INDEX(F$10:F$11,Предпосылки!$I$204,),0))*IFERROR(INDEX(F$10:F$11,Предпосылки!$I$204,),0),F118/(1+IFERROR(INDEX(F$10:F$11,Предпосылки!$I$205,),0))*IFERROR(INDEX(F$10:F$11,Предпосылки!$I$205,),0),F141/(1+IFERROR(INDEX(F$10:F$11,Предпосылки!$I$206,),0))*IFERROR(INDEX(F$10:F$11,Предпосылки!$I$206,),0),F164/(1+IFERROR(INDEX(F$10:F$11,Предпосылки!$I$207,),0))*IFERROR(INDEX(F$10:F$11,Предпосылки!$I$207,),0),F187/(1+IFERROR(INDEX(F$10:F$11,Предпосылки!$I$208,),0))*IFERROR(INDEX(F$10:F$11,Предпосылки!$I$208,),0),F210/(1+IFERROR(INDEX(F$10:F$11,Предпосылки!$I$209,),0))*IFERROR(INDEX(F$10:F$11,Предпосылки!$I$209,),0),F233/(1+IFERROR(INDEX(F$10:F$11,Предпосылки!$I$210,),0))*IFERROR(INDEX(F$10:F$11,Предпосылки!$I$210,),0),F256/(1+IFERROR(INDEX(F$10:F$11,Предпосылки!$I$211,),0))*IFERROR(INDEX(F$10:F$11,Предпосылки!$I$211,),0),F279/(1+IFERROR(INDEX(F$10:F$11,Предпосылки!$I$212,),0))*IFERROR(INDEX(F$10:F$11,Предпосылки!$I$212,),0),F302/(1+IFERROR(INDEX(F$10:F$11,Предпосылки!$I$213,),0))*IFERROR(INDEX(F$10:F$11,Предпосылки!$I$213,),0),F325/(1+IFERROR(INDEX(F$10:F$11,Предпосылки!$I$214,),0))*IFERROR(INDEX(F$10:F$11,Предпосылки!$I$214,),0),F348/(1+IFERROR(INDEX(F$10:F$11,Предпосылки!$I$215,),0))*IFERROR(INDEX(F$10:F$11,Предпосылки!$I$215,),0),F371/(1+IFERROR(INDEX(F$10:F$11,Предпосылки!$I$216,),0))*IFERROR(INDEX(F$10:F$11,Предпосылки!$I$216,),0),F394/(1+IFERROR(INDEX(F$10:F$11,Предпосылки!$I$217,),0))*IFERROR(INDEX(F$10:F$11,Предпосылки!$I$217,),0),F417/(1+IFERROR(INDEX(F$10:F$11,Предпосылки!$I$218,),0))*IFERROR(INDEX(F$10:F$11,Предпосылки!$I$218,),0),F440/(1+IFERROR(INDEX(F$10:F$11,Предпосылки!$I$219,),0))*IFERROR(INDEX(F$10:F$11,Предпосылки!$I$219,),0),F463/(1+IFERROR(INDEX(F$10:F$11,Предпосылки!$I$220,),0))*IFERROR(INDEX(F$10:F$11,Предпосылки!$I$220,),0))</f>
        <v>0</v>
      </c>
      <c s="125">
        <f>SUM(G26/(1+IFERROR(INDEX(G$10:G$11,Предпосылки!$I$201,),0))*IFERROR(INDEX(G$10:G$11,Предпосылки!$I$201,),0),G49/(1+IFERROR(INDEX(G$10:G$11,Предпосылки!$I$202,),0))*IFERROR(INDEX(G$10:G$11,Предпосылки!$I$202,),0),G72/(1+IFERROR(INDEX(G$10:G$11,Предпосылки!$I$203,),0))*IFERROR(INDEX(G$10:G$11,Предпосылки!$I$203,),0),G95/(1+IFERROR(INDEX(G$10:G$11,Предпосылки!$I$204,),0))*IFERROR(INDEX(G$10:G$11,Предпосылки!$I$204,),0),G118/(1+IFERROR(INDEX(G$10:G$11,Предпосылки!$I$205,),0))*IFERROR(INDEX(G$10:G$11,Предпосылки!$I$205,),0),G141/(1+IFERROR(INDEX(G$10:G$11,Предпосылки!$I$206,),0))*IFERROR(INDEX(G$10:G$11,Предпосылки!$I$206,),0),G164/(1+IFERROR(INDEX(G$10:G$11,Предпосылки!$I$207,),0))*IFERROR(INDEX(G$10:G$11,Предпосылки!$I$207,),0),G187/(1+IFERROR(INDEX(G$10:G$11,Предпосылки!$I$208,),0))*IFERROR(INDEX(G$10:G$11,Предпосылки!$I$208,),0),G210/(1+IFERROR(INDEX(G$10:G$11,Предпосылки!$I$209,),0))*IFERROR(INDEX(G$10:G$11,Предпосылки!$I$209,),0),G233/(1+IFERROR(INDEX(G$10:G$11,Предпосылки!$I$210,),0))*IFERROR(INDEX(G$10:G$11,Предпосылки!$I$210,),0),G256/(1+IFERROR(INDEX(G$10:G$11,Предпосылки!$I$211,),0))*IFERROR(INDEX(G$10:G$11,Предпосылки!$I$211,),0),G279/(1+IFERROR(INDEX(G$10:G$11,Предпосылки!$I$212,),0))*IFERROR(INDEX(G$10:G$11,Предпосылки!$I$212,),0),G302/(1+IFERROR(INDEX(G$10:G$11,Предпосылки!$I$213,),0))*IFERROR(INDEX(G$10:G$11,Предпосылки!$I$213,),0),G325/(1+IFERROR(INDEX(G$10:G$11,Предпосылки!$I$214,),0))*IFERROR(INDEX(G$10:G$11,Предпосылки!$I$214,),0),G348/(1+IFERROR(INDEX(G$10:G$11,Предпосылки!$I$215,),0))*IFERROR(INDEX(G$10:G$11,Предпосылки!$I$215,),0),G371/(1+IFERROR(INDEX(G$10:G$11,Предпосылки!$I$216,),0))*IFERROR(INDEX(G$10:G$11,Предпосылки!$I$216,),0),G394/(1+IFERROR(INDEX(G$10:G$11,Предпосылки!$I$217,),0))*IFERROR(INDEX(G$10:G$11,Предпосылки!$I$217,),0),G417/(1+IFERROR(INDEX(G$10:G$11,Предпосылки!$I$218,),0))*IFERROR(INDEX(G$10:G$11,Предпосылки!$I$218,),0),G440/(1+IFERROR(INDEX(G$10:G$11,Предпосылки!$I$219,),0))*IFERROR(INDEX(G$10:G$11,Предпосылки!$I$219,),0),G463/(1+IFERROR(INDEX(G$10:G$11,Предпосылки!$I$220,),0))*IFERROR(INDEX(G$10:G$11,Предпосылки!$I$220,),0))</f>
        <v>0</v>
      </c>
      <c s="125">
        <f>SUM(H26/(1+IFERROR(INDEX(H$10:H$11,Предпосылки!$I$201,),0))*IFERROR(INDEX(H$10:H$11,Предпосылки!$I$201,),0),H49/(1+IFERROR(INDEX(H$10:H$11,Предпосылки!$I$202,),0))*IFERROR(INDEX(H$10:H$11,Предпосылки!$I$202,),0),H72/(1+IFERROR(INDEX(H$10:H$11,Предпосылки!$I$203,),0))*IFERROR(INDEX(H$10:H$11,Предпосылки!$I$203,),0),H95/(1+IFERROR(INDEX(H$10:H$11,Предпосылки!$I$204,),0))*IFERROR(INDEX(H$10:H$11,Предпосылки!$I$204,),0),H118/(1+IFERROR(INDEX(H$10:H$11,Предпосылки!$I$205,),0))*IFERROR(INDEX(H$10:H$11,Предпосылки!$I$205,),0),H141/(1+IFERROR(INDEX(H$10:H$11,Предпосылки!$I$206,),0))*IFERROR(INDEX(H$10:H$11,Предпосылки!$I$206,),0),H164/(1+IFERROR(INDEX(H$10:H$11,Предпосылки!$I$207,),0))*IFERROR(INDEX(H$10:H$11,Предпосылки!$I$207,),0),H187/(1+IFERROR(INDEX(H$10:H$11,Предпосылки!$I$208,),0))*IFERROR(INDEX(H$10:H$11,Предпосылки!$I$208,),0),H210/(1+IFERROR(INDEX(H$10:H$11,Предпосылки!$I$209,),0))*IFERROR(INDEX(H$10:H$11,Предпосылки!$I$209,),0),H233/(1+IFERROR(INDEX(H$10:H$11,Предпосылки!$I$210,),0))*IFERROR(INDEX(H$10:H$11,Предпосылки!$I$210,),0),H256/(1+IFERROR(INDEX(H$10:H$11,Предпосылки!$I$211,),0))*IFERROR(INDEX(H$10:H$11,Предпосылки!$I$211,),0),H279/(1+IFERROR(INDEX(H$10:H$11,Предпосылки!$I$212,),0))*IFERROR(INDEX(H$10:H$11,Предпосылки!$I$212,),0),H302/(1+IFERROR(INDEX(H$10:H$11,Предпосылки!$I$213,),0))*IFERROR(INDEX(H$10:H$11,Предпосылки!$I$213,),0),H325/(1+IFERROR(INDEX(H$10:H$11,Предпосылки!$I$214,),0))*IFERROR(INDEX(H$10:H$11,Предпосылки!$I$214,),0),H348/(1+IFERROR(INDEX(H$10:H$11,Предпосылки!$I$215,),0))*IFERROR(INDEX(H$10:H$11,Предпосылки!$I$215,),0),H371/(1+IFERROR(INDEX(H$10:H$11,Предпосылки!$I$216,),0))*IFERROR(INDEX(H$10:H$11,Предпосылки!$I$216,),0),H394/(1+IFERROR(INDEX(H$10:H$11,Предпосылки!$I$217,),0))*IFERROR(INDEX(H$10:H$11,Предпосылки!$I$217,),0),H417/(1+IFERROR(INDEX(H$10:H$11,Предпосылки!$I$218,),0))*IFERROR(INDEX(H$10:H$11,Предпосылки!$I$218,),0),H440/(1+IFERROR(INDEX(H$10:H$11,Предпосылки!$I$219,),0))*IFERROR(INDEX(H$10:H$11,Предпосылки!$I$219,),0),H463/(1+IFERROR(INDEX(H$10:H$11,Предпосылки!$I$220,),0))*IFERROR(INDEX(H$10:H$11,Предпосылки!$I$220,),0))</f>
        <v>0</v>
      </c>
      <c s="125">
        <f>SUM(I26/(1+IFERROR(INDEX(I$10:I$11,Предпосылки!$I$201,),0))*IFERROR(INDEX(I$10:I$11,Предпосылки!$I$201,),0),I49/(1+IFERROR(INDEX(I$10:I$11,Предпосылки!$I$202,),0))*IFERROR(INDEX(I$10:I$11,Предпосылки!$I$202,),0),I72/(1+IFERROR(INDEX(I$10:I$11,Предпосылки!$I$203,),0))*IFERROR(INDEX(I$10:I$11,Предпосылки!$I$203,),0),I95/(1+IFERROR(INDEX(I$10:I$11,Предпосылки!$I$204,),0))*IFERROR(INDEX(I$10:I$11,Предпосылки!$I$204,),0),I118/(1+IFERROR(INDEX(I$10:I$11,Предпосылки!$I$205,),0))*IFERROR(INDEX(I$10:I$11,Предпосылки!$I$205,),0),I141/(1+IFERROR(INDEX(I$10:I$11,Предпосылки!$I$206,),0))*IFERROR(INDEX(I$10:I$11,Предпосылки!$I$206,),0),I164/(1+IFERROR(INDEX(I$10:I$11,Предпосылки!$I$207,),0))*IFERROR(INDEX(I$10:I$11,Предпосылки!$I$207,),0),I187/(1+IFERROR(INDEX(I$10:I$11,Предпосылки!$I$208,),0))*IFERROR(INDEX(I$10:I$11,Предпосылки!$I$208,),0),I210/(1+IFERROR(INDEX(I$10:I$11,Предпосылки!$I$209,),0))*IFERROR(INDEX(I$10:I$11,Предпосылки!$I$209,),0),I233/(1+IFERROR(INDEX(I$10:I$11,Предпосылки!$I$210,),0))*IFERROR(INDEX(I$10:I$11,Предпосылки!$I$210,),0),I256/(1+IFERROR(INDEX(I$10:I$11,Предпосылки!$I$211,),0))*IFERROR(INDEX(I$10:I$11,Предпосылки!$I$211,),0),I279/(1+IFERROR(INDEX(I$10:I$11,Предпосылки!$I$212,),0))*IFERROR(INDEX(I$10:I$11,Предпосылки!$I$212,),0),I302/(1+IFERROR(INDEX(I$10:I$11,Предпосылки!$I$213,),0))*IFERROR(INDEX(I$10:I$11,Предпосылки!$I$213,),0),I325/(1+IFERROR(INDEX(I$10:I$11,Предпосылки!$I$214,),0))*IFERROR(INDEX(I$10:I$11,Предпосылки!$I$214,),0),I348/(1+IFERROR(INDEX(I$10:I$11,Предпосылки!$I$215,),0))*IFERROR(INDEX(I$10:I$11,Предпосылки!$I$215,),0),I371/(1+IFERROR(INDEX(I$10:I$11,Предпосылки!$I$216,),0))*IFERROR(INDEX(I$10:I$11,Предпосылки!$I$216,),0),I394/(1+IFERROR(INDEX(I$10:I$11,Предпосылки!$I$217,),0))*IFERROR(INDEX(I$10:I$11,Предпосылки!$I$217,),0),I417/(1+IFERROR(INDEX(I$10:I$11,Предпосылки!$I$218,),0))*IFERROR(INDEX(I$10:I$11,Предпосылки!$I$218,),0),I440/(1+IFERROR(INDEX(I$10:I$11,Предпосылки!$I$219,),0))*IFERROR(INDEX(I$10:I$11,Предпосылки!$I$219,),0),I463/(1+IFERROR(INDEX(I$10:I$11,Предпосылки!$I$220,),0))*IFERROR(INDEX(I$10:I$11,Предпосылки!$I$220,),0))</f>
        <v>0</v>
      </c>
      <c s="125">
        <f>SUM(J26/(1+IFERROR(INDEX(J$10:J$11,Предпосылки!$I$201,),0))*IFERROR(INDEX(J$10:J$11,Предпосылки!$I$201,),0),J49/(1+IFERROR(INDEX(J$10:J$11,Предпосылки!$I$202,),0))*IFERROR(INDEX(J$10:J$11,Предпосылки!$I$202,),0),J72/(1+IFERROR(INDEX(J$10:J$11,Предпосылки!$I$203,),0))*IFERROR(INDEX(J$10:J$11,Предпосылки!$I$203,),0),J95/(1+IFERROR(INDEX(J$10:J$11,Предпосылки!$I$204,),0))*IFERROR(INDEX(J$10:J$11,Предпосылки!$I$204,),0),J118/(1+IFERROR(INDEX(J$10:J$11,Предпосылки!$I$205,),0))*IFERROR(INDEX(J$10:J$11,Предпосылки!$I$205,),0),J141/(1+IFERROR(INDEX(J$10:J$11,Предпосылки!$I$206,),0))*IFERROR(INDEX(J$10:J$11,Предпосылки!$I$206,),0),J164/(1+IFERROR(INDEX(J$10:J$11,Предпосылки!$I$207,),0))*IFERROR(INDEX(J$10:J$11,Предпосылки!$I$207,),0),J187/(1+IFERROR(INDEX(J$10:J$11,Предпосылки!$I$208,),0))*IFERROR(INDEX(J$10:J$11,Предпосылки!$I$208,),0),J210/(1+IFERROR(INDEX(J$10:J$11,Предпосылки!$I$209,),0))*IFERROR(INDEX(J$10:J$11,Предпосылки!$I$209,),0),J233/(1+IFERROR(INDEX(J$10:J$11,Предпосылки!$I$210,),0))*IFERROR(INDEX(J$10:J$11,Предпосылки!$I$210,),0),J256/(1+IFERROR(INDEX(J$10:J$11,Предпосылки!$I$211,),0))*IFERROR(INDEX(J$10:J$11,Предпосылки!$I$211,),0),J279/(1+IFERROR(INDEX(J$10:J$11,Предпосылки!$I$212,),0))*IFERROR(INDEX(J$10:J$11,Предпосылки!$I$212,),0),J302/(1+IFERROR(INDEX(J$10:J$11,Предпосылки!$I$213,),0))*IFERROR(INDEX(J$10:J$11,Предпосылки!$I$213,),0),J325/(1+IFERROR(INDEX(J$10:J$11,Предпосылки!$I$214,),0))*IFERROR(INDEX(J$10:J$11,Предпосылки!$I$214,),0),J348/(1+IFERROR(INDEX(J$10:J$11,Предпосылки!$I$215,),0))*IFERROR(INDEX(J$10:J$11,Предпосылки!$I$215,),0),J371/(1+IFERROR(INDEX(J$10:J$11,Предпосылки!$I$216,),0))*IFERROR(INDEX(J$10:J$11,Предпосылки!$I$216,),0),J394/(1+IFERROR(INDEX(J$10:J$11,Предпосылки!$I$217,),0))*IFERROR(INDEX(J$10:J$11,Предпосылки!$I$217,),0),J417/(1+IFERROR(INDEX(J$10:J$11,Предпосылки!$I$218,),0))*IFERROR(INDEX(J$10:J$11,Предпосылки!$I$218,),0),J440/(1+IFERROR(INDEX(J$10:J$11,Предпосылки!$I$219,),0))*IFERROR(INDEX(J$10:J$11,Предпосылки!$I$219,),0),J463/(1+IFERROR(INDEX(J$10:J$11,Предпосылки!$I$220,),0))*IFERROR(INDEX(J$10:J$11,Предпосылки!$I$220,),0))</f>
        <v>0</v>
      </c>
      <c s="125">
        <f>SUM(K26/(1+IFERROR(INDEX(K$10:K$11,Предпосылки!$I$201,),0))*IFERROR(INDEX(K$10:K$11,Предпосылки!$I$201,),0),K49/(1+IFERROR(INDEX(K$10:K$11,Предпосылки!$I$202,),0))*IFERROR(INDEX(K$10:K$11,Предпосылки!$I$202,),0),K72/(1+IFERROR(INDEX(K$10:K$11,Предпосылки!$I$203,),0))*IFERROR(INDEX(K$10:K$11,Предпосылки!$I$203,),0),K95/(1+IFERROR(INDEX(K$10:K$11,Предпосылки!$I$204,),0))*IFERROR(INDEX(K$10:K$11,Предпосылки!$I$204,),0),K118/(1+IFERROR(INDEX(K$10:K$11,Предпосылки!$I$205,),0))*IFERROR(INDEX(K$10:K$11,Предпосылки!$I$205,),0),K141/(1+IFERROR(INDEX(K$10:K$11,Предпосылки!$I$206,),0))*IFERROR(INDEX(K$10:K$11,Предпосылки!$I$206,),0),K164/(1+IFERROR(INDEX(K$10:K$11,Предпосылки!$I$207,),0))*IFERROR(INDEX(K$10:K$11,Предпосылки!$I$207,),0),K187/(1+IFERROR(INDEX(K$10:K$11,Предпосылки!$I$208,),0))*IFERROR(INDEX(K$10:K$11,Предпосылки!$I$208,),0),K210/(1+IFERROR(INDEX(K$10:K$11,Предпосылки!$I$209,),0))*IFERROR(INDEX(K$10:K$11,Предпосылки!$I$209,),0),K233/(1+IFERROR(INDEX(K$10:K$11,Предпосылки!$I$210,),0))*IFERROR(INDEX(K$10:K$11,Предпосылки!$I$210,),0),K256/(1+IFERROR(INDEX(K$10:K$11,Предпосылки!$I$211,),0))*IFERROR(INDEX(K$10:K$11,Предпосылки!$I$211,),0),K279/(1+IFERROR(INDEX(K$10:K$11,Предпосылки!$I$212,),0))*IFERROR(INDEX(K$10:K$11,Предпосылки!$I$212,),0),K302/(1+IFERROR(INDEX(K$10:K$11,Предпосылки!$I$213,),0))*IFERROR(INDEX(K$10:K$11,Предпосылки!$I$213,),0),K325/(1+IFERROR(INDEX(K$10:K$11,Предпосылки!$I$214,),0))*IFERROR(INDEX(K$10:K$11,Предпосылки!$I$214,),0),K348/(1+IFERROR(INDEX(K$10:K$11,Предпосылки!$I$215,),0))*IFERROR(INDEX(K$10:K$11,Предпосылки!$I$215,),0),K371/(1+IFERROR(INDEX(K$10:K$11,Предпосылки!$I$216,),0))*IFERROR(INDEX(K$10:K$11,Предпосылки!$I$216,),0),K394/(1+IFERROR(INDEX(K$10:K$11,Предпосылки!$I$217,),0))*IFERROR(INDEX(K$10:K$11,Предпосылки!$I$217,),0),K417/(1+IFERROR(INDEX(K$10:K$11,Предпосылки!$I$218,),0))*IFERROR(INDEX(K$10:K$11,Предпосылки!$I$218,),0),K440/(1+IFERROR(INDEX(K$10:K$11,Предпосылки!$I$219,),0))*IFERROR(INDEX(K$10:K$11,Предпосылки!$I$219,),0),K463/(1+IFERROR(INDEX(K$10:K$11,Предпосылки!$I$220,),0))*IFERROR(INDEX(K$10:K$11,Предпосылки!$I$220,),0))</f>
        <v>0</v>
      </c>
      <c s="125">
        <f>SUM(L26/(1+IFERROR(INDEX(L$10:L$11,Предпосылки!$I$201,),0))*IFERROR(INDEX(L$10:L$11,Предпосылки!$I$201,),0),L49/(1+IFERROR(INDEX(L$10:L$11,Предпосылки!$I$202,),0))*IFERROR(INDEX(L$10:L$11,Предпосылки!$I$202,),0),L72/(1+IFERROR(INDEX(L$10:L$11,Предпосылки!$I$203,),0))*IFERROR(INDEX(L$10:L$11,Предпосылки!$I$203,),0),L95/(1+IFERROR(INDEX(L$10:L$11,Предпосылки!$I$204,),0))*IFERROR(INDEX(L$10:L$11,Предпосылки!$I$204,),0),L118/(1+IFERROR(INDEX(L$10:L$11,Предпосылки!$I$205,),0))*IFERROR(INDEX(L$10:L$11,Предпосылки!$I$205,),0),L141/(1+IFERROR(INDEX(L$10:L$11,Предпосылки!$I$206,),0))*IFERROR(INDEX(L$10:L$11,Предпосылки!$I$206,),0),L164/(1+IFERROR(INDEX(L$10:L$11,Предпосылки!$I$207,),0))*IFERROR(INDEX(L$10:L$11,Предпосылки!$I$207,),0),L187/(1+IFERROR(INDEX(L$10:L$11,Предпосылки!$I$208,),0))*IFERROR(INDEX(L$10:L$11,Предпосылки!$I$208,),0),L210/(1+IFERROR(INDEX(L$10:L$11,Предпосылки!$I$209,),0))*IFERROR(INDEX(L$10:L$11,Предпосылки!$I$209,),0),L233/(1+IFERROR(INDEX(L$10:L$11,Предпосылки!$I$210,),0))*IFERROR(INDEX(L$10:L$11,Предпосылки!$I$210,),0),L256/(1+IFERROR(INDEX(L$10:L$11,Предпосылки!$I$211,),0))*IFERROR(INDEX(L$10:L$11,Предпосылки!$I$211,),0),L279/(1+IFERROR(INDEX(L$10:L$11,Предпосылки!$I$212,),0))*IFERROR(INDEX(L$10:L$11,Предпосылки!$I$212,),0),L302/(1+IFERROR(INDEX(L$10:L$11,Предпосылки!$I$213,),0))*IFERROR(INDEX(L$10:L$11,Предпосылки!$I$213,),0),L325/(1+IFERROR(INDEX(L$10:L$11,Предпосылки!$I$214,),0))*IFERROR(INDEX(L$10:L$11,Предпосылки!$I$214,),0),L348/(1+IFERROR(INDEX(L$10:L$11,Предпосылки!$I$215,),0))*IFERROR(INDEX(L$10:L$11,Предпосылки!$I$215,),0),L371/(1+IFERROR(INDEX(L$10:L$11,Предпосылки!$I$216,),0))*IFERROR(INDEX(L$10:L$11,Предпосылки!$I$216,),0),L394/(1+IFERROR(INDEX(L$10:L$11,Предпосылки!$I$217,),0))*IFERROR(INDEX(L$10:L$11,Предпосылки!$I$217,),0),L417/(1+IFERROR(INDEX(L$10:L$11,Предпосылки!$I$218,),0))*IFERROR(INDEX(L$10:L$11,Предпосылки!$I$218,),0),L440/(1+IFERROR(INDEX(L$10:L$11,Предпосылки!$I$219,),0))*IFERROR(INDEX(L$10:L$11,Предпосылки!$I$219,),0),L463/(1+IFERROR(INDEX(L$10:L$11,Предпосылки!$I$220,),0))*IFERROR(INDEX(L$10:L$11,Предпосылки!$I$220,),0))</f>
        <v>0</v>
      </c>
      <c s="125">
        <f>SUM(M26/(1+IFERROR(INDEX(M$10:M$11,Предпосылки!$I$201,),0))*IFERROR(INDEX(M$10:M$11,Предпосылки!$I$201,),0),M49/(1+IFERROR(INDEX(M$10:M$11,Предпосылки!$I$202,),0))*IFERROR(INDEX(M$10:M$11,Предпосылки!$I$202,),0),M72/(1+IFERROR(INDEX(M$10:M$11,Предпосылки!$I$203,),0))*IFERROR(INDEX(M$10:M$11,Предпосылки!$I$203,),0),M95/(1+IFERROR(INDEX(M$10:M$11,Предпосылки!$I$204,),0))*IFERROR(INDEX(M$10:M$11,Предпосылки!$I$204,),0),M118/(1+IFERROR(INDEX(M$10:M$11,Предпосылки!$I$205,),0))*IFERROR(INDEX(M$10:M$11,Предпосылки!$I$205,),0),M141/(1+IFERROR(INDEX(M$10:M$11,Предпосылки!$I$206,),0))*IFERROR(INDEX(M$10:M$11,Предпосылки!$I$206,),0),M164/(1+IFERROR(INDEX(M$10:M$11,Предпосылки!$I$207,),0))*IFERROR(INDEX(M$10:M$11,Предпосылки!$I$207,),0),M187/(1+IFERROR(INDEX(M$10:M$11,Предпосылки!$I$208,),0))*IFERROR(INDEX(M$10:M$11,Предпосылки!$I$208,),0),M210/(1+IFERROR(INDEX(M$10:M$11,Предпосылки!$I$209,),0))*IFERROR(INDEX(M$10:M$11,Предпосылки!$I$209,),0),M233/(1+IFERROR(INDEX(M$10:M$11,Предпосылки!$I$210,),0))*IFERROR(INDEX(M$10:M$11,Предпосылки!$I$210,),0),M256/(1+IFERROR(INDEX(M$10:M$11,Предпосылки!$I$211,),0))*IFERROR(INDEX(M$10:M$11,Предпосылки!$I$211,),0),M279/(1+IFERROR(INDEX(M$10:M$11,Предпосылки!$I$212,),0))*IFERROR(INDEX(M$10:M$11,Предпосылки!$I$212,),0),M302/(1+IFERROR(INDEX(M$10:M$11,Предпосылки!$I$213,),0))*IFERROR(INDEX(M$10:M$11,Предпосылки!$I$213,),0),M325/(1+IFERROR(INDEX(M$10:M$11,Предпосылки!$I$214,),0))*IFERROR(INDEX(M$10:M$11,Предпосылки!$I$214,),0),M348/(1+IFERROR(INDEX(M$10:M$11,Предпосылки!$I$215,),0))*IFERROR(INDEX(M$10:M$11,Предпосылки!$I$215,),0),M371/(1+IFERROR(INDEX(M$10:M$11,Предпосылки!$I$216,),0))*IFERROR(INDEX(M$10:M$11,Предпосылки!$I$216,),0),M394/(1+IFERROR(INDEX(M$10:M$11,Предпосылки!$I$217,),0))*IFERROR(INDEX(M$10:M$11,Предпосылки!$I$217,),0),M417/(1+IFERROR(INDEX(M$10:M$11,Предпосылки!$I$218,),0))*IFERROR(INDEX(M$10:M$11,Предпосылки!$I$218,),0),M440/(1+IFERROR(INDEX(M$10:M$11,Предпосылки!$I$219,),0))*IFERROR(INDEX(M$10:M$11,Предпосылки!$I$219,),0),M463/(1+IFERROR(INDEX(M$10:M$11,Предпосылки!$I$220,),0))*IFERROR(INDEX(M$10:M$11,Предпосылки!$I$220,),0))</f>
        <v>0</v>
      </c>
      <c s="125">
        <f>SUM(N26/(1+IFERROR(INDEX(N$10:N$11,Предпосылки!$I$201,),0))*IFERROR(INDEX(N$10:N$11,Предпосылки!$I$201,),0),N49/(1+IFERROR(INDEX(N$10:N$11,Предпосылки!$I$202,),0))*IFERROR(INDEX(N$10:N$11,Предпосылки!$I$202,),0),N72/(1+IFERROR(INDEX(N$10:N$11,Предпосылки!$I$203,),0))*IFERROR(INDEX(N$10:N$11,Предпосылки!$I$203,),0),N95/(1+IFERROR(INDEX(N$10:N$11,Предпосылки!$I$204,),0))*IFERROR(INDEX(N$10:N$11,Предпосылки!$I$204,),0),N118/(1+IFERROR(INDEX(N$10:N$11,Предпосылки!$I$205,),0))*IFERROR(INDEX(N$10:N$11,Предпосылки!$I$205,),0),N141/(1+IFERROR(INDEX(N$10:N$11,Предпосылки!$I$206,),0))*IFERROR(INDEX(N$10:N$11,Предпосылки!$I$206,),0),N164/(1+IFERROR(INDEX(N$10:N$11,Предпосылки!$I$207,),0))*IFERROR(INDEX(N$10:N$11,Предпосылки!$I$207,),0),N187/(1+IFERROR(INDEX(N$10:N$11,Предпосылки!$I$208,),0))*IFERROR(INDEX(N$10:N$11,Предпосылки!$I$208,),0),N210/(1+IFERROR(INDEX(N$10:N$11,Предпосылки!$I$209,),0))*IFERROR(INDEX(N$10:N$11,Предпосылки!$I$209,),0),N233/(1+IFERROR(INDEX(N$10:N$11,Предпосылки!$I$210,),0))*IFERROR(INDEX(N$10:N$11,Предпосылки!$I$210,),0),N256/(1+IFERROR(INDEX(N$10:N$11,Предпосылки!$I$211,),0))*IFERROR(INDEX(N$10:N$11,Предпосылки!$I$211,),0),N279/(1+IFERROR(INDEX(N$10:N$11,Предпосылки!$I$212,),0))*IFERROR(INDEX(N$10:N$11,Предпосылки!$I$212,),0),N302/(1+IFERROR(INDEX(N$10:N$11,Предпосылки!$I$213,),0))*IFERROR(INDEX(N$10:N$11,Предпосылки!$I$213,),0),N325/(1+IFERROR(INDEX(N$10:N$11,Предпосылки!$I$214,),0))*IFERROR(INDEX(N$10:N$11,Предпосылки!$I$214,),0),N348/(1+IFERROR(INDEX(N$10:N$11,Предпосылки!$I$215,),0))*IFERROR(INDEX(N$10:N$11,Предпосылки!$I$215,),0),N371/(1+IFERROR(INDEX(N$10:N$11,Предпосылки!$I$216,),0))*IFERROR(INDEX(N$10:N$11,Предпосылки!$I$216,),0),N394/(1+IFERROR(INDEX(N$10:N$11,Предпосылки!$I$217,),0))*IFERROR(INDEX(N$10:N$11,Предпосылки!$I$217,),0),N417/(1+IFERROR(INDEX(N$10:N$11,Предпосылки!$I$218,),0))*IFERROR(INDEX(N$10:N$11,Предпосылки!$I$218,),0),N440/(1+IFERROR(INDEX(N$10:N$11,Предпосылки!$I$219,),0))*IFERROR(INDEX(N$10:N$11,Предпосылки!$I$219,),0),N463/(1+IFERROR(INDEX(N$10:N$11,Предпосылки!$I$220,),0))*IFERROR(INDEX(N$10:N$11,Предпосылки!$I$220,),0))</f>
        <v>0</v>
      </c>
      <c s="125">
        <f>SUM(O26/(1+IFERROR(INDEX(O$10:O$11,Предпосылки!$I$201,),0))*IFERROR(INDEX(O$10:O$11,Предпосылки!$I$201,),0),O49/(1+IFERROR(INDEX(O$10:O$11,Предпосылки!$I$202,),0))*IFERROR(INDEX(O$10:O$11,Предпосылки!$I$202,),0),O72/(1+IFERROR(INDEX(O$10:O$11,Предпосылки!$I$203,),0))*IFERROR(INDEX(O$10:O$11,Предпосылки!$I$203,),0),O95/(1+IFERROR(INDEX(O$10:O$11,Предпосылки!$I$204,),0))*IFERROR(INDEX(O$10:O$11,Предпосылки!$I$204,),0),O118/(1+IFERROR(INDEX(O$10:O$11,Предпосылки!$I$205,),0))*IFERROR(INDEX(O$10:O$11,Предпосылки!$I$205,),0),O141/(1+IFERROR(INDEX(O$10:O$11,Предпосылки!$I$206,),0))*IFERROR(INDEX(O$10:O$11,Предпосылки!$I$206,),0),O164/(1+IFERROR(INDEX(O$10:O$11,Предпосылки!$I$207,),0))*IFERROR(INDEX(O$10:O$11,Предпосылки!$I$207,),0),O187/(1+IFERROR(INDEX(O$10:O$11,Предпосылки!$I$208,),0))*IFERROR(INDEX(O$10:O$11,Предпосылки!$I$208,),0),O210/(1+IFERROR(INDEX(O$10:O$11,Предпосылки!$I$209,),0))*IFERROR(INDEX(O$10:O$11,Предпосылки!$I$209,),0),O233/(1+IFERROR(INDEX(O$10:O$11,Предпосылки!$I$210,),0))*IFERROR(INDEX(O$10:O$11,Предпосылки!$I$210,),0),O256/(1+IFERROR(INDEX(O$10:O$11,Предпосылки!$I$211,),0))*IFERROR(INDEX(O$10:O$11,Предпосылки!$I$211,),0),O279/(1+IFERROR(INDEX(O$10:O$11,Предпосылки!$I$212,),0))*IFERROR(INDEX(O$10:O$11,Предпосылки!$I$212,),0),O302/(1+IFERROR(INDEX(O$10:O$11,Предпосылки!$I$213,),0))*IFERROR(INDEX(O$10:O$11,Предпосылки!$I$213,),0),O325/(1+IFERROR(INDEX(O$10:O$11,Предпосылки!$I$214,),0))*IFERROR(INDEX(O$10:O$11,Предпосылки!$I$214,),0),O348/(1+IFERROR(INDEX(O$10:O$11,Предпосылки!$I$215,),0))*IFERROR(INDEX(O$10:O$11,Предпосылки!$I$215,),0),O371/(1+IFERROR(INDEX(O$10:O$11,Предпосылки!$I$216,),0))*IFERROR(INDEX(O$10:O$11,Предпосылки!$I$216,),0),O394/(1+IFERROR(INDEX(O$10:O$11,Предпосылки!$I$217,),0))*IFERROR(INDEX(O$10:O$11,Предпосылки!$I$217,),0),O417/(1+IFERROR(INDEX(O$10:O$11,Предпосылки!$I$218,),0))*IFERROR(INDEX(O$10:O$11,Предпосылки!$I$218,),0),O440/(1+IFERROR(INDEX(O$10:O$11,Предпосылки!$I$219,),0))*IFERROR(INDEX(O$10:O$11,Предпосылки!$I$219,),0),O463/(1+IFERROR(INDEX(O$10:O$11,Предпосылки!$I$220,),0))*IFERROR(INDEX(O$10:O$11,Предпосылки!$I$220,),0))</f>
        <v>0</v>
      </c>
      <c s="125">
        <f>SUM(P26/(1+IFERROR(INDEX(P$10:P$11,Предпосылки!$I$201,),0))*IFERROR(INDEX(P$10:P$11,Предпосылки!$I$201,),0),P49/(1+IFERROR(INDEX(P$10:P$11,Предпосылки!$I$202,),0))*IFERROR(INDEX(P$10:P$11,Предпосылки!$I$202,),0),P72/(1+IFERROR(INDEX(P$10:P$11,Предпосылки!$I$203,),0))*IFERROR(INDEX(P$10:P$11,Предпосылки!$I$203,),0),P95/(1+IFERROR(INDEX(P$10:P$11,Предпосылки!$I$204,),0))*IFERROR(INDEX(P$10:P$11,Предпосылки!$I$204,),0),P118/(1+IFERROR(INDEX(P$10:P$11,Предпосылки!$I$205,),0))*IFERROR(INDEX(P$10:P$11,Предпосылки!$I$205,),0),P141/(1+IFERROR(INDEX(P$10:P$11,Предпосылки!$I$206,),0))*IFERROR(INDEX(P$10:P$11,Предпосылки!$I$206,),0),P164/(1+IFERROR(INDEX(P$10:P$11,Предпосылки!$I$207,),0))*IFERROR(INDEX(P$10:P$11,Предпосылки!$I$207,),0),P187/(1+IFERROR(INDEX(P$10:P$11,Предпосылки!$I$208,),0))*IFERROR(INDEX(P$10:P$11,Предпосылки!$I$208,),0),P210/(1+IFERROR(INDEX(P$10:P$11,Предпосылки!$I$209,),0))*IFERROR(INDEX(P$10:P$11,Предпосылки!$I$209,),0),P233/(1+IFERROR(INDEX(P$10:P$11,Предпосылки!$I$210,),0))*IFERROR(INDEX(P$10:P$11,Предпосылки!$I$210,),0),P256/(1+IFERROR(INDEX(P$10:P$11,Предпосылки!$I$211,),0))*IFERROR(INDEX(P$10:P$11,Предпосылки!$I$211,),0),P279/(1+IFERROR(INDEX(P$10:P$11,Предпосылки!$I$212,),0))*IFERROR(INDEX(P$10:P$11,Предпосылки!$I$212,),0),P302/(1+IFERROR(INDEX(P$10:P$11,Предпосылки!$I$213,),0))*IFERROR(INDEX(P$10:P$11,Предпосылки!$I$213,),0),P325/(1+IFERROR(INDEX(P$10:P$11,Предпосылки!$I$214,),0))*IFERROR(INDEX(P$10:P$11,Предпосылки!$I$214,),0),P348/(1+IFERROR(INDEX(P$10:P$11,Предпосылки!$I$215,),0))*IFERROR(INDEX(P$10:P$11,Предпосылки!$I$215,),0),P371/(1+IFERROR(INDEX(P$10:P$11,Предпосылки!$I$216,),0))*IFERROR(INDEX(P$10:P$11,Предпосылки!$I$216,),0),P394/(1+IFERROR(INDEX(P$10:P$11,Предпосылки!$I$217,),0))*IFERROR(INDEX(P$10:P$11,Предпосылки!$I$217,),0),P417/(1+IFERROR(INDEX(P$10:P$11,Предпосылки!$I$218,),0))*IFERROR(INDEX(P$10:P$11,Предпосылки!$I$218,),0),P440/(1+IFERROR(INDEX(P$10:P$11,Предпосылки!$I$219,),0))*IFERROR(INDEX(P$10:P$11,Предпосылки!$I$219,),0),P463/(1+IFERROR(INDEX(P$10:P$11,Предпосылки!$I$220,),0))*IFERROR(INDEX(P$10:P$11,Предпосылки!$I$220,),0))</f>
        <v>0</v>
      </c>
      <c s="125">
        <f>SUM(Q26/(1+IFERROR(INDEX(Q$10:Q$11,Предпосылки!$I$201,),0))*IFERROR(INDEX(Q$10:Q$11,Предпосылки!$I$201,),0),Q49/(1+IFERROR(INDEX(Q$10:Q$11,Предпосылки!$I$202,),0))*IFERROR(INDEX(Q$10:Q$11,Предпосылки!$I$202,),0),Q72/(1+IFERROR(INDEX(Q$10:Q$11,Предпосылки!$I$203,),0))*IFERROR(INDEX(Q$10:Q$11,Предпосылки!$I$203,),0),Q95/(1+IFERROR(INDEX(Q$10:Q$11,Предпосылки!$I$204,),0))*IFERROR(INDEX(Q$10:Q$11,Предпосылки!$I$204,),0),Q118/(1+IFERROR(INDEX(Q$10:Q$11,Предпосылки!$I$205,),0))*IFERROR(INDEX(Q$10:Q$11,Предпосылки!$I$205,),0),Q141/(1+IFERROR(INDEX(Q$10:Q$11,Предпосылки!$I$206,),0))*IFERROR(INDEX(Q$10:Q$11,Предпосылки!$I$206,),0),Q164/(1+IFERROR(INDEX(Q$10:Q$11,Предпосылки!$I$207,),0))*IFERROR(INDEX(Q$10:Q$11,Предпосылки!$I$207,),0),Q187/(1+IFERROR(INDEX(Q$10:Q$11,Предпосылки!$I$208,),0))*IFERROR(INDEX(Q$10:Q$11,Предпосылки!$I$208,),0),Q210/(1+IFERROR(INDEX(Q$10:Q$11,Предпосылки!$I$209,),0))*IFERROR(INDEX(Q$10:Q$11,Предпосылки!$I$209,),0),Q233/(1+IFERROR(INDEX(Q$10:Q$11,Предпосылки!$I$210,),0))*IFERROR(INDEX(Q$10:Q$11,Предпосылки!$I$210,),0),Q256/(1+IFERROR(INDEX(Q$10:Q$11,Предпосылки!$I$211,),0))*IFERROR(INDEX(Q$10:Q$11,Предпосылки!$I$211,),0),Q279/(1+IFERROR(INDEX(Q$10:Q$11,Предпосылки!$I$212,),0))*IFERROR(INDEX(Q$10:Q$11,Предпосылки!$I$212,),0),Q302/(1+IFERROR(INDEX(Q$10:Q$11,Предпосылки!$I$213,),0))*IFERROR(INDEX(Q$10:Q$11,Предпосылки!$I$213,),0),Q325/(1+IFERROR(INDEX(Q$10:Q$11,Предпосылки!$I$214,),0))*IFERROR(INDEX(Q$10:Q$11,Предпосылки!$I$214,),0),Q348/(1+IFERROR(INDEX(Q$10:Q$11,Предпосылки!$I$215,),0))*IFERROR(INDEX(Q$10:Q$11,Предпосылки!$I$215,),0),Q371/(1+IFERROR(INDEX(Q$10:Q$11,Предпосылки!$I$216,),0))*IFERROR(INDEX(Q$10:Q$11,Предпосылки!$I$216,),0),Q394/(1+IFERROR(INDEX(Q$10:Q$11,Предпосылки!$I$217,),0))*IFERROR(INDEX(Q$10:Q$11,Предпосылки!$I$217,),0),Q417/(1+IFERROR(INDEX(Q$10:Q$11,Предпосылки!$I$218,),0))*IFERROR(INDEX(Q$10:Q$11,Предпосылки!$I$218,),0),Q440/(1+IFERROR(INDEX(Q$10:Q$11,Предпосылки!$I$219,),0))*IFERROR(INDEX(Q$10:Q$11,Предпосылки!$I$219,),0),Q463/(1+IFERROR(INDEX(Q$10:Q$11,Предпосылки!$I$220,),0))*IFERROR(INDEX(Q$10:Q$11,Предпосылки!$I$220,),0))</f>
        <v>0</v>
      </c>
      <c s="125">
        <f>SUM(R26/(1+IFERROR(INDEX(R$10:R$11,Предпосылки!$I$201,),0))*IFERROR(INDEX(R$10:R$11,Предпосылки!$I$201,),0),R49/(1+IFERROR(INDEX(R$10:R$11,Предпосылки!$I$202,),0))*IFERROR(INDEX(R$10:R$11,Предпосылки!$I$202,),0),R72/(1+IFERROR(INDEX(R$10:R$11,Предпосылки!$I$203,),0))*IFERROR(INDEX(R$10:R$11,Предпосылки!$I$203,),0),R95/(1+IFERROR(INDEX(R$10:R$11,Предпосылки!$I$204,),0))*IFERROR(INDEX(R$10:R$11,Предпосылки!$I$204,),0),R118/(1+IFERROR(INDEX(R$10:R$11,Предпосылки!$I$205,),0))*IFERROR(INDEX(R$10:R$11,Предпосылки!$I$205,),0),R141/(1+IFERROR(INDEX(R$10:R$11,Предпосылки!$I$206,),0))*IFERROR(INDEX(R$10:R$11,Предпосылки!$I$206,),0),R164/(1+IFERROR(INDEX(R$10:R$11,Предпосылки!$I$207,),0))*IFERROR(INDEX(R$10:R$11,Предпосылки!$I$207,),0),R187/(1+IFERROR(INDEX(R$10:R$11,Предпосылки!$I$208,),0))*IFERROR(INDEX(R$10:R$11,Предпосылки!$I$208,),0),R210/(1+IFERROR(INDEX(R$10:R$11,Предпосылки!$I$209,),0))*IFERROR(INDEX(R$10:R$11,Предпосылки!$I$209,),0),R233/(1+IFERROR(INDEX(R$10:R$11,Предпосылки!$I$210,),0))*IFERROR(INDEX(R$10:R$11,Предпосылки!$I$210,),0),R256/(1+IFERROR(INDEX(R$10:R$11,Предпосылки!$I$211,),0))*IFERROR(INDEX(R$10:R$11,Предпосылки!$I$211,),0),R279/(1+IFERROR(INDEX(R$10:R$11,Предпосылки!$I$212,),0))*IFERROR(INDEX(R$10:R$11,Предпосылки!$I$212,),0),R302/(1+IFERROR(INDEX(R$10:R$11,Предпосылки!$I$213,),0))*IFERROR(INDEX(R$10:R$11,Предпосылки!$I$213,),0),R325/(1+IFERROR(INDEX(R$10:R$11,Предпосылки!$I$214,),0))*IFERROR(INDEX(R$10:R$11,Предпосылки!$I$214,),0),R348/(1+IFERROR(INDEX(R$10:R$11,Предпосылки!$I$215,),0))*IFERROR(INDEX(R$10:R$11,Предпосылки!$I$215,),0),R371/(1+IFERROR(INDEX(R$10:R$11,Предпосылки!$I$216,),0))*IFERROR(INDEX(R$10:R$11,Предпосылки!$I$216,),0),R394/(1+IFERROR(INDEX(R$10:R$11,Предпосылки!$I$217,),0))*IFERROR(INDEX(R$10:R$11,Предпосылки!$I$217,),0),R417/(1+IFERROR(INDEX(R$10:R$11,Предпосылки!$I$218,),0))*IFERROR(INDEX(R$10:R$11,Предпосылки!$I$218,),0),R440/(1+IFERROR(INDEX(R$10:R$11,Предпосылки!$I$219,),0))*IFERROR(INDEX(R$10:R$11,Предпосылки!$I$219,),0),R463/(1+IFERROR(INDEX(R$10:R$11,Предпосылки!$I$220,),0))*IFERROR(INDEX(R$10:R$11,Предпосылки!$I$220,),0))</f>
        <v>0</v>
      </c>
      <c s="125">
        <f>SUM(S26/(1+IFERROR(INDEX(S$10:S$11,Предпосылки!$I$201,),0))*IFERROR(INDEX(S$10:S$11,Предпосылки!$I$201,),0),S49/(1+IFERROR(INDEX(S$10:S$11,Предпосылки!$I$202,),0))*IFERROR(INDEX(S$10:S$11,Предпосылки!$I$202,),0),S72/(1+IFERROR(INDEX(S$10:S$11,Предпосылки!$I$203,),0))*IFERROR(INDEX(S$10:S$11,Предпосылки!$I$203,),0),S95/(1+IFERROR(INDEX(S$10:S$11,Предпосылки!$I$204,),0))*IFERROR(INDEX(S$10:S$11,Предпосылки!$I$204,),0),S118/(1+IFERROR(INDEX(S$10:S$11,Предпосылки!$I$205,),0))*IFERROR(INDEX(S$10:S$11,Предпосылки!$I$205,),0),S141/(1+IFERROR(INDEX(S$10:S$11,Предпосылки!$I$206,),0))*IFERROR(INDEX(S$10:S$11,Предпосылки!$I$206,),0),S164/(1+IFERROR(INDEX(S$10:S$11,Предпосылки!$I$207,),0))*IFERROR(INDEX(S$10:S$11,Предпосылки!$I$207,),0),S187/(1+IFERROR(INDEX(S$10:S$11,Предпосылки!$I$208,),0))*IFERROR(INDEX(S$10:S$11,Предпосылки!$I$208,),0),S210/(1+IFERROR(INDEX(S$10:S$11,Предпосылки!$I$209,),0))*IFERROR(INDEX(S$10:S$11,Предпосылки!$I$209,),0),S233/(1+IFERROR(INDEX(S$10:S$11,Предпосылки!$I$210,),0))*IFERROR(INDEX(S$10:S$11,Предпосылки!$I$210,),0),S256/(1+IFERROR(INDEX(S$10:S$11,Предпосылки!$I$211,),0))*IFERROR(INDEX(S$10:S$11,Предпосылки!$I$211,),0),S279/(1+IFERROR(INDEX(S$10:S$11,Предпосылки!$I$212,),0))*IFERROR(INDEX(S$10:S$11,Предпосылки!$I$212,),0),S302/(1+IFERROR(INDEX(S$10:S$11,Предпосылки!$I$213,),0))*IFERROR(INDEX(S$10:S$11,Предпосылки!$I$213,),0),S325/(1+IFERROR(INDEX(S$10:S$11,Предпосылки!$I$214,),0))*IFERROR(INDEX(S$10:S$11,Предпосылки!$I$214,),0),S348/(1+IFERROR(INDEX(S$10:S$11,Предпосылки!$I$215,),0))*IFERROR(INDEX(S$10:S$11,Предпосылки!$I$215,),0),S371/(1+IFERROR(INDEX(S$10:S$11,Предпосылки!$I$216,),0))*IFERROR(INDEX(S$10:S$11,Предпосылки!$I$216,),0),S394/(1+IFERROR(INDEX(S$10:S$11,Предпосылки!$I$217,),0))*IFERROR(INDEX(S$10:S$11,Предпосылки!$I$217,),0),S417/(1+IFERROR(INDEX(S$10:S$11,Предпосылки!$I$218,),0))*IFERROR(INDEX(S$10:S$11,Предпосылки!$I$218,),0),S440/(1+IFERROR(INDEX(S$10:S$11,Предпосылки!$I$219,),0))*IFERROR(INDEX(S$10:S$11,Предпосылки!$I$219,),0),S463/(1+IFERROR(INDEX(S$10:S$11,Предпосылки!$I$220,),0))*IFERROR(INDEX(S$10:S$11,Предпосылки!$I$220,),0))</f>
        <v>0</v>
      </c>
      <c s="125">
        <f>SUM(T26/(1+IFERROR(INDEX(T$10:T$11,Предпосылки!$I$201,),0))*IFERROR(INDEX(T$10:T$11,Предпосылки!$I$201,),0),T49/(1+IFERROR(INDEX(T$10:T$11,Предпосылки!$I$202,),0))*IFERROR(INDEX(T$10:T$11,Предпосылки!$I$202,),0),T72/(1+IFERROR(INDEX(T$10:T$11,Предпосылки!$I$203,),0))*IFERROR(INDEX(T$10:T$11,Предпосылки!$I$203,),0),T95/(1+IFERROR(INDEX(T$10:T$11,Предпосылки!$I$204,),0))*IFERROR(INDEX(T$10:T$11,Предпосылки!$I$204,),0),T118/(1+IFERROR(INDEX(T$10:T$11,Предпосылки!$I$205,),0))*IFERROR(INDEX(T$10:T$11,Предпосылки!$I$205,),0),T141/(1+IFERROR(INDEX(T$10:T$11,Предпосылки!$I$206,),0))*IFERROR(INDEX(T$10:T$11,Предпосылки!$I$206,),0),T164/(1+IFERROR(INDEX(T$10:T$11,Предпосылки!$I$207,),0))*IFERROR(INDEX(T$10:T$11,Предпосылки!$I$207,),0),T187/(1+IFERROR(INDEX(T$10:T$11,Предпосылки!$I$208,),0))*IFERROR(INDEX(T$10:T$11,Предпосылки!$I$208,),0),T210/(1+IFERROR(INDEX(T$10:T$11,Предпосылки!$I$209,),0))*IFERROR(INDEX(T$10:T$11,Предпосылки!$I$209,),0),T233/(1+IFERROR(INDEX(T$10:T$11,Предпосылки!$I$210,),0))*IFERROR(INDEX(T$10:T$11,Предпосылки!$I$210,),0),T256/(1+IFERROR(INDEX(T$10:T$11,Предпосылки!$I$211,),0))*IFERROR(INDEX(T$10:T$11,Предпосылки!$I$211,),0),T279/(1+IFERROR(INDEX(T$10:T$11,Предпосылки!$I$212,),0))*IFERROR(INDEX(T$10:T$11,Предпосылки!$I$212,),0),T302/(1+IFERROR(INDEX(T$10:T$11,Предпосылки!$I$213,),0))*IFERROR(INDEX(T$10:T$11,Предпосылки!$I$213,),0),T325/(1+IFERROR(INDEX(T$10:T$11,Предпосылки!$I$214,),0))*IFERROR(INDEX(T$10:T$11,Предпосылки!$I$214,),0),T348/(1+IFERROR(INDEX(T$10:T$11,Предпосылки!$I$215,),0))*IFERROR(INDEX(T$10:T$11,Предпосылки!$I$215,),0),T371/(1+IFERROR(INDEX(T$10:T$11,Предпосылки!$I$216,),0))*IFERROR(INDEX(T$10:T$11,Предпосылки!$I$216,),0),T394/(1+IFERROR(INDEX(T$10:T$11,Предпосылки!$I$217,),0))*IFERROR(INDEX(T$10:T$11,Предпосылки!$I$217,),0),T417/(1+IFERROR(INDEX(T$10:T$11,Предпосылки!$I$218,),0))*IFERROR(INDEX(T$10:T$11,Предпосылки!$I$218,),0),T440/(1+IFERROR(INDEX(T$10:T$11,Предпосылки!$I$219,),0))*IFERROR(INDEX(T$10:T$11,Предпосылки!$I$219,),0),T463/(1+IFERROR(INDEX(T$10:T$11,Предпосылки!$I$220,),0))*IFERROR(INDEX(T$10:T$11,Предпосылки!$I$220,),0))</f>
        <v>0</v>
      </c>
      <c s="125">
        <f>SUM(U26/(1+IFERROR(INDEX(U$10:U$11,Предпосылки!$I$201,),0))*IFERROR(INDEX(U$10:U$11,Предпосылки!$I$201,),0),U49/(1+IFERROR(INDEX(U$10:U$11,Предпосылки!$I$202,),0))*IFERROR(INDEX(U$10:U$11,Предпосылки!$I$202,),0),U72/(1+IFERROR(INDEX(U$10:U$11,Предпосылки!$I$203,),0))*IFERROR(INDEX(U$10:U$11,Предпосылки!$I$203,),0),U95/(1+IFERROR(INDEX(U$10:U$11,Предпосылки!$I$204,),0))*IFERROR(INDEX(U$10:U$11,Предпосылки!$I$204,),0),U118/(1+IFERROR(INDEX(U$10:U$11,Предпосылки!$I$205,),0))*IFERROR(INDEX(U$10:U$11,Предпосылки!$I$205,),0),U141/(1+IFERROR(INDEX(U$10:U$11,Предпосылки!$I$206,),0))*IFERROR(INDEX(U$10:U$11,Предпосылки!$I$206,),0),U164/(1+IFERROR(INDEX(U$10:U$11,Предпосылки!$I$207,),0))*IFERROR(INDEX(U$10:U$11,Предпосылки!$I$207,),0),U187/(1+IFERROR(INDEX(U$10:U$11,Предпосылки!$I$208,),0))*IFERROR(INDEX(U$10:U$11,Предпосылки!$I$208,),0),U210/(1+IFERROR(INDEX(U$10:U$11,Предпосылки!$I$209,),0))*IFERROR(INDEX(U$10:U$11,Предпосылки!$I$209,),0),U233/(1+IFERROR(INDEX(U$10:U$11,Предпосылки!$I$210,),0))*IFERROR(INDEX(U$10:U$11,Предпосылки!$I$210,),0),U256/(1+IFERROR(INDEX(U$10:U$11,Предпосылки!$I$211,),0))*IFERROR(INDEX(U$10:U$11,Предпосылки!$I$211,),0),U279/(1+IFERROR(INDEX(U$10:U$11,Предпосылки!$I$212,),0))*IFERROR(INDEX(U$10:U$11,Предпосылки!$I$212,),0),U302/(1+IFERROR(INDEX(U$10:U$11,Предпосылки!$I$213,),0))*IFERROR(INDEX(U$10:U$11,Предпосылки!$I$213,),0),U325/(1+IFERROR(INDEX(U$10:U$11,Предпосылки!$I$214,),0))*IFERROR(INDEX(U$10:U$11,Предпосылки!$I$214,),0),U348/(1+IFERROR(INDEX(U$10:U$11,Предпосылки!$I$215,),0))*IFERROR(INDEX(U$10:U$11,Предпосылки!$I$215,),0),U371/(1+IFERROR(INDEX(U$10:U$11,Предпосылки!$I$216,),0))*IFERROR(INDEX(U$10:U$11,Предпосылки!$I$216,),0),U394/(1+IFERROR(INDEX(U$10:U$11,Предпосылки!$I$217,),0))*IFERROR(INDEX(U$10:U$11,Предпосылки!$I$217,),0),U417/(1+IFERROR(INDEX(U$10:U$11,Предпосылки!$I$218,),0))*IFERROR(INDEX(U$10:U$11,Предпосылки!$I$218,),0),U440/(1+IFERROR(INDEX(U$10:U$11,Предпосылки!$I$219,),0))*IFERROR(INDEX(U$10:U$11,Предпосылки!$I$219,),0),U463/(1+IFERROR(INDEX(U$10:U$11,Предпосылки!$I$220,),0))*IFERROR(INDEX(U$10:U$11,Предпосылки!$I$220,),0))</f>
        <v>0</v>
      </c>
      <c s="125">
        <f>SUM(V26/(1+IFERROR(INDEX(V$10:V$11,Предпосылки!$I$201,),0))*IFERROR(INDEX(V$10:V$11,Предпосылки!$I$201,),0),V49/(1+IFERROR(INDEX(V$10:V$11,Предпосылки!$I$202,),0))*IFERROR(INDEX(V$10:V$11,Предпосылки!$I$202,),0),V72/(1+IFERROR(INDEX(V$10:V$11,Предпосылки!$I$203,),0))*IFERROR(INDEX(V$10:V$11,Предпосылки!$I$203,),0),V95/(1+IFERROR(INDEX(V$10:V$11,Предпосылки!$I$204,),0))*IFERROR(INDEX(V$10:V$11,Предпосылки!$I$204,),0),V118/(1+IFERROR(INDEX(V$10:V$11,Предпосылки!$I$205,),0))*IFERROR(INDEX(V$10:V$11,Предпосылки!$I$205,),0),V141/(1+IFERROR(INDEX(V$10:V$11,Предпосылки!$I$206,),0))*IFERROR(INDEX(V$10:V$11,Предпосылки!$I$206,),0),V164/(1+IFERROR(INDEX(V$10:V$11,Предпосылки!$I$207,),0))*IFERROR(INDEX(V$10:V$11,Предпосылки!$I$207,),0),V187/(1+IFERROR(INDEX(V$10:V$11,Предпосылки!$I$208,),0))*IFERROR(INDEX(V$10:V$11,Предпосылки!$I$208,),0),V210/(1+IFERROR(INDEX(V$10:V$11,Предпосылки!$I$209,),0))*IFERROR(INDEX(V$10:V$11,Предпосылки!$I$209,),0),V233/(1+IFERROR(INDEX(V$10:V$11,Предпосылки!$I$210,),0))*IFERROR(INDEX(V$10:V$11,Предпосылки!$I$210,),0),V256/(1+IFERROR(INDEX(V$10:V$11,Предпосылки!$I$211,),0))*IFERROR(INDEX(V$10:V$11,Предпосылки!$I$211,),0),V279/(1+IFERROR(INDEX(V$10:V$11,Предпосылки!$I$212,),0))*IFERROR(INDEX(V$10:V$11,Предпосылки!$I$212,),0),V302/(1+IFERROR(INDEX(V$10:V$11,Предпосылки!$I$213,),0))*IFERROR(INDEX(V$10:V$11,Предпосылки!$I$213,),0),V325/(1+IFERROR(INDEX(V$10:V$11,Предпосылки!$I$214,),0))*IFERROR(INDEX(V$10:V$11,Предпосылки!$I$214,),0),V348/(1+IFERROR(INDEX(V$10:V$11,Предпосылки!$I$215,),0))*IFERROR(INDEX(V$10:V$11,Предпосылки!$I$215,),0),V371/(1+IFERROR(INDEX(V$10:V$11,Предпосылки!$I$216,),0))*IFERROR(INDEX(V$10:V$11,Предпосылки!$I$216,),0),V394/(1+IFERROR(INDEX(V$10:V$11,Предпосылки!$I$217,),0))*IFERROR(INDEX(V$10:V$11,Предпосылки!$I$217,),0),V417/(1+IFERROR(INDEX(V$10:V$11,Предпосылки!$I$218,),0))*IFERROR(INDEX(V$10:V$11,Предпосылки!$I$218,),0),V440/(1+IFERROR(INDEX(V$10:V$11,Предпосылки!$I$219,),0))*IFERROR(INDEX(V$10:V$11,Предпосылки!$I$219,),0),V463/(1+IFERROR(INDEX(V$10:V$11,Предпосылки!$I$220,),0))*IFERROR(INDEX(V$10:V$11,Предпосылки!$I$220,),0))</f>
        <v>0</v>
      </c>
      <c s="125">
        <f>SUM(W26/(1+IFERROR(INDEX(W$10:W$11,Предпосылки!$I$201,),0))*IFERROR(INDEX(W$10:W$11,Предпосылки!$I$201,),0),W49/(1+IFERROR(INDEX(W$10:W$11,Предпосылки!$I$202,),0))*IFERROR(INDEX(W$10:W$11,Предпосылки!$I$202,),0),W72/(1+IFERROR(INDEX(W$10:W$11,Предпосылки!$I$203,),0))*IFERROR(INDEX(W$10:W$11,Предпосылки!$I$203,),0),W95/(1+IFERROR(INDEX(W$10:W$11,Предпосылки!$I$204,),0))*IFERROR(INDEX(W$10:W$11,Предпосылки!$I$204,),0),W118/(1+IFERROR(INDEX(W$10:W$11,Предпосылки!$I$205,),0))*IFERROR(INDEX(W$10:W$11,Предпосылки!$I$205,),0),W141/(1+IFERROR(INDEX(W$10:W$11,Предпосылки!$I$206,),0))*IFERROR(INDEX(W$10:W$11,Предпосылки!$I$206,),0),W164/(1+IFERROR(INDEX(W$10:W$11,Предпосылки!$I$207,),0))*IFERROR(INDEX(W$10:W$11,Предпосылки!$I$207,),0),W187/(1+IFERROR(INDEX(W$10:W$11,Предпосылки!$I$208,),0))*IFERROR(INDEX(W$10:W$11,Предпосылки!$I$208,),0),W210/(1+IFERROR(INDEX(W$10:W$11,Предпосылки!$I$209,),0))*IFERROR(INDEX(W$10:W$11,Предпосылки!$I$209,),0),W233/(1+IFERROR(INDEX(W$10:W$11,Предпосылки!$I$210,),0))*IFERROR(INDEX(W$10:W$11,Предпосылки!$I$210,),0),W256/(1+IFERROR(INDEX(W$10:W$11,Предпосылки!$I$211,),0))*IFERROR(INDEX(W$10:W$11,Предпосылки!$I$211,),0),W279/(1+IFERROR(INDEX(W$10:W$11,Предпосылки!$I$212,),0))*IFERROR(INDEX(W$10:W$11,Предпосылки!$I$212,),0),W302/(1+IFERROR(INDEX(W$10:W$11,Предпосылки!$I$213,),0))*IFERROR(INDEX(W$10:W$11,Предпосылки!$I$213,),0),W325/(1+IFERROR(INDEX(W$10:W$11,Предпосылки!$I$214,),0))*IFERROR(INDEX(W$10:W$11,Предпосылки!$I$214,),0),W348/(1+IFERROR(INDEX(W$10:W$11,Предпосылки!$I$215,),0))*IFERROR(INDEX(W$10:W$11,Предпосылки!$I$215,),0),W371/(1+IFERROR(INDEX(W$10:W$11,Предпосылки!$I$216,),0))*IFERROR(INDEX(W$10:W$11,Предпосылки!$I$216,),0),W394/(1+IFERROR(INDEX(W$10:W$11,Предпосылки!$I$217,),0))*IFERROR(INDEX(W$10:W$11,Предпосылки!$I$217,),0),W417/(1+IFERROR(INDEX(W$10:W$11,Предпосылки!$I$218,),0))*IFERROR(INDEX(W$10:W$11,Предпосылки!$I$218,),0),W440/(1+IFERROR(INDEX(W$10:W$11,Предпосылки!$I$219,),0))*IFERROR(INDEX(W$10:W$11,Предпосылки!$I$219,),0),W463/(1+IFERROR(INDEX(W$10:W$11,Предпосылки!$I$220,),0))*IFERROR(INDEX(W$10:W$11,Предпосылки!$I$220,),0))</f>
        <v>0</v>
      </c>
      <c s="125">
        <f>SUM(X26/(1+IFERROR(INDEX(X$10:X$11,Предпосылки!$I$201,),0))*IFERROR(INDEX(X$10:X$11,Предпосылки!$I$201,),0),X49/(1+IFERROR(INDEX(X$10:X$11,Предпосылки!$I$202,),0))*IFERROR(INDEX(X$10:X$11,Предпосылки!$I$202,),0),X72/(1+IFERROR(INDEX(X$10:X$11,Предпосылки!$I$203,),0))*IFERROR(INDEX(X$10:X$11,Предпосылки!$I$203,),0),X95/(1+IFERROR(INDEX(X$10:X$11,Предпосылки!$I$204,),0))*IFERROR(INDEX(X$10:X$11,Предпосылки!$I$204,),0),X118/(1+IFERROR(INDEX(X$10:X$11,Предпосылки!$I$205,),0))*IFERROR(INDEX(X$10:X$11,Предпосылки!$I$205,),0),X141/(1+IFERROR(INDEX(X$10:X$11,Предпосылки!$I$206,),0))*IFERROR(INDEX(X$10:X$11,Предпосылки!$I$206,),0),X164/(1+IFERROR(INDEX(X$10:X$11,Предпосылки!$I$207,),0))*IFERROR(INDEX(X$10:X$11,Предпосылки!$I$207,),0),X187/(1+IFERROR(INDEX(X$10:X$11,Предпосылки!$I$208,),0))*IFERROR(INDEX(X$10:X$11,Предпосылки!$I$208,),0),X210/(1+IFERROR(INDEX(X$10:X$11,Предпосылки!$I$209,),0))*IFERROR(INDEX(X$10:X$11,Предпосылки!$I$209,),0),X233/(1+IFERROR(INDEX(X$10:X$11,Предпосылки!$I$210,),0))*IFERROR(INDEX(X$10:X$11,Предпосылки!$I$210,),0),X256/(1+IFERROR(INDEX(X$10:X$11,Предпосылки!$I$211,),0))*IFERROR(INDEX(X$10:X$11,Предпосылки!$I$211,),0),X279/(1+IFERROR(INDEX(X$10:X$11,Предпосылки!$I$212,),0))*IFERROR(INDEX(X$10:X$11,Предпосылки!$I$212,),0),X302/(1+IFERROR(INDEX(X$10:X$11,Предпосылки!$I$213,),0))*IFERROR(INDEX(X$10:X$11,Предпосылки!$I$213,),0),X325/(1+IFERROR(INDEX(X$10:X$11,Предпосылки!$I$214,),0))*IFERROR(INDEX(X$10:X$11,Предпосылки!$I$214,),0),X348/(1+IFERROR(INDEX(X$10:X$11,Предпосылки!$I$215,),0))*IFERROR(INDEX(X$10:X$11,Предпосылки!$I$215,),0),X371/(1+IFERROR(INDEX(X$10:X$11,Предпосылки!$I$216,),0))*IFERROR(INDEX(X$10:X$11,Предпосылки!$I$216,),0),X394/(1+IFERROR(INDEX(X$10:X$11,Предпосылки!$I$217,),0))*IFERROR(INDEX(X$10:X$11,Предпосылки!$I$217,),0),X417/(1+IFERROR(INDEX(X$10:X$11,Предпосылки!$I$218,),0))*IFERROR(INDEX(X$10:X$11,Предпосылки!$I$218,),0),X440/(1+IFERROR(INDEX(X$10:X$11,Предпосылки!$I$219,),0))*IFERROR(INDEX(X$10:X$11,Предпосылки!$I$219,),0),X463/(1+IFERROR(INDEX(X$10:X$11,Предпосылки!$I$220,),0))*IFERROR(INDEX(X$10:X$11,Предпосылки!$I$220,),0))</f>
        <v>0</v>
      </c>
      <c s="125">
        <f>SUM(Y26/(1+IFERROR(INDEX(Y$10:Y$11,Предпосылки!$I$201,),0))*IFERROR(INDEX(Y$10:Y$11,Предпосылки!$I$201,),0),Y49/(1+IFERROR(INDEX(Y$10:Y$11,Предпосылки!$I$202,),0))*IFERROR(INDEX(Y$10:Y$11,Предпосылки!$I$202,),0),Y72/(1+IFERROR(INDEX(Y$10:Y$11,Предпосылки!$I$203,),0))*IFERROR(INDEX(Y$10:Y$11,Предпосылки!$I$203,),0),Y95/(1+IFERROR(INDEX(Y$10:Y$11,Предпосылки!$I$204,),0))*IFERROR(INDEX(Y$10:Y$11,Предпосылки!$I$204,),0),Y118/(1+IFERROR(INDEX(Y$10:Y$11,Предпосылки!$I$205,),0))*IFERROR(INDEX(Y$10:Y$11,Предпосылки!$I$205,),0),Y141/(1+IFERROR(INDEX(Y$10:Y$11,Предпосылки!$I$206,),0))*IFERROR(INDEX(Y$10:Y$11,Предпосылки!$I$206,),0),Y164/(1+IFERROR(INDEX(Y$10:Y$11,Предпосылки!$I$207,),0))*IFERROR(INDEX(Y$10:Y$11,Предпосылки!$I$207,),0),Y187/(1+IFERROR(INDEX(Y$10:Y$11,Предпосылки!$I$208,),0))*IFERROR(INDEX(Y$10:Y$11,Предпосылки!$I$208,),0),Y210/(1+IFERROR(INDEX(Y$10:Y$11,Предпосылки!$I$209,),0))*IFERROR(INDEX(Y$10:Y$11,Предпосылки!$I$209,),0),Y233/(1+IFERROR(INDEX(Y$10:Y$11,Предпосылки!$I$210,),0))*IFERROR(INDEX(Y$10:Y$11,Предпосылки!$I$210,),0),Y256/(1+IFERROR(INDEX(Y$10:Y$11,Предпосылки!$I$211,),0))*IFERROR(INDEX(Y$10:Y$11,Предпосылки!$I$211,),0),Y279/(1+IFERROR(INDEX(Y$10:Y$11,Предпосылки!$I$212,),0))*IFERROR(INDEX(Y$10:Y$11,Предпосылки!$I$212,),0),Y302/(1+IFERROR(INDEX(Y$10:Y$11,Предпосылки!$I$213,),0))*IFERROR(INDEX(Y$10:Y$11,Предпосылки!$I$213,),0),Y325/(1+IFERROR(INDEX(Y$10:Y$11,Предпосылки!$I$214,),0))*IFERROR(INDEX(Y$10:Y$11,Предпосылки!$I$214,),0),Y348/(1+IFERROR(INDEX(Y$10:Y$11,Предпосылки!$I$215,),0))*IFERROR(INDEX(Y$10:Y$11,Предпосылки!$I$215,),0),Y371/(1+IFERROR(INDEX(Y$10:Y$11,Предпосылки!$I$216,),0))*IFERROR(INDEX(Y$10:Y$11,Предпосылки!$I$216,),0),Y394/(1+IFERROR(INDEX(Y$10:Y$11,Предпосылки!$I$217,),0))*IFERROR(INDEX(Y$10:Y$11,Предпосылки!$I$217,),0),Y417/(1+IFERROR(INDEX(Y$10:Y$11,Предпосылки!$I$218,),0))*IFERROR(INDEX(Y$10:Y$11,Предпосылки!$I$218,),0),Y440/(1+IFERROR(INDEX(Y$10:Y$11,Предпосылки!$I$219,),0))*IFERROR(INDEX(Y$10:Y$11,Предпосылки!$I$219,),0),Y463/(1+IFERROR(INDEX(Y$10:Y$11,Предпосылки!$I$220,),0))*IFERROR(INDEX(Y$10:Y$11,Предпосылки!$I$220,),0))</f>
        <v>0</v>
      </c>
      <c s="125">
        <f>SUM(Z26/(1+IFERROR(INDEX(Z$10:Z$11,Предпосылки!$I$201,),0))*IFERROR(INDEX(Z$10:Z$11,Предпосылки!$I$201,),0),Z49/(1+IFERROR(INDEX(Z$10:Z$11,Предпосылки!$I$202,),0))*IFERROR(INDEX(Z$10:Z$11,Предпосылки!$I$202,),0),Z72/(1+IFERROR(INDEX(Z$10:Z$11,Предпосылки!$I$203,),0))*IFERROR(INDEX(Z$10:Z$11,Предпосылки!$I$203,),0),Z95/(1+IFERROR(INDEX(Z$10:Z$11,Предпосылки!$I$204,),0))*IFERROR(INDEX(Z$10:Z$11,Предпосылки!$I$204,),0),Z118/(1+IFERROR(INDEX(Z$10:Z$11,Предпосылки!$I$205,),0))*IFERROR(INDEX(Z$10:Z$11,Предпосылки!$I$205,),0),Z141/(1+IFERROR(INDEX(Z$10:Z$11,Предпосылки!$I$206,),0))*IFERROR(INDEX(Z$10:Z$11,Предпосылки!$I$206,),0),Z164/(1+IFERROR(INDEX(Z$10:Z$11,Предпосылки!$I$207,),0))*IFERROR(INDEX(Z$10:Z$11,Предпосылки!$I$207,),0),Z187/(1+IFERROR(INDEX(Z$10:Z$11,Предпосылки!$I$208,),0))*IFERROR(INDEX(Z$10:Z$11,Предпосылки!$I$208,),0),Z210/(1+IFERROR(INDEX(Z$10:Z$11,Предпосылки!$I$209,),0))*IFERROR(INDEX(Z$10:Z$11,Предпосылки!$I$209,),0),Z233/(1+IFERROR(INDEX(Z$10:Z$11,Предпосылки!$I$210,),0))*IFERROR(INDEX(Z$10:Z$11,Предпосылки!$I$210,),0),Z256/(1+IFERROR(INDEX(Z$10:Z$11,Предпосылки!$I$211,),0))*IFERROR(INDEX(Z$10:Z$11,Предпосылки!$I$211,),0),Z279/(1+IFERROR(INDEX(Z$10:Z$11,Предпосылки!$I$212,),0))*IFERROR(INDEX(Z$10:Z$11,Предпосылки!$I$212,),0),Z302/(1+IFERROR(INDEX(Z$10:Z$11,Предпосылки!$I$213,),0))*IFERROR(INDEX(Z$10:Z$11,Предпосылки!$I$213,),0),Z325/(1+IFERROR(INDEX(Z$10:Z$11,Предпосылки!$I$214,),0))*IFERROR(INDEX(Z$10:Z$11,Предпосылки!$I$214,),0),Z348/(1+IFERROR(INDEX(Z$10:Z$11,Предпосылки!$I$215,),0))*IFERROR(INDEX(Z$10:Z$11,Предпосылки!$I$215,),0),Z371/(1+IFERROR(INDEX(Z$10:Z$11,Предпосылки!$I$216,),0))*IFERROR(INDEX(Z$10:Z$11,Предпосылки!$I$216,),0),Z394/(1+IFERROR(INDEX(Z$10:Z$11,Предпосылки!$I$217,),0))*IFERROR(INDEX(Z$10:Z$11,Предпосылки!$I$217,),0),Z417/(1+IFERROR(INDEX(Z$10:Z$11,Предпосылки!$I$218,),0))*IFERROR(INDEX(Z$10:Z$11,Предпосылки!$I$218,),0),Z440/(1+IFERROR(INDEX(Z$10:Z$11,Предпосылки!$I$219,),0))*IFERROR(INDEX(Z$10:Z$11,Предпосылки!$I$219,),0),Z463/(1+IFERROR(INDEX(Z$10:Z$11,Предпосылки!$I$220,),0))*IFERROR(INDEX(Z$10:Z$11,Предпосылки!$I$220,),0))</f>
        <v>0</v>
      </c>
      <c s="125">
        <f>SUM(AA26/(1+IFERROR(INDEX(AA$10:AA$11,Предпосылки!$I$201,),0))*IFERROR(INDEX(AA$10:AA$11,Предпосылки!$I$201,),0),AA49/(1+IFERROR(INDEX(AA$10:AA$11,Предпосылки!$I$202,),0))*IFERROR(INDEX(AA$10:AA$11,Предпосылки!$I$202,),0),AA72/(1+IFERROR(INDEX(AA$10:AA$11,Предпосылки!$I$203,),0))*IFERROR(INDEX(AA$10:AA$11,Предпосылки!$I$203,),0),AA95/(1+IFERROR(INDEX(AA$10:AA$11,Предпосылки!$I$204,),0))*IFERROR(INDEX(AA$10:AA$11,Предпосылки!$I$204,),0),AA118/(1+IFERROR(INDEX(AA$10:AA$11,Предпосылки!$I$205,),0))*IFERROR(INDEX(AA$10:AA$11,Предпосылки!$I$205,),0),AA141/(1+IFERROR(INDEX(AA$10:AA$11,Предпосылки!$I$206,),0))*IFERROR(INDEX(AA$10:AA$11,Предпосылки!$I$206,),0),AA164/(1+IFERROR(INDEX(AA$10:AA$11,Предпосылки!$I$207,),0))*IFERROR(INDEX(AA$10:AA$11,Предпосылки!$I$207,),0),AA187/(1+IFERROR(INDEX(AA$10:AA$11,Предпосылки!$I$208,),0))*IFERROR(INDEX(AA$10:AA$11,Предпосылки!$I$208,),0),AA210/(1+IFERROR(INDEX(AA$10:AA$11,Предпосылки!$I$209,),0))*IFERROR(INDEX(AA$10:AA$11,Предпосылки!$I$209,),0),AA233/(1+IFERROR(INDEX(AA$10:AA$11,Предпосылки!$I$210,),0))*IFERROR(INDEX(AA$10:AA$11,Предпосылки!$I$210,),0),AA256/(1+IFERROR(INDEX(AA$10:AA$11,Предпосылки!$I$211,),0))*IFERROR(INDEX(AA$10:AA$11,Предпосылки!$I$211,),0),AA279/(1+IFERROR(INDEX(AA$10:AA$11,Предпосылки!$I$212,),0))*IFERROR(INDEX(AA$10:AA$11,Предпосылки!$I$212,),0),AA302/(1+IFERROR(INDEX(AA$10:AA$11,Предпосылки!$I$213,),0))*IFERROR(INDEX(AA$10:AA$11,Предпосылки!$I$213,),0),AA325/(1+IFERROR(INDEX(AA$10:AA$11,Предпосылки!$I$214,),0))*IFERROR(INDEX(AA$10:AA$11,Предпосылки!$I$214,),0),AA348/(1+IFERROR(INDEX(AA$10:AA$11,Предпосылки!$I$215,),0))*IFERROR(INDEX(AA$10:AA$11,Предпосылки!$I$215,),0),AA371/(1+IFERROR(INDEX(AA$10:AA$11,Предпосылки!$I$216,),0))*IFERROR(INDEX(AA$10:AA$11,Предпосылки!$I$216,),0),AA394/(1+IFERROR(INDEX(AA$10:AA$11,Предпосылки!$I$217,),0))*IFERROR(INDEX(AA$10:AA$11,Предпосылки!$I$217,),0),AA417/(1+IFERROR(INDEX(AA$10:AA$11,Предпосылки!$I$218,),0))*IFERROR(INDEX(AA$10:AA$11,Предпосылки!$I$218,),0),AA440/(1+IFERROR(INDEX(AA$10:AA$11,Предпосылки!$I$219,),0))*IFERROR(INDEX(AA$10:AA$11,Предпосылки!$I$219,),0),AA463/(1+IFERROR(INDEX(AA$10:AA$11,Предпосылки!$I$220,),0))*IFERROR(INDEX(AA$10:AA$11,Предпосылки!$I$220,),0))</f>
        <v>0</v>
      </c>
      <c s="125">
        <f>SUM(AB26/(1+IFERROR(INDEX(AB$10:AB$11,Предпосылки!$I$201,),0))*IFERROR(INDEX(AB$10:AB$11,Предпосылки!$I$201,),0),AB49/(1+IFERROR(INDEX(AB$10:AB$11,Предпосылки!$I$202,),0))*IFERROR(INDEX(AB$10:AB$11,Предпосылки!$I$202,),0),AB72/(1+IFERROR(INDEX(AB$10:AB$11,Предпосылки!$I$203,),0))*IFERROR(INDEX(AB$10:AB$11,Предпосылки!$I$203,),0),AB95/(1+IFERROR(INDEX(AB$10:AB$11,Предпосылки!$I$204,),0))*IFERROR(INDEX(AB$10:AB$11,Предпосылки!$I$204,),0),AB118/(1+IFERROR(INDEX(AB$10:AB$11,Предпосылки!$I$205,),0))*IFERROR(INDEX(AB$10:AB$11,Предпосылки!$I$205,),0),AB141/(1+IFERROR(INDEX(AB$10:AB$11,Предпосылки!$I$206,),0))*IFERROR(INDEX(AB$10:AB$11,Предпосылки!$I$206,),0),AB164/(1+IFERROR(INDEX(AB$10:AB$11,Предпосылки!$I$207,),0))*IFERROR(INDEX(AB$10:AB$11,Предпосылки!$I$207,),0),AB187/(1+IFERROR(INDEX(AB$10:AB$11,Предпосылки!$I$208,),0))*IFERROR(INDEX(AB$10:AB$11,Предпосылки!$I$208,),0),AB210/(1+IFERROR(INDEX(AB$10:AB$11,Предпосылки!$I$209,),0))*IFERROR(INDEX(AB$10:AB$11,Предпосылки!$I$209,),0),AB233/(1+IFERROR(INDEX(AB$10:AB$11,Предпосылки!$I$210,),0))*IFERROR(INDEX(AB$10:AB$11,Предпосылки!$I$210,),0),AB256/(1+IFERROR(INDEX(AB$10:AB$11,Предпосылки!$I$211,),0))*IFERROR(INDEX(AB$10:AB$11,Предпосылки!$I$211,),0),AB279/(1+IFERROR(INDEX(AB$10:AB$11,Предпосылки!$I$212,),0))*IFERROR(INDEX(AB$10:AB$11,Предпосылки!$I$212,),0),AB302/(1+IFERROR(INDEX(AB$10:AB$11,Предпосылки!$I$213,),0))*IFERROR(INDEX(AB$10:AB$11,Предпосылки!$I$213,),0),AB325/(1+IFERROR(INDEX(AB$10:AB$11,Предпосылки!$I$214,),0))*IFERROR(INDEX(AB$10:AB$11,Предпосылки!$I$214,),0),AB348/(1+IFERROR(INDEX(AB$10:AB$11,Предпосылки!$I$215,),0))*IFERROR(INDEX(AB$10:AB$11,Предпосылки!$I$215,),0),AB371/(1+IFERROR(INDEX(AB$10:AB$11,Предпосылки!$I$216,),0))*IFERROR(INDEX(AB$10:AB$11,Предпосылки!$I$216,),0),AB394/(1+IFERROR(INDEX(AB$10:AB$11,Предпосылки!$I$217,),0))*IFERROR(INDEX(AB$10:AB$11,Предпосылки!$I$217,),0),AB417/(1+IFERROR(INDEX(AB$10:AB$11,Предпосылки!$I$218,),0))*IFERROR(INDEX(AB$10:AB$11,Предпосылки!$I$218,),0),AB440/(1+IFERROR(INDEX(AB$10:AB$11,Предпосылки!$I$219,),0))*IFERROR(INDEX(AB$10:AB$11,Предпосылки!$I$219,),0),AB463/(1+IFERROR(INDEX(AB$10:AB$11,Предпосылки!$I$220,),0))*IFERROR(INDEX(AB$10:AB$11,Предпосылки!$I$220,),0))</f>
        <v>0</v>
      </c>
      <c s="125">
        <f>SUM(AC26/(1+IFERROR(INDEX(AC$10:AC$11,Предпосылки!$I$201,),0))*IFERROR(INDEX(AC$10:AC$11,Предпосылки!$I$201,),0),AC49/(1+IFERROR(INDEX(AC$10:AC$11,Предпосылки!$I$202,),0))*IFERROR(INDEX(AC$10:AC$11,Предпосылки!$I$202,),0),AC72/(1+IFERROR(INDEX(AC$10:AC$11,Предпосылки!$I$203,),0))*IFERROR(INDEX(AC$10:AC$11,Предпосылки!$I$203,),0),AC95/(1+IFERROR(INDEX(AC$10:AC$11,Предпосылки!$I$204,),0))*IFERROR(INDEX(AC$10:AC$11,Предпосылки!$I$204,),0),AC118/(1+IFERROR(INDEX(AC$10:AC$11,Предпосылки!$I$205,),0))*IFERROR(INDEX(AC$10:AC$11,Предпосылки!$I$205,),0),AC141/(1+IFERROR(INDEX(AC$10:AC$11,Предпосылки!$I$206,),0))*IFERROR(INDEX(AC$10:AC$11,Предпосылки!$I$206,),0),AC164/(1+IFERROR(INDEX(AC$10:AC$11,Предпосылки!$I$207,),0))*IFERROR(INDEX(AC$10:AC$11,Предпосылки!$I$207,),0),AC187/(1+IFERROR(INDEX(AC$10:AC$11,Предпосылки!$I$208,),0))*IFERROR(INDEX(AC$10:AC$11,Предпосылки!$I$208,),0),AC210/(1+IFERROR(INDEX(AC$10:AC$11,Предпосылки!$I$209,),0))*IFERROR(INDEX(AC$10:AC$11,Предпосылки!$I$209,),0),AC233/(1+IFERROR(INDEX(AC$10:AC$11,Предпосылки!$I$210,),0))*IFERROR(INDEX(AC$10:AC$11,Предпосылки!$I$210,),0),AC256/(1+IFERROR(INDEX(AC$10:AC$11,Предпосылки!$I$211,),0))*IFERROR(INDEX(AC$10:AC$11,Предпосылки!$I$211,),0),AC279/(1+IFERROR(INDEX(AC$10:AC$11,Предпосылки!$I$212,),0))*IFERROR(INDEX(AC$10:AC$11,Предпосылки!$I$212,),0),AC302/(1+IFERROR(INDEX(AC$10:AC$11,Предпосылки!$I$213,),0))*IFERROR(INDEX(AC$10:AC$11,Предпосылки!$I$213,),0),AC325/(1+IFERROR(INDEX(AC$10:AC$11,Предпосылки!$I$214,),0))*IFERROR(INDEX(AC$10:AC$11,Предпосылки!$I$214,),0),AC348/(1+IFERROR(INDEX(AC$10:AC$11,Предпосылки!$I$215,),0))*IFERROR(INDEX(AC$10:AC$11,Предпосылки!$I$215,),0),AC371/(1+IFERROR(INDEX(AC$10:AC$11,Предпосылки!$I$216,),0))*IFERROR(INDEX(AC$10:AC$11,Предпосылки!$I$216,),0),AC394/(1+IFERROR(INDEX(AC$10:AC$11,Предпосылки!$I$217,),0))*IFERROR(INDEX(AC$10:AC$11,Предпосылки!$I$217,),0),AC417/(1+IFERROR(INDEX(AC$10:AC$11,Предпосылки!$I$218,),0))*IFERROR(INDEX(AC$10:AC$11,Предпосылки!$I$218,),0),AC440/(1+IFERROR(INDEX(AC$10:AC$11,Предпосылки!$I$219,),0))*IFERROR(INDEX(AC$10:AC$11,Предпосылки!$I$219,),0),AC463/(1+IFERROR(INDEX(AC$10:AC$11,Предпосылки!$I$220,),0))*IFERROR(INDEX(AC$10:AC$11,Предпосылки!$I$220,),0))</f>
        <v>0</v>
      </c>
      <c s="125">
        <f>SUM(AD26/(1+IFERROR(INDEX(AD$10:AD$11,Предпосылки!$I$201,),0))*IFERROR(INDEX(AD$10:AD$11,Предпосылки!$I$201,),0),AD49/(1+IFERROR(INDEX(AD$10:AD$11,Предпосылки!$I$202,),0))*IFERROR(INDEX(AD$10:AD$11,Предпосылки!$I$202,),0),AD72/(1+IFERROR(INDEX(AD$10:AD$11,Предпосылки!$I$203,),0))*IFERROR(INDEX(AD$10:AD$11,Предпосылки!$I$203,),0),AD95/(1+IFERROR(INDEX(AD$10:AD$11,Предпосылки!$I$204,),0))*IFERROR(INDEX(AD$10:AD$11,Предпосылки!$I$204,),0),AD118/(1+IFERROR(INDEX(AD$10:AD$11,Предпосылки!$I$205,),0))*IFERROR(INDEX(AD$10:AD$11,Предпосылки!$I$205,),0),AD141/(1+IFERROR(INDEX(AD$10:AD$11,Предпосылки!$I$206,),0))*IFERROR(INDEX(AD$10:AD$11,Предпосылки!$I$206,),0),AD164/(1+IFERROR(INDEX(AD$10:AD$11,Предпосылки!$I$207,),0))*IFERROR(INDEX(AD$10:AD$11,Предпосылки!$I$207,),0),AD187/(1+IFERROR(INDEX(AD$10:AD$11,Предпосылки!$I$208,),0))*IFERROR(INDEX(AD$10:AD$11,Предпосылки!$I$208,),0),AD210/(1+IFERROR(INDEX(AD$10:AD$11,Предпосылки!$I$209,),0))*IFERROR(INDEX(AD$10:AD$11,Предпосылки!$I$209,),0),AD233/(1+IFERROR(INDEX(AD$10:AD$11,Предпосылки!$I$210,),0))*IFERROR(INDEX(AD$10:AD$11,Предпосылки!$I$210,),0),AD256/(1+IFERROR(INDEX(AD$10:AD$11,Предпосылки!$I$211,),0))*IFERROR(INDEX(AD$10:AD$11,Предпосылки!$I$211,),0),AD279/(1+IFERROR(INDEX(AD$10:AD$11,Предпосылки!$I$212,),0))*IFERROR(INDEX(AD$10:AD$11,Предпосылки!$I$212,),0),AD302/(1+IFERROR(INDEX(AD$10:AD$11,Предпосылки!$I$213,),0))*IFERROR(INDEX(AD$10:AD$11,Предпосылки!$I$213,),0),AD325/(1+IFERROR(INDEX(AD$10:AD$11,Предпосылки!$I$214,),0))*IFERROR(INDEX(AD$10:AD$11,Предпосылки!$I$214,),0),AD348/(1+IFERROR(INDEX(AD$10:AD$11,Предпосылки!$I$215,),0))*IFERROR(INDEX(AD$10:AD$11,Предпосылки!$I$215,),0),AD371/(1+IFERROR(INDEX(AD$10:AD$11,Предпосылки!$I$216,),0))*IFERROR(INDEX(AD$10:AD$11,Предпосылки!$I$216,),0),AD394/(1+IFERROR(INDEX(AD$10:AD$11,Предпосылки!$I$217,),0))*IFERROR(INDEX(AD$10:AD$11,Предпосылки!$I$217,),0),AD417/(1+IFERROR(INDEX(AD$10:AD$11,Предпосылки!$I$218,),0))*IFERROR(INDEX(AD$10:AD$11,Предпосылки!$I$218,),0),AD440/(1+IFERROR(INDEX(AD$10:AD$11,Предпосылки!$I$219,),0))*IFERROR(INDEX(AD$10:AD$11,Предпосылки!$I$219,),0),AD463/(1+IFERROR(INDEX(AD$10:AD$11,Предпосылки!$I$220,),0))*IFERROR(INDEX(AD$10:AD$11,Предпосылки!$I$220,),0))</f>
        <v>0</v>
      </c>
      <c s="125">
        <f>SUM(AE26/(1+IFERROR(INDEX(AE$10:AE$11,Предпосылки!$I$201,),0))*IFERROR(INDEX(AE$10:AE$11,Предпосылки!$I$201,),0),AE49/(1+IFERROR(INDEX(AE$10:AE$11,Предпосылки!$I$202,),0))*IFERROR(INDEX(AE$10:AE$11,Предпосылки!$I$202,),0),AE72/(1+IFERROR(INDEX(AE$10:AE$11,Предпосылки!$I$203,),0))*IFERROR(INDEX(AE$10:AE$11,Предпосылки!$I$203,),0),AE95/(1+IFERROR(INDEX(AE$10:AE$11,Предпосылки!$I$204,),0))*IFERROR(INDEX(AE$10:AE$11,Предпосылки!$I$204,),0),AE118/(1+IFERROR(INDEX(AE$10:AE$11,Предпосылки!$I$205,),0))*IFERROR(INDEX(AE$10:AE$11,Предпосылки!$I$205,),0),AE141/(1+IFERROR(INDEX(AE$10:AE$11,Предпосылки!$I$206,),0))*IFERROR(INDEX(AE$10:AE$11,Предпосылки!$I$206,),0),AE164/(1+IFERROR(INDEX(AE$10:AE$11,Предпосылки!$I$207,),0))*IFERROR(INDEX(AE$10:AE$11,Предпосылки!$I$207,),0),AE187/(1+IFERROR(INDEX(AE$10:AE$11,Предпосылки!$I$208,),0))*IFERROR(INDEX(AE$10:AE$11,Предпосылки!$I$208,),0),AE210/(1+IFERROR(INDEX(AE$10:AE$11,Предпосылки!$I$209,),0))*IFERROR(INDEX(AE$10:AE$11,Предпосылки!$I$209,),0),AE233/(1+IFERROR(INDEX(AE$10:AE$11,Предпосылки!$I$210,),0))*IFERROR(INDEX(AE$10:AE$11,Предпосылки!$I$210,),0),AE256/(1+IFERROR(INDEX(AE$10:AE$11,Предпосылки!$I$211,),0))*IFERROR(INDEX(AE$10:AE$11,Предпосылки!$I$211,),0),AE279/(1+IFERROR(INDEX(AE$10:AE$11,Предпосылки!$I$212,),0))*IFERROR(INDEX(AE$10:AE$11,Предпосылки!$I$212,),0),AE302/(1+IFERROR(INDEX(AE$10:AE$11,Предпосылки!$I$213,),0))*IFERROR(INDEX(AE$10:AE$11,Предпосылки!$I$213,),0),AE325/(1+IFERROR(INDEX(AE$10:AE$11,Предпосылки!$I$214,),0))*IFERROR(INDEX(AE$10:AE$11,Предпосылки!$I$214,),0),AE348/(1+IFERROR(INDEX(AE$10:AE$11,Предпосылки!$I$215,),0))*IFERROR(INDEX(AE$10:AE$11,Предпосылки!$I$215,),0),AE371/(1+IFERROR(INDEX(AE$10:AE$11,Предпосылки!$I$216,),0))*IFERROR(INDEX(AE$10:AE$11,Предпосылки!$I$216,),0),AE394/(1+IFERROR(INDEX(AE$10:AE$11,Предпосылки!$I$217,),0))*IFERROR(INDEX(AE$10:AE$11,Предпосылки!$I$217,),0),AE417/(1+IFERROR(INDEX(AE$10:AE$11,Предпосылки!$I$218,),0))*IFERROR(INDEX(AE$10:AE$11,Предпосылки!$I$218,),0),AE440/(1+IFERROR(INDEX(AE$10:AE$11,Предпосылки!$I$219,),0))*IFERROR(INDEX(AE$10:AE$11,Предпосылки!$I$219,),0),AE463/(1+IFERROR(INDEX(AE$10:AE$11,Предпосылки!$I$220,),0))*IFERROR(INDEX(AE$10:AE$11,Предпосылки!$I$220,),0))</f>
        <v>0</v>
      </c>
      <c s="125">
        <f>SUM(AF26/(1+IFERROR(INDEX(AF$10:AF$11,Предпосылки!$I$201,),0))*IFERROR(INDEX(AF$10:AF$11,Предпосылки!$I$201,),0),AF49/(1+IFERROR(INDEX(AF$10:AF$11,Предпосылки!$I$202,),0))*IFERROR(INDEX(AF$10:AF$11,Предпосылки!$I$202,),0),AF72/(1+IFERROR(INDEX(AF$10:AF$11,Предпосылки!$I$203,),0))*IFERROR(INDEX(AF$10:AF$11,Предпосылки!$I$203,),0),AF95/(1+IFERROR(INDEX(AF$10:AF$11,Предпосылки!$I$204,),0))*IFERROR(INDEX(AF$10:AF$11,Предпосылки!$I$204,),0),AF118/(1+IFERROR(INDEX(AF$10:AF$11,Предпосылки!$I$205,),0))*IFERROR(INDEX(AF$10:AF$11,Предпосылки!$I$205,),0),AF141/(1+IFERROR(INDEX(AF$10:AF$11,Предпосылки!$I$206,),0))*IFERROR(INDEX(AF$10:AF$11,Предпосылки!$I$206,),0),AF164/(1+IFERROR(INDEX(AF$10:AF$11,Предпосылки!$I$207,),0))*IFERROR(INDEX(AF$10:AF$11,Предпосылки!$I$207,),0),AF187/(1+IFERROR(INDEX(AF$10:AF$11,Предпосылки!$I$208,),0))*IFERROR(INDEX(AF$10:AF$11,Предпосылки!$I$208,),0),AF210/(1+IFERROR(INDEX(AF$10:AF$11,Предпосылки!$I$209,),0))*IFERROR(INDEX(AF$10:AF$11,Предпосылки!$I$209,),0),AF233/(1+IFERROR(INDEX(AF$10:AF$11,Предпосылки!$I$210,),0))*IFERROR(INDEX(AF$10:AF$11,Предпосылки!$I$210,),0),AF256/(1+IFERROR(INDEX(AF$10:AF$11,Предпосылки!$I$211,),0))*IFERROR(INDEX(AF$10:AF$11,Предпосылки!$I$211,),0),AF279/(1+IFERROR(INDEX(AF$10:AF$11,Предпосылки!$I$212,),0))*IFERROR(INDEX(AF$10:AF$11,Предпосылки!$I$212,),0),AF302/(1+IFERROR(INDEX(AF$10:AF$11,Предпосылки!$I$213,),0))*IFERROR(INDEX(AF$10:AF$11,Предпосылки!$I$213,),0),AF325/(1+IFERROR(INDEX(AF$10:AF$11,Предпосылки!$I$214,),0))*IFERROR(INDEX(AF$10:AF$11,Предпосылки!$I$214,),0),AF348/(1+IFERROR(INDEX(AF$10:AF$11,Предпосылки!$I$215,),0))*IFERROR(INDEX(AF$10:AF$11,Предпосылки!$I$215,),0),AF371/(1+IFERROR(INDEX(AF$10:AF$11,Предпосылки!$I$216,),0))*IFERROR(INDEX(AF$10:AF$11,Предпосылки!$I$216,),0),AF394/(1+IFERROR(INDEX(AF$10:AF$11,Предпосылки!$I$217,),0))*IFERROR(INDEX(AF$10:AF$11,Предпосылки!$I$217,),0),AF417/(1+IFERROR(INDEX(AF$10:AF$11,Предпосылки!$I$218,),0))*IFERROR(INDEX(AF$10:AF$11,Предпосылки!$I$218,),0),AF440/(1+IFERROR(INDEX(AF$10:AF$11,Предпосылки!$I$219,),0))*IFERROR(INDEX(AF$10:AF$11,Предпосылки!$I$219,),0),AF463/(1+IFERROR(INDEX(AF$10:AF$11,Предпосылки!$I$220,),0))*IFERROR(INDEX(AF$10:AF$11,Предпосылки!$I$220,),0))</f>
        <v>0</v>
      </c>
      <c s="125">
        <f>SUM(AG26/(1+IFERROR(INDEX(AG$10:AG$11,Предпосылки!$I$201,),0))*IFERROR(INDEX(AG$10:AG$11,Предпосылки!$I$201,),0),AG49/(1+IFERROR(INDEX(AG$10:AG$11,Предпосылки!$I$202,),0))*IFERROR(INDEX(AG$10:AG$11,Предпосылки!$I$202,),0),AG72/(1+IFERROR(INDEX(AG$10:AG$11,Предпосылки!$I$203,),0))*IFERROR(INDEX(AG$10:AG$11,Предпосылки!$I$203,),0),AG95/(1+IFERROR(INDEX(AG$10:AG$11,Предпосылки!$I$204,),0))*IFERROR(INDEX(AG$10:AG$11,Предпосылки!$I$204,),0),AG118/(1+IFERROR(INDEX(AG$10:AG$11,Предпосылки!$I$205,),0))*IFERROR(INDEX(AG$10:AG$11,Предпосылки!$I$205,),0),AG141/(1+IFERROR(INDEX(AG$10:AG$11,Предпосылки!$I$206,),0))*IFERROR(INDEX(AG$10:AG$11,Предпосылки!$I$206,),0),AG164/(1+IFERROR(INDEX(AG$10:AG$11,Предпосылки!$I$207,),0))*IFERROR(INDEX(AG$10:AG$11,Предпосылки!$I$207,),0),AG187/(1+IFERROR(INDEX(AG$10:AG$11,Предпосылки!$I$208,),0))*IFERROR(INDEX(AG$10:AG$11,Предпосылки!$I$208,),0),AG210/(1+IFERROR(INDEX(AG$10:AG$11,Предпосылки!$I$209,),0))*IFERROR(INDEX(AG$10:AG$11,Предпосылки!$I$209,),0),AG233/(1+IFERROR(INDEX(AG$10:AG$11,Предпосылки!$I$210,),0))*IFERROR(INDEX(AG$10:AG$11,Предпосылки!$I$210,),0),AG256/(1+IFERROR(INDEX(AG$10:AG$11,Предпосылки!$I$211,),0))*IFERROR(INDEX(AG$10:AG$11,Предпосылки!$I$211,),0),AG279/(1+IFERROR(INDEX(AG$10:AG$11,Предпосылки!$I$212,),0))*IFERROR(INDEX(AG$10:AG$11,Предпосылки!$I$212,),0),AG302/(1+IFERROR(INDEX(AG$10:AG$11,Предпосылки!$I$213,),0))*IFERROR(INDEX(AG$10:AG$11,Предпосылки!$I$213,),0),AG325/(1+IFERROR(INDEX(AG$10:AG$11,Предпосылки!$I$214,),0))*IFERROR(INDEX(AG$10:AG$11,Предпосылки!$I$214,),0),AG348/(1+IFERROR(INDEX(AG$10:AG$11,Предпосылки!$I$215,),0))*IFERROR(INDEX(AG$10:AG$11,Предпосылки!$I$215,),0),AG371/(1+IFERROR(INDEX(AG$10:AG$11,Предпосылки!$I$216,),0))*IFERROR(INDEX(AG$10:AG$11,Предпосылки!$I$216,),0),AG394/(1+IFERROR(INDEX(AG$10:AG$11,Предпосылки!$I$217,),0))*IFERROR(INDEX(AG$10:AG$11,Предпосылки!$I$217,),0),AG417/(1+IFERROR(INDEX(AG$10:AG$11,Предпосылки!$I$218,),0))*IFERROR(INDEX(AG$10:AG$11,Предпосылки!$I$218,),0),AG440/(1+IFERROR(INDEX(AG$10:AG$11,Предпосылки!$I$219,),0))*IFERROR(INDEX(AG$10:AG$11,Предпосылки!$I$219,),0),AG463/(1+IFERROR(INDEX(AG$10:AG$11,Предпосылки!$I$220,),0))*IFERROR(INDEX(AG$10:AG$11,Предпосылки!$I$220,),0))</f>
        <v>0</v>
      </c>
      <c s="125">
        <f>SUM(AH26/(1+IFERROR(INDEX(AH$10:AH$11,Предпосылки!$I$201,),0))*IFERROR(INDEX(AH$10:AH$11,Предпосылки!$I$201,),0),AH49/(1+IFERROR(INDEX(AH$10:AH$11,Предпосылки!$I$202,),0))*IFERROR(INDEX(AH$10:AH$11,Предпосылки!$I$202,),0),AH72/(1+IFERROR(INDEX(AH$10:AH$11,Предпосылки!$I$203,),0))*IFERROR(INDEX(AH$10:AH$11,Предпосылки!$I$203,),0),AH95/(1+IFERROR(INDEX(AH$10:AH$11,Предпосылки!$I$204,),0))*IFERROR(INDEX(AH$10:AH$11,Предпосылки!$I$204,),0),AH118/(1+IFERROR(INDEX(AH$10:AH$11,Предпосылки!$I$205,),0))*IFERROR(INDEX(AH$10:AH$11,Предпосылки!$I$205,),0),AH141/(1+IFERROR(INDEX(AH$10:AH$11,Предпосылки!$I$206,),0))*IFERROR(INDEX(AH$10:AH$11,Предпосылки!$I$206,),0),AH164/(1+IFERROR(INDEX(AH$10:AH$11,Предпосылки!$I$207,),0))*IFERROR(INDEX(AH$10:AH$11,Предпосылки!$I$207,),0),AH187/(1+IFERROR(INDEX(AH$10:AH$11,Предпосылки!$I$208,),0))*IFERROR(INDEX(AH$10:AH$11,Предпосылки!$I$208,),0),AH210/(1+IFERROR(INDEX(AH$10:AH$11,Предпосылки!$I$209,),0))*IFERROR(INDEX(AH$10:AH$11,Предпосылки!$I$209,),0),AH233/(1+IFERROR(INDEX(AH$10:AH$11,Предпосылки!$I$210,),0))*IFERROR(INDEX(AH$10:AH$11,Предпосылки!$I$210,),0),AH256/(1+IFERROR(INDEX(AH$10:AH$11,Предпосылки!$I$211,),0))*IFERROR(INDEX(AH$10:AH$11,Предпосылки!$I$211,),0),AH279/(1+IFERROR(INDEX(AH$10:AH$11,Предпосылки!$I$212,),0))*IFERROR(INDEX(AH$10:AH$11,Предпосылки!$I$212,),0),AH302/(1+IFERROR(INDEX(AH$10:AH$11,Предпосылки!$I$213,),0))*IFERROR(INDEX(AH$10:AH$11,Предпосылки!$I$213,),0),AH325/(1+IFERROR(INDEX(AH$10:AH$11,Предпосылки!$I$214,),0))*IFERROR(INDEX(AH$10:AH$11,Предпосылки!$I$214,),0),AH348/(1+IFERROR(INDEX(AH$10:AH$11,Предпосылки!$I$215,),0))*IFERROR(INDEX(AH$10:AH$11,Предпосылки!$I$215,),0),AH371/(1+IFERROR(INDEX(AH$10:AH$11,Предпосылки!$I$216,),0))*IFERROR(INDEX(AH$10:AH$11,Предпосылки!$I$216,),0),AH394/(1+IFERROR(INDEX(AH$10:AH$11,Предпосылки!$I$217,),0))*IFERROR(INDEX(AH$10:AH$11,Предпосылки!$I$217,),0),AH417/(1+IFERROR(INDEX(AH$10:AH$11,Предпосылки!$I$218,),0))*IFERROR(INDEX(AH$10:AH$11,Предпосылки!$I$218,),0),AH440/(1+IFERROR(INDEX(AH$10:AH$11,Предпосылки!$I$219,),0))*IFERROR(INDEX(AH$10:AH$11,Предпосылки!$I$219,),0),AH463/(1+IFERROR(INDEX(AH$10:AH$11,Предпосылки!$I$220,),0))*IFERROR(INDEX(AH$10:AH$11,Предпосылки!$I$220,),0))</f>
        <v>0</v>
      </c>
      <c s="125">
        <f>SUM(AI26/(1+IFERROR(INDEX(AI$10:AI$11,Предпосылки!$I$201,),0))*IFERROR(INDEX(AI$10:AI$11,Предпосылки!$I$201,),0),AI49/(1+IFERROR(INDEX(AI$10:AI$11,Предпосылки!$I$202,),0))*IFERROR(INDEX(AI$10:AI$11,Предпосылки!$I$202,),0),AI72/(1+IFERROR(INDEX(AI$10:AI$11,Предпосылки!$I$203,),0))*IFERROR(INDEX(AI$10:AI$11,Предпосылки!$I$203,),0),AI95/(1+IFERROR(INDEX(AI$10:AI$11,Предпосылки!$I$204,),0))*IFERROR(INDEX(AI$10:AI$11,Предпосылки!$I$204,),0),AI118/(1+IFERROR(INDEX(AI$10:AI$11,Предпосылки!$I$205,),0))*IFERROR(INDEX(AI$10:AI$11,Предпосылки!$I$205,),0),AI141/(1+IFERROR(INDEX(AI$10:AI$11,Предпосылки!$I$206,),0))*IFERROR(INDEX(AI$10:AI$11,Предпосылки!$I$206,),0),AI164/(1+IFERROR(INDEX(AI$10:AI$11,Предпосылки!$I$207,),0))*IFERROR(INDEX(AI$10:AI$11,Предпосылки!$I$207,),0),AI187/(1+IFERROR(INDEX(AI$10:AI$11,Предпосылки!$I$208,),0))*IFERROR(INDEX(AI$10:AI$11,Предпосылки!$I$208,),0),AI210/(1+IFERROR(INDEX(AI$10:AI$11,Предпосылки!$I$209,),0))*IFERROR(INDEX(AI$10:AI$11,Предпосылки!$I$209,),0),AI233/(1+IFERROR(INDEX(AI$10:AI$11,Предпосылки!$I$210,),0))*IFERROR(INDEX(AI$10:AI$11,Предпосылки!$I$210,),0),AI256/(1+IFERROR(INDEX(AI$10:AI$11,Предпосылки!$I$211,),0))*IFERROR(INDEX(AI$10:AI$11,Предпосылки!$I$211,),0),AI279/(1+IFERROR(INDEX(AI$10:AI$11,Предпосылки!$I$212,),0))*IFERROR(INDEX(AI$10:AI$11,Предпосылки!$I$212,),0),AI302/(1+IFERROR(INDEX(AI$10:AI$11,Предпосылки!$I$213,),0))*IFERROR(INDEX(AI$10:AI$11,Предпосылки!$I$213,),0),AI325/(1+IFERROR(INDEX(AI$10:AI$11,Предпосылки!$I$214,),0))*IFERROR(INDEX(AI$10:AI$11,Предпосылки!$I$214,),0),AI348/(1+IFERROR(INDEX(AI$10:AI$11,Предпосылки!$I$215,),0))*IFERROR(INDEX(AI$10:AI$11,Предпосылки!$I$215,),0),AI371/(1+IFERROR(INDEX(AI$10:AI$11,Предпосылки!$I$216,),0))*IFERROR(INDEX(AI$10:AI$11,Предпосылки!$I$216,),0),AI394/(1+IFERROR(INDEX(AI$10:AI$11,Предпосылки!$I$217,),0))*IFERROR(INDEX(AI$10:AI$11,Предпосылки!$I$217,),0),AI417/(1+IFERROR(INDEX(AI$10:AI$11,Предпосылки!$I$218,),0))*IFERROR(INDEX(AI$10:AI$11,Предпосылки!$I$218,),0),AI440/(1+IFERROR(INDEX(AI$10:AI$11,Предпосылки!$I$219,),0))*IFERROR(INDEX(AI$10:AI$11,Предпосылки!$I$219,),0),AI463/(1+IFERROR(INDEX(AI$10:AI$11,Предпосылки!$I$220,),0))*IFERROR(INDEX(AI$10:AI$11,Предпосылки!$I$220,),0))</f>
        <v>0</v>
      </c>
      <c s="125">
        <f>SUM(AJ26/(1+IFERROR(INDEX(AJ$10:AJ$11,Предпосылки!$I$201,),0))*IFERROR(INDEX(AJ$10:AJ$11,Предпосылки!$I$201,),0),AJ49/(1+IFERROR(INDEX(AJ$10:AJ$11,Предпосылки!$I$202,),0))*IFERROR(INDEX(AJ$10:AJ$11,Предпосылки!$I$202,),0),AJ72/(1+IFERROR(INDEX(AJ$10:AJ$11,Предпосылки!$I$203,),0))*IFERROR(INDEX(AJ$10:AJ$11,Предпосылки!$I$203,),0),AJ95/(1+IFERROR(INDEX(AJ$10:AJ$11,Предпосылки!$I$204,),0))*IFERROR(INDEX(AJ$10:AJ$11,Предпосылки!$I$204,),0),AJ118/(1+IFERROR(INDEX(AJ$10:AJ$11,Предпосылки!$I$205,),0))*IFERROR(INDEX(AJ$10:AJ$11,Предпосылки!$I$205,),0),AJ141/(1+IFERROR(INDEX(AJ$10:AJ$11,Предпосылки!$I$206,),0))*IFERROR(INDEX(AJ$10:AJ$11,Предпосылки!$I$206,),0),AJ164/(1+IFERROR(INDEX(AJ$10:AJ$11,Предпосылки!$I$207,),0))*IFERROR(INDEX(AJ$10:AJ$11,Предпосылки!$I$207,),0),AJ187/(1+IFERROR(INDEX(AJ$10:AJ$11,Предпосылки!$I$208,),0))*IFERROR(INDEX(AJ$10:AJ$11,Предпосылки!$I$208,),0),AJ210/(1+IFERROR(INDEX(AJ$10:AJ$11,Предпосылки!$I$209,),0))*IFERROR(INDEX(AJ$10:AJ$11,Предпосылки!$I$209,),0),AJ233/(1+IFERROR(INDEX(AJ$10:AJ$11,Предпосылки!$I$210,),0))*IFERROR(INDEX(AJ$10:AJ$11,Предпосылки!$I$210,),0),AJ256/(1+IFERROR(INDEX(AJ$10:AJ$11,Предпосылки!$I$211,),0))*IFERROR(INDEX(AJ$10:AJ$11,Предпосылки!$I$211,),0),AJ279/(1+IFERROR(INDEX(AJ$10:AJ$11,Предпосылки!$I$212,),0))*IFERROR(INDEX(AJ$10:AJ$11,Предпосылки!$I$212,),0),AJ302/(1+IFERROR(INDEX(AJ$10:AJ$11,Предпосылки!$I$213,),0))*IFERROR(INDEX(AJ$10:AJ$11,Предпосылки!$I$213,),0),AJ325/(1+IFERROR(INDEX(AJ$10:AJ$11,Предпосылки!$I$214,),0))*IFERROR(INDEX(AJ$10:AJ$11,Предпосылки!$I$214,),0),AJ348/(1+IFERROR(INDEX(AJ$10:AJ$11,Предпосылки!$I$215,),0))*IFERROR(INDEX(AJ$10:AJ$11,Предпосылки!$I$215,),0),AJ371/(1+IFERROR(INDEX(AJ$10:AJ$11,Предпосылки!$I$216,),0))*IFERROR(INDEX(AJ$10:AJ$11,Предпосылки!$I$216,),0),AJ394/(1+IFERROR(INDEX(AJ$10:AJ$11,Предпосылки!$I$217,),0))*IFERROR(INDEX(AJ$10:AJ$11,Предпосылки!$I$217,),0),AJ417/(1+IFERROR(INDEX(AJ$10:AJ$11,Предпосылки!$I$218,),0))*IFERROR(INDEX(AJ$10:AJ$11,Предпосылки!$I$218,),0),AJ440/(1+IFERROR(INDEX(AJ$10:AJ$11,Предпосылки!$I$219,),0))*IFERROR(INDEX(AJ$10:AJ$11,Предпосылки!$I$219,),0),AJ463/(1+IFERROR(INDEX(AJ$10:AJ$11,Предпосылки!$I$220,),0))*IFERROR(INDEX(AJ$10:AJ$11,Предпосылки!$I$220,),0))</f>
        <v>0</v>
      </c>
      <c s="125">
        <f>SUM(AK26/(1+IFERROR(INDEX(AK$10:AK$11,Предпосылки!$I$201,),0))*IFERROR(INDEX(AK$10:AK$11,Предпосылки!$I$201,),0),AK49/(1+IFERROR(INDEX(AK$10:AK$11,Предпосылки!$I$202,),0))*IFERROR(INDEX(AK$10:AK$11,Предпосылки!$I$202,),0),AK72/(1+IFERROR(INDEX(AK$10:AK$11,Предпосылки!$I$203,),0))*IFERROR(INDEX(AK$10:AK$11,Предпосылки!$I$203,),0),AK95/(1+IFERROR(INDEX(AK$10:AK$11,Предпосылки!$I$204,),0))*IFERROR(INDEX(AK$10:AK$11,Предпосылки!$I$204,),0),AK118/(1+IFERROR(INDEX(AK$10:AK$11,Предпосылки!$I$205,),0))*IFERROR(INDEX(AK$10:AK$11,Предпосылки!$I$205,),0),AK141/(1+IFERROR(INDEX(AK$10:AK$11,Предпосылки!$I$206,),0))*IFERROR(INDEX(AK$10:AK$11,Предпосылки!$I$206,),0),AK164/(1+IFERROR(INDEX(AK$10:AK$11,Предпосылки!$I$207,),0))*IFERROR(INDEX(AK$10:AK$11,Предпосылки!$I$207,),0),AK187/(1+IFERROR(INDEX(AK$10:AK$11,Предпосылки!$I$208,),0))*IFERROR(INDEX(AK$10:AK$11,Предпосылки!$I$208,),0),AK210/(1+IFERROR(INDEX(AK$10:AK$11,Предпосылки!$I$209,),0))*IFERROR(INDEX(AK$10:AK$11,Предпосылки!$I$209,),0),AK233/(1+IFERROR(INDEX(AK$10:AK$11,Предпосылки!$I$210,),0))*IFERROR(INDEX(AK$10:AK$11,Предпосылки!$I$210,),0),AK256/(1+IFERROR(INDEX(AK$10:AK$11,Предпосылки!$I$211,),0))*IFERROR(INDEX(AK$10:AK$11,Предпосылки!$I$211,),0),AK279/(1+IFERROR(INDEX(AK$10:AK$11,Предпосылки!$I$212,),0))*IFERROR(INDEX(AK$10:AK$11,Предпосылки!$I$212,),0),AK302/(1+IFERROR(INDEX(AK$10:AK$11,Предпосылки!$I$213,),0))*IFERROR(INDEX(AK$10:AK$11,Предпосылки!$I$213,),0),AK325/(1+IFERROR(INDEX(AK$10:AK$11,Предпосылки!$I$214,),0))*IFERROR(INDEX(AK$10:AK$11,Предпосылки!$I$214,),0),AK348/(1+IFERROR(INDEX(AK$10:AK$11,Предпосылки!$I$215,),0))*IFERROR(INDEX(AK$10:AK$11,Предпосылки!$I$215,),0),AK371/(1+IFERROR(INDEX(AK$10:AK$11,Предпосылки!$I$216,),0))*IFERROR(INDEX(AK$10:AK$11,Предпосылки!$I$216,),0),AK394/(1+IFERROR(INDEX(AK$10:AK$11,Предпосылки!$I$217,),0))*IFERROR(INDEX(AK$10:AK$11,Предпосылки!$I$217,),0),AK417/(1+IFERROR(INDEX(AK$10:AK$11,Предпосылки!$I$218,),0))*IFERROR(INDEX(AK$10:AK$11,Предпосылки!$I$218,),0),AK440/(1+IFERROR(INDEX(AK$10:AK$11,Предпосылки!$I$219,),0))*IFERROR(INDEX(AK$10:AK$11,Предпосылки!$I$219,),0),AK463/(1+IFERROR(INDEX(AK$10:AK$11,Предпосылки!$I$220,),0))*IFERROR(INDEX(AK$10:AK$11,Предпосылки!$I$220,),0))</f>
        <v>0</v>
      </c>
      <c s="125">
        <f>SUM(AL26/(1+IFERROR(INDEX(AL$10:AL$11,Предпосылки!$I$201,),0))*IFERROR(INDEX(AL$10:AL$11,Предпосылки!$I$201,),0),AL49/(1+IFERROR(INDEX(AL$10:AL$11,Предпосылки!$I$202,),0))*IFERROR(INDEX(AL$10:AL$11,Предпосылки!$I$202,),0),AL72/(1+IFERROR(INDEX(AL$10:AL$11,Предпосылки!$I$203,),0))*IFERROR(INDEX(AL$10:AL$11,Предпосылки!$I$203,),0),AL95/(1+IFERROR(INDEX(AL$10:AL$11,Предпосылки!$I$204,),0))*IFERROR(INDEX(AL$10:AL$11,Предпосылки!$I$204,),0),AL118/(1+IFERROR(INDEX(AL$10:AL$11,Предпосылки!$I$205,),0))*IFERROR(INDEX(AL$10:AL$11,Предпосылки!$I$205,),0),AL141/(1+IFERROR(INDEX(AL$10:AL$11,Предпосылки!$I$206,),0))*IFERROR(INDEX(AL$10:AL$11,Предпосылки!$I$206,),0),AL164/(1+IFERROR(INDEX(AL$10:AL$11,Предпосылки!$I$207,),0))*IFERROR(INDEX(AL$10:AL$11,Предпосылки!$I$207,),0),AL187/(1+IFERROR(INDEX(AL$10:AL$11,Предпосылки!$I$208,),0))*IFERROR(INDEX(AL$10:AL$11,Предпосылки!$I$208,),0),AL210/(1+IFERROR(INDEX(AL$10:AL$11,Предпосылки!$I$209,),0))*IFERROR(INDEX(AL$10:AL$11,Предпосылки!$I$209,),0),AL233/(1+IFERROR(INDEX(AL$10:AL$11,Предпосылки!$I$210,),0))*IFERROR(INDEX(AL$10:AL$11,Предпосылки!$I$210,),0),AL256/(1+IFERROR(INDEX(AL$10:AL$11,Предпосылки!$I$211,),0))*IFERROR(INDEX(AL$10:AL$11,Предпосылки!$I$211,),0),AL279/(1+IFERROR(INDEX(AL$10:AL$11,Предпосылки!$I$212,),0))*IFERROR(INDEX(AL$10:AL$11,Предпосылки!$I$212,),0),AL302/(1+IFERROR(INDEX(AL$10:AL$11,Предпосылки!$I$213,),0))*IFERROR(INDEX(AL$10:AL$11,Предпосылки!$I$213,),0),AL325/(1+IFERROR(INDEX(AL$10:AL$11,Предпосылки!$I$214,),0))*IFERROR(INDEX(AL$10:AL$11,Предпосылки!$I$214,),0),AL348/(1+IFERROR(INDEX(AL$10:AL$11,Предпосылки!$I$215,),0))*IFERROR(INDEX(AL$10:AL$11,Предпосылки!$I$215,),0),AL371/(1+IFERROR(INDEX(AL$10:AL$11,Предпосылки!$I$216,),0))*IFERROR(INDEX(AL$10:AL$11,Предпосылки!$I$216,),0),AL394/(1+IFERROR(INDEX(AL$10:AL$11,Предпосылки!$I$217,),0))*IFERROR(INDEX(AL$10:AL$11,Предпосылки!$I$217,),0),AL417/(1+IFERROR(INDEX(AL$10:AL$11,Предпосылки!$I$218,),0))*IFERROR(INDEX(AL$10:AL$11,Предпосылки!$I$218,),0),AL440/(1+IFERROR(INDEX(AL$10:AL$11,Предпосылки!$I$219,),0))*IFERROR(INDEX(AL$10:AL$11,Предпосылки!$I$219,),0),AL463/(1+IFERROR(INDEX(AL$10:AL$11,Предпосылки!$I$220,),0))*IFERROR(INDEX(AL$10:AL$11,Предпосылки!$I$220,),0))</f>
        <v>0</v>
      </c>
      <c s="125">
        <f>SUM(AM26/(1+IFERROR(INDEX(AM$10:AM$11,Предпосылки!$I$201,),0))*IFERROR(INDEX(AM$10:AM$11,Предпосылки!$I$201,),0),AM49/(1+IFERROR(INDEX(AM$10:AM$11,Предпосылки!$I$202,),0))*IFERROR(INDEX(AM$10:AM$11,Предпосылки!$I$202,),0),AM72/(1+IFERROR(INDEX(AM$10:AM$11,Предпосылки!$I$203,),0))*IFERROR(INDEX(AM$10:AM$11,Предпосылки!$I$203,),0),AM95/(1+IFERROR(INDEX(AM$10:AM$11,Предпосылки!$I$204,),0))*IFERROR(INDEX(AM$10:AM$11,Предпосылки!$I$204,),0),AM118/(1+IFERROR(INDEX(AM$10:AM$11,Предпосылки!$I$205,),0))*IFERROR(INDEX(AM$10:AM$11,Предпосылки!$I$205,),0),AM141/(1+IFERROR(INDEX(AM$10:AM$11,Предпосылки!$I$206,),0))*IFERROR(INDEX(AM$10:AM$11,Предпосылки!$I$206,),0),AM164/(1+IFERROR(INDEX(AM$10:AM$11,Предпосылки!$I$207,),0))*IFERROR(INDEX(AM$10:AM$11,Предпосылки!$I$207,),0),AM187/(1+IFERROR(INDEX(AM$10:AM$11,Предпосылки!$I$208,),0))*IFERROR(INDEX(AM$10:AM$11,Предпосылки!$I$208,),0),AM210/(1+IFERROR(INDEX(AM$10:AM$11,Предпосылки!$I$209,),0))*IFERROR(INDEX(AM$10:AM$11,Предпосылки!$I$209,),0),AM233/(1+IFERROR(INDEX(AM$10:AM$11,Предпосылки!$I$210,),0))*IFERROR(INDEX(AM$10:AM$11,Предпосылки!$I$210,),0),AM256/(1+IFERROR(INDEX(AM$10:AM$11,Предпосылки!$I$211,),0))*IFERROR(INDEX(AM$10:AM$11,Предпосылки!$I$211,),0),AM279/(1+IFERROR(INDEX(AM$10:AM$11,Предпосылки!$I$212,),0))*IFERROR(INDEX(AM$10:AM$11,Предпосылки!$I$212,),0),AM302/(1+IFERROR(INDEX(AM$10:AM$11,Предпосылки!$I$213,),0))*IFERROR(INDEX(AM$10:AM$11,Предпосылки!$I$213,),0),AM325/(1+IFERROR(INDEX(AM$10:AM$11,Предпосылки!$I$214,),0))*IFERROR(INDEX(AM$10:AM$11,Предпосылки!$I$214,),0),AM348/(1+IFERROR(INDEX(AM$10:AM$11,Предпосылки!$I$215,),0))*IFERROR(INDEX(AM$10:AM$11,Предпосылки!$I$215,),0),AM371/(1+IFERROR(INDEX(AM$10:AM$11,Предпосылки!$I$216,),0))*IFERROR(INDEX(AM$10:AM$11,Предпосылки!$I$216,),0),AM394/(1+IFERROR(INDEX(AM$10:AM$11,Предпосылки!$I$217,),0))*IFERROR(INDEX(AM$10:AM$11,Предпосылки!$I$217,),0),AM417/(1+IFERROR(INDEX(AM$10:AM$11,Предпосылки!$I$218,),0))*IFERROR(INDEX(AM$10:AM$11,Предпосылки!$I$218,),0),AM440/(1+IFERROR(INDEX(AM$10:AM$11,Предпосылки!$I$219,),0))*IFERROR(INDEX(AM$10:AM$11,Предпосылки!$I$219,),0),AM463/(1+IFERROR(INDEX(AM$10:AM$11,Предпосылки!$I$220,),0))*IFERROR(INDEX(AM$10:AM$11,Предпосылки!$I$220,),0))</f>
        <v>0</v>
      </c>
      <c s="125">
        <f>SUM(AN26/(1+IFERROR(INDEX(AN$10:AN$11,Предпосылки!$I$201,),0))*IFERROR(INDEX(AN$10:AN$11,Предпосылки!$I$201,),0),AN49/(1+IFERROR(INDEX(AN$10:AN$11,Предпосылки!$I$202,),0))*IFERROR(INDEX(AN$10:AN$11,Предпосылки!$I$202,),0),AN72/(1+IFERROR(INDEX(AN$10:AN$11,Предпосылки!$I$203,),0))*IFERROR(INDEX(AN$10:AN$11,Предпосылки!$I$203,),0),AN95/(1+IFERROR(INDEX(AN$10:AN$11,Предпосылки!$I$204,),0))*IFERROR(INDEX(AN$10:AN$11,Предпосылки!$I$204,),0),AN118/(1+IFERROR(INDEX(AN$10:AN$11,Предпосылки!$I$205,),0))*IFERROR(INDEX(AN$10:AN$11,Предпосылки!$I$205,),0),AN141/(1+IFERROR(INDEX(AN$10:AN$11,Предпосылки!$I$206,),0))*IFERROR(INDEX(AN$10:AN$11,Предпосылки!$I$206,),0),AN164/(1+IFERROR(INDEX(AN$10:AN$11,Предпосылки!$I$207,),0))*IFERROR(INDEX(AN$10:AN$11,Предпосылки!$I$207,),0),AN187/(1+IFERROR(INDEX(AN$10:AN$11,Предпосылки!$I$208,),0))*IFERROR(INDEX(AN$10:AN$11,Предпосылки!$I$208,),0),AN210/(1+IFERROR(INDEX(AN$10:AN$11,Предпосылки!$I$209,),0))*IFERROR(INDEX(AN$10:AN$11,Предпосылки!$I$209,),0),AN233/(1+IFERROR(INDEX(AN$10:AN$11,Предпосылки!$I$210,),0))*IFERROR(INDEX(AN$10:AN$11,Предпосылки!$I$210,),0),AN256/(1+IFERROR(INDEX(AN$10:AN$11,Предпосылки!$I$211,),0))*IFERROR(INDEX(AN$10:AN$11,Предпосылки!$I$211,),0),AN279/(1+IFERROR(INDEX(AN$10:AN$11,Предпосылки!$I$212,),0))*IFERROR(INDEX(AN$10:AN$11,Предпосылки!$I$212,),0),AN302/(1+IFERROR(INDEX(AN$10:AN$11,Предпосылки!$I$213,),0))*IFERROR(INDEX(AN$10:AN$11,Предпосылки!$I$213,),0),AN325/(1+IFERROR(INDEX(AN$10:AN$11,Предпосылки!$I$214,),0))*IFERROR(INDEX(AN$10:AN$11,Предпосылки!$I$214,),0),AN348/(1+IFERROR(INDEX(AN$10:AN$11,Предпосылки!$I$215,),0))*IFERROR(INDEX(AN$10:AN$11,Предпосылки!$I$215,),0),AN371/(1+IFERROR(INDEX(AN$10:AN$11,Предпосылки!$I$216,),0))*IFERROR(INDEX(AN$10:AN$11,Предпосылки!$I$216,),0),AN394/(1+IFERROR(INDEX(AN$10:AN$11,Предпосылки!$I$217,),0))*IFERROR(INDEX(AN$10:AN$11,Предпосылки!$I$217,),0),AN417/(1+IFERROR(INDEX(AN$10:AN$11,Предпосылки!$I$218,),0))*IFERROR(INDEX(AN$10:AN$11,Предпосылки!$I$218,),0),AN440/(1+IFERROR(INDEX(AN$10:AN$11,Предпосылки!$I$219,),0))*IFERROR(INDEX(AN$10:AN$11,Предпосылки!$I$219,),0),AN463/(1+IFERROR(INDEX(AN$10:AN$11,Предпосылки!$I$220,),0))*IFERROR(INDEX(AN$10:AN$11,Предпосылки!$I$220,),0))</f>
        <v>0</v>
      </c>
      <c s="125">
        <f>SUM(AO26/(1+IFERROR(INDEX(AO$10:AO$11,Предпосылки!$I$201,),0))*IFERROR(INDEX(AO$10:AO$11,Предпосылки!$I$201,),0),AO49/(1+IFERROR(INDEX(AO$10:AO$11,Предпосылки!$I$202,),0))*IFERROR(INDEX(AO$10:AO$11,Предпосылки!$I$202,),0),AO72/(1+IFERROR(INDEX(AO$10:AO$11,Предпосылки!$I$203,),0))*IFERROR(INDEX(AO$10:AO$11,Предпосылки!$I$203,),0),AO95/(1+IFERROR(INDEX(AO$10:AO$11,Предпосылки!$I$204,),0))*IFERROR(INDEX(AO$10:AO$11,Предпосылки!$I$204,),0),AO118/(1+IFERROR(INDEX(AO$10:AO$11,Предпосылки!$I$205,),0))*IFERROR(INDEX(AO$10:AO$11,Предпосылки!$I$205,),0),AO141/(1+IFERROR(INDEX(AO$10:AO$11,Предпосылки!$I$206,),0))*IFERROR(INDEX(AO$10:AO$11,Предпосылки!$I$206,),0),AO164/(1+IFERROR(INDEX(AO$10:AO$11,Предпосылки!$I$207,),0))*IFERROR(INDEX(AO$10:AO$11,Предпосылки!$I$207,),0),AO187/(1+IFERROR(INDEX(AO$10:AO$11,Предпосылки!$I$208,),0))*IFERROR(INDEX(AO$10:AO$11,Предпосылки!$I$208,),0),AO210/(1+IFERROR(INDEX(AO$10:AO$11,Предпосылки!$I$209,),0))*IFERROR(INDEX(AO$10:AO$11,Предпосылки!$I$209,),0),AO233/(1+IFERROR(INDEX(AO$10:AO$11,Предпосылки!$I$210,),0))*IFERROR(INDEX(AO$10:AO$11,Предпосылки!$I$210,),0),AO256/(1+IFERROR(INDEX(AO$10:AO$11,Предпосылки!$I$211,),0))*IFERROR(INDEX(AO$10:AO$11,Предпосылки!$I$211,),0),AO279/(1+IFERROR(INDEX(AO$10:AO$11,Предпосылки!$I$212,),0))*IFERROR(INDEX(AO$10:AO$11,Предпосылки!$I$212,),0),AO302/(1+IFERROR(INDEX(AO$10:AO$11,Предпосылки!$I$213,),0))*IFERROR(INDEX(AO$10:AO$11,Предпосылки!$I$213,),0),AO325/(1+IFERROR(INDEX(AO$10:AO$11,Предпосылки!$I$214,),0))*IFERROR(INDEX(AO$10:AO$11,Предпосылки!$I$214,),0),AO348/(1+IFERROR(INDEX(AO$10:AO$11,Предпосылки!$I$215,),0))*IFERROR(INDEX(AO$10:AO$11,Предпосылки!$I$215,),0),AO371/(1+IFERROR(INDEX(AO$10:AO$11,Предпосылки!$I$216,),0))*IFERROR(INDEX(AO$10:AO$11,Предпосылки!$I$216,),0),AO394/(1+IFERROR(INDEX(AO$10:AO$11,Предпосылки!$I$217,),0))*IFERROR(INDEX(AO$10:AO$11,Предпосылки!$I$217,),0),AO417/(1+IFERROR(INDEX(AO$10:AO$11,Предпосылки!$I$218,),0))*IFERROR(INDEX(AO$10:AO$11,Предпосылки!$I$218,),0),AO440/(1+IFERROR(INDEX(AO$10:AO$11,Предпосылки!$I$219,),0))*IFERROR(INDEX(AO$10:AO$11,Предпосылки!$I$219,),0),AO463/(1+IFERROR(INDEX(AO$10:AO$11,Предпосылки!$I$220,),0))*IFERROR(INDEX(AO$10:AO$11,Предпосылки!$I$220,),0))</f>
        <v>0</v>
      </c>
      <c s="125">
        <f>SUM(AP26/(1+IFERROR(INDEX(AP$10:AP$11,Предпосылки!$I$201,),0))*IFERROR(INDEX(AP$10:AP$11,Предпосылки!$I$201,),0),AP49/(1+IFERROR(INDEX(AP$10:AP$11,Предпосылки!$I$202,),0))*IFERROR(INDEX(AP$10:AP$11,Предпосылки!$I$202,),0),AP72/(1+IFERROR(INDEX(AP$10:AP$11,Предпосылки!$I$203,),0))*IFERROR(INDEX(AP$10:AP$11,Предпосылки!$I$203,),0),AP95/(1+IFERROR(INDEX(AP$10:AP$11,Предпосылки!$I$204,),0))*IFERROR(INDEX(AP$10:AP$11,Предпосылки!$I$204,),0),AP118/(1+IFERROR(INDEX(AP$10:AP$11,Предпосылки!$I$205,),0))*IFERROR(INDEX(AP$10:AP$11,Предпосылки!$I$205,),0),AP141/(1+IFERROR(INDEX(AP$10:AP$11,Предпосылки!$I$206,),0))*IFERROR(INDEX(AP$10:AP$11,Предпосылки!$I$206,),0),AP164/(1+IFERROR(INDEX(AP$10:AP$11,Предпосылки!$I$207,),0))*IFERROR(INDEX(AP$10:AP$11,Предпосылки!$I$207,),0),AP187/(1+IFERROR(INDEX(AP$10:AP$11,Предпосылки!$I$208,),0))*IFERROR(INDEX(AP$10:AP$11,Предпосылки!$I$208,),0),AP210/(1+IFERROR(INDEX(AP$10:AP$11,Предпосылки!$I$209,),0))*IFERROR(INDEX(AP$10:AP$11,Предпосылки!$I$209,),0),AP233/(1+IFERROR(INDEX(AP$10:AP$11,Предпосылки!$I$210,),0))*IFERROR(INDEX(AP$10:AP$11,Предпосылки!$I$210,),0),AP256/(1+IFERROR(INDEX(AP$10:AP$11,Предпосылки!$I$211,),0))*IFERROR(INDEX(AP$10:AP$11,Предпосылки!$I$211,),0),AP279/(1+IFERROR(INDEX(AP$10:AP$11,Предпосылки!$I$212,),0))*IFERROR(INDEX(AP$10:AP$11,Предпосылки!$I$212,),0),AP302/(1+IFERROR(INDEX(AP$10:AP$11,Предпосылки!$I$213,),0))*IFERROR(INDEX(AP$10:AP$11,Предпосылки!$I$213,),0),AP325/(1+IFERROR(INDEX(AP$10:AP$11,Предпосылки!$I$214,),0))*IFERROR(INDEX(AP$10:AP$11,Предпосылки!$I$214,),0),AP348/(1+IFERROR(INDEX(AP$10:AP$11,Предпосылки!$I$215,),0))*IFERROR(INDEX(AP$10:AP$11,Предпосылки!$I$215,),0),AP371/(1+IFERROR(INDEX(AP$10:AP$11,Предпосылки!$I$216,),0))*IFERROR(INDEX(AP$10:AP$11,Предпосылки!$I$216,),0),AP394/(1+IFERROR(INDEX(AP$10:AP$11,Предпосылки!$I$217,),0))*IFERROR(INDEX(AP$10:AP$11,Предпосылки!$I$217,),0),AP417/(1+IFERROR(INDEX(AP$10:AP$11,Предпосылки!$I$218,),0))*IFERROR(INDEX(AP$10:AP$11,Предпосылки!$I$218,),0),AP440/(1+IFERROR(INDEX(AP$10:AP$11,Предпосылки!$I$219,),0))*IFERROR(INDEX(AP$10:AP$11,Предпосылки!$I$219,),0),AP463/(1+IFERROR(INDEX(AP$10:AP$11,Предпосылки!$I$220,),0))*IFERROR(INDEX(AP$10:AP$11,Предпосылки!$I$220,),0))</f>
        <v>0</v>
      </c>
      <c s="125">
        <f>SUM(AQ26/(1+IFERROR(INDEX(AQ$10:AQ$11,Предпосылки!$I$201,),0))*IFERROR(INDEX(AQ$10:AQ$11,Предпосылки!$I$201,),0),AQ49/(1+IFERROR(INDEX(AQ$10:AQ$11,Предпосылки!$I$202,),0))*IFERROR(INDEX(AQ$10:AQ$11,Предпосылки!$I$202,),0),AQ72/(1+IFERROR(INDEX(AQ$10:AQ$11,Предпосылки!$I$203,),0))*IFERROR(INDEX(AQ$10:AQ$11,Предпосылки!$I$203,),0),AQ95/(1+IFERROR(INDEX(AQ$10:AQ$11,Предпосылки!$I$204,),0))*IFERROR(INDEX(AQ$10:AQ$11,Предпосылки!$I$204,),0),AQ118/(1+IFERROR(INDEX(AQ$10:AQ$11,Предпосылки!$I$205,),0))*IFERROR(INDEX(AQ$10:AQ$11,Предпосылки!$I$205,),0),AQ141/(1+IFERROR(INDEX(AQ$10:AQ$11,Предпосылки!$I$206,),0))*IFERROR(INDEX(AQ$10:AQ$11,Предпосылки!$I$206,),0),AQ164/(1+IFERROR(INDEX(AQ$10:AQ$11,Предпосылки!$I$207,),0))*IFERROR(INDEX(AQ$10:AQ$11,Предпосылки!$I$207,),0),AQ187/(1+IFERROR(INDEX(AQ$10:AQ$11,Предпосылки!$I$208,),0))*IFERROR(INDEX(AQ$10:AQ$11,Предпосылки!$I$208,),0),AQ210/(1+IFERROR(INDEX(AQ$10:AQ$11,Предпосылки!$I$209,),0))*IFERROR(INDEX(AQ$10:AQ$11,Предпосылки!$I$209,),0),AQ233/(1+IFERROR(INDEX(AQ$10:AQ$11,Предпосылки!$I$210,),0))*IFERROR(INDEX(AQ$10:AQ$11,Предпосылки!$I$210,),0),AQ256/(1+IFERROR(INDEX(AQ$10:AQ$11,Предпосылки!$I$211,),0))*IFERROR(INDEX(AQ$10:AQ$11,Предпосылки!$I$211,),0),AQ279/(1+IFERROR(INDEX(AQ$10:AQ$11,Предпосылки!$I$212,),0))*IFERROR(INDEX(AQ$10:AQ$11,Предпосылки!$I$212,),0),AQ302/(1+IFERROR(INDEX(AQ$10:AQ$11,Предпосылки!$I$213,),0))*IFERROR(INDEX(AQ$10:AQ$11,Предпосылки!$I$213,),0),AQ325/(1+IFERROR(INDEX(AQ$10:AQ$11,Предпосылки!$I$214,),0))*IFERROR(INDEX(AQ$10:AQ$11,Предпосылки!$I$214,),0),AQ348/(1+IFERROR(INDEX(AQ$10:AQ$11,Предпосылки!$I$215,),0))*IFERROR(INDEX(AQ$10:AQ$11,Предпосылки!$I$215,),0),AQ371/(1+IFERROR(INDEX(AQ$10:AQ$11,Предпосылки!$I$216,),0))*IFERROR(INDEX(AQ$10:AQ$11,Предпосылки!$I$216,),0),AQ394/(1+IFERROR(INDEX(AQ$10:AQ$11,Предпосылки!$I$217,),0))*IFERROR(INDEX(AQ$10:AQ$11,Предпосылки!$I$217,),0),AQ417/(1+IFERROR(INDEX(AQ$10:AQ$11,Предпосылки!$I$218,),0))*IFERROR(INDEX(AQ$10:AQ$11,Предпосылки!$I$218,),0),AQ440/(1+IFERROR(INDEX(AQ$10:AQ$11,Предпосылки!$I$219,),0))*IFERROR(INDEX(AQ$10:AQ$11,Предпосылки!$I$219,),0),AQ463/(1+IFERROR(INDEX(AQ$10:AQ$11,Предпосылки!$I$220,),0))*IFERROR(INDEX(AQ$10:AQ$11,Предпосылки!$I$220,),0))</f>
        <v>0</v>
      </c>
      <c s="125">
        <f>SUM(AR26/(1+IFERROR(INDEX(AR$10:AR$11,Предпосылки!$I$201,),0))*IFERROR(INDEX(AR$10:AR$11,Предпосылки!$I$201,),0),AR49/(1+IFERROR(INDEX(AR$10:AR$11,Предпосылки!$I$202,),0))*IFERROR(INDEX(AR$10:AR$11,Предпосылки!$I$202,),0),AR72/(1+IFERROR(INDEX(AR$10:AR$11,Предпосылки!$I$203,),0))*IFERROR(INDEX(AR$10:AR$11,Предпосылки!$I$203,),0),AR95/(1+IFERROR(INDEX(AR$10:AR$11,Предпосылки!$I$204,),0))*IFERROR(INDEX(AR$10:AR$11,Предпосылки!$I$204,),0),AR118/(1+IFERROR(INDEX(AR$10:AR$11,Предпосылки!$I$205,),0))*IFERROR(INDEX(AR$10:AR$11,Предпосылки!$I$205,),0),AR141/(1+IFERROR(INDEX(AR$10:AR$11,Предпосылки!$I$206,),0))*IFERROR(INDEX(AR$10:AR$11,Предпосылки!$I$206,),0),AR164/(1+IFERROR(INDEX(AR$10:AR$11,Предпосылки!$I$207,),0))*IFERROR(INDEX(AR$10:AR$11,Предпосылки!$I$207,),0),AR187/(1+IFERROR(INDEX(AR$10:AR$11,Предпосылки!$I$208,),0))*IFERROR(INDEX(AR$10:AR$11,Предпосылки!$I$208,),0),AR210/(1+IFERROR(INDEX(AR$10:AR$11,Предпосылки!$I$209,),0))*IFERROR(INDEX(AR$10:AR$11,Предпосылки!$I$209,),0),AR233/(1+IFERROR(INDEX(AR$10:AR$11,Предпосылки!$I$210,),0))*IFERROR(INDEX(AR$10:AR$11,Предпосылки!$I$210,),0),AR256/(1+IFERROR(INDEX(AR$10:AR$11,Предпосылки!$I$211,),0))*IFERROR(INDEX(AR$10:AR$11,Предпосылки!$I$211,),0),AR279/(1+IFERROR(INDEX(AR$10:AR$11,Предпосылки!$I$212,),0))*IFERROR(INDEX(AR$10:AR$11,Предпосылки!$I$212,),0),AR302/(1+IFERROR(INDEX(AR$10:AR$11,Предпосылки!$I$213,),0))*IFERROR(INDEX(AR$10:AR$11,Предпосылки!$I$213,),0),AR325/(1+IFERROR(INDEX(AR$10:AR$11,Предпосылки!$I$214,),0))*IFERROR(INDEX(AR$10:AR$11,Предпосылки!$I$214,),0),AR348/(1+IFERROR(INDEX(AR$10:AR$11,Предпосылки!$I$215,),0))*IFERROR(INDEX(AR$10:AR$11,Предпосылки!$I$215,),0),AR371/(1+IFERROR(INDEX(AR$10:AR$11,Предпосылки!$I$216,),0))*IFERROR(INDEX(AR$10:AR$11,Предпосылки!$I$216,),0),AR394/(1+IFERROR(INDEX(AR$10:AR$11,Предпосылки!$I$217,),0))*IFERROR(INDEX(AR$10:AR$11,Предпосылки!$I$217,),0),AR417/(1+IFERROR(INDEX(AR$10:AR$11,Предпосылки!$I$218,),0))*IFERROR(INDEX(AR$10:AR$11,Предпосылки!$I$218,),0),AR440/(1+IFERROR(INDEX(AR$10:AR$11,Предпосылки!$I$219,),0))*IFERROR(INDEX(AR$10:AR$11,Предпосылки!$I$219,),0),AR463/(1+IFERROR(INDEX(AR$10:AR$11,Предпосылки!$I$220,),0))*IFERROR(INDEX(AR$10:AR$11,Предпосылки!$I$220,),0))</f>
        <v>0</v>
      </c>
      <c s="125">
        <f>SUM(AS26/(1+IFERROR(INDEX(AS$10:AS$11,Предпосылки!$I$201,),0))*IFERROR(INDEX(AS$10:AS$11,Предпосылки!$I$201,),0),AS49/(1+IFERROR(INDEX(AS$10:AS$11,Предпосылки!$I$202,),0))*IFERROR(INDEX(AS$10:AS$11,Предпосылки!$I$202,),0),AS72/(1+IFERROR(INDEX(AS$10:AS$11,Предпосылки!$I$203,),0))*IFERROR(INDEX(AS$10:AS$11,Предпосылки!$I$203,),0),AS95/(1+IFERROR(INDEX(AS$10:AS$11,Предпосылки!$I$204,),0))*IFERROR(INDEX(AS$10:AS$11,Предпосылки!$I$204,),0),AS118/(1+IFERROR(INDEX(AS$10:AS$11,Предпосылки!$I$205,),0))*IFERROR(INDEX(AS$10:AS$11,Предпосылки!$I$205,),0),AS141/(1+IFERROR(INDEX(AS$10:AS$11,Предпосылки!$I$206,),0))*IFERROR(INDEX(AS$10:AS$11,Предпосылки!$I$206,),0),AS164/(1+IFERROR(INDEX(AS$10:AS$11,Предпосылки!$I$207,),0))*IFERROR(INDEX(AS$10:AS$11,Предпосылки!$I$207,),0),AS187/(1+IFERROR(INDEX(AS$10:AS$11,Предпосылки!$I$208,),0))*IFERROR(INDEX(AS$10:AS$11,Предпосылки!$I$208,),0),AS210/(1+IFERROR(INDEX(AS$10:AS$11,Предпосылки!$I$209,),0))*IFERROR(INDEX(AS$10:AS$11,Предпосылки!$I$209,),0),AS233/(1+IFERROR(INDEX(AS$10:AS$11,Предпосылки!$I$210,),0))*IFERROR(INDEX(AS$10:AS$11,Предпосылки!$I$210,),0),AS256/(1+IFERROR(INDEX(AS$10:AS$11,Предпосылки!$I$211,),0))*IFERROR(INDEX(AS$10:AS$11,Предпосылки!$I$211,),0),AS279/(1+IFERROR(INDEX(AS$10:AS$11,Предпосылки!$I$212,),0))*IFERROR(INDEX(AS$10:AS$11,Предпосылки!$I$212,),0),AS302/(1+IFERROR(INDEX(AS$10:AS$11,Предпосылки!$I$213,),0))*IFERROR(INDEX(AS$10:AS$11,Предпосылки!$I$213,),0),AS325/(1+IFERROR(INDEX(AS$10:AS$11,Предпосылки!$I$214,),0))*IFERROR(INDEX(AS$10:AS$11,Предпосылки!$I$214,),0),AS348/(1+IFERROR(INDEX(AS$10:AS$11,Предпосылки!$I$215,),0))*IFERROR(INDEX(AS$10:AS$11,Предпосылки!$I$215,),0),AS371/(1+IFERROR(INDEX(AS$10:AS$11,Предпосылки!$I$216,),0))*IFERROR(INDEX(AS$10:AS$11,Предпосылки!$I$216,),0),AS394/(1+IFERROR(INDEX(AS$10:AS$11,Предпосылки!$I$217,),0))*IFERROR(INDEX(AS$10:AS$11,Предпосылки!$I$217,),0),AS417/(1+IFERROR(INDEX(AS$10:AS$11,Предпосылки!$I$218,),0))*IFERROR(INDEX(AS$10:AS$11,Предпосылки!$I$218,),0),AS440/(1+IFERROR(INDEX(AS$10:AS$11,Предпосылки!$I$219,),0))*IFERROR(INDEX(AS$10:AS$11,Предпосылки!$I$219,),0),AS463/(1+IFERROR(INDEX(AS$10:AS$11,Предпосылки!$I$220,),0))*IFERROR(INDEX(AS$10:AS$11,Предпосылки!$I$220,),0))</f>
        <v>0</v>
      </c>
      <c s="125">
        <f>SUM(AT26/(1+IFERROR(INDEX(AT$10:AT$11,Предпосылки!$I$201,),0))*IFERROR(INDEX(AT$10:AT$11,Предпосылки!$I$201,),0),AT49/(1+IFERROR(INDEX(AT$10:AT$11,Предпосылки!$I$202,),0))*IFERROR(INDEX(AT$10:AT$11,Предпосылки!$I$202,),0),AT72/(1+IFERROR(INDEX(AT$10:AT$11,Предпосылки!$I$203,),0))*IFERROR(INDEX(AT$10:AT$11,Предпосылки!$I$203,),0),AT95/(1+IFERROR(INDEX(AT$10:AT$11,Предпосылки!$I$204,),0))*IFERROR(INDEX(AT$10:AT$11,Предпосылки!$I$204,),0),AT118/(1+IFERROR(INDEX(AT$10:AT$11,Предпосылки!$I$205,),0))*IFERROR(INDEX(AT$10:AT$11,Предпосылки!$I$205,),0),AT141/(1+IFERROR(INDEX(AT$10:AT$11,Предпосылки!$I$206,),0))*IFERROR(INDEX(AT$10:AT$11,Предпосылки!$I$206,),0),AT164/(1+IFERROR(INDEX(AT$10:AT$11,Предпосылки!$I$207,),0))*IFERROR(INDEX(AT$10:AT$11,Предпосылки!$I$207,),0),AT187/(1+IFERROR(INDEX(AT$10:AT$11,Предпосылки!$I$208,),0))*IFERROR(INDEX(AT$10:AT$11,Предпосылки!$I$208,),0),AT210/(1+IFERROR(INDEX(AT$10:AT$11,Предпосылки!$I$209,),0))*IFERROR(INDEX(AT$10:AT$11,Предпосылки!$I$209,),0),AT233/(1+IFERROR(INDEX(AT$10:AT$11,Предпосылки!$I$210,),0))*IFERROR(INDEX(AT$10:AT$11,Предпосылки!$I$210,),0),AT256/(1+IFERROR(INDEX(AT$10:AT$11,Предпосылки!$I$211,),0))*IFERROR(INDEX(AT$10:AT$11,Предпосылки!$I$211,),0),AT279/(1+IFERROR(INDEX(AT$10:AT$11,Предпосылки!$I$212,),0))*IFERROR(INDEX(AT$10:AT$11,Предпосылки!$I$212,),0),AT302/(1+IFERROR(INDEX(AT$10:AT$11,Предпосылки!$I$213,),0))*IFERROR(INDEX(AT$10:AT$11,Предпосылки!$I$213,),0),AT325/(1+IFERROR(INDEX(AT$10:AT$11,Предпосылки!$I$214,),0))*IFERROR(INDEX(AT$10:AT$11,Предпосылки!$I$214,),0),AT348/(1+IFERROR(INDEX(AT$10:AT$11,Предпосылки!$I$215,),0))*IFERROR(INDEX(AT$10:AT$11,Предпосылки!$I$215,),0),AT371/(1+IFERROR(INDEX(AT$10:AT$11,Предпосылки!$I$216,),0))*IFERROR(INDEX(AT$10:AT$11,Предпосылки!$I$216,),0),AT394/(1+IFERROR(INDEX(AT$10:AT$11,Предпосылки!$I$217,),0))*IFERROR(INDEX(AT$10:AT$11,Предпосылки!$I$217,),0),AT417/(1+IFERROR(INDEX(AT$10:AT$11,Предпосылки!$I$218,),0))*IFERROR(INDEX(AT$10:AT$11,Предпосылки!$I$218,),0),AT440/(1+IFERROR(INDEX(AT$10:AT$11,Предпосылки!$I$219,),0))*IFERROR(INDEX(AT$10:AT$11,Предпосылки!$I$219,),0),AT463/(1+IFERROR(INDEX(AT$10:AT$11,Предпосылки!$I$220,),0))*IFERROR(INDEX(AT$10:AT$11,Предпосылки!$I$220,),0))</f>
        <v>0</v>
      </c>
      <c s="125">
        <f>SUM(AU26/(1+IFERROR(INDEX(AU$10:AU$11,Предпосылки!$I$201,),0))*IFERROR(INDEX(AU$10:AU$11,Предпосылки!$I$201,),0),AU49/(1+IFERROR(INDEX(AU$10:AU$11,Предпосылки!$I$202,),0))*IFERROR(INDEX(AU$10:AU$11,Предпосылки!$I$202,),0),AU72/(1+IFERROR(INDEX(AU$10:AU$11,Предпосылки!$I$203,),0))*IFERROR(INDEX(AU$10:AU$11,Предпосылки!$I$203,),0),AU95/(1+IFERROR(INDEX(AU$10:AU$11,Предпосылки!$I$204,),0))*IFERROR(INDEX(AU$10:AU$11,Предпосылки!$I$204,),0),AU118/(1+IFERROR(INDEX(AU$10:AU$11,Предпосылки!$I$205,),0))*IFERROR(INDEX(AU$10:AU$11,Предпосылки!$I$205,),0),AU141/(1+IFERROR(INDEX(AU$10:AU$11,Предпосылки!$I$206,),0))*IFERROR(INDEX(AU$10:AU$11,Предпосылки!$I$206,),0),AU164/(1+IFERROR(INDEX(AU$10:AU$11,Предпосылки!$I$207,),0))*IFERROR(INDEX(AU$10:AU$11,Предпосылки!$I$207,),0),AU187/(1+IFERROR(INDEX(AU$10:AU$11,Предпосылки!$I$208,),0))*IFERROR(INDEX(AU$10:AU$11,Предпосылки!$I$208,),0),AU210/(1+IFERROR(INDEX(AU$10:AU$11,Предпосылки!$I$209,),0))*IFERROR(INDEX(AU$10:AU$11,Предпосылки!$I$209,),0),AU233/(1+IFERROR(INDEX(AU$10:AU$11,Предпосылки!$I$210,),0))*IFERROR(INDEX(AU$10:AU$11,Предпосылки!$I$210,),0),AU256/(1+IFERROR(INDEX(AU$10:AU$11,Предпосылки!$I$211,),0))*IFERROR(INDEX(AU$10:AU$11,Предпосылки!$I$211,),0),AU279/(1+IFERROR(INDEX(AU$10:AU$11,Предпосылки!$I$212,),0))*IFERROR(INDEX(AU$10:AU$11,Предпосылки!$I$212,),0),AU302/(1+IFERROR(INDEX(AU$10:AU$11,Предпосылки!$I$213,),0))*IFERROR(INDEX(AU$10:AU$11,Предпосылки!$I$213,),0),AU325/(1+IFERROR(INDEX(AU$10:AU$11,Предпосылки!$I$214,),0))*IFERROR(INDEX(AU$10:AU$11,Предпосылки!$I$214,),0),AU348/(1+IFERROR(INDEX(AU$10:AU$11,Предпосылки!$I$215,),0))*IFERROR(INDEX(AU$10:AU$11,Предпосылки!$I$215,),0),AU371/(1+IFERROR(INDEX(AU$10:AU$11,Предпосылки!$I$216,),0))*IFERROR(INDEX(AU$10:AU$11,Предпосылки!$I$216,),0),AU394/(1+IFERROR(INDEX(AU$10:AU$11,Предпосылки!$I$217,),0))*IFERROR(INDEX(AU$10:AU$11,Предпосылки!$I$217,),0),AU417/(1+IFERROR(INDEX(AU$10:AU$11,Предпосылки!$I$218,),0))*IFERROR(INDEX(AU$10:AU$11,Предпосылки!$I$218,),0),AU440/(1+IFERROR(INDEX(AU$10:AU$11,Предпосылки!$I$219,),0))*IFERROR(INDEX(AU$10:AU$11,Предпосылки!$I$219,),0),AU463/(1+IFERROR(INDEX(AU$10:AU$11,Предпосылки!$I$220,),0))*IFERROR(INDEX(AU$10:AU$11,Предпосылки!$I$220,),0))</f>
        <v>0</v>
      </c>
      <c s="125">
        <f>SUM(AV26/(1+IFERROR(INDEX(AV$10:AV$11,Предпосылки!$I$201,),0))*IFERROR(INDEX(AV$10:AV$11,Предпосылки!$I$201,),0),AV49/(1+IFERROR(INDEX(AV$10:AV$11,Предпосылки!$I$202,),0))*IFERROR(INDEX(AV$10:AV$11,Предпосылки!$I$202,),0),AV72/(1+IFERROR(INDEX(AV$10:AV$11,Предпосылки!$I$203,),0))*IFERROR(INDEX(AV$10:AV$11,Предпосылки!$I$203,),0),AV95/(1+IFERROR(INDEX(AV$10:AV$11,Предпосылки!$I$204,),0))*IFERROR(INDEX(AV$10:AV$11,Предпосылки!$I$204,),0),AV118/(1+IFERROR(INDEX(AV$10:AV$11,Предпосылки!$I$205,),0))*IFERROR(INDEX(AV$10:AV$11,Предпосылки!$I$205,),0),AV141/(1+IFERROR(INDEX(AV$10:AV$11,Предпосылки!$I$206,),0))*IFERROR(INDEX(AV$10:AV$11,Предпосылки!$I$206,),0),AV164/(1+IFERROR(INDEX(AV$10:AV$11,Предпосылки!$I$207,),0))*IFERROR(INDEX(AV$10:AV$11,Предпосылки!$I$207,),0),AV187/(1+IFERROR(INDEX(AV$10:AV$11,Предпосылки!$I$208,),0))*IFERROR(INDEX(AV$10:AV$11,Предпосылки!$I$208,),0),AV210/(1+IFERROR(INDEX(AV$10:AV$11,Предпосылки!$I$209,),0))*IFERROR(INDEX(AV$10:AV$11,Предпосылки!$I$209,),0),AV233/(1+IFERROR(INDEX(AV$10:AV$11,Предпосылки!$I$210,),0))*IFERROR(INDEX(AV$10:AV$11,Предпосылки!$I$210,),0),AV256/(1+IFERROR(INDEX(AV$10:AV$11,Предпосылки!$I$211,),0))*IFERROR(INDEX(AV$10:AV$11,Предпосылки!$I$211,),0),AV279/(1+IFERROR(INDEX(AV$10:AV$11,Предпосылки!$I$212,),0))*IFERROR(INDEX(AV$10:AV$11,Предпосылки!$I$212,),0),AV302/(1+IFERROR(INDEX(AV$10:AV$11,Предпосылки!$I$213,),0))*IFERROR(INDEX(AV$10:AV$11,Предпосылки!$I$213,),0),AV325/(1+IFERROR(INDEX(AV$10:AV$11,Предпосылки!$I$214,),0))*IFERROR(INDEX(AV$10:AV$11,Предпосылки!$I$214,),0),AV348/(1+IFERROR(INDEX(AV$10:AV$11,Предпосылки!$I$215,),0))*IFERROR(INDEX(AV$10:AV$11,Предпосылки!$I$215,),0),AV371/(1+IFERROR(INDEX(AV$10:AV$11,Предпосылки!$I$216,),0))*IFERROR(INDEX(AV$10:AV$11,Предпосылки!$I$216,),0),AV394/(1+IFERROR(INDEX(AV$10:AV$11,Предпосылки!$I$217,),0))*IFERROR(INDEX(AV$10:AV$11,Предпосылки!$I$217,),0),AV417/(1+IFERROR(INDEX(AV$10:AV$11,Предпосылки!$I$218,),0))*IFERROR(INDEX(AV$10:AV$11,Предпосылки!$I$218,),0),AV440/(1+IFERROR(INDEX(AV$10:AV$11,Предпосылки!$I$219,),0))*IFERROR(INDEX(AV$10:AV$11,Предпосылки!$I$219,),0),AV463/(1+IFERROR(INDEX(AV$10:AV$11,Предпосылки!$I$220,),0))*IFERROR(INDEX(AV$10:AV$11,Предпосылки!$I$220,),0))</f>
        <v>0</v>
      </c>
      <c s="125">
        <f>SUM(AW26/(1+IFERROR(INDEX(AW$10:AW$11,Предпосылки!$I$201,),0))*IFERROR(INDEX(AW$10:AW$11,Предпосылки!$I$201,),0),AW49/(1+IFERROR(INDEX(AW$10:AW$11,Предпосылки!$I$202,),0))*IFERROR(INDEX(AW$10:AW$11,Предпосылки!$I$202,),0),AW72/(1+IFERROR(INDEX(AW$10:AW$11,Предпосылки!$I$203,),0))*IFERROR(INDEX(AW$10:AW$11,Предпосылки!$I$203,),0),AW95/(1+IFERROR(INDEX(AW$10:AW$11,Предпосылки!$I$204,),0))*IFERROR(INDEX(AW$10:AW$11,Предпосылки!$I$204,),0),AW118/(1+IFERROR(INDEX(AW$10:AW$11,Предпосылки!$I$205,),0))*IFERROR(INDEX(AW$10:AW$11,Предпосылки!$I$205,),0),AW141/(1+IFERROR(INDEX(AW$10:AW$11,Предпосылки!$I$206,),0))*IFERROR(INDEX(AW$10:AW$11,Предпосылки!$I$206,),0),AW164/(1+IFERROR(INDEX(AW$10:AW$11,Предпосылки!$I$207,),0))*IFERROR(INDEX(AW$10:AW$11,Предпосылки!$I$207,),0),AW187/(1+IFERROR(INDEX(AW$10:AW$11,Предпосылки!$I$208,),0))*IFERROR(INDEX(AW$10:AW$11,Предпосылки!$I$208,),0),AW210/(1+IFERROR(INDEX(AW$10:AW$11,Предпосылки!$I$209,),0))*IFERROR(INDEX(AW$10:AW$11,Предпосылки!$I$209,),0),AW233/(1+IFERROR(INDEX(AW$10:AW$11,Предпосылки!$I$210,),0))*IFERROR(INDEX(AW$10:AW$11,Предпосылки!$I$210,),0),AW256/(1+IFERROR(INDEX(AW$10:AW$11,Предпосылки!$I$211,),0))*IFERROR(INDEX(AW$10:AW$11,Предпосылки!$I$211,),0),AW279/(1+IFERROR(INDEX(AW$10:AW$11,Предпосылки!$I$212,),0))*IFERROR(INDEX(AW$10:AW$11,Предпосылки!$I$212,),0),AW302/(1+IFERROR(INDEX(AW$10:AW$11,Предпосылки!$I$213,),0))*IFERROR(INDEX(AW$10:AW$11,Предпосылки!$I$213,),0),AW325/(1+IFERROR(INDEX(AW$10:AW$11,Предпосылки!$I$214,),0))*IFERROR(INDEX(AW$10:AW$11,Предпосылки!$I$214,),0),AW348/(1+IFERROR(INDEX(AW$10:AW$11,Предпосылки!$I$215,),0))*IFERROR(INDEX(AW$10:AW$11,Предпосылки!$I$215,),0),AW371/(1+IFERROR(INDEX(AW$10:AW$11,Предпосылки!$I$216,),0))*IFERROR(INDEX(AW$10:AW$11,Предпосылки!$I$216,),0),AW394/(1+IFERROR(INDEX(AW$10:AW$11,Предпосылки!$I$217,),0))*IFERROR(INDEX(AW$10:AW$11,Предпосылки!$I$217,),0),AW417/(1+IFERROR(INDEX(AW$10:AW$11,Предпосылки!$I$218,),0))*IFERROR(INDEX(AW$10:AW$11,Предпосылки!$I$218,),0),AW440/(1+IFERROR(INDEX(AW$10:AW$11,Предпосылки!$I$219,),0))*IFERROR(INDEX(AW$10:AW$11,Предпосылки!$I$219,),0),AW463/(1+IFERROR(INDEX(AW$10:AW$11,Предпосылки!$I$220,),0))*IFERROR(INDEX(AW$10:AW$11,Предпосылки!$I$220,),0))</f>
        <v>0</v>
      </c>
      <c s="125">
        <f>SUM(AX26/(1+IFERROR(INDEX(AX$10:AX$11,Предпосылки!$I$201,),0))*IFERROR(INDEX(AX$10:AX$11,Предпосылки!$I$201,),0),AX49/(1+IFERROR(INDEX(AX$10:AX$11,Предпосылки!$I$202,),0))*IFERROR(INDEX(AX$10:AX$11,Предпосылки!$I$202,),0),AX72/(1+IFERROR(INDEX(AX$10:AX$11,Предпосылки!$I$203,),0))*IFERROR(INDEX(AX$10:AX$11,Предпосылки!$I$203,),0),AX95/(1+IFERROR(INDEX(AX$10:AX$11,Предпосылки!$I$204,),0))*IFERROR(INDEX(AX$10:AX$11,Предпосылки!$I$204,),0),AX118/(1+IFERROR(INDEX(AX$10:AX$11,Предпосылки!$I$205,),0))*IFERROR(INDEX(AX$10:AX$11,Предпосылки!$I$205,),0),AX141/(1+IFERROR(INDEX(AX$10:AX$11,Предпосылки!$I$206,),0))*IFERROR(INDEX(AX$10:AX$11,Предпосылки!$I$206,),0),AX164/(1+IFERROR(INDEX(AX$10:AX$11,Предпосылки!$I$207,),0))*IFERROR(INDEX(AX$10:AX$11,Предпосылки!$I$207,),0),AX187/(1+IFERROR(INDEX(AX$10:AX$11,Предпосылки!$I$208,),0))*IFERROR(INDEX(AX$10:AX$11,Предпосылки!$I$208,),0),AX210/(1+IFERROR(INDEX(AX$10:AX$11,Предпосылки!$I$209,),0))*IFERROR(INDEX(AX$10:AX$11,Предпосылки!$I$209,),0),AX233/(1+IFERROR(INDEX(AX$10:AX$11,Предпосылки!$I$210,),0))*IFERROR(INDEX(AX$10:AX$11,Предпосылки!$I$210,),0),AX256/(1+IFERROR(INDEX(AX$10:AX$11,Предпосылки!$I$211,),0))*IFERROR(INDEX(AX$10:AX$11,Предпосылки!$I$211,),0),AX279/(1+IFERROR(INDEX(AX$10:AX$11,Предпосылки!$I$212,),0))*IFERROR(INDEX(AX$10:AX$11,Предпосылки!$I$212,),0),AX302/(1+IFERROR(INDEX(AX$10:AX$11,Предпосылки!$I$213,),0))*IFERROR(INDEX(AX$10:AX$11,Предпосылки!$I$213,),0),AX325/(1+IFERROR(INDEX(AX$10:AX$11,Предпосылки!$I$214,),0))*IFERROR(INDEX(AX$10:AX$11,Предпосылки!$I$214,),0),AX348/(1+IFERROR(INDEX(AX$10:AX$11,Предпосылки!$I$215,),0))*IFERROR(INDEX(AX$10:AX$11,Предпосылки!$I$215,),0),AX371/(1+IFERROR(INDEX(AX$10:AX$11,Предпосылки!$I$216,),0))*IFERROR(INDEX(AX$10:AX$11,Предпосылки!$I$216,),0),AX394/(1+IFERROR(INDEX(AX$10:AX$11,Предпосылки!$I$217,),0))*IFERROR(INDEX(AX$10:AX$11,Предпосылки!$I$217,),0),AX417/(1+IFERROR(INDEX(AX$10:AX$11,Предпосылки!$I$218,),0))*IFERROR(INDEX(AX$10:AX$11,Предпосылки!$I$218,),0),AX440/(1+IFERROR(INDEX(AX$10:AX$11,Предпосылки!$I$219,),0))*IFERROR(INDEX(AX$10:AX$11,Предпосылки!$I$219,),0),AX463/(1+IFERROR(INDEX(AX$10:AX$11,Предпосылки!$I$220,),0))*IFERROR(INDEX(AX$10:AX$11,Предпосылки!$I$220,),0))</f>
        <v>0</v>
      </c>
      <c s="125">
        <f>SUM(AY26/(1+IFERROR(INDEX(AY$10:AY$11,Предпосылки!$I$201,),0))*IFERROR(INDEX(AY$10:AY$11,Предпосылки!$I$201,),0),AY49/(1+IFERROR(INDEX(AY$10:AY$11,Предпосылки!$I$202,),0))*IFERROR(INDEX(AY$10:AY$11,Предпосылки!$I$202,),0),AY72/(1+IFERROR(INDEX(AY$10:AY$11,Предпосылки!$I$203,),0))*IFERROR(INDEX(AY$10:AY$11,Предпосылки!$I$203,),0),AY95/(1+IFERROR(INDEX(AY$10:AY$11,Предпосылки!$I$204,),0))*IFERROR(INDEX(AY$10:AY$11,Предпосылки!$I$204,),0),AY118/(1+IFERROR(INDEX(AY$10:AY$11,Предпосылки!$I$205,),0))*IFERROR(INDEX(AY$10:AY$11,Предпосылки!$I$205,),0),AY141/(1+IFERROR(INDEX(AY$10:AY$11,Предпосылки!$I$206,),0))*IFERROR(INDEX(AY$10:AY$11,Предпосылки!$I$206,),0),AY164/(1+IFERROR(INDEX(AY$10:AY$11,Предпосылки!$I$207,),0))*IFERROR(INDEX(AY$10:AY$11,Предпосылки!$I$207,),0),AY187/(1+IFERROR(INDEX(AY$10:AY$11,Предпосылки!$I$208,),0))*IFERROR(INDEX(AY$10:AY$11,Предпосылки!$I$208,),0),AY210/(1+IFERROR(INDEX(AY$10:AY$11,Предпосылки!$I$209,),0))*IFERROR(INDEX(AY$10:AY$11,Предпосылки!$I$209,),0),AY233/(1+IFERROR(INDEX(AY$10:AY$11,Предпосылки!$I$210,),0))*IFERROR(INDEX(AY$10:AY$11,Предпосылки!$I$210,),0),AY256/(1+IFERROR(INDEX(AY$10:AY$11,Предпосылки!$I$211,),0))*IFERROR(INDEX(AY$10:AY$11,Предпосылки!$I$211,),0),AY279/(1+IFERROR(INDEX(AY$10:AY$11,Предпосылки!$I$212,),0))*IFERROR(INDEX(AY$10:AY$11,Предпосылки!$I$212,),0),AY302/(1+IFERROR(INDEX(AY$10:AY$11,Предпосылки!$I$213,),0))*IFERROR(INDEX(AY$10:AY$11,Предпосылки!$I$213,),0),AY325/(1+IFERROR(INDEX(AY$10:AY$11,Предпосылки!$I$214,),0))*IFERROR(INDEX(AY$10:AY$11,Предпосылки!$I$214,),0),AY348/(1+IFERROR(INDEX(AY$10:AY$11,Предпосылки!$I$215,),0))*IFERROR(INDEX(AY$10:AY$11,Предпосылки!$I$215,),0),AY371/(1+IFERROR(INDEX(AY$10:AY$11,Предпосылки!$I$216,),0))*IFERROR(INDEX(AY$10:AY$11,Предпосылки!$I$216,),0),AY394/(1+IFERROR(INDEX(AY$10:AY$11,Предпосылки!$I$217,),0))*IFERROR(INDEX(AY$10:AY$11,Предпосылки!$I$217,),0),AY417/(1+IFERROR(INDEX(AY$10:AY$11,Предпосылки!$I$218,),0))*IFERROR(INDEX(AY$10:AY$11,Предпосылки!$I$218,),0),AY440/(1+IFERROR(INDEX(AY$10:AY$11,Предпосылки!$I$219,),0))*IFERROR(INDEX(AY$10:AY$11,Предпосылки!$I$219,),0),AY463/(1+IFERROR(INDEX(AY$10:AY$11,Предпосылки!$I$220,),0))*IFERROR(INDEX(AY$10:AY$11,Предпосылки!$I$220,),0))</f>
        <v>0</v>
      </c>
      <c s="125">
        <f>SUM(AZ26/(1+IFERROR(INDEX(AZ$10:AZ$11,Предпосылки!$I$201,),0))*IFERROR(INDEX(AZ$10:AZ$11,Предпосылки!$I$201,),0),AZ49/(1+IFERROR(INDEX(AZ$10:AZ$11,Предпосылки!$I$202,),0))*IFERROR(INDEX(AZ$10:AZ$11,Предпосылки!$I$202,),0),AZ72/(1+IFERROR(INDEX(AZ$10:AZ$11,Предпосылки!$I$203,),0))*IFERROR(INDEX(AZ$10:AZ$11,Предпосылки!$I$203,),0),AZ95/(1+IFERROR(INDEX(AZ$10:AZ$11,Предпосылки!$I$204,),0))*IFERROR(INDEX(AZ$10:AZ$11,Предпосылки!$I$204,),0),AZ118/(1+IFERROR(INDEX(AZ$10:AZ$11,Предпосылки!$I$205,),0))*IFERROR(INDEX(AZ$10:AZ$11,Предпосылки!$I$205,),0),AZ141/(1+IFERROR(INDEX(AZ$10:AZ$11,Предпосылки!$I$206,),0))*IFERROR(INDEX(AZ$10:AZ$11,Предпосылки!$I$206,),0),AZ164/(1+IFERROR(INDEX(AZ$10:AZ$11,Предпосылки!$I$207,),0))*IFERROR(INDEX(AZ$10:AZ$11,Предпосылки!$I$207,),0),AZ187/(1+IFERROR(INDEX(AZ$10:AZ$11,Предпосылки!$I$208,),0))*IFERROR(INDEX(AZ$10:AZ$11,Предпосылки!$I$208,),0),AZ210/(1+IFERROR(INDEX(AZ$10:AZ$11,Предпосылки!$I$209,),0))*IFERROR(INDEX(AZ$10:AZ$11,Предпосылки!$I$209,),0),AZ233/(1+IFERROR(INDEX(AZ$10:AZ$11,Предпосылки!$I$210,),0))*IFERROR(INDEX(AZ$10:AZ$11,Предпосылки!$I$210,),0),AZ256/(1+IFERROR(INDEX(AZ$10:AZ$11,Предпосылки!$I$211,),0))*IFERROR(INDEX(AZ$10:AZ$11,Предпосылки!$I$211,),0),AZ279/(1+IFERROR(INDEX(AZ$10:AZ$11,Предпосылки!$I$212,),0))*IFERROR(INDEX(AZ$10:AZ$11,Предпосылки!$I$212,),0),AZ302/(1+IFERROR(INDEX(AZ$10:AZ$11,Предпосылки!$I$213,),0))*IFERROR(INDEX(AZ$10:AZ$11,Предпосылки!$I$213,),0),AZ325/(1+IFERROR(INDEX(AZ$10:AZ$11,Предпосылки!$I$214,),0))*IFERROR(INDEX(AZ$10:AZ$11,Предпосылки!$I$214,),0),AZ348/(1+IFERROR(INDEX(AZ$10:AZ$11,Предпосылки!$I$215,),0))*IFERROR(INDEX(AZ$10:AZ$11,Предпосылки!$I$215,),0),AZ371/(1+IFERROR(INDEX(AZ$10:AZ$11,Предпосылки!$I$216,),0))*IFERROR(INDEX(AZ$10:AZ$11,Предпосылки!$I$216,),0),AZ394/(1+IFERROR(INDEX(AZ$10:AZ$11,Предпосылки!$I$217,),0))*IFERROR(INDEX(AZ$10:AZ$11,Предпосылки!$I$217,),0),AZ417/(1+IFERROR(INDEX(AZ$10:AZ$11,Предпосылки!$I$218,),0))*IFERROR(INDEX(AZ$10:AZ$11,Предпосылки!$I$218,),0),AZ440/(1+IFERROR(INDEX(AZ$10:AZ$11,Предпосылки!$I$219,),0))*IFERROR(INDEX(AZ$10:AZ$11,Предпосылки!$I$219,),0),AZ463/(1+IFERROR(INDEX(AZ$10:AZ$11,Предпосылки!$I$220,),0))*IFERROR(INDEX(AZ$10:AZ$11,Предпосылки!$I$220,),0))</f>
        <v>0</v>
      </c>
      <c s="125">
        <f>SUM(BA26/(1+IFERROR(INDEX(BA$10:BA$11,Предпосылки!$I$201,),0))*IFERROR(INDEX(BA$10:BA$11,Предпосылки!$I$201,),0),BA49/(1+IFERROR(INDEX(BA$10:BA$11,Предпосылки!$I$202,),0))*IFERROR(INDEX(BA$10:BA$11,Предпосылки!$I$202,),0),BA72/(1+IFERROR(INDEX(BA$10:BA$11,Предпосылки!$I$203,),0))*IFERROR(INDEX(BA$10:BA$11,Предпосылки!$I$203,),0),BA95/(1+IFERROR(INDEX(BA$10:BA$11,Предпосылки!$I$204,),0))*IFERROR(INDEX(BA$10:BA$11,Предпосылки!$I$204,),0),BA118/(1+IFERROR(INDEX(BA$10:BA$11,Предпосылки!$I$205,),0))*IFERROR(INDEX(BA$10:BA$11,Предпосылки!$I$205,),0),BA141/(1+IFERROR(INDEX(BA$10:BA$11,Предпосылки!$I$206,),0))*IFERROR(INDEX(BA$10:BA$11,Предпосылки!$I$206,),0),BA164/(1+IFERROR(INDEX(BA$10:BA$11,Предпосылки!$I$207,),0))*IFERROR(INDEX(BA$10:BA$11,Предпосылки!$I$207,),0),BA187/(1+IFERROR(INDEX(BA$10:BA$11,Предпосылки!$I$208,),0))*IFERROR(INDEX(BA$10:BA$11,Предпосылки!$I$208,),0),BA210/(1+IFERROR(INDEX(BA$10:BA$11,Предпосылки!$I$209,),0))*IFERROR(INDEX(BA$10:BA$11,Предпосылки!$I$209,),0),BA233/(1+IFERROR(INDEX(BA$10:BA$11,Предпосылки!$I$210,),0))*IFERROR(INDEX(BA$10:BA$11,Предпосылки!$I$210,),0),BA256/(1+IFERROR(INDEX(BA$10:BA$11,Предпосылки!$I$211,),0))*IFERROR(INDEX(BA$10:BA$11,Предпосылки!$I$211,),0),BA279/(1+IFERROR(INDEX(BA$10:BA$11,Предпосылки!$I$212,),0))*IFERROR(INDEX(BA$10:BA$11,Предпосылки!$I$212,),0),BA302/(1+IFERROR(INDEX(BA$10:BA$11,Предпосылки!$I$213,),0))*IFERROR(INDEX(BA$10:BA$11,Предпосылки!$I$213,),0),BA325/(1+IFERROR(INDEX(BA$10:BA$11,Предпосылки!$I$214,),0))*IFERROR(INDEX(BA$10:BA$11,Предпосылки!$I$214,),0),BA348/(1+IFERROR(INDEX(BA$10:BA$11,Предпосылки!$I$215,),0))*IFERROR(INDEX(BA$10:BA$11,Предпосылки!$I$215,),0),BA371/(1+IFERROR(INDEX(BA$10:BA$11,Предпосылки!$I$216,),0))*IFERROR(INDEX(BA$10:BA$11,Предпосылки!$I$216,),0),BA394/(1+IFERROR(INDEX(BA$10:BA$11,Предпосылки!$I$217,),0))*IFERROR(INDEX(BA$10:BA$11,Предпосылки!$I$217,),0),BA417/(1+IFERROR(INDEX(BA$10:BA$11,Предпосылки!$I$218,),0))*IFERROR(INDEX(BA$10:BA$11,Предпосылки!$I$218,),0),BA440/(1+IFERROR(INDEX(BA$10:BA$11,Предпосылки!$I$219,),0))*IFERROR(INDEX(BA$10:BA$11,Предпосылки!$I$219,),0),BA463/(1+IFERROR(INDEX(BA$10:BA$11,Предпосылки!$I$220,),0))*IFERROR(INDEX(BA$10:BA$11,Предпосылки!$I$220,),0))</f>
        <v>0</v>
      </c>
      <c s="125">
        <f>SUM(BB26/(1+IFERROR(INDEX(BB$10:BB$11,Предпосылки!$I$201,),0))*IFERROR(INDEX(BB$10:BB$11,Предпосылки!$I$201,),0),BB49/(1+IFERROR(INDEX(BB$10:BB$11,Предпосылки!$I$202,),0))*IFERROR(INDEX(BB$10:BB$11,Предпосылки!$I$202,),0),BB72/(1+IFERROR(INDEX(BB$10:BB$11,Предпосылки!$I$203,),0))*IFERROR(INDEX(BB$10:BB$11,Предпосылки!$I$203,),0),BB95/(1+IFERROR(INDEX(BB$10:BB$11,Предпосылки!$I$204,),0))*IFERROR(INDEX(BB$10:BB$11,Предпосылки!$I$204,),0),BB118/(1+IFERROR(INDEX(BB$10:BB$11,Предпосылки!$I$205,),0))*IFERROR(INDEX(BB$10:BB$11,Предпосылки!$I$205,),0),BB141/(1+IFERROR(INDEX(BB$10:BB$11,Предпосылки!$I$206,),0))*IFERROR(INDEX(BB$10:BB$11,Предпосылки!$I$206,),0),BB164/(1+IFERROR(INDEX(BB$10:BB$11,Предпосылки!$I$207,),0))*IFERROR(INDEX(BB$10:BB$11,Предпосылки!$I$207,),0),BB187/(1+IFERROR(INDEX(BB$10:BB$11,Предпосылки!$I$208,),0))*IFERROR(INDEX(BB$10:BB$11,Предпосылки!$I$208,),0),BB210/(1+IFERROR(INDEX(BB$10:BB$11,Предпосылки!$I$209,),0))*IFERROR(INDEX(BB$10:BB$11,Предпосылки!$I$209,),0),BB233/(1+IFERROR(INDEX(BB$10:BB$11,Предпосылки!$I$210,),0))*IFERROR(INDEX(BB$10:BB$11,Предпосылки!$I$210,),0),BB256/(1+IFERROR(INDEX(BB$10:BB$11,Предпосылки!$I$211,),0))*IFERROR(INDEX(BB$10:BB$11,Предпосылки!$I$211,),0),BB279/(1+IFERROR(INDEX(BB$10:BB$11,Предпосылки!$I$212,),0))*IFERROR(INDEX(BB$10:BB$11,Предпосылки!$I$212,),0),BB302/(1+IFERROR(INDEX(BB$10:BB$11,Предпосылки!$I$213,),0))*IFERROR(INDEX(BB$10:BB$11,Предпосылки!$I$213,),0),BB325/(1+IFERROR(INDEX(BB$10:BB$11,Предпосылки!$I$214,),0))*IFERROR(INDEX(BB$10:BB$11,Предпосылки!$I$214,),0),BB348/(1+IFERROR(INDEX(BB$10:BB$11,Предпосылки!$I$215,),0))*IFERROR(INDEX(BB$10:BB$11,Предпосылки!$I$215,),0),BB371/(1+IFERROR(INDEX(BB$10:BB$11,Предпосылки!$I$216,),0))*IFERROR(INDEX(BB$10:BB$11,Предпосылки!$I$216,),0),BB394/(1+IFERROR(INDEX(BB$10:BB$11,Предпосылки!$I$217,),0))*IFERROR(INDEX(BB$10:BB$11,Предпосылки!$I$217,),0),BB417/(1+IFERROR(INDEX(BB$10:BB$11,Предпосылки!$I$218,),0))*IFERROR(INDEX(BB$10:BB$11,Предпосылки!$I$218,),0),BB440/(1+IFERROR(INDEX(BB$10:BB$11,Предпосылки!$I$219,),0))*IFERROR(INDEX(BB$10:BB$11,Предпосылки!$I$219,),0),BB463/(1+IFERROR(INDEX(BB$10:BB$11,Предпосылки!$I$220,),0))*IFERROR(INDEX(BB$10:BB$11,Предпосылки!$I$220,),0))</f>
        <v>0</v>
      </c>
      <c s="125">
        <f>SUM(BC26/(1+IFERROR(INDEX(BC$10:BC$11,Предпосылки!$I$201,),0))*IFERROR(INDEX(BC$10:BC$11,Предпосылки!$I$201,),0),BC49/(1+IFERROR(INDEX(BC$10:BC$11,Предпосылки!$I$202,),0))*IFERROR(INDEX(BC$10:BC$11,Предпосылки!$I$202,),0),BC72/(1+IFERROR(INDEX(BC$10:BC$11,Предпосылки!$I$203,),0))*IFERROR(INDEX(BC$10:BC$11,Предпосылки!$I$203,),0),BC95/(1+IFERROR(INDEX(BC$10:BC$11,Предпосылки!$I$204,),0))*IFERROR(INDEX(BC$10:BC$11,Предпосылки!$I$204,),0),BC118/(1+IFERROR(INDEX(BC$10:BC$11,Предпосылки!$I$205,),0))*IFERROR(INDEX(BC$10:BC$11,Предпосылки!$I$205,),0),BC141/(1+IFERROR(INDEX(BC$10:BC$11,Предпосылки!$I$206,),0))*IFERROR(INDEX(BC$10:BC$11,Предпосылки!$I$206,),0),BC164/(1+IFERROR(INDEX(BC$10:BC$11,Предпосылки!$I$207,),0))*IFERROR(INDEX(BC$10:BC$11,Предпосылки!$I$207,),0),BC187/(1+IFERROR(INDEX(BC$10:BC$11,Предпосылки!$I$208,),0))*IFERROR(INDEX(BC$10:BC$11,Предпосылки!$I$208,),0),BC210/(1+IFERROR(INDEX(BC$10:BC$11,Предпосылки!$I$209,),0))*IFERROR(INDEX(BC$10:BC$11,Предпосылки!$I$209,),0),BC233/(1+IFERROR(INDEX(BC$10:BC$11,Предпосылки!$I$210,),0))*IFERROR(INDEX(BC$10:BC$11,Предпосылки!$I$210,),0),BC256/(1+IFERROR(INDEX(BC$10:BC$11,Предпосылки!$I$211,),0))*IFERROR(INDEX(BC$10:BC$11,Предпосылки!$I$211,),0),BC279/(1+IFERROR(INDEX(BC$10:BC$11,Предпосылки!$I$212,),0))*IFERROR(INDEX(BC$10:BC$11,Предпосылки!$I$212,),0),BC302/(1+IFERROR(INDEX(BC$10:BC$11,Предпосылки!$I$213,),0))*IFERROR(INDEX(BC$10:BC$11,Предпосылки!$I$213,),0),BC325/(1+IFERROR(INDEX(BC$10:BC$11,Предпосылки!$I$214,),0))*IFERROR(INDEX(BC$10:BC$11,Предпосылки!$I$214,),0),BC348/(1+IFERROR(INDEX(BC$10:BC$11,Предпосылки!$I$215,),0))*IFERROR(INDEX(BC$10:BC$11,Предпосылки!$I$215,),0),BC371/(1+IFERROR(INDEX(BC$10:BC$11,Предпосылки!$I$216,),0))*IFERROR(INDEX(BC$10:BC$11,Предпосылки!$I$216,),0),BC394/(1+IFERROR(INDEX(BC$10:BC$11,Предпосылки!$I$217,),0))*IFERROR(INDEX(BC$10:BC$11,Предпосылки!$I$217,),0),BC417/(1+IFERROR(INDEX(BC$10:BC$11,Предпосылки!$I$218,),0))*IFERROR(INDEX(BC$10:BC$11,Предпосылки!$I$218,),0),BC440/(1+IFERROR(INDEX(BC$10:BC$11,Предпосылки!$I$219,),0))*IFERROR(INDEX(BC$10:BC$11,Предпосылки!$I$219,),0),BC463/(1+IFERROR(INDEX(BC$10:BC$11,Предпосылки!$I$220,),0))*IFERROR(INDEX(BC$10:BC$11,Предпосылки!$I$220,),0))</f>
        <v>0</v>
      </c>
      <c s="125">
        <f>SUM(BD26/(1+IFERROR(INDEX(BD$10:BD$11,Предпосылки!$I$201,),0))*IFERROR(INDEX(BD$10:BD$11,Предпосылки!$I$201,),0),BD49/(1+IFERROR(INDEX(BD$10:BD$11,Предпосылки!$I$202,),0))*IFERROR(INDEX(BD$10:BD$11,Предпосылки!$I$202,),0),BD72/(1+IFERROR(INDEX(BD$10:BD$11,Предпосылки!$I$203,),0))*IFERROR(INDEX(BD$10:BD$11,Предпосылки!$I$203,),0),BD95/(1+IFERROR(INDEX(BD$10:BD$11,Предпосылки!$I$204,),0))*IFERROR(INDEX(BD$10:BD$11,Предпосылки!$I$204,),0),BD118/(1+IFERROR(INDEX(BD$10:BD$11,Предпосылки!$I$205,),0))*IFERROR(INDEX(BD$10:BD$11,Предпосылки!$I$205,),0),BD141/(1+IFERROR(INDEX(BD$10:BD$11,Предпосылки!$I$206,),0))*IFERROR(INDEX(BD$10:BD$11,Предпосылки!$I$206,),0),BD164/(1+IFERROR(INDEX(BD$10:BD$11,Предпосылки!$I$207,),0))*IFERROR(INDEX(BD$10:BD$11,Предпосылки!$I$207,),0),BD187/(1+IFERROR(INDEX(BD$10:BD$11,Предпосылки!$I$208,),0))*IFERROR(INDEX(BD$10:BD$11,Предпосылки!$I$208,),0),BD210/(1+IFERROR(INDEX(BD$10:BD$11,Предпосылки!$I$209,),0))*IFERROR(INDEX(BD$10:BD$11,Предпосылки!$I$209,),0),BD233/(1+IFERROR(INDEX(BD$10:BD$11,Предпосылки!$I$210,),0))*IFERROR(INDEX(BD$10:BD$11,Предпосылки!$I$210,),0),BD256/(1+IFERROR(INDEX(BD$10:BD$11,Предпосылки!$I$211,),0))*IFERROR(INDEX(BD$10:BD$11,Предпосылки!$I$211,),0),BD279/(1+IFERROR(INDEX(BD$10:BD$11,Предпосылки!$I$212,),0))*IFERROR(INDEX(BD$10:BD$11,Предпосылки!$I$212,),0),BD302/(1+IFERROR(INDEX(BD$10:BD$11,Предпосылки!$I$213,),0))*IFERROR(INDEX(BD$10:BD$11,Предпосылки!$I$213,),0),BD325/(1+IFERROR(INDEX(BD$10:BD$11,Предпосылки!$I$214,),0))*IFERROR(INDEX(BD$10:BD$11,Предпосылки!$I$214,),0),BD348/(1+IFERROR(INDEX(BD$10:BD$11,Предпосылки!$I$215,),0))*IFERROR(INDEX(BD$10:BD$11,Предпосылки!$I$215,),0),BD371/(1+IFERROR(INDEX(BD$10:BD$11,Предпосылки!$I$216,),0))*IFERROR(INDEX(BD$10:BD$11,Предпосылки!$I$216,),0),BD394/(1+IFERROR(INDEX(BD$10:BD$11,Предпосылки!$I$217,),0))*IFERROR(INDEX(BD$10:BD$11,Предпосылки!$I$217,),0),BD417/(1+IFERROR(INDEX(BD$10:BD$11,Предпосылки!$I$218,),0))*IFERROR(INDEX(BD$10:BD$11,Предпосылки!$I$218,),0),BD440/(1+IFERROR(INDEX(BD$10:BD$11,Предпосылки!$I$219,),0))*IFERROR(INDEX(BD$10:BD$11,Предпосылки!$I$219,),0),BD463/(1+IFERROR(INDEX(BD$10:BD$11,Предпосылки!$I$220,),0))*IFERROR(INDEX(BD$10:BD$11,Предпосылки!$I$220,),0))</f>
        <v>0</v>
      </c>
      <c s="125">
        <f>SUM(BE26/(1+IFERROR(INDEX(BE$10:BE$11,Предпосылки!$I$201,),0))*IFERROR(INDEX(BE$10:BE$11,Предпосылки!$I$201,),0),BE49/(1+IFERROR(INDEX(BE$10:BE$11,Предпосылки!$I$202,),0))*IFERROR(INDEX(BE$10:BE$11,Предпосылки!$I$202,),0),BE72/(1+IFERROR(INDEX(BE$10:BE$11,Предпосылки!$I$203,),0))*IFERROR(INDEX(BE$10:BE$11,Предпосылки!$I$203,),0),BE95/(1+IFERROR(INDEX(BE$10:BE$11,Предпосылки!$I$204,),0))*IFERROR(INDEX(BE$10:BE$11,Предпосылки!$I$204,),0),BE118/(1+IFERROR(INDEX(BE$10:BE$11,Предпосылки!$I$205,),0))*IFERROR(INDEX(BE$10:BE$11,Предпосылки!$I$205,),0),BE141/(1+IFERROR(INDEX(BE$10:BE$11,Предпосылки!$I$206,),0))*IFERROR(INDEX(BE$10:BE$11,Предпосылки!$I$206,),0),BE164/(1+IFERROR(INDEX(BE$10:BE$11,Предпосылки!$I$207,),0))*IFERROR(INDEX(BE$10:BE$11,Предпосылки!$I$207,),0),BE187/(1+IFERROR(INDEX(BE$10:BE$11,Предпосылки!$I$208,),0))*IFERROR(INDEX(BE$10:BE$11,Предпосылки!$I$208,),0),BE210/(1+IFERROR(INDEX(BE$10:BE$11,Предпосылки!$I$209,),0))*IFERROR(INDEX(BE$10:BE$11,Предпосылки!$I$209,),0),BE233/(1+IFERROR(INDEX(BE$10:BE$11,Предпосылки!$I$210,),0))*IFERROR(INDEX(BE$10:BE$11,Предпосылки!$I$210,),0),BE256/(1+IFERROR(INDEX(BE$10:BE$11,Предпосылки!$I$211,),0))*IFERROR(INDEX(BE$10:BE$11,Предпосылки!$I$211,),0),BE279/(1+IFERROR(INDEX(BE$10:BE$11,Предпосылки!$I$212,),0))*IFERROR(INDEX(BE$10:BE$11,Предпосылки!$I$212,),0),BE302/(1+IFERROR(INDEX(BE$10:BE$11,Предпосылки!$I$213,),0))*IFERROR(INDEX(BE$10:BE$11,Предпосылки!$I$213,),0),BE325/(1+IFERROR(INDEX(BE$10:BE$11,Предпосылки!$I$214,),0))*IFERROR(INDEX(BE$10:BE$11,Предпосылки!$I$214,),0),BE348/(1+IFERROR(INDEX(BE$10:BE$11,Предпосылки!$I$215,),0))*IFERROR(INDEX(BE$10:BE$11,Предпосылки!$I$215,),0),BE371/(1+IFERROR(INDEX(BE$10:BE$11,Предпосылки!$I$216,),0))*IFERROR(INDEX(BE$10:BE$11,Предпосылки!$I$216,),0),BE394/(1+IFERROR(INDEX(BE$10:BE$11,Предпосылки!$I$217,),0))*IFERROR(INDEX(BE$10:BE$11,Предпосылки!$I$217,),0),BE417/(1+IFERROR(INDEX(BE$10:BE$11,Предпосылки!$I$218,),0))*IFERROR(INDEX(BE$10:BE$11,Предпосылки!$I$218,),0),BE440/(1+IFERROR(INDEX(BE$10:BE$11,Предпосылки!$I$219,),0))*IFERROR(INDEX(BE$10:BE$11,Предпосылки!$I$219,),0),BE463/(1+IFERROR(INDEX(BE$10:BE$11,Предпосылки!$I$220,),0))*IFERROR(INDEX(BE$10:BE$11,Предпосылки!$I$220,),0))</f>
        <v>0</v>
      </c>
      <c s="125">
        <f>SUM(BF26/(1+IFERROR(INDEX(BF$10:BF$11,Предпосылки!$I$201,),0))*IFERROR(INDEX(BF$10:BF$11,Предпосылки!$I$201,),0),BF49/(1+IFERROR(INDEX(BF$10:BF$11,Предпосылки!$I$202,),0))*IFERROR(INDEX(BF$10:BF$11,Предпосылки!$I$202,),0),BF72/(1+IFERROR(INDEX(BF$10:BF$11,Предпосылки!$I$203,),0))*IFERROR(INDEX(BF$10:BF$11,Предпосылки!$I$203,),0),BF95/(1+IFERROR(INDEX(BF$10:BF$11,Предпосылки!$I$204,),0))*IFERROR(INDEX(BF$10:BF$11,Предпосылки!$I$204,),0),BF118/(1+IFERROR(INDEX(BF$10:BF$11,Предпосылки!$I$205,),0))*IFERROR(INDEX(BF$10:BF$11,Предпосылки!$I$205,),0),BF141/(1+IFERROR(INDEX(BF$10:BF$11,Предпосылки!$I$206,),0))*IFERROR(INDEX(BF$10:BF$11,Предпосылки!$I$206,),0),BF164/(1+IFERROR(INDEX(BF$10:BF$11,Предпосылки!$I$207,),0))*IFERROR(INDEX(BF$10:BF$11,Предпосылки!$I$207,),0),BF187/(1+IFERROR(INDEX(BF$10:BF$11,Предпосылки!$I$208,),0))*IFERROR(INDEX(BF$10:BF$11,Предпосылки!$I$208,),0),BF210/(1+IFERROR(INDEX(BF$10:BF$11,Предпосылки!$I$209,),0))*IFERROR(INDEX(BF$10:BF$11,Предпосылки!$I$209,),0),BF233/(1+IFERROR(INDEX(BF$10:BF$11,Предпосылки!$I$210,),0))*IFERROR(INDEX(BF$10:BF$11,Предпосылки!$I$210,),0),BF256/(1+IFERROR(INDEX(BF$10:BF$11,Предпосылки!$I$211,),0))*IFERROR(INDEX(BF$10:BF$11,Предпосылки!$I$211,),0),BF279/(1+IFERROR(INDEX(BF$10:BF$11,Предпосылки!$I$212,),0))*IFERROR(INDEX(BF$10:BF$11,Предпосылки!$I$212,),0),BF302/(1+IFERROR(INDEX(BF$10:BF$11,Предпосылки!$I$213,),0))*IFERROR(INDEX(BF$10:BF$11,Предпосылки!$I$213,),0),BF325/(1+IFERROR(INDEX(BF$10:BF$11,Предпосылки!$I$214,),0))*IFERROR(INDEX(BF$10:BF$11,Предпосылки!$I$214,),0),BF348/(1+IFERROR(INDEX(BF$10:BF$11,Предпосылки!$I$215,),0))*IFERROR(INDEX(BF$10:BF$11,Предпосылки!$I$215,),0),BF371/(1+IFERROR(INDEX(BF$10:BF$11,Предпосылки!$I$216,),0))*IFERROR(INDEX(BF$10:BF$11,Предпосылки!$I$216,),0),BF394/(1+IFERROR(INDEX(BF$10:BF$11,Предпосылки!$I$217,),0))*IFERROR(INDEX(BF$10:BF$11,Предпосылки!$I$217,),0),BF417/(1+IFERROR(INDEX(BF$10:BF$11,Предпосылки!$I$218,),0))*IFERROR(INDEX(BF$10:BF$11,Предпосылки!$I$218,),0),BF440/(1+IFERROR(INDEX(BF$10:BF$11,Предпосылки!$I$219,),0))*IFERROR(INDEX(BF$10:BF$11,Предпосылки!$I$219,),0),BF463/(1+IFERROR(INDEX(BF$10:BF$11,Предпосылки!$I$220,),0))*IFERROR(INDEX(BF$10:BF$11,Предпосылки!$I$220,),0))</f>
        <v>0</v>
      </c>
      <c s="125">
        <f>SUM(BG26/(1+IFERROR(INDEX(BG$10:BG$11,Предпосылки!$I$201,),0))*IFERROR(INDEX(BG$10:BG$11,Предпосылки!$I$201,),0),BG49/(1+IFERROR(INDEX(BG$10:BG$11,Предпосылки!$I$202,),0))*IFERROR(INDEX(BG$10:BG$11,Предпосылки!$I$202,),0),BG72/(1+IFERROR(INDEX(BG$10:BG$11,Предпосылки!$I$203,),0))*IFERROR(INDEX(BG$10:BG$11,Предпосылки!$I$203,),0),BG95/(1+IFERROR(INDEX(BG$10:BG$11,Предпосылки!$I$204,),0))*IFERROR(INDEX(BG$10:BG$11,Предпосылки!$I$204,),0),BG118/(1+IFERROR(INDEX(BG$10:BG$11,Предпосылки!$I$205,),0))*IFERROR(INDEX(BG$10:BG$11,Предпосылки!$I$205,),0),BG141/(1+IFERROR(INDEX(BG$10:BG$11,Предпосылки!$I$206,),0))*IFERROR(INDEX(BG$10:BG$11,Предпосылки!$I$206,),0),BG164/(1+IFERROR(INDEX(BG$10:BG$11,Предпосылки!$I$207,),0))*IFERROR(INDEX(BG$10:BG$11,Предпосылки!$I$207,),0),BG187/(1+IFERROR(INDEX(BG$10:BG$11,Предпосылки!$I$208,),0))*IFERROR(INDEX(BG$10:BG$11,Предпосылки!$I$208,),0),BG210/(1+IFERROR(INDEX(BG$10:BG$11,Предпосылки!$I$209,),0))*IFERROR(INDEX(BG$10:BG$11,Предпосылки!$I$209,),0),BG233/(1+IFERROR(INDEX(BG$10:BG$11,Предпосылки!$I$210,),0))*IFERROR(INDEX(BG$10:BG$11,Предпосылки!$I$210,),0),BG256/(1+IFERROR(INDEX(BG$10:BG$11,Предпосылки!$I$211,),0))*IFERROR(INDEX(BG$10:BG$11,Предпосылки!$I$211,),0),BG279/(1+IFERROR(INDEX(BG$10:BG$11,Предпосылки!$I$212,),0))*IFERROR(INDEX(BG$10:BG$11,Предпосылки!$I$212,),0),BG302/(1+IFERROR(INDEX(BG$10:BG$11,Предпосылки!$I$213,),0))*IFERROR(INDEX(BG$10:BG$11,Предпосылки!$I$213,),0),BG325/(1+IFERROR(INDEX(BG$10:BG$11,Предпосылки!$I$214,),0))*IFERROR(INDEX(BG$10:BG$11,Предпосылки!$I$214,),0),BG348/(1+IFERROR(INDEX(BG$10:BG$11,Предпосылки!$I$215,),0))*IFERROR(INDEX(BG$10:BG$11,Предпосылки!$I$215,),0),BG371/(1+IFERROR(INDEX(BG$10:BG$11,Предпосылки!$I$216,),0))*IFERROR(INDEX(BG$10:BG$11,Предпосылки!$I$216,),0),BG394/(1+IFERROR(INDEX(BG$10:BG$11,Предпосылки!$I$217,),0))*IFERROR(INDEX(BG$10:BG$11,Предпосылки!$I$217,),0),BG417/(1+IFERROR(INDEX(BG$10:BG$11,Предпосылки!$I$218,),0))*IFERROR(INDEX(BG$10:BG$11,Предпосылки!$I$218,),0),BG440/(1+IFERROR(INDEX(BG$10:BG$11,Предпосылки!$I$219,),0))*IFERROR(INDEX(BG$10:BG$11,Предпосылки!$I$219,),0),BG463/(1+IFERROR(INDEX(BG$10:BG$11,Предпосылки!$I$220,),0))*IFERROR(INDEX(BG$10:BG$11,Предпосылки!$I$220,),0))</f>
        <v>0</v>
      </c>
      <c s="125">
        <f>SUM(BH26/(1+IFERROR(INDEX(BH$10:BH$11,Предпосылки!$I$201,),0))*IFERROR(INDEX(BH$10:BH$11,Предпосылки!$I$201,),0),BH49/(1+IFERROR(INDEX(BH$10:BH$11,Предпосылки!$I$202,),0))*IFERROR(INDEX(BH$10:BH$11,Предпосылки!$I$202,),0),BH72/(1+IFERROR(INDEX(BH$10:BH$11,Предпосылки!$I$203,),0))*IFERROR(INDEX(BH$10:BH$11,Предпосылки!$I$203,),0),BH95/(1+IFERROR(INDEX(BH$10:BH$11,Предпосылки!$I$204,),0))*IFERROR(INDEX(BH$10:BH$11,Предпосылки!$I$204,),0),BH118/(1+IFERROR(INDEX(BH$10:BH$11,Предпосылки!$I$205,),0))*IFERROR(INDEX(BH$10:BH$11,Предпосылки!$I$205,),0),BH141/(1+IFERROR(INDEX(BH$10:BH$11,Предпосылки!$I$206,),0))*IFERROR(INDEX(BH$10:BH$11,Предпосылки!$I$206,),0),BH164/(1+IFERROR(INDEX(BH$10:BH$11,Предпосылки!$I$207,),0))*IFERROR(INDEX(BH$10:BH$11,Предпосылки!$I$207,),0),BH187/(1+IFERROR(INDEX(BH$10:BH$11,Предпосылки!$I$208,),0))*IFERROR(INDEX(BH$10:BH$11,Предпосылки!$I$208,),0),BH210/(1+IFERROR(INDEX(BH$10:BH$11,Предпосылки!$I$209,),0))*IFERROR(INDEX(BH$10:BH$11,Предпосылки!$I$209,),0),BH233/(1+IFERROR(INDEX(BH$10:BH$11,Предпосылки!$I$210,),0))*IFERROR(INDEX(BH$10:BH$11,Предпосылки!$I$210,),0),BH256/(1+IFERROR(INDEX(BH$10:BH$11,Предпосылки!$I$211,),0))*IFERROR(INDEX(BH$10:BH$11,Предпосылки!$I$211,),0),BH279/(1+IFERROR(INDEX(BH$10:BH$11,Предпосылки!$I$212,),0))*IFERROR(INDEX(BH$10:BH$11,Предпосылки!$I$212,),0),BH302/(1+IFERROR(INDEX(BH$10:BH$11,Предпосылки!$I$213,),0))*IFERROR(INDEX(BH$10:BH$11,Предпосылки!$I$213,),0),BH325/(1+IFERROR(INDEX(BH$10:BH$11,Предпосылки!$I$214,),0))*IFERROR(INDEX(BH$10:BH$11,Предпосылки!$I$214,),0),BH348/(1+IFERROR(INDEX(BH$10:BH$11,Предпосылки!$I$215,),0))*IFERROR(INDEX(BH$10:BH$11,Предпосылки!$I$215,),0),BH371/(1+IFERROR(INDEX(BH$10:BH$11,Предпосылки!$I$216,),0))*IFERROR(INDEX(BH$10:BH$11,Предпосылки!$I$216,),0),BH394/(1+IFERROR(INDEX(BH$10:BH$11,Предпосылки!$I$217,),0))*IFERROR(INDEX(BH$10:BH$11,Предпосылки!$I$217,),0),BH417/(1+IFERROR(INDEX(BH$10:BH$11,Предпосылки!$I$218,),0))*IFERROR(INDEX(BH$10:BH$11,Предпосылки!$I$218,),0),BH440/(1+IFERROR(INDEX(BH$10:BH$11,Предпосылки!$I$219,),0))*IFERROR(INDEX(BH$10:BH$11,Предпосылки!$I$219,),0),BH463/(1+IFERROR(INDEX(BH$10:BH$11,Предпосылки!$I$220,),0))*IFERROR(INDEX(BH$10:BH$11,Предпосылки!$I$220,),0))</f>
        <v>0</v>
      </c>
      <c s="125">
        <f>SUM(BI26/(1+IFERROR(INDEX(BI$10:BI$11,Предпосылки!$I$201,),0))*IFERROR(INDEX(BI$10:BI$11,Предпосылки!$I$201,),0),BI49/(1+IFERROR(INDEX(BI$10:BI$11,Предпосылки!$I$202,),0))*IFERROR(INDEX(BI$10:BI$11,Предпосылки!$I$202,),0),BI72/(1+IFERROR(INDEX(BI$10:BI$11,Предпосылки!$I$203,),0))*IFERROR(INDEX(BI$10:BI$11,Предпосылки!$I$203,),0),BI95/(1+IFERROR(INDEX(BI$10:BI$11,Предпосылки!$I$204,),0))*IFERROR(INDEX(BI$10:BI$11,Предпосылки!$I$204,),0),BI118/(1+IFERROR(INDEX(BI$10:BI$11,Предпосылки!$I$205,),0))*IFERROR(INDEX(BI$10:BI$11,Предпосылки!$I$205,),0),BI141/(1+IFERROR(INDEX(BI$10:BI$11,Предпосылки!$I$206,),0))*IFERROR(INDEX(BI$10:BI$11,Предпосылки!$I$206,),0),BI164/(1+IFERROR(INDEX(BI$10:BI$11,Предпосылки!$I$207,),0))*IFERROR(INDEX(BI$10:BI$11,Предпосылки!$I$207,),0),BI187/(1+IFERROR(INDEX(BI$10:BI$11,Предпосылки!$I$208,),0))*IFERROR(INDEX(BI$10:BI$11,Предпосылки!$I$208,),0),BI210/(1+IFERROR(INDEX(BI$10:BI$11,Предпосылки!$I$209,),0))*IFERROR(INDEX(BI$10:BI$11,Предпосылки!$I$209,),0),BI233/(1+IFERROR(INDEX(BI$10:BI$11,Предпосылки!$I$210,),0))*IFERROR(INDEX(BI$10:BI$11,Предпосылки!$I$210,),0),BI256/(1+IFERROR(INDEX(BI$10:BI$11,Предпосылки!$I$211,),0))*IFERROR(INDEX(BI$10:BI$11,Предпосылки!$I$211,),0),BI279/(1+IFERROR(INDEX(BI$10:BI$11,Предпосылки!$I$212,),0))*IFERROR(INDEX(BI$10:BI$11,Предпосылки!$I$212,),0),BI302/(1+IFERROR(INDEX(BI$10:BI$11,Предпосылки!$I$213,),0))*IFERROR(INDEX(BI$10:BI$11,Предпосылки!$I$213,),0),BI325/(1+IFERROR(INDEX(BI$10:BI$11,Предпосылки!$I$214,),0))*IFERROR(INDEX(BI$10:BI$11,Предпосылки!$I$214,),0),BI348/(1+IFERROR(INDEX(BI$10:BI$11,Предпосылки!$I$215,),0))*IFERROR(INDEX(BI$10:BI$11,Предпосылки!$I$215,),0),BI371/(1+IFERROR(INDEX(BI$10:BI$11,Предпосылки!$I$216,),0))*IFERROR(INDEX(BI$10:BI$11,Предпосылки!$I$216,),0),BI394/(1+IFERROR(INDEX(BI$10:BI$11,Предпосылки!$I$217,),0))*IFERROR(INDEX(BI$10:BI$11,Предпосылки!$I$217,),0),BI417/(1+IFERROR(INDEX(BI$10:BI$11,Предпосылки!$I$218,),0))*IFERROR(INDEX(BI$10:BI$11,Предпосылки!$I$218,),0),BI440/(1+IFERROR(INDEX(BI$10:BI$11,Предпосылки!$I$219,),0))*IFERROR(INDEX(BI$10:BI$11,Предпосылки!$I$219,),0),BI463/(1+IFERROR(INDEX(BI$10:BI$11,Предпосылки!$I$220,),0))*IFERROR(INDEX(BI$10:BI$11,Предпосылки!$I$220,),0))</f>
        <v>0</v>
      </c>
      <c s="125">
        <f>SUM(BJ26/(1+IFERROR(INDEX(BJ$10:BJ$11,Предпосылки!$I$201,),0))*IFERROR(INDEX(BJ$10:BJ$11,Предпосылки!$I$201,),0),BJ49/(1+IFERROR(INDEX(BJ$10:BJ$11,Предпосылки!$I$202,),0))*IFERROR(INDEX(BJ$10:BJ$11,Предпосылки!$I$202,),0),BJ72/(1+IFERROR(INDEX(BJ$10:BJ$11,Предпосылки!$I$203,),0))*IFERROR(INDEX(BJ$10:BJ$11,Предпосылки!$I$203,),0),BJ95/(1+IFERROR(INDEX(BJ$10:BJ$11,Предпосылки!$I$204,),0))*IFERROR(INDEX(BJ$10:BJ$11,Предпосылки!$I$204,),0),BJ118/(1+IFERROR(INDEX(BJ$10:BJ$11,Предпосылки!$I$205,),0))*IFERROR(INDEX(BJ$10:BJ$11,Предпосылки!$I$205,),0),BJ141/(1+IFERROR(INDEX(BJ$10:BJ$11,Предпосылки!$I$206,),0))*IFERROR(INDEX(BJ$10:BJ$11,Предпосылки!$I$206,),0),BJ164/(1+IFERROR(INDEX(BJ$10:BJ$11,Предпосылки!$I$207,),0))*IFERROR(INDEX(BJ$10:BJ$11,Предпосылки!$I$207,),0),BJ187/(1+IFERROR(INDEX(BJ$10:BJ$11,Предпосылки!$I$208,),0))*IFERROR(INDEX(BJ$10:BJ$11,Предпосылки!$I$208,),0),BJ210/(1+IFERROR(INDEX(BJ$10:BJ$11,Предпосылки!$I$209,),0))*IFERROR(INDEX(BJ$10:BJ$11,Предпосылки!$I$209,),0),BJ233/(1+IFERROR(INDEX(BJ$10:BJ$11,Предпосылки!$I$210,),0))*IFERROR(INDEX(BJ$10:BJ$11,Предпосылки!$I$210,),0),BJ256/(1+IFERROR(INDEX(BJ$10:BJ$11,Предпосылки!$I$211,),0))*IFERROR(INDEX(BJ$10:BJ$11,Предпосылки!$I$211,),0),BJ279/(1+IFERROR(INDEX(BJ$10:BJ$11,Предпосылки!$I$212,),0))*IFERROR(INDEX(BJ$10:BJ$11,Предпосылки!$I$212,),0),BJ302/(1+IFERROR(INDEX(BJ$10:BJ$11,Предпосылки!$I$213,),0))*IFERROR(INDEX(BJ$10:BJ$11,Предпосылки!$I$213,),0),BJ325/(1+IFERROR(INDEX(BJ$10:BJ$11,Предпосылки!$I$214,),0))*IFERROR(INDEX(BJ$10:BJ$11,Предпосылки!$I$214,),0),BJ348/(1+IFERROR(INDEX(BJ$10:BJ$11,Предпосылки!$I$215,),0))*IFERROR(INDEX(BJ$10:BJ$11,Предпосылки!$I$215,),0),BJ371/(1+IFERROR(INDEX(BJ$10:BJ$11,Предпосылки!$I$216,),0))*IFERROR(INDEX(BJ$10:BJ$11,Предпосылки!$I$216,),0),BJ394/(1+IFERROR(INDEX(BJ$10:BJ$11,Предпосылки!$I$217,),0))*IFERROR(INDEX(BJ$10:BJ$11,Предпосылки!$I$217,),0),BJ417/(1+IFERROR(INDEX(BJ$10:BJ$11,Предпосылки!$I$218,),0))*IFERROR(INDEX(BJ$10:BJ$11,Предпосылки!$I$218,),0),BJ440/(1+IFERROR(INDEX(BJ$10:BJ$11,Предпосылки!$I$219,),0))*IFERROR(INDEX(BJ$10:BJ$11,Предпосылки!$I$219,),0),BJ463/(1+IFERROR(INDEX(BJ$10:BJ$11,Предпосылки!$I$220,),0))*IFERROR(INDEX(BJ$10:BJ$11,Предпосылки!$I$220,),0))</f>
        <v>0</v>
      </c>
      <c s="125">
        <f>SUM(BK26/(1+IFERROR(INDEX(BK$10:BK$11,Предпосылки!$I$201,),0))*IFERROR(INDEX(BK$10:BK$11,Предпосылки!$I$201,),0),BK49/(1+IFERROR(INDEX(BK$10:BK$11,Предпосылки!$I$202,),0))*IFERROR(INDEX(BK$10:BK$11,Предпосылки!$I$202,),0),BK72/(1+IFERROR(INDEX(BK$10:BK$11,Предпосылки!$I$203,),0))*IFERROR(INDEX(BK$10:BK$11,Предпосылки!$I$203,),0),BK95/(1+IFERROR(INDEX(BK$10:BK$11,Предпосылки!$I$204,),0))*IFERROR(INDEX(BK$10:BK$11,Предпосылки!$I$204,),0),BK118/(1+IFERROR(INDEX(BK$10:BK$11,Предпосылки!$I$205,),0))*IFERROR(INDEX(BK$10:BK$11,Предпосылки!$I$205,),0),BK141/(1+IFERROR(INDEX(BK$10:BK$11,Предпосылки!$I$206,),0))*IFERROR(INDEX(BK$10:BK$11,Предпосылки!$I$206,),0),BK164/(1+IFERROR(INDEX(BK$10:BK$11,Предпосылки!$I$207,),0))*IFERROR(INDEX(BK$10:BK$11,Предпосылки!$I$207,),0),BK187/(1+IFERROR(INDEX(BK$10:BK$11,Предпосылки!$I$208,),0))*IFERROR(INDEX(BK$10:BK$11,Предпосылки!$I$208,),0),BK210/(1+IFERROR(INDEX(BK$10:BK$11,Предпосылки!$I$209,),0))*IFERROR(INDEX(BK$10:BK$11,Предпосылки!$I$209,),0),BK233/(1+IFERROR(INDEX(BK$10:BK$11,Предпосылки!$I$210,),0))*IFERROR(INDEX(BK$10:BK$11,Предпосылки!$I$210,),0),BK256/(1+IFERROR(INDEX(BK$10:BK$11,Предпосылки!$I$211,),0))*IFERROR(INDEX(BK$10:BK$11,Предпосылки!$I$211,),0),BK279/(1+IFERROR(INDEX(BK$10:BK$11,Предпосылки!$I$212,),0))*IFERROR(INDEX(BK$10:BK$11,Предпосылки!$I$212,),0),BK302/(1+IFERROR(INDEX(BK$10:BK$11,Предпосылки!$I$213,),0))*IFERROR(INDEX(BK$10:BK$11,Предпосылки!$I$213,),0),BK325/(1+IFERROR(INDEX(BK$10:BK$11,Предпосылки!$I$214,),0))*IFERROR(INDEX(BK$10:BK$11,Предпосылки!$I$214,),0),BK348/(1+IFERROR(INDEX(BK$10:BK$11,Предпосылки!$I$215,),0))*IFERROR(INDEX(BK$10:BK$11,Предпосылки!$I$215,),0),BK371/(1+IFERROR(INDEX(BK$10:BK$11,Предпосылки!$I$216,),0))*IFERROR(INDEX(BK$10:BK$11,Предпосылки!$I$216,),0),BK394/(1+IFERROR(INDEX(BK$10:BK$11,Предпосылки!$I$217,),0))*IFERROR(INDEX(BK$10:BK$11,Предпосылки!$I$217,),0),BK417/(1+IFERROR(INDEX(BK$10:BK$11,Предпосылки!$I$218,),0))*IFERROR(INDEX(BK$10:BK$11,Предпосылки!$I$218,),0),BK440/(1+IFERROR(INDEX(BK$10:BK$11,Предпосылки!$I$219,),0))*IFERROR(INDEX(BK$10:BK$11,Предпосылки!$I$219,),0),BK463/(1+IFERROR(INDEX(BK$10:BK$11,Предпосылки!$I$220,),0))*IFERROR(INDEX(BK$10:BK$11,Предпосылки!$I$220,),0))</f>
        <v>0</v>
      </c>
      <c s="125">
        <f>SUM(BL26/(1+IFERROR(INDEX(BL$10:BL$11,Предпосылки!$I$201,),0))*IFERROR(INDEX(BL$10:BL$11,Предпосылки!$I$201,),0),BL49/(1+IFERROR(INDEX(BL$10:BL$11,Предпосылки!$I$202,),0))*IFERROR(INDEX(BL$10:BL$11,Предпосылки!$I$202,),0),BL72/(1+IFERROR(INDEX(BL$10:BL$11,Предпосылки!$I$203,),0))*IFERROR(INDEX(BL$10:BL$11,Предпосылки!$I$203,),0),BL95/(1+IFERROR(INDEX(BL$10:BL$11,Предпосылки!$I$204,),0))*IFERROR(INDEX(BL$10:BL$11,Предпосылки!$I$204,),0),BL118/(1+IFERROR(INDEX(BL$10:BL$11,Предпосылки!$I$205,),0))*IFERROR(INDEX(BL$10:BL$11,Предпосылки!$I$205,),0),BL141/(1+IFERROR(INDEX(BL$10:BL$11,Предпосылки!$I$206,),0))*IFERROR(INDEX(BL$10:BL$11,Предпосылки!$I$206,),0),BL164/(1+IFERROR(INDEX(BL$10:BL$11,Предпосылки!$I$207,),0))*IFERROR(INDEX(BL$10:BL$11,Предпосылки!$I$207,),0),BL187/(1+IFERROR(INDEX(BL$10:BL$11,Предпосылки!$I$208,),0))*IFERROR(INDEX(BL$10:BL$11,Предпосылки!$I$208,),0),BL210/(1+IFERROR(INDEX(BL$10:BL$11,Предпосылки!$I$209,),0))*IFERROR(INDEX(BL$10:BL$11,Предпосылки!$I$209,),0),BL233/(1+IFERROR(INDEX(BL$10:BL$11,Предпосылки!$I$210,),0))*IFERROR(INDEX(BL$10:BL$11,Предпосылки!$I$210,),0),BL256/(1+IFERROR(INDEX(BL$10:BL$11,Предпосылки!$I$211,),0))*IFERROR(INDEX(BL$10:BL$11,Предпосылки!$I$211,),0),BL279/(1+IFERROR(INDEX(BL$10:BL$11,Предпосылки!$I$212,),0))*IFERROR(INDEX(BL$10:BL$11,Предпосылки!$I$212,),0),BL302/(1+IFERROR(INDEX(BL$10:BL$11,Предпосылки!$I$213,),0))*IFERROR(INDEX(BL$10:BL$11,Предпосылки!$I$213,),0),BL325/(1+IFERROR(INDEX(BL$10:BL$11,Предпосылки!$I$214,),0))*IFERROR(INDEX(BL$10:BL$11,Предпосылки!$I$214,),0),BL348/(1+IFERROR(INDEX(BL$10:BL$11,Предпосылки!$I$215,),0))*IFERROR(INDEX(BL$10:BL$11,Предпосылки!$I$215,),0),BL371/(1+IFERROR(INDEX(BL$10:BL$11,Предпосылки!$I$216,),0))*IFERROR(INDEX(BL$10:BL$11,Предпосылки!$I$216,),0),BL394/(1+IFERROR(INDEX(BL$10:BL$11,Предпосылки!$I$217,),0))*IFERROR(INDEX(BL$10:BL$11,Предпосылки!$I$217,),0),BL417/(1+IFERROR(INDEX(BL$10:BL$11,Предпосылки!$I$218,),0))*IFERROR(INDEX(BL$10:BL$11,Предпосылки!$I$218,),0),BL440/(1+IFERROR(INDEX(BL$10:BL$11,Предпосылки!$I$219,),0))*IFERROR(INDEX(BL$10:BL$11,Предпосылки!$I$219,),0),BL463/(1+IFERROR(INDEX(BL$10:BL$11,Предпосылки!$I$220,),0))*IFERROR(INDEX(BL$10:BL$11,Предпосылки!$I$220,),0))</f>
        <v>0</v>
      </c>
      <c s="125">
        <f>SUM(BM26/(1+IFERROR(INDEX(BM$10:BM$11,Предпосылки!$I$201,),0))*IFERROR(INDEX(BM$10:BM$11,Предпосылки!$I$201,),0),BM49/(1+IFERROR(INDEX(BM$10:BM$11,Предпосылки!$I$202,),0))*IFERROR(INDEX(BM$10:BM$11,Предпосылки!$I$202,),0),BM72/(1+IFERROR(INDEX(BM$10:BM$11,Предпосылки!$I$203,),0))*IFERROR(INDEX(BM$10:BM$11,Предпосылки!$I$203,),0),BM95/(1+IFERROR(INDEX(BM$10:BM$11,Предпосылки!$I$204,),0))*IFERROR(INDEX(BM$10:BM$11,Предпосылки!$I$204,),0),BM118/(1+IFERROR(INDEX(BM$10:BM$11,Предпосылки!$I$205,),0))*IFERROR(INDEX(BM$10:BM$11,Предпосылки!$I$205,),0),BM141/(1+IFERROR(INDEX(BM$10:BM$11,Предпосылки!$I$206,),0))*IFERROR(INDEX(BM$10:BM$11,Предпосылки!$I$206,),0),BM164/(1+IFERROR(INDEX(BM$10:BM$11,Предпосылки!$I$207,),0))*IFERROR(INDEX(BM$10:BM$11,Предпосылки!$I$207,),0),BM187/(1+IFERROR(INDEX(BM$10:BM$11,Предпосылки!$I$208,),0))*IFERROR(INDEX(BM$10:BM$11,Предпосылки!$I$208,),0),BM210/(1+IFERROR(INDEX(BM$10:BM$11,Предпосылки!$I$209,),0))*IFERROR(INDEX(BM$10:BM$11,Предпосылки!$I$209,),0),BM233/(1+IFERROR(INDEX(BM$10:BM$11,Предпосылки!$I$210,),0))*IFERROR(INDEX(BM$10:BM$11,Предпосылки!$I$210,),0),BM256/(1+IFERROR(INDEX(BM$10:BM$11,Предпосылки!$I$211,),0))*IFERROR(INDEX(BM$10:BM$11,Предпосылки!$I$211,),0),BM279/(1+IFERROR(INDEX(BM$10:BM$11,Предпосылки!$I$212,),0))*IFERROR(INDEX(BM$10:BM$11,Предпосылки!$I$212,),0),BM302/(1+IFERROR(INDEX(BM$10:BM$11,Предпосылки!$I$213,),0))*IFERROR(INDEX(BM$10:BM$11,Предпосылки!$I$213,),0),BM325/(1+IFERROR(INDEX(BM$10:BM$11,Предпосылки!$I$214,),0))*IFERROR(INDEX(BM$10:BM$11,Предпосылки!$I$214,),0),BM348/(1+IFERROR(INDEX(BM$10:BM$11,Предпосылки!$I$215,),0))*IFERROR(INDEX(BM$10:BM$11,Предпосылки!$I$215,),0),BM371/(1+IFERROR(INDEX(BM$10:BM$11,Предпосылки!$I$216,),0))*IFERROR(INDEX(BM$10:BM$11,Предпосылки!$I$216,),0),BM394/(1+IFERROR(INDEX(BM$10:BM$11,Предпосылки!$I$217,),0))*IFERROR(INDEX(BM$10:BM$11,Предпосылки!$I$217,),0),BM417/(1+IFERROR(INDEX(BM$10:BM$11,Предпосылки!$I$218,),0))*IFERROR(INDEX(BM$10:BM$11,Предпосылки!$I$218,),0),BM440/(1+IFERROR(INDEX(BM$10:BM$11,Предпосылки!$I$219,),0))*IFERROR(INDEX(BM$10:BM$11,Предпосылки!$I$219,),0),BM463/(1+IFERROR(INDEX(BM$10:BM$11,Предпосылки!$I$220,),0))*IFERROR(INDEX(BM$10:BM$11,Предпосылки!$I$220,),0))</f>
        <v>0</v>
      </c>
    </row>
    <row r="558" spans="2:65" ht="15" customHeight="1">
      <c r="B558" s="12" t="str">
        <f t="shared" si="255"/>
        <v>Продукт 5</v>
      </c>
      <c s="124" t="str">
        <f t="shared" si="254"/>
        <v>тыс. руб.</v>
      </c>
      <c s="276">
        <f t="shared" si="256"/>
        <v>0</v>
      </c>
      <c s="125">
        <f>SUM(E27/(1+IFERROR(INDEX(E$10:E$11,Предпосылки!$I205,),0))*IFERROR(INDEX(E$10:E$11,Предпосылки!$I205,),0),E50/(1+IFERROR(INDEX(E$10:E$11,Предпосылки!$I206,),0))*IFERROR(INDEX(E$10:E$11,Предпосылки!$I206,),0),E73/(1+IFERROR(INDEX(E$10:E$11,Предпосылки!$I207,),0))*IFERROR(INDEX(E$10:E$11,Предпосылки!$I207,),0),E96/(1+IFERROR(INDEX(E$10:E$11,Предпосылки!$I208,),0))*IFERROR(INDEX(E$10:E$11,Предпосылки!$I208,),0),E119/(1+IFERROR(INDEX(E$10:E$11,Предпосылки!$I209,),0))*IFERROR(INDEX(E$10:E$11,Предпосылки!$I209,),0),E142/(1+IFERROR(INDEX(E$10:E$11,Предпосылки!$I210,),0))*IFERROR(INDEX(E$10:E$11,Предпосылки!$I210,),0),E165/(1+IFERROR(INDEX(E$10:E$11,Предпосылки!$I211,),0))*IFERROR(INDEX(E$10:E$11,Предпосылки!$I211,),0),E188/(1+IFERROR(INDEX(E$10:E$11,Предпосылки!$I212,),0))*IFERROR(INDEX(E$10:E$11,Предпосылки!$I212,),0),E211/(1+IFERROR(INDEX(E$10:E$11,Предпосылки!$I213,),0))*IFERROR(INDEX(E$10:E$11,Предпосылки!$I213,),0),E234/(1+IFERROR(INDEX(E$10:E$11,Предпосылки!$I214,),0))*IFERROR(INDEX(E$10:E$11,Предпосылки!$I214,),0),E257/(1+IFERROR(INDEX(E$10:E$11,Предпосылки!$I215,),0))*IFERROR(INDEX(E$10:E$11,Предпосылки!$I215,),0),E280/(1+IFERROR(INDEX(E$10:E$11,Предпосылки!$I216,),0))*IFERROR(INDEX(E$10:E$11,Предпосылки!$I216,),0),E303/(1+IFERROR(INDEX(E$10:E$11,Предпосылки!$I217,),0))*IFERROR(INDEX(E$10:E$11,Предпосылки!$I217,),0),E326/(1+IFERROR(INDEX(E$10:E$11,Предпосылки!$I218,),0))*IFERROR(INDEX(E$10:E$11,Предпосылки!$I218,),0),E349/(1+IFERROR(INDEX(E$10:E$11,Предпосылки!$I219,),0))*IFERROR(INDEX(E$10:E$11,Предпосылки!$I219,),0),E372/(1+IFERROR(INDEX(E$10:E$11,Предпосылки!$I220,),0))*IFERROR(INDEX(E$10:E$11,Предпосылки!$I220,),0),E395/(1+IFERROR(INDEX(E$10:E$11,Предпосылки!$I221,),0))*IFERROR(INDEX(E$10:E$11,Предпосылки!$I221,),0),E418/(1+IFERROR(INDEX(E$10:E$11,Предпосылки!$I222,),0))*IFERROR(INDEX(E$10:E$11,Предпосылки!$I222,),0),E441/(1+IFERROR(INDEX(E$10:E$11,Предпосылки!$I223,),0))*IFERROR(INDEX(E$10:E$11,Предпосылки!$I223,),0),E464/(1+IFERROR(INDEX(E$10:E$11,Предпосылки!$I224,),0))*IFERROR(INDEX(E$10:E$11,Предпосылки!$I224,),0))</f>
        <v>0</v>
      </c>
      <c s="125">
        <f>SUM(F27/(1+IFERROR(INDEX(F$10:F$11,Предпосылки!$I$201,),0))*IFERROR(INDEX(F$10:F$11,Предпосылки!$I$201,),0),F50/(1+IFERROR(INDEX(F$10:F$11,Предпосылки!$I$202,),0))*IFERROR(INDEX(F$10:F$11,Предпосылки!$I$202,),0),F73/(1+IFERROR(INDEX(F$10:F$11,Предпосылки!$I$203,),0))*IFERROR(INDEX(F$10:F$11,Предпосылки!$I$203,),0),F96/(1+IFERROR(INDEX(F$10:F$11,Предпосылки!$I$204,),0))*IFERROR(INDEX(F$10:F$11,Предпосылки!$I$204,),0),F119/(1+IFERROR(INDEX(F$10:F$11,Предпосылки!$I$205,),0))*IFERROR(INDEX(F$10:F$11,Предпосылки!$I$205,),0),F142/(1+IFERROR(INDEX(F$10:F$11,Предпосылки!$I$206,),0))*IFERROR(INDEX(F$10:F$11,Предпосылки!$I$206,),0),F165/(1+IFERROR(INDEX(F$10:F$11,Предпосылки!$I$207,),0))*IFERROR(INDEX(F$10:F$11,Предпосылки!$I$207,),0),F188/(1+IFERROR(INDEX(F$10:F$11,Предпосылки!$I$208,),0))*IFERROR(INDEX(F$10:F$11,Предпосылки!$I$208,),0),F211/(1+IFERROR(INDEX(F$10:F$11,Предпосылки!$I$209,),0))*IFERROR(INDEX(F$10:F$11,Предпосылки!$I$209,),0),F234/(1+IFERROR(INDEX(F$10:F$11,Предпосылки!$I$210,),0))*IFERROR(INDEX(F$10:F$11,Предпосылки!$I$210,),0),F257/(1+IFERROR(INDEX(F$10:F$11,Предпосылки!$I$211,),0))*IFERROR(INDEX(F$10:F$11,Предпосылки!$I$211,),0),F280/(1+IFERROR(INDEX(F$10:F$11,Предпосылки!$I$212,),0))*IFERROR(INDEX(F$10:F$11,Предпосылки!$I$212,),0),F303/(1+IFERROR(INDEX(F$10:F$11,Предпосылки!$I$213,),0))*IFERROR(INDEX(F$10:F$11,Предпосылки!$I$213,),0),F326/(1+IFERROR(INDEX(F$10:F$11,Предпосылки!$I$214,),0))*IFERROR(INDEX(F$10:F$11,Предпосылки!$I$214,),0),F349/(1+IFERROR(INDEX(F$10:F$11,Предпосылки!$I$215,),0))*IFERROR(INDEX(F$10:F$11,Предпосылки!$I$215,),0),F372/(1+IFERROR(INDEX(F$10:F$11,Предпосылки!$I$216,),0))*IFERROR(INDEX(F$10:F$11,Предпосылки!$I$216,),0),F395/(1+IFERROR(INDEX(F$10:F$11,Предпосылки!$I$217,),0))*IFERROR(INDEX(F$10:F$11,Предпосылки!$I$217,),0),F418/(1+IFERROR(INDEX(F$10:F$11,Предпосылки!$I$218,),0))*IFERROR(INDEX(F$10:F$11,Предпосылки!$I$218,),0),F441/(1+IFERROR(INDEX(F$10:F$11,Предпосылки!$I$219,),0))*IFERROR(INDEX(F$10:F$11,Предпосылки!$I$219,),0),F464/(1+IFERROR(INDEX(F$10:F$11,Предпосылки!$I$220,),0))*IFERROR(INDEX(F$10:F$11,Предпосылки!$I$220,),0))</f>
        <v>0</v>
      </c>
      <c s="125">
        <f>SUM(G27/(1+IFERROR(INDEX(G$10:G$11,Предпосылки!$I$201,),0))*IFERROR(INDEX(G$10:G$11,Предпосылки!$I$201,),0),G50/(1+IFERROR(INDEX(G$10:G$11,Предпосылки!$I$202,),0))*IFERROR(INDEX(G$10:G$11,Предпосылки!$I$202,),0),G73/(1+IFERROR(INDEX(G$10:G$11,Предпосылки!$I$203,),0))*IFERROR(INDEX(G$10:G$11,Предпосылки!$I$203,),0),G96/(1+IFERROR(INDEX(G$10:G$11,Предпосылки!$I$204,),0))*IFERROR(INDEX(G$10:G$11,Предпосылки!$I$204,),0),G119/(1+IFERROR(INDEX(G$10:G$11,Предпосылки!$I$205,),0))*IFERROR(INDEX(G$10:G$11,Предпосылки!$I$205,),0),G142/(1+IFERROR(INDEX(G$10:G$11,Предпосылки!$I$206,),0))*IFERROR(INDEX(G$10:G$11,Предпосылки!$I$206,),0),G165/(1+IFERROR(INDEX(G$10:G$11,Предпосылки!$I$207,),0))*IFERROR(INDEX(G$10:G$11,Предпосылки!$I$207,),0),G188/(1+IFERROR(INDEX(G$10:G$11,Предпосылки!$I$208,),0))*IFERROR(INDEX(G$10:G$11,Предпосылки!$I$208,),0),G211/(1+IFERROR(INDEX(G$10:G$11,Предпосылки!$I$209,),0))*IFERROR(INDEX(G$10:G$11,Предпосылки!$I$209,),0),G234/(1+IFERROR(INDEX(G$10:G$11,Предпосылки!$I$210,),0))*IFERROR(INDEX(G$10:G$11,Предпосылки!$I$210,),0),G257/(1+IFERROR(INDEX(G$10:G$11,Предпосылки!$I$211,),0))*IFERROR(INDEX(G$10:G$11,Предпосылки!$I$211,),0),G280/(1+IFERROR(INDEX(G$10:G$11,Предпосылки!$I$212,),0))*IFERROR(INDEX(G$10:G$11,Предпосылки!$I$212,),0),G303/(1+IFERROR(INDEX(G$10:G$11,Предпосылки!$I$213,),0))*IFERROR(INDEX(G$10:G$11,Предпосылки!$I$213,),0),G326/(1+IFERROR(INDEX(G$10:G$11,Предпосылки!$I$214,),0))*IFERROR(INDEX(G$10:G$11,Предпосылки!$I$214,),0),G349/(1+IFERROR(INDEX(G$10:G$11,Предпосылки!$I$215,),0))*IFERROR(INDEX(G$10:G$11,Предпосылки!$I$215,),0),G372/(1+IFERROR(INDEX(G$10:G$11,Предпосылки!$I$216,),0))*IFERROR(INDEX(G$10:G$11,Предпосылки!$I$216,),0),G395/(1+IFERROR(INDEX(G$10:G$11,Предпосылки!$I$217,),0))*IFERROR(INDEX(G$10:G$11,Предпосылки!$I$217,),0),G418/(1+IFERROR(INDEX(G$10:G$11,Предпосылки!$I$218,),0))*IFERROR(INDEX(G$10:G$11,Предпосылки!$I$218,),0),G441/(1+IFERROR(INDEX(G$10:G$11,Предпосылки!$I$219,),0))*IFERROR(INDEX(G$10:G$11,Предпосылки!$I$219,),0),G464/(1+IFERROR(INDEX(G$10:G$11,Предпосылки!$I$220,),0))*IFERROR(INDEX(G$10:G$11,Предпосылки!$I$220,),0))</f>
        <v>0</v>
      </c>
      <c s="125">
        <f>SUM(H27/(1+IFERROR(INDEX(H$10:H$11,Предпосылки!$I$201,),0))*IFERROR(INDEX(H$10:H$11,Предпосылки!$I$201,),0),H50/(1+IFERROR(INDEX(H$10:H$11,Предпосылки!$I$202,),0))*IFERROR(INDEX(H$10:H$11,Предпосылки!$I$202,),0),H73/(1+IFERROR(INDEX(H$10:H$11,Предпосылки!$I$203,),0))*IFERROR(INDEX(H$10:H$11,Предпосылки!$I$203,),0),H96/(1+IFERROR(INDEX(H$10:H$11,Предпосылки!$I$204,),0))*IFERROR(INDEX(H$10:H$11,Предпосылки!$I$204,),0),H119/(1+IFERROR(INDEX(H$10:H$11,Предпосылки!$I$205,),0))*IFERROR(INDEX(H$10:H$11,Предпосылки!$I$205,),0),H142/(1+IFERROR(INDEX(H$10:H$11,Предпосылки!$I$206,),0))*IFERROR(INDEX(H$10:H$11,Предпосылки!$I$206,),0),H165/(1+IFERROR(INDEX(H$10:H$11,Предпосылки!$I$207,),0))*IFERROR(INDEX(H$10:H$11,Предпосылки!$I$207,),0),H188/(1+IFERROR(INDEX(H$10:H$11,Предпосылки!$I$208,),0))*IFERROR(INDEX(H$10:H$11,Предпосылки!$I$208,),0),H211/(1+IFERROR(INDEX(H$10:H$11,Предпосылки!$I$209,),0))*IFERROR(INDEX(H$10:H$11,Предпосылки!$I$209,),0),H234/(1+IFERROR(INDEX(H$10:H$11,Предпосылки!$I$210,),0))*IFERROR(INDEX(H$10:H$11,Предпосылки!$I$210,),0),H257/(1+IFERROR(INDEX(H$10:H$11,Предпосылки!$I$211,),0))*IFERROR(INDEX(H$10:H$11,Предпосылки!$I$211,),0),H280/(1+IFERROR(INDEX(H$10:H$11,Предпосылки!$I$212,),0))*IFERROR(INDEX(H$10:H$11,Предпосылки!$I$212,),0),H303/(1+IFERROR(INDEX(H$10:H$11,Предпосылки!$I$213,),0))*IFERROR(INDEX(H$10:H$11,Предпосылки!$I$213,),0),H326/(1+IFERROR(INDEX(H$10:H$11,Предпосылки!$I$214,),0))*IFERROR(INDEX(H$10:H$11,Предпосылки!$I$214,),0),H349/(1+IFERROR(INDEX(H$10:H$11,Предпосылки!$I$215,),0))*IFERROR(INDEX(H$10:H$11,Предпосылки!$I$215,),0),H372/(1+IFERROR(INDEX(H$10:H$11,Предпосылки!$I$216,),0))*IFERROR(INDEX(H$10:H$11,Предпосылки!$I$216,),0),H395/(1+IFERROR(INDEX(H$10:H$11,Предпосылки!$I$217,),0))*IFERROR(INDEX(H$10:H$11,Предпосылки!$I$217,),0),H418/(1+IFERROR(INDEX(H$10:H$11,Предпосылки!$I$218,),0))*IFERROR(INDEX(H$10:H$11,Предпосылки!$I$218,),0),H441/(1+IFERROR(INDEX(H$10:H$11,Предпосылки!$I$219,),0))*IFERROR(INDEX(H$10:H$11,Предпосылки!$I$219,),0),H464/(1+IFERROR(INDEX(H$10:H$11,Предпосылки!$I$220,),0))*IFERROR(INDEX(H$10:H$11,Предпосылки!$I$220,),0))</f>
        <v>0</v>
      </c>
      <c s="125">
        <f>SUM(I27/(1+IFERROR(INDEX(I$10:I$11,Предпосылки!$I$201,),0))*IFERROR(INDEX(I$10:I$11,Предпосылки!$I$201,),0),I50/(1+IFERROR(INDEX(I$10:I$11,Предпосылки!$I$202,),0))*IFERROR(INDEX(I$10:I$11,Предпосылки!$I$202,),0),I73/(1+IFERROR(INDEX(I$10:I$11,Предпосылки!$I$203,),0))*IFERROR(INDEX(I$10:I$11,Предпосылки!$I$203,),0),I96/(1+IFERROR(INDEX(I$10:I$11,Предпосылки!$I$204,),0))*IFERROR(INDEX(I$10:I$11,Предпосылки!$I$204,),0),I119/(1+IFERROR(INDEX(I$10:I$11,Предпосылки!$I$205,),0))*IFERROR(INDEX(I$10:I$11,Предпосылки!$I$205,),0),I142/(1+IFERROR(INDEX(I$10:I$11,Предпосылки!$I$206,),0))*IFERROR(INDEX(I$10:I$11,Предпосылки!$I$206,),0),I165/(1+IFERROR(INDEX(I$10:I$11,Предпосылки!$I$207,),0))*IFERROR(INDEX(I$10:I$11,Предпосылки!$I$207,),0),I188/(1+IFERROR(INDEX(I$10:I$11,Предпосылки!$I$208,),0))*IFERROR(INDEX(I$10:I$11,Предпосылки!$I$208,),0),I211/(1+IFERROR(INDEX(I$10:I$11,Предпосылки!$I$209,),0))*IFERROR(INDEX(I$10:I$11,Предпосылки!$I$209,),0),I234/(1+IFERROR(INDEX(I$10:I$11,Предпосылки!$I$210,),0))*IFERROR(INDEX(I$10:I$11,Предпосылки!$I$210,),0),I257/(1+IFERROR(INDEX(I$10:I$11,Предпосылки!$I$211,),0))*IFERROR(INDEX(I$10:I$11,Предпосылки!$I$211,),0),I280/(1+IFERROR(INDEX(I$10:I$11,Предпосылки!$I$212,),0))*IFERROR(INDEX(I$10:I$11,Предпосылки!$I$212,),0),I303/(1+IFERROR(INDEX(I$10:I$11,Предпосылки!$I$213,),0))*IFERROR(INDEX(I$10:I$11,Предпосылки!$I$213,),0),I326/(1+IFERROR(INDEX(I$10:I$11,Предпосылки!$I$214,),0))*IFERROR(INDEX(I$10:I$11,Предпосылки!$I$214,),0),I349/(1+IFERROR(INDEX(I$10:I$11,Предпосылки!$I$215,),0))*IFERROR(INDEX(I$10:I$11,Предпосылки!$I$215,),0),I372/(1+IFERROR(INDEX(I$10:I$11,Предпосылки!$I$216,),0))*IFERROR(INDEX(I$10:I$11,Предпосылки!$I$216,),0),I395/(1+IFERROR(INDEX(I$10:I$11,Предпосылки!$I$217,),0))*IFERROR(INDEX(I$10:I$11,Предпосылки!$I$217,),0),I418/(1+IFERROR(INDEX(I$10:I$11,Предпосылки!$I$218,),0))*IFERROR(INDEX(I$10:I$11,Предпосылки!$I$218,),0),I441/(1+IFERROR(INDEX(I$10:I$11,Предпосылки!$I$219,),0))*IFERROR(INDEX(I$10:I$11,Предпосылки!$I$219,),0),I464/(1+IFERROR(INDEX(I$10:I$11,Предпосылки!$I$220,),0))*IFERROR(INDEX(I$10:I$11,Предпосылки!$I$220,),0))</f>
        <v>0</v>
      </c>
      <c s="125">
        <f>SUM(J27/(1+IFERROR(INDEX(J$10:J$11,Предпосылки!$I$201,),0))*IFERROR(INDEX(J$10:J$11,Предпосылки!$I$201,),0),J50/(1+IFERROR(INDEX(J$10:J$11,Предпосылки!$I$202,),0))*IFERROR(INDEX(J$10:J$11,Предпосылки!$I$202,),0),J73/(1+IFERROR(INDEX(J$10:J$11,Предпосылки!$I$203,),0))*IFERROR(INDEX(J$10:J$11,Предпосылки!$I$203,),0),J96/(1+IFERROR(INDEX(J$10:J$11,Предпосылки!$I$204,),0))*IFERROR(INDEX(J$10:J$11,Предпосылки!$I$204,),0),J119/(1+IFERROR(INDEX(J$10:J$11,Предпосылки!$I$205,),0))*IFERROR(INDEX(J$10:J$11,Предпосылки!$I$205,),0),J142/(1+IFERROR(INDEX(J$10:J$11,Предпосылки!$I$206,),0))*IFERROR(INDEX(J$10:J$11,Предпосылки!$I$206,),0),J165/(1+IFERROR(INDEX(J$10:J$11,Предпосылки!$I$207,),0))*IFERROR(INDEX(J$10:J$11,Предпосылки!$I$207,),0),J188/(1+IFERROR(INDEX(J$10:J$11,Предпосылки!$I$208,),0))*IFERROR(INDEX(J$10:J$11,Предпосылки!$I$208,),0),J211/(1+IFERROR(INDEX(J$10:J$11,Предпосылки!$I$209,),0))*IFERROR(INDEX(J$10:J$11,Предпосылки!$I$209,),0),J234/(1+IFERROR(INDEX(J$10:J$11,Предпосылки!$I$210,),0))*IFERROR(INDEX(J$10:J$11,Предпосылки!$I$210,),0),J257/(1+IFERROR(INDEX(J$10:J$11,Предпосылки!$I$211,),0))*IFERROR(INDEX(J$10:J$11,Предпосылки!$I$211,),0),J280/(1+IFERROR(INDEX(J$10:J$11,Предпосылки!$I$212,),0))*IFERROR(INDEX(J$10:J$11,Предпосылки!$I$212,),0),J303/(1+IFERROR(INDEX(J$10:J$11,Предпосылки!$I$213,),0))*IFERROR(INDEX(J$10:J$11,Предпосылки!$I$213,),0),J326/(1+IFERROR(INDEX(J$10:J$11,Предпосылки!$I$214,),0))*IFERROR(INDEX(J$10:J$11,Предпосылки!$I$214,),0),J349/(1+IFERROR(INDEX(J$10:J$11,Предпосылки!$I$215,),0))*IFERROR(INDEX(J$10:J$11,Предпосылки!$I$215,),0),J372/(1+IFERROR(INDEX(J$10:J$11,Предпосылки!$I$216,),0))*IFERROR(INDEX(J$10:J$11,Предпосылки!$I$216,),0),J395/(1+IFERROR(INDEX(J$10:J$11,Предпосылки!$I$217,),0))*IFERROR(INDEX(J$10:J$11,Предпосылки!$I$217,),0),J418/(1+IFERROR(INDEX(J$10:J$11,Предпосылки!$I$218,),0))*IFERROR(INDEX(J$10:J$11,Предпосылки!$I$218,),0),J441/(1+IFERROR(INDEX(J$10:J$11,Предпосылки!$I$219,),0))*IFERROR(INDEX(J$10:J$11,Предпосылки!$I$219,),0),J464/(1+IFERROR(INDEX(J$10:J$11,Предпосылки!$I$220,),0))*IFERROR(INDEX(J$10:J$11,Предпосылки!$I$220,),0))</f>
        <v>0</v>
      </c>
      <c s="125">
        <f>SUM(K27/(1+IFERROR(INDEX(K$10:K$11,Предпосылки!$I$201,),0))*IFERROR(INDEX(K$10:K$11,Предпосылки!$I$201,),0),K50/(1+IFERROR(INDEX(K$10:K$11,Предпосылки!$I$202,),0))*IFERROR(INDEX(K$10:K$11,Предпосылки!$I$202,),0),K73/(1+IFERROR(INDEX(K$10:K$11,Предпосылки!$I$203,),0))*IFERROR(INDEX(K$10:K$11,Предпосылки!$I$203,),0),K96/(1+IFERROR(INDEX(K$10:K$11,Предпосылки!$I$204,),0))*IFERROR(INDEX(K$10:K$11,Предпосылки!$I$204,),0),K119/(1+IFERROR(INDEX(K$10:K$11,Предпосылки!$I$205,),0))*IFERROR(INDEX(K$10:K$11,Предпосылки!$I$205,),0),K142/(1+IFERROR(INDEX(K$10:K$11,Предпосылки!$I$206,),0))*IFERROR(INDEX(K$10:K$11,Предпосылки!$I$206,),0),K165/(1+IFERROR(INDEX(K$10:K$11,Предпосылки!$I$207,),0))*IFERROR(INDEX(K$10:K$11,Предпосылки!$I$207,),0),K188/(1+IFERROR(INDEX(K$10:K$11,Предпосылки!$I$208,),0))*IFERROR(INDEX(K$10:K$11,Предпосылки!$I$208,),0),K211/(1+IFERROR(INDEX(K$10:K$11,Предпосылки!$I$209,),0))*IFERROR(INDEX(K$10:K$11,Предпосылки!$I$209,),0),K234/(1+IFERROR(INDEX(K$10:K$11,Предпосылки!$I$210,),0))*IFERROR(INDEX(K$10:K$11,Предпосылки!$I$210,),0),K257/(1+IFERROR(INDEX(K$10:K$11,Предпосылки!$I$211,),0))*IFERROR(INDEX(K$10:K$11,Предпосылки!$I$211,),0),K280/(1+IFERROR(INDEX(K$10:K$11,Предпосылки!$I$212,),0))*IFERROR(INDEX(K$10:K$11,Предпосылки!$I$212,),0),K303/(1+IFERROR(INDEX(K$10:K$11,Предпосылки!$I$213,),0))*IFERROR(INDEX(K$10:K$11,Предпосылки!$I$213,),0),K326/(1+IFERROR(INDEX(K$10:K$11,Предпосылки!$I$214,),0))*IFERROR(INDEX(K$10:K$11,Предпосылки!$I$214,),0),K349/(1+IFERROR(INDEX(K$10:K$11,Предпосылки!$I$215,),0))*IFERROR(INDEX(K$10:K$11,Предпосылки!$I$215,),0),K372/(1+IFERROR(INDEX(K$10:K$11,Предпосылки!$I$216,),0))*IFERROR(INDEX(K$10:K$11,Предпосылки!$I$216,),0),K395/(1+IFERROR(INDEX(K$10:K$11,Предпосылки!$I$217,),0))*IFERROR(INDEX(K$10:K$11,Предпосылки!$I$217,),0),K418/(1+IFERROR(INDEX(K$10:K$11,Предпосылки!$I$218,),0))*IFERROR(INDEX(K$10:K$11,Предпосылки!$I$218,),0),K441/(1+IFERROR(INDEX(K$10:K$11,Предпосылки!$I$219,),0))*IFERROR(INDEX(K$10:K$11,Предпосылки!$I$219,),0),K464/(1+IFERROR(INDEX(K$10:K$11,Предпосылки!$I$220,),0))*IFERROR(INDEX(K$10:K$11,Предпосылки!$I$220,),0))</f>
        <v>0</v>
      </c>
      <c s="125">
        <f>SUM(L27/(1+IFERROR(INDEX(L$10:L$11,Предпосылки!$I$201,),0))*IFERROR(INDEX(L$10:L$11,Предпосылки!$I$201,),0),L50/(1+IFERROR(INDEX(L$10:L$11,Предпосылки!$I$202,),0))*IFERROR(INDEX(L$10:L$11,Предпосылки!$I$202,),0),L73/(1+IFERROR(INDEX(L$10:L$11,Предпосылки!$I$203,),0))*IFERROR(INDEX(L$10:L$11,Предпосылки!$I$203,),0),L96/(1+IFERROR(INDEX(L$10:L$11,Предпосылки!$I$204,),0))*IFERROR(INDEX(L$10:L$11,Предпосылки!$I$204,),0),L119/(1+IFERROR(INDEX(L$10:L$11,Предпосылки!$I$205,),0))*IFERROR(INDEX(L$10:L$11,Предпосылки!$I$205,),0),L142/(1+IFERROR(INDEX(L$10:L$11,Предпосылки!$I$206,),0))*IFERROR(INDEX(L$10:L$11,Предпосылки!$I$206,),0),L165/(1+IFERROR(INDEX(L$10:L$11,Предпосылки!$I$207,),0))*IFERROR(INDEX(L$10:L$11,Предпосылки!$I$207,),0),L188/(1+IFERROR(INDEX(L$10:L$11,Предпосылки!$I$208,),0))*IFERROR(INDEX(L$10:L$11,Предпосылки!$I$208,),0),L211/(1+IFERROR(INDEX(L$10:L$11,Предпосылки!$I$209,),0))*IFERROR(INDEX(L$10:L$11,Предпосылки!$I$209,),0),L234/(1+IFERROR(INDEX(L$10:L$11,Предпосылки!$I$210,),0))*IFERROR(INDEX(L$10:L$11,Предпосылки!$I$210,),0),L257/(1+IFERROR(INDEX(L$10:L$11,Предпосылки!$I$211,),0))*IFERROR(INDEX(L$10:L$11,Предпосылки!$I$211,),0),L280/(1+IFERROR(INDEX(L$10:L$11,Предпосылки!$I$212,),0))*IFERROR(INDEX(L$10:L$11,Предпосылки!$I$212,),0),L303/(1+IFERROR(INDEX(L$10:L$11,Предпосылки!$I$213,),0))*IFERROR(INDEX(L$10:L$11,Предпосылки!$I$213,),0),L326/(1+IFERROR(INDEX(L$10:L$11,Предпосылки!$I$214,),0))*IFERROR(INDEX(L$10:L$11,Предпосылки!$I$214,),0),L349/(1+IFERROR(INDEX(L$10:L$11,Предпосылки!$I$215,),0))*IFERROR(INDEX(L$10:L$11,Предпосылки!$I$215,),0),L372/(1+IFERROR(INDEX(L$10:L$11,Предпосылки!$I$216,),0))*IFERROR(INDEX(L$10:L$11,Предпосылки!$I$216,),0),L395/(1+IFERROR(INDEX(L$10:L$11,Предпосылки!$I$217,),0))*IFERROR(INDEX(L$10:L$11,Предпосылки!$I$217,),0),L418/(1+IFERROR(INDEX(L$10:L$11,Предпосылки!$I$218,),0))*IFERROR(INDEX(L$10:L$11,Предпосылки!$I$218,),0),L441/(1+IFERROR(INDEX(L$10:L$11,Предпосылки!$I$219,),0))*IFERROR(INDEX(L$10:L$11,Предпосылки!$I$219,),0),L464/(1+IFERROR(INDEX(L$10:L$11,Предпосылки!$I$220,),0))*IFERROR(INDEX(L$10:L$11,Предпосылки!$I$220,),0))</f>
        <v>0</v>
      </c>
      <c s="125">
        <f>SUM(M27/(1+IFERROR(INDEX(M$10:M$11,Предпосылки!$I$201,),0))*IFERROR(INDEX(M$10:M$11,Предпосылки!$I$201,),0),M50/(1+IFERROR(INDEX(M$10:M$11,Предпосылки!$I$202,),0))*IFERROR(INDEX(M$10:M$11,Предпосылки!$I$202,),0),M73/(1+IFERROR(INDEX(M$10:M$11,Предпосылки!$I$203,),0))*IFERROR(INDEX(M$10:M$11,Предпосылки!$I$203,),0),M96/(1+IFERROR(INDEX(M$10:M$11,Предпосылки!$I$204,),0))*IFERROR(INDEX(M$10:M$11,Предпосылки!$I$204,),0),M119/(1+IFERROR(INDEX(M$10:M$11,Предпосылки!$I$205,),0))*IFERROR(INDEX(M$10:M$11,Предпосылки!$I$205,),0),M142/(1+IFERROR(INDEX(M$10:M$11,Предпосылки!$I$206,),0))*IFERROR(INDEX(M$10:M$11,Предпосылки!$I$206,),0),M165/(1+IFERROR(INDEX(M$10:M$11,Предпосылки!$I$207,),0))*IFERROR(INDEX(M$10:M$11,Предпосылки!$I$207,),0),M188/(1+IFERROR(INDEX(M$10:M$11,Предпосылки!$I$208,),0))*IFERROR(INDEX(M$10:M$11,Предпосылки!$I$208,),0),M211/(1+IFERROR(INDEX(M$10:M$11,Предпосылки!$I$209,),0))*IFERROR(INDEX(M$10:M$11,Предпосылки!$I$209,),0),M234/(1+IFERROR(INDEX(M$10:M$11,Предпосылки!$I$210,),0))*IFERROR(INDEX(M$10:M$11,Предпосылки!$I$210,),0),M257/(1+IFERROR(INDEX(M$10:M$11,Предпосылки!$I$211,),0))*IFERROR(INDEX(M$10:M$11,Предпосылки!$I$211,),0),M280/(1+IFERROR(INDEX(M$10:M$11,Предпосылки!$I$212,),0))*IFERROR(INDEX(M$10:M$11,Предпосылки!$I$212,),0),M303/(1+IFERROR(INDEX(M$10:M$11,Предпосылки!$I$213,),0))*IFERROR(INDEX(M$10:M$11,Предпосылки!$I$213,),0),M326/(1+IFERROR(INDEX(M$10:M$11,Предпосылки!$I$214,),0))*IFERROR(INDEX(M$10:M$11,Предпосылки!$I$214,),0),M349/(1+IFERROR(INDEX(M$10:M$11,Предпосылки!$I$215,),0))*IFERROR(INDEX(M$10:M$11,Предпосылки!$I$215,),0),M372/(1+IFERROR(INDEX(M$10:M$11,Предпосылки!$I$216,),0))*IFERROR(INDEX(M$10:M$11,Предпосылки!$I$216,),0),M395/(1+IFERROR(INDEX(M$10:M$11,Предпосылки!$I$217,),0))*IFERROR(INDEX(M$10:M$11,Предпосылки!$I$217,),0),M418/(1+IFERROR(INDEX(M$10:M$11,Предпосылки!$I$218,),0))*IFERROR(INDEX(M$10:M$11,Предпосылки!$I$218,),0),M441/(1+IFERROR(INDEX(M$10:M$11,Предпосылки!$I$219,),0))*IFERROR(INDEX(M$10:M$11,Предпосылки!$I$219,),0),M464/(1+IFERROR(INDEX(M$10:M$11,Предпосылки!$I$220,),0))*IFERROR(INDEX(M$10:M$11,Предпосылки!$I$220,),0))</f>
        <v>0</v>
      </c>
      <c s="125">
        <f>SUM(N27/(1+IFERROR(INDEX(N$10:N$11,Предпосылки!$I$201,),0))*IFERROR(INDEX(N$10:N$11,Предпосылки!$I$201,),0),N50/(1+IFERROR(INDEX(N$10:N$11,Предпосылки!$I$202,),0))*IFERROR(INDEX(N$10:N$11,Предпосылки!$I$202,),0),N73/(1+IFERROR(INDEX(N$10:N$11,Предпосылки!$I$203,),0))*IFERROR(INDEX(N$10:N$11,Предпосылки!$I$203,),0),N96/(1+IFERROR(INDEX(N$10:N$11,Предпосылки!$I$204,),0))*IFERROR(INDEX(N$10:N$11,Предпосылки!$I$204,),0),N119/(1+IFERROR(INDEX(N$10:N$11,Предпосылки!$I$205,),0))*IFERROR(INDEX(N$10:N$11,Предпосылки!$I$205,),0),N142/(1+IFERROR(INDEX(N$10:N$11,Предпосылки!$I$206,),0))*IFERROR(INDEX(N$10:N$11,Предпосылки!$I$206,),0),N165/(1+IFERROR(INDEX(N$10:N$11,Предпосылки!$I$207,),0))*IFERROR(INDEX(N$10:N$11,Предпосылки!$I$207,),0),N188/(1+IFERROR(INDEX(N$10:N$11,Предпосылки!$I$208,),0))*IFERROR(INDEX(N$10:N$11,Предпосылки!$I$208,),0),N211/(1+IFERROR(INDEX(N$10:N$11,Предпосылки!$I$209,),0))*IFERROR(INDEX(N$10:N$11,Предпосылки!$I$209,),0),N234/(1+IFERROR(INDEX(N$10:N$11,Предпосылки!$I$210,),0))*IFERROR(INDEX(N$10:N$11,Предпосылки!$I$210,),0),N257/(1+IFERROR(INDEX(N$10:N$11,Предпосылки!$I$211,),0))*IFERROR(INDEX(N$10:N$11,Предпосылки!$I$211,),0),N280/(1+IFERROR(INDEX(N$10:N$11,Предпосылки!$I$212,),0))*IFERROR(INDEX(N$10:N$11,Предпосылки!$I$212,),0),N303/(1+IFERROR(INDEX(N$10:N$11,Предпосылки!$I$213,),0))*IFERROR(INDEX(N$10:N$11,Предпосылки!$I$213,),0),N326/(1+IFERROR(INDEX(N$10:N$11,Предпосылки!$I$214,),0))*IFERROR(INDEX(N$10:N$11,Предпосылки!$I$214,),0),N349/(1+IFERROR(INDEX(N$10:N$11,Предпосылки!$I$215,),0))*IFERROR(INDEX(N$10:N$11,Предпосылки!$I$215,),0),N372/(1+IFERROR(INDEX(N$10:N$11,Предпосылки!$I$216,),0))*IFERROR(INDEX(N$10:N$11,Предпосылки!$I$216,),0),N395/(1+IFERROR(INDEX(N$10:N$11,Предпосылки!$I$217,),0))*IFERROR(INDEX(N$10:N$11,Предпосылки!$I$217,),0),N418/(1+IFERROR(INDEX(N$10:N$11,Предпосылки!$I$218,),0))*IFERROR(INDEX(N$10:N$11,Предпосылки!$I$218,),0),N441/(1+IFERROR(INDEX(N$10:N$11,Предпосылки!$I$219,),0))*IFERROR(INDEX(N$10:N$11,Предпосылки!$I$219,),0),N464/(1+IFERROR(INDEX(N$10:N$11,Предпосылки!$I$220,),0))*IFERROR(INDEX(N$10:N$11,Предпосылки!$I$220,),0))</f>
        <v>0</v>
      </c>
      <c s="125">
        <f>SUM(O27/(1+IFERROR(INDEX(O$10:O$11,Предпосылки!$I$201,),0))*IFERROR(INDEX(O$10:O$11,Предпосылки!$I$201,),0),O50/(1+IFERROR(INDEX(O$10:O$11,Предпосылки!$I$202,),0))*IFERROR(INDEX(O$10:O$11,Предпосылки!$I$202,),0),O73/(1+IFERROR(INDEX(O$10:O$11,Предпосылки!$I$203,),0))*IFERROR(INDEX(O$10:O$11,Предпосылки!$I$203,),0),O96/(1+IFERROR(INDEX(O$10:O$11,Предпосылки!$I$204,),0))*IFERROR(INDEX(O$10:O$11,Предпосылки!$I$204,),0),O119/(1+IFERROR(INDEX(O$10:O$11,Предпосылки!$I$205,),0))*IFERROR(INDEX(O$10:O$11,Предпосылки!$I$205,),0),O142/(1+IFERROR(INDEX(O$10:O$11,Предпосылки!$I$206,),0))*IFERROR(INDEX(O$10:O$11,Предпосылки!$I$206,),0),O165/(1+IFERROR(INDEX(O$10:O$11,Предпосылки!$I$207,),0))*IFERROR(INDEX(O$10:O$11,Предпосылки!$I$207,),0),O188/(1+IFERROR(INDEX(O$10:O$11,Предпосылки!$I$208,),0))*IFERROR(INDEX(O$10:O$11,Предпосылки!$I$208,),0),O211/(1+IFERROR(INDEX(O$10:O$11,Предпосылки!$I$209,),0))*IFERROR(INDEX(O$10:O$11,Предпосылки!$I$209,),0),O234/(1+IFERROR(INDEX(O$10:O$11,Предпосылки!$I$210,),0))*IFERROR(INDEX(O$10:O$11,Предпосылки!$I$210,),0),O257/(1+IFERROR(INDEX(O$10:O$11,Предпосылки!$I$211,),0))*IFERROR(INDEX(O$10:O$11,Предпосылки!$I$211,),0),O280/(1+IFERROR(INDEX(O$10:O$11,Предпосылки!$I$212,),0))*IFERROR(INDEX(O$10:O$11,Предпосылки!$I$212,),0),O303/(1+IFERROR(INDEX(O$10:O$11,Предпосылки!$I$213,),0))*IFERROR(INDEX(O$10:O$11,Предпосылки!$I$213,),0),O326/(1+IFERROR(INDEX(O$10:O$11,Предпосылки!$I$214,),0))*IFERROR(INDEX(O$10:O$11,Предпосылки!$I$214,),0),O349/(1+IFERROR(INDEX(O$10:O$11,Предпосылки!$I$215,),0))*IFERROR(INDEX(O$10:O$11,Предпосылки!$I$215,),0),O372/(1+IFERROR(INDEX(O$10:O$11,Предпосылки!$I$216,),0))*IFERROR(INDEX(O$10:O$11,Предпосылки!$I$216,),0),O395/(1+IFERROR(INDEX(O$10:O$11,Предпосылки!$I$217,),0))*IFERROR(INDEX(O$10:O$11,Предпосылки!$I$217,),0),O418/(1+IFERROR(INDEX(O$10:O$11,Предпосылки!$I$218,),0))*IFERROR(INDEX(O$10:O$11,Предпосылки!$I$218,),0),O441/(1+IFERROR(INDEX(O$10:O$11,Предпосылки!$I$219,),0))*IFERROR(INDEX(O$10:O$11,Предпосылки!$I$219,),0),O464/(1+IFERROR(INDEX(O$10:O$11,Предпосылки!$I$220,),0))*IFERROR(INDEX(O$10:O$11,Предпосылки!$I$220,),0))</f>
        <v>0</v>
      </c>
      <c s="125">
        <f>SUM(P27/(1+IFERROR(INDEX(P$10:P$11,Предпосылки!$I$201,),0))*IFERROR(INDEX(P$10:P$11,Предпосылки!$I$201,),0),P50/(1+IFERROR(INDEX(P$10:P$11,Предпосылки!$I$202,),0))*IFERROR(INDEX(P$10:P$11,Предпосылки!$I$202,),0),P73/(1+IFERROR(INDEX(P$10:P$11,Предпосылки!$I$203,),0))*IFERROR(INDEX(P$10:P$11,Предпосылки!$I$203,),0),P96/(1+IFERROR(INDEX(P$10:P$11,Предпосылки!$I$204,),0))*IFERROR(INDEX(P$10:P$11,Предпосылки!$I$204,),0),P119/(1+IFERROR(INDEX(P$10:P$11,Предпосылки!$I$205,),0))*IFERROR(INDEX(P$10:P$11,Предпосылки!$I$205,),0),P142/(1+IFERROR(INDEX(P$10:P$11,Предпосылки!$I$206,),0))*IFERROR(INDEX(P$10:P$11,Предпосылки!$I$206,),0),P165/(1+IFERROR(INDEX(P$10:P$11,Предпосылки!$I$207,),0))*IFERROR(INDEX(P$10:P$11,Предпосылки!$I$207,),0),P188/(1+IFERROR(INDEX(P$10:P$11,Предпосылки!$I$208,),0))*IFERROR(INDEX(P$10:P$11,Предпосылки!$I$208,),0),P211/(1+IFERROR(INDEX(P$10:P$11,Предпосылки!$I$209,),0))*IFERROR(INDEX(P$10:P$11,Предпосылки!$I$209,),0),P234/(1+IFERROR(INDEX(P$10:P$11,Предпосылки!$I$210,),0))*IFERROR(INDEX(P$10:P$11,Предпосылки!$I$210,),0),P257/(1+IFERROR(INDEX(P$10:P$11,Предпосылки!$I$211,),0))*IFERROR(INDEX(P$10:P$11,Предпосылки!$I$211,),0),P280/(1+IFERROR(INDEX(P$10:P$11,Предпосылки!$I$212,),0))*IFERROR(INDEX(P$10:P$11,Предпосылки!$I$212,),0),P303/(1+IFERROR(INDEX(P$10:P$11,Предпосылки!$I$213,),0))*IFERROR(INDEX(P$10:P$11,Предпосылки!$I$213,),0),P326/(1+IFERROR(INDEX(P$10:P$11,Предпосылки!$I$214,),0))*IFERROR(INDEX(P$10:P$11,Предпосылки!$I$214,),0),P349/(1+IFERROR(INDEX(P$10:P$11,Предпосылки!$I$215,),0))*IFERROR(INDEX(P$10:P$11,Предпосылки!$I$215,),0),P372/(1+IFERROR(INDEX(P$10:P$11,Предпосылки!$I$216,),0))*IFERROR(INDEX(P$10:P$11,Предпосылки!$I$216,),0),P395/(1+IFERROR(INDEX(P$10:P$11,Предпосылки!$I$217,),0))*IFERROR(INDEX(P$10:P$11,Предпосылки!$I$217,),0),P418/(1+IFERROR(INDEX(P$10:P$11,Предпосылки!$I$218,),0))*IFERROR(INDEX(P$10:P$11,Предпосылки!$I$218,),0),P441/(1+IFERROR(INDEX(P$10:P$11,Предпосылки!$I$219,),0))*IFERROR(INDEX(P$10:P$11,Предпосылки!$I$219,),0),P464/(1+IFERROR(INDEX(P$10:P$11,Предпосылки!$I$220,),0))*IFERROR(INDEX(P$10:P$11,Предпосылки!$I$220,),0))</f>
        <v>0</v>
      </c>
      <c s="125">
        <f>SUM(Q27/(1+IFERROR(INDEX(Q$10:Q$11,Предпосылки!$I$201,),0))*IFERROR(INDEX(Q$10:Q$11,Предпосылки!$I$201,),0),Q50/(1+IFERROR(INDEX(Q$10:Q$11,Предпосылки!$I$202,),0))*IFERROR(INDEX(Q$10:Q$11,Предпосылки!$I$202,),0),Q73/(1+IFERROR(INDEX(Q$10:Q$11,Предпосылки!$I$203,),0))*IFERROR(INDEX(Q$10:Q$11,Предпосылки!$I$203,),0),Q96/(1+IFERROR(INDEX(Q$10:Q$11,Предпосылки!$I$204,),0))*IFERROR(INDEX(Q$10:Q$11,Предпосылки!$I$204,),0),Q119/(1+IFERROR(INDEX(Q$10:Q$11,Предпосылки!$I$205,),0))*IFERROR(INDEX(Q$10:Q$11,Предпосылки!$I$205,),0),Q142/(1+IFERROR(INDEX(Q$10:Q$11,Предпосылки!$I$206,),0))*IFERROR(INDEX(Q$10:Q$11,Предпосылки!$I$206,),0),Q165/(1+IFERROR(INDEX(Q$10:Q$11,Предпосылки!$I$207,),0))*IFERROR(INDEX(Q$10:Q$11,Предпосылки!$I$207,),0),Q188/(1+IFERROR(INDEX(Q$10:Q$11,Предпосылки!$I$208,),0))*IFERROR(INDEX(Q$10:Q$11,Предпосылки!$I$208,),0),Q211/(1+IFERROR(INDEX(Q$10:Q$11,Предпосылки!$I$209,),0))*IFERROR(INDEX(Q$10:Q$11,Предпосылки!$I$209,),0),Q234/(1+IFERROR(INDEX(Q$10:Q$11,Предпосылки!$I$210,),0))*IFERROR(INDEX(Q$10:Q$11,Предпосылки!$I$210,),0),Q257/(1+IFERROR(INDEX(Q$10:Q$11,Предпосылки!$I$211,),0))*IFERROR(INDEX(Q$10:Q$11,Предпосылки!$I$211,),0),Q280/(1+IFERROR(INDEX(Q$10:Q$11,Предпосылки!$I$212,),0))*IFERROR(INDEX(Q$10:Q$11,Предпосылки!$I$212,),0),Q303/(1+IFERROR(INDEX(Q$10:Q$11,Предпосылки!$I$213,),0))*IFERROR(INDEX(Q$10:Q$11,Предпосылки!$I$213,),0),Q326/(1+IFERROR(INDEX(Q$10:Q$11,Предпосылки!$I$214,),0))*IFERROR(INDEX(Q$10:Q$11,Предпосылки!$I$214,),0),Q349/(1+IFERROR(INDEX(Q$10:Q$11,Предпосылки!$I$215,),0))*IFERROR(INDEX(Q$10:Q$11,Предпосылки!$I$215,),0),Q372/(1+IFERROR(INDEX(Q$10:Q$11,Предпосылки!$I$216,),0))*IFERROR(INDEX(Q$10:Q$11,Предпосылки!$I$216,),0),Q395/(1+IFERROR(INDEX(Q$10:Q$11,Предпосылки!$I$217,),0))*IFERROR(INDEX(Q$10:Q$11,Предпосылки!$I$217,),0),Q418/(1+IFERROR(INDEX(Q$10:Q$11,Предпосылки!$I$218,),0))*IFERROR(INDEX(Q$10:Q$11,Предпосылки!$I$218,),0),Q441/(1+IFERROR(INDEX(Q$10:Q$11,Предпосылки!$I$219,),0))*IFERROR(INDEX(Q$10:Q$11,Предпосылки!$I$219,),0),Q464/(1+IFERROR(INDEX(Q$10:Q$11,Предпосылки!$I$220,),0))*IFERROR(INDEX(Q$10:Q$11,Предпосылки!$I$220,),0))</f>
        <v>0</v>
      </c>
      <c s="125">
        <f>SUM(R27/(1+IFERROR(INDEX(R$10:R$11,Предпосылки!$I$201,),0))*IFERROR(INDEX(R$10:R$11,Предпосылки!$I$201,),0),R50/(1+IFERROR(INDEX(R$10:R$11,Предпосылки!$I$202,),0))*IFERROR(INDEX(R$10:R$11,Предпосылки!$I$202,),0),R73/(1+IFERROR(INDEX(R$10:R$11,Предпосылки!$I$203,),0))*IFERROR(INDEX(R$10:R$11,Предпосылки!$I$203,),0),R96/(1+IFERROR(INDEX(R$10:R$11,Предпосылки!$I$204,),0))*IFERROR(INDEX(R$10:R$11,Предпосылки!$I$204,),0),R119/(1+IFERROR(INDEX(R$10:R$11,Предпосылки!$I$205,),0))*IFERROR(INDEX(R$10:R$11,Предпосылки!$I$205,),0),R142/(1+IFERROR(INDEX(R$10:R$11,Предпосылки!$I$206,),0))*IFERROR(INDEX(R$10:R$11,Предпосылки!$I$206,),0),R165/(1+IFERROR(INDEX(R$10:R$11,Предпосылки!$I$207,),0))*IFERROR(INDEX(R$10:R$11,Предпосылки!$I$207,),0),R188/(1+IFERROR(INDEX(R$10:R$11,Предпосылки!$I$208,),0))*IFERROR(INDEX(R$10:R$11,Предпосылки!$I$208,),0),R211/(1+IFERROR(INDEX(R$10:R$11,Предпосылки!$I$209,),0))*IFERROR(INDEX(R$10:R$11,Предпосылки!$I$209,),0),R234/(1+IFERROR(INDEX(R$10:R$11,Предпосылки!$I$210,),0))*IFERROR(INDEX(R$10:R$11,Предпосылки!$I$210,),0),R257/(1+IFERROR(INDEX(R$10:R$11,Предпосылки!$I$211,),0))*IFERROR(INDEX(R$10:R$11,Предпосылки!$I$211,),0),R280/(1+IFERROR(INDEX(R$10:R$11,Предпосылки!$I$212,),0))*IFERROR(INDEX(R$10:R$11,Предпосылки!$I$212,),0),R303/(1+IFERROR(INDEX(R$10:R$11,Предпосылки!$I$213,),0))*IFERROR(INDEX(R$10:R$11,Предпосылки!$I$213,),0),R326/(1+IFERROR(INDEX(R$10:R$11,Предпосылки!$I$214,),0))*IFERROR(INDEX(R$10:R$11,Предпосылки!$I$214,),0),R349/(1+IFERROR(INDEX(R$10:R$11,Предпосылки!$I$215,),0))*IFERROR(INDEX(R$10:R$11,Предпосылки!$I$215,),0),R372/(1+IFERROR(INDEX(R$10:R$11,Предпосылки!$I$216,),0))*IFERROR(INDEX(R$10:R$11,Предпосылки!$I$216,),0),R395/(1+IFERROR(INDEX(R$10:R$11,Предпосылки!$I$217,),0))*IFERROR(INDEX(R$10:R$11,Предпосылки!$I$217,),0),R418/(1+IFERROR(INDEX(R$10:R$11,Предпосылки!$I$218,),0))*IFERROR(INDEX(R$10:R$11,Предпосылки!$I$218,),0),R441/(1+IFERROR(INDEX(R$10:R$11,Предпосылки!$I$219,),0))*IFERROR(INDEX(R$10:R$11,Предпосылки!$I$219,),0),R464/(1+IFERROR(INDEX(R$10:R$11,Предпосылки!$I$220,),0))*IFERROR(INDEX(R$10:R$11,Предпосылки!$I$220,),0))</f>
        <v>0</v>
      </c>
      <c s="125">
        <f>SUM(S27/(1+IFERROR(INDEX(S$10:S$11,Предпосылки!$I$201,),0))*IFERROR(INDEX(S$10:S$11,Предпосылки!$I$201,),0),S50/(1+IFERROR(INDEX(S$10:S$11,Предпосылки!$I$202,),0))*IFERROR(INDEX(S$10:S$11,Предпосылки!$I$202,),0),S73/(1+IFERROR(INDEX(S$10:S$11,Предпосылки!$I$203,),0))*IFERROR(INDEX(S$10:S$11,Предпосылки!$I$203,),0),S96/(1+IFERROR(INDEX(S$10:S$11,Предпосылки!$I$204,),0))*IFERROR(INDEX(S$10:S$11,Предпосылки!$I$204,),0),S119/(1+IFERROR(INDEX(S$10:S$11,Предпосылки!$I$205,),0))*IFERROR(INDEX(S$10:S$11,Предпосылки!$I$205,),0),S142/(1+IFERROR(INDEX(S$10:S$11,Предпосылки!$I$206,),0))*IFERROR(INDEX(S$10:S$11,Предпосылки!$I$206,),0),S165/(1+IFERROR(INDEX(S$10:S$11,Предпосылки!$I$207,),0))*IFERROR(INDEX(S$10:S$11,Предпосылки!$I$207,),0),S188/(1+IFERROR(INDEX(S$10:S$11,Предпосылки!$I$208,),0))*IFERROR(INDEX(S$10:S$11,Предпосылки!$I$208,),0),S211/(1+IFERROR(INDEX(S$10:S$11,Предпосылки!$I$209,),0))*IFERROR(INDEX(S$10:S$11,Предпосылки!$I$209,),0),S234/(1+IFERROR(INDEX(S$10:S$11,Предпосылки!$I$210,),0))*IFERROR(INDEX(S$10:S$11,Предпосылки!$I$210,),0),S257/(1+IFERROR(INDEX(S$10:S$11,Предпосылки!$I$211,),0))*IFERROR(INDEX(S$10:S$11,Предпосылки!$I$211,),0),S280/(1+IFERROR(INDEX(S$10:S$11,Предпосылки!$I$212,),0))*IFERROR(INDEX(S$10:S$11,Предпосылки!$I$212,),0),S303/(1+IFERROR(INDEX(S$10:S$11,Предпосылки!$I$213,),0))*IFERROR(INDEX(S$10:S$11,Предпосылки!$I$213,),0),S326/(1+IFERROR(INDEX(S$10:S$11,Предпосылки!$I$214,),0))*IFERROR(INDEX(S$10:S$11,Предпосылки!$I$214,),0),S349/(1+IFERROR(INDEX(S$10:S$11,Предпосылки!$I$215,),0))*IFERROR(INDEX(S$10:S$11,Предпосылки!$I$215,),0),S372/(1+IFERROR(INDEX(S$10:S$11,Предпосылки!$I$216,),0))*IFERROR(INDEX(S$10:S$11,Предпосылки!$I$216,),0),S395/(1+IFERROR(INDEX(S$10:S$11,Предпосылки!$I$217,),0))*IFERROR(INDEX(S$10:S$11,Предпосылки!$I$217,),0),S418/(1+IFERROR(INDEX(S$10:S$11,Предпосылки!$I$218,),0))*IFERROR(INDEX(S$10:S$11,Предпосылки!$I$218,),0),S441/(1+IFERROR(INDEX(S$10:S$11,Предпосылки!$I$219,),0))*IFERROR(INDEX(S$10:S$11,Предпосылки!$I$219,),0),S464/(1+IFERROR(INDEX(S$10:S$11,Предпосылки!$I$220,),0))*IFERROR(INDEX(S$10:S$11,Предпосылки!$I$220,),0))</f>
        <v>0</v>
      </c>
      <c s="125">
        <f>SUM(T27/(1+IFERROR(INDEX(T$10:T$11,Предпосылки!$I$201,),0))*IFERROR(INDEX(T$10:T$11,Предпосылки!$I$201,),0),T50/(1+IFERROR(INDEX(T$10:T$11,Предпосылки!$I$202,),0))*IFERROR(INDEX(T$10:T$11,Предпосылки!$I$202,),0),T73/(1+IFERROR(INDEX(T$10:T$11,Предпосылки!$I$203,),0))*IFERROR(INDEX(T$10:T$11,Предпосылки!$I$203,),0),T96/(1+IFERROR(INDEX(T$10:T$11,Предпосылки!$I$204,),0))*IFERROR(INDEX(T$10:T$11,Предпосылки!$I$204,),0),T119/(1+IFERROR(INDEX(T$10:T$11,Предпосылки!$I$205,),0))*IFERROR(INDEX(T$10:T$11,Предпосылки!$I$205,),0),T142/(1+IFERROR(INDEX(T$10:T$11,Предпосылки!$I$206,),0))*IFERROR(INDEX(T$10:T$11,Предпосылки!$I$206,),0),T165/(1+IFERROR(INDEX(T$10:T$11,Предпосылки!$I$207,),0))*IFERROR(INDEX(T$10:T$11,Предпосылки!$I$207,),0),T188/(1+IFERROR(INDEX(T$10:T$11,Предпосылки!$I$208,),0))*IFERROR(INDEX(T$10:T$11,Предпосылки!$I$208,),0),T211/(1+IFERROR(INDEX(T$10:T$11,Предпосылки!$I$209,),0))*IFERROR(INDEX(T$10:T$11,Предпосылки!$I$209,),0),T234/(1+IFERROR(INDEX(T$10:T$11,Предпосылки!$I$210,),0))*IFERROR(INDEX(T$10:T$11,Предпосылки!$I$210,),0),T257/(1+IFERROR(INDEX(T$10:T$11,Предпосылки!$I$211,),0))*IFERROR(INDEX(T$10:T$11,Предпосылки!$I$211,),0),T280/(1+IFERROR(INDEX(T$10:T$11,Предпосылки!$I$212,),0))*IFERROR(INDEX(T$10:T$11,Предпосылки!$I$212,),0),T303/(1+IFERROR(INDEX(T$10:T$11,Предпосылки!$I$213,),0))*IFERROR(INDEX(T$10:T$11,Предпосылки!$I$213,),0),T326/(1+IFERROR(INDEX(T$10:T$11,Предпосылки!$I$214,),0))*IFERROR(INDEX(T$10:T$11,Предпосылки!$I$214,),0),T349/(1+IFERROR(INDEX(T$10:T$11,Предпосылки!$I$215,),0))*IFERROR(INDEX(T$10:T$11,Предпосылки!$I$215,),0),T372/(1+IFERROR(INDEX(T$10:T$11,Предпосылки!$I$216,),0))*IFERROR(INDEX(T$10:T$11,Предпосылки!$I$216,),0),T395/(1+IFERROR(INDEX(T$10:T$11,Предпосылки!$I$217,),0))*IFERROR(INDEX(T$10:T$11,Предпосылки!$I$217,),0),T418/(1+IFERROR(INDEX(T$10:T$11,Предпосылки!$I$218,),0))*IFERROR(INDEX(T$10:T$11,Предпосылки!$I$218,),0),T441/(1+IFERROR(INDEX(T$10:T$11,Предпосылки!$I$219,),0))*IFERROR(INDEX(T$10:T$11,Предпосылки!$I$219,),0),T464/(1+IFERROR(INDEX(T$10:T$11,Предпосылки!$I$220,),0))*IFERROR(INDEX(T$10:T$11,Предпосылки!$I$220,),0))</f>
        <v>0</v>
      </c>
      <c s="125">
        <f>SUM(U27/(1+IFERROR(INDEX(U$10:U$11,Предпосылки!$I$201,),0))*IFERROR(INDEX(U$10:U$11,Предпосылки!$I$201,),0),U50/(1+IFERROR(INDEX(U$10:U$11,Предпосылки!$I$202,),0))*IFERROR(INDEX(U$10:U$11,Предпосылки!$I$202,),0),U73/(1+IFERROR(INDEX(U$10:U$11,Предпосылки!$I$203,),0))*IFERROR(INDEX(U$10:U$11,Предпосылки!$I$203,),0),U96/(1+IFERROR(INDEX(U$10:U$11,Предпосылки!$I$204,),0))*IFERROR(INDEX(U$10:U$11,Предпосылки!$I$204,),0),U119/(1+IFERROR(INDEX(U$10:U$11,Предпосылки!$I$205,),0))*IFERROR(INDEX(U$10:U$11,Предпосылки!$I$205,),0),U142/(1+IFERROR(INDEX(U$10:U$11,Предпосылки!$I$206,),0))*IFERROR(INDEX(U$10:U$11,Предпосылки!$I$206,),0),U165/(1+IFERROR(INDEX(U$10:U$11,Предпосылки!$I$207,),0))*IFERROR(INDEX(U$10:U$11,Предпосылки!$I$207,),0),U188/(1+IFERROR(INDEX(U$10:U$11,Предпосылки!$I$208,),0))*IFERROR(INDEX(U$10:U$11,Предпосылки!$I$208,),0),U211/(1+IFERROR(INDEX(U$10:U$11,Предпосылки!$I$209,),0))*IFERROR(INDEX(U$10:U$11,Предпосылки!$I$209,),0),U234/(1+IFERROR(INDEX(U$10:U$11,Предпосылки!$I$210,),0))*IFERROR(INDEX(U$10:U$11,Предпосылки!$I$210,),0),U257/(1+IFERROR(INDEX(U$10:U$11,Предпосылки!$I$211,),0))*IFERROR(INDEX(U$10:U$11,Предпосылки!$I$211,),0),U280/(1+IFERROR(INDEX(U$10:U$11,Предпосылки!$I$212,),0))*IFERROR(INDEX(U$10:U$11,Предпосылки!$I$212,),0),U303/(1+IFERROR(INDEX(U$10:U$11,Предпосылки!$I$213,),0))*IFERROR(INDEX(U$10:U$11,Предпосылки!$I$213,),0),U326/(1+IFERROR(INDEX(U$10:U$11,Предпосылки!$I$214,),0))*IFERROR(INDEX(U$10:U$11,Предпосылки!$I$214,),0),U349/(1+IFERROR(INDEX(U$10:U$11,Предпосылки!$I$215,),0))*IFERROR(INDEX(U$10:U$11,Предпосылки!$I$215,),0),U372/(1+IFERROR(INDEX(U$10:U$11,Предпосылки!$I$216,),0))*IFERROR(INDEX(U$10:U$11,Предпосылки!$I$216,),0),U395/(1+IFERROR(INDEX(U$10:U$11,Предпосылки!$I$217,),0))*IFERROR(INDEX(U$10:U$11,Предпосылки!$I$217,),0),U418/(1+IFERROR(INDEX(U$10:U$11,Предпосылки!$I$218,),0))*IFERROR(INDEX(U$10:U$11,Предпосылки!$I$218,),0),U441/(1+IFERROR(INDEX(U$10:U$11,Предпосылки!$I$219,),0))*IFERROR(INDEX(U$10:U$11,Предпосылки!$I$219,),0),U464/(1+IFERROR(INDEX(U$10:U$11,Предпосылки!$I$220,),0))*IFERROR(INDEX(U$10:U$11,Предпосылки!$I$220,),0))</f>
        <v>0</v>
      </c>
      <c s="125">
        <f>SUM(V27/(1+IFERROR(INDEX(V$10:V$11,Предпосылки!$I$201,),0))*IFERROR(INDEX(V$10:V$11,Предпосылки!$I$201,),0),V50/(1+IFERROR(INDEX(V$10:V$11,Предпосылки!$I$202,),0))*IFERROR(INDEX(V$10:V$11,Предпосылки!$I$202,),0),V73/(1+IFERROR(INDEX(V$10:V$11,Предпосылки!$I$203,),0))*IFERROR(INDEX(V$10:V$11,Предпосылки!$I$203,),0),V96/(1+IFERROR(INDEX(V$10:V$11,Предпосылки!$I$204,),0))*IFERROR(INDEX(V$10:V$11,Предпосылки!$I$204,),0),V119/(1+IFERROR(INDEX(V$10:V$11,Предпосылки!$I$205,),0))*IFERROR(INDEX(V$10:V$11,Предпосылки!$I$205,),0),V142/(1+IFERROR(INDEX(V$10:V$11,Предпосылки!$I$206,),0))*IFERROR(INDEX(V$10:V$11,Предпосылки!$I$206,),0),V165/(1+IFERROR(INDEX(V$10:V$11,Предпосылки!$I$207,),0))*IFERROR(INDEX(V$10:V$11,Предпосылки!$I$207,),0),V188/(1+IFERROR(INDEX(V$10:V$11,Предпосылки!$I$208,),0))*IFERROR(INDEX(V$10:V$11,Предпосылки!$I$208,),0),V211/(1+IFERROR(INDEX(V$10:V$11,Предпосылки!$I$209,),0))*IFERROR(INDEX(V$10:V$11,Предпосылки!$I$209,),0),V234/(1+IFERROR(INDEX(V$10:V$11,Предпосылки!$I$210,),0))*IFERROR(INDEX(V$10:V$11,Предпосылки!$I$210,),0),V257/(1+IFERROR(INDEX(V$10:V$11,Предпосылки!$I$211,),0))*IFERROR(INDEX(V$10:V$11,Предпосылки!$I$211,),0),V280/(1+IFERROR(INDEX(V$10:V$11,Предпосылки!$I$212,),0))*IFERROR(INDEX(V$10:V$11,Предпосылки!$I$212,),0),V303/(1+IFERROR(INDEX(V$10:V$11,Предпосылки!$I$213,),0))*IFERROR(INDEX(V$10:V$11,Предпосылки!$I$213,),0),V326/(1+IFERROR(INDEX(V$10:V$11,Предпосылки!$I$214,),0))*IFERROR(INDEX(V$10:V$11,Предпосылки!$I$214,),0),V349/(1+IFERROR(INDEX(V$10:V$11,Предпосылки!$I$215,),0))*IFERROR(INDEX(V$10:V$11,Предпосылки!$I$215,),0),V372/(1+IFERROR(INDEX(V$10:V$11,Предпосылки!$I$216,),0))*IFERROR(INDEX(V$10:V$11,Предпосылки!$I$216,),0),V395/(1+IFERROR(INDEX(V$10:V$11,Предпосылки!$I$217,),0))*IFERROR(INDEX(V$10:V$11,Предпосылки!$I$217,),0),V418/(1+IFERROR(INDEX(V$10:V$11,Предпосылки!$I$218,),0))*IFERROR(INDEX(V$10:V$11,Предпосылки!$I$218,),0),V441/(1+IFERROR(INDEX(V$10:V$11,Предпосылки!$I$219,),0))*IFERROR(INDEX(V$10:V$11,Предпосылки!$I$219,),0),V464/(1+IFERROR(INDEX(V$10:V$11,Предпосылки!$I$220,),0))*IFERROR(INDEX(V$10:V$11,Предпосылки!$I$220,),0))</f>
        <v>0</v>
      </c>
      <c s="125">
        <f>SUM(W27/(1+IFERROR(INDEX(W$10:W$11,Предпосылки!$I$201,),0))*IFERROR(INDEX(W$10:W$11,Предпосылки!$I$201,),0),W50/(1+IFERROR(INDEX(W$10:W$11,Предпосылки!$I$202,),0))*IFERROR(INDEX(W$10:W$11,Предпосылки!$I$202,),0),W73/(1+IFERROR(INDEX(W$10:W$11,Предпосылки!$I$203,),0))*IFERROR(INDEX(W$10:W$11,Предпосылки!$I$203,),0),W96/(1+IFERROR(INDEX(W$10:W$11,Предпосылки!$I$204,),0))*IFERROR(INDEX(W$10:W$11,Предпосылки!$I$204,),0),W119/(1+IFERROR(INDEX(W$10:W$11,Предпосылки!$I$205,),0))*IFERROR(INDEX(W$10:W$11,Предпосылки!$I$205,),0),W142/(1+IFERROR(INDEX(W$10:W$11,Предпосылки!$I$206,),0))*IFERROR(INDEX(W$10:W$11,Предпосылки!$I$206,),0),W165/(1+IFERROR(INDEX(W$10:W$11,Предпосылки!$I$207,),0))*IFERROR(INDEX(W$10:W$11,Предпосылки!$I$207,),0),W188/(1+IFERROR(INDEX(W$10:W$11,Предпосылки!$I$208,),0))*IFERROR(INDEX(W$10:W$11,Предпосылки!$I$208,),0),W211/(1+IFERROR(INDEX(W$10:W$11,Предпосылки!$I$209,),0))*IFERROR(INDEX(W$10:W$11,Предпосылки!$I$209,),0),W234/(1+IFERROR(INDEX(W$10:W$11,Предпосылки!$I$210,),0))*IFERROR(INDEX(W$10:W$11,Предпосылки!$I$210,),0),W257/(1+IFERROR(INDEX(W$10:W$11,Предпосылки!$I$211,),0))*IFERROR(INDEX(W$10:W$11,Предпосылки!$I$211,),0),W280/(1+IFERROR(INDEX(W$10:W$11,Предпосылки!$I$212,),0))*IFERROR(INDEX(W$10:W$11,Предпосылки!$I$212,),0),W303/(1+IFERROR(INDEX(W$10:W$11,Предпосылки!$I$213,),0))*IFERROR(INDEX(W$10:W$11,Предпосылки!$I$213,),0),W326/(1+IFERROR(INDEX(W$10:W$11,Предпосылки!$I$214,),0))*IFERROR(INDEX(W$10:W$11,Предпосылки!$I$214,),0),W349/(1+IFERROR(INDEX(W$10:W$11,Предпосылки!$I$215,),0))*IFERROR(INDEX(W$10:W$11,Предпосылки!$I$215,),0),W372/(1+IFERROR(INDEX(W$10:W$11,Предпосылки!$I$216,),0))*IFERROR(INDEX(W$10:W$11,Предпосылки!$I$216,),0),W395/(1+IFERROR(INDEX(W$10:W$11,Предпосылки!$I$217,),0))*IFERROR(INDEX(W$10:W$11,Предпосылки!$I$217,),0),W418/(1+IFERROR(INDEX(W$10:W$11,Предпосылки!$I$218,),0))*IFERROR(INDEX(W$10:W$11,Предпосылки!$I$218,),0),W441/(1+IFERROR(INDEX(W$10:W$11,Предпосылки!$I$219,),0))*IFERROR(INDEX(W$10:W$11,Предпосылки!$I$219,),0),W464/(1+IFERROR(INDEX(W$10:W$11,Предпосылки!$I$220,),0))*IFERROR(INDEX(W$10:W$11,Предпосылки!$I$220,),0))</f>
        <v>0</v>
      </c>
      <c s="125">
        <f>SUM(X27/(1+IFERROR(INDEX(X$10:X$11,Предпосылки!$I$201,),0))*IFERROR(INDEX(X$10:X$11,Предпосылки!$I$201,),0),X50/(1+IFERROR(INDEX(X$10:X$11,Предпосылки!$I$202,),0))*IFERROR(INDEX(X$10:X$11,Предпосылки!$I$202,),0),X73/(1+IFERROR(INDEX(X$10:X$11,Предпосылки!$I$203,),0))*IFERROR(INDEX(X$10:X$11,Предпосылки!$I$203,),0),X96/(1+IFERROR(INDEX(X$10:X$11,Предпосылки!$I$204,),0))*IFERROR(INDEX(X$10:X$11,Предпосылки!$I$204,),0),X119/(1+IFERROR(INDEX(X$10:X$11,Предпосылки!$I$205,),0))*IFERROR(INDEX(X$10:X$11,Предпосылки!$I$205,),0),X142/(1+IFERROR(INDEX(X$10:X$11,Предпосылки!$I$206,),0))*IFERROR(INDEX(X$10:X$11,Предпосылки!$I$206,),0),X165/(1+IFERROR(INDEX(X$10:X$11,Предпосылки!$I$207,),0))*IFERROR(INDEX(X$10:X$11,Предпосылки!$I$207,),0),X188/(1+IFERROR(INDEX(X$10:X$11,Предпосылки!$I$208,),0))*IFERROR(INDEX(X$10:X$11,Предпосылки!$I$208,),0),X211/(1+IFERROR(INDEX(X$10:X$11,Предпосылки!$I$209,),0))*IFERROR(INDEX(X$10:X$11,Предпосылки!$I$209,),0),X234/(1+IFERROR(INDEX(X$10:X$11,Предпосылки!$I$210,),0))*IFERROR(INDEX(X$10:X$11,Предпосылки!$I$210,),0),X257/(1+IFERROR(INDEX(X$10:X$11,Предпосылки!$I$211,),0))*IFERROR(INDEX(X$10:X$11,Предпосылки!$I$211,),0),X280/(1+IFERROR(INDEX(X$10:X$11,Предпосылки!$I$212,),0))*IFERROR(INDEX(X$10:X$11,Предпосылки!$I$212,),0),X303/(1+IFERROR(INDEX(X$10:X$11,Предпосылки!$I$213,),0))*IFERROR(INDEX(X$10:X$11,Предпосылки!$I$213,),0),X326/(1+IFERROR(INDEX(X$10:X$11,Предпосылки!$I$214,),0))*IFERROR(INDEX(X$10:X$11,Предпосылки!$I$214,),0),X349/(1+IFERROR(INDEX(X$10:X$11,Предпосылки!$I$215,),0))*IFERROR(INDEX(X$10:X$11,Предпосылки!$I$215,),0),X372/(1+IFERROR(INDEX(X$10:X$11,Предпосылки!$I$216,),0))*IFERROR(INDEX(X$10:X$11,Предпосылки!$I$216,),0),X395/(1+IFERROR(INDEX(X$10:X$11,Предпосылки!$I$217,),0))*IFERROR(INDEX(X$10:X$11,Предпосылки!$I$217,),0),X418/(1+IFERROR(INDEX(X$10:X$11,Предпосылки!$I$218,),0))*IFERROR(INDEX(X$10:X$11,Предпосылки!$I$218,),0),X441/(1+IFERROR(INDEX(X$10:X$11,Предпосылки!$I$219,),0))*IFERROR(INDEX(X$10:X$11,Предпосылки!$I$219,),0),X464/(1+IFERROR(INDEX(X$10:X$11,Предпосылки!$I$220,),0))*IFERROR(INDEX(X$10:X$11,Предпосылки!$I$220,),0))</f>
        <v>0</v>
      </c>
      <c s="125">
        <f>SUM(Y27/(1+IFERROR(INDEX(Y$10:Y$11,Предпосылки!$I$201,),0))*IFERROR(INDEX(Y$10:Y$11,Предпосылки!$I$201,),0),Y50/(1+IFERROR(INDEX(Y$10:Y$11,Предпосылки!$I$202,),0))*IFERROR(INDEX(Y$10:Y$11,Предпосылки!$I$202,),0),Y73/(1+IFERROR(INDEX(Y$10:Y$11,Предпосылки!$I$203,),0))*IFERROR(INDEX(Y$10:Y$11,Предпосылки!$I$203,),0),Y96/(1+IFERROR(INDEX(Y$10:Y$11,Предпосылки!$I$204,),0))*IFERROR(INDEX(Y$10:Y$11,Предпосылки!$I$204,),0),Y119/(1+IFERROR(INDEX(Y$10:Y$11,Предпосылки!$I$205,),0))*IFERROR(INDEX(Y$10:Y$11,Предпосылки!$I$205,),0),Y142/(1+IFERROR(INDEX(Y$10:Y$11,Предпосылки!$I$206,),0))*IFERROR(INDEX(Y$10:Y$11,Предпосылки!$I$206,),0),Y165/(1+IFERROR(INDEX(Y$10:Y$11,Предпосылки!$I$207,),0))*IFERROR(INDEX(Y$10:Y$11,Предпосылки!$I$207,),0),Y188/(1+IFERROR(INDEX(Y$10:Y$11,Предпосылки!$I$208,),0))*IFERROR(INDEX(Y$10:Y$11,Предпосылки!$I$208,),0),Y211/(1+IFERROR(INDEX(Y$10:Y$11,Предпосылки!$I$209,),0))*IFERROR(INDEX(Y$10:Y$11,Предпосылки!$I$209,),0),Y234/(1+IFERROR(INDEX(Y$10:Y$11,Предпосылки!$I$210,),0))*IFERROR(INDEX(Y$10:Y$11,Предпосылки!$I$210,),0),Y257/(1+IFERROR(INDEX(Y$10:Y$11,Предпосылки!$I$211,),0))*IFERROR(INDEX(Y$10:Y$11,Предпосылки!$I$211,),0),Y280/(1+IFERROR(INDEX(Y$10:Y$11,Предпосылки!$I$212,),0))*IFERROR(INDEX(Y$10:Y$11,Предпосылки!$I$212,),0),Y303/(1+IFERROR(INDEX(Y$10:Y$11,Предпосылки!$I$213,),0))*IFERROR(INDEX(Y$10:Y$11,Предпосылки!$I$213,),0),Y326/(1+IFERROR(INDEX(Y$10:Y$11,Предпосылки!$I$214,),0))*IFERROR(INDEX(Y$10:Y$11,Предпосылки!$I$214,),0),Y349/(1+IFERROR(INDEX(Y$10:Y$11,Предпосылки!$I$215,),0))*IFERROR(INDEX(Y$10:Y$11,Предпосылки!$I$215,),0),Y372/(1+IFERROR(INDEX(Y$10:Y$11,Предпосылки!$I$216,),0))*IFERROR(INDEX(Y$10:Y$11,Предпосылки!$I$216,),0),Y395/(1+IFERROR(INDEX(Y$10:Y$11,Предпосылки!$I$217,),0))*IFERROR(INDEX(Y$10:Y$11,Предпосылки!$I$217,),0),Y418/(1+IFERROR(INDEX(Y$10:Y$11,Предпосылки!$I$218,),0))*IFERROR(INDEX(Y$10:Y$11,Предпосылки!$I$218,),0),Y441/(1+IFERROR(INDEX(Y$10:Y$11,Предпосылки!$I$219,),0))*IFERROR(INDEX(Y$10:Y$11,Предпосылки!$I$219,),0),Y464/(1+IFERROR(INDEX(Y$10:Y$11,Предпосылки!$I$220,),0))*IFERROR(INDEX(Y$10:Y$11,Предпосылки!$I$220,),0))</f>
        <v>0</v>
      </c>
      <c s="125">
        <f>SUM(Z27/(1+IFERROR(INDEX(Z$10:Z$11,Предпосылки!$I$201,),0))*IFERROR(INDEX(Z$10:Z$11,Предпосылки!$I$201,),0),Z50/(1+IFERROR(INDEX(Z$10:Z$11,Предпосылки!$I$202,),0))*IFERROR(INDEX(Z$10:Z$11,Предпосылки!$I$202,),0),Z73/(1+IFERROR(INDEX(Z$10:Z$11,Предпосылки!$I$203,),0))*IFERROR(INDEX(Z$10:Z$11,Предпосылки!$I$203,),0),Z96/(1+IFERROR(INDEX(Z$10:Z$11,Предпосылки!$I$204,),0))*IFERROR(INDEX(Z$10:Z$11,Предпосылки!$I$204,),0),Z119/(1+IFERROR(INDEX(Z$10:Z$11,Предпосылки!$I$205,),0))*IFERROR(INDEX(Z$10:Z$11,Предпосылки!$I$205,),0),Z142/(1+IFERROR(INDEX(Z$10:Z$11,Предпосылки!$I$206,),0))*IFERROR(INDEX(Z$10:Z$11,Предпосылки!$I$206,),0),Z165/(1+IFERROR(INDEX(Z$10:Z$11,Предпосылки!$I$207,),0))*IFERROR(INDEX(Z$10:Z$11,Предпосылки!$I$207,),0),Z188/(1+IFERROR(INDEX(Z$10:Z$11,Предпосылки!$I$208,),0))*IFERROR(INDEX(Z$10:Z$11,Предпосылки!$I$208,),0),Z211/(1+IFERROR(INDEX(Z$10:Z$11,Предпосылки!$I$209,),0))*IFERROR(INDEX(Z$10:Z$11,Предпосылки!$I$209,),0),Z234/(1+IFERROR(INDEX(Z$10:Z$11,Предпосылки!$I$210,),0))*IFERROR(INDEX(Z$10:Z$11,Предпосылки!$I$210,),0),Z257/(1+IFERROR(INDEX(Z$10:Z$11,Предпосылки!$I$211,),0))*IFERROR(INDEX(Z$10:Z$11,Предпосылки!$I$211,),0),Z280/(1+IFERROR(INDEX(Z$10:Z$11,Предпосылки!$I$212,),0))*IFERROR(INDEX(Z$10:Z$11,Предпосылки!$I$212,),0),Z303/(1+IFERROR(INDEX(Z$10:Z$11,Предпосылки!$I$213,),0))*IFERROR(INDEX(Z$10:Z$11,Предпосылки!$I$213,),0),Z326/(1+IFERROR(INDEX(Z$10:Z$11,Предпосылки!$I$214,),0))*IFERROR(INDEX(Z$10:Z$11,Предпосылки!$I$214,),0),Z349/(1+IFERROR(INDEX(Z$10:Z$11,Предпосылки!$I$215,),0))*IFERROR(INDEX(Z$10:Z$11,Предпосылки!$I$215,),0),Z372/(1+IFERROR(INDEX(Z$10:Z$11,Предпосылки!$I$216,),0))*IFERROR(INDEX(Z$10:Z$11,Предпосылки!$I$216,),0),Z395/(1+IFERROR(INDEX(Z$10:Z$11,Предпосылки!$I$217,),0))*IFERROR(INDEX(Z$10:Z$11,Предпосылки!$I$217,),0),Z418/(1+IFERROR(INDEX(Z$10:Z$11,Предпосылки!$I$218,),0))*IFERROR(INDEX(Z$10:Z$11,Предпосылки!$I$218,),0),Z441/(1+IFERROR(INDEX(Z$10:Z$11,Предпосылки!$I$219,),0))*IFERROR(INDEX(Z$10:Z$11,Предпосылки!$I$219,),0),Z464/(1+IFERROR(INDEX(Z$10:Z$11,Предпосылки!$I$220,),0))*IFERROR(INDEX(Z$10:Z$11,Предпосылки!$I$220,),0))</f>
        <v>0</v>
      </c>
      <c s="125">
        <f>SUM(AA27/(1+IFERROR(INDEX(AA$10:AA$11,Предпосылки!$I$201,),0))*IFERROR(INDEX(AA$10:AA$11,Предпосылки!$I$201,),0),AA50/(1+IFERROR(INDEX(AA$10:AA$11,Предпосылки!$I$202,),0))*IFERROR(INDEX(AA$10:AA$11,Предпосылки!$I$202,),0),AA73/(1+IFERROR(INDEX(AA$10:AA$11,Предпосылки!$I$203,),0))*IFERROR(INDEX(AA$10:AA$11,Предпосылки!$I$203,),0),AA96/(1+IFERROR(INDEX(AA$10:AA$11,Предпосылки!$I$204,),0))*IFERROR(INDEX(AA$10:AA$11,Предпосылки!$I$204,),0),AA119/(1+IFERROR(INDEX(AA$10:AA$11,Предпосылки!$I$205,),0))*IFERROR(INDEX(AA$10:AA$11,Предпосылки!$I$205,),0),AA142/(1+IFERROR(INDEX(AA$10:AA$11,Предпосылки!$I$206,),0))*IFERROR(INDEX(AA$10:AA$11,Предпосылки!$I$206,),0),AA165/(1+IFERROR(INDEX(AA$10:AA$11,Предпосылки!$I$207,),0))*IFERROR(INDEX(AA$10:AA$11,Предпосылки!$I$207,),0),AA188/(1+IFERROR(INDEX(AA$10:AA$11,Предпосылки!$I$208,),0))*IFERROR(INDEX(AA$10:AA$11,Предпосылки!$I$208,),0),AA211/(1+IFERROR(INDEX(AA$10:AA$11,Предпосылки!$I$209,),0))*IFERROR(INDEX(AA$10:AA$11,Предпосылки!$I$209,),0),AA234/(1+IFERROR(INDEX(AA$10:AA$11,Предпосылки!$I$210,),0))*IFERROR(INDEX(AA$10:AA$11,Предпосылки!$I$210,),0),AA257/(1+IFERROR(INDEX(AA$10:AA$11,Предпосылки!$I$211,),0))*IFERROR(INDEX(AA$10:AA$11,Предпосылки!$I$211,),0),AA280/(1+IFERROR(INDEX(AA$10:AA$11,Предпосылки!$I$212,),0))*IFERROR(INDEX(AA$10:AA$11,Предпосылки!$I$212,),0),AA303/(1+IFERROR(INDEX(AA$10:AA$11,Предпосылки!$I$213,),0))*IFERROR(INDEX(AA$10:AA$11,Предпосылки!$I$213,),0),AA326/(1+IFERROR(INDEX(AA$10:AA$11,Предпосылки!$I$214,),0))*IFERROR(INDEX(AA$10:AA$11,Предпосылки!$I$214,),0),AA349/(1+IFERROR(INDEX(AA$10:AA$11,Предпосылки!$I$215,),0))*IFERROR(INDEX(AA$10:AA$11,Предпосылки!$I$215,),0),AA372/(1+IFERROR(INDEX(AA$10:AA$11,Предпосылки!$I$216,),0))*IFERROR(INDEX(AA$10:AA$11,Предпосылки!$I$216,),0),AA395/(1+IFERROR(INDEX(AA$10:AA$11,Предпосылки!$I$217,),0))*IFERROR(INDEX(AA$10:AA$11,Предпосылки!$I$217,),0),AA418/(1+IFERROR(INDEX(AA$10:AA$11,Предпосылки!$I$218,),0))*IFERROR(INDEX(AA$10:AA$11,Предпосылки!$I$218,),0),AA441/(1+IFERROR(INDEX(AA$10:AA$11,Предпосылки!$I$219,),0))*IFERROR(INDEX(AA$10:AA$11,Предпосылки!$I$219,),0),AA464/(1+IFERROR(INDEX(AA$10:AA$11,Предпосылки!$I$220,),0))*IFERROR(INDEX(AA$10:AA$11,Предпосылки!$I$220,),0))</f>
        <v>0</v>
      </c>
      <c s="125">
        <f>SUM(AB27/(1+IFERROR(INDEX(AB$10:AB$11,Предпосылки!$I$201,),0))*IFERROR(INDEX(AB$10:AB$11,Предпосылки!$I$201,),0),AB50/(1+IFERROR(INDEX(AB$10:AB$11,Предпосылки!$I$202,),0))*IFERROR(INDEX(AB$10:AB$11,Предпосылки!$I$202,),0),AB73/(1+IFERROR(INDEX(AB$10:AB$11,Предпосылки!$I$203,),0))*IFERROR(INDEX(AB$10:AB$11,Предпосылки!$I$203,),0),AB96/(1+IFERROR(INDEX(AB$10:AB$11,Предпосылки!$I$204,),0))*IFERROR(INDEX(AB$10:AB$11,Предпосылки!$I$204,),0),AB119/(1+IFERROR(INDEX(AB$10:AB$11,Предпосылки!$I$205,),0))*IFERROR(INDEX(AB$10:AB$11,Предпосылки!$I$205,),0),AB142/(1+IFERROR(INDEX(AB$10:AB$11,Предпосылки!$I$206,),0))*IFERROR(INDEX(AB$10:AB$11,Предпосылки!$I$206,),0),AB165/(1+IFERROR(INDEX(AB$10:AB$11,Предпосылки!$I$207,),0))*IFERROR(INDEX(AB$10:AB$11,Предпосылки!$I$207,),0),AB188/(1+IFERROR(INDEX(AB$10:AB$11,Предпосылки!$I$208,),0))*IFERROR(INDEX(AB$10:AB$11,Предпосылки!$I$208,),0),AB211/(1+IFERROR(INDEX(AB$10:AB$11,Предпосылки!$I$209,),0))*IFERROR(INDEX(AB$10:AB$11,Предпосылки!$I$209,),0),AB234/(1+IFERROR(INDEX(AB$10:AB$11,Предпосылки!$I$210,),0))*IFERROR(INDEX(AB$10:AB$11,Предпосылки!$I$210,),0),AB257/(1+IFERROR(INDEX(AB$10:AB$11,Предпосылки!$I$211,),0))*IFERROR(INDEX(AB$10:AB$11,Предпосылки!$I$211,),0),AB280/(1+IFERROR(INDEX(AB$10:AB$11,Предпосылки!$I$212,),0))*IFERROR(INDEX(AB$10:AB$11,Предпосылки!$I$212,),0),AB303/(1+IFERROR(INDEX(AB$10:AB$11,Предпосылки!$I$213,),0))*IFERROR(INDEX(AB$10:AB$11,Предпосылки!$I$213,),0),AB326/(1+IFERROR(INDEX(AB$10:AB$11,Предпосылки!$I$214,),0))*IFERROR(INDEX(AB$10:AB$11,Предпосылки!$I$214,),0),AB349/(1+IFERROR(INDEX(AB$10:AB$11,Предпосылки!$I$215,),0))*IFERROR(INDEX(AB$10:AB$11,Предпосылки!$I$215,),0),AB372/(1+IFERROR(INDEX(AB$10:AB$11,Предпосылки!$I$216,),0))*IFERROR(INDEX(AB$10:AB$11,Предпосылки!$I$216,),0),AB395/(1+IFERROR(INDEX(AB$10:AB$11,Предпосылки!$I$217,),0))*IFERROR(INDEX(AB$10:AB$11,Предпосылки!$I$217,),0),AB418/(1+IFERROR(INDEX(AB$10:AB$11,Предпосылки!$I$218,),0))*IFERROR(INDEX(AB$10:AB$11,Предпосылки!$I$218,),0),AB441/(1+IFERROR(INDEX(AB$10:AB$11,Предпосылки!$I$219,),0))*IFERROR(INDEX(AB$10:AB$11,Предпосылки!$I$219,),0),AB464/(1+IFERROR(INDEX(AB$10:AB$11,Предпосылки!$I$220,),0))*IFERROR(INDEX(AB$10:AB$11,Предпосылки!$I$220,),0))</f>
        <v>0</v>
      </c>
      <c s="125">
        <f>SUM(AC27/(1+IFERROR(INDEX(AC$10:AC$11,Предпосылки!$I$201,),0))*IFERROR(INDEX(AC$10:AC$11,Предпосылки!$I$201,),0),AC50/(1+IFERROR(INDEX(AC$10:AC$11,Предпосылки!$I$202,),0))*IFERROR(INDEX(AC$10:AC$11,Предпосылки!$I$202,),0),AC73/(1+IFERROR(INDEX(AC$10:AC$11,Предпосылки!$I$203,),0))*IFERROR(INDEX(AC$10:AC$11,Предпосылки!$I$203,),0),AC96/(1+IFERROR(INDEX(AC$10:AC$11,Предпосылки!$I$204,),0))*IFERROR(INDEX(AC$10:AC$11,Предпосылки!$I$204,),0),AC119/(1+IFERROR(INDEX(AC$10:AC$11,Предпосылки!$I$205,),0))*IFERROR(INDEX(AC$10:AC$11,Предпосылки!$I$205,),0),AC142/(1+IFERROR(INDEX(AC$10:AC$11,Предпосылки!$I$206,),0))*IFERROR(INDEX(AC$10:AC$11,Предпосылки!$I$206,),0),AC165/(1+IFERROR(INDEX(AC$10:AC$11,Предпосылки!$I$207,),0))*IFERROR(INDEX(AC$10:AC$11,Предпосылки!$I$207,),0),AC188/(1+IFERROR(INDEX(AC$10:AC$11,Предпосылки!$I$208,),0))*IFERROR(INDEX(AC$10:AC$11,Предпосылки!$I$208,),0),AC211/(1+IFERROR(INDEX(AC$10:AC$11,Предпосылки!$I$209,),0))*IFERROR(INDEX(AC$10:AC$11,Предпосылки!$I$209,),0),AC234/(1+IFERROR(INDEX(AC$10:AC$11,Предпосылки!$I$210,),0))*IFERROR(INDEX(AC$10:AC$11,Предпосылки!$I$210,),0),AC257/(1+IFERROR(INDEX(AC$10:AC$11,Предпосылки!$I$211,),0))*IFERROR(INDEX(AC$10:AC$11,Предпосылки!$I$211,),0),AC280/(1+IFERROR(INDEX(AC$10:AC$11,Предпосылки!$I$212,),0))*IFERROR(INDEX(AC$10:AC$11,Предпосылки!$I$212,),0),AC303/(1+IFERROR(INDEX(AC$10:AC$11,Предпосылки!$I$213,),0))*IFERROR(INDEX(AC$10:AC$11,Предпосылки!$I$213,),0),AC326/(1+IFERROR(INDEX(AC$10:AC$11,Предпосылки!$I$214,),0))*IFERROR(INDEX(AC$10:AC$11,Предпосылки!$I$214,),0),AC349/(1+IFERROR(INDEX(AC$10:AC$11,Предпосылки!$I$215,),0))*IFERROR(INDEX(AC$10:AC$11,Предпосылки!$I$215,),0),AC372/(1+IFERROR(INDEX(AC$10:AC$11,Предпосылки!$I$216,),0))*IFERROR(INDEX(AC$10:AC$11,Предпосылки!$I$216,),0),AC395/(1+IFERROR(INDEX(AC$10:AC$11,Предпосылки!$I$217,),0))*IFERROR(INDEX(AC$10:AC$11,Предпосылки!$I$217,),0),AC418/(1+IFERROR(INDEX(AC$10:AC$11,Предпосылки!$I$218,),0))*IFERROR(INDEX(AC$10:AC$11,Предпосылки!$I$218,),0),AC441/(1+IFERROR(INDEX(AC$10:AC$11,Предпосылки!$I$219,),0))*IFERROR(INDEX(AC$10:AC$11,Предпосылки!$I$219,),0),AC464/(1+IFERROR(INDEX(AC$10:AC$11,Предпосылки!$I$220,),0))*IFERROR(INDEX(AC$10:AC$11,Предпосылки!$I$220,),0))</f>
        <v>0</v>
      </c>
      <c s="125">
        <f>SUM(AD27/(1+IFERROR(INDEX(AD$10:AD$11,Предпосылки!$I$201,),0))*IFERROR(INDEX(AD$10:AD$11,Предпосылки!$I$201,),0),AD50/(1+IFERROR(INDEX(AD$10:AD$11,Предпосылки!$I$202,),0))*IFERROR(INDEX(AD$10:AD$11,Предпосылки!$I$202,),0),AD73/(1+IFERROR(INDEX(AD$10:AD$11,Предпосылки!$I$203,),0))*IFERROR(INDEX(AD$10:AD$11,Предпосылки!$I$203,),0),AD96/(1+IFERROR(INDEX(AD$10:AD$11,Предпосылки!$I$204,),0))*IFERROR(INDEX(AD$10:AD$11,Предпосылки!$I$204,),0),AD119/(1+IFERROR(INDEX(AD$10:AD$11,Предпосылки!$I$205,),0))*IFERROR(INDEX(AD$10:AD$11,Предпосылки!$I$205,),0),AD142/(1+IFERROR(INDEX(AD$10:AD$11,Предпосылки!$I$206,),0))*IFERROR(INDEX(AD$10:AD$11,Предпосылки!$I$206,),0),AD165/(1+IFERROR(INDEX(AD$10:AD$11,Предпосылки!$I$207,),0))*IFERROR(INDEX(AD$10:AD$11,Предпосылки!$I$207,),0),AD188/(1+IFERROR(INDEX(AD$10:AD$11,Предпосылки!$I$208,),0))*IFERROR(INDEX(AD$10:AD$11,Предпосылки!$I$208,),0),AD211/(1+IFERROR(INDEX(AD$10:AD$11,Предпосылки!$I$209,),0))*IFERROR(INDEX(AD$10:AD$11,Предпосылки!$I$209,),0),AD234/(1+IFERROR(INDEX(AD$10:AD$11,Предпосылки!$I$210,),0))*IFERROR(INDEX(AD$10:AD$11,Предпосылки!$I$210,),0),AD257/(1+IFERROR(INDEX(AD$10:AD$11,Предпосылки!$I$211,),0))*IFERROR(INDEX(AD$10:AD$11,Предпосылки!$I$211,),0),AD280/(1+IFERROR(INDEX(AD$10:AD$11,Предпосылки!$I$212,),0))*IFERROR(INDEX(AD$10:AD$11,Предпосылки!$I$212,),0),AD303/(1+IFERROR(INDEX(AD$10:AD$11,Предпосылки!$I$213,),0))*IFERROR(INDEX(AD$10:AD$11,Предпосылки!$I$213,),0),AD326/(1+IFERROR(INDEX(AD$10:AD$11,Предпосылки!$I$214,),0))*IFERROR(INDEX(AD$10:AD$11,Предпосылки!$I$214,),0),AD349/(1+IFERROR(INDEX(AD$10:AD$11,Предпосылки!$I$215,),0))*IFERROR(INDEX(AD$10:AD$11,Предпосылки!$I$215,),0),AD372/(1+IFERROR(INDEX(AD$10:AD$11,Предпосылки!$I$216,),0))*IFERROR(INDEX(AD$10:AD$11,Предпосылки!$I$216,),0),AD395/(1+IFERROR(INDEX(AD$10:AD$11,Предпосылки!$I$217,),0))*IFERROR(INDEX(AD$10:AD$11,Предпосылки!$I$217,),0),AD418/(1+IFERROR(INDEX(AD$10:AD$11,Предпосылки!$I$218,),0))*IFERROR(INDEX(AD$10:AD$11,Предпосылки!$I$218,),0),AD441/(1+IFERROR(INDEX(AD$10:AD$11,Предпосылки!$I$219,),0))*IFERROR(INDEX(AD$10:AD$11,Предпосылки!$I$219,),0),AD464/(1+IFERROR(INDEX(AD$10:AD$11,Предпосылки!$I$220,),0))*IFERROR(INDEX(AD$10:AD$11,Предпосылки!$I$220,),0))</f>
        <v>0</v>
      </c>
      <c s="125">
        <f>SUM(AE27/(1+IFERROR(INDEX(AE$10:AE$11,Предпосылки!$I$201,),0))*IFERROR(INDEX(AE$10:AE$11,Предпосылки!$I$201,),0),AE50/(1+IFERROR(INDEX(AE$10:AE$11,Предпосылки!$I$202,),0))*IFERROR(INDEX(AE$10:AE$11,Предпосылки!$I$202,),0),AE73/(1+IFERROR(INDEX(AE$10:AE$11,Предпосылки!$I$203,),0))*IFERROR(INDEX(AE$10:AE$11,Предпосылки!$I$203,),0),AE96/(1+IFERROR(INDEX(AE$10:AE$11,Предпосылки!$I$204,),0))*IFERROR(INDEX(AE$10:AE$11,Предпосылки!$I$204,),0),AE119/(1+IFERROR(INDEX(AE$10:AE$11,Предпосылки!$I$205,),0))*IFERROR(INDEX(AE$10:AE$11,Предпосылки!$I$205,),0),AE142/(1+IFERROR(INDEX(AE$10:AE$11,Предпосылки!$I$206,),0))*IFERROR(INDEX(AE$10:AE$11,Предпосылки!$I$206,),0),AE165/(1+IFERROR(INDEX(AE$10:AE$11,Предпосылки!$I$207,),0))*IFERROR(INDEX(AE$10:AE$11,Предпосылки!$I$207,),0),AE188/(1+IFERROR(INDEX(AE$10:AE$11,Предпосылки!$I$208,),0))*IFERROR(INDEX(AE$10:AE$11,Предпосылки!$I$208,),0),AE211/(1+IFERROR(INDEX(AE$10:AE$11,Предпосылки!$I$209,),0))*IFERROR(INDEX(AE$10:AE$11,Предпосылки!$I$209,),0),AE234/(1+IFERROR(INDEX(AE$10:AE$11,Предпосылки!$I$210,),0))*IFERROR(INDEX(AE$10:AE$11,Предпосылки!$I$210,),0),AE257/(1+IFERROR(INDEX(AE$10:AE$11,Предпосылки!$I$211,),0))*IFERROR(INDEX(AE$10:AE$11,Предпосылки!$I$211,),0),AE280/(1+IFERROR(INDEX(AE$10:AE$11,Предпосылки!$I$212,),0))*IFERROR(INDEX(AE$10:AE$11,Предпосылки!$I$212,),0),AE303/(1+IFERROR(INDEX(AE$10:AE$11,Предпосылки!$I$213,),0))*IFERROR(INDEX(AE$10:AE$11,Предпосылки!$I$213,),0),AE326/(1+IFERROR(INDEX(AE$10:AE$11,Предпосылки!$I$214,),0))*IFERROR(INDEX(AE$10:AE$11,Предпосылки!$I$214,),0),AE349/(1+IFERROR(INDEX(AE$10:AE$11,Предпосылки!$I$215,),0))*IFERROR(INDEX(AE$10:AE$11,Предпосылки!$I$215,),0),AE372/(1+IFERROR(INDEX(AE$10:AE$11,Предпосылки!$I$216,),0))*IFERROR(INDEX(AE$10:AE$11,Предпосылки!$I$216,),0),AE395/(1+IFERROR(INDEX(AE$10:AE$11,Предпосылки!$I$217,),0))*IFERROR(INDEX(AE$10:AE$11,Предпосылки!$I$217,),0),AE418/(1+IFERROR(INDEX(AE$10:AE$11,Предпосылки!$I$218,),0))*IFERROR(INDEX(AE$10:AE$11,Предпосылки!$I$218,),0),AE441/(1+IFERROR(INDEX(AE$10:AE$11,Предпосылки!$I$219,),0))*IFERROR(INDEX(AE$10:AE$11,Предпосылки!$I$219,),0),AE464/(1+IFERROR(INDEX(AE$10:AE$11,Предпосылки!$I$220,),0))*IFERROR(INDEX(AE$10:AE$11,Предпосылки!$I$220,),0))</f>
        <v>0</v>
      </c>
      <c s="125">
        <f>SUM(AF27/(1+IFERROR(INDEX(AF$10:AF$11,Предпосылки!$I$201,),0))*IFERROR(INDEX(AF$10:AF$11,Предпосылки!$I$201,),0),AF50/(1+IFERROR(INDEX(AF$10:AF$11,Предпосылки!$I$202,),0))*IFERROR(INDEX(AF$10:AF$11,Предпосылки!$I$202,),0),AF73/(1+IFERROR(INDEX(AF$10:AF$11,Предпосылки!$I$203,),0))*IFERROR(INDEX(AF$10:AF$11,Предпосылки!$I$203,),0),AF96/(1+IFERROR(INDEX(AF$10:AF$11,Предпосылки!$I$204,),0))*IFERROR(INDEX(AF$10:AF$11,Предпосылки!$I$204,),0),AF119/(1+IFERROR(INDEX(AF$10:AF$11,Предпосылки!$I$205,),0))*IFERROR(INDEX(AF$10:AF$11,Предпосылки!$I$205,),0),AF142/(1+IFERROR(INDEX(AF$10:AF$11,Предпосылки!$I$206,),0))*IFERROR(INDEX(AF$10:AF$11,Предпосылки!$I$206,),0),AF165/(1+IFERROR(INDEX(AF$10:AF$11,Предпосылки!$I$207,),0))*IFERROR(INDEX(AF$10:AF$11,Предпосылки!$I$207,),0),AF188/(1+IFERROR(INDEX(AF$10:AF$11,Предпосылки!$I$208,),0))*IFERROR(INDEX(AF$10:AF$11,Предпосылки!$I$208,),0),AF211/(1+IFERROR(INDEX(AF$10:AF$11,Предпосылки!$I$209,),0))*IFERROR(INDEX(AF$10:AF$11,Предпосылки!$I$209,),0),AF234/(1+IFERROR(INDEX(AF$10:AF$11,Предпосылки!$I$210,),0))*IFERROR(INDEX(AF$10:AF$11,Предпосылки!$I$210,),0),AF257/(1+IFERROR(INDEX(AF$10:AF$11,Предпосылки!$I$211,),0))*IFERROR(INDEX(AF$10:AF$11,Предпосылки!$I$211,),0),AF280/(1+IFERROR(INDEX(AF$10:AF$11,Предпосылки!$I$212,),0))*IFERROR(INDEX(AF$10:AF$11,Предпосылки!$I$212,),0),AF303/(1+IFERROR(INDEX(AF$10:AF$11,Предпосылки!$I$213,),0))*IFERROR(INDEX(AF$10:AF$11,Предпосылки!$I$213,),0),AF326/(1+IFERROR(INDEX(AF$10:AF$11,Предпосылки!$I$214,),0))*IFERROR(INDEX(AF$10:AF$11,Предпосылки!$I$214,),0),AF349/(1+IFERROR(INDEX(AF$10:AF$11,Предпосылки!$I$215,),0))*IFERROR(INDEX(AF$10:AF$11,Предпосылки!$I$215,),0),AF372/(1+IFERROR(INDEX(AF$10:AF$11,Предпосылки!$I$216,),0))*IFERROR(INDEX(AF$10:AF$11,Предпосылки!$I$216,),0),AF395/(1+IFERROR(INDEX(AF$10:AF$11,Предпосылки!$I$217,),0))*IFERROR(INDEX(AF$10:AF$11,Предпосылки!$I$217,),0),AF418/(1+IFERROR(INDEX(AF$10:AF$11,Предпосылки!$I$218,),0))*IFERROR(INDEX(AF$10:AF$11,Предпосылки!$I$218,),0),AF441/(1+IFERROR(INDEX(AF$10:AF$11,Предпосылки!$I$219,),0))*IFERROR(INDEX(AF$10:AF$11,Предпосылки!$I$219,),0),AF464/(1+IFERROR(INDEX(AF$10:AF$11,Предпосылки!$I$220,),0))*IFERROR(INDEX(AF$10:AF$11,Предпосылки!$I$220,),0))</f>
        <v>0</v>
      </c>
      <c s="125">
        <f>SUM(AG27/(1+IFERROR(INDEX(AG$10:AG$11,Предпосылки!$I$201,),0))*IFERROR(INDEX(AG$10:AG$11,Предпосылки!$I$201,),0),AG50/(1+IFERROR(INDEX(AG$10:AG$11,Предпосылки!$I$202,),0))*IFERROR(INDEX(AG$10:AG$11,Предпосылки!$I$202,),0),AG73/(1+IFERROR(INDEX(AG$10:AG$11,Предпосылки!$I$203,),0))*IFERROR(INDEX(AG$10:AG$11,Предпосылки!$I$203,),0),AG96/(1+IFERROR(INDEX(AG$10:AG$11,Предпосылки!$I$204,),0))*IFERROR(INDEX(AG$10:AG$11,Предпосылки!$I$204,),0),AG119/(1+IFERROR(INDEX(AG$10:AG$11,Предпосылки!$I$205,),0))*IFERROR(INDEX(AG$10:AG$11,Предпосылки!$I$205,),0),AG142/(1+IFERROR(INDEX(AG$10:AG$11,Предпосылки!$I$206,),0))*IFERROR(INDEX(AG$10:AG$11,Предпосылки!$I$206,),0),AG165/(1+IFERROR(INDEX(AG$10:AG$11,Предпосылки!$I$207,),0))*IFERROR(INDEX(AG$10:AG$11,Предпосылки!$I$207,),0),AG188/(1+IFERROR(INDEX(AG$10:AG$11,Предпосылки!$I$208,),0))*IFERROR(INDEX(AG$10:AG$11,Предпосылки!$I$208,),0),AG211/(1+IFERROR(INDEX(AG$10:AG$11,Предпосылки!$I$209,),0))*IFERROR(INDEX(AG$10:AG$11,Предпосылки!$I$209,),0),AG234/(1+IFERROR(INDEX(AG$10:AG$11,Предпосылки!$I$210,),0))*IFERROR(INDEX(AG$10:AG$11,Предпосылки!$I$210,),0),AG257/(1+IFERROR(INDEX(AG$10:AG$11,Предпосылки!$I$211,),0))*IFERROR(INDEX(AG$10:AG$11,Предпосылки!$I$211,),0),AG280/(1+IFERROR(INDEX(AG$10:AG$11,Предпосылки!$I$212,),0))*IFERROR(INDEX(AG$10:AG$11,Предпосылки!$I$212,),0),AG303/(1+IFERROR(INDEX(AG$10:AG$11,Предпосылки!$I$213,),0))*IFERROR(INDEX(AG$10:AG$11,Предпосылки!$I$213,),0),AG326/(1+IFERROR(INDEX(AG$10:AG$11,Предпосылки!$I$214,),0))*IFERROR(INDEX(AG$10:AG$11,Предпосылки!$I$214,),0),AG349/(1+IFERROR(INDEX(AG$10:AG$11,Предпосылки!$I$215,),0))*IFERROR(INDEX(AG$10:AG$11,Предпосылки!$I$215,),0),AG372/(1+IFERROR(INDEX(AG$10:AG$11,Предпосылки!$I$216,),0))*IFERROR(INDEX(AG$10:AG$11,Предпосылки!$I$216,),0),AG395/(1+IFERROR(INDEX(AG$10:AG$11,Предпосылки!$I$217,),0))*IFERROR(INDEX(AG$10:AG$11,Предпосылки!$I$217,),0),AG418/(1+IFERROR(INDEX(AG$10:AG$11,Предпосылки!$I$218,),0))*IFERROR(INDEX(AG$10:AG$11,Предпосылки!$I$218,),0),AG441/(1+IFERROR(INDEX(AG$10:AG$11,Предпосылки!$I$219,),0))*IFERROR(INDEX(AG$10:AG$11,Предпосылки!$I$219,),0),AG464/(1+IFERROR(INDEX(AG$10:AG$11,Предпосылки!$I$220,),0))*IFERROR(INDEX(AG$10:AG$11,Предпосылки!$I$220,),0))</f>
        <v>0</v>
      </c>
      <c s="125">
        <f>SUM(AH27/(1+IFERROR(INDEX(AH$10:AH$11,Предпосылки!$I$201,),0))*IFERROR(INDEX(AH$10:AH$11,Предпосылки!$I$201,),0),AH50/(1+IFERROR(INDEX(AH$10:AH$11,Предпосылки!$I$202,),0))*IFERROR(INDEX(AH$10:AH$11,Предпосылки!$I$202,),0),AH73/(1+IFERROR(INDEX(AH$10:AH$11,Предпосылки!$I$203,),0))*IFERROR(INDEX(AH$10:AH$11,Предпосылки!$I$203,),0),AH96/(1+IFERROR(INDEX(AH$10:AH$11,Предпосылки!$I$204,),0))*IFERROR(INDEX(AH$10:AH$11,Предпосылки!$I$204,),0),AH119/(1+IFERROR(INDEX(AH$10:AH$11,Предпосылки!$I$205,),0))*IFERROR(INDEX(AH$10:AH$11,Предпосылки!$I$205,),0),AH142/(1+IFERROR(INDEX(AH$10:AH$11,Предпосылки!$I$206,),0))*IFERROR(INDEX(AH$10:AH$11,Предпосылки!$I$206,),0),AH165/(1+IFERROR(INDEX(AH$10:AH$11,Предпосылки!$I$207,),0))*IFERROR(INDEX(AH$10:AH$11,Предпосылки!$I$207,),0),AH188/(1+IFERROR(INDEX(AH$10:AH$11,Предпосылки!$I$208,),0))*IFERROR(INDEX(AH$10:AH$11,Предпосылки!$I$208,),0),AH211/(1+IFERROR(INDEX(AH$10:AH$11,Предпосылки!$I$209,),0))*IFERROR(INDEX(AH$10:AH$11,Предпосылки!$I$209,),0),AH234/(1+IFERROR(INDEX(AH$10:AH$11,Предпосылки!$I$210,),0))*IFERROR(INDEX(AH$10:AH$11,Предпосылки!$I$210,),0),AH257/(1+IFERROR(INDEX(AH$10:AH$11,Предпосылки!$I$211,),0))*IFERROR(INDEX(AH$10:AH$11,Предпосылки!$I$211,),0),AH280/(1+IFERROR(INDEX(AH$10:AH$11,Предпосылки!$I$212,),0))*IFERROR(INDEX(AH$10:AH$11,Предпосылки!$I$212,),0),AH303/(1+IFERROR(INDEX(AH$10:AH$11,Предпосылки!$I$213,),0))*IFERROR(INDEX(AH$10:AH$11,Предпосылки!$I$213,),0),AH326/(1+IFERROR(INDEX(AH$10:AH$11,Предпосылки!$I$214,),0))*IFERROR(INDEX(AH$10:AH$11,Предпосылки!$I$214,),0),AH349/(1+IFERROR(INDEX(AH$10:AH$11,Предпосылки!$I$215,),0))*IFERROR(INDEX(AH$10:AH$11,Предпосылки!$I$215,),0),AH372/(1+IFERROR(INDEX(AH$10:AH$11,Предпосылки!$I$216,),0))*IFERROR(INDEX(AH$10:AH$11,Предпосылки!$I$216,),0),AH395/(1+IFERROR(INDEX(AH$10:AH$11,Предпосылки!$I$217,),0))*IFERROR(INDEX(AH$10:AH$11,Предпосылки!$I$217,),0),AH418/(1+IFERROR(INDEX(AH$10:AH$11,Предпосылки!$I$218,),0))*IFERROR(INDEX(AH$10:AH$11,Предпосылки!$I$218,),0),AH441/(1+IFERROR(INDEX(AH$10:AH$11,Предпосылки!$I$219,),0))*IFERROR(INDEX(AH$10:AH$11,Предпосылки!$I$219,),0),AH464/(1+IFERROR(INDEX(AH$10:AH$11,Предпосылки!$I$220,),0))*IFERROR(INDEX(AH$10:AH$11,Предпосылки!$I$220,),0))</f>
        <v>0</v>
      </c>
      <c s="125">
        <f>SUM(AI27/(1+IFERROR(INDEX(AI$10:AI$11,Предпосылки!$I$201,),0))*IFERROR(INDEX(AI$10:AI$11,Предпосылки!$I$201,),0),AI50/(1+IFERROR(INDEX(AI$10:AI$11,Предпосылки!$I$202,),0))*IFERROR(INDEX(AI$10:AI$11,Предпосылки!$I$202,),0),AI73/(1+IFERROR(INDEX(AI$10:AI$11,Предпосылки!$I$203,),0))*IFERROR(INDEX(AI$10:AI$11,Предпосылки!$I$203,),0),AI96/(1+IFERROR(INDEX(AI$10:AI$11,Предпосылки!$I$204,),0))*IFERROR(INDEX(AI$10:AI$11,Предпосылки!$I$204,),0),AI119/(1+IFERROR(INDEX(AI$10:AI$11,Предпосылки!$I$205,),0))*IFERROR(INDEX(AI$10:AI$11,Предпосылки!$I$205,),0),AI142/(1+IFERROR(INDEX(AI$10:AI$11,Предпосылки!$I$206,),0))*IFERROR(INDEX(AI$10:AI$11,Предпосылки!$I$206,),0),AI165/(1+IFERROR(INDEX(AI$10:AI$11,Предпосылки!$I$207,),0))*IFERROR(INDEX(AI$10:AI$11,Предпосылки!$I$207,),0),AI188/(1+IFERROR(INDEX(AI$10:AI$11,Предпосылки!$I$208,),0))*IFERROR(INDEX(AI$10:AI$11,Предпосылки!$I$208,),0),AI211/(1+IFERROR(INDEX(AI$10:AI$11,Предпосылки!$I$209,),0))*IFERROR(INDEX(AI$10:AI$11,Предпосылки!$I$209,),0),AI234/(1+IFERROR(INDEX(AI$10:AI$11,Предпосылки!$I$210,),0))*IFERROR(INDEX(AI$10:AI$11,Предпосылки!$I$210,),0),AI257/(1+IFERROR(INDEX(AI$10:AI$11,Предпосылки!$I$211,),0))*IFERROR(INDEX(AI$10:AI$11,Предпосылки!$I$211,),0),AI280/(1+IFERROR(INDEX(AI$10:AI$11,Предпосылки!$I$212,),0))*IFERROR(INDEX(AI$10:AI$11,Предпосылки!$I$212,),0),AI303/(1+IFERROR(INDEX(AI$10:AI$11,Предпосылки!$I$213,),0))*IFERROR(INDEX(AI$10:AI$11,Предпосылки!$I$213,),0),AI326/(1+IFERROR(INDEX(AI$10:AI$11,Предпосылки!$I$214,),0))*IFERROR(INDEX(AI$10:AI$11,Предпосылки!$I$214,),0),AI349/(1+IFERROR(INDEX(AI$10:AI$11,Предпосылки!$I$215,),0))*IFERROR(INDEX(AI$10:AI$11,Предпосылки!$I$215,),0),AI372/(1+IFERROR(INDEX(AI$10:AI$11,Предпосылки!$I$216,),0))*IFERROR(INDEX(AI$10:AI$11,Предпосылки!$I$216,),0),AI395/(1+IFERROR(INDEX(AI$10:AI$11,Предпосылки!$I$217,),0))*IFERROR(INDEX(AI$10:AI$11,Предпосылки!$I$217,),0),AI418/(1+IFERROR(INDEX(AI$10:AI$11,Предпосылки!$I$218,),0))*IFERROR(INDEX(AI$10:AI$11,Предпосылки!$I$218,),0),AI441/(1+IFERROR(INDEX(AI$10:AI$11,Предпосылки!$I$219,),0))*IFERROR(INDEX(AI$10:AI$11,Предпосылки!$I$219,),0),AI464/(1+IFERROR(INDEX(AI$10:AI$11,Предпосылки!$I$220,),0))*IFERROR(INDEX(AI$10:AI$11,Предпосылки!$I$220,),0))</f>
        <v>0</v>
      </c>
      <c s="125">
        <f>SUM(AJ27/(1+IFERROR(INDEX(AJ$10:AJ$11,Предпосылки!$I$201,),0))*IFERROR(INDEX(AJ$10:AJ$11,Предпосылки!$I$201,),0),AJ50/(1+IFERROR(INDEX(AJ$10:AJ$11,Предпосылки!$I$202,),0))*IFERROR(INDEX(AJ$10:AJ$11,Предпосылки!$I$202,),0),AJ73/(1+IFERROR(INDEX(AJ$10:AJ$11,Предпосылки!$I$203,),0))*IFERROR(INDEX(AJ$10:AJ$11,Предпосылки!$I$203,),0),AJ96/(1+IFERROR(INDEX(AJ$10:AJ$11,Предпосылки!$I$204,),0))*IFERROR(INDEX(AJ$10:AJ$11,Предпосылки!$I$204,),0),AJ119/(1+IFERROR(INDEX(AJ$10:AJ$11,Предпосылки!$I$205,),0))*IFERROR(INDEX(AJ$10:AJ$11,Предпосылки!$I$205,),0),AJ142/(1+IFERROR(INDEX(AJ$10:AJ$11,Предпосылки!$I$206,),0))*IFERROR(INDEX(AJ$10:AJ$11,Предпосылки!$I$206,),0),AJ165/(1+IFERROR(INDEX(AJ$10:AJ$11,Предпосылки!$I$207,),0))*IFERROR(INDEX(AJ$10:AJ$11,Предпосылки!$I$207,),0),AJ188/(1+IFERROR(INDEX(AJ$10:AJ$11,Предпосылки!$I$208,),0))*IFERROR(INDEX(AJ$10:AJ$11,Предпосылки!$I$208,),0),AJ211/(1+IFERROR(INDEX(AJ$10:AJ$11,Предпосылки!$I$209,),0))*IFERROR(INDEX(AJ$10:AJ$11,Предпосылки!$I$209,),0),AJ234/(1+IFERROR(INDEX(AJ$10:AJ$11,Предпосылки!$I$210,),0))*IFERROR(INDEX(AJ$10:AJ$11,Предпосылки!$I$210,),0),AJ257/(1+IFERROR(INDEX(AJ$10:AJ$11,Предпосылки!$I$211,),0))*IFERROR(INDEX(AJ$10:AJ$11,Предпосылки!$I$211,),0),AJ280/(1+IFERROR(INDEX(AJ$10:AJ$11,Предпосылки!$I$212,),0))*IFERROR(INDEX(AJ$10:AJ$11,Предпосылки!$I$212,),0),AJ303/(1+IFERROR(INDEX(AJ$10:AJ$11,Предпосылки!$I$213,),0))*IFERROR(INDEX(AJ$10:AJ$11,Предпосылки!$I$213,),0),AJ326/(1+IFERROR(INDEX(AJ$10:AJ$11,Предпосылки!$I$214,),0))*IFERROR(INDEX(AJ$10:AJ$11,Предпосылки!$I$214,),0),AJ349/(1+IFERROR(INDEX(AJ$10:AJ$11,Предпосылки!$I$215,),0))*IFERROR(INDEX(AJ$10:AJ$11,Предпосылки!$I$215,),0),AJ372/(1+IFERROR(INDEX(AJ$10:AJ$11,Предпосылки!$I$216,),0))*IFERROR(INDEX(AJ$10:AJ$11,Предпосылки!$I$216,),0),AJ395/(1+IFERROR(INDEX(AJ$10:AJ$11,Предпосылки!$I$217,),0))*IFERROR(INDEX(AJ$10:AJ$11,Предпосылки!$I$217,),0),AJ418/(1+IFERROR(INDEX(AJ$10:AJ$11,Предпосылки!$I$218,),0))*IFERROR(INDEX(AJ$10:AJ$11,Предпосылки!$I$218,),0),AJ441/(1+IFERROR(INDEX(AJ$10:AJ$11,Предпосылки!$I$219,),0))*IFERROR(INDEX(AJ$10:AJ$11,Предпосылки!$I$219,),0),AJ464/(1+IFERROR(INDEX(AJ$10:AJ$11,Предпосылки!$I$220,),0))*IFERROR(INDEX(AJ$10:AJ$11,Предпосылки!$I$220,),0))</f>
        <v>0</v>
      </c>
      <c s="125">
        <f>SUM(AK27/(1+IFERROR(INDEX(AK$10:AK$11,Предпосылки!$I$201,),0))*IFERROR(INDEX(AK$10:AK$11,Предпосылки!$I$201,),0),AK50/(1+IFERROR(INDEX(AK$10:AK$11,Предпосылки!$I$202,),0))*IFERROR(INDEX(AK$10:AK$11,Предпосылки!$I$202,),0),AK73/(1+IFERROR(INDEX(AK$10:AK$11,Предпосылки!$I$203,),0))*IFERROR(INDEX(AK$10:AK$11,Предпосылки!$I$203,),0),AK96/(1+IFERROR(INDEX(AK$10:AK$11,Предпосылки!$I$204,),0))*IFERROR(INDEX(AK$10:AK$11,Предпосылки!$I$204,),0),AK119/(1+IFERROR(INDEX(AK$10:AK$11,Предпосылки!$I$205,),0))*IFERROR(INDEX(AK$10:AK$11,Предпосылки!$I$205,),0),AK142/(1+IFERROR(INDEX(AK$10:AK$11,Предпосылки!$I$206,),0))*IFERROR(INDEX(AK$10:AK$11,Предпосылки!$I$206,),0),AK165/(1+IFERROR(INDEX(AK$10:AK$11,Предпосылки!$I$207,),0))*IFERROR(INDEX(AK$10:AK$11,Предпосылки!$I$207,),0),AK188/(1+IFERROR(INDEX(AK$10:AK$11,Предпосылки!$I$208,),0))*IFERROR(INDEX(AK$10:AK$11,Предпосылки!$I$208,),0),AK211/(1+IFERROR(INDEX(AK$10:AK$11,Предпосылки!$I$209,),0))*IFERROR(INDEX(AK$10:AK$11,Предпосылки!$I$209,),0),AK234/(1+IFERROR(INDEX(AK$10:AK$11,Предпосылки!$I$210,),0))*IFERROR(INDEX(AK$10:AK$11,Предпосылки!$I$210,),0),AK257/(1+IFERROR(INDEX(AK$10:AK$11,Предпосылки!$I$211,),0))*IFERROR(INDEX(AK$10:AK$11,Предпосылки!$I$211,),0),AK280/(1+IFERROR(INDEX(AK$10:AK$11,Предпосылки!$I$212,),0))*IFERROR(INDEX(AK$10:AK$11,Предпосылки!$I$212,),0),AK303/(1+IFERROR(INDEX(AK$10:AK$11,Предпосылки!$I$213,),0))*IFERROR(INDEX(AK$10:AK$11,Предпосылки!$I$213,),0),AK326/(1+IFERROR(INDEX(AK$10:AK$11,Предпосылки!$I$214,),0))*IFERROR(INDEX(AK$10:AK$11,Предпосылки!$I$214,),0),AK349/(1+IFERROR(INDEX(AK$10:AK$11,Предпосылки!$I$215,),0))*IFERROR(INDEX(AK$10:AK$11,Предпосылки!$I$215,),0),AK372/(1+IFERROR(INDEX(AK$10:AK$11,Предпосылки!$I$216,),0))*IFERROR(INDEX(AK$10:AK$11,Предпосылки!$I$216,),0),AK395/(1+IFERROR(INDEX(AK$10:AK$11,Предпосылки!$I$217,),0))*IFERROR(INDEX(AK$10:AK$11,Предпосылки!$I$217,),0),AK418/(1+IFERROR(INDEX(AK$10:AK$11,Предпосылки!$I$218,),0))*IFERROR(INDEX(AK$10:AK$11,Предпосылки!$I$218,),0),AK441/(1+IFERROR(INDEX(AK$10:AK$11,Предпосылки!$I$219,),0))*IFERROR(INDEX(AK$10:AK$11,Предпосылки!$I$219,),0),AK464/(1+IFERROR(INDEX(AK$10:AK$11,Предпосылки!$I$220,),0))*IFERROR(INDEX(AK$10:AK$11,Предпосылки!$I$220,),0))</f>
        <v>0</v>
      </c>
      <c s="125">
        <f>SUM(AL27/(1+IFERROR(INDEX(AL$10:AL$11,Предпосылки!$I$201,),0))*IFERROR(INDEX(AL$10:AL$11,Предпосылки!$I$201,),0),AL50/(1+IFERROR(INDEX(AL$10:AL$11,Предпосылки!$I$202,),0))*IFERROR(INDEX(AL$10:AL$11,Предпосылки!$I$202,),0),AL73/(1+IFERROR(INDEX(AL$10:AL$11,Предпосылки!$I$203,),0))*IFERROR(INDEX(AL$10:AL$11,Предпосылки!$I$203,),0),AL96/(1+IFERROR(INDEX(AL$10:AL$11,Предпосылки!$I$204,),0))*IFERROR(INDEX(AL$10:AL$11,Предпосылки!$I$204,),0),AL119/(1+IFERROR(INDEX(AL$10:AL$11,Предпосылки!$I$205,),0))*IFERROR(INDEX(AL$10:AL$11,Предпосылки!$I$205,),0),AL142/(1+IFERROR(INDEX(AL$10:AL$11,Предпосылки!$I$206,),0))*IFERROR(INDEX(AL$10:AL$11,Предпосылки!$I$206,),0),AL165/(1+IFERROR(INDEX(AL$10:AL$11,Предпосылки!$I$207,),0))*IFERROR(INDEX(AL$10:AL$11,Предпосылки!$I$207,),0),AL188/(1+IFERROR(INDEX(AL$10:AL$11,Предпосылки!$I$208,),0))*IFERROR(INDEX(AL$10:AL$11,Предпосылки!$I$208,),0),AL211/(1+IFERROR(INDEX(AL$10:AL$11,Предпосылки!$I$209,),0))*IFERROR(INDEX(AL$10:AL$11,Предпосылки!$I$209,),0),AL234/(1+IFERROR(INDEX(AL$10:AL$11,Предпосылки!$I$210,),0))*IFERROR(INDEX(AL$10:AL$11,Предпосылки!$I$210,),0),AL257/(1+IFERROR(INDEX(AL$10:AL$11,Предпосылки!$I$211,),0))*IFERROR(INDEX(AL$10:AL$11,Предпосылки!$I$211,),0),AL280/(1+IFERROR(INDEX(AL$10:AL$11,Предпосылки!$I$212,),0))*IFERROR(INDEX(AL$10:AL$11,Предпосылки!$I$212,),0),AL303/(1+IFERROR(INDEX(AL$10:AL$11,Предпосылки!$I$213,),0))*IFERROR(INDEX(AL$10:AL$11,Предпосылки!$I$213,),0),AL326/(1+IFERROR(INDEX(AL$10:AL$11,Предпосылки!$I$214,),0))*IFERROR(INDEX(AL$10:AL$11,Предпосылки!$I$214,),0),AL349/(1+IFERROR(INDEX(AL$10:AL$11,Предпосылки!$I$215,),0))*IFERROR(INDEX(AL$10:AL$11,Предпосылки!$I$215,),0),AL372/(1+IFERROR(INDEX(AL$10:AL$11,Предпосылки!$I$216,),0))*IFERROR(INDEX(AL$10:AL$11,Предпосылки!$I$216,),0),AL395/(1+IFERROR(INDEX(AL$10:AL$11,Предпосылки!$I$217,),0))*IFERROR(INDEX(AL$10:AL$11,Предпосылки!$I$217,),0),AL418/(1+IFERROR(INDEX(AL$10:AL$11,Предпосылки!$I$218,),0))*IFERROR(INDEX(AL$10:AL$11,Предпосылки!$I$218,),0),AL441/(1+IFERROR(INDEX(AL$10:AL$11,Предпосылки!$I$219,),0))*IFERROR(INDEX(AL$10:AL$11,Предпосылки!$I$219,),0),AL464/(1+IFERROR(INDEX(AL$10:AL$11,Предпосылки!$I$220,),0))*IFERROR(INDEX(AL$10:AL$11,Предпосылки!$I$220,),0))</f>
        <v>0</v>
      </c>
      <c s="125">
        <f>SUM(AM27/(1+IFERROR(INDEX(AM$10:AM$11,Предпосылки!$I$201,),0))*IFERROR(INDEX(AM$10:AM$11,Предпосылки!$I$201,),0),AM50/(1+IFERROR(INDEX(AM$10:AM$11,Предпосылки!$I$202,),0))*IFERROR(INDEX(AM$10:AM$11,Предпосылки!$I$202,),0),AM73/(1+IFERROR(INDEX(AM$10:AM$11,Предпосылки!$I$203,),0))*IFERROR(INDEX(AM$10:AM$11,Предпосылки!$I$203,),0),AM96/(1+IFERROR(INDEX(AM$10:AM$11,Предпосылки!$I$204,),0))*IFERROR(INDEX(AM$10:AM$11,Предпосылки!$I$204,),0),AM119/(1+IFERROR(INDEX(AM$10:AM$11,Предпосылки!$I$205,),0))*IFERROR(INDEX(AM$10:AM$11,Предпосылки!$I$205,),0),AM142/(1+IFERROR(INDEX(AM$10:AM$11,Предпосылки!$I$206,),0))*IFERROR(INDEX(AM$10:AM$11,Предпосылки!$I$206,),0),AM165/(1+IFERROR(INDEX(AM$10:AM$11,Предпосылки!$I$207,),0))*IFERROR(INDEX(AM$10:AM$11,Предпосылки!$I$207,),0),AM188/(1+IFERROR(INDEX(AM$10:AM$11,Предпосылки!$I$208,),0))*IFERROR(INDEX(AM$10:AM$11,Предпосылки!$I$208,),0),AM211/(1+IFERROR(INDEX(AM$10:AM$11,Предпосылки!$I$209,),0))*IFERROR(INDEX(AM$10:AM$11,Предпосылки!$I$209,),0),AM234/(1+IFERROR(INDEX(AM$10:AM$11,Предпосылки!$I$210,),0))*IFERROR(INDEX(AM$10:AM$11,Предпосылки!$I$210,),0),AM257/(1+IFERROR(INDEX(AM$10:AM$11,Предпосылки!$I$211,),0))*IFERROR(INDEX(AM$10:AM$11,Предпосылки!$I$211,),0),AM280/(1+IFERROR(INDEX(AM$10:AM$11,Предпосылки!$I$212,),0))*IFERROR(INDEX(AM$10:AM$11,Предпосылки!$I$212,),0),AM303/(1+IFERROR(INDEX(AM$10:AM$11,Предпосылки!$I$213,),0))*IFERROR(INDEX(AM$10:AM$11,Предпосылки!$I$213,),0),AM326/(1+IFERROR(INDEX(AM$10:AM$11,Предпосылки!$I$214,),0))*IFERROR(INDEX(AM$10:AM$11,Предпосылки!$I$214,),0),AM349/(1+IFERROR(INDEX(AM$10:AM$11,Предпосылки!$I$215,),0))*IFERROR(INDEX(AM$10:AM$11,Предпосылки!$I$215,),0),AM372/(1+IFERROR(INDEX(AM$10:AM$11,Предпосылки!$I$216,),0))*IFERROR(INDEX(AM$10:AM$11,Предпосылки!$I$216,),0),AM395/(1+IFERROR(INDEX(AM$10:AM$11,Предпосылки!$I$217,),0))*IFERROR(INDEX(AM$10:AM$11,Предпосылки!$I$217,),0),AM418/(1+IFERROR(INDEX(AM$10:AM$11,Предпосылки!$I$218,),0))*IFERROR(INDEX(AM$10:AM$11,Предпосылки!$I$218,),0),AM441/(1+IFERROR(INDEX(AM$10:AM$11,Предпосылки!$I$219,),0))*IFERROR(INDEX(AM$10:AM$11,Предпосылки!$I$219,),0),AM464/(1+IFERROR(INDEX(AM$10:AM$11,Предпосылки!$I$220,),0))*IFERROR(INDEX(AM$10:AM$11,Предпосылки!$I$220,),0))</f>
        <v>0</v>
      </c>
      <c s="125">
        <f>SUM(AN27/(1+IFERROR(INDEX(AN$10:AN$11,Предпосылки!$I$201,),0))*IFERROR(INDEX(AN$10:AN$11,Предпосылки!$I$201,),0),AN50/(1+IFERROR(INDEX(AN$10:AN$11,Предпосылки!$I$202,),0))*IFERROR(INDEX(AN$10:AN$11,Предпосылки!$I$202,),0),AN73/(1+IFERROR(INDEX(AN$10:AN$11,Предпосылки!$I$203,),0))*IFERROR(INDEX(AN$10:AN$11,Предпосылки!$I$203,),0),AN96/(1+IFERROR(INDEX(AN$10:AN$11,Предпосылки!$I$204,),0))*IFERROR(INDEX(AN$10:AN$11,Предпосылки!$I$204,),0),AN119/(1+IFERROR(INDEX(AN$10:AN$11,Предпосылки!$I$205,),0))*IFERROR(INDEX(AN$10:AN$11,Предпосылки!$I$205,),0),AN142/(1+IFERROR(INDEX(AN$10:AN$11,Предпосылки!$I$206,),0))*IFERROR(INDEX(AN$10:AN$11,Предпосылки!$I$206,),0),AN165/(1+IFERROR(INDEX(AN$10:AN$11,Предпосылки!$I$207,),0))*IFERROR(INDEX(AN$10:AN$11,Предпосылки!$I$207,),0),AN188/(1+IFERROR(INDEX(AN$10:AN$11,Предпосылки!$I$208,),0))*IFERROR(INDEX(AN$10:AN$11,Предпосылки!$I$208,),0),AN211/(1+IFERROR(INDEX(AN$10:AN$11,Предпосылки!$I$209,),0))*IFERROR(INDEX(AN$10:AN$11,Предпосылки!$I$209,),0),AN234/(1+IFERROR(INDEX(AN$10:AN$11,Предпосылки!$I$210,),0))*IFERROR(INDEX(AN$10:AN$11,Предпосылки!$I$210,),0),AN257/(1+IFERROR(INDEX(AN$10:AN$11,Предпосылки!$I$211,),0))*IFERROR(INDEX(AN$10:AN$11,Предпосылки!$I$211,),0),AN280/(1+IFERROR(INDEX(AN$10:AN$11,Предпосылки!$I$212,),0))*IFERROR(INDEX(AN$10:AN$11,Предпосылки!$I$212,),0),AN303/(1+IFERROR(INDEX(AN$10:AN$11,Предпосылки!$I$213,),0))*IFERROR(INDEX(AN$10:AN$11,Предпосылки!$I$213,),0),AN326/(1+IFERROR(INDEX(AN$10:AN$11,Предпосылки!$I$214,),0))*IFERROR(INDEX(AN$10:AN$11,Предпосылки!$I$214,),0),AN349/(1+IFERROR(INDEX(AN$10:AN$11,Предпосылки!$I$215,),0))*IFERROR(INDEX(AN$10:AN$11,Предпосылки!$I$215,),0),AN372/(1+IFERROR(INDEX(AN$10:AN$11,Предпосылки!$I$216,),0))*IFERROR(INDEX(AN$10:AN$11,Предпосылки!$I$216,),0),AN395/(1+IFERROR(INDEX(AN$10:AN$11,Предпосылки!$I$217,),0))*IFERROR(INDEX(AN$10:AN$11,Предпосылки!$I$217,),0),AN418/(1+IFERROR(INDEX(AN$10:AN$11,Предпосылки!$I$218,),0))*IFERROR(INDEX(AN$10:AN$11,Предпосылки!$I$218,),0),AN441/(1+IFERROR(INDEX(AN$10:AN$11,Предпосылки!$I$219,),0))*IFERROR(INDEX(AN$10:AN$11,Предпосылки!$I$219,),0),AN464/(1+IFERROR(INDEX(AN$10:AN$11,Предпосылки!$I$220,),0))*IFERROR(INDEX(AN$10:AN$11,Предпосылки!$I$220,),0))</f>
        <v>0</v>
      </c>
      <c s="125">
        <f>SUM(AO27/(1+IFERROR(INDEX(AO$10:AO$11,Предпосылки!$I$201,),0))*IFERROR(INDEX(AO$10:AO$11,Предпосылки!$I$201,),0),AO50/(1+IFERROR(INDEX(AO$10:AO$11,Предпосылки!$I$202,),0))*IFERROR(INDEX(AO$10:AO$11,Предпосылки!$I$202,),0),AO73/(1+IFERROR(INDEX(AO$10:AO$11,Предпосылки!$I$203,),0))*IFERROR(INDEX(AO$10:AO$11,Предпосылки!$I$203,),0),AO96/(1+IFERROR(INDEX(AO$10:AO$11,Предпосылки!$I$204,),0))*IFERROR(INDEX(AO$10:AO$11,Предпосылки!$I$204,),0),AO119/(1+IFERROR(INDEX(AO$10:AO$11,Предпосылки!$I$205,),0))*IFERROR(INDEX(AO$10:AO$11,Предпосылки!$I$205,),0),AO142/(1+IFERROR(INDEX(AO$10:AO$11,Предпосылки!$I$206,),0))*IFERROR(INDEX(AO$10:AO$11,Предпосылки!$I$206,),0),AO165/(1+IFERROR(INDEX(AO$10:AO$11,Предпосылки!$I$207,),0))*IFERROR(INDEX(AO$10:AO$11,Предпосылки!$I$207,),0),AO188/(1+IFERROR(INDEX(AO$10:AO$11,Предпосылки!$I$208,),0))*IFERROR(INDEX(AO$10:AO$11,Предпосылки!$I$208,),0),AO211/(1+IFERROR(INDEX(AO$10:AO$11,Предпосылки!$I$209,),0))*IFERROR(INDEX(AO$10:AO$11,Предпосылки!$I$209,),0),AO234/(1+IFERROR(INDEX(AO$10:AO$11,Предпосылки!$I$210,),0))*IFERROR(INDEX(AO$10:AO$11,Предпосылки!$I$210,),0),AO257/(1+IFERROR(INDEX(AO$10:AO$11,Предпосылки!$I$211,),0))*IFERROR(INDEX(AO$10:AO$11,Предпосылки!$I$211,),0),AO280/(1+IFERROR(INDEX(AO$10:AO$11,Предпосылки!$I$212,),0))*IFERROR(INDEX(AO$10:AO$11,Предпосылки!$I$212,),0),AO303/(1+IFERROR(INDEX(AO$10:AO$11,Предпосылки!$I$213,),0))*IFERROR(INDEX(AO$10:AO$11,Предпосылки!$I$213,),0),AO326/(1+IFERROR(INDEX(AO$10:AO$11,Предпосылки!$I$214,),0))*IFERROR(INDEX(AO$10:AO$11,Предпосылки!$I$214,),0),AO349/(1+IFERROR(INDEX(AO$10:AO$11,Предпосылки!$I$215,),0))*IFERROR(INDEX(AO$10:AO$11,Предпосылки!$I$215,),0),AO372/(1+IFERROR(INDEX(AO$10:AO$11,Предпосылки!$I$216,),0))*IFERROR(INDEX(AO$10:AO$11,Предпосылки!$I$216,),0),AO395/(1+IFERROR(INDEX(AO$10:AO$11,Предпосылки!$I$217,),0))*IFERROR(INDEX(AO$10:AO$11,Предпосылки!$I$217,),0),AO418/(1+IFERROR(INDEX(AO$10:AO$11,Предпосылки!$I$218,),0))*IFERROR(INDEX(AO$10:AO$11,Предпосылки!$I$218,),0),AO441/(1+IFERROR(INDEX(AO$10:AO$11,Предпосылки!$I$219,),0))*IFERROR(INDEX(AO$10:AO$11,Предпосылки!$I$219,),0),AO464/(1+IFERROR(INDEX(AO$10:AO$11,Предпосылки!$I$220,),0))*IFERROR(INDEX(AO$10:AO$11,Предпосылки!$I$220,),0))</f>
        <v>0</v>
      </c>
      <c s="125">
        <f>SUM(AP27/(1+IFERROR(INDEX(AP$10:AP$11,Предпосылки!$I$201,),0))*IFERROR(INDEX(AP$10:AP$11,Предпосылки!$I$201,),0),AP50/(1+IFERROR(INDEX(AP$10:AP$11,Предпосылки!$I$202,),0))*IFERROR(INDEX(AP$10:AP$11,Предпосылки!$I$202,),0),AP73/(1+IFERROR(INDEX(AP$10:AP$11,Предпосылки!$I$203,),0))*IFERROR(INDEX(AP$10:AP$11,Предпосылки!$I$203,),0),AP96/(1+IFERROR(INDEX(AP$10:AP$11,Предпосылки!$I$204,),0))*IFERROR(INDEX(AP$10:AP$11,Предпосылки!$I$204,),0),AP119/(1+IFERROR(INDEX(AP$10:AP$11,Предпосылки!$I$205,),0))*IFERROR(INDEX(AP$10:AP$11,Предпосылки!$I$205,),0),AP142/(1+IFERROR(INDEX(AP$10:AP$11,Предпосылки!$I$206,),0))*IFERROR(INDEX(AP$10:AP$11,Предпосылки!$I$206,),0),AP165/(1+IFERROR(INDEX(AP$10:AP$11,Предпосылки!$I$207,),0))*IFERROR(INDEX(AP$10:AP$11,Предпосылки!$I$207,),0),AP188/(1+IFERROR(INDEX(AP$10:AP$11,Предпосылки!$I$208,),0))*IFERROR(INDEX(AP$10:AP$11,Предпосылки!$I$208,),0),AP211/(1+IFERROR(INDEX(AP$10:AP$11,Предпосылки!$I$209,),0))*IFERROR(INDEX(AP$10:AP$11,Предпосылки!$I$209,),0),AP234/(1+IFERROR(INDEX(AP$10:AP$11,Предпосылки!$I$210,),0))*IFERROR(INDEX(AP$10:AP$11,Предпосылки!$I$210,),0),AP257/(1+IFERROR(INDEX(AP$10:AP$11,Предпосылки!$I$211,),0))*IFERROR(INDEX(AP$10:AP$11,Предпосылки!$I$211,),0),AP280/(1+IFERROR(INDEX(AP$10:AP$11,Предпосылки!$I$212,),0))*IFERROR(INDEX(AP$10:AP$11,Предпосылки!$I$212,),0),AP303/(1+IFERROR(INDEX(AP$10:AP$11,Предпосылки!$I$213,),0))*IFERROR(INDEX(AP$10:AP$11,Предпосылки!$I$213,),0),AP326/(1+IFERROR(INDEX(AP$10:AP$11,Предпосылки!$I$214,),0))*IFERROR(INDEX(AP$10:AP$11,Предпосылки!$I$214,),0),AP349/(1+IFERROR(INDEX(AP$10:AP$11,Предпосылки!$I$215,),0))*IFERROR(INDEX(AP$10:AP$11,Предпосылки!$I$215,),0),AP372/(1+IFERROR(INDEX(AP$10:AP$11,Предпосылки!$I$216,),0))*IFERROR(INDEX(AP$10:AP$11,Предпосылки!$I$216,),0),AP395/(1+IFERROR(INDEX(AP$10:AP$11,Предпосылки!$I$217,),0))*IFERROR(INDEX(AP$10:AP$11,Предпосылки!$I$217,),0),AP418/(1+IFERROR(INDEX(AP$10:AP$11,Предпосылки!$I$218,),0))*IFERROR(INDEX(AP$10:AP$11,Предпосылки!$I$218,),0),AP441/(1+IFERROR(INDEX(AP$10:AP$11,Предпосылки!$I$219,),0))*IFERROR(INDEX(AP$10:AP$11,Предпосылки!$I$219,),0),AP464/(1+IFERROR(INDEX(AP$10:AP$11,Предпосылки!$I$220,),0))*IFERROR(INDEX(AP$10:AP$11,Предпосылки!$I$220,),0))</f>
        <v>0</v>
      </c>
      <c s="125">
        <f>SUM(AQ27/(1+IFERROR(INDEX(AQ$10:AQ$11,Предпосылки!$I$201,),0))*IFERROR(INDEX(AQ$10:AQ$11,Предпосылки!$I$201,),0),AQ50/(1+IFERROR(INDEX(AQ$10:AQ$11,Предпосылки!$I$202,),0))*IFERROR(INDEX(AQ$10:AQ$11,Предпосылки!$I$202,),0),AQ73/(1+IFERROR(INDEX(AQ$10:AQ$11,Предпосылки!$I$203,),0))*IFERROR(INDEX(AQ$10:AQ$11,Предпосылки!$I$203,),0),AQ96/(1+IFERROR(INDEX(AQ$10:AQ$11,Предпосылки!$I$204,),0))*IFERROR(INDEX(AQ$10:AQ$11,Предпосылки!$I$204,),0),AQ119/(1+IFERROR(INDEX(AQ$10:AQ$11,Предпосылки!$I$205,),0))*IFERROR(INDEX(AQ$10:AQ$11,Предпосылки!$I$205,),0),AQ142/(1+IFERROR(INDEX(AQ$10:AQ$11,Предпосылки!$I$206,),0))*IFERROR(INDEX(AQ$10:AQ$11,Предпосылки!$I$206,),0),AQ165/(1+IFERROR(INDEX(AQ$10:AQ$11,Предпосылки!$I$207,),0))*IFERROR(INDEX(AQ$10:AQ$11,Предпосылки!$I$207,),0),AQ188/(1+IFERROR(INDEX(AQ$10:AQ$11,Предпосылки!$I$208,),0))*IFERROR(INDEX(AQ$10:AQ$11,Предпосылки!$I$208,),0),AQ211/(1+IFERROR(INDEX(AQ$10:AQ$11,Предпосылки!$I$209,),0))*IFERROR(INDEX(AQ$10:AQ$11,Предпосылки!$I$209,),0),AQ234/(1+IFERROR(INDEX(AQ$10:AQ$11,Предпосылки!$I$210,),0))*IFERROR(INDEX(AQ$10:AQ$11,Предпосылки!$I$210,),0),AQ257/(1+IFERROR(INDEX(AQ$10:AQ$11,Предпосылки!$I$211,),0))*IFERROR(INDEX(AQ$10:AQ$11,Предпосылки!$I$211,),0),AQ280/(1+IFERROR(INDEX(AQ$10:AQ$11,Предпосылки!$I$212,),0))*IFERROR(INDEX(AQ$10:AQ$11,Предпосылки!$I$212,),0),AQ303/(1+IFERROR(INDEX(AQ$10:AQ$11,Предпосылки!$I$213,),0))*IFERROR(INDEX(AQ$10:AQ$11,Предпосылки!$I$213,),0),AQ326/(1+IFERROR(INDEX(AQ$10:AQ$11,Предпосылки!$I$214,),0))*IFERROR(INDEX(AQ$10:AQ$11,Предпосылки!$I$214,),0),AQ349/(1+IFERROR(INDEX(AQ$10:AQ$11,Предпосылки!$I$215,),0))*IFERROR(INDEX(AQ$10:AQ$11,Предпосылки!$I$215,),0),AQ372/(1+IFERROR(INDEX(AQ$10:AQ$11,Предпосылки!$I$216,),0))*IFERROR(INDEX(AQ$10:AQ$11,Предпосылки!$I$216,),0),AQ395/(1+IFERROR(INDEX(AQ$10:AQ$11,Предпосылки!$I$217,),0))*IFERROR(INDEX(AQ$10:AQ$11,Предпосылки!$I$217,),0),AQ418/(1+IFERROR(INDEX(AQ$10:AQ$11,Предпосылки!$I$218,),0))*IFERROR(INDEX(AQ$10:AQ$11,Предпосылки!$I$218,),0),AQ441/(1+IFERROR(INDEX(AQ$10:AQ$11,Предпосылки!$I$219,),0))*IFERROR(INDEX(AQ$10:AQ$11,Предпосылки!$I$219,),0),AQ464/(1+IFERROR(INDEX(AQ$10:AQ$11,Предпосылки!$I$220,),0))*IFERROR(INDEX(AQ$10:AQ$11,Предпосылки!$I$220,),0))</f>
        <v>0</v>
      </c>
      <c s="125">
        <f>SUM(AR27/(1+IFERROR(INDEX(AR$10:AR$11,Предпосылки!$I$201,),0))*IFERROR(INDEX(AR$10:AR$11,Предпосылки!$I$201,),0),AR50/(1+IFERROR(INDEX(AR$10:AR$11,Предпосылки!$I$202,),0))*IFERROR(INDEX(AR$10:AR$11,Предпосылки!$I$202,),0),AR73/(1+IFERROR(INDEX(AR$10:AR$11,Предпосылки!$I$203,),0))*IFERROR(INDEX(AR$10:AR$11,Предпосылки!$I$203,),0),AR96/(1+IFERROR(INDEX(AR$10:AR$11,Предпосылки!$I$204,),0))*IFERROR(INDEX(AR$10:AR$11,Предпосылки!$I$204,),0),AR119/(1+IFERROR(INDEX(AR$10:AR$11,Предпосылки!$I$205,),0))*IFERROR(INDEX(AR$10:AR$11,Предпосылки!$I$205,),0),AR142/(1+IFERROR(INDEX(AR$10:AR$11,Предпосылки!$I$206,),0))*IFERROR(INDEX(AR$10:AR$11,Предпосылки!$I$206,),0),AR165/(1+IFERROR(INDEX(AR$10:AR$11,Предпосылки!$I$207,),0))*IFERROR(INDEX(AR$10:AR$11,Предпосылки!$I$207,),0),AR188/(1+IFERROR(INDEX(AR$10:AR$11,Предпосылки!$I$208,),0))*IFERROR(INDEX(AR$10:AR$11,Предпосылки!$I$208,),0),AR211/(1+IFERROR(INDEX(AR$10:AR$11,Предпосылки!$I$209,),0))*IFERROR(INDEX(AR$10:AR$11,Предпосылки!$I$209,),0),AR234/(1+IFERROR(INDEX(AR$10:AR$11,Предпосылки!$I$210,),0))*IFERROR(INDEX(AR$10:AR$11,Предпосылки!$I$210,),0),AR257/(1+IFERROR(INDEX(AR$10:AR$11,Предпосылки!$I$211,),0))*IFERROR(INDEX(AR$10:AR$11,Предпосылки!$I$211,),0),AR280/(1+IFERROR(INDEX(AR$10:AR$11,Предпосылки!$I$212,),0))*IFERROR(INDEX(AR$10:AR$11,Предпосылки!$I$212,),0),AR303/(1+IFERROR(INDEX(AR$10:AR$11,Предпосылки!$I$213,),0))*IFERROR(INDEX(AR$10:AR$11,Предпосылки!$I$213,),0),AR326/(1+IFERROR(INDEX(AR$10:AR$11,Предпосылки!$I$214,),0))*IFERROR(INDEX(AR$10:AR$11,Предпосылки!$I$214,),0),AR349/(1+IFERROR(INDEX(AR$10:AR$11,Предпосылки!$I$215,),0))*IFERROR(INDEX(AR$10:AR$11,Предпосылки!$I$215,),0),AR372/(1+IFERROR(INDEX(AR$10:AR$11,Предпосылки!$I$216,),0))*IFERROR(INDEX(AR$10:AR$11,Предпосылки!$I$216,),0),AR395/(1+IFERROR(INDEX(AR$10:AR$11,Предпосылки!$I$217,),0))*IFERROR(INDEX(AR$10:AR$11,Предпосылки!$I$217,),0),AR418/(1+IFERROR(INDEX(AR$10:AR$11,Предпосылки!$I$218,),0))*IFERROR(INDEX(AR$10:AR$11,Предпосылки!$I$218,),0),AR441/(1+IFERROR(INDEX(AR$10:AR$11,Предпосылки!$I$219,),0))*IFERROR(INDEX(AR$10:AR$11,Предпосылки!$I$219,),0),AR464/(1+IFERROR(INDEX(AR$10:AR$11,Предпосылки!$I$220,),0))*IFERROR(INDEX(AR$10:AR$11,Предпосылки!$I$220,),0))</f>
        <v>0</v>
      </c>
      <c s="125">
        <f>SUM(AS27/(1+IFERROR(INDEX(AS$10:AS$11,Предпосылки!$I$201,),0))*IFERROR(INDEX(AS$10:AS$11,Предпосылки!$I$201,),0),AS50/(1+IFERROR(INDEX(AS$10:AS$11,Предпосылки!$I$202,),0))*IFERROR(INDEX(AS$10:AS$11,Предпосылки!$I$202,),0),AS73/(1+IFERROR(INDEX(AS$10:AS$11,Предпосылки!$I$203,),0))*IFERROR(INDEX(AS$10:AS$11,Предпосылки!$I$203,),0),AS96/(1+IFERROR(INDEX(AS$10:AS$11,Предпосылки!$I$204,),0))*IFERROR(INDEX(AS$10:AS$11,Предпосылки!$I$204,),0),AS119/(1+IFERROR(INDEX(AS$10:AS$11,Предпосылки!$I$205,),0))*IFERROR(INDEX(AS$10:AS$11,Предпосылки!$I$205,),0),AS142/(1+IFERROR(INDEX(AS$10:AS$11,Предпосылки!$I$206,),0))*IFERROR(INDEX(AS$10:AS$11,Предпосылки!$I$206,),0),AS165/(1+IFERROR(INDEX(AS$10:AS$11,Предпосылки!$I$207,),0))*IFERROR(INDEX(AS$10:AS$11,Предпосылки!$I$207,),0),AS188/(1+IFERROR(INDEX(AS$10:AS$11,Предпосылки!$I$208,),0))*IFERROR(INDEX(AS$10:AS$11,Предпосылки!$I$208,),0),AS211/(1+IFERROR(INDEX(AS$10:AS$11,Предпосылки!$I$209,),0))*IFERROR(INDEX(AS$10:AS$11,Предпосылки!$I$209,),0),AS234/(1+IFERROR(INDEX(AS$10:AS$11,Предпосылки!$I$210,),0))*IFERROR(INDEX(AS$10:AS$11,Предпосылки!$I$210,),0),AS257/(1+IFERROR(INDEX(AS$10:AS$11,Предпосылки!$I$211,),0))*IFERROR(INDEX(AS$10:AS$11,Предпосылки!$I$211,),0),AS280/(1+IFERROR(INDEX(AS$10:AS$11,Предпосылки!$I$212,),0))*IFERROR(INDEX(AS$10:AS$11,Предпосылки!$I$212,),0),AS303/(1+IFERROR(INDEX(AS$10:AS$11,Предпосылки!$I$213,),0))*IFERROR(INDEX(AS$10:AS$11,Предпосылки!$I$213,),0),AS326/(1+IFERROR(INDEX(AS$10:AS$11,Предпосылки!$I$214,),0))*IFERROR(INDEX(AS$10:AS$11,Предпосылки!$I$214,),0),AS349/(1+IFERROR(INDEX(AS$10:AS$11,Предпосылки!$I$215,),0))*IFERROR(INDEX(AS$10:AS$11,Предпосылки!$I$215,),0),AS372/(1+IFERROR(INDEX(AS$10:AS$11,Предпосылки!$I$216,),0))*IFERROR(INDEX(AS$10:AS$11,Предпосылки!$I$216,),0),AS395/(1+IFERROR(INDEX(AS$10:AS$11,Предпосылки!$I$217,),0))*IFERROR(INDEX(AS$10:AS$11,Предпосылки!$I$217,),0),AS418/(1+IFERROR(INDEX(AS$10:AS$11,Предпосылки!$I$218,),0))*IFERROR(INDEX(AS$10:AS$11,Предпосылки!$I$218,),0),AS441/(1+IFERROR(INDEX(AS$10:AS$11,Предпосылки!$I$219,),0))*IFERROR(INDEX(AS$10:AS$11,Предпосылки!$I$219,),0),AS464/(1+IFERROR(INDEX(AS$10:AS$11,Предпосылки!$I$220,),0))*IFERROR(INDEX(AS$10:AS$11,Предпосылки!$I$220,),0))</f>
        <v>0</v>
      </c>
      <c s="125">
        <f>SUM(AT27/(1+IFERROR(INDEX(AT$10:AT$11,Предпосылки!$I$201,),0))*IFERROR(INDEX(AT$10:AT$11,Предпосылки!$I$201,),0),AT50/(1+IFERROR(INDEX(AT$10:AT$11,Предпосылки!$I$202,),0))*IFERROR(INDEX(AT$10:AT$11,Предпосылки!$I$202,),0),AT73/(1+IFERROR(INDEX(AT$10:AT$11,Предпосылки!$I$203,),0))*IFERROR(INDEX(AT$10:AT$11,Предпосылки!$I$203,),0),AT96/(1+IFERROR(INDEX(AT$10:AT$11,Предпосылки!$I$204,),0))*IFERROR(INDEX(AT$10:AT$11,Предпосылки!$I$204,),0),AT119/(1+IFERROR(INDEX(AT$10:AT$11,Предпосылки!$I$205,),0))*IFERROR(INDEX(AT$10:AT$11,Предпосылки!$I$205,),0),AT142/(1+IFERROR(INDEX(AT$10:AT$11,Предпосылки!$I$206,),0))*IFERROR(INDEX(AT$10:AT$11,Предпосылки!$I$206,),0),AT165/(1+IFERROR(INDEX(AT$10:AT$11,Предпосылки!$I$207,),0))*IFERROR(INDEX(AT$10:AT$11,Предпосылки!$I$207,),0),AT188/(1+IFERROR(INDEX(AT$10:AT$11,Предпосылки!$I$208,),0))*IFERROR(INDEX(AT$10:AT$11,Предпосылки!$I$208,),0),AT211/(1+IFERROR(INDEX(AT$10:AT$11,Предпосылки!$I$209,),0))*IFERROR(INDEX(AT$10:AT$11,Предпосылки!$I$209,),0),AT234/(1+IFERROR(INDEX(AT$10:AT$11,Предпосылки!$I$210,),0))*IFERROR(INDEX(AT$10:AT$11,Предпосылки!$I$210,),0),AT257/(1+IFERROR(INDEX(AT$10:AT$11,Предпосылки!$I$211,),0))*IFERROR(INDEX(AT$10:AT$11,Предпосылки!$I$211,),0),AT280/(1+IFERROR(INDEX(AT$10:AT$11,Предпосылки!$I$212,),0))*IFERROR(INDEX(AT$10:AT$11,Предпосылки!$I$212,),0),AT303/(1+IFERROR(INDEX(AT$10:AT$11,Предпосылки!$I$213,),0))*IFERROR(INDEX(AT$10:AT$11,Предпосылки!$I$213,),0),AT326/(1+IFERROR(INDEX(AT$10:AT$11,Предпосылки!$I$214,),0))*IFERROR(INDEX(AT$10:AT$11,Предпосылки!$I$214,),0),AT349/(1+IFERROR(INDEX(AT$10:AT$11,Предпосылки!$I$215,),0))*IFERROR(INDEX(AT$10:AT$11,Предпосылки!$I$215,),0),AT372/(1+IFERROR(INDEX(AT$10:AT$11,Предпосылки!$I$216,),0))*IFERROR(INDEX(AT$10:AT$11,Предпосылки!$I$216,),0),AT395/(1+IFERROR(INDEX(AT$10:AT$11,Предпосылки!$I$217,),0))*IFERROR(INDEX(AT$10:AT$11,Предпосылки!$I$217,),0),AT418/(1+IFERROR(INDEX(AT$10:AT$11,Предпосылки!$I$218,),0))*IFERROR(INDEX(AT$10:AT$11,Предпосылки!$I$218,),0),AT441/(1+IFERROR(INDEX(AT$10:AT$11,Предпосылки!$I$219,),0))*IFERROR(INDEX(AT$10:AT$11,Предпосылки!$I$219,),0),AT464/(1+IFERROR(INDEX(AT$10:AT$11,Предпосылки!$I$220,),0))*IFERROR(INDEX(AT$10:AT$11,Предпосылки!$I$220,),0))</f>
        <v>0</v>
      </c>
      <c s="125">
        <f>SUM(AU27/(1+IFERROR(INDEX(AU$10:AU$11,Предпосылки!$I$201,),0))*IFERROR(INDEX(AU$10:AU$11,Предпосылки!$I$201,),0),AU50/(1+IFERROR(INDEX(AU$10:AU$11,Предпосылки!$I$202,),0))*IFERROR(INDEX(AU$10:AU$11,Предпосылки!$I$202,),0),AU73/(1+IFERROR(INDEX(AU$10:AU$11,Предпосылки!$I$203,),0))*IFERROR(INDEX(AU$10:AU$11,Предпосылки!$I$203,),0),AU96/(1+IFERROR(INDEX(AU$10:AU$11,Предпосылки!$I$204,),0))*IFERROR(INDEX(AU$10:AU$11,Предпосылки!$I$204,),0),AU119/(1+IFERROR(INDEX(AU$10:AU$11,Предпосылки!$I$205,),0))*IFERROR(INDEX(AU$10:AU$11,Предпосылки!$I$205,),0),AU142/(1+IFERROR(INDEX(AU$10:AU$11,Предпосылки!$I$206,),0))*IFERROR(INDEX(AU$10:AU$11,Предпосылки!$I$206,),0),AU165/(1+IFERROR(INDEX(AU$10:AU$11,Предпосылки!$I$207,),0))*IFERROR(INDEX(AU$10:AU$11,Предпосылки!$I$207,),0),AU188/(1+IFERROR(INDEX(AU$10:AU$11,Предпосылки!$I$208,),0))*IFERROR(INDEX(AU$10:AU$11,Предпосылки!$I$208,),0),AU211/(1+IFERROR(INDEX(AU$10:AU$11,Предпосылки!$I$209,),0))*IFERROR(INDEX(AU$10:AU$11,Предпосылки!$I$209,),0),AU234/(1+IFERROR(INDEX(AU$10:AU$11,Предпосылки!$I$210,),0))*IFERROR(INDEX(AU$10:AU$11,Предпосылки!$I$210,),0),AU257/(1+IFERROR(INDEX(AU$10:AU$11,Предпосылки!$I$211,),0))*IFERROR(INDEX(AU$10:AU$11,Предпосылки!$I$211,),0),AU280/(1+IFERROR(INDEX(AU$10:AU$11,Предпосылки!$I$212,),0))*IFERROR(INDEX(AU$10:AU$11,Предпосылки!$I$212,),0),AU303/(1+IFERROR(INDEX(AU$10:AU$11,Предпосылки!$I$213,),0))*IFERROR(INDEX(AU$10:AU$11,Предпосылки!$I$213,),0),AU326/(1+IFERROR(INDEX(AU$10:AU$11,Предпосылки!$I$214,),0))*IFERROR(INDEX(AU$10:AU$11,Предпосылки!$I$214,),0),AU349/(1+IFERROR(INDEX(AU$10:AU$11,Предпосылки!$I$215,),0))*IFERROR(INDEX(AU$10:AU$11,Предпосылки!$I$215,),0),AU372/(1+IFERROR(INDEX(AU$10:AU$11,Предпосылки!$I$216,),0))*IFERROR(INDEX(AU$10:AU$11,Предпосылки!$I$216,),0),AU395/(1+IFERROR(INDEX(AU$10:AU$11,Предпосылки!$I$217,),0))*IFERROR(INDEX(AU$10:AU$11,Предпосылки!$I$217,),0),AU418/(1+IFERROR(INDEX(AU$10:AU$11,Предпосылки!$I$218,),0))*IFERROR(INDEX(AU$10:AU$11,Предпосылки!$I$218,),0),AU441/(1+IFERROR(INDEX(AU$10:AU$11,Предпосылки!$I$219,),0))*IFERROR(INDEX(AU$10:AU$11,Предпосылки!$I$219,),0),AU464/(1+IFERROR(INDEX(AU$10:AU$11,Предпосылки!$I$220,),0))*IFERROR(INDEX(AU$10:AU$11,Предпосылки!$I$220,),0))</f>
        <v>0</v>
      </c>
      <c s="125">
        <f>SUM(AV27/(1+IFERROR(INDEX(AV$10:AV$11,Предпосылки!$I$201,),0))*IFERROR(INDEX(AV$10:AV$11,Предпосылки!$I$201,),0),AV50/(1+IFERROR(INDEX(AV$10:AV$11,Предпосылки!$I$202,),0))*IFERROR(INDEX(AV$10:AV$11,Предпосылки!$I$202,),0),AV73/(1+IFERROR(INDEX(AV$10:AV$11,Предпосылки!$I$203,),0))*IFERROR(INDEX(AV$10:AV$11,Предпосылки!$I$203,),0),AV96/(1+IFERROR(INDEX(AV$10:AV$11,Предпосылки!$I$204,),0))*IFERROR(INDEX(AV$10:AV$11,Предпосылки!$I$204,),0),AV119/(1+IFERROR(INDEX(AV$10:AV$11,Предпосылки!$I$205,),0))*IFERROR(INDEX(AV$10:AV$11,Предпосылки!$I$205,),0),AV142/(1+IFERROR(INDEX(AV$10:AV$11,Предпосылки!$I$206,),0))*IFERROR(INDEX(AV$10:AV$11,Предпосылки!$I$206,),0),AV165/(1+IFERROR(INDEX(AV$10:AV$11,Предпосылки!$I$207,),0))*IFERROR(INDEX(AV$10:AV$11,Предпосылки!$I$207,),0),AV188/(1+IFERROR(INDEX(AV$10:AV$11,Предпосылки!$I$208,),0))*IFERROR(INDEX(AV$10:AV$11,Предпосылки!$I$208,),0),AV211/(1+IFERROR(INDEX(AV$10:AV$11,Предпосылки!$I$209,),0))*IFERROR(INDEX(AV$10:AV$11,Предпосылки!$I$209,),0),AV234/(1+IFERROR(INDEX(AV$10:AV$11,Предпосылки!$I$210,),0))*IFERROR(INDEX(AV$10:AV$11,Предпосылки!$I$210,),0),AV257/(1+IFERROR(INDEX(AV$10:AV$11,Предпосылки!$I$211,),0))*IFERROR(INDEX(AV$10:AV$11,Предпосылки!$I$211,),0),AV280/(1+IFERROR(INDEX(AV$10:AV$11,Предпосылки!$I$212,),0))*IFERROR(INDEX(AV$10:AV$11,Предпосылки!$I$212,),0),AV303/(1+IFERROR(INDEX(AV$10:AV$11,Предпосылки!$I$213,),0))*IFERROR(INDEX(AV$10:AV$11,Предпосылки!$I$213,),0),AV326/(1+IFERROR(INDEX(AV$10:AV$11,Предпосылки!$I$214,),0))*IFERROR(INDEX(AV$10:AV$11,Предпосылки!$I$214,),0),AV349/(1+IFERROR(INDEX(AV$10:AV$11,Предпосылки!$I$215,),0))*IFERROR(INDEX(AV$10:AV$11,Предпосылки!$I$215,),0),AV372/(1+IFERROR(INDEX(AV$10:AV$11,Предпосылки!$I$216,),0))*IFERROR(INDEX(AV$10:AV$11,Предпосылки!$I$216,),0),AV395/(1+IFERROR(INDEX(AV$10:AV$11,Предпосылки!$I$217,),0))*IFERROR(INDEX(AV$10:AV$11,Предпосылки!$I$217,),0),AV418/(1+IFERROR(INDEX(AV$10:AV$11,Предпосылки!$I$218,),0))*IFERROR(INDEX(AV$10:AV$11,Предпосылки!$I$218,),0),AV441/(1+IFERROR(INDEX(AV$10:AV$11,Предпосылки!$I$219,),0))*IFERROR(INDEX(AV$10:AV$11,Предпосылки!$I$219,),0),AV464/(1+IFERROR(INDEX(AV$10:AV$11,Предпосылки!$I$220,),0))*IFERROR(INDEX(AV$10:AV$11,Предпосылки!$I$220,),0))</f>
        <v>0</v>
      </c>
      <c s="125">
        <f>SUM(AW27/(1+IFERROR(INDEX(AW$10:AW$11,Предпосылки!$I$201,),0))*IFERROR(INDEX(AW$10:AW$11,Предпосылки!$I$201,),0),AW50/(1+IFERROR(INDEX(AW$10:AW$11,Предпосылки!$I$202,),0))*IFERROR(INDEX(AW$10:AW$11,Предпосылки!$I$202,),0),AW73/(1+IFERROR(INDEX(AW$10:AW$11,Предпосылки!$I$203,),0))*IFERROR(INDEX(AW$10:AW$11,Предпосылки!$I$203,),0),AW96/(1+IFERROR(INDEX(AW$10:AW$11,Предпосылки!$I$204,),0))*IFERROR(INDEX(AW$10:AW$11,Предпосылки!$I$204,),0),AW119/(1+IFERROR(INDEX(AW$10:AW$11,Предпосылки!$I$205,),0))*IFERROR(INDEX(AW$10:AW$11,Предпосылки!$I$205,),0),AW142/(1+IFERROR(INDEX(AW$10:AW$11,Предпосылки!$I$206,),0))*IFERROR(INDEX(AW$10:AW$11,Предпосылки!$I$206,),0),AW165/(1+IFERROR(INDEX(AW$10:AW$11,Предпосылки!$I$207,),0))*IFERROR(INDEX(AW$10:AW$11,Предпосылки!$I$207,),0),AW188/(1+IFERROR(INDEX(AW$10:AW$11,Предпосылки!$I$208,),0))*IFERROR(INDEX(AW$10:AW$11,Предпосылки!$I$208,),0),AW211/(1+IFERROR(INDEX(AW$10:AW$11,Предпосылки!$I$209,),0))*IFERROR(INDEX(AW$10:AW$11,Предпосылки!$I$209,),0),AW234/(1+IFERROR(INDEX(AW$10:AW$11,Предпосылки!$I$210,),0))*IFERROR(INDEX(AW$10:AW$11,Предпосылки!$I$210,),0),AW257/(1+IFERROR(INDEX(AW$10:AW$11,Предпосылки!$I$211,),0))*IFERROR(INDEX(AW$10:AW$11,Предпосылки!$I$211,),0),AW280/(1+IFERROR(INDEX(AW$10:AW$11,Предпосылки!$I$212,),0))*IFERROR(INDEX(AW$10:AW$11,Предпосылки!$I$212,),0),AW303/(1+IFERROR(INDEX(AW$10:AW$11,Предпосылки!$I$213,),0))*IFERROR(INDEX(AW$10:AW$11,Предпосылки!$I$213,),0),AW326/(1+IFERROR(INDEX(AW$10:AW$11,Предпосылки!$I$214,),0))*IFERROR(INDEX(AW$10:AW$11,Предпосылки!$I$214,),0),AW349/(1+IFERROR(INDEX(AW$10:AW$11,Предпосылки!$I$215,),0))*IFERROR(INDEX(AW$10:AW$11,Предпосылки!$I$215,),0),AW372/(1+IFERROR(INDEX(AW$10:AW$11,Предпосылки!$I$216,),0))*IFERROR(INDEX(AW$10:AW$11,Предпосылки!$I$216,),0),AW395/(1+IFERROR(INDEX(AW$10:AW$11,Предпосылки!$I$217,),0))*IFERROR(INDEX(AW$10:AW$11,Предпосылки!$I$217,),0),AW418/(1+IFERROR(INDEX(AW$10:AW$11,Предпосылки!$I$218,),0))*IFERROR(INDEX(AW$10:AW$11,Предпосылки!$I$218,),0),AW441/(1+IFERROR(INDEX(AW$10:AW$11,Предпосылки!$I$219,),0))*IFERROR(INDEX(AW$10:AW$11,Предпосылки!$I$219,),0),AW464/(1+IFERROR(INDEX(AW$10:AW$11,Предпосылки!$I$220,),0))*IFERROR(INDEX(AW$10:AW$11,Предпосылки!$I$220,),0))</f>
        <v>0</v>
      </c>
      <c s="125">
        <f>SUM(AX27/(1+IFERROR(INDEX(AX$10:AX$11,Предпосылки!$I$201,),0))*IFERROR(INDEX(AX$10:AX$11,Предпосылки!$I$201,),0),AX50/(1+IFERROR(INDEX(AX$10:AX$11,Предпосылки!$I$202,),0))*IFERROR(INDEX(AX$10:AX$11,Предпосылки!$I$202,),0),AX73/(1+IFERROR(INDEX(AX$10:AX$11,Предпосылки!$I$203,),0))*IFERROR(INDEX(AX$10:AX$11,Предпосылки!$I$203,),0),AX96/(1+IFERROR(INDEX(AX$10:AX$11,Предпосылки!$I$204,),0))*IFERROR(INDEX(AX$10:AX$11,Предпосылки!$I$204,),0),AX119/(1+IFERROR(INDEX(AX$10:AX$11,Предпосылки!$I$205,),0))*IFERROR(INDEX(AX$10:AX$11,Предпосылки!$I$205,),0),AX142/(1+IFERROR(INDEX(AX$10:AX$11,Предпосылки!$I$206,),0))*IFERROR(INDEX(AX$10:AX$11,Предпосылки!$I$206,),0),AX165/(1+IFERROR(INDEX(AX$10:AX$11,Предпосылки!$I$207,),0))*IFERROR(INDEX(AX$10:AX$11,Предпосылки!$I$207,),0),AX188/(1+IFERROR(INDEX(AX$10:AX$11,Предпосылки!$I$208,),0))*IFERROR(INDEX(AX$10:AX$11,Предпосылки!$I$208,),0),AX211/(1+IFERROR(INDEX(AX$10:AX$11,Предпосылки!$I$209,),0))*IFERROR(INDEX(AX$10:AX$11,Предпосылки!$I$209,),0),AX234/(1+IFERROR(INDEX(AX$10:AX$11,Предпосылки!$I$210,),0))*IFERROR(INDEX(AX$10:AX$11,Предпосылки!$I$210,),0),AX257/(1+IFERROR(INDEX(AX$10:AX$11,Предпосылки!$I$211,),0))*IFERROR(INDEX(AX$10:AX$11,Предпосылки!$I$211,),0),AX280/(1+IFERROR(INDEX(AX$10:AX$11,Предпосылки!$I$212,),0))*IFERROR(INDEX(AX$10:AX$11,Предпосылки!$I$212,),0),AX303/(1+IFERROR(INDEX(AX$10:AX$11,Предпосылки!$I$213,),0))*IFERROR(INDEX(AX$10:AX$11,Предпосылки!$I$213,),0),AX326/(1+IFERROR(INDEX(AX$10:AX$11,Предпосылки!$I$214,),0))*IFERROR(INDEX(AX$10:AX$11,Предпосылки!$I$214,),0),AX349/(1+IFERROR(INDEX(AX$10:AX$11,Предпосылки!$I$215,),0))*IFERROR(INDEX(AX$10:AX$11,Предпосылки!$I$215,),0),AX372/(1+IFERROR(INDEX(AX$10:AX$11,Предпосылки!$I$216,),0))*IFERROR(INDEX(AX$10:AX$11,Предпосылки!$I$216,),0),AX395/(1+IFERROR(INDEX(AX$10:AX$11,Предпосылки!$I$217,),0))*IFERROR(INDEX(AX$10:AX$11,Предпосылки!$I$217,),0),AX418/(1+IFERROR(INDEX(AX$10:AX$11,Предпосылки!$I$218,),0))*IFERROR(INDEX(AX$10:AX$11,Предпосылки!$I$218,),0),AX441/(1+IFERROR(INDEX(AX$10:AX$11,Предпосылки!$I$219,),0))*IFERROR(INDEX(AX$10:AX$11,Предпосылки!$I$219,),0),AX464/(1+IFERROR(INDEX(AX$10:AX$11,Предпосылки!$I$220,),0))*IFERROR(INDEX(AX$10:AX$11,Предпосылки!$I$220,),0))</f>
        <v>0</v>
      </c>
      <c s="125">
        <f>SUM(AY27/(1+IFERROR(INDEX(AY$10:AY$11,Предпосылки!$I$201,),0))*IFERROR(INDEX(AY$10:AY$11,Предпосылки!$I$201,),0),AY50/(1+IFERROR(INDEX(AY$10:AY$11,Предпосылки!$I$202,),0))*IFERROR(INDEX(AY$10:AY$11,Предпосылки!$I$202,),0),AY73/(1+IFERROR(INDEX(AY$10:AY$11,Предпосылки!$I$203,),0))*IFERROR(INDEX(AY$10:AY$11,Предпосылки!$I$203,),0),AY96/(1+IFERROR(INDEX(AY$10:AY$11,Предпосылки!$I$204,),0))*IFERROR(INDEX(AY$10:AY$11,Предпосылки!$I$204,),0),AY119/(1+IFERROR(INDEX(AY$10:AY$11,Предпосылки!$I$205,),0))*IFERROR(INDEX(AY$10:AY$11,Предпосылки!$I$205,),0),AY142/(1+IFERROR(INDEX(AY$10:AY$11,Предпосылки!$I$206,),0))*IFERROR(INDEX(AY$10:AY$11,Предпосылки!$I$206,),0),AY165/(1+IFERROR(INDEX(AY$10:AY$11,Предпосылки!$I$207,),0))*IFERROR(INDEX(AY$10:AY$11,Предпосылки!$I$207,),0),AY188/(1+IFERROR(INDEX(AY$10:AY$11,Предпосылки!$I$208,),0))*IFERROR(INDEX(AY$10:AY$11,Предпосылки!$I$208,),0),AY211/(1+IFERROR(INDEX(AY$10:AY$11,Предпосылки!$I$209,),0))*IFERROR(INDEX(AY$10:AY$11,Предпосылки!$I$209,),0),AY234/(1+IFERROR(INDEX(AY$10:AY$11,Предпосылки!$I$210,),0))*IFERROR(INDEX(AY$10:AY$11,Предпосылки!$I$210,),0),AY257/(1+IFERROR(INDEX(AY$10:AY$11,Предпосылки!$I$211,),0))*IFERROR(INDEX(AY$10:AY$11,Предпосылки!$I$211,),0),AY280/(1+IFERROR(INDEX(AY$10:AY$11,Предпосылки!$I$212,),0))*IFERROR(INDEX(AY$10:AY$11,Предпосылки!$I$212,),0),AY303/(1+IFERROR(INDEX(AY$10:AY$11,Предпосылки!$I$213,),0))*IFERROR(INDEX(AY$10:AY$11,Предпосылки!$I$213,),0),AY326/(1+IFERROR(INDEX(AY$10:AY$11,Предпосылки!$I$214,),0))*IFERROR(INDEX(AY$10:AY$11,Предпосылки!$I$214,),0),AY349/(1+IFERROR(INDEX(AY$10:AY$11,Предпосылки!$I$215,),0))*IFERROR(INDEX(AY$10:AY$11,Предпосылки!$I$215,),0),AY372/(1+IFERROR(INDEX(AY$10:AY$11,Предпосылки!$I$216,),0))*IFERROR(INDEX(AY$10:AY$11,Предпосылки!$I$216,),0),AY395/(1+IFERROR(INDEX(AY$10:AY$11,Предпосылки!$I$217,),0))*IFERROR(INDEX(AY$10:AY$11,Предпосылки!$I$217,),0),AY418/(1+IFERROR(INDEX(AY$10:AY$11,Предпосылки!$I$218,),0))*IFERROR(INDEX(AY$10:AY$11,Предпосылки!$I$218,),0),AY441/(1+IFERROR(INDEX(AY$10:AY$11,Предпосылки!$I$219,),0))*IFERROR(INDEX(AY$10:AY$11,Предпосылки!$I$219,),0),AY464/(1+IFERROR(INDEX(AY$10:AY$11,Предпосылки!$I$220,),0))*IFERROR(INDEX(AY$10:AY$11,Предпосылки!$I$220,),0))</f>
        <v>0</v>
      </c>
      <c s="125">
        <f>SUM(AZ27/(1+IFERROR(INDEX(AZ$10:AZ$11,Предпосылки!$I$201,),0))*IFERROR(INDEX(AZ$10:AZ$11,Предпосылки!$I$201,),0),AZ50/(1+IFERROR(INDEX(AZ$10:AZ$11,Предпосылки!$I$202,),0))*IFERROR(INDEX(AZ$10:AZ$11,Предпосылки!$I$202,),0),AZ73/(1+IFERROR(INDEX(AZ$10:AZ$11,Предпосылки!$I$203,),0))*IFERROR(INDEX(AZ$10:AZ$11,Предпосылки!$I$203,),0),AZ96/(1+IFERROR(INDEX(AZ$10:AZ$11,Предпосылки!$I$204,),0))*IFERROR(INDEX(AZ$10:AZ$11,Предпосылки!$I$204,),0),AZ119/(1+IFERROR(INDEX(AZ$10:AZ$11,Предпосылки!$I$205,),0))*IFERROR(INDEX(AZ$10:AZ$11,Предпосылки!$I$205,),0),AZ142/(1+IFERROR(INDEX(AZ$10:AZ$11,Предпосылки!$I$206,),0))*IFERROR(INDEX(AZ$10:AZ$11,Предпосылки!$I$206,),0),AZ165/(1+IFERROR(INDEX(AZ$10:AZ$11,Предпосылки!$I$207,),0))*IFERROR(INDEX(AZ$10:AZ$11,Предпосылки!$I$207,),0),AZ188/(1+IFERROR(INDEX(AZ$10:AZ$11,Предпосылки!$I$208,),0))*IFERROR(INDEX(AZ$10:AZ$11,Предпосылки!$I$208,),0),AZ211/(1+IFERROR(INDEX(AZ$10:AZ$11,Предпосылки!$I$209,),0))*IFERROR(INDEX(AZ$10:AZ$11,Предпосылки!$I$209,),0),AZ234/(1+IFERROR(INDEX(AZ$10:AZ$11,Предпосылки!$I$210,),0))*IFERROR(INDEX(AZ$10:AZ$11,Предпосылки!$I$210,),0),AZ257/(1+IFERROR(INDEX(AZ$10:AZ$11,Предпосылки!$I$211,),0))*IFERROR(INDEX(AZ$10:AZ$11,Предпосылки!$I$211,),0),AZ280/(1+IFERROR(INDEX(AZ$10:AZ$11,Предпосылки!$I$212,),0))*IFERROR(INDEX(AZ$10:AZ$11,Предпосылки!$I$212,),0),AZ303/(1+IFERROR(INDEX(AZ$10:AZ$11,Предпосылки!$I$213,),0))*IFERROR(INDEX(AZ$10:AZ$11,Предпосылки!$I$213,),0),AZ326/(1+IFERROR(INDEX(AZ$10:AZ$11,Предпосылки!$I$214,),0))*IFERROR(INDEX(AZ$10:AZ$11,Предпосылки!$I$214,),0),AZ349/(1+IFERROR(INDEX(AZ$10:AZ$11,Предпосылки!$I$215,),0))*IFERROR(INDEX(AZ$10:AZ$11,Предпосылки!$I$215,),0),AZ372/(1+IFERROR(INDEX(AZ$10:AZ$11,Предпосылки!$I$216,),0))*IFERROR(INDEX(AZ$10:AZ$11,Предпосылки!$I$216,),0),AZ395/(1+IFERROR(INDEX(AZ$10:AZ$11,Предпосылки!$I$217,),0))*IFERROR(INDEX(AZ$10:AZ$11,Предпосылки!$I$217,),0),AZ418/(1+IFERROR(INDEX(AZ$10:AZ$11,Предпосылки!$I$218,),0))*IFERROR(INDEX(AZ$10:AZ$11,Предпосылки!$I$218,),0),AZ441/(1+IFERROR(INDEX(AZ$10:AZ$11,Предпосылки!$I$219,),0))*IFERROR(INDEX(AZ$10:AZ$11,Предпосылки!$I$219,),0),AZ464/(1+IFERROR(INDEX(AZ$10:AZ$11,Предпосылки!$I$220,),0))*IFERROR(INDEX(AZ$10:AZ$11,Предпосылки!$I$220,),0))</f>
        <v>0</v>
      </c>
      <c s="125">
        <f>SUM(BA27/(1+IFERROR(INDEX(BA$10:BA$11,Предпосылки!$I$201,),0))*IFERROR(INDEX(BA$10:BA$11,Предпосылки!$I$201,),0),BA50/(1+IFERROR(INDEX(BA$10:BA$11,Предпосылки!$I$202,),0))*IFERROR(INDEX(BA$10:BA$11,Предпосылки!$I$202,),0),BA73/(1+IFERROR(INDEX(BA$10:BA$11,Предпосылки!$I$203,),0))*IFERROR(INDEX(BA$10:BA$11,Предпосылки!$I$203,),0),BA96/(1+IFERROR(INDEX(BA$10:BA$11,Предпосылки!$I$204,),0))*IFERROR(INDEX(BA$10:BA$11,Предпосылки!$I$204,),0),BA119/(1+IFERROR(INDEX(BA$10:BA$11,Предпосылки!$I$205,),0))*IFERROR(INDEX(BA$10:BA$11,Предпосылки!$I$205,),0),BA142/(1+IFERROR(INDEX(BA$10:BA$11,Предпосылки!$I$206,),0))*IFERROR(INDEX(BA$10:BA$11,Предпосылки!$I$206,),0),BA165/(1+IFERROR(INDEX(BA$10:BA$11,Предпосылки!$I$207,),0))*IFERROR(INDEX(BA$10:BA$11,Предпосылки!$I$207,),0),BA188/(1+IFERROR(INDEX(BA$10:BA$11,Предпосылки!$I$208,),0))*IFERROR(INDEX(BA$10:BA$11,Предпосылки!$I$208,),0),BA211/(1+IFERROR(INDEX(BA$10:BA$11,Предпосылки!$I$209,),0))*IFERROR(INDEX(BA$10:BA$11,Предпосылки!$I$209,),0),BA234/(1+IFERROR(INDEX(BA$10:BA$11,Предпосылки!$I$210,),0))*IFERROR(INDEX(BA$10:BA$11,Предпосылки!$I$210,),0),BA257/(1+IFERROR(INDEX(BA$10:BA$11,Предпосылки!$I$211,),0))*IFERROR(INDEX(BA$10:BA$11,Предпосылки!$I$211,),0),BA280/(1+IFERROR(INDEX(BA$10:BA$11,Предпосылки!$I$212,),0))*IFERROR(INDEX(BA$10:BA$11,Предпосылки!$I$212,),0),BA303/(1+IFERROR(INDEX(BA$10:BA$11,Предпосылки!$I$213,),0))*IFERROR(INDEX(BA$10:BA$11,Предпосылки!$I$213,),0),BA326/(1+IFERROR(INDEX(BA$10:BA$11,Предпосылки!$I$214,),0))*IFERROR(INDEX(BA$10:BA$11,Предпосылки!$I$214,),0),BA349/(1+IFERROR(INDEX(BA$10:BA$11,Предпосылки!$I$215,),0))*IFERROR(INDEX(BA$10:BA$11,Предпосылки!$I$215,),0),BA372/(1+IFERROR(INDEX(BA$10:BA$11,Предпосылки!$I$216,),0))*IFERROR(INDEX(BA$10:BA$11,Предпосылки!$I$216,),0),BA395/(1+IFERROR(INDEX(BA$10:BA$11,Предпосылки!$I$217,),0))*IFERROR(INDEX(BA$10:BA$11,Предпосылки!$I$217,),0),BA418/(1+IFERROR(INDEX(BA$10:BA$11,Предпосылки!$I$218,),0))*IFERROR(INDEX(BA$10:BA$11,Предпосылки!$I$218,),0),BA441/(1+IFERROR(INDEX(BA$10:BA$11,Предпосылки!$I$219,),0))*IFERROR(INDEX(BA$10:BA$11,Предпосылки!$I$219,),0),BA464/(1+IFERROR(INDEX(BA$10:BA$11,Предпосылки!$I$220,),0))*IFERROR(INDEX(BA$10:BA$11,Предпосылки!$I$220,),0))</f>
        <v>0</v>
      </c>
      <c s="125">
        <f>SUM(BB27/(1+IFERROR(INDEX(BB$10:BB$11,Предпосылки!$I$201,),0))*IFERROR(INDEX(BB$10:BB$11,Предпосылки!$I$201,),0),BB50/(1+IFERROR(INDEX(BB$10:BB$11,Предпосылки!$I$202,),0))*IFERROR(INDEX(BB$10:BB$11,Предпосылки!$I$202,),0),BB73/(1+IFERROR(INDEX(BB$10:BB$11,Предпосылки!$I$203,),0))*IFERROR(INDEX(BB$10:BB$11,Предпосылки!$I$203,),0),BB96/(1+IFERROR(INDEX(BB$10:BB$11,Предпосылки!$I$204,),0))*IFERROR(INDEX(BB$10:BB$11,Предпосылки!$I$204,),0),BB119/(1+IFERROR(INDEX(BB$10:BB$11,Предпосылки!$I$205,),0))*IFERROR(INDEX(BB$10:BB$11,Предпосылки!$I$205,),0),BB142/(1+IFERROR(INDEX(BB$10:BB$11,Предпосылки!$I$206,),0))*IFERROR(INDEX(BB$10:BB$11,Предпосылки!$I$206,),0),BB165/(1+IFERROR(INDEX(BB$10:BB$11,Предпосылки!$I$207,),0))*IFERROR(INDEX(BB$10:BB$11,Предпосылки!$I$207,),0),BB188/(1+IFERROR(INDEX(BB$10:BB$11,Предпосылки!$I$208,),0))*IFERROR(INDEX(BB$10:BB$11,Предпосылки!$I$208,),0),BB211/(1+IFERROR(INDEX(BB$10:BB$11,Предпосылки!$I$209,),0))*IFERROR(INDEX(BB$10:BB$11,Предпосылки!$I$209,),0),BB234/(1+IFERROR(INDEX(BB$10:BB$11,Предпосылки!$I$210,),0))*IFERROR(INDEX(BB$10:BB$11,Предпосылки!$I$210,),0),BB257/(1+IFERROR(INDEX(BB$10:BB$11,Предпосылки!$I$211,),0))*IFERROR(INDEX(BB$10:BB$11,Предпосылки!$I$211,),0),BB280/(1+IFERROR(INDEX(BB$10:BB$11,Предпосылки!$I$212,),0))*IFERROR(INDEX(BB$10:BB$11,Предпосылки!$I$212,),0),BB303/(1+IFERROR(INDEX(BB$10:BB$11,Предпосылки!$I$213,),0))*IFERROR(INDEX(BB$10:BB$11,Предпосылки!$I$213,),0),BB326/(1+IFERROR(INDEX(BB$10:BB$11,Предпосылки!$I$214,),0))*IFERROR(INDEX(BB$10:BB$11,Предпосылки!$I$214,),0),BB349/(1+IFERROR(INDEX(BB$10:BB$11,Предпосылки!$I$215,),0))*IFERROR(INDEX(BB$10:BB$11,Предпосылки!$I$215,),0),BB372/(1+IFERROR(INDEX(BB$10:BB$11,Предпосылки!$I$216,),0))*IFERROR(INDEX(BB$10:BB$11,Предпосылки!$I$216,),0),BB395/(1+IFERROR(INDEX(BB$10:BB$11,Предпосылки!$I$217,),0))*IFERROR(INDEX(BB$10:BB$11,Предпосылки!$I$217,),0),BB418/(1+IFERROR(INDEX(BB$10:BB$11,Предпосылки!$I$218,),0))*IFERROR(INDEX(BB$10:BB$11,Предпосылки!$I$218,),0),BB441/(1+IFERROR(INDEX(BB$10:BB$11,Предпосылки!$I$219,),0))*IFERROR(INDEX(BB$10:BB$11,Предпосылки!$I$219,),0),BB464/(1+IFERROR(INDEX(BB$10:BB$11,Предпосылки!$I$220,),0))*IFERROR(INDEX(BB$10:BB$11,Предпосылки!$I$220,),0))</f>
        <v>0</v>
      </c>
      <c s="125">
        <f>SUM(BC27/(1+IFERROR(INDEX(BC$10:BC$11,Предпосылки!$I$201,),0))*IFERROR(INDEX(BC$10:BC$11,Предпосылки!$I$201,),0),BC50/(1+IFERROR(INDEX(BC$10:BC$11,Предпосылки!$I$202,),0))*IFERROR(INDEX(BC$10:BC$11,Предпосылки!$I$202,),0),BC73/(1+IFERROR(INDEX(BC$10:BC$11,Предпосылки!$I$203,),0))*IFERROR(INDEX(BC$10:BC$11,Предпосылки!$I$203,),0),BC96/(1+IFERROR(INDEX(BC$10:BC$11,Предпосылки!$I$204,),0))*IFERROR(INDEX(BC$10:BC$11,Предпосылки!$I$204,),0),BC119/(1+IFERROR(INDEX(BC$10:BC$11,Предпосылки!$I$205,),0))*IFERROR(INDEX(BC$10:BC$11,Предпосылки!$I$205,),0),BC142/(1+IFERROR(INDEX(BC$10:BC$11,Предпосылки!$I$206,),0))*IFERROR(INDEX(BC$10:BC$11,Предпосылки!$I$206,),0),BC165/(1+IFERROR(INDEX(BC$10:BC$11,Предпосылки!$I$207,),0))*IFERROR(INDEX(BC$10:BC$11,Предпосылки!$I$207,),0),BC188/(1+IFERROR(INDEX(BC$10:BC$11,Предпосылки!$I$208,),0))*IFERROR(INDEX(BC$10:BC$11,Предпосылки!$I$208,),0),BC211/(1+IFERROR(INDEX(BC$10:BC$11,Предпосылки!$I$209,),0))*IFERROR(INDEX(BC$10:BC$11,Предпосылки!$I$209,),0),BC234/(1+IFERROR(INDEX(BC$10:BC$11,Предпосылки!$I$210,),0))*IFERROR(INDEX(BC$10:BC$11,Предпосылки!$I$210,),0),BC257/(1+IFERROR(INDEX(BC$10:BC$11,Предпосылки!$I$211,),0))*IFERROR(INDEX(BC$10:BC$11,Предпосылки!$I$211,),0),BC280/(1+IFERROR(INDEX(BC$10:BC$11,Предпосылки!$I$212,),0))*IFERROR(INDEX(BC$10:BC$11,Предпосылки!$I$212,),0),BC303/(1+IFERROR(INDEX(BC$10:BC$11,Предпосылки!$I$213,),0))*IFERROR(INDEX(BC$10:BC$11,Предпосылки!$I$213,),0),BC326/(1+IFERROR(INDEX(BC$10:BC$11,Предпосылки!$I$214,),0))*IFERROR(INDEX(BC$10:BC$11,Предпосылки!$I$214,),0),BC349/(1+IFERROR(INDEX(BC$10:BC$11,Предпосылки!$I$215,),0))*IFERROR(INDEX(BC$10:BC$11,Предпосылки!$I$215,),0),BC372/(1+IFERROR(INDEX(BC$10:BC$11,Предпосылки!$I$216,),0))*IFERROR(INDEX(BC$10:BC$11,Предпосылки!$I$216,),0),BC395/(1+IFERROR(INDEX(BC$10:BC$11,Предпосылки!$I$217,),0))*IFERROR(INDEX(BC$10:BC$11,Предпосылки!$I$217,),0),BC418/(1+IFERROR(INDEX(BC$10:BC$11,Предпосылки!$I$218,),0))*IFERROR(INDEX(BC$10:BC$11,Предпосылки!$I$218,),0),BC441/(1+IFERROR(INDEX(BC$10:BC$11,Предпосылки!$I$219,),0))*IFERROR(INDEX(BC$10:BC$11,Предпосылки!$I$219,),0),BC464/(1+IFERROR(INDEX(BC$10:BC$11,Предпосылки!$I$220,),0))*IFERROR(INDEX(BC$10:BC$11,Предпосылки!$I$220,),0))</f>
        <v>0</v>
      </c>
      <c s="125">
        <f>SUM(BD27/(1+IFERROR(INDEX(BD$10:BD$11,Предпосылки!$I$201,),0))*IFERROR(INDEX(BD$10:BD$11,Предпосылки!$I$201,),0),BD50/(1+IFERROR(INDEX(BD$10:BD$11,Предпосылки!$I$202,),0))*IFERROR(INDEX(BD$10:BD$11,Предпосылки!$I$202,),0),BD73/(1+IFERROR(INDEX(BD$10:BD$11,Предпосылки!$I$203,),0))*IFERROR(INDEX(BD$10:BD$11,Предпосылки!$I$203,),0),BD96/(1+IFERROR(INDEX(BD$10:BD$11,Предпосылки!$I$204,),0))*IFERROR(INDEX(BD$10:BD$11,Предпосылки!$I$204,),0),BD119/(1+IFERROR(INDEX(BD$10:BD$11,Предпосылки!$I$205,),0))*IFERROR(INDEX(BD$10:BD$11,Предпосылки!$I$205,),0),BD142/(1+IFERROR(INDEX(BD$10:BD$11,Предпосылки!$I$206,),0))*IFERROR(INDEX(BD$10:BD$11,Предпосылки!$I$206,),0),BD165/(1+IFERROR(INDEX(BD$10:BD$11,Предпосылки!$I$207,),0))*IFERROR(INDEX(BD$10:BD$11,Предпосылки!$I$207,),0),BD188/(1+IFERROR(INDEX(BD$10:BD$11,Предпосылки!$I$208,),0))*IFERROR(INDEX(BD$10:BD$11,Предпосылки!$I$208,),0),BD211/(1+IFERROR(INDEX(BD$10:BD$11,Предпосылки!$I$209,),0))*IFERROR(INDEX(BD$10:BD$11,Предпосылки!$I$209,),0),BD234/(1+IFERROR(INDEX(BD$10:BD$11,Предпосылки!$I$210,),0))*IFERROR(INDEX(BD$10:BD$11,Предпосылки!$I$210,),0),BD257/(1+IFERROR(INDEX(BD$10:BD$11,Предпосылки!$I$211,),0))*IFERROR(INDEX(BD$10:BD$11,Предпосылки!$I$211,),0),BD280/(1+IFERROR(INDEX(BD$10:BD$11,Предпосылки!$I$212,),0))*IFERROR(INDEX(BD$10:BD$11,Предпосылки!$I$212,),0),BD303/(1+IFERROR(INDEX(BD$10:BD$11,Предпосылки!$I$213,),0))*IFERROR(INDEX(BD$10:BD$11,Предпосылки!$I$213,),0),BD326/(1+IFERROR(INDEX(BD$10:BD$11,Предпосылки!$I$214,),0))*IFERROR(INDEX(BD$10:BD$11,Предпосылки!$I$214,),0),BD349/(1+IFERROR(INDEX(BD$10:BD$11,Предпосылки!$I$215,),0))*IFERROR(INDEX(BD$10:BD$11,Предпосылки!$I$215,),0),BD372/(1+IFERROR(INDEX(BD$10:BD$11,Предпосылки!$I$216,),0))*IFERROR(INDEX(BD$10:BD$11,Предпосылки!$I$216,),0),BD395/(1+IFERROR(INDEX(BD$10:BD$11,Предпосылки!$I$217,),0))*IFERROR(INDEX(BD$10:BD$11,Предпосылки!$I$217,),0),BD418/(1+IFERROR(INDEX(BD$10:BD$11,Предпосылки!$I$218,),0))*IFERROR(INDEX(BD$10:BD$11,Предпосылки!$I$218,),0),BD441/(1+IFERROR(INDEX(BD$10:BD$11,Предпосылки!$I$219,),0))*IFERROR(INDEX(BD$10:BD$11,Предпосылки!$I$219,),0),BD464/(1+IFERROR(INDEX(BD$10:BD$11,Предпосылки!$I$220,),0))*IFERROR(INDEX(BD$10:BD$11,Предпосылки!$I$220,),0))</f>
        <v>0</v>
      </c>
      <c s="125">
        <f>SUM(BE27/(1+IFERROR(INDEX(BE$10:BE$11,Предпосылки!$I$201,),0))*IFERROR(INDEX(BE$10:BE$11,Предпосылки!$I$201,),0),BE50/(1+IFERROR(INDEX(BE$10:BE$11,Предпосылки!$I$202,),0))*IFERROR(INDEX(BE$10:BE$11,Предпосылки!$I$202,),0),BE73/(1+IFERROR(INDEX(BE$10:BE$11,Предпосылки!$I$203,),0))*IFERROR(INDEX(BE$10:BE$11,Предпосылки!$I$203,),0),BE96/(1+IFERROR(INDEX(BE$10:BE$11,Предпосылки!$I$204,),0))*IFERROR(INDEX(BE$10:BE$11,Предпосылки!$I$204,),0),BE119/(1+IFERROR(INDEX(BE$10:BE$11,Предпосылки!$I$205,),0))*IFERROR(INDEX(BE$10:BE$11,Предпосылки!$I$205,),0),BE142/(1+IFERROR(INDEX(BE$10:BE$11,Предпосылки!$I$206,),0))*IFERROR(INDEX(BE$10:BE$11,Предпосылки!$I$206,),0),BE165/(1+IFERROR(INDEX(BE$10:BE$11,Предпосылки!$I$207,),0))*IFERROR(INDEX(BE$10:BE$11,Предпосылки!$I$207,),0),BE188/(1+IFERROR(INDEX(BE$10:BE$11,Предпосылки!$I$208,),0))*IFERROR(INDEX(BE$10:BE$11,Предпосылки!$I$208,),0),BE211/(1+IFERROR(INDEX(BE$10:BE$11,Предпосылки!$I$209,),0))*IFERROR(INDEX(BE$10:BE$11,Предпосылки!$I$209,),0),BE234/(1+IFERROR(INDEX(BE$10:BE$11,Предпосылки!$I$210,),0))*IFERROR(INDEX(BE$10:BE$11,Предпосылки!$I$210,),0),BE257/(1+IFERROR(INDEX(BE$10:BE$11,Предпосылки!$I$211,),0))*IFERROR(INDEX(BE$10:BE$11,Предпосылки!$I$211,),0),BE280/(1+IFERROR(INDEX(BE$10:BE$11,Предпосылки!$I$212,),0))*IFERROR(INDEX(BE$10:BE$11,Предпосылки!$I$212,),0),BE303/(1+IFERROR(INDEX(BE$10:BE$11,Предпосылки!$I$213,),0))*IFERROR(INDEX(BE$10:BE$11,Предпосылки!$I$213,),0),BE326/(1+IFERROR(INDEX(BE$10:BE$11,Предпосылки!$I$214,),0))*IFERROR(INDEX(BE$10:BE$11,Предпосылки!$I$214,),0),BE349/(1+IFERROR(INDEX(BE$10:BE$11,Предпосылки!$I$215,),0))*IFERROR(INDEX(BE$10:BE$11,Предпосылки!$I$215,),0),BE372/(1+IFERROR(INDEX(BE$10:BE$11,Предпосылки!$I$216,),0))*IFERROR(INDEX(BE$10:BE$11,Предпосылки!$I$216,),0),BE395/(1+IFERROR(INDEX(BE$10:BE$11,Предпосылки!$I$217,),0))*IFERROR(INDEX(BE$10:BE$11,Предпосылки!$I$217,),0),BE418/(1+IFERROR(INDEX(BE$10:BE$11,Предпосылки!$I$218,),0))*IFERROR(INDEX(BE$10:BE$11,Предпосылки!$I$218,),0),BE441/(1+IFERROR(INDEX(BE$10:BE$11,Предпосылки!$I$219,),0))*IFERROR(INDEX(BE$10:BE$11,Предпосылки!$I$219,),0),BE464/(1+IFERROR(INDEX(BE$10:BE$11,Предпосылки!$I$220,),0))*IFERROR(INDEX(BE$10:BE$11,Предпосылки!$I$220,),0))</f>
        <v>0</v>
      </c>
      <c s="125">
        <f>SUM(BF27/(1+IFERROR(INDEX(BF$10:BF$11,Предпосылки!$I$201,),0))*IFERROR(INDEX(BF$10:BF$11,Предпосылки!$I$201,),0),BF50/(1+IFERROR(INDEX(BF$10:BF$11,Предпосылки!$I$202,),0))*IFERROR(INDEX(BF$10:BF$11,Предпосылки!$I$202,),0),BF73/(1+IFERROR(INDEX(BF$10:BF$11,Предпосылки!$I$203,),0))*IFERROR(INDEX(BF$10:BF$11,Предпосылки!$I$203,),0),BF96/(1+IFERROR(INDEX(BF$10:BF$11,Предпосылки!$I$204,),0))*IFERROR(INDEX(BF$10:BF$11,Предпосылки!$I$204,),0),BF119/(1+IFERROR(INDEX(BF$10:BF$11,Предпосылки!$I$205,),0))*IFERROR(INDEX(BF$10:BF$11,Предпосылки!$I$205,),0),BF142/(1+IFERROR(INDEX(BF$10:BF$11,Предпосылки!$I$206,),0))*IFERROR(INDEX(BF$10:BF$11,Предпосылки!$I$206,),0),BF165/(1+IFERROR(INDEX(BF$10:BF$11,Предпосылки!$I$207,),0))*IFERROR(INDEX(BF$10:BF$11,Предпосылки!$I$207,),0),BF188/(1+IFERROR(INDEX(BF$10:BF$11,Предпосылки!$I$208,),0))*IFERROR(INDEX(BF$10:BF$11,Предпосылки!$I$208,),0),BF211/(1+IFERROR(INDEX(BF$10:BF$11,Предпосылки!$I$209,),0))*IFERROR(INDEX(BF$10:BF$11,Предпосылки!$I$209,),0),BF234/(1+IFERROR(INDEX(BF$10:BF$11,Предпосылки!$I$210,),0))*IFERROR(INDEX(BF$10:BF$11,Предпосылки!$I$210,),0),BF257/(1+IFERROR(INDEX(BF$10:BF$11,Предпосылки!$I$211,),0))*IFERROR(INDEX(BF$10:BF$11,Предпосылки!$I$211,),0),BF280/(1+IFERROR(INDEX(BF$10:BF$11,Предпосылки!$I$212,),0))*IFERROR(INDEX(BF$10:BF$11,Предпосылки!$I$212,),0),BF303/(1+IFERROR(INDEX(BF$10:BF$11,Предпосылки!$I$213,),0))*IFERROR(INDEX(BF$10:BF$11,Предпосылки!$I$213,),0),BF326/(1+IFERROR(INDEX(BF$10:BF$11,Предпосылки!$I$214,),0))*IFERROR(INDEX(BF$10:BF$11,Предпосылки!$I$214,),0),BF349/(1+IFERROR(INDEX(BF$10:BF$11,Предпосылки!$I$215,),0))*IFERROR(INDEX(BF$10:BF$11,Предпосылки!$I$215,),0),BF372/(1+IFERROR(INDEX(BF$10:BF$11,Предпосылки!$I$216,),0))*IFERROR(INDEX(BF$10:BF$11,Предпосылки!$I$216,),0),BF395/(1+IFERROR(INDEX(BF$10:BF$11,Предпосылки!$I$217,),0))*IFERROR(INDEX(BF$10:BF$11,Предпосылки!$I$217,),0),BF418/(1+IFERROR(INDEX(BF$10:BF$11,Предпосылки!$I$218,),0))*IFERROR(INDEX(BF$10:BF$11,Предпосылки!$I$218,),0),BF441/(1+IFERROR(INDEX(BF$10:BF$11,Предпосылки!$I$219,),0))*IFERROR(INDEX(BF$10:BF$11,Предпосылки!$I$219,),0),BF464/(1+IFERROR(INDEX(BF$10:BF$11,Предпосылки!$I$220,),0))*IFERROR(INDEX(BF$10:BF$11,Предпосылки!$I$220,),0))</f>
        <v>0</v>
      </c>
      <c s="125">
        <f>SUM(BG27/(1+IFERROR(INDEX(BG$10:BG$11,Предпосылки!$I$201,),0))*IFERROR(INDEX(BG$10:BG$11,Предпосылки!$I$201,),0),BG50/(1+IFERROR(INDEX(BG$10:BG$11,Предпосылки!$I$202,),0))*IFERROR(INDEX(BG$10:BG$11,Предпосылки!$I$202,),0),BG73/(1+IFERROR(INDEX(BG$10:BG$11,Предпосылки!$I$203,),0))*IFERROR(INDEX(BG$10:BG$11,Предпосылки!$I$203,),0),BG96/(1+IFERROR(INDEX(BG$10:BG$11,Предпосылки!$I$204,),0))*IFERROR(INDEX(BG$10:BG$11,Предпосылки!$I$204,),0),BG119/(1+IFERROR(INDEX(BG$10:BG$11,Предпосылки!$I$205,),0))*IFERROR(INDEX(BG$10:BG$11,Предпосылки!$I$205,),0),BG142/(1+IFERROR(INDEX(BG$10:BG$11,Предпосылки!$I$206,),0))*IFERROR(INDEX(BG$10:BG$11,Предпосылки!$I$206,),0),BG165/(1+IFERROR(INDEX(BG$10:BG$11,Предпосылки!$I$207,),0))*IFERROR(INDEX(BG$10:BG$11,Предпосылки!$I$207,),0),BG188/(1+IFERROR(INDEX(BG$10:BG$11,Предпосылки!$I$208,),0))*IFERROR(INDEX(BG$10:BG$11,Предпосылки!$I$208,),0),BG211/(1+IFERROR(INDEX(BG$10:BG$11,Предпосылки!$I$209,),0))*IFERROR(INDEX(BG$10:BG$11,Предпосылки!$I$209,),0),BG234/(1+IFERROR(INDEX(BG$10:BG$11,Предпосылки!$I$210,),0))*IFERROR(INDEX(BG$10:BG$11,Предпосылки!$I$210,),0),BG257/(1+IFERROR(INDEX(BG$10:BG$11,Предпосылки!$I$211,),0))*IFERROR(INDEX(BG$10:BG$11,Предпосылки!$I$211,),0),BG280/(1+IFERROR(INDEX(BG$10:BG$11,Предпосылки!$I$212,),0))*IFERROR(INDEX(BG$10:BG$11,Предпосылки!$I$212,),0),BG303/(1+IFERROR(INDEX(BG$10:BG$11,Предпосылки!$I$213,),0))*IFERROR(INDEX(BG$10:BG$11,Предпосылки!$I$213,),0),BG326/(1+IFERROR(INDEX(BG$10:BG$11,Предпосылки!$I$214,),0))*IFERROR(INDEX(BG$10:BG$11,Предпосылки!$I$214,),0),BG349/(1+IFERROR(INDEX(BG$10:BG$11,Предпосылки!$I$215,),0))*IFERROR(INDEX(BG$10:BG$11,Предпосылки!$I$215,),0),BG372/(1+IFERROR(INDEX(BG$10:BG$11,Предпосылки!$I$216,),0))*IFERROR(INDEX(BG$10:BG$11,Предпосылки!$I$216,),0),BG395/(1+IFERROR(INDEX(BG$10:BG$11,Предпосылки!$I$217,),0))*IFERROR(INDEX(BG$10:BG$11,Предпосылки!$I$217,),0),BG418/(1+IFERROR(INDEX(BG$10:BG$11,Предпосылки!$I$218,),0))*IFERROR(INDEX(BG$10:BG$11,Предпосылки!$I$218,),0),BG441/(1+IFERROR(INDEX(BG$10:BG$11,Предпосылки!$I$219,),0))*IFERROR(INDEX(BG$10:BG$11,Предпосылки!$I$219,),0),BG464/(1+IFERROR(INDEX(BG$10:BG$11,Предпосылки!$I$220,),0))*IFERROR(INDEX(BG$10:BG$11,Предпосылки!$I$220,),0))</f>
        <v>0</v>
      </c>
      <c s="125">
        <f>SUM(BH27/(1+IFERROR(INDEX(BH$10:BH$11,Предпосылки!$I$201,),0))*IFERROR(INDEX(BH$10:BH$11,Предпосылки!$I$201,),0),BH50/(1+IFERROR(INDEX(BH$10:BH$11,Предпосылки!$I$202,),0))*IFERROR(INDEX(BH$10:BH$11,Предпосылки!$I$202,),0),BH73/(1+IFERROR(INDEX(BH$10:BH$11,Предпосылки!$I$203,),0))*IFERROR(INDEX(BH$10:BH$11,Предпосылки!$I$203,),0),BH96/(1+IFERROR(INDEX(BH$10:BH$11,Предпосылки!$I$204,),0))*IFERROR(INDEX(BH$10:BH$11,Предпосылки!$I$204,),0),BH119/(1+IFERROR(INDEX(BH$10:BH$11,Предпосылки!$I$205,),0))*IFERROR(INDEX(BH$10:BH$11,Предпосылки!$I$205,),0),BH142/(1+IFERROR(INDEX(BH$10:BH$11,Предпосылки!$I$206,),0))*IFERROR(INDEX(BH$10:BH$11,Предпосылки!$I$206,),0),BH165/(1+IFERROR(INDEX(BH$10:BH$11,Предпосылки!$I$207,),0))*IFERROR(INDEX(BH$10:BH$11,Предпосылки!$I$207,),0),BH188/(1+IFERROR(INDEX(BH$10:BH$11,Предпосылки!$I$208,),0))*IFERROR(INDEX(BH$10:BH$11,Предпосылки!$I$208,),0),BH211/(1+IFERROR(INDEX(BH$10:BH$11,Предпосылки!$I$209,),0))*IFERROR(INDEX(BH$10:BH$11,Предпосылки!$I$209,),0),BH234/(1+IFERROR(INDEX(BH$10:BH$11,Предпосылки!$I$210,),0))*IFERROR(INDEX(BH$10:BH$11,Предпосылки!$I$210,),0),BH257/(1+IFERROR(INDEX(BH$10:BH$11,Предпосылки!$I$211,),0))*IFERROR(INDEX(BH$10:BH$11,Предпосылки!$I$211,),0),BH280/(1+IFERROR(INDEX(BH$10:BH$11,Предпосылки!$I$212,),0))*IFERROR(INDEX(BH$10:BH$11,Предпосылки!$I$212,),0),BH303/(1+IFERROR(INDEX(BH$10:BH$11,Предпосылки!$I$213,),0))*IFERROR(INDEX(BH$10:BH$11,Предпосылки!$I$213,),0),BH326/(1+IFERROR(INDEX(BH$10:BH$11,Предпосылки!$I$214,),0))*IFERROR(INDEX(BH$10:BH$11,Предпосылки!$I$214,),0),BH349/(1+IFERROR(INDEX(BH$10:BH$11,Предпосылки!$I$215,),0))*IFERROR(INDEX(BH$10:BH$11,Предпосылки!$I$215,),0),BH372/(1+IFERROR(INDEX(BH$10:BH$11,Предпосылки!$I$216,),0))*IFERROR(INDEX(BH$10:BH$11,Предпосылки!$I$216,),0),BH395/(1+IFERROR(INDEX(BH$10:BH$11,Предпосылки!$I$217,),0))*IFERROR(INDEX(BH$10:BH$11,Предпосылки!$I$217,),0),BH418/(1+IFERROR(INDEX(BH$10:BH$11,Предпосылки!$I$218,),0))*IFERROR(INDEX(BH$10:BH$11,Предпосылки!$I$218,),0),BH441/(1+IFERROR(INDEX(BH$10:BH$11,Предпосылки!$I$219,),0))*IFERROR(INDEX(BH$10:BH$11,Предпосылки!$I$219,),0),BH464/(1+IFERROR(INDEX(BH$10:BH$11,Предпосылки!$I$220,),0))*IFERROR(INDEX(BH$10:BH$11,Предпосылки!$I$220,),0))</f>
        <v>0</v>
      </c>
      <c s="125">
        <f>SUM(BI27/(1+IFERROR(INDEX(BI$10:BI$11,Предпосылки!$I$201,),0))*IFERROR(INDEX(BI$10:BI$11,Предпосылки!$I$201,),0),BI50/(1+IFERROR(INDEX(BI$10:BI$11,Предпосылки!$I$202,),0))*IFERROR(INDEX(BI$10:BI$11,Предпосылки!$I$202,),0),BI73/(1+IFERROR(INDEX(BI$10:BI$11,Предпосылки!$I$203,),0))*IFERROR(INDEX(BI$10:BI$11,Предпосылки!$I$203,),0),BI96/(1+IFERROR(INDEX(BI$10:BI$11,Предпосылки!$I$204,),0))*IFERROR(INDEX(BI$10:BI$11,Предпосылки!$I$204,),0),BI119/(1+IFERROR(INDEX(BI$10:BI$11,Предпосылки!$I$205,),0))*IFERROR(INDEX(BI$10:BI$11,Предпосылки!$I$205,),0),BI142/(1+IFERROR(INDEX(BI$10:BI$11,Предпосылки!$I$206,),0))*IFERROR(INDEX(BI$10:BI$11,Предпосылки!$I$206,),0),BI165/(1+IFERROR(INDEX(BI$10:BI$11,Предпосылки!$I$207,),0))*IFERROR(INDEX(BI$10:BI$11,Предпосылки!$I$207,),0),BI188/(1+IFERROR(INDEX(BI$10:BI$11,Предпосылки!$I$208,),0))*IFERROR(INDEX(BI$10:BI$11,Предпосылки!$I$208,),0),BI211/(1+IFERROR(INDEX(BI$10:BI$11,Предпосылки!$I$209,),0))*IFERROR(INDEX(BI$10:BI$11,Предпосылки!$I$209,),0),BI234/(1+IFERROR(INDEX(BI$10:BI$11,Предпосылки!$I$210,),0))*IFERROR(INDEX(BI$10:BI$11,Предпосылки!$I$210,),0),BI257/(1+IFERROR(INDEX(BI$10:BI$11,Предпосылки!$I$211,),0))*IFERROR(INDEX(BI$10:BI$11,Предпосылки!$I$211,),0),BI280/(1+IFERROR(INDEX(BI$10:BI$11,Предпосылки!$I$212,),0))*IFERROR(INDEX(BI$10:BI$11,Предпосылки!$I$212,),0),BI303/(1+IFERROR(INDEX(BI$10:BI$11,Предпосылки!$I$213,),0))*IFERROR(INDEX(BI$10:BI$11,Предпосылки!$I$213,),0),BI326/(1+IFERROR(INDEX(BI$10:BI$11,Предпосылки!$I$214,),0))*IFERROR(INDEX(BI$10:BI$11,Предпосылки!$I$214,),0),BI349/(1+IFERROR(INDEX(BI$10:BI$11,Предпосылки!$I$215,),0))*IFERROR(INDEX(BI$10:BI$11,Предпосылки!$I$215,),0),BI372/(1+IFERROR(INDEX(BI$10:BI$11,Предпосылки!$I$216,),0))*IFERROR(INDEX(BI$10:BI$11,Предпосылки!$I$216,),0),BI395/(1+IFERROR(INDEX(BI$10:BI$11,Предпосылки!$I$217,),0))*IFERROR(INDEX(BI$10:BI$11,Предпосылки!$I$217,),0),BI418/(1+IFERROR(INDEX(BI$10:BI$11,Предпосылки!$I$218,),0))*IFERROR(INDEX(BI$10:BI$11,Предпосылки!$I$218,),0),BI441/(1+IFERROR(INDEX(BI$10:BI$11,Предпосылки!$I$219,),0))*IFERROR(INDEX(BI$10:BI$11,Предпосылки!$I$219,),0),BI464/(1+IFERROR(INDEX(BI$10:BI$11,Предпосылки!$I$220,),0))*IFERROR(INDEX(BI$10:BI$11,Предпосылки!$I$220,),0))</f>
        <v>0</v>
      </c>
      <c s="125">
        <f>SUM(BJ27/(1+IFERROR(INDEX(BJ$10:BJ$11,Предпосылки!$I$201,),0))*IFERROR(INDEX(BJ$10:BJ$11,Предпосылки!$I$201,),0),BJ50/(1+IFERROR(INDEX(BJ$10:BJ$11,Предпосылки!$I$202,),0))*IFERROR(INDEX(BJ$10:BJ$11,Предпосылки!$I$202,),0),BJ73/(1+IFERROR(INDEX(BJ$10:BJ$11,Предпосылки!$I$203,),0))*IFERROR(INDEX(BJ$10:BJ$11,Предпосылки!$I$203,),0),BJ96/(1+IFERROR(INDEX(BJ$10:BJ$11,Предпосылки!$I$204,),0))*IFERROR(INDEX(BJ$10:BJ$11,Предпосылки!$I$204,),0),BJ119/(1+IFERROR(INDEX(BJ$10:BJ$11,Предпосылки!$I$205,),0))*IFERROR(INDEX(BJ$10:BJ$11,Предпосылки!$I$205,),0),BJ142/(1+IFERROR(INDEX(BJ$10:BJ$11,Предпосылки!$I$206,),0))*IFERROR(INDEX(BJ$10:BJ$11,Предпосылки!$I$206,),0),BJ165/(1+IFERROR(INDEX(BJ$10:BJ$11,Предпосылки!$I$207,),0))*IFERROR(INDEX(BJ$10:BJ$11,Предпосылки!$I$207,),0),BJ188/(1+IFERROR(INDEX(BJ$10:BJ$11,Предпосылки!$I$208,),0))*IFERROR(INDEX(BJ$10:BJ$11,Предпосылки!$I$208,),0),BJ211/(1+IFERROR(INDEX(BJ$10:BJ$11,Предпосылки!$I$209,),0))*IFERROR(INDEX(BJ$10:BJ$11,Предпосылки!$I$209,),0),BJ234/(1+IFERROR(INDEX(BJ$10:BJ$11,Предпосылки!$I$210,),0))*IFERROR(INDEX(BJ$10:BJ$11,Предпосылки!$I$210,),0),BJ257/(1+IFERROR(INDEX(BJ$10:BJ$11,Предпосылки!$I$211,),0))*IFERROR(INDEX(BJ$10:BJ$11,Предпосылки!$I$211,),0),BJ280/(1+IFERROR(INDEX(BJ$10:BJ$11,Предпосылки!$I$212,),0))*IFERROR(INDEX(BJ$10:BJ$11,Предпосылки!$I$212,),0),BJ303/(1+IFERROR(INDEX(BJ$10:BJ$11,Предпосылки!$I$213,),0))*IFERROR(INDEX(BJ$10:BJ$11,Предпосылки!$I$213,),0),BJ326/(1+IFERROR(INDEX(BJ$10:BJ$11,Предпосылки!$I$214,),0))*IFERROR(INDEX(BJ$10:BJ$11,Предпосылки!$I$214,),0),BJ349/(1+IFERROR(INDEX(BJ$10:BJ$11,Предпосылки!$I$215,),0))*IFERROR(INDEX(BJ$10:BJ$11,Предпосылки!$I$215,),0),BJ372/(1+IFERROR(INDEX(BJ$10:BJ$11,Предпосылки!$I$216,),0))*IFERROR(INDEX(BJ$10:BJ$11,Предпосылки!$I$216,),0),BJ395/(1+IFERROR(INDEX(BJ$10:BJ$11,Предпосылки!$I$217,),0))*IFERROR(INDEX(BJ$10:BJ$11,Предпосылки!$I$217,),0),BJ418/(1+IFERROR(INDEX(BJ$10:BJ$11,Предпосылки!$I$218,),0))*IFERROR(INDEX(BJ$10:BJ$11,Предпосылки!$I$218,),0),BJ441/(1+IFERROR(INDEX(BJ$10:BJ$11,Предпосылки!$I$219,),0))*IFERROR(INDEX(BJ$10:BJ$11,Предпосылки!$I$219,),0),BJ464/(1+IFERROR(INDEX(BJ$10:BJ$11,Предпосылки!$I$220,),0))*IFERROR(INDEX(BJ$10:BJ$11,Предпосылки!$I$220,),0))</f>
        <v>0</v>
      </c>
      <c s="125">
        <f>SUM(BK27/(1+IFERROR(INDEX(BK$10:BK$11,Предпосылки!$I$201,),0))*IFERROR(INDEX(BK$10:BK$11,Предпосылки!$I$201,),0),BK50/(1+IFERROR(INDEX(BK$10:BK$11,Предпосылки!$I$202,),0))*IFERROR(INDEX(BK$10:BK$11,Предпосылки!$I$202,),0),BK73/(1+IFERROR(INDEX(BK$10:BK$11,Предпосылки!$I$203,),0))*IFERROR(INDEX(BK$10:BK$11,Предпосылки!$I$203,),0),BK96/(1+IFERROR(INDEX(BK$10:BK$11,Предпосылки!$I$204,),0))*IFERROR(INDEX(BK$10:BK$11,Предпосылки!$I$204,),0),BK119/(1+IFERROR(INDEX(BK$10:BK$11,Предпосылки!$I$205,),0))*IFERROR(INDEX(BK$10:BK$11,Предпосылки!$I$205,),0),BK142/(1+IFERROR(INDEX(BK$10:BK$11,Предпосылки!$I$206,),0))*IFERROR(INDEX(BK$10:BK$11,Предпосылки!$I$206,),0),BK165/(1+IFERROR(INDEX(BK$10:BK$11,Предпосылки!$I$207,),0))*IFERROR(INDEX(BK$10:BK$11,Предпосылки!$I$207,),0),BK188/(1+IFERROR(INDEX(BK$10:BK$11,Предпосылки!$I$208,),0))*IFERROR(INDEX(BK$10:BK$11,Предпосылки!$I$208,),0),BK211/(1+IFERROR(INDEX(BK$10:BK$11,Предпосылки!$I$209,),0))*IFERROR(INDEX(BK$10:BK$11,Предпосылки!$I$209,),0),BK234/(1+IFERROR(INDEX(BK$10:BK$11,Предпосылки!$I$210,),0))*IFERROR(INDEX(BK$10:BK$11,Предпосылки!$I$210,),0),BK257/(1+IFERROR(INDEX(BK$10:BK$11,Предпосылки!$I$211,),0))*IFERROR(INDEX(BK$10:BK$11,Предпосылки!$I$211,),0),BK280/(1+IFERROR(INDEX(BK$10:BK$11,Предпосылки!$I$212,),0))*IFERROR(INDEX(BK$10:BK$11,Предпосылки!$I$212,),0),BK303/(1+IFERROR(INDEX(BK$10:BK$11,Предпосылки!$I$213,),0))*IFERROR(INDEX(BK$10:BK$11,Предпосылки!$I$213,),0),BK326/(1+IFERROR(INDEX(BK$10:BK$11,Предпосылки!$I$214,),0))*IFERROR(INDEX(BK$10:BK$11,Предпосылки!$I$214,),0),BK349/(1+IFERROR(INDEX(BK$10:BK$11,Предпосылки!$I$215,),0))*IFERROR(INDEX(BK$10:BK$11,Предпосылки!$I$215,),0),BK372/(1+IFERROR(INDEX(BK$10:BK$11,Предпосылки!$I$216,),0))*IFERROR(INDEX(BK$10:BK$11,Предпосылки!$I$216,),0),BK395/(1+IFERROR(INDEX(BK$10:BK$11,Предпосылки!$I$217,),0))*IFERROR(INDEX(BK$10:BK$11,Предпосылки!$I$217,),0),BK418/(1+IFERROR(INDEX(BK$10:BK$11,Предпосылки!$I$218,),0))*IFERROR(INDEX(BK$10:BK$11,Предпосылки!$I$218,),0),BK441/(1+IFERROR(INDEX(BK$10:BK$11,Предпосылки!$I$219,),0))*IFERROR(INDEX(BK$10:BK$11,Предпосылки!$I$219,),0),BK464/(1+IFERROR(INDEX(BK$10:BK$11,Предпосылки!$I$220,),0))*IFERROR(INDEX(BK$10:BK$11,Предпосылки!$I$220,),0))</f>
        <v>0</v>
      </c>
      <c s="125">
        <f>SUM(BL27/(1+IFERROR(INDEX(BL$10:BL$11,Предпосылки!$I$201,),0))*IFERROR(INDEX(BL$10:BL$11,Предпосылки!$I$201,),0),BL50/(1+IFERROR(INDEX(BL$10:BL$11,Предпосылки!$I$202,),0))*IFERROR(INDEX(BL$10:BL$11,Предпосылки!$I$202,),0),BL73/(1+IFERROR(INDEX(BL$10:BL$11,Предпосылки!$I$203,),0))*IFERROR(INDEX(BL$10:BL$11,Предпосылки!$I$203,),0),BL96/(1+IFERROR(INDEX(BL$10:BL$11,Предпосылки!$I$204,),0))*IFERROR(INDEX(BL$10:BL$11,Предпосылки!$I$204,),0),BL119/(1+IFERROR(INDEX(BL$10:BL$11,Предпосылки!$I$205,),0))*IFERROR(INDEX(BL$10:BL$11,Предпосылки!$I$205,),0),BL142/(1+IFERROR(INDEX(BL$10:BL$11,Предпосылки!$I$206,),0))*IFERROR(INDEX(BL$10:BL$11,Предпосылки!$I$206,),0),BL165/(1+IFERROR(INDEX(BL$10:BL$11,Предпосылки!$I$207,),0))*IFERROR(INDEX(BL$10:BL$11,Предпосылки!$I$207,),0),BL188/(1+IFERROR(INDEX(BL$10:BL$11,Предпосылки!$I$208,),0))*IFERROR(INDEX(BL$10:BL$11,Предпосылки!$I$208,),0),BL211/(1+IFERROR(INDEX(BL$10:BL$11,Предпосылки!$I$209,),0))*IFERROR(INDEX(BL$10:BL$11,Предпосылки!$I$209,),0),BL234/(1+IFERROR(INDEX(BL$10:BL$11,Предпосылки!$I$210,),0))*IFERROR(INDEX(BL$10:BL$11,Предпосылки!$I$210,),0),BL257/(1+IFERROR(INDEX(BL$10:BL$11,Предпосылки!$I$211,),0))*IFERROR(INDEX(BL$10:BL$11,Предпосылки!$I$211,),0),BL280/(1+IFERROR(INDEX(BL$10:BL$11,Предпосылки!$I$212,),0))*IFERROR(INDEX(BL$10:BL$11,Предпосылки!$I$212,),0),BL303/(1+IFERROR(INDEX(BL$10:BL$11,Предпосылки!$I$213,),0))*IFERROR(INDEX(BL$10:BL$11,Предпосылки!$I$213,),0),BL326/(1+IFERROR(INDEX(BL$10:BL$11,Предпосылки!$I$214,),0))*IFERROR(INDEX(BL$10:BL$11,Предпосылки!$I$214,),0),BL349/(1+IFERROR(INDEX(BL$10:BL$11,Предпосылки!$I$215,),0))*IFERROR(INDEX(BL$10:BL$11,Предпосылки!$I$215,),0),BL372/(1+IFERROR(INDEX(BL$10:BL$11,Предпосылки!$I$216,),0))*IFERROR(INDEX(BL$10:BL$11,Предпосылки!$I$216,),0),BL395/(1+IFERROR(INDEX(BL$10:BL$11,Предпосылки!$I$217,),0))*IFERROR(INDEX(BL$10:BL$11,Предпосылки!$I$217,),0),BL418/(1+IFERROR(INDEX(BL$10:BL$11,Предпосылки!$I$218,),0))*IFERROR(INDEX(BL$10:BL$11,Предпосылки!$I$218,),0),BL441/(1+IFERROR(INDEX(BL$10:BL$11,Предпосылки!$I$219,),0))*IFERROR(INDEX(BL$10:BL$11,Предпосылки!$I$219,),0),BL464/(1+IFERROR(INDEX(BL$10:BL$11,Предпосылки!$I$220,),0))*IFERROR(INDEX(BL$10:BL$11,Предпосылки!$I$220,),0))</f>
        <v>0</v>
      </c>
      <c s="125">
        <f>SUM(BM27/(1+IFERROR(INDEX(BM$10:BM$11,Предпосылки!$I$201,),0))*IFERROR(INDEX(BM$10:BM$11,Предпосылки!$I$201,),0),BM50/(1+IFERROR(INDEX(BM$10:BM$11,Предпосылки!$I$202,),0))*IFERROR(INDEX(BM$10:BM$11,Предпосылки!$I$202,),0),BM73/(1+IFERROR(INDEX(BM$10:BM$11,Предпосылки!$I$203,),0))*IFERROR(INDEX(BM$10:BM$11,Предпосылки!$I$203,),0),BM96/(1+IFERROR(INDEX(BM$10:BM$11,Предпосылки!$I$204,),0))*IFERROR(INDEX(BM$10:BM$11,Предпосылки!$I$204,),0),BM119/(1+IFERROR(INDEX(BM$10:BM$11,Предпосылки!$I$205,),0))*IFERROR(INDEX(BM$10:BM$11,Предпосылки!$I$205,),0),BM142/(1+IFERROR(INDEX(BM$10:BM$11,Предпосылки!$I$206,),0))*IFERROR(INDEX(BM$10:BM$11,Предпосылки!$I$206,),0),BM165/(1+IFERROR(INDEX(BM$10:BM$11,Предпосылки!$I$207,),0))*IFERROR(INDEX(BM$10:BM$11,Предпосылки!$I$207,),0),BM188/(1+IFERROR(INDEX(BM$10:BM$11,Предпосылки!$I$208,),0))*IFERROR(INDEX(BM$10:BM$11,Предпосылки!$I$208,),0),BM211/(1+IFERROR(INDEX(BM$10:BM$11,Предпосылки!$I$209,),0))*IFERROR(INDEX(BM$10:BM$11,Предпосылки!$I$209,),0),BM234/(1+IFERROR(INDEX(BM$10:BM$11,Предпосылки!$I$210,),0))*IFERROR(INDEX(BM$10:BM$11,Предпосылки!$I$210,),0),BM257/(1+IFERROR(INDEX(BM$10:BM$11,Предпосылки!$I$211,),0))*IFERROR(INDEX(BM$10:BM$11,Предпосылки!$I$211,),0),BM280/(1+IFERROR(INDEX(BM$10:BM$11,Предпосылки!$I$212,),0))*IFERROR(INDEX(BM$10:BM$11,Предпосылки!$I$212,),0),BM303/(1+IFERROR(INDEX(BM$10:BM$11,Предпосылки!$I$213,),0))*IFERROR(INDEX(BM$10:BM$11,Предпосылки!$I$213,),0),BM326/(1+IFERROR(INDEX(BM$10:BM$11,Предпосылки!$I$214,),0))*IFERROR(INDEX(BM$10:BM$11,Предпосылки!$I$214,),0),BM349/(1+IFERROR(INDEX(BM$10:BM$11,Предпосылки!$I$215,),0))*IFERROR(INDEX(BM$10:BM$11,Предпосылки!$I$215,),0),BM372/(1+IFERROR(INDEX(BM$10:BM$11,Предпосылки!$I$216,),0))*IFERROR(INDEX(BM$10:BM$11,Предпосылки!$I$216,),0),BM395/(1+IFERROR(INDEX(BM$10:BM$11,Предпосылки!$I$217,),0))*IFERROR(INDEX(BM$10:BM$11,Предпосылки!$I$217,),0),BM418/(1+IFERROR(INDEX(BM$10:BM$11,Предпосылки!$I$218,),0))*IFERROR(INDEX(BM$10:BM$11,Предпосылки!$I$218,),0),BM441/(1+IFERROR(INDEX(BM$10:BM$11,Предпосылки!$I$219,),0))*IFERROR(INDEX(BM$10:BM$11,Предпосылки!$I$219,),0),BM464/(1+IFERROR(INDEX(BM$10:BM$11,Предпосылки!$I$220,),0))*IFERROR(INDEX(BM$10:BM$11,Предпосылки!$I$220,),0))</f>
        <v>0</v>
      </c>
    </row>
    <row r="559" spans="2:65" ht="15" customHeight="1">
      <c r="B559" s="12" t="str">
        <f t="shared" si="255"/>
        <v>Продукт 6</v>
      </c>
      <c s="124" t="str">
        <f t="shared" si="254"/>
        <v>тыс. руб.</v>
      </c>
      <c s="276">
        <f t="shared" si="256"/>
        <v>0</v>
      </c>
      <c s="125">
        <f>SUM(E28/(1+IFERROR(INDEX(E$10:E$11,Предпосылки!$I206,),0))*IFERROR(INDEX(E$10:E$11,Предпосылки!$I206,),0),E51/(1+IFERROR(INDEX(E$10:E$11,Предпосылки!$I207,),0))*IFERROR(INDEX(E$10:E$11,Предпосылки!$I207,),0),E74/(1+IFERROR(INDEX(E$10:E$11,Предпосылки!$I208,),0))*IFERROR(INDEX(E$10:E$11,Предпосылки!$I208,),0),E97/(1+IFERROR(INDEX(E$10:E$11,Предпосылки!$I209,),0))*IFERROR(INDEX(E$10:E$11,Предпосылки!$I209,),0),E120/(1+IFERROR(INDEX(E$10:E$11,Предпосылки!$I210,),0))*IFERROR(INDEX(E$10:E$11,Предпосылки!$I210,),0),E143/(1+IFERROR(INDEX(E$10:E$11,Предпосылки!$I211,),0))*IFERROR(INDEX(E$10:E$11,Предпосылки!$I211,),0),E166/(1+IFERROR(INDEX(E$10:E$11,Предпосылки!$I212,),0))*IFERROR(INDEX(E$10:E$11,Предпосылки!$I212,),0),E189/(1+IFERROR(INDEX(E$10:E$11,Предпосылки!$I213,),0))*IFERROR(INDEX(E$10:E$11,Предпосылки!$I213,),0),E212/(1+IFERROR(INDEX(E$10:E$11,Предпосылки!$I214,),0))*IFERROR(INDEX(E$10:E$11,Предпосылки!$I214,),0),E235/(1+IFERROR(INDEX(E$10:E$11,Предпосылки!$I215,),0))*IFERROR(INDEX(E$10:E$11,Предпосылки!$I215,),0),E258/(1+IFERROR(INDEX(E$10:E$11,Предпосылки!$I216,),0))*IFERROR(INDEX(E$10:E$11,Предпосылки!$I216,),0),E281/(1+IFERROR(INDEX(E$10:E$11,Предпосылки!$I217,),0))*IFERROR(INDEX(E$10:E$11,Предпосылки!$I217,),0),E304/(1+IFERROR(INDEX(E$10:E$11,Предпосылки!$I218,),0))*IFERROR(INDEX(E$10:E$11,Предпосылки!$I218,),0),E327/(1+IFERROR(INDEX(E$10:E$11,Предпосылки!$I219,),0))*IFERROR(INDEX(E$10:E$11,Предпосылки!$I219,),0),E350/(1+IFERROR(INDEX(E$10:E$11,Предпосылки!$I220,),0))*IFERROR(INDEX(E$10:E$11,Предпосылки!$I220,),0),E373/(1+IFERROR(INDEX(E$10:E$11,Предпосылки!$I221,),0))*IFERROR(INDEX(E$10:E$11,Предпосылки!$I221,),0),E396/(1+IFERROR(INDEX(E$10:E$11,Предпосылки!$I222,),0))*IFERROR(INDEX(E$10:E$11,Предпосылки!$I222,),0),E419/(1+IFERROR(INDEX(E$10:E$11,Предпосылки!$I223,),0))*IFERROR(INDEX(E$10:E$11,Предпосылки!$I223,),0),E442/(1+IFERROR(INDEX(E$10:E$11,Предпосылки!$I224,),0))*IFERROR(INDEX(E$10:E$11,Предпосылки!$I224,),0),E465/(1+IFERROR(INDEX(E$10:E$11,Предпосылки!$I225,),0))*IFERROR(INDEX(E$10:E$11,Предпосылки!$I225,),0))</f>
        <v>0</v>
      </c>
      <c s="125">
        <f>SUM(F28/(1+IFERROR(INDEX(F$10:F$11,Предпосылки!$I$201,),0))*IFERROR(INDEX(F$10:F$11,Предпосылки!$I$201,),0),F51/(1+IFERROR(INDEX(F$10:F$11,Предпосылки!$I$202,),0))*IFERROR(INDEX(F$10:F$11,Предпосылки!$I$202,),0),F74/(1+IFERROR(INDEX(F$10:F$11,Предпосылки!$I$203,),0))*IFERROR(INDEX(F$10:F$11,Предпосылки!$I$203,),0),F97/(1+IFERROR(INDEX(F$10:F$11,Предпосылки!$I$204,),0))*IFERROR(INDEX(F$10:F$11,Предпосылки!$I$204,),0),F120/(1+IFERROR(INDEX(F$10:F$11,Предпосылки!$I$205,),0))*IFERROR(INDEX(F$10:F$11,Предпосылки!$I$205,),0),F143/(1+IFERROR(INDEX(F$10:F$11,Предпосылки!$I$206,),0))*IFERROR(INDEX(F$10:F$11,Предпосылки!$I$206,),0),F166/(1+IFERROR(INDEX(F$10:F$11,Предпосылки!$I$207,),0))*IFERROR(INDEX(F$10:F$11,Предпосылки!$I$207,),0),F189/(1+IFERROR(INDEX(F$10:F$11,Предпосылки!$I$208,),0))*IFERROR(INDEX(F$10:F$11,Предпосылки!$I$208,),0),F212/(1+IFERROR(INDEX(F$10:F$11,Предпосылки!$I$209,),0))*IFERROR(INDEX(F$10:F$11,Предпосылки!$I$209,),0),F235/(1+IFERROR(INDEX(F$10:F$11,Предпосылки!$I$210,),0))*IFERROR(INDEX(F$10:F$11,Предпосылки!$I$210,),0),F258/(1+IFERROR(INDEX(F$10:F$11,Предпосылки!$I$211,),0))*IFERROR(INDEX(F$10:F$11,Предпосылки!$I$211,),0),F281/(1+IFERROR(INDEX(F$10:F$11,Предпосылки!$I$212,),0))*IFERROR(INDEX(F$10:F$11,Предпосылки!$I$212,),0),F304/(1+IFERROR(INDEX(F$10:F$11,Предпосылки!$I$213,),0))*IFERROR(INDEX(F$10:F$11,Предпосылки!$I$213,),0),F327/(1+IFERROR(INDEX(F$10:F$11,Предпосылки!$I$214,),0))*IFERROR(INDEX(F$10:F$11,Предпосылки!$I$214,),0),F350/(1+IFERROR(INDEX(F$10:F$11,Предпосылки!$I$215,),0))*IFERROR(INDEX(F$10:F$11,Предпосылки!$I$215,),0),F373/(1+IFERROR(INDEX(F$10:F$11,Предпосылки!$I$216,),0))*IFERROR(INDEX(F$10:F$11,Предпосылки!$I$216,),0),F396/(1+IFERROR(INDEX(F$10:F$11,Предпосылки!$I$217,),0))*IFERROR(INDEX(F$10:F$11,Предпосылки!$I$217,),0),F419/(1+IFERROR(INDEX(F$10:F$11,Предпосылки!$I$218,),0))*IFERROR(INDEX(F$10:F$11,Предпосылки!$I$218,),0),F442/(1+IFERROR(INDEX(F$10:F$11,Предпосылки!$I$219,),0))*IFERROR(INDEX(F$10:F$11,Предпосылки!$I$219,),0),F465/(1+IFERROR(INDEX(F$10:F$11,Предпосылки!$I$220,),0))*IFERROR(INDEX(F$10:F$11,Предпосылки!$I$220,),0))</f>
        <v>0</v>
      </c>
      <c s="125">
        <f>SUM(G28/(1+IFERROR(INDEX(G$10:G$11,Предпосылки!$I$201,),0))*IFERROR(INDEX(G$10:G$11,Предпосылки!$I$201,),0),G51/(1+IFERROR(INDEX(G$10:G$11,Предпосылки!$I$202,),0))*IFERROR(INDEX(G$10:G$11,Предпосылки!$I$202,),0),G74/(1+IFERROR(INDEX(G$10:G$11,Предпосылки!$I$203,),0))*IFERROR(INDEX(G$10:G$11,Предпосылки!$I$203,),0),G97/(1+IFERROR(INDEX(G$10:G$11,Предпосылки!$I$204,),0))*IFERROR(INDEX(G$10:G$11,Предпосылки!$I$204,),0),G120/(1+IFERROR(INDEX(G$10:G$11,Предпосылки!$I$205,),0))*IFERROR(INDEX(G$10:G$11,Предпосылки!$I$205,),0),G143/(1+IFERROR(INDEX(G$10:G$11,Предпосылки!$I$206,),0))*IFERROR(INDEX(G$10:G$11,Предпосылки!$I$206,),0),G166/(1+IFERROR(INDEX(G$10:G$11,Предпосылки!$I$207,),0))*IFERROR(INDEX(G$10:G$11,Предпосылки!$I$207,),0),G189/(1+IFERROR(INDEX(G$10:G$11,Предпосылки!$I$208,),0))*IFERROR(INDEX(G$10:G$11,Предпосылки!$I$208,),0),G212/(1+IFERROR(INDEX(G$10:G$11,Предпосылки!$I$209,),0))*IFERROR(INDEX(G$10:G$11,Предпосылки!$I$209,),0),G235/(1+IFERROR(INDEX(G$10:G$11,Предпосылки!$I$210,),0))*IFERROR(INDEX(G$10:G$11,Предпосылки!$I$210,),0),G258/(1+IFERROR(INDEX(G$10:G$11,Предпосылки!$I$211,),0))*IFERROR(INDEX(G$10:G$11,Предпосылки!$I$211,),0),G281/(1+IFERROR(INDEX(G$10:G$11,Предпосылки!$I$212,),0))*IFERROR(INDEX(G$10:G$11,Предпосылки!$I$212,),0),G304/(1+IFERROR(INDEX(G$10:G$11,Предпосылки!$I$213,),0))*IFERROR(INDEX(G$10:G$11,Предпосылки!$I$213,),0),G327/(1+IFERROR(INDEX(G$10:G$11,Предпосылки!$I$214,),0))*IFERROR(INDEX(G$10:G$11,Предпосылки!$I$214,),0),G350/(1+IFERROR(INDEX(G$10:G$11,Предпосылки!$I$215,),0))*IFERROR(INDEX(G$10:G$11,Предпосылки!$I$215,),0),G373/(1+IFERROR(INDEX(G$10:G$11,Предпосылки!$I$216,),0))*IFERROR(INDEX(G$10:G$11,Предпосылки!$I$216,),0),G396/(1+IFERROR(INDEX(G$10:G$11,Предпосылки!$I$217,),0))*IFERROR(INDEX(G$10:G$11,Предпосылки!$I$217,),0),G419/(1+IFERROR(INDEX(G$10:G$11,Предпосылки!$I$218,),0))*IFERROR(INDEX(G$10:G$11,Предпосылки!$I$218,),0),G442/(1+IFERROR(INDEX(G$10:G$11,Предпосылки!$I$219,),0))*IFERROR(INDEX(G$10:G$11,Предпосылки!$I$219,),0),G465/(1+IFERROR(INDEX(G$10:G$11,Предпосылки!$I$220,),0))*IFERROR(INDEX(G$10:G$11,Предпосылки!$I$220,),0))</f>
        <v>0</v>
      </c>
      <c s="125">
        <f>SUM(H28/(1+IFERROR(INDEX(H$10:H$11,Предпосылки!$I$201,),0))*IFERROR(INDEX(H$10:H$11,Предпосылки!$I$201,),0),H51/(1+IFERROR(INDEX(H$10:H$11,Предпосылки!$I$202,),0))*IFERROR(INDEX(H$10:H$11,Предпосылки!$I$202,),0),H74/(1+IFERROR(INDEX(H$10:H$11,Предпосылки!$I$203,),0))*IFERROR(INDEX(H$10:H$11,Предпосылки!$I$203,),0),H97/(1+IFERROR(INDEX(H$10:H$11,Предпосылки!$I$204,),0))*IFERROR(INDEX(H$10:H$11,Предпосылки!$I$204,),0),H120/(1+IFERROR(INDEX(H$10:H$11,Предпосылки!$I$205,),0))*IFERROR(INDEX(H$10:H$11,Предпосылки!$I$205,),0),H143/(1+IFERROR(INDEX(H$10:H$11,Предпосылки!$I$206,),0))*IFERROR(INDEX(H$10:H$11,Предпосылки!$I$206,),0),H166/(1+IFERROR(INDEX(H$10:H$11,Предпосылки!$I$207,),0))*IFERROR(INDEX(H$10:H$11,Предпосылки!$I$207,),0),H189/(1+IFERROR(INDEX(H$10:H$11,Предпосылки!$I$208,),0))*IFERROR(INDEX(H$10:H$11,Предпосылки!$I$208,),0),H212/(1+IFERROR(INDEX(H$10:H$11,Предпосылки!$I$209,),0))*IFERROR(INDEX(H$10:H$11,Предпосылки!$I$209,),0),H235/(1+IFERROR(INDEX(H$10:H$11,Предпосылки!$I$210,),0))*IFERROR(INDEX(H$10:H$11,Предпосылки!$I$210,),0),H258/(1+IFERROR(INDEX(H$10:H$11,Предпосылки!$I$211,),0))*IFERROR(INDEX(H$10:H$11,Предпосылки!$I$211,),0),H281/(1+IFERROR(INDEX(H$10:H$11,Предпосылки!$I$212,),0))*IFERROR(INDEX(H$10:H$11,Предпосылки!$I$212,),0),H304/(1+IFERROR(INDEX(H$10:H$11,Предпосылки!$I$213,),0))*IFERROR(INDEX(H$10:H$11,Предпосылки!$I$213,),0),H327/(1+IFERROR(INDEX(H$10:H$11,Предпосылки!$I$214,),0))*IFERROR(INDEX(H$10:H$11,Предпосылки!$I$214,),0),H350/(1+IFERROR(INDEX(H$10:H$11,Предпосылки!$I$215,),0))*IFERROR(INDEX(H$10:H$11,Предпосылки!$I$215,),0),H373/(1+IFERROR(INDEX(H$10:H$11,Предпосылки!$I$216,),0))*IFERROR(INDEX(H$10:H$11,Предпосылки!$I$216,),0),H396/(1+IFERROR(INDEX(H$10:H$11,Предпосылки!$I$217,),0))*IFERROR(INDEX(H$10:H$11,Предпосылки!$I$217,),0),H419/(1+IFERROR(INDEX(H$10:H$11,Предпосылки!$I$218,),0))*IFERROR(INDEX(H$10:H$11,Предпосылки!$I$218,),0),H442/(1+IFERROR(INDEX(H$10:H$11,Предпосылки!$I$219,),0))*IFERROR(INDEX(H$10:H$11,Предпосылки!$I$219,),0),H465/(1+IFERROR(INDEX(H$10:H$11,Предпосылки!$I$220,),0))*IFERROR(INDEX(H$10:H$11,Предпосылки!$I$220,),0))</f>
        <v>0</v>
      </c>
      <c s="125">
        <f>SUM(I28/(1+IFERROR(INDEX(I$10:I$11,Предпосылки!$I$201,),0))*IFERROR(INDEX(I$10:I$11,Предпосылки!$I$201,),0),I51/(1+IFERROR(INDEX(I$10:I$11,Предпосылки!$I$202,),0))*IFERROR(INDEX(I$10:I$11,Предпосылки!$I$202,),0),I74/(1+IFERROR(INDEX(I$10:I$11,Предпосылки!$I$203,),0))*IFERROR(INDEX(I$10:I$11,Предпосылки!$I$203,),0),I97/(1+IFERROR(INDEX(I$10:I$11,Предпосылки!$I$204,),0))*IFERROR(INDEX(I$10:I$11,Предпосылки!$I$204,),0),I120/(1+IFERROR(INDEX(I$10:I$11,Предпосылки!$I$205,),0))*IFERROR(INDEX(I$10:I$11,Предпосылки!$I$205,),0),I143/(1+IFERROR(INDEX(I$10:I$11,Предпосылки!$I$206,),0))*IFERROR(INDEX(I$10:I$11,Предпосылки!$I$206,),0),I166/(1+IFERROR(INDEX(I$10:I$11,Предпосылки!$I$207,),0))*IFERROR(INDEX(I$10:I$11,Предпосылки!$I$207,),0),I189/(1+IFERROR(INDEX(I$10:I$11,Предпосылки!$I$208,),0))*IFERROR(INDEX(I$10:I$11,Предпосылки!$I$208,),0),I212/(1+IFERROR(INDEX(I$10:I$11,Предпосылки!$I$209,),0))*IFERROR(INDEX(I$10:I$11,Предпосылки!$I$209,),0),I235/(1+IFERROR(INDEX(I$10:I$11,Предпосылки!$I$210,),0))*IFERROR(INDEX(I$10:I$11,Предпосылки!$I$210,),0),I258/(1+IFERROR(INDEX(I$10:I$11,Предпосылки!$I$211,),0))*IFERROR(INDEX(I$10:I$11,Предпосылки!$I$211,),0),I281/(1+IFERROR(INDEX(I$10:I$11,Предпосылки!$I$212,),0))*IFERROR(INDEX(I$10:I$11,Предпосылки!$I$212,),0),I304/(1+IFERROR(INDEX(I$10:I$11,Предпосылки!$I$213,),0))*IFERROR(INDEX(I$10:I$11,Предпосылки!$I$213,),0),I327/(1+IFERROR(INDEX(I$10:I$11,Предпосылки!$I$214,),0))*IFERROR(INDEX(I$10:I$11,Предпосылки!$I$214,),0),I350/(1+IFERROR(INDEX(I$10:I$11,Предпосылки!$I$215,),0))*IFERROR(INDEX(I$10:I$11,Предпосылки!$I$215,),0),I373/(1+IFERROR(INDEX(I$10:I$11,Предпосылки!$I$216,),0))*IFERROR(INDEX(I$10:I$11,Предпосылки!$I$216,),0),I396/(1+IFERROR(INDEX(I$10:I$11,Предпосылки!$I$217,),0))*IFERROR(INDEX(I$10:I$11,Предпосылки!$I$217,),0),I419/(1+IFERROR(INDEX(I$10:I$11,Предпосылки!$I$218,),0))*IFERROR(INDEX(I$10:I$11,Предпосылки!$I$218,),0),I442/(1+IFERROR(INDEX(I$10:I$11,Предпосылки!$I$219,),0))*IFERROR(INDEX(I$10:I$11,Предпосылки!$I$219,),0),I465/(1+IFERROR(INDEX(I$10:I$11,Предпосылки!$I$220,),0))*IFERROR(INDEX(I$10:I$11,Предпосылки!$I$220,),0))</f>
        <v>0</v>
      </c>
      <c s="125">
        <f>SUM(J28/(1+IFERROR(INDEX(J$10:J$11,Предпосылки!$I$201,),0))*IFERROR(INDEX(J$10:J$11,Предпосылки!$I$201,),0),J51/(1+IFERROR(INDEX(J$10:J$11,Предпосылки!$I$202,),0))*IFERROR(INDEX(J$10:J$11,Предпосылки!$I$202,),0),J74/(1+IFERROR(INDEX(J$10:J$11,Предпосылки!$I$203,),0))*IFERROR(INDEX(J$10:J$11,Предпосылки!$I$203,),0),J97/(1+IFERROR(INDEX(J$10:J$11,Предпосылки!$I$204,),0))*IFERROR(INDEX(J$10:J$11,Предпосылки!$I$204,),0),J120/(1+IFERROR(INDEX(J$10:J$11,Предпосылки!$I$205,),0))*IFERROR(INDEX(J$10:J$11,Предпосылки!$I$205,),0),J143/(1+IFERROR(INDEX(J$10:J$11,Предпосылки!$I$206,),0))*IFERROR(INDEX(J$10:J$11,Предпосылки!$I$206,),0),J166/(1+IFERROR(INDEX(J$10:J$11,Предпосылки!$I$207,),0))*IFERROR(INDEX(J$10:J$11,Предпосылки!$I$207,),0),J189/(1+IFERROR(INDEX(J$10:J$11,Предпосылки!$I$208,),0))*IFERROR(INDEX(J$10:J$11,Предпосылки!$I$208,),0),J212/(1+IFERROR(INDEX(J$10:J$11,Предпосылки!$I$209,),0))*IFERROR(INDEX(J$10:J$11,Предпосылки!$I$209,),0),J235/(1+IFERROR(INDEX(J$10:J$11,Предпосылки!$I$210,),0))*IFERROR(INDEX(J$10:J$11,Предпосылки!$I$210,),0),J258/(1+IFERROR(INDEX(J$10:J$11,Предпосылки!$I$211,),0))*IFERROR(INDEX(J$10:J$11,Предпосылки!$I$211,),0),J281/(1+IFERROR(INDEX(J$10:J$11,Предпосылки!$I$212,),0))*IFERROR(INDEX(J$10:J$11,Предпосылки!$I$212,),0),J304/(1+IFERROR(INDEX(J$10:J$11,Предпосылки!$I$213,),0))*IFERROR(INDEX(J$10:J$11,Предпосылки!$I$213,),0),J327/(1+IFERROR(INDEX(J$10:J$11,Предпосылки!$I$214,),0))*IFERROR(INDEX(J$10:J$11,Предпосылки!$I$214,),0),J350/(1+IFERROR(INDEX(J$10:J$11,Предпосылки!$I$215,),0))*IFERROR(INDEX(J$10:J$11,Предпосылки!$I$215,),0),J373/(1+IFERROR(INDEX(J$10:J$11,Предпосылки!$I$216,),0))*IFERROR(INDEX(J$10:J$11,Предпосылки!$I$216,),0),J396/(1+IFERROR(INDEX(J$10:J$11,Предпосылки!$I$217,),0))*IFERROR(INDEX(J$10:J$11,Предпосылки!$I$217,),0),J419/(1+IFERROR(INDEX(J$10:J$11,Предпосылки!$I$218,),0))*IFERROR(INDEX(J$10:J$11,Предпосылки!$I$218,),0),J442/(1+IFERROR(INDEX(J$10:J$11,Предпосылки!$I$219,),0))*IFERROR(INDEX(J$10:J$11,Предпосылки!$I$219,),0),J465/(1+IFERROR(INDEX(J$10:J$11,Предпосылки!$I$220,),0))*IFERROR(INDEX(J$10:J$11,Предпосылки!$I$220,),0))</f>
        <v>0</v>
      </c>
      <c s="125">
        <f>SUM(K28/(1+IFERROR(INDEX(K$10:K$11,Предпосылки!$I$201,),0))*IFERROR(INDEX(K$10:K$11,Предпосылки!$I$201,),0),K51/(1+IFERROR(INDEX(K$10:K$11,Предпосылки!$I$202,),0))*IFERROR(INDEX(K$10:K$11,Предпосылки!$I$202,),0),K74/(1+IFERROR(INDEX(K$10:K$11,Предпосылки!$I$203,),0))*IFERROR(INDEX(K$10:K$11,Предпосылки!$I$203,),0),K97/(1+IFERROR(INDEX(K$10:K$11,Предпосылки!$I$204,),0))*IFERROR(INDEX(K$10:K$11,Предпосылки!$I$204,),0),K120/(1+IFERROR(INDEX(K$10:K$11,Предпосылки!$I$205,),0))*IFERROR(INDEX(K$10:K$11,Предпосылки!$I$205,),0),K143/(1+IFERROR(INDEX(K$10:K$11,Предпосылки!$I$206,),0))*IFERROR(INDEX(K$10:K$11,Предпосылки!$I$206,),0),K166/(1+IFERROR(INDEX(K$10:K$11,Предпосылки!$I$207,),0))*IFERROR(INDEX(K$10:K$11,Предпосылки!$I$207,),0),K189/(1+IFERROR(INDEX(K$10:K$11,Предпосылки!$I$208,),0))*IFERROR(INDEX(K$10:K$11,Предпосылки!$I$208,),0),K212/(1+IFERROR(INDEX(K$10:K$11,Предпосылки!$I$209,),0))*IFERROR(INDEX(K$10:K$11,Предпосылки!$I$209,),0),K235/(1+IFERROR(INDEX(K$10:K$11,Предпосылки!$I$210,),0))*IFERROR(INDEX(K$10:K$11,Предпосылки!$I$210,),0),K258/(1+IFERROR(INDEX(K$10:K$11,Предпосылки!$I$211,),0))*IFERROR(INDEX(K$10:K$11,Предпосылки!$I$211,),0),K281/(1+IFERROR(INDEX(K$10:K$11,Предпосылки!$I$212,),0))*IFERROR(INDEX(K$10:K$11,Предпосылки!$I$212,),0),K304/(1+IFERROR(INDEX(K$10:K$11,Предпосылки!$I$213,),0))*IFERROR(INDEX(K$10:K$11,Предпосылки!$I$213,),0),K327/(1+IFERROR(INDEX(K$10:K$11,Предпосылки!$I$214,),0))*IFERROR(INDEX(K$10:K$11,Предпосылки!$I$214,),0),K350/(1+IFERROR(INDEX(K$10:K$11,Предпосылки!$I$215,),0))*IFERROR(INDEX(K$10:K$11,Предпосылки!$I$215,),0),K373/(1+IFERROR(INDEX(K$10:K$11,Предпосылки!$I$216,),0))*IFERROR(INDEX(K$10:K$11,Предпосылки!$I$216,),0),K396/(1+IFERROR(INDEX(K$10:K$11,Предпосылки!$I$217,),0))*IFERROR(INDEX(K$10:K$11,Предпосылки!$I$217,),0),K419/(1+IFERROR(INDEX(K$10:K$11,Предпосылки!$I$218,),0))*IFERROR(INDEX(K$10:K$11,Предпосылки!$I$218,),0),K442/(1+IFERROR(INDEX(K$10:K$11,Предпосылки!$I$219,),0))*IFERROR(INDEX(K$10:K$11,Предпосылки!$I$219,),0),K465/(1+IFERROR(INDEX(K$10:K$11,Предпосылки!$I$220,),0))*IFERROR(INDEX(K$10:K$11,Предпосылки!$I$220,),0))</f>
        <v>0</v>
      </c>
      <c s="125">
        <f>SUM(L28/(1+IFERROR(INDEX(L$10:L$11,Предпосылки!$I$201,),0))*IFERROR(INDEX(L$10:L$11,Предпосылки!$I$201,),0),L51/(1+IFERROR(INDEX(L$10:L$11,Предпосылки!$I$202,),0))*IFERROR(INDEX(L$10:L$11,Предпосылки!$I$202,),0),L74/(1+IFERROR(INDEX(L$10:L$11,Предпосылки!$I$203,),0))*IFERROR(INDEX(L$10:L$11,Предпосылки!$I$203,),0),L97/(1+IFERROR(INDEX(L$10:L$11,Предпосылки!$I$204,),0))*IFERROR(INDEX(L$10:L$11,Предпосылки!$I$204,),0),L120/(1+IFERROR(INDEX(L$10:L$11,Предпосылки!$I$205,),0))*IFERROR(INDEX(L$10:L$11,Предпосылки!$I$205,),0),L143/(1+IFERROR(INDEX(L$10:L$11,Предпосылки!$I$206,),0))*IFERROR(INDEX(L$10:L$11,Предпосылки!$I$206,),0),L166/(1+IFERROR(INDEX(L$10:L$11,Предпосылки!$I$207,),0))*IFERROR(INDEX(L$10:L$11,Предпосылки!$I$207,),0),L189/(1+IFERROR(INDEX(L$10:L$11,Предпосылки!$I$208,),0))*IFERROR(INDEX(L$10:L$11,Предпосылки!$I$208,),0),L212/(1+IFERROR(INDEX(L$10:L$11,Предпосылки!$I$209,),0))*IFERROR(INDEX(L$10:L$11,Предпосылки!$I$209,),0),L235/(1+IFERROR(INDEX(L$10:L$11,Предпосылки!$I$210,),0))*IFERROR(INDEX(L$10:L$11,Предпосылки!$I$210,),0),L258/(1+IFERROR(INDEX(L$10:L$11,Предпосылки!$I$211,),0))*IFERROR(INDEX(L$10:L$11,Предпосылки!$I$211,),0),L281/(1+IFERROR(INDEX(L$10:L$11,Предпосылки!$I$212,),0))*IFERROR(INDEX(L$10:L$11,Предпосылки!$I$212,),0),L304/(1+IFERROR(INDEX(L$10:L$11,Предпосылки!$I$213,),0))*IFERROR(INDEX(L$10:L$11,Предпосылки!$I$213,),0),L327/(1+IFERROR(INDEX(L$10:L$11,Предпосылки!$I$214,),0))*IFERROR(INDEX(L$10:L$11,Предпосылки!$I$214,),0),L350/(1+IFERROR(INDEX(L$10:L$11,Предпосылки!$I$215,),0))*IFERROR(INDEX(L$10:L$11,Предпосылки!$I$215,),0),L373/(1+IFERROR(INDEX(L$10:L$11,Предпосылки!$I$216,),0))*IFERROR(INDEX(L$10:L$11,Предпосылки!$I$216,),0),L396/(1+IFERROR(INDEX(L$10:L$11,Предпосылки!$I$217,),0))*IFERROR(INDEX(L$10:L$11,Предпосылки!$I$217,),0),L419/(1+IFERROR(INDEX(L$10:L$11,Предпосылки!$I$218,),0))*IFERROR(INDEX(L$10:L$11,Предпосылки!$I$218,),0),L442/(1+IFERROR(INDEX(L$10:L$11,Предпосылки!$I$219,),0))*IFERROR(INDEX(L$10:L$11,Предпосылки!$I$219,),0),L465/(1+IFERROR(INDEX(L$10:L$11,Предпосылки!$I$220,),0))*IFERROR(INDEX(L$10:L$11,Предпосылки!$I$220,),0))</f>
        <v>0</v>
      </c>
      <c s="125">
        <f>SUM(M28/(1+IFERROR(INDEX(M$10:M$11,Предпосылки!$I$201,),0))*IFERROR(INDEX(M$10:M$11,Предпосылки!$I$201,),0),M51/(1+IFERROR(INDEX(M$10:M$11,Предпосылки!$I$202,),0))*IFERROR(INDEX(M$10:M$11,Предпосылки!$I$202,),0),M74/(1+IFERROR(INDEX(M$10:M$11,Предпосылки!$I$203,),0))*IFERROR(INDEX(M$10:M$11,Предпосылки!$I$203,),0),M97/(1+IFERROR(INDEX(M$10:M$11,Предпосылки!$I$204,),0))*IFERROR(INDEX(M$10:M$11,Предпосылки!$I$204,),0),M120/(1+IFERROR(INDEX(M$10:M$11,Предпосылки!$I$205,),0))*IFERROR(INDEX(M$10:M$11,Предпосылки!$I$205,),0),M143/(1+IFERROR(INDEX(M$10:M$11,Предпосылки!$I$206,),0))*IFERROR(INDEX(M$10:M$11,Предпосылки!$I$206,),0),M166/(1+IFERROR(INDEX(M$10:M$11,Предпосылки!$I$207,),0))*IFERROR(INDEX(M$10:M$11,Предпосылки!$I$207,),0),M189/(1+IFERROR(INDEX(M$10:M$11,Предпосылки!$I$208,),0))*IFERROR(INDEX(M$10:M$11,Предпосылки!$I$208,),0),M212/(1+IFERROR(INDEX(M$10:M$11,Предпосылки!$I$209,),0))*IFERROR(INDEX(M$10:M$11,Предпосылки!$I$209,),0),M235/(1+IFERROR(INDEX(M$10:M$11,Предпосылки!$I$210,),0))*IFERROR(INDEX(M$10:M$11,Предпосылки!$I$210,),0),M258/(1+IFERROR(INDEX(M$10:M$11,Предпосылки!$I$211,),0))*IFERROR(INDEX(M$10:M$11,Предпосылки!$I$211,),0),M281/(1+IFERROR(INDEX(M$10:M$11,Предпосылки!$I$212,),0))*IFERROR(INDEX(M$10:M$11,Предпосылки!$I$212,),0),M304/(1+IFERROR(INDEX(M$10:M$11,Предпосылки!$I$213,),0))*IFERROR(INDEX(M$10:M$11,Предпосылки!$I$213,),0),M327/(1+IFERROR(INDEX(M$10:M$11,Предпосылки!$I$214,),0))*IFERROR(INDEX(M$10:M$11,Предпосылки!$I$214,),0),M350/(1+IFERROR(INDEX(M$10:M$11,Предпосылки!$I$215,),0))*IFERROR(INDEX(M$10:M$11,Предпосылки!$I$215,),0),M373/(1+IFERROR(INDEX(M$10:M$11,Предпосылки!$I$216,),0))*IFERROR(INDEX(M$10:M$11,Предпосылки!$I$216,),0),M396/(1+IFERROR(INDEX(M$10:M$11,Предпосылки!$I$217,),0))*IFERROR(INDEX(M$10:M$11,Предпосылки!$I$217,),0),M419/(1+IFERROR(INDEX(M$10:M$11,Предпосылки!$I$218,),0))*IFERROR(INDEX(M$10:M$11,Предпосылки!$I$218,),0),M442/(1+IFERROR(INDEX(M$10:M$11,Предпосылки!$I$219,),0))*IFERROR(INDEX(M$10:M$11,Предпосылки!$I$219,),0),M465/(1+IFERROR(INDEX(M$10:M$11,Предпосылки!$I$220,),0))*IFERROR(INDEX(M$10:M$11,Предпосылки!$I$220,),0))</f>
        <v>0</v>
      </c>
      <c s="125">
        <f>SUM(N28/(1+IFERROR(INDEX(N$10:N$11,Предпосылки!$I$201,),0))*IFERROR(INDEX(N$10:N$11,Предпосылки!$I$201,),0),N51/(1+IFERROR(INDEX(N$10:N$11,Предпосылки!$I$202,),0))*IFERROR(INDEX(N$10:N$11,Предпосылки!$I$202,),0),N74/(1+IFERROR(INDEX(N$10:N$11,Предпосылки!$I$203,),0))*IFERROR(INDEX(N$10:N$11,Предпосылки!$I$203,),0),N97/(1+IFERROR(INDEX(N$10:N$11,Предпосылки!$I$204,),0))*IFERROR(INDEX(N$10:N$11,Предпосылки!$I$204,),0),N120/(1+IFERROR(INDEX(N$10:N$11,Предпосылки!$I$205,),0))*IFERROR(INDEX(N$10:N$11,Предпосылки!$I$205,),0),N143/(1+IFERROR(INDEX(N$10:N$11,Предпосылки!$I$206,),0))*IFERROR(INDEX(N$10:N$11,Предпосылки!$I$206,),0),N166/(1+IFERROR(INDEX(N$10:N$11,Предпосылки!$I$207,),0))*IFERROR(INDEX(N$10:N$11,Предпосылки!$I$207,),0),N189/(1+IFERROR(INDEX(N$10:N$11,Предпосылки!$I$208,),0))*IFERROR(INDEX(N$10:N$11,Предпосылки!$I$208,),0),N212/(1+IFERROR(INDEX(N$10:N$11,Предпосылки!$I$209,),0))*IFERROR(INDEX(N$10:N$11,Предпосылки!$I$209,),0),N235/(1+IFERROR(INDEX(N$10:N$11,Предпосылки!$I$210,),0))*IFERROR(INDEX(N$10:N$11,Предпосылки!$I$210,),0),N258/(1+IFERROR(INDEX(N$10:N$11,Предпосылки!$I$211,),0))*IFERROR(INDEX(N$10:N$11,Предпосылки!$I$211,),0),N281/(1+IFERROR(INDEX(N$10:N$11,Предпосылки!$I$212,),0))*IFERROR(INDEX(N$10:N$11,Предпосылки!$I$212,),0),N304/(1+IFERROR(INDEX(N$10:N$11,Предпосылки!$I$213,),0))*IFERROR(INDEX(N$10:N$11,Предпосылки!$I$213,),0),N327/(1+IFERROR(INDEX(N$10:N$11,Предпосылки!$I$214,),0))*IFERROR(INDEX(N$10:N$11,Предпосылки!$I$214,),0),N350/(1+IFERROR(INDEX(N$10:N$11,Предпосылки!$I$215,),0))*IFERROR(INDEX(N$10:N$11,Предпосылки!$I$215,),0),N373/(1+IFERROR(INDEX(N$10:N$11,Предпосылки!$I$216,),0))*IFERROR(INDEX(N$10:N$11,Предпосылки!$I$216,),0),N396/(1+IFERROR(INDEX(N$10:N$11,Предпосылки!$I$217,),0))*IFERROR(INDEX(N$10:N$11,Предпосылки!$I$217,),0),N419/(1+IFERROR(INDEX(N$10:N$11,Предпосылки!$I$218,),0))*IFERROR(INDEX(N$10:N$11,Предпосылки!$I$218,),0),N442/(1+IFERROR(INDEX(N$10:N$11,Предпосылки!$I$219,),0))*IFERROR(INDEX(N$10:N$11,Предпосылки!$I$219,),0),N465/(1+IFERROR(INDEX(N$10:N$11,Предпосылки!$I$220,),0))*IFERROR(INDEX(N$10:N$11,Предпосылки!$I$220,),0))</f>
        <v>0</v>
      </c>
      <c s="125">
        <f>SUM(O28/(1+IFERROR(INDEX(O$10:O$11,Предпосылки!$I$201,),0))*IFERROR(INDEX(O$10:O$11,Предпосылки!$I$201,),0),O51/(1+IFERROR(INDEX(O$10:O$11,Предпосылки!$I$202,),0))*IFERROR(INDEX(O$10:O$11,Предпосылки!$I$202,),0),O74/(1+IFERROR(INDEX(O$10:O$11,Предпосылки!$I$203,),0))*IFERROR(INDEX(O$10:O$11,Предпосылки!$I$203,),0),O97/(1+IFERROR(INDEX(O$10:O$11,Предпосылки!$I$204,),0))*IFERROR(INDEX(O$10:O$11,Предпосылки!$I$204,),0),O120/(1+IFERROR(INDEX(O$10:O$11,Предпосылки!$I$205,),0))*IFERROR(INDEX(O$10:O$11,Предпосылки!$I$205,),0),O143/(1+IFERROR(INDEX(O$10:O$11,Предпосылки!$I$206,),0))*IFERROR(INDEX(O$10:O$11,Предпосылки!$I$206,),0),O166/(1+IFERROR(INDEX(O$10:O$11,Предпосылки!$I$207,),0))*IFERROR(INDEX(O$10:O$11,Предпосылки!$I$207,),0),O189/(1+IFERROR(INDEX(O$10:O$11,Предпосылки!$I$208,),0))*IFERROR(INDEX(O$10:O$11,Предпосылки!$I$208,),0),O212/(1+IFERROR(INDEX(O$10:O$11,Предпосылки!$I$209,),0))*IFERROR(INDEX(O$10:O$11,Предпосылки!$I$209,),0),O235/(1+IFERROR(INDEX(O$10:O$11,Предпосылки!$I$210,),0))*IFERROR(INDEX(O$10:O$11,Предпосылки!$I$210,),0),O258/(1+IFERROR(INDEX(O$10:O$11,Предпосылки!$I$211,),0))*IFERROR(INDEX(O$10:O$11,Предпосылки!$I$211,),0),O281/(1+IFERROR(INDEX(O$10:O$11,Предпосылки!$I$212,),0))*IFERROR(INDEX(O$10:O$11,Предпосылки!$I$212,),0),O304/(1+IFERROR(INDEX(O$10:O$11,Предпосылки!$I$213,),0))*IFERROR(INDEX(O$10:O$11,Предпосылки!$I$213,),0),O327/(1+IFERROR(INDEX(O$10:O$11,Предпосылки!$I$214,),0))*IFERROR(INDEX(O$10:O$11,Предпосылки!$I$214,),0),O350/(1+IFERROR(INDEX(O$10:O$11,Предпосылки!$I$215,),0))*IFERROR(INDEX(O$10:O$11,Предпосылки!$I$215,),0),O373/(1+IFERROR(INDEX(O$10:O$11,Предпосылки!$I$216,),0))*IFERROR(INDEX(O$10:O$11,Предпосылки!$I$216,),0),O396/(1+IFERROR(INDEX(O$10:O$11,Предпосылки!$I$217,),0))*IFERROR(INDEX(O$10:O$11,Предпосылки!$I$217,),0),O419/(1+IFERROR(INDEX(O$10:O$11,Предпосылки!$I$218,),0))*IFERROR(INDEX(O$10:O$11,Предпосылки!$I$218,),0),O442/(1+IFERROR(INDEX(O$10:O$11,Предпосылки!$I$219,),0))*IFERROR(INDEX(O$10:O$11,Предпосылки!$I$219,),0),O465/(1+IFERROR(INDEX(O$10:O$11,Предпосылки!$I$220,),0))*IFERROR(INDEX(O$10:O$11,Предпосылки!$I$220,),0))</f>
        <v>0</v>
      </c>
      <c s="125">
        <f>SUM(P28/(1+IFERROR(INDEX(P$10:P$11,Предпосылки!$I$201,),0))*IFERROR(INDEX(P$10:P$11,Предпосылки!$I$201,),0),P51/(1+IFERROR(INDEX(P$10:P$11,Предпосылки!$I$202,),0))*IFERROR(INDEX(P$10:P$11,Предпосылки!$I$202,),0),P74/(1+IFERROR(INDEX(P$10:P$11,Предпосылки!$I$203,),0))*IFERROR(INDEX(P$10:P$11,Предпосылки!$I$203,),0),P97/(1+IFERROR(INDEX(P$10:P$11,Предпосылки!$I$204,),0))*IFERROR(INDEX(P$10:P$11,Предпосылки!$I$204,),0),P120/(1+IFERROR(INDEX(P$10:P$11,Предпосылки!$I$205,),0))*IFERROR(INDEX(P$10:P$11,Предпосылки!$I$205,),0),P143/(1+IFERROR(INDEX(P$10:P$11,Предпосылки!$I$206,),0))*IFERROR(INDEX(P$10:P$11,Предпосылки!$I$206,),0),P166/(1+IFERROR(INDEX(P$10:P$11,Предпосылки!$I$207,),0))*IFERROR(INDEX(P$10:P$11,Предпосылки!$I$207,),0),P189/(1+IFERROR(INDEX(P$10:P$11,Предпосылки!$I$208,),0))*IFERROR(INDEX(P$10:P$11,Предпосылки!$I$208,),0),P212/(1+IFERROR(INDEX(P$10:P$11,Предпосылки!$I$209,),0))*IFERROR(INDEX(P$10:P$11,Предпосылки!$I$209,),0),P235/(1+IFERROR(INDEX(P$10:P$11,Предпосылки!$I$210,),0))*IFERROR(INDEX(P$10:P$11,Предпосылки!$I$210,),0),P258/(1+IFERROR(INDEX(P$10:P$11,Предпосылки!$I$211,),0))*IFERROR(INDEX(P$10:P$11,Предпосылки!$I$211,),0),P281/(1+IFERROR(INDEX(P$10:P$11,Предпосылки!$I$212,),0))*IFERROR(INDEX(P$10:P$11,Предпосылки!$I$212,),0),P304/(1+IFERROR(INDEX(P$10:P$11,Предпосылки!$I$213,),0))*IFERROR(INDEX(P$10:P$11,Предпосылки!$I$213,),0),P327/(1+IFERROR(INDEX(P$10:P$11,Предпосылки!$I$214,),0))*IFERROR(INDEX(P$10:P$11,Предпосылки!$I$214,),0),P350/(1+IFERROR(INDEX(P$10:P$11,Предпосылки!$I$215,),0))*IFERROR(INDEX(P$10:P$11,Предпосылки!$I$215,),0),P373/(1+IFERROR(INDEX(P$10:P$11,Предпосылки!$I$216,),0))*IFERROR(INDEX(P$10:P$11,Предпосылки!$I$216,),0),P396/(1+IFERROR(INDEX(P$10:P$11,Предпосылки!$I$217,),0))*IFERROR(INDEX(P$10:P$11,Предпосылки!$I$217,),0),P419/(1+IFERROR(INDEX(P$10:P$11,Предпосылки!$I$218,),0))*IFERROR(INDEX(P$10:P$11,Предпосылки!$I$218,),0),P442/(1+IFERROR(INDEX(P$10:P$11,Предпосылки!$I$219,),0))*IFERROR(INDEX(P$10:P$11,Предпосылки!$I$219,),0),P465/(1+IFERROR(INDEX(P$10:P$11,Предпосылки!$I$220,),0))*IFERROR(INDEX(P$10:P$11,Предпосылки!$I$220,),0))</f>
        <v>0</v>
      </c>
      <c s="125">
        <f>SUM(Q28/(1+IFERROR(INDEX(Q$10:Q$11,Предпосылки!$I$201,),0))*IFERROR(INDEX(Q$10:Q$11,Предпосылки!$I$201,),0),Q51/(1+IFERROR(INDEX(Q$10:Q$11,Предпосылки!$I$202,),0))*IFERROR(INDEX(Q$10:Q$11,Предпосылки!$I$202,),0),Q74/(1+IFERROR(INDEX(Q$10:Q$11,Предпосылки!$I$203,),0))*IFERROR(INDEX(Q$10:Q$11,Предпосылки!$I$203,),0),Q97/(1+IFERROR(INDEX(Q$10:Q$11,Предпосылки!$I$204,),0))*IFERROR(INDEX(Q$10:Q$11,Предпосылки!$I$204,),0),Q120/(1+IFERROR(INDEX(Q$10:Q$11,Предпосылки!$I$205,),0))*IFERROR(INDEX(Q$10:Q$11,Предпосылки!$I$205,),0),Q143/(1+IFERROR(INDEX(Q$10:Q$11,Предпосылки!$I$206,),0))*IFERROR(INDEX(Q$10:Q$11,Предпосылки!$I$206,),0),Q166/(1+IFERROR(INDEX(Q$10:Q$11,Предпосылки!$I$207,),0))*IFERROR(INDEX(Q$10:Q$11,Предпосылки!$I$207,),0),Q189/(1+IFERROR(INDEX(Q$10:Q$11,Предпосылки!$I$208,),0))*IFERROR(INDEX(Q$10:Q$11,Предпосылки!$I$208,),0),Q212/(1+IFERROR(INDEX(Q$10:Q$11,Предпосылки!$I$209,),0))*IFERROR(INDEX(Q$10:Q$11,Предпосылки!$I$209,),0),Q235/(1+IFERROR(INDEX(Q$10:Q$11,Предпосылки!$I$210,),0))*IFERROR(INDEX(Q$10:Q$11,Предпосылки!$I$210,),0),Q258/(1+IFERROR(INDEX(Q$10:Q$11,Предпосылки!$I$211,),0))*IFERROR(INDEX(Q$10:Q$11,Предпосылки!$I$211,),0),Q281/(1+IFERROR(INDEX(Q$10:Q$11,Предпосылки!$I$212,),0))*IFERROR(INDEX(Q$10:Q$11,Предпосылки!$I$212,),0),Q304/(1+IFERROR(INDEX(Q$10:Q$11,Предпосылки!$I$213,),0))*IFERROR(INDEX(Q$10:Q$11,Предпосылки!$I$213,),0),Q327/(1+IFERROR(INDEX(Q$10:Q$11,Предпосылки!$I$214,),0))*IFERROR(INDEX(Q$10:Q$11,Предпосылки!$I$214,),0),Q350/(1+IFERROR(INDEX(Q$10:Q$11,Предпосылки!$I$215,),0))*IFERROR(INDEX(Q$10:Q$11,Предпосылки!$I$215,),0),Q373/(1+IFERROR(INDEX(Q$10:Q$11,Предпосылки!$I$216,),0))*IFERROR(INDEX(Q$10:Q$11,Предпосылки!$I$216,),0),Q396/(1+IFERROR(INDEX(Q$10:Q$11,Предпосылки!$I$217,),0))*IFERROR(INDEX(Q$10:Q$11,Предпосылки!$I$217,),0),Q419/(1+IFERROR(INDEX(Q$10:Q$11,Предпосылки!$I$218,),0))*IFERROR(INDEX(Q$10:Q$11,Предпосылки!$I$218,),0),Q442/(1+IFERROR(INDEX(Q$10:Q$11,Предпосылки!$I$219,),0))*IFERROR(INDEX(Q$10:Q$11,Предпосылки!$I$219,),0),Q465/(1+IFERROR(INDEX(Q$10:Q$11,Предпосылки!$I$220,),0))*IFERROR(INDEX(Q$10:Q$11,Предпосылки!$I$220,),0))</f>
        <v>0</v>
      </c>
      <c s="125">
        <f>SUM(R28/(1+IFERROR(INDEX(R$10:R$11,Предпосылки!$I$201,),0))*IFERROR(INDEX(R$10:R$11,Предпосылки!$I$201,),0),R51/(1+IFERROR(INDEX(R$10:R$11,Предпосылки!$I$202,),0))*IFERROR(INDEX(R$10:R$11,Предпосылки!$I$202,),0),R74/(1+IFERROR(INDEX(R$10:R$11,Предпосылки!$I$203,),0))*IFERROR(INDEX(R$10:R$11,Предпосылки!$I$203,),0),R97/(1+IFERROR(INDEX(R$10:R$11,Предпосылки!$I$204,),0))*IFERROR(INDEX(R$10:R$11,Предпосылки!$I$204,),0),R120/(1+IFERROR(INDEX(R$10:R$11,Предпосылки!$I$205,),0))*IFERROR(INDEX(R$10:R$11,Предпосылки!$I$205,),0),R143/(1+IFERROR(INDEX(R$10:R$11,Предпосылки!$I$206,),0))*IFERROR(INDEX(R$10:R$11,Предпосылки!$I$206,),0),R166/(1+IFERROR(INDEX(R$10:R$11,Предпосылки!$I$207,),0))*IFERROR(INDEX(R$10:R$11,Предпосылки!$I$207,),0),R189/(1+IFERROR(INDEX(R$10:R$11,Предпосылки!$I$208,),0))*IFERROR(INDEX(R$10:R$11,Предпосылки!$I$208,),0),R212/(1+IFERROR(INDEX(R$10:R$11,Предпосылки!$I$209,),0))*IFERROR(INDEX(R$10:R$11,Предпосылки!$I$209,),0),R235/(1+IFERROR(INDEX(R$10:R$11,Предпосылки!$I$210,),0))*IFERROR(INDEX(R$10:R$11,Предпосылки!$I$210,),0),R258/(1+IFERROR(INDEX(R$10:R$11,Предпосылки!$I$211,),0))*IFERROR(INDEX(R$10:R$11,Предпосылки!$I$211,),0),R281/(1+IFERROR(INDEX(R$10:R$11,Предпосылки!$I$212,),0))*IFERROR(INDEX(R$10:R$11,Предпосылки!$I$212,),0),R304/(1+IFERROR(INDEX(R$10:R$11,Предпосылки!$I$213,),0))*IFERROR(INDEX(R$10:R$11,Предпосылки!$I$213,),0),R327/(1+IFERROR(INDEX(R$10:R$11,Предпосылки!$I$214,),0))*IFERROR(INDEX(R$10:R$11,Предпосылки!$I$214,),0),R350/(1+IFERROR(INDEX(R$10:R$11,Предпосылки!$I$215,),0))*IFERROR(INDEX(R$10:R$11,Предпосылки!$I$215,),0),R373/(1+IFERROR(INDEX(R$10:R$11,Предпосылки!$I$216,),0))*IFERROR(INDEX(R$10:R$11,Предпосылки!$I$216,),0),R396/(1+IFERROR(INDEX(R$10:R$11,Предпосылки!$I$217,),0))*IFERROR(INDEX(R$10:R$11,Предпосылки!$I$217,),0),R419/(1+IFERROR(INDEX(R$10:R$11,Предпосылки!$I$218,),0))*IFERROR(INDEX(R$10:R$11,Предпосылки!$I$218,),0),R442/(1+IFERROR(INDEX(R$10:R$11,Предпосылки!$I$219,),0))*IFERROR(INDEX(R$10:R$11,Предпосылки!$I$219,),0),R465/(1+IFERROR(INDEX(R$10:R$11,Предпосылки!$I$220,),0))*IFERROR(INDEX(R$10:R$11,Предпосылки!$I$220,),0))</f>
        <v>0</v>
      </c>
      <c s="125">
        <f>SUM(S28/(1+IFERROR(INDEX(S$10:S$11,Предпосылки!$I$201,),0))*IFERROR(INDEX(S$10:S$11,Предпосылки!$I$201,),0),S51/(1+IFERROR(INDEX(S$10:S$11,Предпосылки!$I$202,),0))*IFERROR(INDEX(S$10:S$11,Предпосылки!$I$202,),0),S74/(1+IFERROR(INDEX(S$10:S$11,Предпосылки!$I$203,),0))*IFERROR(INDEX(S$10:S$11,Предпосылки!$I$203,),0),S97/(1+IFERROR(INDEX(S$10:S$11,Предпосылки!$I$204,),0))*IFERROR(INDEX(S$10:S$11,Предпосылки!$I$204,),0),S120/(1+IFERROR(INDEX(S$10:S$11,Предпосылки!$I$205,),0))*IFERROR(INDEX(S$10:S$11,Предпосылки!$I$205,),0),S143/(1+IFERROR(INDEX(S$10:S$11,Предпосылки!$I$206,),0))*IFERROR(INDEX(S$10:S$11,Предпосылки!$I$206,),0),S166/(1+IFERROR(INDEX(S$10:S$11,Предпосылки!$I$207,),0))*IFERROR(INDEX(S$10:S$11,Предпосылки!$I$207,),0),S189/(1+IFERROR(INDEX(S$10:S$11,Предпосылки!$I$208,),0))*IFERROR(INDEX(S$10:S$11,Предпосылки!$I$208,),0),S212/(1+IFERROR(INDEX(S$10:S$11,Предпосылки!$I$209,),0))*IFERROR(INDEX(S$10:S$11,Предпосылки!$I$209,),0),S235/(1+IFERROR(INDEX(S$10:S$11,Предпосылки!$I$210,),0))*IFERROR(INDEX(S$10:S$11,Предпосылки!$I$210,),0),S258/(1+IFERROR(INDEX(S$10:S$11,Предпосылки!$I$211,),0))*IFERROR(INDEX(S$10:S$11,Предпосылки!$I$211,),0),S281/(1+IFERROR(INDEX(S$10:S$11,Предпосылки!$I$212,),0))*IFERROR(INDEX(S$10:S$11,Предпосылки!$I$212,),0),S304/(1+IFERROR(INDEX(S$10:S$11,Предпосылки!$I$213,),0))*IFERROR(INDEX(S$10:S$11,Предпосылки!$I$213,),0),S327/(1+IFERROR(INDEX(S$10:S$11,Предпосылки!$I$214,),0))*IFERROR(INDEX(S$10:S$11,Предпосылки!$I$214,),0),S350/(1+IFERROR(INDEX(S$10:S$11,Предпосылки!$I$215,),0))*IFERROR(INDEX(S$10:S$11,Предпосылки!$I$215,),0),S373/(1+IFERROR(INDEX(S$10:S$11,Предпосылки!$I$216,),0))*IFERROR(INDEX(S$10:S$11,Предпосылки!$I$216,),0),S396/(1+IFERROR(INDEX(S$10:S$11,Предпосылки!$I$217,),0))*IFERROR(INDEX(S$10:S$11,Предпосылки!$I$217,),0),S419/(1+IFERROR(INDEX(S$10:S$11,Предпосылки!$I$218,),0))*IFERROR(INDEX(S$10:S$11,Предпосылки!$I$218,),0),S442/(1+IFERROR(INDEX(S$10:S$11,Предпосылки!$I$219,),0))*IFERROR(INDEX(S$10:S$11,Предпосылки!$I$219,),0),S465/(1+IFERROR(INDEX(S$10:S$11,Предпосылки!$I$220,),0))*IFERROR(INDEX(S$10:S$11,Предпосылки!$I$220,),0))</f>
        <v>0</v>
      </c>
      <c s="125">
        <f>SUM(T28/(1+IFERROR(INDEX(T$10:T$11,Предпосылки!$I$201,),0))*IFERROR(INDEX(T$10:T$11,Предпосылки!$I$201,),0),T51/(1+IFERROR(INDEX(T$10:T$11,Предпосылки!$I$202,),0))*IFERROR(INDEX(T$10:T$11,Предпосылки!$I$202,),0),T74/(1+IFERROR(INDEX(T$10:T$11,Предпосылки!$I$203,),0))*IFERROR(INDEX(T$10:T$11,Предпосылки!$I$203,),0),T97/(1+IFERROR(INDEX(T$10:T$11,Предпосылки!$I$204,),0))*IFERROR(INDEX(T$10:T$11,Предпосылки!$I$204,),0),T120/(1+IFERROR(INDEX(T$10:T$11,Предпосылки!$I$205,),0))*IFERROR(INDEX(T$10:T$11,Предпосылки!$I$205,),0),T143/(1+IFERROR(INDEX(T$10:T$11,Предпосылки!$I$206,),0))*IFERROR(INDEX(T$10:T$11,Предпосылки!$I$206,),0),T166/(1+IFERROR(INDEX(T$10:T$11,Предпосылки!$I$207,),0))*IFERROR(INDEX(T$10:T$11,Предпосылки!$I$207,),0),T189/(1+IFERROR(INDEX(T$10:T$11,Предпосылки!$I$208,),0))*IFERROR(INDEX(T$10:T$11,Предпосылки!$I$208,),0),T212/(1+IFERROR(INDEX(T$10:T$11,Предпосылки!$I$209,),0))*IFERROR(INDEX(T$10:T$11,Предпосылки!$I$209,),0),T235/(1+IFERROR(INDEX(T$10:T$11,Предпосылки!$I$210,),0))*IFERROR(INDEX(T$10:T$11,Предпосылки!$I$210,),0),T258/(1+IFERROR(INDEX(T$10:T$11,Предпосылки!$I$211,),0))*IFERROR(INDEX(T$10:T$11,Предпосылки!$I$211,),0),T281/(1+IFERROR(INDEX(T$10:T$11,Предпосылки!$I$212,),0))*IFERROR(INDEX(T$10:T$11,Предпосылки!$I$212,),0),T304/(1+IFERROR(INDEX(T$10:T$11,Предпосылки!$I$213,),0))*IFERROR(INDEX(T$10:T$11,Предпосылки!$I$213,),0),T327/(1+IFERROR(INDEX(T$10:T$11,Предпосылки!$I$214,),0))*IFERROR(INDEX(T$10:T$11,Предпосылки!$I$214,),0),T350/(1+IFERROR(INDEX(T$10:T$11,Предпосылки!$I$215,),0))*IFERROR(INDEX(T$10:T$11,Предпосылки!$I$215,),0),T373/(1+IFERROR(INDEX(T$10:T$11,Предпосылки!$I$216,),0))*IFERROR(INDEX(T$10:T$11,Предпосылки!$I$216,),0),T396/(1+IFERROR(INDEX(T$10:T$11,Предпосылки!$I$217,),0))*IFERROR(INDEX(T$10:T$11,Предпосылки!$I$217,),0),T419/(1+IFERROR(INDEX(T$10:T$11,Предпосылки!$I$218,),0))*IFERROR(INDEX(T$10:T$11,Предпосылки!$I$218,),0),T442/(1+IFERROR(INDEX(T$10:T$11,Предпосылки!$I$219,),0))*IFERROR(INDEX(T$10:T$11,Предпосылки!$I$219,),0),T465/(1+IFERROR(INDEX(T$10:T$11,Предпосылки!$I$220,),0))*IFERROR(INDEX(T$10:T$11,Предпосылки!$I$220,),0))</f>
        <v>0</v>
      </c>
      <c s="125">
        <f>SUM(U28/(1+IFERROR(INDEX(U$10:U$11,Предпосылки!$I$201,),0))*IFERROR(INDEX(U$10:U$11,Предпосылки!$I$201,),0),U51/(1+IFERROR(INDEX(U$10:U$11,Предпосылки!$I$202,),0))*IFERROR(INDEX(U$10:U$11,Предпосылки!$I$202,),0),U74/(1+IFERROR(INDEX(U$10:U$11,Предпосылки!$I$203,),0))*IFERROR(INDEX(U$10:U$11,Предпосылки!$I$203,),0),U97/(1+IFERROR(INDEX(U$10:U$11,Предпосылки!$I$204,),0))*IFERROR(INDEX(U$10:U$11,Предпосылки!$I$204,),0),U120/(1+IFERROR(INDEX(U$10:U$11,Предпосылки!$I$205,),0))*IFERROR(INDEX(U$10:U$11,Предпосылки!$I$205,),0),U143/(1+IFERROR(INDEX(U$10:U$11,Предпосылки!$I$206,),0))*IFERROR(INDEX(U$10:U$11,Предпосылки!$I$206,),0),U166/(1+IFERROR(INDEX(U$10:U$11,Предпосылки!$I$207,),0))*IFERROR(INDEX(U$10:U$11,Предпосылки!$I$207,),0),U189/(1+IFERROR(INDEX(U$10:U$11,Предпосылки!$I$208,),0))*IFERROR(INDEX(U$10:U$11,Предпосылки!$I$208,),0),U212/(1+IFERROR(INDEX(U$10:U$11,Предпосылки!$I$209,),0))*IFERROR(INDEX(U$10:U$11,Предпосылки!$I$209,),0),U235/(1+IFERROR(INDEX(U$10:U$11,Предпосылки!$I$210,),0))*IFERROR(INDEX(U$10:U$11,Предпосылки!$I$210,),0),U258/(1+IFERROR(INDEX(U$10:U$11,Предпосылки!$I$211,),0))*IFERROR(INDEX(U$10:U$11,Предпосылки!$I$211,),0),U281/(1+IFERROR(INDEX(U$10:U$11,Предпосылки!$I$212,),0))*IFERROR(INDEX(U$10:U$11,Предпосылки!$I$212,),0),U304/(1+IFERROR(INDEX(U$10:U$11,Предпосылки!$I$213,),0))*IFERROR(INDEX(U$10:U$11,Предпосылки!$I$213,),0),U327/(1+IFERROR(INDEX(U$10:U$11,Предпосылки!$I$214,),0))*IFERROR(INDEX(U$10:U$11,Предпосылки!$I$214,),0),U350/(1+IFERROR(INDEX(U$10:U$11,Предпосылки!$I$215,),0))*IFERROR(INDEX(U$10:U$11,Предпосылки!$I$215,),0),U373/(1+IFERROR(INDEX(U$10:U$11,Предпосылки!$I$216,),0))*IFERROR(INDEX(U$10:U$11,Предпосылки!$I$216,),0),U396/(1+IFERROR(INDEX(U$10:U$11,Предпосылки!$I$217,),0))*IFERROR(INDEX(U$10:U$11,Предпосылки!$I$217,),0),U419/(1+IFERROR(INDEX(U$10:U$11,Предпосылки!$I$218,),0))*IFERROR(INDEX(U$10:U$11,Предпосылки!$I$218,),0),U442/(1+IFERROR(INDEX(U$10:U$11,Предпосылки!$I$219,),0))*IFERROR(INDEX(U$10:U$11,Предпосылки!$I$219,),0),U465/(1+IFERROR(INDEX(U$10:U$11,Предпосылки!$I$220,),0))*IFERROR(INDEX(U$10:U$11,Предпосылки!$I$220,),0))</f>
        <v>0</v>
      </c>
      <c s="125">
        <f>SUM(V28/(1+IFERROR(INDEX(V$10:V$11,Предпосылки!$I$201,),0))*IFERROR(INDEX(V$10:V$11,Предпосылки!$I$201,),0),V51/(1+IFERROR(INDEX(V$10:V$11,Предпосылки!$I$202,),0))*IFERROR(INDEX(V$10:V$11,Предпосылки!$I$202,),0),V74/(1+IFERROR(INDEX(V$10:V$11,Предпосылки!$I$203,),0))*IFERROR(INDEX(V$10:V$11,Предпосылки!$I$203,),0),V97/(1+IFERROR(INDEX(V$10:V$11,Предпосылки!$I$204,),0))*IFERROR(INDEX(V$10:V$11,Предпосылки!$I$204,),0),V120/(1+IFERROR(INDEX(V$10:V$11,Предпосылки!$I$205,),0))*IFERROR(INDEX(V$10:V$11,Предпосылки!$I$205,),0),V143/(1+IFERROR(INDEX(V$10:V$11,Предпосылки!$I$206,),0))*IFERROR(INDEX(V$10:V$11,Предпосылки!$I$206,),0),V166/(1+IFERROR(INDEX(V$10:V$11,Предпосылки!$I$207,),0))*IFERROR(INDEX(V$10:V$11,Предпосылки!$I$207,),0),V189/(1+IFERROR(INDEX(V$10:V$11,Предпосылки!$I$208,),0))*IFERROR(INDEX(V$10:V$11,Предпосылки!$I$208,),0),V212/(1+IFERROR(INDEX(V$10:V$11,Предпосылки!$I$209,),0))*IFERROR(INDEX(V$10:V$11,Предпосылки!$I$209,),0),V235/(1+IFERROR(INDEX(V$10:V$11,Предпосылки!$I$210,),0))*IFERROR(INDEX(V$10:V$11,Предпосылки!$I$210,),0),V258/(1+IFERROR(INDEX(V$10:V$11,Предпосылки!$I$211,),0))*IFERROR(INDEX(V$10:V$11,Предпосылки!$I$211,),0),V281/(1+IFERROR(INDEX(V$10:V$11,Предпосылки!$I$212,),0))*IFERROR(INDEX(V$10:V$11,Предпосылки!$I$212,),0),V304/(1+IFERROR(INDEX(V$10:V$11,Предпосылки!$I$213,),0))*IFERROR(INDEX(V$10:V$11,Предпосылки!$I$213,),0),V327/(1+IFERROR(INDEX(V$10:V$11,Предпосылки!$I$214,),0))*IFERROR(INDEX(V$10:V$11,Предпосылки!$I$214,),0),V350/(1+IFERROR(INDEX(V$10:V$11,Предпосылки!$I$215,),0))*IFERROR(INDEX(V$10:V$11,Предпосылки!$I$215,),0),V373/(1+IFERROR(INDEX(V$10:V$11,Предпосылки!$I$216,),0))*IFERROR(INDEX(V$10:V$11,Предпосылки!$I$216,),0),V396/(1+IFERROR(INDEX(V$10:V$11,Предпосылки!$I$217,),0))*IFERROR(INDEX(V$10:V$11,Предпосылки!$I$217,),0),V419/(1+IFERROR(INDEX(V$10:V$11,Предпосылки!$I$218,),0))*IFERROR(INDEX(V$10:V$11,Предпосылки!$I$218,),0),V442/(1+IFERROR(INDEX(V$10:V$11,Предпосылки!$I$219,),0))*IFERROR(INDEX(V$10:V$11,Предпосылки!$I$219,),0),V465/(1+IFERROR(INDEX(V$10:V$11,Предпосылки!$I$220,),0))*IFERROR(INDEX(V$10:V$11,Предпосылки!$I$220,),0))</f>
        <v>0</v>
      </c>
      <c s="125">
        <f>SUM(W28/(1+IFERROR(INDEX(W$10:W$11,Предпосылки!$I$201,),0))*IFERROR(INDEX(W$10:W$11,Предпосылки!$I$201,),0),W51/(1+IFERROR(INDEX(W$10:W$11,Предпосылки!$I$202,),0))*IFERROR(INDEX(W$10:W$11,Предпосылки!$I$202,),0),W74/(1+IFERROR(INDEX(W$10:W$11,Предпосылки!$I$203,),0))*IFERROR(INDEX(W$10:W$11,Предпосылки!$I$203,),0),W97/(1+IFERROR(INDEX(W$10:W$11,Предпосылки!$I$204,),0))*IFERROR(INDEX(W$10:W$11,Предпосылки!$I$204,),0),W120/(1+IFERROR(INDEX(W$10:W$11,Предпосылки!$I$205,),0))*IFERROR(INDEX(W$10:W$11,Предпосылки!$I$205,),0),W143/(1+IFERROR(INDEX(W$10:W$11,Предпосылки!$I$206,),0))*IFERROR(INDEX(W$10:W$11,Предпосылки!$I$206,),0),W166/(1+IFERROR(INDEX(W$10:W$11,Предпосылки!$I$207,),0))*IFERROR(INDEX(W$10:W$11,Предпосылки!$I$207,),0),W189/(1+IFERROR(INDEX(W$10:W$11,Предпосылки!$I$208,),0))*IFERROR(INDEX(W$10:W$11,Предпосылки!$I$208,),0),W212/(1+IFERROR(INDEX(W$10:W$11,Предпосылки!$I$209,),0))*IFERROR(INDEX(W$10:W$11,Предпосылки!$I$209,),0),W235/(1+IFERROR(INDEX(W$10:W$11,Предпосылки!$I$210,),0))*IFERROR(INDEX(W$10:W$11,Предпосылки!$I$210,),0),W258/(1+IFERROR(INDEX(W$10:W$11,Предпосылки!$I$211,),0))*IFERROR(INDEX(W$10:W$11,Предпосылки!$I$211,),0),W281/(1+IFERROR(INDEX(W$10:W$11,Предпосылки!$I$212,),0))*IFERROR(INDEX(W$10:W$11,Предпосылки!$I$212,),0),W304/(1+IFERROR(INDEX(W$10:W$11,Предпосылки!$I$213,),0))*IFERROR(INDEX(W$10:W$11,Предпосылки!$I$213,),0),W327/(1+IFERROR(INDEX(W$10:W$11,Предпосылки!$I$214,),0))*IFERROR(INDEX(W$10:W$11,Предпосылки!$I$214,),0),W350/(1+IFERROR(INDEX(W$10:W$11,Предпосылки!$I$215,),0))*IFERROR(INDEX(W$10:W$11,Предпосылки!$I$215,),0),W373/(1+IFERROR(INDEX(W$10:W$11,Предпосылки!$I$216,),0))*IFERROR(INDEX(W$10:W$11,Предпосылки!$I$216,),0),W396/(1+IFERROR(INDEX(W$10:W$11,Предпосылки!$I$217,),0))*IFERROR(INDEX(W$10:W$11,Предпосылки!$I$217,),0),W419/(1+IFERROR(INDEX(W$10:W$11,Предпосылки!$I$218,),0))*IFERROR(INDEX(W$10:W$11,Предпосылки!$I$218,),0),W442/(1+IFERROR(INDEX(W$10:W$11,Предпосылки!$I$219,),0))*IFERROR(INDEX(W$10:W$11,Предпосылки!$I$219,),0),W465/(1+IFERROR(INDEX(W$10:W$11,Предпосылки!$I$220,),0))*IFERROR(INDEX(W$10:W$11,Предпосылки!$I$220,),0))</f>
        <v>0</v>
      </c>
      <c s="125">
        <f>SUM(X28/(1+IFERROR(INDEX(X$10:X$11,Предпосылки!$I$201,),0))*IFERROR(INDEX(X$10:X$11,Предпосылки!$I$201,),0),X51/(1+IFERROR(INDEX(X$10:X$11,Предпосылки!$I$202,),0))*IFERROR(INDEX(X$10:X$11,Предпосылки!$I$202,),0),X74/(1+IFERROR(INDEX(X$10:X$11,Предпосылки!$I$203,),0))*IFERROR(INDEX(X$10:X$11,Предпосылки!$I$203,),0),X97/(1+IFERROR(INDEX(X$10:X$11,Предпосылки!$I$204,),0))*IFERROR(INDEX(X$10:X$11,Предпосылки!$I$204,),0),X120/(1+IFERROR(INDEX(X$10:X$11,Предпосылки!$I$205,),0))*IFERROR(INDEX(X$10:X$11,Предпосылки!$I$205,),0),X143/(1+IFERROR(INDEX(X$10:X$11,Предпосылки!$I$206,),0))*IFERROR(INDEX(X$10:X$11,Предпосылки!$I$206,),0),X166/(1+IFERROR(INDEX(X$10:X$11,Предпосылки!$I$207,),0))*IFERROR(INDEX(X$10:X$11,Предпосылки!$I$207,),0),X189/(1+IFERROR(INDEX(X$10:X$11,Предпосылки!$I$208,),0))*IFERROR(INDEX(X$10:X$11,Предпосылки!$I$208,),0),X212/(1+IFERROR(INDEX(X$10:X$11,Предпосылки!$I$209,),0))*IFERROR(INDEX(X$10:X$11,Предпосылки!$I$209,),0),X235/(1+IFERROR(INDEX(X$10:X$11,Предпосылки!$I$210,),0))*IFERROR(INDEX(X$10:X$11,Предпосылки!$I$210,),0),X258/(1+IFERROR(INDEX(X$10:X$11,Предпосылки!$I$211,),0))*IFERROR(INDEX(X$10:X$11,Предпосылки!$I$211,),0),X281/(1+IFERROR(INDEX(X$10:X$11,Предпосылки!$I$212,),0))*IFERROR(INDEX(X$10:X$11,Предпосылки!$I$212,),0),X304/(1+IFERROR(INDEX(X$10:X$11,Предпосылки!$I$213,),0))*IFERROR(INDEX(X$10:X$11,Предпосылки!$I$213,),0),X327/(1+IFERROR(INDEX(X$10:X$11,Предпосылки!$I$214,),0))*IFERROR(INDEX(X$10:X$11,Предпосылки!$I$214,),0),X350/(1+IFERROR(INDEX(X$10:X$11,Предпосылки!$I$215,),0))*IFERROR(INDEX(X$10:X$11,Предпосылки!$I$215,),0),X373/(1+IFERROR(INDEX(X$10:X$11,Предпосылки!$I$216,),0))*IFERROR(INDEX(X$10:X$11,Предпосылки!$I$216,),0),X396/(1+IFERROR(INDEX(X$10:X$11,Предпосылки!$I$217,),0))*IFERROR(INDEX(X$10:X$11,Предпосылки!$I$217,),0),X419/(1+IFERROR(INDEX(X$10:X$11,Предпосылки!$I$218,),0))*IFERROR(INDEX(X$10:X$11,Предпосылки!$I$218,),0),X442/(1+IFERROR(INDEX(X$10:X$11,Предпосылки!$I$219,),0))*IFERROR(INDEX(X$10:X$11,Предпосылки!$I$219,),0),X465/(1+IFERROR(INDEX(X$10:X$11,Предпосылки!$I$220,),0))*IFERROR(INDEX(X$10:X$11,Предпосылки!$I$220,),0))</f>
        <v>0</v>
      </c>
      <c s="125">
        <f>SUM(Y28/(1+IFERROR(INDEX(Y$10:Y$11,Предпосылки!$I$201,),0))*IFERROR(INDEX(Y$10:Y$11,Предпосылки!$I$201,),0),Y51/(1+IFERROR(INDEX(Y$10:Y$11,Предпосылки!$I$202,),0))*IFERROR(INDEX(Y$10:Y$11,Предпосылки!$I$202,),0),Y74/(1+IFERROR(INDEX(Y$10:Y$11,Предпосылки!$I$203,),0))*IFERROR(INDEX(Y$10:Y$11,Предпосылки!$I$203,),0),Y97/(1+IFERROR(INDEX(Y$10:Y$11,Предпосылки!$I$204,),0))*IFERROR(INDEX(Y$10:Y$11,Предпосылки!$I$204,),0),Y120/(1+IFERROR(INDEX(Y$10:Y$11,Предпосылки!$I$205,),0))*IFERROR(INDEX(Y$10:Y$11,Предпосылки!$I$205,),0),Y143/(1+IFERROR(INDEX(Y$10:Y$11,Предпосылки!$I$206,),0))*IFERROR(INDEX(Y$10:Y$11,Предпосылки!$I$206,),0),Y166/(1+IFERROR(INDEX(Y$10:Y$11,Предпосылки!$I$207,),0))*IFERROR(INDEX(Y$10:Y$11,Предпосылки!$I$207,),0),Y189/(1+IFERROR(INDEX(Y$10:Y$11,Предпосылки!$I$208,),0))*IFERROR(INDEX(Y$10:Y$11,Предпосылки!$I$208,),0),Y212/(1+IFERROR(INDEX(Y$10:Y$11,Предпосылки!$I$209,),0))*IFERROR(INDEX(Y$10:Y$11,Предпосылки!$I$209,),0),Y235/(1+IFERROR(INDEX(Y$10:Y$11,Предпосылки!$I$210,),0))*IFERROR(INDEX(Y$10:Y$11,Предпосылки!$I$210,),0),Y258/(1+IFERROR(INDEX(Y$10:Y$11,Предпосылки!$I$211,),0))*IFERROR(INDEX(Y$10:Y$11,Предпосылки!$I$211,),0),Y281/(1+IFERROR(INDEX(Y$10:Y$11,Предпосылки!$I$212,),0))*IFERROR(INDEX(Y$10:Y$11,Предпосылки!$I$212,),0),Y304/(1+IFERROR(INDEX(Y$10:Y$11,Предпосылки!$I$213,),0))*IFERROR(INDEX(Y$10:Y$11,Предпосылки!$I$213,),0),Y327/(1+IFERROR(INDEX(Y$10:Y$11,Предпосылки!$I$214,),0))*IFERROR(INDEX(Y$10:Y$11,Предпосылки!$I$214,),0),Y350/(1+IFERROR(INDEX(Y$10:Y$11,Предпосылки!$I$215,),0))*IFERROR(INDEX(Y$10:Y$11,Предпосылки!$I$215,),0),Y373/(1+IFERROR(INDEX(Y$10:Y$11,Предпосылки!$I$216,),0))*IFERROR(INDEX(Y$10:Y$11,Предпосылки!$I$216,),0),Y396/(1+IFERROR(INDEX(Y$10:Y$11,Предпосылки!$I$217,),0))*IFERROR(INDEX(Y$10:Y$11,Предпосылки!$I$217,),0),Y419/(1+IFERROR(INDEX(Y$10:Y$11,Предпосылки!$I$218,),0))*IFERROR(INDEX(Y$10:Y$11,Предпосылки!$I$218,),0),Y442/(1+IFERROR(INDEX(Y$10:Y$11,Предпосылки!$I$219,),0))*IFERROR(INDEX(Y$10:Y$11,Предпосылки!$I$219,),0),Y465/(1+IFERROR(INDEX(Y$10:Y$11,Предпосылки!$I$220,),0))*IFERROR(INDEX(Y$10:Y$11,Предпосылки!$I$220,),0))</f>
        <v>0</v>
      </c>
      <c s="125">
        <f>SUM(Z28/(1+IFERROR(INDEX(Z$10:Z$11,Предпосылки!$I$201,),0))*IFERROR(INDEX(Z$10:Z$11,Предпосылки!$I$201,),0),Z51/(1+IFERROR(INDEX(Z$10:Z$11,Предпосылки!$I$202,),0))*IFERROR(INDEX(Z$10:Z$11,Предпосылки!$I$202,),0),Z74/(1+IFERROR(INDEX(Z$10:Z$11,Предпосылки!$I$203,),0))*IFERROR(INDEX(Z$10:Z$11,Предпосылки!$I$203,),0),Z97/(1+IFERROR(INDEX(Z$10:Z$11,Предпосылки!$I$204,),0))*IFERROR(INDEX(Z$10:Z$11,Предпосылки!$I$204,),0),Z120/(1+IFERROR(INDEX(Z$10:Z$11,Предпосылки!$I$205,),0))*IFERROR(INDEX(Z$10:Z$11,Предпосылки!$I$205,),0),Z143/(1+IFERROR(INDEX(Z$10:Z$11,Предпосылки!$I$206,),0))*IFERROR(INDEX(Z$10:Z$11,Предпосылки!$I$206,),0),Z166/(1+IFERROR(INDEX(Z$10:Z$11,Предпосылки!$I$207,),0))*IFERROR(INDEX(Z$10:Z$11,Предпосылки!$I$207,),0),Z189/(1+IFERROR(INDEX(Z$10:Z$11,Предпосылки!$I$208,),0))*IFERROR(INDEX(Z$10:Z$11,Предпосылки!$I$208,),0),Z212/(1+IFERROR(INDEX(Z$10:Z$11,Предпосылки!$I$209,),0))*IFERROR(INDEX(Z$10:Z$11,Предпосылки!$I$209,),0),Z235/(1+IFERROR(INDEX(Z$10:Z$11,Предпосылки!$I$210,),0))*IFERROR(INDEX(Z$10:Z$11,Предпосылки!$I$210,),0),Z258/(1+IFERROR(INDEX(Z$10:Z$11,Предпосылки!$I$211,),0))*IFERROR(INDEX(Z$10:Z$11,Предпосылки!$I$211,),0),Z281/(1+IFERROR(INDEX(Z$10:Z$11,Предпосылки!$I$212,),0))*IFERROR(INDEX(Z$10:Z$11,Предпосылки!$I$212,),0),Z304/(1+IFERROR(INDEX(Z$10:Z$11,Предпосылки!$I$213,),0))*IFERROR(INDEX(Z$10:Z$11,Предпосылки!$I$213,),0),Z327/(1+IFERROR(INDEX(Z$10:Z$11,Предпосылки!$I$214,),0))*IFERROR(INDEX(Z$10:Z$11,Предпосылки!$I$214,),0),Z350/(1+IFERROR(INDEX(Z$10:Z$11,Предпосылки!$I$215,),0))*IFERROR(INDEX(Z$10:Z$11,Предпосылки!$I$215,),0),Z373/(1+IFERROR(INDEX(Z$10:Z$11,Предпосылки!$I$216,),0))*IFERROR(INDEX(Z$10:Z$11,Предпосылки!$I$216,),0),Z396/(1+IFERROR(INDEX(Z$10:Z$11,Предпосылки!$I$217,),0))*IFERROR(INDEX(Z$10:Z$11,Предпосылки!$I$217,),0),Z419/(1+IFERROR(INDEX(Z$10:Z$11,Предпосылки!$I$218,),0))*IFERROR(INDEX(Z$10:Z$11,Предпосылки!$I$218,),0),Z442/(1+IFERROR(INDEX(Z$10:Z$11,Предпосылки!$I$219,),0))*IFERROR(INDEX(Z$10:Z$11,Предпосылки!$I$219,),0),Z465/(1+IFERROR(INDEX(Z$10:Z$11,Предпосылки!$I$220,),0))*IFERROR(INDEX(Z$10:Z$11,Предпосылки!$I$220,),0))</f>
        <v>0</v>
      </c>
      <c s="125">
        <f>SUM(AA28/(1+IFERROR(INDEX(AA$10:AA$11,Предпосылки!$I$201,),0))*IFERROR(INDEX(AA$10:AA$11,Предпосылки!$I$201,),0),AA51/(1+IFERROR(INDEX(AA$10:AA$11,Предпосылки!$I$202,),0))*IFERROR(INDEX(AA$10:AA$11,Предпосылки!$I$202,),0),AA74/(1+IFERROR(INDEX(AA$10:AA$11,Предпосылки!$I$203,),0))*IFERROR(INDEX(AA$10:AA$11,Предпосылки!$I$203,),0),AA97/(1+IFERROR(INDEX(AA$10:AA$11,Предпосылки!$I$204,),0))*IFERROR(INDEX(AA$10:AA$11,Предпосылки!$I$204,),0),AA120/(1+IFERROR(INDEX(AA$10:AA$11,Предпосылки!$I$205,),0))*IFERROR(INDEX(AA$10:AA$11,Предпосылки!$I$205,),0),AA143/(1+IFERROR(INDEX(AA$10:AA$11,Предпосылки!$I$206,),0))*IFERROR(INDEX(AA$10:AA$11,Предпосылки!$I$206,),0),AA166/(1+IFERROR(INDEX(AA$10:AA$11,Предпосылки!$I$207,),0))*IFERROR(INDEX(AA$10:AA$11,Предпосылки!$I$207,),0),AA189/(1+IFERROR(INDEX(AA$10:AA$11,Предпосылки!$I$208,),0))*IFERROR(INDEX(AA$10:AA$11,Предпосылки!$I$208,),0),AA212/(1+IFERROR(INDEX(AA$10:AA$11,Предпосылки!$I$209,),0))*IFERROR(INDEX(AA$10:AA$11,Предпосылки!$I$209,),0),AA235/(1+IFERROR(INDEX(AA$10:AA$11,Предпосылки!$I$210,),0))*IFERROR(INDEX(AA$10:AA$11,Предпосылки!$I$210,),0),AA258/(1+IFERROR(INDEX(AA$10:AA$11,Предпосылки!$I$211,),0))*IFERROR(INDEX(AA$10:AA$11,Предпосылки!$I$211,),0),AA281/(1+IFERROR(INDEX(AA$10:AA$11,Предпосылки!$I$212,),0))*IFERROR(INDEX(AA$10:AA$11,Предпосылки!$I$212,),0),AA304/(1+IFERROR(INDEX(AA$10:AA$11,Предпосылки!$I$213,),0))*IFERROR(INDEX(AA$10:AA$11,Предпосылки!$I$213,),0),AA327/(1+IFERROR(INDEX(AA$10:AA$11,Предпосылки!$I$214,),0))*IFERROR(INDEX(AA$10:AA$11,Предпосылки!$I$214,),0),AA350/(1+IFERROR(INDEX(AA$10:AA$11,Предпосылки!$I$215,),0))*IFERROR(INDEX(AA$10:AA$11,Предпосылки!$I$215,),0),AA373/(1+IFERROR(INDEX(AA$10:AA$11,Предпосылки!$I$216,),0))*IFERROR(INDEX(AA$10:AA$11,Предпосылки!$I$216,),0),AA396/(1+IFERROR(INDEX(AA$10:AA$11,Предпосылки!$I$217,),0))*IFERROR(INDEX(AA$10:AA$11,Предпосылки!$I$217,),0),AA419/(1+IFERROR(INDEX(AA$10:AA$11,Предпосылки!$I$218,),0))*IFERROR(INDEX(AA$10:AA$11,Предпосылки!$I$218,),0),AA442/(1+IFERROR(INDEX(AA$10:AA$11,Предпосылки!$I$219,),0))*IFERROR(INDEX(AA$10:AA$11,Предпосылки!$I$219,),0),AA465/(1+IFERROR(INDEX(AA$10:AA$11,Предпосылки!$I$220,),0))*IFERROR(INDEX(AA$10:AA$11,Предпосылки!$I$220,),0))</f>
        <v>0</v>
      </c>
      <c s="125">
        <f>SUM(AB28/(1+IFERROR(INDEX(AB$10:AB$11,Предпосылки!$I$201,),0))*IFERROR(INDEX(AB$10:AB$11,Предпосылки!$I$201,),0),AB51/(1+IFERROR(INDEX(AB$10:AB$11,Предпосылки!$I$202,),0))*IFERROR(INDEX(AB$10:AB$11,Предпосылки!$I$202,),0),AB74/(1+IFERROR(INDEX(AB$10:AB$11,Предпосылки!$I$203,),0))*IFERROR(INDEX(AB$10:AB$11,Предпосылки!$I$203,),0),AB97/(1+IFERROR(INDEX(AB$10:AB$11,Предпосылки!$I$204,),0))*IFERROR(INDEX(AB$10:AB$11,Предпосылки!$I$204,),0),AB120/(1+IFERROR(INDEX(AB$10:AB$11,Предпосылки!$I$205,),0))*IFERROR(INDEX(AB$10:AB$11,Предпосылки!$I$205,),0),AB143/(1+IFERROR(INDEX(AB$10:AB$11,Предпосылки!$I$206,),0))*IFERROR(INDEX(AB$10:AB$11,Предпосылки!$I$206,),0),AB166/(1+IFERROR(INDEX(AB$10:AB$11,Предпосылки!$I$207,),0))*IFERROR(INDEX(AB$10:AB$11,Предпосылки!$I$207,),0),AB189/(1+IFERROR(INDEX(AB$10:AB$11,Предпосылки!$I$208,),0))*IFERROR(INDEX(AB$10:AB$11,Предпосылки!$I$208,),0),AB212/(1+IFERROR(INDEX(AB$10:AB$11,Предпосылки!$I$209,),0))*IFERROR(INDEX(AB$10:AB$11,Предпосылки!$I$209,),0),AB235/(1+IFERROR(INDEX(AB$10:AB$11,Предпосылки!$I$210,),0))*IFERROR(INDEX(AB$10:AB$11,Предпосылки!$I$210,),0),AB258/(1+IFERROR(INDEX(AB$10:AB$11,Предпосылки!$I$211,),0))*IFERROR(INDEX(AB$10:AB$11,Предпосылки!$I$211,),0),AB281/(1+IFERROR(INDEX(AB$10:AB$11,Предпосылки!$I$212,),0))*IFERROR(INDEX(AB$10:AB$11,Предпосылки!$I$212,),0),AB304/(1+IFERROR(INDEX(AB$10:AB$11,Предпосылки!$I$213,),0))*IFERROR(INDEX(AB$10:AB$11,Предпосылки!$I$213,),0),AB327/(1+IFERROR(INDEX(AB$10:AB$11,Предпосылки!$I$214,),0))*IFERROR(INDEX(AB$10:AB$11,Предпосылки!$I$214,),0),AB350/(1+IFERROR(INDEX(AB$10:AB$11,Предпосылки!$I$215,),0))*IFERROR(INDEX(AB$10:AB$11,Предпосылки!$I$215,),0),AB373/(1+IFERROR(INDEX(AB$10:AB$11,Предпосылки!$I$216,),0))*IFERROR(INDEX(AB$10:AB$11,Предпосылки!$I$216,),0),AB396/(1+IFERROR(INDEX(AB$10:AB$11,Предпосылки!$I$217,),0))*IFERROR(INDEX(AB$10:AB$11,Предпосылки!$I$217,),0),AB419/(1+IFERROR(INDEX(AB$10:AB$11,Предпосылки!$I$218,),0))*IFERROR(INDEX(AB$10:AB$11,Предпосылки!$I$218,),0),AB442/(1+IFERROR(INDEX(AB$10:AB$11,Предпосылки!$I$219,),0))*IFERROR(INDEX(AB$10:AB$11,Предпосылки!$I$219,),0),AB465/(1+IFERROR(INDEX(AB$10:AB$11,Предпосылки!$I$220,),0))*IFERROR(INDEX(AB$10:AB$11,Предпосылки!$I$220,),0))</f>
        <v>0</v>
      </c>
      <c s="125">
        <f>SUM(AC28/(1+IFERROR(INDEX(AC$10:AC$11,Предпосылки!$I$201,),0))*IFERROR(INDEX(AC$10:AC$11,Предпосылки!$I$201,),0),AC51/(1+IFERROR(INDEX(AC$10:AC$11,Предпосылки!$I$202,),0))*IFERROR(INDEX(AC$10:AC$11,Предпосылки!$I$202,),0),AC74/(1+IFERROR(INDEX(AC$10:AC$11,Предпосылки!$I$203,),0))*IFERROR(INDEX(AC$10:AC$11,Предпосылки!$I$203,),0),AC97/(1+IFERROR(INDEX(AC$10:AC$11,Предпосылки!$I$204,),0))*IFERROR(INDEX(AC$10:AC$11,Предпосылки!$I$204,),0),AC120/(1+IFERROR(INDEX(AC$10:AC$11,Предпосылки!$I$205,),0))*IFERROR(INDEX(AC$10:AC$11,Предпосылки!$I$205,),0),AC143/(1+IFERROR(INDEX(AC$10:AC$11,Предпосылки!$I$206,),0))*IFERROR(INDEX(AC$10:AC$11,Предпосылки!$I$206,),0),AC166/(1+IFERROR(INDEX(AC$10:AC$11,Предпосылки!$I$207,),0))*IFERROR(INDEX(AC$10:AC$11,Предпосылки!$I$207,),0),AC189/(1+IFERROR(INDEX(AC$10:AC$11,Предпосылки!$I$208,),0))*IFERROR(INDEX(AC$10:AC$11,Предпосылки!$I$208,),0),AC212/(1+IFERROR(INDEX(AC$10:AC$11,Предпосылки!$I$209,),0))*IFERROR(INDEX(AC$10:AC$11,Предпосылки!$I$209,),0),AC235/(1+IFERROR(INDEX(AC$10:AC$11,Предпосылки!$I$210,),0))*IFERROR(INDEX(AC$10:AC$11,Предпосылки!$I$210,),0),AC258/(1+IFERROR(INDEX(AC$10:AC$11,Предпосылки!$I$211,),0))*IFERROR(INDEX(AC$10:AC$11,Предпосылки!$I$211,),0),AC281/(1+IFERROR(INDEX(AC$10:AC$11,Предпосылки!$I$212,),0))*IFERROR(INDEX(AC$10:AC$11,Предпосылки!$I$212,),0),AC304/(1+IFERROR(INDEX(AC$10:AC$11,Предпосылки!$I$213,),0))*IFERROR(INDEX(AC$10:AC$11,Предпосылки!$I$213,),0),AC327/(1+IFERROR(INDEX(AC$10:AC$11,Предпосылки!$I$214,),0))*IFERROR(INDEX(AC$10:AC$11,Предпосылки!$I$214,),0),AC350/(1+IFERROR(INDEX(AC$10:AC$11,Предпосылки!$I$215,),0))*IFERROR(INDEX(AC$10:AC$11,Предпосылки!$I$215,),0),AC373/(1+IFERROR(INDEX(AC$10:AC$11,Предпосылки!$I$216,),0))*IFERROR(INDEX(AC$10:AC$11,Предпосылки!$I$216,),0),AC396/(1+IFERROR(INDEX(AC$10:AC$11,Предпосылки!$I$217,),0))*IFERROR(INDEX(AC$10:AC$11,Предпосылки!$I$217,),0),AC419/(1+IFERROR(INDEX(AC$10:AC$11,Предпосылки!$I$218,),0))*IFERROR(INDEX(AC$10:AC$11,Предпосылки!$I$218,),0),AC442/(1+IFERROR(INDEX(AC$10:AC$11,Предпосылки!$I$219,),0))*IFERROR(INDEX(AC$10:AC$11,Предпосылки!$I$219,),0),AC465/(1+IFERROR(INDEX(AC$10:AC$11,Предпосылки!$I$220,),0))*IFERROR(INDEX(AC$10:AC$11,Предпосылки!$I$220,),0))</f>
        <v>0</v>
      </c>
      <c s="125">
        <f>SUM(AD28/(1+IFERROR(INDEX(AD$10:AD$11,Предпосылки!$I$201,),0))*IFERROR(INDEX(AD$10:AD$11,Предпосылки!$I$201,),0),AD51/(1+IFERROR(INDEX(AD$10:AD$11,Предпосылки!$I$202,),0))*IFERROR(INDEX(AD$10:AD$11,Предпосылки!$I$202,),0),AD74/(1+IFERROR(INDEX(AD$10:AD$11,Предпосылки!$I$203,),0))*IFERROR(INDEX(AD$10:AD$11,Предпосылки!$I$203,),0),AD97/(1+IFERROR(INDEX(AD$10:AD$11,Предпосылки!$I$204,),0))*IFERROR(INDEX(AD$10:AD$11,Предпосылки!$I$204,),0),AD120/(1+IFERROR(INDEX(AD$10:AD$11,Предпосылки!$I$205,),0))*IFERROR(INDEX(AD$10:AD$11,Предпосылки!$I$205,),0),AD143/(1+IFERROR(INDEX(AD$10:AD$11,Предпосылки!$I$206,),0))*IFERROR(INDEX(AD$10:AD$11,Предпосылки!$I$206,),0),AD166/(1+IFERROR(INDEX(AD$10:AD$11,Предпосылки!$I$207,),0))*IFERROR(INDEX(AD$10:AD$11,Предпосылки!$I$207,),0),AD189/(1+IFERROR(INDEX(AD$10:AD$11,Предпосылки!$I$208,),0))*IFERROR(INDEX(AD$10:AD$11,Предпосылки!$I$208,),0),AD212/(1+IFERROR(INDEX(AD$10:AD$11,Предпосылки!$I$209,),0))*IFERROR(INDEX(AD$10:AD$11,Предпосылки!$I$209,),0),AD235/(1+IFERROR(INDEX(AD$10:AD$11,Предпосылки!$I$210,),0))*IFERROR(INDEX(AD$10:AD$11,Предпосылки!$I$210,),0),AD258/(1+IFERROR(INDEX(AD$10:AD$11,Предпосылки!$I$211,),0))*IFERROR(INDEX(AD$10:AD$11,Предпосылки!$I$211,),0),AD281/(1+IFERROR(INDEX(AD$10:AD$11,Предпосылки!$I$212,),0))*IFERROR(INDEX(AD$10:AD$11,Предпосылки!$I$212,),0),AD304/(1+IFERROR(INDEX(AD$10:AD$11,Предпосылки!$I$213,),0))*IFERROR(INDEX(AD$10:AD$11,Предпосылки!$I$213,),0),AD327/(1+IFERROR(INDEX(AD$10:AD$11,Предпосылки!$I$214,),0))*IFERROR(INDEX(AD$10:AD$11,Предпосылки!$I$214,),0),AD350/(1+IFERROR(INDEX(AD$10:AD$11,Предпосылки!$I$215,),0))*IFERROR(INDEX(AD$10:AD$11,Предпосылки!$I$215,),0),AD373/(1+IFERROR(INDEX(AD$10:AD$11,Предпосылки!$I$216,),0))*IFERROR(INDEX(AD$10:AD$11,Предпосылки!$I$216,),0),AD396/(1+IFERROR(INDEX(AD$10:AD$11,Предпосылки!$I$217,),0))*IFERROR(INDEX(AD$10:AD$11,Предпосылки!$I$217,),0),AD419/(1+IFERROR(INDEX(AD$10:AD$11,Предпосылки!$I$218,),0))*IFERROR(INDEX(AD$10:AD$11,Предпосылки!$I$218,),0),AD442/(1+IFERROR(INDEX(AD$10:AD$11,Предпосылки!$I$219,),0))*IFERROR(INDEX(AD$10:AD$11,Предпосылки!$I$219,),0),AD465/(1+IFERROR(INDEX(AD$10:AD$11,Предпосылки!$I$220,),0))*IFERROR(INDEX(AD$10:AD$11,Предпосылки!$I$220,),0))</f>
        <v>0</v>
      </c>
      <c s="125">
        <f>SUM(AE28/(1+IFERROR(INDEX(AE$10:AE$11,Предпосылки!$I$201,),0))*IFERROR(INDEX(AE$10:AE$11,Предпосылки!$I$201,),0),AE51/(1+IFERROR(INDEX(AE$10:AE$11,Предпосылки!$I$202,),0))*IFERROR(INDEX(AE$10:AE$11,Предпосылки!$I$202,),0),AE74/(1+IFERROR(INDEX(AE$10:AE$11,Предпосылки!$I$203,),0))*IFERROR(INDEX(AE$10:AE$11,Предпосылки!$I$203,),0),AE97/(1+IFERROR(INDEX(AE$10:AE$11,Предпосылки!$I$204,),0))*IFERROR(INDEX(AE$10:AE$11,Предпосылки!$I$204,),0),AE120/(1+IFERROR(INDEX(AE$10:AE$11,Предпосылки!$I$205,),0))*IFERROR(INDEX(AE$10:AE$11,Предпосылки!$I$205,),0),AE143/(1+IFERROR(INDEX(AE$10:AE$11,Предпосылки!$I$206,),0))*IFERROR(INDEX(AE$10:AE$11,Предпосылки!$I$206,),0),AE166/(1+IFERROR(INDEX(AE$10:AE$11,Предпосылки!$I$207,),0))*IFERROR(INDEX(AE$10:AE$11,Предпосылки!$I$207,),0),AE189/(1+IFERROR(INDEX(AE$10:AE$11,Предпосылки!$I$208,),0))*IFERROR(INDEX(AE$10:AE$11,Предпосылки!$I$208,),0),AE212/(1+IFERROR(INDEX(AE$10:AE$11,Предпосылки!$I$209,),0))*IFERROR(INDEX(AE$10:AE$11,Предпосылки!$I$209,),0),AE235/(1+IFERROR(INDEX(AE$10:AE$11,Предпосылки!$I$210,),0))*IFERROR(INDEX(AE$10:AE$11,Предпосылки!$I$210,),0),AE258/(1+IFERROR(INDEX(AE$10:AE$11,Предпосылки!$I$211,),0))*IFERROR(INDEX(AE$10:AE$11,Предпосылки!$I$211,),0),AE281/(1+IFERROR(INDEX(AE$10:AE$11,Предпосылки!$I$212,),0))*IFERROR(INDEX(AE$10:AE$11,Предпосылки!$I$212,),0),AE304/(1+IFERROR(INDEX(AE$10:AE$11,Предпосылки!$I$213,),0))*IFERROR(INDEX(AE$10:AE$11,Предпосылки!$I$213,),0),AE327/(1+IFERROR(INDEX(AE$10:AE$11,Предпосылки!$I$214,),0))*IFERROR(INDEX(AE$10:AE$11,Предпосылки!$I$214,),0),AE350/(1+IFERROR(INDEX(AE$10:AE$11,Предпосылки!$I$215,),0))*IFERROR(INDEX(AE$10:AE$11,Предпосылки!$I$215,),0),AE373/(1+IFERROR(INDEX(AE$10:AE$11,Предпосылки!$I$216,),0))*IFERROR(INDEX(AE$10:AE$11,Предпосылки!$I$216,),0),AE396/(1+IFERROR(INDEX(AE$10:AE$11,Предпосылки!$I$217,),0))*IFERROR(INDEX(AE$10:AE$11,Предпосылки!$I$217,),0),AE419/(1+IFERROR(INDEX(AE$10:AE$11,Предпосылки!$I$218,),0))*IFERROR(INDEX(AE$10:AE$11,Предпосылки!$I$218,),0),AE442/(1+IFERROR(INDEX(AE$10:AE$11,Предпосылки!$I$219,),0))*IFERROR(INDEX(AE$10:AE$11,Предпосылки!$I$219,),0),AE465/(1+IFERROR(INDEX(AE$10:AE$11,Предпосылки!$I$220,),0))*IFERROR(INDEX(AE$10:AE$11,Предпосылки!$I$220,),0))</f>
        <v>0</v>
      </c>
      <c s="125">
        <f>SUM(AF28/(1+IFERROR(INDEX(AF$10:AF$11,Предпосылки!$I$201,),0))*IFERROR(INDEX(AF$10:AF$11,Предпосылки!$I$201,),0),AF51/(1+IFERROR(INDEX(AF$10:AF$11,Предпосылки!$I$202,),0))*IFERROR(INDEX(AF$10:AF$11,Предпосылки!$I$202,),0),AF74/(1+IFERROR(INDEX(AF$10:AF$11,Предпосылки!$I$203,),0))*IFERROR(INDEX(AF$10:AF$11,Предпосылки!$I$203,),0),AF97/(1+IFERROR(INDEX(AF$10:AF$11,Предпосылки!$I$204,),0))*IFERROR(INDEX(AF$10:AF$11,Предпосылки!$I$204,),0),AF120/(1+IFERROR(INDEX(AF$10:AF$11,Предпосылки!$I$205,),0))*IFERROR(INDEX(AF$10:AF$11,Предпосылки!$I$205,),0),AF143/(1+IFERROR(INDEX(AF$10:AF$11,Предпосылки!$I$206,),0))*IFERROR(INDEX(AF$10:AF$11,Предпосылки!$I$206,),0),AF166/(1+IFERROR(INDEX(AF$10:AF$11,Предпосылки!$I$207,),0))*IFERROR(INDEX(AF$10:AF$11,Предпосылки!$I$207,),0),AF189/(1+IFERROR(INDEX(AF$10:AF$11,Предпосылки!$I$208,),0))*IFERROR(INDEX(AF$10:AF$11,Предпосылки!$I$208,),0),AF212/(1+IFERROR(INDEX(AF$10:AF$11,Предпосылки!$I$209,),0))*IFERROR(INDEX(AF$10:AF$11,Предпосылки!$I$209,),0),AF235/(1+IFERROR(INDEX(AF$10:AF$11,Предпосылки!$I$210,),0))*IFERROR(INDEX(AF$10:AF$11,Предпосылки!$I$210,),0),AF258/(1+IFERROR(INDEX(AF$10:AF$11,Предпосылки!$I$211,),0))*IFERROR(INDEX(AF$10:AF$11,Предпосылки!$I$211,),0),AF281/(1+IFERROR(INDEX(AF$10:AF$11,Предпосылки!$I$212,),0))*IFERROR(INDEX(AF$10:AF$11,Предпосылки!$I$212,),0),AF304/(1+IFERROR(INDEX(AF$10:AF$11,Предпосылки!$I$213,),0))*IFERROR(INDEX(AF$10:AF$11,Предпосылки!$I$213,),0),AF327/(1+IFERROR(INDEX(AF$10:AF$11,Предпосылки!$I$214,),0))*IFERROR(INDEX(AF$10:AF$11,Предпосылки!$I$214,),0),AF350/(1+IFERROR(INDEX(AF$10:AF$11,Предпосылки!$I$215,),0))*IFERROR(INDEX(AF$10:AF$11,Предпосылки!$I$215,),0),AF373/(1+IFERROR(INDEX(AF$10:AF$11,Предпосылки!$I$216,),0))*IFERROR(INDEX(AF$10:AF$11,Предпосылки!$I$216,),0),AF396/(1+IFERROR(INDEX(AF$10:AF$11,Предпосылки!$I$217,),0))*IFERROR(INDEX(AF$10:AF$11,Предпосылки!$I$217,),0),AF419/(1+IFERROR(INDEX(AF$10:AF$11,Предпосылки!$I$218,),0))*IFERROR(INDEX(AF$10:AF$11,Предпосылки!$I$218,),0),AF442/(1+IFERROR(INDEX(AF$10:AF$11,Предпосылки!$I$219,),0))*IFERROR(INDEX(AF$10:AF$11,Предпосылки!$I$219,),0),AF465/(1+IFERROR(INDEX(AF$10:AF$11,Предпосылки!$I$220,),0))*IFERROR(INDEX(AF$10:AF$11,Предпосылки!$I$220,),0))</f>
        <v>0</v>
      </c>
      <c s="125">
        <f>SUM(AG28/(1+IFERROR(INDEX(AG$10:AG$11,Предпосылки!$I$201,),0))*IFERROR(INDEX(AG$10:AG$11,Предпосылки!$I$201,),0),AG51/(1+IFERROR(INDEX(AG$10:AG$11,Предпосылки!$I$202,),0))*IFERROR(INDEX(AG$10:AG$11,Предпосылки!$I$202,),0),AG74/(1+IFERROR(INDEX(AG$10:AG$11,Предпосылки!$I$203,),0))*IFERROR(INDEX(AG$10:AG$11,Предпосылки!$I$203,),0),AG97/(1+IFERROR(INDEX(AG$10:AG$11,Предпосылки!$I$204,),0))*IFERROR(INDEX(AG$10:AG$11,Предпосылки!$I$204,),0),AG120/(1+IFERROR(INDEX(AG$10:AG$11,Предпосылки!$I$205,),0))*IFERROR(INDEX(AG$10:AG$11,Предпосылки!$I$205,),0),AG143/(1+IFERROR(INDEX(AG$10:AG$11,Предпосылки!$I$206,),0))*IFERROR(INDEX(AG$10:AG$11,Предпосылки!$I$206,),0),AG166/(1+IFERROR(INDEX(AG$10:AG$11,Предпосылки!$I$207,),0))*IFERROR(INDEX(AG$10:AG$11,Предпосылки!$I$207,),0),AG189/(1+IFERROR(INDEX(AG$10:AG$11,Предпосылки!$I$208,),0))*IFERROR(INDEX(AG$10:AG$11,Предпосылки!$I$208,),0),AG212/(1+IFERROR(INDEX(AG$10:AG$11,Предпосылки!$I$209,),0))*IFERROR(INDEX(AG$10:AG$11,Предпосылки!$I$209,),0),AG235/(1+IFERROR(INDEX(AG$10:AG$11,Предпосылки!$I$210,),0))*IFERROR(INDEX(AG$10:AG$11,Предпосылки!$I$210,),0),AG258/(1+IFERROR(INDEX(AG$10:AG$11,Предпосылки!$I$211,),0))*IFERROR(INDEX(AG$10:AG$11,Предпосылки!$I$211,),0),AG281/(1+IFERROR(INDEX(AG$10:AG$11,Предпосылки!$I$212,),0))*IFERROR(INDEX(AG$10:AG$11,Предпосылки!$I$212,),0),AG304/(1+IFERROR(INDEX(AG$10:AG$11,Предпосылки!$I$213,),0))*IFERROR(INDEX(AG$10:AG$11,Предпосылки!$I$213,),0),AG327/(1+IFERROR(INDEX(AG$10:AG$11,Предпосылки!$I$214,),0))*IFERROR(INDEX(AG$10:AG$11,Предпосылки!$I$214,),0),AG350/(1+IFERROR(INDEX(AG$10:AG$11,Предпосылки!$I$215,),0))*IFERROR(INDEX(AG$10:AG$11,Предпосылки!$I$215,),0),AG373/(1+IFERROR(INDEX(AG$10:AG$11,Предпосылки!$I$216,),0))*IFERROR(INDEX(AG$10:AG$11,Предпосылки!$I$216,),0),AG396/(1+IFERROR(INDEX(AG$10:AG$11,Предпосылки!$I$217,),0))*IFERROR(INDEX(AG$10:AG$11,Предпосылки!$I$217,),0),AG419/(1+IFERROR(INDEX(AG$10:AG$11,Предпосылки!$I$218,),0))*IFERROR(INDEX(AG$10:AG$11,Предпосылки!$I$218,),0),AG442/(1+IFERROR(INDEX(AG$10:AG$11,Предпосылки!$I$219,),0))*IFERROR(INDEX(AG$10:AG$11,Предпосылки!$I$219,),0),AG465/(1+IFERROR(INDEX(AG$10:AG$11,Предпосылки!$I$220,),0))*IFERROR(INDEX(AG$10:AG$11,Предпосылки!$I$220,),0))</f>
        <v>0</v>
      </c>
      <c s="125">
        <f>SUM(AH28/(1+IFERROR(INDEX(AH$10:AH$11,Предпосылки!$I$201,),0))*IFERROR(INDEX(AH$10:AH$11,Предпосылки!$I$201,),0),AH51/(1+IFERROR(INDEX(AH$10:AH$11,Предпосылки!$I$202,),0))*IFERROR(INDEX(AH$10:AH$11,Предпосылки!$I$202,),0),AH74/(1+IFERROR(INDEX(AH$10:AH$11,Предпосылки!$I$203,),0))*IFERROR(INDEX(AH$10:AH$11,Предпосылки!$I$203,),0),AH97/(1+IFERROR(INDEX(AH$10:AH$11,Предпосылки!$I$204,),0))*IFERROR(INDEX(AH$10:AH$11,Предпосылки!$I$204,),0),AH120/(1+IFERROR(INDEX(AH$10:AH$11,Предпосылки!$I$205,),0))*IFERROR(INDEX(AH$10:AH$11,Предпосылки!$I$205,),0),AH143/(1+IFERROR(INDEX(AH$10:AH$11,Предпосылки!$I$206,),0))*IFERROR(INDEX(AH$10:AH$11,Предпосылки!$I$206,),0),AH166/(1+IFERROR(INDEX(AH$10:AH$11,Предпосылки!$I$207,),0))*IFERROR(INDEX(AH$10:AH$11,Предпосылки!$I$207,),0),AH189/(1+IFERROR(INDEX(AH$10:AH$11,Предпосылки!$I$208,),0))*IFERROR(INDEX(AH$10:AH$11,Предпосылки!$I$208,),0),AH212/(1+IFERROR(INDEX(AH$10:AH$11,Предпосылки!$I$209,),0))*IFERROR(INDEX(AH$10:AH$11,Предпосылки!$I$209,),0),AH235/(1+IFERROR(INDEX(AH$10:AH$11,Предпосылки!$I$210,),0))*IFERROR(INDEX(AH$10:AH$11,Предпосылки!$I$210,),0),AH258/(1+IFERROR(INDEX(AH$10:AH$11,Предпосылки!$I$211,),0))*IFERROR(INDEX(AH$10:AH$11,Предпосылки!$I$211,),0),AH281/(1+IFERROR(INDEX(AH$10:AH$11,Предпосылки!$I$212,),0))*IFERROR(INDEX(AH$10:AH$11,Предпосылки!$I$212,),0),AH304/(1+IFERROR(INDEX(AH$10:AH$11,Предпосылки!$I$213,),0))*IFERROR(INDEX(AH$10:AH$11,Предпосылки!$I$213,),0),AH327/(1+IFERROR(INDEX(AH$10:AH$11,Предпосылки!$I$214,),0))*IFERROR(INDEX(AH$10:AH$11,Предпосылки!$I$214,),0),AH350/(1+IFERROR(INDEX(AH$10:AH$11,Предпосылки!$I$215,),0))*IFERROR(INDEX(AH$10:AH$11,Предпосылки!$I$215,),0),AH373/(1+IFERROR(INDEX(AH$10:AH$11,Предпосылки!$I$216,),0))*IFERROR(INDEX(AH$10:AH$11,Предпосылки!$I$216,),0),AH396/(1+IFERROR(INDEX(AH$10:AH$11,Предпосылки!$I$217,),0))*IFERROR(INDEX(AH$10:AH$11,Предпосылки!$I$217,),0),AH419/(1+IFERROR(INDEX(AH$10:AH$11,Предпосылки!$I$218,),0))*IFERROR(INDEX(AH$10:AH$11,Предпосылки!$I$218,),0),AH442/(1+IFERROR(INDEX(AH$10:AH$11,Предпосылки!$I$219,),0))*IFERROR(INDEX(AH$10:AH$11,Предпосылки!$I$219,),0),AH465/(1+IFERROR(INDEX(AH$10:AH$11,Предпосылки!$I$220,),0))*IFERROR(INDEX(AH$10:AH$11,Предпосылки!$I$220,),0))</f>
        <v>0</v>
      </c>
      <c s="125">
        <f>SUM(AI28/(1+IFERROR(INDEX(AI$10:AI$11,Предпосылки!$I$201,),0))*IFERROR(INDEX(AI$10:AI$11,Предпосылки!$I$201,),0),AI51/(1+IFERROR(INDEX(AI$10:AI$11,Предпосылки!$I$202,),0))*IFERROR(INDEX(AI$10:AI$11,Предпосылки!$I$202,),0),AI74/(1+IFERROR(INDEX(AI$10:AI$11,Предпосылки!$I$203,),0))*IFERROR(INDEX(AI$10:AI$11,Предпосылки!$I$203,),0),AI97/(1+IFERROR(INDEX(AI$10:AI$11,Предпосылки!$I$204,),0))*IFERROR(INDEX(AI$10:AI$11,Предпосылки!$I$204,),0),AI120/(1+IFERROR(INDEX(AI$10:AI$11,Предпосылки!$I$205,),0))*IFERROR(INDEX(AI$10:AI$11,Предпосылки!$I$205,),0),AI143/(1+IFERROR(INDEX(AI$10:AI$11,Предпосылки!$I$206,),0))*IFERROR(INDEX(AI$10:AI$11,Предпосылки!$I$206,),0),AI166/(1+IFERROR(INDEX(AI$10:AI$11,Предпосылки!$I$207,),0))*IFERROR(INDEX(AI$10:AI$11,Предпосылки!$I$207,),0),AI189/(1+IFERROR(INDEX(AI$10:AI$11,Предпосылки!$I$208,),0))*IFERROR(INDEX(AI$10:AI$11,Предпосылки!$I$208,),0),AI212/(1+IFERROR(INDEX(AI$10:AI$11,Предпосылки!$I$209,),0))*IFERROR(INDEX(AI$10:AI$11,Предпосылки!$I$209,),0),AI235/(1+IFERROR(INDEX(AI$10:AI$11,Предпосылки!$I$210,),0))*IFERROR(INDEX(AI$10:AI$11,Предпосылки!$I$210,),0),AI258/(1+IFERROR(INDEX(AI$10:AI$11,Предпосылки!$I$211,),0))*IFERROR(INDEX(AI$10:AI$11,Предпосылки!$I$211,),0),AI281/(1+IFERROR(INDEX(AI$10:AI$11,Предпосылки!$I$212,),0))*IFERROR(INDEX(AI$10:AI$11,Предпосылки!$I$212,),0),AI304/(1+IFERROR(INDEX(AI$10:AI$11,Предпосылки!$I$213,),0))*IFERROR(INDEX(AI$10:AI$11,Предпосылки!$I$213,),0),AI327/(1+IFERROR(INDEX(AI$10:AI$11,Предпосылки!$I$214,),0))*IFERROR(INDEX(AI$10:AI$11,Предпосылки!$I$214,),0),AI350/(1+IFERROR(INDEX(AI$10:AI$11,Предпосылки!$I$215,),0))*IFERROR(INDEX(AI$10:AI$11,Предпосылки!$I$215,),0),AI373/(1+IFERROR(INDEX(AI$10:AI$11,Предпосылки!$I$216,),0))*IFERROR(INDEX(AI$10:AI$11,Предпосылки!$I$216,),0),AI396/(1+IFERROR(INDEX(AI$10:AI$11,Предпосылки!$I$217,),0))*IFERROR(INDEX(AI$10:AI$11,Предпосылки!$I$217,),0),AI419/(1+IFERROR(INDEX(AI$10:AI$11,Предпосылки!$I$218,),0))*IFERROR(INDEX(AI$10:AI$11,Предпосылки!$I$218,),0),AI442/(1+IFERROR(INDEX(AI$10:AI$11,Предпосылки!$I$219,),0))*IFERROR(INDEX(AI$10:AI$11,Предпосылки!$I$219,),0),AI465/(1+IFERROR(INDEX(AI$10:AI$11,Предпосылки!$I$220,),0))*IFERROR(INDEX(AI$10:AI$11,Предпосылки!$I$220,),0))</f>
        <v>0</v>
      </c>
      <c s="125">
        <f>SUM(AJ28/(1+IFERROR(INDEX(AJ$10:AJ$11,Предпосылки!$I$201,),0))*IFERROR(INDEX(AJ$10:AJ$11,Предпосылки!$I$201,),0),AJ51/(1+IFERROR(INDEX(AJ$10:AJ$11,Предпосылки!$I$202,),0))*IFERROR(INDEX(AJ$10:AJ$11,Предпосылки!$I$202,),0),AJ74/(1+IFERROR(INDEX(AJ$10:AJ$11,Предпосылки!$I$203,),0))*IFERROR(INDEX(AJ$10:AJ$11,Предпосылки!$I$203,),0),AJ97/(1+IFERROR(INDEX(AJ$10:AJ$11,Предпосылки!$I$204,),0))*IFERROR(INDEX(AJ$10:AJ$11,Предпосылки!$I$204,),0),AJ120/(1+IFERROR(INDEX(AJ$10:AJ$11,Предпосылки!$I$205,),0))*IFERROR(INDEX(AJ$10:AJ$11,Предпосылки!$I$205,),0),AJ143/(1+IFERROR(INDEX(AJ$10:AJ$11,Предпосылки!$I$206,),0))*IFERROR(INDEX(AJ$10:AJ$11,Предпосылки!$I$206,),0),AJ166/(1+IFERROR(INDEX(AJ$10:AJ$11,Предпосылки!$I$207,),0))*IFERROR(INDEX(AJ$10:AJ$11,Предпосылки!$I$207,),0),AJ189/(1+IFERROR(INDEX(AJ$10:AJ$11,Предпосылки!$I$208,),0))*IFERROR(INDEX(AJ$10:AJ$11,Предпосылки!$I$208,),0),AJ212/(1+IFERROR(INDEX(AJ$10:AJ$11,Предпосылки!$I$209,),0))*IFERROR(INDEX(AJ$10:AJ$11,Предпосылки!$I$209,),0),AJ235/(1+IFERROR(INDEX(AJ$10:AJ$11,Предпосылки!$I$210,),0))*IFERROR(INDEX(AJ$10:AJ$11,Предпосылки!$I$210,),0),AJ258/(1+IFERROR(INDEX(AJ$10:AJ$11,Предпосылки!$I$211,),0))*IFERROR(INDEX(AJ$10:AJ$11,Предпосылки!$I$211,),0),AJ281/(1+IFERROR(INDEX(AJ$10:AJ$11,Предпосылки!$I$212,),0))*IFERROR(INDEX(AJ$10:AJ$11,Предпосылки!$I$212,),0),AJ304/(1+IFERROR(INDEX(AJ$10:AJ$11,Предпосылки!$I$213,),0))*IFERROR(INDEX(AJ$10:AJ$11,Предпосылки!$I$213,),0),AJ327/(1+IFERROR(INDEX(AJ$10:AJ$11,Предпосылки!$I$214,),0))*IFERROR(INDEX(AJ$10:AJ$11,Предпосылки!$I$214,),0),AJ350/(1+IFERROR(INDEX(AJ$10:AJ$11,Предпосылки!$I$215,),0))*IFERROR(INDEX(AJ$10:AJ$11,Предпосылки!$I$215,),0),AJ373/(1+IFERROR(INDEX(AJ$10:AJ$11,Предпосылки!$I$216,),0))*IFERROR(INDEX(AJ$10:AJ$11,Предпосылки!$I$216,),0),AJ396/(1+IFERROR(INDEX(AJ$10:AJ$11,Предпосылки!$I$217,),0))*IFERROR(INDEX(AJ$10:AJ$11,Предпосылки!$I$217,),0),AJ419/(1+IFERROR(INDEX(AJ$10:AJ$11,Предпосылки!$I$218,),0))*IFERROR(INDEX(AJ$10:AJ$11,Предпосылки!$I$218,),0),AJ442/(1+IFERROR(INDEX(AJ$10:AJ$11,Предпосылки!$I$219,),0))*IFERROR(INDEX(AJ$10:AJ$11,Предпосылки!$I$219,),0),AJ465/(1+IFERROR(INDEX(AJ$10:AJ$11,Предпосылки!$I$220,),0))*IFERROR(INDEX(AJ$10:AJ$11,Предпосылки!$I$220,),0))</f>
        <v>0</v>
      </c>
      <c s="125">
        <f>SUM(AK28/(1+IFERROR(INDEX(AK$10:AK$11,Предпосылки!$I$201,),0))*IFERROR(INDEX(AK$10:AK$11,Предпосылки!$I$201,),0),AK51/(1+IFERROR(INDEX(AK$10:AK$11,Предпосылки!$I$202,),0))*IFERROR(INDEX(AK$10:AK$11,Предпосылки!$I$202,),0),AK74/(1+IFERROR(INDEX(AK$10:AK$11,Предпосылки!$I$203,),0))*IFERROR(INDEX(AK$10:AK$11,Предпосылки!$I$203,),0),AK97/(1+IFERROR(INDEX(AK$10:AK$11,Предпосылки!$I$204,),0))*IFERROR(INDEX(AK$10:AK$11,Предпосылки!$I$204,),0),AK120/(1+IFERROR(INDEX(AK$10:AK$11,Предпосылки!$I$205,),0))*IFERROR(INDEX(AK$10:AK$11,Предпосылки!$I$205,),0),AK143/(1+IFERROR(INDEX(AK$10:AK$11,Предпосылки!$I$206,),0))*IFERROR(INDEX(AK$10:AK$11,Предпосылки!$I$206,),0),AK166/(1+IFERROR(INDEX(AK$10:AK$11,Предпосылки!$I$207,),0))*IFERROR(INDEX(AK$10:AK$11,Предпосылки!$I$207,),0),AK189/(1+IFERROR(INDEX(AK$10:AK$11,Предпосылки!$I$208,),0))*IFERROR(INDEX(AK$10:AK$11,Предпосылки!$I$208,),0),AK212/(1+IFERROR(INDEX(AK$10:AK$11,Предпосылки!$I$209,),0))*IFERROR(INDEX(AK$10:AK$11,Предпосылки!$I$209,),0),AK235/(1+IFERROR(INDEX(AK$10:AK$11,Предпосылки!$I$210,),0))*IFERROR(INDEX(AK$10:AK$11,Предпосылки!$I$210,),0),AK258/(1+IFERROR(INDEX(AK$10:AK$11,Предпосылки!$I$211,),0))*IFERROR(INDEX(AK$10:AK$11,Предпосылки!$I$211,),0),AK281/(1+IFERROR(INDEX(AK$10:AK$11,Предпосылки!$I$212,),0))*IFERROR(INDEX(AK$10:AK$11,Предпосылки!$I$212,),0),AK304/(1+IFERROR(INDEX(AK$10:AK$11,Предпосылки!$I$213,),0))*IFERROR(INDEX(AK$10:AK$11,Предпосылки!$I$213,),0),AK327/(1+IFERROR(INDEX(AK$10:AK$11,Предпосылки!$I$214,),0))*IFERROR(INDEX(AK$10:AK$11,Предпосылки!$I$214,),0),AK350/(1+IFERROR(INDEX(AK$10:AK$11,Предпосылки!$I$215,),0))*IFERROR(INDEX(AK$10:AK$11,Предпосылки!$I$215,),0),AK373/(1+IFERROR(INDEX(AK$10:AK$11,Предпосылки!$I$216,),0))*IFERROR(INDEX(AK$10:AK$11,Предпосылки!$I$216,),0),AK396/(1+IFERROR(INDEX(AK$10:AK$11,Предпосылки!$I$217,),0))*IFERROR(INDEX(AK$10:AK$11,Предпосылки!$I$217,),0),AK419/(1+IFERROR(INDEX(AK$10:AK$11,Предпосылки!$I$218,),0))*IFERROR(INDEX(AK$10:AK$11,Предпосылки!$I$218,),0),AK442/(1+IFERROR(INDEX(AK$10:AK$11,Предпосылки!$I$219,),0))*IFERROR(INDEX(AK$10:AK$11,Предпосылки!$I$219,),0),AK465/(1+IFERROR(INDEX(AK$10:AK$11,Предпосылки!$I$220,),0))*IFERROR(INDEX(AK$10:AK$11,Предпосылки!$I$220,),0))</f>
        <v>0</v>
      </c>
      <c s="125">
        <f>SUM(AL28/(1+IFERROR(INDEX(AL$10:AL$11,Предпосылки!$I$201,),0))*IFERROR(INDEX(AL$10:AL$11,Предпосылки!$I$201,),0),AL51/(1+IFERROR(INDEX(AL$10:AL$11,Предпосылки!$I$202,),0))*IFERROR(INDEX(AL$10:AL$11,Предпосылки!$I$202,),0),AL74/(1+IFERROR(INDEX(AL$10:AL$11,Предпосылки!$I$203,),0))*IFERROR(INDEX(AL$10:AL$11,Предпосылки!$I$203,),0),AL97/(1+IFERROR(INDEX(AL$10:AL$11,Предпосылки!$I$204,),0))*IFERROR(INDEX(AL$10:AL$11,Предпосылки!$I$204,),0),AL120/(1+IFERROR(INDEX(AL$10:AL$11,Предпосылки!$I$205,),0))*IFERROR(INDEX(AL$10:AL$11,Предпосылки!$I$205,),0),AL143/(1+IFERROR(INDEX(AL$10:AL$11,Предпосылки!$I$206,),0))*IFERROR(INDEX(AL$10:AL$11,Предпосылки!$I$206,),0),AL166/(1+IFERROR(INDEX(AL$10:AL$11,Предпосылки!$I$207,),0))*IFERROR(INDEX(AL$10:AL$11,Предпосылки!$I$207,),0),AL189/(1+IFERROR(INDEX(AL$10:AL$11,Предпосылки!$I$208,),0))*IFERROR(INDEX(AL$10:AL$11,Предпосылки!$I$208,),0),AL212/(1+IFERROR(INDEX(AL$10:AL$11,Предпосылки!$I$209,),0))*IFERROR(INDEX(AL$10:AL$11,Предпосылки!$I$209,),0),AL235/(1+IFERROR(INDEX(AL$10:AL$11,Предпосылки!$I$210,),0))*IFERROR(INDEX(AL$10:AL$11,Предпосылки!$I$210,),0),AL258/(1+IFERROR(INDEX(AL$10:AL$11,Предпосылки!$I$211,),0))*IFERROR(INDEX(AL$10:AL$11,Предпосылки!$I$211,),0),AL281/(1+IFERROR(INDEX(AL$10:AL$11,Предпосылки!$I$212,),0))*IFERROR(INDEX(AL$10:AL$11,Предпосылки!$I$212,),0),AL304/(1+IFERROR(INDEX(AL$10:AL$11,Предпосылки!$I$213,),0))*IFERROR(INDEX(AL$10:AL$11,Предпосылки!$I$213,),0),AL327/(1+IFERROR(INDEX(AL$10:AL$11,Предпосылки!$I$214,),0))*IFERROR(INDEX(AL$10:AL$11,Предпосылки!$I$214,),0),AL350/(1+IFERROR(INDEX(AL$10:AL$11,Предпосылки!$I$215,),0))*IFERROR(INDEX(AL$10:AL$11,Предпосылки!$I$215,),0),AL373/(1+IFERROR(INDEX(AL$10:AL$11,Предпосылки!$I$216,),0))*IFERROR(INDEX(AL$10:AL$11,Предпосылки!$I$216,),0),AL396/(1+IFERROR(INDEX(AL$10:AL$11,Предпосылки!$I$217,),0))*IFERROR(INDEX(AL$10:AL$11,Предпосылки!$I$217,),0),AL419/(1+IFERROR(INDEX(AL$10:AL$11,Предпосылки!$I$218,),0))*IFERROR(INDEX(AL$10:AL$11,Предпосылки!$I$218,),0),AL442/(1+IFERROR(INDEX(AL$10:AL$11,Предпосылки!$I$219,),0))*IFERROR(INDEX(AL$10:AL$11,Предпосылки!$I$219,),0),AL465/(1+IFERROR(INDEX(AL$10:AL$11,Предпосылки!$I$220,),0))*IFERROR(INDEX(AL$10:AL$11,Предпосылки!$I$220,),0))</f>
        <v>0</v>
      </c>
      <c s="125">
        <f>SUM(AM28/(1+IFERROR(INDEX(AM$10:AM$11,Предпосылки!$I$201,),0))*IFERROR(INDEX(AM$10:AM$11,Предпосылки!$I$201,),0),AM51/(1+IFERROR(INDEX(AM$10:AM$11,Предпосылки!$I$202,),0))*IFERROR(INDEX(AM$10:AM$11,Предпосылки!$I$202,),0),AM74/(1+IFERROR(INDEX(AM$10:AM$11,Предпосылки!$I$203,),0))*IFERROR(INDEX(AM$10:AM$11,Предпосылки!$I$203,),0),AM97/(1+IFERROR(INDEX(AM$10:AM$11,Предпосылки!$I$204,),0))*IFERROR(INDEX(AM$10:AM$11,Предпосылки!$I$204,),0),AM120/(1+IFERROR(INDEX(AM$10:AM$11,Предпосылки!$I$205,),0))*IFERROR(INDEX(AM$10:AM$11,Предпосылки!$I$205,),0),AM143/(1+IFERROR(INDEX(AM$10:AM$11,Предпосылки!$I$206,),0))*IFERROR(INDEX(AM$10:AM$11,Предпосылки!$I$206,),0),AM166/(1+IFERROR(INDEX(AM$10:AM$11,Предпосылки!$I$207,),0))*IFERROR(INDEX(AM$10:AM$11,Предпосылки!$I$207,),0),AM189/(1+IFERROR(INDEX(AM$10:AM$11,Предпосылки!$I$208,),0))*IFERROR(INDEX(AM$10:AM$11,Предпосылки!$I$208,),0),AM212/(1+IFERROR(INDEX(AM$10:AM$11,Предпосылки!$I$209,),0))*IFERROR(INDEX(AM$10:AM$11,Предпосылки!$I$209,),0),AM235/(1+IFERROR(INDEX(AM$10:AM$11,Предпосылки!$I$210,),0))*IFERROR(INDEX(AM$10:AM$11,Предпосылки!$I$210,),0),AM258/(1+IFERROR(INDEX(AM$10:AM$11,Предпосылки!$I$211,),0))*IFERROR(INDEX(AM$10:AM$11,Предпосылки!$I$211,),0),AM281/(1+IFERROR(INDEX(AM$10:AM$11,Предпосылки!$I$212,),0))*IFERROR(INDEX(AM$10:AM$11,Предпосылки!$I$212,),0),AM304/(1+IFERROR(INDEX(AM$10:AM$11,Предпосылки!$I$213,),0))*IFERROR(INDEX(AM$10:AM$11,Предпосылки!$I$213,),0),AM327/(1+IFERROR(INDEX(AM$10:AM$11,Предпосылки!$I$214,),0))*IFERROR(INDEX(AM$10:AM$11,Предпосылки!$I$214,),0),AM350/(1+IFERROR(INDEX(AM$10:AM$11,Предпосылки!$I$215,),0))*IFERROR(INDEX(AM$10:AM$11,Предпосылки!$I$215,),0),AM373/(1+IFERROR(INDEX(AM$10:AM$11,Предпосылки!$I$216,),0))*IFERROR(INDEX(AM$10:AM$11,Предпосылки!$I$216,),0),AM396/(1+IFERROR(INDEX(AM$10:AM$11,Предпосылки!$I$217,),0))*IFERROR(INDEX(AM$10:AM$11,Предпосылки!$I$217,),0),AM419/(1+IFERROR(INDEX(AM$10:AM$11,Предпосылки!$I$218,),0))*IFERROR(INDEX(AM$10:AM$11,Предпосылки!$I$218,),0),AM442/(1+IFERROR(INDEX(AM$10:AM$11,Предпосылки!$I$219,),0))*IFERROR(INDEX(AM$10:AM$11,Предпосылки!$I$219,),0),AM465/(1+IFERROR(INDEX(AM$10:AM$11,Предпосылки!$I$220,),0))*IFERROR(INDEX(AM$10:AM$11,Предпосылки!$I$220,),0))</f>
        <v>0</v>
      </c>
      <c s="125">
        <f>SUM(AN28/(1+IFERROR(INDEX(AN$10:AN$11,Предпосылки!$I$201,),0))*IFERROR(INDEX(AN$10:AN$11,Предпосылки!$I$201,),0),AN51/(1+IFERROR(INDEX(AN$10:AN$11,Предпосылки!$I$202,),0))*IFERROR(INDEX(AN$10:AN$11,Предпосылки!$I$202,),0),AN74/(1+IFERROR(INDEX(AN$10:AN$11,Предпосылки!$I$203,),0))*IFERROR(INDEX(AN$10:AN$11,Предпосылки!$I$203,),0),AN97/(1+IFERROR(INDEX(AN$10:AN$11,Предпосылки!$I$204,),0))*IFERROR(INDEX(AN$10:AN$11,Предпосылки!$I$204,),0),AN120/(1+IFERROR(INDEX(AN$10:AN$11,Предпосылки!$I$205,),0))*IFERROR(INDEX(AN$10:AN$11,Предпосылки!$I$205,),0),AN143/(1+IFERROR(INDEX(AN$10:AN$11,Предпосылки!$I$206,),0))*IFERROR(INDEX(AN$10:AN$11,Предпосылки!$I$206,),0),AN166/(1+IFERROR(INDEX(AN$10:AN$11,Предпосылки!$I$207,),0))*IFERROR(INDEX(AN$10:AN$11,Предпосылки!$I$207,),0),AN189/(1+IFERROR(INDEX(AN$10:AN$11,Предпосылки!$I$208,),0))*IFERROR(INDEX(AN$10:AN$11,Предпосылки!$I$208,),0),AN212/(1+IFERROR(INDEX(AN$10:AN$11,Предпосылки!$I$209,),0))*IFERROR(INDEX(AN$10:AN$11,Предпосылки!$I$209,),0),AN235/(1+IFERROR(INDEX(AN$10:AN$11,Предпосылки!$I$210,),0))*IFERROR(INDEX(AN$10:AN$11,Предпосылки!$I$210,),0),AN258/(1+IFERROR(INDEX(AN$10:AN$11,Предпосылки!$I$211,),0))*IFERROR(INDEX(AN$10:AN$11,Предпосылки!$I$211,),0),AN281/(1+IFERROR(INDEX(AN$10:AN$11,Предпосылки!$I$212,),0))*IFERROR(INDEX(AN$10:AN$11,Предпосылки!$I$212,),0),AN304/(1+IFERROR(INDEX(AN$10:AN$11,Предпосылки!$I$213,),0))*IFERROR(INDEX(AN$10:AN$11,Предпосылки!$I$213,),0),AN327/(1+IFERROR(INDEX(AN$10:AN$11,Предпосылки!$I$214,),0))*IFERROR(INDEX(AN$10:AN$11,Предпосылки!$I$214,),0),AN350/(1+IFERROR(INDEX(AN$10:AN$11,Предпосылки!$I$215,),0))*IFERROR(INDEX(AN$10:AN$11,Предпосылки!$I$215,),0),AN373/(1+IFERROR(INDEX(AN$10:AN$11,Предпосылки!$I$216,),0))*IFERROR(INDEX(AN$10:AN$11,Предпосылки!$I$216,),0),AN396/(1+IFERROR(INDEX(AN$10:AN$11,Предпосылки!$I$217,),0))*IFERROR(INDEX(AN$10:AN$11,Предпосылки!$I$217,),0),AN419/(1+IFERROR(INDEX(AN$10:AN$11,Предпосылки!$I$218,),0))*IFERROR(INDEX(AN$10:AN$11,Предпосылки!$I$218,),0),AN442/(1+IFERROR(INDEX(AN$10:AN$11,Предпосылки!$I$219,),0))*IFERROR(INDEX(AN$10:AN$11,Предпосылки!$I$219,),0),AN465/(1+IFERROR(INDEX(AN$10:AN$11,Предпосылки!$I$220,),0))*IFERROR(INDEX(AN$10:AN$11,Предпосылки!$I$220,),0))</f>
        <v>0</v>
      </c>
      <c s="125">
        <f>SUM(AO28/(1+IFERROR(INDEX(AO$10:AO$11,Предпосылки!$I$201,),0))*IFERROR(INDEX(AO$10:AO$11,Предпосылки!$I$201,),0),AO51/(1+IFERROR(INDEX(AO$10:AO$11,Предпосылки!$I$202,),0))*IFERROR(INDEX(AO$10:AO$11,Предпосылки!$I$202,),0),AO74/(1+IFERROR(INDEX(AO$10:AO$11,Предпосылки!$I$203,),0))*IFERROR(INDEX(AO$10:AO$11,Предпосылки!$I$203,),0),AO97/(1+IFERROR(INDEX(AO$10:AO$11,Предпосылки!$I$204,),0))*IFERROR(INDEX(AO$10:AO$11,Предпосылки!$I$204,),0),AO120/(1+IFERROR(INDEX(AO$10:AO$11,Предпосылки!$I$205,),0))*IFERROR(INDEX(AO$10:AO$11,Предпосылки!$I$205,),0),AO143/(1+IFERROR(INDEX(AO$10:AO$11,Предпосылки!$I$206,),0))*IFERROR(INDEX(AO$10:AO$11,Предпосылки!$I$206,),0),AO166/(1+IFERROR(INDEX(AO$10:AO$11,Предпосылки!$I$207,),0))*IFERROR(INDEX(AO$10:AO$11,Предпосылки!$I$207,),0),AO189/(1+IFERROR(INDEX(AO$10:AO$11,Предпосылки!$I$208,),0))*IFERROR(INDEX(AO$10:AO$11,Предпосылки!$I$208,),0),AO212/(1+IFERROR(INDEX(AO$10:AO$11,Предпосылки!$I$209,),0))*IFERROR(INDEX(AO$10:AO$11,Предпосылки!$I$209,),0),AO235/(1+IFERROR(INDEX(AO$10:AO$11,Предпосылки!$I$210,),0))*IFERROR(INDEX(AO$10:AO$11,Предпосылки!$I$210,),0),AO258/(1+IFERROR(INDEX(AO$10:AO$11,Предпосылки!$I$211,),0))*IFERROR(INDEX(AO$10:AO$11,Предпосылки!$I$211,),0),AO281/(1+IFERROR(INDEX(AO$10:AO$11,Предпосылки!$I$212,),0))*IFERROR(INDEX(AO$10:AO$11,Предпосылки!$I$212,),0),AO304/(1+IFERROR(INDEX(AO$10:AO$11,Предпосылки!$I$213,),0))*IFERROR(INDEX(AO$10:AO$11,Предпосылки!$I$213,),0),AO327/(1+IFERROR(INDEX(AO$10:AO$11,Предпосылки!$I$214,),0))*IFERROR(INDEX(AO$10:AO$11,Предпосылки!$I$214,),0),AO350/(1+IFERROR(INDEX(AO$10:AO$11,Предпосылки!$I$215,),0))*IFERROR(INDEX(AO$10:AO$11,Предпосылки!$I$215,),0),AO373/(1+IFERROR(INDEX(AO$10:AO$11,Предпосылки!$I$216,),0))*IFERROR(INDEX(AO$10:AO$11,Предпосылки!$I$216,),0),AO396/(1+IFERROR(INDEX(AO$10:AO$11,Предпосылки!$I$217,),0))*IFERROR(INDEX(AO$10:AO$11,Предпосылки!$I$217,),0),AO419/(1+IFERROR(INDEX(AO$10:AO$11,Предпосылки!$I$218,),0))*IFERROR(INDEX(AO$10:AO$11,Предпосылки!$I$218,),0),AO442/(1+IFERROR(INDEX(AO$10:AO$11,Предпосылки!$I$219,),0))*IFERROR(INDEX(AO$10:AO$11,Предпосылки!$I$219,),0),AO465/(1+IFERROR(INDEX(AO$10:AO$11,Предпосылки!$I$220,),0))*IFERROR(INDEX(AO$10:AO$11,Предпосылки!$I$220,),0))</f>
        <v>0</v>
      </c>
      <c s="125">
        <f>SUM(AP28/(1+IFERROR(INDEX(AP$10:AP$11,Предпосылки!$I$201,),0))*IFERROR(INDEX(AP$10:AP$11,Предпосылки!$I$201,),0),AP51/(1+IFERROR(INDEX(AP$10:AP$11,Предпосылки!$I$202,),0))*IFERROR(INDEX(AP$10:AP$11,Предпосылки!$I$202,),0),AP74/(1+IFERROR(INDEX(AP$10:AP$11,Предпосылки!$I$203,),0))*IFERROR(INDEX(AP$10:AP$11,Предпосылки!$I$203,),0),AP97/(1+IFERROR(INDEX(AP$10:AP$11,Предпосылки!$I$204,),0))*IFERROR(INDEX(AP$10:AP$11,Предпосылки!$I$204,),0),AP120/(1+IFERROR(INDEX(AP$10:AP$11,Предпосылки!$I$205,),0))*IFERROR(INDEX(AP$10:AP$11,Предпосылки!$I$205,),0),AP143/(1+IFERROR(INDEX(AP$10:AP$11,Предпосылки!$I$206,),0))*IFERROR(INDEX(AP$10:AP$11,Предпосылки!$I$206,),0),AP166/(1+IFERROR(INDEX(AP$10:AP$11,Предпосылки!$I$207,),0))*IFERROR(INDEX(AP$10:AP$11,Предпосылки!$I$207,),0),AP189/(1+IFERROR(INDEX(AP$10:AP$11,Предпосылки!$I$208,),0))*IFERROR(INDEX(AP$10:AP$11,Предпосылки!$I$208,),0),AP212/(1+IFERROR(INDEX(AP$10:AP$11,Предпосылки!$I$209,),0))*IFERROR(INDEX(AP$10:AP$11,Предпосылки!$I$209,),0),AP235/(1+IFERROR(INDEX(AP$10:AP$11,Предпосылки!$I$210,),0))*IFERROR(INDEX(AP$10:AP$11,Предпосылки!$I$210,),0),AP258/(1+IFERROR(INDEX(AP$10:AP$11,Предпосылки!$I$211,),0))*IFERROR(INDEX(AP$10:AP$11,Предпосылки!$I$211,),0),AP281/(1+IFERROR(INDEX(AP$10:AP$11,Предпосылки!$I$212,),0))*IFERROR(INDEX(AP$10:AP$11,Предпосылки!$I$212,),0),AP304/(1+IFERROR(INDEX(AP$10:AP$11,Предпосылки!$I$213,),0))*IFERROR(INDEX(AP$10:AP$11,Предпосылки!$I$213,),0),AP327/(1+IFERROR(INDEX(AP$10:AP$11,Предпосылки!$I$214,),0))*IFERROR(INDEX(AP$10:AP$11,Предпосылки!$I$214,),0),AP350/(1+IFERROR(INDEX(AP$10:AP$11,Предпосылки!$I$215,),0))*IFERROR(INDEX(AP$10:AP$11,Предпосылки!$I$215,),0),AP373/(1+IFERROR(INDEX(AP$10:AP$11,Предпосылки!$I$216,),0))*IFERROR(INDEX(AP$10:AP$11,Предпосылки!$I$216,),0),AP396/(1+IFERROR(INDEX(AP$10:AP$11,Предпосылки!$I$217,),0))*IFERROR(INDEX(AP$10:AP$11,Предпосылки!$I$217,),0),AP419/(1+IFERROR(INDEX(AP$10:AP$11,Предпосылки!$I$218,),0))*IFERROR(INDEX(AP$10:AP$11,Предпосылки!$I$218,),0),AP442/(1+IFERROR(INDEX(AP$10:AP$11,Предпосылки!$I$219,),0))*IFERROR(INDEX(AP$10:AP$11,Предпосылки!$I$219,),0),AP465/(1+IFERROR(INDEX(AP$10:AP$11,Предпосылки!$I$220,),0))*IFERROR(INDEX(AP$10:AP$11,Предпосылки!$I$220,),0))</f>
        <v>0</v>
      </c>
      <c s="125">
        <f>SUM(AQ28/(1+IFERROR(INDEX(AQ$10:AQ$11,Предпосылки!$I$201,),0))*IFERROR(INDEX(AQ$10:AQ$11,Предпосылки!$I$201,),0),AQ51/(1+IFERROR(INDEX(AQ$10:AQ$11,Предпосылки!$I$202,),0))*IFERROR(INDEX(AQ$10:AQ$11,Предпосылки!$I$202,),0),AQ74/(1+IFERROR(INDEX(AQ$10:AQ$11,Предпосылки!$I$203,),0))*IFERROR(INDEX(AQ$10:AQ$11,Предпосылки!$I$203,),0),AQ97/(1+IFERROR(INDEX(AQ$10:AQ$11,Предпосылки!$I$204,),0))*IFERROR(INDEX(AQ$10:AQ$11,Предпосылки!$I$204,),0),AQ120/(1+IFERROR(INDEX(AQ$10:AQ$11,Предпосылки!$I$205,),0))*IFERROR(INDEX(AQ$10:AQ$11,Предпосылки!$I$205,),0),AQ143/(1+IFERROR(INDEX(AQ$10:AQ$11,Предпосылки!$I$206,),0))*IFERROR(INDEX(AQ$10:AQ$11,Предпосылки!$I$206,),0),AQ166/(1+IFERROR(INDEX(AQ$10:AQ$11,Предпосылки!$I$207,),0))*IFERROR(INDEX(AQ$10:AQ$11,Предпосылки!$I$207,),0),AQ189/(1+IFERROR(INDEX(AQ$10:AQ$11,Предпосылки!$I$208,),0))*IFERROR(INDEX(AQ$10:AQ$11,Предпосылки!$I$208,),0),AQ212/(1+IFERROR(INDEX(AQ$10:AQ$11,Предпосылки!$I$209,),0))*IFERROR(INDEX(AQ$10:AQ$11,Предпосылки!$I$209,),0),AQ235/(1+IFERROR(INDEX(AQ$10:AQ$11,Предпосылки!$I$210,),0))*IFERROR(INDEX(AQ$10:AQ$11,Предпосылки!$I$210,),0),AQ258/(1+IFERROR(INDEX(AQ$10:AQ$11,Предпосылки!$I$211,),0))*IFERROR(INDEX(AQ$10:AQ$11,Предпосылки!$I$211,),0),AQ281/(1+IFERROR(INDEX(AQ$10:AQ$11,Предпосылки!$I$212,),0))*IFERROR(INDEX(AQ$10:AQ$11,Предпосылки!$I$212,),0),AQ304/(1+IFERROR(INDEX(AQ$10:AQ$11,Предпосылки!$I$213,),0))*IFERROR(INDEX(AQ$10:AQ$11,Предпосылки!$I$213,),0),AQ327/(1+IFERROR(INDEX(AQ$10:AQ$11,Предпосылки!$I$214,),0))*IFERROR(INDEX(AQ$10:AQ$11,Предпосылки!$I$214,),0),AQ350/(1+IFERROR(INDEX(AQ$10:AQ$11,Предпосылки!$I$215,),0))*IFERROR(INDEX(AQ$10:AQ$11,Предпосылки!$I$215,),0),AQ373/(1+IFERROR(INDEX(AQ$10:AQ$11,Предпосылки!$I$216,),0))*IFERROR(INDEX(AQ$10:AQ$11,Предпосылки!$I$216,),0),AQ396/(1+IFERROR(INDEX(AQ$10:AQ$11,Предпосылки!$I$217,),0))*IFERROR(INDEX(AQ$10:AQ$11,Предпосылки!$I$217,),0),AQ419/(1+IFERROR(INDEX(AQ$10:AQ$11,Предпосылки!$I$218,),0))*IFERROR(INDEX(AQ$10:AQ$11,Предпосылки!$I$218,),0),AQ442/(1+IFERROR(INDEX(AQ$10:AQ$11,Предпосылки!$I$219,),0))*IFERROR(INDEX(AQ$10:AQ$11,Предпосылки!$I$219,),0),AQ465/(1+IFERROR(INDEX(AQ$10:AQ$11,Предпосылки!$I$220,),0))*IFERROR(INDEX(AQ$10:AQ$11,Предпосылки!$I$220,),0))</f>
        <v>0</v>
      </c>
      <c s="125">
        <f>SUM(AR28/(1+IFERROR(INDEX(AR$10:AR$11,Предпосылки!$I$201,),0))*IFERROR(INDEX(AR$10:AR$11,Предпосылки!$I$201,),0),AR51/(1+IFERROR(INDEX(AR$10:AR$11,Предпосылки!$I$202,),0))*IFERROR(INDEX(AR$10:AR$11,Предпосылки!$I$202,),0),AR74/(1+IFERROR(INDEX(AR$10:AR$11,Предпосылки!$I$203,),0))*IFERROR(INDEX(AR$10:AR$11,Предпосылки!$I$203,),0),AR97/(1+IFERROR(INDEX(AR$10:AR$11,Предпосылки!$I$204,),0))*IFERROR(INDEX(AR$10:AR$11,Предпосылки!$I$204,),0),AR120/(1+IFERROR(INDEX(AR$10:AR$11,Предпосылки!$I$205,),0))*IFERROR(INDEX(AR$10:AR$11,Предпосылки!$I$205,),0),AR143/(1+IFERROR(INDEX(AR$10:AR$11,Предпосылки!$I$206,),0))*IFERROR(INDEX(AR$10:AR$11,Предпосылки!$I$206,),0),AR166/(1+IFERROR(INDEX(AR$10:AR$11,Предпосылки!$I$207,),0))*IFERROR(INDEX(AR$10:AR$11,Предпосылки!$I$207,),0),AR189/(1+IFERROR(INDEX(AR$10:AR$11,Предпосылки!$I$208,),0))*IFERROR(INDEX(AR$10:AR$11,Предпосылки!$I$208,),0),AR212/(1+IFERROR(INDEX(AR$10:AR$11,Предпосылки!$I$209,),0))*IFERROR(INDEX(AR$10:AR$11,Предпосылки!$I$209,),0),AR235/(1+IFERROR(INDEX(AR$10:AR$11,Предпосылки!$I$210,),0))*IFERROR(INDEX(AR$10:AR$11,Предпосылки!$I$210,),0),AR258/(1+IFERROR(INDEX(AR$10:AR$11,Предпосылки!$I$211,),0))*IFERROR(INDEX(AR$10:AR$11,Предпосылки!$I$211,),0),AR281/(1+IFERROR(INDEX(AR$10:AR$11,Предпосылки!$I$212,),0))*IFERROR(INDEX(AR$10:AR$11,Предпосылки!$I$212,),0),AR304/(1+IFERROR(INDEX(AR$10:AR$11,Предпосылки!$I$213,),0))*IFERROR(INDEX(AR$10:AR$11,Предпосылки!$I$213,),0),AR327/(1+IFERROR(INDEX(AR$10:AR$11,Предпосылки!$I$214,),0))*IFERROR(INDEX(AR$10:AR$11,Предпосылки!$I$214,),0),AR350/(1+IFERROR(INDEX(AR$10:AR$11,Предпосылки!$I$215,),0))*IFERROR(INDEX(AR$10:AR$11,Предпосылки!$I$215,),0),AR373/(1+IFERROR(INDEX(AR$10:AR$11,Предпосылки!$I$216,),0))*IFERROR(INDEX(AR$10:AR$11,Предпосылки!$I$216,),0),AR396/(1+IFERROR(INDEX(AR$10:AR$11,Предпосылки!$I$217,),0))*IFERROR(INDEX(AR$10:AR$11,Предпосылки!$I$217,),0),AR419/(1+IFERROR(INDEX(AR$10:AR$11,Предпосылки!$I$218,),0))*IFERROR(INDEX(AR$10:AR$11,Предпосылки!$I$218,),0),AR442/(1+IFERROR(INDEX(AR$10:AR$11,Предпосылки!$I$219,),0))*IFERROR(INDEX(AR$10:AR$11,Предпосылки!$I$219,),0),AR465/(1+IFERROR(INDEX(AR$10:AR$11,Предпосылки!$I$220,),0))*IFERROR(INDEX(AR$10:AR$11,Предпосылки!$I$220,),0))</f>
        <v>0</v>
      </c>
      <c s="125">
        <f>SUM(AS28/(1+IFERROR(INDEX(AS$10:AS$11,Предпосылки!$I$201,),0))*IFERROR(INDEX(AS$10:AS$11,Предпосылки!$I$201,),0),AS51/(1+IFERROR(INDEX(AS$10:AS$11,Предпосылки!$I$202,),0))*IFERROR(INDEX(AS$10:AS$11,Предпосылки!$I$202,),0),AS74/(1+IFERROR(INDEX(AS$10:AS$11,Предпосылки!$I$203,),0))*IFERROR(INDEX(AS$10:AS$11,Предпосылки!$I$203,),0),AS97/(1+IFERROR(INDEX(AS$10:AS$11,Предпосылки!$I$204,),0))*IFERROR(INDEX(AS$10:AS$11,Предпосылки!$I$204,),0),AS120/(1+IFERROR(INDEX(AS$10:AS$11,Предпосылки!$I$205,),0))*IFERROR(INDEX(AS$10:AS$11,Предпосылки!$I$205,),0),AS143/(1+IFERROR(INDEX(AS$10:AS$11,Предпосылки!$I$206,),0))*IFERROR(INDEX(AS$10:AS$11,Предпосылки!$I$206,),0),AS166/(1+IFERROR(INDEX(AS$10:AS$11,Предпосылки!$I$207,),0))*IFERROR(INDEX(AS$10:AS$11,Предпосылки!$I$207,),0),AS189/(1+IFERROR(INDEX(AS$10:AS$11,Предпосылки!$I$208,),0))*IFERROR(INDEX(AS$10:AS$11,Предпосылки!$I$208,),0),AS212/(1+IFERROR(INDEX(AS$10:AS$11,Предпосылки!$I$209,),0))*IFERROR(INDEX(AS$10:AS$11,Предпосылки!$I$209,),0),AS235/(1+IFERROR(INDEX(AS$10:AS$11,Предпосылки!$I$210,),0))*IFERROR(INDEX(AS$10:AS$11,Предпосылки!$I$210,),0),AS258/(1+IFERROR(INDEX(AS$10:AS$11,Предпосылки!$I$211,),0))*IFERROR(INDEX(AS$10:AS$11,Предпосылки!$I$211,),0),AS281/(1+IFERROR(INDEX(AS$10:AS$11,Предпосылки!$I$212,),0))*IFERROR(INDEX(AS$10:AS$11,Предпосылки!$I$212,),0),AS304/(1+IFERROR(INDEX(AS$10:AS$11,Предпосылки!$I$213,),0))*IFERROR(INDEX(AS$10:AS$11,Предпосылки!$I$213,),0),AS327/(1+IFERROR(INDEX(AS$10:AS$11,Предпосылки!$I$214,),0))*IFERROR(INDEX(AS$10:AS$11,Предпосылки!$I$214,),0),AS350/(1+IFERROR(INDEX(AS$10:AS$11,Предпосылки!$I$215,),0))*IFERROR(INDEX(AS$10:AS$11,Предпосылки!$I$215,),0),AS373/(1+IFERROR(INDEX(AS$10:AS$11,Предпосылки!$I$216,),0))*IFERROR(INDEX(AS$10:AS$11,Предпосылки!$I$216,),0),AS396/(1+IFERROR(INDEX(AS$10:AS$11,Предпосылки!$I$217,),0))*IFERROR(INDEX(AS$10:AS$11,Предпосылки!$I$217,),0),AS419/(1+IFERROR(INDEX(AS$10:AS$11,Предпосылки!$I$218,),0))*IFERROR(INDEX(AS$10:AS$11,Предпосылки!$I$218,),0),AS442/(1+IFERROR(INDEX(AS$10:AS$11,Предпосылки!$I$219,),0))*IFERROR(INDEX(AS$10:AS$11,Предпосылки!$I$219,),0),AS465/(1+IFERROR(INDEX(AS$10:AS$11,Предпосылки!$I$220,),0))*IFERROR(INDEX(AS$10:AS$11,Предпосылки!$I$220,),0))</f>
        <v>0</v>
      </c>
      <c s="125">
        <f>SUM(AT28/(1+IFERROR(INDEX(AT$10:AT$11,Предпосылки!$I$201,),0))*IFERROR(INDEX(AT$10:AT$11,Предпосылки!$I$201,),0),AT51/(1+IFERROR(INDEX(AT$10:AT$11,Предпосылки!$I$202,),0))*IFERROR(INDEX(AT$10:AT$11,Предпосылки!$I$202,),0),AT74/(1+IFERROR(INDEX(AT$10:AT$11,Предпосылки!$I$203,),0))*IFERROR(INDEX(AT$10:AT$11,Предпосылки!$I$203,),0),AT97/(1+IFERROR(INDEX(AT$10:AT$11,Предпосылки!$I$204,),0))*IFERROR(INDEX(AT$10:AT$11,Предпосылки!$I$204,),0),AT120/(1+IFERROR(INDEX(AT$10:AT$11,Предпосылки!$I$205,),0))*IFERROR(INDEX(AT$10:AT$11,Предпосылки!$I$205,),0),AT143/(1+IFERROR(INDEX(AT$10:AT$11,Предпосылки!$I$206,),0))*IFERROR(INDEX(AT$10:AT$11,Предпосылки!$I$206,),0),AT166/(1+IFERROR(INDEX(AT$10:AT$11,Предпосылки!$I$207,),0))*IFERROR(INDEX(AT$10:AT$11,Предпосылки!$I$207,),0),AT189/(1+IFERROR(INDEX(AT$10:AT$11,Предпосылки!$I$208,),0))*IFERROR(INDEX(AT$10:AT$11,Предпосылки!$I$208,),0),AT212/(1+IFERROR(INDEX(AT$10:AT$11,Предпосылки!$I$209,),0))*IFERROR(INDEX(AT$10:AT$11,Предпосылки!$I$209,),0),AT235/(1+IFERROR(INDEX(AT$10:AT$11,Предпосылки!$I$210,),0))*IFERROR(INDEX(AT$10:AT$11,Предпосылки!$I$210,),0),AT258/(1+IFERROR(INDEX(AT$10:AT$11,Предпосылки!$I$211,),0))*IFERROR(INDEX(AT$10:AT$11,Предпосылки!$I$211,),0),AT281/(1+IFERROR(INDEX(AT$10:AT$11,Предпосылки!$I$212,),0))*IFERROR(INDEX(AT$10:AT$11,Предпосылки!$I$212,),0),AT304/(1+IFERROR(INDEX(AT$10:AT$11,Предпосылки!$I$213,),0))*IFERROR(INDEX(AT$10:AT$11,Предпосылки!$I$213,),0),AT327/(1+IFERROR(INDEX(AT$10:AT$11,Предпосылки!$I$214,),0))*IFERROR(INDEX(AT$10:AT$11,Предпосылки!$I$214,),0),AT350/(1+IFERROR(INDEX(AT$10:AT$11,Предпосылки!$I$215,),0))*IFERROR(INDEX(AT$10:AT$11,Предпосылки!$I$215,),0),AT373/(1+IFERROR(INDEX(AT$10:AT$11,Предпосылки!$I$216,),0))*IFERROR(INDEX(AT$10:AT$11,Предпосылки!$I$216,),0),AT396/(1+IFERROR(INDEX(AT$10:AT$11,Предпосылки!$I$217,),0))*IFERROR(INDEX(AT$10:AT$11,Предпосылки!$I$217,),0),AT419/(1+IFERROR(INDEX(AT$10:AT$11,Предпосылки!$I$218,),0))*IFERROR(INDEX(AT$10:AT$11,Предпосылки!$I$218,),0),AT442/(1+IFERROR(INDEX(AT$10:AT$11,Предпосылки!$I$219,),0))*IFERROR(INDEX(AT$10:AT$11,Предпосылки!$I$219,),0),AT465/(1+IFERROR(INDEX(AT$10:AT$11,Предпосылки!$I$220,),0))*IFERROR(INDEX(AT$10:AT$11,Предпосылки!$I$220,),0))</f>
        <v>0</v>
      </c>
      <c s="125">
        <f>SUM(AU28/(1+IFERROR(INDEX(AU$10:AU$11,Предпосылки!$I$201,),0))*IFERROR(INDEX(AU$10:AU$11,Предпосылки!$I$201,),0),AU51/(1+IFERROR(INDEX(AU$10:AU$11,Предпосылки!$I$202,),0))*IFERROR(INDEX(AU$10:AU$11,Предпосылки!$I$202,),0),AU74/(1+IFERROR(INDEX(AU$10:AU$11,Предпосылки!$I$203,),0))*IFERROR(INDEX(AU$10:AU$11,Предпосылки!$I$203,),0),AU97/(1+IFERROR(INDEX(AU$10:AU$11,Предпосылки!$I$204,),0))*IFERROR(INDEX(AU$10:AU$11,Предпосылки!$I$204,),0),AU120/(1+IFERROR(INDEX(AU$10:AU$11,Предпосылки!$I$205,),0))*IFERROR(INDEX(AU$10:AU$11,Предпосылки!$I$205,),0),AU143/(1+IFERROR(INDEX(AU$10:AU$11,Предпосылки!$I$206,),0))*IFERROR(INDEX(AU$10:AU$11,Предпосылки!$I$206,),0),AU166/(1+IFERROR(INDEX(AU$10:AU$11,Предпосылки!$I$207,),0))*IFERROR(INDEX(AU$10:AU$11,Предпосылки!$I$207,),0),AU189/(1+IFERROR(INDEX(AU$10:AU$11,Предпосылки!$I$208,),0))*IFERROR(INDEX(AU$10:AU$11,Предпосылки!$I$208,),0),AU212/(1+IFERROR(INDEX(AU$10:AU$11,Предпосылки!$I$209,),0))*IFERROR(INDEX(AU$10:AU$11,Предпосылки!$I$209,),0),AU235/(1+IFERROR(INDEX(AU$10:AU$11,Предпосылки!$I$210,),0))*IFERROR(INDEX(AU$10:AU$11,Предпосылки!$I$210,),0),AU258/(1+IFERROR(INDEX(AU$10:AU$11,Предпосылки!$I$211,),0))*IFERROR(INDEX(AU$10:AU$11,Предпосылки!$I$211,),0),AU281/(1+IFERROR(INDEX(AU$10:AU$11,Предпосылки!$I$212,),0))*IFERROR(INDEX(AU$10:AU$11,Предпосылки!$I$212,),0),AU304/(1+IFERROR(INDEX(AU$10:AU$11,Предпосылки!$I$213,),0))*IFERROR(INDEX(AU$10:AU$11,Предпосылки!$I$213,),0),AU327/(1+IFERROR(INDEX(AU$10:AU$11,Предпосылки!$I$214,),0))*IFERROR(INDEX(AU$10:AU$11,Предпосылки!$I$214,),0),AU350/(1+IFERROR(INDEX(AU$10:AU$11,Предпосылки!$I$215,),0))*IFERROR(INDEX(AU$10:AU$11,Предпосылки!$I$215,),0),AU373/(1+IFERROR(INDEX(AU$10:AU$11,Предпосылки!$I$216,),0))*IFERROR(INDEX(AU$10:AU$11,Предпосылки!$I$216,),0),AU396/(1+IFERROR(INDEX(AU$10:AU$11,Предпосылки!$I$217,),0))*IFERROR(INDEX(AU$10:AU$11,Предпосылки!$I$217,),0),AU419/(1+IFERROR(INDEX(AU$10:AU$11,Предпосылки!$I$218,),0))*IFERROR(INDEX(AU$10:AU$11,Предпосылки!$I$218,),0),AU442/(1+IFERROR(INDEX(AU$10:AU$11,Предпосылки!$I$219,),0))*IFERROR(INDEX(AU$10:AU$11,Предпосылки!$I$219,),0),AU465/(1+IFERROR(INDEX(AU$10:AU$11,Предпосылки!$I$220,),0))*IFERROR(INDEX(AU$10:AU$11,Предпосылки!$I$220,),0))</f>
        <v>0</v>
      </c>
      <c s="125">
        <f>SUM(AV28/(1+IFERROR(INDEX(AV$10:AV$11,Предпосылки!$I$201,),0))*IFERROR(INDEX(AV$10:AV$11,Предпосылки!$I$201,),0),AV51/(1+IFERROR(INDEX(AV$10:AV$11,Предпосылки!$I$202,),0))*IFERROR(INDEX(AV$10:AV$11,Предпосылки!$I$202,),0),AV74/(1+IFERROR(INDEX(AV$10:AV$11,Предпосылки!$I$203,),0))*IFERROR(INDEX(AV$10:AV$11,Предпосылки!$I$203,),0),AV97/(1+IFERROR(INDEX(AV$10:AV$11,Предпосылки!$I$204,),0))*IFERROR(INDEX(AV$10:AV$11,Предпосылки!$I$204,),0),AV120/(1+IFERROR(INDEX(AV$10:AV$11,Предпосылки!$I$205,),0))*IFERROR(INDEX(AV$10:AV$11,Предпосылки!$I$205,),0),AV143/(1+IFERROR(INDEX(AV$10:AV$11,Предпосылки!$I$206,),0))*IFERROR(INDEX(AV$10:AV$11,Предпосылки!$I$206,),0),AV166/(1+IFERROR(INDEX(AV$10:AV$11,Предпосылки!$I$207,),0))*IFERROR(INDEX(AV$10:AV$11,Предпосылки!$I$207,),0),AV189/(1+IFERROR(INDEX(AV$10:AV$11,Предпосылки!$I$208,),0))*IFERROR(INDEX(AV$10:AV$11,Предпосылки!$I$208,),0),AV212/(1+IFERROR(INDEX(AV$10:AV$11,Предпосылки!$I$209,),0))*IFERROR(INDEX(AV$10:AV$11,Предпосылки!$I$209,),0),AV235/(1+IFERROR(INDEX(AV$10:AV$11,Предпосылки!$I$210,),0))*IFERROR(INDEX(AV$10:AV$11,Предпосылки!$I$210,),0),AV258/(1+IFERROR(INDEX(AV$10:AV$11,Предпосылки!$I$211,),0))*IFERROR(INDEX(AV$10:AV$11,Предпосылки!$I$211,),0),AV281/(1+IFERROR(INDEX(AV$10:AV$11,Предпосылки!$I$212,),0))*IFERROR(INDEX(AV$10:AV$11,Предпосылки!$I$212,),0),AV304/(1+IFERROR(INDEX(AV$10:AV$11,Предпосылки!$I$213,),0))*IFERROR(INDEX(AV$10:AV$11,Предпосылки!$I$213,),0),AV327/(1+IFERROR(INDEX(AV$10:AV$11,Предпосылки!$I$214,),0))*IFERROR(INDEX(AV$10:AV$11,Предпосылки!$I$214,),0),AV350/(1+IFERROR(INDEX(AV$10:AV$11,Предпосылки!$I$215,),0))*IFERROR(INDEX(AV$10:AV$11,Предпосылки!$I$215,),0),AV373/(1+IFERROR(INDEX(AV$10:AV$11,Предпосылки!$I$216,),0))*IFERROR(INDEX(AV$10:AV$11,Предпосылки!$I$216,),0),AV396/(1+IFERROR(INDEX(AV$10:AV$11,Предпосылки!$I$217,),0))*IFERROR(INDEX(AV$10:AV$11,Предпосылки!$I$217,),0),AV419/(1+IFERROR(INDEX(AV$10:AV$11,Предпосылки!$I$218,),0))*IFERROR(INDEX(AV$10:AV$11,Предпосылки!$I$218,),0),AV442/(1+IFERROR(INDEX(AV$10:AV$11,Предпосылки!$I$219,),0))*IFERROR(INDEX(AV$10:AV$11,Предпосылки!$I$219,),0),AV465/(1+IFERROR(INDEX(AV$10:AV$11,Предпосылки!$I$220,),0))*IFERROR(INDEX(AV$10:AV$11,Предпосылки!$I$220,),0))</f>
        <v>0</v>
      </c>
      <c s="125">
        <f>SUM(AW28/(1+IFERROR(INDEX(AW$10:AW$11,Предпосылки!$I$201,),0))*IFERROR(INDEX(AW$10:AW$11,Предпосылки!$I$201,),0),AW51/(1+IFERROR(INDEX(AW$10:AW$11,Предпосылки!$I$202,),0))*IFERROR(INDEX(AW$10:AW$11,Предпосылки!$I$202,),0),AW74/(1+IFERROR(INDEX(AW$10:AW$11,Предпосылки!$I$203,),0))*IFERROR(INDEX(AW$10:AW$11,Предпосылки!$I$203,),0),AW97/(1+IFERROR(INDEX(AW$10:AW$11,Предпосылки!$I$204,),0))*IFERROR(INDEX(AW$10:AW$11,Предпосылки!$I$204,),0),AW120/(1+IFERROR(INDEX(AW$10:AW$11,Предпосылки!$I$205,),0))*IFERROR(INDEX(AW$10:AW$11,Предпосылки!$I$205,),0),AW143/(1+IFERROR(INDEX(AW$10:AW$11,Предпосылки!$I$206,),0))*IFERROR(INDEX(AW$10:AW$11,Предпосылки!$I$206,),0),AW166/(1+IFERROR(INDEX(AW$10:AW$11,Предпосылки!$I$207,),0))*IFERROR(INDEX(AW$10:AW$11,Предпосылки!$I$207,),0),AW189/(1+IFERROR(INDEX(AW$10:AW$11,Предпосылки!$I$208,),0))*IFERROR(INDEX(AW$10:AW$11,Предпосылки!$I$208,),0),AW212/(1+IFERROR(INDEX(AW$10:AW$11,Предпосылки!$I$209,),0))*IFERROR(INDEX(AW$10:AW$11,Предпосылки!$I$209,),0),AW235/(1+IFERROR(INDEX(AW$10:AW$11,Предпосылки!$I$210,),0))*IFERROR(INDEX(AW$10:AW$11,Предпосылки!$I$210,),0),AW258/(1+IFERROR(INDEX(AW$10:AW$11,Предпосылки!$I$211,),0))*IFERROR(INDEX(AW$10:AW$11,Предпосылки!$I$211,),0),AW281/(1+IFERROR(INDEX(AW$10:AW$11,Предпосылки!$I$212,),0))*IFERROR(INDEX(AW$10:AW$11,Предпосылки!$I$212,),0),AW304/(1+IFERROR(INDEX(AW$10:AW$11,Предпосылки!$I$213,),0))*IFERROR(INDEX(AW$10:AW$11,Предпосылки!$I$213,),0),AW327/(1+IFERROR(INDEX(AW$10:AW$11,Предпосылки!$I$214,),0))*IFERROR(INDEX(AW$10:AW$11,Предпосылки!$I$214,),0),AW350/(1+IFERROR(INDEX(AW$10:AW$11,Предпосылки!$I$215,),0))*IFERROR(INDEX(AW$10:AW$11,Предпосылки!$I$215,),0),AW373/(1+IFERROR(INDEX(AW$10:AW$11,Предпосылки!$I$216,),0))*IFERROR(INDEX(AW$10:AW$11,Предпосылки!$I$216,),0),AW396/(1+IFERROR(INDEX(AW$10:AW$11,Предпосылки!$I$217,),0))*IFERROR(INDEX(AW$10:AW$11,Предпосылки!$I$217,),0),AW419/(1+IFERROR(INDEX(AW$10:AW$11,Предпосылки!$I$218,),0))*IFERROR(INDEX(AW$10:AW$11,Предпосылки!$I$218,),0),AW442/(1+IFERROR(INDEX(AW$10:AW$11,Предпосылки!$I$219,),0))*IFERROR(INDEX(AW$10:AW$11,Предпосылки!$I$219,),0),AW465/(1+IFERROR(INDEX(AW$10:AW$11,Предпосылки!$I$220,),0))*IFERROR(INDEX(AW$10:AW$11,Предпосылки!$I$220,),0))</f>
        <v>0</v>
      </c>
      <c s="125">
        <f>SUM(AX28/(1+IFERROR(INDEX(AX$10:AX$11,Предпосылки!$I$201,),0))*IFERROR(INDEX(AX$10:AX$11,Предпосылки!$I$201,),0),AX51/(1+IFERROR(INDEX(AX$10:AX$11,Предпосылки!$I$202,),0))*IFERROR(INDEX(AX$10:AX$11,Предпосылки!$I$202,),0),AX74/(1+IFERROR(INDEX(AX$10:AX$11,Предпосылки!$I$203,),0))*IFERROR(INDEX(AX$10:AX$11,Предпосылки!$I$203,),0),AX97/(1+IFERROR(INDEX(AX$10:AX$11,Предпосылки!$I$204,),0))*IFERROR(INDEX(AX$10:AX$11,Предпосылки!$I$204,),0),AX120/(1+IFERROR(INDEX(AX$10:AX$11,Предпосылки!$I$205,),0))*IFERROR(INDEX(AX$10:AX$11,Предпосылки!$I$205,),0),AX143/(1+IFERROR(INDEX(AX$10:AX$11,Предпосылки!$I$206,),0))*IFERROR(INDEX(AX$10:AX$11,Предпосылки!$I$206,),0),AX166/(1+IFERROR(INDEX(AX$10:AX$11,Предпосылки!$I$207,),0))*IFERROR(INDEX(AX$10:AX$11,Предпосылки!$I$207,),0),AX189/(1+IFERROR(INDEX(AX$10:AX$11,Предпосылки!$I$208,),0))*IFERROR(INDEX(AX$10:AX$11,Предпосылки!$I$208,),0),AX212/(1+IFERROR(INDEX(AX$10:AX$11,Предпосылки!$I$209,),0))*IFERROR(INDEX(AX$10:AX$11,Предпосылки!$I$209,),0),AX235/(1+IFERROR(INDEX(AX$10:AX$11,Предпосылки!$I$210,),0))*IFERROR(INDEX(AX$10:AX$11,Предпосылки!$I$210,),0),AX258/(1+IFERROR(INDEX(AX$10:AX$11,Предпосылки!$I$211,),0))*IFERROR(INDEX(AX$10:AX$11,Предпосылки!$I$211,),0),AX281/(1+IFERROR(INDEX(AX$10:AX$11,Предпосылки!$I$212,),0))*IFERROR(INDEX(AX$10:AX$11,Предпосылки!$I$212,),0),AX304/(1+IFERROR(INDEX(AX$10:AX$11,Предпосылки!$I$213,),0))*IFERROR(INDEX(AX$10:AX$11,Предпосылки!$I$213,),0),AX327/(1+IFERROR(INDEX(AX$10:AX$11,Предпосылки!$I$214,),0))*IFERROR(INDEX(AX$10:AX$11,Предпосылки!$I$214,),0),AX350/(1+IFERROR(INDEX(AX$10:AX$11,Предпосылки!$I$215,),0))*IFERROR(INDEX(AX$10:AX$11,Предпосылки!$I$215,),0),AX373/(1+IFERROR(INDEX(AX$10:AX$11,Предпосылки!$I$216,),0))*IFERROR(INDEX(AX$10:AX$11,Предпосылки!$I$216,),0),AX396/(1+IFERROR(INDEX(AX$10:AX$11,Предпосылки!$I$217,),0))*IFERROR(INDEX(AX$10:AX$11,Предпосылки!$I$217,),0),AX419/(1+IFERROR(INDEX(AX$10:AX$11,Предпосылки!$I$218,),0))*IFERROR(INDEX(AX$10:AX$11,Предпосылки!$I$218,),0),AX442/(1+IFERROR(INDEX(AX$10:AX$11,Предпосылки!$I$219,),0))*IFERROR(INDEX(AX$10:AX$11,Предпосылки!$I$219,),0),AX465/(1+IFERROR(INDEX(AX$10:AX$11,Предпосылки!$I$220,),0))*IFERROR(INDEX(AX$10:AX$11,Предпосылки!$I$220,),0))</f>
        <v>0</v>
      </c>
      <c s="125">
        <f>SUM(AY28/(1+IFERROR(INDEX(AY$10:AY$11,Предпосылки!$I$201,),0))*IFERROR(INDEX(AY$10:AY$11,Предпосылки!$I$201,),0),AY51/(1+IFERROR(INDEX(AY$10:AY$11,Предпосылки!$I$202,),0))*IFERROR(INDEX(AY$10:AY$11,Предпосылки!$I$202,),0),AY74/(1+IFERROR(INDEX(AY$10:AY$11,Предпосылки!$I$203,),0))*IFERROR(INDEX(AY$10:AY$11,Предпосылки!$I$203,),0),AY97/(1+IFERROR(INDEX(AY$10:AY$11,Предпосылки!$I$204,),0))*IFERROR(INDEX(AY$10:AY$11,Предпосылки!$I$204,),0),AY120/(1+IFERROR(INDEX(AY$10:AY$11,Предпосылки!$I$205,),0))*IFERROR(INDEX(AY$10:AY$11,Предпосылки!$I$205,),0),AY143/(1+IFERROR(INDEX(AY$10:AY$11,Предпосылки!$I$206,),0))*IFERROR(INDEX(AY$10:AY$11,Предпосылки!$I$206,),0),AY166/(1+IFERROR(INDEX(AY$10:AY$11,Предпосылки!$I$207,),0))*IFERROR(INDEX(AY$10:AY$11,Предпосылки!$I$207,),0),AY189/(1+IFERROR(INDEX(AY$10:AY$11,Предпосылки!$I$208,),0))*IFERROR(INDEX(AY$10:AY$11,Предпосылки!$I$208,),0),AY212/(1+IFERROR(INDEX(AY$10:AY$11,Предпосылки!$I$209,),0))*IFERROR(INDEX(AY$10:AY$11,Предпосылки!$I$209,),0),AY235/(1+IFERROR(INDEX(AY$10:AY$11,Предпосылки!$I$210,),0))*IFERROR(INDEX(AY$10:AY$11,Предпосылки!$I$210,),0),AY258/(1+IFERROR(INDEX(AY$10:AY$11,Предпосылки!$I$211,),0))*IFERROR(INDEX(AY$10:AY$11,Предпосылки!$I$211,),0),AY281/(1+IFERROR(INDEX(AY$10:AY$11,Предпосылки!$I$212,),0))*IFERROR(INDEX(AY$10:AY$11,Предпосылки!$I$212,),0),AY304/(1+IFERROR(INDEX(AY$10:AY$11,Предпосылки!$I$213,),0))*IFERROR(INDEX(AY$10:AY$11,Предпосылки!$I$213,),0),AY327/(1+IFERROR(INDEX(AY$10:AY$11,Предпосылки!$I$214,),0))*IFERROR(INDEX(AY$10:AY$11,Предпосылки!$I$214,),0),AY350/(1+IFERROR(INDEX(AY$10:AY$11,Предпосылки!$I$215,),0))*IFERROR(INDEX(AY$10:AY$11,Предпосылки!$I$215,),0),AY373/(1+IFERROR(INDEX(AY$10:AY$11,Предпосылки!$I$216,),0))*IFERROR(INDEX(AY$10:AY$11,Предпосылки!$I$216,),0),AY396/(1+IFERROR(INDEX(AY$10:AY$11,Предпосылки!$I$217,),0))*IFERROR(INDEX(AY$10:AY$11,Предпосылки!$I$217,),0),AY419/(1+IFERROR(INDEX(AY$10:AY$11,Предпосылки!$I$218,),0))*IFERROR(INDEX(AY$10:AY$11,Предпосылки!$I$218,),0),AY442/(1+IFERROR(INDEX(AY$10:AY$11,Предпосылки!$I$219,),0))*IFERROR(INDEX(AY$10:AY$11,Предпосылки!$I$219,),0),AY465/(1+IFERROR(INDEX(AY$10:AY$11,Предпосылки!$I$220,),0))*IFERROR(INDEX(AY$10:AY$11,Предпосылки!$I$220,),0))</f>
        <v>0</v>
      </c>
      <c s="125">
        <f>SUM(AZ28/(1+IFERROR(INDEX(AZ$10:AZ$11,Предпосылки!$I$201,),0))*IFERROR(INDEX(AZ$10:AZ$11,Предпосылки!$I$201,),0),AZ51/(1+IFERROR(INDEX(AZ$10:AZ$11,Предпосылки!$I$202,),0))*IFERROR(INDEX(AZ$10:AZ$11,Предпосылки!$I$202,),0),AZ74/(1+IFERROR(INDEX(AZ$10:AZ$11,Предпосылки!$I$203,),0))*IFERROR(INDEX(AZ$10:AZ$11,Предпосылки!$I$203,),0),AZ97/(1+IFERROR(INDEX(AZ$10:AZ$11,Предпосылки!$I$204,),0))*IFERROR(INDEX(AZ$10:AZ$11,Предпосылки!$I$204,),0),AZ120/(1+IFERROR(INDEX(AZ$10:AZ$11,Предпосылки!$I$205,),0))*IFERROR(INDEX(AZ$10:AZ$11,Предпосылки!$I$205,),0),AZ143/(1+IFERROR(INDEX(AZ$10:AZ$11,Предпосылки!$I$206,),0))*IFERROR(INDEX(AZ$10:AZ$11,Предпосылки!$I$206,),0),AZ166/(1+IFERROR(INDEX(AZ$10:AZ$11,Предпосылки!$I$207,),0))*IFERROR(INDEX(AZ$10:AZ$11,Предпосылки!$I$207,),0),AZ189/(1+IFERROR(INDEX(AZ$10:AZ$11,Предпосылки!$I$208,),0))*IFERROR(INDEX(AZ$10:AZ$11,Предпосылки!$I$208,),0),AZ212/(1+IFERROR(INDEX(AZ$10:AZ$11,Предпосылки!$I$209,),0))*IFERROR(INDEX(AZ$10:AZ$11,Предпосылки!$I$209,),0),AZ235/(1+IFERROR(INDEX(AZ$10:AZ$11,Предпосылки!$I$210,),0))*IFERROR(INDEX(AZ$10:AZ$11,Предпосылки!$I$210,),0),AZ258/(1+IFERROR(INDEX(AZ$10:AZ$11,Предпосылки!$I$211,),0))*IFERROR(INDEX(AZ$10:AZ$11,Предпосылки!$I$211,),0),AZ281/(1+IFERROR(INDEX(AZ$10:AZ$11,Предпосылки!$I$212,),0))*IFERROR(INDEX(AZ$10:AZ$11,Предпосылки!$I$212,),0),AZ304/(1+IFERROR(INDEX(AZ$10:AZ$11,Предпосылки!$I$213,),0))*IFERROR(INDEX(AZ$10:AZ$11,Предпосылки!$I$213,),0),AZ327/(1+IFERROR(INDEX(AZ$10:AZ$11,Предпосылки!$I$214,),0))*IFERROR(INDEX(AZ$10:AZ$11,Предпосылки!$I$214,),0),AZ350/(1+IFERROR(INDEX(AZ$10:AZ$11,Предпосылки!$I$215,),0))*IFERROR(INDEX(AZ$10:AZ$11,Предпосылки!$I$215,),0),AZ373/(1+IFERROR(INDEX(AZ$10:AZ$11,Предпосылки!$I$216,),0))*IFERROR(INDEX(AZ$10:AZ$11,Предпосылки!$I$216,),0),AZ396/(1+IFERROR(INDEX(AZ$10:AZ$11,Предпосылки!$I$217,),0))*IFERROR(INDEX(AZ$10:AZ$11,Предпосылки!$I$217,),0),AZ419/(1+IFERROR(INDEX(AZ$10:AZ$11,Предпосылки!$I$218,),0))*IFERROR(INDEX(AZ$10:AZ$11,Предпосылки!$I$218,),0),AZ442/(1+IFERROR(INDEX(AZ$10:AZ$11,Предпосылки!$I$219,),0))*IFERROR(INDEX(AZ$10:AZ$11,Предпосылки!$I$219,),0),AZ465/(1+IFERROR(INDEX(AZ$10:AZ$11,Предпосылки!$I$220,),0))*IFERROR(INDEX(AZ$10:AZ$11,Предпосылки!$I$220,),0))</f>
        <v>0</v>
      </c>
      <c s="125">
        <f>SUM(BA28/(1+IFERROR(INDEX(BA$10:BA$11,Предпосылки!$I$201,),0))*IFERROR(INDEX(BA$10:BA$11,Предпосылки!$I$201,),0),BA51/(1+IFERROR(INDEX(BA$10:BA$11,Предпосылки!$I$202,),0))*IFERROR(INDEX(BA$10:BA$11,Предпосылки!$I$202,),0),BA74/(1+IFERROR(INDEX(BA$10:BA$11,Предпосылки!$I$203,),0))*IFERROR(INDEX(BA$10:BA$11,Предпосылки!$I$203,),0),BA97/(1+IFERROR(INDEX(BA$10:BA$11,Предпосылки!$I$204,),0))*IFERROR(INDEX(BA$10:BA$11,Предпосылки!$I$204,),0),BA120/(1+IFERROR(INDEX(BA$10:BA$11,Предпосылки!$I$205,),0))*IFERROR(INDEX(BA$10:BA$11,Предпосылки!$I$205,),0),BA143/(1+IFERROR(INDEX(BA$10:BA$11,Предпосылки!$I$206,),0))*IFERROR(INDEX(BA$10:BA$11,Предпосылки!$I$206,),0),BA166/(1+IFERROR(INDEX(BA$10:BA$11,Предпосылки!$I$207,),0))*IFERROR(INDEX(BA$10:BA$11,Предпосылки!$I$207,),0),BA189/(1+IFERROR(INDEX(BA$10:BA$11,Предпосылки!$I$208,),0))*IFERROR(INDEX(BA$10:BA$11,Предпосылки!$I$208,),0),BA212/(1+IFERROR(INDEX(BA$10:BA$11,Предпосылки!$I$209,),0))*IFERROR(INDEX(BA$10:BA$11,Предпосылки!$I$209,),0),BA235/(1+IFERROR(INDEX(BA$10:BA$11,Предпосылки!$I$210,),0))*IFERROR(INDEX(BA$10:BA$11,Предпосылки!$I$210,),0),BA258/(1+IFERROR(INDEX(BA$10:BA$11,Предпосылки!$I$211,),0))*IFERROR(INDEX(BA$10:BA$11,Предпосылки!$I$211,),0),BA281/(1+IFERROR(INDEX(BA$10:BA$11,Предпосылки!$I$212,),0))*IFERROR(INDEX(BA$10:BA$11,Предпосылки!$I$212,),0),BA304/(1+IFERROR(INDEX(BA$10:BA$11,Предпосылки!$I$213,),0))*IFERROR(INDEX(BA$10:BA$11,Предпосылки!$I$213,),0),BA327/(1+IFERROR(INDEX(BA$10:BA$11,Предпосылки!$I$214,),0))*IFERROR(INDEX(BA$10:BA$11,Предпосылки!$I$214,),0),BA350/(1+IFERROR(INDEX(BA$10:BA$11,Предпосылки!$I$215,),0))*IFERROR(INDEX(BA$10:BA$11,Предпосылки!$I$215,),0),BA373/(1+IFERROR(INDEX(BA$10:BA$11,Предпосылки!$I$216,),0))*IFERROR(INDEX(BA$10:BA$11,Предпосылки!$I$216,),0),BA396/(1+IFERROR(INDEX(BA$10:BA$11,Предпосылки!$I$217,),0))*IFERROR(INDEX(BA$10:BA$11,Предпосылки!$I$217,),0),BA419/(1+IFERROR(INDEX(BA$10:BA$11,Предпосылки!$I$218,),0))*IFERROR(INDEX(BA$10:BA$11,Предпосылки!$I$218,),0),BA442/(1+IFERROR(INDEX(BA$10:BA$11,Предпосылки!$I$219,),0))*IFERROR(INDEX(BA$10:BA$11,Предпосылки!$I$219,),0),BA465/(1+IFERROR(INDEX(BA$10:BA$11,Предпосылки!$I$220,),0))*IFERROR(INDEX(BA$10:BA$11,Предпосылки!$I$220,),0))</f>
        <v>0</v>
      </c>
      <c s="125">
        <f>SUM(BB28/(1+IFERROR(INDEX(BB$10:BB$11,Предпосылки!$I$201,),0))*IFERROR(INDEX(BB$10:BB$11,Предпосылки!$I$201,),0),BB51/(1+IFERROR(INDEX(BB$10:BB$11,Предпосылки!$I$202,),0))*IFERROR(INDEX(BB$10:BB$11,Предпосылки!$I$202,),0),BB74/(1+IFERROR(INDEX(BB$10:BB$11,Предпосылки!$I$203,),0))*IFERROR(INDEX(BB$10:BB$11,Предпосылки!$I$203,),0),BB97/(1+IFERROR(INDEX(BB$10:BB$11,Предпосылки!$I$204,),0))*IFERROR(INDEX(BB$10:BB$11,Предпосылки!$I$204,),0),BB120/(1+IFERROR(INDEX(BB$10:BB$11,Предпосылки!$I$205,),0))*IFERROR(INDEX(BB$10:BB$11,Предпосылки!$I$205,),0),BB143/(1+IFERROR(INDEX(BB$10:BB$11,Предпосылки!$I$206,),0))*IFERROR(INDEX(BB$10:BB$11,Предпосылки!$I$206,),0),BB166/(1+IFERROR(INDEX(BB$10:BB$11,Предпосылки!$I$207,),0))*IFERROR(INDEX(BB$10:BB$11,Предпосылки!$I$207,),0),BB189/(1+IFERROR(INDEX(BB$10:BB$11,Предпосылки!$I$208,),0))*IFERROR(INDEX(BB$10:BB$11,Предпосылки!$I$208,),0),BB212/(1+IFERROR(INDEX(BB$10:BB$11,Предпосылки!$I$209,),0))*IFERROR(INDEX(BB$10:BB$11,Предпосылки!$I$209,),0),BB235/(1+IFERROR(INDEX(BB$10:BB$11,Предпосылки!$I$210,),0))*IFERROR(INDEX(BB$10:BB$11,Предпосылки!$I$210,),0),BB258/(1+IFERROR(INDEX(BB$10:BB$11,Предпосылки!$I$211,),0))*IFERROR(INDEX(BB$10:BB$11,Предпосылки!$I$211,),0),BB281/(1+IFERROR(INDEX(BB$10:BB$11,Предпосылки!$I$212,),0))*IFERROR(INDEX(BB$10:BB$11,Предпосылки!$I$212,),0),BB304/(1+IFERROR(INDEX(BB$10:BB$11,Предпосылки!$I$213,),0))*IFERROR(INDEX(BB$10:BB$11,Предпосылки!$I$213,),0),BB327/(1+IFERROR(INDEX(BB$10:BB$11,Предпосылки!$I$214,),0))*IFERROR(INDEX(BB$10:BB$11,Предпосылки!$I$214,),0),BB350/(1+IFERROR(INDEX(BB$10:BB$11,Предпосылки!$I$215,),0))*IFERROR(INDEX(BB$10:BB$11,Предпосылки!$I$215,),0),BB373/(1+IFERROR(INDEX(BB$10:BB$11,Предпосылки!$I$216,),0))*IFERROR(INDEX(BB$10:BB$11,Предпосылки!$I$216,),0),BB396/(1+IFERROR(INDEX(BB$10:BB$11,Предпосылки!$I$217,),0))*IFERROR(INDEX(BB$10:BB$11,Предпосылки!$I$217,),0),BB419/(1+IFERROR(INDEX(BB$10:BB$11,Предпосылки!$I$218,),0))*IFERROR(INDEX(BB$10:BB$11,Предпосылки!$I$218,),0),BB442/(1+IFERROR(INDEX(BB$10:BB$11,Предпосылки!$I$219,),0))*IFERROR(INDEX(BB$10:BB$11,Предпосылки!$I$219,),0),BB465/(1+IFERROR(INDEX(BB$10:BB$11,Предпосылки!$I$220,),0))*IFERROR(INDEX(BB$10:BB$11,Предпосылки!$I$220,),0))</f>
        <v>0</v>
      </c>
      <c s="125">
        <f>SUM(BC28/(1+IFERROR(INDEX(BC$10:BC$11,Предпосылки!$I$201,),0))*IFERROR(INDEX(BC$10:BC$11,Предпосылки!$I$201,),0),BC51/(1+IFERROR(INDEX(BC$10:BC$11,Предпосылки!$I$202,),0))*IFERROR(INDEX(BC$10:BC$11,Предпосылки!$I$202,),0),BC74/(1+IFERROR(INDEX(BC$10:BC$11,Предпосылки!$I$203,),0))*IFERROR(INDEX(BC$10:BC$11,Предпосылки!$I$203,),0),BC97/(1+IFERROR(INDEX(BC$10:BC$11,Предпосылки!$I$204,),0))*IFERROR(INDEX(BC$10:BC$11,Предпосылки!$I$204,),0),BC120/(1+IFERROR(INDEX(BC$10:BC$11,Предпосылки!$I$205,),0))*IFERROR(INDEX(BC$10:BC$11,Предпосылки!$I$205,),0),BC143/(1+IFERROR(INDEX(BC$10:BC$11,Предпосылки!$I$206,),0))*IFERROR(INDEX(BC$10:BC$11,Предпосылки!$I$206,),0),BC166/(1+IFERROR(INDEX(BC$10:BC$11,Предпосылки!$I$207,),0))*IFERROR(INDEX(BC$10:BC$11,Предпосылки!$I$207,),0),BC189/(1+IFERROR(INDEX(BC$10:BC$11,Предпосылки!$I$208,),0))*IFERROR(INDEX(BC$10:BC$11,Предпосылки!$I$208,),0),BC212/(1+IFERROR(INDEX(BC$10:BC$11,Предпосылки!$I$209,),0))*IFERROR(INDEX(BC$10:BC$11,Предпосылки!$I$209,),0),BC235/(1+IFERROR(INDEX(BC$10:BC$11,Предпосылки!$I$210,),0))*IFERROR(INDEX(BC$10:BC$11,Предпосылки!$I$210,),0),BC258/(1+IFERROR(INDEX(BC$10:BC$11,Предпосылки!$I$211,),0))*IFERROR(INDEX(BC$10:BC$11,Предпосылки!$I$211,),0),BC281/(1+IFERROR(INDEX(BC$10:BC$11,Предпосылки!$I$212,),0))*IFERROR(INDEX(BC$10:BC$11,Предпосылки!$I$212,),0),BC304/(1+IFERROR(INDEX(BC$10:BC$11,Предпосылки!$I$213,),0))*IFERROR(INDEX(BC$10:BC$11,Предпосылки!$I$213,),0),BC327/(1+IFERROR(INDEX(BC$10:BC$11,Предпосылки!$I$214,),0))*IFERROR(INDEX(BC$10:BC$11,Предпосылки!$I$214,),0),BC350/(1+IFERROR(INDEX(BC$10:BC$11,Предпосылки!$I$215,),0))*IFERROR(INDEX(BC$10:BC$11,Предпосылки!$I$215,),0),BC373/(1+IFERROR(INDEX(BC$10:BC$11,Предпосылки!$I$216,),0))*IFERROR(INDEX(BC$10:BC$11,Предпосылки!$I$216,),0),BC396/(1+IFERROR(INDEX(BC$10:BC$11,Предпосылки!$I$217,),0))*IFERROR(INDEX(BC$10:BC$11,Предпосылки!$I$217,),0),BC419/(1+IFERROR(INDEX(BC$10:BC$11,Предпосылки!$I$218,),0))*IFERROR(INDEX(BC$10:BC$11,Предпосылки!$I$218,),0),BC442/(1+IFERROR(INDEX(BC$10:BC$11,Предпосылки!$I$219,),0))*IFERROR(INDEX(BC$10:BC$11,Предпосылки!$I$219,),0),BC465/(1+IFERROR(INDEX(BC$10:BC$11,Предпосылки!$I$220,),0))*IFERROR(INDEX(BC$10:BC$11,Предпосылки!$I$220,),0))</f>
        <v>0</v>
      </c>
      <c s="125">
        <f>SUM(BD28/(1+IFERROR(INDEX(BD$10:BD$11,Предпосылки!$I$201,),0))*IFERROR(INDEX(BD$10:BD$11,Предпосылки!$I$201,),0),BD51/(1+IFERROR(INDEX(BD$10:BD$11,Предпосылки!$I$202,),0))*IFERROR(INDEX(BD$10:BD$11,Предпосылки!$I$202,),0),BD74/(1+IFERROR(INDEX(BD$10:BD$11,Предпосылки!$I$203,),0))*IFERROR(INDEX(BD$10:BD$11,Предпосылки!$I$203,),0),BD97/(1+IFERROR(INDEX(BD$10:BD$11,Предпосылки!$I$204,),0))*IFERROR(INDEX(BD$10:BD$11,Предпосылки!$I$204,),0),BD120/(1+IFERROR(INDEX(BD$10:BD$11,Предпосылки!$I$205,),0))*IFERROR(INDEX(BD$10:BD$11,Предпосылки!$I$205,),0),BD143/(1+IFERROR(INDEX(BD$10:BD$11,Предпосылки!$I$206,),0))*IFERROR(INDEX(BD$10:BD$11,Предпосылки!$I$206,),0),BD166/(1+IFERROR(INDEX(BD$10:BD$11,Предпосылки!$I$207,),0))*IFERROR(INDEX(BD$10:BD$11,Предпосылки!$I$207,),0),BD189/(1+IFERROR(INDEX(BD$10:BD$11,Предпосылки!$I$208,),0))*IFERROR(INDEX(BD$10:BD$11,Предпосылки!$I$208,),0),BD212/(1+IFERROR(INDEX(BD$10:BD$11,Предпосылки!$I$209,),0))*IFERROR(INDEX(BD$10:BD$11,Предпосылки!$I$209,),0),BD235/(1+IFERROR(INDEX(BD$10:BD$11,Предпосылки!$I$210,),0))*IFERROR(INDEX(BD$10:BD$11,Предпосылки!$I$210,),0),BD258/(1+IFERROR(INDEX(BD$10:BD$11,Предпосылки!$I$211,),0))*IFERROR(INDEX(BD$10:BD$11,Предпосылки!$I$211,),0),BD281/(1+IFERROR(INDEX(BD$10:BD$11,Предпосылки!$I$212,),0))*IFERROR(INDEX(BD$10:BD$11,Предпосылки!$I$212,),0),BD304/(1+IFERROR(INDEX(BD$10:BD$11,Предпосылки!$I$213,),0))*IFERROR(INDEX(BD$10:BD$11,Предпосылки!$I$213,),0),BD327/(1+IFERROR(INDEX(BD$10:BD$11,Предпосылки!$I$214,),0))*IFERROR(INDEX(BD$10:BD$11,Предпосылки!$I$214,),0),BD350/(1+IFERROR(INDEX(BD$10:BD$11,Предпосылки!$I$215,),0))*IFERROR(INDEX(BD$10:BD$11,Предпосылки!$I$215,),0),BD373/(1+IFERROR(INDEX(BD$10:BD$11,Предпосылки!$I$216,),0))*IFERROR(INDEX(BD$10:BD$11,Предпосылки!$I$216,),0),BD396/(1+IFERROR(INDEX(BD$10:BD$11,Предпосылки!$I$217,),0))*IFERROR(INDEX(BD$10:BD$11,Предпосылки!$I$217,),0),BD419/(1+IFERROR(INDEX(BD$10:BD$11,Предпосылки!$I$218,),0))*IFERROR(INDEX(BD$10:BD$11,Предпосылки!$I$218,),0),BD442/(1+IFERROR(INDEX(BD$10:BD$11,Предпосылки!$I$219,),0))*IFERROR(INDEX(BD$10:BD$11,Предпосылки!$I$219,),0),BD465/(1+IFERROR(INDEX(BD$10:BD$11,Предпосылки!$I$220,),0))*IFERROR(INDEX(BD$10:BD$11,Предпосылки!$I$220,),0))</f>
        <v>0</v>
      </c>
      <c s="125">
        <f>SUM(BE28/(1+IFERROR(INDEX(BE$10:BE$11,Предпосылки!$I$201,),0))*IFERROR(INDEX(BE$10:BE$11,Предпосылки!$I$201,),0),BE51/(1+IFERROR(INDEX(BE$10:BE$11,Предпосылки!$I$202,),0))*IFERROR(INDEX(BE$10:BE$11,Предпосылки!$I$202,),0),BE74/(1+IFERROR(INDEX(BE$10:BE$11,Предпосылки!$I$203,),0))*IFERROR(INDEX(BE$10:BE$11,Предпосылки!$I$203,),0),BE97/(1+IFERROR(INDEX(BE$10:BE$11,Предпосылки!$I$204,),0))*IFERROR(INDEX(BE$10:BE$11,Предпосылки!$I$204,),0),BE120/(1+IFERROR(INDEX(BE$10:BE$11,Предпосылки!$I$205,),0))*IFERROR(INDEX(BE$10:BE$11,Предпосылки!$I$205,),0),BE143/(1+IFERROR(INDEX(BE$10:BE$11,Предпосылки!$I$206,),0))*IFERROR(INDEX(BE$10:BE$11,Предпосылки!$I$206,),0),BE166/(1+IFERROR(INDEX(BE$10:BE$11,Предпосылки!$I$207,),0))*IFERROR(INDEX(BE$10:BE$11,Предпосылки!$I$207,),0),BE189/(1+IFERROR(INDEX(BE$10:BE$11,Предпосылки!$I$208,),0))*IFERROR(INDEX(BE$10:BE$11,Предпосылки!$I$208,),0),BE212/(1+IFERROR(INDEX(BE$10:BE$11,Предпосылки!$I$209,),0))*IFERROR(INDEX(BE$10:BE$11,Предпосылки!$I$209,),0),BE235/(1+IFERROR(INDEX(BE$10:BE$11,Предпосылки!$I$210,),0))*IFERROR(INDEX(BE$10:BE$11,Предпосылки!$I$210,),0),BE258/(1+IFERROR(INDEX(BE$10:BE$11,Предпосылки!$I$211,),0))*IFERROR(INDEX(BE$10:BE$11,Предпосылки!$I$211,),0),BE281/(1+IFERROR(INDEX(BE$10:BE$11,Предпосылки!$I$212,),0))*IFERROR(INDEX(BE$10:BE$11,Предпосылки!$I$212,),0),BE304/(1+IFERROR(INDEX(BE$10:BE$11,Предпосылки!$I$213,),0))*IFERROR(INDEX(BE$10:BE$11,Предпосылки!$I$213,),0),BE327/(1+IFERROR(INDEX(BE$10:BE$11,Предпосылки!$I$214,),0))*IFERROR(INDEX(BE$10:BE$11,Предпосылки!$I$214,),0),BE350/(1+IFERROR(INDEX(BE$10:BE$11,Предпосылки!$I$215,),0))*IFERROR(INDEX(BE$10:BE$11,Предпосылки!$I$215,),0),BE373/(1+IFERROR(INDEX(BE$10:BE$11,Предпосылки!$I$216,),0))*IFERROR(INDEX(BE$10:BE$11,Предпосылки!$I$216,),0),BE396/(1+IFERROR(INDEX(BE$10:BE$11,Предпосылки!$I$217,),0))*IFERROR(INDEX(BE$10:BE$11,Предпосылки!$I$217,),0),BE419/(1+IFERROR(INDEX(BE$10:BE$11,Предпосылки!$I$218,),0))*IFERROR(INDEX(BE$10:BE$11,Предпосылки!$I$218,),0),BE442/(1+IFERROR(INDEX(BE$10:BE$11,Предпосылки!$I$219,),0))*IFERROR(INDEX(BE$10:BE$11,Предпосылки!$I$219,),0),BE465/(1+IFERROR(INDEX(BE$10:BE$11,Предпосылки!$I$220,),0))*IFERROR(INDEX(BE$10:BE$11,Предпосылки!$I$220,),0))</f>
        <v>0</v>
      </c>
      <c s="125">
        <f>SUM(BF28/(1+IFERROR(INDEX(BF$10:BF$11,Предпосылки!$I$201,),0))*IFERROR(INDEX(BF$10:BF$11,Предпосылки!$I$201,),0),BF51/(1+IFERROR(INDEX(BF$10:BF$11,Предпосылки!$I$202,),0))*IFERROR(INDEX(BF$10:BF$11,Предпосылки!$I$202,),0),BF74/(1+IFERROR(INDEX(BF$10:BF$11,Предпосылки!$I$203,),0))*IFERROR(INDEX(BF$10:BF$11,Предпосылки!$I$203,),0),BF97/(1+IFERROR(INDEX(BF$10:BF$11,Предпосылки!$I$204,),0))*IFERROR(INDEX(BF$10:BF$11,Предпосылки!$I$204,),0),BF120/(1+IFERROR(INDEX(BF$10:BF$11,Предпосылки!$I$205,),0))*IFERROR(INDEX(BF$10:BF$11,Предпосылки!$I$205,),0),BF143/(1+IFERROR(INDEX(BF$10:BF$11,Предпосылки!$I$206,),0))*IFERROR(INDEX(BF$10:BF$11,Предпосылки!$I$206,),0),BF166/(1+IFERROR(INDEX(BF$10:BF$11,Предпосылки!$I$207,),0))*IFERROR(INDEX(BF$10:BF$11,Предпосылки!$I$207,),0),BF189/(1+IFERROR(INDEX(BF$10:BF$11,Предпосылки!$I$208,),0))*IFERROR(INDEX(BF$10:BF$11,Предпосылки!$I$208,),0),BF212/(1+IFERROR(INDEX(BF$10:BF$11,Предпосылки!$I$209,),0))*IFERROR(INDEX(BF$10:BF$11,Предпосылки!$I$209,),0),BF235/(1+IFERROR(INDEX(BF$10:BF$11,Предпосылки!$I$210,),0))*IFERROR(INDEX(BF$10:BF$11,Предпосылки!$I$210,),0),BF258/(1+IFERROR(INDEX(BF$10:BF$11,Предпосылки!$I$211,),0))*IFERROR(INDEX(BF$10:BF$11,Предпосылки!$I$211,),0),BF281/(1+IFERROR(INDEX(BF$10:BF$11,Предпосылки!$I$212,),0))*IFERROR(INDEX(BF$10:BF$11,Предпосылки!$I$212,),0),BF304/(1+IFERROR(INDEX(BF$10:BF$11,Предпосылки!$I$213,),0))*IFERROR(INDEX(BF$10:BF$11,Предпосылки!$I$213,),0),BF327/(1+IFERROR(INDEX(BF$10:BF$11,Предпосылки!$I$214,),0))*IFERROR(INDEX(BF$10:BF$11,Предпосылки!$I$214,),0),BF350/(1+IFERROR(INDEX(BF$10:BF$11,Предпосылки!$I$215,),0))*IFERROR(INDEX(BF$10:BF$11,Предпосылки!$I$215,),0),BF373/(1+IFERROR(INDEX(BF$10:BF$11,Предпосылки!$I$216,),0))*IFERROR(INDEX(BF$10:BF$11,Предпосылки!$I$216,),0),BF396/(1+IFERROR(INDEX(BF$10:BF$11,Предпосылки!$I$217,),0))*IFERROR(INDEX(BF$10:BF$11,Предпосылки!$I$217,),0),BF419/(1+IFERROR(INDEX(BF$10:BF$11,Предпосылки!$I$218,),0))*IFERROR(INDEX(BF$10:BF$11,Предпосылки!$I$218,),0),BF442/(1+IFERROR(INDEX(BF$10:BF$11,Предпосылки!$I$219,),0))*IFERROR(INDEX(BF$10:BF$11,Предпосылки!$I$219,),0),BF465/(1+IFERROR(INDEX(BF$10:BF$11,Предпосылки!$I$220,),0))*IFERROR(INDEX(BF$10:BF$11,Предпосылки!$I$220,),0))</f>
        <v>0</v>
      </c>
      <c s="125">
        <f>SUM(BG28/(1+IFERROR(INDEX(BG$10:BG$11,Предпосылки!$I$201,),0))*IFERROR(INDEX(BG$10:BG$11,Предпосылки!$I$201,),0),BG51/(1+IFERROR(INDEX(BG$10:BG$11,Предпосылки!$I$202,),0))*IFERROR(INDEX(BG$10:BG$11,Предпосылки!$I$202,),0),BG74/(1+IFERROR(INDEX(BG$10:BG$11,Предпосылки!$I$203,),0))*IFERROR(INDEX(BG$10:BG$11,Предпосылки!$I$203,),0),BG97/(1+IFERROR(INDEX(BG$10:BG$11,Предпосылки!$I$204,),0))*IFERROR(INDEX(BG$10:BG$11,Предпосылки!$I$204,),0),BG120/(1+IFERROR(INDEX(BG$10:BG$11,Предпосылки!$I$205,),0))*IFERROR(INDEX(BG$10:BG$11,Предпосылки!$I$205,),0),BG143/(1+IFERROR(INDEX(BG$10:BG$11,Предпосылки!$I$206,),0))*IFERROR(INDEX(BG$10:BG$11,Предпосылки!$I$206,),0),BG166/(1+IFERROR(INDEX(BG$10:BG$11,Предпосылки!$I$207,),0))*IFERROR(INDEX(BG$10:BG$11,Предпосылки!$I$207,),0),BG189/(1+IFERROR(INDEX(BG$10:BG$11,Предпосылки!$I$208,),0))*IFERROR(INDEX(BG$10:BG$11,Предпосылки!$I$208,),0),BG212/(1+IFERROR(INDEX(BG$10:BG$11,Предпосылки!$I$209,),0))*IFERROR(INDEX(BG$10:BG$11,Предпосылки!$I$209,),0),BG235/(1+IFERROR(INDEX(BG$10:BG$11,Предпосылки!$I$210,),0))*IFERROR(INDEX(BG$10:BG$11,Предпосылки!$I$210,),0),BG258/(1+IFERROR(INDEX(BG$10:BG$11,Предпосылки!$I$211,),0))*IFERROR(INDEX(BG$10:BG$11,Предпосылки!$I$211,),0),BG281/(1+IFERROR(INDEX(BG$10:BG$11,Предпосылки!$I$212,),0))*IFERROR(INDEX(BG$10:BG$11,Предпосылки!$I$212,),0),BG304/(1+IFERROR(INDEX(BG$10:BG$11,Предпосылки!$I$213,),0))*IFERROR(INDEX(BG$10:BG$11,Предпосылки!$I$213,),0),BG327/(1+IFERROR(INDEX(BG$10:BG$11,Предпосылки!$I$214,),0))*IFERROR(INDEX(BG$10:BG$11,Предпосылки!$I$214,),0),BG350/(1+IFERROR(INDEX(BG$10:BG$11,Предпосылки!$I$215,),0))*IFERROR(INDEX(BG$10:BG$11,Предпосылки!$I$215,),0),BG373/(1+IFERROR(INDEX(BG$10:BG$11,Предпосылки!$I$216,),0))*IFERROR(INDEX(BG$10:BG$11,Предпосылки!$I$216,),0),BG396/(1+IFERROR(INDEX(BG$10:BG$11,Предпосылки!$I$217,),0))*IFERROR(INDEX(BG$10:BG$11,Предпосылки!$I$217,),0),BG419/(1+IFERROR(INDEX(BG$10:BG$11,Предпосылки!$I$218,),0))*IFERROR(INDEX(BG$10:BG$11,Предпосылки!$I$218,),0),BG442/(1+IFERROR(INDEX(BG$10:BG$11,Предпосылки!$I$219,),0))*IFERROR(INDEX(BG$10:BG$11,Предпосылки!$I$219,),0),BG465/(1+IFERROR(INDEX(BG$10:BG$11,Предпосылки!$I$220,),0))*IFERROR(INDEX(BG$10:BG$11,Предпосылки!$I$220,),0))</f>
        <v>0</v>
      </c>
      <c s="125">
        <f>SUM(BH28/(1+IFERROR(INDEX(BH$10:BH$11,Предпосылки!$I$201,),0))*IFERROR(INDEX(BH$10:BH$11,Предпосылки!$I$201,),0),BH51/(1+IFERROR(INDEX(BH$10:BH$11,Предпосылки!$I$202,),0))*IFERROR(INDEX(BH$10:BH$11,Предпосылки!$I$202,),0),BH74/(1+IFERROR(INDEX(BH$10:BH$11,Предпосылки!$I$203,),0))*IFERROR(INDEX(BH$10:BH$11,Предпосылки!$I$203,),0),BH97/(1+IFERROR(INDEX(BH$10:BH$11,Предпосылки!$I$204,),0))*IFERROR(INDEX(BH$10:BH$11,Предпосылки!$I$204,),0),BH120/(1+IFERROR(INDEX(BH$10:BH$11,Предпосылки!$I$205,),0))*IFERROR(INDEX(BH$10:BH$11,Предпосылки!$I$205,),0),BH143/(1+IFERROR(INDEX(BH$10:BH$11,Предпосылки!$I$206,),0))*IFERROR(INDEX(BH$10:BH$11,Предпосылки!$I$206,),0),BH166/(1+IFERROR(INDEX(BH$10:BH$11,Предпосылки!$I$207,),0))*IFERROR(INDEX(BH$10:BH$11,Предпосылки!$I$207,),0),BH189/(1+IFERROR(INDEX(BH$10:BH$11,Предпосылки!$I$208,),0))*IFERROR(INDEX(BH$10:BH$11,Предпосылки!$I$208,),0),BH212/(1+IFERROR(INDEX(BH$10:BH$11,Предпосылки!$I$209,),0))*IFERROR(INDEX(BH$10:BH$11,Предпосылки!$I$209,),0),BH235/(1+IFERROR(INDEX(BH$10:BH$11,Предпосылки!$I$210,),0))*IFERROR(INDEX(BH$10:BH$11,Предпосылки!$I$210,),0),BH258/(1+IFERROR(INDEX(BH$10:BH$11,Предпосылки!$I$211,),0))*IFERROR(INDEX(BH$10:BH$11,Предпосылки!$I$211,),0),BH281/(1+IFERROR(INDEX(BH$10:BH$11,Предпосылки!$I$212,),0))*IFERROR(INDEX(BH$10:BH$11,Предпосылки!$I$212,),0),BH304/(1+IFERROR(INDEX(BH$10:BH$11,Предпосылки!$I$213,),0))*IFERROR(INDEX(BH$10:BH$11,Предпосылки!$I$213,),0),BH327/(1+IFERROR(INDEX(BH$10:BH$11,Предпосылки!$I$214,),0))*IFERROR(INDEX(BH$10:BH$11,Предпосылки!$I$214,),0),BH350/(1+IFERROR(INDEX(BH$10:BH$11,Предпосылки!$I$215,),0))*IFERROR(INDEX(BH$10:BH$11,Предпосылки!$I$215,),0),BH373/(1+IFERROR(INDEX(BH$10:BH$11,Предпосылки!$I$216,),0))*IFERROR(INDEX(BH$10:BH$11,Предпосылки!$I$216,),0),BH396/(1+IFERROR(INDEX(BH$10:BH$11,Предпосылки!$I$217,),0))*IFERROR(INDEX(BH$10:BH$11,Предпосылки!$I$217,),0),BH419/(1+IFERROR(INDEX(BH$10:BH$11,Предпосылки!$I$218,),0))*IFERROR(INDEX(BH$10:BH$11,Предпосылки!$I$218,),0),BH442/(1+IFERROR(INDEX(BH$10:BH$11,Предпосылки!$I$219,),0))*IFERROR(INDEX(BH$10:BH$11,Предпосылки!$I$219,),0),BH465/(1+IFERROR(INDEX(BH$10:BH$11,Предпосылки!$I$220,),0))*IFERROR(INDEX(BH$10:BH$11,Предпосылки!$I$220,),0))</f>
        <v>0</v>
      </c>
      <c s="125">
        <f>SUM(BI28/(1+IFERROR(INDEX(BI$10:BI$11,Предпосылки!$I$201,),0))*IFERROR(INDEX(BI$10:BI$11,Предпосылки!$I$201,),0),BI51/(1+IFERROR(INDEX(BI$10:BI$11,Предпосылки!$I$202,),0))*IFERROR(INDEX(BI$10:BI$11,Предпосылки!$I$202,),0),BI74/(1+IFERROR(INDEX(BI$10:BI$11,Предпосылки!$I$203,),0))*IFERROR(INDEX(BI$10:BI$11,Предпосылки!$I$203,),0),BI97/(1+IFERROR(INDEX(BI$10:BI$11,Предпосылки!$I$204,),0))*IFERROR(INDEX(BI$10:BI$11,Предпосылки!$I$204,),0),BI120/(1+IFERROR(INDEX(BI$10:BI$11,Предпосылки!$I$205,),0))*IFERROR(INDEX(BI$10:BI$11,Предпосылки!$I$205,),0),BI143/(1+IFERROR(INDEX(BI$10:BI$11,Предпосылки!$I$206,),0))*IFERROR(INDEX(BI$10:BI$11,Предпосылки!$I$206,),0),BI166/(1+IFERROR(INDEX(BI$10:BI$11,Предпосылки!$I$207,),0))*IFERROR(INDEX(BI$10:BI$11,Предпосылки!$I$207,),0),BI189/(1+IFERROR(INDEX(BI$10:BI$11,Предпосылки!$I$208,),0))*IFERROR(INDEX(BI$10:BI$11,Предпосылки!$I$208,),0),BI212/(1+IFERROR(INDEX(BI$10:BI$11,Предпосылки!$I$209,),0))*IFERROR(INDEX(BI$10:BI$11,Предпосылки!$I$209,),0),BI235/(1+IFERROR(INDEX(BI$10:BI$11,Предпосылки!$I$210,),0))*IFERROR(INDEX(BI$10:BI$11,Предпосылки!$I$210,),0),BI258/(1+IFERROR(INDEX(BI$10:BI$11,Предпосылки!$I$211,),0))*IFERROR(INDEX(BI$10:BI$11,Предпосылки!$I$211,),0),BI281/(1+IFERROR(INDEX(BI$10:BI$11,Предпосылки!$I$212,),0))*IFERROR(INDEX(BI$10:BI$11,Предпосылки!$I$212,),0),BI304/(1+IFERROR(INDEX(BI$10:BI$11,Предпосылки!$I$213,),0))*IFERROR(INDEX(BI$10:BI$11,Предпосылки!$I$213,),0),BI327/(1+IFERROR(INDEX(BI$10:BI$11,Предпосылки!$I$214,),0))*IFERROR(INDEX(BI$10:BI$11,Предпосылки!$I$214,),0),BI350/(1+IFERROR(INDEX(BI$10:BI$11,Предпосылки!$I$215,),0))*IFERROR(INDEX(BI$10:BI$11,Предпосылки!$I$215,),0),BI373/(1+IFERROR(INDEX(BI$10:BI$11,Предпосылки!$I$216,),0))*IFERROR(INDEX(BI$10:BI$11,Предпосылки!$I$216,),0),BI396/(1+IFERROR(INDEX(BI$10:BI$11,Предпосылки!$I$217,),0))*IFERROR(INDEX(BI$10:BI$11,Предпосылки!$I$217,),0),BI419/(1+IFERROR(INDEX(BI$10:BI$11,Предпосылки!$I$218,),0))*IFERROR(INDEX(BI$10:BI$11,Предпосылки!$I$218,),0),BI442/(1+IFERROR(INDEX(BI$10:BI$11,Предпосылки!$I$219,),0))*IFERROR(INDEX(BI$10:BI$11,Предпосылки!$I$219,),0),BI465/(1+IFERROR(INDEX(BI$10:BI$11,Предпосылки!$I$220,),0))*IFERROR(INDEX(BI$10:BI$11,Предпосылки!$I$220,),0))</f>
        <v>0</v>
      </c>
      <c s="125">
        <f>SUM(BJ28/(1+IFERROR(INDEX(BJ$10:BJ$11,Предпосылки!$I$201,),0))*IFERROR(INDEX(BJ$10:BJ$11,Предпосылки!$I$201,),0),BJ51/(1+IFERROR(INDEX(BJ$10:BJ$11,Предпосылки!$I$202,),0))*IFERROR(INDEX(BJ$10:BJ$11,Предпосылки!$I$202,),0),BJ74/(1+IFERROR(INDEX(BJ$10:BJ$11,Предпосылки!$I$203,),0))*IFERROR(INDEX(BJ$10:BJ$11,Предпосылки!$I$203,),0),BJ97/(1+IFERROR(INDEX(BJ$10:BJ$11,Предпосылки!$I$204,),0))*IFERROR(INDEX(BJ$10:BJ$11,Предпосылки!$I$204,),0),BJ120/(1+IFERROR(INDEX(BJ$10:BJ$11,Предпосылки!$I$205,),0))*IFERROR(INDEX(BJ$10:BJ$11,Предпосылки!$I$205,),0),BJ143/(1+IFERROR(INDEX(BJ$10:BJ$11,Предпосылки!$I$206,),0))*IFERROR(INDEX(BJ$10:BJ$11,Предпосылки!$I$206,),0),BJ166/(1+IFERROR(INDEX(BJ$10:BJ$11,Предпосылки!$I$207,),0))*IFERROR(INDEX(BJ$10:BJ$11,Предпосылки!$I$207,),0),BJ189/(1+IFERROR(INDEX(BJ$10:BJ$11,Предпосылки!$I$208,),0))*IFERROR(INDEX(BJ$10:BJ$11,Предпосылки!$I$208,),0),BJ212/(1+IFERROR(INDEX(BJ$10:BJ$11,Предпосылки!$I$209,),0))*IFERROR(INDEX(BJ$10:BJ$11,Предпосылки!$I$209,),0),BJ235/(1+IFERROR(INDEX(BJ$10:BJ$11,Предпосылки!$I$210,),0))*IFERROR(INDEX(BJ$10:BJ$11,Предпосылки!$I$210,),0),BJ258/(1+IFERROR(INDEX(BJ$10:BJ$11,Предпосылки!$I$211,),0))*IFERROR(INDEX(BJ$10:BJ$11,Предпосылки!$I$211,),0),BJ281/(1+IFERROR(INDEX(BJ$10:BJ$11,Предпосылки!$I$212,),0))*IFERROR(INDEX(BJ$10:BJ$11,Предпосылки!$I$212,),0),BJ304/(1+IFERROR(INDEX(BJ$10:BJ$11,Предпосылки!$I$213,),0))*IFERROR(INDEX(BJ$10:BJ$11,Предпосылки!$I$213,),0),BJ327/(1+IFERROR(INDEX(BJ$10:BJ$11,Предпосылки!$I$214,),0))*IFERROR(INDEX(BJ$10:BJ$11,Предпосылки!$I$214,),0),BJ350/(1+IFERROR(INDEX(BJ$10:BJ$11,Предпосылки!$I$215,),0))*IFERROR(INDEX(BJ$10:BJ$11,Предпосылки!$I$215,),0),BJ373/(1+IFERROR(INDEX(BJ$10:BJ$11,Предпосылки!$I$216,),0))*IFERROR(INDEX(BJ$10:BJ$11,Предпосылки!$I$216,),0),BJ396/(1+IFERROR(INDEX(BJ$10:BJ$11,Предпосылки!$I$217,),0))*IFERROR(INDEX(BJ$10:BJ$11,Предпосылки!$I$217,),0),BJ419/(1+IFERROR(INDEX(BJ$10:BJ$11,Предпосылки!$I$218,),0))*IFERROR(INDEX(BJ$10:BJ$11,Предпосылки!$I$218,),0),BJ442/(1+IFERROR(INDEX(BJ$10:BJ$11,Предпосылки!$I$219,),0))*IFERROR(INDEX(BJ$10:BJ$11,Предпосылки!$I$219,),0),BJ465/(1+IFERROR(INDEX(BJ$10:BJ$11,Предпосылки!$I$220,),0))*IFERROR(INDEX(BJ$10:BJ$11,Предпосылки!$I$220,),0))</f>
        <v>0</v>
      </c>
      <c s="125">
        <f>SUM(BK28/(1+IFERROR(INDEX(BK$10:BK$11,Предпосылки!$I$201,),0))*IFERROR(INDEX(BK$10:BK$11,Предпосылки!$I$201,),0),BK51/(1+IFERROR(INDEX(BK$10:BK$11,Предпосылки!$I$202,),0))*IFERROR(INDEX(BK$10:BK$11,Предпосылки!$I$202,),0),BK74/(1+IFERROR(INDEX(BK$10:BK$11,Предпосылки!$I$203,),0))*IFERROR(INDEX(BK$10:BK$11,Предпосылки!$I$203,),0),BK97/(1+IFERROR(INDEX(BK$10:BK$11,Предпосылки!$I$204,),0))*IFERROR(INDEX(BK$10:BK$11,Предпосылки!$I$204,),0),BK120/(1+IFERROR(INDEX(BK$10:BK$11,Предпосылки!$I$205,),0))*IFERROR(INDEX(BK$10:BK$11,Предпосылки!$I$205,),0),BK143/(1+IFERROR(INDEX(BK$10:BK$11,Предпосылки!$I$206,),0))*IFERROR(INDEX(BK$10:BK$11,Предпосылки!$I$206,),0),BK166/(1+IFERROR(INDEX(BK$10:BK$11,Предпосылки!$I$207,),0))*IFERROR(INDEX(BK$10:BK$11,Предпосылки!$I$207,),0),BK189/(1+IFERROR(INDEX(BK$10:BK$11,Предпосылки!$I$208,),0))*IFERROR(INDEX(BK$10:BK$11,Предпосылки!$I$208,),0),BK212/(1+IFERROR(INDEX(BK$10:BK$11,Предпосылки!$I$209,),0))*IFERROR(INDEX(BK$10:BK$11,Предпосылки!$I$209,),0),BK235/(1+IFERROR(INDEX(BK$10:BK$11,Предпосылки!$I$210,),0))*IFERROR(INDEX(BK$10:BK$11,Предпосылки!$I$210,),0),BK258/(1+IFERROR(INDEX(BK$10:BK$11,Предпосылки!$I$211,),0))*IFERROR(INDEX(BK$10:BK$11,Предпосылки!$I$211,),0),BK281/(1+IFERROR(INDEX(BK$10:BK$11,Предпосылки!$I$212,),0))*IFERROR(INDEX(BK$10:BK$11,Предпосылки!$I$212,),0),BK304/(1+IFERROR(INDEX(BK$10:BK$11,Предпосылки!$I$213,),0))*IFERROR(INDEX(BK$10:BK$11,Предпосылки!$I$213,),0),BK327/(1+IFERROR(INDEX(BK$10:BK$11,Предпосылки!$I$214,),0))*IFERROR(INDEX(BK$10:BK$11,Предпосылки!$I$214,),0),BK350/(1+IFERROR(INDEX(BK$10:BK$11,Предпосылки!$I$215,),0))*IFERROR(INDEX(BK$10:BK$11,Предпосылки!$I$215,),0),BK373/(1+IFERROR(INDEX(BK$10:BK$11,Предпосылки!$I$216,),0))*IFERROR(INDEX(BK$10:BK$11,Предпосылки!$I$216,),0),BK396/(1+IFERROR(INDEX(BK$10:BK$11,Предпосылки!$I$217,),0))*IFERROR(INDEX(BK$10:BK$11,Предпосылки!$I$217,),0),BK419/(1+IFERROR(INDEX(BK$10:BK$11,Предпосылки!$I$218,),0))*IFERROR(INDEX(BK$10:BK$11,Предпосылки!$I$218,),0),BK442/(1+IFERROR(INDEX(BK$10:BK$11,Предпосылки!$I$219,),0))*IFERROR(INDEX(BK$10:BK$11,Предпосылки!$I$219,),0),BK465/(1+IFERROR(INDEX(BK$10:BK$11,Предпосылки!$I$220,),0))*IFERROR(INDEX(BK$10:BK$11,Предпосылки!$I$220,),0))</f>
        <v>0</v>
      </c>
      <c s="125">
        <f>SUM(BL28/(1+IFERROR(INDEX(BL$10:BL$11,Предпосылки!$I$201,),0))*IFERROR(INDEX(BL$10:BL$11,Предпосылки!$I$201,),0),BL51/(1+IFERROR(INDEX(BL$10:BL$11,Предпосылки!$I$202,),0))*IFERROR(INDEX(BL$10:BL$11,Предпосылки!$I$202,),0),BL74/(1+IFERROR(INDEX(BL$10:BL$11,Предпосылки!$I$203,),0))*IFERROR(INDEX(BL$10:BL$11,Предпосылки!$I$203,),0),BL97/(1+IFERROR(INDEX(BL$10:BL$11,Предпосылки!$I$204,),0))*IFERROR(INDEX(BL$10:BL$11,Предпосылки!$I$204,),0),BL120/(1+IFERROR(INDEX(BL$10:BL$11,Предпосылки!$I$205,),0))*IFERROR(INDEX(BL$10:BL$11,Предпосылки!$I$205,),0),BL143/(1+IFERROR(INDEX(BL$10:BL$11,Предпосылки!$I$206,),0))*IFERROR(INDEX(BL$10:BL$11,Предпосылки!$I$206,),0),BL166/(1+IFERROR(INDEX(BL$10:BL$11,Предпосылки!$I$207,),0))*IFERROR(INDEX(BL$10:BL$11,Предпосылки!$I$207,),0),BL189/(1+IFERROR(INDEX(BL$10:BL$11,Предпосылки!$I$208,),0))*IFERROR(INDEX(BL$10:BL$11,Предпосылки!$I$208,),0),BL212/(1+IFERROR(INDEX(BL$10:BL$11,Предпосылки!$I$209,),0))*IFERROR(INDEX(BL$10:BL$11,Предпосылки!$I$209,),0),BL235/(1+IFERROR(INDEX(BL$10:BL$11,Предпосылки!$I$210,),0))*IFERROR(INDEX(BL$10:BL$11,Предпосылки!$I$210,),0),BL258/(1+IFERROR(INDEX(BL$10:BL$11,Предпосылки!$I$211,),0))*IFERROR(INDEX(BL$10:BL$11,Предпосылки!$I$211,),0),BL281/(1+IFERROR(INDEX(BL$10:BL$11,Предпосылки!$I$212,),0))*IFERROR(INDEX(BL$10:BL$11,Предпосылки!$I$212,),0),BL304/(1+IFERROR(INDEX(BL$10:BL$11,Предпосылки!$I$213,),0))*IFERROR(INDEX(BL$10:BL$11,Предпосылки!$I$213,),0),BL327/(1+IFERROR(INDEX(BL$10:BL$11,Предпосылки!$I$214,),0))*IFERROR(INDEX(BL$10:BL$11,Предпосылки!$I$214,),0),BL350/(1+IFERROR(INDEX(BL$10:BL$11,Предпосылки!$I$215,),0))*IFERROR(INDEX(BL$10:BL$11,Предпосылки!$I$215,),0),BL373/(1+IFERROR(INDEX(BL$10:BL$11,Предпосылки!$I$216,),0))*IFERROR(INDEX(BL$10:BL$11,Предпосылки!$I$216,),0),BL396/(1+IFERROR(INDEX(BL$10:BL$11,Предпосылки!$I$217,),0))*IFERROR(INDEX(BL$10:BL$11,Предпосылки!$I$217,),0),BL419/(1+IFERROR(INDEX(BL$10:BL$11,Предпосылки!$I$218,),0))*IFERROR(INDEX(BL$10:BL$11,Предпосылки!$I$218,),0),BL442/(1+IFERROR(INDEX(BL$10:BL$11,Предпосылки!$I$219,),0))*IFERROR(INDEX(BL$10:BL$11,Предпосылки!$I$219,),0),BL465/(1+IFERROR(INDEX(BL$10:BL$11,Предпосылки!$I$220,),0))*IFERROR(INDEX(BL$10:BL$11,Предпосылки!$I$220,),0))</f>
        <v>0</v>
      </c>
      <c s="125">
        <f>SUM(BM28/(1+IFERROR(INDEX(BM$10:BM$11,Предпосылки!$I$201,),0))*IFERROR(INDEX(BM$10:BM$11,Предпосылки!$I$201,),0),BM51/(1+IFERROR(INDEX(BM$10:BM$11,Предпосылки!$I$202,),0))*IFERROR(INDEX(BM$10:BM$11,Предпосылки!$I$202,),0),BM74/(1+IFERROR(INDEX(BM$10:BM$11,Предпосылки!$I$203,),0))*IFERROR(INDEX(BM$10:BM$11,Предпосылки!$I$203,),0),BM97/(1+IFERROR(INDEX(BM$10:BM$11,Предпосылки!$I$204,),0))*IFERROR(INDEX(BM$10:BM$11,Предпосылки!$I$204,),0),BM120/(1+IFERROR(INDEX(BM$10:BM$11,Предпосылки!$I$205,),0))*IFERROR(INDEX(BM$10:BM$11,Предпосылки!$I$205,),0),BM143/(1+IFERROR(INDEX(BM$10:BM$11,Предпосылки!$I$206,),0))*IFERROR(INDEX(BM$10:BM$11,Предпосылки!$I$206,),0),BM166/(1+IFERROR(INDEX(BM$10:BM$11,Предпосылки!$I$207,),0))*IFERROR(INDEX(BM$10:BM$11,Предпосылки!$I$207,),0),BM189/(1+IFERROR(INDEX(BM$10:BM$11,Предпосылки!$I$208,),0))*IFERROR(INDEX(BM$10:BM$11,Предпосылки!$I$208,),0),BM212/(1+IFERROR(INDEX(BM$10:BM$11,Предпосылки!$I$209,),0))*IFERROR(INDEX(BM$10:BM$11,Предпосылки!$I$209,),0),BM235/(1+IFERROR(INDEX(BM$10:BM$11,Предпосылки!$I$210,),0))*IFERROR(INDEX(BM$10:BM$11,Предпосылки!$I$210,),0),BM258/(1+IFERROR(INDEX(BM$10:BM$11,Предпосылки!$I$211,),0))*IFERROR(INDEX(BM$10:BM$11,Предпосылки!$I$211,),0),BM281/(1+IFERROR(INDEX(BM$10:BM$11,Предпосылки!$I$212,),0))*IFERROR(INDEX(BM$10:BM$11,Предпосылки!$I$212,),0),BM304/(1+IFERROR(INDEX(BM$10:BM$11,Предпосылки!$I$213,),0))*IFERROR(INDEX(BM$10:BM$11,Предпосылки!$I$213,),0),BM327/(1+IFERROR(INDEX(BM$10:BM$11,Предпосылки!$I$214,),0))*IFERROR(INDEX(BM$10:BM$11,Предпосылки!$I$214,),0),BM350/(1+IFERROR(INDEX(BM$10:BM$11,Предпосылки!$I$215,),0))*IFERROR(INDEX(BM$10:BM$11,Предпосылки!$I$215,),0),BM373/(1+IFERROR(INDEX(BM$10:BM$11,Предпосылки!$I$216,),0))*IFERROR(INDEX(BM$10:BM$11,Предпосылки!$I$216,),0),BM396/(1+IFERROR(INDEX(BM$10:BM$11,Предпосылки!$I$217,),0))*IFERROR(INDEX(BM$10:BM$11,Предпосылки!$I$217,),0),BM419/(1+IFERROR(INDEX(BM$10:BM$11,Предпосылки!$I$218,),0))*IFERROR(INDEX(BM$10:BM$11,Предпосылки!$I$218,),0),BM442/(1+IFERROR(INDEX(BM$10:BM$11,Предпосылки!$I$219,),0))*IFERROR(INDEX(BM$10:BM$11,Предпосылки!$I$219,),0),BM465/(1+IFERROR(INDEX(BM$10:BM$11,Предпосылки!$I$220,),0))*IFERROR(INDEX(BM$10:BM$11,Предпосылки!$I$220,),0))</f>
        <v>0</v>
      </c>
    </row>
    <row r="560" spans="2:65" ht="15" customHeight="1">
      <c r="B560" s="12" t="str">
        <f t="shared" si="255"/>
        <v>Продукт 7</v>
      </c>
      <c s="124" t="str">
        <f t="shared" si="254"/>
        <v>тыс. руб.</v>
      </c>
      <c s="276">
        <f t="shared" si="256"/>
        <v>0</v>
      </c>
      <c s="125">
        <f>SUM(E29/(1+IFERROR(INDEX(E$10:E$11,Предпосылки!$I207,),0))*IFERROR(INDEX(E$10:E$11,Предпосылки!$I207,),0),E52/(1+IFERROR(INDEX(E$10:E$11,Предпосылки!$I208,),0))*IFERROR(INDEX(E$10:E$11,Предпосылки!$I208,),0),E75/(1+IFERROR(INDEX(E$10:E$11,Предпосылки!$I209,),0))*IFERROR(INDEX(E$10:E$11,Предпосылки!$I209,),0),E98/(1+IFERROR(INDEX(E$10:E$11,Предпосылки!$I210,),0))*IFERROR(INDEX(E$10:E$11,Предпосылки!$I210,),0),E121/(1+IFERROR(INDEX(E$10:E$11,Предпосылки!$I211,),0))*IFERROR(INDEX(E$10:E$11,Предпосылки!$I211,),0),E144/(1+IFERROR(INDEX(E$10:E$11,Предпосылки!$I212,),0))*IFERROR(INDEX(E$10:E$11,Предпосылки!$I212,),0),E167/(1+IFERROR(INDEX(E$10:E$11,Предпосылки!$I213,),0))*IFERROR(INDEX(E$10:E$11,Предпосылки!$I213,),0),E190/(1+IFERROR(INDEX(E$10:E$11,Предпосылки!$I214,),0))*IFERROR(INDEX(E$10:E$11,Предпосылки!$I214,),0),E213/(1+IFERROR(INDEX(E$10:E$11,Предпосылки!$I215,),0))*IFERROR(INDEX(E$10:E$11,Предпосылки!$I215,),0),E236/(1+IFERROR(INDEX(E$10:E$11,Предпосылки!$I216,),0))*IFERROR(INDEX(E$10:E$11,Предпосылки!$I216,),0),E259/(1+IFERROR(INDEX(E$10:E$11,Предпосылки!$I217,),0))*IFERROR(INDEX(E$10:E$11,Предпосылки!$I217,),0),E282/(1+IFERROR(INDEX(E$10:E$11,Предпосылки!$I218,),0))*IFERROR(INDEX(E$10:E$11,Предпосылки!$I218,),0),E305/(1+IFERROR(INDEX(E$10:E$11,Предпосылки!$I219,),0))*IFERROR(INDEX(E$10:E$11,Предпосылки!$I219,),0),E328/(1+IFERROR(INDEX(E$10:E$11,Предпосылки!$I220,),0))*IFERROR(INDEX(E$10:E$11,Предпосылки!$I220,),0),E351/(1+IFERROR(INDEX(E$10:E$11,Предпосылки!$I221,),0))*IFERROR(INDEX(E$10:E$11,Предпосылки!$I221,),0),E374/(1+IFERROR(INDEX(E$10:E$11,Предпосылки!$I222,),0))*IFERROR(INDEX(E$10:E$11,Предпосылки!$I222,),0),E397/(1+IFERROR(INDEX(E$10:E$11,Предпосылки!$I223,),0))*IFERROR(INDEX(E$10:E$11,Предпосылки!$I223,),0),E420/(1+IFERROR(INDEX(E$10:E$11,Предпосылки!$I224,),0))*IFERROR(INDEX(E$10:E$11,Предпосылки!$I224,),0),E443/(1+IFERROR(INDEX(E$10:E$11,Предпосылки!$I225,),0))*IFERROR(INDEX(E$10:E$11,Предпосылки!$I225,),0),E466/(1+IFERROR(INDEX(E$10:E$11,Предпосылки!$I226,),0))*IFERROR(INDEX(E$10:E$11,Предпосылки!$I226,),0))</f>
        <v>0</v>
      </c>
      <c s="125">
        <f>SUM(F29/(1+IFERROR(INDEX(F$10:F$11,Предпосылки!$I$201,),0))*IFERROR(INDEX(F$10:F$11,Предпосылки!$I$201,),0),F52/(1+IFERROR(INDEX(F$10:F$11,Предпосылки!$I$202,),0))*IFERROR(INDEX(F$10:F$11,Предпосылки!$I$202,),0),F75/(1+IFERROR(INDEX(F$10:F$11,Предпосылки!$I$203,),0))*IFERROR(INDEX(F$10:F$11,Предпосылки!$I$203,),0),F98/(1+IFERROR(INDEX(F$10:F$11,Предпосылки!$I$204,),0))*IFERROR(INDEX(F$10:F$11,Предпосылки!$I$204,),0),F121/(1+IFERROR(INDEX(F$10:F$11,Предпосылки!$I$205,),0))*IFERROR(INDEX(F$10:F$11,Предпосылки!$I$205,),0),F144/(1+IFERROR(INDEX(F$10:F$11,Предпосылки!$I$206,),0))*IFERROR(INDEX(F$10:F$11,Предпосылки!$I$206,),0),F167/(1+IFERROR(INDEX(F$10:F$11,Предпосылки!$I$207,),0))*IFERROR(INDEX(F$10:F$11,Предпосылки!$I$207,),0),F190/(1+IFERROR(INDEX(F$10:F$11,Предпосылки!$I$208,),0))*IFERROR(INDEX(F$10:F$11,Предпосылки!$I$208,),0),F213/(1+IFERROR(INDEX(F$10:F$11,Предпосылки!$I$209,),0))*IFERROR(INDEX(F$10:F$11,Предпосылки!$I$209,),0),F236/(1+IFERROR(INDEX(F$10:F$11,Предпосылки!$I$210,),0))*IFERROR(INDEX(F$10:F$11,Предпосылки!$I$210,),0),F259/(1+IFERROR(INDEX(F$10:F$11,Предпосылки!$I$211,),0))*IFERROR(INDEX(F$10:F$11,Предпосылки!$I$211,),0),F282/(1+IFERROR(INDEX(F$10:F$11,Предпосылки!$I$212,),0))*IFERROR(INDEX(F$10:F$11,Предпосылки!$I$212,),0),F305/(1+IFERROR(INDEX(F$10:F$11,Предпосылки!$I$213,),0))*IFERROR(INDEX(F$10:F$11,Предпосылки!$I$213,),0),F328/(1+IFERROR(INDEX(F$10:F$11,Предпосылки!$I$214,),0))*IFERROR(INDEX(F$10:F$11,Предпосылки!$I$214,),0),F351/(1+IFERROR(INDEX(F$10:F$11,Предпосылки!$I$215,),0))*IFERROR(INDEX(F$10:F$11,Предпосылки!$I$215,),0),F374/(1+IFERROR(INDEX(F$10:F$11,Предпосылки!$I$216,),0))*IFERROR(INDEX(F$10:F$11,Предпосылки!$I$216,),0),F397/(1+IFERROR(INDEX(F$10:F$11,Предпосылки!$I$217,),0))*IFERROR(INDEX(F$10:F$11,Предпосылки!$I$217,),0),F420/(1+IFERROR(INDEX(F$10:F$11,Предпосылки!$I$218,),0))*IFERROR(INDEX(F$10:F$11,Предпосылки!$I$218,),0),F443/(1+IFERROR(INDEX(F$10:F$11,Предпосылки!$I$219,),0))*IFERROR(INDEX(F$10:F$11,Предпосылки!$I$219,),0),F466/(1+IFERROR(INDEX(F$10:F$11,Предпосылки!$I$220,),0))*IFERROR(INDEX(F$10:F$11,Предпосылки!$I$220,),0))</f>
        <v>0</v>
      </c>
      <c s="125">
        <f>SUM(G29/(1+IFERROR(INDEX(G$10:G$11,Предпосылки!$I$201,),0))*IFERROR(INDEX(G$10:G$11,Предпосылки!$I$201,),0),G52/(1+IFERROR(INDEX(G$10:G$11,Предпосылки!$I$202,),0))*IFERROR(INDEX(G$10:G$11,Предпосылки!$I$202,),0),G75/(1+IFERROR(INDEX(G$10:G$11,Предпосылки!$I$203,),0))*IFERROR(INDEX(G$10:G$11,Предпосылки!$I$203,),0),G98/(1+IFERROR(INDEX(G$10:G$11,Предпосылки!$I$204,),0))*IFERROR(INDEX(G$10:G$11,Предпосылки!$I$204,),0),G121/(1+IFERROR(INDEX(G$10:G$11,Предпосылки!$I$205,),0))*IFERROR(INDEX(G$10:G$11,Предпосылки!$I$205,),0),G144/(1+IFERROR(INDEX(G$10:G$11,Предпосылки!$I$206,),0))*IFERROR(INDEX(G$10:G$11,Предпосылки!$I$206,),0),G167/(1+IFERROR(INDEX(G$10:G$11,Предпосылки!$I$207,),0))*IFERROR(INDEX(G$10:G$11,Предпосылки!$I$207,),0),G190/(1+IFERROR(INDEX(G$10:G$11,Предпосылки!$I$208,),0))*IFERROR(INDEX(G$10:G$11,Предпосылки!$I$208,),0),G213/(1+IFERROR(INDEX(G$10:G$11,Предпосылки!$I$209,),0))*IFERROR(INDEX(G$10:G$11,Предпосылки!$I$209,),0),G236/(1+IFERROR(INDEX(G$10:G$11,Предпосылки!$I$210,),0))*IFERROR(INDEX(G$10:G$11,Предпосылки!$I$210,),0),G259/(1+IFERROR(INDEX(G$10:G$11,Предпосылки!$I$211,),0))*IFERROR(INDEX(G$10:G$11,Предпосылки!$I$211,),0),G282/(1+IFERROR(INDEX(G$10:G$11,Предпосылки!$I$212,),0))*IFERROR(INDEX(G$10:G$11,Предпосылки!$I$212,),0),G305/(1+IFERROR(INDEX(G$10:G$11,Предпосылки!$I$213,),0))*IFERROR(INDEX(G$10:G$11,Предпосылки!$I$213,),0),G328/(1+IFERROR(INDEX(G$10:G$11,Предпосылки!$I$214,),0))*IFERROR(INDEX(G$10:G$11,Предпосылки!$I$214,),0),G351/(1+IFERROR(INDEX(G$10:G$11,Предпосылки!$I$215,),0))*IFERROR(INDEX(G$10:G$11,Предпосылки!$I$215,),0),G374/(1+IFERROR(INDEX(G$10:G$11,Предпосылки!$I$216,),0))*IFERROR(INDEX(G$10:G$11,Предпосылки!$I$216,),0),G397/(1+IFERROR(INDEX(G$10:G$11,Предпосылки!$I$217,),0))*IFERROR(INDEX(G$10:G$11,Предпосылки!$I$217,),0),G420/(1+IFERROR(INDEX(G$10:G$11,Предпосылки!$I$218,),0))*IFERROR(INDEX(G$10:G$11,Предпосылки!$I$218,),0),G443/(1+IFERROR(INDEX(G$10:G$11,Предпосылки!$I$219,),0))*IFERROR(INDEX(G$10:G$11,Предпосылки!$I$219,),0),G466/(1+IFERROR(INDEX(G$10:G$11,Предпосылки!$I$220,),0))*IFERROR(INDEX(G$10:G$11,Предпосылки!$I$220,),0))</f>
        <v>0</v>
      </c>
      <c s="125">
        <f>SUM(H29/(1+IFERROR(INDEX(H$10:H$11,Предпосылки!$I$201,),0))*IFERROR(INDEX(H$10:H$11,Предпосылки!$I$201,),0),H52/(1+IFERROR(INDEX(H$10:H$11,Предпосылки!$I$202,),0))*IFERROR(INDEX(H$10:H$11,Предпосылки!$I$202,),0),H75/(1+IFERROR(INDEX(H$10:H$11,Предпосылки!$I$203,),0))*IFERROR(INDEX(H$10:H$11,Предпосылки!$I$203,),0),H98/(1+IFERROR(INDEX(H$10:H$11,Предпосылки!$I$204,),0))*IFERROR(INDEX(H$10:H$11,Предпосылки!$I$204,),0),H121/(1+IFERROR(INDEX(H$10:H$11,Предпосылки!$I$205,),0))*IFERROR(INDEX(H$10:H$11,Предпосылки!$I$205,),0),H144/(1+IFERROR(INDEX(H$10:H$11,Предпосылки!$I$206,),0))*IFERROR(INDEX(H$10:H$11,Предпосылки!$I$206,),0),H167/(1+IFERROR(INDEX(H$10:H$11,Предпосылки!$I$207,),0))*IFERROR(INDEX(H$10:H$11,Предпосылки!$I$207,),0),H190/(1+IFERROR(INDEX(H$10:H$11,Предпосылки!$I$208,),0))*IFERROR(INDEX(H$10:H$11,Предпосылки!$I$208,),0),H213/(1+IFERROR(INDEX(H$10:H$11,Предпосылки!$I$209,),0))*IFERROR(INDEX(H$10:H$11,Предпосылки!$I$209,),0),H236/(1+IFERROR(INDEX(H$10:H$11,Предпосылки!$I$210,),0))*IFERROR(INDEX(H$10:H$11,Предпосылки!$I$210,),0),H259/(1+IFERROR(INDEX(H$10:H$11,Предпосылки!$I$211,),0))*IFERROR(INDEX(H$10:H$11,Предпосылки!$I$211,),0),H282/(1+IFERROR(INDEX(H$10:H$11,Предпосылки!$I$212,),0))*IFERROR(INDEX(H$10:H$11,Предпосылки!$I$212,),0),H305/(1+IFERROR(INDEX(H$10:H$11,Предпосылки!$I$213,),0))*IFERROR(INDEX(H$10:H$11,Предпосылки!$I$213,),0),H328/(1+IFERROR(INDEX(H$10:H$11,Предпосылки!$I$214,),0))*IFERROR(INDEX(H$10:H$11,Предпосылки!$I$214,),0),H351/(1+IFERROR(INDEX(H$10:H$11,Предпосылки!$I$215,),0))*IFERROR(INDEX(H$10:H$11,Предпосылки!$I$215,),0),H374/(1+IFERROR(INDEX(H$10:H$11,Предпосылки!$I$216,),0))*IFERROR(INDEX(H$10:H$11,Предпосылки!$I$216,),0),H397/(1+IFERROR(INDEX(H$10:H$11,Предпосылки!$I$217,),0))*IFERROR(INDEX(H$10:H$11,Предпосылки!$I$217,),0),H420/(1+IFERROR(INDEX(H$10:H$11,Предпосылки!$I$218,),0))*IFERROR(INDEX(H$10:H$11,Предпосылки!$I$218,),0),H443/(1+IFERROR(INDEX(H$10:H$11,Предпосылки!$I$219,),0))*IFERROR(INDEX(H$10:H$11,Предпосылки!$I$219,),0),H466/(1+IFERROR(INDEX(H$10:H$11,Предпосылки!$I$220,),0))*IFERROR(INDEX(H$10:H$11,Предпосылки!$I$220,),0))</f>
        <v>0</v>
      </c>
      <c s="125">
        <f>SUM(I29/(1+IFERROR(INDEX(I$10:I$11,Предпосылки!$I$201,),0))*IFERROR(INDEX(I$10:I$11,Предпосылки!$I$201,),0),I52/(1+IFERROR(INDEX(I$10:I$11,Предпосылки!$I$202,),0))*IFERROR(INDEX(I$10:I$11,Предпосылки!$I$202,),0),I75/(1+IFERROR(INDEX(I$10:I$11,Предпосылки!$I$203,),0))*IFERROR(INDEX(I$10:I$11,Предпосылки!$I$203,),0),I98/(1+IFERROR(INDEX(I$10:I$11,Предпосылки!$I$204,),0))*IFERROR(INDEX(I$10:I$11,Предпосылки!$I$204,),0),I121/(1+IFERROR(INDEX(I$10:I$11,Предпосылки!$I$205,),0))*IFERROR(INDEX(I$10:I$11,Предпосылки!$I$205,),0),I144/(1+IFERROR(INDEX(I$10:I$11,Предпосылки!$I$206,),0))*IFERROR(INDEX(I$10:I$11,Предпосылки!$I$206,),0),I167/(1+IFERROR(INDEX(I$10:I$11,Предпосылки!$I$207,),0))*IFERROR(INDEX(I$10:I$11,Предпосылки!$I$207,),0),I190/(1+IFERROR(INDEX(I$10:I$11,Предпосылки!$I$208,),0))*IFERROR(INDEX(I$10:I$11,Предпосылки!$I$208,),0),I213/(1+IFERROR(INDEX(I$10:I$11,Предпосылки!$I$209,),0))*IFERROR(INDEX(I$10:I$11,Предпосылки!$I$209,),0),I236/(1+IFERROR(INDEX(I$10:I$11,Предпосылки!$I$210,),0))*IFERROR(INDEX(I$10:I$11,Предпосылки!$I$210,),0),I259/(1+IFERROR(INDEX(I$10:I$11,Предпосылки!$I$211,),0))*IFERROR(INDEX(I$10:I$11,Предпосылки!$I$211,),0),I282/(1+IFERROR(INDEX(I$10:I$11,Предпосылки!$I$212,),0))*IFERROR(INDEX(I$10:I$11,Предпосылки!$I$212,),0),I305/(1+IFERROR(INDEX(I$10:I$11,Предпосылки!$I$213,),0))*IFERROR(INDEX(I$10:I$11,Предпосылки!$I$213,),0),I328/(1+IFERROR(INDEX(I$10:I$11,Предпосылки!$I$214,),0))*IFERROR(INDEX(I$10:I$11,Предпосылки!$I$214,),0),I351/(1+IFERROR(INDEX(I$10:I$11,Предпосылки!$I$215,),0))*IFERROR(INDEX(I$10:I$11,Предпосылки!$I$215,),0),I374/(1+IFERROR(INDEX(I$10:I$11,Предпосылки!$I$216,),0))*IFERROR(INDEX(I$10:I$11,Предпосылки!$I$216,),0),I397/(1+IFERROR(INDEX(I$10:I$11,Предпосылки!$I$217,),0))*IFERROR(INDEX(I$10:I$11,Предпосылки!$I$217,),0),I420/(1+IFERROR(INDEX(I$10:I$11,Предпосылки!$I$218,),0))*IFERROR(INDEX(I$10:I$11,Предпосылки!$I$218,),0),I443/(1+IFERROR(INDEX(I$10:I$11,Предпосылки!$I$219,),0))*IFERROR(INDEX(I$10:I$11,Предпосылки!$I$219,),0),I466/(1+IFERROR(INDEX(I$10:I$11,Предпосылки!$I$220,),0))*IFERROR(INDEX(I$10:I$11,Предпосылки!$I$220,),0))</f>
        <v>0</v>
      </c>
      <c s="125">
        <f>SUM(J29/(1+IFERROR(INDEX(J$10:J$11,Предпосылки!$I$201,),0))*IFERROR(INDEX(J$10:J$11,Предпосылки!$I$201,),0),J52/(1+IFERROR(INDEX(J$10:J$11,Предпосылки!$I$202,),0))*IFERROR(INDEX(J$10:J$11,Предпосылки!$I$202,),0),J75/(1+IFERROR(INDEX(J$10:J$11,Предпосылки!$I$203,),0))*IFERROR(INDEX(J$10:J$11,Предпосылки!$I$203,),0),J98/(1+IFERROR(INDEX(J$10:J$11,Предпосылки!$I$204,),0))*IFERROR(INDEX(J$10:J$11,Предпосылки!$I$204,),0),J121/(1+IFERROR(INDEX(J$10:J$11,Предпосылки!$I$205,),0))*IFERROR(INDEX(J$10:J$11,Предпосылки!$I$205,),0),J144/(1+IFERROR(INDEX(J$10:J$11,Предпосылки!$I$206,),0))*IFERROR(INDEX(J$10:J$11,Предпосылки!$I$206,),0),J167/(1+IFERROR(INDEX(J$10:J$11,Предпосылки!$I$207,),0))*IFERROR(INDEX(J$10:J$11,Предпосылки!$I$207,),0),J190/(1+IFERROR(INDEX(J$10:J$11,Предпосылки!$I$208,),0))*IFERROR(INDEX(J$10:J$11,Предпосылки!$I$208,),0),J213/(1+IFERROR(INDEX(J$10:J$11,Предпосылки!$I$209,),0))*IFERROR(INDEX(J$10:J$11,Предпосылки!$I$209,),0),J236/(1+IFERROR(INDEX(J$10:J$11,Предпосылки!$I$210,),0))*IFERROR(INDEX(J$10:J$11,Предпосылки!$I$210,),0),J259/(1+IFERROR(INDEX(J$10:J$11,Предпосылки!$I$211,),0))*IFERROR(INDEX(J$10:J$11,Предпосылки!$I$211,),0),J282/(1+IFERROR(INDEX(J$10:J$11,Предпосылки!$I$212,),0))*IFERROR(INDEX(J$10:J$11,Предпосылки!$I$212,),0),J305/(1+IFERROR(INDEX(J$10:J$11,Предпосылки!$I$213,),0))*IFERROR(INDEX(J$10:J$11,Предпосылки!$I$213,),0),J328/(1+IFERROR(INDEX(J$10:J$11,Предпосылки!$I$214,),0))*IFERROR(INDEX(J$10:J$11,Предпосылки!$I$214,),0),J351/(1+IFERROR(INDEX(J$10:J$11,Предпосылки!$I$215,),0))*IFERROR(INDEX(J$10:J$11,Предпосылки!$I$215,),0),J374/(1+IFERROR(INDEX(J$10:J$11,Предпосылки!$I$216,),0))*IFERROR(INDEX(J$10:J$11,Предпосылки!$I$216,),0),J397/(1+IFERROR(INDEX(J$10:J$11,Предпосылки!$I$217,),0))*IFERROR(INDEX(J$10:J$11,Предпосылки!$I$217,),0),J420/(1+IFERROR(INDEX(J$10:J$11,Предпосылки!$I$218,),0))*IFERROR(INDEX(J$10:J$11,Предпосылки!$I$218,),0),J443/(1+IFERROR(INDEX(J$10:J$11,Предпосылки!$I$219,),0))*IFERROR(INDEX(J$10:J$11,Предпосылки!$I$219,),0),J466/(1+IFERROR(INDEX(J$10:J$11,Предпосылки!$I$220,),0))*IFERROR(INDEX(J$10:J$11,Предпосылки!$I$220,),0))</f>
        <v>0</v>
      </c>
      <c s="125">
        <f>SUM(K29/(1+IFERROR(INDEX(K$10:K$11,Предпосылки!$I$201,),0))*IFERROR(INDEX(K$10:K$11,Предпосылки!$I$201,),0),K52/(1+IFERROR(INDEX(K$10:K$11,Предпосылки!$I$202,),0))*IFERROR(INDEX(K$10:K$11,Предпосылки!$I$202,),0),K75/(1+IFERROR(INDEX(K$10:K$11,Предпосылки!$I$203,),0))*IFERROR(INDEX(K$10:K$11,Предпосылки!$I$203,),0),K98/(1+IFERROR(INDEX(K$10:K$11,Предпосылки!$I$204,),0))*IFERROR(INDEX(K$10:K$11,Предпосылки!$I$204,),0),K121/(1+IFERROR(INDEX(K$10:K$11,Предпосылки!$I$205,),0))*IFERROR(INDEX(K$10:K$11,Предпосылки!$I$205,),0),K144/(1+IFERROR(INDEX(K$10:K$11,Предпосылки!$I$206,),0))*IFERROR(INDEX(K$10:K$11,Предпосылки!$I$206,),0),K167/(1+IFERROR(INDEX(K$10:K$11,Предпосылки!$I$207,),0))*IFERROR(INDEX(K$10:K$11,Предпосылки!$I$207,),0),K190/(1+IFERROR(INDEX(K$10:K$11,Предпосылки!$I$208,),0))*IFERROR(INDEX(K$10:K$11,Предпосылки!$I$208,),0),K213/(1+IFERROR(INDEX(K$10:K$11,Предпосылки!$I$209,),0))*IFERROR(INDEX(K$10:K$11,Предпосылки!$I$209,),0),K236/(1+IFERROR(INDEX(K$10:K$11,Предпосылки!$I$210,),0))*IFERROR(INDEX(K$10:K$11,Предпосылки!$I$210,),0),K259/(1+IFERROR(INDEX(K$10:K$11,Предпосылки!$I$211,),0))*IFERROR(INDEX(K$10:K$11,Предпосылки!$I$211,),0),K282/(1+IFERROR(INDEX(K$10:K$11,Предпосылки!$I$212,),0))*IFERROR(INDEX(K$10:K$11,Предпосылки!$I$212,),0),K305/(1+IFERROR(INDEX(K$10:K$11,Предпосылки!$I$213,),0))*IFERROR(INDEX(K$10:K$11,Предпосылки!$I$213,),0),K328/(1+IFERROR(INDEX(K$10:K$11,Предпосылки!$I$214,),0))*IFERROR(INDEX(K$10:K$11,Предпосылки!$I$214,),0),K351/(1+IFERROR(INDEX(K$10:K$11,Предпосылки!$I$215,),0))*IFERROR(INDEX(K$10:K$11,Предпосылки!$I$215,),0),K374/(1+IFERROR(INDEX(K$10:K$11,Предпосылки!$I$216,),0))*IFERROR(INDEX(K$10:K$11,Предпосылки!$I$216,),0),K397/(1+IFERROR(INDEX(K$10:K$11,Предпосылки!$I$217,),0))*IFERROR(INDEX(K$10:K$11,Предпосылки!$I$217,),0),K420/(1+IFERROR(INDEX(K$10:K$11,Предпосылки!$I$218,),0))*IFERROR(INDEX(K$10:K$11,Предпосылки!$I$218,),0),K443/(1+IFERROR(INDEX(K$10:K$11,Предпосылки!$I$219,),0))*IFERROR(INDEX(K$10:K$11,Предпосылки!$I$219,),0),K466/(1+IFERROR(INDEX(K$10:K$11,Предпосылки!$I$220,),0))*IFERROR(INDEX(K$10:K$11,Предпосылки!$I$220,),0))</f>
        <v>0</v>
      </c>
      <c s="125">
        <f>SUM(L29/(1+IFERROR(INDEX(L$10:L$11,Предпосылки!$I$201,),0))*IFERROR(INDEX(L$10:L$11,Предпосылки!$I$201,),0),L52/(1+IFERROR(INDEX(L$10:L$11,Предпосылки!$I$202,),0))*IFERROR(INDEX(L$10:L$11,Предпосылки!$I$202,),0),L75/(1+IFERROR(INDEX(L$10:L$11,Предпосылки!$I$203,),0))*IFERROR(INDEX(L$10:L$11,Предпосылки!$I$203,),0),L98/(1+IFERROR(INDEX(L$10:L$11,Предпосылки!$I$204,),0))*IFERROR(INDEX(L$10:L$11,Предпосылки!$I$204,),0),L121/(1+IFERROR(INDEX(L$10:L$11,Предпосылки!$I$205,),0))*IFERROR(INDEX(L$10:L$11,Предпосылки!$I$205,),0),L144/(1+IFERROR(INDEX(L$10:L$11,Предпосылки!$I$206,),0))*IFERROR(INDEX(L$10:L$11,Предпосылки!$I$206,),0),L167/(1+IFERROR(INDEX(L$10:L$11,Предпосылки!$I$207,),0))*IFERROR(INDEX(L$10:L$11,Предпосылки!$I$207,),0),L190/(1+IFERROR(INDEX(L$10:L$11,Предпосылки!$I$208,),0))*IFERROR(INDEX(L$10:L$11,Предпосылки!$I$208,),0),L213/(1+IFERROR(INDEX(L$10:L$11,Предпосылки!$I$209,),0))*IFERROR(INDEX(L$10:L$11,Предпосылки!$I$209,),0),L236/(1+IFERROR(INDEX(L$10:L$11,Предпосылки!$I$210,),0))*IFERROR(INDEX(L$10:L$11,Предпосылки!$I$210,),0),L259/(1+IFERROR(INDEX(L$10:L$11,Предпосылки!$I$211,),0))*IFERROR(INDEX(L$10:L$11,Предпосылки!$I$211,),0),L282/(1+IFERROR(INDEX(L$10:L$11,Предпосылки!$I$212,),0))*IFERROR(INDEX(L$10:L$11,Предпосылки!$I$212,),0),L305/(1+IFERROR(INDEX(L$10:L$11,Предпосылки!$I$213,),0))*IFERROR(INDEX(L$10:L$11,Предпосылки!$I$213,),0),L328/(1+IFERROR(INDEX(L$10:L$11,Предпосылки!$I$214,),0))*IFERROR(INDEX(L$10:L$11,Предпосылки!$I$214,),0),L351/(1+IFERROR(INDEX(L$10:L$11,Предпосылки!$I$215,),0))*IFERROR(INDEX(L$10:L$11,Предпосылки!$I$215,),0),L374/(1+IFERROR(INDEX(L$10:L$11,Предпосылки!$I$216,),0))*IFERROR(INDEX(L$10:L$11,Предпосылки!$I$216,),0),L397/(1+IFERROR(INDEX(L$10:L$11,Предпосылки!$I$217,),0))*IFERROR(INDEX(L$10:L$11,Предпосылки!$I$217,),0),L420/(1+IFERROR(INDEX(L$10:L$11,Предпосылки!$I$218,),0))*IFERROR(INDEX(L$10:L$11,Предпосылки!$I$218,),0),L443/(1+IFERROR(INDEX(L$10:L$11,Предпосылки!$I$219,),0))*IFERROR(INDEX(L$10:L$11,Предпосылки!$I$219,),0),L466/(1+IFERROR(INDEX(L$10:L$11,Предпосылки!$I$220,),0))*IFERROR(INDEX(L$10:L$11,Предпосылки!$I$220,),0))</f>
        <v>0</v>
      </c>
      <c s="125">
        <f>SUM(M29/(1+IFERROR(INDEX(M$10:M$11,Предпосылки!$I$201,),0))*IFERROR(INDEX(M$10:M$11,Предпосылки!$I$201,),0),M52/(1+IFERROR(INDEX(M$10:M$11,Предпосылки!$I$202,),0))*IFERROR(INDEX(M$10:M$11,Предпосылки!$I$202,),0),M75/(1+IFERROR(INDEX(M$10:M$11,Предпосылки!$I$203,),0))*IFERROR(INDEX(M$10:M$11,Предпосылки!$I$203,),0),M98/(1+IFERROR(INDEX(M$10:M$11,Предпосылки!$I$204,),0))*IFERROR(INDEX(M$10:M$11,Предпосылки!$I$204,),0),M121/(1+IFERROR(INDEX(M$10:M$11,Предпосылки!$I$205,),0))*IFERROR(INDEX(M$10:M$11,Предпосылки!$I$205,),0),M144/(1+IFERROR(INDEX(M$10:M$11,Предпосылки!$I$206,),0))*IFERROR(INDEX(M$10:M$11,Предпосылки!$I$206,),0),M167/(1+IFERROR(INDEX(M$10:M$11,Предпосылки!$I$207,),0))*IFERROR(INDEX(M$10:M$11,Предпосылки!$I$207,),0),M190/(1+IFERROR(INDEX(M$10:M$11,Предпосылки!$I$208,),0))*IFERROR(INDEX(M$10:M$11,Предпосылки!$I$208,),0),M213/(1+IFERROR(INDEX(M$10:M$11,Предпосылки!$I$209,),0))*IFERROR(INDEX(M$10:M$11,Предпосылки!$I$209,),0),M236/(1+IFERROR(INDEX(M$10:M$11,Предпосылки!$I$210,),0))*IFERROR(INDEX(M$10:M$11,Предпосылки!$I$210,),0),M259/(1+IFERROR(INDEX(M$10:M$11,Предпосылки!$I$211,),0))*IFERROR(INDEX(M$10:M$11,Предпосылки!$I$211,),0),M282/(1+IFERROR(INDEX(M$10:M$11,Предпосылки!$I$212,),0))*IFERROR(INDEX(M$10:M$11,Предпосылки!$I$212,),0),M305/(1+IFERROR(INDEX(M$10:M$11,Предпосылки!$I$213,),0))*IFERROR(INDEX(M$10:M$11,Предпосылки!$I$213,),0),M328/(1+IFERROR(INDEX(M$10:M$11,Предпосылки!$I$214,),0))*IFERROR(INDEX(M$10:M$11,Предпосылки!$I$214,),0),M351/(1+IFERROR(INDEX(M$10:M$11,Предпосылки!$I$215,),0))*IFERROR(INDEX(M$10:M$11,Предпосылки!$I$215,),0),M374/(1+IFERROR(INDEX(M$10:M$11,Предпосылки!$I$216,),0))*IFERROR(INDEX(M$10:M$11,Предпосылки!$I$216,),0),M397/(1+IFERROR(INDEX(M$10:M$11,Предпосылки!$I$217,),0))*IFERROR(INDEX(M$10:M$11,Предпосылки!$I$217,),0),M420/(1+IFERROR(INDEX(M$10:M$11,Предпосылки!$I$218,),0))*IFERROR(INDEX(M$10:M$11,Предпосылки!$I$218,),0),M443/(1+IFERROR(INDEX(M$10:M$11,Предпосылки!$I$219,),0))*IFERROR(INDEX(M$10:M$11,Предпосылки!$I$219,),0),M466/(1+IFERROR(INDEX(M$10:M$11,Предпосылки!$I$220,),0))*IFERROR(INDEX(M$10:M$11,Предпосылки!$I$220,),0))</f>
        <v>0</v>
      </c>
      <c s="125">
        <f>SUM(N29/(1+IFERROR(INDEX(N$10:N$11,Предпосылки!$I$201,),0))*IFERROR(INDEX(N$10:N$11,Предпосылки!$I$201,),0),N52/(1+IFERROR(INDEX(N$10:N$11,Предпосылки!$I$202,),0))*IFERROR(INDEX(N$10:N$11,Предпосылки!$I$202,),0),N75/(1+IFERROR(INDEX(N$10:N$11,Предпосылки!$I$203,),0))*IFERROR(INDEX(N$10:N$11,Предпосылки!$I$203,),0),N98/(1+IFERROR(INDEX(N$10:N$11,Предпосылки!$I$204,),0))*IFERROR(INDEX(N$10:N$11,Предпосылки!$I$204,),0),N121/(1+IFERROR(INDEX(N$10:N$11,Предпосылки!$I$205,),0))*IFERROR(INDEX(N$10:N$11,Предпосылки!$I$205,),0),N144/(1+IFERROR(INDEX(N$10:N$11,Предпосылки!$I$206,),0))*IFERROR(INDEX(N$10:N$11,Предпосылки!$I$206,),0),N167/(1+IFERROR(INDEX(N$10:N$11,Предпосылки!$I$207,),0))*IFERROR(INDEX(N$10:N$11,Предпосылки!$I$207,),0),N190/(1+IFERROR(INDEX(N$10:N$11,Предпосылки!$I$208,),0))*IFERROR(INDEX(N$10:N$11,Предпосылки!$I$208,),0),N213/(1+IFERROR(INDEX(N$10:N$11,Предпосылки!$I$209,),0))*IFERROR(INDEX(N$10:N$11,Предпосылки!$I$209,),0),N236/(1+IFERROR(INDEX(N$10:N$11,Предпосылки!$I$210,),0))*IFERROR(INDEX(N$10:N$11,Предпосылки!$I$210,),0),N259/(1+IFERROR(INDEX(N$10:N$11,Предпосылки!$I$211,),0))*IFERROR(INDEX(N$10:N$11,Предпосылки!$I$211,),0),N282/(1+IFERROR(INDEX(N$10:N$11,Предпосылки!$I$212,),0))*IFERROR(INDEX(N$10:N$11,Предпосылки!$I$212,),0),N305/(1+IFERROR(INDEX(N$10:N$11,Предпосылки!$I$213,),0))*IFERROR(INDEX(N$10:N$11,Предпосылки!$I$213,),0),N328/(1+IFERROR(INDEX(N$10:N$11,Предпосылки!$I$214,),0))*IFERROR(INDEX(N$10:N$11,Предпосылки!$I$214,),0),N351/(1+IFERROR(INDEX(N$10:N$11,Предпосылки!$I$215,),0))*IFERROR(INDEX(N$10:N$11,Предпосылки!$I$215,),0),N374/(1+IFERROR(INDEX(N$10:N$11,Предпосылки!$I$216,),0))*IFERROR(INDEX(N$10:N$11,Предпосылки!$I$216,),0),N397/(1+IFERROR(INDEX(N$10:N$11,Предпосылки!$I$217,),0))*IFERROR(INDEX(N$10:N$11,Предпосылки!$I$217,),0),N420/(1+IFERROR(INDEX(N$10:N$11,Предпосылки!$I$218,),0))*IFERROR(INDEX(N$10:N$11,Предпосылки!$I$218,),0),N443/(1+IFERROR(INDEX(N$10:N$11,Предпосылки!$I$219,),0))*IFERROR(INDEX(N$10:N$11,Предпосылки!$I$219,),0),N466/(1+IFERROR(INDEX(N$10:N$11,Предпосылки!$I$220,),0))*IFERROR(INDEX(N$10:N$11,Предпосылки!$I$220,),0))</f>
        <v>0</v>
      </c>
      <c s="125">
        <f>SUM(O29/(1+IFERROR(INDEX(O$10:O$11,Предпосылки!$I$201,),0))*IFERROR(INDEX(O$10:O$11,Предпосылки!$I$201,),0),O52/(1+IFERROR(INDEX(O$10:O$11,Предпосылки!$I$202,),0))*IFERROR(INDEX(O$10:O$11,Предпосылки!$I$202,),0),O75/(1+IFERROR(INDEX(O$10:O$11,Предпосылки!$I$203,),0))*IFERROR(INDEX(O$10:O$11,Предпосылки!$I$203,),0),O98/(1+IFERROR(INDEX(O$10:O$11,Предпосылки!$I$204,),0))*IFERROR(INDEX(O$10:O$11,Предпосылки!$I$204,),0),O121/(1+IFERROR(INDEX(O$10:O$11,Предпосылки!$I$205,),0))*IFERROR(INDEX(O$10:O$11,Предпосылки!$I$205,),0),O144/(1+IFERROR(INDEX(O$10:O$11,Предпосылки!$I$206,),0))*IFERROR(INDEX(O$10:O$11,Предпосылки!$I$206,),0),O167/(1+IFERROR(INDEX(O$10:O$11,Предпосылки!$I$207,),0))*IFERROR(INDEX(O$10:O$11,Предпосылки!$I$207,),0),O190/(1+IFERROR(INDEX(O$10:O$11,Предпосылки!$I$208,),0))*IFERROR(INDEX(O$10:O$11,Предпосылки!$I$208,),0),O213/(1+IFERROR(INDEX(O$10:O$11,Предпосылки!$I$209,),0))*IFERROR(INDEX(O$10:O$11,Предпосылки!$I$209,),0),O236/(1+IFERROR(INDEX(O$10:O$11,Предпосылки!$I$210,),0))*IFERROR(INDEX(O$10:O$11,Предпосылки!$I$210,),0),O259/(1+IFERROR(INDEX(O$10:O$11,Предпосылки!$I$211,),0))*IFERROR(INDEX(O$10:O$11,Предпосылки!$I$211,),0),O282/(1+IFERROR(INDEX(O$10:O$11,Предпосылки!$I$212,),0))*IFERROR(INDEX(O$10:O$11,Предпосылки!$I$212,),0),O305/(1+IFERROR(INDEX(O$10:O$11,Предпосылки!$I$213,),0))*IFERROR(INDEX(O$10:O$11,Предпосылки!$I$213,),0),O328/(1+IFERROR(INDEX(O$10:O$11,Предпосылки!$I$214,),0))*IFERROR(INDEX(O$10:O$11,Предпосылки!$I$214,),0),O351/(1+IFERROR(INDEX(O$10:O$11,Предпосылки!$I$215,),0))*IFERROR(INDEX(O$10:O$11,Предпосылки!$I$215,),0),O374/(1+IFERROR(INDEX(O$10:O$11,Предпосылки!$I$216,),0))*IFERROR(INDEX(O$10:O$11,Предпосылки!$I$216,),0),O397/(1+IFERROR(INDEX(O$10:O$11,Предпосылки!$I$217,),0))*IFERROR(INDEX(O$10:O$11,Предпосылки!$I$217,),0),O420/(1+IFERROR(INDEX(O$10:O$11,Предпосылки!$I$218,),0))*IFERROR(INDEX(O$10:O$11,Предпосылки!$I$218,),0),O443/(1+IFERROR(INDEX(O$10:O$11,Предпосылки!$I$219,),0))*IFERROR(INDEX(O$10:O$11,Предпосылки!$I$219,),0),O466/(1+IFERROR(INDEX(O$10:O$11,Предпосылки!$I$220,),0))*IFERROR(INDEX(O$10:O$11,Предпосылки!$I$220,),0))</f>
        <v>0</v>
      </c>
      <c s="125">
        <f>SUM(P29/(1+IFERROR(INDEX(P$10:P$11,Предпосылки!$I$201,),0))*IFERROR(INDEX(P$10:P$11,Предпосылки!$I$201,),0),P52/(1+IFERROR(INDEX(P$10:P$11,Предпосылки!$I$202,),0))*IFERROR(INDEX(P$10:P$11,Предпосылки!$I$202,),0),P75/(1+IFERROR(INDEX(P$10:P$11,Предпосылки!$I$203,),0))*IFERROR(INDEX(P$10:P$11,Предпосылки!$I$203,),0),P98/(1+IFERROR(INDEX(P$10:P$11,Предпосылки!$I$204,),0))*IFERROR(INDEX(P$10:P$11,Предпосылки!$I$204,),0),P121/(1+IFERROR(INDEX(P$10:P$11,Предпосылки!$I$205,),0))*IFERROR(INDEX(P$10:P$11,Предпосылки!$I$205,),0),P144/(1+IFERROR(INDEX(P$10:P$11,Предпосылки!$I$206,),0))*IFERROR(INDEX(P$10:P$11,Предпосылки!$I$206,),0),P167/(1+IFERROR(INDEX(P$10:P$11,Предпосылки!$I$207,),0))*IFERROR(INDEX(P$10:P$11,Предпосылки!$I$207,),0),P190/(1+IFERROR(INDEX(P$10:P$11,Предпосылки!$I$208,),0))*IFERROR(INDEX(P$10:P$11,Предпосылки!$I$208,),0),P213/(1+IFERROR(INDEX(P$10:P$11,Предпосылки!$I$209,),0))*IFERROR(INDEX(P$10:P$11,Предпосылки!$I$209,),0),P236/(1+IFERROR(INDEX(P$10:P$11,Предпосылки!$I$210,),0))*IFERROR(INDEX(P$10:P$11,Предпосылки!$I$210,),0),P259/(1+IFERROR(INDEX(P$10:P$11,Предпосылки!$I$211,),0))*IFERROR(INDEX(P$10:P$11,Предпосылки!$I$211,),0),P282/(1+IFERROR(INDEX(P$10:P$11,Предпосылки!$I$212,),0))*IFERROR(INDEX(P$10:P$11,Предпосылки!$I$212,),0),P305/(1+IFERROR(INDEX(P$10:P$11,Предпосылки!$I$213,),0))*IFERROR(INDEX(P$10:P$11,Предпосылки!$I$213,),0),P328/(1+IFERROR(INDEX(P$10:P$11,Предпосылки!$I$214,),0))*IFERROR(INDEX(P$10:P$11,Предпосылки!$I$214,),0),P351/(1+IFERROR(INDEX(P$10:P$11,Предпосылки!$I$215,),0))*IFERROR(INDEX(P$10:P$11,Предпосылки!$I$215,),0),P374/(1+IFERROR(INDEX(P$10:P$11,Предпосылки!$I$216,),0))*IFERROR(INDEX(P$10:P$11,Предпосылки!$I$216,),0),P397/(1+IFERROR(INDEX(P$10:P$11,Предпосылки!$I$217,),0))*IFERROR(INDEX(P$10:P$11,Предпосылки!$I$217,),0),P420/(1+IFERROR(INDEX(P$10:P$11,Предпосылки!$I$218,),0))*IFERROR(INDEX(P$10:P$11,Предпосылки!$I$218,),0),P443/(1+IFERROR(INDEX(P$10:P$11,Предпосылки!$I$219,),0))*IFERROR(INDEX(P$10:P$11,Предпосылки!$I$219,),0),P466/(1+IFERROR(INDEX(P$10:P$11,Предпосылки!$I$220,),0))*IFERROR(INDEX(P$10:P$11,Предпосылки!$I$220,),0))</f>
        <v>0</v>
      </c>
      <c s="125">
        <f>SUM(Q29/(1+IFERROR(INDEX(Q$10:Q$11,Предпосылки!$I$201,),0))*IFERROR(INDEX(Q$10:Q$11,Предпосылки!$I$201,),0),Q52/(1+IFERROR(INDEX(Q$10:Q$11,Предпосылки!$I$202,),0))*IFERROR(INDEX(Q$10:Q$11,Предпосылки!$I$202,),0),Q75/(1+IFERROR(INDEX(Q$10:Q$11,Предпосылки!$I$203,),0))*IFERROR(INDEX(Q$10:Q$11,Предпосылки!$I$203,),0),Q98/(1+IFERROR(INDEX(Q$10:Q$11,Предпосылки!$I$204,),0))*IFERROR(INDEX(Q$10:Q$11,Предпосылки!$I$204,),0),Q121/(1+IFERROR(INDEX(Q$10:Q$11,Предпосылки!$I$205,),0))*IFERROR(INDEX(Q$10:Q$11,Предпосылки!$I$205,),0),Q144/(1+IFERROR(INDEX(Q$10:Q$11,Предпосылки!$I$206,),0))*IFERROR(INDEX(Q$10:Q$11,Предпосылки!$I$206,),0),Q167/(1+IFERROR(INDEX(Q$10:Q$11,Предпосылки!$I$207,),0))*IFERROR(INDEX(Q$10:Q$11,Предпосылки!$I$207,),0),Q190/(1+IFERROR(INDEX(Q$10:Q$11,Предпосылки!$I$208,),0))*IFERROR(INDEX(Q$10:Q$11,Предпосылки!$I$208,),0),Q213/(1+IFERROR(INDEX(Q$10:Q$11,Предпосылки!$I$209,),0))*IFERROR(INDEX(Q$10:Q$11,Предпосылки!$I$209,),0),Q236/(1+IFERROR(INDEX(Q$10:Q$11,Предпосылки!$I$210,),0))*IFERROR(INDEX(Q$10:Q$11,Предпосылки!$I$210,),0),Q259/(1+IFERROR(INDEX(Q$10:Q$11,Предпосылки!$I$211,),0))*IFERROR(INDEX(Q$10:Q$11,Предпосылки!$I$211,),0),Q282/(1+IFERROR(INDEX(Q$10:Q$11,Предпосылки!$I$212,),0))*IFERROR(INDEX(Q$10:Q$11,Предпосылки!$I$212,),0),Q305/(1+IFERROR(INDEX(Q$10:Q$11,Предпосылки!$I$213,),0))*IFERROR(INDEX(Q$10:Q$11,Предпосылки!$I$213,),0),Q328/(1+IFERROR(INDEX(Q$10:Q$11,Предпосылки!$I$214,),0))*IFERROR(INDEX(Q$10:Q$11,Предпосылки!$I$214,),0),Q351/(1+IFERROR(INDEX(Q$10:Q$11,Предпосылки!$I$215,),0))*IFERROR(INDEX(Q$10:Q$11,Предпосылки!$I$215,),0),Q374/(1+IFERROR(INDEX(Q$10:Q$11,Предпосылки!$I$216,),0))*IFERROR(INDEX(Q$10:Q$11,Предпосылки!$I$216,),0),Q397/(1+IFERROR(INDEX(Q$10:Q$11,Предпосылки!$I$217,),0))*IFERROR(INDEX(Q$10:Q$11,Предпосылки!$I$217,),0),Q420/(1+IFERROR(INDEX(Q$10:Q$11,Предпосылки!$I$218,),0))*IFERROR(INDEX(Q$10:Q$11,Предпосылки!$I$218,),0),Q443/(1+IFERROR(INDEX(Q$10:Q$11,Предпосылки!$I$219,),0))*IFERROR(INDEX(Q$10:Q$11,Предпосылки!$I$219,),0),Q466/(1+IFERROR(INDEX(Q$10:Q$11,Предпосылки!$I$220,),0))*IFERROR(INDEX(Q$10:Q$11,Предпосылки!$I$220,),0))</f>
        <v>0</v>
      </c>
      <c s="125">
        <f>SUM(R29/(1+IFERROR(INDEX(R$10:R$11,Предпосылки!$I$201,),0))*IFERROR(INDEX(R$10:R$11,Предпосылки!$I$201,),0),R52/(1+IFERROR(INDEX(R$10:R$11,Предпосылки!$I$202,),0))*IFERROR(INDEX(R$10:R$11,Предпосылки!$I$202,),0),R75/(1+IFERROR(INDEX(R$10:R$11,Предпосылки!$I$203,),0))*IFERROR(INDEX(R$10:R$11,Предпосылки!$I$203,),0),R98/(1+IFERROR(INDEX(R$10:R$11,Предпосылки!$I$204,),0))*IFERROR(INDEX(R$10:R$11,Предпосылки!$I$204,),0),R121/(1+IFERROR(INDEX(R$10:R$11,Предпосылки!$I$205,),0))*IFERROR(INDEX(R$10:R$11,Предпосылки!$I$205,),0),R144/(1+IFERROR(INDEX(R$10:R$11,Предпосылки!$I$206,),0))*IFERROR(INDEX(R$10:R$11,Предпосылки!$I$206,),0),R167/(1+IFERROR(INDEX(R$10:R$11,Предпосылки!$I$207,),0))*IFERROR(INDEX(R$10:R$11,Предпосылки!$I$207,),0),R190/(1+IFERROR(INDEX(R$10:R$11,Предпосылки!$I$208,),0))*IFERROR(INDEX(R$10:R$11,Предпосылки!$I$208,),0),R213/(1+IFERROR(INDEX(R$10:R$11,Предпосылки!$I$209,),0))*IFERROR(INDEX(R$10:R$11,Предпосылки!$I$209,),0),R236/(1+IFERROR(INDEX(R$10:R$11,Предпосылки!$I$210,),0))*IFERROR(INDEX(R$10:R$11,Предпосылки!$I$210,),0),R259/(1+IFERROR(INDEX(R$10:R$11,Предпосылки!$I$211,),0))*IFERROR(INDEX(R$10:R$11,Предпосылки!$I$211,),0),R282/(1+IFERROR(INDEX(R$10:R$11,Предпосылки!$I$212,),0))*IFERROR(INDEX(R$10:R$11,Предпосылки!$I$212,),0),R305/(1+IFERROR(INDEX(R$10:R$11,Предпосылки!$I$213,),0))*IFERROR(INDEX(R$10:R$11,Предпосылки!$I$213,),0),R328/(1+IFERROR(INDEX(R$10:R$11,Предпосылки!$I$214,),0))*IFERROR(INDEX(R$10:R$11,Предпосылки!$I$214,),0),R351/(1+IFERROR(INDEX(R$10:R$11,Предпосылки!$I$215,),0))*IFERROR(INDEX(R$10:R$11,Предпосылки!$I$215,),0),R374/(1+IFERROR(INDEX(R$10:R$11,Предпосылки!$I$216,),0))*IFERROR(INDEX(R$10:R$11,Предпосылки!$I$216,),0),R397/(1+IFERROR(INDEX(R$10:R$11,Предпосылки!$I$217,),0))*IFERROR(INDEX(R$10:R$11,Предпосылки!$I$217,),0),R420/(1+IFERROR(INDEX(R$10:R$11,Предпосылки!$I$218,),0))*IFERROR(INDEX(R$10:R$11,Предпосылки!$I$218,),0),R443/(1+IFERROR(INDEX(R$10:R$11,Предпосылки!$I$219,),0))*IFERROR(INDEX(R$10:R$11,Предпосылки!$I$219,),0),R466/(1+IFERROR(INDEX(R$10:R$11,Предпосылки!$I$220,),0))*IFERROR(INDEX(R$10:R$11,Предпосылки!$I$220,),0))</f>
        <v>0</v>
      </c>
      <c s="125">
        <f>SUM(S29/(1+IFERROR(INDEX(S$10:S$11,Предпосылки!$I$201,),0))*IFERROR(INDEX(S$10:S$11,Предпосылки!$I$201,),0),S52/(1+IFERROR(INDEX(S$10:S$11,Предпосылки!$I$202,),0))*IFERROR(INDEX(S$10:S$11,Предпосылки!$I$202,),0),S75/(1+IFERROR(INDEX(S$10:S$11,Предпосылки!$I$203,),0))*IFERROR(INDEX(S$10:S$11,Предпосылки!$I$203,),0),S98/(1+IFERROR(INDEX(S$10:S$11,Предпосылки!$I$204,),0))*IFERROR(INDEX(S$10:S$11,Предпосылки!$I$204,),0),S121/(1+IFERROR(INDEX(S$10:S$11,Предпосылки!$I$205,),0))*IFERROR(INDEX(S$10:S$11,Предпосылки!$I$205,),0),S144/(1+IFERROR(INDEX(S$10:S$11,Предпосылки!$I$206,),0))*IFERROR(INDEX(S$10:S$11,Предпосылки!$I$206,),0),S167/(1+IFERROR(INDEX(S$10:S$11,Предпосылки!$I$207,),0))*IFERROR(INDEX(S$10:S$11,Предпосылки!$I$207,),0),S190/(1+IFERROR(INDEX(S$10:S$11,Предпосылки!$I$208,),0))*IFERROR(INDEX(S$10:S$11,Предпосылки!$I$208,),0),S213/(1+IFERROR(INDEX(S$10:S$11,Предпосылки!$I$209,),0))*IFERROR(INDEX(S$10:S$11,Предпосылки!$I$209,),0),S236/(1+IFERROR(INDEX(S$10:S$11,Предпосылки!$I$210,),0))*IFERROR(INDEX(S$10:S$11,Предпосылки!$I$210,),0),S259/(1+IFERROR(INDEX(S$10:S$11,Предпосылки!$I$211,),0))*IFERROR(INDEX(S$10:S$11,Предпосылки!$I$211,),0),S282/(1+IFERROR(INDEX(S$10:S$11,Предпосылки!$I$212,),0))*IFERROR(INDEX(S$10:S$11,Предпосылки!$I$212,),0),S305/(1+IFERROR(INDEX(S$10:S$11,Предпосылки!$I$213,),0))*IFERROR(INDEX(S$10:S$11,Предпосылки!$I$213,),0),S328/(1+IFERROR(INDEX(S$10:S$11,Предпосылки!$I$214,),0))*IFERROR(INDEX(S$10:S$11,Предпосылки!$I$214,),0),S351/(1+IFERROR(INDEX(S$10:S$11,Предпосылки!$I$215,),0))*IFERROR(INDEX(S$10:S$11,Предпосылки!$I$215,),0),S374/(1+IFERROR(INDEX(S$10:S$11,Предпосылки!$I$216,),0))*IFERROR(INDEX(S$10:S$11,Предпосылки!$I$216,),0),S397/(1+IFERROR(INDEX(S$10:S$11,Предпосылки!$I$217,),0))*IFERROR(INDEX(S$10:S$11,Предпосылки!$I$217,),0),S420/(1+IFERROR(INDEX(S$10:S$11,Предпосылки!$I$218,),0))*IFERROR(INDEX(S$10:S$11,Предпосылки!$I$218,),0),S443/(1+IFERROR(INDEX(S$10:S$11,Предпосылки!$I$219,),0))*IFERROR(INDEX(S$10:S$11,Предпосылки!$I$219,),0),S466/(1+IFERROR(INDEX(S$10:S$11,Предпосылки!$I$220,),0))*IFERROR(INDEX(S$10:S$11,Предпосылки!$I$220,),0))</f>
        <v>0</v>
      </c>
      <c s="125">
        <f>SUM(T29/(1+IFERROR(INDEX(T$10:T$11,Предпосылки!$I$201,),0))*IFERROR(INDEX(T$10:T$11,Предпосылки!$I$201,),0),T52/(1+IFERROR(INDEX(T$10:T$11,Предпосылки!$I$202,),0))*IFERROR(INDEX(T$10:T$11,Предпосылки!$I$202,),0),T75/(1+IFERROR(INDEX(T$10:T$11,Предпосылки!$I$203,),0))*IFERROR(INDEX(T$10:T$11,Предпосылки!$I$203,),0),T98/(1+IFERROR(INDEX(T$10:T$11,Предпосылки!$I$204,),0))*IFERROR(INDEX(T$10:T$11,Предпосылки!$I$204,),0),T121/(1+IFERROR(INDEX(T$10:T$11,Предпосылки!$I$205,),0))*IFERROR(INDEX(T$10:T$11,Предпосылки!$I$205,),0),T144/(1+IFERROR(INDEX(T$10:T$11,Предпосылки!$I$206,),0))*IFERROR(INDEX(T$10:T$11,Предпосылки!$I$206,),0),T167/(1+IFERROR(INDEX(T$10:T$11,Предпосылки!$I$207,),0))*IFERROR(INDEX(T$10:T$11,Предпосылки!$I$207,),0),T190/(1+IFERROR(INDEX(T$10:T$11,Предпосылки!$I$208,),0))*IFERROR(INDEX(T$10:T$11,Предпосылки!$I$208,),0),T213/(1+IFERROR(INDEX(T$10:T$11,Предпосылки!$I$209,),0))*IFERROR(INDEX(T$10:T$11,Предпосылки!$I$209,),0),T236/(1+IFERROR(INDEX(T$10:T$11,Предпосылки!$I$210,),0))*IFERROR(INDEX(T$10:T$11,Предпосылки!$I$210,),0),T259/(1+IFERROR(INDEX(T$10:T$11,Предпосылки!$I$211,),0))*IFERROR(INDEX(T$10:T$11,Предпосылки!$I$211,),0),T282/(1+IFERROR(INDEX(T$10:T$11,Предпосылки!$I$212,),0))*IFERROR(INDEX(T$10:T$11,Предпосылки!$I$212,),0),T305/(1+IFERROR(INDEX(T$10:T$11,Предпосылки!$I$213,),0))*IFERROR(INDEX(T$10:T$11,Предпосылки!$I$213,),0),T328/(1+IFERROR(INDEX(T$10:T$11,Предпосылки!$I$214,),0))*IFERROR(INDEX(T$10:T$11,Предпосылки!$I$214,),0),T351/(1+IFERROR(INDEX(T$10:T$11,Предпосылки!$I$215,),0))*IFERROR(INDEX(T$10:T$11,Предпосылки!$I$215,),0),T374/(1+IFERROR(INDEX(T$10:T$11,Предпосылки!$I$216,),0))*IFERROR(INDEX(T$10:T$11,Предпосылки!$I$216,),0),T397/(1+IFERROR(INDEX(T$10:T$11,Предпосылки!$I$217,),0))*IFERROR(INDEX(T$10:T$11,Предпосылки!$I$217,),0),T420/(1+IFERROR(INDEX(T$10:T$11,Предпосылки!$I$218,),0))*IFERROR(INDEX(T$10:T$11,Предпосылки!$I$218,),0),T443/(1+IFERROR(INDEX(T$10:T$11,Предпосылки!$I$219,),0))*IFERROR(INDEX(T$10:T$11,Предпосылки!$I$219,),0),T466/(1+IFERROR(INDEX(T$10:T$11,Предпосылки!$I$220,),0))*IFERROR(INDEX(T$10:T$11,Предпосылки!$I$220,),0))</f>
        <v>0</v>
      </c>
      <c s="125">
        <f>SUM(U29/(1+IFERROR(INDEX(U$10:U$11,Предпосылки!$I$201,),0))*IFERROR(INDEX(U$10:U$11,Предпосылки!$I$201,),0),U52/(1+IFERROR(INDEX(U$10:U$11,Предпосылки!$I$202,),0))*IFERROR(INDEX(U$10:U$11,Предпосылки!$I$202,),0),U75/(1+IFERROR(INDEX(U$10:U$11,Предпосылки!$I$203,),0))*IFERROR(INDEX(U$10:U$11,Предпосылки!$I$203,),0),U98/(1+IFERROR(INDEX(U$10:U$11,Предпосылки!$I$204,),0))*IFERROR(INDEX(U$10:U$11,Предпосылки!$I$204,),0),U121/(1+IFERROR(INDEX(U$10:U$11,Предпосылки!$I$205,),0))*IFERROR(INDEX(U$10:U$11,Предпосылки!$I$205,),0),U144/(1+IFERROR(INDEX(U$10:U$11,Предпосылки!$I$206,),0))*IFERROR(INDEX(U$10:U$11,Предпосылки!$I$206,),0),U167/(1+IFERROR(INDEX(U$10:U$11,Предпосылки!$I$207,),0))*IFERROR(INDEX(U$10:U$11,Предпосылки!$I$207,),0),U190/(1+IFERROR(INDEX(U$10:U$11,Предпосылки!$I$208,),0))*IFERROR(INDEX(U$10:U$11,Предпосылки!$I$208,),0),U213/(1+IFERROR(INDEX(U$10:U$11,Предпосылки!$I$209,),0))*IFERROR(INDEX(U$10:U$11,Предпосылки!$I$209,),0),U236/(1+IFERROR(INDEX(U$10:U$11,Предпосылки!$I$210,),0))*IFERROR(INDEX(U$10:U$11,Предпосылки!$I$210,),0),U259/(1+IFERROR(INDEX(U$10:U$11,Предпосылки!$I$211,),0))*IFERROR(INDEX(U$10:U$11,Предпосылки!$I$211,),0),U282/(1+IFERROR(INDEX(U$10:U$11,Предпосылки!$I$212,),0))*IFERROR(INDEX(U$10:U$11,Предпосылки!$I$212,),0),U305/(1+IFERROR(INDEX(U$10:U$11,Предпосылки!$I$213,),0))*IFERROR(INDEX(U$10:U$11,Предпосылки!$I$213,),0),U328/(1+IFERROR(INDEX(U$10:U$11,Предпосылки!$I$214,),0))*IFERROR(INDEX(U$10:U$11,Предпосылки!$I$214,),0),U351/(1+IFERROR(INDEX(U$10:U$11,Предпосылки!$I$215,),0))*IFERROR(INDEX(U$10:U$11,Предпосылки!$I$215,),0),U374/(1+IFERROR(INDEX(U$10:U$11,Предпосылки!$I$216,),0))*IFERROR(INDEX(U$10:U$11,Предпосылки!$I$216,),0),U397/(1+IFERROR(INDEX(U$10:U$11,Предпосылки!$I$217,),0))*IFERROR(INDEX(U$10:U$11,Предпосылки!$I$217,),0),U420/(1+IFERROR(INDEX(U$10:U$11,Предпосылки!$I$218,),0))*IFERROR(INDEX(U$10:U$11,Предпосылки!$I$218,),0),U443/(1+IFERROR(INDEX(U$10:U$11,Предпосылки!$I$219,),0))*IFERROR(INDEX(U$10:U$11,Предпосылки!$I$219,),0),U466/(1+IFERROR(INDEX(U$10:U$11,Предпосылки!$I$220,),0))*IFERROR(INDEX(U$10:U$11,Предпосылки!$I$220,),0))</f>
        <v>0</v>
      </c>
      <c s="125">
        <f>SUM(V29/(1+IFERROR(INDEX(V$10:V$11,Предпосылки!$I$201,),0))*IFERROR(INDEX(V$10:V$11,Предпосылки!$I$201,),0),V52/(1+IFERROR(INDEX(V$10:V$11,Предпосылки!$I$202,),0))*IFERROR(INDEX(V$10:V$11,Предпосылки!$I$202,),0),V75/(1+IFERROR(INDEX(V$10:V$11,Предпосылки!$I$203,),0))*IFERROR(INDEX(V$10:V$11,Предпосылки!$I$203,),0),V98/(1+IFERROR(INDEX(V$10:V$11,Предпосылки!$I$204,),0))*IFERROR(INDEX(V$10:V$11,Предпосылки!$I$204,),0),V121/(1+IFERROR(INDEX(V$10:V$11,Предпосылки!$I$205,),0))*IFERROR(INDEX(V$10:V$11,Предпосылки!$I$205,),0),V144/(1+IFERROR(INDEX(V$10:V$11,Предпосылки!$I$206,),0))*IFERROR(INDEX(V$10:V$11,Предпосылки!$I$206,),0),V167/(1+IFERROR(INDEX(V$10:V$11,Предпосылки!$I$207,),0))*IFERROR(INDEX(V$10:V$11,Предпосылки!$I$207,),0),V190/(1+IFERROR(INDEX(V$10:V$11,Предпосылки!$I$208,),0))*IFERROR(INDEX(V$10:V$11,Предпосылки!$I$208,),0),V213/(1+IFERROR(INDEX(V$10:V$11,Предпосылки!$I$209,),0))*IFERROR(INDEX(V$10:V$11,Предпосылки!$I$209,),0),V236/(1+IFERROR(INDEX(V$10:V$11,Предпосылки!$I$210,),0))*IFERROR(INDEX(V$10:V$11,Предпосылки!$I$210,),0),V259/(1+IFERROR(INDEX(V$10:V$11,Предпосылки!$I$211,),0))*IFERROR(INDEX(V$10:V$11,Предпосылки!$I$211,),0),V282/(1+IFERROR(INDEX(V$10:V$11,Предпосылки!$I$212,),0))*IFERROR(INDEX(V$10:V$11,Предпосылки!$I$212,),0),V305/(1+IFERROR(INDEX(V$10:V$11,Предпосылки!$I$213,),0))*IFERROR(INDEX(V$10:V$11,Предпосылки!$I$213,),0),V328/(1+IFERROR(INDEX(V$10:V$11,Предпосылки!$I$214,),0))*IFERROR(INDEX(V$10:V$11,Предпосылки!$I$214,),0),V351/(1+IFERROR(INDEX(V$10:V$11,Предпосылки!$I$215,),0))*IFERROR(INDEX(V$10:V$11,Предпосылки!$I$215,),0),V374/(1+IFERROR(INDEX(V$10:V$11,Предпосылки!$I$216,),0))*IFERROR(INDEX(V$10:V$11,Предпосылки!$I$216,),0),V397/(1+IFERROR(INDEX(V$10:V$11,Предпосылки!$I$217,),0))*IFERROR(INDEX(V$10:V$11,Предпосылки!$I$217,),0),V420/(1+IFERROR(INDEX(V$10:V$11,Предпосылки!$I$218,),0))*IFERROR(INDEX(V$10:V$11,Предпосылки!$I$218,),0),V443/(1+IFERROR(INDEX(V$10:V$11,Предпосылки!$I$219,),0))*IFERROR(INDEX(V$10:V$11,Предпосылки!$I$219,),0),V466/(1+IFERROR(INDEX(V$10:V$11,Предпосылки!$I$220,),0))*IFERROR(INDEX(V$10:V$11,Предпосылки!$I$220,),0))</f>
        <v>0</v>
      </c>
      <c s="125">
        <f>SUM(W29/(1+IFERROR(INDEX(W$10:W$11,Предпосылки!$I$201,),0))*IFERROR(INDEX(W$10:W$11,Предпосылки!$I$201,),0),W52/(1+IFERROR(INDEX(W$10:W$11,Предпосылки!$I$202,),0))*IFERROR(INDEX(W$10:W$11,Предпосылки!$I$202,),0),W75/(1+IFERROR(INDEX(W$10:W$11,Предпосылки!$I$203,),0))*IFERROR(INDEX(W$10:W$11,Предпосылки!$I$203,),0),W98/(1+IFERROR(INDEX(W$10:W$11,Предпосылки!$I$204,),0))*IFERROR(INDEX(W$10:W$11,Предпосылки!$I$204,),0),W121/(1+IFERROR(INDEX(W$10:W$11,Предпосылки!$I$205,),0))*IFERROR(INDEX(W$10:W$11,Предпосылки!$I$205,),0),W144/(1+IFERROR(INDEX(W$10:W$11,Предпосылки!$I$206,),0))*IFERROR(INDEX(W$10:W$11,Предпосылки!$I$206,),0),W167/(1+IFERROR(INDEX(W$10:W$11,Предпосылки!$I$207,),0))*IFERROR(INDEX(W$10:W$11,Предпосылки!$I$207,),0),W190/(1+IFERROR(INDEX(W$10:W$11,Предпосылки!$I$208,),0))*IFERROR(INDEX(W$10:W$11,Предпосылки!$I$208,),0),W213/(1+IFERROR(INDEX(W$10:W$11,Предпосылки!$I$209,),0))*IFERROR(INDEX(W$10:W$11,Предпосылки!$I$209,),0),W236/(1+IFERROR(INDEX(W$10:W$11,Предпосылки!$I$210,),0))*IFERROR(INDEX(W$10:W$11,Предпосылки!$I$210,),0),W259/(1+IFERROR(INDEX(W$10:W$11,Предпосылки!$I$211,),0))*IFERROR(INDEX(W$10:W$11,Предпосылки!$I$211,),0),W282/(1+IFERROR(INDEX(W$10:W$11,Предпосылки!$I$212,),0))*IFERROR(INDEX(W$10:W$11,Предпосылки!$I$212,),0),W305/(1+IFERROR(INDEX(W$10:W$11,Предпосылки!$I$213,),0))*IFERROR(INDEX(W$10:W$11,Предпосылки!$I$213,),0),W328/(1+IFERROR(INDEX(W$10:W$11,Предпосылки!$I$214,),0))*IFERROR(INDEX(W$10:W$11,Предпосылки!$I$214,),0),W351/(1+IFERROR(INDEX(W$10:W$11,Предпосылки!$I$215,),0))*IFERROR(INDEX(W$10:W$11,Предпосылки!$I$215,),0),W374/(1+IFERROR(INDEX(W$10:W$11,Предпосылки!$I$216,),0))*IFERROR(INDEX(W$10:W$11,Предпосылки!$I$216,),0),W397/(1+IFERROR(INDEX(W$10:W$11,Предпосылки!$I$217,),0))*IFERROR(INDEX(W$10:W$11,Предпосылки!$I$217,),0),W420/(1+IFERROR(INDEX(W$10:W$11,Предпосылки!$I$218,),0))*IFERROR(INDEX(W$10:W$11,Предпосылки!$I$218,),0),W443/(1+IFERROR(INDEX(W$10:W$11,Предпосылки!$I$219,),0))*IFERROR(INDEX(W$10:W$11,Предпосылки!$I$219,),0),W466/(1+IFERROR(INDEX(W$10:W$11,Предпосылки!$I$220,),0))*IFERROR(INDEX(W$10:W$11,Предпосылки!$I$220,),0))</f>
        <v>0</v>
      </c>
      <c s="125">
        <f>SUM(X29/(1+IFERROR(INDEX(X$10:X$11,Предпосылки!$I$201,),0))*IFERROR(INDEX(X$10:X$11,Предпосылки!$I$201,),0),X52/(1+IFERROR(INDEX(X$10:X$11,Предпосылки!$I$202,),0))*IFERROR(INDEX(X$10:X$11,Предпосылки!$I$202,),0),X75/(1+IFERROR(INDEX(X$10:X$11,Предпосылки!$I$203,),0))*IFERROR(INDEX(X$10:X$11,Предпосылки!$I$203,),0),X98/(1+IFERROR(INDEX(X$10:X$11,Предпосылки!$I$204,),0))*IFERROR(INDEX(X$10:X$11,Предпосылки!$I$204,),0),X121/(1+IFERROR(INDEX(X$10:X$11,Предпосылки!$I$205,),0))*IFERROR(INDEX(X$10:X$11,Предпосылки!$I$205,),0),X144/(1+IFERROR(INDEX(X$10:X$11,Предпосылки!$I$206,),0))*IFERROR(INDEX(X$10:X$11,Предпосылки!$I$206,),0),X167/(1+IFERROR(INDEX(X$10:X$11,Предпосылки!$I$207,),0))*IFERROR(INDEX(X$10:X$11,Предпосылки!$I$207,),0),X190/(1+IFERROR(INDEX(X$10:X$11,Предпосылки!$I$208,),0))*IFERROR(INDEX(X$10:X$11,Предпосылки!$I$208,),0),X213/(1+IFERROR(INDEX(X$10:X$11,Предпосылки!$I$209,),0))*IFERROR(INDEX(X$10:X$11,Предпосылки!$I$209,),0),X236/(1+IFERROR(INDEX(X$10:X$11,Предпосылки!$I$210,),0))*IFERROR(INDEX(X$10:X$11,Предпосылки!$I$210,),0),X259/(1+IFERROR(INDEX(X$10:X$11,Предпосылки!$I$211,),0))*IFERROR(INDEX(X$10:X$11,Предпосылки!$I$211,),0),X282/(1+IFERROR(INDEX(X$10:X$11,Предпосылки!$I$212,),0))*IFERROR(INDEX(X$10:X$11,Предпосылки!$I$212,),0),X305/(1+IFERROR(INDEX(X$10:X$11,Предпосылки!$I$213,),0))*IFERROR(INDEX(X$10:X$11,Предпосылки!$I$213,),0),X328/(1+IFERROR(INDEX(X$10:X$11,Предпосылки!$I$214,),0))*IFERROR(INDEX(X$10:X$11,Предпосылки!$I$214,),0),X351/(1+IFERROR(INDEX(X$10:X$11,Предпосылки!$I$215,),0))*IFERROR(INDEX(X$10:X$11,Предпосылки!$I$215,),0),X374/(1+IFERROR(INDEX(X$10:X$11,Предпосылки!$I$216,),0))*IFERROR(INDEX(X$10:X$11,Предпосылки!$I$216,),0),X397/(1+IFERROR(INDEX(X$10:X$11,Предпосылки!$I$217,),0))*IFERROR(INDEX(X$10:X$11,Предпосылки!$I$217,),0),X420/(1+IFERROR(INDEX(X$10:X$11,Предпосылки!$I$218,),0))*IFERROR(INDEX(X$10:X$11,Предпосылки!$I$218,),0),X443/(1+IFERROR(INDEX(X$10:X$11,Предпосылки!$I$219,),0))*IFERROR(INDEX(X$10:X$11,Предпосылки!$I$219,),0),X466/(1+IFERROR(INDEX(X$10:X$11,Предпосылки!$I$220,),0))*IFERROR(INDEX(X$10:X$11,Предпосылки!$I$220,),0))</f>
        <v>0</v>
      </c>
      <c s="125">
        <f>SUM(Y29/(1+IFERROR(INDEX(Y$10:Y$11,Предпосылки!$I$201,),0))*IFERROR(INDEX(Y$10:Y$11,Предпосылки!$I$201,),0),Y52/(1+IFERROR(INDEX(Y$10:Y$11,Предпосылки!$I$202,),0))*IFERROR(INDEX(Y$10:Y$11,Предпосылки!$I$202,),0),Y75/(1+IFERROR(INDEX(Y$10:Y$11,Предпосылки!$I$203,),0))*IFERROR(INDEX(Y$10:Y$11,Предпосылки!$I$203,),0),Y98/(1+IFERROR(INDEX(Y$10:Y$11,Предпосылки!$I$204,),0))*IFERROR(INDEX(Y$10:Y$11,Предпосылки!$I$204,),0),Y121/(1+IFERROR(INDEX(Y$10:Y$11,Предпосылки!$I$205,),0))*IFERROR(INDEX(Y$10:Y$11,Предпосылки!$I$205,),0),Y144/(1+IFERROR(INDEX(Y$10:Y$11,Предпосылки!$I$206,),0))*IFERROR(INDEX(Y$10:Y$11,Предпосылки!$I$206,),0),Y167/(1+IFERROR(INDEX(Y$10:Y$11,Предпосылки!$I$207,),0))*IFERROR(INDEX(Y$10:Y$11,Предпосылки!$I$207,),0),Y190/(1+IFERROR(INDEX(Y$10:Y$11,Предпосылки!$I$208,),0))*IFERROR(INDEX(Y$10:Y$11,Предпосылки!$I$208,),0),Y213/(1+IFERROR(INDEX(Y$10:Y$11,Предпосылки!$I$209,),0))*IFERROR(INDEX(Y$10:Y$11,Предпосылки!$I$209,),0),Y236/(1+IFERROR(INDEX(Y$10:Y$11,Предпосылки!$I$210,),0))*IFERROR(INDEX(Y$10:Y$11,Предпосылки!$I$210,),0),Y259/(1+IFERROR(INDEX(Y$10:Y$11,Предпосылки!$I$211,),0))*IFERROR(INDEX(Y$10:Y$11,Предпосылки!$I$211,),0),Y282/(1+IFERROR(INDEX(Y$10:Y$11,Предпосылки!$I$212,),0))*IFERROR(INDEX(Y$10:Y$11,Предпосылки!$I$212,),0),Y305/(1+IFERROR(INDEX(Y$10:Y$11,Предпосылки!$I$213,),0))*IFERROR(INDEX(Y$10:Y$11,Предпосылки!$I$213,),0),Y328/(1+IFERROR(INDEX(Y$10:Y$11,Предпосылки!$I$214,),0))*IFERROR(INDEX(Y$10:Y$11,Предпосылки!$I$214,),0),Y351/(1+IFERROR(INDEX(Y$10:Y$11,Предпосылки!$I$215,),0))*IFERROR(INDEX(Y$10:Y$11,Предпосылки!$I$215,),0),Y374/(1+IFERROR(INDEX(Y$10:Y$11,Предпосылки!$I$216,),0))*IFERROR(INDEX(Y$10:Y$11,Предпосылки!$I$216,),0),Y397/(1+IFERROR(INDEX(Y$10:Y$11,Предпосылки!$I$217,),0))*IFERROR(INDEX(Y$10:Y$11,Предпосылки!$I$217,),0),Y420/(1+IFERROR(INDEX(Y$10:Y$11,Предпосылки!$I$218,),0))*IFERROR(INDEX(Y$10:Y$11,Предпосылки!$I$218,),0),Y443/(1+IFERROR(INDEX(Y$10:Y$11,Предпосылки!$I$219,),0))*IFERROR(INDEX(Y$10:Y$11,Предпосылки!$I$219,),0),Y466/(1+IFERROR(INDEX(Y$10:Y$11,Предпосылки!$I$220,),0))*IFERROR(INDEX(Y$10:Y$11,Предпосылки!$I$220,),0))</f>
        <v>0</v>
      </c>
      <c s="125">
        <f>SUM(Z29/(1+IFERROR(INDEX(Z$10:Z$11,Предпосылки!$I$201,),0))*IFERROR(INDEX(Z$10:Z$11,Предпосылки!$I$201,),0),Z52/(1+IFERROR(INDEX(Z$10:Z$11,Предпосылки!$I$202,),0))*IFERROR(INDEX(Z$10:Z$11,Предпосылки!$I$202,),0),Z75/(1+IFERROR(INDEX(Z$10:Z$11,Предпосылки!$I$203,),0))*IFERROR(INDEX(Z$10:Z$11,Предпосылки!$I$203,),0),Z98/(1+IFERROR(INDEX(Z$10:Z$11,Предпосылки!$I$204,),0))*IFERROR(INDEX(Z$10:Z$11,Предпосылки!$I$204,),0),Z121/(1+IFERROR(INDEX(Z$10:Z$11,Предпосылки!$I$205,),0))*IFERROR(INDEX(Z$10:Z$11,Предпосылки!$I$205,),0),Z144/(1+IFERROR(INDEX(Z$10:Z$11,Предпосылки!$I$206,),0))*IFERROR(INDEX(Z$10:Z$11,Предпосылки!$I$206,),0),Z167/(1+IFERROR(INDEX(Z$10:Z$11,Предпосылки!$I$207,),0))*IFERROR(INDEX(Z$10:Z$11,Предпосылки!$I$207,),0),Z190/(1+IFERROR(INDEX(Z$10:Z$11,Предпосылки!$I$208,),0))*IFERROR(INDEX(Z$10:Z$11,Предпосылки!$I$208,),0),Z213/(1+IFERROR(INDEX(Z$10:Z$11,Предпосылки!$I$209,),0))*IFERROR(INDEX(Z$10:Z$11,Предпосылки!$I$209,),0),Z236/(1+IFERROR(INDEX(Z$10:Z$11,Предпосылки!$I$210,),0))*IFERROR(INDEX(Z$10:Z$11,Предпосылки!$I$210,),0),Z259/(1+IFERROR(INDEX(Z$10:Z$11,Предпосылки!$I$211,),0))*IFERROR(INDEX(Z$10:Z$11,Предпосылки!$I$211,),0),Z282/(1+IFERROR(INDEX(Z$10:Z$11,Предпосылки!$I$212,),0))*IFERROR(INDEX(Z$10:Z$11,Предпосылки!$I$212,),0),Z305/(1+IFERROR(INDEX(Z$10:Z$11,Предпосылки!$I$213,),0))*IFERROR(INDEX(Z$10:Z$11,Предпосылки!$I$213,),0),Z328/(1+IFERROR(INDEX(Z$10:Z$11,Предпосылки!$I$214,),0))*IFERROR(INDEX(Z$10:Z$11,Предпосылки!$I$214,),0),Z351/(1+IFERROR(INDEX(Z$10:Z$11,Предпосылки!$I$215,),0))*IFERROR(INDEX(Z$10:Z$11,Предпосылки!$I$215,),0),Z374/(1+IFERROR(INDEX(Z$10:Z$11,Предпосылки!$I$216,),0))*IFERROR(INDEX(Z$10:Z$11,Предпосылки!$I$216,),0),Z397/(1+IFERROR(INDEX(Z$10:Z$11,Предпосылки!$I$217,),0))*IFERROR(INDEX(Z$10:Z$11,Предпосылки!$I$217,),0),Z420/(1+IFERROR(INDEX(Z$10:Z$11,Предпосылки!$I$218,),0))*IFERROR(INDEX(Z$10:Z$11,Предпосылки!$I$218,),0),Z443/(1+IFERROR(INDEX(Z$10:Z$11,Предпосылки!$I$219,),0))*IFERROR(INDEX(Z$10:Z$11,Предпосылки!$I$219,),0),Z466/(1+IFERROR(INDEX(Z$10:Z$11,Предпосылки!$I$220,),0))*IFERROR(INDEX(Z$10:Z$11,Предпосылки!$I$220,),0))</f>
        <v>0</v>
      </c>
      <c s="125">
        <f>SUM(AA29/(1+IFERROR(INDEX(AA$10:AA$11,Предпосылки!$I$201,),0))*IFERROR(INDEX(AA$10:AA$11,Предпосылки!$I$201,),0),AA52/(1+IFERROR(INDEX(AA$10:AA$11,Предпосылки!$I$202,),0))*IFERROR(INDEX(AA$10:AA$11,Предпосылки!$I$202,),0),AA75/(1+IFERROR(INDEX(AA$10:AA$11,Предпосылки!$I$203,),0))*IFERROR(INDEX(AA$10:AA$11,Предпосылки!$I$203,),0),AA98/(1+IFERROR(INDEX(AA$10:AA$11,Предпосылки!$I$204,),0))*IFERROR(INDEX(AA$10:AA$11,Предпосылки!$I$204,),0),AA121/(1+IFERROR(INDEX(AA$10:AA$11,Предпосылки!$I$205,),0))*IFERROR(INDEX(AA$10:AA$11,Предпосылки!$I$205,),0),AA144/(1+IFERROR(INDEX(AA$10:AA$11,Предпосылки!$I$206,),0))*IFERROR(INDEX(AA$10:AA$11,Предпосылки!$I$206,),0),AA167/(1+IFERROR(INDEX(AA$10:AA$11,Предпосылки!$I$207,),0))*IFERROR(INDEX(AA$10:AA$11,Предпосылки!$I$207,),0),AA190/(1+IFERROR(INDEX(AA$10:AA$11,Предпосылки!$I$208,),0))*IFERROR(INDEX(AA$10:AA$11,Предпосылки!$I$208,),0),AA213/(1+IFERROR(INDEX(AA$10:AA$11,Предпосылки!$I$209,),0))*IFERROR(INDEX(AA$10:AA$11,Предпосылки!$I$209,),0),AA236/(1+IFERROR(INDEX(AA$10:AA$11,Предпосылки!$I$210,),0))*IFERROR(INDEX(AA$10:AA$11,Предпосылки!$I$210,),0),AA259/(1+IFERROR(INDEX(AA$10:AA$11,Предпосылки!$I$211,),0))*IFERROR(INDEX(AA$10:AA$11,Предпосылки!$I$211,),0),AA282/(1+IFERROR(INDEX(AA$10:AA$11,Предпосылки!$I$212,),0))*IFERROR(INDEX(AA$10:AA$11,Предпосылки!$I$212,),0),AA305/(1+IFERROR(INDEX(AA$10:AA$11,Предпосылки!$I$213,),0))*IFERROR(INDEX(AA$10:AA$11,Предпосылки!$I$213,),0),AA328/(1+IFERROR(INDEX(AA$10:AA$11,Предпосылки!$I$214,),0))*IFERROR(INDEX(AA$10:AA$11,Предпосылки!$I$214,),0),AA351/(1+IFERROR(INDEX(AA$10:AA$11,Предпосылки!$I$215,),0))*IFERROR(INDEX(AA$10:AA$11,Предпосылки!$I$215,),0),AA374/(1+IFERROR(INDEX(AA$10:AA$11,Предпосылки!$I$216,),0))*IFERROR(INDEX(AA$10:AA$11,Предпосылки!$I$216,),0),AA397/(1+IFERROR(INDEX(AA$10:AA$11,Предпосылки!$I$217,),0))*IFERROR(INDEX(AA$10:AA$11,Предпосылки!$I$217,),0),AA420/(1+IFERROR(INDEX(AA$10:AA$11,Предпосылки!$I$218,),0))*IFERROR(INDEX(AA$10:AA$11,Предпосылки!$I$218,),0),AA443/(1+IFERROR(INDEX(AA$10:AA$11,Предпосылки!$I$219,),0))*IFERROR(INDEX(AA$10:AA$11,Предпосылки!$I$219,),0),AA466/(1+IFERROR(INDEX(AA$10:AA$11,Предпосылки!$I$220,),0))*IFERROR(INDEX(AA$10:AA$11,Предпосылки!$I$220,),0))</f>
        <v>0</v>
      </c>
      <c s="125">
        <f>SUM(AB29/(1+IFERROR(INDEX(AB$10:AB$11,Предпосылки!$I$201,),0))*IFERROR(INDEX(AB$10:AB$11,Предпосылки!$I$201,),0),AB52/(1+IFERROR(INDEX(AB$10:AB$11,Предпосылки!$I$202,),0))*IFERROR(INDEX(AB$10:AB$11,Предпосылки!$I$202,),0),AB75/(1+IFERROR(INDEX(AB$10:AB$11,Предпосылки!$I$203,),0))*IFERROR(INDEX(AB$10:AB$11,Предпосылки!$I$203,),0),AB98/(1+IFERROR(INDEX(AB$10:AB$11,Предпосылки!$I$204,),0))*IFERROR(INDEX(AB$10:AB$11,Предпосылки!$I$204,),0),AB121/(1+IFERROR(INDEX(AB$10:AB$11,Предпосылки!$I$205,),0))*IFERROR(INDEX(AB$10:AB$11,Предпосылки!$I$205,),0),AB144/(1+IFERROR(INDEX(AB$10:AB$11,Предпосылки!$I$206,),0))*IFERROR(INDEX(AB$10:AB$11,Предпосылки!$I$206,),0),AB167/(1+IFERROR(INDEX(AB$10:AB$11,Предпосылки!$I$207,),0))*IFERROR(INDEX(AB$10:AB$11,Предпосылки!$I$207,),0),AB190/(1+IFERROR(INDEX(AB$10:AB$11,Предпосылки!$I$208,),0))*IFERROR(INDEX(AB$10:AB$11,Предпосылки!$I$208,),0),AB213/(1+IFERROR(INDEX(AB$10:AB$11,Предпосылки!$I$209,),0))*IFERROR(INDEX(AB$10:AB$11,Предпосылки!$I$209,),0),AB236/(1+IFERROR(INDEX(AB$10:AB$11,Предпосылки!$I$210,),0))*IFERROR(INDEX(AB$10:AB$11,Предпосылки!$I$210,),0),AB259/(1+IFERROR(INDEX(AB$10:AB$11,Предпосылки!$I$211,),0))*IFERROR(INDEX(AB$10:AB$11,Предпосылки!$I$211,),0),AB282/(1+IFERROR(INDEX(AB$10:AB$11,Предпосылки!$I$212,),0))*IFERROR(INDEX(AB$10:AB$11,Предпосылки!$I$212,),0),AB305/(1+IFERROR(INDEX(AB$10:AB$11,Предпосылки!$I$213,),0))*IFERROR(INDEX(AB$10:AB$11,Предпосылки!$I$213,),0),AB328/(1+IFERROR(INDEX(AB$10:AB$11,Предпосылки!$I$214,),0))*IFERROR(INDEX(AB$10:AB$11,Предпосылки!$I$214,),0),AB351/(1+IFERROR(INDEX(AB$10:AB$11,Предпосылки!$I$215,),0))*IFERROR(INDEX(AB$10:AB$11,Предпосылки!$I$215,),0),AB374/(1+IFERROR(INDEX(AB$10:AB$11,Предпосылки!$I$216,),0))*IFERROR(INDEX(AB$10:AB$11,Предпосылки!$I$216,),0),AB397/(1+IFERROR(INDEX(AB$10:AB$11,Предпосылки!$I$217,),0))*IFERROR(INDEX(AB$10:AB$11,Предпосылки!$I$217,),0),AB420/(1+IFERROR(INDEX(AB$10:AB$11,Предпосылки!$I$218,),0))*IFERROR(INDEX(AB$10:AB$11,Предпосылки!$I$218,),0),AB443/(1+IFERROR(INDEX(AB$10:AB$11,Предпосылки!$I$219,),0))*IFERROR(INDEX(AB$10:AB$11,Предпосылки!$I$219,),0),AB466/(1+IFERROR(INDEX(AB$10:AB$11,Предпосылки!$I$220,),0))*IFERROR(INDEX(AB$10:AB$11,Предпосылки!$I$220,),0))</f>
        <v>0</v>
      </c>
      <c s="125">
        <f>SUM(AC29/(1+IFERROR(INDEX(AC$10:AC$11,Предпосылки!$I$201,),0))*IFERROR(INDEX(AC$10:AC$11,Предпосылки!$I$201,),0),AC52/(1+IFERROR(INDEX(AC$10:AC$11,Предпосылки!$I$202,),0))*IFERROR(INDEX(AC$10:AC$11,Предпосылки!$I$202,),0),AC75/(1+IFERROR(INDEX(AC$10:AC$11,Предпосылки!$I$203,),0))*IFERROR(INDEX(AC$10:AC$11,Предпосылки!$I$203,),0),AC98/(1+IFERROR(INDEX(AC$10:AC$11,Предпосылки!$I$204,),0))*IFERROR(INDEX(AC$10:AC$11,Предпосылки!$I$204,),0),AC121/(1+IFERROR(INDEX(AC$10:AC$11,Предпосылки!$I$205,),0))*IFERROR(INDEX(AC$10:AC$11,Предпосылки!$I$205,),0),AC144/(1+IFERROR(INDEX(AC$10:AC$11,Предпосылки!$I$206,),0))*IFERROR(INDEX(AC$10:AC$11,Предпосылки!$I$206,),0),AC167/(1+IFERROR(INDEX(AC$10:AC$11,Предпосылки!$I$207,),0))*IFERROR(INDEX(AC$10:AC$11,Предпосылки!$I$207,),0),AC190/(1+IFERROR(INDEX(AC$10:AC$11,Предпосылки!$I$208,),0))*IFERROR(INDEX(AC$10:AC$11,Предпосылки!$I$208,),0),AC213/(1+IFERROR(INDEX(AC$10:AC$11,Предпосылки!$I$209,),0))*IFERROR(INDEX(AC$10:AC$11,Предпосылки!$I$209,),0),AC236/(1+IFERROR(INDEX(AC$10:AC$11,Предпосылки!$I$210,),0))*IFERROR(INDEX(AC$10:AC$11,Предпосылки!$I$210,),0),AC259/(1+IFERROR(INDEX(AC$10:AC$11,Предпосылки!$I$211,),0))*IFERROR(INDEX(AC$10:AC$11,Предпосылки!$I$211,),0),AC282/(1+IFERROR(INDEX(AC$10:AC$11,Предпосылки!$I$212,),0))*IFERROR(INDEX(AC$10:AC$11,Предпосылки!$I$212,),0),AC305/(1+IFERROR(INDEX(AC$10:AC$11,Предпосылки!$I$213,),0))*IFERROR(INDEX(AC$10:AC$11,Предпосылки!$I$213,),0),AC328/(1+IFERROR(INDEX(AC$10:AC$11,Предпосылки!$I$214,),0))*IFERROR(INDEX(AC$10:AC$11,Предпосылки!$I$214,),0),AC351/(1+IFERROR(INDEX(AC$10:AC$11,Предпосылки!$I$215,),0))*IFERROR(INDEX(AC$10:AC$11,Предпосылки!$I$215,),0),AC374/(1+IFERROR(INDEX(AC$10:AC$11,Предпосылки!$I$216,),0))*IFERROR(INDEX(AC$10:AC$11,Предпосылки!$I$216,),0),AC397/(1+IFERROR(INDEX(AC$10:AC$11,Предпосылки!$I$217,),0))*IFERROR(INDEX(AC$10:AC$11,Предпосылки!$I$217,),0),AC420/(1+IFERROR(INDEX(AC$10:AC$11,Предпосылки!$I$218,),0))*IFERROR(INDEX(AC$10:AC$11,Предпосылки!$I$218,),0),AC443/(1+IFERROR(INDEX(AC$10:AC$11,Предпосылки!$I$219,),0))*IFERROR(INDEX(AC$10:AC$11,Предпосылки!$I$219,),0),AC466/(1+IFERROR(INDEX(AC$10:AC$11,Предпосылки!$I$220,),0))*IFERROR(INDEX(AC$10:AC$11,Предпосылки!$I$220,),0))</f>
        <v>0</v>
      </c>
      <c s="125">
        <f>SUM(AD29/(1+IFERROR(INDEX(AD$10:AD$11,Предпосылки!$I$201,),0))*IFERROR(INDEX(AD$10:AD$11,Предпосылки!$I$201,),0),AD52/(1+IFERROR(INDEX(AD$10:AD$11,Предпосылки!$I$202,),0))*IFERROR(INDEX(AD$10:AD$11,Предпосылки!$I$202,),0),AD75/(1+IFERROR(INDEX(AD$10:AD$11,Предпосылки!$I$203,),0))*IFERROR(INDEX(AD$10:AD$11,Предпосылки!$I$203,),0),AD98/(1+IFERROR(INDEX(AD$10:AD$11,Предпосылки!$I$204,),0))*IFERROR(INDEX(AD$10:AD$11,Предпосылки!$I$204,),0),AD121/(1+IFERROR(INDEX(AD$10:AD$11,Предпосылки!$I$205,),0))*IFERROR(INDEX(AD$10:AD$11,Предпосылки!$I$205,),0),AD144/(1+IFERROR(INDEX(AD$10:AD$11,Предпосылки!$I$206,),0))*IFERROR(INDEX(AD$10:AD$11,Предпосылки!$I$206,),0),AD167/(1+IFERROR(INDEX(AD$10:AD$11,Предпосылки!$I$207,),0))*IFERROR(INDEX(AD$10:AD$11,Предпосылки!$I$207,),0),AD190/(1+IFERROR(INDEX(AD$10:AD$11,Предпосылки!$I$208,),0))*IFERROR(INDEX(AD$10:AD$11,Предпосылки!$I$208,),0),AD213/(1+IFERROR(INDEX(AD$10:AD$11,Предпосылки!$I$209,),0))*IFERROR(INDEX(AD$10:AD$11,Предпосылки!$I$209,),0),AD236/(1+IFERROR(INDEX(AD$10:AD$11,Предпосылки!$I$210,),0))*IFERROR(INDEX(AD$10:AD$11,Предпосылки!$I$210,),0),AD259/(1+IFERROR(INDEX(AD$10:AD$11,Предпосылки!$I$211,),0))*IFERROR(INDEX(AD$10:AD$11,Предпосылки!$I$211,),0),AD282/(1+IFERROR(INDEX(AD$10:AD$11,Предпосылки!$I$212,),0))*IFERROR(INDEX(AD$10:AD$11,Предпосылки!$I$212,),0),AD305/(1+IFERROR(INDEX(AD$10:AD$11,Предпосылки!$I$213,),0))*IFERROR(INDEX(AD$10:AD$11,Предпосылки!$I$213,),0),AD328/(1+IFERROR(INDEX(AD$10:AD$11,Предпосылки!$I$214,),0))*IFERROR(INDEX(AD$10:AD$11,Предпосылки!$I$214,),0),AD351/(1+IFERROR(INDEX(AD$10:AD$11,Предпосылки!$I$215,),0))*IFERROR(INDEX(AD$10:AD$11,Предпосылки!$I$215,),0),AD374/(1+IFERROR(INDEX(AD$10:AD$11,Предпосылки!$I$216,),0))*IFERROR(INDEX(AD$10:AD$11,Предпосылки!$I$216,),0),AD397/(1+IFERROR(INDEX(AD$10:AD$11,Предпосылки!$I$217,),0))*IFERROR(INDEX(AD$10:AD$11,Предпосылки!$I$217,),0),AD420/(1+IFERROR(INDEX(AD$10:AD$11,Предпосылки!$I$218,),0))*IFERROR(INDEX(AD$10:AD$11,Предпосылки!$I$218,),0),AD443/(1+IFERROR(INDEX(AD$10:AD$11,Предпосылки!$I$219,),0))*IFERROR(INDEX(AD$10:AD$11,Предпосылки!$I$219,),0),AD466/(1+IFERROR(INDEX(AD$10:AD$11,Предпосылки!$I$220,),0))*IFERROR(INDEX(AD$10:AD$11,Предпосылки!$I$220,),0))</f>
        <v>0</v>
      </c>
      <c s="125">
        <f>SUM(AE29/(1+IFERROR(INDEX(AE$10:AE$11,Предпосылки!$I$201,),0))*IFERROR(INDEX(AE$10:AE$11,Предпосылки!$I$201,),0),AE52/(1+IFERROR(INDEX(AE$10:AE$11,Предпосылки!$I$202,),0))*IFERROR(INDEX(AE$10:AE$11,Предпосылки!$I$202,),0),AE75/(1+IFERROR(INDEX(AE$10:AE$11,Предпосылки!$I$203,),0))*IFERROR(INDEX(AE$10:AE$11,Предпосылки!$I$203,),0),AE98/(1+IFERROR(INDEX(AE$10:AE$11,Предпосылки!$I$204,),0))*IFERROR(INDEX(AE$10:AE$11,Предпосылки!$I$204,),0),AE121/(1+IFERROR(INDEX(AE$10:AE$11,Предпосылки!$I$205,),0))*IFERROR(INDEX(AE$10:AE$11,Предпосылки!$I$205,),0),AE144/(1+IFERROR(INDEX(AE$10:AE$11,Предпосылки!$I$206,),0))*IFERROR(INDEX(AE$10:AE$11,Предпосылки!$I$206,),0),AE167/(1+IFERROR(INDEX(AE$10:AE$11,Предпосылки!$I$207,),0))*IFERROR(INDEX(AE$10:AE$11,Предпосылки!$I$207,),0),AE190/(1+IFERROR(INDEX(AE$10:AE$11,Предпосылки!$I$208,),0))*IFERROR(INDEX(AE$10:AE$11,Предпосылки!$I$208,),0),AE213/(1+IFERROR(INDEX(AE$10:AE$11,Предпосылки!$I$209,),0))*IFERROR(INDEX(AE$10:AE$11,Предпосылки!$I$209,),0),AE236/(1+IFERROR(INDEX(AE$10:AE$11,Предпосылки!$I$210,),0))*IFERROR(INDEX(AE$10:AE$11,Предпосылки!$I$210,),0),AE259/(1+IFERROR(INDEX(AE$10:AE$11,Предпосылки!$I$211,),0))*IFERROR(INDEX(AE$10:AE$11,Предпосылки!$I$211,),0),AE282/(1+IFERROR(INDEX(AE$10:AE$11,Предпосылки!$I$212,),0))*IFERROR(INDEX(AE$10:AE$11,Предпосылки!$I$212,),0),AE305/(1+IFERROR(INDEX(AE$10:AE$11,Предпосылки!$I$213,),0))*IFERROR(INDEX(AE$10:AE$11,Предпосылки!$I$213,),0),AE328/(1+IFERROR(INDEX(AE$10:AE$11,Предпосылки!$I$214,),0))*IFERROR(INDEX(AE$10:AE$11,Предпосылки!$I$214,),0),AE351/(1+IFERROR(INDEX(AE$10:AE$11,Предпосылки!$I$215,),0))*IFERROR(INDEX(AE$10:AE$11,Предпосылки!$I$215,),0),AE374/(1+IFERROR(INDEX(AE$10:AE$11,Предпосылки!$I$216,),0))*IFERROR(INDEX(AE$10:AE$11,Предпосылки!$I$216,),0),AE397/(1+IFERROR(INDEX(AE$10:AE$11,Предпосылки!$I$217,),0))*IFERROR(INDEX(AE$10:AE$11,Предпосылки!$I$217,),0),AE420/(1+IFERROR(INDEX(AE$10:AE$11,Предпосылки!$I$218,),0))*IFERROR(INDEX(AE$10:AE$11,Предпосылки!$I$218,),0),AE443/(1+IFERROR(INDEX(AE$10:AE$11,Предпосылки!$I$219,),0))*IFERROR(INDEX(AE$10:AE$11,Предпосылки!$I$219,),0),AE466/(1+IFERROR(INDEX(AE$10:AE$11,Предпосылки!$I$220,),0))*IFERROR(INDEX(AE$10:AE$11,Предпосылки!$I$220,),0))</f>
        <v>0</v>
      </c>
      <c s="125">
        <f>SUM(AF29/(1+IFERROR(INDEX(AF$10:AF$11,Предпосылки!$I$201,),0))*IFERROR(INDEX(AF$10:AF$11,Предпосылки!$I$201,),0),AF52/(1+IFERROR(INDEX(AF$10:AF$11,Предпосылки!$I$202,),0))*IFERROR(INDEX(AF$10:AF$11,Предпосылки!$I$202,),0),AF75/(1+IFERROR(INDEX(AF$10:AF$11,Предпосылки!$I$203,),0))*IFERROR(INDEX(AF$10:AF$11,Предпосылки!$I$203,),0),AF98/(1+IFERROR(INDEX(AF$10:AF$11,Предпосылки!$I$204,),0))*IFERROR(INDEX(AF$10:AF$11,Предпосылки!$I$204,),0),AF121/(1+IFERROR(INDEX(AF$10:AF$11,Предпосылки!$I$205,),0))*IFERROR(INDEX(AF$10:AF$11,Предпосылки!$I$205,),0),AF144/(1+IFERROR(INDEX(AF$10:AF$11,Предпосылки!$I$206,),0))*IFERROR(INDEX(AF$10:AF$11,Предпосылки!$I$206,),0),AF167/(1+IFERROR(INDEX(AF$10:AF$11,Предпосылки!$I$207,),0))*IFERROR(INDEX(AF$10:AF$11,Предпосылки!$I$207,),0),AF190/(1+IFERROR(INDEX(AF$10:AF$11,Предпосылки!$I$208,),0))*IFERROR(INDEX(AF$10:AF$11,Предпосылки!$I$208,),0),AF213/(1+IFERROR(INDEX(AF$10:AF$11,Предпосылки!$I$209,),0))*IFERROR(INDEX(AF$10:AF$11,Предпосылки!$I$209,),0),AF236/(1+IFERROR(INDEX(AF$10:AF$11,Предпосылки!$I$210,),0))*IFERROR(INDEX(AF$10:AF$11,Предпосылки!$I$210,),0),AF259/(1+IFERROR(INDEX(AF$10:AF$11,Предпосылки!$I$211,),0))*IFERROR(INDEX(AF$10:AF$11,Предпосылки!$I$211,),0),AF282/(1+IFERROR(INDEX(AF$10:AF$11,Предпосылки!$I$212,),0))*IFERROR(INDEX(AF$10:AF$11,Предпосылки!$I$212,),0),AF305/(1+IFERROR(INDEX(AF$10:AF$11,Предпосылки!$I$213,),0))*IFERROR(INDEX(AF$10:AF$11,Предпосылки!$I$213,),0),AF328/(1+IFERROR(INDEX(AF$10:AF$11,Предпосылки!$I$214,),0))*IFERROR(INDEX(AF$10:AF$11,Предпосылки!$I$214,),0),AF351/(1+IFERROR(INDEX(AF$10:AF$11,Предпосылки!$I$215,),0))*IFERROR(INDEX(AF$10:AF$11,Предпосылки!$I$215,),0),AF374/(1+IFERROR(INDEX(AF$10:AF$11,Предпосылки!$I$216,),0))*IFERROR(INDEX(AF$10:AF$11,Предпосылки!$I$216,),0),AF397/(1+IFERROR(INDEX(AF$10:AF$11,Предпосылки!$I$217,),0))*IFERROR(INDEX(AF$10:AF$11,Предпосылки!$I$217,),0),AF420/(1+IFERROR(INDEX(AF$10:AF$11,Предпосылки!$I$218,),0))*IFERROR(INDEX(AF$10:AF$11,Предпосылки!$I$218,),0),AF443/(1+IFERROR(INDEX(AF$10:AF$11,Предпосылки!$I$219,),0))*IFERROR(INDEX(AF$10:AF$11,Предпосылки!$I$219,),0),AF466/(1+IFERROR(INDEX(AF$10:AF$11,Предпосылки!$I$220,),0))*IFERROR(INDEX(AF$10:AF$11,Предпосылки!$I$220,),0))</f>
        <v>0</v>
      </c>
      <c s="125">
        <f>SUM(AG29/(1+IFERROR(INDEX(AG$10:AG$11,Предпосылки!$I$201,),0))*IFERROR(INDEX(AG$10:AG$11,Предпосылки!$I$201,),0),AG52/(1+IFERROR(INDEX(AG$10:AG$11,Предпосылки!$I$202,),0))*IFERROR(INDEX(AG$10:AG$11,Предпосылки!$I$202,),0),AG75/(1+IFERROR(INDEX(AG$10:AG$11,Предпосылки!$I$203,),0))*IFERROR(INDEX(AG$10:AG$11,Предпосылки!$I$203,),0),AG98/(1+IFERROR(INDEX(AG$10:AG$11,Предпосылки!$I$204,),0))*IFERROR(INDEX(AG$10:AG$11,Предпосылки!$I$204,),0),AG121/(1+IFERROR(INDEX(AG$10:AG$11,Предпосылки!$I$205,),0))*IFERROR(INDEX(AG$10:AG$11,Предпосылки!$I$205,),0),AG144/(1+IFERROR(INDEX(AG$10:AG$11,Предпосылки!$I$206,),0))*IFERROR(INDEX(AG$10:AG$11,Предпосылки!$I$206,),0),AG167/(1+IFERROR(INDEX(AG$10:AG$11,Предпосылки!$I$207,),0))*IFERROR(INDEX(AG$10:AG$11,Предпосылки!$I$207,),0),AG190/(1+IFERROR(INDEX(AG$10:AG$11,Предпосылки!$I$208,),0))*IFERROR(INDEX(AG$10:AG$11,Предпосылки!$I$208,),0),AG213/(1+IFERROR(INDEX(AG$10:AG$11,Предпосылки!$I$209,),0))*IFERROR(INDEX(AG$10:AG$11,Предпосылки!$I$209,),0),AG236/(1+IFERROR(INDEX(AG$10:AG$11,Предпосылки!$I$210,),0))*IFERROR(INDEX(AG$10:AG$11,Предпосылки!$I$210,),0),AG259/(1+IFERROR(INDEX(AG$10:AG$11,Предпосылки!$I$211,),0))*IFERROR(INDEX(AG$10:AG$11,Предпосылки!$I$211,),0),AG282/(1+IFERROR(INDEX(AG$10:AG$11,Предпосылки!$I$212,),0))*IFERROR(INDEX(AG$10:AG$11,Предпосылки!$I$212,),0),AG305/(1+IFERROR(INDEX(AG$10:AG$11,Предпосылки!$I$213,),0))*IFERROR(INDEX(AG$10:AG$11,Предпосылки!$I$213,),0),AG328/(1+IFERROR(INDEX(AG$10:AG$11,Предпосылки!$I$214,),0))*IFERROR(INDEX(AG$10:AG$11,Предпосылки!$I$214,),0),AG351/(1+IFERROR(INDEX(AG$10:AG$11,Предпосылки!$I$215,),0))*IFERROR(INDEX(AG$10:AG$11,Предпосылки!$I$215,),0),AG374/(1+IFERROR(INDEX(AG$10:AG$11,Предпосылки!$I$216,),0))*IFERROR(INDEX(AG$10:AG$11,Предпосылки!$I$216,),0),AG397/(1+IFERROR(INDEX(AG$10:AG$11,Предпосылки!$I$217,),0))*IFERROR(INDEX(AG$10:AG$11,Предпосылки!$I$217,),0),AG420/(1+IFERROR(INDEX(AG$10:AG$11,Предпосылки!$I$218,),0))*IFERROR(INDEX(AG$10:AG$11,Предпосылки!$I$218,),0),AG443/(1+IFERROR(INDEX(AG$10:AG$11,Предпосылки!$I$219,),0))*IFERROR(INDEX(AG$10:AG$11,Предпосылки!$I$219,),0),AG466/(1+IFERROR(INDEX(AG$10:AG$11,Предпосылки!$I$220,),0))*IFERROR(INDEX(AG$10:AG$11,Предпосылки!$I$220,),0))</f>
        <v>0</v>
      </c>
      <c s="125">
        <f>SUM(AH29/(1+IFERROR(INDEX(AH$10:AH$11,Предпосылки!$I$201,),0))*IFERROR(INDEX(AH$10:AH$11,Предпосылки!$I$201,),0),AH52/(1+IFERROR(INDEX(AH$10:AH$11,Предпосылки!$I$202,),0))*IFERROR(INDEX(AH$10:AH$11,Предпосылки!$I$202,),0),AH75/(1+IFERROR(INDEX(AH$10:AH$11,Предпосылки!$I$203,),0))*IFERROR(INDEX(AH$10:AH$11,Предпосылки!$I$203,),0),AH98/(1+IFERROR(INDEX(AH$10:AH$11,Предпосылки!$I$204,),0))*IFERROR(INDEX(AH$10:AH$11,Предпосылки!$I$204,),0),AH121/(1+IFERROR(INDEX(AH$10:AH$11,Предпосылки!$I$205,),0))*IFERROR(INDEX(AH$10:AH$11,Предпосылки!$I$205,),0),AH144/(1+IFERROR(INDEX(AH$10:AH$11,Предпосылки!$I$206,),0))*IFERROR(INDEX(AH$10:AH$11,Предпосылки!$I$206,),0),AH167/(1+IFERROR(INDEX(AH$10:AH$11,Предпосылки!$I$207,),0))*IFERROR(INDEX(AH$10:AH$11,Предпосылки!$I$207,),0),AH190/(1+IFERROR(INDEX(AH$10:AH$11,Предпосылки!$I$208,),0))*IFERROR(INDEX(AH$10:AH$11,Предпосылки!$I$208,),0),AH213/(1+IFERROR(INDEX(AH$10:AH$11,Предпосылки!$I$209,),0))*IFERROR(INDEX(AH$10:AH$11,Предпосылки!$I$209,),0),AH236/(1+IFERROR(INDEX(AH$10:AH$11,Предпосылки!$I$210,),0))*IFERROR(INDEX(AH$10:AH$11,Предпосылки!$I$210,),0),AH259/(1+IFERROR(INDEX(AH$10:AH$11,Предпосылки!$I$211,),0))*IFERROR(INDEX(AH$10:AH$11,Предпосылки!$I$211,),0),AH282/(1+IFERROR(INDEX(AH$10:AH$11,Предпосылки!$I$212,),0))*IFERROR(INDEX(AH$10:AH$11,Предпосылки!$I$212,),0),AH305/(1+IFERROR(INDEX(AH$10:AH$11,Предпосылки!$I$213,),0))*IFERROR(INDEX(AH$10:AH$11,Предпосылки!$I$213,),0),AH328/(1+IFERROR(INDEX(AH$10:AH$11,Предпосылки!$I$214,),0))*IFERROR(INDEX(AH$10:AH$11,Предпосылки!$I$214,),0),AH351/(1+IFERROR(INDEX(AH$10:AH$11,Предпосылки!$I$215,),0))*IFERROR(INDEX(AH$10:AH$11,Предпосылки!$I$215,),0),AH374/(1+IFERROR(INDEX(AH$10:AH$11,Предпосылки!$I$216,),0))*IFERROR(INDEX(AH$10:AH$11,Предпосылки!$I$216,),0),AH397/(1+IFERROR(INDEX(AH$10:AH$11,Предпосылки!$I$217,),0))*IFERROR(INDEX(AH$10:AH$11,Предпосылки!$I$217,),0),AH420/(1+IFERROR(INDEX(AH$10:AH$11,Предпосылки!$I$218,),0))*IFERROR(INDEX(AH$10:AH$11,Предпосылки!$I$218,),0),AH443/(1+IFERROR(INDEX(AH$10:AH$11,Предпосылки!$I$219,),0))*IFERROR(INDEX(AH$10:AH$11,Предпосылки!$I$219,),0),AH466/(1+IFERROR(INDEX(AH$10:AH$11,Предпосылки!$I$220,),0))*IFERROR(INDEX(AH$10:AH$11,Предпосылки!$I$220,),0))</f>
        <v>0</v>
      </c>
      <c s="125">
        <f>SUM(AI29/(1+IFERROR(INDEX(AI$10:AI$11,Предпосылки!$I$201,),0))*IFERROR(INDEX(AI$10:AI$11,Предпосылки!$I$201,),0),AI52/(1+IFERROR(INDEX(AI$10:AI$11,Предпосылки!$I$202,),0))*IFERROR(INDEX(AI$10:AI$11,Предпосылки!$I$202,),0),AI75/(1+IFERROR(INDEX(AI$10:AI$11,Предпосылки!$I$203,),0))*IFERROR(INDEX(AI$10:AI$11,Предпосылки!$I$203,),0),AI98/(1+IFERROR(INDEX(AI$10:AI$11,Предпосылки!$I$204,),0))*IFERROR(INDEX(AI$10:AI$11,Предпосылки!$I$204,),0),AI121/(1+IFERROR(INDEX(AI$10:AI$11,Предпосылки!$I$205,),0))*IFERROR(INDEX(AI$10:AI$11,Предпосылки!$I$205,),0),AI144/(1+IFERROR(INDEX(AI$10:AI$11,Предпосылки!$I$206,),0))*IFERROR(INDEX(AI$10:AI$11,Предпосылки!$I$206,),0),AI167/(1+IFERROR(INDEX(AI$10:AI$11,Предпосылки!$I$207,),0))*IFERROR(INDEX(AI$10:AI$11,Предпосылки!$I$207,),0),AI190/(1+IFERROR(INDEX(AI$10:AI$11,Предпосылки!$I$208,),0))*IFERROR(INDEX(AI$10:AI$11,Предпосылки!$I$208,),0),AI213/(1+IFERROR(INDEX(AI$10:AI$11,Предпосылки!$I$209,),0))*IFERROR(INDEX(AI$10:AI$11,Предпосылки!$I$209,),0),AI236/(1+IFERROR(INDEX(AI$10:AI$11,Предпосылки!$I$210,),0))*IFERROR(INDEX(AI$10:AI$11,Предпосылки!$I$210,),0),AI259/(1+IFERROR(INDEX(AI$10:AI$11,Предпосылки!$I$211,),0))*IFERROR(INDEX(AI$10:AI$11,Предпосылки!$I$211,),0),AI282/(1+IFERROR(INDEX(AI$10:AI$11,Предпосылки!$I$212,),0))*IFERROR(INDEX(AI$10:AI$11,Предпосылки!$I$212,),0),AI305/(1+IFERROR(INDEX(AI$10:AI$11,Предпосылки!$I$213,),0))*IFERROR(INDEX(AI$10:AI$11,Предпосылки!$I$213,),0),AI328/(1+IFERROR(INDEX(AI$10:AI$11,Предпосылки!$I$214,),0))*IFERROR(INDEX(AI$10:AI$11,Предпосылки!$I$214,),0),AI351/(1+IFERROR(INDEX(AI$10:AI$11,Предпосылки!$I$215,),0))*IFERROR(INDEX(AI$10:AI$11,Предпосылки!$I$215,),0),AI374/(1+IFERROR(INDEX(AI$10:AI$11,Предпосылки!$I$216,),0))*IFERROR(INDEX(AI$10:AI$11,Предпосылки!$I$216,),0),AI397/(1+IFERROR(INDEX(AI$10:AI$11,Предпосылки!$I$217,),0))*IFERROR(INDEX(AI$10:AI$11,Предпосылки!$I$217,),0),AI420/(1+IFERROR(INDEX(AI$10:AI$11,Предпосылки!$I$218,),0))*IFERROR(INDEX(AI$10:AI$11,Предпосылки!$I$218,),0),AI443/(1+IFERROR(INDEX(AI$10:AI$11,Предпосылки!$I$219,),0))*IFERROR(INDEX(AI$10:AI$11,Предпосылки!$I$219,),0),AI466/(1+IFERROR(INDEX(AI$10:AI$11,Предпосылки!$I$220,),0))*IFERROR(INDEX(AI$10:AI$11,Предпосылки!$I$220,),0))</f>
        <v>0</v>
      </c>
      <c s="125">
        <f>SUM(AJ29/(1+IFERROR(INDEX(AJ$10:AJ$11,Предпосылки!$I$201,),0))*IFERROR(INDEX(AJ$10:AJ$11,Предпосылки!$I$201,),0),AJ52/(1+IFERROR(INDEX(AJ$10:AJ$11,Предпосылки!$I$202,),0))*IFERROR(INDEX(AJ$10:AJ$11,Предпосылки!$I$202,),0),AJ75/(1+IFERROR(INDEX(AJ$10:AJ$11,Предпосылки!$I$203,),0))*IFERROR(INDEX(AJ$10:AJ$11,Предпосылки!$I$203,),0),AJ98/(1+IFERROR(INDEX(AJ$10:AJ$11,Предпосылки!$I$204,),0))*IFERROR(INDEX(AJ$10:AJ$11,Предпосылки!$I$204,),0),AJ121/(1+IFERROR(INDEX(AJ$10:AJ$11,Предпосылки!$I$205,),0))*IFERROR(INDEX(AJ$10:AJ$11,Предпосылки!$I$205,),0),AJ144/(1+IFERROR(INDEX(AJ$10:AJ$11,Предпосылки!$I$206,),0))*IFERROR(INDEX(AJ$10:AJ$11,Предпосылки!$I$206,),0),AJ167/(1+IFERROR(INDEX(AJ$10:AJ$11,Предпосылки!$I$207,),0))*IFERROR(INDEX(AJ$10:AJ$11,Предпосылки!$I$207,),0),AJ190/(1+IFERROR(INDEX(AJ$10:AJ$11,Предпосылки!$I$208,),0))*IFERROR(INDEX(AJ$10:AJ$11,Предпосылки!$I$208,),0),AJ213/(1+IFERROR(INDEX(AJ$10:AJ$11,Предпосылки!$I$209,),0))*IFERROR(INDEX(AJ$10:AJ$11,Предпосылки!$I$209,),0),AJ236/(1+IFERROR(INDEX(AJ$10:AJ$11,Предпосылки!$I$210,),0))*IFERROR(INDEX(AJ$10:AJ$11,Предпосылки!$I$210,),0),AJ259/(1+IFERROR(INDEX(AJ$10:AJ$11,Предпосылки!$I$211,),0))*IFERROR(INDEX(AJ$10:AJ$11,Предпосылки!$I$211,),0),AJ282/(1+IFERROR(INDEX(AJ$10:AJ$11,Предпосылки!$I$212,),0))*IFERROR(INDEX(AJ$10:AJ$11,Предпосылки!$I$212,),0),AJ305/(1+IFERROR(INDEX(AJ$10:AJ$11,Предпосылки!$I$213,),0))*IFERROR(INDEX(AJ$10:AJ$11,Предпосылки!$I$213,),0),AJ328/(1+IFERROR(INDEX(AJ$10:AJ$11,Предпосылки!$I$214,),0))*IFERROR(INDEX(AJ$10:AJ$11,Предпосылки!$I$214,),0),AJ351/(1+IFERROR(INDEX(AJ$10:AJ$11,Предпосылки!$I$215,),0))*IFERROR(INDEX(AJ$10:AJ$11,Предпосылки!$I$215,),0),AJ374/(1+IFERROR(INDEX(AJ$10:AJ$11,Предпосылки!$I$216,),0))*IFERROR(INDEX(AJ$10:AJ$11,Предпосылки!$I$216,),0),AJ397/(1+IFERROR(INDEX(AJ$10:AJ$11,Предпосылки!$I$217,),0))*IFERROR(INDEX(AJ$10:AJ$11,Предпосылки!$I$217,),0),AJ420/(1+IFERROR(INDEX(AJ$10:AJ$11,Предпосылки!$I$218,),0))*IFERROR(INDEX(AJ$10:AJ$11,Предпосылки!$I$218,),0),AJ443/(1+IFERROR(INDEX(AJ$10:AJ$11,Предпосылки!$I$219,),0))*IFERROR(INDEX(AJ$10:AJ$11,Предпосылки!$I$219,),0),AJ466/(1+IFERROR(INDEX(AJ$10:AJ$11,Предпосылки!$I$220,),0))*IFERROR(INDEX(AJ$10:AJ$11,Предпосылки!$I$220,),0))</f>
        <v>0</v>
      </c>
      <c s="125">
        <f>SUM(AK29/(1+IFERROR(INDEX(AK$10:AK$11,Предпосылки!$I$201,),0))*IFERROR(INDEX(AK$10:AK$11,Предпосылки!$I$201,),0),AK52/(1+IFERROR(INDEX(AK$10:AK$11,Предпосылки!$I$202,),0))*IFERROR(INDEX(AK$10:AK$11,Предпосылки!$I$202,),0),AK75/(1+IFERROR(INDEX(AK$10:AK$11,Предпосылки!$I$203,),0))*IFERROR(INDEX(AK$10:AK$11,Предпосылки!$I$203,),0),AK98/(1+IFERROR(INDEX(AK$10:AK$11,Предпосылки!$I$204,),0))*IFERROR(INDEX(AK$10:AK$11,Предпосылки!$I$204,),0),AK121/(1+IFERROR(INDEX(AK$10:AK$11,Предпосылки!$I$205,),0))*IFERROR(INDEX(AK$10:AK$11,Предпосылки!$I$205,),0),AK144/(1+IFERROR(INDEX(AK$10:AK$11,Предпосылки!$I$206,),0))*IFERROR(INDEX(AK$10:AK$11,Предпосылки!$I$206,),0),AK167/(1+IFERROR(INDEX(AK$10:AK$11,Предпосылки!$I$207,),0))*IFERROR(INDEX(AK$10:AK$11,Предпосылки!$I$207,),0),AK190/(1+IFERROR(INDEX(AK$10:AK$11,Предпосылки!$I$208,),0))*IFERROR(INDEX(AK$10:AK$11,Предпосылки!$I$208,),0),AK213/(1+IFERROR(INDEX(AK$10:AK$11,Предпосылки!$I$209,),0))*IFERROR(INDEX(AK$10:AK$11,Предпосылки!$I$209,),0),AK236/(1+IFERROR(INDEX(AK$10:AK$11,Предпосылки!$I$210,),0))*IFERROR(INDEX(AK$10:AK$11,Предпосылки!$I$210,),0),AK259/(1+IFERROR(INDEX(AK$10:AK$11,Предпосылки!$I$211,),0))*IFERROR(INDEX(AK$10:AK$11,Предпосылки!$I$211,),0),AK282/(1+IFERROR(INDEX(AK$10:AK$11,Предпосылки!$I$212,),0))*IFERROR(INDEX(AK$10:AK$11,Предпосылки!$I$212,),0),AK305/(1+IFERROR(INDEX(AK$10:AK$11,Предпосылки!$I$213,),0))*IFERROR(INDEX(AK$10:AK$11,Предпосылки!$I$213,),0),AK328/(1+IFERROR(INDEX(AK$10:AK$11,Предпосылки!$I$214,),0))*IFERROR(INDEX(AK$10:AK$11,Предпосылки!$I$214,),0),AK351/(1+IFERROR(INDEX(AK$10:AK$11,Предпосылки!$I$215,),0))*IFERROR(INDEX(AK$10:AK$11,Предпосылки!$I$215,),0),AK374/(1+IFERROR(INDEX(AK$10:AK$11,Предпосылки!$I$216,),0))*IFERROR(INDEX(AK$10:AK$11,Предпосылки!$I$216,),0),AK397/(1+IFERROR(INDEX(AK$10:AK$11,Предпосылки!$I$217,),0))*IFERROR(INDEX(AK$10:AK$11,Предпосылки!$I$217,),0),AK420/(1+IFERROR(INDEX(AK$10:AK$11,Предпосылки!$I$218,),0))*IFERROR(INDEX(AK$10:AK$11,Предпосылки!$I$218,),0),AK443/(1+IFERROR(INDEX(AK$10:AK$11,Предпосылки!$I$219,),0))*IFERROR(INDEX(AK$10:AK$11,Предпосылки!$I$219,),0),AK466/(1+IFERROR(INDEX(AK$10:AK$11,Предпосылки!$I$220,),0))*IFERROR(INDEX(AK$10:AK$11,Предпосылки!$I$220,),0))</f>
        <v>0</v>
      </c>
      <c s="125">
        <f>SUM(AL29/(1+IFERROR(INDEX(AL$10:AL$11,Предпосылки!$I$201,),0))*IFERROR(INDEX(AL$10:AL$11,Предпосылки!$I$201,),0),AL52/(1+IFERROR(INDEX(AL$10:AL$11,Предпосылки!$I$202,),0))*IFERROR(INDEX(AL$10:AL$11,Предпосылки!$I$202,),0),AL75/(1+IFERROR(INDEX(AL$10:AL$11,Предпосылки!$I$203,),0))*IFERROR(INDEX(AL$10:AL$11,Предпосылки!$I$203,),0),AL98/(1+IFERROR(INDEX(AL$10:AL$11,Предпосылки!$I$204,),0))*IFERROR(INDEX(AL$10:AL$11,Предпосылки!$I$204,),0),AL121/(1+IFERROR(INDEX(AL$10:AL$11,Предпосылки!$I$205,),0))*IFERROR(INDEX(AL$10:AL$11,Предпосылки!$I$205,),0),AL144/(1+IFERROR(INDEX(AL$10:AL$11,Предпосылки!$I$206,),0))*IFERROR(INDEX(AL$10:AL$11,Предпосылки!$I$206,),0),AL167/(1+IFERROR(INDEX(AL$10:AL$11,Предпосылки!$I$207,),0))*IFERROR(INDEX(AL$10:AL$11,Предпосылки!$I$207,),0),AL190/(1+IFERROR(INDEX(AL$10:AL$11,Предпосылки!$I$208,),0))*IFERROR(INDEX(AL$10:AL$11,Предпосылки!$I$208,),0),AL213/(1+IFERROR(INDEX(AL$10:AL$11,Предпосылки!$I$209,),0))*IFERROR(INDEX(AL$10:AL$11,Предпосылки!$I$209,),0),AL236/(1+IFERROR(INDEX(AL$10:AL$11,Предпосылки!$I$210,),0))*IFERROR(INDEX(AL$10:AL$11,Предпосылки!$I$210,),0),AL259/(1+IFERROR(INDEX(AL$10:AL$11,Предпосылки!$I$211,),0))*IFERROR(INDEX(AL$10:AL$11,Предпосылки!$I$211,),0),AL282/(1+IFERROR(INDEX(AL$10:AL$11,Предпосылки!$I$212,),0))*IFERROR(INDEX(AL$10:AL$11,Предпосылки!$I$212,),0),AL305/(1+IFERROR(INDEX(AL$10:AL$11,Предпосылки!$I$213,),0))*IFERROR(INDEX(AL$10:AL$11,Предпосылки!$I$213,),0),AL328/(1+IFERROR(INDEX(AL$10:AL$11,Предпосылки!$I$214,),0))*IFERROR(INDEX(AL$10:AL$11,Предпосылки!$I$214,),0),AL351/(1+IFERROR(INDEX(AL$10:AL$11,Предпосылки!$I$215,),0))*IFERROR(INDEX(AL$10:AL$11,Предпосылки!$I$215,),0),AL374/(1+IFERROR(INDEX(AL$10:AL$11,Предпосылки!$I$216,),0))*IFERROR(INDEX(AL$10:AL$11,Предпосылки!$I$216,),0),AL397/(1+IFERROR(INDEX(AL$10:AL$11,Предпосылки!$I$217,),0))*IFERROR(INDEX(AL$10:AL$11,Предпосылки!$I$217,),0),AL420/(1+IFERROR(INDEX(AL$10:AL$11,Предпосылки!$I$218,),0))*IFERROR(INDEX(AL$10:AL$11,Предпосылки!$I$218,),0),AL443/(1+IFERROR(INDEX(AL$10:AL$11,Предпосылки!$I$219,),0))*IFERROR(INDEX(AL$10:AL$11,Предпосылки!$I$219,),0),AL466/(1+IFERROR(INDEX(AL$10:AL$11,Предпосылки!$I$220,),0))*IFERROR(INDEX(AL$10:AL$11,Предпосылки!$I$220,),0))</f>
        <v>0</v>
      </c>
      <c s="125">
        <f>SUM(AM29/(1+IFERROR(INDEX(AM$10:AM$11,Предпосылки!$I$201,),0))*IFERROR(INDEX(AM$10:AM$11,Предпосылки!$I$201,),0),AM52/(1+IFERROR(INDEX(AM$10:AM$11,Предпосылки!$I$202,),0))*IFERROR(INDEX(AM$10:AM$11,Предпосылки!$I$202,),0),AM75/(1+IFERROR(INDEX(AM$10:AM$11,Предпосылки!$I$203,),0))*IFERROR(INDEX(AM$10:AM$11,Предпосылки!$I$203,),0),AM98/(1+IFERROR(INDEX(AM$10:AM$11,Предпосылки!$I$204,),0))*IFERROR(INDEX(AM$10:AM$11,Предпосылки!$I$204,),0),AM121/(1+IFERROR(INDEX(AM$10:AM$11,Предпосылки!$I$205,),0))*IFERROR(INDEX(AM$10:AM$11,Предпосылки!$I$205,),0),AM144/(1+IFERROR(INDEX(AM$10:AM$11,Предпосылки!$I$206,),0))*IFERROR(INDEX(AM$10:AM$11,Предпосылки!$I$206,),0),AM167/(1+IFERROR(INDEX(AM$10:AM$11,Предпосылки!$I$207,),0))*IFERROR(INDEX(AM$10:AM$11,Предпосылки!$I$207,),0),AM190/(1+IFERROR(INDEX(AM$10:AM$11,Предпосылки!$I$208,),0))*IFERROR(INDEX(AM$10:AM$11,Предпосылки!$I$208,),0),AM213/(1+IFERROR(INDEX(AM$10:AM$11,Предпосылки!$I$209,),0))*IFERROR(INDEX(AM$10:AM$11,Предпосылки!$I$209,),0),AM236/(1+IFERROR(INDEX(AM$10:AM$11,Предпосылки!$I$210,),0))*IFERROR(INDEX(AM$10:AM$11,Предпосылки!$I$210,),0),AM259/(1+IFERROR(INDEX(AM$10:AM$11,Предпосылки!$I$211,),0))*IFERROR(INDEX(AM$10:AM$11,Предпосылки!$I$211,),0),AM282/(1+IFERROR(INDEX(AM$10:AM$11,Предпосылки!$I$212,),0))*IFERROR(INDEX(AM$10:AM$11,Предпосылки!$I$212,),0),AM305/(1+IFERROR(INDEX(AM$10:AM$11,Предпосылки!$I$213,),0))*IFERROR(INDEX(AM$10:AM$11,Предпосылки!$I$213,),0),AM328/(1+IFERROR(INDEX(AM$10:AM$11,Предпосылки!$I$214,),0))*IFERROR(INDEX(AM$10:AM$11,Предпосылки!$I$214,),0),AM351/(1+IFERROR(INDEX(AM$10:AM$11,Предпосылки!$I$215,),0))*IFERROR(INDEX(AM$10:AM$11,Предпосылки!$I$215,),0),AM374/(1+IFERROR(INDEX(AM$10:AM$11,Предпосылки!$I$216,),0))*IFERROR(INDEX(AM$10:AM$11,Предпосылки!$I$216,),0),AM397/(1+IFERROR(INDEX(AM$10:AM$11,Предпосылки!$I$217,),0))*IFERROR(INDEX(AM$10:AM$11,Предпосылки!$I$217,),0),AM420/(1+IFERROR(INDEX(AM$10:AM$11,Предпосылки!$I$218,),0))*IFERROR(INDEX(AM$10:AM$11,Предпосылки!$I$218,),0),AM443/(1+IFERROR(INDEX(AM$10:AM$11,Предпосылки!$I$219,),0))*IFERROR(INDEX(AM$10:AM$11,Предпосылки!$I$219,),0),AM466/(1+IFERROR(INDEX(AM$10:AM$11,Предпосылки!$I$220,),0))*IFERROR(INDEX(AM$10:AM$11,Предпосылки!$I$220,),0))</f>
        <v>0</v>
      </c>
      <c s="125">
        <f>SUM(AN29/(1+IFERROR(INDEX(AN$10:AN$11,Предпосылки!$I$201,),0))*IFERROR(INDEX(AN$10:AN$11,Предпосылки!$I$201,),0),AN52/(1+IFERROR(INDEX(AN$10:AN$11,Предпосылки!$I$202,),0))*IFERROR(INDEX(AN$10:AN$11,Предпосылки!$I$202,),0),AN75/(1+IFERROR(INDEX(AN$10:AN$11,Предпосылки!$I$203,),0))*IFERROR(INDEX(AN$10:AN$11,Предпосылки!$I$203,),0),AN98/(1+IFERROR(INDEX(AN$10:AN$11,Предпосылки!$I$204,),0))*IFERROR(INDEX(AN$10:AN$11,Предпосылки!$I$204,),0),AN121/(1+IFERROR(INDEX(AN$10:AN$11,Предпосылки!$I$205,),0))*IFERROR(INDEX(AN$10:AN$11,Предпосылки!$I$205,),0),AN144/(1+IFERROR(INDEX(AN$10:AN$11,Предпосылки!$I$206,),0))*IFERROR(INDEX(AN$10:AN$11,Предпосылки!$I$206,),0),AN167/(1+IFERROR(INDEX(AN$10:AN$11,Предпосылки!$I$207,),0))*IFERROR(INDEX(AN$10:AN$11,Предпосылки!$I$207,),0),AN190/(1+IFERROR(INDEX(AN$10:AN$11,Предпосылки!$I$208,),0))*IFERROR(INDEX(AN$10:AN$11,Предпосылки!$I$208,),0),AN213/(1+IFERROR(INDEX(AN$10:AN$11,Предпосылки!$I$209,),0))*IFERROR(INDEX(AN$10:AN$11,Предпосылки!$I$209,),0),AN236/(1+IFERROR(INDEX(AN$10:AN$11,Предпосылки!$I$210,),0))*IFERROR(INDEX(AN$10:AN$11,Предпосылки!$I$210,),0),AN259/(1+IFERROR(INDEX(AN$10:AN$11,Предпосылки!$I$211,),0))*IFERROR(INDEX(AN$10:AN$11,Предпосылки!$I$211,),0),AN282/(1+IFERROR(INDEX(AN$10:AN$11,Предпосылки!$I$212,),0))*IFERROR(INDEX(AN$10:AN$11,Предпосылки!$I$212,),0),AN305/(1+IFERROR(INDEX(AN$10:AN$11,Предпосылки!$I$213,),0))*IFERROR(INDEX(AN$10:AN$11,Предпосылки!$I$213,),0),AN328/(1+IFERROR(INDEX(AN$10:AN$11,Предпосылки!$I$214,),0))*IFERROR(INDEX(AN$10:AN$11,Предпосылки!$I$214,),0),AN351/(1+IFERROR(INDEX(AN$10:AN$11,Предпосылки!$I$215,),0))*IFERROR(INDEX(AN$10:AN$11,Предпосылки!$I$215,),0),AN374/(1+IFERROR(INDEX(AN$10:AN$11,Предпосылки!$I$216,),0))*IFERROR(INDEX(AN$10:AN$11,Предпосылки!$I$216,),0),AN397/(1+IFERROR(INDEX(AN$10:AN$11,Предпосылки!$I$217,),0))*IFERROR(INDEX(AN$10:AN$11,Предпосылки!$I$217,),0),AN420/(1+IFERROR(INDEX(AN$10:AN$11,Предпосылки!$I$218,),0))*IFERROR(INDEX(AN$10:AN$11,Предпосылки!$I$218,),0),AN443/(1+IFERROR(INDEX(AN$10:AN$11,Предпосылки!$I$219,),0))*IFERROR(INDEX(AN$10:AN$11,Предпосылки!$I$219,),0),AN466/(1+IFERROR(INDEX(AN$10:AN$11,Предпосылки!$I$220,),0))*IFERROR(INDEX(AN$10:AN$11,Предпосылки!$I$220,),0))</f>
        <v>0</v>
      </c>
      <c s="125">
        <f>SUM(AO29/(1+IFERROR(INDEX(AO$10:AO$11,Предпосылки!$I$201,),0))*IFERROR(INDEX(AO$10:AO$11,Предпосылки!$I$201,),0),AO52/(1+IFERROR(INDEX(AO$10:AO$11,Предпосылки!$I$202,),0))*IFERROR(INDEX(AO$10:AO$11,Предпосылки!$I$202,),0),AO75/(1+IFERROR(INDEX(AO$10:AO$11,Предпосылки!$I$203,),0))*IFERROR(INDEX(AO$10:AO$11,Предпосылки!$I$203,),0),AO98/(1+IFERROR(INDEX(AO$10:AO$11,Предпосылки!$I$204,),0))*IFERROR(INDEX(AO$10:AO$11,Предпосылки!$I$204,),0),AO121/(1+IFERROR(INDEX(AO$10:AO$11,Предпосылки!$I$205,),0))*IFERROR(INDEX(AO$10:AO$11,Предпосылки!$I$205,),0),AO144/(1+IFERROR(INDEX(AO$10:AO$11,Предпосылки!$I$206,),0))*IFERROR(INDEX(AO$10:AO$11,Предпосылки!$I$206,),0),AO167/(1+IFERROR(INDEX(AO$10:AO$11,Предпосылки!$I$207,),0))*IFERROR(INDEX(AO$10:AO$11,Предпосылки!$I$207,),0),AO190/(1+IFERROR(INDEX(AO$10:AO$11,Предпосылки!$I$208,),0))*IFERROR(INDEX(AO$10:AO$11,Предпосылки!$I$208,),0),AO213/(1+IFERROR(INDEX(AO$10:AO$11,Предпосылки!$I$209,),0))*IFERROR(INDEX(AO$10:AO$11,Предпосылки!$I$209,),0),AO236/(1+IFERROR(INDEX(AO$10:AO$11,Предпосылки!$I$210,),0))*IFERROR(INDEX(AO$10:AO$11,Предпосылки!$I$210,),0),AO259/(1+IFERROR(INDEX(AO$10:AO$11,Предпосылки!$I$211,),0))*IFERROR(INDEX(AO$10:AO$11,Предпосылки!$I$211,),0),AO282/(1+IFERROR(INDEX(AO$10:AO$11,Предпосылки!$I$212,),0))*IFERROR(INDEX(AO$10:AO$11,Предпосылки!$I$212,),0),AO305/(1+IFERROR(INDEX(AO$10:AO$11,Предпосылки!$I$213,),0))*IFERROR(INDEX(AO$10:AO$11,Предпосылки!$I$213,),0),AO328/(1+IFERROR(INDEX(AO$10:AO$11,Предпосылки!$I$214,),0))*IFERROR(INDEX(AO$10:AO$11,Предпосылки!$I$214,),0),AO351/(1+IFERROR(INDEX(AO$10:AO$11,Предпосылки!$I$215,),0))*IFERROR(INDEX(AO$10:AO$11,Предпосылки!$I$215,),0),AO374/(1+IFERROR(INDEX(AO$10:AO$11,Предпосылки!$I$216,),0))*IFERROR(INDEX(AO$10:AO$11,Предпосылки!$I$216,),0),AO397/(1+IFERROR(INDEX(AO$10:AO$11,Предпосылки!$I$217,),0))*IFERROR(INDEX(AO$10:AO$11,Предпосылки!$I$217,),0),AO420/(1+IFERROR(INDEX(AO$10:AO$11,Предпосылки!$I$218,),0))*IFERROR(INDEX(AO$10:AO$11,Предпосылки!$I$218,),0),AO443/(1+IFERROR(INDEX(AO$10:AO$11,Предпосылки!$I$219,),0))*IFERROR(INDEX(AO$10:AO$11,Предпосылки!$I$219,),0),AO466/(1+IFERROR(INDEX(AO$10:AO$11,Предпосылки!$I$220,),0))*IFERROR(INDEX(AO$10:AO$11,Предпосылки!$I$220,),0))</f>
        <v>0</v>
      </c>
      <c s="125">
        <f>SUM(AP29/(1+IFERROR(INDEX(AP$10:AP$11,Предпосылки!$I$201,),0))*IFERROR(INDEX(AP$10:AP$11,Предпосылки!$I$201,),0),AP52/(1+IFERROR(INDEX(AP$10:AP$11,Предпосылки!$I$202,),0))*IFERROR(INDEX(AP$10:AP$11,Предпосылки!$I$202,),0),AP75/(1+IFERROR(INDEX(AP$10:AP$11,Предпосылки!$I$203,),0))*IFERROR(INDEX(AP$10:AP$11,Предпосылки!$I$203,),0),AP98/(1+IFERROR(INDEX(AP$10:AP$11,Предпосылки!$I$204,),0))*IFERROR(INDEX(AP$10:AP$11,Предпосылки!$I$204,),0),AP121/(1+IFERROR(INDEX(AP$10:AP$11,Предпосылки!$I$205,),0))*IFERROR(INDEX(AP$10:AP$11,Предпосылки!$I$205,),0),AP144/(1+IFERROR(INDEX(AP$10:AP$11,Предпосылки!$I$206,),0))*IFERROR(INDEX(AP$10:AP$11,Предпосылки!$I$206,),0),AP167/(1+IFERROR(INDEX(AP$10:AP$11,Предпосылки!$I$207,),0))*IFERROR(INDEX(AP$10:AP$11,Предпосылки!$I$207,),0),AP190/(1+IFERROR(INDEX(AP$10:AP$11,Предпосылки!$I$208,),0))*IFERROR(INDEX(AP$10:AP$11,Предпосылки!$I$208,),0),AP213/(1+IFERROR(INDEX(AP$10:AP$11,Предпосылки!$I$209,),0))*IFERROR(INDEX(AP$10:AP$11,Предпосылки!$I$209,),0),AP236/(1+IFERROR(INDEX(AP$10:AP$11,Предпосылки!$I$210,),0))*IFERROR(INDEX(AP$10:AP$11,Предпосылки!$I$210,),0),AP259/(1+IFERROR(INDEX(AP$10:AP$11,Предпосылки!$I$211,),0))*IFERROR(INDEX(AP$10:AP$11,Предпосылки!$I$211,),0),AP282/(1+IFERROR(INDEX(AP$10:AP$11,Предпосылки!$I$212,),0))*IFERROR(INDEX(AP$10:AP$11,Предпосылки!$I$212,),0),AP305/(1+IFERROR(INDEX(AP$10:AP$11,Предпосылки!$I$213,),0))*IFERROR(INDEX(AP$10:AP$11,Предпосылки!$I$213,),0),AP328/(1+IFERROR(INDEX(AP$10:AP$11,Предпосылки!$I$214,),0))*IFERROR(INDEX(AP$10:AP$11,Предпосылки!$I$214,),0),AP351/(1+IFERROR(INDEX(AP$10:AP$11,Предпосылки!$I$215,),0))*IFERROR(INDEX(AP$10:AP$11,Предпосылки!$I$215,),0),AP374/(1+IFERROR(INDEX(AP$10:AP$11,Предпосылки!$I$216,),0))*IFERROR(INDEX(AP$10:AP$11,Предпосылки!$I$216,),0),AP397/(1+IFERROR(INDEX(AP$10:AP$11,Предпосылки!$I$217,),0))*IFERROR(INDEX(AP$10:AP$11,Предпосылки!$I$217,),0),AP420/(1+IFERROR(INDEX(AP$10:AP$11,Предпосылки!$I$218,),0))*IFERROR(INDEX(AP$10:AP$11,Предпосылки!$I$218,),0),AP443/(1+IFERROR(INDEX(AP$10:AP$11,Предпосылки!$I$219,),0))*IFERROR(INDEX(AP$10:AP$11,Предпосылки!$I$219,),0),AP466/(1+IFERROR(INDEX(AP$10:AP$11,Предпосылки!$I$220,),0))*IFERROR(INDEX(AP$10:AP$11,Предпосылки!$I$220,),0))</f>
        <v>0</v>
      </c>
      <c s="125">
        <f>SUM(AQ29/(1+IFERROR(INDEX(AQ$10:AQ$11,Предпосылки!$I$201,),0))*IFERROR(INDEX(AQ$10:AQ$11,Предпосылки!$I$201,),0),AQ52/(1+IFERROR(INDEX(AQ$10:AQ$11,Предпосылки!$I$202,),0))*IFERROR(INDEX(AQ$10:AQ$11,Предпосылки!$I$202,),0),AQ75/(1+IFERROR(INDEX(AQ$10:AQ$11,Предпосылки!$I$203,),0))*IFERROR(INDEX(AQ$10:AQ$11,Предпосылки!$I$203,),0),AQ98/(1+IFERROR(INDEX(AQ$10:AQ$11,Предпосылки!$I$204,),0))*IFERROR(INDEX(AQ$10:AQ$11,Предпосылки!$I$204,),0),AQ121/(1+IFERROR(INDEX(AQ$10:AQ$11,Предпосылки!$I$205,),0))*IFERROR(INDEX(AQ$10:AQ$11,Предпосылки!$I$205,),0),AQ144/(1+IFERROR(INDEX(AQ$10:AQ$11,Предпосылки!$I$206,),0))*IFERROR(INDEX(AQ$10:AQ$11,Предпосылки!$I$206,),0),AQ167/(1+IFERROR(INDEX(AQ$10:AQ$11,Предпосылки!$I$207,),0))*IFERROR(INDEX(AQ$10:AQ$11,Предпосылки!$I$207,),0),AQ190/(1+IFERROR(INDEX(AQ$10:AQ$11,Предпосылки!$I$208,),0))*IFERROR(INDEX(AQ$10:AQ$11,Предпосылки!$I$208,),0),AQ213/(1+IFERROR(INDEX(AQ$10:AQ$11,Предпосылки!$I$209,),0))*IFERROR(INDEX(AQ$10:AQ$11,Предпосылки!$I$209,),0),AQ236/(1+IFERROR(INDEX(AQ$10:AQ$11,Предпосылки!$I$210,),0))*IFERROR(INDEX(AQ$10:AQ$11,Предпосылки!$I$210,),0),AQ259/(1+IFERROR(INDEX(AQ$10:AQ$11,Предпосылки!$I$211,),0))*IFERROR(INDEX(AQ$10:AQ$11,Предпосылки!$I$211,),0),AQ282/(1+IFERROR(INDEX(AQ$10:AQ$11,Предпосылки!$I$212,),0))*IFERROR(INDEX(AQ$10:AQ$11,Предпосылки!$I$212,),0),AQ305/(1+IFERROR(INDEX(AQ$10:AQ$11,Предпосылки!$I$213,),0))*IFERROR(INDEX(AQ$10:AQ$11,Предпосылки!$I$213,),0),AQ328/(1+IFERROR(INDEX(AQ$10:AQ$11,Предпосылки!$I$214,),0))*IFERROR(INDEX(AQ$10:AQ$11,Предпосылки!$I$214,),0),AQ351/(1+IFERROR(INDEX(AQ$10:AQ$11,Предпосылки!$I$215,),0))*IFERROR(INDEX(AQ$10:AQ$11,Предпосылки!$I$215,),0),AQ374/(1+IFERROR(INDEX(AQ$10:AQ$11,Предпосылки!$I$216,),0))*IFERROR(INDEX(AQ$10:AQ$11,Предпосылки!$I$216,),0),AQ397/(1+IFERROR(INDEX(AQ$10:AQ$11,Предпосылки!$I$217,),0))*IFERROR(INDEX(AQ$10:AQ$11,Предпосылки!$I$217,),0),AQ420/(1+IFERROR(INDEX(AQ$10:AQ$11,Предпосылки!$I$218,),0))*IFERROR(INDEX(AQ$10:AQ$11,Предпосылки!$I$218,),0),AQ443/(1+IFERROR(INDEX(AQ$10:AQ$11,Предпосылки!$I$219,),0))*IFERROR(INDEX(AQ$10:AQ$11,Предпосылки!$I$219,),0),AQ466/(1+IFERROR(INDEX(AQ$10:AQ$11,Предпосылки!$I$220,),0))*IFERROR(INDEX(AQ$10:AQ$11,Предпосылки!$I$220,),0))</f>
        <v>0</v>
      </c>
      <c s="125">
        <f>SUM(AR29/(1+IFERROR(INDEX(AR$10:AR$11,Предпосылки!$I$201,),0))*IFERROR(INDEX(AR$10:AR$11,Предпосылки!$I$201,),0),AR52/(1+IFERROR(INDEX(AR$10:AR$11,Предпосылки!$I$202,),0))*IFERROR(INDEX(AR$10:AR$11,Предпосылки!$I$202,),0),AR75/(1+IFERROR(INDEX(AR$10:AR$11,Предпосылки!$I$203,),0))*IFERROR(INDEX(AR$10:AR$11,Предпосылки!$I$203,),0),AR98/(1+IFERROR(INDEX(AR$10:AR$11,Предпосылки!$I$204,),0))*IFERROR(INDEX(AR$10:AR$11,Предпосылки!$I$204,),0),AR121/(1+IFERROR(INDEX(AR$10:AR$11,Предпосылки!$I$205,),0))*IFERROR(INDEX(AR$10:AR$11,Предпосылки!$I$205,),0),AR144/(1+IFERROR(INDEX(AR$10:AR$11,Предпосылки!$I$206,),0))*IFERROR(INDEX(AR$10:AR$11,Предпосылки!$I$206,),0),AR167/(1+IFERROR(INDEX(AR$10:AR$11,Предпосылки!$I$207,),0))*IFERROR(INDEX(AR$10:AR$11,Предпосылки!$I$207,),0),AR190/(1+IFERROR(INDEX(AR$10:AR$11,Предпосылки!$I$208,),0))*IFERROR(INDEX(AR$10:AR$11,Предпосылки!$I$208,),0),AR213/(1+IFERROR(INDEX(AR$10:AR$11,Предпосылки!$I$209,),0))*IFERROR(INDEX(AR$10:AR$11,Предпосылки!$I$209,),0),AR236/(1+IFERROR(INDEX(AR$10:AR$11,Предпосылки!$I$210,),0))*IFERROR(INDEX(AR$10:AR$11,Предпосылки!$I$210,),0),AR259/(1+IFERROR(INDEX(AR$10:AR$11,Предпосылки!$I$211,),0))*IFERROR(INDEX(AR$10:AR$11,Предпосылки!$I$211,),0),AR282/(1+IFERROR(INDEX(AR$10:AR$11,Предпосылки!$I$212,),0))*IFERROR(INDEX(AR$10:AR$11,Предпосылки!$I$212,),0),AR305/(1+IFERROR(INDEX(AR$10:AR$11,Предпосылки!$I$213,),0))*IFERROR(INDEX(AR$10:AR$11,Предпосылки!$I$213,),0),AR328/(1+IFERROR(INDEX(AR$10:AR$11,Предпосылки!$I$214,),0))*IFERROR(INDEX(AR$10:AR$11,Предпосылки!$I$214,),0),AR351/(1+IFERROR(INDEX(AR$10:AR$11,Предпосылки!$I$215,),0))*IFERROR(INDEX(AR$10:AR$11,Предпосылки!$I$215,),0),AR374/(1+IFERROR(INDEX(AR$10:AR$11,Предпосылки!$I$216,),0))*IFERROR(INDEX(AR$10:AR$11,Предпосылки!$I$216,),0),AR397/(1+IFERROR(INDEX(AR$10:AR$11,Предпосылки!$I$217,),0))*IFERROR(INDEX(AR$10:AR$11,Предпосылки!$I$217,),0),AR420/(1+IFERROR(INDEX(AR$10:AR$11,Предпосылки!$I$218,),0))*IFERROR(INDEX(AR$10:AR$11,Предпосылки!$I$218,),0),AR443/(1+IFERROR(INDEX(AR$10:AR$11,Предпосылки!$I$219,),0))*IFERROR(INDEX(AR$10:AR$11,Предпосылки!$I$219,),0),AR466/(1+IFERROR(INDEX(AR$10:AR$11,Предпосылки!$I$220,),0))*IFERROR(INDEX(AR$10:AR$11,Предпосылки!$I$220,),0))</f>
        <v>0</v>
      </c>
      <c s="125">
        <f>SUM(AS29/(1+IFERROR(INDEX(AS$10:AS$11,Предпосылки!$I$201,),0))*IFERROR(INDEX(AS$10:AS$11,Предпосылки!$I$201,),0),AS52/(1+IFERROR(INDEX(AS$10:AS$11,Предпосылки!$I$202,),0))*IFERROR(INDEX(AS$10:AS$11,Предпосылки!$I$202,),0),AS75/(1+IFERROR(INDEX(AS$10:AS$11,Предпосылки!$I$203,),0))*IFERROR(INDEX(AS$10:AS$11,Предпосылки!$I$203,),0),AS98/(1+IFERROR(INDEX(AS$10:AS$11,Предпосылки!$I$204,),0))*IFERROR(INDEX(AS$10:AS$11,Предпосылки!$I$204,),0),AS121/(1+IFERROR(INDEX(AS$10:AS$11,Предпосылки!$I$205,),0))*IFERROR(INDEX(AS$10:AS$11,Предпосылки!$I$205,),0),AS144/(1+IFERROR(INDEX(AS$10:AS$11,Предпосылки!$I$206,),0))*IFERROR(INDEX(AS$10:AS$11,Предпосылки!$I$206,),0),AS167/(1+IFERROR(INDEX(AS$10:AS$11,Предпосылки!$I$207,),0))*IFERROR(INDEX(AS$10:AS$11,Предпосылки!$I$207,),0),AS190/(1+IFERROR(INDEX(AS$10:AS$11,Предпосылки!$I$208,),0))*IFERROR(INDEX(AS$10:AS$11,Предпосылки!$I$208,),0),AS213/(1+IFERROR(INDEX(AS$10:AS$11,Предпосылки!$I$209,),0))*IFERROR(INDEX(AS$10:AS$11,Предпосылки!$I$209,),0),AS236/(1+IFERROR(INDEX(AS$10:AS$11,Предпосылки!$I$210,),0))*IFERROR(INDEX(AS$10:AS$11,Предпосылки!$I$210,),0),AS259/(1+IFERROR(INDEX(AS$10:AS$11,Предпосылки!$I$211,),0))*IFERROR(INDEX(AS$10:AS$11,Предпосылки!$I$211,),0),AS282/(1+IFERROR(INDEX(AS$10:AS$11,Предпосылки!$I$212,),0))*IFERROR(INDEX(AS$10:AS$11,Предпосылки!$I$212,),0),AS305/(1+IFERROR(INDEX(AS$10:AS$11,Предпосылки!$I$213,),0))*IFERROR(INDEX(AS$10:AS$11,Предпосылки!$I$213,),0),AS328/(1+IFERROR(INDEX(AS$10:AS$11,Предпосылки!$I$214,),0))*IFERROR(INDEX(AS$10:AS$11,Предпосылки!$I$214,),0),AS351/(1+IFERROR(INDEX(AS$10:AS$11,Предпосылки!$I$215,),0))*IFERROR(INDEX(AS$10:AS$11,Предпосылки!$I$215,),0),AS374/(1+IFERROR(INDEX(AS$10:AS$11,Предпосылки!$I$216,),0))*IFERROR(INDEX(AS$10:AS$11,Предпосылки!$I$216,),0),AS397/(1+IFERROR(INDEX(AS$10:AS$11,Предпосылки!$I$217,),0))*IFERROR(INDEX(AS$10:AS$11,Предпосылки!$I$217,),0),AS420/(1+IFERROR(INDEX(AS$10:AS$11,Предпосылки!$I$218,),0))*IFERROR(INDEX(AS$10:AS$11,Предпосылки!$I$218,),0),AS443/(1+IFERROR(INDEX(AS$10:AS$11,Предпосылки!$I$219,),0))*IFERROR(INDEX(AS$10:AS$11,Предпосылки!$I$219,),0),AS466/(1+IFERROR(INDEX(AS$10:AS$11,Предпосылки!$I$220,),0))*IFERROR(INDEX(AS$10:AS$11,Предпосылки!$I$220,),0))</f>
        <v>0</v>
      </c>
      <c s="125">
        <f>SUM(AT29/(1+IFERROR(INDEX(AT$10:AT$11,Предпосылки!$I$201,),0))*IFERROR(INDEX(AT$10:AT$11,Предпосылки!$I$201,),0),AT52/(1+IFERROR(INDEX(AT$10:AT$11,Предпосылки!$I$202,),0))*IFERROR(INDEX(AT$10:AT$11,Предпосылки!$I$202,),0),AT75/(1+IFERROR(INDEX(AT$10:AT$11,Предпосылки!$I$203,),0))*IFERROR(INDEX(AT$10:AT$11,Предпосылки!$I$203,),0),AT98/(1+IFERROR(INDEX(AT$10:AT$11,Предпосылки!$I$204,),0))*IFERROR(INDEX(AT$10:AT$11,Предпосылки!$I$204,),0),AT121/(1+IFERROR(INDEX(AT$10:AT$11,Предпосылки!$I$205,),0))*IFERROR(INDEX(AT$10:AT$11,Предпосылки!$I$205,),0),AT144/(1+IFERROR(INDEX(AT$10:AT$11,Предпосылки!$I$206,),0))*IFERROR(INDEX(AT$10:AT$11,Предпосылки!$I$206,),0),AT167/(1+IFERROR(INDEX(AT$10:AT$11,Предпосылки!$I$207,),0))*IFERROR(INDEX(AT$10:AT$11,Предпосылки!$I$207,),0),AT190/(1+IFERROR(INDEX(AT$10:AT$11,Предпосылки!$I$208,),0))*IFERROR(INDEX(AT$10:AT$11,Предпосылки!$I$208,),0),AT213/(1+IFERROR(INDEX(AT$10:AT$11,Предпосылки!$I$209,),0))*IFERROR(INDEX(AT$10:AT$11,Предпосылки!$I$209,),0),AT236/(1+IFERROR(INDEX(AT$10:AT$11,Предпосылки!$I$210,),0))*IFERROR(INDEX(AT$10:AT$11,Предпосылки!$I$210,),0),AT259/(1+IFERROR(INDEX(AT$10:AT$11,Предпосылки!$I$211,),0))*IFERROR(INDEX(AT$10:AT$11,Предпосылки!$I$211,),0),AT282/(1+IFERROR(INDEX(AT$10:AT$11,Предпосылки!$I$212,),0))*IFERROR(INDEX(AT$10:AT$11,Предпосылки!$I$212,),0),AT305/(1+IFERROR(INDEX(AT$10:AT$11,Предпосылки!$I$213,),0))*IFERROR(INDEX(AT$10:AT$11,Предпосылки!$I$213,),0),AT328/(1+IFERROR(INDEX(AT$10:AT$11,Предпосылки!$I$214,),0))*IFERROR(INDEX(AT$10:AT$11,Предпосылки!$I$214,),0),AT351/(1+IFERROR(INDEX(AT$10:AT$11,Предпосылки!$I$215,),0))*IFERROR(INDEX(AT$10:AT$11,Предпосылки!$I$215,),0),AT374/(1+IFERROR(INDEX(AT$10:AT$11,Предпосылки!$I$216,),0))*IFERROR(INDEX(AT$10:AT$11,Предпосылки!$I$216,),0),AT397/(1+IFERROR(INDEX(AT$10:AT$11,Предпосылки!$I$217,),0))*IFERROR(INDEX(AT$10:AT$11,Предпосылки!$I$217,),0),AT420/(1+IFERROR(INDEX(AT$10:AT$11,Предпосылки!$I$218,),0))*IFERROR(INDEX(AT$10:AT$11,Предпосылки!$I$218,),0),AT443/(1+IFERROR(INDEX(AT$10:AT$11,Предпосылки!$I$219,),0))*IFERROR(INDEX(AT$10:AT$11,Предпосылки!$I$219,),0),AT466/(1+IFERROR(INDEX(AT$10:AT$11,Предпосылки!$I$220,),0))*IFERROR(INDEX(AT$10:AT$11,Предпосылки!$I$220,),0))</f>
        <v>0</v>
      </c>
      <c s="125">
        <f>SUM(AU29/(1+IFERROR(INDEX(AU$10:AU$11,Предпосылки!$I$201,),0))*IFERROR(INDEX(AU$10:AU$11,Предпосылки!$I$201,),0),AU52/(1+IFERROR(INDEX(AU$10:AU$11,Предпосылки!$I$202,),0))*IFERROR(INDEX(AU$10:AU$11,Предпосылки!$I$202,),0),AU75/(1+IFERROR(INDEX(AU$10:AU$11,Предпосылки!$I$203,),0))*IFERROR(INDEX(AU$10:AU$11,Предпосылки!$I$203,),0),AU98/(1+IFERROR(INDEX(AU$10:AU$11,Предпосылки!$I$204,),0))*IFERROR(INDEX(AU$10:AU$11,Предпосылки!$I$204,),0),AU121/(1+IFERROR(INDEX(AU$10:AU$11,Предпосылки!$I$205,),0))*IFERROR(INDEX(AU$10:AU$11,Предпосылки!$I$205,),0),AU144/(1+IFERROR(INDEX(AU$10:AU$11,Предпосылки!$I$206,),0))*IFERROR(INDEX(AU$10:AU$11,Предпосылки!$I$206,),0),AU167/(1+IFERROR(INDEX(AU$10:AU$11,Предпосылки!$I$207,),0))*IFERROR(INDEX(AU$10:AU$11,Предпосылки!$I$207,),0),AU190/(1+IFERROR(INDEX(AU$10:AU$11,Предпосылки!$I$208,),0))*IFERROR(INDEX(AU$10:AU$11,Предпосылки!$I$208,),0),AU213/(1+IFERROR(INDEX(AU$10:AU$11,Предпосылки!$I$209,),0))*IFERROR(INDEX(AU$10:AU$11,Предпосылки!$I$209,),0),AU236/(1+IFERROR(INDEX(AU$10:AU$11,Предпосылки!$I$210,),0))*IFERROR(INDEX(AU$10:AU$11,Предпосылки!$I$210,),0),AU259/(1+IFERROR(INDEX(AU$10:AU$11,Предпосылки!$I$211,),0))*IFERROR(INDEX(AU$10:AU$11,Предпосылки!$I$211,),0),AU282/(1+IFERROR(INDEX(AU$10:AU$11,Предпосылки!$I$212,),0))*IFERROR(INDEX(AU$10:AU$11,Предпосылки!$I$212,),0),AU305/(1+IFERROR(INDEX(AU$10:AU$11,Предпосылки!$I$213,),0))*IFERROR(INDEX(AU$10:AU$11,Предпосылки!$I$213,),0),AU328/(1+IFERROR(INDEX(AU$10:AU$11,Предпосылки!$I$214,),0))*IFERROR(INDEX(AU$10:AU$11,Предпосылки!$I$214,),0),AU351/(1+IFERROR(INDEX(AU$10:AU$11,Предпосылки!$I$215,),0))*IFERROR(INDEX(AU$10:AU$11,Предпосылки!$I$215,),0),AU374/(1+IFERROR(INDEX(AU$10:AU$11,Предпосылки!$I$216,),0))*IFERROR(INDEX(AU$10:AU$11,Предпосылки!$I$216,),0),AU397/(1+IFERROR(INDEX(AU$10:AU$11,Предпосылки!$I$217,),0))*IFERROR(INDEX(AU$10:AU$11,Предпосылки!$I$217,),0),AU420/(1+IFERROR(INDEX(AU$10:AU$11,Предпосылки!$I$218,),0))*IFERROR(INDEX(AU$10:AU$11,Предпосылки!$I$218,),0),AU443/(1+IFERROR(INDEX(AU$10:AU$11,Предпосылки!$I$219,),0))*IFERROR(INDEX(AU$10:AU$11,Предпосылки!$I$219,),0),AU466/(1+IFERROR(INDEX(AU$10:AU$11,Предпосылки!$I$220,),0))*IFERROR(INDEX(AU$10:AU$11,Предпосылки!$I$220,),0))</f>
        <v>0</v>
      </c>
      <c s="125">
        <f>SUM(AV29/(1+IFERROR(INDEX(AV$10:AV$11,Предпосылки!$I$201,),0))*IFERROR(INDEX(AV$10:AV$11,Предпосылки!$I$201,),0),AV52/(1+IFERROR(INDEX(AV$10:AV$11,Предпосылки!$I$202,),0))*IFERROR(INDEX(AV$10:AV$11,Предпосылки!$I$202,),0),AV75/(1+IFERROR(INDEX(AV$10:AV$11,Предпосылки!$I$203,),0))*IFERROR(INDEX(AV$10:AV$11,Предпосылки!$I$203,),0),AV98/(1+IFERROR(INDEX(AV$10:AV$11,Предпосылки!$I$204,),0))*IFERROR(INDEX(AV$10:AV$11,Предпосылки!$I$204,),0),AV121/(1+IFERROR(INDEX(AV$10:AV$11,Предпосылки!$I$205,),0))*IFERROR(INDEX(AV$10:AV$11,Предпосылки!$I$205,),0),AV144/(1+IFERROR(INDEX(AV$10:AV$11,Предпосылки!$I$206,),0))*IFERROR(INDEX(AV$10:AV$11,Предпосылки!$I$206,),0),AV167/(1+IFERROR(INDEX(AV$10:AV$11,Предпосылки!$I$207,),0))*IFERROR(INDEX(AV$10:AV$11,Предпосылки!$I$207,),0),AV190/(1+IFERROR(INDEX(AV$10:AV$11,Предпосылки!$I$208,),0))*IFERROR(INDEX(AV$10:AV$11,Предпосылки!$I$208,),0),AV213/(1+IFERROR(INDEX(AV$10:AV$11,Предпосылки!$I$209,),0))*IFERROR(INDEX(AV$10:AV$11,Предпосылки!$I$209,),0),AV236/(1+IFERROR(INDEX(AV$10:AV$11,Предпосылки!$I$210,),0))*IFERROR(INDEX(AV$10:AV$11,Предпосылки!$I$210,),0),AV259/(1+IFERROR(INDEX(AV$10:AV$11,Предпосылки!$I$211,),0))*IFERROR(INDEX(AV$10:AV$11,Предпосылки!$I$211,),0),AV282/(1+IFERROR(INDEX(AV$10:AV$11,Предпосылки!$I$212,),0))*IFERROR(INDEX(AV$10:AV$11,Предпосылки!$I$212,),0),AV305/(1+IFERROR(INDEX(AV$10:AV$11,Предпосылки!$I$213,),0))*IFERROR(INDEX(AV$10:AV$11,Предпосылки!$I$213,),0),AV328/(1+IFERROR(INDEX(AV$10:AV$11,Предпосылки!$I$214,),0))*IFERROR(INDEX(AV$10:AV$11,Предпосылки!$I$214,),0),AV351/(1+IFERROR(INDEX(AV$10:AV$11,Предпосылки!$I$215,),0))*IFERROR(INDEX(AV$10:AV$11,Предпосылки!$I$215,),0),AV374/(1+IFERROR(INDEX(AV$10:AV$11,Предпосылки!$I$216,),0))*IFERROR(INDEX(AV$10:AV$11,Предпосылки!$I$216,),0),AV397/(1+IFERROR(INDEX(AV$10:AV$11,Предпосылки!$I$217,),0))*IFERROR(INDEX(AV$10:AV$11,Предпосылки!$I$217,),0),AV420/(1+IFERROR(INDEX(AV$10:AV$11,Предпосылки!$I$218,),0))*IFERROR(INDEX(AV$10:AV$11,Предпосылки!$I$218,),0),AV443/(1+IFERROR(INDEX(AV$10:AV$11,Предпосылки!$I$219,),0))*IFERROR(INDEX(AV$10:AV$11,Предпосылки!$I$219,),0),AV466/(1+IFERROR(INDEX(AV$10:AV$11,Предпосылки!$I$220,),0))*IFERROR(INDEX(AV$10:AV$11,Предпосылки!$I$220,),0))</f>
        <v>0</v>
      </c>
      <c s="125">
        <f>SUM(AW29/(1+IFERROR(INDEX(AW$10:AW$11,Предпосылки!$I$201,),0))*IFERROR(INDEX(AW$10:AW$11,Предпосылки!$I$201,),0),AW52/(1+IFERROR(INDEX(AW$10:AW$11,Предпосылки!$I$202,),0))*IFERROR(INDEX(AW$10:AW$11,Предпосылки!$I$202,),0),AW75/(1+IFERROR(INDEX(AW$10:AW$11,Предпосылки!$I$203,),0))*IFERROR(INDEX(AW$10:AW$11,Предпосылки!$I$203,),0),AW98/(1+IFERROR(INDEX(AW$10:AW$11,Предпосылки!$I$204,),0))*IFERROR(INDEX(AW$10:AW$11,Предпосылки!$I$204,),0),AW121/(1+IFERROR(INDEX(AW$10:AW$11,Предпосылки!$I$205,),0))*IFERROR(INDEX(AW$10:AW$11,Предпосылки!$I$205,),0),AW144/(1+IFERROR(INDEX(AW$10:AW$11,Предпосылки!$I$206,),0))*IFERROR(INDEX(AW$10:AW$11,Предпосылки!$I$206,),0),AW167/(1+IFERROR(INDEX(AW$10:AW$11,Предпосылки!$I$207,),0))*IFERROR(INDEX(AW$10:AW$11,Предпосылки!$I$207,),0),AW190/(1+IFERROR(INDEX(AW$10:AW$11,Предпосылки!$I$208,),0))*IFERROR(INDEX(AW$10:AW$11,Предпосылки!$I$208,),0),AW213/(1+IFERROR(INDEX(AW$10:AW$11,Предпосылки!$I$209,),0))*IFERROR(INDEX(AW$10:AW$11,Предпосылки!$I$209,),0),AW236/(1+IFERROR(INDEX(AW$10:AW$11,Предпосылки!$I$210,),0))*IFERROR(INDEX(AW$10:AW$11,Предпосылки!$I$210,),0),AW259/(1+IFERROR(INDEX(AW$10:AW$11,Предпосылки!$I$211,),0))*IFERROR(INDEX(AW$10:AW$11,Предпосылки!$I$211,),0),AW282/(1+IFERROR(INDEX(AW$10:AW$11,Предпосылки!$I$212,),0))*IFERROR(INDEX(AW$10:AW$11,Предпосылки!$I$212,),0),AW305/(1+IFERROR(INDEX(AW$10:AW$11,Предпосылки!$I$213,),0))*IFERROR(INDEX(AW$10:AW$11,Предпосылки!$I$213,),0),AW328/(1+IFERROR(INDEX(AW$10:AW$11,Предпосылки!$I$214,),0))*IFERROR(INDEX(AW$10:AW$11,Предпосылки!$I$214,),0),AW351/(1+IFERROR(INDEX(AW$10:AW$11,Предпосылки!$I$215,),0))*IFERROR(INDEX(AW$10:AW$11,Предпосылки!$I$215,),0),AW374/(1+IFERROR(INDEX(AW$10:AW$11,Предпосылки!$I$216,),0))*IFERROR(INDEX(AW$10:AW$11,Предпосылки!$I$216,),0),AW397/(1+IFERROR(INDEX(AW$10:AW$11,Предпосылки!$I$217,),0))*IFERROR(INDEX(AW$10:AW$11,Предпосылки!$I$217,),0),AW420/(1+IFERROR(INDEX(AW$10:AW$11,Предпосылки!$I$218,),0))*IFERROR(INDEX(AW$10:AW$11,Предпосылки!$I$218,),0),AW443/(1+IFERROR(INDEX(AW$10:AW$11,Предпосылки!$I$219,),0))*IFERROR(INDEX(AW$10:AW$11,Предпосылки!$I$219,),0),AW466/(1+IFERROR(INDEX(AW$10:AW$11,Предпосылки!$I$220,),0))*IFERROR(INDEX(AW$10:AW$11,Предпосылки!$I$220,),0))</f>
        <v>0</v>
      </c>
      <c s="125">
        <f>SUM(AX29/(1+IFERROR(INDEX(AX$10:AX$11,Предпосылки!$I$201,),0))*IFERROR(INDEX(AX$10:AX$11,Предпосылки!$I$201,),0),AX52/(1+IFERROR(INDEX(AX$10:AX$11,Предпосылки!$I$202,),0))*IFERROR(INDEX(AX$10:AX$11,Предпосылки!$I$202,),0),AX75/(1+IFERROR(INDEX(AX$10:AX$11,Предпосылки!$I$203,),0))*IFERROR(INDEX(AX$10:AX$11,Предпосылки!$I$203,),0),AX98/(1+IFERROR(INDEX(AX$10:AX$11,Предпосылки!$I$204,),0))*IFERROR(INDEX(AX$10:AX$11,Предпосылки!$I$204,),0),AX121/(1+IFERROR(INDEX(AX$10:AX$11,Предпосылки!$I$205,),0))*IFERROR(INDEX(AX$10:AX$11,Предпосылки!$I$205,),0),AX144/(1+IFERROR(INDEX(AX$10:AX$11,Предпосылки!$I$206,),0))*IFERROR(INDEX(AX$10:AX$11,Предпосылки!$I$206,),0),AX167/(1+IFERROR(INDEX(AX$10:AX$11,Предпосылки!$I$207,),0))*IFERROR(INDEX(AX$10:AX$11,Предпосылки!$I$207,),0),AX190/(1+IFERROR(INDEX(AX$10:AX$11,Предпосылки!$I$208,),0))*IFERROR(INDEX(AX$10:AX$11,Предпосылки!$I$208,),0),AX213/(1+IFERROR(INDEX(AX$10:AX$11,Предпосылки!$I$209,),0))*IFERROR(INDEX(AX$10:AX$11,Предпосылки!$I$209,),0),AX236/(1+IFERROR(INDEX(AX$10:AX$11,Предпосылки!$I$210,),0))*IFERROR(INDEX(AX$10:AX$11,Предпосылки!$I$210,),0),AX259/(1+IFERROR(INDEX(AX$10:AX$11,Предпосылки!$I$211,),0))*IFERROR(INDEX(AX$10:AX$11,Предпосылки!$I$211,),0),AX282/(1+IFERROR(INDEX(AX$10:AX$11,Предпосылки!$I$212,),0))*IFERROR(INDEX(AX$10:AX$11,Предпосылки!$I$212,),0),AX305/(1+IFERROR(INDEX(AX$10:AX$11,Предпосылки!$I$213,),0))*IFERROR(INDEX(AX$10:AX$11,Предпосылки!$I$213,),0),AX328/(1+IFERROR(INDEX(AX$10:AX$11,Предпосылки!$I$214,),0))*IFERROR(INDEX(AX$10:AX$11,Предпосылки!$I$214,),0),AX351/(1+IFERROR(INDEX(AX$10:AX$11,Предпосылки!$I$215,),0))*IFERROR(INDEX(AX$10:AX$11,Предпосылки!$I$215,),0),AX374/(1+IFERROR(INDEX(AX$10:AX$11,Предпосылки!$I$216,),0))*IFERROR(INDEX(AX$10:AX$11,Предпосылки!$I$216,),0),AX397/(1+IFERROR(INDEX(AX$10:AX$11,Предпосылки!$I$217,),0))*IFERROR(INDEX(AX$10:AX$11,Предпосылки!$I$217,),0),AX420/(1+IFERROR(INDEX(AX$10:AX$11,Предпосылки!$I$218,),0))*IFERROR(INDEX(AX$10:AX$11,Предпосылки!$I$218,),0),AX443/(1+IFERROR(INDEX(AX$10:AX$11,Предпосылки!$I$219,),0))*IFERROR(INDEX(AX$10:AX$11,Предпосылки!$I$219,),0),AX466/(1+IFERROR(INDEX(AX$10:AX$11,Предпосылки!$I$220,),0))*IFERROR(INDEX(AX$10:AX$11,Предпосылки!$I$220,),0))</f>
        <v>0</v>
      </c>
      <c s="125">
        <f>SUM(AY29/(1+IFERROR(INDEX(AY$10:AY$11,Предпосылки!$I$201,),0))*IFERROR(INDEX(AY$10:AY$11,Предпосылки!$I$201,),0),AY52/(1+IFERROR(INDEX(AY$10:AY$11,Предпосылки!$I$202,),0))*IFERROR(INDEX(AY$10:AY$11,Предпосылки!$I$202,),0),AY75/(1+IFERROR(INDEX(AY$10:AY$11,Предпосылки!$I$203,),0))*IFERROR(INDEX(AY$10:AY$11,Предпосылки!$I$203,),0),AY98/(1+IFERROR(INDEX(AY$10:AY$11,Предпосылки!$I$204,),0))*IFERROR(INDEX(AY$10:AY$11,Предпосылки!$I$204,),0),AY121/(1+IFERROR(INDEX(AY$10:AY$11,Предпосылки!$I$205,),0))*IFERROR(INDEX(AY$10:AY$11,Предпосылки!$I$205,),0),AY144/(1+IFERROR(INDEX(AY$10:AY$11,Предпосылки!$I$206,),0))*IFERROR(INDEX(AY$10:AY$11,Предпосылки!$I$206,),0),AY167/(1+IFERROR(INDEX(AY$10:AY$11,Предпосылки!$I$207,),0))*IFERROR(INDEX(AY$10:AY$11,Предпосылки!$I$207,),0),AY190/(1+IFERROR(INDEX(AY$10:AY$11,Предпосылки!$I$208,),0))*IFERROR(INDEX(AY$10:AY$11,Предпосылки!$I$208,),0),AY213/(1+IFERROR(INDEX(AY$10:AY$11,Предпосылки!$I$209,),0))*IFERROR(INDEX(AY$10:AY$11,Предпосылки!$I$209,),0),AY236/(1+IFERROR(INDEX(AY$10:AY$11,Предпосылки!$I$210,),0))*IFERROR(INDEX(AY$10:AY$11,Предпосылки!$I$210,),0),AY259/(1+IFERROR(INDEX(AY$10:AY$11,Предпосылки!$I$211,),0))*IFERROR(INDEX(AY$10:AY$11,Предпосылки!$I$211,),0),AY282/(1+IFERROR(INDEX(AY$10:AY$11,Предпосылки!$I$212,),0))*IFERROR(INDEX(AY$10:AY$11,Предпосылки!$I$212,),0),AY305/(1+IFERROR(INDEX(AY$10:AY$11,Предпосылки!$I$213,),0))*IFERROR(INDEX(AY$10:AY$11,Предпосылки!$I$213,),0),AY328/(1+IFERROR(INDEX(AY$10:AY$11,Предпосылки!$I$214,),0))*IFERROR(INDEX(AY$10:AY$11,Предпосылки!$I$214,),0),AY351/(1+IFERROR(INDEX(AY$10:AY$11,Предпосылки!$I$215,),0))*IFERROR(INDEX(AY$10:AY$11,Предпосылки!$I$215,),0),AY374/(1+IFERROR(INDEX(AY$10:AY$11,Предпосылки!$I$216,),0))*IFERROR(INDEX(AY$10:AY$11,Предпосылки!$I$216,),0),AY397/(1+IFERROR(INDEX(AY$10:AY$11,Предпосылки!$I$217,),0))*IFERROR(INDEX(AY$10:AY$11,Предпосылки!$I$217,),0),AY420/(1+IFERROR(INDEX(AY$10:AY$11,Предпосылки!$I$218,),0))*IFERROR(INDEX(AY$10:AY$11,Предпосылки!$I$218,),0),AY443/(1+IFERROR(INDEX(AY$10:AY$11,Предпосылки!$I$219,),0))*IFERROR(INDEX(AY$10:AY$11,Предпосылки!$I$219,),0),AY466/(1+IFERROR(INDEX(AY$10:AY$11,Предпосылки!$I$220,),0))*IFERROR(INDEX(AY$10:AY$11,Предпосылки!$I$220,),0))</f>
        <v>0</v>
      </c>
      <c s="125">
        <f>SUM(AZ29/(1+IFERROR(INDEX(AZ$10:AZ$11,Предпосылки!$I$201,),0))*IFERROR(INDEX(AZ$10:AZ$11,Предпосылки!$I$201,),0),AZ52/(1+IFERROR(INDEX(AZ$10:AZ$11,Предпосылки!$I$202,),0))*IFERROR(INDEX(AZ$10:AZ$11,Предпосылки!$I$202,),0),AZ75/(1+IFERROR(INDEX(AZ$10:AZ$11,Предпосылки!$I$203,),0))*IFERROR(INDEX(AZ$10:AZ$11,Предпосылки!$I$203,),0),AZ98/(1+IFERROR(INDEX(AZ$10:AZ$11,Предпосылки!$I$204,),0))*IFERROR(INDEX(AZ$10:AZ$11,Предпосылки!$I$204,),0),AZ121/(1+IFERROR(INDEX(AZ$10:AZ$11,Предпосылки!$I$205,),0))*IFERROR(INDEX(AZ$10:AZ$11,Предпосылки!$I$205,),0),AZ144/(1+IFERROR(INDEX(AZ$10:AZ$11,Предпосылки!$I$206,),0))*IFERROR(INDEX(AZ$10:AZ$11,Предпосылки!$I$206,),0),AZ167/(1+IFERROR(INDEX(AZ$10:AZ$11,Предпосылки!$I$207,),0))*IFERROR(INDEX(AZ$10:AZ$11,Предпосылки!$I$207,),0),AZ190/(1+IFERROR(INDEX(AZ$10:AZ$11,Предпосылки!$I$208,),0))*IFERROR(INDEX(AZ$10:AZ$11,Предпосылки!$I$208,),0),AZ213/(1+IFERROR(INDEX(AZ$10:AZ$11,Предпосылки!$I$209,),0))*IFERROR(INDEX(AZ$10:AZ$11,Предпосылки!$I$209,),0),AZ236/(1+IFERROR(INDEX(AZ$10:AZ$11,Предпосылки!$I$210,),0))*IFERROR(INDEX(AZ$10:AZ$11,Предпосылки!$I$210,),0),AZ259/(1+IFERROR(INDEX(AZ$10:AZ$11,Предпосылки!$I$211,),0))*IFERROR(INDEX(AZ$10:AZ$11,Предпосылки!$I$211,),0),AZ282/(1+IFERROR(INDEX(AZ$10:AZ$11,Предпосылки!$I$212,),0))*IFERROR(INDEX(AZ$10:AZ$11,Предпосылки!$I$212,),0),AZ305/(1+IFERROR(INDEX(AZ$10:AZ$11,Предпосылки!$I$213,),0))*IFERROR(INDEX(AZ$10:AZ$11,Предпосылки!$I$213,),0),AZ328/(1+IFERROR(INDEX(AZ$10:AZ$11,Предпосылки!$I$214,),0))*IFERROR(INDEX(AZ$10:AZ$11,Предпосылки!$I$214,),0),AZ351/(1+IFERROR(INDEX(AZ$10:AZ$11,Предпосылки!$I$215,),0))*IFERROR(INDEX(AZ$10:AZ$11,Предпосылки!$I$215,),0),AZ374/(1+IFERROR(INDEX(AZ$10:AZ$11,Предпосылки!$I$216,),0))*IFERROR(INDEX(AZ$10:AZ$11,Предпосылки!$I$216,),0),AZ397/(1+IFERROR(INDEX(AZ$10:AZ$11,Предпосылки!$I$217,),0))*IFERROR(INDEX(AZ$10:AZ$11,Предпосылки!$I$217,),0),AZ420/(1+IFERROR(INDEX(AZ$10:AZ$11,Предпосылки!$I$218,),0))*IFERROR(INDEX(AZ$10:AZ$11,Предпосылки!$I$218,),0),AZ443/(1+IFERROR(INDEX(AZ$10:AZ$11,Предпосылки!$I$219,),0))*IFERROR(INDEX(AZ$10:AZ$11,Предпосылки!$I$219,),0),AZ466/(1+IFERROR(INDEX(AZ$10:AZ$11,Предпосылки!$I$220,),0))*IFERROR(INDEX(AZ$10:AZ$11,Предпосылки!$I$220,),0))</f>
        <v>0</v>
      </c>
      <c s="125">
        <f>SUM(BA29/(1+IFERROR(INDEX(BA$10:BA$11,Предпосылки!$I$201,),0))*IFERROR(INDEX(BA$10:BA$11,Предпосылки!$I$201,),0),BA52/(1+IFERROR(INDEX(BA$10:BA$11,Предпосылки!$I$202,),0))*IFERROR(INDEX(BA$10:BA$11,Предпосылки!$I$202,),0),BA75/(1+IFERROR(INDEX(BA$10:BA$11,Предпосылки!$I$203,),0))*IFERROR(INDEX(BA$10:BA$11,Предпосылки!$I$203,),0),BA98/(1+IFERROR(INDEX(BA$10:BA$11,Предпосылки!$I$204,),0))*IFERROR(INDEX(BA$10:BA$11,Предпосылки!$I$204,),0),BA121/(1+IFERROR(INDEX(BA$10:BA$11,Предпосылки!$I$205,),0))*IFERROR(INDEX(BA$10:BA$11,Предпосылки!$I$205,),0),BA144/(1+IFERROR(INDEX(BA$10:BA$11,Предпосылки!$I$206,),0))*IFERROR(INDEX(BA$10:BA$11,Предпосылки!$I$206,),0),BA167/(1+IFERROR(INDEX(BA$10:BA$11,Предпосылки!$I$207,),0))*IFERROR(INDEX(BA$10:BA$11,Предпосылки!$I$207,),0),BA190/(1+IFERROR(INDEX(BA$10:BA$11,Предпосылки!$I$208,),0))*IFERROR(INDEX(BA$10:BA$11,Предпосылки!$I$208,),0),BA213/(1+IFERROR(INDEX(BA$10:BA$11,Предпосылки!$I$209,),0))*IFERROR(INDEX(BA$10:BA$11,Предпосылки!$I$209,),0),BA236/(1+IFERROR(INDEX(BA$10:BA$11,Предпосылки!$I$210,),0))*IFERROR(INDEX(BA$10:BA$11,Предпосылки!$I$210,),0),BA259/(1+IFERROR(INDEX(BA$10:BA$11,Предпосылки!$I$211,),0))*IFERROR(INDEX(BA$10:BA$11,Предпосылки!$I$211,),0),BA282/(1+IFERROR(INDEX(BA$10:BA$11,Предпосылки!$I$212,),0))*IFERROR(INDEX(BA$10:BA$11,Предпосылки!$I$212,),0),BA305/(1+IFERROR(INDEX(BA$10:BA$11,Предпосылки!$I$213,),0))*IFERROR(INDEX(BA$10:BA$11,Предпосылки!$I$213,),0),BA328/(1+IFERROR(INDEX(BA$10:BA$11,Предпосылки!$I$214,),0))*IFERROR(INDEX(BA$10:BA$11,Предпосылки!$I$214,),0),BA351/(1+IFERROR(INDEX(BA$10:BA$11,Предпосылки!$I$215,),0))*IFERROR(INDEX(BA$10:BA$11,Предпосылки!$I$215,),0),BA374/(1+IFERROR(INDEX(BA$10:BA$11,Предпосылки!$I$216,),0))*IFERROR(INDEX(BA$10:BA$11,Предпосылки!$I$216,),0),BA397/(1+IFERROR(INDEX(BA$10:BA$11,Предпосылки!$I$217,),0))*IFERROR(INDEX(BA$10:BA$11,Предпосылки!$I$217,),0),BA420/(1+IFERROR(INDEX(BA$10:BA$11,Предпосылки!$I$218,),0))*IFERROR(INDEX(BA$10:BA$11,Предпосылки!$I$218,),0),BA443/(1+IFERROR(INDEX(BA$10:BA$11,Предпосылки!$I$219,),0))*IFERROR(INDEX(BA$10:BA$11,Предпосылки!$I$219,),0),BA466/(1+IFERROR(INDEX(BA$10:BA$11,Предпосылки!$I$220,),0))*IFERROR(INDEX(BA$10:BA$11,Предпосылки!$I$220,),0))</f>
        <v>0</v>
      </c>
      <c s="125">
        <f>SUM(BB29/(1+IFERROR(INDEX(BB$10:BB$11,Предпосылки!$I$201,),0))*IFERROR(INDEX(BB$10:BB$11,Предпосылки!$I$201,),0),BB52/(1+IFERROR(INDEX(BB$10:BB$11,Предпосылки!$I$202,),0))*IFERROR(INDEX(BB$10:BB$11,Предпосылки!$I$202,),0),BB75/(1+IFERROR(INDEX(BB$10:BB$11,Предпосылки!$I$203,),0))*IFERROR(INDEX(BB$10:BB$11,Предпосылки!$I$203,),0),BB98/(1+IFERROR(INDEX(BB$10:BB$11,Предпосылки!$I$204,),0))*IFERROR(INDEX(BB$10:BB$11,Предпосылки!$I$204,),0),BB121/(1+IFERROR(INDEX(BB$10:BB$11,Предпосылки!$I$205,),0))*IFERROR(INDEX(BB$10:BB$11,Предпосылки!$I$205,),0),BB144/(1+IFERROR(INDEX(BB$10:BB$11,Предпосылки!$I$206,),0))*IFERROR(INDEX(BB$10:BB$11,Предпосылки!$I$206,),0),BB167/(1+IFERROR(INDEX(BB$10:BB$11,Предпосылки!$I$207,),0))*IFERROR(INDEX(BB$10:BB$11,Предпосылки!$I$207,),0),BB190/(1+IFERROR(INDEX(BB$10:BB$11,Предпосылки!$I$208,),0))*IFERROR(INDEX(BB$10:BB$11,Предпосылки!$I$208,),0),BB213/(1+IFERROR(INDEX(BB$10:BB$11,Предпосылки!$I$209,),0))*IFERROR(INDEX(BB$10:BB$11,Предпосылки!$I$209,),0),BB236/(1+IFERROR(INDEX(BB$10:BB$11,Предпосылки!$I$210,),0))*IFERROR(INDEX(BB$10:BB$11,Предпосылки!$I$210,),0),BB259/(1+IFERROR(INDEX(BB$10:BB$11,Предпосылки!$I$211,),0))*IFERROR(INDEX(BB$10:BB$11,Предпосылки!$I$211,),0),BB282/(1+IFERROR(INDEX(BB$10:BB$11,Предпосылки!$I$212,),0))*IFERROR(INDEX(BB$10:BB$11,Предпосылки!$I$212,),0),BB305/(1+IFERROR(INDEX(BB$10:BB$11,Предпосылки!$I$213,),0))*IFERROR(INDEX(BB$10:BB$11,Предпосылки!$I$213,),0),BB328/(1+IFERROR(INDEX(BB$10:BB$11,Предпосылки!$I$214,),0))*IFERROR(INDEX(BB$10:BB$11,Предпосылки!$I$214,),0),BB351/(1+IFERROR(INDEX(BB$10:BB$11,Предпосылки!$I$215,),0))*IFERROR(INDEX(BB$10:BB$11,Предпосылки!$I$215,),0),BB374/(1+IFERROR(INDEX(BB$10:BB$11,Предпосылки!$I$216,),0))*IFERROR(INDEX(BB$10:BB$11,Предпосылки!$I$216,),0),BB397/(1+IFERROR(INDEX(BB$10:BB$11,Предпосылки!$I$217,),0))*IFERROR(INDEX(BB$10:BB$11,Предпосылки!$I$217,),0),BB420/(1+IFERROR(INDEX(BB$10:BB$11,Предпосылки!$I$218,),0))*IFERROR(INDEX(BB$10:BB$11,Предпосылки!$I$218,),0),BB443/(1+IFERROR(INDEX(BB$10:BB$11,Предпосылки!$I$219,),0))*IFERROR(INDEX(BB$10:BB$11,Предпосылки!$I$219,),0),BB466/(1+IFERROR(INDEX(BB$10:BB$11,Предпосылки!$I$220,),0))*IFERROR(INDEX(BB$10:BB$11,Предпосылки!$I$220,),0))</f>
        <v>0</v>
      </c>
      <c s="125">
        <f>SUM(BC29/(1+IFERROR(INDEX(BC$10:BC$11,Предпосылки!$I$201,),0))*IFERROR(INDEX(BC$10:BC$11,Предпосылки!$I$201,),0),BC52/(1+IFERROR(INDEX(BC$10:BC$11,Предпосылки!$I$202,),0))*IFERROR(INDEX(BC$10:BC$11,Предпосылки!$I$202,),0),BC75/(1+IFERROR(INDEX(BC$10:BC$11,Предпосылки!$I$203,),0))*IFERROR(INDEX(BC$10:BC$11,Предпосылки!$I$203,),0),BC98/(1+IFERROR(INDEX(BC$10:BC$11,Предпосылки!$I$204,),0))*IFERROR(INDEX(BC$10:BC$11,Предпосылки!$I$204,),0),BC121/(1+IFERROR(INDEX(BC$10:BC$11,Предпосылки!$I$205,),0))*IFERROR(INDEX(BC$10:BC$11,Предпосылки!$I$205,),0),BC144/(1+IFERROR(INDEX(BC$10:BC$11,Предпосылки!$I$206,),0))*IFERROR(INDEX(BC$10:BC$11,Предпосылки!$I$206,),0),BC167/(1+IFERROR(INDEX(BC$10:BC$11,Предпосылки!$I$207,),0))*IFERROR(INDEX(BC$10:BC$11,Предпосылки!$I$207,),0),BC190/(1+IFERROR(INDEX(BC$10:BC$11,Предпосылки!$I$208,),0))*IFERROR(INDEX(BC$10:BC$11,Предпосылки!$I$208,),0),BC213/(1+IFERROR(INDEX(BC$10:BC$11,Предпосылки!$I$209,),0))*IFERROR(INDEX(BC$10:BC$11,Предпосылки!$I$209,),0),BC236/(1+IFERROR(INDEX(BC$10:BC$11,Предпосылки!$I$210,),0))*IFERROR(INDEX(BC$10:BC$11,Предпосылки!$I$210,),0),BC259/(1+IFERROR(INDEX(BC$10:BC$11,Предпосылки!$I$211,),0))*IFERROR(INDEX(BC$10:BC$11,Предпосылки!$I$211,),0),BC282/(1+IFERROR(INDEX(BC$10:BC$11,Предпосылки!$I$212,),0))*IFERROR(INDEX(BC$10:BC$11,Предпосылки!$I$212,),0),BC305/(1+IFERROR(INDEX(BC$10:BC$11,Предпосылки!$I$213,),0))*IFERROR(INDEX(BC$10:BC$11,Предпосылки!$I$213,),0),BC328/(1+IFERROR(INDEX(BC$10:BC$11,Предпосылки!$I$214,),0))*IFERROR(INDEX(BC$10:BC$11,Предпосылки!$I$214,),0),BC351/(1+IFERROR(INDEX(BC$10:BC$11,Предпосылки!$I$215,),0))*IFERROR(INDEX(BC$10:BC$11,Предпосылки!$I$215,),0),BC374/(1+IFERROR(INDEX(BC$10:BC$11,Предпосылки!$I$216,),0))*IFERROR(INDEX(BC$10:BC$11,Предпосылки!$I$216,),0),BC397/(1+IFERROR(INDEX(BC$10:BC$11,Предпосылки!$I$217,),0))*IFERROR(INDEX(BC$10:BC$11,Предпосылки!$I$217,),0),BC420/(1+IFERROR(INDEX(BC$10:BC$11,Предпосылки!$I$218,),0))*IFERROR(INDEX(BC$10:BC$11,Предпосылки!$I$218,),0),BC443/(1+IFERROR(INDEX(BC$10:BC$11,Предпосылки!$I$219,),0))*IFERROR(INDEX(BC$10:BC$11,Предпосылки!$I$219,),0),BC466/(1+IFERROR(INDEX(BC$10:BC$11,Предпосылки!$I$220,),0))*IFERROR(INDEX(BC$10:BC$11,Предпосылки!$I$220,),0))</f>
        <v>0</v>
      </c>
      <c s="125">
        <f>SUM(BD29/(1+IFERROR(INDEX(BD$10:BD$11,Предпосылки!$I$201,),0))*IFERROR(INDEX(BD$10:BD$11,Предпосылки!$I$201,),0),BD52/(1+IFERROR(INDEX(BD$10:BD$11,Предпосылки!$I$202,),0))*IFERROR(INDEX(BD$10:BD$11,Предпосылки!$I$202,),0),BD75/(1+IFERROR(INDEX(BD$10:BD$11,Предпосылки!$I$203,),0))*IFERROR(INDEX(BD$10:BD$11,Предпосылки!$I$203,),0),BD98/(1+IFERROR(INDEX(BD$10:BD$11,Предпосылки!$I$204,),0))*IFERROR(INDEX(BD$10:BD$11,Предпосылки!$I$204,),0),BD121/(1+IFERROR(INDEX(BD$10:BD$11,Предпосылки!$I$205,),0))*IFERROR(INDEX(BD$10:BD$11,Предпосылки!$I$205,),0),BD144/(1+IFERROR(INDEX(BD$10:BD$11,Предпосылки!$I$206,),0))*IFERROR(INDEX(BD$10:BD$11,Предпосылки!$I$206,),0),BD167/(1+IFERROR(INDEX(BD$10:BD$11,Предпосылки!$I$207,),0))*IFERROR(INDEX(BD$10:BD$11,Предпосылки!$I$207,),0),BD190/(1+IFERROR(INDEX(BD$10:BD$11,Предпосылки!$I$208,),0))*IFERROR(INDEX(BD$10:BD$11,Предпосылки!$I$208,),0),BD213/(1+IFERROR(INDEX(BD$10:BD$11,Предпосылки!$I$209,),0))*IFERROR(INDEX(BD$10:BD$11,Предпосылки!$I$209,),0),BD236/(1+IFERROR(INDEX(BD$10:BD$11,Предпосылки!$I$210,),0))*IFERROR(INDEX(BD$10:BD$11,Предпосылки!$I$210,),0),BD259/(1+IFERROR(INDEX(BD$10:BD$11,Предпосылки!$I$211,),0))*IFERROR(INDEX(BD$10:BD$11,Предпосылки!$I$211,),0),BD282/(1+IFERROR(INDEX(BD$10:BD$11,Предпосылки!$I$212,),0))*IFERROR(INDEX(BD$10:BD$11,Предпосылки!$I$212,),0),BD305/(1+IFERROR(INDEX(BD$10:BD$11,Предпосылки!$I$213,),0))*IFERROR(INDEX(BD$10:BD$11,Предпосылки!$I$213,),0),BD328/(1+IFERROR(INDEX(BD$10:BD$11,Предпосылки!$I$214,),0))*IFERROR(INDEX(BD$10:BD$11,Предпосылки!$I$214,),0),BD351/(1+IFERROR(INDEX(BD$10:BD$11,Предпосылки!$I$215,),0))*IFERROR(INDEX(BD$10:BD$11,Предпосылки!$I$215,),0),BD374/(1+IFERROR(INDEX(BD$10:BD$11,Предпосылки!$I$216,),0))*IFERROR(INDEX(BD$10:BD$11,Предпосылки!$I$216,),0),BD397/(1+IFERROR(INDEX(BD$10:BD$11,Предпосылки!$I$217,),0))*IFERROR(INDEX(BD$10:BD$11,Предпосылки!$I$217,),0),BD420/(1+IFERROR(INDEX(BD$10:BD$11,Предпосылки!$I$218,),0))*IFERROR(INDEX(BD$10:BD$11,Предпосылки!$I$218,),0),BD443/(1+IFERROR(INDEX(BD$10:BD$11,Предпосылки!$I$219,),0))*IFERROR(INDEX(BD$10:BD$11,Предпосылки!$I$219,),0),BD466/(1+IFERROR(INDEX(BD$10:BD$11,Предпосылки!$I$220,),0))*IFERROR(INDEX(BD$10:BD$11,Предпосылки!$I$220,),0))</f>
        <v>0</v>
      </c>
      <c s="125">
        <f>SUM(BE29/(1+IFERROR(INDEX(BE$10:BE$11,Предпосылки!$I$201,),0))*IFERROR(INDEX(BE$10:BE$11,Предпосылки!$I$201,),0),BE52/(1+IFERROR(INDEX(BE$10:BE$11,Предпосылки!$I$202,),0))*IFERROR(INDEX(BE$10:BE$11,Предпосылки!$I$202,),0),BE75/(1+IFERROR(INDEX(BE$10:BE$11,Предпосылки!$I$203,),0))*IFERROR(INDEX(BE$10:BE$11,Предпосылки!$I$203,),0),BE98/(1+IFERROR(INDEX(BE$10:BE$11,Предпосылки!$I$204,),0))*IFERROR(INDEX(BE$10:BE$11,Предпосылки!$I$204,),0),BE121/(1+IFERROR(INDEX(BE$10:BE$11,Предпосылки!$I$205,),0))*IFERROR(INDEX(BE$10:BE$11,Предпосылки!$I$205,),0),BE144/(1+IFERROR(INDEX(BE$10:BE$11,Предпосылки!$I$206,),0))*IFERROR(INDEX(BE$10:BE$11,Предпосылки!$I$206,),0),BE167/(1+IFERROR(INDEX(BE$10:BE$11,Предпосылки!$I$207,),0))*IFERROR(INDEX(BE$10:BE$11,Предпосылки!$I$207,),0),BE190/(1+IFERROR(INDEX(BE$10:BE$11,Предпосылки!$I$208,),0))*IFERROR(INDEX(BE$10:BE$11,Предпосылки!$I$208,),0),BE213/(1+IFERROR(INDEX(BE$10:BE$11,Предпосылки!$I$209,),0))*IFERROR(INDEX(BE$10:BE$11,Предпосылки!$I$209,),0),BE236/(1+IFERROR(INDEX(BE$10:BE$11,Предпосылки!$I$210,),0))*IFERROR(INDEX(BE$10:BE$11,Предпосылки!$I$210,),0),BE259/(1+IFERROR(INDEX(BE$10:BE$11,Предпосылки!$I$211,),0))*IFERROR(INDEX(BE$10:BE$11,Предпосылки!$I$211,),0),BE282/(1+IFERROR(INDEX(BE$10:BE$11,Предпосылки!$I$212,),0))*IFERROR(INDEX(BE$10:BE$11,Предпосылки!$I$212,),0),BE305/(1+IFERROR(INDEX(BE$10:BE$11,Предпосылки!$I$213,),0))*IFERROR(INDEX(BE$10:BE$11,Предпосылки!$I$213,),0),BE328/(1+IFERROR(INDEX(BE$10:BE$11,Предпосылки!$I$214,),0))*IFERROR(INDEX(BE$10:BE$11,Предпосылки!$I$214,),0),BE351/(1+IFERROR(INDEX(BE$10:BE$11,Предпосылки!$I$215,),0))*IFERROR(INDEX(BE$10:BE$11,Предпосылки!$I$215,),0),BE374/(1+IFERROR(INDEX(BE$10:BE$11,Предпосылки!$I$216,),0))*IFERROR(INDEX(BE$10:BE$11,Предпосылки!$I$216,),0),BE397/(1+IFERROR(INDEX(BE$10:BE$11,Предпосылки!$I$217,),0))*IFERROR(INDEX(BE$10:BE$11,Предпосылки!$I$217,),0),BE420/(1+IFERROR(INDEX(BE$10:BE$11,Предпосылки!$I$218,),0))*IFERROR(INDEX(BE$10:BE$11,Предпосылки!$I$218,),0),BE443/(1+IFERROR(INDEX(BE$10:BE$11,Предпосылки!$I$219,),0))*IFERROR(INDEX(BE$10:BE$11,Предпосылки!$I$219,),0),BE466/(1+IFERROR(INDEX(BE$10:BE$11,Предпосылки!$I$220,),0))*IFERROR(INDEX(BE$10:BE$11,Предпосылки!$I$220,),0))</f>
        <v>0</v>
      </c>
      <c s="125">
        <f>SUM(BF29/(1+IFERROR(INDEX(BF$10:BF$11,Предпосылки!$I$201,),0))*IFERROR(INDEX(BF$10:BF$11,Предпосылки!$I$201,),0),BF52/(1+IFERROR(INDEX(BF$10:BF$11,Предпосылки!$I$202,),0))*IFERROR(INDEX(BF$10:BF$11,Предпосылки!$I$202,),0),BF75/(1+IFERROR(INDEX(BF$10:BF$11,Предпосылки!$I$203,),0))*IFERROR(INDEX(BF$10:BF$11,Предпосылки!$I$203,),0),BF98/(1+IFERROR(INDEX(BF$10:BF$11,Предпосылки!$I$204,),0))*IFERROR(INDEX(BF$10:BF$11,Предпосылки!$I$204,),0),BF121/(1+IFERROR(INDEX(BF$10:BF$11,Предпосылки!$I$205,),0))*IFERROR(INDEX(BF$10:BF$11,Предпосылки!$I$205,),0),BF144/(1+IFERROR(INDEX(BF$10:BF$11,Предпосылки!$I$206,),0))*IFERROR(INDEX(BF$10:BF$11,Предпосылки!$I$206,),0),BF167/(1+IFERROR(INDEX(BF$10:BF$11,Предпосылки!$I$207,),0))*IFERROR(INDEX(BF$10:BF$11,Предпосылки!$I$207,),0),BF190/(1+IFERROR(INDEX(BF$10:BF$11,Предпосылки!$I$208,),0))*IFERROR(INDEX(BF$10:BF$11,Предпосылки!$I$208,),0),BF213/(1+IFERROR(INDEX(BF$10:BF$11,Предпосылки!$I$209,),0))*IFERROR(INDEX(BF$10:BF$11,Предпосылки!$I$209,),0),BF236/(1+IFERROR(INDEX(BF$10:BF$11,Предпосылки!$I$210,),0))*IFERROR(INDEX(BF$10:BF$11,Предпосылки!$I$210,),0),BF259/(1+IFERROR(INDEX(BF$10:BF$11,Предпосылки!$I$211,),0))*IFERROR(INDEX(BF$10:BF$11,Предпосылки!$I$211,),0),BF282/(1+IFERROR(INDEX(BF$10:BF$11,Предпосылки!$I$212,),0))*IFERROR(INDEX(BF$10:BF$11,Предпосылки!$I$212,),0),BF305/(1+IFERROR(INDEX(BF$10:BF$11,Предпосылки!$I$213,),0))*IFERROR(INDEX(BF$10:BF$11,Предпосылки!$I$213,),0),BF328/(1+IFERROR(INDEX(BF$10:BF$11,Предпосылки!$I$214,),0))*IFERROR(INDEX(BF$10:BF$11,Предпосылки!$I$214,),0),BF351/(1+IFERROR(INDEX(BF$10:BF$11,Предпосылки!$I$215,),0))*IFERROR(INDEX(BF$10:BF$11,Предпосылки!$I$215,),0),BF374/(1+IFERROR(INDEX(BF$10:BF$11,Предпосылки!$I$216,),0))*IFERROR(INDEX(BF$10:BF$11,Предпосылки!$I$216,),0),BF397/(1+IFERROR(INDEX(BF$10:BF$11,Предпосылки!$I$217,),0))*IFERROR(INDEX(BF$10:BF$11,Предпосылки!$I$217,),0),BF420/(1+IFERROR(INDEX(BF$10:BF$11,Предпосылки!$I$218,),0))*IFERROR(INDEX(BF$10:BF$11,Предпосылки!$I$218,),0),BF443/(1+IFERROR(INDEX(BF$10:BF$11,Предпосылки!$I$219,),0))*IFERROR(INDEX(BF$10:BF$11,Предпосылки!$I$219,),0),BF466/(1+IFERROR(INDEX(BF$10:BF$11,Предпосылки!$I$220,),0))*IFERROR(INDEX(BF$10:BF$11,Предпосылки!$I$220,),0))</f>
        <v>0</v>
      </c>
      <c s="125">
        <f>SUM(BG29/(1+IFERROR(INDEX(BG$10:BG$11,Предпосылки!$I$201,),0))*IFERROR(INDEX(BG$10:BG$11,Предпосылки!$I$201,),0),BG52/(1+IFERROR(INDEX(BG$10:BG$11,Предпосылки!$I$202,),0))*IFERROR(INDEX(BG$10:BG$11,Предпосылки!$I$202,),0),BG75/(1+IFERROR(INDEX(BG$10:BG$11,Предпосылки!$I$203,),0))*IFERROR(INDEX(BG$10:BG$11,Предпосылки!$I$203,),0),BG98/(1+IFERROR(INDEX(BG$10:BG$11,Предпосылки!$I$204,),0))*IFERROR(INDEX(BG$10:BG$11,Предпосылки!$I$204,),0),BG121/(1+IFERROR(INDEX(BG$10:BG$11,Предпосылки!$I$205,),0))*IFERROR(INDEX(BG$10:BG$11,Предпосылки!$I$205,),0),BG144/(1+IFERROR(INDEX(BG$10:BG$11,Предпосылки!$I$206,),0))*IFERROR(INDEX(BG$10:BG$11,Предпосылки!$I$206,),0),BG167/(1+IFERROR(INDEX(BG$10:BG$11,Предпосылки!$I$207,),0))*IFERROR(INDEX(BG$10:BG$11,Предпосылки!$I$207,),0),BG190/(1+IFERROR(INDEX(BG$10:BG$11,Предпосылки!$I$208,),0))*IFERROR(INDEX(BG$10:BG$11,Предпосылки!$I$208,),0),BG213/(1+IFERROR(INDEX(BG$10:BG$11,Предпосылки!$I$209,),0))*IFERROR(INDEX(BG$10:BG$11,Предпосылки!$I$209,),0),BG236/(1+IFERROR(INDEX(BG$10:BG$11,Предпосылки!$I$210,),0))*IFERROR(INDEX(BG$10:BG$11,Предпосылки!$I$210,),0),BG259/(1+IFERROR(INDEX(BG$10:BG$11,Предпосылки!$I$211,),0))*IFERROR(INDEX(BG$10:BG$11,Предпосылки!$I$211,),0),BG282/(1+IFERROR(INDEX(BG$10:BG$11,Предпосылки!$I$212,),0))*IFERROR(INDEX(BG$10:BG$11,Предпосылки!$I$212,),0),BG305/(1+IFERROR(INDEX(BG$10:BG$11,Предпосылки!$I$213,),0))*IFERROR(INDEX(BG$10:BG$11,Предпосылки!$I$213,),0),BG328/(1+IFERROR(INDEX(BG$10:BG$11,Предпосылки!$I$214,),0))*IFERROR(INDEX(BG$10:BG$11,Предпосылки!$I$214,),0),BG351/(1+IFERROR(INDEX(BG$10:BG$11,Предпосылки!$I$215,),0))*IFERROR(INDEX(BG$10:BG$11,Предпосылки!$I$215,),0),BG374/(1+IFERROR(INDEX(BG$10:BG$11,Предпосылки!$I$216,),0))*IFERROR(INDEX(BG$10:BG$11,Предпосылки!$I$216,),0),BG397/(1+IFERROR(INDEX(BG$10:BG$11,Предпосылки!$I$217,),0))*IFERROR(INDEX(BG$10:BG$11,Предпосылки!$I$217,),0),BG420/(1+IFERROR(INDEX(BG$10:BG$11,Предпосылки!$I$218,),0))*IFERROR(INDEX(BG$10:BG$11,Предпосылки!$I$218,),0),BG443/(1+IFERROR(INDEX(BG$10:BG$11,Предпосылки!$I$219,),0))*IFERROR(INDEX(BG$10:BG$11,Предпосылки!$I$219,),0),BG466/(1+IFERROR(INDEX(BG$10:BG$11,Предпосылки!$I$220,),0))*IFERROR(INDEX(BG$10:BG$11,Предпосылки!$I$220,),0))</f>
        <v>0</v>
      </c>
      <c s="125">
        <f>SUM(BH29/(1+IFERROR(INDEX(BH$10:BH$11,Предпосылки!$I$201,),0))*IFERROR(INDEX(BH$10:BH$11,Предпосылки!$I$201,),0),BH52/(1+IFERROR(INDEX(BH$10:BH$11,Предпосылки!$I$202,),0))*IFERROR(INDEX(BH$10:BH$11,Предпосылки!$I$202,),0),BH75/(1+IFERROR(INDEX(BH$10:BH$11,Предпосылки!$I$203,),0))*IFERROR(INDEX(BH$10:BH$11,Предпосылки!$I$203,),0),BH98/(1+IFERROR(INDEX(BH$10:BH$11,Предпосылки!$I$204,),0))*IFERROR(INDEX(BH$10:BH$11,Предпосылки!$I$204,),0),BH121/(1+IFERROR(INDEX(BH$10:BH$11,Предпосылки!$I$205,),0))*IFERROR(INDEX(BH$10:BH$11,Предпосылки!$I$205,),0),BH144/(1+IFERROR(INDEX(BH$10:BH$11,Предпосылки!$I$206,),0))*IFERROR(INDEX(BH$10:BH$11,Предпосылки!$I$206,),0),BH167/(1+IFERROR(INDEX(BH$10:BH$11,Предпосылки!$I$207,),0))*IFERROR(INDEX(BH$10:BH$11,Предпосылки!$I$207,),0),BH190/(1+IFERROR(INDEX(BH$10:BH$11,Предпосылки!$I$208,),0))*IFERROR(INDEX(BH$10:BH$11,Предпосылки!$I$208,),0),BH213/(1+IFERROR(INDEX(BH$10:BH$11,Предпосылки!$I$209,),0))*IFERROR(INDEX(BH$10:BH$11,Предпосылки!$I$209,),0),BH236/(1+IFERROR(INDEX(BH$10:BH$11,Предпосылки!$I$210,),0))*IFERROR(INDEX(BH$10:BH$11,Предпосылки!$I$210,),0),BH259/(1+IFERROR(INDEX(BH$10:BH$11,Предпосылки!$I$211,),0))*IFERROR(INDEX(BH$10:BH$11,Предпосылки!$I$211,),0),BH282/(1+IFERROR(INDEX(BH$10:BH$11,Предпосылки!$I$212,),0))*IFERROR(INDEX(BH$10:BH$11,Предпосылки!$I$212,),0),BH305/(1+IFERROR(INDEX(BH$10:BH$11,Предпосылки!$I$213,),0))*IFERROR(INDEX(BH$10:BH$11,Предпосылки!$I$213,),0),BH328/(1+IFERROR(INDEX(BH$10:BH$11,Предпосылки!$I$214,),0))*IFERROR(INDEX(BH$10:BH$11,Предпосылки!$I$214,),0),BH351/(1+IFERROR(INDEX(BH$10:BH$11,Предпосылки!$I$215,),0))*IFERROR(INDEX(BH$10:BH$11,Предпосылки!$I$215,),0),BH374/(1+IFERROR(INDEX(BH$10:BH$11,Предпосылки!$I$216,),0))*IFERROR(INDEX(BH$10:BH$11,Предпосылки!$I$216,),0),BH397/(1+IFERROR(INDEX(BH$10:BH$11,Предпосылки!$I$217,),0))*IFERROR(INDEX(BH$10:BH$11,Предпосылки!$I$217,),0),BH420/(1+IFERROR(INDEX(BH$10:BH$11,Предпосылки!$I$218,),0))*IFERROR(INDEX(BH$10:BH$11,Предпосылки!$I$218,),0),BH443/(1+IFERROR(INDEX(BH$10:BH$11,Предпосылки!$I$219,),0))*IFERROR(INDEX(BH$10:BH$11,Предпосылки!$I$219,),0),BH466/(1+IFERROR(INDEX(BH$10:BH$11,Предпосылки!$I$220,),0))*IFERROR(INDEX(BH$10:BH$11,Предпосылки!$I$220,),0))</f>
        <v>0</v>
      </c>
      <c s="125">
        <f>SUM(BI29/(1+IFERROR(INDEX(BI$10:BI$11,Предпосылки!$I$201,),0))*IFERROR(INDEX(BI$10:BI$11,Предпосылки!$I$201,),0),BI52/(1+IFERROR(INDEX(BI$10:BI$11,Предпосылки!$I$202,),0))*IFERROR(INDEX(BI$10:BI$11,Предпосылки!$I$202,),0),BI75/(1+IFERROR(INDEX(BI$10:BI$11,Предпосылки!$I$203,),0))*IFERROR(INDEX(BI$10:BI$11,Предпосылки!$I$203,),0),BI98/(1+IFERROR(INDEX(BI$10:BI$11,Предпосылки!$I$204,),0))*IFERROR(INDEX(BI$10:BI$11,Предпосылки!$I$204,),0),BI121/(1+IFERROR(INDEX(BI$10:BI$11,Предпосылки!$I$205,),0))*IFERROR(INDEX(BI$10:BI$11,Предпосылки!$I$205,),0),BI144/(1+IFERROR(INDEX(BI$10:BI$11,Предпосылки!$I$206,),0))*IFERROR(INDEX(BI$10:BI$11,Предпосылки!$I$206,),0),BI167/(1+IFERROR(INDEX(BI$10:BI$11,Предпосылки!$I$207,),0))*IFERROR(INDEX(BI$10:BI$11,Предпосылки!$I$207,),0),BI190/(1+IFERROR(INDEX(BI$10:BI$11,Предпосылки!$I$208,),0))*IFERROR(INDEX(BI$10:BI$11,Предпосылки!$I$208,),0),BI213/(1+IFERROR(INDEX(BI$10:BI$11,Предпосылки!$I$209,),0))*IFERROR(INDEX(BI$10:BI$11,Предпосылки!$I$209,),0),BI236/(1+IFERROR(INDEX(BI$10:BI$11,Предпосылки!$I$210,),0))*IFERROR(INDEX(BI$10:BI$11,Предпосылки!$I$210,),0),BI259/(1+IFERROR(INDEX(BI$10:BI$11,Предпосылки!$I$211,),0))*IFERROR(INDEX(BI$10:BI$11,Предпосылки!$I$211,),0),BI282/(1+IFERROR(INDEX(BI$10:BI$11,Предпосылки!$I$212,),0))*IFERROR(INDEX(BI$10:BI$11,Предпосылки!$I$212,),0),BI305/(1+IFERROR(INDEX(BI$10:BI$11,Предпосылки!$I$213,),0))*IFERROR(INDEX(BI$10:BI$11,Предпосылки!$I$213,),0),BI328/(1+IFERROR(INDEX(BI$10:BI$11,Предпосылки!$I$214,),0))*IFERROR(INDEX(BI$10:BI$11,Предпосылки!$I$214,),0),BI351/(1+IFERROR(INDEX(BI$10:BI$11,Предпосылки!$I$215,),0))*IFERROR(INDEX(BI$10:BI$11,Предпосылки!$I$215,),0),BI374/(1+IFERROR(INDEX(BI$10:BI$11,Предпосылки!$I$216,),0))*IFERROR(INDEX(BI$10:BI$11,Предпосылки!$I$216,),0),BI397/(1+IFERROR(INDEX(BI$10:BI$11,Предпосылки!$I$217,),0))*IFERROR(INDEX(BI$10:BI$11,Предпосылки!$I$217,),0),BI420/(1+IFERROR(INDEX(BI$10:BI$11,Предпосылки!$I$218,),0))*IFERROR(INDEX(BI$10:BI$11,Предпосылки!$I$218,),0),BI443/(1+IFERROR(INDEX(BI$10:BI$11,Предпосылки!$I$219,),0))*IFERROR(INDEX(BI$10:BI$11,Предпосылки!$I$219,),0),BI466/(1+IFERROR(INDEX(BI$10:BI$11,Предпосылки!$I$220,),0))*IFERROR(INDEX(BI$10:BI$11,Предпосылки!$I$220,),0))</f>
        <v>0</v>
      </c>
      <c s="125">
        <f>SUM(BJ29/(1+IFERROR(INDEX(BJ$10:BJ$11,Предпосылки!$I$201,),0))*IFERROR(INDEX(BJ$10:BJ$11,Предпосылки!$I$201,),0),BJ52/(1+IFERROR(INDEX(BJ$10:BJ$11,Предпосылки!$I$202,),0))*IFERROR(INDEX(BJ$10:BJ$11,Предпосылки!$I$202,),0),BJ75/(1+IFERROR(INDEX(BJ$10:BJ$11,Предпосылки!$I$203,),0))*IFERROR(INDEX(BJ$10:BJ$11,Предпосылки!$I$203,),0),BJ98/(1+IFERROR(INDEX(BJ$10:BJ$11,Предпосылки!$I$204,),0))*IFERROR(INDEX(BJ$10:BJ$11,Предпосылки!$I$204,),0),BJ121/(1+IFERROR(INDEX(BJ$10:BJ$11,Предпосылки!$I$205,),0))*IFERROR(INDEX(BJ$10:BJ$11,Предпосылки!$I$205,),0),BJ144/(1+IFERROR(INDEX(BJ$10:BJ$11,Предпосылки!$I$206,),0))*IFERROR(INDEX(BJ$10:BJ$11,Предпосылки!$I$206,),0),BJ167/(1+IFERROR(INDEX(BJ$10:BJ$11,Предпосылки!$I$207,),0))*IFERROR(INDEX(BJ$10:BJ$11,Предпосылки!$I$207,),0),BJ190/(1+IFERROR(INDEX(BJ$10:BJ$11,Предпосылки!$I$208,),0))*IFERROR(INDEX(BJ$10:BJ$11,Предпосылки!$I$208,),0),BJ213/(1+IFERROR(INDEX(BJ$10:BJ$11,Предпосылки!$I$209,),0))*IFERROR(INDEX(BJ$10:BJ$11,Предпосылки!$I$209,),0),BJ236/(1+IFERROR(INDEX(BJ$10:BJ$11,Предпосылки!$I$210,),0))*IFERROR(INDEX(BJ$10:BJ$11,Предпосылки!$I$210,),0),BJ259/(1+IFERROR(INDEX(BJ$10:BJ$11,Предпосылки!$I$211,),0))*IFERROR(INDEX(BJ$10:BJ$11,Предпосылки!$I$211,),0),BJ282/(1+IFERROR(INDEX(BJ$10:BJ$11,Предпосылки!$I$212,),0))*IFERROR(INDEX(BJ$10:BJ$11,Предпосылки!$I$212,),0),BJ305/(1+IFERROR(INDEX(BJ$10:BJ$11,Предпосылки!$I$213,),0))*IFERROR(INDEX(BJ$10:BJ$11,Предпосылки!$I$213,),0),BJ328/(1+IFERROR(INDEX(BJ$10:BJ$11,Предпосылки!$I$214,),0))*IFERROR(INDEX(BJ$10:BJ$11,Предпосылки!$I$214,),0),BJ351/(1+IFERROR(INDEX(BJ$10:BJ$11,Предпосылки!$I$215,),0))*IFERROR(INDEX(BJ$10:BJ$11,Предпосылки!$I$215,),0),BJ374/(1+IFERROR(INDEX(BJ$10:BJ$11,Предпосылки!$I$216,),0))*IFERROR(INDEX(BJ$10:BJ$11,Предпосылки!$I$216,),0),BJ397/(1+IFERROR(INDEX(BJ$10:BJ$11,Предпосылки!$I$217,),0))*IFERROR(INDEX(BJ$10:BJ$11,Предпосылки!$I$217,),0),BJ420/(1+IFERROR(INDEX(BJ$10:BJ$11,Предпосылки!$I$218,),0))*IFERROR(INDEX(BJ$10:BJ$11,Предпосылки!$I$218,),0),BJ443/(1+IFERROR(INDEX(BJ$10:BJ$11,Предпосылки!$I$219,),0))*IFERROR(INDEX(BJ$10:BJ$11,Предпосылки!$I$219,),0),BJ466/(1+IFERROR(INDEX(BJ$10:BJ$11,Предпосылки!$I$220,),0))*IFERROR(INDEX(BJ$10:BJ$11,Предпосылки!$I$220,),0))</f>
        <v>0</v>
      </c>
      <c s="125">
        <f>SUM(BK29/(1+IFERROR(INDEX(BK$10:BK$11,Предпосылки!$I$201,),0))*IFERROR(INDEX(BK$10:BK$11,Предпосылки!$I$201,),0),BK52/(1+IFERROR(INDEX(BK$10:BK$11,Предпосылки!$I$202,),0))*IFERROR(INDEX(BK$10:BK$11,Предпосылки!$I$202,),0),BK75/(1+IFERROR(INDEX(BK$10:BK$11,Предпосылки!$I$203,),0))*IFERROR(INDEX(BK$10:BK$11,Предпосылки!$I$203,),0),BK98/(1+IFERROR(INDEX(BK$10:BK$11,Предпосылки!$I$204,),0))*IFERROR(INDEX(BK$10:BK$11,Предпосылки!$I$204,),0),BK121/(1+IFERROR(INDEX(BK$10:BK$11,Предпосылки!$I$205,),0))*IFERROR(INDEX(BK$10:BK$11,Предпосылки!$I$205,),0),BK144/(1+IFERROR(INDEX(BK$10:BK$11,Предпосылки!$I$206,),0))*IFERROR(INDEX(BK$10:BK$11,Предпосылки!$I$206,),0),BK167/(1+IFERROR(INDEX(BK$10:BK$11,Предпосылки!$I$207,),0))*IFERROR(INDEX(BK$10:BK$11,Предпосылки!$I$207,),0),BK190/(1+IFERROR(INDEX(BK$10:BK$11,Предпосылки!$I$208,),0))*IFERROR(INDEX(BK$10:BK$11,Предпосылки!$I$208,),0),BK213/(1+IFERROR(INDEX(BK$10:BK$11,Предпосылки!$I$209,),0))*IFERROR(INDEX(BK$10:BK$11,Предпосылки!$I$209,),0),BK236/(1+IFERROR(INDEX(BK$10:BK$11,Предпосылки!$I$210,),0))*IFERROR(INDEX(BK$10:BK$11,Предпосылки!$I$210,),0),BK259/(1+IFERROR(INDEX(BK$10:BK$11,Предпосылки!$I$211,),0))*IFERROR(INDEX(BK$10:BK$11,Предпосылки!$I$211,),0),BK282/(1+IFERROR(INDEX(BK$10:BK$11,Предпосылки!$I$212,),0))*IFERROR(INDEX(BK$10:BK$11,Предпосылки!$I$212,),0),BK305/(1+IFERROR(INDEX(BK$10:BK$11,Предпосылки!$I$213,),0))*IFERROR(INDEX(BK$10:BK$11,Предпосылки!$I$213,),0),BK328/(1+IFERROR(INDEX(BK$10:BK$11,Предпосылки!$I$214,),0))*IFERROR(INDEX(BK$10:BK$11,Предпосылки!$I$214,),0),BK351/(1+IFERROR(INDEX(BK$10:BK$11,Предпосылки!$I$215,),0))*IFERROR(INDEX(BK$10:BK$11,Предпосылки!$I$215,),0),BK374/(1+IFERROR(INDEX(BK$10:BK$11,Предпосылки!$I$216,),0))*IFERROR(INDEX(BK$10:BK$11,Предпосылки!$I$216,),0),BK397/(1+IFERROR(INDEX(BK$10:BK$11,Предпосылки!$I$217,),0))*IFERROR(INDEX(BK$10:BK$11,Предпосылки!$I$217,),0),BK420/(1+IFERROR(INDEX(BK$10:BK$11,Предпосылки!$I$218,),0))*IFERROR(INDEX(BK$10:BK$11,Предпосылки!$I$218,),0),BK443/(1+IFERROR(INDEX(BK$10:BK$11,Предпосылки!$I$219,),0))*IFERROR(INDEX(BK$10:BK$11,Предпосылки!$I$219,),0),BK466/(1+IFERROR(INDEX(BK$10:BK$11,Предпосылки!$I$220,),0))*IFERROR(INDEX(BK$10:BK$11,Предпосылки!$I$220,),0))</f>
        <v>0</v>
      </c>
      <c s="125">
        <f>SUM(BL29/(1+IFERROR(INDEX(BL$10:BL$11,Предпосылки!$I$201,),0))*IFERROR(INDEX(BL$10:BL$11,Предпосылки!$I$201,),0),BL52/(1+IFERROR(INDEX(BL$10:BL$11,Предпосылки!$I$202,),0))*IFERROR(INDEX(BL$10:BL$11,Предпосылки!$I$202,),0),BL75/(1+IFERROR(INDEX(BL$10:BL$11,Предпосылки!$I$203,),0))*IFERROR(INDEX(BL$10:BL$11,Предпосылки!$I$203,),0),BL98/(1+IFERROR(INDEX(BL$10:BL$11,Предпосылки!$I$204,),0))*IFERROR(INDEX(BL$10:BL$11,Предпосылки!$I$204,),0),BL121/(1+IFERROR(INDEX(BL$10:BL$11,Предпосылки!$I$205,),0))*IFERROR(INDEX(BL$10:BL$11,Предпосылки!$I$205,),0),BL144/(1+IFERROR(INDEX(BL$10:BL$11,Предпосылки!$I$206,),0))*IFERROR(INDEX(BL$10:BL$11,Предпосылки!$I$206,),0),BL167/(1+IFERROR(INDEX(BL$10:BL$11,Предпосылки!$I$207,),0))*IFERROR(INDEX(BL$10:BL$11,Предпосылки!$I$207,),0),BL190/(1+IFERROR(INDEX(BL$10:BL$11,Предпосылки!$I$208,),0))*IFERROR(INDEX(BL$10:BL$11,Предпосылки!$I$208,),0),BL213/(1+IFERROR(INDEX(BL$10:BL$11,Предпосылки!$I$209,),0))*IFERROR(INDEX(BL$10:BL$11,Предпосылки!$I$209,),0),BL236/(1+IFERROR(INDEX(BL$10:BL$11,Предпосылки!$I$210,),0))*IFERROR(INDEX(BL$10:BL$11,Предпосылки!$I$210,),0),BL259/(1+IFERROR(INDEX(BL$10:BL$11,Предпосылки!$I$211,),0))*IFERROR(INDEX(BL$10:BL$11,Предпосылки!$I$211,),0),BL282/(1+IFERROR(INDEX(BL$10:BL$11,Предпосылки!$I$212,),0))*IFERROR(INDEX(BL$10:BL$11,Предпосылки!$I$212,),0),BL305/(1+IFERROR(INDEX(BL$10:BL$11,Предпосылки!$I$213,),0))*IFERROR(INDEX(BL$10:BL$11,Предпосылки!$I$213,),0),BL328/(1+IFERROR(INDEX(BL$10:BL$11,Предпосылки!$I$214,),0))*IFERROR(INDEX(BL$10:BL$11,Предпосылки!$I$214,),0),BL351/(1+IFERROR(INDEX(BL$10:BL$11,Предпосылки!$I$215,),0))*IFERROR(INDEX(BL$10:BL$11,Предпосылки!$I$215,),0),BL374/(1+IFERROR(INDEX(BL$10:BL$11,Предпосылки!$I$216,),0))*IFERROR(INDEX(BL$10:BL$11,Предпосылки!$I$216,),0),BL397/(1+IFERROR(INDEX(BL$10:BL$11,Предпосылки!$I$217,),0))*IFERROR(INDEX(BL$10:BL$11,Предпосылки!$I$217,),0),BL420/(1+IFERROR(INDEX(BL$10:BL$11,Предпосылки!$I$218,),0))*IFERROR(INDEX(BL$10:BL$11,Предпосылки!$I$218,),0),BL443/(1+IFERROR(INDEX(BL$10:BL$11,Предпосылки!$I$219,),0))*IFERROR(INDEX(BL$10:BL$11,Предпосылки!$I$219,),0),BL466/(1+IFERROR(INDEX(BL$10:BL$11,Предпосылки!$I$220,),0))*IFERROR(INDEX(BL$10:BL$11,Предпосылки!$I$220,),0))</f>
        <v>0</v>
      </c>
      <c s="125">
        <f>SUM(BM29/(1+IFERROR(INDEX(BM$10:BM$11,Предпосылки!$I$201,),0))*IFERROR(INDEX(BM$10:BM$11,Предпосылки!$I$201,),0),BM52/(1+IFERROR(INDEX(BM$10:BM$11,Предпосылки!$I$202,),0))*IFERROR(INDEX(BM$10:BM$11,Предпосылки!$I$202,),0),BM75/(1+IFERROR(INDEX(BM$10:BM$11,Предпосылки!$I$203,),0))*IFERROR(INDEX(BM$10:BM$11,Предпосылки!$I$203,),0),BM98/(1+IFERROR(INDEX(BM$10:BM$11,Предпосылки!$I$204,),0))*IFERROR(INDEX(BM$10:BM$11,Предпосылки!$I$204,),0),BM121/(1+IFERROR(INDEX(BM$10:BM$11,Предпосылки!$I$205,),0))*IFERROR(INDEX(BM$10:BM$11,Предпосылки!$I$205,),0),BM144/(1+IFERROR(INDEX(BM$10:BM$11,Предпосылки!$I$206,),0))*IFERROR(INDEX(BM$10:BM$11,Предпосылки!$I$206,),0),BM167/(1+IFERROR(INDEX(BM$10:BM$11,Предпосылки!$I$207,),0))*IFERROR(INDEX(BM$10:BM$11,Предпосылки!$I$207,),0),BM190/(1+IFERROR(INDEX(BM$10:BM$11,Предпосылки!$I$208,),0))*IFERROR(INDEX(BM$10:BM$11,Предпосылки!$I$208,),0),BM213/(1+IFERROR(INDEX(BM$10:BM$11,Предпосылки!$I$209,),0))*IFERROR(INDEX(BM$10:BM$11,Предпосылки!$I$209,),0),BM236/(1+IFERROR(INDEX(BM$10:BM$11,Предпосылки!$I$210,),0))*IFERROR(INDEX(BM$10:BM$11,Предпосылки!$I$210,),0),BM259/(1+IFERROR(INDEX(BM$10:BM$11,Предпосылки!$I$211,),0))*IFERROR(INDEX(BM$10:BM$11,Предпосылки!$I$211,),0),BM282/(1+IFERROR(INDEX(BM$10:BM$11,Предпосылки!$I$212,),0))*IFERROR(INDEX(BM$10:BM$11,Предпосылки!$I$212,),0),BM305/(1+IFERROR(INDEX(BM$10:BM$11,Предпосылки!$I$213,),0))*IFERROR(INDEX(BM$10:BM$11,Предпосылки!$I$213,),0),BM328/(1+IFERROR(INDEX(BM$10:BM$11,Предпосылки!$I$214,),0))*IFERROR(INDEX(BM$10:BM$11,Предпосылки!$I$214,),0),BM351/(1+IFERROR(INDEX(BM$10:BM$11,Предпосылки!$I$215,),0))*IFERROR(INDEX(BM$10:BM$11,Предпосылки!$I$215,),0),BM374/(1+IFERROR(INDEX(BM$10:BM$11,Предпосылки!$I$216,),0))*IFERROR(INDEX(BM$10:BM$11,Предпосылки!$I$216,),0),BM397/(1+IFERROR(INDEX(BM$10:BM$11,Предпосылки!$I$217,),0))*IFERROR(INDEX(BM$10:BM$11,Предпосылки!$I$217,),0),BM420/(1+IFERROR(INDEX(BM$10:BM$11,Предпосылки!$I$218,),0))*IFERROR(INDEX(BM$10:BM$11,Предпосылки!$I$218,),0),BM443/(1+IFERROR(INDEX(BM$10:BM$11,Предпосылки!$I$219,),0))*IFERROR(INDEX(BM$10:BM$11,Предпосылки!$I$219,),0),BM466/(1+IFERROR(INDEX(BM$10:BM$11,Предпосылки!$I$220,),0))*IFERROR(INDEX(BM$10:BM$11,Предпосылки!$I$220,),0))</f>
        <v>0</v>
      </c>
    </row>
    <row r="561" spans="2:65" ht="15" customHeight="1">
      <c r="B561" s="12" t="str">
        <f t="shared" si="255"/>
        <v>Продукт 8</v>
      </c>
      <c s="124" t="str">
        <f t="shared" si="254"/>
        <v>тыс. руб.</v>
      </c>
      <c s="276">
        <f t="shared" si="256"/>
        <v>0</v>
      </c>
      <c s="125">
        <f>SUM(E30/(1+IFERROR(INDEX(E$10:E$11,Предпосылки!$I208,),0))*IFERROR(INDEX(E$10:E$11,Предпосылки!$I208,),0),E53/(1+IFERROR(INDEX(E$10:E$11,Предпосылки!$I209,),0))*IFERROR(INDEX(E$10:E$11,Предпосылки!$I209,),0),E76/(1+IFERROR(INDEX(E$10:E$11,Предпосылки!$I210,),0))*IFERROR(INDEX(E$10:E$11,Предпосылки!$I210,),0),E99/(1+IFERROR(INDEX(E$10:E$11,Предпосылки!$I211,),0))*IFERROR(INDEX(E$10:E$11,Предпосылки!$I211,),0),E122/(1+IFERROR(INDEX(E$10:E$11,Предпосылки!$I212,),0))*IFERROR(INDEX(E$10:E$11,Предпосылки!$I212,),0),E145/(1+IFERROR(INDEX(E$10:E$11,Предпосылки!$I213,),0))*IFERROR(INDEX(E$10:E$11,Предпосылки!$I213,),0),E168/(1+IFERROR(INDEX(E$10:E$11,Предпосылки!$I214,),0))*IFERROR(INDEX(E$10:E$11,Предпосылки!$I214,),0),E191/(1+IFERROR(INDEX(E$10:E$11,Предпосылки!$I215,),0))*IFERROR(INDEX(E$10:E$11,Предпосылки!$I215,),0),E214/(1+IFERROR(INDEX(E$10:E$11,Предпосылки!$I216,),0))*IFERROR(INDEX(E$10:E$11,Предпосылки!$I216,),0),E237/(1+IFERROR(INDEX(E$10:E$11,Предпосылки!$I217,),0))*IFERROR(INDEX(E$10:E$11,Предпосылки!$I217,),0),E260/(1+IFERROR(INDEX(E$10:E$11,Предпосылки!$I218,),0))*IFERROR(INDEX(E$10:E$11,Предпосылки!$I218,),0),E283/(1+IFERROR(INDEX(E$10:E$11,Предпосылки!$I219,),0))*IFERROR(INDEX(E$10:E$11,Предпосылки!$I219,),0),E306/(1+IFERROR(INDEX(E$10:E$11,Предпосылки!$I220,),0))*IFERROR(INDEX(E$10:E$11,Предпосылки!$I220,),0),E329/(1+IFERROR(INDEX(E$10:E$11,Предпосылки!$I221,),0))*IFERROR(INDEX(E$10:E$11,Предпосылки!$I221,),0),E352/(1+IFERROR(INDEX(E$10:E$11,Предпосылки!$I222,),0))*IFERROR(INDEX(E$10:E$11,Предпосылки!$I222,),0),E375/(1+IFERROR(INDEX(E$10:E$11,Предпосылки!$I223,),0))*IFERROR(INDEX(E$10:E$11,Предпосылки!$I223,),0),E398/(1+IFERROR(INDEX(E$10:E$11,Предпосылки!$I224,),0))*IFERROR(INDEX(E$10:E$11,Предпосылки!$I224,),0),E421/(1+IFERROR(INDEX(E$10:E$11,Предпосылки!$I225,),0))*IFERROR(INDEX(E$10:E$11,Предпосылки!$I225,),0),E444/(1+IFERROR(INDEX(E$10:E$11,Предпосылки!$I226,),0))*IFERROR(INDEX(E$10:E$11,Предпосылки!$I226,),0),E467/(1+IFERROR(INDEX(E$10:E$11,Предпосылки!$I227,),0))*IFERROR(INDEX(E$10:E$11,Предпосылки!$I227,),0))</f>
        <v>0</v>
      </c>
      <c s="125">
        <f>SUM(F30/(1+IFERROR(INDEX(F$10:F$11,Предпосылки!$I$201,),0))*IFERROR(INDEX(F$10:F$11,Предпосылки!$I$201,),0),F53/(1+IFERROR(INDEX(F$10:F$11,Предпосылки!$I$202,),0))*IFERROR(INDEX(F$10:F$11,Предпосылки!$I$202,),0),F76/(1+IFERROR(INDEX(F$10:F$11,Предпосылки!$I$203,),0))*IFERROR(INDEX(F$10:F$11,Предпосылки!$I$203,),0),F99/(1+IFERROR(INDEX(F$10:F$11,Предпосылки!$I$204,),0))*IFERROR(INDEX(F$10:F$11,Предпосылки!$I$204,),0),F122/(1+IFERROR(INDEX(F$10:F$11,Предпосылки!$I$205,),0))*IFERROR(INDEX(F$10:F$11,Предпосылки!$I$205,),0),F145/(1+IFERROR(INDEX(F$10:F$11,Предпосылки!$I$206,),0))*IFERROR(INDEX(F$10:F$11,Предпосылки!$I$206,),0),F168/(1+IFERROR(INDEX(F$10:F$11,Предпосылки!$I$207,),0))*IFERROR(INDEX(F$10:F$11,Предпосылки!$I$207,),0),F191/(1+IFERROR(INDEX(F$10:F$11,Предпосылки!$I$208,),0))*IFERROR(INDEX(F$10:F$11,Предпосылки!$I$208,),0),F214/(1+IFERROR(INDEX(F$10:F$11,Предпосылки!$I$209,),0))*IFERROR(INDEX(F$10:F$11,Предпосылки!$I$209,),0),F237/(1+IFERROR(INDEX(F$10:F$11,Предпосылки!$I$210,),0))*IFERROR(INDEX(F$10:F$11,Предпосылки!$I$210,),0),F260/(1+IFERROR(INDEX(F$10:F$11,Предпосылки!$I$211,),0))*IFERROR(INDEX(F$10:F$11,Предпосылки!$I$211,),0),F283/(1+IFERROR(INDEX(F$10:F$11,Предпосылки!$I$212,),0))*IFERROR(INDEX(F$10:F$11,Предпосылки!$I$212,),0),F306/(1+IFERROR(INDEX(F$10:F$11,Предпосылки!$I$213,),0))*IFERROR(INDEX(F$10:F$11,Предпосылки!$I$213,),0),F329/(1+IFERROR(INDEX(F$10:F$11,Предпосылки!$I$214,),0))*IFERROR(INDEX(F$10:F$11,Предпосылки!$I$214,),0),F352/(1+IFERROR(INDEX(F$10:F$11,Предпосылки!$I$215,),0))*IFERROR(INDEX(F$10:F$11,Предпосылки!$I$215,),0),F375/(1+IFERROR(INDEX(F$10:F$11,Предпосылки!$I$216,),0))*IFERROR(INDEX(F$10:F$11,Предпосылки!$I$216,),0),F398/(1+IFERROR(INDEX(F$10:F$11,Предпосылки!$I$217,),0))*IFERROR(INDEX(F$10:F$11,Предпосылки!$I$217,),0),F421/(1+IFERROR(INDEX(F$10:F$11,Предпосылки!$I$218,),0))*IFERROR(INDEX(F$10:F$11,Предпосылки!$I$218,),0),F444/(1+IFERROR(INDEX(F$10:F$11,Предпосылки!$I$219,),0))*IFERROR(INDEX(F$10:F$11,Предпосылки!$I$219,),0),F467/(1+IFERROR(INDEX(F$10:F$11,Предпосылки!$I$220,),0))*IFERROR(INDEX(F$10:F$11,Предпосылки!$I$220,),0))</f>
        <v>0</v>
      </c>
      <c s="125">
        <f>SUM(G30/(1+IFERROR(INDEX(G$10:G$11,Предпосылки!$I$201,),0))*IFERROR(INDEX(G$10:G$11,Предпосылки!$I$201,),0),G53/(1+IFERROR(INDEX(G$10:G$11,Предпосылки!$I$202,),0))*IFERROR(INDEX(G$10:G$11,Предпосылки!$I$202,),0),G76/(1+IFERROR(INDEX(G$10:G$11,Предпосылки!$I$203,),0))*IFERROR(INDEX(G$10:G$11,Предпосылки!$I$203,),0),G99/(1+IFERROR(INDEX(G$10:G$11,Предпосылки!$I$204,),0))*IFERROR(INDEX(G$10:G$11,Предпосылки!$I$204,),0),G122/(1+IFERROR(INDEX(G$10:G$11,Предпосылки!$I$205,),0))*IFERROR(INDEX(G$10:G$11,Предпосылки!$I$205,),0),G145/(1+IFERROR(INDEX(G$10:G$11,Предпосылки!$I$206,),0))*IFERROR(INDEX(G$10:G$11,Предпосылки!$I$206,),0),G168/(1+IFERROR(INDEX(G$10:G$11,Предпосылки!$I$207,),0))*IFERROR(INDEX(G$10:G$11,Предпосылки!$I$207,),0),G191/(1+IFERROR(INDEX(G$10:G$11,Предпосылки!$I$208,),0))*IFERROR(INDEX(G$10:G$11,Предпосылки!$I$208,),0),G214/(1+IFERROR(INDEX(G$10:G$11,Предпосылки!$I$209,),0))*IFERROR(INDEX(G$10:G$11,Предпосылки!$I$209,),0),G237/(1+IFERROR(INDEX(G$10:G$11,Предпосылки!$I$210,),0))*IFERROR(INDEX(G$10:G$11,Предпосылки!$I$210,),0),G260/(1+IFERROR(INDEX(G$10:G$11,Предпосылки!$I$211,),0))*IFERROR(INDEX(G$10:G$11,Предпосылки!$I$211,),0),G283/(1+IFERROR(INDEX(G$10:G$11,Предпосылки!$I$212,),0))*IFERROR(INDEX(G$10:G$11,Предпосылки!$I$212,),0),G306/(1+IFERROR(INDEX(G$10:G$11,Предпосылки!$I$213,),0))*IFERROR(INDEX(G$10:G$11,Предпосылки!$I$213,),0),G329/(1+IFERROR(INDEX(G$10:G$11,Предпосылки!$I$214,),0))*IFERROR(INDEX(G$10:G$11,Предпосылки!$I$214,),0),G352/(1+IFERROR(INDEX(G$10:G$11,Предпосылки!$I$215,),0))*IFERROR(INDEX(G$10:G$11,Предпосылки!$I$215,),0),G375/(1+IFERROR(INDEX(G$10:G$11,Предпосылки!$I$216,),0))*IFERROR(INDEX(G$10:G$11,Предпосылки!$I$216,),0),G398/(1+IFERROR(INDEX(G$10:G$11,Предпосылки!$I$217,),0))*IFERROR(INDEX(G$10:G$11,Предпосылки!$I$217,),0),G421/(1+IFERROR(INDEX(G$10:G$11,Предпосылки!$I$218,),0))*IFERROR(INDEX(G$10:G$11,Предпосылки!$I$218,),0),G444/(1+IFERROR(INDEX(G$10:G$11,Предпосылки!$I$219,),0))*IFERROR(INDEX(G$10:G$11,Предпосылки!$I$219,),0),G467/(1+IFERROR(INDEX(G$10:G$11,Предпосылки!$I$220,),0))*IFERROR(INDEX(G$10:G$11,Предпосылки!$I$220,),0))</f>
        <v>0</v>
      </c>
      <c s="125">
        <f>SUM(H30/(1+IFERROR(INDEX(H$10:H$11,Предпосылки!$I$201,),0))*IFERROR(INDEX(H$10:H$11,Предпосылки!$I$201,),0),H53/(1+IFERROR(INDEX(H$10:H$11,Предпосылки!$I$202,),0))*IFERROR(INDEX(H$10:H$11,Предпосылки!$I$202,),0),H76/(1+IFERROR(INDEX(H$10:H$11,Предпосылки!$I$203,),0))*IFERROR(INDEX(H$10:H$11,Предпосылки!$I$203,),0),H99/(1+IFERROR(INDEX(H$10:H$11,Предпосылки!$I$204,),0))*IFERROR(INDEX(H$10:H$11,Предпосылки!$I$204,),0),H122/(1+IFERROR(INDEX(H$10:H$11,Предпосылки!$I$205,),0))*IFERROR(INDEX(H$10:H$11,Предпосылки!$I$205,),0),H145/(1+IFERROR(INDEX(H$10:H$11,Предпосылки!$I$206,),0))*IFERROR(INDEX(H$10:H$11,Предпосылки!$I$206,),0),H168/(1+IFERROR(INDEX(H$10:H$11,Предпосылки!$I$207,),0))*IFERROR(INDEX(H$10:H$11,Предпосылки!$I$207,),0),H191/(1+IFERROR(INDEX(H$10:H$11,Предпосылки!$I$208,),0))*IFERROR(INDEX(H$10:H$11,Предпосылки!$I$208,),0),H214/(1+IFERROR(INDEX(H$10:H$11,Предпосылки!$I$209,),0))*IFERROR(INDEX(H$10:H$11,Предпосылки!$I$209,),0),H237/(1+IFERROR(INDEX(H$10:H$11,Предпосылки!$I$210,),0))*IFERROR(INDEX(H$10:H$11,Предпосылки!$I$210,),0),H260/(1+IFERROR(INDEX(H$10:H$11,Предпосылки!$I$211,),0))*IFERROR(INDEX(H$10:H$11,Предпосылки!$I$211,),0),H283/(1+IFERROR(INDEX(H$10:H$11,Предпосылки!$I$212,),0))*IFERROR(INDEX(H$10:H$11,Предпосылки!$I$212,),0),H306/(1+IFERROR(INDEX(H$10:H$11,Предпосылки!$I$213,),0))*IFERROR(INDEX(H$10:H$11,Предпосылки!$I$213,),0),H329/(1+IFERROR(INDEX(H$10:H$11,Предпосылки!$I$214,),0))*IFERROR(INDEX(H$10:H$11,Предпосылки!$I$214,),0),H352/(1+IFERROR(INDEX(H$10:H$11,Предпосылки!$I$215,),0))*IFERROR(INDEX(H$10:H$11,Предпосылки!$I$215,),0),H375/(1+IFERROR(INDEX(H$10:H$11,Предпосылки!$I$216,),0))*IFERROR(INDEX(H$10:H$11,Предпосылки!$I$216,),0),H398/(1+IFERROR(INDEX(H$10:H$11,Предпосылки!$I$217,),0))*IFERROR(INDEX(H$10:H$11,Предпосылки!$I$217,),0),H421/(1+IFERROR(INDEX(H$10:H$11,Предпосылки!$I$218,),0))*IFERROR(INDEX(H$10:H$11,Предпосылки!$I$218,),0),H444/(1+IFERROR(INDEX(H$10:H$11,Предпосылки!$I$219,),0))*IFERROR(INDEX(H$10:H$11,Предпосылки!$I$219,),0),H467/(1+IFERROR(INDEX(H$10:H$11,Предпосылки!$I$220,),0))*IFERROR(INDEX(H$10:H$11,Предпосылки!$I$220,),0))</f>
        <v>0</v>
      </c>
      <c s="125">
        <f>SUM(I30/(1+IFERROR(INDEX(I$10:I$11,Предпосылки!$I$201,),0))*IFERROR(INDEX(I$10:I$11,Предпосылки!$I$201,),0),I53/(1+IFERROR(INDEX(I$10:I$11,Предпосылки!$I$202,),0))*IFERROR(INDEX(I$10:I$11,Предпосылки!$I$202,),0),I76/(1+IFERROR(INDEX(I$10:I$11,Предпосылки!$I$203,),0))*IFERROR(INDEX(I$10:I$11,Предпосылки!$I$203,),0),I99/(1+IFERROR(INDEX(I$10:I$11,Предпосылки!$I$204,),0))*IFERROR(INDEX(I$10:I$11,Предпосылки!$I$204,),0),I122/(1+IFERROR(INDEX(I$10:I$11,Предпосылки!$I$205,),0))*IFERROR(INDEX(I$10:I$11,Предпосылки!$I$205,),0),I145/(1+IFERROR(INDEX(I$10:I$11,Предпосылки!$I$206,),0))*IFERROR(INDEX(I$10:I$11,Предпосылки!$I$206,),0),I168/(1+IFERROR(INDEX(I$10:I$11,Предпосылки!$I$207,),0))*IFERROR(INDEX(I$10:I$11,Предпосылки!$I$207,),0),I191/(1+IFERROR(INDEX(I$10:I$11,Предпосылки!$I$208,),0))*IFERROR(INDEX(I$10:I$11,Предпосылки!$I$208,),0),I214/(1+IFERROR(INDEX(I$10:I$11,Предпосылки!$I$209,),0))*IFERROR(INDEX(I$10:I$11,Предпосылки!$I$209,),0),I237/(1+IFERROR(INDEX(I$10:I$11,Предпосылки!$I$210,),0))*IFERROR(INDEX(I$10:I$11,Предпосылки!$I$210,),0),I260/(1+IFERROR(INDEX(I$10:I$11,Предпосылки!$I$211,),0))*IFERROR(INDEX(I$10:I$11,Предпосылки!$I$211,),0),I283/(1+IFERROR(INDEX(I$10:I$11,Предпосылки!$I$212,),0))*IFERROR(INDEX(I$10:I$11,Предпосылки!$I$212,),0),I306/(1+IFERROR(INDEX(I$10:I$11,Предпосылки!$I$213,),0))*IFERROR(INDEX(I$10:I$11,Предпосылки!$I$213,),0),I329/(1+IFERROR(INDEX(I$10:I$11,Предпосылки!$I$214,),0))*IFERROR(INDEX(I$10:I$11,Предпосылки!$I$214,),0),I352/(1+IFERROR(INDEX(I$10:I$11,Предпосылки!$I$215,),0))*IFERROR(INDEX(I$10:I$11,Предпосылки!$I$215,),0),I375/(1+IFERROR(INDEX(I$10:I$11,Предпосылки!$I$216,),0))*IFERROR(INDEX(I$10:I$11,Предпосылки!$I$216,),0),I398/(1+IFERROR(INDEX(I$10:I$11,Предпосылки!$I$217,),0))*IFERROR(INDEX(I$10:I$11,Предпосылки!$I$217,),0),I421/(1+IFERROR(INDEX(I$10:I$11,Предпосылки!$I$218,),0))*IFERROR(INDEX(I$10:I$11,Предпосылки!$I$218,),0),I444/(1+IFERROR(INDEX(I$10:I$11,Предпосылки!$I$219,),0))*IFERROR(INDEX(I$10:I$11,Предпосылки!$I$219,),0),I467/(1+IFERROR(INDEX(I$10:I$11,Предпосылки!$I$220,),0))*IFERROR(INDEX(I$10:I$11,Предпосылки!$I$220,),0))</f>
        <v>0</v>
      </c>
      <c s="125">
        <f>SUM(J30/(1+IFERROR(INDEX(J$10:J$11,Предпосылки!$I$201,),0))*IFERROR(INDEX(J$10:J$11,Предпосылки!$I$201,),0),J53/(1+IFERROR(INDEX(J$10:J$11,Предпосылки!$I$202,),0))*IFERROR(INDEX(J$10:J$11,Предпосылки!$I$202,),0),J76/(1+IFERROR(INDEX(J$10:J$11,Предпосылки!$I$203,),0))*IFERROR(INDEX(J$10:J$11,Предпосылки!$I$203,),0),J99/(1+IFERROR(INDEX(J$10:J$11,Предпосылки!$I$204,),0))*IFERROR(INDEX(J$10:J$11,Предпосылки!$I$204,),0),J122/(1+IFERROR(INDEX(J$10:J$11,Предпосылки!$I$205,),0))*IFERROR(INDEX(J$10:J$11,Предпосылки!$I$205,),0),J145/(1+IFERROR(INDEX(J$10:J$11,Предпосылки!$I$206,),0))*IFERROR(INDEX(J$10:J$11,Предпосылки!$I$206,),0),J168/(1+IFERROR(INDEX(J$10:J$11,Предпосылки!$I$207,),0))*IFERROR(INDEX(J$10:J$11,Предпосылки!$I$207,),0),J191/(1+IFERROR(INDEX(J$10:J$11,Предпосылки!$I$208,),0))*IFERROR(INDEX(J$10:J$11,Предпосылки!$I$208,),0),J214/(1+IFERROR(INDEX(J$10:J$11,Предпосылки!$I$209,),0))*IFERROR(INDEX(J$10:J$11,Предпосылки!$I$209,),0),J237/(1+IFERROR(INDEX(J$10:J$11,Предпосылки!$I$210,),0))*IFERROR(INDEX(J$10:J$11,Предпосылки!$I$210,),0),J260/(1+IFERROR(INDEX(J$10:J$11,Предпосылки!$I$211,),0))*IFERROR(INDEX(J$10:J$11,Предпосылки!$I$211,),0),J283/(1+IFERROR(INDEX(J$10:J$11,Предпосылки!$I$212,),0))*IFERROR(INDEX(J$10:J$11,Предпосылки!$I$212,),0),J306/(1+IFERROR(INDEX(J$10:J$11,Предпосылки!$I$213,),0))*IFERROR(INDEX(J$10:J$11,Предпосылки!$I$213,),0),J329/(1+IFERROR(INDEX(J$10:J$11,Предпосылки!$I$214,),0))*IFERROR(INDEX(J$10:J$11,Предпосылки!$I$214,),0),J352/(1+IFERROR(INDEX(J$10:J$11,Предпосылки!$I$215,),0))*IFERROR(INDEX(J$10:J$11,Предпосылки!$I$215,),0),J375/(1+IFERROR(INDEX(J$10:J$11,Предпосылки!$I$216,),0))*IFERROR(INDEX(J$10:J$11,Предпосылки!$I$216,),0),J398/(1+IFERROR(INDEX(J$10:J$11,Предпосылки!$I$217,),0))*IFERROR(INDEX(J$10:J$11,Предпосылки!$I$217,),0),J421/(1+IFERROR(INDEX(J$10:J$11,Предпосылки!$I$218,),0))*IFERROR(INDEX(J$10:J$11,Предпосылки!$I$218,),0),J444/(1+IFERROR(INDEX(J$10:J$11,Предпосылки!$I$219,),0))*IFERROR(INDEX(J$10:J$11,Предпосылки!$I$219,),0),J467/(1+IFERROR(INDEX(J$10:J$11,Предпосылки!$I$220,),0))*IFERROR(INDEX(J$10:J$11,Предпосылки!$I$220,),0))</f>
        <v>0</v>
      </c>
      <c s="125">
        <f>SUM(K30/(1+IFERROR(INDEX(K$10:K$11,Предпосылки!$I$201,),0))*IFERROR(INDEX(K$10:K$11,Предпосылки!$I$201,),0),K53/(1+IFERROR(INDEX(K$10:K$11,Предпосылки!$I$202,),0))*IFERROR(INDEX(K$10:K$11,Предпосылки!$I$202,),0),K76/(1+IFERROR(INDEX(K$10:K$11,Предпосылки!$I$203,),0))*IFERROR(INDEX(K$10:K$11,Предпосылки!$I$203,),0),K99/(1+IFERROR(INDEX(K$10:K$11,Предпосылки!$I$204,),0))*IFERROR(INDEX(K$10:K$11,Предпосылки!$I$204,),0),K122/(1+IFERROR(INDEX(K$10:K$11,Предпосылки!$I$205,),0))*IFERROR(INDEX(K$10:K$11,Предпосылки!$I$205,),0),K145/(1+IFERROR(INDEX(K$10:K$11,Предпосылки!$I$206,),0))*IFERROR(INDEX(K$10:K$11,Предпосылки!$I$206,),0),K168/(1+IFERROR(INDEX(K$10:K$11,Предпосылки!$I$207,),0))*IFERROR(INDEX(K$10:K$11,Предпосылки!$I$207,),0),K191/(1+IFERROR(INDEX(K$10:K$11,Предпосылки!$I$208,),0))*IFERROR(INDEX(K$10:K$11,Предпосылки!$I$208,),0),K214/(1+IFERROR(INDEX(K$10:K$11,Предпосылки!$I$209,),0))*IFERROR(INDEX(K$10:K$11,Предпосылки!$I$209,),0),K237/(1+IFERROR(INDEX(K$10:K$11,Предпосылки!$I$210,),0))*IFERROR(INDEX(K$10:K$11,Предпосылки!$I$210,),0),K260/(1+IFERROR(INDEX(K$10:K$11,Предпосылки!$I$211,),0))*IFERROR(INDEX(K$10:K$11,Предпосылки!$I$211,),0),K283/(1+IFERROR(INDEX(K$10:K$11,Предпосылки!$I$212,),0))*IFERROR(INDEX(K$10:K$11,Предпосылки!$I$212,),0),K306/(1+IFERROR(INDEX(K$10:K$11,Предпосылки!$I$213,),0))*IFERROR(INDEX(K$10:K$11,Предпосылки!$I$213,),0),K329/(1+IFERROR(INDEX(K$10:K$11,Предпосылки!$I$214,),0))*IFERROR(INDEX(K$10:K$11,Предпосылки!$I$214,),0),K352/(1+IFERROR(INDEX(K$10:K$11,Предпосылки!$I$215,),0))*IFERROR(INDEX(K$10:K$11,Предпосылки!$I$215,),0),K375/(1+IFERROR(INDEX(K$10:K$11,Предпосылки!$I$216,),0))*IFERROR(INDEX(K$10:K$11,Предпосылки!$I$216,),0),K398/(1+IFERROR(INDEX(K$10:K$11,Предпосылки!$I$217,),0))*IFERROR(INDEX(K$10:K$11,Предпосылки!$I$217,),0),K421/(1+IFERROR(INDEX(K$10:K$11,Предпосылки!$I$218,),0))*IFERROR(INDEX(K$10:K$11,Предпосылки!$I$218,),0),K444/(1+IFERROR(INDEX(K$10:K$11,Предпосылки!$I$219,),0))*IFERROR(INDEX(K$10:K$11,Предпосылки!$I$219,),0),K467/(1+IFERROR(INDEX(K$10:K$11,Предпосылки!$I$220,),0))*IFERROR(INDEX(K$10:K$11,Предпосылки!$I$220,),0))</f>
        <v>0</v>
      </c>
      <c s="125">
        <f>SUM(L30/(1+IFERROR(INDEX(L$10:L$11,Предпосылки!$I$201,),0))*IFERROR(INDEX(L$10:L$11,Предпосылки!$I$201,),0),L53/(1+IFERROR(INDEX(L$10:L$11,Предпосылки!$I$202,),0))*IFERROR(INDEX(L$10:L$11,Предпосылки!$I$202,),0),L76/(1+IFERROR(INDEX(L$10:L$11,Предпосылки!$I$203,),0))*IFERROR(INDEX(L$10:L$11,Предпосылки!$I$203,),0),L99/(1+IFERROR(INDEX(L$10:L$11,Предпосылки!$I$204,),0))*IFERROR(INDEX(L$10:L$11,Предпосылки!$I$204,),0),L122/(1+IFERROR(INDEX(L$10:L$11,Предпосылки!$I$205,),0))*IFERROR(INDEX(L$10:L$11,Предпосылки!$I$205,),0),L145/(1+IFERROR(INDEX(L$10:L$11,Предпосылки!$I$206,),0))*IFERROR(INDEX(L$10:L$11,Предпосылки!$I$206,),0),L168/(1+IFERROR(INDEX(L$10:L$11,Предпосылки!$I$207,),0))*IFERROR(INDEX(L$10:L$11,Предпосылки!$I$207,),0),L191/(1+IFERROR(INDEX(L$10:L$11,Предпосылки!$I$208,),0))*IFERROR(INDEX(L$10:L$11,Предпосылки!$I$208,),0),L214/(1+IFERROR(INDEX(L$10:L$11,Предпосылки!$I$209,),0))*IFERROR(INDEX(L$10:L$11,Предпосылки!$I$209,),0),L237/(1+IFERROR(INDEX(L$10:L$11,Предпосылки!$I$210,),0))*IFERROR(INDEX(L$10:L$11,Предпосылки!$I$210,),0),L260/(1+IFERROR(INDEX(L$10:L$11,Предпосылки!$I$211,),0))*IFERROR(INDEX(L$10:L$11,Предпосылки!$I$211,),0),L283/(1+IFERROR(INDEX(L$10:L$11,Предпосылки!$I$212,),0))*IFERROR(INDEX(L$10:L$11,Предпосылки!$I$212,),0),L306/(1+IFERROR(INDEX(L$10:L$11,Предпосылки!$I$213,),0))*IFERROR(INDEX(L$10:L$11,Предпосылки!$I$213,),0),L329/(1+IFERROR(INDEX(L$10:L$11,Предпосылки!$I$214,),0))*IFERROR(INDEX(L$10:L$11,Предпосылки!$I$214,),0),L352/(1+IFERROR(INDEX(L$10:L$11,Предпосылки!$I$215,),0))*IFERROR(INDEX(L$10:L$11,Предпосылки!$I$215,),0),L375/(1+IFERROR(INDEX(L$10:L$11,Предпосылки!$I$216,),0))*IFERROR(INDEX(L$10:L$11,Предпосылки!$I$216,),0),L398/(1+IFERROR(INDEX(L$10:L$11,Предпосылки!$I$217,),0))*IFERROR(INDEX(L$10:L$11,Предпосылки!$I$217,),0),L421/(1+IFERROR(INDEX(L$10:L$11,Предпосылки!$I$218,),0))*IFERROR(INDEX(L$10:L$11,Предпосылки!$I$218,),0),L444/(1+IFERROR(INDEX(L$10:L$11,Предпосылки!$I$219,),0))*IFERROR(INDEX(L$10:L$11,Предпосылки!$I$219,),0),L467/(1+IFERROR(INDEX(L$10:L$11,Предпосылки!$I$220,),0))*IFERROR(INDEX(L$10:L$11,Предпосылки!$I$220,),0))</f>
        <v>0</v>
      </c>
      <c s="125">
        <f>SUM(M30/(1+IFERROR(INDEX(M$10:M$11,Предпосылки!$I$201,),0))*IFERROR(INDEX(M$10:M$11,Предпосылки!$I$201,),0),M53/(1+IFERROR(INDEX(M$10:M$11,Предпосылки!$I$202,),0))*IFERROR(INDEX(M$10:M$11,Предпосылки!$I$202,),0),M76/(1+IFERROR(INDEX(M$10:M$11,Предпосылки!$I$203,),0))*IFERROR(INDEX(M$10:M$11,Предпосылки!$I$203,),0),M99/(1+IFERROR(INDEX(M$10:M$11,Предпосылки!$I$204,),0))*IFERROR(INDEX(M$10:M$11,Предпосылки!$I$204,),0),M122/(1+IFERROR(INDEX(M$10:M$11,Предпосылки!$I$205,),0))*IFERROR(INDEX(M$10:M$11,Предпосылки!$I$205,),0),M145/(1+IFERROR(INDEX(M$10:M$11,Предпосылки!$I$206,),0))*IFERROR(INDEX(M$10:M$11,Предпосылки!$I$206,),0),M168/(1+IFERROR(INDEX(M$10:M$11,Предпосылки!$I$207,),0))*IFERROR(INDEX(M$10:M$11,Предпосылки!$I$207,),0),M191/(1+IFERROR(INDEX(M$10:M$11,Предпосылки!$I$208,),0))*IFERROR(INDEX(M$10:M$11,Предпосылки!$I$208,),0),M214/(1+IFERROR(INDEX(M$10:M$11,Предпосылки!$I$209,),0))*IFERROR(INDEX(M$10:M$11,Предпосылки!$I$209,),0),M237/(1+IFERROR(INDEX(M$10:M$11,Предпосылки!$I$210,),0))*IFERROR(INDEX(M$10:M$11,Предпосылки!$I$210,),0),M260/(1+IFERROR(INDEX(M$10:M$11,Предпосылки!$I$211,),0))*IFERROR(INDEX(M$10:M$11,Предпосылки!$I$211,),0),M283/(1+IFERROR(INDEX(M$10:M$11,Предпосылки!$I$212,),0))*IFERROR(INDEX(M$10:M$11,Предпосылки!$I$212,),0),M306/(1+IFERROR(INDEX(M$10:M$11,Предпосылки!$I$213,),0))*IFERROR(INDEX(M$10:M$11,Предпосылки!$I$213,),0),M329/(1+IFERROR(INDEX(M$10:M$11,Предпосылки!$I$214,),0))*IFERROR(INDEX(M$10:M$11,Предпосылки!$I$214,),0),M352/(1+IFERROR(INDEX(M$10:M$11,Предпосылки!$I$215,),0))*IFERROR(INDEX(M$10:M$11,Предпосылки!$I$215,),0),M375/(1+IFERROR(INDEX(M$10:M$11,Предпосылки!$I$216,),0))*IFERROR(INDEX(M$10:M$11,Предпосылки!$I$216,),0),M398/(1+IFERROR(INDEX(M$10:M$11,Предпосылки!$I$217,),0))*IFERROR(INDEX(M$10:M$11,Предпосылки!$I$217,),0),M421/(1+IFERROR(INDEX(M$10:M$11,Предпосылки!$I$218,),0))*IFERROR(INDEX(M$10:M$11,Предпосылки!$I$218,),0),M444/(1+IFERROR(INDEX(M$10:M$11,Предпосылки!$I$219,),0))*IFERROR(INDEX(M$10:M$11,Предпосылки!$I$219,),0),M467/(1+IFERROR(INDEX(M$10:M$11,Предпосылки!$I$220,),0))*IFERROR(INDEX(M$10:M$11,Предпосылки!$I$220,),0))</f>
        <v>0</v>
      </c>
      <c s="125">
        <f>SUM(N30/(1+IFERROR(INDEX(N$10:N$11,Предпосылки!$I$201,),0))*IFERROR(INDEX(N$10:N$11,Предпосылки!$I$201,),0),N53/(1+IFERROR(INDEX(N$10:N$11,Предпосылки!$I$202,),0))*IFERROR(INDEX(N$10:N$11,Предпосылки!$I$202,),0),N76/(1+IFERROR(INDEX(N$10:N$11,Предпосылки!$I$203,),0))*IFERROR(INDEX(N$10:N$11,Предпосылки!$I$203,),0),N99/(1+IFERROR(INDEX(N$10:N$11,Предпосылки!$I$204,),0))*IFERROR(INDEX(N$10:N$11,Предпосылки!$I$204,),0),N122/(1+IFERROR(INDEX(N$10:N$11,Предпосылки!$I$205,),0))*IFERROR(INDEX(N$10:N$11,Предпосылки!$I$205,),0),N145/(1+IFERROR(INDEX(N$10:N$11,Предпосылки!$I$206,),0))*IFERROR(INDEX(N$10:N$11,Предпосылки!$I$206,),0),N168/(1+IFERROR(INDEX(N$10:N$11,Предпосылки!$I$207,),0))*IFERROR(INDEX(N$10:N$11,Предпосылки!$I$207,),0),N191/(1+IFERROR(INDEX(N$10:N$11,Предпосылки!$I$208,),0))*IFERROR(INDEX(N$10:N$11,Предпосылки!$I$208,),0),N214/(1+IFERROR(INDEX(N$10:N$11,Предпосылки!$I$209,),0))*IFERROR(INDEX(N$10:N$11,Предпосылки!$I$209,),0),N237/(1+IFERROR(INDEX(N$10:N$11,Предпосылки!$I$210,),0))*IFERROR(INDEX(N$10:N$11,Предпосылки!$I$210,),0),N260/(1+IFERROR(INDEX(N$10:N$11,Предпосылки!$I$211,),0))*IFERROR(INDEX(N$10:N$11,Предпосылки!$I$211,),0),N283/(1+IFERROR(INDEX(N$10:N$11,Предпосылки!$I$212,),0))*IFERROR(INDEX(N$10:N$11,Предпосылки!$I$212,),0),N306/(1+IFERROR(INDEX(N$10:N$11,Предпосылки!$I$213,),0))*IFERROR(INDEX(N$10:N$11,Предпосылки!$I$213,),0),N329/(1+IFERROR(INDEX(N$10:N$11,Предпосылки!$I$214,),0))*IFERROR(INDEX(N$10:N$11,Предпосылки!$I$214,),0),N352/(1+IFERROR(INDEX(N$10:N$11,Предпосылки!$I$215,),0))*IFERROR(INDEX(N$10:N$11,Предпосылки!$I$215,),0),N375/(1+IFERROR(INDEX(N$10:N$11,Предпосылки!$I$216,),0))*IFERROR(INDEX(N$10:N$11,Предпосылки!$I$216,),0),N398/(1+IFERROR(INDEX(N$10:N$11,Предпосылки!$I$217,),0))*IFERROR(INDEX(N$10:N$11,Предпосылки!$I$217,),0),N421/(1+IFERROR(INDEX(N$10:N$11,Предпосылки!$I$218,),0))*IFERROR(INDEX(N$10:N$11,Предпосылки!$I$218,),0),N444/(1+IFERROR(INDEX(N$10:N$11,Предпосылки!$I$219,),0))*IFERROR(INDEX(N$10:N$11,Предпосылки!$I$219,),0),N467/(1+IFERROR(INDEX(N$10:N$11,Предпосылки!$I$220,),0))*IFERROR(INDEX(N$10:N$11,Предпосылки!$I$220,),0))</f>
        <v>0</v>
      </c>
      <c s="125">
        <f>SUM(O30/(1+IFERROR(INDEX(O$10:O$11,Предпосылки!$I$201,),0))*IFERROR(INDEX(O$10:O$11,Предпосылки!$I$201,),0),O53/(1+IFERROR(INDEX(O$10:O$11,Предпосылки!$I$202,),0))*IFERROR(INDEX(O$10:O$11,Предпосылки!$I$202,),0),O76/(1+IFERROR(INDEX(O$10:O$11,Предпосылки!$I$203,),0))*IFERROR(INDEX(O$10:O$11,Предпосылки!$I$203,),0),O99/(1+IFERROR(INDEX(O$10:O$11,Предпосылки!$I$204,),0))*IFERROR(INDEX(O$10:O$11,Предпосылки!$I$204,),0),O122/(1+IFERROR(INDEX(O$10:O$11,Предпосылки!$I$205,),0))*IFERROR(INDEX(O$10:O$11,Предпосылки!$I$205,),0),O145/(1+IFERROR(INDEX(O$10:O$11,Предпосылки!$I$206,),0))*IFERROR(INDEX(O$10:O$11,Предпосылки!$I$206,),0),O168/(1+IFERROR(INDEX(O$10:O$11,Предпосылки!$I$207,),0))*IFERROR(INDEX(O$10:O$11,Предпосылки!$I$207,),0),O191/(1+IFERROR(INDEX(O$10:O$11,Предпосылки!$I$208,),0))*IFERROR(INDEX(O$10:O$11,Предпосылки!$I$208,),0),O214/(1+IFERROR(INDEX(O$10:O$11,Предпосылки!$I$209,),0))*IFERROR(INDEX(O$10:O$11,Предпосылки!$I$209,),0),O237/(1+IFERROR(INDEX(O$10:O$11,Предпосылки!$I$210,),0))*IFERROR(INDEX(O$10:O$11,Предпосылки!$I$210,),0),O260/(1+IFERROR(INDEX(O$10:O$11,Предпосылки!$I$211,),0))*IFERROR(INDEX(O$10:O$11,Предпосылки!$I$211,),0),O283/(1+IFERROR(INDEX(O$10:O$11,Предпосылки!$I$212,),0))*IFERROR(INDEX(O$10:O$11,Предпосылки!$I$212,),0),O306/(1+IFERROR(INDEX(O$10:O$11,Предпосылки!$I$213,),0))*IFERROR(INDEX(O$10:O$11,Предпосылки!$I$213,),0),O329/(1+IFERROR(INDEX(O$10:O$11,Предпосылки!$I$214,),0))*IFERROR(INDEX(O$10:O$11,Предпосылки!$I$214,),0),O352/(1+IFERROR(INDEX(O$10:O$11,Предпосылки!$I$215,),0))*IFERROR(INDEX(O$10:O$11,Предпосылки!$I$215,),0),O375/(1+IFERROR(INDEX(O$10:O$11,Предпосылки!$I$216,),0))*IFERROR(INDEX(O$10:O$11,Предпосылки!$I$216,),0),O398/(1+IFERROR(INDEX(O$10:O$11,Предпосылки!$I$217,),0))*IFERROR(INDEX(O$10:O$11,Предпосылки!$I$217,),0),O421/(1+IFERROR(INDEX(O$10:O$11,Предпосылки!$I$218,),0))*IFERROR(INDEX(O$10:O$11,Предпосылки!$I$218,),0),O444/(1+IFERROR(INDEX(O$10:O$11,Предпосылки!$I$219,),0))*IFERROR(INDEX(O$10:O$11,Предпосылки!$I$219,),0),O467/(1+IFERROR(INDEX(O$10:O$11,Предпосылки!$I$220,),0))*IFERROR(INDEX(O$10:O$11,Предпосылки!$I$220,),0))</f>
        <v>0</v>
      </c>
      <c s="125">
        <f>SUM(P30/(1+IFERROR(INDEX(P$10:P$11,Предпосылки!$I$201,),0))*IFERROR(INDEX(P$10:P$11,Предпосылки!$I$201,),0),P53/(1+IFERROR(INDEX(P$10:P$11,Предпосылки!$I$202,),0))*IFERROR(INDEX(P$10:P$11,Предпосылки!$I$202,),0),P76/(1+IFERROR(INDEX(P$10:P$11,Предпосылки!$I$203,),0))*IFERROR(INDEX(P$10:P$11,Предпосылки!$I$203,),0),P99/(1+IFERROR(INDEX(P$10:P$11,Предпосылки!$I$204,),0))*IFERROR(INDEX(P$10:P$11,Предпосылки!$I$204,),0),P122/(1+IFERROR(INDEX(P$10:P$11,Предпосылки!$I$205,),0))*IFERROR(INDEX(P$10:P$11,Предпосылки!$I$205,),0),P145/(1+IFERROR(INDEX(P$10:P$11,Предпосылки!$I$206,),0))*IFERROR(INDEX(P$10:P$11,Предпосылки!$I$206,),0),P168/(1+IFERROR(INDEX(P$10:P$11,Предпосылки!$I$207,),0))*IFERROR(INDEX(P$10:P$11,Предпосылки!$I$207,),0),P191/(1+IFERROR(INDEX(P$10:P$11,Предпосылки!$I$208,),0))*IFERROR(INDEX(P$10:P$11,Предпосылки!$I$208,),0),P214/(1+IFERROR(INDEX(P$10:P$11,Предпосылки!$I$209,),0))*IFERROR(INDEX(P$10:P$11,Предпосылки!$I$209,),0),P237/(1+IFERROR(INDEX(P$10:P$11,Предпосылки!$I$210,),0))*IFERROR(INDEX(P$10:P$11,Предпосылки!$I$210,),0),P260/(1+IFERROR(INDEX(P$10:P$11,Предпосылки!$I$211,),0))*IFERROR(INDEX(P$10:P$11,Предпосылки!$I$211,),0),P283/(1+IFERROR(INDEX(P$10:P$11,Предпосылки!$I$212,),0))*IFERROR(INDEX(P$10:P$11,Предпосылки!$I$212,),0),P306/(1+IFERROR(INDEX(P$10:P$11,Предпосылки!$I$213,),0))*IFERROR(INDEX(P$10:P$11,Предпосылки!$I$213,),0),P329/(1+IFERROR(INDEX(P$10:P$11,Предпосылки!$I$214,),0))*IFERROR(INDEX(P$10:P$11,Предпосылки!$I$214,),0),P352/(1+IFERROR(INDEX(P$10:P$11,Предпосылки!$I$215,),0))*IFERROR(INDEX(P$10:P$11,Предпосылки!$I$215,),0),P375/(1+IFERROR(INDEX(P$10:P$11,Предпосылки!$I$216,),0))*IFERROR(INDEX(P$10:P$11,Предпосылки!$I$216,),0),P398/(1+IFERROR(INDEX(P$10:P$11,Предпосылки!$I$217,),0))*IFERROR(INDEX(P$10:P$11,Предпосылки!$I$217,),0),P421/(1+IFERROR(INDEX(P$10:P$11,Предпосылки!$I$218,),0))*IFERROR(INDEX(P$10:P$11,Предпосылки!$I$218,),0),P444/(1+IFERROR(INDEX(P$10:P$11,Предпосылки!$I$219,),0))*IFERROR(INDEX(P$10:P$11,Предпосылки!$I$219,),0),P467/(1+IFERROR(INDEX(P$10:P$11,Предпосылки!$I$220,),0))*IFERROR(INDEX(P$10:P$11,Предпосылки!$I$220,),0))</f>
        <v>0</v>
      </c>
      <c s="125">
        <f>SUM(Q30/(1+IFERROR(INDEX(Q$10:Q$11,Предпосылки!$I$201,),0))*IFERROR(INDEX(Q$10:Q$11,Предпосылки!$I$201,),0),Q53/(1+IFERROR(INDEX(Q$10:Q$11,Предпосылки!$I$202,),0))*IFERROR(INDEX(Q$10:Q$11,Предпосылки!$I$202,),0),Q76/(1+IFERROR(INDEX(Q$10:Q$11,Предпосылки!$I$203,),0))*IFERROR(INDEX(Q$10:Q$11,Предпосылки!$I$203,),0),Q99/(1+IFERROR(INDEX(Q$10:Q$11,Предпосылки!$I$204,),0))*IFERROR(INDEX(Q$10:Q$11,Предпосылки!$I$204,),0),Q122/(1+IFERROR(INDEX(Q$10:Q$11,Предпосылки!$I$205,),0))*IFERROR(INDEX(Q$10:Q$11,Предпосылки!$I$205,),0),Q145/(1+IFERROR(INDEX(Q$10:Q$11,Предпосылки!$I$206,),0))*IFERROR(INDEX(Q$10:Q$11,Предпосылки!$I$206,),0),Q168/(1+IFERROR(INDEX(Q$10:Q$11,Предпосылки!$I$207,),0))*IFERROR(INDEX(Q$10:Q$11,Предпосылки!$I$207,),0),Q191/(1+IFERROR(INDEX(Q$10:Q$11,Предпосылки!$I$208,),0))*IFERROR(INDEX(Q$10:Q$11,Предпосылки!$I$208,),0),Q214/(1+IFERROR(INDEX(Q$10:Q$11,Предпосылки!$I$209,),0))*IFERROR(INDEX(Q$10:Q$11,Предпосылки!$I$209,),0),Q237/(1+IFERROR(INDEX(Q$10:Q$11,Предпосылки!$I$210,),0))*IFERROR(INDEX(Q$10:Q$11,Предпосылки!$I$210,),0),Q260/(1+IFERROR(INDEX(Q$10:Q$11,Предпосылки!$I$211,),0))*IFERROR(INDEX(Q$10:Q$11,Предпосылки!$I$211,),0),Q283/(1+IFERROR(INDEX(Q$10:Q$11,Предпосылки!$I$212,),0))*IFERROR(INDEX(Q$10:Q$11,Предпосылки!$I$212,),0),Q306/(1+IFERROR(INDEX(Q$10:Q$11,Предпосылки!$I$213,),0))*IFERROR(INDEX(Q$10:Q$11,Предпосылки!$I$213,),0),Q329/(1+IFERROR(INDEX(Q$10:Q$11,Предпосылки!$I$214,),0))*IFERROR(INDEX(Q$10:Q$11,Предпосылки!$I$214,),0),Q352/(1+IFERROR(INDEX(Q$10:Q$11,Предпосылки!$I$215,),0))*IFERROR(INDEX(Q$10:Q$11,Предпосылки!$I$215,),0),Q375/(1+IFERROR(INDEX(Q$10:Q$11,Предпосылки!$I$216,),0))*IFERROR(INDEX(Q$10:Q$11,Предпосылки!$I$216,),0),Q398/(1+IFERROR(INDEX(Q$10:Q$11,Предпосылки!$I$217,),0))*IFERROR(INDEX(Q$10:Q$11,Предпосылки!$I$217,),0),Q421/(1+IFERROR(INDEX(Q$10:Q$11,Предпосылки!$I$218,),0))*IFERROR(INDEX(Q$10:Q$11,Предпосылки!$I$218,),0),Q444/(1+IFERROR(INDEX(Q$10:Q$11,Предпосылки!$I$219,),0))*IFERROR(INDEX(Q$10:Q$11,Предпосылки!$I$219,),0),Q467/(1+IFERROR(INDEX(Q$10:Q$11,Предпосылки!$I$220,),0))*IFERROR(INDEX(Q$10:Q$11,Предпосылки!$I$220,),0))</f>
        <v>0</v>
      </c>
      <c s="125">
        <f>SUM(R30/(1+IFERROR(INDEX(R$10:R$11,Предпосылки!$I$201,),0))*IFERROR(INDEX(R$10:R$11,Предпосылки!$I$201,),0),R53/(1+IFERROR(INDEX(R$10:R$11,Предпосылки!$I$202,),0))*IFERROR(INDEX(R$10:R$11,Предпосылки!$I$202,),0),R76/(1+IFERROR(INDEX(R$10:R$11,Предпосылки!$I$203,),0))*IFERROR(INDEX(R$10:R$11,Предпосылки!$I$203,),0),R99/(1+IFERROR(INDEX(R$10:R$11,Предпосылки!$I$204,),0))*IFERROR(INDEX(R$10:R$11,Предпосылки!$I$204,),0),R122/(1+IFERROR(INDEX(R$10:R$11,Предпосылки!$I$205,),0))*IFERROR(INDEX(R$10:R$11,Предпосылки!$I$205,),0),R145/(1+IFERROR(INDEX(R$10:R$11,Предпосылки!$I$206,),0))*IFERROR(INDEX(R$10:R$11,Предпосылки!$I$206,),0),R168/(1+IFERROR(INDEX(R$10:R$11,Предпосылки!$I$207,),0))*IFERROR(INDEX(R$10:R$11,Предпосылки!$I$207,),0),R191/(1+IFERROR(INDEX(R$10:R$11,Предпосылки!$I$208,),0))*IFERROR(INDEX(R$10:R$11,Предпосылки!$I$208,),0),R214/(1+IFERROR(INDEX(R$10:R$11,Предпосылки!$I$209,),0))*IFERROR(INDEX(R$10:R$11,Предпосылки!$I$209,),0),R237/(1+IFERROR(INDEX(R$10:R$11,Предпосылки!$I$210,),0))*IFERROR(INDEX(R$10:R$11,Предпосылки!$I$210,),0),R260/(1+IFERROR(INDEX(R$10:R$11,Предпосылки!$I$211,),0))*IFERROR(INDEX(R$10:R$11,Предпосылки!$I$211,),0),R283/(1+IFERROR(INDEX(R$10:R$11,Предпосылки!$I$212,),0))*IFERROR(INDEX(R$10:R$11,Предпосылки!$I$212,),0),R306/(1+IFERROR(INDEX(R$10:R$11,Предпосылки!$I$213,),0))*IFERROR(INDEX(R$10:R$11,Предпосылки!$I$213,),0),R329/(1+IFERROR(INDEX(R$10:R$11,Предпосылки!$I$214,),0))*IFERROR(INDEX(R$10:R$11,Предпосылки!$I$214,),0),R352/(1+IFERROR(INDEX(R$10:R$11,Предпосылки!$I$215,),0))*IFERROR(INDEX(R$10:R$11,Предпосылки!$I$215,),0),R375/(1+IFERROR(INDEX(R$10:R$11,Предпосылки!$I$216,),0))*IFERROR(INDEX(R$10:R$11,Предпосылки!$I$216,),0),R398/(1+IFERROR(INDEX(R$10:R$11,Предпосылки!$I$217,),0))*IFERROR(INDEX(R$10:R$11,Предпосылки!$I$217,),0),R421/(1+IFERROR(INDEX(R$10:R$11,Предпосылки!$I$218,),0))*IFERROR(INDEX(R$10:R$11,Предпосылки!$I$218,),0),R444/(1+IFERROR(INDEX(R$10:R$11,Предпосылки!$I$219,),0))*IFERROR(INDEX(R$10:R$11,Предпосылки!$I$219,),0),R467/(1+IFERROR(INDEX(R$10:R$11,Предпосылки!$I$220,),0))*IFERROR(INDEX(R$10:R$11,Предпосылки!$I$220,),0))</f>
        <v>0</v>
      </c>
      <c s="125">
        <f>SUM(S30/(1+IFERROR(INDEX(S$10:S$11,Предпосылки!$I$201,),0))*IFERROR(INDEX(S$10:S$11,Предпосылки!$I$201,),0),S53/(1+IFERROR(INDEX(S$10:S$11,Предпосылки!$I$202,),0))*IFERROR(INDEX(S$10:S$11,Предпосылки!$I$202,),0),S76/(1+IFERROR(INDEX(S$10:S$11,Предпосылки!$I$203,),0))*IFERROR(INDEX(S$10:S$11,Предпосылки!$I$203,),0),S99/(1+IFERROR(INDEX(S$10:S$11,Предпосылки!$I$204,),0))*IFERROR(INDEX(S$10:S$11,Предпосылки!$I$204,),0),S122/(1+IFERROR(INDEX(S$10:S$11,Предпосылки!$I$205,),0))*IFERROR(INDEX(S$10:S$11,Предпосылки!$I$205,),0),S145/(1+IFERROR(INDEX(S$10:S$11,Предпосылки!$I$206,),0))*IFERROR(INDEX(S$10:S$11,Предпосылки!$I$206,),0),S168/(1+IFERROR(INDEX(S$10:S$11,Предпосылки!$I$207,),0))*IFERROR(INDEX(S$10:S$11,Предпосылки!$I$207,),0),S191/(1+IFERROR(INDEX(S$10:S$11,Предпосылки!$I$208,),0))*IFERROR(INDEX(S$10:S$11,Предпосылки!$I$208,),0),S214/(1+IFERROR(INDEX(S$10:S$11,Предпосылки!$I$209,),0))*IFERROR(INDEX(S$10:S$11,Предпосылки!$I$209,),0),S237/(1+IFERROR(INDEX(S$10:S$11,Предпосылки!$I$210,),0))*IFERROR(INDEX(S$10:S$11,Предпосылки!$I$210,),0),S260/(1+IFERROR(INDEX(S$10:S$11,Предпосылки!$I$211,),0))*IFERROR(INDEX(S$10:S$11,Предпосылки!$I$211,),0),S283/(1+IFERROR(INDEX(S$10:S$11,Предпосылки!$I$212,),0))*IFERROR(INDEX(S$10:S$11,Предпосылки!$I$212,),0),S306/(1+IFERROR(INDEX(S$10:S$11,Предпосылки!$I$213,),0))*IFERROR(INDEX(S$10:S$11,Предпосылки!$I$213,),0),S329/(1+IFERROR(INDEX(S$10:S$11,Предпосылки!$I$214,),0))*IFERROR(INDEX(S$10:S$11,Предпосылки!$I$214,),0),S352/(1+IFERROR(INDEX(S$10:S$11,Предпосылки!$I$215,),0))*IFERROR(INDEX(S$10:S$11,Предпосылки!$I$215,),0),S375/(1+IFERROR(INDEX(S$10:S$11,Предпосылки!$I$216,),0))*IFERROR(INDEX(S$10:S$11,Предпосылки!$I$216,),0),S398/(1+IFERROR(INDEX(S$10:S$11,Предпосылки!$I$217,),0))*IFERROR(INDEX(S$10:S$11,Предпосылки!$I$217,),0),S421/(1+IFERROR(INDEX(S$10:S$11,Предпосылки!$I$218,),0))*IFERROR(INDEX(S$10:S$11,Предпосылки!$I$218,),0),S444/(1+IFERROR(INDEX(S$10:S$11,Предпосылки!$I$219,),0))*IFERROR(INDEX(S$10:S$11,Предпосылки!$I$219,),0),S467/(1+IFERROR(INDEX(S$10:S$11,Предпосылки!$I$220,),0))*IFERROR(INDEX(S$10:S$11,Предпосылки!$I$220,),0))</f>
        <v>0</v>
      </c>
      <c s="125">
        <f>SUM(T30/(1+IFERROR(INDEX(T$10:T$11,Предпосылки!$I$201,),0))*IFERROR(INDEX(T$10:T$11,Предпосылки!$I$201,),0),T53/(1+IFERROR(INDEX(T$10:T$11,Предпосылки!$I$202,),0))*IFERROR(INDEX(T$10:T$11,Предпосылки!$I$202,),0),T76/(1+IFERROR(INDEX(T$10:T$11,Предпосылки!$I$203,),0))*IFERROR(INDEX(T$10:T$11,Предпосылки!$I$203,),0),T99/(1+IFERROR(INDEX(T$10:T$11,Предпосылки!$I$204,),0))*IFERROR(INDEX(T$10:T$11,Предпосылки!$I$204,),0),T122/(1+IFERROR(INDEX(T$10:T$11,Предпосылки!$I$205,),0))*IFERROR(INDEX(T$10:T$11,Предпосылки!$I$205,),0),T145/(1+IFERROR(INDEX(T$10:T$11,Предпосылки!$I$206,),0))*IFERROR(INDEX(T$10:T$11,Предпосылки!$I$206,),0),T168/(1+IFERROR(INDEX(T$10:T$11,Предпосылки!$I$207,),0))*IFERROR(INDEX(T$10:T$11,Предпосылки!$I$207,),0),T191/(1+IFERROR(INDEX(T$10:T$11,Предпосылки!$I$208,),0))*IFERROR(INDEX(T$10:T$11,Предпосылки!$I$208,),0),T214/(1+IFERROR(INDEX(T$10:T$11,Предпосылки!$I$209,),0))*IFERROR(INDEX(T$10:T$11,Предпосылки!$I$209,),0),T237/(1+IFERROR(INDEX(T$10:T$11,Предпосылки!$I$210,),0))*IFERROR(INDEX(T$10:T$11,Предпосылки!$I$210,),0),T260/(1+IFERROR(INDEX(T$10:T$11,Предпосылки!$I$211,),0))*IFERROR(INDEX(T$10:T$11,Предпосылки!$I$211,),0),T283/(1+IFERROR(INDEX(T$10:T$11,Предпосылки!$I$212,),0))*IFERROR(INDEX(T$10:T$11,Предпосылки!$I$212,),0),T306/(1+IFERROR(INDEX(T$10:T$11,Предпосылки!$I$213,),0))*IFERROR(INDEX(T$10:T$11,Предпосылки!$I$213,),0),T329/(1+IFERROR(INDEX(T$10:T$11,Предпосылки!$I$214,),0))*IFERROR(INDEX(T$10:T$11,Предпосылки!$I$214,),0),T352/(1+IFERROR(INDEX(T$10:T$11,Предпосылки!$I$215,),0))*IFERROR(INDEX(T$10:T$11,Предпосылки!$I$215,),0),T375/(1+IFERROR(INDEX(T$10:T$11,Предпосылки!$I$216,),0))*IFERROR(INDEX(T$10:T$11,Предпосылки!$I$216,),0),T398/(1+IFERROR(INDEX(T$10:T$11,Предпосылки!$I$217,),0))*IFERROR(INDEX(T$10:T$11,Предпосылки!$I$217,),0),T421/(1+IFERROR(INDEX(T$10:T$11,Предпосылки!$I$218,),0))*IFERROR(INDEX(T$10:T$11,Предпосылки!$I$218,),0),T444/(1+IFERROR(INDEX(T$10:T$11,Предпосылки!$I$219,),0))*IFERROR(INDEX(T$10:T$11,Предпосылки!$I$219,),0),T467/(1+IFERROR(INDEX(T$10:T$11,Предпосылки!$I$220,),0))*IFERROR(INDEX(T$10:T$11,Предпосылки!$I$220,),0))</f>
        <v>0</v>
      </c>
      <c s="125">
        <f>SUM(U30/(1+IFERROR(INDEX(U$10:U$11,Предпосылки!$I$201,),0))*IFERROR(INDEX(U$10:U$11,Предпосылки!$I$201,),0),U53/(1+IFERROR(INDEX(U$10:U$11,Предпосылки!$I$202,),0))*IFERROR(INDEX(U$10:U$11,Предпосылки!$I$202,),0),U76/(1+IFERROR(INDEX(U$10:U$11,Предпосылки!$I$203,),0))*IFERROR(INDEX(U$10:U$11,Предпосылки!$I$203,),0),U99/(1+IFERROR(INDEX(U$10:U$11,Предпосылки!$I$204,),0))*IFERROR(INDEX(U$10:U$11,Предпосылки!$I$204,),0),U122/(1+IFERROR(INDEX(U$10:U$11,Предпосылки!$I$205,),0))*IFERROR(INDEX(U$10:U$11,Предпосылки!$I$205,),0),U145/(1+IFERROR(INDEX(U$10:U$11,Предпосылки!$I$206,),0))*IFERROR(INDEX(U$10:U$11,Предпосылки!$I$206,),0),U168/(1+IFERROR(INDEX(U$10:U$11,Предпосылки!$I$207,),0))*IFERROR(INDEX(U$10:U$11,Предпосылки!$I$207,),0),U191/(1+IFERROR(INDEX(U$10:U$11,Предпосылки!$I$208,),0))*IFERROR(INDEX(U$10:U$11,Предпосылки!$I$208,),0),U214/(1+IFERROR(INDEX(U$10:U$11,Предпосылки!$I$209,),0))*IFERROR(INDEX(U$10:U$11,Предпосылки!$I$209,),0),U237/(1+IFERROR(INDEX(U$10:U$11,Предпосылки!$I$210,),0))*IFERROR(INDEX(U$10:U$11,Предпосылки!$I$210,),0),U260/(1+IFERROR(INDEX(U$10:U$11,Предпосылки!$I$211,),0))*IFERROR(INDEX(U$10:U$11,Предпосылки!$I$211,),0),U283/(1+IFERROR(INDEX(U$10:U$11,Предпосылки!$I$212,),0))*IFERROR(INDEX(U$10:U$11,Предпосылки!$I$212,),0),U306/(1+IFERROR(INDEX(U$10:U$11,Предпосылки!$I$213,),0))*IFERROR(INDEX(U$10:U$11,Предпосылки!$I$213,),0),U329/(1+IFERROR(INDEX(U$10:U$11,Предпосылки!$I$214,),0))*IFERROR(INDEX(U$10:U$11,Предпосылки!$I$214,),0),U352/(1+IFERROR(INDEX(U$10:U$11,Предпосылки!$I$215,),0))*IFERROR(INDEX(U$10:U$11,Предпосылки!$I$215,),0),U375/(1+IFERROR(INDEX(U$10:U$11,Предпосылки!$I$216,),0))*IFERROR(INDEX(U$10:U$11,Предпосылки!$I$216,),0),U398/(1+IFERROR(INDEX(U$10:U$11,Предпосылки!$I$217,),0))*IFERROR(INDEX(U$10:U$11,Предпосылки!$I$217,),0),U421/(1+IFERROR(INDEX(U$10:U$11,Предпосылки!$I$218,),0))*IFERROR(INDEX(U$10:U$11,Предпосылки!$I$218,),0),U444/(1+IFERROR(INDEX(U$10:U$11,Предпосылки!$I$219,),0))*IFERROR(INDEX(U$10:U$11,Предпосылки!$I$219,),0),U467/(1+IFERROR(INDEX(U$10:U$11,Предпосылки!$I$220,),0))*IFERROR(INDEX(U$10:U$11,Предпосылки!$I$220,),0))</f>
        <v>0</v>
      </c>
      <c s="125">
        <f>SUM(V30/(1+IFERROR(INDEX(V$10:V$11,Предпосылки!$I$201,),0))*IFERROR(INDEX(V$10:V$11,Предпосылки!$I$201,),0),V53/(1+IFERROR(INDEX(V$10:V$11,Предпосылки!$I$202,),0))*IFERROR(INDEX(V$10:V$11,Предпосылки!$I$202,),0),V76/(1+IFERROR(INDEX(V$10:V$11,Предпосылки!$I$203,),0))*IFERROR(INDEX(V$10:V$11,Предпосылки!$I$203,),0),V99/(1+IFERROR(INDEX(V$10:V$11,Предпосылки!$I$204,),0))*IFERROR(INDEX(V$10:V$11,Предпосылки!$I$204,),0),V122/(1+IFERROR(INDEX(V$10:V$11,Предпосылки!$I$205,),0))*IFERROR(INDEX(V$10:V$11,Предпосылки!$I$205,),0),V145/(1+IFERROR(INDEX(V$10:V$11,Предпосылки!$I$206,),0))*IFERROR(INDEX(V$10:V$11,Предпосылки!$I$206,),0),V168/(1+IFERROR(INDEX(V$10:V$11,Предпосылки!$I$207,),0))*IFERROR(INDEX(V$10:V$11,Предпосылки!$I$207,),0),V191/(1+IFERROR(INDEX(V$10:V$11,Предпосылки!$I$208,),0))*IFERROR(INDEX(V$10:V$11,Предпосылки!$I$208,),0),V214/(1+IFERROR(INDEX(V$10:V$11,Предпосылки!$I$209,),0))*IFERROR(INDEX(V$10:V$11,Предпосылки!$I$209,),0),V237/(1+IFERROR(INDEX(V$10:V$11,Предпосылки!$I$210,),0))*IFERROR(INDEX(V$10:V$11,Предпосылки!$I$210,),0),V260/(1+IFERROR(INDEX(V$10:V$11,Предпосылки!$I$211,),0))*IFERROR(INDEX(V$10:V$11,Предпосылки!$I$211,),0),V283/(1+IFERROR(INDEX(V$10:V$11,Предпосылки!$I$212,),0))*IFERROR(INDEX(V$10:V$11,Предпосылки!$I$212,),0),V306/(1+IFERROR(INDEX(V$10:V$11,Предпосылки!$I$213,),0))*IFERROR(INDEX(V$10:V$11,Предпосылки!$I$213,),0),V329/(1+IFERROR(INDEX(V$10:V$11,Предпосылки!$I$214,),0))*IFERROR(INDEX(V$10:V$11,Предпосылки!$I$214,),0),V352/(1+IFERROR(INDEX(V$10:V$11,Предпосылки!$I$215,),0))*IFERROR(INDEX(V$10:V$11,Предпосылки!$I$215,),0),V375/(1+IFERROR(INDEX(V$10:V$11,Предпосылки!$I$216,),0))*IFERROR(INDEX(V$10:V$11,Предпосылки!$I$216,),0),V398/(1+IFERROR(INDEX(V$10:V$11,Предпосылки!$I$217,),0))*IFERROR(INDEX(V$10:V$11,Предпосылки!$I$217,),0),V421/(1+IFERROR(INDEX(V$10:V$11,Предпосылки!$I$218,),0))*IFERROR(INDEX(V$10:V$11,Предпосылки!$I$218,),0),V444/(1+IFERROR(INDEX(V$10:V$11,Предпосылки!$I$219,),0))*IFERROR(INDEX(V$10:V$11,Предпосылки!$I$219,),0),V467/(1+IFERROR(INDEX(V$10:V$11,Предпосылки!$I$220,),0))*IFERROR(INDEX(V$10:V$11,Предпосылки!$I$220,),0))</f>
        <v>0</v>
      </c>
      <c s="125">
        <f>SUM(W30/(1+IFERROR(INDEX(W$10:W$11,Предпосылки!$I$201,),0))*IFERROR(INDEX(W$10:W$11,Предпосылки!$I$201,),0),W53/(1+IFERROR(INDEX(W$10:W$11,Предпосылки!$I$202,),0))*IFERROR(INDEX(W$10:W$11,Предпосылки!$I$202,),0),W76/(1+IFERROR(INDEX(W$10:W$11,Предпосылки!$I$203,),0))*IFERROR(INDEX(W$10:W$11,Предпосылки!$I$203,),0),W99/(1+IFERROR(INDEX(W$10:W$11,Предпосылки!$I$204,),0))*IFERROR(INDEX(W$10:W$11,Предпосылки!$I$204,),0),W122/(1+IFERROR(INDEX(W$10:W$11,Предпосылки!$I$205,),0))*IFERROR(INDEX(W$10:W$11,Предпосылки!$I$205,),0),W145/(1+IFERROR(INDEX(W$10:W$11,Предпосылки!$I$206,),0))*IFERROR(INDEX(W$10:W$11,Предпосылки!$I$206,),0),W168/(1+IFERROR(INDEX(W$10:W$11,Предпосылки!$I$207,),0))*IFERROR(INDEX(W$10:W$11,Предпосылки!$I$207,),0),W191/(1+IFERROR(INDEX(W$10:W$11,Предпосылки!$I$208,),0))*IFERROR(INDEX(W$10:W$11,Предпосылки!$I$208,),0),W214/(1+IFERROR(INDEX(W$10:W$11,Предпосылки!$I$209,),0))*IFERROR(INDEX(W$10:W$11,Предпосылки!$I$209,),0),W237/(1+IFERROR(INDEX(W$10:W$11,Предпосылки!$I$210,),0))*IFERROR(INDEX(W$10:W$11,Предпосылки!$I$210,),0),W260/(1+IFERROR(INDEX(W$10:W$11,Предпосылки!$I$211,),0))*IFERROR(INDEX(W$10:W$11,Предпосылки!$I$211,),0),W283/(1+IFERROR(INDEX(W$10:W$11,Предпосылки!$I$212,),0))*IFERROR(INDEX(W$10:W$11,Предпосылки!$I$212,),0),W306/(1+IFERROR(INDEX(W$10:W$11,Предпосылки!$I$213,),0))*IFERROR(INDEX(W$10:W$11,Предпосылки!$I$213,),0),W329/(1+IFERROR(INDEX(W$10:W$11,Предпосылки!$I$214,),0))*IFERROR(INDEX(W$10:W$11,Предпосылки!$I$214,),0),W352/(1+IFERROR(INDEX(W$10:W$11,Предпосылки!$I$215,),0))*IFERROR(INDEX(W$10:W$11,Предпосылки!$I$215,),0),W375/(1+IFERROR(INDEX(W$10:W$11,Предпосылки!$I$216,),0))*IFERROR(INDEX(W$10:W$11,Предпосылки!$I$216,),0),W398/(1+IFERROR(INDEX(W$10:W$11,Предпосылки!$I$217,),0))*IFERROR(INDEX(W$10:W$11,Предпосылки!$I$217,),0),W421/(1+IFERROR(INDEX(W$10:W$11,Предпосылки!$I$218,),0))*IFERROR(INDEX(W$10:W$11,Предпосылки!$I$218,),0),W444/(1+IFERROR(INDEX(W$10:W$11,Предпосылки!$I$219,),0))*IFERROR(INDEX(W$10:W$11,Предпосылки!$I$219,),0),W467/(1+IFERROR(INDEX(W$10:W$11,Предпосылки!$I$220,),0))*IFERROR(INDEX(W$10:W$11,Предпосылки!$I$220,),0))</f>
        <v>0</v>
      </c>
      <c s="125">
        <f>SUM(X30/(1+IFERROR(INDEX(X$10:X$11,Предпосылки!$I$201,),0))*IFERROR(INDEX(X$10:X$11,Предпосылки!$I$201,),0),X53/(1+IFERROR(INDEX(X$10:X$11,Предпосылки!$I$202,),0))*IFERROR(INDEX(X$10:X$11,Предпосылки!$I$202,),0),X76/(1+IFERROR(INDEX(X$10:X$11,Предпосылки!$I$203,),0))*IFERROR(INDEX(X$10:X$11,Предпосылки!$I$203,),0),X99/(1+IFERROR(INDEX(X$10:X$11,Предпосылки!$I$204,),0))*IFERROR(INDEX(X$10:X$11,Предпосылки!$I$204,),0),X122/(1+IFERROR(INDEX(X$10:X$11,Предпосылки!$I$205,),0))*IFERROR(INDEX(X$10:X$11,Предпосылки!$I$205,),0),X145/(1+IFERROR(INDEX(X$10:X$11,Предпосылки!$I$206,),0))*IFERROR(INDEX(X$10:X$11,Предпосылки!$I$206,),0),X168/(1+IFERROR(INDEX(X$10:X$11,Предпосылки!$I$207,),0))*IFERROR(INDEX(X$10:X$11,Предпосылки!$I$207,),0),X191/(1+IFERROR(INDEX(X$10:X$11,Предпосылки!$I$208,),0))*IFERROR(INDEX(X$10:X$11,Предпосылки!$I$208,),0),X214/(1+IFERROR(INDEX(X$10:X$11,Предпосылки!$I$209,),0))*IFERROR(INDEX(X$10:X$11,Предпосылки!$I$209,),0),X237/(1+IFERROR(INDEX(X$10:X$11,Предпосылки!$I$210,),0))*IFERROR(INDEX(X$10:X$11,Предпосылки!$I$210,),0),X260/(1+IFERROR(INDEX(X$10:X$11,Предпосылки!$I$211,),0))*IFERROR(INDEX(X$10:X$11,Предпосылки!$I$211,),0),X283/(1+IFERROR(INDEX(X$10:X$11,Предпосылки!$I$212,),0))*IFERROR(INDEX(X$10:X$11,Предпосылки!$I$212,),0),X306/(1+IFERROR(INDEX(X$10:X$11,Предпосылки!$I$213,),0))*IFERROR(INDEX(X$10:X$11,Предпосылки!$I$213,),0),X329/(1+IFERROR(INDEX(X$10:X$11,Предпосылки!$I$214,),0))*IFERROR(INDEX(X$10:X$11,Предпосылки!$I$214,),0),X352/(1+IFERROR(INDEX(X$10:X$11,Предпосылки!$I$215,),0))*IFERROR(INDEX(X$10:X$11,Предпосылки!$I$215,),0),X375/(1+IFERROR(INDEX(X$10:X$11,Предпосылки!$I$216,),0))*IFERROR(INDEX(X$10:X$11,Предпосылки!$I$216,),0),X398/(1+IFERROR(INDEX(X$10:X$11,Предпосылки!$I$217,),0))*IFERROR(INDEX(X$10:X$11,Предпосылки!$I$217,),0),X421/(1+IFERROR(INDEX(X$10:X$11,Предпосылки!$I$218,),0))*IFERROR(INDEX(X$10:X$11,Предпосылки!$I$218,),0),X444/(1+IFERROR(INDEX(X$10:X$11,Предпосылки!$I$219,),0))*IFERROR(INDEX(X$10:X$11,Предпосылки!$I$219,),0),X467/(1+IFERROR(INDEX(X$10:X$11,Предпосылки!$I$220,),0))*IFERROR(INDEX(X$10:X$11,Предпосылки!$I$220,),0))</f>
        <v>0</v>
      </c>
      <c s="125">
        <f>SUM(Y30/(1+IFERROR(INDEX(Y$10:Y$11,Предпосылки!$I$201,),0))*IFERROR(INDEX(Y$10:Y$11,Предпосылки!$I$201,),0),Y53/(1+IFERROR(INDEX(Y$10:Y$11,Предпосылки!$I$202,),0))*IFERROR(INDEX(Y$10:Y$11,Предпосылки!$I$202,),0),Y76/(1+IFERROR(INDEX(Y$10:Y$11,Предпосылки!$I$203,),0))*IFERROR(INDEX(Y$10:Y$11,Предпосылки!$I$203,),0),Y99/(1+IFERROR(INDEX(Y$10:Y$11,Предпосылки!$I$204,),0))*IFERROR(INDEX(Y$10:Y$11,Предпосылки!$I$204,),0),Y122/(1+IFERROR(INDEX(Y$10:Y$11,Предпосылки!$I$205,),0))*IFERROR(INDEX(Y$10:Y$11,Предпосылки!$I$205,),0),Y145/(1+IFERROR(INDEX(Y$10:Y$11,Предпосылки!$I$206,),0))*IFERROR(INDEX(Y$10:Y$11,Предпосылки!$I$206,),0),Y168/(1+IFERROR(INDEX(Y$10:Y$11,Предпосылки!$I$207,),0))*IFERROR(INDEX(Y$10:Y$11,Предпосылки!$I$207,),0),Y191/(1+IFERROR(INDEX(Y$10:Y$11,Предпосылки!$I$208,),0))*IFERROR(INDEX(Y$10:Y$11,Предпосылки!$I$208,),0),Y214/(1+IFERROR(INDEX(Y$10:Y$11,Предпосылки!$I$209,),0))*IFERROR(INDEX(Y$10:Y$11,Предпосылки!$I$209,),0),Y237/(1+IFERROR(INDEX(Y$10:Y$11,Предпосылки!$I$210,),0))*IFERROR(INDEX(Y$10:Y$11,Предпосылки!$I$210,),0),Y260/(1+IFERROR(INDEX(Y$10:Y$11,Предпосылки!$I$211,),0))*IFERROR(INDEX(Y$10:Y$11,Предпосылки!$I$211,),0),Y283/(1+IFERROR(INDEX(Y$10:Y$11,Предпосылки!$I$212,),0))*IFERROR(INDEX(Y$10:Y$11,Предпосылки!$I$212,),0),Y306/(1+IFERROR(INDEX(Y$10:Y$11,Предпосылки!$I$213,),0))*IFERROR(INDEX(Y$10:Y$11,Предпосылки!$I$213,),0),Y329/(1+IFERROR(INDEX(Y$10:Y$11,Предпосылки!$I$214,),0))*IFERROR(INDEX(Y$10:Y$11,Предпосылки!$I$214,),0),Y352/(1+IFERROR(INDEX(Y$10:Y$11,Предпосылки!$I$215,),0))*IFERROR(INDEX(Y$10:Y$11,Предпосылки!$I$215,),0),Y375/(1+IFERROR(INDEX(Y$10:Y$11,Предпосылки!$I$216,),0))*IFERROR(INDEX(Y$10:Y$11,Предпосылки!$I$216,),0),Y398/(1+IFERROR(INDEX(Y$10:Y$11,Предпосылки!$I$217,),0))*IFERROR(INDEX(Y$10:Y$11,Предпосылки!$I$217,),0),Y421/(1+IFERROR(INDEX(Y$10:Y$11,Предпосылки!$I$218,),0))*IFERROR(INDEX(Y$10:Y$11,Предпосылки!$I$218,),0),Y444/(1+IFERROR(INDEX(Y$10:Y$11,Предпосылки!$I$219,),0))*IFERROR(INDEX(Y$10:Y$11,Предпосылки!$I$219,),0),Y467/(1+IFERROR(INDEX(Y$10:Y$11,Предпосылки!$I$220,),0))*IFERROR(INDEX(Y$10:Y$11,Предпосылки!$I$220,),0))</f>
        <v>0</v>
      </c>
      <c s="125">
        <f>SUM(Z30/(1+IFERROR(INDEX(Z$10:Z$11,Предпосылки!$I$201,),0))*IFERROR(INDEX(Z$10:Z$11,Предпосылки!$I$201,),0),Z53/(1+IFERROR(INDEX(Z$10:Z$11,Предпосылки!$I$202,),0))*IFERROR(INDEX(Z$10:Z$11,Предпосылки!$I$202,),0),Z76/(1+IFERROR(INDEX(Z$10:Z$11,Предпосылки!$I$203,),0))*IFERROR(INDEX(Z$10:Z$11,Предпосылки!$I$203,),0),Z99/(1+IFERROR(INDEX(Z$10:Z$11,Предпосылки!$I$204,),0))*IFERROR(INDEX(Z$10:Z$11,Предпосылки!$I$204,),0),Z122/(1+IFERROR(INDEX(Z$10:Z$11,Предпосылки!$I$205,),0))*IFERROR(INDEX(Z$10:Z$11,Предпосылки!$I$205,),0),Z145/(1+IFERROR(INDEX(Z$10:Z$11,Предпосылки!$I$206,),0))*IFERROR(INDEX(Z$10:Z$11,Предпосылки!$I$206,),0),Z168/(1+IFERROR(INDEX(Z$10:Z$11,Предпосылки!$I$207,),0))*IFERROR(INDEX(Z$10:Z$11,Предпосылки!$I$207,),0),Z191/(1+IFERROR(INDEX(Z$10:Z$11,Предпосылки!$I$208,),0))*IFERROR(INDEX(Z$10:Z$11,Предпосылки!$I$208,),0),Z214/(1+IFERROR(INDEX(Z$10:Z$11,Предпосылки!$I$209,),0))*IFERROR(INDEX(Z$10:Z$11,Предпосылки!$I$209,),0),Z237/(1+IFERROR(INDEX(Z$10:Z$11,Предпосылки!$I$210,),0))*IFERROR(INDEX(Z$10:Z$11,Предпосылки!$I$210,),0),Z260/(1+IFERROR(INDEX(Z$10:Z$11,Предпосылки!$I$211,),0))*IFERROR(INDEX(Z$10:Z$11,Предпосылки!$I$211,),0),Z283/(1+IFERROR(INDEX(Z$10:Z$11,Предпосылки!$I$212,),0))*IFERROR(INDEX(Z$10:Z$11,Предпосылки!$I$212,),0),Z306/(1+IFERROR(INDEX(Z$10:Z$11,Предпосылки!$I$213,),0))*IFERROR(INDEX(Z$10:Z$11,Предпосылки!$I$213,),0),Z329/(1+IFERROR(INDEX(Z$10:Z$11,Предпосылки!$I$214,),0))*IFERROR(INDEX(Z$10:Z$11,Предпосылки!$I$214,),0),Z352/(1+IFERROR(INDEX(Z$10:Z$11,Предпосылки!$I$215,),0))*IFERROR(INDEX(Z$10:Z$11,Предпосылки!$I$215,),0),Z375/(1+IFERROR(INDEX(Z$10:Z$11,Предпосылки!$I$216,),0))*IFERROR(INDEX(Z$10:Z$11,Предпосылки!$I$216,),0),Z398/(1+IFERROR(INDEX(Z$10:Z$11,Предпосылки!$I$217,),0))*IFERROR(INDEX(Z$10:Z$11,Предпосылки!$I$217,),0),Z421/(1+IFERROR(INDEX(Z$10:Z$11,Предпосылки!$I$218,),0))*IFERROR(INDEX(Z$10:Z$11,Предпосылки!$I$218,),0),Z444/(1+IFERROR(INDEX(Z$10:Z$11,Предпосылки!$I$219,),0))*IFERROR(INDEX(Z$10:Z$11,Предпосылки!$I$219,),0),Z467/(1+IFERROR(INDEX(Z$10:Z$11,Предпосылки!$I$220,),0))*IFERROR(INDEX(Z$10:Z$11,Предпосылки!$I$220,),0))</f>
        <v>0</v>
      </c>
      <c s="125">
        <f>SUM(AA30/(1+IFERROR(INDEX(AA$10:AA$11,Предпосылки!$I$201,),0))*IFERROR(INDEX(AA$10:AA$11,Предпосылки!$I$201,),0),AA53/(1+IFERROR(INDEX(AA$10:AA$11,Предпосылки!$I$202,),0))*IFERROR(INDEX(AA$10:AA$11,Предпосылки!$I$202,),0),AA76/(1+IFERROR(INDEX(AA$10:AA$11,Предпосылки!$I$203,),0))*IFERROR(INDEX(AA$10:AA$11,Предпосылки!$I$203,),0),AA99/(1+IFERROR(INDEX(AA$10:AA$11,Предпосылки!$I$204,),0))*IFERROR(INDEX(AA$10:AA$11,Предпосылки!$I$204,),0),AA122/(1+IFERROR(INDEX(AA$10:AA$11,Предпосылки!$I$205,),0))*IFERROR(INDEX(AA$10:AA$11,Предпосылки!$I$205,),0),AA145/(1+IFERROR(INDEX(AA$10:AA$11,Предпосылки!$I$206,),0))*IFERROR(INDEX(AA$10:AA$11,Предпосылки!$I$206,),0),AA168/(1+IFERROR(INDEX(AA$10:AA$11,Предпосылки!$I$207,),0))*IFERROR(INDEX(AA$10:AA$11,Предпосылки!$I$207,),0),AA191/(1+IFERROR(INDEX(AA$10:AA$11,Предпосылки!$I$208,),0))*IFERROR(INDEX(AA$10:AA$11,Предпосылки!$I$208,),0),AA214/(1+IFERROR(INDEX(AA$10:AA$11,Предпосылки!$I$209,),0))*IFERROR(INDEX(AA$10:AA$11,Предпосылки!$I$209,),0),AA237/(1+IFERROR(INDEX(AA$10:AA$11,Предпосылки!$I$210,),0))*IFERROR(INDEX(AA$10:AA$11,Предпосылки!$I$210,),0),AA260/(1+IFERROR(INDEX(AA$10:AA$11,Предпосылки!$I$211,),0))*IFERROR(INDEX(AA$10:AA$11,Предпосылки!$I$211,),0),AA283/(1+IFERROR(INDEX(AA$10:AA$11,Предпосылки!$I$212,),0))*IFERROR(INDEX(AA$10:AA$11,Предпосылки!$I$212,),0),AA306/(1+IFERROR(INDEX(AA$10:AA$11,Предпосылки!$I$213,),0))*IFERROR(INDEX(AA$10:AA$11,Предпосылки!$I$213,),0),AA329/(1+IFERROR(INDEX(AA$10:AA$11,Предпосылки!$I$214,),0))*IFERROR(INDEX(AA$10:AA$11,Предпосылки!$I$214,),0),AA352/(1+IFERROR(INDEX(AA$10:AA$11,Предпосылки!$I$215,),0))*IFERROR(INDEX(AA$10:AA$11,Предпосылки!$I$215,),0),AA375/(1+IFERROR(INDEX(AA$10:AA$11,Предпосылки!$I$216,),0))*IFERROR(INDEX(AA$10:AA$11,Предпосылки!$I$216,),0),AA398/(1+IFERROR(INDEX(AA$10:AA$11,Предпосылки!$I$217,),0))*IFERROR(INDEX(AA$10:AA$11,Предпосылки!$I$217,),0),AA421/(1+IFERROR(INDEX(AA$10:AA$11,Предпосылки!$I$218,),0))*IFERROR(INDEX(AA$10:AA$11,Предпосылки!$I$218,),0),AA444/(1+IFERROR(INDEX(AA$10:AA$11,Предпосылки!$I$219,),0))*IFERROR(INDEX(AA$10:AA$11,Предпосылки!$I$219,),0),AA467/(1+IFERROR(INDEX(AA$10:AA$11,Предпосылки!$I$220,),0))*IFERROR(INDEX(AA$10:AA$11,Предпосылки!$I$220,),0))</f>
        <v>0</v>
      </c>
      <c s="125">
        <f>SUM(AB30/(1+IFERROR(INDEX(AB$10:AB$11,Предпосылки!$I$201,),0))*IFERROR(INDEX(AB$10:AB$11,Предпосылки!$I$201,),0),AB53/(1+IFERROR(INDEX(AB$10:AB$11,Предпосылки!$I$202,),0))*IFERROR(INDEX(AB$10:AB$11,Предпосылки!$I$202,),0),AB76/(1+IFERROR(INDEX(AB$10:AB$11,Предпосылки!$I$203,),0))*IFERROR(INDEX(AB$10:AB$11,Предпосылки!$I$203,),0),AB99/(1+IFERROR(INDEX(AB$10:AB$11,Предпосылки!$I$204,),0))*IFERROR(INDEX(AB$10:AB$11,Предпосылки!$I$204,),0),AB122/(1+IFERROR(INDEX(AB$10:AB$11,Предпосылки!$I$205,),0))*IFERROR(INDEX(AB$10:AB$11,Предпосылки!$I$205,),0),AB145/(1+IFERROR(INDEX(AB$10:AB$11,Предпосылки!$I$206,),0))*IFERROR(INDEX(AB$10:AB$11,Предпосылки!$I$206,),0),AB168/(1+IFERROR(INDEX(AB$10:AB$11,Предпосылки!$I$207,),0))*IFERROR(INDEX(AB$10:AB$11,Предпосылки!$I$207,),0),AB191/(1+IFERROR(INDEX(AB$10:AB$11,Предпосылки!$I$208,),0))*IFERROR(INDEX(AB$10:AB$11,Предпосылки!$I$208,),0),AB214/(1+IFERROR(INDEX(AB$10:AB$11,Предпосылки!$I$209,),0))*IFERROR(INDEX(AB$10:AB$11,Предпосылки!$I$209,),0),AB237/(1+IFERROR(INDEX(AB$10:AB$11,Предпосылки!$I$210,),0))*IFERROR(INDEX(AB$10:AB$11,Предпосылки!$I$210,),0),AB260/(1+IFERROR(INDEX(AB$10:AB$11,Предпосылки!$I$211,),0))*IFERROR(INDEX(AB$10:AB$11,Предпосылки!$I$211,),0),AB283/(1+IFERROR(INDEX(AB$10:AB$11,Предпосылки!$I$212,),0))*IFERROR(INDEX(AB$10:AB$11,Предпосылки!$I$212,),0),AB306/(1+IFERROR(INDEX(AB$10:AB$11,Предпосылки!$I$213,),0))*IFERROR(INDEX(AB$10:AB$11,Предпосылки!$I$213,),0),AB329/(1+IFERROR(INDEX(AB$10:AB$11,Предпосылки!$I$214,),0))*IFERROR(INDEX(AB$10:AB$11,Предпосылки!$I$214,),0),AB352/(1+IFERROR(INDEX(AB$10:AB$11,Предпосылки!$I$215,),0))*IFERROR(INDEX(AB$10:AB$11,Предпосылки!$I$215,),0),AB375/(1+IFERROR(INDEX(AB$10:AB$11,Предпосылки!$I$216,),0))*IFERROR(INDEX(AB$10:AB$11,Предпосылки!$I$216,),0),AB398/(1+IFERROR(INDEX(AB$10:AB$11,Предпосылки!$I$217,),0))*IFERROR(INDEX(AB$10:AB$11,Предпосылки!$I$217,),0),AB421/(1+IFERROR(INDEX(AB$10:AB$11,Предпосылки!$I$218,),0))*IFERROR(INDEX(AB$10:AB$11,Предпосылки!$I$218,),0),AB444/(1+IFERROR(INDEX(AB$10:AB$11,Предпосылки!$I$219,),0))*IFERROR(INDEX(AB$10:AB$11,Предпосылки!$I$219,),0),AB467/(1+IFERROR(INDEX(AB$10:AB$11,Предпосылки!$I$220,),0))*IFERROR(INDEX(AB$10:AB$11,Предпосылки!$I$220,),0))</f>
        <v>0</v>
      </c>
      <c s="125">
        <f>SUM(AC30/(1+IFERROR(INDEX(AC$10:AC$11,Предпосылки!$I$201,),0))*IFERROR(INDEX(AC$10:AC$11,Предпосылки!$I$201,),0),AC53/(1+IFERROR(INDEX(AC$10:AC$11,Предпосылки!$I$202,),0))*IFERROR(INDEX(AC$10:AC$11,Предпосылки!$I$202,),0),AC76/(1+IFERROR(INDEX(AC$10:AC$11,Предпосылки!$I$203,),0))*IFERROR(INDEX(AC$10:AC$11,Предпосылки!$I$203,),0),AC99/(1+IFERROR(INDEX(AC$10:AC$11,Предпосылки!$I$204,),0))*IFERROR(INDEX(AC$10:AC$11,Предпосылки!$I$204,),0),AC122/(1+IFERROR(INDEX(AC$10:AC$11,Предпосылки!$I$205,),0))*IFERROR(INDEX(AC$10:AC$11,Предпосылки!$I$205,),0),AC145/(1+IFERROR(INDEX(AC$10:AC$11,Предпосылки!$I$206,),0))*IFERROR(INDEX(AC$10:AC$11,Предпосылки!$I$206,),0),AC168/(1+IFERROR(INDEX(AC$10:AC$11,Предпосылки!$I$207,),0))*IFERROR(INDEX(AC$10:AC$11,Предпосылки!$I$207,),0),AC191/(1+IFERROR(INDEX(AC$10:AC$11,Предпосылки!$I$208,),0))*IFERROR(INDEX(AC$10:AC$11,Предпосылки!$I$208,),0),AC214/(1+IFERROR(INDEX(AC$10:AC$11,Предпосылки!$I$209,),0))*IFERROR(INDEX(AC$10:AC$11,Предпосылки!$I$209,),0),AC237/(1+IFERROR(INDEX(AC$10:AC$11,Предпосылки!$I$210,),0))*IFERROR(INDEX(AC$10:AC$11,Предпосылки!$I$210,),0),AC260/(1+IFERROR(INDEX(AC$10:AC$11,Предпосылки!$I$211,),0))*IFERROR(INDEX(AC$10:AC$11,Предпосылки!$I$211,),0),AC283/(1+IFERROR(INDEX(AC$10:AC$11,Предпосылки!$I$212,),0))*IFERROR(INDEX(AC$10:AC$11,Предпосылки!$I$212,),0),AC306/(1+IFERROR(INDEX(AC$10:AC$11,Предпосылки!$I$213,),0))*IFERROR(INDEX(AC$10:AC$11,Предпосылки!$I$213,),0),AC329/(1+IFERROR(INDEX(AC$10:AC$11,Предпосылки!$I$214,),0))*IFERROR(INDEX(AC$10:AC$11,Предпосылки!$I$214,),0),AC352/(1+IFERROR(INDEX(AC$10:AC$11,Предпосылки!$I$215,),0))*IFERROR(INDEX(AC$10:AC$11,Предпосылки!$I$215,),0),AC375/(1+IFERROR(INDEX(AC$10:AC$11,Предпосылки!$I$216,),0))*IFERROR(INDEX(AC$10:AC$11,Предпосылки!$I$216,),0),AC398/(1+IFERROR(INDEX(AC$10:AC$11,Предпосылки!$I$217,),0))*IFERROR(INDEX(AC$10:AC$11,Предпосылки!$I$217,),0),AC421/(1+IFERROR(INDEX(AC$10:AC$11,Предпосылки!$I$218,),0))*IFERROR(INDEX(AC$10:AC$11,Предпосылки!$I$218,),0),AC444/(1+IFERROR(INDEX(AC$10:AC$11,Предпосылки!$I$219,),0))*IFERROR(INDEX(AC$10:AC$11,Предпосылки!$I$219,),0),AC467/(1+IFERROR(INDEX(AC$10:AC$11,Предпосылки!$I$220,),0))*IFERROR(INDEX(AC$10:AC$11,Предпосылки!$I$220,),0))</f>
        <v>0</v>
      </c>
      <c s="125">
        <f>SUM(AD30/(1+IFERROR(INDEX(AD$10:AD$11,Предпосылки!$I$201,),0))*IFERROR(INDEX(AD$10:AD$11,Предпосылки!$I$201,),0),AD53/(1+IFERROR(INDEX(AD$10:AD$11,Предпосылки!$I$202,),0))*IFERROR(INDEX(AD$10:AD$11,Предпосылки!$I$202,),0),AD76/(1+IFERROR(INDEX(AD$10:AD$11,Предпосылки!$I$203,),0))*IFERROR(INDEX(AD$10:AD$11,Предпосылки!$I$203,),0),AD99/(1+IFERROR(INDEX(AD$10:AD$11,Предпосылки!$I$204,),0))*IFERROR(INDEX(AD$10:AD$11,Предпосылки!$I$204,),0),AD122/(1+IFERROR(INDEX(AD$10:AD$11,Предпосылки!$I$205,),0))*IFERROR(INDEX(AD$10:AD$11,Предпосылки!$I$205,),0),AD145/(1+IFERROR(INDEX(AD$10:AD$11,Предпосылки!$I$206,),0))*IFERROR(INDEX(AD$10:AD$11,Предпосылки!$I$206,),0),AD168/(1+IFERROR(INDEX(AD$10:AD$11,Предпосылки!$I$207,),0))*IFERROR(INDEX(AD$10:AD$11,Предпосылки!$I$207,),0),AD191/(1+IFERROR(INDEX(AD$10:AD$11,Предпосылки!$I$208,),0))*IFERROR(INDEX(AD$10:AD$11,Предпосылки!$I$208,),0),AD214/(1+IFERROR(INDEX(AD$10:AD$11,Предпосылки!$I$209,),0))*IFERROR(INDEX(AD$10:AD$11,Предпосылки!$I$209,),0),AD237/(1+IFERROR(INDEX(AD$10:AD$11,Предпосылки!$I$210,),0))*IFERROR(INDEX(AD$10:AD$11,Предпосылки!$I$210,),0),AD260/(1+IFERROR(INDEX(AD$10:AD$11,Предпосылки!$I$211,),0))*IFERROR(INDEX(AD$10:AD$11,Предпосылки!$I$211,),0),AD283/(1+IFERROR(INDEX(AD$10:AD$11,Предпосылки!$I$212,),0))*IFERROR(INDEX(AD$10:AD$11,Предпосылки!$I$212,),0),AD306/(1+IFERROR(INDEX(AD$10:AD$11,Предпосылки!$I$213,),0))*IFERROR(INDEX(AD$10:AD$11,Предпосылки!$I$213,),0),AD329/(1+IFERROR(INDEX(AD$10:AD$11,Предпосылки!$I$214,),0))*IFERROR(INDEX(AD$10:AD$11,Предпосылки!$I$214,),0),AD352/(1+IFERROR(INDEX(AD$10:AD$11,Предпосылки!$I$215,),0))*IFERROR(INDEX(AD$10:AD$11,Предпосылки!$I$215,),0),AD375/(1+IFERROR(INDEX(AD$10:AD$11,Предпосылки!$I$216,),0))*IFERROR(INDEX(AD$10:AD$11,Предпосылки!$I$216,),0),AD398/(1+IFERROR(INDEX(AD$10:AD$11,Предпосылки!$I$217,),0))*IFERROR(INDEX(AD$10:AD$11,Предпосылки!$I$217,),0),AD421/(1+IFERROR(INDEX(AD$10:AD$11,Предпосылки!$I$218,),0))*IFERROR(INDEX(AD$10:AD$11,Предпосылки!$I$218,),0),AD444/(1+IFERROR(INDEX(AD$10:AD$11,Предпосылки!$I$219,),0))*IFERROR(INDEX(AD$10:AD$11,Предпосылки!$I$219,),0),AD467/(1+IFERROR(INDEX(AD$10:AD$11,Предпосылки!$I$220,),0))*IFERROR(INDEX(AD$10:AD$11,Предпосылки!$I$220,),0))</f>
        <v>0</v>
      </c>
      <c s="125">
        <f>SUM(AE30/(1+IFERROR(INDEX(AE$10:AE$11,Предпосылки!$I$201,),0))*IFERROR(INDEX(AE$10:AE$11,Предпосылки!$I$201,),0),AE53/(1+IFERROR(INDEX(AE$10:AE$11,Предпосылки!$I$202,),0))*IFERROR(INDEX(AE$10:AE$11,Предпосылки!$I$202,),0),AE76/(1+IFERROR(INDEX(AE$10:AE$11,Предпосылки!$I$203,),0))*IFERROR(INDEX(AE$10:AE$11,Предпосылки!$I$203,),0),AE99/(1+IFERROR(INDEX(AE$10:AE$11,Предпосылки!$I$204,),0))*IFERROR(INDEX(AE$10:AE$11,Предпосылки!$I$204,),0),AE122/(1+IFERROR(INDEX(AE$10:AE$11,Предпосылки!$I$205,),0))*IFERROR(INDEX(AE$10:AE$11,Предпосылки!$I$205,),0),AE145/(1+IFERROR(INDEX(AE$10:AE$11,Предпосылки!$I$206,),0))*IFERROR(INDEX(AE$10:AE$11,Предпосылки!$I$206,),0),AE168/(1+IFERROR(INDEX(AE$10:AE$11,Предпосылки!$I$207,),0))*IFERROR(INDEX(AE$10:AE$11,Предпосылки!$I$207,),0),AE191/(1+IFERROR(INDEX(AE$10:AE$11,Предпосылки!$I$208,),0))*IFERROR(INDEX(AE$10:AE$11,Предпосылки!$I$208,),0),AE214/(1+IFERROR(INDEX(AE$10:AE$11,Предпосылки!$I$209,),0))*IFERROR(INDEX(AE$10:AE$11,Предпосылки!$I$209,),0),AE237/(1+IFERROR(INDEX(AE$10:AE$11,Предпосылки!$I$210,),0))*IFERROR(INDEX(AE$10:AE$11,Предпосылки!$I$210,),0),AE260/(1+IFERROR(INDEX(AE$10:AE$11,Предпосылки!$I$211,),0))*IFERROR(INDEX(AE$10:AE$11,Предпосылки!$I$211,),0),AE283/(1+IFERROR(INDEX(AE$10:AE$11,Предпосылки!$I$212,),0))*IFERROR(INDEX(AE$10:AE$11,Предпосылки!$I$212,),0),AE306/(1+IFERROR(INDEX(AE$10:AE$11,Предпосылки!$I$213,),0))*IFERROR(INDEX(AE$10:AE$11,Предпосылки!$I$213,),0),AE329/(1+IFERROR(INDEX(AE$10:AE$11,Предпосылки!$I$214,),0))*IFERROR(INDEX(AE$10:AE$11,Предпосылки!$I$214,),0),AE352/(1+IFERROR(INDEX(AE$10:AE$11,Предпосылки!$I$215,),0))*IFERROR(INDEX(AE$10:AE$11,Предпосылки!$I$215,),0),AE375/(1+IFERROR(INDEX(AE$10:AE$11,Предпосылки!$I$216,),0))*IFERROR(INDEX(AE$10:AE$11,Предпосылки!$I$216,),0),AE398/(1+IFERROR(INDEX(AE$10:AE$11,Предпосылки!$I$217,),0))*IFERROR(INDEX(AE$10:AE$11,Предпосылки!$I$217,),0),AE421/(1+IFERROR(INDEX(AE$10:AE$11,Предпосылки!$I$218,),0))*IFERROR(INDEX(AE$10:AE$11,Предпосылки!$I$218,),0),AE444/(1+IFERROR(INDEX(AE$10:AE$11,Предпосылки!$I$219,),0))*IFERROR(INDEX(AE$10:AE$11,Предпосылки!$I$219,),0),AE467/(1+IFERROR(INDEX(AE$10:AE$11,Предпосылки!$I$220,),0))*IFERROR(INDEX(AE$10:AE$11,Предпосылки!$I$220,),0))</f>
        <v>0</v>
      </c>
      <c s="125">
        <f>SUM(AF30/(1+IFERROR(INDEX(AF$10:AF$11,Предпосылки!$I$201,),0))*IFERROR(INDEX(AF$10:AF$11,Предпосылки!$I$201,),0),AF53/(1+IFERROR(INDEX(AF$10:AF$11,Предпосылки!$I$202,),0))*IFERROR(INDEX(AF$10:AF$11,Предпосылки!$I$202,),0),AF76/(1+IFERROR(INDEX(AF$10:AF$11,Предпосылки!$I$203,),0))*IFERROR(INDEX(AF$10:AF$11,Предпосылки!$I$203,),0),AF99/(1+IFERROR(INDEX(AF$10:AF$11,Предпосылки!$I$204,),0))*IFERROR(INDEX(AF$10:AF$11,Предпосылки!$I$204,),0),AF122/(1+IFERROR(INDEX(AF$10:AF$11,Предпосылки!$I$205,),0))*IFERROR(INDEX(AF$10:AF$11,Предпосылки!$I$205,),0),AF145/(1+IFERROR(INDEX(AF$10:AF$11,Предпосылки!$I$206,),0))*IFERROR(INDEX(AF$10:AF$11,Предпосылки!$I$206,),0),AF168/(1+IFERROR(INDEX(AF$10:AF$11,Предпосылки!$I$207,),0))*IFERROR(INDEX(AF$10:AF$11,Предпосылки!$I$207,),0),AF191/(1+IFERROR(INDEX(AF$10:AF$11,Предпосылки!$I$208,),0))*IFERROR(INDEX(AF$10:AF$11,Предпосылки!$I$208,),0),AF214/(1+IFERROR(INDEX(AF$10:AF$11,Предпосылки!$I$209,),0))*IFERROR(INDEX(AF$10:AF$11,Предпосылки!$I$209,),0),AF237/(1+IFERROR(INDEX(AF$10:AF$11,Предпосылки!$I$210,),0))*IFERROR(INDEX(AF$10:AF$11,Предпосылки!$I$210,),0),AF260/(1+IFERROR(INDEX(AF$10:AF$11,Предпосылки!$I$211,),0))*IFERROR(INDEX(AF$10:AF$11,Предпосылки!$I$211,),0),AF283/(1+IFERROR(INDEX(AF$10:AF$11,Предпосылки!$I$212,),0))*IFERROR(INDEX(AF$10:AF$11,Предпосылки!$I$212,),0),AF306/(1+IFERROR(INDEX(AF$10:AF$11,Предпосылки!$I$213,),0))*IFERROR(INDEX(AF$10:AF$11,Предпосылки!$I$213,),0),AF329/(1+IFERROR(INDEX(AF$10:AF$11,Предпосылки!$I$214,),0))*IFERROR(INDEX(AF$10:AF$11,Предпосылки!$I$214,),0),AF352/(1+IFERROR(INDEX(AF$10:AF$11,Предпосылки!$I$215,),0))*IFERROR(INDEX(AF$10:AF$11,Предпосылки!$I$215,),0),AF375/(1+IFERROR(INDEX(AF$10:AF$11,Предпосылки!$I$216,),0))*IFERROR(INDEX(AF$10:AF$11,Предпосылки!$I$216,),0),AF398/(1+IFERROR(INDEX(AF$10:AF$11,Предпосылки!$I$217,),0))*IFERROR(INDEX(AF$10:AF$11,Предпосылки!$I$217,),0),AF421/(1+IFERROR(INDEX(AF$10:AF$11,Предпосылки!$I$218,),0))*IFERROR(INDEX(AF$10:AF$11,Предпосылки!$I$218,),0),AF444/(1+IFERROR(INDEX(AF$10:AF$11,Предпосылки!$I$219,),0))*IFERROR(INDEX(AF$10:AF$11,Предпосылки!$I$219,),0),AF467/(1+IFERROR(INDEX(AF$10:AF$11,Предпосылки!$I$220,),0))*IFERROR(INDEX(AF$10:AF$11,Предпосылки!$I$220,),0))</f>
        <v>0</v>
      </c>
      <c s="125">
        <f>SUM(AG30/(1+IFERROR(INDEX(AG$10:AG$11,Предпосылки!$I$201,),0))*IFERROR(INDEX(AG$10:AG$11,Предпосылки!$I$201,),0),AG53/(1+IFERROR(INDEX(AG$10:AG$11,Предпосылки!$I$202,),0))*IFERROR(INDEX(AG$10:AG$11,Предпосылки!$I$202,),0),AG76/(1+IFERROR(INDEX(AG$10:AG$11,Предпосылки!$I$203,),0))*IFERROR(INDEX(AG$10:AG$11,Предпосылки!$I$203,),0),AG99/(1+IFERROR(INDEX(AG$10:AG$11,Предпосылки!$I$204,),0))*IFERROR(INDEX(AG$10:AG$11,Предпосылки!$I$204,),0),AG122/(1+IFERROR(INDEX(AG$10:AG$11,Предпосылки!$I$205,),0))*IFERROR(INDEX(AG$10:AG$11,Предпосылки!$I$205,),0),AG145/(1+IFERROR(INDEX(AG$10:AG$11,Предпосылки!$I$206,),0))*IFERROR(INDEX(AG$10:AG$11,Предпосылки!$I$206,),0),AG168/(1+IFERROR(INDEX(AG$10:AG$11,Предпосылки!$I$207,),0))*IFERROR(INDEX(AG$10:AG$11,Предпосылки!$I$207,),0),AG191/(1+IFERROR(INDEX(AG$10:AG$11,Предпосылки!$I$208,),0))*IFERROR(INDEX(AG$10:AG$11,Предпосылки!$I$208,),0),AG214/(1+IFERROR(INDEX(AG$10:AG$11,Предпосылки!$I$209,),0))*IFERROR(INDEX(AG$10:AG$11,Предпосылки!$I$209,),0),AG237/(1+IFERROR(INDEX(AG$10:AG$11,Предпосылки!$I$210,),0))*IFERROR(INDEX(AG$10:AG$11,Предпосылки!$I$210,),0),AG260/(1+IFERROR(INDEX(AG$10:AG$11,Предпосылки!$I$211,),0))*IFERROR(INDEX(AG$10:AG$11,Предпосылки!$I$211,),0),AG283/(1+IFERROR(INDEX(AG$10:AG$11,Предпосылки!$I$212,),0))*IFERROR(INDEX(AG$10:AG$11,Предпосылки!$I$212,),0),AG306/(1+IFERROR(INDEX(AG$10:AG$11,Предпосылки!$I$213,),0))*IFERROR(INDEX(AG$10:AG$11,Предпосылки!$I$213,),0),AG329/(1+IFERROR(INDEX(AG$10:AG$11,Предпосылки!$I$214,),0))*IFERROR(INDEX(AG$10:AG$11,Предпосылки!$I$214,),0),AG352/(1+IFERROR(INDEX(AG$10:AG$11,Предпосылки!$I$215,),0))*IFERROR(INDEX(AG$10:AG$11,Предпосылки!$I$215,),0),AG375/(1+IFERROR(INDEX(AG$10:AG$11,Предпосылки!$I$216,),0))*IFERROR(INDEX(AG$10:AG$11,Предпосылки!$I$216,),0),AG398/(1+IFERROR(INDEX(AG$10:AG$11,Предпосылки!$I$217,),0))*IFERROR(INDEX(AG$10:AG$11,Предпосылки!$I$217,),0),AG421/(1+IFERROR(INDEX(AG$10:AG$11,Предпосылки!$I$218,),0))*IFERROR(INDEX(AG$10:AG$11,Предпосылки!$I$218,),0),AG444/(1+IFERROR(INDEX(AG$10:AG$11,Предпосылки!$I$219,),0))*IFERROR(INDEX(AG$10:AG$11,Предпосылки!$I$219,),0),AG467/(1+IFERROR(INDEX(AG$10:AG$11,Предпосылки!$I$220,),0))*IFERROR(INDEX(AG$10:AG$11,Предпосылки!$I$220,),0))</f>
        <v>0</v>
      </c>
      <c s="125">
        <f>SUM(AH30/(1+IFERROR(INDEX(AH$10:AH$11,Предпосылки!$I$201,),0))*IFERROR(INDEX(AH$10:AH$11,Предпосылки!$I$201,),0),AH53/(1+IFERROR(INDEX(AH$10:AH$11,Предпосылки!$I$202,),0))*IFERROR(INDEX(AH$10:AH$11,Предпосылки!$I$202,),0),AH76/(1+IFERROR(INDEX(AH$10:AH$11,Предпосылки!$I$203,),0))*IFERROR(INDEX(AH$10:AH$11,Предпосылки!$I$203,),0),AH99/(1+IFERROR(INDEX(AH$10:AH$11,Предпосылки!$I$204,),0))*IFERROR(INDEX(AH$10:AH$11,Предпосылки!$I$204,),0),AH122/(1+IFERROR(INDEX(AH$10:AH$11,Предпосылки!$I$205,),0))*IFERROR(INDEX(AH$10:AH$11,Предпосылки!$I$205,),0),AH145/(1+IFERROR(INDEX(AH$10:AH$11,Предпосылки!$I$206,),0))*IFERROR(INDEX(AH$10:AH$11,Предпосылки!$I$206,),0),AH168/(1+IFERROR(INDEX(AH$10:AH$11,Предпосылки!$I$207,),0))*IFERROR(INDEX(AH$10:AH$11,Предпосылки!$I$207,),0),AH191/(1+IFERROR(INDEX(AH$10:AH$11,Предпосылки!$I$208,),0))*IFERROR(INDEX(AH$10:AH$11,Предпосылки!$I$208,),0),AH214/(1+IFERROR(INDEX(AH$10:AH$11,Предпосылки!$I$209,),0))*IFERROR(INDEX(AH$10:AH$11,Предпосылки!$I$209,),0),AH237/(1+IFERROR(INDEX(AH$10:AH$11,Предпосылки!$I$210,),0))*IFERROR(INDEX(AH$10:AH$11,Предпосылки!$I$210,),0),AH260/(1+IFERROR(INDEX(AH$10:AH$11,Предпосылки!$I$211,),0))*IFERROR(INDEX(AH$10:AH$11,Предпосылки!$I$211,),0),AH283/(1+IFERROR(INDEX(AH$10:AH$11,Предпосылки!$I$212,),0))*IFERROR(INDEX(AH$10:AH$11,Предпосылки!$I$212,),0),AH306/(1+IFERROR(INDEX(AH$10:AH$11,Предпосылки!$I$213,),0))*IFERROR(INDEX(AH$10:AH$11,Предпосылки!$I$213,),0),AH329/(1+IFERROR(INDEX(AH$10:AH$11,Предпосылки!$I$214,),0))*IFERROR(INDEX(AH$10:AH$11,Предпосылки!$I$214,),0),AH352/(1+IFERROR(INDEX(AH$10:AH$11,Предпосылки!$I$215,),0))*IFERROR(INDEX(AH$10:AH$11,Предпосылки!$I$215,),0),AH375/(1+IFERROR(INDEX(AH$10:AH$11,Предпосылки!$I$216,),0))*IFERROR(INDEX(AH$10:AH$11,Предпосылки!$I$216,),0),AH398/(1+IFERROR(INDEX(AH$10:AH$11,Предпосылки!$I$217,),0))*IFERROR(INDEX(AH$10:AH$11,Предпосылки!$I$217,),0),AH421/(1+IFERROR(INDEX(AH$10:AH$11,Предпосылки!$I$218,),0))*IFERROR(INDEX(AH$10:AH$11,Предпосылки!$I$218,),0),AH444/(1+IFERROR(INDEX(AH$10:AH$11,Предпосылки!$I$219,),0))*IFERROR(INDEX(AH$10:AH$11,Предпосылки!$I$219,),0),AH467/(1+IFERROR(INDEX(AH$10:AH$11,Предпосылки!$I$220,),0))*IFERROR(INDEX(AH$10:AH$11,Предпосылки!$I$220,),0))</f>
        <v>0</v>
      </c>
      <c s="125">
        <f>SUM(AI30/(1+IFERROR(INDEX(AI$10:AI$11,Предпосылки!$I$201,),0))*IFERROR(INDEX(AI$10:AI$11,Предпосылки!$I$201,),0),AI53/(1+IFERROR(INDEX(AI$10:AI$11,Предпосылки!$I$202,),0))*IFERROR(INDEX(AI$10:AI$11,Предпосылки!$I$202,),0),AI76/(1+IFERROR(INDEX(AI$10:AI$11,Предпосылки!$I$203,),0))*IFERROR(INDEX(AI$10:AI$11,Предпосылки!$I$203,),0),AI99/(1+IFERROR(INDEX(AI$10:AI$11,Предпосылки!$I$204,),0))*IFERROR(INDEX(AI$10:AI$11,Предпосылки!$I$204,),0),AI122/(1+IFERROR(INDEX(AI$10:AI$11,Предпосылки!$I$205,),0))*IFERROR(INDEX(AI$10:AI$11,Предпосылки!$I$205,),0),AI145/(1+IFERROR(INDEX(AI$10:AI$11,Предпосылки!$I$206,),0))*IFERROR(INDEX(AI$10:AI$11,Предпосылки!$I$206,),0),AI168/(1+IFERROR(INDEX(AI$10:AI$11,Предпосылки!$I$207,),0))*IFERROR(INDEX(AI$10:AI$11,Предпосылки!$I$207,),0),AI191/(1+IFERROR(INDEX(AI$10:AI$11,Предпосылки!$I$208,),0))*IFERROR(INDEX(AI$10:AI$11,Предпосылки!$I$208,),0),AI214/(1+IFERROR(INDEX(AI$10:AI$11,Предпосылки!$I$209,),0))*IFERROR(INDEX(AI$10:AI$11,Предпосылки!$I$209,),0),AI237/(1+IFERROR(INDEX(AI$10:AI$11,Предпосылки!$I$210,),0))*IFERROR(INDEX(AI$10:AI$11,Предпосылки!$I$210,),0),AI260/(1+IFERROR(INDEX(AI$10:AI$11,Предпосылки!$I$211,),0))*IFERROR(INDEX(AI$10:AI$11,Предпосылки!$I$211,),0),AI283/(1+IFERROR(INDEX(AI$10:AI$11,Предпосылки!$I$212,),0))*IFERROR(INDEX(AI$10:AI$11,Предпосылки!$I$212,),0),AI306/(1+IFERROR(INDEX(AI$10:AI$11,Предпосылки!$I$213,),0))*IFERROR(INDEX(AI$10:AI$11,Предпосылки!$I$213,),0),AI329/(1+IFERROR(INDEX(AI$10:AI$11,Предпосылки!$I$214,),0))*IFERROR(INDEX(AI$10:AI$11,Предпосылки!$I$214,),0),AI352/(1+IFERROR(INDEX(AI$10:AI$11,Предпосылки!$I$215,),0))*IFERROR(INDEX(AI$10:AI$11,Предпосылки!$I$215,),0),AI375/(1+IFERROR(INDEX(AI$10:AI$11,Предпосылки!$I$216,),0))*IFERROR(INDEX(AI$10:AI$11,Предпосылки!$I$216,),0),AI398/(1+IFERROR(INDEX(AI$10:AI$11,Предпосылки!$I$217,),0))*IFERROR(INDEX(AI$10:AI$11,Предпосылки!$I$217,),0),AI421/(1+IFERROR(INDEX(AI$10:AI$11,Предпосылки!$I$218,),0))*IFERROR(INDEX(AI$10:AI$11,Предпосылки!$I$218,),0),AI444/(1+IFERROR(INDEX(AI$10:AI$11,Предпосылки!$I$219,),0))*IFERROR(INDEX(AI$10:AI$11,Предпосылки!$I$219,),0),AI467/(1+IFERROR(INDEX(AI$10:AI$11,Предпосылки!$I$220,),0))*IFERROR(INDEX(AI$10:AI$11,Предпосылки!$I$220,),0))</f>
        <v>0</v>
      </c>
      <c s="125">
        <f>SUM(AJ30/(1+IFERROR(INDEX(AJ$10:AJ$11,Предпосылки!$I$201,),0))*IFERROR(INDEX(AJ$10:AJ$11,Предпосылки!$I$201,),0),AJ53/(1+IFERROR(INDEX(AJ$10:AJ$11,Предпосылки!$I$202,),0))*IFERROR(INDEX(AJ$10:AJ$11,Предпосылки!$I$202,),0),AJ76/(1+IFERROR(INDEX(AJ$10:AJ$11,Предпосылки!$I$203,),0))*IFERROR(INDEX(AJ$10:AJ$11,Предпосылки!$I$203,),0),AJ99/(1+IFERROR(INDEX(AJ$10:AJ$11,Предпосылки!$I$204,),0))*IFERROR(INDEX(AJ$10:AJ$11,Предпосылки!$I$204,),0),AJ122/(1+IFERROR(INDEX(AJ$10:AJ$11,Предпосылки!$I$205,),0))*IFERROR(INDEX(AJ$10:AJ$11,Предпосылки!$I$205,),0),AJ145/(1+IFERROR(INDEX(AJ$10:AJ$11,Предпосылки!$I$206,),0))*IFERROR(INDEX(AJ$10:AJ$11,Предпосылки!$I$206,),0),AJ168/(1+IFERROR(INDEX(AJ$10:AJ$11,Предпосылки!$I$207,),0))*IFERROR(INDEX(AJ$10:AJ$11,Предпосылки!$I$207,),0),AJ191/(1+IFERROR(INDEX(AJ$10:AJ$11,Предпосылки!$I$208,),0))*IFERROR(INDEX(AJ$10:AJ$11,Предпосылки!$I$208,),0),AJ214/(1+IFERROR(INDEX(AJ$10:AJ$11,Предпосылки!$I$209,),0))*IFERROR(INDEX(AJ$10:AJ$11,Предпосылки!$I$209,),0),AJ237/(1+IFERROR(INDEX(AJ$10:AJ$11,Предпосылки!$I$210,),0))*IFERROR(INDEX(AJ$10:AJ$11,Предпосылки!$I$210,),0),AJ260/(1+IFERROR(INDEX(AJ$10:AJ$11,Предпосылки!$I$211,),0))*IFERROR(INDEX(AJ$10:AJ$11,Предпосылки!$I$211,),0),AJ283/(1+IFERROR(INDEX(AJ$10:AJ$11,Предпосылки!$I$212,),0))*IFERROR(INDEX(AJ$10:AJ$11,Предпосылки!$I$212,),0),AJ306/(1+IFERROR(INDEX(AJ$10:AJ$11,Предпосылки!$I$213,),0))*IFERROR(INDEX(AJ$10:AJ$11,Предпосылки!$I$213,),0),AJ329/(1+IFERROR(INDEX(AJ$10:AJ$11,Предпосылки!$I$214,),0))*IFERROR(INDEX(AJ$10:AJ$11,Предпосылки!$I$214,),0),AJ352/(1+IFERROR(INDEX(AJ$10:AJ$11,Предпосылки!$I$215,),0))*IFERROR(INDEX(AJ$10:AJ$11,Предпосылки!$I$215,),0),AJ375/(1+IFERROR(INDEX(AJ$10:AJ$11,Предпосылки!$I$216,),0))*IFERROR(INDEX(AJ$10:AJ$11,Предпосылки!$I$216,),0),AJ398/(1+IFERROR(INDEX(AJ$10:AJ$11,Предпосылки!$I$217,),0))*IFERROR(INDEX(AJ$10:AJ$11,Предпосылки!$I$217,),0),AJ421/(1+IFERROR(INDEX(AJ$10:AJ$11,Предпосылки!$I$218,),0))*IFERROR(INDEX(AJ$10:AJ$11,Предпосылки!$I$218,),0),AJ444/(1+IFERROR(INDEX(AJ$10:AJ$11,Предпосылки!$I$219,),0))*IFERROR(INDEX(AJ$10:AJ$11,Предпосылки!$I$219,),0),AJ467/(1+IFERROR(INDEX(AJ$10:AJ$11,Предпосылки!$I$220,),0))*IFERROR(INDEX(AJ$10:AJ$11,Предпосылки!$I$220,),0))</f>
        <v>0</v>
      </c>
      <c s="125">
        <f>SUM(AK30/(1+IFERROR(INDEX(AK$10:AK$11,Предпосылки!$I$201,),0))*IFERROR(INDEX(AK$10:AK$11,Предпосылки!$I$201,),0),AK53/(1+IFERROR(INDEX(AK$10:AK$11,Предпосылки!$I$202,),0))*IFERROR(INDEX(AK$10:AK$11,Предпосылки!$I$202,),0),AK76/(1+IFERROR(INDEX(AK$10:AK$11,Предпосылки!$I$203,),0))*IFERROR(INDEX(AK$10:AK$11,Предпосылки!$I$203,),0),AK99/(1+IFERROR(INDEX(AK$10:AK$11,Предпосылки!$I$204,),0))*IFERROR(INDEX(AK$10:AK$11,Предпосылки!$I$204,),0),AK122/(1+IFERROR(INDEX(AK$10:AK$11,Предпосылки!$I$205,),0))*IFERROR(INDEX(AK$10:AK$11,Предпосылки!$I$205,),0),AK145/(1+IFERROR(INDEX(AK$10:AK$11,Предпосылки!$I$206,),0))*IFERROR(INDEX(AK$10:AK$11,Предпосылки!$I$206,),0),AK168/(1+IFERROR(INDEX(AK$10:AK$11,Предпосылки!$I$207,),0))*IFERROR(INDEX(AK$10:AK$11,Предпосылки!$I$207,),0),AK191/(1+IFERROR(INDEX(AK$10:AK$11,Предпосылки!$I$208,),0))*IFERROR(INDEX(AK$10:AK$11,Предпосылки!$I$208,),0),AK214/(1+IFERROR(INDEX(AK$10:AK$11,Предпосылки!$I$209,),0))*IFERROR(INDEX(AK$10:AK$11,Предпосылки!$I$209,),0),AK237/(1+IFERROR(INDEX(AK$10:AK$11,Предпосылки!$I$210,),0))*IFERROR(INDEX(AK$10:AK$11,Предпосылки!$I$210,),0),AK260/(1+IFERROR(INDEX(AK$10:AK$11,Предпосылки!$I$211,),0))*IFERROR(INDEX(AK$10:AK$11,Предпосылки!$I$211,),0),AK283/(1+IFERROR(INDEX(AK$10:AK$11,Предпосылки!$I$212,),0))*IFERROR(INDEX(AK$10:AK$11,Предпосылки!$I$212,),0),AK306/(1+IFERROR(INDEX(AK$10:AK$11,Предпосылки!$I$213,),0))*IFERROR(INDEX(AK$10:AK$11,Предпосылки!$I$213,),0),AK329/(1+IFERROR(INDEX(AK$10:AK$11,Предпосылки!$I$214,),0))*IFERROR(INDEX(AK$10:AK$11,Предпосылки!$I$214,),0),AK352/(1+IFERROR(INDEX(AK$10:AK$11,Предпосылки!$I$215,),0))*IFERROR(INDEX(AK$10:AK$11,Предпосылки!$I$215,),0),AK375/(1+IFERROR(INDEX(AK$10:AK$11,Предпосылки!$I$216,),0))*IFERROR(INDEX(AK$10:AK$11,Предпосылки!$I$216,),0),AK398/(1+IFERROR(INDEX(AK$10:AK$11,Предпосылки!$I$217,),0))*IFERROR(INDEX(AK$10:AK$11,Предпосылки!$I$217,),0),AK421/(1+IFERROR(INDEX(AK$10:AK$11,Предпосылки!$I$218,),0))*IFERROR(INDEX(AK$10:AK$11,Предпосылки!$I$218,),0),AK444/(1+IFERROR(INDEX(AK$10:AK$11,Предпосылки!$I$219,),0))*IFERROR(INDEX(AK$10:AK$11,Предпосылки!$I$219,),0),AK467/(1+IFERROR(INDEX(AK$10:AK$11,Предпосылки!$I$220,),0))*IFERROR(INDEX(AK$10:AK$11,Предпосылки!$I$220,),0))</f>
        <v>0</v>
      </c>
      <c s="125">
        <f>SUM(AL30/(1+IFERROR(INDEX(AL$10:AL$11,Предпосылки!$I$201,),0))*IFERROR(INDEX(AL$10:AL$11,Предпосылки!$I$201,),0),AL53/(1+IFERROR(INDEX(AL$10:AL$11,Предпосылки!$I$202,),0))*IFERROR(INDEX(AL$10:AL$11,Предпосылки!$I$202,),0),AL76/(1+IFERROR(INDEX(AL$10:AL$11,Предпосылки!$I$203,),0))*IFERROR(INDEX(AL$10:AL$11,Предпосылки!$I$203,),0),AL99/(1+IFERROR(INDEX(AL$10:AL$11,Предпосылки!$I$204,),0))*IFERROR(INDEX(AL$10:AL$11,Предпосылки!$I$204,),0),AL122/(1+IFERROR(INDEX(AL$10:AL$11,Предпосылки!$I$205,),0))*IFERROR(INDEX(AL$10:AL$11,Предпосылки!$I$205,),0),AL145/(1+IFERROR(INDEX(AL$10:AL$11,Предпосылки!$I$206,),0))*IFERROR(INDEX(AL$10:AL$11,Предпосылки!$I$206,),0),AL168/(1+IFERROR(INDEX(AL$10:AL$11,Предпосылки!$I$207,),0))*IFERROR(INDEX(AL$10:AL$11,Предпосылки!$I$207,),0),AL191/(1+IFERROR(INDEX(AL$10:AL$11,Предпосылки!$I$208,),0))*IFERROR(INDEX(AL$10:AL$11,Предпосылки!$I$208,),0),AL214/(1+IFERROR(INDEX(AL$10:AL$11,Предпосылки!$I$209,),0))*IFERROR(INDEX(AL$10:AL$11,Предпосылки!$I$209,),0),AL237/(1+IFERROR(INDEX(AL$10:AL$11,Предпосылки!$I$210,),0))*IFERROR(INDEX(AL$10:AL$11,Предпосылки!$I$210,),0),AL260/(1+IFERROR(INDEX(AL$10:AL$11,Предпосылки!$I$211,),0))*IFERROR(INDEX(AL$10:AL$11,Предпосылки!$I$211,),0),AL283/(1+IFERROR(INDEX(AL$10:AL$11,Предпосылки!$I$212,),0))*IFERROR(INDEX(AL$10:AL$11,Предпосылки!$I$212,),0),AL306/(1+IFERROR(INDEX(AL$10:AL$11,Предпосылки!$I$213,),0))*IFERROR(INDEX(AL$10:AL$11,Предпосылки!$I$213,),0),AL329/(1+IFERROR(INDEX(AL$10:AL$11,Предпосылки!$I$214,),0))*IFERROR(INDEX(AL$10:AL$11,Предпосылки!$I$214,),0),AL352/(1+IFERROR(INDEX(AL$10:AL$11,Предпосылки!$I$215,),0))*IFERROR(INDEX(AL$10:AL$11,Предпосылки!$I$215,),0),AL375/(1+IFERROR(INDEX(AL$10:AL$11,Предпосылки!$I$216,),0))*IFERROR(INDEX(AL$10:AL$11,Предпосылки!$I$216,),0),AL398/(1+IFERROR(INDEX(AL$10:AL$11,Предпосылки!$I$217,),0))*IFERROR(INDEX(AL$10:AL$11,Предпосылки!$I$217,),0),AL421/(1+IFERROR(INDEX(AL$10:AL$11,Предпосылки!$I$218,),0))*IFERROR(INDEX(AL$10:AL$11,Предпосылки!$I$218,),0),AL444/(1+IFERROR(INDEX(AL$10:AL$11,Предпосылки!$I$219,),0))*IFERROR(INDEX(AL$10:AL$11,Предпосылки!$I$219,),0),AL467/(1+IFERROR(INDEX(AL$10:AL$11,Предпосылки!$I$220,),0))*IFERROR(INDEX(AL$10:AL$11,Предпосылки!$I$220,),0))</f>
        <v>0</v>
      </c>
      <c s="125">
        <f>SUM(AM30/(1+IFERROR(INDEX(AM$10:AM$11,Предпосылки!$I$201,),0))*IFERROR(INDEX(AM$10:AM$11,Предпосылки!$I$201,),0),AM53/(1+IFERROR(INDEX(AM$10:AM$11,Предпосылки!$I$202,),0))*IFERROR(INDEX(AM$10:AM$11,Предпосылки!$I$202,),0),AM76/(1+IFERROR(INDEX(AM$10:AM$11,Предпосылки!$I$203,),0))*IFERROR(INDEX(AM$10:AM$11,Предпосылки!$I$203,),0),AM99/(1+IFERROR(INDEX(AM$10:AM$11,Предпосылки!$I$204,),0))*IFERROR(INDEX(AM$10:AM$11,Предпосылки!$I$204,),0),AM122/(1+IFERROR(INDEX(AM$10:AM$11,Предпосылки!$I$205,),0))*IFERROR(INDEX(AM$10:AM$11,Предпосылки!$I$205,),0),AM145/(1+IFERROR(INDEX(AM$10:AM$11,Предпосылки!$I$206,),0))*IFERROR(INDEX(AM$10:AM$11,Предпосылки!$I$206,),0),AM168/(1+IFERROR(INDEX(AM$10:AM$11,Предпосылки!$I$207,),0))*IFERROR(INDEX(AM$10:AM$11,Предпосылки!$I$207,),0),AM191/(1+IFERROR(INDEX(AM$10:AM$11,Предпосылки!$I$208,),0))*IFERROR(INDEX(AM$10:AM$11,Предпосылки!$I$208,),0),AM214/(1+IFERROR(INDEX(AM$10:AM$11,Предпосылки!$I$209,),0))*IFERROR(INDEX(AM$10:AM$11,Предпосылки!$I$209,),0),AM237/(1+IFERROR(INDEX(AM$10:AM$11,Предпосылки!$I$210,),0))*IFERROR(INDEX(AM$10:AM$11,Предпосылки!$I$210,),0),AM260/(1+IFERROR(INDEX(AM$10:AM$11,Предпосылки!$I$211,),0))*IFERROR(INDEX(AM$10:AM$11,Предпосылки!$I$211,),0),AM283/(1+IFERROR(INDEX(AM$10:AM$11,Предпосылки!$I$212,),0))*IFERROR(INDEX(AM$10:AM$11,Предпосылки!$I$212,),0),AM306/(1+IFERROR(INDEX(AM$10:AM$11,Предпосылки!$I$213,),0))*IFERROR(INDEX(AM$10:AM$11,Предпосылки!$I$213,),0),AM329/(1+IFERROR(INDEX(AM$10:AM$11,Предпосылки!$I$214,),0))*IFERROR(INDEX(AM$10:AM$11,Предпосылки!$I$214,),0),AM352/(1+IFERROR(INDEX(AM$10:AM$11,Предпосылки!$I$215,),0))*IFERROR(INDEX(AM$10:AM$11,Предпосылки!$I$215,),0),AM375/(1+IFERROR(INDEX(AM$10:AM$11,Предпосылки!$I$216,),0))*IFERROR(INDEX(AM$10:AM$11,Предпосылки!$I$216,),0),AM398/(1+IFERROR(INDEX(AM$10:AM$11,Предпосылки!$I$217,),0))*IFERROR(INDEX(AM$10:AM$11,Предпосылки!$I$217,),0),AM421/(1+IFERROR(INDEX(AM$10:AM$11,Предпосылки!$I$218,),0))*IFERROR(INDEX(AM$10:AM$11,Предпосылки!$I$218,),0),AM444/(1+IFERROR(INDEX(AM$10:AM$11,Предпосылки!$I$219,),0))*IFERROR(INDEX(AM$10:AM$11,Предпосылки!$I$219,),0),AM467/(1+IFERROR(INDEX(AM$10:AM$11,Предпосылки!$I$220,),0))*IFERROR(INDEX(AM$10:AM$11,Предпосылки!$I$220,),0))</f>
        <v>0</v>
      </c>
      <c s="125">
        <f>SUM(AN30/(1+IFERROR(INDEX(AN$10:AN$11,Предпосылки!$I$201,),0))*IFERROR(INDEX(AN$10:AN$11,Предпосылки!$I$201,),0),AN53/(1+IFERROR(INDEX(AN$10:AN$11,Предпосылки!$I$202,),0))*IFERROR(INDEX(AN$10:AN$11,Предпосылки!$I$202,),0),AN76/(1+IFERROR(INDEX(AN$10:AN$11,Предпосылки!$I$203,),0))*IFERROR(INDEX(AN$10:AN$11,Предпосылки!$I$203,),0),AN99/(1+IFERROR(INDEX(AN$10:AN$11,Предпосылки!$I$204,),0))*IFERROR(INDEX(AN$10:AN$11,Предпосылки!$I$204,),0),AN122/(1+IFERROR(INDEX(AN$10:AN$11,Предпосылки!$I$205,),0))*IFERROR(INDEX(AN$10:AN$11,Предпосылки!$I$205,),0),AN145/(1+IFERROR(INDEX(AN$10:AN$11,Предпосылки!$I$206,),0))*IFERROR(INDEX(AN$10:AN$11,Предпосылки!$I$206,),0),AN168/(1+IFERROR(INDEX(AN$10:AN$11,Предпосылки!$I$207,),0))*IFERROR(INDEX(AN$10:AN$11,Предпосылки!$I$207,),0),AN191/(1+IFERROR(INDEX(AN$10:AN$11,Предпосылки!$I$208,),0))*IFERROR(INDEX(AN$10:AN$11,Предпосылки!$I$208,),0),AN214/(1+IFERROR(INDEX(AN$10:AN$11,Предпосылки!$I$209,),0))*IFERROR(INDEX(AN$10:AN$11,Предпосылки!$I$209,),0),AN237/(1+IFERROR(INDEX(AN$10:AN$11,Предпосылки!$I$210,),0))*IFERROR(INDEX(AN$10:AN$11,Предпосылки!$I$210,),0),AN260/(1+IFERROR(INDEX(AN$10:AN$11,Предпосылки!$I$211,),0))*IFERROR(INDEX(AN$10:AN$11,Предпосылки!$I$211,),0),AN283/(1+IFERROR(INDEX(AN$10:AN$11,Предпосылки!$I$212,),0))*IFERROR(INDEX(AN$10:AN$11,Предпосылки!$I$212,),0),AN306/(1+IFERROR(INDEX(AN$10:AN$11,Предпосылки!$I$213,),0))*IFERROR(INDEX(AN$10:AN$11,Предпосылки!$I$213,),0),AN329/(1+IFERROR(INDEX(AN$10:AN$11,Предпосылки!$I$214,),0))*IFERROR(INDEX(AN$10:AN$11,Предпосылки!$I$214,),0),AN352/(1+IFERROR(INDEX(AN$10:AN$11,Предпосылки!$I$215,),0))*IFERROR(INDEX(AN$10:AN$11,Предпосылки!$I$215,),0),AN375/(1+IFERROR(INDEX(AN$10:AN$11,Предпосылки!$I$216,),0))*IFERROR(INDEX(AN$10:AN$11,Предпосылки!$I$216,),0),AN398/(1+IFERROR(INDEX(AN$10:AN$11,Предпосылки!$I$217,),0))*IFERROR(INDEX(AN$10:AN$11,Предпосылки!$I$217,),0),AN421/(1+IFERROR(INDEX(AN$10:AN$11,Предпосылки!$I$218,),0))*IFERROR(INDEX(AN$10:AN$11,Предпосылки!$I$218,),0),AN444/(1+IFERROR(INDEX(AN$10:AN$11,Предпосылки!$I$219,),0))*IFERROR(INDEX(AN$10:AN$11,Предпосылки!$I$219,),0),AN467/(1+IFERROR(INDEX(AN$10:AN$11,Предпосылки!$I$220,),0))*IFERROR(INDEX(AN$10:AN$11,Предпосылки!$I$220,),0))</f>
        <v>0</v>
      </c>
      <c s="125">
        <f>SUM(AO30/(1+IFERROR(INDEX(AO$10:AO$11,Предпосылки!$I$201,),0))*IFERROR(INDEX(AO$10:AO$11,Предпосылки!$I$201,),0),AO53/(1+IFERROR(INDEX(AO$10:AO$11,Предпосылки!$I$202,),0))*IFERROR(INDEX(AO$10:AO$11,Предпосылки!$I$202,),0),AO76/(1+IFERROR(INDEX(AO$10:AO$11,Предпосылки!$I$203,),0))*IFERROR(INDEX(AO$10:AO$11,Предпосылки!$I$203,),0),AO99/(1+IFERROR(INDEX(AO$10:AO$11,Предпосылки!$I$204,),0))*IFERROR(INDEX(AO$10:AO$11,Предпосылки!$I$204,),0),AO122/(1+IFERROR(INDEX(AO$10:AO$11,Предпосылки!$I$205,),0))*IFERROR(INDEX(AO$10:AO$11,Предпосылки!$I$205,),0),AO145/(1+IFERROR(INDEX(AO$10:AO$11,Предпосылки!$I$206,),0))*IFERROR(INDEX(AO$10:AO$11,Предпосылки!$I$206,),0),AO168/(1+IFERROR(INDEX(AO$10:AO$11,Предпосылки!$I$207,),0))*IFERROR(INDEX(AO$10:AO$11,Предпосылки!$I$207,),0),AO191/(1+IFERROR(INDEX(AO$10:AO$11,Предпосылки!$I$208,),0))*IFERROR(INDEX(AO$10:AO$11,Предпосылки!$I$208,),0),AO214/(1+IFERROR(INDEX(AO$10:AO$11,Предпосылки!$I$209,),0))*IFERROR(INDEX(AO$10:AO$11,Предпосылки!$I$209,),0),AO237/(1+IFERROR(INDEX(AO$10:AO$11,Предпосылки!$I$210,),0))*IFERROR(INDEX(AO$10:AO$11,Предпосылки!$I$210,),0),AO260/(1+IFERROR(INDEX(AO$10:AO$11,Предпосылки!$I$211,),0))*IFERROR(INDEX(AO$10:AO$11,Предпосылки!$I$211,),0),AO283/(1+IFERROR(INDEX(AO$10:AO$11,Предпосылки!$I$212,),0))*IFERROR(INDEX(AO$10:AO$11,Предпосылки!$I$212,),0),AO306/(1+IFERROR(INDEX(AO$10:AO$11,Предпосылки!$I$213,),0))*IFERROR(INDEX(AO$10:AO$11,Предпосылки!$I$213,),0),AO329/(1+IFERROR(INDEX(AO$10:AO$11,Предпосылки!$I$214,),0))*IFERROR(INDEX(AO$10:AO$11,Предпосылки!$I$214,),0),AO352/(1+IFERROR(INDEX(AO$10:AO$11,Предпосылки!$I$215,),0))*IFERROR(INDEX(AO$10:AO$11,Предпосылки!$I$215,),0),AO375/(1+IFERROR(INDEX(AO$10:AO$11,Предпосылки!$I$216,),0))*IFERROR(INDEX(AO$10:AO$11,Предпосылки!$I$216,),0),AO398/(1+IFERROR(INDEX(AO$10:AO$11,Предпосылки!$I$217,),0))*IFERROR(INDEX(AO$10:AO$11,Предпосылки!$I$217,),0),AO421/(1+IFERROR(INDEX(AO$10:AO$11,Предпосылки!$I$218,),0))*IFERROR(INDEX(AO$10:AO$11,Предпосылки!$I$218,),0),AO444/(1+IFERROR(INDEX(AO$10:AO$11,Предпосылки!$I$219,),0))*IFERROR(INDEX(AO$10:AO$11,Предпосылки!$I$219,),0),AO467/(1+IFERROR(INDEX(AO$10:AO$11,Предпосылки!$I$220,),0))*IFERROR(INDEX(AO$10:AO$11,Предпосылки!$I$220,),0))</f>
        <v>0</v>
      </c>
      <c s="125">
        <f>SUM(AP30/(1+IFERROR(INDEX(AP$10:AP$11,Предпосылки!$I$201,),0))*IFERROR(INDEX(AP$10:AP$11,Предпосылки!$I$201,),0),AP53/(1+IFERROR(INDEX(AP$10:AP$11,Предпосылки!$I$202,),0))*IFERROR(INDEX(AP$10:AP$11,Предпосылки!$I$202,),0),AP76/(1+IFERROR(INDEX(AP$10:AP$11,Предпосылки!$I$203,),0))*IFERROR(INDEX(AP$10:AP$11,Предпосылки!$I$203,),0),AP99/(1+IFERROR(INDEX(AP$10:AP$11,Предпосылки!$I$204,),0))*IFERROR(INDEX(AP$10:AP$11,Предпосылки!$I$204,),0),AP122/(1+IFERROR(INDEX(AP$10:AP$11,Предпосылки!$I$205,),0))*IFERROR(INDEX(AP$10:AP$11,Предпосылки!$I$205,),0),AP145/(1+IFERROR(INDEX(AP$10:AP$11,Предпосылки!$I$206,),0))*IFERROR(INDEX(AP$10:AP$11,Предпосылки!$I$206,),0),AP168/(1+IFERROR(INDEX(AP$10:AP$11,Предпосылки!$I$207,),0))*IFERROR(INDEX(AP$10:AP$11,Предпосылки!$I$207,),0),AP191/(1+IFERROR(INDEX(AP$10:AP$11,Предпосылки!$I$208,),0))*IFERROR(INDEX(AP$10:AP$11,Предпосылки!$I$208,),0),AP214/(1+IFERROR(INDEX(AP$10:AP$11,Предпосылки!$I$209,),0))*IFERROR(INDEX(AP$10:AP$11,Предпосылки!$I$209,),0),AP237/(1+IFERROR(INDEX(AP$10:AP$11,Предпосылки!$I$210,),0))*IFERROR(INDEX(AP$10:AP$11,Предпосылки!$I$210,),0),AP260/(1+IFERROR(INDEX(AP$10:AP$11,Предпосылки!$I$211,),0))*IFERROR(INDEX(AP$10:AP$11,Предпосылки!$I$211,),0),AP283/(1+IFERROR(INDEX(AP$10:AP$11,Предпосылки!$I$212,),0))*IFERROR(INDEX(AP$10:AP$11,Предпосылки!$I$212,),0),AP306/(1+IFERROR(INDEX(AP$10:AP$11,Предпосылки!$I$213,),0))*IFERROR(INDEX(AP$10:AP$11,Предпосылки!$I$213,),0),AP329/(1+IFERROR(INDEX(AP$10:AP$11,Предпосылки!$I$214,),0))*IFERROR(INDEX(AP$10:AP$11,Предпосылки!$I$214,),0),AP352/(1+IFERROR(INDEX(AP$10:AP$11,Предпосылки!$I$215,),0))*IFERROR(INDEX(AP$10:AP$11,Предпосылки!$I$215,),0),AP375/(1+IFERROR(INDEX(AP$10:AP$11,Предпосылки!$I$216,),0))*IFERROR(INDEX(AP$10:AP$11,Предпосылки!$I$216,),0),AP398/(1+IFERROR(INDEX(AP$10:AP$11,Предпосылки!$I$217,),0))*IFERROR(INDEX(AP$10:AP$11,Предпосылки!$I$217,),0),AP421/(1+IFERROR(INDEX(AP$10:AP$11,Предпосылки!$I$218,),0))*IFERROR(INDEX(AP$10:AP$11,Предпосылки!$I$218,),0),AP444/(1+IFERROR(INDEX(AP$10:AP$11,Предпосылки!$I$219,),0))*IFERROR(INDEX(AP$10:AP$11,Предпосылки!$I$219,),0),AP467/(1+IFERROR(INDEX(AP$10:AP$11,Предпосылки!$I$220,),0))*IFERROR(INDEX(AP$10:AP$11,Предпосылки!$I$220,),0))</f>
        <v>0</v>
      </c>
      <c s="125">
        <f>SUM(AQ30/(1+IFERROR(INDEX(AQ$10:AQ$11,Предпосылки!$I$201,),0))*IFERROR(INDEX(AQ$10:AQ$11,Предпосылки!$I$201,),0),AQ53/(1+IFERROR(INDEX(AQ$10:AQ$11,Предпосылки!$I$202,),0))*IFERROR(INDEX(AQ$10:AQ$11,Предпосылки!$I$202,),0),AQ76/(1+IFERROR(INDEX(AQ$10:AQ$11,Предпосылки!$I$203,),0))*IFERROR(INDEX(AQ$10:AQ$11,Предпосылки!$I$203,),0),AQ99/(1+IFERROR(INDEX(AQ$10:AQ$11,Предпосылки!$I$204,),0))*IFERROR(INDEX(AQ$10:AQ$11,Предпосылки!$I$204,),0),AQ122/(1+IFERROR(INDEX(AQ$10:AQ$11,Предпосылки!$I$205,),0))*IFERROR(INDEX(AQ$10:AQ$11,Предпосылки!$I$205,),0),AQ145/(1+IFERROR(INDEX(AQ$10:AQ$11,Предпосылки!$I$206,),0))*IFERROR(INDEX(AQ$10:AQ$11,Предпосылки!$I$206,),0),AQ168/(1+IFERROR(INDEX(AQ$10:AQ$11,Предпосылки!$I$207,),0))*IFERROR(INDEX(AQ$10:AQ$11,Предпосылки!$I$207,),0),AQ191/(1+IFERROR(INDEX(AQ$10:AQ$11,Предпосылки!$I$208,),0))*IFERROR(INDEX(AQ$10:AQ$11,Предпосылки!$I$208,),0),AQ214/(1+IFERROR(INDEX(AQ$10:AQ$11,Предпосылки!$I$209,),0))*IFERROR(INDEX(AQ$10:AQ$11,Предпосылки!$I$209,),0),AQ237/(1+IFERROR(INDEX(AQ$10:AQ$11,Предпосылки!$I$210,),0))*IFERROR(INDEX(AQ$10:AQ$11,Предпосылки!$I$210,),0),AQ260/(1+IFERROR(INDEX(AQ$10:AQ$11,Предпосылки!$I$211,),0))*IFERROR(INDEX(AQ$10:AQ$11,Предпосылки!$I$211,),0),AQ283/(1+IFERROR(INDEX(AQ$10:AQ$11,Предпосылки!$I$212,),0))*IFERROR(INDEX(AQ$10:AQ$11,Предпосылки!$I$212,),0),AQ306/(1+IFERROR(INDEX(AQ$10:AQ$11,Предпосылки!$I$213,),0))*IFERROR(INDEX(AQ$10:AQ$11,Предпосылки!$I$213,),0),AQ329/(1+IFERROR(INDEX(AQ$10:AQ$11,Предпосылки!$I$214,),0))*IFERROR(INDEX(AQ$10:AQ$11,Предпосылки!$I$214,),0),AQ352/(1+IFERROR(INDEX(AQ$10:AQ$11,Предпосылки!$I$215,),0))*IFERROR(INDEX(AQ$10:AQ$11,Предпосылки!$I$215,),0),AQ375/(1+IFERROR(INDEX(AQ$10:AQ$11,Предпосылки!$I$216,),0))*IFERROR(INDEX(AQ$10:AQ$11,Предпосылки!$I$216,),0),AQ398/(1+IFERROR(INDEX(AQ$10:AQ$11,Предпосылки!$I$217,),0))*IFERROR(INDEX(AQ$10:AQ$11,Предпосылки!$I$217,),0),AQ421/(1+IFERROR(INDEX(AQ$10:AQ$11,Предпосылки!$I$218,),0))*IFERROR(INDEX(AQ$10:AQ$11,Предпосылки!$I$218,),0),AQ444/(1+IFERROR(INDEX(AQ$10:AQ$11,Предпосылки!$I$219,),0))*IFERROR(INDEX(AQ$10:AQ$11,Предпосылки!$I$219,),0),AQ467/(1+IFERROR(INDEX(AQ$10:AQ$11,Предпосылки!$I$220,),0))*IFERROR(INDEX(AQ$10:AQ$11,Предпосылки!$I$220,),0))</f>
        <v>0</v>
      </c>
      <c s="125">
        <f>SUM(AR30/(1+IFERROR(INDEX(AR$10:AR$11,Предпосылки!$I$201,),0))*IFERROR(INDEX(AR$10:AR$11,Предпосылки!$I$201,),0),AR53/(1+IFERROR(INDEX(AR$10:AR$11,Предпосылки!$I$202,),0))*IFERROR(INDEX(AR$10:AR$11,Предпосылки!$I$202,),0),AR76/(1+IFERROR(INDEX(AR$10:AR$11,Предпосылки!$I$203,),0))*IFERROR(INDEX(AR$10:AR$11,Предпосылки!$I$203,),0),AR99/(1+IFERROR(INDEX(AR$10:AR$11,Предпосылки!$I$204,),0))*IFERROR(INDEX(AR$10:AR$11,Предпосылки!$I$204,),0),AR122/(1+IFERROR(INDEX(AR$10:AR$11,Предпосылки!$I$205,),0))*IFERROR(INDEX(AR$10:AR$11,Предпосылки!$I$205,),0),AR145/(1+IFERROR(INDEX(AR$10:AR$11,Предпосылки!$I$206,),0))*IFERROR(INDEX(AR$10:AR$11,Предпосылки!$I$206,),0),AR168/(1+IFERROR(INDEX(AR$10:AR$11,Предпосылки!$I$207,),0))*IFERROR(INDEX(AR$10:AR$11,Предпосылки!$I$207,),0),AR191/(1+IFERROR(INDEX(AR$10:AR$11,Предпосылки!$I$208,),0))*IFERROR(INDEX(AR$10:AR$11,Предпосылки!$I$208,),0),AR214/(1+IFERROR(INDEX(AR$10:AR$11,Предпосылки!$I$209,),0))*IFERROR(INDEX(AR$10:AR$11,Предпосылки!$I$209,),0),AR237/(1+IFERROR(INDEX(AR$10:AR$11,Предпосылки!$I$210,),0))*IFERROR(INDEX(AR$10:AR$11,Предпосылки!$I$210,),0),AR260/(1+IFERROR(INDEX(AR$10:AR$11,Предпосылки!$I$211,),0))*IFERROR(INDEX(AR$10:AR$11,Предпосылки!$I$211,),0),AR283/(1+IFERROR(INDEX(AR$10:AR$11,Предпосылки!$I$212,),0))*IFERROR(INDEX(AR$10:AR$11,Предпосылки!$I$212,),0),AR306/(1+IFERROR(INDEX(AR$10:AR$11,Предпосылки!$I$213,),0))*IFERROR(INDEX(AR$10:AR$11,Предпосылки!$I$213,),0),AR329/(1+IFERROR(INDEX(AR$10:AR$11,Предпосылки!$I$214,),0))*IFERROR(INDEX(AR$10:AR$11,Предпосылки!$I$214,),0),AR352/(1+IFERROR(INDEX(AR$10:AR$11,Предпосылки!$I$215,),0))*IFERROR(INDEX(AR$10:AR$11,Предпосылки!$I$215,),0),AR375/(1+IFERROR(INDEX(AR$10:AR$11,Предпосылки!$I$216,),0))*IFERROR(INDEX(AR$10:AR$11,Предпосылки!$I$216,),0),AR398/(1+IFERROR(INDEX(AR$10:AR$11,Предпосылки!$I$217,),0))*IFERROR(INDEX(AR$10:AR$11,Предпосылки!$I$217,),0),AR421/(1+IFERROR(INDEX(AR$10:AR$11,Предпосылки!$I$218,),0))*IFERROR(INDEX(AR$10:AR$11,Предпосылки!$I$218,),0),AR444/(1+IFERROR(INDEX(AR$10:AR$11,Предпосылки!$I$219,),0))*IFERROR(INDEX(AR$10:AR$11,Предпосылки!$I$219,),0),AR467/(1+IFERROR(INDEX(AR$10:AR$11,Предпосылки!$I$220,),0))*IFERROR(INDEX(AR$10:AR$11,Предпосылки!$I$220,),0))</f>
        <v>0</v>
      </c>
      <c s="125">
        <f>SUM(AS30/(1+IFERROR(INDEX(AS$10:AS$11,Предпосылки!$I$201,),0))*IFERROR(INDEX(AS$10:AS$11,Предпосылки!$I$201,),0),AS53/(1+IFERROR(INDEX(AS$10:AS$11,Предпосылки!$I$202,),0))*IFERROR(INDEX(AS$10:AS$11,Предпосылки!$I$202,),0),AS76/(1+IFERROR(INDEX(AS$10:AS$11,Предпосылки!$I$203,),0))*IFERROR(INDEX(AS$10:AS$11,Предпосылки!$I$203,),0),AS99/(1+IFERROR(INDEX(AS$10:AS$11,Предпосылки!$I$204,),0))*IFERROR(INDEX(AS$10:AS$11,Предпосылки!$I$204,),0),AS122/(1+IFERROR(INDEX(AS$10:AS$11,Предпосылки!$I$205,),0))*IFERROR(INDEX(AS$10:AS$11,Предпосылки!$I$205,),0),AS145/(1+IFERROR(INDEX(AS$10:AS$11,Предпосылки!$I$206,),0))*IFERROR(INDEX(AS$10:AS$11,Предпосылки!$I$206,),0),AS168/(1+IFERROR(INDEX(AS$10:AS$11,Предпосылки!$I$207,),0))*IFERROR(INDEX(AS$10:AS$11,Предпосылки!$I$207,),0),AS191/(1+IFERROR(INDEX(AS$10:AS$11,Предпосылки!$I$208,),0))*IFERROR(INDEX(AS$10:AS$11,Предпосылки!$I$208,),0),AS214/(1+IFERROR(INDEX(AS$10:AS$11,Предпосылки!$I$209,),0))*IFERROR(INDEX(AS$10:AS$11,Предпосылки!$I$209,),0),AS237/(1+IFERROR(INDEX(AS$10:AS$11,Предпосылки!$I$210,),0))*IFERROR(INDEX(AS$10:AS$11,Предпосылки!$I$210,),0),AS260/(1+IFERROR(INDEX(AS$10:AS$11,Предпосылки!$I$211,),0))*IFERROR(INDEX(AS$10:AS$11,Предпосылки!$I$211,),0),AS283/(1+IFERROR(INDEX(AS$10:AS$11,Предпосылки!$I$212,),0))*IFERROR(INDEX(AS$10:AS$11,Предпосылки!$I$212,),0),AS306/(1+IFERROR(INDEX(AS$10:AS$11,Предпосылки!$I$213,),0))*IFERROR(INDEX(AS$10:AS$11,Предпосылки!$I$213,),0),AS329/(1+IFERROR(INDEX(AS$10:AS$11,Предпосылки!$I$214,),0))*IFERROR(INDEX(AS$10:AS$11,Предпосылки!$I$214,),0),AS352/(1+IFERROR(INDEX(AS$10:AS$11,Предпосылки!$I$215,),0))*IFERROR(INDEX(AS$10:AS$11,Предпосылки!$I$215,),0),AS375/(1+IFERROR(INDEX(AS$10:AS$11,Предпосылки!$I$216,),0))*IFERROR(INDEX(AS$10:AS$11,Предпосылки!$I$216,),0),AS398/(1+IFERROR(INDEX(AS$10:AS$11,Предпосылки!$I$217,),0))*IFERROR(INDEX(AS$10:AS$11,Предпосылки!$I$217,),0),AS421/(1+IFERROR(INDEX(AS$10:AS$11,Предпосылки!$I$218,),0))*IFERROR(INDEX(AS$10:AS$11,Предпосылки!$I$218,),0),AS444/(1+IFERROR(INDEX(AS$10:AS$11,Предпосылки!$I$219,),0))*IFERROR(INDEX(AS$10:AS$11,Предпосылки!$I$219,),0),AS467/(1+IFERROR(INDEX(AS$10:AS$11,Предпосылки!$I$220,),0))*IFERROR(INDEX(AS$10:AS$11,Предпосылки!$I$220,),0))</f>
        <v>0</v>
      </c>
      <c s="125">
        <f>SUM(AT30/(1+IFERROR(INDEX(AT$10:AT$11,Предпосылки!$I$201,),0))*IFERROR(INDEX(AT$10:AT$11,Предпосылки!$I$201,),0),AT53/(1+IFERROR(INDEX(AT$10:AT$11,Предпосылки!$I$202,),0))*IFERROR(INDEX(AT$10:AT$11,Предпосылки!$I$202,),0),AT76/(1+IFERROR(INDEX(AT$10:AT$11,Предпосылки!$I$203,),0))*IFERROR(INDEX(AT$10:AT$11,Предпосылки!$I$203,),0),AT99/(1+IFERROR(INDEX(AT$10:AT$11,Предпосылки!$I$204,),0))*IFERROR(INDEX(AT$10:AT$11,Предпосылки!$I$204,),0),AT122/(1+IFERROR(INDEX(AT$10:AT$11,Предпосылки!$I$205,),0))*IFERROR(INDEX(AT$10:AT$11,Предпосылки!$I$205,),0),AT145/(1+IFERROR(INDEX(AT$10:AT$11,Предпосылки!$I$206,),0))*IFERROR(INDEX(AT$10:AT$11,Предпосылки!$I$206,),0),AT168/(1+IFERROR(INDEX(AT$10:AT$11,Предпосылки!$I$207,),0))*IFERROR(INDEX(AT$10:AT$11,Предпосылки!$I$207,),0),AT191/(1+IFERROR(INDEX(AT$10:AT$11,Предпосылки!$I$208,),0))*IFERROR(INDEX(AT$10:AT$11,Предпосылки!$I$208,),0),AT214/(1+IFERROR(INDEX(AT$10:AT$11,Предпосылки!$I$209,),0))*IFERROR(INDEX(AT$10:AT$11,Предпосылки!$I$209,),0),AT237/(1+IFERROR(INDEX(AT$10:AT$11,Предпосылки!$I$210,),0))*IFERROR(INDEX(AT$10:AT$11,Предпосылки!$I$210,),0),AT260/(1+IFERROR(INDEX(AT$10:AT$11,Предпосылки!$I$211,),0))*IFERROR(INDEX(AT$10:AT$11,Предпосылки!$I$211,),0),AT283/(1+IFERROR(INDEX(AT$10:AT$11,Предпосылки!$I$212,),0))*IFERROR(INDEX(AT$10:AT$11,Предпосылки!$I$212,),0),AT306/(1+IFERROR(INDEX(AT$10:AT$11,Предпосылки!$I$213,),0))*IFERROR(INDEX(AT$10:AT$11,Предпосылки!$I$213,),0),AT329/(1+IFERROR(INDEX(AT$10:AT$11,Предпосылки!$I$214,),0))*IFERROR(INDEX(AT$10:AT$11,Предпосылки!$I$214,),0),AT352/(1+IFERROR(INDEX(AT$10:AT$11,Предпосылки!$I$215,),0))*IFERROR(INDEX(AT$10:AT$11,Предпосылки!$I$215,),0),AT375/(1+IFERROR(INDEX(AT$10:AT$11,Предпосылки!$I$216,),0))*IFERROR(INDEX(AT$10:AT$11,Предпосылки!$I$216,),0),AT398/(1+IFERROR(INDEX(AT$10:AT$11,Предпосылки!$I$217,),0))*IFERROR(INDEX(AT$10:AT$11,Предпосылки!$I$217,),0),AT421/(1+IFERROR(INDEX(AT$10:AT$11,Предпосылки!$I$218,),0))*IFERROR(INDEX(AT$10:AT$11,Предпосылки!$I$218,),0),AT444/(1+IFERROR(INDEX(AT$10:AT$11,Предпосылки!$I$219,),0))*IFERROR(INDEX(AT$10:AT$11,Предпосылки!$I$219,),0),AT467/(1+IFERROR(INDEX(AT$10:AT$11,Предпосылки!$I$220,),0))*IFERROR(INDEX(AT$10:AT$11,Предпосылки!$I$220,),0))</f>
        <v>0</v>
      </c>
      <c s="125">
        <f>SUM(AU30/(1+IFERROR(INDEX(AU$10:AU$11,Предпосылки!$I$201,),0))*IFERROR(INDEX(AU$10:AU$11,Предпосылки!$I$201,),0),AU53/(1+IFERROR(INDEX(AU$10:AU$11,Предпосылки!$I$202,),0))*IFERROR(INDEX(AU$10:AU$11,Предпосылки!$I$202,),0),AU76/(1+IFERROR(INDEX(AU$10:AU$11,Предпосылки!$I$203,),0))*IFERROR(INDEX(AU$10:AU$11,Предпосылки!$I$203,),0),AU99/(1+IFERROR(INDEX(AU$10:AU$11,Предпосылки!$I$204,),0))*IFERROR(INDEX(AU$10:AU$11,Предпосылки!$I$204,),0),AU122/(1+IFERROR(INDEX(AU$10:AU$11,Предпосылки!$I$205,),0))*IFERROR(INDEX(AU$10:AU$11,Предпосылки!$I$205,),0),AU145/(1+IFERROR(INDEX(AU$10:AU$11,Предпосылки!$I$206,),0))*IFERROR(INDEX(AU$10:AU$11,Предпосылки!$I$206,),0),AU168/(1+IFERROR(INDEX(AU$10:AU$11,Предпосылки!$I$207,),0))*IFERROR(INDEX(AU$10:AU$11,Предпосылки!$I$207,),0),AU191/(1+IFERROR(INDEX(AU$10:AU$11,Предпосылки!$I$208,),0))*IFERROR(INDEX(AU$10:AU$11,Предпосылки!$I$208,),0),AU214/(1+IFERROR(INDEX(AU$10:AU$11,Предпосылки!$I$209,),0))*IFERROR(INDEX(AU$10:AU$11,Предпосылки!$I$209,),0),AU237/(1+IFERROR(INDEX(AU$10:AU$11,Предпосылки!$I$210,),0))*IFERROR(INDEX(AU$10:AU$11,Предпосылки!$I$210,),0),AU260/(1+IFERROR(INDEX(AU$10:AU$11,Предпосылки!$I$211,),0))*IFERROR(INDEX(AU$10:AU$11,Предпосылки!$I$211,),0),AU283/(1+IFERROR(INDEX(AU$10:AU$11,Предпосылки!$I$212,),0))*IFERROR(INDEX(AU$10:AU$11,Предпосылки!$I$212,),0),AU306/(1+IFERROR(INDEX(AU$10:AU$11,Предпосылки!$I$213,),0))*IFERROR(INDEX(AU$10:AU$11,Предпосылки!$I$213,),0),AU329/(1+IFERROR(INDEX(AU$10:AU$11,Предпосылки!$I$214,),0))*IFERROR(INDEX(AU$10:AU$11,Предпосылки!$I$214,),0),AU352/(1+IFERROR(INDEX(AU$10:AU$11,Предпосылки!$I$215,),0))*IFERROR(INDEX(AU$10:AU$11,Предпосылки!$I$215,),0),AU375/(1+IFERROR(INDEX(AU$10:AU$11,Предпосылки!$I$216,),0))*IFERROR(INDEX(AU$10:AU$11,Предпосылки!$I$216,),0),AU398/(1+IFERROR(INDEX(AU$10:AU$11,Предпосылки!$I$217,),0))*IFERROR(INDEX(AU$10:AU$11,Предпосылки!$I$217,),0),AU421/(1+IFERROR(INDEX(AU$10:AU$11,Предпосылки!$I$218,),0))*IFERROR(INDEX(AU$10:AU$11,Предпосылки!$I$218,),0),AU444/(1+IFERROR(INDEX(AU$10:AU$11,Предпосылки!$I$219,),0))*IFERROR(INDEX(AU$10:AU$11,Предпосылки!$I$219,),0),AU467/(1+IFERROR(INDEX(AU$10:AU$11,Предпосылки!$I$220,),0))*IFERROR(INDEX(AU$10:AU$11,Предпосылки!$I$220,),0))</f>
        <v>0</v>
      </c>
      <c s="125">
        <f>SUM(AV30/(1+IFERROR(INDEX(AV$10:AV$11,Предпосылки!$I$201,),0))*IFERROR(INDEX(AV$10:AV$11,Предпосылки!$I$201,),0),AV53/(1+IFERROR(INDEX(AV$10:AV$11,Предпосылки!$I$202,),0))*IFERROR(INDEX(AV$10:AV$11,Предпосылки!$I$202,),0),AV76/(1+IFERROR(INDEX(AV$10:AV$11,Предпосылки!$I$203,),0))*IFERROR(INDEX(AV$10:AV$11,Предпосылки!$I$203,),0),AV99/(1+IFERROR(INDEX(AV$10:AV$11,Предпосылки!$I$204,),0))*IFERROR(INDEX(AV$10:AV$11,Предпосылки!$I$204,),0),AV122/(1+IFERROR(INDEX(AV$10:AV$11,Предпосылки!$I$205,),0))*IFERROR(INDEX(AV$10:AV$11,Предпосылки!$I$205,),0),AV145/(1+IFERROR(INDEX(AV$10:AV$11,Предпосылки!$I$206,),0))*IFERROR(INDEX(AV$10:AV$11,Предпосылки!$I$206,),0),AV168/(1+IFERROR(INDEX(AV$10:AV$11,Предпосылки!$I$207,),0))*IFERROR(INDEX(AV$10:AV$11,Предпосылки!$I$207,),0),AV191/(1+IFERROR(INDEX(AV$10:AV$11,Предпосылки!$I$208,),0))*IFERROR(INDEX(AV$10:AV$11,Предпосылки!$I$208,),0),AV214/(1+IFERROR(INDEX(AV$10:AV$11,Предпосылки!$I$209,),0))*IFERROR(INDEX(AV$10:AV$11,Предпосылки!$I$209,),0),AV237/(1+IFERROR(INDEX(AV$10:AV$11,Предпосылки!$I$210,),0))*IFERROR(INDEX(AV$10:AV$11,Предпосылки!$I$210,),0),AV260/(1+IFERROR(INDEX(AV$10:AV$11,Предпосылки!$I$211,),0))*IFERROR(INDEX(AV$10:AV$11,Предпосылки!$I$211,),0),AV283/(1+IFERROR(INDEX(AV$10:AV$11,Предпосылки!$I$212,),0))*IFERROR(INDEX(AV$10:AV$11,Предпосылки!$I$212,),0),AV306/(1+IFERROR(INDEX(AV$10:AV$11,Предпосылки!$I$213,),0))*IFERROR(INDEX(AV$10:AV$11,Предпосылки!$I$213,),0),AV329/(1+IFERROR(INDEX(AV$10:AV$11,Предпосылки!$I$214,),0))*IFERROR(INDEX(AV$10:AV$11,Предпосылки!$I$214,),0),AV352/(1+IFERROR(INDEX(AV$10:AV$11,Предпосылки!$I$215,),0))*IFERROR(INDEX(AV$10:AV$11,Предпосылки!$I$215,),0),AV375/(1+IFERROR(INDEX(AV$10:AV$11,Предпосылки!$I$216,),0))*IFERROR(INDEX(AV$10:AV$11,Предпосылки!$I$216,),0),AV398/(1+IFERROR(INDEX(AV$10:AV$11,Предпосылки!$I$217,),0))*IFERROR(INDEX(AV$10:AV$11,Предпосылки!$I$217,),0),AV421/(1+IFERROR(INDEX(AV$10:AV$11,Предпосылки!$I$218,),0))*IFERROR(INDEX(AV$10:AV$11,Предпосылки!$I$218,),0),AV444/(1+IFERROR(INDEX(AV$10:AV$11,Предпосылки!$I$219,),0))*IFERROR(INDEX(AV$10:AV$11,Предпосылки!$I$219,),0),AV467/(1+IFERROR(INDEX(AV$10:AV$11,Предпосылки!$I$220,),0))*IFERROR(INDEX(AV$10:AV$11,Предпосылки!$I$220,),0))</f>
        <v>0</v>
      </c>
      <c s="125">
        <f>SUM(AW30/(1+IFERROR(INDEX(AW$10:AW$11,Предпосылки!$I$201,),0))*IFERROR(INDEX(AW$10:AW$11,Предпосылки!$I$201,),0),AW53/(1+IFERROR(INDEX(AW$10:AW$11,Предпосылки!$I$202,),0))*IFERROR(INDEX(AW$10:AW$11,Предпосылки!$I$202,),0),AW76/(1+IFERROR(INDEX(AW$10:AW$11,Предпосылки!$I$203,),0))*IFERROR(INDEX(AW$10:AW$11,Предпосылки!$I$203,),0),AW99/(1+IFERROR(INDEX(AW$10:AW$11,Предпосылки!$I$204,),0))*IFERROR(INDEX(AW$10:AW$11,Предпосылки!$I$204,),0),AW122/(1+IFERROR(INDEX(AW$10:AW$11,Предпосылки!$I$205,),0))*IFERROR(INDEX(AW$10:AW$11,Предпосылки!$I$205,),0),AW145/(1+IFERROR(INDEX(AW$10:AW$11,Предпосылки!$I$206,),0))*IFERROR(INDEX(AW$10:AW$11,Предпосылки!$I$206,),0),AW168/(1+IFERROR(INDEX(AW$10:AW$11,Предпосылки!$I$207,),0))*IFERROR(INDEX(AW$10:AW$11,Предпосылки!$I$207,),0),AW191/(1+IFERROR(INDEX(AW$10:AW$11,Предпосылки!$I$208,),0))*IFERROR(INDEX(AW$10:AW$11,Предпосылки!$I$208,),0),AW214/(1+IFERROR(INDEX(AW$10:AW$11,Предпосылки!$I$209,),0))*IFERROR(INDEX(AW$10:AW$11,Предпосылки!$I$209,),0),AW237/(1+IFERROR(INDEX(AW$10:AW$11,Предпосылки!$I$210,),0))*IFERROR(INDEX(AW$10:AW$11,Предпосылки!$I$210,),0),AW260/(1+IFERROR(INDEX(AW$10:AW$11,Предпосылки!$I$211,),0))*IFERROR(INDEX(AW$10:AW$11,Предпосылки!$I$211,),0),AW283/(1+IFERROR(INDEX(AW$10:AW$11,Предпосылки!$I$212,),0))*IFERROR(INDEX(AW$10:AW$11,Предпосылки!$I$212,),0),AW306/(1+IFERROR(INDEX(AW$10:AW$11,Предпосылки!$I$213,),0))*IFERROR(INDEX(AW$10:AW$11,Предпосылки!$I$213,),0),AW329/(1+IFERROR(INDEX(AW$10:AW$11,Предпосылки!$I$214,),0))*IFERROR(INDEX(AW$10:AW$11,Предпосылки!$I$214,),0),AW352/(1+IFERROR(INDEX(AW$10:AW$11,Предпосылки!$I$215,),0))*IFERROR(INDEX(AW$10:AW$11,Предпосылки!$I$215,),0),AW375/(1+IFERROR(INDEX(AW$10:AW$11,Предпосылки!$I$216,),0))*IFERROR(INDEX(AW$10:AW$11,Предпосылки!$I$216,),0),AW398/(1+IFERROR(INDEX(AW$10:AW$11,Предпосылки!$I$217,),0))*IFERROR(INDEX(AW$10:AW$11,Предпосылки!$I$217,),0),AW421/(1+IFERROR(INDEX(AW$10:AW$11,Предпосылки!$I$218,),0))*IFERROR(INDEX(AW$10:AW$11,Предпосылки!$I$218,),0),AW444/(1+IFERROR(INDEX(AW$10:AW$11,Предпосылки!$I$219,),0))*IFERROR(INDEX(AW$10:AW$11,Предпосылки!$I$219,),0),AW467/(1+IFERROR(INDEX(AW$10:AW$11,Предпосылки!$I$220,),0))*IFERROR(INDEX(AW$10:AW$11,Предпосылки!$I$220,),0))</f>
        <v>0</v>
      </c>
      <c s="125">
        <f>SUM(AX30/(1+IFERROR(INDEX(AX$10:AX$11,Предпосылки!$I$201,),0))*IFERROR(INDEX(AX$10:AX$11,Предпосылки!$I$201,),0),AX53/(1+IFERROR(INDEX(AX$10:AX$11,Предпосылки!$I$202,),0))*IFERROR(INDEX(AX$10:AX$11,Предпосылки!$I$202,),0),AX76/(1+IFERROR(INDEX(AX$10:AX$11,Предпосылки!$I$203,),0))*IFERROR(INDEX(AX$10:AX$11,Предпосылки!$I$203,),0),AX99/(1+IFERROR(INDEX(AX$10:AX$11,Предпосылки!$I$204,),0))*IFERROR(INDEX(AX$10:AX$11,Предпосылки!$I$204,),0),AX122/(1+IFERROR(INDEX(AX$10:AX$11,Предпосылки!$I$205,),0))*IFERROR(INDEX(AX$10:AX$11,Предпосылки!$I$205,),0),AX145/(1+IFERROR(INDEX(AX$10:AX$11,Предпосылки!$I$206,),0))*IFERROR(INDEX(AX$10:AX$11,Предпосылки!$I$206,),0),AX168/(1+IFERROR(INDEX(AX$10:AX$11,Предпосылки!$I$207,),0))*IFERROR(INDEX(AX$10:AX$11,Предпосылки!$I$207,),0),AX191/(1+IFERROR(INDEX(AX$10:AX$11,Предпосылки!$I$208,),0))*IFERROR(INDEX(AX$10:AX$11,Предпосылки!$I$208,),0),AX214/(1+IFERROR(INDEX(AX$10:AX$11,Предпосылки!$I$209,),0))*IFERROR(INDEX(AX$10:AX$11,Предпосылки!$I$209,),0),AX237/(1+IFERROR(INDEX(AX$10:AX$11,Предпосылки!$I$210,),0))*IFERROR(INDEX(AX$10:AX$11,Предпосылки!$I$210,),0),AX260/(1+IFERROR(INDEX(AX$10:AX$11,Предпосылки!$I$211,),0))*IFERROR(INDEX(AX$10:AX$11,Предпосылки!$I$211,),0),AX283/(1+IFERROR(INDEX(AX$10:AX$11,Предпосылки!$I$212,),0))*IFERROR(INDEX(AX$10:AX$11,Предпосылки!$I$212,),0),AX306/(1+IFERROR(INDEX(AX$10:AX$11,Предпосылки!$I$213,),0))*IFERROR(INDEX(AX$10:AX$11,Предпосылки!$I$213,),0),AX329/(1+IFERROR(INDEX(AX$10:AX$11,Предпосылки!$I$214,),0))*IFERROR(INDEX(AX$10:AX$11,Предпосылки!$I$214,),0),AX352/(1+IFERROR(INDEX(AX$10:AX$11,Предпосылки!$I$215,),0))*IFERROR(INDEX(AX$10:AX$11,Предпосылки!$I$215,),0),AX375/(1+IFERROR(INDEX(AX$10:AX$11,Предпосылки!$I$216,),0))*IFERROR(INDEX(AX$10:AX$11,Предпосылки!$I$216,),0),AX398/(1+IFERROR(INDEX(AX$10:AX$11,Предпосылки!$I$217,),0))*IFERROR(INDEX(AX$10:AX$11,Предпосылки!$I$217,),0),AX421/(1+IFERROR(INDEX(AX$10:AX$11,Предпосылки!$I$218,),0))*IFERROR(INDEX(AX$10:AX$11,Предпосылки!$I$218,),0),AX444/(1+IFERROR(INDEX(AX$10:AX$11,Предпосылки!$I$219,),0))*IFERROR(INDEX(AX$10:AX$11,Предпосылки!$I$219,),0),AX467/(1+IFERROR(INDEX(AX$10:AX$11,Предпосылки!$I$220,),0))*IFERROR(INDEX(AX$10:AX$11,Предпосылки!$I$220,),0))</f>
        <v>0</v>
      </c>
      <c s="125">
        <f>SUM(AY30/(1+IFERROR(INDEX(AY$10:AY$11,Предпосылки!$I$201,),0))*IFERROR(INDEX(AY$10:AY$11,Предпосылки!$I$201,),0),AY53/(1+IFERROR(INDEX(AY$10:AY$11,Предпосылки!$I$202,),0))*IFERROR(INDEX(AY$10:AY$11,Предпосылки!$I$202,),0),AY76/(1+IFERROR(INDEX(AY$10:AY$11,Предпосылки!$I$203,),0))*IFERROR(INDEX(AY$10:AY$11,Предпосылки!$I$203,),0),AY99/(1+IFERROR(INDEX(AY$10:AY$11,Предпосылки!$I$204,),0))*IFERROR(INDEX(AY$10:AY$11,Предпосылки!$I$204,),0),AY122/(1+IFERROR(INDEX(AY$10:AY$11,Предпосылки!$I$205,),0))*IFERROR(INDEX(AY$10:AY$11,Предпосылки!$I$205,),0),AY145/(1+IFERROR(INDEX(AY$10:AY$11,Предпосылки!$I$206,),0))*IFERROR(INDEX(AY$10:AY$11,Предпосылки!$I$206,),0),AY168/(1+IFERROR(INDEX(AY$10:AY$11,Предпосылки!$I$207,),0))*IFERROR(INDEX(AY$10:AY$11,Предпосылки!$I$207,),0),AY191/(1+IFERROR(INDEX(AY$10:AY$11,Предпосылки!$I$208,),0))*IFERROR(INDEX(AY$10:AY$11,Предпосылки!$I$208,),0),AY214/(1+IFERROR(INDEX(AY$10:AY$11,Предпосылки!$I$209,),0))*IFERROR(INDEX(AY$10:AY$11,Предпосылки!$I$209,),0),AY237/(1+IFERROR(INDEX(AY$10:AY$11,Предпосылки!$I$210,),0))*IFERROR(INDEX(AY$10:AY$11,Предпосылки!$I$210,),0),AY260/(1+IFERROR(INDEX(AY$10:AY$11,Предпосылки!$I$211,),0))*IFERROR(INDEX(AY$10:AY$11,Предпосылки!$I$211,),0),AY283/(1+IFERROR(INDEX(AY$10:AY$11,Предпосылки!$I$212,),0))*IFERROR(INDEX(AY$10:AY$11,Предпосылки!$I$212,),0),AY306/(1+IFERROR(INDEX(AY$10:AY$11,Предпосылки!$I$213,),0))*IFERROR(INDEX(AY$10:AY$11,Предпосылки!$I$213,),0),AY329/(1+IFERROR(INDEX(AY$10:AY$11,Предпосылки!$I$214,),0))*IFERROR(INDEX(AY$10:AY$11,Предпосылки!$I$214,),0),AY352/(1+IFERROR(INDEX(AY$10:AY$11,Предпосылки!$I$215,),0))*IFERROR(INDEX(AY$10:AY$11,Предпосылки!$I$215,),0),AY375/(1+IFERROR(INDEX(AY$10:AY$11,Предпосылки!$I$216,),0))*IFERROR(INDEX(AY$10:AY$11,Предпосылки!$I$216,),0),AY398/(1+IFERROR(INDEX(AY$10:AY$11,Предпосылки!$I$217,),0))*IFERROR(INDEX(AY$10:AY$11,Предпосылки!$I$217,),0),AY421/(1+IFERROR(INDEX(AY$10:AY$11,Предпосылки!$I$218,),0))*IFERROR(INDEX(AY$10:AY$11,Предпосылки!$I$218,),0),AY444/(1+IFERROR(INDEX(AY$10:AY$11,Предпосылки!$I$219,),0))*IFERROR(INDEX(AY$10:AY$11,Предпосылки!$I$219,),0),AY467/(1+IFERROR(INDEX(AY$10:AY$11,Предпосылки!$I$220,),0))*IFERROR(INDEX(AY$10:AY$11,Предпосылки!$I$220,),0))</f>
        <v>0</v>
      </c>
      <c s="125">
        <f>SUM(AZ30/(1+IFERROR(INDEX(AZ$10:AZ$11,Предпосылки!$I$201,),0))*IFERROR(INDEX(AZ$10:AZ$11,Предпосылки!$I$201,),0),AZ53/(1+IFERROR(INDEX(AZ$10:AZ$11,Предпосылки!$I$202,),0))*IFERROR(INDEX(AZ$10:AZ$11,Предпосылки!$I$202,),0),AZ76/(1+IFERROR(INDEX(AZ$10:AZ$11,Предпосылки!$I$203,),0))*IFERROR(INDEX(AZ$10:AZ$11,Предпосылки!$I$203,),0),AZ99/(1+IFERROR(INDEX(AZ$10:AZ$11,Предпосылки!$I$204,),0))*IFERROR(INDEX(AZ$10:AZ$11,Предпосылки!$I$204,),0),AZ122/(1+IFERROR(INDEX(AZ$10:AZ$11,Предпосылки!$I$205,),0))*IFERROR(INDEX(AZ$10:AZ$11,Предпосылки!$I$205,),0),AZ145/(1+IFERROR(INDEX(AZ$10:AZ$11,Предпосылки!$I$206,),0))*IFERROR(INDEX(AZ$10:AZ$11,Предпосылки!$I$206,),0),AZ168/(1+IFERROR(INDEX(AZ$10:AZ$11,Предпосылки!$I$207,),0))*IFERROR(INDEX(AZ$10:AZ$11,Предпосылки!$I$207,),0),AZ191/(1+IFERROR(INDEX(AZ$10:AZ$11,Предпосылки!$I$208,),0))*IFERROR(INDEX(AZ$10:AZ$11,Предпосылки!$I$208,),0),AZ214/(1+IFERROR(INDEX(AZ$10:AZ$11,Предпосылки!$I$209,),0))*IFERROR(INDEX(AZ$10:AZ$11,Предпосылки!$I$209,),0),AZ237/(1+IFERROR(INDEX(AZ$10:AZ$11,Предпосылки!$I$210,),0))*IFERROR(INDEX(AZ$10:AZ$11,Предпосылки!$I$210,),0),AZ260/(1+IFERROR(INDEX(AZ$10:AZ$11,Предпосылки!$I$211,),0))*IFERROR(INDEX(AZ$10:AZ$11,Предпосылки!$I$211,),0),AZ283/(1+IFERROR(INDEX(AZ$10:AZ$11,Предпосылки!$I$212,),0))*IFERROR(INDEX(AZ$10:AZ$11,Предпосылки!$I$212,),0),AZ306/(1+IFERROR(INDEX(AZ$10:AZ$11,Предпосылки!$I$213,),0))*IFERROR(INDEX(AZ$10:AZ$11,Предпосылки!$I$213,),0),AZ329/(1+IFERROR(INDEX(AZ$10:AZ$11,Предпосылки!$I$214,),0))*IFERROR(INDEX(AZ$10:AZ$11,Предпосылки!$I$214,),0),AZ352/(1+IFERROR(INDEX(AZ$10:AZ$11,Предпосылки!$I$215,),0))*IFERROR(INDEX(AZ$10:AZ$11,Предпосылки!$I$215,),0),AZ375/(1+IFERROR(INDEX(AZ$10:AZ$11,Предпосылки!$I$216,),0))*IFERROR(INDEX(AZ$10:AZ$11,Предпосылки!$I$216,),0),AZ398/(1+IFERROR(INDEX(AZ$10:AZ$11,Предпосылки!$I$217,),0))*IFERROR(INDEX(AZ$10:AZ$11,Предпосылки!$I$217,),0),AZ421/(1+IFERROR(INDEX(AZ$10:AZ$11,Предпосылки!$I$218,),0))*IFERROR(INDEX(AZ$10:AZ$11,Предпосылки!$I$218,),0),AZ444/(1+IFERROR(INDEX(AZ$10:AZ$11,Предпосылки!$I$219,),0))*IFERROR(INDEX(AZ$10:AZ$11,Предпосылки!$I$219,),0),AZ467/(1+IFERROR(INDEX(AZ$10:AZ$11,Предпосылки!$I$220,),0))*IFERROR(INDEX(AZ$10:AZ$11,Предпосылки!$I$220,),0))</f>
        <v>0</v>
      </c>
      <c s="125">
        <f>SUM(BA30/(1+IFERROR(INDEX(BA$10:BA$11,Предпосылки!$I$201,),0))*IFERROR(INDEX(BA$10:BA$11,Предпосылки!$I$201,),0),BA53/(1+IFERROR(INDEX(BA$10:BA$11,Предпосылки!$I$202,),0))*IFERROR(INDEX(BA$10:BA$11,Предпосылки!$I$202,),0),BA76/(1+IFERROR(INDEX(BA$10:BA$11,Предпосылки!$I$203,),0))*IFERROR(INDEX(BA$10:BA$11,Предпосылки!$I$203,),0),BA99/(1+IFERROR(INDEX(BA$10:BA$11,Предпосылки!$I$204,),0))*IFERROR(INDEX(BA$10:BA$11,Предпосылки!$I$204,),0),BA122/(1+IFERROR(INDEX(BA$10:BA$11,Предпосылки!$I$205,),0))*IFERROR(INDEX(BA$10:BA$11,Предпосылки!$I$205,),0),BA145/(1+IFERROR(INDEX(BA$10:BA$11,Предпосылки!$I$206,),0))*IFERROR(INDEX(BA$10:BA$11,Предпосылки!$I$206,),0),BA168/(1+IFERROR(INDEX(BA$10:BA$11,Предпосылки!$I$207,),0))*IFERROR(INDEX(BA$10:BA$11,Предпосылки!$I$207,),0),BA191/(1+IFERROR(INDEX(BA$10:BA$11,Предпосылки!$I$208,),0))*IFERROR(INDEX(BA$10:BA$11,Предпосылки!$I$208,),0),BA214/(1+IFERROR(INDEX(BA$10:BA$11,Предпосылки!$I$209,),0))*IFERROR(INDEX(BA$10:BA$11,Предпосылки!$I$209,),0),BA237/(1+IFERROR(INDEX(BA$10:BA$11,Предпосылки!$I$210,),0))*IFERROR(INDEX(BA$10:BA$11,Предпосылки!$I$210,),0),BA260/(1+IFERROR(INDEX(BA$10:BA$11,Предпосылки!$I$211,),0))*IFERROR(INDEX(BA$10:BA$11,Предпосылки!$I$211,),0),BA283/(1+IFERROR(INDEX(BA$10:BA$11,Предпосылки!$I$212,),0))*IFERROR(INDEX(BA$10:BA$11,Предпосылки!$I$212,),0),BA306/(1+IFERROR(INDEX(BA$10:BA$11,Предпосылки!$I$213,),0))*IFERROR(INDEX(BA$10:BA$11,Предпосылки!$I$213,),0),BA329/(1+IFERROR(INDEX(BA$10:BA$11,Предпосылки!$I$214,),0))*IFERROR(INDEX(BA$10:BA$11,Предпосылки!$I$214,),0),BA352/(1+IFERROR(INDEX(BA$10:BA$11,Предпосылки!$I$215,),0))*IFERROR(INDEX(BA$10:BA$11,Предпосылки!$I$215,),0),BA375/(1+IFERROR(INDEX(BA$10:BA$11,Предпосылки!$I$216,),0))*IFERROR(INDEX(BA$10:BA$11,Предпосылки!$I$216,),0),BA398/(1+IFERROR(INDEX(BA$10:BA$11,Предпосылки!$I$217,),0))*IFERROR(INDEX(BA$10:BA$11,Предпосылки!$I$217,),0),BA421/(1+IFERROR(INDEX(BA$10:BA$11,Предпосылки!$I$218,),0))*IFERROR(INDEX(BA$10:BA$11,Предпосылки!$I$218,),0),BA444/(1+IFERROR(INDEX(BA$10:BA$11,Предпосылки!$I$219,),0))*IFERROR(INDEX(BA$10:BA$11,Предпосылки!$I$219,),0),BA467/(1+IFERROR(INDEX(BA$10:BA$11,Предпосылки!$I$220,),0))*IFERROR(INDEX(BA$10:BA$11,Предпосылки!$I$220,),0))</f>
        <v>0</v>
      </c>
      <c s="125">
        <f>SUM(BB30/(1+IFERROR(INDEX(BB$10:BB$11,Предпосылки!$I$201,),0))*IFERROR(INDEX(BB$10:BB$11,Предпосылки!$I$201,),0),BB53/(1+IFERROR(INDEX(BB$10:BB$11,Предпосылки!$I$202,),0))*IFERROR(INDEX(BB$10:BB$11,Предпосылки!$I$202,),0),BB76/(1+IFERROR(INDEX(BB$10:BB$11,Предпосылки!$I$203,),0))*IFERROR(INDEX(BB$10:BB$11,Предпосылки!$I$203,),0),BB99/(1+IFERROR(INDEX(BB$10:BB$11,Предпосылки!$I$204,),0))*IFERROR(INDEX(BB$10:BB$11,Предпосылки!$I$204,),0),BB122/(1+IFERROR(INDEX(BB$10:BB$11,Предпосылки!$I$205,),0))*IFERROR(INDEX(BB$10:BB$11,Предпосылки!$I$205,),0),BB145/(1+IFERROR(INDEX(BB$10:BB$11,Предпосылки!$I$206,),0))*IFERROR(INDEX(BB$10:BB$11,Предпосылки!$I$206,),0),BB168/(1+IFERROR(INDEX(BB$10:BB$11,Предпосылки!$I$207,),0))*IFERROR(INDEX(BB$10:BB$11,Предпосылки!$I$207,),0),BB191/(1+IFERROR(INDEX(BB$10:BB$11,Предпосылки!$I$208,),0))*IFERROR(INDEX(BB$10:BB$11,Предпосылки!$I$208,),0),BB214/(1+IFERROR(INDEX(BB$10:BB$11,Предпосылки!$I$209,),0))*IFERROR(INDEX(BB$10:BB$11,Предпосылки!$I$209,),0),BB237/(1+IFERROR(INDEX(BB$10:BB$11,Предпосылки!$I$210,),0))*IFERROR(INDEX(BB$10:BB$11,Предпосылки!$I$210,),0),BB260/(1+IFERROR(INDEX(BB$10:BB$11,Предпосылки!$I$211,),0))*IFERROR(INDEX(BB$10:BB$11,Предпосылки!$I$211,),0),BB283/(1+IFERROR(INDEX(BB$10:BB$11,Предпосылки!$I$212,),0))*IFERROR(INDEX(BB$10:BB$11,Предпосылки!$I$212,),0),BB306/(1+IFERROR(INDEX(BB$10:BB$11,Предпосылки!$I$213,),0))*IFERROR(INDEX(BB$10:BB$11,Предпосылки!$I$213,),0),BB329/(1+IFERROR(INDEX(BB$10:BB$11,Предпосылки!$I$214,),0))*IFERROR(INDEX(BB$10:BB$11,Предпосылки!$I$214,),0),BB352/(1+IFERROR(INDEX(BB$10:BB$11,Предпосылки!$I$215,),0))*IFERROR(INDEX(BB$10:BB$11,Предпосылки!$I$215,),0),BB375/(1+IFERROR(INDEX(BB$10:BB$11,Предпосылки!$I$216,),0))*IFERROR(INDEX(BB$10:BB$11,Предпосылки!$I$216,),0),BB398/(1+IFERROR(INDEX(BB$10:BB$11,Предпосылки!$I$217,),0))*IFERROR(INDEX(BB$10:BB$11,Предпосылки!$I$217,),0),BB421/(1+IFERROR(INDEX(BB$10:BB$11,Предпосылки!$I$218,),0))*IFERROR(INDEX(BB$10:BB$11,Предпосылки!$I$218,),0),BB444/(1+IFERROR(INDEX(BB$10:BB$11,Предпосылки!$I$219,),0))*IFERROR(INDEX(BB$10:BB$11,Предпосылки!$I$219,),0),BB467/(1+IFERROR(INDEX(BB$10:BB$11,Предпосылки!$I$220,),0))*IFERROR(INDEX(BB$10:BB$11,Предпосылки!$I$220,),0))</f>
        <v>0</v>
      </c>
      <c s="125">
        <f>SUM(BC30/(1+IFERROR(INDEX(BC$10:BC$11,Предпосылки!$I$201,),0))*IFERROR(INDEX(BC$10:BC$11,Предпосылки!$I$201,),0),BC53/(1+IFERROR(INDEX(BC$10:BC$11,Предпосылки!$I$202,),0))*IFERROR(INDEX(BC$10:BC$11,Предпосылки!$I$202,),0),BC76/(1+IFERROR(INDEX(BC$10:BC$11,Предпосылки!$I$203,),0))*IFERROR(INDEX(BC$10:BC$11,Предпосылки!$I$203,),0),BC99/(1+IFERROR(INDEX(BC$10:BC$11,Предпосылки!$I$204,),0))*IFERROR(INDEX(BC$10:BC$11,Предпосылки!$I$204,),0),BC122/(1+IFERROR(INDEX(BC$10:BC$11,Предпосылки!$I$205,),0))*IFERROR(INDEX(BC$10:BC$11,Предпосылки!$I$205,),0),BC145/(1+IFERROR(INDEX(BC$10:BC$11,Предпосылки!$I$206,),0))*IFERROR(INDEX(BC$10:BC$11,Предпосылки!$I$206,),0),BC168/(1+IFERROR(INDEX(BC$10:BC$11,Предпосылки!$I$207,),0))*IFERROR(INDEX(BC$10:BC$11,Предпосылки!$I$207,),0),BC191/(1+IFERROR(INDEX(BC$10:BC$11,Предпосылки!$I$208,),0))*IFERROR(INDEX(BC$10:BC$11,Предпосылки!$I$208,),0),BC214/(1+IFERROR(INDEX(BC$10:BC$11,Предпосылки!$I$209,),0))*IFERROR(INDEX(BC$10:BC$11,Предпосылки!$I$209,),0),BC237/(1+IFERROR(INDEX(BC$10:BC$11,Предпосылки!$I$210,),0))*IFERROR(INDEX(BC$10:BC$11,Предпосылки!$I$210,),0),BC260/(1+IFERROR(INDEX(BC$10:BC$11,Предпосылки!$I$211,),0))*IFERROR(INDEX(BC$10:BC$11,Предпосылки!$I$211,),0),BC283/(1+IFERROR(INDEX(BC$10:BC$11,Предпосылки!$I$212,),0))*IFERROR(INDEX(BC$10:BC$11,Предпосылки!$I$212,),0),BC306/(1+IFERROR(INDEX(BC$10:BC$11,Предпосылки!$I$213,),0))*IFERROR(INDEX(BC$10:BC$11,Предпосылки!$I$213,),0),BC329/(1+IFERROR(INDEX(BC$10:BC$11,Предпосылки!$I$214,),0))*IFERROR(INDEX(BC$10:BC$11,Предпосылки!$I$214,),0),BC352/(1+IFERROR(INDEX(BC$10:BC$11,Предпосылки!$I$215,),0))*IFERROR(INDEX(BC$10:BC$11,Предпосылки!$I$215,),0),BC375/(1+IFERROR(INDEX(BC$10:BC$11,Предпосылки!$I$216,),0))*IFERROR(INDEX(BC$10:BC$11,Предпосылки!$I$216,),0),BC398/(1+IFERROR(INDEX(BC$10:BC$11,Предпосылки!$I$217,),0))*IFERROR(INDEX(BC$10:BC$11,Предпосылки!$I$217,),0),BC421/(1+IFERROR(INDEX(BC$10:BC$11,Предпосылки!$I$218,),0))*IFERROR(INDEX(BC$10:BC$11,Предпосылки!$I$218,),0),BC444/(1+IFERROR(INDEX(BC$10:BC$11,Предпосылки!$I$219,),0))*IFERROR(INDEX(BC$10:BC$11,Предпосылки!$I$219,),0),BC467/(1+IFERROR(INDEX(BC$10:BC$11,Предпосылки!$I$220,),0))*IFERROR(INDEX(BC$10:BC$11,Предпосылки!$I$220,),0))</f>
        <v>0</v>
      </c>
      <c s="125">
        <f>SUM(BD30/(1+IFERROR(INDEX(BD$10:BD$11,Предпосылки!$I$201,),0))*IFERROR(INDEX(BD$10:BD$11,Предпосылки!$I$201,),0),BD53/(1+IFERROR(INDEX(BD$10:BD$11,Предпосылки!$I$202,),0))*IFERROR(INDEX(BD$10:BD$11,Предпосылки!$I$202,),0),BD76/(1+IFERROR(INDEX(BD$10:BD$11,Предпосылки!$I$203,),0))*IFERROR(INDEX(BD$10:BD$11,Предпосылки!$I$203,),0),BD99/(1+IFERROR(INDEX(BD$10:BD$11,Предпосылки!$I$204,),0))*IFERROR(INDEX(BD$10:BD$11,Предпосылки!$I$204,),0),BD122/(1+IFERROR(INDEX(BD$10:BD$11,Предпосылки!$I$205,),0))*IFERROR(INDEX(BD$10:BD$11,Предпосылки!$I$205,),0),BD145/(1+IFERROR(INDEX(BD$10:BD$11,Предпосылки!$I$206,),0))*IFERROR(INDEX(BD$10:BD$11,Предпосылки!$I$206,),0),BD168/(1+IFERROR(INDEX(BD$10:BD$11,Предпосылки!$I$207,),0))*IFERROR(INDEX(BD$10:BD$11,Предпосылки!$I$207,),0),BD191/(1+IFERROR(INDEX(BD$10:BD$11,Предпосылки!$I$208,),0))*IFERROR(INDEX(BD$10:BD$11,Предпосылки!$I$208,),0),BD214/(1+IFERROR(INDEX(BD$10:BD$11,Предпосылки!$I$209,),0))*IFERROR(INDEX(BD$10:BD$11,Предпосылки!$I$209,),0),BD237/(1+IFERROR(INDEX(BD$10:BD$11,Предпосылки!$I$210,),0))*IFERROR(INDEX(BD$10:BD$11,Предпосылки!$I$210,),0),BD260/(1+IFERROR(INDEX(BD$10:BD$11,Предпосылки!$I$211,),0))*IFERROR(INDEX(BD$10:BD$11,Предпосылки!$I$211,),0),BD283/(1+IFERROR(INDEX(BD$10:BD$11,Предпосылки!$I$212,),0))*IFERROR(INDEX(BD$10:BD$11,Предпосылки!$I$212,),0),BD306/(1+IFERROR(INDEX(BD$10:BD$11,Предпосылки!$I$213,),0))*IFERROR(INDEX(BD$10:BD$11,Предпосылки!$I$213,),0),BD329/(1+IFERROR(INDEX(BD$10:BD$11,Предпосылки!$I$214,),0))*IFERROR(INDEX(BD$10:BD$11,Предпосылки!$I$214,),0),BD352/(1+IFERROR(INDEX(BD$10:BD$11,Предпосылки!$I$215,),0))*IFERROR(INDEX(BD$10:BD$11,Предпосылки!$I$215,),0),BD375/(1+IFERROR(INDEX(BD$10:BD$11,Предпосылки!$I$216,),0))*IFERROR(INDEX(BD$10:BD$11,Предпосылки!$I$216,),0),BD398/(1+IFERROR(INDEX(BD$10:BD$11,Предпосылки!$I$217,),0))*IFERROR(INDEX(BD$10:BD$11,Предпосылки!$I$217,),0),BD421/(1+IFERROR(INDEX(BD$10:BD$11,Предпосылки!$I$218,),0))*IFERROR(INDEX(BD$10:BD$11,Предпосылки!$I$218,),0),BD444/(1+IFERROR(INDEX(BD$10:BD$11,Предпосылки!$I$219,),0))*IFERROR(INDEX(BD$10:BD$11,Предпосылки!$I$219,),0),BD467/(1+IFERROR(INDEX(BD$10:BD$11,Предпосылки!$I$220,),0))*IFERROR(INDEX(BD$10:BD$11,Предпосылки!$I$220,),0))</f>
        <v>0</v>
      </c>
      <c s="125">
        <f>SUM(BE30/(1+IFERROR(INDEX(BE$10:BE$11,Предпосылки!$I$201,),0))*IFERROR(INDEX(BE$10:BE$11,Предпосылки!$I$201,),0),BE53/(1+IFERROR(INDEX(BE$10:BE$11,Предпосылки!$I$202,),0))*IFERROR(INDEX(BE$10:BE$11,Предпосылки!$I$202,),0),BE76/(1+IFERROR(INDEX(BE$10:BE$11,Предпосылки!$I$203,),0))*IFERROR(INDEX(BE$10:BE$11,Предпосылки!$I$203,),0),BE99/(1+IFERROR(INDEX(BE$10:BE$11,Предпосылки!$I$204,),0))*IFERROR(INDEX(BE$10:BE$11,Предпосылки!$I$204,),0),BE122/(1+IFERROR(INDEX(BE$10:BE$11,Предпосылки!$I$205,),0))*IFERROR(INDEX(BE$10:BE$11,Предпосылки!$I$205,),0),BE145/(1+IFERROR(INDEX(BE$10:BE$11,Предпосылки!$I$206,),0))*IFERROR(INDEX(BE$10:BE$11,Предпосылки!$I$206,),0),BE168/(1+IFERROR(INDEX(BE$10:BE$11,Предпосылки!$I$207,),0))*IFERROR(INDEX(BE$10:BE$11,Предпосылки!$I$207,),0),BE191/(1+IFERROR(INDEX(BE$10:BE$11,Предпосылки!$I$208,),0))*IFERROR(INDEX(BE$10:BE$11,Предпосылки!$I$208,),0),BE214/(1+IFERROR(INDEX(BE$10:BE$11,Предпосылки!$I$209,),0))*IFERROR(INDEX(BE$10:BE$11,Предпосылки!$I$209,),0),BE237/(1+IFERROR(INDEX(BE$10:BE$11,Предпосылки!$I$210,),0))*IFERROR(INDEX(BE$10:BE$11,Предпосылки!$I$210,),0),BE260/(1+IFERROR(INDEX(BE$10:BE$11,Предпосылки!$I$211,),0))*IFERROR(INDEX(BE$10:BE$11,Предпосылки!$I$211,),0),BE283/(1+IFERROR(INDEX(BE$10:BE$11,Предпосылки!$I$212,),0))*IFERROR(INDEX(BE$10:BE$11,Предпосылки!$I$212,),0),BE306/(1+IFERROR(INDEX(BE$10:BE$11,Предпосылки!$I$213,),0))*IFERROR(INDEX(BE$10:BE$11,Предпосылки!$I$213,),0),BE329/(1+IFERROR(INDEX(BE$10:BE$11,Предпосылки!$I$214,),0))*IFERROR(INDEX(BE$10:BE$11,Предпосылки!$I$214,),0),BE352/(1+IFERROR(INDEX(BE$10:BE$11,Предпосылки!$I$215,),0))*IFERROR(INDEX(BE$10:BE$11,Предпосылки!$I$215,),0),BE375/(1+IFERROR(INDEX(BE$10:BE$11,Предпосылки!$I$216,),0))*IFERROR(INDEX(BE$10:BE$11,Предпосылки!$I$216,),0),BE398/(1+IFERROR(INDEX(BE$10:BE$11,Предпосылки!$I$217,),0))*IFERROR(INDEX(BE$10:BE$11,Предпосылки!$I$217,),0),BE421/(1+IFERROR(INDEX(BE$10:BE$11,Предпосылки!$I$218,),0))*IFERROR(INDEX(BE$10:BE$11,Предпосылки!$I$218,),0),BE444/(1+IFERROR(INDEX(BE$10:BE$11,Предпосылки!$I$219,),0))*IFERROR(INDEX(BE$10:BE$11,Предпосылки!$I$219,),0),BE467/(1+IFERROR(INDEX(BE$10:BE$11,Предпосылки!$I$220,),0))*IFERROR(INDEX(BE$10:BE$11,Предпосылки!$I$220,),0))</f>
        <v>0</v>
      </c>
      <c s="125">
        <f>SUM(BF30/(1+IFERROR(INDEX(BF$10:BF$11,Предпосылки!$I$201,),0))*IFERROR(INDEX(BF$10:BF$11,Предпосылки!$I$201,),0),BF53/(1+IFERROR(INDEX(BF$10:BF$11,Предпосылки!$I$202,),0))*IFERROR(INDEX(BF$10:BF$11,Предпосылки!$I$202,),0),BF76/(1+IFERROR(INDEX(BF$10:BF$11,Предпосылки!$I$203,),0))*IFERROR(INDEX(BF$10:BF$11,Предпосылки!$I$203,),0),BF99/(1+IFERROR(INDEX(BF$10:BF$11,Предпосылки!$I$204,),0))*IFERROR(INDEX(BF$10:BF$11,Предпосылки!$I$204,),0),BF122/(1+IFERROR(INDEX(BF$10:BF$11,Предпосылки!$I$205,),0))*IFERROR(INDEX(BF$10:BF$11,Предпосылки!$I$205,),0),BF145/(1+IFERROR(INDEX(BF$10:BF$11,Предпосылки!$I$206,),0))*IFERROR(INDEX(BF$10:BF$11,Предпосылки!$I$206,),0),BF168/(1+IFERROR(INDEX(BF$10:BF$11,Предпосылки!$I$207,),0))*IFERROR(INDEX(BF$10:BF$11,Предпосылки!$I$207,),0),BF191/(1+IFERROR(INDEX(BF$10:BF$11,Предпосылки!$I$208,),0))*IFERROR(INDEX(BF$10:BF$11,Предпосылки!$I$208,),0),BF214/(1+IFERROR(INDEX(BF$10:BF$11,Предпосылки!$I$209,),0))*IFERROR(INDEX(BF$10:BF$11,Предпосылки!$I$209,),0),BF237/(1+IFERROR(INDEX(BF$10:BF$11,Предпосылки!$I$210,),0))*IFERROR(INDEX(BF$10:BF$11,Предпосылки!$I$210,),0),BF260/(1+IFERROR(INDEX(BF$10:BF$11,Предпосылки!$I$211,),0))*IFERROR(INDEX(BF$10:BF$11,Предпосылки!$I$211,),0),BF283/(1+IFERROR(INDEX(BF$10:BF$11,Предпосылки!$I$212,),0))*IFERROR(INDEX(BF$10:BF$11,Предпосылки!$I$212,),0),BF306/(1+IFERROR(INDEX(BF$10:BF$11,Предпосылки!$I$213,),0))*IFERROR(INDEX(BF$10:BF$11,Предпосылки!$I$213,),0),BF329/(1+IFERROR(INDEX(BF$10:BF$11,Предпосылки!$I$214,),0))*IFERROR(INDEX(BF$10:BF$11,Предпосылки!$I$214,),0),BF352/(1+IFERROR(INDEX(BF$10:BF$11,Предпосылки!$I$215,),0))*IFERROR(INDEX(BF$10:BF$11,Предпосылки!$I$215,),0),BF375/(1+IFERROR(INDEX(BF$10:BF$11,Предпосылки!$I$216,),0))*IFERROR(INDEX(BF$10:BF$11,Предпосылки!$I$216,),0),BF398/(1+IFERROR(INDEX(BF$10:BF$11,Предпосылки!$I$217,),0))*IFERROR(INDEX(BF$10:BF$11,Предпосылки!$I$217,),0),BF421/(1+IFERROR(INDEX(BF$10:BF$11,Предпосылки!$I$218,),0))*IFERROR(INDEX(BF$10:BF$11,Предпосылки!$I$218,),0),BF444/(1+IFERROR(INDEX(BF$10:BF$11,Предпосылки!$I$219,),0))*IFERROR(INDEX(BF$10:BF$11,Предпосылки!$I$219,),0),BF467/(1+IFERROR(INDEX(BF$10:BF$11,Предпосылки!$I$220,),0))*IFERROR(INDEX(BF$10:BF$11,Предпосылки!$I$220,),0))</f>
        <v>0</v>
      </c>
      <c s="125">
        <f>SUM(BG30/(1+IFERROR(INDEX(BG$10:BG$11,Предпосылки!$I$201,),0))*IFERROR(INDEX(BG$10:BG$11,Предпосылки!$I$201,),0),BG53/(1+IFERROR(INDEX(BG$10:BG$11,Предпосылки!$I$202,),0))*IFERROR(INDEX(BG$10:BG$11,Предпосылки!$I$202,),0),BG76/(1+IFERROR(INDEX(BG$10:BG$11,Предпосылки!$I$203,),0))*IFERROR(INDEX(BG$10:BG$11,Предпосылки!$I$203,),0),BG99/(1+IFERROR(INDEX(BG$10:BG$11,Предпосылки!$I$204,),0))*IFERROR(INDEX(BG$10:BG$11,Предпосылки!$I$204,),0),BG122/(1+IFERROR(INDEX(BG$10:BG$11,Предпосылки!$I$205,),0))*IFERROR(INDEX(BG$10:BG$11,Предпосылки!$I$205,),0),BG145/(1+IFERROR(INDEX(BG$10:BG$11,Предпосылки!$I$206,),0))*IFERROR(INDEX(BG$10:BG$11,Предпосылки!$I$206,),0),BG168/(1+IFERROR(INDEX(BG$10:BG$11,Предпосылки!$I$207,),0))*IFERROR(INDEX(BG$10:BG$11,Предпосылки!$I$207,),0),BG191/(1+IFERROR(INDEX(BG$10:BG$11,Предпосылки!$I$208,),0))*IFERROR(INDEX(BG$10:BG$11,Предпосылки!$I$208,),0),BG214/(1+IFERROR(INDEX(BG$10:BG$11,Предпосылки!$I$209,),0))*IFERROR(INDEX(BG$10:BG$11,Предпосылки!$I$209,),0),BG237/(1+IFERROR(INDEX(BG$10:BG$11,Предпосылки!$I$210,),0))*IFERROR(INDEX(BG$10:BG$11,Предпосылки!$I$210,),0),BG260/(1+IFERROR(INDEX(BG$10:BG$11,Предпосылки!$I$211,),0))*IFERROR(INDEX(BG$10:BG$11,Предпосылки!$I$211,),0),BG283/(1+IFERROR(INDEX(BG$10:BG$11,Предпосылки!$I$212,),0))*IFERROR(INDEX(BG$10:BG$11,Предпосылки!$I$212,),0),BG306/(1+IFERROR(INDEX(BG$10:BG$11,Предпосылки!$I$213,),0))*IFERROR(INDEX(BG$10:BG$11,Предпосылки!$I$213,),0),BG329/(1+IFERROR(INDEX(BG$10:BG$11,Предпосылки!$I$214,),0))*IFERROR(INDEX(BG$10:BG$11,Предпосылки!$I$214,),0),BG352/(1+IFERROR(INDEX(BG$10:BG$11,Предпосылки!$I$215,),0))*IFERROR(INDEX(BG$10:BG$11,Предпосылки!$I$215,),0),BG375/(1+IFERROR(INDEX(BG$10:BG$11,Предпосылки!$I$216,),0))*IFERROR(INDEX(BG$10:BG$11,Предпосылки!$I$216,),0),BG398/(1+IFERROR(INDEX(BG$10:BG$11,Предпосылки!$I$217,),0))*IFERROR(INDEX(BG$10:BG$11,Предпосылки!$I$217,),0),BG421/(1+IFERROR(INDEX(BG$10:BG$11,Предпосылки!$I$218,),0))*IFERROR(INDEX(BG$10:BG$11,Предпосылки!$I$218,),0),BG444/(1+IFERROR(INDEX(BG$10:BG$11,Предпосылки!$I$219,),0))*IFERROR(INDEX(BG$10:BG$11,Предпосылки!$I$219,),0),BG467/(1+IFERROR(INDEX(BG$10:BG$11,Предпосылки!$I$220,),0))*IFERROR(INDEX(BG$10:BG$11,Предпосылки!$I$220,),0))</f>
        <v>0</v>
      </c>
      <c s="125">
        <f>SUM(BH30/(1+IFERROR(INDEX(BH$10:BH$11,Предпосылки!$I$201,),0))*IFERROR(INDEX(BH$10:BH$11,Предпосылки!$I$201,),0),BH53/(1+IFERROR(INDEX(BH$10:BH$11,Предпосылки!$I$202,),0))*IFERROR(INDEX(BH$10:BH$11,Предпосылки!$I$202,),0),BH76/(1+IFERROR(INDEX(BH$10:BH$11,Предпосылки!$I$203,),0))*IFERROR(INDEX(BH$10:BH$11,Предпосылки!$I$203,),0),BH99/(1+IFERROR(INDEX(BH$10:BH$11,Предпосылки!$I$204,),0))*IFERROR(INDEX(BH$10:BH$11,Предпосылки!$I$204,),0),BH122/(1+IFERROR(INDEX(BH$10:BH$11,Предпосылки!$I$205,),0))*IFERROR(INDEX(BH$10:BH$11,Предпосылки!$I$205,),0),BH145/(1+IFERROR(INDEX(BH$10:BH$11,Предпосылки!$I$206,),0))*IFERROR(INDEX(BH$10:BH$11,Предпосылки!$I$206,),0),BH168/(1+IFERROR(INDEX(BH$10:BH$11,Предпосылки!$I$207,),0))*IFERROR(INDEX(BH$10:BH$11,Предпосылки!$I$207,),0),BH191/(1+IFERROR(INDEX(BH$10:BH$11,Предпосылки!$I$208,),0))*IFERROR(INDEX(BH$10:BH$11,Предпосылки!$I$208,),0),BH214/(1+IFERROR(INDEX(BH$10:BH$11,Предпосылки!$I$209,),0))*IFERROR(INDEX(BH$10:BH$11,Предпосылки!$I$209,),0),BH237/(1+IFERROR(INDEX(BH$10:BH$11,Предпосылки!$I$210,),0))*IFERROR(INDEX(BH$10:BH$11,Предпосылки!$I$210,),0),BH260/(1+IFERROR(INDEX(BH$10:BH$11,Предпосылки!$I$211,),0))*IFERROR(INDEX(BH$10:BH$11,Предпосылки!$I$211,),0),BH283/(1+IFERROR(INDEX(BH$10:BH$11,Предпосылки!$I$212,),0))*IFERROR(INDEX(BH$10:BH$11,Предпосылки!$I$212,),0),BH306/(1+IFERROR(INDEX(BH$10:BH$11,Предпосылки!$I$213,),0))*IFERROR(INDEX(BH$10:BH$11,Предпосылки!$I$213,),0),BH329/(1+IFERROR(INDEX(BH$10:BH$11,Предпосылки!$I$214,),0))*IFERROR(INDEX(BH$10:BH$11,Предпосылки!$I$214,),0),BH352/(1+IFERROR(INDEX(BH$10:BH$11,Предпосылки!$I$215,),0))*IFERROR(INDEX(BH$10:BH$11,Предпосылки!$I$215,),0),BH375/(1+IFERROR(INDEX(BH$10:BH$11,Предпосылки!$I$216,),0))*IFERROR(INDEX(BH$10:BH$11,Предпосылки!$I$216,),0),BH398/(1+IFERROR(INDEX(BH$10:BH$11,Предпосылки!$I$217,),0))*IFERROR(INDEX(BH$10:BH$11,Предпосылки!$I$217,),0),BH421/(1+IFERROR(INDEX(BH$10:BH$11,Предпосылки!$I$218,),0))*IFERROR(INDEX(BH$10:BH$11,Предпосылки!$I$218,),0),BH444/(1+IFERROR(INDEX(BH$10:BH$11,Предпосылки!$I$219,),0))*IFERROR(INDEX(BH$10:BH$11,Предпосылки!$I$219,),0),BH467/(1+IFERROR(INDEX(BH$10:BH$11,Предпосылки!$I$220,),0))*IFERROR(INDEX(BH$10:BH$11,Предпосылки!$I$220,),0))</f>
        <v>0</v>
      </c>
      <c s="125">
        <f>SUM(BI30/(1+IFERROR(INDEX(BI$10:BI$11,Предпосылки!$I$201,),0))*IFERROR(INDEX(BI$10:BI$11,Предпосылки!$I$201,),0),BI53/(1+IFERROR(INDEX(BI$10:BI$11,Предпосылки!$I$202,),0))*IFERROR(INDEX(BI$10:BI$11,Предпосылки!$I$202,),0),BI76/(1+IFERROR(INDEX(BI$10:BI$11,Предпосылки!$I$203,),0))*IFERROR(INDEX(BI$10:BI$11,Предпосылки!$I$203,),0),BI99/(1+IFERROR(INDEX(BI$10:BI$11,Предпосылки!$I$204,),0))*IFERROR(INDEX(BI$10:BI$11,Предпосылки!$I$204,),0),BI122/(1+IFERROR(INDEX(BI$10:BI$11,Предпосылки!$I$205,),0))*IFERROR(INDEX(BI$10:BI$11,Предпосылки!$I$205,),0),BI145/(1+IFERROR(INDEX(BI$10:BI$11,Предпосылки!$I$206,),0))*IFERROR(INDEX(BI$10:BI$11,Предпосылки!$I$206,),0),BI168/(1+IFERROR(INDEX(BI$10:BI$11,Предпосылки!$I$207,),0))*IFERROR(INDEX(BI$10:BI$11,Предпосылки!$I$207,),0),BI191/(1+IFERROR(INDEX(BI$10:BI$11,Предпосылки!$I$208,),0))*IFERROR(INDEX(BI$10:BI$11,Предпосылки!$I$208,),0),BI214/(1+IFERROR(INDEX(BI$10:BI$11,Предпосылки!$I$209,),0))*IFERROR(INDEX(BI$10:BI$11,Предпосылки!$I$209,),0),BI237/(1+IFERROR(INDEX(BI$10:BI$11,Предпосылки!$I$210,),0))*IFERROR(INDEX(BI$10:BI$11,Предпосылки!$I$210,),0),BI260/(1+IFERROR(INDEX(BI$10:BI$11,Предпосылки!$I$211,),0))*IFERROR(INDEX(BI$10:BI$11,Предпосылки!$I$211,),0),BI283/(1+IFERROR(INDEX(BI$10:BI$11,Предпосылки!$I$212,),0))*IFERROR(INDEX(BI$10:BI$11,Предпосылки!$I$212,),0),BI306/(1+IFERROR(INDEX(BI$10:BI$11,Предпосылки!$I$213,),0))*IFERROR(INDEX(BI$10:BI$11,Предпосылки!$I$213,),0),BI329/(1+IFERROR(INDEX(BI$10:BI$11,Предпосылки!$I$214,),0))*IFERROR(INDEX(BI$10:BI$11,Предпосылки!$I$214,),0),BI352/(1+IFERROR(INDEX(BI$10:BI$11,Предпосылки!$I$215,),0))*IFERROR(INDEX(BI$10:BI$11,Предпосылки!$I$215,),0),BI375/(1+IFERROR(INDEX(BI$10:BI$11,Предпосылки!$I$216,),0))*IFERROR(INDEX(BI$10:BI$11,Предпосылки!$I$216,),0),BI398/(1+IFERROR(INDEX(BI$10:BI$11,Предпосылки!$I$217,),0))*IFERROR(INDEX(BI$10:BI$11,Предпосылки!$I$217,),0),BI421/(1+IFERROR(INDEX(BI$10:BI$11,Предпосылки!$I$218,),0))*IFERROR(INDEX(BI$10:BI$11,Предпосылки!$I$218,),0),BI444/(1+IFERROR(INDEX(BI$10:BI$11,Предпосылки!$I$219,),0))*IFERROR(INDEX(BI$10:BI$11,Предпосылки!$I$219,),0),BI467/(1+IFERROR(INDEX(BI$10:BI$11,Предпосылки!$I$220,),0))*IFERROR(INDEX(BI$10:BI$11,Предпосылки!$I$220,),0))</f>
        <v>0</v>
      </c>
      <c s="125">
        <f>SUM(BJ30/(1+IFERROR(INDEX(BJ$10:BJ$11,Предпосылки!$I$201,),0))*IFERROR(INDEX(BJ$10:BJ$11,Предпосылки!$I$201,),0),BJ53/(1+IFERROR(INDEX(BJ$10:BJ$11,Предпосылки!$I$202,),0))*IFERROR(INDEX(BJ$10:BJ$11,Предпосылки!$I$202,),0),BJ76/(1+IFERROR(INDEX(BJ$10:BJ$11,Предпосылки!$I$203,),0))*IFERROR(INDEX(BJ$10:BJ$11,Предпосылки!$I$203,),0),BJ99/(1+IFERROR(INDEX(BJ$10:BJ$11,Предпосылки!$I$204,),0))*IFERROR(INDEX(BJ$10:BJ$11,Предпосылки!$I$204,),0),BJ122/(1+IFERROR(INDEX(BJ$10:BJ$11,Предпосылки!$I$205,),0))*IFERROR(INDEX(BJ$10:BJ$11,Предпосылки!$I$205,),0),BJ145/(1+IFERROR(INDEX(BJ$10:BJ$11,Предпосылки!$I$206,),0))*IFERROR(INDEX(BJ$10:BJ$11,Предпосылки!$I$206,),0),BJ168/(1+IFERROR(INDEX(BJ$10:BJ$11,Предпосылки!$I$207,),0))*IFERROR(INDEX(BJ$10:BJ$11,Предпосылки!$I$207,),0),BJ191/(1+IFERROR(INDEX(BJ$10:BJ$11,Предпосылки!$I$208,),0))*IFERROR(INDEX(BJ$10:BJ$11,Предпосылки!$I$208,),0),BJ214/(1+IFERROR(INDEX(BJ$10:BJ$11,Предпосылки!$I$209,),0))*IFERROR(INDEX(BJ$10:BJ$11,Предпосылки!$I$209,),0),BJ237/(1+IFERROR(INDEX(BJ$10:BJ$11,Предпосылки!$I$210,),0))*IFERROR(INDEX(BJ$10:BJ$11,Предпосылки!$I$210,),0),BJ260/(1+IFERROR(INDEX(BJ$10:BJ$11,Предпосылки!$I$211,),0))*IFERROR(INDEX(BJ$10:BJ$11,Предпосылки!$I$211,),0),BJ283/(1+IFERROR(INDEX(BJ$10:BJ$11,Предпосылки!$I$212,),0))*IFERROR(INDEX(BJ$10:BJ$11,Предпосылки!$I$212,),0),BJ306/(1+IFERROR(INDEX(BJ$10:BJ$11,Предпосылки!$I$213,),0))*IFERROR(INDEX(BJ$10:BJ$11,Предпосылки!$I$213,),0),BJ329/(1+IFERROR(INDEX(BJ$10:BJ$11,Предпосылки!$I$214,),0))*IFERROR(INDEX(BJ$10:BJ$11,Предпосылки!$I$214,),0),BJ352/(1+IFERROR(INDEX(BJ$10:BJ$11,Предпосылки!$I$215,),0))*IFERROR(INDEX(BJ$10:BJ$11,Предпосылки!$I$215,),0),BJ375/(1+IFERROR(INDEX(BJ$10:BJ$11,Предпосылки!$I$216,),0))*IFERROR(INDEX(BJ$10:BJ$11,Предпосылки!$I$216,),0),BJ398/(1+IFERROR(INDEX(BJ$10:BJ$11,Предпосылки!$I$217,),0))*IFERROR(INDEX(BJ$10:BJ$11,Предпосылки!$I$217,),0),BJ421/(1+IFERROR(INDEX(BJ$10:BJ$11,Предпосылки!$I$218,),0))*IFERROR(INDEX(BJ$10:BJ$11,Предпосылки!$I$218,),0),BJ444/(1+IFERROR(INDEX(BJ$10:BJ$11,Предпосылки!$I$219,),0))*IFERROR(INDEX(BJ$10:BJ$11,Предпосылки!$I$219,),0),BJ467/(1+IFERROR(INDEX(BJ$10:BJ$11,Предпосылки!$I$220,),0))*IFERROR(INDEX(BJ$10:BJ$11,Предпосылки!$I$220,),0))</f>
        <v>0</v>
      </c>
      <c s="125">
        <f>SUM(BK30/(1+IFERROR(INDEX(BK$10:BK$11,Предпосылки!$I$201,),0))*IFERROR(INDEX(BK$10:BK$11,Предпосылки!$I$201,),0),BK53/(1+IFERROR(INDEX(BK$10:BK$11,Предпосылки!$I$202,),0))*IFERROR(INDEX(BK$10:BK$11,Предпосылки!$I$202,),0),BK76/(1+IFERROR(INDEX(BK$10:BK$11,Предпосылки!$I$203,),0))*IFERROR(INDEX(BK$10:BK$11,Предпосылки!$I$203,),0),BK99/(1+IFERROR(INDEX(BK$10:BK$11,Предпосылки!$I$204,),0))*IFERROR(INDEX(BK$10:BK$11,Предпосылки!$I$204,),0),BK122/(1+IFERROR(INDEX(BK$10:BK$11,Предпосылки!$I$205,),0))*IFERROR(INDEX(BK$10:BK$11,Предпосылки!$I$205,),0),BK145/(1+IFERROR(INDEX(BK$10:BK$11,Предпосылки!$I$206,),0))*IFERROR(INDEX(BK$10:BK$11,Предпосылки!$I$206,),0),BK168/(1+IFERROR(INDEX(BK$10:BK$11,Предпосылки!$I$207,),0))*IFERROR(INDEX(BK$10:BK$11,Предпосылки!$I$207,),0),BK191/(1+IFERROR(INDEX(BK$10:BK$11,Предпосылки!$I$208,),0))*IFERROR(INDEX(BK$10:BK$11,Предпосылки!$I$208,),0),BK214/(1+IFERROR(INDEX(BK$10:BK$11,Предпосылки!$I$209,),0))*IFERROR(INDEX(BK$10:BK$11,Предпосылки!$I$209,),0),BK237/(1+IFERROR(INDEX(BK$10:BK$11,Предпосылки!$I$210,),0))*IFERROR(INDEX(BK$10:BK$11,Предпосылки!$I$210,),0),BK260/(1+IFERROR(INDEX(BK$10:BK$11,Предпосылки!$I$211,),0))*IFERROR(INDEX(BK$10:BK$11,Предпосылки!$I$211,),0),BK283/(1+IFERROR(INDEX(BK$10:BK$11,Предпосылки!$I$212,),0))*IFERROR(INDEX(BK$10:BK$11,Предпосылки!$I$212,),0),BK306/(1+IFERROR(INDEX(BK$10:BK$11,Предпосылки!$I$213,),0))*IFERROR(INDEX(BK$10:BK$11,Предпосылки!$I$213,),0),BK329/(1+IFERROR(INDEX(BK$10:BK$11,Предпосылки!$I$214,),0))*IFERROR(INDEX(BK$10:BK$11,Предпосылки!$I$214,),0),BK352/(1+IFERROR(INDEX(BK$10:BK$11,Предпосылки!$I$215,),0))*IFERROR(INDEX(BK$10:BK$11,Предпосылки!$I$215,),0),BK375/(1+IFERROR(INDEX(BK$10:BK$11,Предпосылки!$I$216,),0))*IFERROR(INDEX(BK$10:BK$11,Предпосылки!$I$216,),0),BK398/(1+IFERROR(INDEX(BK$10:BK$11,Предпосылки!$I$217,),0))*IFERROR(INDEX(BK$10:BK$11,Предпосылки!$I$217,),0),BK421/(1+IFERROR(INDEX(BK$10:BK$11,Предпосылки!$I$218,),0))*IFERROR(INDEX(BK$10:BK$11,Предпосылки!$I$218,),0),BK444/(1+IFERROR(INDEX(BK$10:BK$11,Предпосылки!$I$219,),0))*IFERROR(INDEX(BK$10:BK$11,Предпосылки!$I$219,),0),BK467/(1+IFERROR(INDEX(BK$10:BK$11,Предпосылки!$I$220,),0))*IFERROR(INDEX(BK$10:BK$11,Предпосылки!$I$220,),0))</f>
        <v>0</v>
      </c>
      <c s="125">
        <f>SUM(BL30/(1+IFERROR(INDEX(BL$10:BL$11,Предпосылки!$I$201,),0))*IFERROR(INDEX(BL$10:BL$11,Предпосылки!$I$201,),0),BL53/(1+IFERROR(INDEX(BL$10:BL$11,Предпосылки!$I$202,),0))*IFERROR(INDEX(BL$10:BL$11,Предпосылки!$I$202,),0),BL76/(1+IFERROR(INDEX(BL$10:BL$11,Предпосылки!$I$203,),0))*IFERROR(INDEX(BL$10:BL$11,Предпосылки!$I$203,),0),BL99/(1+IFERROR(INDEX(BL$10:BL$11,Предпосылки!$I$204,),0))*IFERROR(INDEX(BL$10:BL$11,Предпосылки!$I$204,),0),BL122/(1+IFERROR(INDEX(BL$10:BL$11,Предпосылки!$I$205,),0))*IFERROR(INDEX(BL$10:BL$11,Предпосылки!$I$205,),0),BL145/(1+IFERROR(INDEX(BL$10:BL$11,Предпосылки!$I$206,),0))*IFERROR(INDEX(BL$10:BL$11,Предпосылки!$I$206,),0),BL168/(1+IFERROR(INDEX(BL$10:BL$11,Предпосылки!$I$207,),0))*IFERROR(INDEX(BL$10:BL$11,Предпосылки!$I$207,),0),BL191/(1+IFERROR(INDEX(BL$10:BL$11,Предпосылки!$I$208,),0))*IFERROR(INDEX(BL$10:BL$11,Предпосылки!$I$208,),0),BL214/(1+IFERROR(INDEX(BL$10:BL$11,Предпосылки!$I$209,),0))*IFERROR(INDEX(BL$10:BL$11,Предпосылки!$I$209,),0),BL237/(1+IFERROR(INDEX(BL$10:BL$11,Предпосылки!$I$210,),0))*IFERROR(INDEX(BL$10:BL$11,Предпосылки!$I$210,),0),BL260/(1+IFERROR(INDEX(BL$10:BL$11,Предпосылки!$I$211,),0))*IFERROR(INDEX(BL$10:BL$11,Предпосылки!$I$211,),0),BL283/(1+IFERROR(INDEX(BL$10:BL$11,Предпосылки!$I$212,),0))*IFERROR(INDEX(BL$10:BL$11,Предпосылки!$I$212,),0),BL306/(1+IFERROR(INDEX(BL$10:BL$11,Предпосылки!$I$213,),0))*IFERROR(INDEX(BL$10:BL$11,Предпосылки!$I$213,),0),BL329/(1+IFERROR(INDEX(BL$10:BL$11,Предпосылки!$I$214,),0))*IFERROR(INDEX(BL$10:BL$11,Предпосылки!$I$214,),0),BL352/(1+IFERROR(INDEX(BL$10:BL$11,Предпосылки!$I$215,),0))*IFERROR(INDEX(BL$10:BL$11,Предпосылки!$I$215,),0),BL375/(1+IFERROR(INDEX(BL$10:BL$11,Предпосылки!$I$216,),0))*IFERROR(INDEX(BL$10:BL$11,Предпосылки!$I$216,),0),BL398/(1+IFERROR(INDEX(BL$10:BL$11,Предпосылки!$I$217,),0))*IFERROR(INDEX(BL$10:BL$11,Предпосылки!$I$217,),0),BL421/(1+IFERROR(INDEX(BL$10:BL$11,Предпосылки!$I$218,),0))*IFERROR(INDEX(BL$10:BL$11,Предпосылки!$I$218,),0),BL444/(1+IFERROR(INDEX(BL$10:BL$11,Предпосылки!$I$219,),0))*IFERROR(INDEX(BL$10:BL$11,Предпосылки!$I$219,),0),BL467/(1+IFERROR(INDEX(BL$10:BL$11,Предпосылки!$I$220,),0))*IFERROR(INDEX(BL$10:BL$11,Предпосылки!$I$220,),0))</f>
        <v>0</v>
      </c>
      <c s="125">
        <f>SUM(BM30/(1+IFERROR(INDEX(BM$10:BM$11,Предпосылки!$I$201,),0))*IFERROR(INDEX(BM$10:BM$11,Предпосылки!$I$201,),0),BM53/(1+IFERROR(INDEX(BM$10:BM$11,Предпосылки!$I$202,),0))*IFERROR(INDEX(BM$10:BM$11,Предпосылки!$I$202,),0),BM76/(1+IFERROR(INDEX(BM$10:BM$11,Предпосылки!$I$203,),0))*IFERROR(INDEX(BM$10:BM$11,Предпосылки!$I$203,),0),BM99/(1+IFERROR(INDEX(BM$10:BM$11,Предпосылки!$I$204,),0))*IFERROR(INDEX(BM$10:BM$11,Предпосылки!$I$204,),0),BM122/(1+IFERROR(INDEX(BM$10:BM$11,Предпосылки!$I$205,),0))*IFERROR(INDEX(BM$10:BM$11,Предпосылки!$I$205,),0),BM145/(1+IFERROR(INDEX(BM$10:BM$11,Предпосылки!$I$206,),0))*IFERROR(INDEX(BM$10:BM$11,Предпосылки!$I$206,),0),BM168/(1+IFERROR(INDEX(BM$10:BM$11,Предпосылки!$I$207,),0))*IFERROR(INDEX(BM$10:BM$11,Предпосылки!$I$207,),0),BM191/(1+IFERROR(INDEX(BM$10:BM$11,Предпосылки!$I$208,),0))*IFERROR(INDEX(BM$10:BM$11,Предпосылки!$I$208,),0),BM214/(1+IFERROR(INDEX(BM$10:BM$11,Предпосылки!$I$209,),0))*IFERROR(INDEX(BM$10:BM$11,Предпосылки!$I$209,),0),BM237/(1+IFERROR(INDEX(BM$10:BM$11,Предпосылки!$I$210,),0))*IFERROR(INDEX(BM$10:BM$11,Предпосылки!$I$210,),0),BM260/(1+IFERROR(INDEX(BM$10:BM$11,Предпосылки!$I$211,),0))*IFERROR(INDEX(BM$10:BM$11,Предпосылки!$I$211,),0),BM283/(1+IFERROR(INDEX(BM$10:BM$11,Предпосылки!$I$212,),0))*IFERROR(INDEX(BM$10:BM$11,Предпосылки!$I$212,),0),BM306/(1+IFERROR(INDEX(BM$10:BM$11,Предпосылки!$I$213,),0))*IFERROR(INDEX(BM$10:BM$11,Предпосылки!$I$213,),0),BM329/(1+IFERROR(INDEX(BM$10:BM$11,Предпосылки!$I$214,),0))*IFERROR(INDEX(BM$10:BM$11,Предпосылки!$I$214,),0),BM352/(1+IFERROR(INDEX(BM$10:BM$11,Предпосылки!$I$215,),0))*IFERROR(INDEX(BM$10:BM$11,Предпосылки!$I$215,),0),BM375/(1+IFERROR(INDEX(BM$10:BM$11,Предпосылки!$I$216,),0))*IFERROR(INDEX(BM$10:BM$11,Предпосылки!$I$216,),0),BM398/(1+IFERROR(INDEX(BM$10:BM$11,Предпосылки!$I$217,),0))*IFERROR(INDEX(BM$10:BM$11,Предпосылки!$I$217,),0),BM421/(1+IFERROR(INDEX(BM$10:BM$11,Предпосылки!$I$218,),0))*IFERROR(INDEX(BM$10:BM$11,Предпосылки!$I$218,),0),BM444/(1+IFERROR(INDEX(BM$10:BM$11,Предпосылки!$I$219,),0))*IFERROR(INDEX(BM$10:BM$11,Предпосылки!$I$219,),0),BM467/(1+IFERROR(INDEX(BM$10:BM$11,Предпосылки!$I$220,),0))*IFERROR(INDEX(BM$10:BM$11,Предпосылки!$I$220,),0))</f>
        <v>0</v>
      </c>
    </row>
    <row r="562" spans="2:65" ht="15" customHeight="1">
      <c r="B562" s="12" t="str">
        <f t="shared" si="255"/>
        <v>Продукт 9</v>
      </c>
      <c s="124" t="str">
        <f t="shared" si="254"/>
        <v>тыс. руб.</v>
      </c>
      <c s="276">
        <f t="shared" si="256"/>
        <v>0</v>
      </c>
      <c s="125">
        <f>SUM(E31/(1+IFERROR(INDEX(E$10:E$11,Предпосылки!$I209,),0))*IFERROR(INDEX(E$10:E$11,Предпосылки!$I209,),0),E54/(1+IFERROR(INDEX(E$10:E$11,Предпосылки!$I210,),0))*IFERROR(INDEX(E$10:E$11,Предпосылки!$I210,),0),E77/(1+IFERROR(INDEX(E$10:E$11,Предпосылки!$I211,),0))*IFERROR(INDEX(E$10:E$11,Предпосылки!$I211,),0),E100/(1+IFERROR(INDEX(E$10:E$11,Предпосылки!$I212,),0))*IFERROR(INDEX(E$10:E$11,Предпосылки!$I212,),0),E123/(1+IFERROR(INDEX(E$10:E$11,Предпосылки!$I213,),0))*IFERROR(INDEX(E$10:E$11,Предпосылки!$I213,),0),E146/(1+IFERROR(INDEX(E$10:E$11,Предпосылки!$I214,),0))*IFERROR(INDEX(E$10:E$11,Предпосылки!$I214,),0),E169/(1+IFERROR(INDEX(E$10:E$11,Предпосылки!$I215,),0))*IFERROR(INDEX(E$10:E$11,Предпосылки!$I215,),0),E192/(1+IFERROR(INDEX(E$10:E$11,Предпосылки!$I216,),0))*IFERROR(INDEX(E$10:E$11,Предпосылки!$I216,),0),E215/(1+IFERROR(INDEX(E$10:E$11,Предпосылки!$I217,),0))*IFERROR(INDEX(E$10:E$11,Предпосылки!$I217,),0),E238/(1+IFERROR(INDEX(E$10:E$11,Предпосылки!$I218,),0))*IFERROR(INDEX(E$10:E$11,Предпосылки!$I218,),0),E261/(1+IFERROR(INDEX(E$10:E$11,Предпосылки!$I219,),0))*IFERROR(INDEX(E$10:E$11,Предпосылки!$I219,),0),E284/(1+IFERROR(INDEX(E$10:E$11,Предпосылки!$I220,),0))*IFERROR(INDEX(E$10:E$11,Предпосылки!$I220,),0),E307/(1+IFERROR(INDEX(E$10:E$11,Предпосылки!$I221,),0))*IFERROR(INDEX(E$10:E$11,Предпосылки!$I221,),0),E330/(1+IFERROR(INDEX(E$10:E$11,Предпосылки!$I222,),0))*IFERROR(INDEX(E$10:E$11,Предпосылки!$I222,),0),E353/(1+IFERROR(INDEX(E$10:E$11,Предпосылки!$I223,),0))*IFERROR(INDEX(E$10:E$11,Предпосылки!$I223,),0),E376/(1+IFERROR(INDEX(E$10:E$11,Предпосылки!$I224,),0))*IFERROR(INDEX(E$10:E$11,Предпосылки!$I224,),0),E399/(1+IFERROR(INDEX(E$10:E$11,Предпосылки!$I225,),0))*IFERROR(INDEX(E$10:E$11,Предпосылки!$I225,),0),E422/(1+IFERROR(INDEX(E$10:E$11,Предпосылки!$I226,),0))*IFERROR(INDEX(E$10:E$11,Предпосылки!$I226,),0),E445/(1+IFERROR(INDEX(E$10:E$11,Предпосылки!$I227,),0))*IFERROR(INDEX(E$10:E$11,Предпосылки!$I227,),0),E468/(1+IFERROR(INDEX(E$10:E$11,Предпосылки!$I228,),0))*IFERROR(INDEX(E$10:E$11,Предпосылки!$I228,),0))</f>
        <v>0</v>
      </c>
      <c s="125">
        <f>SUM(F31/(1+IFERROR(INDEX(F$10:F$11,Предпосылки!$I$201,),0))*IFERROR(INDEX(F$10:F$11,Предпосылки!$I$201,),0),F54/(1+IFERROR(INDEX(F$10:F$11,Предпосылки!$I$202,),0))*IFERROR(INDEX(F$10:F$11,Предпосылки!$I$202,),0),F77/(1+IFERROR(INDEX(F$10:F$11,Предпосылки!$I$203,),0))*IFERROR(INDEX(F$10:F$11,Предпосылки!$I$203,),0),F100/(1+IFERROR(INDEX(F$10:F$11,Предпосылки!$I$204,),0))*IFERROR(INDEX(F$10:F$11,Предпосылки!$I$204,),0),F123/(1+IFERROR(INDEX(F$10:F$11,Предпосылки!$I$205,),0))*IFERROR(INDEX(F$10:F$11,Предпосылки!$I$205,),0),F146/(1+IFERROR(INDEX(F$10:F$11,Предпосылки!$I$206,),0))*IFERROR(INDEX(F$10:F$11,Предпосылки!$I$206,),0),F169/(1+IFERROR(INDEX(F$10:F$11,Предпосылки!$I$207,),0))*IFERROR(INDEX(F$10:F$11,Предпосылки!$I$207,),0),F192/(1+IFERROR(INDEX(F$10:F$11,Предпосылки!$I$208,),0))*IFERROR(INDEX(F$10:F$11,Предпосылки!$I$208,),0),F215/(1+IFERROR(INDEX(F$10:F$11,Предпосылки!$I$209,),0))*IFERROR(INDEX(F$10:F$11,Предпосылки!$I$209,),0),F238/(1+IFERROR(INDEX(F$10:F$11,Предпосылки!$I$210,),0))*IFERROR(INDEX(F$10:F$11,Предпосылки!$I$210,),0),F261/(1+IFERROR(INDEX(F$10:F$11,Предпосылки!$I$211,),0))*IFERROR(INDEX(F$10:F$11,Предпосылки!$I$211,),0),F284/(1+IFERROR(INDEX(F$10:F$11,Предпосылки!$I$212,),0))*IFERROR(INDEX(F$10:F$11,Предпосылки!$I$212,),0),F307/(1+IFERROR(INDEX(F$10:F$11,Предпосылки!$I$213,),0))*IFERROR(INDEX(F$10:F$11,Предпосылки!$I$213,),0),F330/(1+IFERROR(INDEX(F$10:F$11,Предпосылки!$I$214,),0))*IFERROR(INDEX(F$10:F$11,Предпосылки!$I$214,),0),F353/(1+IFERROR(INDEX(F$10:F$11,Предпосылки!$I$215,),0))*IFERROR(INDEX(F$10:F$11,Предпосылки!$I$215,),0),F376/(1+IFERROR(INDEX(F$10:F$11,Предпосылки!$I$216,),0))*IFERROR(INDEX(F$10:F$11,Предпосылки!$I$216,),0),F399/(1+IFERROR(INDEX(F$10:F$11,Предпосылки!$I$217,),0))*IFERROR(INDEX(F$10:F$11,Предпосылки!$I$217,),0),F422/(1+IFERROR(INDEX(F$10:F$11,Предпосылки!$I$218,),0))*IFERROR(INDEX(F$10:F$11,Предпосылки!$I$218,),0),F445/(1+IFERROR(INDEX(F$10:F$11,Предпосылки!$I$219,),0))*IFERROR(INDEX(F$10:F$11,Предпосылки!$I$219,),0),F468/(1+IFERROR(INDEX(F$10:F$11,Предпосылки!$I$220,),0))*IFERROR(INDEX(F$10:F$11,Предпосылки!$I$220,),0))</f>
        <v>0</v>
      </c>
      <c s="125">
        <f>SUM(G31/(1+IFERROR(INDEX(G$10:G$11,Предпосылки!$I$201,),0))*IFERROR(INDEX(G$10:G$11,Предпосылки!$I$201,),0),G54/(1+IFERROR(INDEX(G$10:G$11,Предпосылки!$I$202,),0))*IFERROR(INDEX(G$10:G$11,Предпосылки!$I$202,),0),G77/(1+IFERROR(INDEX(G$10:G$11,Предпосылки!$I$203,),0))*IFERROR(INDEX(G$10:G$11,Предпосылки!$I$203,),0),G100/(1+IFERROR(INDEX(G$10:G$11,Предпосылки!$I$204,),0))*IFERROR(INDEX(G$10:G$11,Предпосылки!$I$204,),0),G123/(1+IFERROR(INDEX(G$10:G$11,Предпосылки!$I$205,),0))*IFERROR(INDEX(G$10:G$11,Предпосылки!$I$205,),0),G146/(1+IFERROR(INDEX(G$10:G$11,Предпосылки!$I$206,),0))*IFERROR(INDEX(G$10:G$11,Предпосылки!$I$206,),0),G169/(1+IFERROR(INDEX(G$10:G$11,Предпосылки!$I$207,),0))*IFERROR(INDEX(G$10:G$11,Предпосылки!$I$207,),0),G192/(1+IFERROR(INDEX(G$10:G$11,Предпосылки!$I$208,),0))*IFERROR(INDEX(G$10:G$11,Предпосылки!$I$208,),0),G215/(1+IFERROR(INDEX(G$10:G$11,Предпосылки!$I$209,),0))*IFERROR(INDEX(G$10:G$11,Предпосылки!$I$209,),0),G238/(1+IFERROR(INDEX(G$10:G$11,Предпосылки!$I$210,),0))*IFERROR(INDEX(G$10:G$11,Предпосылки!$I$210,),0),G261/(1+IFERROR(INDEX(G$10:G$11,Предпосылки!$I$211,),0))*IFERROR(INDEX(G$10:G$11,Предпосылки!$I$211,),0),G284/(1+IFERROR(INDEX(G$10:G$11,Предпосылки!$I$212,),0))*IFERROR(INDEX(G$10:G$11,Предпосылки!$I$212,),0),G307/(1+IFERROR(INDEX(G$10:G$11,Предпосылки!$I$213,),0))*IFERROR(INDEX(G$10:G$11,Предпосылки!$I$213,),0),G330/(1+IFERROR(INDEX(G$10:G$11,Предпосылки!$I$214,),0))*IFERROR(INDEX(G$10:G$11,Предпосылки!$I$214,),0),G353/(1+IFERROR(INDEX(G$10:G$11,Предпосылки!$I$215,),0))*IFERROR(INDEX(G$10:G$11,Предпосылки!$I$215,),0),G376/(1+IFERROR(INDEX(G$10:G$11,Предпосылки!$I$216,),0))*IFERROR(INDEX(G$10:G$11,Предпосылки!$I$216,),0),G399/(1+IFERROR(INDEX(G$10:G$11,Предпосылки!$I$217,),0))*IFERROR(INDEX(G$10:G$11,Предпосылки!$I$217,),0),G422/(1+IFERROR(INDEX(G$10:G$11,Предпосылки!$I$218,),0))*IFERROR(INDEX(G$10:G$11,Предпосылки!$I$218,),0),G445/(1+IFERROR(INDEX(G$10:G$11,Предпосылки!$I$219,),0))*IFERROR(INDEX(G$10:G$11,Предпосылки!$I$219,),0),G468/(1+IFERROR(INDEX(G$10:G$11,Предпосылки!$I$220,),0))*IFERROR(INDEX(G$10:G$11,Предпосылки!$I$220,),0))</f>
        <v>0</v>
      </c>
      <c s="125">
        <f>SUM(H31/(1+IFERROR(INDEX(H$10:H$11,Предпосылки!$I$201,),0))*IFERROR(INDEX(H$10:H$11,Предпосылки!$I$201,),0),H54/(1+IFERROR(INDEX(H$10:H$11,Предпосылки!$I$202,),0))*IFERROR(INDEX(H$10:H$11,Предпосылки!$I$202,),0),H77/(1+IFERROR(INDEX(H$10:H$11,Предпосылки!$I$203,),0))*IFERROR(INDEX(H$10:H$11,Предпосылки!$I$203,),0),H100/(1+IFERROR(INDEX(H$10:H$11,Предпосылки!$I$204,),0))*IFERROR(INDEX(H$10:H$11,Предпосылки!$I$204,),0),H123/(1+IFERROR(INDEX(H$10:H$11,Предпосылки!$I$205,),0))*IFERROR(INDEX(H$10:H$11,Предпосылки!$I$205,),0),H146/(1+IFERROR(INDEX(H$10:H$11,Предпосылки!$I$206,),0))*IFERROR(INDEX(H$10:H$11,Предпосылки!$I$206,),0),H169/(1+IFERROR(INDEX(H$10:H$11,Предпосылки!$I$207,),0))*IFERROR(INDEX(H$10:H$11,Предпосылки!$I$207,),0),H192/(1+IFERROR(INDEX(H$10:H$11,Предпосылки!$I$208,),0))*IFERROR(INDEX(H$10:H$11,Предпосылки!$I$208,),0),H215/(1+IFERROR(INDEX(H$10:H$11,Предпосылки!$I$209,),0))*IFERROR(INDEX(H$10:H$11,Предпосылки!$I$209,),0),H238/(1+IFERROR(INDEX(H$10:H$11,Предпосылки!$I$210,),0))*IFERROR(INDEX(H$10:H$11,Предпосылки!$I$210,),0),H261/(1+IFERROR(INDEX(H$10:H$11,Предпосылки!$I$211,),0))*IFERROR(INDEX(H$10:H$11,Предпосылки!$I$211,),0),H284/(1+IFERROR(INDEX(H$10:H$11,Предпосылки!$I$212,),0))*IFERROR(INDEX(H$10:H$11,Предпосылки!$I$212,),0),H307/(1+IFERROR(INDEX(H$10:H$11,Предпосылки!$I$213,),0))*IFERROR(INDEX(H$10:H$11,Предпосылки!$I$213,),0),H330/(1+IFERROR(INDEX(H$10:H$11,Предпосылки!$I$214,),0))*IFERROR(INDEX(H$10:H$11,Предпосылки!$I$214,),0),H353/(1+IFERROR(INDEX(H$10:H$11,Предпосылки!$I$215,),0))*IFERROR(INDEX(H$10:H$11,Предпосылки!$I$215,),0),H376/(1+IFERROR(INDEX(H$10:H$11,Предпосылки!$I$216,),0))*IFERROR(INDEX(H$10:H$11,Предпосылки!$I$216,),0),H399/(1+IFERROR(INDEX(H$10:H$11,Предпосылки!$I$217,),0))*IFERROR(INDEX(H$10:H$11,Предпосылки!$I$217,),0),H422/(1+IFERROR(INDEX(H$10:H$11,Предпосылки!$I$218,),0))*IFERROR(INDEX(H$10:H$11,Предпосылки!$I$218,),0),H445/(1+IFERROR(INDEX(H$10:H$11,Предпосылки!$I$219,),0))*IFERROR(INDEX(H$10:H$11,Предпосылки!$I$219,),0),H468/(1+IFERROR(INDEX(H$10:H$11,Предпосылки!$I$220,),0))*IFERROR(INDEX(H$10:H$11,Предпосылки!$I$220,),0))</f>
        <v>0</v>
      </c>
      <c s="125">
        <f>SUM(I31/(1+IFERROR(INDEX(I$10:I$11,Предпосылки!$I$201,),0))*IFERROR(INDEX(I$10:I$11,Предпосылки!$I$201,),0),I54/(1+IFERROR(INDEX(I$10:I$11,Предпосылки!$I$202,),0))*IFERROR(INDEX(I$10:I$11,Предпосылки!$I$202,),0),I77/(1+IFERROR(INDEX(I$10:I$11,Предпосылки!$I$203,),0))*IFERROR(INDEX(I$10:I$11,Предпосылки!$I$203,),0),I100/(1+IFERROR(INDEX(I$10:I$11,Предпосылки!$I$204,),0))*IFERROR(INDEX(I$10:I$11,Предпосылки!$I$204,),0),I123/(1+IFERROR(INDEX(I$10:I$11,Предпосылки!$I$205,),0))*IFERROR(INDEX(I$10:I$11,Предпосылки!$I$205,),0),I146/(1+IFERROR(INDEX(I$10:I$11,Предпосылки!$I$206,),0))*IFERROR(INDEX(I$10:I$11,Предпосылки!$I$206,),0),I169/(1+IFERROR(INDEX(I$10:I$11,Предпосылки!$I$207,),0))*IFERROR(INDEX(I$10:I$11,Предпосылки!$I$207,),0),I192/(1+IFERROR(INDEX(I$10:I$11,Предпосылки!$I$208,),0))*IFERROR(INDEX(I$10:I$11,Предпосылки!$I$208,),0),I215/(1+IFERROR(INDEX(I$10:I$11,Предпосылки!$I$209,),0))*IFERROR(INDEX(I$10:I$11,Предпосылки!$I$209,),0),I238/(1+IFERROR(INDEX(I$10:I$11,Предпосылки!$I$210,),0))*IFERROR(INDEX(I$10:I$11,Предпосылки!$I$210,),0),I261/(1+IFERROR(INDEX(I$10:I$11,Предпосылки!$I$211,),0))*IFERROR(INDEX(I$10:I$11,Предпосылки!$I$211,),0),I284/(1+IFERROR(INDEX(I$10:I$11,Предпосылки!$I$212,),0))*IFERROR(INDEX(I$10:I$11,Предпосылки!$I$212,),0),I307/(1+IFERROR(INDEX(I$10:I$11,Предпосылки!$I$213,),0))*IFERROR(INDEX(I$10:I$11,Предпосылки!$I$213,),0),I330/(1+IFERROR(INDEX(I$10:I$11,Предпосылки!$I$214,),0))*IFERROR(INDEX(I$10:I$11,Предпосылки!$I$214,),0),I353/(1+IFERROR(INDEX(I$10:I$11,Предпосылки!$I$215,),0))*IFERROR(INDEX(I$10:I$11,Предпосылки!$I$215,),0),I376/(1+IFERROR(INDEX(I$10:I$11,Предпосылки!$I$216,),0))*IFERROR(INDEX(I$10:I$11,Предпосылки!$I$216,),0),I399/(1+IFERROR(INDEX(I$10:I$11,Предпосылки!$I$217,),0))*IFERROR(INDEX(I$10:I$11,Предпосылки!$I$217,),0),I422/(1+IFERROR(INDEX(I$10:I$11,Предпосылки!$I$218,),0))*IFERROR(INDEX(I$10:I$11,Предпосылки!$I$218,),0),I445/(1+IFERROR(INDEX(I$10:I$11,Предпосылки!$I$219,),0))*IFERROR(INDEX(I$10:I$11,Предпосылки!$I$219,),0),I468/(1+IFERROR(INDEX(I$10:I$11,Предпосылки!$I$220,),0))*IFERROR(INDEX(I$10:I$11,Предпосылки!$I$220,),0))</f>
        <v>0</v>
      </c>
      <c s="125">
        <f>SUM(J31/(1+IFERROR(INDEX(J$10:J$11,Предпосылки!$I$201,),0))*IFERROR(INDEX(J$10:J$11,Предпосылки!$I$201,),0),J54/(1+IFERROR(INDEX(J$10:J$11,Предпосылки!$I$202,),0))*IFERROR(INDEX(J$10:J$11,Предпосылки!$I$202,),0),J77/(1+IFERROR(INDEX(J$10:J$11,Предпосылки!$I$203,),0))*IFERROR(INDEX(J$10:J$11,Предпосылки!$I$203,),0),J100/(1+IFERROR(INDEX(J$10:J$11,Предпосылки!$I$204,),0))*IFERROR(INDEX(J$10:J$11,Предпосылки!$I$204,),0),J123/(1+IFERROR(INDEX(J$10:J$11,Предпосылки!$I$205,),0))*IFERROR(INDEX(J$10:J$11,Предпосылки!$I$205,),0),J146/(1+IFERROR(INDEX(J$10:J$11,Предпосылки!$I$206,),0))*IFERROR(INDEX(J$10:J$11,Предпосылки!$I$206,),0),J169/(1+IFERROR(INDEX(J$10:J$11,Предпосылки!$I$207,),0))*IFERROR(INDEX(J$10:J$11,Предпосылки!$I$207,),0),J192/(1+IFERROR(INDEX(J$10:J$11,Предпосылки!$I$208,),0))*IFERROR(INDEX(J$10:J$11,Предпосылки!$I$208,),0),J215/(1+IFERROR(INDEX(J$10:J$11,Предпосылки!$I$209,),0))*IFERROR(INDEX(J$10:J$11,Предпосылки!$I$209,),0),J238/(1+IFERROR(INDEX(J$10:J$11,Предпосылки!$I$210,),0))*IFERROR(INDEX(J$10:J$11,Предпосылки!$I$210,),0),J261/(1+IFERROR(INDEX(J$10:J$11,Предпосылки!$I$211,),0))*IFERROR(INDEX(J$10:J$11,Предпосылки!$I$211,),0),J284/(1+IFERROR(INDEX(J$10:J$11,Предпосылки!$I$212,),0))*IFERROR(INDEX(J$10:J$11,Предпосылки!$I$212,),0),J307/(1+IFERROR(INDEX(J$10:J$11,Предпосылки!$I$213,),0))*IFERROR(INDEX(J$10:J$11,Предпосылки!$I$213,),0),J330/(1+IFERROR(INDEX(J$10:J$11,Предпосылки!$I$214,),0))*IFERROR(INDEX(J$10:J$11,Предпосылки!$I$214,),0),J353/(1+IFERROR(INDEX(J$10:J$11,Предпосылки!$I$215,),0))*IFERROR(INDEX(J$10:J$11,Предпосылки!$I$215,),0),J376/(1+IFERROR(INDEX(J$10:J$11,Предпосылки!$I$216,),0))*IFERROR(INDEX(J$10:J$11,Предпосылки!$I$216,),0),J399/(1+IFERROR(INDEX(J$10:J$11,Предпосылки!$I$217,),0))*IFERROR(INDEX(J$10:J$11,Предпосылки!$I$217,),0),J422/(1+IFERROR(INDEX(J$10:J$11,Предпосылки!$I$218,),0))*IFERROR(INDEX(J$10:J$11,Предпосылки!$I$218,),0),J445/(1+IFERROR(INDEX(J$10:J$11,Предпосылки!$I$219,),0))*IFERROR(INDEX(J$10:J$11,Предпосылки!$I$219,),0),J468/(1+IFERROR(INDEX(J$10:J$11,Предпосылки!$I$220,),0))*IFERROR(INDEX(J$10:J$11,Предпосылки!$I$220,),0))</f>
        <v>0</v>
      </c>
      <c s="125">
        <f>SUM(K31/(1+IFERROR(INDEX(K$10:K$11,Предпосылки!$I$201,),0))*IFERROR(INDEX(K$10:K$11,Предпосылки!$I$201,),0),K54/(1+IFERROR(INDEX(K$10:K$11,Предпосылки!$I$202,),0))*IFERROR(INDEX(K$10:K$11,Предпосылки!$I$202,),0),K77/(1+IFERROR(INDEX(K$10:K$11,Предпосылки!$I$203,),0))*IFERROR(INDEX(K$10:K$11,Предпосылки!$I$203,),0),K100/(1+IFERROR(INDEX(K$10:K$11,Предпосылки!$I$204,),0))*IFERROR(INDEX(K$10:K$11,Предпосылки!$I$204,),0),K123/(1+IFERROR(INDEX(K$10:K$11,Предпосылки!$I$205,),0))*IFERROR(INDEX(K$10:K$11,Предпосылки!$I$205,),0),K146/(1+IFERROR(INDEX(K$10:K$11,Предпосылки!$I$206,),0))*IFERROR(INDEX(K$10:K$11,Предпосылки!$I$206,),0),K169/(1+IFERROR(INDEX(K$10:K$11,Предпосылки!$I$207,),0))*IFERROR(INDEX(K$10:K$11,Предпосылки!$I$207,),0),K192/(1+IFERROR(INDEX(K$10:K$11,Предпосылки!$I$208,),0))*IFERROR(INDEX(K$10:K$11,Предпосылки!$I$208,),0),K215/(1+IFERROR(INDEX(K$10:K$11,Предпосылки!$I$209,),0))*IFERROR(INDEX(K$10:K$11,Предпосылки!$I$209,),0),K238/(1+IFERROR(INDEX(K$10:K$11,Предпосылки!$I$210,),0))*IFERROR(INDEX(K$10:K$11,Предпосылки!$I$210,),0),K261/(1+IFERROR(INDEX(K$10:K$11,Предпосылки!$I$211,),0))*IFERROR(INDEX(K$10:K$11,Предпосылки!$I$211,),0),K284/(1+IFERROR(INDEX(K$10:K$11,Предпосылки!$I$212,),0))*IFERROR(INDEX(K$10:K$11,Предпосылки!$I$212,),0),K307/(1+IFERROR(INDEX(K$10:K$11,Предпосылки!$I$213,),0))*IFERROR(INDEX(K$10:K$11,Предпосылки!$I$213,),0),K330/(1+IFERROR(INDEX(K$10:K$11,Предпосылки!$I$214,),0))*IFERROR(INDEX(K$10:K$11,Предпосылки!$I$214,),0),K353/(1+IFERROR(INDEX(K$10:K$11,Предпосылки!$I$215,),0))*IFERROR(INDEX(K$10:K$11,Предпосылки!$I$215,),0),K376/(1+IFERROR(INDEX(K$10:K$11,Предпосылки!$I$216,),0))*IFERROR(INDEX(K$10:K$11,Предпосылки!$I$216,),0),K399/(1+IFERROR(INDEX(K$10:K$11,Предпосылки!$I$217,),0))*IFERROR(INDEX(K$10:K$11,Предпосылки!$I$217,),0),K422/(1+IFERROR(INDEX(K$10:K$11,Предпосылки!$I$218,),0))*IFERROR(INDEX(K$10:K$11,Предпосылки!$I$218,),0),K445/(1+IFERROR(INDEX(K$10:K$11,Предпосылки!$I$219,),0))*IFERROR(INDEX(K$10:K$11,Предпосылки!$I$219,),0),K468/(1+IFERROR(INDEX(K$10:K$11,Предпосылки!$I$220,),0))*IFERROR(INDEX(K$10:K$11,Предпосылки!$I$220,),0))</f>
        <v>0</v>
      </c>
      <c s="125">
        <f>SUM(L31/(1+IFERROR(INDEX(L$10:L$11,Предпосылки!$I$201,),0))*IFERROR(INDEX(L$10:L$11,Предпосылки!$I$201,),0),L54/(1+IFERROR(INDEX(L$10:L$11,Предпосылки!$I$202,),0))*IFERROR(INDEX(L$10:L$11,Предпосылки!$I$202,),0),L77/(1+IFERROR(INDEX(L$10:L$11,Предпосылки!$I$203,),0))*IFERROR(INDEX(L$10:L$11,Предпосылки!$I$203,),0),L100/(1+IFERROR(INDEX(L$10:L$11,Предпосылки!$I$204,),0))*IFERROR(INDEX(L$10:L$11,Предпосылки!$I$204,),0),L123/(1+IFERROR(INDEX(L$10:L$11,Предпосылки!$I$205,),0))*IFERROR(INDEX(L$10:L$11,Предпосылки!$I$205,),0),L146/(1+IFERROR(INDEX(L$10:L$11,Предпосылки!$I$206,),0))*IFERROR(INDEX(L$10:L$11,Предпосылки!$I$206,),0),L169/(1+IFERROR(INDEX(L$10:L$11,Предпосылки!$I$207,),0))*IFERROR(INDEX(L$10:L$11,Предпосылки!$I$207,),0),L192/(1+IFERROR(INDEX(L$10:L$11,Предпосылки!$I$208,),0))*IFERROR(INDEX(L$10:L$11,Предпосылки!$I$208,),0),L215/(1+IFERROR(INDEX(L$10:L$11,Предпосылки!$I$209,),0))*IFERROR(INDEX(L$10:L$11,Предпосылки!$I$209,),0),L238/(1+IFERROR(INDEX(L$10:L$11,Предпосылки!$I$210,),0))*IFERROR(INDEX(L$10:L$11,Предпосылки!$I$210,),0),L261/(1+IFERROR(INDEX(L$10:L$11,Предпосылки!$I$211,),0))*IFERROR(INDEX(L$10:L$11,Предпосылки!$I$211,),0),L284/(1+IFERROR(INDEX(L$10:L$11,Предпосылки!$I$212,),0))*IFERROR(INDEX(L$10:L$11,Предпосылки!$I$212,),0),L307/(1+IFERROR(INDEX(L$10:L$11,Предпосылки!$I$213,),0))*IFERROR(INDEX(L$10:L$11,Предпосылки!$I$213,),0),L330/(1+IFERROR(INDEX(L$10:L$11,Предпосылки!$I$214,),0))*IFERROR(INDEX(L$10:L$11,Предпосылки!$I$214,),0),L353/(1+IFERROR(INDEX(L$10:L$11,Предпосылки!$I$215,),0))*IFERROR(INDEX(L$10:L$11,Предпосылки!$I$215,),0),L376/(1+IFERROR(INDEX(L$10:L$11,Предпосылки!$I$216,),0))*IFERROR(INDEX(L$10:L$11,Предпосылки!$I$216,),0),L399/(1+IFERROR(INDEX(L$10:L$11,Предпосылки!$I$217,),0))*IFERROR(INDEX(L$10:L$11,Предпосылки!$I$217,),0),L422/(1+IFERROR(INDEX(L$10:L$11,Предпосылки!$I$218,),0))*IFERROR(INDEX(L$10:L$11,Предпосылки!$I$218,),0),L445/(1+IFERROR(INDEX(L$10:L$11,Предпосылки!$I$219,),0))*IFERROR(INDEX(L$10:L$11,Предпосылки!$I$219,),0),L468/(1+IFERROR(INDEX(L$10:L$11,Предпосылки!$I$220,),0))*IFERROR(INDEX(L$10:L$11,Предпосылки!$I$220,),0))</f>
        <v>0</v>
      </c>
      <c s="125">
        <f>SUM(M31/(1+IFERROR(INDEX(M$10:M$11,Предпосылки!$I$201,),0))*IFERROR(INDEX(M$10:M$11,Предпосылки!$I$201,),0),M54/(1+IFERROR(INDEX(M$10:M$11,Предпосылки!$I$202,),0))*IFERROR(INDEX(M$10:M$11,Предпосылки!$I$202,),0),M77/(1+IFERROR(INDEX(M$10:M$11,Предпосылки!$I$203,),0))*IFERROR(INDEX(M$10:M$11,Предпосылки!$I$203,),0),M100/(1+IFERROR(INDEX(M$10:M$11,Предпосылки!$I$204,),0))*IFERROR(INDEX(M$10:M$11,Предпосылки!$I$204,),0),M123/(1+IFERROR(INDEX(M$10:M$11,Предпосылки!$I$205,),0))*IFERROR(INDEX(M$10:M$11,Предпосылки!$I$205,),0),M146/(1+IFERROR(INDEX(M$10:M$11,Предпосылки!$I$206,),0))*IFERROR(INDEX(M$10:M$11,Предпосылки!$I$206,),0),M169/(1+IFERROR(INDEX(M$10:M$11,Предпосылки!$I$207,),0))*IFERROR(INDEX(M$10:M$11,Предпосылки!$I$207,),0),M192/(1+IFERROR(INDEX(M$10:M$11,Предпосылки!$I$208,),0))*IFERROR(INDEX(M$10:M$11,Предпосылки!$I$208,),0),M215/(1+IFERROR(INDEX(M$10:M$11,Предпосылки!$I$209,),0))*IFERROR(INDEX(M$10:M$11,Предпосылки!$I$209,),0),M238/(1+IFERROR(INDEX(M$10:M$11,Предпосылки!$I$210,),0))*IFERROR(INDEX(M$10:M$11,Предпосылки!$I$210,),0),M261/(1+IFERROR(INDEX(M$10:M$11,Предпосылки!$I$211,),0))*IFERROR(INDEX(M$10:M$11,Предпосылки!$I$211,),0),M284/(1+IFERROR(INDEX(M$10:M$11,Предпосылки!$I$212,),0))*IFERROR(INDEX(M$10:M$11,Предпосылки!$I$212,),0),M307/(1+IFERROR(INDEX(M$10:M$11,Предпосылки!$I$213,),0))*IFERROR(INDEX(M$10:M$11,Предпосылки!$I$213,),0),M330/(1+IFERROR(INDEX(M$10:M$11,Предпосылки!$I$214,),0))*IFERROR(INDEX(M$10:M$11,Предпосылки!$I$214,),0),M353/(1+IFERROR(INDEX(M$10:M$11,Предпосылки!$I$215,),0))*IFERROR(INDEX(M$10:M$11,Предпосылки!$I$215,),0),M376/(1+IFERROR(INDEX(M$10:M$11,Предпосылки!$I$216,),0))*IFERROR(INDEX(M$10:M$11,Предпосылки!$I$216,),0),M399/(1+IFERROR(INDEX(M$10:M$11,Предпосылки!$I$217,),0))*IFERROR(INDEX(M$10:M$11,Предпосылки!$I$217,),0),M422/(1+IFERROR(INDEX(M$10:M$11,Предпосылки!$I$218,),0))*IFERROR(INDEX(M$10:M$11,Предпосылки!$I$218,),0),M445/(1+IFERROR(INDEX(M$10:M$11,Предпосылки!$I$219,),0))*IFERROR(INDEX(M$10:M$11,Предпосылки!$I$219,),0),M468/(1+IFERROR(INDEX(M$10:M$11,Предпосылки!$I$220,),0))*IFERROR(INDEX(M$10:M$11,Предпосылки!$I$220,),0))</f>
        <v>0</v>
      </c>
      <c s="125">
        <f>SUM(N31/(1+IFERROR(INDEX(N$10:N$11,Предпосылки!$I$201,),0))*IFERROR(INDEX(N$10:N$11,Предпосылки!$I$201,),0),N54/(1+IFERROR(INDEX(N$10:N$11,Предпосылки!$I$202,),0))*IFERROR(INDEX(N$10:N$11,Предпосылки!$I$202,),0),N77/(1+IFERROR(INDEX(N$10:N$11,Предпосылки!$I$203,),0))*IFERROR(INDEX(N$10:N$11,Предпосылки!$I$203,),0),N100/(1+IFERROR(INDEX(N$10:N$11,Предпосылки!$I$204,),0))*IFERROR(INDEX(N$10:N$11,Предпосылки!$I$204,),0),N123/(1+IFERROR(INDEX(N$10:N$11,Предпосылки!$I$205,),0))*IFERROR(INDEX(N$10:N$11,Предпосылки!$I$205,),0),N146/(1+IFERROR(INDEX(N$10:N$11,Предпосылки!$I$206,),0))*IFERROR(INDEX(N$10:N$11,Предпосылки!$I$206,),0),N169/(1+IFERROR(INDEX(N$10:N$11,Предпосылки!$I$207,),0))*IFERROR(INDEX(N$10:N$11,Предпосылки!$I$207,),0),N192/(1+IFERROR(INDEX(N$10:N$11,Предпосылки!$I$208,),0))*IFERROR(INDEX(N$10:N$11,Предпосылки!$I$208,),0),N215/(1+IFERROR(INDEX(N$10:N$11,Предпосылки!$I$209,),0))*IFERROR(INDEX(N$10:N$11,Предпосылки!$I$209,),0),N238/(1+IFERROR(INDEX(N$10:N$11,Предпосылки!$I$210,),0))*IFERROR(INDEX(N$10:N$11,Предпосылки!$I$210,),0),N261/(1+IFERROR(INDEX(N$10:N$11,Предпосылки!$I$211,),0))*IFERROR(INDEX(N$10:N$11,Предпосылки!$I$211,),0),N284/(1+IFERROR(INDEX(N$10:N$11,Предпосылки!$I$212,),0))*IFERROR(INDEX(N$10:N$11,Предпосылки!$I$212,),0),N307/(1+IFERROR(INDEX(N$10:N$11,Предпосылки!$I$213,),0))*IFERROR(INDEX(N$10:N$11,Предпосылки!$I$213,),0),N330/(1+IFERROR(INDEX(N$10:N$11,Предпосылки!$I$214,),0))*IFERROR(INDEX(N$10:N$11,Предпосылки!$I$214,),0),N353/(1+IFERROR(INDEX(N$10:N$11,Предпосылки!$I$215,),0))*IFERROR(INDEX(N$10:N$11,Предпосылки!$I$215,),0),N376/(1+IFERROR(INDEX(N$10:N$11,Предпосылки!$I$216,),0))*IFERROR(INDEX(N$10:N$11,Предпосылки!$I$216,),0),N399/(1+IFERROR(INDEX(N$10:N$11,Предпосылки!$I$217,),0))*IFERROR(INDEX(N$10:N$11,Предпосылки!$I$217,),0),N422/(1+IFERROR(INDEX(N$10:N$11,Предпосылки!$I$218,),0))*IFERROR(INDEX(N$10:N$11,Предпосылки!$I$218,),0),N445/(1+IFERROR(INDEX(N$10:N$11,Предпосылки!$I$219,),0))*IFERROR(INDEX(N$10:N$11,Предпосылки!$I$219,),0),N468/(1+IFERROR(INDEX(N$10:N$11,Предпосылки!$I$220,),0))*IFERROR(INDEX(N$10:N$11,Предпосылки!$I$220,),0))</f>
        <v>0</v>
      </c>
      <c s="125">
        <f>SUM(O31/(1+IFERROR(INDEX(O$10:O$11,Предпосылки!$I$201,),0))*IFERROR(INDEX(O$10:O$11,Предпосылки!$I$201,),0),O54/(1+IFERROR(INDEX(O$10:O$11,Предпосылки!$I$202,),0))*IFERROR(INDEX(O$10:O$11,Предпосылки!$I$202,),0),O77/(1+IFERROR(INDEX(O$10:O$11,Предпосылки!$I$203,),0))*IFERROR(INDEX(O$10:O$11,Предпосылки!$I$203,),0),O100/(1+IFERROR(INDEX(O$10:O$11,Предпосылки!$I$204,),0))*IFERROR(INDEX(O$10:O$11,Предпосылки!$I$204,),0),O123/(1+IFERROR(INDEX(O$10:O$11,Предпосылки!$I$205,),0))*IFERROR(INDEX(O$10:O$11,Предпосылки!$I$205,),0),O146/(1+IFERROR(INDEX(O$10:O$11,Предпосылки!$I$206,),0))*IFERROR(INDEX(O$10:O$11,Предпосылки!$I$206,),0),O169/(1+IFERROR(INDEX(O$10:O$11,Предпосылки!$I$207,),0))*IFERROR(INDEX(O$10:O$11,Предпосылки!$I$207,),0),O192/(1+IFERROR(INDEX(O$10:O$11,Предпосылки!$I$208,),0))*IFERROR(INDEX(O$10:O$11,Предпосылки!$I$208,),0),O215/(1+IFERROR(INDEX(O$10:O$11,Предпосылки!$I$209,),0))*IFERROR(INDEX(O$10:O$11,Предпосылки!$I$209,),0),O238/(1+IFERROR(INDEX(O$10:O$11,Предпосылки!$I$210,),0))*IFERROR(INDEX(O$10:O$11,Предпосылки!$I$210,),0),O261/(1+IFERROR(INDEX(O$10:O$11,Предпосылки!$I$211,),0))*IFERROR(INDEX(O$10:O$11,Предпосылки!$I$211,),0),O284/(1+IFERROR(INDEX(O$10:O$11,Предпосылки!$I$212,),0))*IFERROR(INDEX(O$10:O$11,Предпосылки!$I$212,),0),O307/(1+IFERROR(INDEX(O$10:O$11,Предпосылки!$I$213,),0))*IFERROR(INDEX(O$10:O$11,Предпосылки!$I$213,),0),O330/(1+IFERROR(INDEX(O$10:O$11,Предпосылки!$I$214,),0))*IFERROR(INDEX(O$10:O$11,Предпосылки!$I$214,),0),O353/(1+IFERROR(INDEX(O$10:O$11,Предпосылки!$I$215,),0))*IFERROR(INDEX(O$10:O$11,Предпосылки!$I$215,),0),O376/(1+IFERROR(INDEX(O$10:O$11,Предпосылки!$I$216,),0))*IFERROR(INDEX(O$10:O$11,Предпосылки!$I$216,),0),O399/(1+IFERROR(INDEX(O$10:O$11,Предпосылки!$I$217,),0))*IFERROR(INDEX(O$10:O$11,Предпосылки!$I$217,),0),O422/(1+IFERROR(INDEX(O$10:O$11,Предпосылки!$I$218,),0))*IFERROR(INDEX(O$10:O$11,Предпосылки!$I$218,),0),O445/(1+IFERROR(INDEX(O$10:O$11,Предпосылки!$I$219,),0))*IFERROR(INDEX(O$10:O$11,Предпосылки!$I$219,),0),O468/(1+IFERROR(INDEX(O$10:O$11,Предпосылки!$I$220,),0))*IFERROR(INDEX(O$10:O$11,Предпосылки!$I$220,),0))</f>
        <v>0</v>
      </c>
      <c s="125">
        <f>SUM(P31/(1+IFERROR(INDEX(P$10:P$11,Предпосылки!$I$201,),0))*IFERROR(INDEX(P$10:P$11,Предпосылки!$I$201,),0),P54/(1+IFERROR(INDEX(P$10:P$11,Предпосылки!$I$202,),0))*IFERROR(INDEX(P$10:P$11,Предпосылки!$I$202,),0),P77/(1+IFERROR(INDEX(P$10:P$11,Предпосылки!$I$203,),0))*IFERROR(INDEX(P$10:P$11,Предпосылки!$I$203,),0),P100/(1+IFERROR(INDEX(P$10:P$11,Предпосылки!$I$204,),0))*IFERROR(INDEX(P$10:P$11,Предпосылки!$I$204,),0),P123/(1+IFERROR(INDEX(P$10:P$11,Предпосылки!$I$205,),0))*IFERROR(INDEX(P$10:P$11,Предпосылки!$I$205,),0),P146/(1+IFERROR(INDEX(P$10:P$11,Предпосылки!$I$206,),0))*IFERROR(INDEX(P$10:P$11,Предпосылки!$I$206,),0),P169/(1+IFERROR(INDEX(P$10:P$11,Предпосылки!$I$207,),0))*IFERROR(INDEX(P$10:P$11,Предпосылки!$I$207,),0),P192/(1+IFERROR(INDEX(P$10:P$11,Предпосылки!$I$208,),0))*IFERROR(INDEX(P$10:P$11,Предпосылки!$I$208,),0),P215/(1+IFERROR(INDEX(P$10:P$11,Предпосылки!$I$209,),0))*IFERROR(INDEX(P$10:P$11,Предпосылки!$I$209,),0),P238/(1+IFERROR(INDEX(P$10:P$11,Предпосылки!$I$210,),0))*IFERROR(INDEX(P$10:P$11,Предпосылки!$I$210,),0),P261/(1+IFERROR(INDEX(P$10:P$11,Предпосылки!$I$211,),0))*IFERROR(INDEX(P$10:P$11,Предпосылки!$I$211,),0),P284/(1+IFERROR(INDEX(P$10:P$11,Предпосылки!$I$212,),0))*IFERROR(INDEX(P$10:P$11,Предпосылки!$I$212,),0),P307/(1+IFERROR(INDEX(P$10:P$11,Предпосылки!$I$213,),0))*IFERROR(INDEX(P$10:P$11,Предпосылки!$I$213,),0),P330/(1+IFERROR(INDEX(P$10:P$11,Предпосылки!$I$214,),0))*IFERROR(INDEX(P$10:P$11,Предпосылки!$I$214,),0),P353/(1+IFERROR(INDEX(P$10:P$11,Предпосылки!$I$215,),0))*IFERROR(INDEX(P$10:P$11,Предпосылки!$I$215,),0),P376/(1+IFERROR(INDEX(P$10:P$11,Предпосылки!$I$216,),0))*IFERROR(INDEX(P$10:P$11,Предпосылки!$I$216,),0),P399/(1+IFERROR(INDEX(P$10:P$11,Предпосылки!$I$217,),0))*IFERROR(INDEX(P$10:P$11,Предпосылки!$I$217,),0),P422/(1+IFERROR(INDEX(P$10:P$11,Предпосылки!$I$218,),0))*IFERROR(INDEX(P$10:P$11,Предпосылки!$I$218,),0),P445/(1+IFERROR(INDEX(P$10:P$11,Предпосылки!$I$219,),0))*IFERROR(INDEX(P$10:P$11,Предпосылки!$I$219,),0),P468/(1+IFERROR(INDEX(P$10:P$11,Предпосылки!$I$220,),0))*IFERROR(INDEX(P$10:P$11,Предпосылки!$I$220,),0))</f>
        <v>0</v>
      </c>
      <c s="125">
        <f>SUM(Q31/(1+IFERROR(INDEX(Q$10:Q$11,Предпосылки!$I$201,),0))*IFERROR(INDEX(Q$10:Q$11,Предпосылки!$I$201,),0),Q54/(1+IFERROR(INDEX(Q$10:Q$11,Предпосылки!$I$202,),0))*IFERROR(INDEX(Q$10:Q$11,Предпосылки!$I$202,),0),Q77/(1+IFERROR(INDEX(Q$10:Q$11,Предпосылки!$I$203,),0))*IFERROR(INDEX(Q$10:Q$11,Предпосылки!$I$203,),0),Q100/(1+IFERROR(INDEX(Q$10:Q$11,Предпосылки!$I$204,),0))*IFERROR(INDEX(Q$10:Q$11,Предпосылки!$I$204,),0),Q123/(1+IFERROR(INDEX(Q$10:Q$11,Предпосылки!$I$205,),0))*IFERROR(INDEX(Q$10:Q$11,Предпосылки!$I$205,),0),Q146/(1+IFERROR(INDEX(Q$10:Q$11,Предпосылки!$I$206,),0))*IFERROR(INDEX(Q$10:Q$11,Предпосылки!$I$206,),0),Q169/(1+IFERROR(INDEX(Q$10:Q$11,Предпосылки!$I$207,),0))*IFERROR(INDEX(Q$10:Q$11,Предпосылки!$I$207,),0),Q192/(1+IFERROR(INDEX(Q$10:Q$11,Предпосылки!$I$208,),0))*IFERROR(INDEX(Q$10:Q$11,Предпосылки!$I$208,),0),Q215/(1+IFERROR(INDEX(Q$10:Q$11,Предпосылки!$I$209,),0))*IFERROR(INDEX(Q$10:Q$11,Предпосылки!$I$209,),0),Q238/(1+IFERROR(INDEX(Q$10:Q$11,Предпосылки!$I$210,),0))*IFERROR(INDEX(Q$10:Q$11,Предпосылки!$I$210,),0),Q261/(1+IFERROR(INDEX(Q$10:Q$11,Предпосылки!$I$211,),0))*IFERROR(INDEX(Q$10:Q$11,Предпосылки!$I$211,),0),Q284/(1+IFERROR(INDEX(Q$10:Q$11,Предпосылки!$I$212,),0))*IFERROR(INDEX(Q$10:Q$11,Предпосылки!$I$212,),0),Q307/(1+IFERROR(INDEX(Q$10:Q$11,Предпосылки!$I$213,),0))*IFERROR(INDEX(Q$10:Q$11,Предпосылки!$I$213,),0),Q330/(1+IFERROR(INDEX(Q$10:Q$11,Предпосылки!$I$214,),0))*IFERROR(INDEX(Q$10:Q$11,Предпосылки!$I$214,),0),Q353/(1+IFERROR(INDEX(Q$10:Q$11,Предпосылки!$I$215,),0))*IFERROR(INDEX(Q$10:Q$11,Предпосылки!$I$215,),0),Q376/(1+IFERROR(INDEX(Q$10:Q$11,Предпосылки!$I$216,),0))*IFERROR(INDEX(Q$10:Q$11,Предпосылки!$I$216,),0),Q399/(1+IFERROR(INDEX(Q$10:Q$11,Предпосылки!$I$217,),0))*IFERROR(INDEX(Q$10:Q$11,Предпосылки!$I$217,),0),Q422/(1+IFERROR(INDEX(Q$10:Q$11,Предпосылки!$I$218,),0))*IFERROR(INDEX(Q$10:Q$11,Предпосылки!$I$218,),0),Q445/(1+IFERROR(INDEX(Q$10:Q$11,Предпосылки!$I$219,),0))*IFERROR(INDEX(Q$10:Q$11,Предпосылки!$I$219,),0),Q468/(1+IFERROR(INDEX(Q$10:Q$11,Предпосылки!$I$220,),0))*IFERROR(INDEX(Q$10:Q$11,Предпосылки!$I$220,),0))</f>
        <v>0</v>
      </c>
      <c s="125">
        <f>SUM(R31/(1+IFERROR(INDEX(R$10:R$11,Предпосылки!$I$201,),0))*IFERROR(INDEX(R$10:R$11,Предпосылки!$I$201,),0),R54/(1+IFERROR(INDEX(R$10:R$11,Предпосылки!$I$202,),0))*IFERROR(INDEX(R$10:R$11,Предпосылки!$I$202,),0),R77/(1+IFERROR(INDEX(R$10:R$11,Предпосылки!$I$203,),0))*IFERROR(INDEX(R$10:R$11,Предпосылки!$I$203,),0),R100/(1+IFERROR(INDEX(R$10:R$11,Предпосылки!$I$204,),0))*IFERROR(INDEX(R$10:R$11,Предпосылки!$I$204,),0),R123/(1+IFERROR(INDEX(R$10:R$11,Предпосылки!$I$205,),0))*IFERROR(INDEX(R$10:R$11,Предпосылки!$I$205,),0),R146/(1+IFERROR(INDEX(R$10:R$11,Предпосылки!$I$206,),0))*IFERROR(INDEX(R$10:R$11,Предпосылки!$I$206,),0),R169/(1+IFERROR(INDEX(R$10:R$11,Предпосылки!$I$207,),0))*IFERROR(INDEX(R$10:R$11,Предпосылки!$I$207,),0),R192/(1+IFERROR(INDEX(R$10:R$11,Предпосылки!$I$208,),0))*IFERROR(INDEX(R$10:R$11,Предпосылки!$I$208,),0),R215/(1+IFERROR(INDEX(R$10:R$11,Предпосылки!$I$209,),0))*IFERROR(INDEX(R$10:R$11,Предпосылки!$I$209,),0),R238/(1+IFERROR(INDEX(R$10:R$11,Предпосылки!$I$210,),0))*IFERROR(INDEX(R$10:R$11,Предпосылки!$I$210,),0),R261/(1+IFERROR(INDEX(R$10:R$11,Предпосылки!$I$211,),0))*IFERROR(INDEX(R$10:R$11,Предпосылки!$I$211,),0),R284/(1+IFERROR(INDEX(R$10:R$11,Предпосылки!$I$212,),0))*IFERROR(INDEX(R$10:R$11,Предпосылки!$I$212,),0),R307/(1+IFERROR(INDEX(R$10:R$11,Предпосылки!$I$213,),0))*IFERROR(INDEX(R$10:R$11,Предпосылки!$I$213,),0),R330/(1+IFERROR(INDEX(R$10:R$11,Предпосылки!$I$214,),0))*IFERROR(INDEX(R$10:R$11,Предпосылки!$I$214,),0),R353/(1+IFERROR(INDEX(R$10:R$11,Предпосылки!$I$215,),0))*IFERROR(INDEX(R$10:R$11,Предпосылки!$I$215,),0),R376/(1+IFERROR(INDEX(R$10:R$11,Предпосылки!$I$216,),0))*IFERROR(INDEX(R$10:R$11,Предпосылки!$I$216,),0),R399/(1+IFERROR(INDEX(R$10:R$11,Предпосылки!$I$217,),0))*IFERROR(INDEX(R$10:R$11,Предпосылки!$I$217,),0),R422/(1+IFERROR(INDEX(R$10:R$11,Предпосылки!$I$218,),0))*IFERROR(INDEX(R$10:R$11,Предпосылки!$I$218,),0),R445/(1+IFERROR(INDEX(R$10:R$11,Предпосылки!$I$219,),0))*IFERROR(INDEX(R$10:R$11,Предпосылки!$I$219,),0),R468/(1+IFERROR(INDEX(R$10:R$11,Предпосылки!$I$220,),0))*IFERROR(INDEX(R$10:R$11,Предпосылки!$I$220,),0))</f>
        <v>0</v>
      </c>
      <c s="125">
        <f>SUM(S31/(1+IFERROR(INDEX(S$10:S$11,Предпосылки!$I$201,),0))*IFERROR(INDEX(S$10:S$11,Предпосылки!$I$201,),0),S54/(1+IFERROR(INDEX(S$10:S$11,Предпосылки!$I$202,),0))*IFERROR(INDEX(S$10:S$11,Предпосылки!$I$202,),0),S77/(1+IFERROR(INDEX(S$10:S$11,Предпосылки!$I$203,),0))*IFERROR(INDEX(S$10:S$11,Предпосылки!$I$203,),0),S100/(1+IFERROR(INDEX(S$10:S$11,Предпосылки!$I$204,),0))*IFERROR(INDEX(S$10:S$11,Предпосылки!$I$204,),0),S123/(1+IFERROR(INDEX(S$10:S$11,Предпосылки!$I$205,),0))*IFERROR(INDEX(S$10:S$11,Предпосылки!$I$205,),0),S146/(1+IFERROR(INDEX(S$10:S$11,Предпосылки!$I$206,),0))*IFERROR(INDEX(S$10:S$11,Предпосылки!$I$206,),0),S169/(1+IFERROR(INDEX(S$10:S$11,Предпосылки!$I$207,),0))*IFERROR(INDEX(S$10:S$11,Предпосылки!$I$207,),0),S192/(1+IFERROR(INDEX(S$10:S$11,Предпосылки!$I$208,),0))*IFERROR(INDEX(S$10:S$11,Предпосылки!$I$208,),0),S215/(1+IFERROR(INDEX(S$10:S$11,Предпосылки!$I$209,),0))*IFERROR(INDEX(S$10:S$11,Предпосылки!$I$209,),0),S238/(1+IFERROR(INDEX(S$10:S$11,Предпосылки!$I$210,),0))*IFERROR(INDEX(S$10:S$11,Предпосылки!$I$210,),0),S261/(1+IFERROR(INDEX(S$10:S$11,Предпосылки!$I$211,),0))*IFERROR(INDEX(S$10:S$11,Предпосылки!$I$211,),0),S284/(1+IFERROR(INDEX(S$10:S$11,Предпосылки!$I$212,),0))*IFERROR(INDEX(S$10:S$11,Предпосылки!$I$212,),0),S307/(1+IFERROR(INDEX(S$10:S$11,Предпосылки!$I$213,),0))*IFERROR(INDEX(S$10:S$11,Предпосылки!$I$213,),0),S330/(1+IFERROR(INDEX(S$10:S$11,Предпосылки!$I$214,),0))*IFERROR(INDEX(S$10:S$11,Предпосылки!$I$214,),0),S353/(1+IFERROR(INDEX(S$10:S$11,Предпосылки!$I$215,),0))*IFERROR(INDEX(S$10:S$11,Предпосылки!$I$215,),0),S376/(1+IFERROR(INDEX(S$10:S$11,Предпосылки!$I$216,),0))*IFERROR(INDEX(S$10:S$11,Предпосылки!$I$216,),0),S399/(1+IFERROR(INDEX(S$10:S$11,Предпосылки!$I$217,),0))*IFERROR(INDEX(S$10:S$11,Предпосылки!$I$217,),0),S422/(1+IFERROR(INDEX(S$10:S$11,Предпосылки!$I$218,),0))*IFERROR(INDEX(S$10:S$11,Предпосылки!$I$218,),0),S445/(1+IFERROR(INDEX(S$10:S$11,Предпосылки!$I$219,),0))*IFERROR(INDEX(S$10:S$11,Предпосылки!$I$219,),0),S468/(1+IFERROR(INDEX(S$10:S$11,Предпосылки!$I$220,),0))*IFERROR(INDEX(S$10:S$11,Предпосылки!$I$220,),0))</f>
        <v>0</v>
      </c>
      <c s="125">
        <f>SUM(T31/(1+IFERROR(INDEX(T$10:T$11,Предпосылки!$I$201,),0))*IFERROR(INDEX(T$10:T$11,Предпосылки!$I$201,),0),T54/(1+IFERROR(INDEX(T$10:T$11,Предпосылки!$I$202,),0))*IFERROR(INDEX(T$10:T$11,Предпосылки!$I$202,),0),T77/(1+IFERROR(INDEX(T$10:T$11,Предпосылки!$I$203,),0))*IFERROR(INDEX(T$10:T$11,Предпосылки!$I$203,),0),T100/(1+IFERROR(INDEX(T$10:T$11,Предпосылки!$I$204,),0))*IFERROR(INDEX(T$10:T$11,Предпосылки!$I$204,),0),T123/(1+IFERROR(INDEX(T$10:T$11,Предпосылки!$I$205,),0))*IFERROR(INDEX(T$10:T$11,Предпосылки!$I$205,),0),T146/(1+IFERROR(INDEX(T$10:T$11,Предпосылки!$I$206,),0))*IFERROR(INDEX(T$10:T$11,Предпосылки!$I$206,),0),T169/(1+IFERROR(INDEX(T$10:T$11,Предпосылки!$I$207,),0))*IFERROR(INDEX(T$10:T$11,Предпосылки!$I$207,),0),T192/(1+IFERROR(INDEX(T$10:T$11,Предпосылки!$I$208,),0))*IFERROR(INDEX(T$10:T$11,Предпосылки!$I$208,),0),T215/(1+IFERROR(INDEX(T$10:T$11,Предпосылки!$I$209,),0))*IFERROR(INDEX(T$10:T$11,Предпосылки!$I$209,),0),T238/(1+IFERROR(INDEX(T$10:T$11,Предпосылки!$I$210,),0))*IFERROR(INDEX(T$10:T$11,Предпосылки!$I$210,),0),T261/(1+IFERROR(INDEX(T$10:T$11,Предпосылки!$I$211,),0))*IFERROR(INDEX(T$10:T$11,Предпосылки!$I$211,),0),T284/(1+IFERROR(INDEX(T$10:T$11,Предпосылки!$I$212,),0))*IFERROR(INDEX(T$10:T$11,Предпосылки!$I$212,),0),T307/(1+IFERROR(INDEX(T$10:T$11,Предпосылки!$I$213,),0))*IFERROR(INDEX(T$10:T$11,Предпосылки!$I$213,),0),T330/(1+IFERROR(INDEX(T$10:T$11,Предпосылки!$I$214,),0))*IFERROR(INDEX(T$10:T$11,Предпосылки!$I$214,),0),T353/(1+IFERROR(INDEX(T$10:T$11,Предпосылки!$I$215,),0))*IFERROR(INDEX(T$10:T$11,Предпосылки!$I$215,),0),T376/(1+IFERROR(INDEX(T$10:T$11,Предпосылки!$I$216,),0))*IFERROR(INDEX(T$10:T$11,Предпосылки!$I$216,),0),T399/(1+IFERROR(INDEX(T$10:T$11,Предпосылки!$I$217,),0))*IFERROR(INDEX(T$10:T$11,Предпосылки!$I$217,),0),T422/(1+IFERROR(INDEX(T$10:T$11,Предпосылки!$I$218,),0))*IFERROR(INDEX(T$10:T$11,Предпосылки!$I$218,),0),T445/(1+IFERROR(INDEX(T$10:T$11,Предпосылки!$I$219,),0))*IFERROR(INDEX(T$10:T$11,Предпосылки!$I$219,),0),T468/(1+IFERROR(INDEX(T$10:T$11,Предпосылки!$I$220,),0))*IFERROR(INDEX(T$10:T$11,Предпосылки!$I$220,),0))</f>
        <v>0</v>
      </c>
      <c s="125">
        <f>SUM(U31/(1+IFERROR(INDEX(U$10:U$11,Предпосылки!$I$201,),0))*IFERROR(INDEX(U$10:U$11,Предпосылки!$I$201,),0),U54/(1+IFERROR(INDEX(U$10:U$11,Предпосылки!$I$202,),0))*IFERROR(INDEX(U$10:U$11,Предпосылки!$I$202,),0),U77/(1+IFERROR(INDEX(U$10:U$11,Предпосылки!$I$203,),0))*IFERROR(INDEX(U$10:U$11,Предпосылки!$I$203,),0),U100/(1+IFERROR(INDEX(U$10:U$11,Предпосылки!$I$204,),0))*IFERROR(INDEX(U$10:U$11,Предпосылки!$I$204,),0),U123/(1+IFERROR(INDEX(U$10:U$11,Предпосылки!$I$205,),0))*IFERROR(INDEX(U$10:U$11,Предпосылки!$I$205,),0),U146/(1+IFERROR(INDEX(U$10:U$11,Предпосылки!$I$206,),0))*IFERROR(INDEX(U$10:U$11,Предпосылки!$I$206,),0),U169/(1+IFERROR(INDEX(U$10:U$11,Предпосылки!$I$207,),0))*IFERROR(INDEX(U$10:U$11,Предпосылки!$I$207,),0),U192/(1+IFERROR(INDEX(U$10:U$11,Предпосылки!$I$208,),0))*IFERROR(INDEX(U$10:U$11,Предпосылки!$I$208,),0),U215/(1+IFERROR(INDEX(U$10:U$11,Предпосылки!$I$209,),0))*IFERROR(INDEX(U$10:U$11,Предпосылки!$I$209,),0),U238/(1+IFERROR(INDEX(U$10:U$11,Предпосылки!$I$210,),0))*IFERROR(INDEX(U$10:U$11,Предпосылки!$I$210,),0),U261/(1+IFERROR(INDEX(U$10:U$11,Предпосылки!$I$211,),0))*IFERROR(INDEX(U$10:U$11,Предпосылки!$I$211,),0),U284/(1+IFERROR(INDEX(U$10:U$11,Предпосылки!$I$212,),0))*IFERROR(INDEX(U$10:U$11,Предпосылки!$I$212,),0),U307/(1+IFERROR(INDEX(U$10:U$11,Предпосылки!$I$213,),0))*IFERROR(INDEX(U$10:U$11,Предпосылки!$I$213,),0),U330/(1+IFERROR(INDEX(U$10:U$11,Предпосылки!$I$214,),0))*IFERROR(INDEX(U$10:U$11,Предпосылки!$I$214,),0),U353/(1+IFERROR(INDEX(U$10:U$11,Предпосылки!$I$215,),0))*IFERROR(INDEX(U$10:U$11,Предпосылки!$I$215,),0),U376/(1+IFERROR(INDEX(U$10:U$11,Предпосылки!$I$216,),0))*IFERROR(INDEX(U$10:U$11,Предпосылки!$I$216,),0),U399/(1+IFERROR(INDEX(U$10:U$11,Предпосылки!$I$217,),0))*IFERROR(INDEX(U$10:U$11,Предпосылки!$I$217,),0),U422/(1+IFERROR(INDEX(U$10:U$11,Предпосылки!$I$218,),0))*IFERROR(INDEX(U$10:U$11,Предпосылки!$I$218,),0),U445/(1+IFERROR(INDEX(U$10:U$11,Предпосылки!$I$219,),0))*IFERROR(INDEX(U$10:U$11,Предпосылки!$I$219,),0),U468/(1+IFERROR(INDEX(U$10:U$11,Предпосылки!$I$220,),0))*IFERROR(INDEX(U$10:U$11,Предпосылки!$I$220,),0))</f>
        <v>0</v>
      </c>
      <c s="125">
        <f>SUM(V31/(1+IFERROR(INDEX(V$10:V$11,Предпосылки!$I$201,),0))*IFERROR(INDEX(V$10:V$11,Предпосылки!$I$201,),0),V54/(1+IFERROR(INDEX(V$10:V$11,Предпосылки!$I$202,),0))*IFERROR(INDEX(V$10:V$11,Предпосылки!$I$202,),0),V77/(1+IFERROR(INDEX(V$10:V$11,Предпосылки!$I$203,),0))*IFERROR(INDEX(V$10:V$11,Предпосылки!$I$203,),0),V100/(1+IFERROR(INDEX(V$10:V$11,Предпосылки!$I$204,),0))*IFERROR(INDEX(V$10:V$11,Предпосылки!$I$204,),0),V123/(1+IFERROR(INDEX(V$10:V$11,Предпосылки!$I$205,),0))*IFERROR(INDEX(V$10:V$11,Предпосылки!$I$205,),0),V146/(1+IFERROR(INDEX(V$10:V$11,Предпосылки!$I$206,),0))*IFERROR(INDEX(V$10:V$11,Предпосылки!$I$206,),0),V169/(1+IFERROR(INDEX(V$10:V$11,Предпосылки!$I$207,),0))*IFERROR(INDEX(V$10:V$11,Предпосылки!$I$207,),0),V192/(1+IFERROR(INDEX(V$10:V$11,Предпосылки!$I$208,),0))*IFERROR(INDEX(V$10:V$11,Предпосылки!$I$208,),0),V215/(1+IFERROR(INDEX(V$10:V$11,Предпосылки!$I$209,),0))*IFERROR(INDEX(V$10:V$11,Предпосылки!$I$209,),0),V238/(1+IFERROR(INDEX(V$10:V$11,Предпосылки!$I$210,),0))*IFERROR(INDEX(V$10:V$11,Предпосылки!$I$210,),0),V261/(1+IFERROR(INDEX(V$10:V$11,Предпосылки!$I$211,),0))*IFERROR(INDEX(V$10:V$11,Предпосылки!$I$211,),0),V284/(1+IFERROR(INDEX(V$10:V$11,Предпосылки!$I$212,),0))*IFERROR(INDEX(V$10:V$11,Предпосылки!$I$212,),0),V307/(1+IFERROR(INDEX(V$10:V$11,Предпосылки!$I$213,),0))*IFERROR(INDEX(V$10:V$11,Предпосылки!$I$213,),0),V330/(1+IFERROR(INDEX(V$10:V$11,Предпосылки!$I$214,),0))*IFERROR(INDEX(V$10:V$11,Предпосылки!$I$214,),0),V353/(1+IFERROR(INDEX(V$10:V$11,Предпосылки!$I$215,),0))*IFERROR(INDEX(V$10:V$11,Предпосылки!$I$215,),0),V376/(1+IFERROR(INDEX(V$10:V$11,Предпосылки!$I$216,),0))*IFERROR(INDEX(V$10:V$11,Предпосылки!$I$216,),0),V399/(1+IFERROR(INDEX(V$10:V$11,Предпосылки!$I$217,),0))*IFERROR(INDEX(V$10:V$11,Предпосылки!$I$217,),0),V422/(1+IFERROR(INDEX(V$10:V$11,Предпосылки!$I$218,),0))*IFERROR(INDEX(V$10:V$11,Предпосылки!$I$218,),0),V445/(1+IFERROR(INDEX(V$10:V$11,Предпосылки!$I$219,),0))*IFERROR(INDEX(V$10:V$11,Предпосылки!$I$219,),0),V468/(1+IFERROR(INDEX(V$10:V$11,Предпосылки!$I$220,),0))*IFERROR(INDEX(V$10:V$11,Предпосылки!$I$220,),0))</f>
        <v>0</v>
      </c>
      <c s="125">
        <f>SUM(W31/(1+IFERROR(INDEX(W$10:W$11,Предпосылки!$I$201,),0))*IFERROR(INDEX(W$10:W$11,Предпосылки!$I$201,),0),W54/(1+IFERROR(INDEX(W$10:W$11,Предпосылки!$I$202,),0))*IFERROR(INDEX(W$10:W$11,Предпосылки!$I$202,),0),W77/(1+IFERROR(INDEX(W$10:W$11,Предпосылки!$I$203,),0))*IFERROR(INDEX(W$10:W$11,Предпосылки!$I$203,),0),W100/(1+IFERROR(INDEX(W$10:W$11,Предпосылки!$I$204,),0))*IFERROR(INDEX(W$10:W$11,Предпосылки!$I$204,),0),W123/(1+IFERROR(INDEX(W$10:W$11,Предпосылки!$I$205,),0))*IFERROR(INDEX(W$10:W$11,Предпосылки!$I$205,),0),W146/(1+IFERROR(INDEX(W$10:W$11,Предпосылки!$I$206,),0))*IFERROR(INDEX(W$10:W$11,Предпосылки!$I$206,),0),W169/(1+IFERROR(INDEX(W$10:W$11,Предпосылки!$I$207,),0))*IFERROR(INDEX(W$10:W$11,Предпосылки!$I$207,),0),W192/(1+IFERROR(INDEX(W$10:W$11,Предпосылки!$I$208,),0))*IFERROR(INDEX(W$10:W$11,Предпосылки!$I$208,),0),W215/(1+IFERROR(INDEX(W$10:W$11,Предпосылки!$I$209,),0))*IFERROR(INDEX(W$10:W$11,Предпосылки!$I$209,),0),W238/(1+IFERROR(INDEX(W$10:W$11,Предпосылки!$I$210,),0))*IFERROR(INDEX(W$10:W$11,Предпосылки!$I$210,),0),W261/(1+IFERROR(INDEX(W$10:W$11,Предпосылки!$I$211,),0))*IFERROR(INDEX(W$10:W$11,Предпосылки!$I$211,),0),W284/(1+IFERROR(INDEX(W$10:W$11,Предпосылки!$I$212,),0))*IFERROR(INDEX(W$10:W$11,Предпосылки!$I$212,),0),W307/(1+IFERROR(INDEX(W$10:W$11,Предпосылки!$I$213,),0))*IFERROR(INDEX(W$10:W$11,Предпосылки!$I$213,),0),W330/(1+IFERROR(INDEX(W$10:W$11,Предпосылки!$I$214,),0))*IFERROR(INDEX(W$10:W$11,Предпосылки!$I$214,),0),W353/(1+IFERROR(INDEX(W$10:W$11,Предпосылки!$I$215,),0))*IFERROR(INDEX(W$10:W$11,Предпосылки!$I$215,),0),W376/(1+IFERROR(INDEX(W$10:W$11,Предпосылки!$I$216,),0))*IFERROR(INDEX(W$10:W$11,Предпосылки!$I$216,),0),W399/(1+IFERROR(INDEX(W$10:W$11,Предпосылки!$I$217,),0))*IFERROR(INDEX(W$10:W$11,Предпосылки!$I$217,),0),W422/(1+IFERROR(INDEX(W$10:W$11,Предпосылки!$I$218,),0))*IFERROR(INDEX(W$10:W$11,Предпосылки!$I$218,),0),W445/(1+IFERROR(INDEX(W$10:W$11,Предпосылки!$I$219,),0))*IFERROR(INDEX(W$10:W$11,Предпосылки!$I$219,),0),W468/(1+IFERROR(INDEX(W$10:W$11,Предпосылки!$I$220,),0))*IFERROR(INDEX(W$10:W$11,Предпосылки!$I$220,),0))</f>
        <v>0</v>
      </c>
      <c s="125">
        <f>SUM(X31/(1+IFERROR(INDEX(X$10:X$11,Предпосылки!$I$201,),0))*IFERROR(INDEX(X$10:X$11,Предпосылки!$I$201,),0),X54/(1+IFERROR(INDEX(X$10:X$11,Предпосылки!$I$202,),0))*IFERROR(INDEX(X$10:X$11,Предпосылки!$I$202,),0),X77/(1+IFERROR(INDEX(X$10:X$11,Предпосылки!$I$203,),0))*IFERROR(INDEX(X$10:X$11,Предпосылки!$I$203,),0),X100/(1+IFERROR(INDEX(X$10:X$11,Предпосылки!$I$204,),0))*IFERROR(INDEX(X$10:X$11,Предпосылки!$I$204,),0),X123/(1+IFERROR(INDEX(X$10:X$11,Предпосылки!$I$205,),0))*IFERROR(INDEX(X$10:X$11,Предпосылки!$I$205,),0),X146/(1+IFERROR(INDEX(X$10:X$11,Предпосылки!$I$206,),0))*IFERROR(INDEX(X$10:X$11,Предпосылки!$I$206,),0),X169/(1+IFERROR(INDEX(X$10:X$11,Предпосылки!$I$207,),0))*IFERROR(INDEX(X$10:X$11,Предпосылки!$I$207,),0),X192/(1+IFERROR(INDEX(X$10:X$11,Предпосылки!$I$208,),0))*IFERROR(INDEX(X$10:X$11,Предпосылки!$I$208,),0),X215/(1+IFERROR(INDEX(X$10:X$11,Предпосылки!$I$209,),0))*IFERROR(INDEX(X$10:X$11,Предпосылки!$I$209,),0),X238/(1+IFERROR(INDEX(X$10:X$11,Предпосылки!$I$210,),0))*IFERROR(INDEX(X$10:X$11,Предпосылки!$I$210,),0),X261/(1+IFERROR(INDEX(X$10:X$11,Предпосылки!$I$211,),0))*IFERROR(INDEX(X$10:X$11,Предпосылки!$I$211,),0),X284/(1+IFERROR(INDEX(X$10:X$11,Предпосылки!$I$212,),0))*IFERROR(INDEX(X$10:X$11,Предпосылки!$I$212,),0),X307/(1+IFERROR(INDEX(X$10:X$11,Предпосылки!$I$213,),0))*IFERROR(INDEX(X$10:X$11,Предпосылки!$I$213,),0),X330/(1+IFERROR(INDEX(X$10:X$11,Предпосылки!$I$214,),0))*IFERROR(INDEX(X$10:X$11,Предпосылки!$I$214,),0),X353/(1+IFERROR(INDEX(X$10:X$11,Предпосылки!$I$215,),0))*IFERROR(INDEX(X$10:X$11,Предпосылки!$I$215,),0),X376/(1+IFERROR(INDEX(X$10:X$11,Предпосылки!$I$216,),0))*IFERROR(INDEX(X$10:X$11,Предпосылки!$I$216,),0),X399/(1+IFERROR(INDEX(X$10:X$11,Предпосылки!$I$217,),0))*IFERROR(INDEX(X$10:X$11,Предпосылки!$I$217,),0),X422/(1+IFERROR(INDEX(X$10:X$11,Предпосылки!$I$218,),0))*IFERROR(INDEX(X$10:X$11,Предпосылки!$I$218,),0),X445/(1+IFERROR(INDEX(X$10:X$11,Предпосылки!$I$219,),0))*IFERROR(INDEX(X$10:X$11,Предпосылки!$I$219,),0),X468/(1+IFERROR(INDEX(X$10:X$11,Предпосылки!$I$220,),0))*IFERROR(INDEX(X$10:X$11,Предпосылки!$I$220,),0))</f>
        <v>0</v>
      </c>
      <c s="125">
        <f>SUM(Y31/(1+IFERROR(INDEX(Y$10:Y$11,Предпосылки!$I$201,),0))*IFERROR(INDEX(Y$10:Y$11,Предпосылки!$I$201,),0),Y54/(1+IFERROR(INDEX(Y$10:Y$11,Предпосылки!$I$202,),0))*IFERROR(INDEX(Y$10:Y$11,Предпосылки!$I$202,),0),Y77/(1+IFERROR(INDEX(Y$10:Y$11,Предпосылки!$I$203,),0))*IFERROR(INDEX(Y$10:Y$11,Предпосылки!$I$203,),0),Y100/(1+IFERROR(INDEX(Y$10:Y$11,Предпосылки!$I$204,),0))*IFERROR(INDEX(Y$10:Y$11,Предпосылки!$I$204,),0),Y123/(1+IFERROR(INDEX(Y$10:Y$11,Предпосылки!$I$205,),0))*IFERROR(INDEX(Y$10:Y$11,Предпосылки!$I$205,),0),Y146/(1+IFERROR(INDEX(Y$10:Y$11,Предпосылки!$I$206,),0))*IFERROR(INDEX(Y$10:Y$11,Предпосылки!$I$206,),0),Y169/(1+IFERROR(INDEX(Y$10:Y$11,Предпосылки!$I$207,),0))*IFERROR(INDEX(Y$10:Y$11,Предпосылки!$I$207,),0),Y192/(1+IFERROR(INDEX(Y$10:Y$11,Предпосылки!$I$208,),0))*IFERROR(INDEX(Y$10:Y$11,Предпосылки!$I$208,),0),Y215/(1+IFERROR(INDEX(Y$10:Y$11,Предпосылки!$I$209,),0))*IFERROR(INDEX(Y$10:Y$11,Предпосылки!$I$209,),0),Y238/(1+IFERROR(INDEX(Y$10:Y$11,Предпосылки!$I$210,),0))*IFERROR(INDEX(Y$10:Y$11,Предпосылки!$I$210,),0),Y261/(1+IFERROR(INDEX(Y$10:Y$11,Предпосылки!$I$211,),0))*IFERROR(INDEX(Y$10:Y$11,Предпосылки!$I$211,),0),Y284/(1+IFERROR(INDEX(Y$10:Y$11,Предпосылки!$I$212,),0))*IFERROR(INDEX(Y$10:Y$11,Предпосылки!$I$212,),0),Y307/(1+IFERROR(INDEX(Y$10:Y$11,Предпосылки!$I$213,),0))*IFERROR(INDEX(Y$10:Y$11,Предпосылки!$I$213,),0),Y330/(1+IFERROR(INDEX(Y$10:Y$11,Предпосылки!$I$214,),0))*IFERROR(INDEX(Y$10:Y$11,Предпосылки!$I$214,),0),Y353/(1+IFERROR(INDEX(Y$10:Y$11,Предпосылки!$I$215,),0))*IFERROR(INDEX(Y$10:Y$11,Предпосылки!$I$215,),0),Y376/(1+IFERROR(INDEX(Y$10:Y$11,Предпосылки!$I$216,),0))*IFERROR(INDEX(Y$10:Y$11,Предпосылки!$I$216,),0),Y399/(1+IFERROR(INDEX(Y$10:Y$11,Предпосылки!$I$217,),0))*IFERROR(INDEX(Y$10:Y$11,Предпосылки!$I$217,),0),Y422/(1+IFERROR(INDEX(Y$10:Y$11,Предпосылки!$I$218,),0))*IFERROR(INDEX(Y$10:Y$11,Предпосылки!$I$218,),0),Y445/(1+IFERROR(INDEX(Y$10:Y$11,Предпосылки!$I$219,),0))*IFERROR(INDEX(Y$10:Y$11,Предпосылки!$I$219,),0),Y468/(1+IFERROR(INDEX(Y$10:Y$11,Предпосылки!$I$220,),0))*IFERROR(INDEX(Y$10:Y$11,Предпосылки!$I$220,),0))</f>
        <v>0</v>
      </c>
      <c s="125">
        <f>SUM(Z31/(1+IFERROR(INDEX(Z$10:Z$11,Предпосылки!$I$201,),0))*IFERROR(INDEX(Z$10:Z$11,Предпосылки!$I$201,),0),Z54/(1+IFERROR(INDEX(Z$10:Z$11,Предпосылки!$I$202,),0))*IFERROR(INDEX(Z$10:Z$11,Предпосылки!$I$202,),0),Z77/(1+IFERROR(INDEX(Z$10:Z$11,Предпосылки!$I$203,),0))*IFERROR(INDEX(Z$10:Z$11,Предпосылки!$I$203,),0),Z100/(1+IFERROR(INDEX(Z$10:Z$11,Предпосылки!$I$204,),0))*IFERROR(INDEX(Z$10:Z$11,Предпосылки!$I$204,),0),Z123/(1+IFERROR(INDEX(Z$10:Z$11,Предпосылки!$I$205,),0))*IFERROR(INDEX(Z$10:Z$11,Предпосылки!$I$205,),0),Z146/(1+IFERROR(INDEX(Z$10:Z$11,Предпосылки!$I$206,),0))*IFERROR(INDEX(Z$10:Z$11,Предпосылки!$I$206,),0),Z169/(1+IFERROR(INDEX(Z$10:Z$11,Предпосылки!$I$207,),0))*IFERROR(INDEX(Z$10:Z$11,Предпосылки!$I$207,),0),Z192/(1+IFERROR(INDEX(Z$10:Z$11,Предпосылки!$I$208,),0))*IFERROR(INDEX(Z$10:Z$11,Предпосылки!$I$208,),0),Z215/(1+IFERROR(INDEX(Z$10:Z$11,Предпосылки!$I$209,),0))*IFERROR(INDEX(Z$10:Z$11,Предпосылки!$I$209,),0),Z238/(1+IFERROR(INDEX(Z$10:Z$11,Предпосылки!$I$210,),0))*IFERROR(INDEX(Z$10:Z$11,Предпосылки!$I$210,),0),Z261/(1+IFERROR(INDEX(Z$10:Z$11,Предпосылки!$I$211,),0))*IFERROR(INDEX(Z$10:Z$11,Предпосылки!$I$211,),0),Z284/(1+IFERROR(INDEX(Z$10:Z$11,Предпосылки!$I$212,),0))*IFERROR(INDEX(Z$10:Z$11,Предпосылки!$I$212,),0),Z307/(1+IFERROR(INDEX(Z$10:Z$11,Предпосылки!$I$213,),0))*IFERROR(INDEX(Z$10:Z$11,Предпосылки!$I$213,),0),Z330/(1+IFERROR(INDEX(Z$10:Z$11,Предпосылки!$I$214,),0))*IFERROR(INDEX(Z$10:Z$11,Предпосылки!$I$214,),0),Z353/(1+IFERROR(INDEX(Z$10:Z$11,Предпосылки!$I$215,),0))*IFERROR(INDEX(Z$10:Z$11,Предпосылки!$I$215,),0),Z376/(1+IFERROR(INDEX(Z$10:Z$11,Предпосылки!$I$216,),0))*IFERROR(INDEX(Z$10:Z$11,Предпосылки!$I$216,),0),Z399/(1+IFERROR(INDEX(Z$10:Z$11,Предпосылки!$I$217,),0))*IFERROR(INDEX(Z$10:Z$11,Предпосылки!$I$217,),0),Z422/(1+IFERROR(INDEX(Z$10:Z$11,Предпосылки!$I$218,),0))*IFERROR(INDEX(Z$10:Z$11,Предпосылки!$I$218,),0),Z445/(1+IFERROR(INDEX(Z$10:Z$11,Предпосылки!$I$219,),0))*IFERROR(INDEX(Z$10:Z$11,Предпосылки!$I$219,),0),Z468/(1+IFERROR(INDEX(Z$10:Z$11,Предпосылки!$I$220,),0))*IFERROR(INDEX(Z$10:Z$11,Предпосылки!$I$220,),0))</f>
        <v>0</v>
      </c>
      <c s="125">
        <f>SUM(AA31/(1+IFERROR(INDEX(AA$10:AA$11,Предпосылки!$I$201,),0))*IFERROR(INDEX(AA$10:AA$11,Предпосылки!$I$201,),0),AA54/(1+IFERROR(INDEX(AA$10:AA$11,Предпосылки!$I$202,),0))*IFERROR(INDEX(AA$10:AA$11,Предпосылки!$I$202,),0),AA77/(1+IFERROR(INDEX(AA$10:AA$11,Предпосылки!$I$203,),0))*IFERROR(INDEX(AA$10:AA$11,Предпосылки!$I$203,),0),AA100/(1+IFERROR(INDEX(AA$10:AA$11,Предпосылки!$I$204,),0))*IFERROR(INDEX(AA$10:AA$11,Предпосылки!$I$204,),0),AA123/(1+IFERROR(INDEX(AA$10:AA$11,Предпосылки!$I$205,),0))*IFERROR(INDEX(AA$10:AA$11,Предпосылки!$I$205,),0),AA146/(1+IFERROR(INDEX(AA$10:AA$11,Предпосылки!$I$206,),0))*IFERROR(INDEX(AA$10:AA$11,Предпосылки!$I$206,),0),AA169/(1+IFERROR(INDEX(AA$10:AA$11,Предпосылки!$I$207,),0))*IFERROR(INDEX(AA$10:AA$11,Предпосылки!$I$207,),0),AA192/(1+IFERROR(INDEX(AA$10:AA$11,Предпосылки!$I$208,),0))*IFERROR(INDEX(AA$10:AA$11,Предпосылки!$I$208,),0),AA215/(1+IFERROR(INDEX(AA$10:AA$11,Предпосылки!$I$209,),0))*IFERROR(INDEX(AA$10:AA$11,Предпосылки!$I$209,),0),AA238/(1+IFERROR(INDEX(AA$10:AA$11,Предпосылки!$I$210,),0))*IFERROR(INDEX(AA$10:AA$11,Предпосылки!$I$210,),0),AA261/(1+IFERROR(INDEX(AA$10:AA$11,Предпосылки!$I$211,),0))*IFERROR(INDEX(AA$10:AA$11,Предпосылки!$I$211,),0),AA284/(1+IFERROR(INDEX(AA$10:AA$11,Предпосылки!$I$212,),0))*IFERROR(INDEX(AA$10:AA$11,Предпосылки!$I$212,),0),AA307/(1+IFERROR(INDEX(AA$10:AA$11,Предпосылки!$I$213,),0))*IFERROR(INDEX(AA$10:AA$11,Предпосылки!$I$213,),0),AA330/(1+IFERROR(INDEX(AA$10:AA$11,Предпосылки!$I$214,),0))*IFERROR(INDEX(AA$10:AA$11,Предпосылки!$I$214,),0),AA353/(1+IFERROR(INDEX(AA$10:AA$11,Предпосылки!$I$215,),0))*IFERROR(INDEX(AA$10:AA$11,Предпосылки!$I$215,),0),AA376/(1+IFERROR(INDEX(AA$10:AA$11,Предпосылки!$I$216,),0))*IFERROR(INDEX(AA$10:AA$11,Предпосылки!$I$216,),0),AA399/(1+IFERROR(INDEX(AA$10:AA$11,Предпосылки!$I$217,),0))*IFERROR(INDEX(AA$10:AA$11,Предпосылки!$I$217,),0),AA422/(1+IFERROR(INDEX(AA$10:AA$11,Предпосылки!$I$218,),0))*IFERROR(INDEX(AA$10:AA$11,Предпосылки!$I$218,),0),AA445/(1+IFERROR(INDEX(AA$10:AA$11,Предпосылки!$I$219,),0))*IFERROR(INDEX(AA$10:AA$11,Предпосылки!$I$219,),0),AA468/(1+IFERROR(INDEX(AA$10:AA$11,Предпосылки!$I$220,),0))*IFERROR(INDEX(AA$10:AA$11,Предпосылки!$I$220,),0))</f>
        <v>0</v>
      </c>
      <c s="125">
        <f>SUM(AB31/(1+IFERROR(INDEX(AB$10:AB$11,Предпосылки!$I$201,),0))*IFERROR(INDEX(AB$10:AB$11,Предпосылки!$I$201,),0),AB54/(1+IFERROR(INDEX(AB$10:AB$11,Предпосылки!$I$202,),0))*IFERROR(INDEX(AB$10:AB$11,Предпосылки!$I$202,),0),AB77/(1+IFERROR(INDEX(AB$10:AB$11,Предпосылки!$I$203,),0))*IFERROR(INDEX(AB$10:AB$11,Предпосылки!$I$203,),0),AB100/(1+IFERROR(INDEX(AB$10:AB$11,Предпосылки!$I$204,),0))*IFERROR(INDEX(AB$10:AB$11,Предпосылки!$I$204,),0),AB123/(1+IFERROR(INDEX(AB$10:AB$11,Предпосылки!$I$205,),0))*IFERROR(INDEX(AB$10:AB$11,Предпосылки!$I$205,),0),AB146/(1+IFERROR(INDEX(AB$10:AB$11,Предпосылки!$I$206,),0))*IFERROR(INDEX(AB$10:AB$11,Предпосылки!$I$206,),0),AB169/(1+IFERROR(INDEX(AB$10:AB$11,Предпосылки!$I$207,),0))*IFERROR(INDEX(AB$10:AB$11,Предпосылки!$I$207,),0),AB192/(1+IFERROR(INDEX(AB$10:AB$11,Предпосылки!$I$208,),0))*IFERROR(INDEX(AB$10:AB$11,Предпосылки!$I$208,),0),AB215/(1+IFERROR(INDEX(AB$10:AB$11,Предпосылки!$I$209,),0))*IFERROR(INDEX(AB$10:AB$11,Предпосылки!$I$209,),0),AB238/(1+IFERROR(INDEX(AB$10:AB$11,Предпосылки!$I$210,),0))*IFERROR(INDEX(AB$10:AB$11,Предпосылки!$I$210,),0),AB261/(1+IFERROR(INDEX(AB$10:AB$11,Предпосылки!$I$211,),0))*IFERROR(INDEX(AB$10:AB$11,Предпосылки!$I$211,),0),AB284/(1+IFERROR(INDEX(AB$10:AB$11,Предпосылки!$I$212,),0))*IFERROR(INDEX(AB$10:AB$11,Предпосылки!$I$212,),0),AB307/(1+IFERROR(INDEX(AB$10:AB$11,Предпосылки!$I$213,),0))*IFERROR(INDEX(AB$10:AB$11,Предпосылки!$I$213,),0),AB330/(1+IFERROR(INDEX(AB$10:AB$11,Предпосылки!$I$214,),0))*IFERROR(INDEX(AB$10:AB$11,Предпосылки!$I$214,),0),AB353/(1+IFERROR(INDEX(AB$10:AB$11,Предпосылки!$I$215,),0))*IFERROR(INDEX(AB$10:AB$11,Предпосылки!$I$215,),0),AB376/(1+IFERROR(INDEX(AB$10:AB$11,Предпосылки!$I$216,),0))*IFERROR(INDEX(AB$10:AB$11,Предпосылки!$I$216,),0),AB399/(1+IFERROR(INDEX(AB$10:AB$11,Предпосылки!$I$217,),0))*IFERROR(INDEX(AB$10:AB$11,Предпосылки!$I$217,),0),AB422/(1+IFERROR(INDEX(AB$10:AB$11,Предпосылки!$I$218,),0))*IFERROR(INDEX(AB$10:AB$11,Предпосылки!$I$218,),0),AB445/(1+IFERROR(INDEX(AB$10:AB$11,Предпосылки!$I$219,),0))*IFERROR(INDEX(AB$10:AB$11,Предпосылки!$I$219,),0),AB468/(1+IFERROR(INDEX(AB$10:AB$11,Предпосылки!$I$220,),0))*IFERROR(INDEX(AB$10:AB$11,Предпосылки!$I$220,),0))</f>
        <v>0</v>
      </c>
      <c s="125">
        <f>SUM(AC31/(1+IFERROR(INDEX(AC$10:AC$11,Предпосылки!$I$201,),0))*IFERROR(INDEX(AC$10:AC$11,Предпосылки!$I$201,),0),AC54/(1+IFERROR(INDEX(AC$10:AC$11,Предпосылки!$I$202,),0))*IFERROR(INDEX(AC$10:AC$11,Предпосылки!$I$202,),0),AC77/(1+IFERROR(INDEX(AC$10:AC$11,Предпосылки!$I$203,),0))*IFERROR(INDEX(AC$10:AC$11,Предпосылки!$I$203,),0),AC100/(1+IFERROR(INDEX(AC$10:AC$11,Предпосылки!$I$204,),0))*IFERROR(INDEX(AC$10:AC$11,Предпосылки!$I$204,),0),AC123/(1+IFERROR(INDEX(AC$10:AC$11,Предпосылки!$I$205,),0))*IFERROR(INDEX(AC$10:AC$11,Предпосылки!$I$205,),0),AC146/(1+IFERROR(INDEX(AC$10:AC$11,Предпосылки!$I$206,),0))*IFERROR(INDEX(AC$10:AC$11,Предпосылки!$I$206,),0),AC169/(1+IFERROR(INDEX(AC$10:AC$11,Предпосылки!$I$207,),0))*IFERROR(INDEX(AC$10:AC$11,Предпосылки!$I$207,),0),AC192/(1+IFERROR(INDEX(AC$10:AC$11,Предпосылки!$I$208,),0))*IFERROR(INDEX(AC$10:AC$11,Предпосылки!$I$208,),0),AC215/(1+IFERROR(INDEX(AC$10:AC$11,Предпосылки!$I$209,),0))*IFERROR(INDEX(AC$10:AC$11,Предпосылки!$I$209,),0),AC238/(1+IFERROR(INDEX(AC$10:AC$11,Предпосылки!$I$210,),0))*IFERROR(INDEX(AC$10:AC$11,Предпосылки!$I$210,),0),AC261/(1+IFERROR(INDEX(AC$10:AC$11,Предпосылки!$I$211,),0))*IFERROR(INDEX(AC$10:AC$11,Предпосылки!$I$211,),0),AC284/(1+IFERROR(INDEX(AC$10:AC$11,Предпосылки!$I$212,),0))*IFERROR(INDEX(AC$10:AC$11,Предпосылки!$I$212,),0),AC307/(1+IFERROR(INDEX(AC$10:AC$11,Предпосылки!$I$213,),0))*IFERROR(INDEX(AC$10:AC$11,Предпосылки!$I$213,),0),AC330/(1+IFERROR(INDEX(AC$10:AC$11,Предпосылки!$I$214,),0))*IFERROR(INDEX(AC$10:AC$11,Предпосылки!$I$214,),0),AC353/(1+IFERROR(INDEX(AC$10:AC$11,Предпосылки!$I$215,),0))*IFERROR(INDEX(AC$10:AC$11,Предпосылки!$I$215,),0),AC376/(1+IFERROR(INDEX(AC$10:AC$11,Предпосылки!$I$216,),0))*IFERROR(INDEX(AC$10:AC$11,Предпосылки!$I$216,),0),AC399/(1+IFERROR(INDEX(AC$10:AC$11,Предпосылки!$I$217,),0))*IFERROR(INDEX(AC$10:AC$11,Предпосылки!$I$217,),0),AC422/(1+IFERROR(INDEX(AC$10:AC$11,Предпосылки!$I$218,),0))*IFERROR(INDEX(AC$10:AC$11,Предпосылки!$I$218,),0),AC445/(1+IFERROR(INDEX(AC$10:AC$11,Предпосылки!$I$219,),0))*IFERROR(INDEX(AC$10:AC$11,Предпосылки!$I$219,),0),AC468/(1+IFERROR(INDEX(AC$10:AC$11,Предпосылки!$I$220,),0))*IFERROR(INDEX(AC$10:AC$11,Предпосылки!$I$220,),0))</f>
        <v>0</v>
      </c>
      <c s="125">
        <f>SUM(AD31/(1+IFERROR(INDEX(AD$10:AD$11,Предпосылки!$I$201,),0))*IFERROR(INDEX(AD$10:AD$11,Предпосылки!$I$201,),0),AD54/(1+IFERROR(INDEX(AD$10:AD$11,Предпосылки!$I$202,),0))*IFERROR(INDEX(AD$10:AD$11,Предпосылки!$I$202,),0),AD77/(1+IFERROR(INDEX(AD$10:AD$11,Предпосылки!$I$203,),0))*IFERROR(INDEX(AD$10:AD$11,Предпосылки!$I$203,),0),AD100/(1+IFERROR(INDEX(AD$10:AD$11,Предпосылки!$I$204,),0))*IFERROR(INDEX(AD$10:AD$11,Предпосылки!$I$204,),0),AD123/(1+IFERROR(INDEX(AD$10:AD$11,Предпосылки!$I$205,),0))*IFERROR(INDEX(AD$10:AD$11,Предпосылки!$I$205,),0),AD146/(1+IFERROR(INDEX(AD$10:AD$11,Предпосылки!$I$206,),0))*IFERROR(INDEX(AD$10:AD$11,Предпосылки!$I$206,),0),AD169/(1+IFERROR(INDEX(AD$10:AD$11,Предпосылки!$I$207,),0))*IFERROR(INDEX(AD$10:AD$11,Предпосылки!$I$207,),0),AD192/(1+IFERROR(INDEX(AD$10:AD$11,Предпосылки!$I$208,),0))*IFERROR(INDEX(AD$10:AD$11,Предпосылки!$I$208,),0),AD215/(1+IFERROR(INDEX(AD$10:AD$11,Предпосылки!$I$209,),0))*IFERROR(INDEX(AD$10:AD$11,Предпосылки!$I$209,),0),AD238/(1+IFERROR(INDEX(AD$10:AD$11,Предпосылки!$I$210,),0))*IFERROR(INDEX(AD$10:AD$11,Предпосылки!$I$210,),0),AD261/(1+IFERROR(INDEX(AD$10:AD$11,Предпосылки!$I$211,),0))*IFERROR(INDEX(AD$10:AD$11,Предпосылки!$I$211,),0),AD284/(1+IFERROR(INDEX(AD$10:AD$11,Предпосылки!$I$212,),0))*IFERROR(INDEX(AD$10:AD$11,Предпосылки!$I$212,),0),AD307/(1+IFERROR(INDEX(AD$10:AD$11,Предпосылки!$I$213,),0))*IFERROR(INDEX(AD$10:AD$11,Предпосылки!$I$213,),0),AD330/(1+IFERROR(INDEX(AD$10:AD$11,Предпосылки!$I$214,),0))*IFERROR(INDEX(AD$10:AD$11,Предпосылки!$I$214,),0),AD353/(1+IFERROR(INDEX(AD$10:AD$11,Предпосылки!$I$215,),0))*IFERROR(INDEX(AD$10:AD$11,Предпосылки!$I$215,),0),AD376/(1+IFERROR(INDEX(AD$10:AD$11,Предпосылки!$I$216,),0))*IFERROR(INDEX(AD$10:AD$11,Предпосылки!$I$216,),0),AD399/(1+IFERROR(INDEX(AD$10:AD$11,Предпосылки!$I$217,),0))*IFERROR(INDEX(AD$10:AD$11,Предпосылки!$I$217,),0),AD422/(1+IFERROR(INDEX(AD$10:AD$11,Предпосылки!$I$218,),0))*IFERROR(INDEX(AD$10:AD$11,Предпосылки!$I$218,),0),AD445/(1+IFERROR(INDEX(AD$10:AD$11,Предпосылки!$I$219,),0))*IFERROR(INDEX(AD$10:AD$11,Предпосылки!$I$219,),0),AD468/(1+IFERROR(INDEX(AD$10:AD$11,Предпосылки!$I$220,),0))*IFERROR(INDEX(AD$10:AD$11,Предпосылки!$I$220,),0))</f>
        <v>0</v>
      </c>
      <c s="125">
        <f>SUM(AE31/(1+IFERROR(INDEX(AE$10:AE$11,Предпосылки!$I$201,),0))*IFERROR(INDEX(AE$10:AE$11,Предпосылки!$I$201,),0),AE54/(1+IFERROR(INDEX(AE$10:AE$11,Предпосылки!$I$202,),0))*IFERROR(INDEX(AE$10:AE$11,Предпосылки!$I$202,),0),AE77/(1+IFERROR(INDEX(AE$10:AE$11,Предпосылки!$I$203,),0))*IFERROR(INDEX(AE$10:AE$11,Предпосылки!$I$203,),0),AE100/(1+IFERROR(INDEX(AE$10:AE$11,Предпосылки!$I$204,),0))*IFERROR(INDEX(AE$10:AE$11,Предпосылки!$I$204,),0),AE123/(1+IFERROR(INDEX(AE$10:AE$11,Предпосылки!$I$205,),0))*IFERROR(INDEX(AE$10:AE$11,Предпосылки!$I$205,),0),AE146/(1+IFERROR(INDEX(AE$10:AE$11,Предпосылки!$I$206,),0))*IFERROR(INDEX(AE$10:AE$11,Предпосылки!$I$206,),0),AE169/(1+IFERROR(INDEX(AE$10:AE$11,Предпосылки!$I$207,),0))*IFERROR(INDEX(AE$10:AE$11,Предпосылки!$I$207,),0),AE192/(1+IFERROR(INDEX(AE$10:AE$11,Предпосылки!$I$208,),0))*IFERROR(INDEX(AE$10:AE$11,Предпосылки!$I$208,),0),AE215/(1+IFERROR(INDEX(AE$10:AE$11,Предпосылки!$I$209,),0))*IFERROR(INDEX(AE$10:AE$11,Предпосылки!$I$209,),0),AE238/(1+IFERROR(INDEX(AE$10:AE$11,Предпосылки!$I$210,),0))*IFERROR(INDEX(AE$10:AE$11,Предпосылки!$I$210,),0),AE261/(1+IFERROR(INDEX(AE$10:AE$11,Предпосылки!$I$211,),0))*IFERROR(INDEX(AE$10:AE$11,Предпосылки!$I$211,),0),AE284/(1+IFERROR(INDEX(AE$10:AE$11,Предпосылки!$I$212,),0))*IFERROR(INDEX(AE$10:AE$11,Предпосылки!$I$212,),0),AE307/(1+IFERROR(INDEX(AE$10:AE$11,Предпосылки!$I$213,),0))*IFERROR(INDEX(AE$10:AE$11,Предпосылки!$I$213,),0),AE330/(1+IFERROR(INDEX(AE$10:AE$11,Предпосылки!$I$214,),0))*IFERROR(INDEX(AE$10:AE$11,Предпосылки!$I$214,),0),AE353/(1+IFERROR(INDEX(AE$10:AE$11,Предпосылки!$I$215,),0))*IFERROR(INDEX(AE$10:AE$11,Предпосылки!$I$215,),0),AE376/(1+IFERROR(INDEX(AE$10:AE$11,Предпосылки!$I$216,),0))*IFERROR(INDEX(AE$10:AE$11,Предпосылки!$I$216,),0),AE399/(1+IFERROR(INDEX(AE$10:AE$11,Предпосылки!$I$217,),0))*IFERROR(INDEX(AE$10:AE$11,Предпосылки!$I$217,),0),AE422/(1+IFERROR(INDEX(AE$10:AE$11,Предпосылки!$I$218,),0))*IFERROR(INDEX(AE$10:AE$11,Предпосылки!$I$218,),0),AE445/(1+IFERROR(INDEX(AE$10:AE$11,Предпосылки!$I$219,),0))*IFERROR(INDEX(AE$10:AE$11,Предпосылки!$I$219,),0),AE468/(1+IFERROR(INDEX(AE$10:AE$11,Предпосылки!$I$220,),0))*IFERROR(INDEX(AE$10:AE$11,Предпосылки!$I$220,),0))</f>
        <v>0</v>
      </c>
      <c s="125">
        <f>SUM(AF31/(1+IFERROR(INDEX(AF$10:AF$11,Предпосылки!$I$201,),0))*IFERROR(INDEX(AF$10:AF$11,Предпосылки!$I$201,),0),AF54/(1+IFERROR(INDEX(AF$10:AF$11,Предпосылки!$I$202,),0))*IFERROR(INDEX(AF$10:AF$11,Предпосылки!$I$202,),0),AF77/(1+IFERROR(INDEX(AF$10:AF$11,Предпосылки!$I$203,),0))*IFERROR(INDEX(AF$10:AF$11,Предпосылки!$I$203,),0),AF100/(1+IFERROR(INDEX(AF$10:AF$11,Предпосылки!$I$204,),0))*IFERROR(INDEX(AF$10:AF$11,Предпосылки!$I$204,),0),AF123/(1+IFERROR(INDEX(AF$10:AF$11,Предпосылки!$I$205,),0))*IFERROR(INDEX(AF$10:AF$11,Предпосылки!$I$205,),0),AF146/(1+IFERROR(INDEX(AF$10:AF$11,Предпосылки!$I$206,),0))*IFERROR(INDEX(AF$10:AF$11,Предпосылки!$I$206,),0),AF169/(1+IFERROR(INDEX(AF$10:AF$11,Предпосылки!$I$207,),0))*IFERROR(INDEX(AF$10:AF$11,Предпосылки!$I$207,),0),AF192/(1+IFERROR(INDEX(AF$10:AF$11,Предпосылки!$I$208,),0))*IFERROR(INDEX(AF$10:AF$11,Предпосылки!$I$208,),0),AF215/(1+IFERROR(INDEX(AF$10:AF$11,Предпосылки!$I$209,),0))*IFERROR(INDEX(AF$10:AF$11,Предпосылки!$I$209,),0),AF238/(1+IFERROR(INDEX(AF$10:AF$11,Предпосылки!$I$210,),0))*IFERROR(INDEX(AF$10:AF$11,Предпосылки!$I$210,),0),AF261/(1+IFERROR(INDEX(AF$10:AF$11,Предпосылки!$I$211,),0))*IFERROR(INDEX(AF$10:AF$11,Предпосылки!$I$211,),0),AF284/(1+IFERROR(INDEX(AF$10:AF$11,Предпосылки!$I$212,),0))*IFERROR(INDEX(AF$10:AF$11,Предпосылки!$I$212,),0),AF307/(1+IFERROR(INDEX(AF$10:AF$11,Предпосылки!$I$213,),0))*IFERROR(INDEX(AF$10:AF$11,Предпосылки!$I$213,),0),AF330/(1+IFERROR(INDEX(AF$10:AF$11,Предпосылки!$I$214,),0))*IFERROR(INDEX(AF$10:AF$11,Предпосылки!$I$214,),0),AF353/(1+IFERROR(INDEX(AF$10:AF$11,Предпосылки!$I$215,),0))*IFERROR(INDEX(AF$10:AF$11,Предпосылки!$I$215,),0),AF376/(1+IFERROR(INDEX(AF$10:AF$11,Предпосылки!$I$216,),0))*IFERROR(INDEX(AF$10:AF$11,Предпосылки!$I$216,),0),AF399/(1+IFERROR(INDEX(AF$10:AF$11,Предпосылки!$I$217,),0))*IFERROR(INDEX(AF$10:AF$11,Предпосылки!$I$217,),0),AF422/(1+IFERROR(INDEX(AF$10:AF$11,Предпосылки!$I$218,),0))*IFERROR(INDEX(AF$10:AF$11,Предпосылки!$I$218,),0),AF445/(1+IFERROR(INDEX(AF$10:AF$11,Предпосылки!$I$219,),0))*IFERROR(INDEX(AF$10:AF$11,Предпосылки!$I$219,),0),AF468/(1+IFERROR(INDEX(AF$10:AF$11,Предпосылки!$I$220,),0))*IFERROR(INDEX(AF$10:AF$11,Предпосылки!$I$220,),0))</f>
        <v>0</v>
      </c>
      <c s="125">
        <f>SUM(AG31/(1+IFERROR(INDEX(AG$10:AG$11,Предпосылки!$I$201,),0))*IFERROR(INDEX(AG$10:AG$11,Предпосылки!$I$201,),0),AG54/(1+IFERROR(INDEX(AG$10:AG$11,Предпосылки!$I$202,),0))*IFERROR(INDEX(AG$10:AG$11,Предпосылки!$I$202,),0),AG77/(1+IFERROR(INDEX(AG$10:AG$11,Предпосылки!$I$203,),0))*IFERROR(INDEX(AG$10:AG$11,Предпосылки!$I$203,),0),AG100/(1+IFERROR(INDEX(AG$10:AG$11,Предпосылки!$I$204,),0))*IFERROR(INDEX(AG$10:AG$11,Предпосылки!$I$204,),0),AG123/(1+IFERROR(INDEX(AG$10:AG$11,Предпосылки!$I$205,),0))*IFERROR(INDEX(AG$10:AG$11,Предпосылки!$I$205,),0),AG146/(1+IFERROR(INDEX(AG$10:AG$11,Предпосылки!$I$206,),0))*IFERROR(INDEX(AG$10:AG$11,Предпосылки!$I$206,),0),AG169/(1+IFERROR(INDEX(AG$10:AG$11,Предпосылки!$I$207,),0))*IFERROR(INDEX(AG$10:AG$11,Предпосылки!$I$207,),0),AG192/(1+IFERROR(INDEX(AG$10:AG$11,Предпосылки!$I$208,),0))*IFERROR(INDEX(AG$10:AG$11,Предпосылки!$I$208,),0),AG215/(1+IFERROR(INDEX(AG$10:AG$11,Предпосылки!$I$209,),0))*IFERROR(INDEX(AG$10:AG$11,Предпосылки!$I$209,),0),AG238/(1+IFERROR(INDEX(AG$10:AG$11,Предпосылки!$I$210,),0))*IFERROR(INDEX(AG$10:AG$11,Предпосылки!$I$210,),0),AG261/(1+IFERROR(INDEX(AG$10:AG$11,Предпосылки!$I$211,),0))*IFERROR(INDEX(AG$10:AG$11,Предпосылки!$I$211,),0),AG284/(1+IFERROR(INDEX(AG$10:AG$11,Предпосылки!$I$212,),0))*IFERROR(INDEX(AG$10:AG$11,Предпосылки!$I$212,),0),AG307/(1+IFERROR(INDEX(AG$10:AG$11,Предпосылки!$I$213,),0))*IFERROR(INDEX(AG$10:AG$11,Предпосылки!$I$213,),0),AG330/(1+IFERROR(INDEX(AG$10:AG$11,Предпосылки!$I$214,),0))*IFERROR(INDEX(AG$10:AG$11,Предпосылки!$I$214,),0),AG353/(1+IFERROR(INDEX(AG$10:AG$11,Предпосылки!$I$215,),0))*IFERROR(INDEX(AG$10:AG$11,Предпосылки!$I$215,),0),AG376/(1+IFERROR(INDEX(AG$10:AG$11,Предпосылки!$I$216,),0))*IFERROR(INDEX(AG$10:AG$11,Предпосылки!$I$216,),0),AG399/(1+IFERROR(INDEX(AG$10:AG$11,Предпосылки!$I$217,),0))*IFERROR(INDEX(AG$10:AG$11,Предпосылки!$I$217,),0),AG422/(1+IFERROR(INDEX(AG$10:AG$11,Предпосылки!$I$218,),0))*IFERROR(INDEX(AG$10:AG$11,Предпосылки!$I$218,),0),AG445/(1+IFERROR(INDEX(AG$10:AG$11,Предпосылки!$I$219,),0))*IFERROR(INDEX(AG$10:AG$11,Предпосылки!$I$219,),0),AG468/(1+IFERROR(INDEX(AG$10:AG$11,Предпосылки!$I$220,),0))*IFERROR(INDEX(AG$10:AG$11,Предпосылки!$I$220,),0))</f>
        <v>0</v>
      </c>
      <c s="125">
        <f>SUM(AH31/(1+IFERROR(INDEX(AH$10:AH$11,Предпосылки!$I$201,),0))*IFERROR(INDEX(AH$10:AH$11,Предпосылки!$I$201,),0),AH54/(1+IFERROR(INDEX(AH$10:AH$11,Предпосылки!$I$202,),0))*IFERROR(INDEX(AH$10:AH$11,Предпосылки!$I$202,),0),AH77/(1+IFERROR(INDEX(AH$10:AH$11,Предпосылки!$I$203,),0))*IFERROR(INDEX(AH$10:AH$11,Предпосылки!$I$203,),0),AH100/(1+IFERROR(INDEX(AH$10:AH$11,Предпосылки!$I$204,),0))*IFERROR(INDEX(AH$10:AH$11,Предпосылки!$I$204,),0),AH123/(1+IFERROR(INDEX(AH$10:AH$11,Предпосылки!$I$205,),0))*IFERROR(INDEX(AH$10:AH$11,Предпосылки!$I$205,),0),AH146/(1+IFERROR(INDEX(AH$10:AH$11,Предпосылки!$I$206,),0))*IFERROR(INDEX(AH$10:AH$11,Предпосылки!$I$206,),0),AH169/(1+IFERROR(INDEX(AH$10:AH$11,Предпосылки!$I$207,),0))*IFERROR(INDEX(AH$10:AH$11,Предпосылки!$I$207,),0),AH192/(1+IFERROR(INDEX(AH$10:AH$11,Предпосылки!$I$208,),0))*IFERROR(INDEX(AH$10:AH$11,Предпосылки!$I$208,),0),AH215/(1+IFERROR(INDEX(AH$10:AH$11,Предпосылки!$I$209,),0))*IFERROR(INDEX(AH$10:AH$11,Предпосылки!$I$209,),0),AH238/(1+IFERROR(INDEX(AH$10:AH$11,Предпосылки!$I$210,),0))*IFERROR(INDEX(AH$10:AH$11,Предпосылки!$I$210,),0),AH261/(1+IFERROR(INDEX(AH$10:AH$11,Предпосылки!$I$211,),0))*IFERROR(INDEX(AH$10:AH$11,Предпосылки!$I$211,),0),AH284/(1+IFERROR(INDEX(AH$10:AH$11,Предпосылки!$I$212,),0))*IFERROR(INDEX(AH$10:AH$11,Предпосылки!$I$212,),0),AH307/(1+IFERROR(INDEX(AH$10:AH$11,Предпосылки!$I$213,),0))*IFERROR(INDEX(AH$10:AH$11,Предпосылки!$I$213,),0),AH330/(1+IFERROR(INDEX(AH$10:AH$11,Предпосылки!$I$214,),0))*IFERROR(INDEX(AH$10:AH$11,Предпосылки!$I$214,),0),AH353/(1+IFERROR(INDEX(AH$10:AH$11,Предпосылки!$I$215,),0))*IFERROR(INDEX(AH$10:AH$11,Предпосылки!$I$215,),0),AH376/(1+IFERROR(INDEX(AH$10:AH$11,Предпосылки!$I$216,),0))*IFERROR(INDEX(AH$10:AH$11,Предпосылки!$I$216,),0),AH399/(1+IFERROR(INDEX(AH$10:AH$11,Предпосылки!$I$217,),0))*IFERROR(INDEX(AH$10:AH$11,Предпосылки!$I$217,),0),AH422/(1+IFERROR(INDEX(AH$10:AH$11,Предпосылки!$I$218,),0))*IFERROR(INDEX(AH$10:AH$11,Предпосылки!$I$218,),0),AH445/(1+IFERROR(INDEX(AH$10:AH$11,Предпосылки!$I$219,),0))*IFERROR(INDEX(AH$10:AH$11,Предпосылки!$I$219,),0),AH468/(1+IFERROR(INDEX(AH$10:AH$11,Предпосылки!$I$220,),0))*IFERROR(INDEX(AH$10:AH$11,Предпосылки!$I$220,),0))</f>
        <v>0</v>
      </c>
      <c s="125">
        <f>SUM(AI31/(1+IFERROR(INDEX(AI$10:AI$11,Предпосылки!$I$201,),0))*IFERROR(INDEX(AI$10:AI$11,Предпосылки!$I$201,),0),AI54/(1+IFERROR(INDEX(AI$10:AI$11,Предпосылки!$I$202,),0))*IFERROR(INDEX(AI$10:AI$11,Предпосылки!$I$202,),0),AI77/(1+IFERROR(INDEX(AI$10:AI$11,Предпосылки!$I$203,),0))*IFERROR(INDEX(AI$10:AI$11,Предпосылки!$I$203,),0),AI100/(1+IFERROR(INDEX(AI$10:AI$11,Предпосылки!$I$204,),0))*IFERROR(INDEX(AI$10:AI$11,Предпосылки!$I$204,),0),AI123/(1+IFERROR(INDEX(AI$10:AI$11,Предпосылки!$I$205,),0))*IFERROR(INDEX(AI$10:AI$11,Предпосылки!$I$205,),0),AI146/(1+IFERROR(INDEX(AI$10:AI$11,Предпосылки!$I$206,),0))*IFERROR(INDEX(AI$10:AI$11,Предпосылки!$I$206,),0),AI169/(1+IFERROR(INDEX(AI$10:AI$11,Предпосылки!$I$207,),0))*IFERROR(INDEX(AI$10:AI$11,Предпосылки!$I$207,),0),AI192/(1+IFERROR(INDEX(AI$10:AI$11,Предпосылки!$I$208,),0))*IFERROR(INDEX(AI$10:AI$11,Предпосылки!$I$208,),0),AI215/(1+IFERROR(INDEX(AI$10:AI$11,Предпосылки!$I$209,),0))*IFERROR(INDEX(AI$10:AI$11,Предпосылки!$I$209,),0),AI238/(1+IFERROR(INDEX(AI$10:AI$11,Предпосылки!$I$210,),0))*IFERROR(INDEX(AI$10:AI$11,Предпосылки!$I$210,),0),AI261/(1+IFERROR(INDEX(AI$10:AI$11,Предпосылки!$I$211,),0))*IFERROR(INDEX(AI$10:AI$11,Предпосылки!$I$211,),0),AI284/(1+IFERROR(INDEX(AI$10:AI$11,Предпосылки!$I$212,),0))*IFERROR(INDEX(AI$10:AI$11,Предпосылки!$I$212,),0),AI307/(1+IFERROR(INDEX(AI$10:AI$11,Предпосылки!$I$213,),0))*IFERROR(INDEX(AI$10:AI$11,Предпосылки!$I$213,),0),AI330/(1+IFERROR(INDEX(AI$10:AI$11,Предпосылки!$I$214,),0))*IFERROR(INDEX(AI$10:AI$11,Предпосылки!$I$214,),0),AI353/(1+IFERROR(INDEX(AI$10:AI$11,Предпосылки!$I$215,),0))*IFERROR(INDEX(AI$10:AI$11,Предпосылки!$I$215,),0),AI376/(1+IFERROR(INDEX(AI$10:AI$11,Предпосылки!$I$216,),0))*IFERROR(INDEX(AI$10:AI$11,Предпосылки!$I$216,),0),AI399/(1+IFERROR(INDEX(AI$10:AI$11,Предпосылки!$I$217,),0))*IFERROR(INDEX(AI$10:AI$11,Предпосылки!$I$217,),0),AI422/(1+IFERROR(INDEX(AI$10:AI$11,Предпосылки!$I$218,),0))*IFERROR(INDEX(AI$10:AI$11,Предпосылки!$I$218,),0),AI445/(1+IFERROR(INDEX(AI$10:AI$11,Предпосылки!$I$219,),0))*IFERROR(INDEX(AI$10:AI$11,Предпосылки!$I$219,),0),AI468/(1+IFERROR(INDEX(AI$10:AI$11,Предпосылки!$I$220,),0))*IFERROR(INDEX(AI$10:AI$11,Предпосылки!$I$220,),0))</f>
        <v>0</v>
      </c>
      <c s="125">
        <f>SUM(AJ31/(1+IFERROR(INDEX(AJ$10:AJ$11,Предпосылки!$I$201,),0))*IFERROR(INDEX(AJ$10:AJ$11,Предпосылки!$I$201,),0),AJ54/(1+IFERROR(INDEX(AJ$10:AJ$11,Предпосылки!$I$202,),0))*IFERROR(INDEX(AJ$10:AJ$11,Предпосылки!$I$202,),0),AJ77/(1+IFERROR(INDEX(AJ$10:AJ$11,Предпосылки!$I$203,),0))*IFERROR(INDEX(AJ$10:AJ$11,Предпосылки!$I$203,),0),AJ100/(1+IFERROR(INDEX(AJ$10:AJ$11,Предпосылки!$I$204,),0))*IFERROR(INDEX(AJ$10:AJ$11,Предпосылки!$I$204,),0),AJ123/(1+IFERROR(INDEX(AJ$10:AJ$11,Предпосылки!$I$205,),0))*IFERROR(INDEX(AJ$10:AJ$11,Предпосылки!$I$205,),0),AJ146/(1+IFERROR(INDEX(AJ$10:AJ$11,Предпосылки!$I$206,),0))*IFERROR(INDEX(AJ$10:AJ$11,Предпосылки!$I$206,),0),AJ169/(1+IFERROR(INDEX(AJ$10:AJ$11,Предпосылки!$I$207,),0))*IFERROR(INDEX(AJ$10:AJ$11,Предпосылки!$I$207,),0),AJ192/(1+IFERROR(INDEX(AJ$10:AJ$11,Предпосылки!$I$208,),0))*IFERROR(INDEX(AJ$10:AJ$11,Предпосылки!$I$208,),0),AJ215/(1+IFERROR(INDEX(AJ$10:AJ$11,Предпосылки!$I$209,),0))*IFERROR(INDEX(AJ$10:AJ$11,Предпосылки!$I$209,),0),AJ238/(1+IFERROR(INDEX(AJ$10:AJ$11,Предпосылки!$I$210,),0))*IFERROR(INDEX(AJ$10:AJ$11,Предпосылки!$I$210,),0),AJ261/(1+IFERROR(INDEX(AJ$10:AJ$11,Предпосылки!$I$211,),0))*IFERROR(INDEX(AJ$10:AJ$11,Предпосылки!$I$211,),0),AJ284/(1+IFERROR(INDEX(AJ$10:AJ$11,Предпосылки!$I$212,),0))*IFERROR(INDEX(AJ$10:AJ$11,Предпосылки!$I$212,),0),AJ307/(1+IFERROR(INDEX(AJ$10:AJ$11,Предпосылки!$I$213,),0))*IFERROR(INDEX(AJ$10:AJ$11,Предпосылки!$I$213,),0),AJ330/(1+IFERROR(INDEX(AJ$10:AJ$11,Предпосылки!$I$214,),0))*IFERROR(INDEX(AJ$10:AJ$11,Предпосылки!$I$214,),0),AJ353/(1+IFERROR(INDEX(AJ$10:AJ$11,Предпосылки!$I$215,),0))*IFERROR(INDEX(AJ$10:AJ$11,Предпосылки!$I$215,),0),AJ376/(1+IFERROR(INDEX(AJ$10:AJ$11,Предпосылки!$I$216,),0))*IFERROR(INDEX(AJ$10:AJ$11,Предпосылки!$I$216,),0),AJ399/(1+IFERROR(INDEX(AJ$10:AJ$11,Предпосылки!$I$217,),0))*IFERROR(INDEX(AJ$10:AJ$11,Предпосылки!$I$217,),0),AJ422/(1+IFERROR(INDEX(AJ$10:AJ$11,Предпосылки!$I$218,),0))*IFERROR(INDEX(AJ$10:AJ$11,Предпосылки!$I$218,),0),AJ445/(1+IFERROR(INDEX(AJ$10:AJ$11,Предпосылки!$I$219,),0))*IFERROR(INDEX(AJ$10:AJ$11,Предпосылки!$I$219,),0),AJ468/(1+IFERROR(INDEX(AJ$10:AJ$11,Предпосылки!$I$220,),0))*IFERROR(INDEX(AJ$10:AJ$11,Предпосылки!$I$220,),0))</f>
        <v>0</v>
      </c>
      <c s="125">
        <f>SUM(AK31/(1+IFERROR(INDEX(AK$10:AK$11,Предпосылки!$I$201,),0))*IFERROR(INDEX(AK$10:AK$11,Предпосылки!$I$201,),0),AK54/(1+IFERROR(INDEX(AK$10:AK$11,Предпосылки!$I$202,),0))*IFERROR(INDEX(AK$10:AK$11,Предпосылки!$I$202,),0),AK77/(1+IFERROR(INDEX(AK$10:AK$11,Предпосылки!$I$203,),0))*IFERROR(INDEX(AK$10:AK$11,Предпосылки!$I$203,),0),AK100/(1+IFERROR(INDEX(AK$10:AK$11,Предпосылки!$I$204,),0))*IFERROR(INDEX(AK$10:AK$11,Предпосылки!$I$204,),0),AK123/(1+IFERROR(INDEX(AK$10:AK$11,Предпосылки!$I$205,),0))*IFERROR(INDEX(AK$10:AK$11,Предпосылки!$I$205,),0),AK146/(1+IFERROR(INDEX(AK$10:AK$11,Предпосылки!$I$206,),0))*IFERROR(INDEX(AK$10:AK$11,Предпосылки!$I$206,),0),AK169/(1+IFERROR(INDEX(AK$10:AK$11,Предпосылки!$I$207,),0))*IFERROR(INDEX(AK$10:AK$11,Предпосылки!$I$207,),0),AK192/(1+IFERROR(INDEX(AK$10:AK$11,Предпосылки!$I$208,),0))*IFERROR(INDEX(AK$10:AK$11,Предпосылки!$I$208,),0),AK215/(1+IFERROR(INDEX(AK$10:AK$11,Предпосылки!$I$209,),0))*IFERROR(INDEX(AK$10:AK$11,Предпосылки!$I$209,),0),AK238/(1+IFERROR(INDEX(AK$10:AK$11,Предпосылки!$I$210,),0))*IFERROR(INDEX(AK$10:AK$11,Предпосылки!$I$210,),0),AK261/(1+IFERROR(INDEX(AK$10:AK$11,Предпосылки!$I$211,),0))*IFERROR(INDEX(AK$10:AK$11,Предпосылки!$I$211,),0),AK284/(1+IFERROR(INDEX(AK$10:AK$11,Предпосылки!$I$212,),0))*IFERROR(INDEX(AK$10:AK$11,Предпосылки!$I$212,),0),AK307/(1+IFERROR(INDEX(AK$10:AK$11,Предпосылки!$I$213,),0))*IFERROR(INDEX(AK$10:AK$11,Предпосылки!$I$213,),0),AK330/(1+IFERROR(INDEX(AK$10:AK$11,Предпосылки!$I$214,),0))*IFERROR(INDEX(AK$10:AK$11,Предпосылки!$I$214,),0),AK353/(1+IFERROR(INDEX(AK$10:AK$11,Предпосылки!$I$215,),0))*IFERROR(INDEX(AK$10:AK$11,Предпосылки!$I$215,),0),AK376/(1+IFERROR(INDEX(AK$10:AK$11,Предпосылки!$I$216,),0))*IFERROR(INDEX(AK$10:AK$11,Предпосылки!$I$216,),0),AK399/(1+IFERROR(INDEX(AK$10:AK$11,Предпосылки!$I$217,),0))*IFERROR(INDEX(AK$10:AK$11,Предпосылки!$I$217,),0),AK422/(1+IFERROR(INDEX(AK$10:AK$11,Предпосылки!$I$218,),0))*IFERROR(INDEX(AK$10:AK$11,Предпосылки!$I$218,),0),AK445/(1+IFERROR(INDEX(AK$10:AK$11,Предпосылки!$I$219,),0))*IFERROR(INDEX(AK$10:AK$11,Предпосылки!$I$219,),0),AK468/(1+IFERROR(INDEX(AK$10:AK$11,Предпосылки!$I$220,),0))*IFERROR(INDEX(AK$10:AK$11,Предпосылки!$I$220,),0))</f>
        <v>0</v>
      </c>
      <c s="125">
        <f>SUM(AL31/(1+IFERROR(INDEX(AL$10:AL$11,Предпосылки!$I$201,),0))*IFERROR(INDEX(AL$10:AL$11,Предпосылки!$I$201,),0),AL54/(1+IFERROR(INDEX(AL$10:AL$11,Предпосылки!$I$202,),0))*IFERROR(INDEX(AL$10:AL$11,Предпосылки!$I$202,),0),AL77/(1+IFERROR(INDEX(AL$10:AL$11,Предпосылки!$I$203,),0))*IFERROR(INDEX(AL$10:AL$11,Предпосылки!$I$203,),0),AL100/(1+IFERROR(INDEX(AL$10:AL$11,Предпосылки!$I$204,),0))*IFERROR(INDEX(AL$10:AL$11,Предпосылки!$I$204,),0),AL123/(1+IFERROR(INDEX(AL$10:AL$11,Предпосылки!$I$205,),0))*IFERROR(INDEX(AL$10:AL$11,Предпосылки!$I$205,),0),AL146/(1+IFERROR(INDEX(AL$10:AL$11,Предпосылки!$I$206,),0))*IFERROR(INDEX(AL$10:AL$11,Предпосылки!$I$206,),0),AL169/(1+IFERROR(INDEX(AL$10:AL$11,Предпосылки!$I$207,),0))*IFERROR(INDEX(AL$10:AL$11,Предпосылки!$I$207,),0),AL192/(1+IFERROR(INDEX(AL$10:AL$11,Предпосылки!$I$208,),0))*IFERROR(INDEX(AL$10:AL$11,Предпосылки!$I$208,),0),AL215/(1+IFERROR(INDEX(AL$10:AL$11,Предпосылки!$I$209,),0))*IFERROR(INDEX(AL$10:AL$11,Предпосылки!$I$209,),0),AL238/(1+IFERROR(INDEX(AL$10:AL$11,Предпосылки!$I$210,),0))*IFERROR(INDEX(AL$10:AL$11,Предпосылки!$I$210,),0),AL261/(1+IFERROR(INDEX(AL$10:AL$11,Предпосылки!$I$211,),0))*IFERROR(INDEX(AL$10:AL$11,Предпосылки!$I$211,),0),AL284/(1+IFERROR(INDEX(AL$10:AL$11,Предпосылки!$I$212,),0))*IFERROR(INDEX(AL$10:AL$11,Предпосылки!$I$212,),0),AL307/(1+IFERROR(INDEX(AL$10:AL$11,Предпосылки!$I$213,),0))*IFERROR(INDEX(AL$10:AL$11,Предпосылки!$I$213,),0),AL330/(1+IFERROR(INDEX(AL$10:AL$11,Предпосылки!$I$214,),0))*IFERROR(INDEX(AL$10:AL$11,Предпосылки!$I$214,),0),AL353/(1+IFERROR(INDEX(AL$10:AL$11,Предпосылки!$I$215,),0))*IFERROR(INDEX(AL$10:AL$11,Предпосылки!$I$215,),0),AL376/(1+IFERROR(INDEX(AL$10:AL$11,Предпосылки!$I$216,),0))*IFERROR(INDEX(AL$10:AL$11,Предпосылки!$I$216,),0),AL399/(1+IFERROR(INDEX(AL$10:AL$11,Предпосылки!$I$217,),0))*IFERROR(INDEX(AL$10:AL$11,Предпосылки!$I$217,),0),AL422/(1+IFERROR(INDEX(AL$10:AL$11,Предпосылки!$I$218,),0))*IFERROR(INDEX(AL$10:AL$11,Предпосылки!$I$218,),0),AL445/(1+IFERROR(INDEX(AL$10:AL$11,Предпосылки!$I$219,),0))*IFERROR(INDEX(AL$10:AL$11,Предпосылки!$I$219,),0),AL468/(1+IFERROR(INDEX(AL$10:AL$11,Предпосылки!$I$220,),0))*IFERROR(INDEX(AL$10:AL$11,Предпосылки!$I$220,),0))</f>
        <v>0</v>
      </c>
      <c s="125">
        <f>SUM(AM31/(1+IFERROR(INDEX(AM$10:AM$11,Предпосылки!$I$201,),0))*IFERROR(INDEX(AM$10:AM$11,Предпосылки!$I$201,),0),AM54/(1+IFERROR(INDEX(AM$10:AM$11,Предпосылки!$I$202,),0))*IFERROR(INDEX(AM$10:AM$11,Предпосылки!$I$202,),0),AM77/(1+IFERROR(INDEX(AM$10:AM$11,Предпосылки!$I$203,),0))*IFERROR(INDEX(AM$10:AM$11,Предпосылки!$I$203,),0),AM100/(1+IFERROR(INDEX(AM$10:AM$11,Предпосылки!$I$204,),0))*IFERROR(INDEX(AM$10:AM$11,Предпосылки!$I$204,),0),AM123/(1+IFERROR(INDEX(AM$10:AM$11,Предпосылки!$I$205,),0))*IFERROR(INDEX(AM$10:AM$11,Предпосылки!$I$205,),0),AM146/(1+IFERROR(INDEX(AM$10:AM$11,Предпосылки!$I$206,),0))*IFERROR(INDEX(AM$10:AM$11,Предпосылки!$I$206,),0),AM169/(1+IFERROR(INDEX(AM$10:AM$11,Предпосылки!$I$207,),0))*IFERROR(INDEX(AM$10:AM$11,Предпосылки!$I$207,),0),AM192/(1+IFERROR(INDEX(AM$10:AM$11,Предпосылки!$I$208,),0))*IFERROR(INDEX(AM$10:AM$11,Предпосылки!$I$208,),0),AM215/(1+IFERROR(INDEX(AM$10:AM$11,Предпосылки!$I$209,),0))*IFERROR(INDEX(AM$10:AM$11,Предпосылки!$I$209,),0),AM238/(1+IFERROR(INDEX(AM$10:AM$11,Предпосылки!$I$210,),0))*IFERROR(INDEX(AM$10:AM$11,Предпосылки!$I$210,),0),AM261/(1+IFERROR(INDEX(AM$10:AM$11,Предпосылки!$I$211,),0))*IFERROR(INDEX(AM$10:AM$11,Предпосылки!$I$211,),0),AM284/(1+IFERROR(INDEX(AM$10:AM$11,Предпосылки!$I$212,),0))*IFERROR(INDEX(AM$10:AM$11,Предпосылки!$I$212,),0),AM307/(1+IFERROR(INDEX(AM$10:AM$11,Предпосылки!$I$213,),0))*IFERROR(INDEX(AM$10:AM$11,Предпосылки!$I$213,),0),AM330/(1+IFERROR(INDEX(AM$10:AM$11,Предпосылки!$I$214,),0))*IFERROR(INDEX(AM$10:AM$11,Предпосылки!$I$214,),0),AM353/(1+IFERROR(INDEX(AM$10:AM$11,Предпосылки!$I$215,),0))*IFERROR(INDEX(AM$10:AM$11,Предпосылки!$I$215,),0),AM376/(1+IFERROR(INDEX(AM$10:AM$11,Предпосылки!$I$216,),0))*IFERROR(INDEX(AM$10:AM$11,Предпосылки!$I$216,),0),AM399/(1+IFERROR(INDEX(AM$10:AM$11,Предпосылки!$I$217,),0))*IFERROR(INDEX(AM$10:AM$11,Предпосылки!$I$217,),0),AM422/(1+IFERROR(INDEX(AM$10:AM$11,Предпосылки!$I$218,),0))*IFERROR(INDEX(AM$10:AM$11,Предпосылки!$I$218,),0),AM445/(1+IFERROR(INDEX(AM$10:AM$11,Предпосылки!$I$219,),0))*IFERROR(INDEX(AM$10:AM$11,Предпосылки!$I$219,),0),AM468/(1+IFERROR(INDEX(AM$10:AM$11,Предпосылки!$I$220,),0))*IFERROR(INDEX(AM$10:AM$11,Предпосылки!$I$220,),0))</f>
        <v>0</v>
      </c>
      <c s="125">
        <f>SUM(AN31/(1+IFERROR(INDEX(AN$10:AN$11,Предпосылки!$I$201,),0))*IFERROR(INDEX(AN$10:AN$11,Предпосылки!$I$201,),0),AN54/(1+IFERROR(INDEX(AN$10:AN$11,Предпосылки!$I$202,),0))*IFERROR(INDEX(AN$10:AN$11,Предпосылки!$I$202,),0),AN77/(1+IFERROR(INDEX(AN$10:AN$11,Предпосылки!$I$203,),0))*IFERROR(INDEX(AN$10:AN$11,Предпосылки!$I$203,),0),AN100/(1+IFERROR(INDEX(AN$10:AN$11,Предпосылки!$I$204,),0))*IFERROR(INDEX(AN$10:AN$11,Предпосылки!$I$204,),0),AN123/(1+IFERROR(INDEX(AN$10:AN$11,Предпосылки!$I$205,),0))*IFERROR(INDEX(AN$10:AN$11,Предпосылки!$I$205,),0),AN146/(1+IFERROR(INDEX(AN$10:AN$11,Предпосылки!$I$206,),0))*IFERROR(INDEX(AN$10:AN$11,Предпосылки!$I$206,),0),AN169/(1+IFERROR(INDEX(AN$10:AN$11,Предпосылки!$I$207,),0))*IFERROR(INDEX(AN$10:AN$11,Предпосылки!$I$207,),0),AN192/(1+IFERROR(INDEX(AN$10:AN$11,Предпосылки!$I$208,),0))*IFERROR(INDEX(AN$10:AN$11,Предпосылки!$I$208,),0),AN215/(1+IFERROR(INDEX(AN$10:AN$11,Предпосылки!$I$209,),0))*IFERROR(INDEX(AN$10:AN$11,Предпосылки!$I$209,),0),AN238/(1+IFERROR(INDEX(AN$10:AN$11,Предпосылки!$I$210,),0))*IFERROR(INDEX(AN$10:AN$11,Предпосылки!$I$210,),0),AN261/(1+IFERROR(INDEX(AN$10:AN$11,Предпосылки!$I$211,),0))*IFERROR(INDEX(AN$10:AN$11,Предпосылки!$I$211,),0),AN284/(1+IFERROR(INDEX(AN$10:AN$11,Предпосылки!$I$212,),0))*IFERROR(INDEX(AN$10:AN$11,Предпосылки!$I$212,),0),AN307/(1+IFERROR(INDEX(AN$10:AN$11,Предпосылки!$I$213,),0))*IFERROR(INDEX(AN$10:AN$11,Предпосылки!$I$213,),0),AN330/(1+IFERROR(INDEX(AN$10:AN$11,Предпосылки!$I$214,),0))*IFERROR(INDEX(AN$10:AN$11,Предпосылки!$I$214,),0),AN353/(1+IFERROR(INDEX(AN$10:AN$11,Предпосылки!$I$215,),0))*IFERROR(INDEX(AN$10:AN$11,Предпосылки!$I$215,),0),AN376/(1+IFERROR(INDEX(AN$10:AN$11,Предпосылки!$I$216,),0))*IFERROR(INDEX(AN$10:AN$11,Предпосылки!$I$216,),0),AN399/(1+IFERROR(INDEX(AN$10:AN$11,Предпосылки!$I$217,),0))*IFERROR(INDEX(AN$10:AN$11,Предпосылки!$I$217,),0),AN422/(1+IFERROR(INDEX(AN$10:AN$11,Предпосылки!$I$218,),0))*IFERROR(INDEX(AN$10:AN$11,Предпосылки!$I$218,),0),AN445/(1+IFERROR(INDEX(AN$10:AN$11,Предпосылки!$I$219,),0))*IFERROR(INDEX(AN$10:AN$11,Предпосылки!$I$219,),0),AN468/(1+IFERROR(INDEX(AN$10:AN$11,Предпосылки!$I$220,),0))*IFERROR(INDEX(AN$10:AN$11,Предпосылки!$I$220,),0))</f>
        <v>0</v>
      </c>
      <c s="125">
        <f>SUM(AO31/(1+IFERROR(INDEX(AO$10:AO$11,Предпосылки!$I$201,),0))*IFERROR(INDEX(AO$10:AO$11,Предпосылки!$I$201,),0),AO54/(1+IFERROR(INDEX(AO$10:AO$11,Предпосылки!$I$202,),0))*IFERROR(INDEX(AO$10:AO$11,Предпосылки!$I$202,),0),AO77/(1+IFERROR(INDEX(AO$10:AO$11,Предпосылки!$I$203,),0))*IFERROR(INDEX(AO$10:AO$11,Предпосылки!$I$203,),0),AO100/(1+IFERROR(INDEX(AO$10:AO$11,Предпосылки!$I$204,),0))*IFERROR(INDEX(AO$10:AO$11,Предпосылки!$I$204,),0),AO123/(1+IFERROR(INDEX(AO$10:AO$11,Предпосылки!$I$205,),0))*IFERROR(INDEX(AO$10:AO$11,Предпосылки!$I$205,),0),AO146/(1+IFERROR(INDEX(AO$10:AO$11,Предпосылки!$I$206,),0))*IFERROR(INDEX(AO$10:AO$11,Предпосылки!$I$206,),0),AO169/(1+IFERROR(INDEX(AO$10:AO$11,Предпосылки!$I$207,),0))*IFERROR(INDEX(AO$10:AO$11,Предпосылки!$I$207,),0),AO192/(1+IFERROR(INDEX(AO$10:AO$11,Предпосылки!$I$208,),0))*IFERROR(INDEX(AO$10:AO$11,Предпосылки!$I$208,),0),AO215/(1+IFERROR(INDEX(AO$10:AO$11,Предпосылки!$I$209,),0))*IFERROR(INDEX(AO$10:AO$11,Предпосылки!$I$209,),0),AO238/(1+IFERROR(INDEX(AO$10:AO$11,Предпосылки!$I$210,),0))*IFERROR(INDEX(AO$10:AO$11,Предпосылки!$I$210,),0),AO261/(1+IFERROR(INDEX(AO$10:AO$11,Предпосылки!$I$211,),0))*IFERROR(INDEX(AO$10:AO$11,Предпосылки!$I$211,),0),AO284/(1+IFERROR(INDEX(AO$10:AO$11,Предпосылки!$I$212,),0))*IFERROR(INDEX(AO$10:AO$11,Предпосылки!$I$212,),0),AO307/(1+IFERROR(INDEX(AO$10:AO$11,Предпосылки!$I$213,),0))*IFERROR(INDEX(AO$10:AO$11,Предпосылки!$I$213,),0),AO330/(1+IFERROR(INDEX(AO$10:AO$11,Предпосылки!$I$214,),0))*IFERROR(INDEX(AO$10:AO$11,Предпосылки!$I$214,),0),AO353/(1+IFERROR(INDEX(AO$10:AO$11,Предпосылки!$I$215,),0))*IFERROR(INDEX(AO$10:AO$11,Предпосылки!$I$215,),0),AO376/(1+IFERROR(INDEX(AO$10:AO$11,Предпосылки!$I$216,),0))*IFERROR(INDEX(AO$10:AO$11,Предпосылки!$I$216,),0),AO399/(1+IFERROR(INDEX(AO$10:AO$11,Предпосылки!$I$217,),0))*IFERROR(INDEX(AO$10:AO$11,Предпосылки!$I$217,),0),AO422/(1+IFERROR(INDEX(AO$10:AO$11,Предпосылки!$I$218,),0))*IFERROR(INDEX(AO$10:AO$11,Предпосылки!$I$218,),0),AO445/(1+IFERROR(INDEX(AO$10:AO$11,Предпосылки!$I$219,),0))*IFERROR(INDEX(AO$10:AO$11,Предпосылки!$I$219,),0),AO468/(1+IFERROR(INDEX(AO$10:AO$11,Предпосылки!$I$220,),0))*IFERROR(INDEX(AO$10:AO$11,Предпосылки!$I$220,),0))</f>
        <v>0</v>
      </c>
      <c s="125">
        <f>SUM(AP31/(1+IFERROR(INDEX(AP$10:AP$11,Предпосылки!$I$201,),0))*IFERROR(INDEX(AP$10:AP$11,Предпосылки!$I$201,),0),AP54/(1+IFERROR(INDEX(AP$10:AP$11,Предпосылки!$I$202,),0))*IFERROR(INDEX(AP$10:AP$11,Предпосылки!$I$202,),0),AP77/(1+IFERROR(INDEX(AP$10:AP$11,Предпосылки!$I$203,),0))*IFERROR(INDEX(AP$10:AP$11,Предпосылки!$I$203,),0),AP100/(1+IFERROR(INDEX(AP$10:AP$11,Предпосылки!$I$204,),0))*IFERROR(INDEX(AP$10:AP$11,Предпосылки!$I$204,),0),AP123/(1+IFERROR(INDEX(AP$10:AP$11,Предпосылки!$I$205,),0))*IFERROR(INDEX(AP$10:AP$11,Предпосылки!$I$205,),0),AP146/(1+IFERROR(INDEX(AP$10:AP$11,Предпосылки!$I$206,),0))*IFERROR(INDEX(AP$10:AP$11,Предпосылки!$I$206,),0),AP169/(1+IFERROR(INDEX(AP$10:AP$11,Предпосылки!$I$207,),0))*IFERROR(INDEX(AP$10:AP$11,Предпосылки!$I$207,),0),AP192/(1+IFERROR(INDEX(AP$10:AP$11,Предпосылки!$I$208,),0))*IFERROR(INDEX(AP$10:AP$11,Предпосылки!$I$208,),0),AP215/(1+IFERROR(INDEX(AP$10:AP$11,Предпосылки!$I$209,),0))*IFERROR(INDEX(AP$10:AP$11,Предпосылки!$I$209,),0),AP238/(1+IFERROR(INDEX(AP$10:AP$11,Предпосылки!$I$210,),0))*IFERROR(INDEX(AP$10:AP$11,Предпосылки!$I$210,),0),AP261/(1+IFERROR(INDEX(AP$10:AP$11,Предпосылки!$I$211,),0))*IFERROR(INDEX(AP$10:AP$11,Предпосылки!$I$211,),0),AP284/(1+IFERROR(INDEX(AP$10:AP$11,Предпосылки!$I$212,),0))*IFERROR(INDEX(AP$10:AP$11,Предпосылки!$I$212,),0),AP307/(1+IFERROR(INDEX(AP$10:AP$11,Предпосылки!$I$213,),0))*IFERROR(INDEX(AP$10:AP$11,Предпосылки!$I$213,),0),AP330/(1+IFERROR(INDEX(AP$10:AP$11,Предпосылки!$I$214,),0))*IFERROR(INDEX(AP$10:AP$11,Предпосылки!$I$214,),0),AP353/(1+IFERROR(INDEX(AP$10:AP$11,Предпосылки!$I$215,),0))*IFERROR(INDEX(AP$10:AP$11,Предпосылки!$I$215,),0),AP376/(1+IFERROR(INDEX(AP$10:AP$11,Предпосылки!$I$216,),0))*IFERROR(INDEX(AP$10:AP$11,Предпосылки!$I$216,),0),AP399/(1+IFERROR(INDEX(AP$10:AP$11,Предпосылки!$I$217,),0))*IFERROR(INDEX(AP$10:AP$11,Предпосылки!$I$217,),0),AP422/(1+IFERROR(INDEX(AP$10:AP$11,Предпосылки!$I$218,),0))*IFERROR(INDEX(AP$10:AP$11,Предпосылки!$I$218,),0),AP445/(1+IFERROR(INDEX(AP$10:AP$11,Предпосылки!$I$219,),0))*IFERROR(INDEX(AP$10:AP$11,Предпосылки!$I$219,),0),AP468/(1+IFERROR(INDEX(AP$10:AP$11,Предпосылки!$I$220,),0))*IFERROR(INDEX(AP$10:AP$11,Предпосылки!$I$220,),0))</f>
        <v>0</v>
      </c>
      <c s="125">
        <f>SUM(AQ31/(1+IFERROR(INDEX(AQ$10:AQ$11,Предпосылки!$I$201,),0))*IFERROR(INDEX(AQ$10:AQ$11,Предпосылки!$I$201,),0),AQ54/(1+IFERROR(INDEX(AQ$10:AQ$11,Предпосылки!$I$202,),0))*IFERROR(INDEX(AQ$10:AQ$11,Предпосылки!$I$202,),0),AQ77/(1+IFERROR(INDEX(AQ$10:AQ$11,Предпосылки!$I$203,),0))*IFERROR(INDEX(AQ$10:AQ$11,Предпосылки!$I$203,),0),AQ100/(1+IFERROR(INDEX(AQ$10:AQ$11,Предпосылки!$I$204,),0))*IFERROR(INDEX(AQ$10:AQ$11,Предпосылки!$I$204,),0),AQ123/(1+IFERROR(INDEX(AQ$10:AQ$11,Предпосылки!$I$205,),0))*IFERROR(INDEX(AQ$10:AQ$11,Предпосылки!$I$205,),0),AQ146/(1+IFERROR(INDEX(AQ$10:AQ$11,Предпосылки!$I$206,),0))*IFERROR(INDEX(AQ$10:AQ$11,Предпосылки!$I$206,),0),AQ169/(1+IFERROR(INDEX(AQ$10:AQ$11,Предпосылки!$I$207,),0))*IFERROR(INDEX(AQ$10:AQ$11,Предпосылки!$I$207,),0),AQ192/(1+IFERROR(INDEX(AQ$10:AQ$11,Предпосылки!$I$208,),0))*IFERROR(INDEX(AQ$10:AQ$11,Предпосылки!$I$208,),0),AQ215/(1+IFERROR(INDEX(AQ$10:AQ$11,Предпосылки!$I$209,),0))*IFERROR(INDEX(AQ$10:AQ$11,Предпосылки!$I$209,),0),AQ238/(1+IFERROR(INDEX(AQ$10:AQ$11,Предпосылки!$I$210,),0))*IFERROR(INDEX(AQ$10:AQ$11,Предпосылки!$I$210,),0),AQ261/(1+IFERROR(INDEX(AQ$10:AQ$11,Предпосылки!$I$211,),0))*IFERROR(INDEX(AQ$10:AQ$11,Предпосылки!$I$211,),0),AQ284/(1+IFERROR(INDEX(AQ$10:AQ$11,Предпосылки!$I$212,),0))*IFERROR(INDEX(AQ$10:AQ$11,Предпосылки!$I$212,),0),AQ307/(1+IFERROR(INDEX(AQ$10:AQ$11,Предпосылки!$I$213,),0))*IFERROR(INDEX(AQ$10:AQ$11,Предпосылки!$I$213,),0),AQ330/(1+IFERROR(INDEX(AQ$10:AQ$11,Предпосылки!$I$214,),0))*IFERROR(INDEX(AQ$10:AQ$11,Предпосылки!$I$214,),0),AQ353/(1+IFERROR(INDEX(AQ$10:AQ$11,Предпосылки!$I$215,),0))*IFERROR(INDEX(AQ$10:AQ$11,Предпосылки!$I$215,),0),AQ376/(1+IFERROR(INDEX(AQ$10:AQ$11,Предпосылки!$I$216,),0))*IFERROR(INDEX(AQ$10:AQ$11,Предпосылки!$I$216,),0),AQ399/(1+IFERROR(INDEX(AQ$10:AQ$11,Предпосылки!$I$217,),0))*IFERROR(INDEX(AQ$10:AQ$11,Предпосылки!$I$217,),0),AQ422/(1+IFERROR(INDEX(AQ$10:AQ$11,Предпосылки!$I$218,),0))*IFERROR(INDEX(AQ$10:AQ$11,Предпосылки!$I$218,),0),AQ445/(1+IFERROR(INDEX(AQ$10:AQ$11,Предпосылки!$I$219,),0))*IFERROR(INDEX(AQ$10:AQ$11,Предпосылки!$I$219,),0),AQ468/(1+IFERROR(INDEX(AQ$10:AQ$11,Предпосылки!$I$220,),0))*IFERROR(INDEX(AQ$10:AQ$11,Предпосылки!$I$220,),0))</f>
        <v>0</v>
      </c>
      <c s="125">
        <f>SUM(AR31/(1+IFERROR(INDEX(AR$10:AR$11,Предпосылки!$I$201,),0))*IFERROR(INDEX(AR$10:AR$11,Предпосылки!$I$201,),0),AR54/(1+IFERROR(INDEX(AR$10:AR$11,Предпосылки!$I$202,),0))*IFERROR(INDEX(AR$10:AR$11,Предпосылки!$I$202,),0),AR77/(1+IFERROR(INDEX(AR$10:AR$11,Предпосылки!$I$203,),0))*IFERROR(INDEX(AR$10:AR$11,Предпосылки!$I$203,),0),AR100/(1+IFERROR(INDEX(AR$10:AR$11,Предпосылки!$I$204,),0))*IFERROR(INDEX(AR$10:AR$11,Предпосылки!$I$204,),0),AR123/(1+IFERROR(INDEX(AR$10:AR$11,Предпосылки!$I$205,),0))*IFERROR(INDEX(AR$10:AR$11,Предпосылки!$I$205,),0),AR146/(1+IFERROR(INDEX(AR$10:AR$11,Предпосылки!$I$206,),0))*IFERROR(INDEX(AR$10:AR$11,Предпосылки!$I$206,),0),AR169/(1+IFERROR(INDEX(AR$10:AR$11,Предпосылки!$I$207,),0))*IFERROR(INDEX(AR$10:AR$11,Предпосылки!$I$207,),0),AR192/(1+IFERROR(INDEX(AR$10:AR$11,Предпосылки!$I$208,),0))*IFERROR(INDEX(AR$10:AR$11,Предпосылки!$I$208,),0),AR215/(1+IFERROR(INDEX(AR$10:AR$11,Предпосылки!$I$209,),0))*IFERROR(INDEX(AR$10:AR$11,Предпосылки!$I$209,),0),AR238/(1+IFERROR(INDEX(AR$10:AR$11,Предпосылки!$I$210,),0))*IFERROR(INDEX(AR$10:AR$11,Предпосылки!$I$210,),0),AR261/(1+IFERROR(INDEX(AR$10:AR$11,Предпосылки!$I$211,),0))*IFERROR(INDEX(AR$10:AR$11,Предпосылки!$I$211,),0),AR284/(1+IFERROR(INDEX(AR$10:AR$11,Предпосылки!$I$212,),0))*IFERROR(INDEX(AR$10:AR$11,Предпосылки!$I$212,),0),AR307/(1+IFERROR(INDEX(AR$10:AR$11,Предпосылки!$I$213,),0))*IFERROR(INDEX(AR$10:AR$11,Предпосылки!$I$213,),0),AR330/(1+IFERROR(INDEX(AR$10:AR$11,Предпосылки!$I$214,),0))*IFERROR(INDEX(AR$10:AR$11,Предпосылки!$I$214,),0),AR353/(1+IFERROR(INDEX(AR$10:AR$11,Предпосылки!$I$215,),0))*IFERROR(INDEX(AR$10:AR$11,Предпосылки!$I$215,),0),AR376/(1+IFERROR(INDEX(AR$10:AR$11,Предпосылки!$I$216,),0))*IFERROR(INDEX(AR$10:AR$11,Предпосылки!$I$216,),0),AR399/(1+IFERROR(INDEX(AR$10:AR$11,Предпосылки!$I$217,),0))*IFERROR(INDEX(AR$10:AR$11,Предпосылки!$I$217,),0),AR422/(1+IFERROR(INDEX(AR$10:AR$11,Предпосылки!$I$218,),0))*IFERROR(INDEX(AR$10:AR$11,Предпосылки!$I$218,),0),AR445/(1+IFERROR(INDEX(AR$10:AR$11,Предпосылки!$I$219,),0))*IFERROR(INDEX(AR$10:AR$11,Предпосылки!$I$219,),0),AR468/(1+IFERROR(INDEX(AR$10:AR$11,Предпосылки!$I$220,),0))*IFERROR(INDEX(AR$10:AR$11,Предпосылки!$I$220,),0))</f>
        <v>0</v>
      </c>
      <c s="125">
        <f>SUM(AS31/(1+IFERROR(INDEX(AS$10:AS$11,Предпосылки!$I$201,),0))*IFERROR(INDEX(AS$10:AS$11,Предпосылки!$I$201,),0),AS54/(1+IFERROR(INDEX(AS$10:AS$11,Предпосылки!$I$202,),0))*IFERROR(INDEX(AS$10:AS$11,Предпосылки!$I$202,),0),AS77/(1+IFERROR(INDEX(AS$10:AS$11,Предпосылки!$I$203,),0))*IFERROR(INDEX(AS$10:AS$11,Предпосылки!$I$203,),0),AS100/(1+IFERROR(INDEX(AS$10:AS$11,Предпосылки!$I$204,),0))*IFERROR(INDEX(AS$10:AS$11,Предпосылки!$I$204,),0),AS123/(1+IFERROR(INDEX(AS$10:AS$11,Предпосылки!$I$205,),0))*IFERROR(INDEX(AS$10:AS$11,Предпосылки!$I$205,),0),AS146/(1+IFERROR(INDEX(AS$10:AS$11,Предпосылки!$I$206,),0))*IFERROR(INDEX(AS$10:AS$11,Предпосылки!$I$206,),0),AS169/(1+IFERROR(INDEX(AS$10:AS$11,Предпосылки!$I$207,),0))*IFERROR(INDEX(AS$10:AS$11,Предпосылки!$I$207,),0),AS192/(1+IFERROR(INDEX(AS$10:AS$11,Предпосылки!$I$208,),0))*IFERROR(INDEX(AS$10:AS$11,Предпосылки!$I$208,),0),AS215/(1+IFERROR(INDEX(AS$10:AS$11,Предпосылки!$I$209,),0))*IFERROR(INDEX(AS$10:AS$11,Предпосылки!$I$209,),0),AS238/(1+IFERROR(INDEX(AS$10:AS$11,Предпосылки!$I$210,),0))*IFERROR(INDEX(AS$10:AS$11,Предпосылки!$I$210,),0),AS261/(1+IFERROR(INDEX(AS$10:AS$11,Предпосылки!$I$211,),0))*IFERROR(INDEX(AS$10:AS$11,Предпосылки!$I$211,),0),AS284/(1+IFERROR(INDEX(AS$10:AS$11,Предпосылки!$I$212,),0))*IFERROR(INDEX(AS$10:AS$11,Предпосылки!$I$212,),0),AS307/(1+IFERROR(INDEX(AS$10:AS$11,Предпосылки!$I$213,),0))*IFERROR(INDEX(AS$10:AS$11,Предпосылки!$I$213,),0),AS330/(1+IFERROR(INDEX(AS$10:AS$11,Предпосылки!$I$214,),0))*IFERROR(INDEX(AS$10:AS$11,Предпосылки!$I$214,),0),AS353/(1+IFERROR(INDEX(AS$10:AS$11,Предпосылки!$I$215,),0))*IFERROR(INDEX(AS$10:AS$11,Предпосылки!$I$215,),0),AS376/(1+IFERROR(INDEX(AS$10:AS$11,Предпосылки!$I$216,),0))*IFERROR(INDEX(AS$10:AS$11,Предпосылки!$I$216,),0),AS399/(1+IFERROR(INDEX(AS$10:AS$11,Предпосылки!$I$217,),0))*IFERROR(INDEX(AS$10:AS$11,Предпосылки!$I$217,),0),AS422/(1+IFERROR(INDEX(AS$10:AS$11,Предпосылки!$I$218,),0))*IFERROR(INDEX(AS$10:AS$11,Предпосылки!$I$218,),0),AS445/(1+IFERROR(INDEX(AS$10:AS$11,Предпосылки!$I$219,),0))*IFERROR(INDEX(AS$10:AS$11,Предпосылки!$I$219,),0),AS468/(1+IFERROR(INDEX(AS$10:AS$11,Предпосылки!$I$220,),0))*IFERROR(INDEX(AS$10:AS$11,Предпосылки!$I$220,),0))</f>
        <v>0</v>
      </c>
      <c s="125">
        <f>SUM(AT31/(1+IFERROR(INDEX(AT$10:AT$11,Предпосылки!$I$201,),0))*IFERROR(INDEX(AT$10:AT$11,Предпосылки!$I$201,),0),AT54/(1+IFERROR(INDEX(AT$10:AT$11,Предпосылки!$I$202,),0))*IFERROR(INDEX(AT$10:AT$11,Предпосылки!$I$202,),0),AT77/(1+IFERROR(INDEX(AT$10:AT$11,Предпосылки!$I$203,),0))*IFERROR(INDEX(AT$10:AT$11,Предпосылки!$I$203,),0),AT100/(1+IFERROR(INDEX(AT$10:AT$11,Предпосылки!$I$204,),0))*IFERROR(INDEX(AT$10:AT$11,Предпосылки!$I$204,),0),AT123/(1+IFERROR(INDEX(AT$10:AT$11,Предпосылки!$I$205,),0))*IFERROR(INDEX(AT$10:AT$11,Предпосылки!$I$205,),0),AT146/(1+IFERROR(INDEX(AT$10:AT$11,Предпосылки!$I$206,),0))*IFERROR(INDEX(AT$10:AT$11,Предпосылки!$I$206,),0),AT169/(1+IFERROR(INDEX(AT$10:AT$11,Предпосылки!$I$207,),0))*IFERROR(INDEX(AT$10:AT$11,Предпосылки!$I$207,),0),AT192/(1+IFERROR(INDEX(AT$10:AT$11,Предпосылки!$I$208,),0))*IFERROR(INDEX(AT$10:AT$11,Предпосылки!$I$208,),0),AT215/(1+IFERROR(INDEX(AT$10:AT$11,Предпосылки!$I$209,),0))*IFERROR(INDEX(AT$10:AT$11,Предпосылки!$I$209,),0),AT238/(1+IFERROR(INDEX(AT$10:AT$11,Предпосылки!$I$210,),0))*IFERROR(INDEX(AT$10:AT$11,Предпосылки!$I$210,),0),AT261/(1+IFERROR(INDEX(AT$10:AT$11,Предпосылки!$I$211,),0))*IFERROR(INDEX(AT$10:AT$11,Предпосылки!$I$211,),0),AT284/(1+IFERROR(INDEX(AT$10:AT$11,Предпосылки!$I$212,),0))*IFERROR(INDEX(AT$10:AT$11,Предпосылки!$I$212,),0),AT307/(1+IFERROR(INDEX(AT$10:AT$11,Предпосылки!$I$213,),0))*IFERROR(INDEX(AT$10:AT$11,Предпосылки!$I$213,),0),AT330/(1+IFERROR(INDEX(AT$10:AT$11,Предпосылки!$I$214,),0))*IFERROR(INDEX(AT$10:AT$11,Предпосылки!$I$214,),0),AT353/(1+IFERROR(INDEX(AT$10:AT$11,Предпосылки!$I$215,),0))*IFERROR(INDEX(AT$10:AT$11,Предпосылки!$I$215,),0),AT376/(1+IFERROR(INDEX(AT$10:AT$11,Предпосылки!$I$216,),0))*IFERROR(INDEX(AT$10:AT$11,Предпосылки!$I$216,),0),AT399/(1+IFERROR(INDEX(AT$10:AT$11,Предпосылки!$I$217,),0))*IFERROR(INDEX(AT$10:AT$11,Предпосылки!$I$217,),0),AT422/(1+IFERROR(INDEX(AT$10:AT$11,Предпосылки!$I$218,),0))*IFERROR(INDEX(AT$10:AT$11,Предпосылки!$I$218,),0),AT445/(1+IFERROR(INDEX(AT$10:AT$11,Предпосылки!$I$219,),0))*IFERROR(INDEX(AT$10:AT$11,Предпосылки!$I$219,),0),AT468/(1+IFERROR(INDEX(AT$10:AT$11,Предпосылки!$I$220,),0))*IFERROR(INDEX(AT$10:AT$11,Предпосылки!$I$220,),0))</f>
        <v>0</v>
      </c>
      <c s="125">
        <f>SUM(AU31/(1+IFERROR(INDEX(AU$10:AU$11,Предпосылки!$I$201,),0))*IFERROR(INDEX(AU$10:AU$11,Предпосылки!$I$201,),0),AU54/(1+IFERROR(INDEX(AU$10:AU$11,Предпосылки!$I$202,),0))*IFERROR(INDEX(AU$10:AU$11,Предпосылки!$I$202,),0),AU77/(1+IFERROR(INDEX(AU$10:AU$11,Предпосылки!$I$203,),0))*IFERROR(INDEX(AU$10:AU$11,Предпосылки!$I$203,),0),AU100/(1+IFERROR(INDEX(AU$10:AU$11,Предпосылки!$I$204,),0))*IFERROR(INDEX(AU$10:AU$11,Предпосылки!$I$204,),0),AU123/(1+IFERROR(INDEX(AU$10:AU$11,Предпосылки!$I$205,),0))*IFERROR(INDEX(AU$10:AU$11,Предпосылки!$I$205,),0),AU146/(1+IFERROR(INDEX(AU$10:AU$11,Предпосылки!$I$206,),0))*IFERROR(INDEX(AU$10:AU$11,Предпосылки!$I$206,),0),AU169/(1+IFERROR(INDEX(AU$10:AU$11,Предпосылки!$I$207,),0))*IFERROR(INDEX(AU$10:AU$11,Предпосылки!$I$207,),0),AU192/(1+IFERROR(INDEX(AU$10:AU$11,Предпосылки!$I$208,),0))*IFERROR(INDEX(AU$10:AU$11,Предпосылки!$I$208,),0),AU215/(1+IFERROR(INDEX(AU$10:AU$11,Предпосылки!$I$209,),0))*IFERROR(INDEX(AU$10:AU$11,Предпосылки!$I$209,),0),AU238/(1+IFERROR(INDEX(AU$10:AU$11,Предпосылки!$I$210,),0))*IFERROR(INDEX(AU$10:AU$11,Предпосылки!$I$210,),0),AU261/(1+IFERROR(INDEX(AU$10:AU$11,Предпосылки!$I$211,),0))*IFERROR(INDEX(AU$10:AU$11,Предпосылки!$I$211,),0),AU284/(1+IFERROR(INDEX(AU$10:AU$11,Предпосылки!$I$212,),0))*IFERROR(INDEX(AU$10:AU$11,Предпосылки!$I$212,),0),AU307/(1+IFERROR(INDEX(AU$10:AU$11,Предпосылки!$I$213,),0))*IFERROR(INDEX(AU$10:AU$11,Предпосылки!$I$213,),0),AU330/(1+IFERROR(INDEX(AU$10:AU$11,Предпосылки!$I$214,),0))*IFERROR(INDEX(AU$10:AU$11,Предпосылки!$I$214,),0),AU353/(1+IFERROR(INDEX(AU$10:AU$11,Предпосылки!$I$215,),0))*IFERROR(INDEX(AU$10:AU$11,Предпосылки!$I$215,),0),AU376/(1+IFERROR(INDEX(AU$10:AU$11,Предпосылки!$I$216,),0))*IFERROR(INDEX(AU$10:AU$11,Предпосылки!$I$216,),0),AU399/(1+IFERROR(INDEX(AU$10:AU$11,Предпосылки!$I$217,),0))*IFERROR(INDEX(AU$10:AU$11,Предпосылки!$I$217,),0),AU422/(1+IFERROR(INDEX(AU$10:AU$11,Предпосылки!$I$218,),0))*IFERROR(INDEX(AU$10:AU$11,Предпосылки!$I$218,),0),AU445/(1+IFERROR(INDEX(AU$10:AU$11,Предпосылки!$I$219,),0))*IFERROR(INDEX(AU$10:AU$11,Предпосылки!$I$219,),0),AU468/(1+IFERROR(INDEX(AU$10:AU$11,Предпосылки!$I$220,),0))*IFERROR(INDEX(AU$10:AU$11,Предпосылки!$I$220,),0))</f>
        <v>0</v>
      </c>
      <c s="125">
        <f>SUM(AV31/(1+IFERROR(INDEX(AV$10:AV$11,Предпосылки!$I$201,),0))*IFERROR(INDEX(AV$10:AV$11,Предпосылки!$I$201,),0),AV54/(1+IFERROR(INDEX(AV$10:AV$11,Предпосылки!$I$202,),0))*IFERROR(INDEX(AV$10:AV$11,Предпосылки!$I$202,),0),AV77/(1+IFERROR(INDEX(AV$10:AV$11,Предпосылки!$I$203,),0))*IFERROR(INDEX(AV$10:AV$11,Предпосылки!$I$203,),0),AV100/(1+IFERROR(INDEX(AV$10:AV$11,Предпосылки!$I$204,),0))*IFERROR(INDEX(AV$10:AV$11,Предпосылки!$I$204,),0),AV123/(1+IFERROR(INDEX(AV$10:AV$11,Предпосылки!$I$205,),0))*IFERROR(INDEX(AV$10:AV$11,Предпосылки!$I$205,),0),AV146/(1+IFERROR(INDEX(AV$10:AV$11,Предпосылки!$I$206,),0))*IFERROR(INDEX(AV$10:AV$11,Предпосылки!$I$206,),0),AV169/(1+IFERROR(INDEX(AV$10:AV$11,Предпосылки!$I$207,),0))*IFERROR(INDEX(AV$10:AV$11,Предпосылки!$I$207,),0),AV192/(1+IFERROR(INDEX(AV$10:AV$11,Предпосылки!$I$208,),0))*IFERROR(INDEX(AV$10:AV$11,Предпосылки!$I$208,),0),AV215/(1+IFERROR(INDEX(AV$10:AV$11,Предпосылки!$I$209,),0))*IFERROR(INDEX(AV$10:AV$11,Предпосылки!$I$209,),0),AV238/(1+IFERROR(INDEX(AV$10:AV$11,Предпосылки!$I$210,),0))*IFERROR(INDEX(AV$10:AV$11,Предпосылки!$I$210,),0),AV261/(1+IFERROR(INDEX(AV$10:AV$11,Предпосылки!$I$211,),0))*IFERROR(INDEX(AV$10:AV$11,Предпосылки!$I$211,),0),AV284/(1+IFERROR(INDEX(AV$10:AV$11,Предпосылки!$I$212,),0))*IFERROR(INDEX(AV$10:AV$11,Предпосылки!$I$212,),0),AV307/(1+IFERROR(INDEX(AV$10:AV$11,Предпосылки!$I$213,),0))*IFERROR(INDEX(AV$10:AV$11,Предпосылки!$I$213,),0),AV330/(1+IFERROR(INDEX(AV$10:AV$11,Предпосылки!$I$214,),0))*IFERROR(INDEX(AV$10:AV$11,Предпосылки!$I$214,),0),AV353/(1+IFERROR(INDEX(AV$10:AV$11,Предпосылки!$I$215,),0))*IFERROR(INDEX(AV$10:AV$11,Предпосылки!$I$215,),0),AV376/(1+IFERROR(INDEX(AV$10:AV$11,Предпосылки!$I$216,),0))*IFERROR(INDEX(AV$10:AV$11,Предпосылки!$I$216,),0),AV399/(1+IFERROR(INDEX(AV$10:AV$11,Предпосылки!$I$217,),0))*IFERROR(INDEX(AV$10:AV$11,Предпосылки!$I$217,),0),AV422/(1+IFERROR(INDEX(AV$10:AV$11,Предпосылки!$I$218,),0))*IFERROR(INDEX(AV$10:AV$11,Предпосылки!$I$218,),0),AV445/(1+IFERROR(INDEX(AV$10:AV$11,Предпосылки!$I$219,),0))*IFERROR(INDEX(AV$10:AV$11,Предпосылки!$I$219,),0),AV468/(1+IFERROR(INDEX(AV$10:AV$11,Предпосылки!$I$220,),0))*IFERROR(INDEX(AV$10:AV$11,Предпосылки!$I$220,),0))</f>
        <v>0</v>
      </c>
      <c s="125">
        <f>SUM(AW31/(1+IFERROR(INDEX(AW$10:AW$11,Предпосылки!$I$201,),0))*IFERROR(INDEX(AW$10:AW$11,Предпосылки!$I$201,),0),AW54/(1+IFERROR(INDEX(AW$10:AW$11,Предпосылки!$I$202,),0))*IFERROR(INDEX(AW$10:AW$11,Предпосылки!$I$202,),0),AW77/(1+IFERROR(INDEX(AW$10:AW$11,Предпосылки!$I$203,),0))*IFERROR(INDEX(AW$10:AW$11,Предпосылки!$I$203,),0),AW100/(1+IFERROR(INDEX(AW$10:AW$11,Предпосылки!$I$204,),0))*IFERROR(INDEX(AW$10:AW$11,Предпосылки!$I$204,),0),AW123/(1+IFERROR(INDEX(AW$10:AW$11,Предпосылки!$I$205,),0))*IFERROR(INDEX(AW$10:AW$11,Предпосылки!$I$205,),0),AW146/(1+IFERROR(INDEX(AW$10:AW$11,Предпосылки!$I$206,),0))*IFERROR(INDEX(AW$10:AW$11,Предпосылки!$I$206,),0),AW169/(1+IFERROR(INDEX(AW$10:AW$11,Предпосылки!$I$207,),0))*IFERROR(INDEX(AW$10:AW$11,Предпосылки!$I$207,),0),AW192/(1+IFERROR(INDEX(AW$10:AW$11,Предпосылки!$I$208,),0))*IFERROR(INDEX(AW$10:AW$11,Предпосылки!$I$208,),0),AW215/(1+IFERROR(INDEX(AW$10:AW$11,Предпосылки!$I$209,),0))*IFERROR(INDEX(AW$10:AW$11,Предпосылки!$I$209,),0),AW238/(1+IFERROR(INDEX(AW$10:AW$11,Предпосылки!$I$210,),0))*IFERROR(INDEX(AW$10:AW$11,Предпосылки!$I$210,),0),AW261/(1+IFERROR(INDEX(AW$10:AW$11,Предпосылки!$I$211,),0))*IFERROR(INDEX(AW$10:AW$11,Предпосылки!$I$211,),0),AW284/(1+IFERROR(INDEX(AW$10:AW$11,Предпосылки!$I$212,),0))*IFERROR(INDEX(AW$10:AW$11,Предпосылки!$I$212,),0),AW307/(1+IFERROR(INDEX(AW$10:AW$11,Предпосылки!$I$213,),0))*IFERROR(INDEX(AW$10:AW$11,Предпосылки!$I$213,),0),AW330/(1+IFERROR(INDEX(AW$10:AW$11,Предпосылки!$I$214,),0))*IFERROR(INDEX(AW$10:AW$11,Предпосылки!$I$214,),0),AW353/(1+IFERROR(INDEX(AW$10:AW$11,Предпосылки!$I$215,),0))*IFERROR(INDEX(AW$10:AW$11,Предпосылки!$I$215,),0),AW376/(1+IFERROR(INDEX(AW$10:AW$11,Предпосылки!$I$216,),0))*IFERROR(INDEX(AW$10:AW$11,Предпосылки!$I$216,),0),AW399/(1+IFERROR(INDEX(AW$10:AW$11,Предпосылки!$I$217,),0))*IFERROR(INDEX(AW$10:AW$11,Предпосылки!$I$217,),0),AW422/(1+IFERROR(INDEX(AW$10:AW$11,Предпосылки!$I$218,),0))*IFERROR(INDEX(AW$10:AW$11,Предпосылки!$I$218,),0),AW445/(1+IFERROR(INDEX(AW$10:AW$11,Предпосылки!$I$219,),0))*IFERROR(INDEX(AW$10:AW$11,Предпосылки!$I$219,),0),AW468/(1+IFERROR(INDEX(AW$10:AW$11,Предпосылки!$I$220,),0))*IFERROR(INDEX(AW$10:AW$11,Предпосылки!$I$220,),0))</f>
        <v>0</v>
      </c>
      <c s="125">
        <f>SUM(AX31/(1+IFERROR(INDEX(AX$10:AX$11,Предпосылки!$I$201,),0))*IFERROR(INDEX(AX$10:AX$11,Предпосылки!$I$201,),0),AX54/(1+IFERROR(INDEX(AX$10:AX$11,Предпосылки!$I$202,),0))*IFERROR(INDEX(AX$10:AX$11,Предпосылки!$I$202,),0),AX77/(1+IFERROR(INDEX(AX$10:AX$11,Предпосылки!$I$203,),0))*IFERROR(INDEX(AX$10:AX$11,Предпосылки!$I$203,),0),AX100/(1+IFERROR(INDEX(AX$10:AX$11,Предпосылки!$I$204,),0))*IFERROR(INDEX(AX$10:AX$11,Предпосылки!$I$204,),0),AX123/(1+IFERROR(INDEX(AX$10:AX$11,Предпосылки!$I$205,),0))*IFERROR(INDEX(AX$10:AX$11,Предпосылки!$I$205,),0),AX146/(1+IFERROR(INDEX(AX$10:AX$11,Предпосылки!$I$206,),0))*IFERROR(INDEX(AX$10:AX$11,Предпосылки!$I$206,),0),AX169/(1+IFERROR(INDEX(AX$10:AX$11,Предпосылки!$I$207,),0))*IFERROR(INDEX(AX$10:AX$11,Предпосылки!$I$207,),0),AX192/(1+IFERROR(INDEX(AX$10:AX$11,Предпосылки!$I$208,),0))*IFERROR(INDEX(AX$10:AX$11,Предпосылки!$I$208,),0),AX215/(1+IFERROR(INDEX(AX$10:AX$11,Предпосылки!$I$209,),0))*IFERROR(INDEX(AX$10:AX$11,Предпосылки!$I$209,),0),AX238/(1+IFERROR(INDEX(AX$10:AX$11,Предпосылки!$I$210,),0))*IFERROR(INDEX(AX$10:AX$11,Предпосылки!$I$210,),0),AX261/(1+IFERROR(INDEX(AX$10:AX$11,Предпосылки!$I$211,),0))*IFERROR(INDEX(AX$10:AX$11,Предпосылки!$I$211,),0),AX284/(1+IFERROR(INDEX(AX$10:AX$11,Предпосылки!$I$212,),0))*IFERROR(INDEX(AX$10:AX$11,Предпосылки!$I$212,),0),AX307/(1+IFERROR(INDEX(AX$10:AX$11,Предпосылки!$I$213,),0))*IFERROR(INDEX(AX$10:AX$11,Предпосылки!$I$213,),0),AX330/(1+IFERROR(INDEX(AX$10:AX$11,Предпосылки!$I$214,),0))*IFERROR(INDEX(AX$10:AX$11,Предпосылки!$I$214,),0),AX353/(1+IFERROR(INDEX(AX$10:AX$11,Предпосылки!$I$215,),0))*IFERROR(INDEX(AX$10:AX$11,Предпосылки!$I$215,),0),AX376/(1+IFERROR(INDEX(AX$10:AX$11,Предпосылки!$I$216,),0))*IFERROR(INDEX(AX$10:AX$11,Предпосылки!$I$216,),0),AX399/(1+IFERROR(INDEX(AX$10:AX$11,Предпосылки!$I$217,),0))*IFERROR(INDEX(AX$10:AX$11,Предпосылки!$I$217,),0),AX422/(1+IFERROR(INDEX(AX$10:AX$11,Предпосылки!$I$218,),0))*IFERROR(INDEX(AX$10:AX$11,Предпосылки!$I$218,),0),AX445/(1+IFERROR(INDEX(AX$10:AX$11,Предпосылки!$I$219,),0))*IFERROR(INDEX(AX$10:AX$11,Предпосылки!$I$219,),0),AX468/(1+IFERROR(INDEX(AX$10:AX$11,Предпосылки!$I$220,),0))*IFERROR(INDEX(AX$10:AX$11,Предпосылки!$I$220,),0))</f>
        <v>0</v>
      </c>
      <c s="125">
        <f>SUM(AY31/(1+IFERROR(INDEX(AY$10:AY$11,Предпосылки!$I$201,),0))*IFERROR(INDEX(AY$10:AY$11,Предпосылки!$I$201,),0),AY54/(1+IFERROR(INDEX(AY$10:AY$11,Предпосылки!$I$202,),0))*IFERROR(INDEX(AY$10:AY$11,Предпосылки!$I$202,),0),AY77/(1+IFERROR(INDEX(AY$10:AY$11,Предпосылки!$I$203,),0))*IFERROR(INDEX(AY$10:AY$11,Предпосылки!$I$203,),0),AY100/(1+IFERROR(INDEX(AY$10:AY$11,Предпосылки!$I$204,),0))*IFERROR(INDEX(AY$10:AY$11,Предпосылки!$I$204,),0),AY123/(1+IFERROR(INDEX(AY$10:AY$11,Предпосылки!$I$205,),0))*IFERROR(INDEX(AY$10:AY$11,Предпосылки!$I$205,),0),AY146/(1+IFERROR(INDEX(AY$10:AY$11,Предпосылки!$I$206,),0))*IFERROR(INDEX(AY$10:AY$11,Предпосылки!$I$206,),0),AY169/(1+IFERROR(INDEX(AY$10:AY$11,Предпосылки!$I$207,),0))*IFERROR(INDEX(AY$10:AY$11,Предпосылки!$I$207,),0),AY192/(1+IFERROR(INDEX(AY$10:AY$11,Предпосылки!$I$208,),0))*IFERROR(INDEX(AY$10:AY$11,Предпосылки!$I$208,),0),AY215/(1+IFERROR(INDEX(AY$10:AY$11,Предпосылки!$I$209,),0))*IFERROR(INDEX(AY$10:AY$11,Предпосылки!$I$209,),0),AY238/(1+IFERROR(INDEX(AY$10:AY$11,Предпосылки!$I$210,),0))*IFERROR(INDEX(AY$10:AY$11,Предпосылки!$I$210,),0),AY261/(1+IFERROR(INDEX(AY$10:AY$11,Предпосылки!$I$211,),0))*IFERROR(INDEX(AY$10:AY$11,Предпосылки!$I$211,),0),AY284/(1+IFERROR(INDEX(AY$10:AY$11,Предпосылки!$I$212,),0))*IFERROR(INDEX(AY$10:AY$11,Предпосылки!$I$212,),0),AY307/(1+IFERROR(INDEX(AY$10:AY$11,Предпосылки!$I$213,),0))*IFERROR(INDEX(AY$10:AY$11,Предпосылки!$I$213,),0),AY330/(1+IFERROR(INDEX(AY$10:AY$11,Предпосылки!$I$214,),0))*IFERROR(INDEX(AY$10:AY$11,Предпосылки!$I$214,),0),AY353/(1+IFERROR(INDEX(AY$10:AY$11,Предпосылки!$I$215,),0))*IFERROR(INDEX(AY$10:AY$11,Предпосылки!$I$215,),0),AY376/(1+IFERROR(INDEX(AY$10:AY$11,Предпосылки!$I$216,),0))*IFERROR(INDEX(AY$10:AY$11,Предпосылки!$I$216,),0),AY399/(1+IFERROR(INDEX(AY$10:AY$11,Предпосылки!$I$217,),0))*IFERROR(INDEX(AY$10:AY$11,Предпосылки!$I$217,),0),AY422/(1+IFERROR(INDEX(AY$10:AY$11,Предпосылки!$I$218,),0))*IFERROR(INDEX(AY$10:AY$11,Предпосылки!$I$218,),0),AY445/(1+IFERROR(INDEX(AY$10:AY$11,Предпосылки!$I$219,),0))*IFERROR(INDEX(AY$10:AY$11,Предпосылки!$I$219,),0),AY468/(1+IFERROR(INDEX(AY$10:AY$11,Предпосылки!$I$220,),0))*IFERROR(INDEX(AY$10:AY$11,Предпосылки!$I$220,),0))</f>
        <v>0</v>
      </c>
      <c s="125">
        <f>SUM(AZ31/(1+IFERROR(INDEX(AZ$10:AZ$11,Предпосылки!$I$201,),0))*IFERROR(INDEX(AZ$10:AZ$11,Предпосылки!$I$201,),0),AZ54/(1+IFERROR(INDEX(AZ$10:AZ$11,Предпосылки!$I$202,),0))*IFERROR(INDEX(AZ$10:AZ$11,Предпосылки!$I$202,),0),AZ77/(1+IFERROR(INDEX(AZ$10:AZ$11,Предпосылки!$I$203,),0))*IFERROR(INDEX(AZ$10:AZ$11,Предпосылки!$I$203,),0),AZ100/(1+IFERROR(INDEX(AZ$10:AZ$11,Предпосылки!$I$204,),0))*IFERROR(INDEX(AZ$10:AZ$11,Предпосылки!$I$204,),0),AZ123/(1+IFERROR(INDEX(AZ$10:AZ$11,Предпосылки!$I$205,),0))*IFERROR(INDEX(AZ$10:AZ$11,Предпосылки!$I$205,),0),AZ146/(1+IFERROR(INDEX(AZ$10:AZ$11,Предпосылки!$I$206,),0))*IFERROR(INDEX(AZ$10:AZ$11,Предпосылки!$I$206,),0),AZ169/(1+IFERROR(INDEX(AZ$10:AZ$11,Предпосылки!$I$207,),0))*IFERROR(INDEX(AZ$10:AZ$11,Предпосылки!$I$207,),0),AZ192/(1+IFERROR(INDEX(AZ$10:AZ$11,Предпосылки!$I$208,),0))*IFERROR(INDEX(AZ$10:AZ$11,Предпосылки!$I$208,),0),AZ215/(1+IFERROR(INDEX(AZ$10:AZ$11,Предпосылки!$I$209,),0))*IFERROR(INDEX(AZ$10:AZ$11,Предпосылки!$I$209,),0),AZ238/(1+IFERROR(INDEX(AZ$10:AZ$11,Предпосылки!$I$210,),0))*IFERROR(INDEX(AZ$10:AZ$11,Предпосылки!$I$210,),0),AZ261/(1+IFERROR(INDEX(AZ$10:AZ$11,Предпосылки!$I$211,),0))*IFERROR(INDEX(AZ$10:AZ$11,Предпосылки!$I$211,),0),AZ284/(1+IFERROR(INDEX(AZ$10:AZ$11,Предпосылки!$I$212,),0))*IFERROR(INDEX(AZ$10:AZ$11,Предпосылки!$I$212,),0),AZ307/(1+IFERROR(INDEX(AZ$10:AZ$11,Предпосылки!$I$213,),0))*IFERROR(INDEX(AZ$10:AZ$11,Предпосылки!$I$213,),0),AZ330/(1+IFERROR(INDEX(AZ$10:AZ$11,Предпосылки!$I$214,),0))*IFERROR(INDEX(AZ$10:AZ$11,Предпосылки!$I$214,),0),AZ353/(1+IFERROR(INDEX(AZ$10:AZ$11,Предпосылки!$I$215,),0))*IFERROR(INDEX(AZ$10:AZ$11,Предпосылки!$I$215,),0),AZ376/(1+IFERROR(INDEX(AZ$10:AZ$11,Предпосылки!$I$216,),0))*IFERROR(INDEX(AZ$10:AZ$11,Предпосылки!$I$216,),0),AZ399/(1+IFERROR(INDEX(AZ$10:AZ$11,Предпосылки!$I$217,),0))*IFERROR(INDEX(AZ$10:AZ$11,Предпосылки!$I$217,),0),AZ422/(1+IFERROR(INDEX(AZ$10:AZ$11,Предпосылки!$I$218,),0))*IFERROR(INDEX(AZ$10:AZ$11,Предпосылки!$I$218,),0),AZ445/(1+IFERROR(INDEX(AZ$10:AZ$11,Предпосылки!$I$219,),0))*IFERROR(INDEX(AZ$10:AZ$11,Предпосылки!$I$219,),0),AZ468/(1+IFERROR(INDEX(AZ$10:AZ$11,Предпосылки!$I$220,),0))*IFERROR(INDEX(AZ$10:AZ$11,Предпосылки!$I$220,),0))</f>
        <v>0</v>
      </c>
      <c s="125">
        <f>SUM(BA31/(1+IFERROR(INDEX(BA$10:BA$11,Предпосылки!$I$201,),0))*IFERROR(INDEX(BA$10:BA$11,Предпосылки!$I$201,),0),BA54/(1+IFERROR(INDEX(BA$10:BA$11,Предпосылки!$I$202,),0))*IFERROR(INDEX(BA$10:BA$11,Предпосылки!$I$202,),0),BA77/(1+IFERROR(INDEX(BA$10:BA$11,Предпосылки!$I$203,),0))*IFERROR(INDEX(BA$10:BA$11,Предпосылки!$I$203,),0),BA100/(1+IFERROR(INDEX(BA$10:BA$11,Предпосылки!$I$204,),0))*IFERROR(INDEX(BA$10:BA$11,Предпосылки!$I$204,),0),BA123/(1+IFERROR(INDEX(BA$10:BA$11,Предпосылки!$I$205,),0))*IFERROR(INDEX(BA$10:BA$11,Предпосылки!$I$205,),0),BA146/(1+IFERROR(INDEX(BA$10:BA$11,Предпосылки!$I$206,),0))*IFERROR(INDEX(BA$10:BA$11,Предпосылки!$I$206,),0),BA169/(1+IFERROR(INDEX(BA$10:BA$11,Предпосылки!$I$207,),0))*IFERROR(INDEX(BA$10:BA$11,Предпосылки!$I$207,),0),BA192/(1+IFERROR(INDEX(BA$10:BA$11,Предпосылки!$I$208,),0))*IFERROR(INDEX(BA$10:BA$11,Предпосылки!$I$208,),0),BA215/(1+IFERROR(INDEX(BA$10:BA$11,Предпосылки!$I$209,),0))*IFERROR(INDEX(BA$10:BA$11,Предпосылки!$I$209,),0),BA238/(1+IFERROR(INDEX(BA$10:BA$11,Предпосылки!$I$210,),0))*IFERROR(INDEX(BA$10:BA$11,Предпосылки!$I$210,),0),BA261/(1+IFERROR(INDEX(BA$10:BA$11,Предпосылки!$I$211,),0))*IFERROR(INDEX(BA$10:BA$11,Предпосылки!$I$211,),0),BA284/(1+IFERROR(INDEX(BA$10:BA$11,Предпосылки!$I$212,),0))*IFERROR(INDEX(BA$10:BA$11,Предпосылки!$I$212,),0),BA307/(1+IFERROR(INDEX(BA$10:BA$11,Предпосылки!$I$213,),0))*IFERROR(INDEX(BA$10:BA$11,Предпосылки!$I$213,),0),BA330/(1+IFERROR(INDEX(BA$10:BA$11,Предпосылки!$I$214,),0))*IFERROR(INDEX(BA$10:BA$11,Предпосылки!$I$214,),0),BA353/(1+IFERROR(INDEX(BA$10:BA$11,Предпосылки!$I$215,),0))*IFERROR(INDEX(BA$10:BA$11,Предпосылки!$I$215,),0),BA376/(1+IFERROR(INDEX(BA$10:BA$11,Предпосылки!$I$216,),0))*IFERROR(INDEX(BA$10:BA$11,Предпосылки!$I$216,),0),BA399/(1+IFERROR(INDEX(BA$10:BA$11,Предпосылки!$I$217,),0))*IFERROR(INDEX(BA$10:BA$11,Предпосылки!$I$217,),0),BA422/(1+IFERROR(INDEX(BA$10:BA$11,Предпосылки!$I$218,),0))*IFERROR(INDEX(BA$10:BA$11,Предпосылки!$I$218,),0),BA445/(1+IFERROR(INDEX(BA$10:BA$11,Предпосылки!$I$219,),0))*IFERROR(INDEX(BA$10:BA$11,Предпосылки!$I$219,),0),BA468/(1+IFERROR(INDEX(BA$10:BA$11,Предпосылки!$I$220,),0))*IFERROR(INDEX(BA$10:BA$11,Предпосылки!$I$220,),0))</f>
        <v>0</v>
      </c>
      <c s="125">
        <f>SUM(BB31/(1+IFERROR(INDEX(BB$10:BB$11,Предпосылки!$I$201,),0))*IFERROR(INDEX(BB$10:BB$11,Предпосылки!$I$201,),0),BB54/(1+IFERROR(INDEX(BB$10:BB$11,Предпосылки!$I$202,),0))*IFERROR(INDEX(BB$10:BB$11,Предпосылки!$I$202,),0),BB77/(1+IFERROR(INDEX(BB$10:BB$11,Предпосылки!$I$203,),0))*IFERROR(INDEX(BB$10:BB$11,Предпосылки!$I$203,),0),BB100/(1+IFERROR(INDEX(BB$10:BB$11,Предпосылки!$I$204,),0))*IFERROR(INDEX(BB$10:BB$11,Предпосылки!$I$204,),0),BB123/(1+IFERROR(INDEX(BB$10:BB$11,Предпосылки!$I$205,),0))*IFERROR(INDEX(BB$10:BB$11,Предпосылки!$I$205,),0),BB146/(1+IFERROR(INDEX(BB$10:BB$11,Предпосылки!$I$206,),0))*IFERROR(INDEX(BB$10:BB$11,Предпосылки!$I$206,),0),BB169/(1+IFERROR(INDEX(BB$10:BB$11,Предпосылки!$I$207,),0))*IFERROR(INDEX(BB$10:BB$11,Предпосылки!$I$207,),0),BB192/(1+IFERROR(INDEX(BB$10:BB$11,Предпосылки!$I$208,),0))*IFERROR(INDEX(BB$10:BB$11,Предпосылки!$I$208,),0),BB215/(1+IFERROR(INDEX(BB$10:BB$11,Предпосылки!$I$209,),0))*IFERROR(INDEX(BB$10:BB$11,Предпосылки!$I$209,),0),BB238/(1+IFERROR(INDEX(BB$10:BB$11,Предпосылки!$I$210,),0))*IFERROR(INDEX(BB$10:BB$11,Предпосылки!$I$210,),0),BB261/(1+IFERROR(INDEX(BB$10:BB$11,Предпосылки!$I$211,),0))*IFERROR(INDEX(BB$10:BB$11,Предпосылки!$I$211,),0),BB284/(1+IFERROR(INDEX(BB$10:BB$11,Предпосылки!$I$212,),0))*IFERROR(INDEX(BB$10:BB$11,Предпосылки!$I$212,),0),BB307/(1+IFERROR(INDEX(BB$10:BB$11,Предпосылки!$I$213,),0))*IFERROR(INDEX(BB$10:BB$11,Предпосылки!$I$213,),0),BB330/(1+IFERROR(INDEX(BB$10:BB$11,Предпосылки!$I$214,),0))*IFERROR(INDEX(BB$10:BB$11,Предпосылки!$I$214,),0),BB353/(1+IFERROR(INDEX(BB$10:BB$11,Предпосылки!$I$215,),0))*IFERROR(INDEX(BB$10:BB$11,Предпосылки!$I$215,),0),BB376/(1+IFERROR(INDEX(BB$10:BB$11,Предпосылки!$I$216,),0))*IFERROR(INDEX(BB$10:BB$11,Предпосылки!$I$216,),0),BB399/(1+IFERROR(INDEX(BB$10:BB$11,Предпосылки!$I$217,),0))*IFERROR(INDEX(BB$10:BB$11,Предпосылки!$I$217,),0),BB422/(1+IFERROR(INDEX(BB$10:BB$11,Предпосылки!$I$218,),0))*IFERROR(INDEX(BB$10:BB$11,Предпосылки!$I$218,),0),BB445/(1+IFERROR(INDEX(BB$10:BB$11,Предпосылки!$I$219,),0))*IFERROR(INDEX(BB$10:BB$11,Предпосылки!$I$219,),0),BB468/(1+IFERROR(INDEX(BB$10:BB$11,Предпосылки!$I$220,),0))*IFERROR(INDEX(BB$10:BB$11,Предпосылки!$I$220,),0))</f>
        <v>0</v>
      </c>
      <c s="125">
        <f>SUM(BC31/(1+IFERROR(INDEX(BC$10:BC$11,Предпосылки!$I$201,),0))*IFERROR(INDEX(BC$10:BC$11,Предпосылки!$I$201,),0),BC54/(1+IFERROR(INDEX(BC$10:BC$11,Предпосылки!$I$202,),0))*IFERROR(INDEX(BC$10:BC$11,Предпосылки!$I$202,),0),BC77/(1+IFERROR(INDEX(BC$10:BC$11,Предпосылки!$I$203,),0))*IFERROR(INDEX(BC$10:BC$11,Предпосылки!$I$203,),0),BC100/(1+IFERROR(INDEX(BC$10:BC$11,Предпосылки!$I$204,),0))*IFERROR(INDEX(BC$10:BC$11,Предпосылки!$I$204,),0),BC123/(1+IFERROR(INDEX(BC$10:BC$11,Предпосылки!$I$205,),0))*IFERROR(INDEX(BC$10:BC$11,Предпосылки!$I$205,),0),BC146/(1+IFERROR(INDEX(BC$10:BC$11,Предпосылки!$I$206,),0))*IFERROR(INDEX(BC$10:BC$11,Предпосылки!$I$206,),0),BC169/(1+IFERROR(INDEX(BC$10:BC$11,Предпосылки!$I$207,),0))*IFERROR(INDEX(BC$10:BC$11,Предпосылки!$I$207,),0),BC192/(1+IFERROR(INDEX(BC$10:BC$11,Предпосылки!$I$208,),0))*IFERROR(INDEX(BC$10:BC$11,Предпосылки!$I$208,),0),BC215/(1+IFERROR(INDEX(BC$10:BC$11,Предпосылки!$I$209,),0))*IFERROR(INDEX(BC$10:BC$11,Предпосылки!$I$209,),0),BC238/(1+IFERROR(INDEX(BC$10:BC$11,Предпосылки!$I$210,),0))*IFERROR(INDEX(BC$10:BC$11,Предпосылки!$I$210,),0),BC261/(1+IFERROR(INDEX(BC$10:BC$11,Предпосылки!$I$211,),0))*IFERROR(INDEX(BC$10:BC$11,Предпосылки!$I$211,),0),BC284/(1+IFERROR(INDEX(BC$10:BC$11,Предпосылки!$I$212,),0))*IFERROR(INDEX(BC$10:BC$11,Предпосылки!$I$212,),0),BC307/(1+IFERROR(INDEX(BC$10:BC$11,Предпосылки!$I$213,),0))*IFERROR(INDEX(BC$10:BC$11,Предпосылки!$I$213,),0),BC330/(1+IFERROR(INDEX(BC$10:BC$11,Предпосылки!$I$214,),0))*IFERROR(INDEX(BC$10:BC$11,Предпосылки!$I$214,),0),BC353/(1+IFERROR(INDEX(BC$10:BC$11,Предпосылки!$I$215,),0))*IFERROR(INDEX(BC$10:BC$11,Предпосылки!$I$215,),0),BC376/(1+IFERROR(INDEX(BC$10:BC$11,Предпосылки!$I$216,),0))*IFERROR(INDEX(BC$10:BC$11,Предпосылки!$I$216,),0),BC399/(1+IFERROR(INDEX(BC$10:BC$11,Предпосылки!$I$217,),0))*IFERROR(INDEX(BC$10:BC$11,Предпосылки!$I$217,),0),BC422/(1+IFERROR(INDEX(BC$10:BC$11,Предпосылки!$I$218,),0))*IFERROR(INDEX(BC$10:BC$11,Предпосылки!$I$218,),0),BC445/(1+IFERROR(INDEX(BC$10:BC$11,Предпосылки!$I$219,),0))*IFERROR(INDEX(BC$10:BC$11,Предпосылки!$I$219,),0),BC468/(1+IFERROR(INDEX(BC$10:BC$11,Предпосылки!$I$220,),0))*IFERROR(INDEX(BC$10:BC$11,Предпосылки!$I$220,),0))</f>
        <v>0</v>
      </c>
      <c s="125">
        <f>SUM(BD31/(1+IFERROR(INDEX(BD$10:BD$11,Предпосылки!$I$201,),0))*IFERROR(INDEX(BD$10:BD$11,Предпосылки!$I$201,),0),BD54/(1+IFERROR(INDEX(BD$10:BD$11,Предпосылки!$I$202,),0))*IFERROR(INDEX(BD$10:BD$11,Предпосылки!$I$202,),0),BD77/(1+IFERROR(INDEX(BD$10:BD$11,Предпосылки!$I$203,),0))*IFERROR(INDEX(BD$10:BD$11,Предпосылки!$I$203,),0),BD100/(1+IFERROR(INDEX(BD$10:BD$11,Предпосылки!$I$204,),0))*IFERROR(INDEX(BD$10:BD$11,Предпосылки!$I$204,),0),BD123/(1+IFERROR(INDEX(BD$10:BD$11,Предпосылки!$I$205,),0))*IFERROR(INDEX(BD$10:BD$11,Предпосылки!$I$205,),0),BD146/(1+IFERROR(INDEX(BD$10:BD$11,Предпосылки!$I$206,),0))*IFERROR(INDEX(BD$10:BD$11,Предпосылки!$I$206,),0),BD169/(1+IFERROR(INDEX(BD$10:BD$11,Предпосылки!$I$207,),0))*IFERROR(INDEX(BD$10:BD$11,Предпосылки!$I$207,),0),BD192/(1+IFERROR(INDEX(BD$10:BD$11,Предпосылки!$I$208,),0))*IFERROR(INDEX(BD$10:BD$11,Предпосылки!$I$208,),0),BD215/(1+IFERROR(INDEX(BD$10:BD$11,Предпосылки!$I$209,),0))*IFERROR(INDEX(BD$10:BD$11,Предпосылки!$I$209,),0),BD238/(1+IFERROR(INDEX(BD$10:BD$11,Предпосылки!$I$210,),0))*IFERROR(INDEX(BD$10:BD$11,Предпосылки!$I$210,),0),BD261/(1+IFERROR(INDEX(BD$10:BD$11,Предпосылки!$I$211,),0))*IFERROR(INDEX(BD$10:BD$11,Предпосылки!$I$211,),0),BD284/(1+IFERROR(INDEX(BD$10:BD$11,Предпосылки!$I$212,),0))*IFERROR(INDEX(BD$10:BD$11,Предпосылки!$I$212,),0),BD307/(1+IFERROR(INDEX(BD$10:BD$11,Предпосылки!$I$213,),0))*IFERROR(INDEX(BD$10:BD$11,Предпосылки!$I$213,),0),BD330/(1+IFERROR(INDEX(BD$10:BD$11,Предпосылки!$I$214,),0))*IFERROR(INDEX(BD$10:BD$11,Предпосылки!$I$214,),0),BD353/(1+IFERROR(INDEX(BD$10:BD$11,Предпосылки!$I$215,),0))*IFERROR(INDEX(BD$10:BD$11,Предпосылки!$I$215,),0),BD376/(1+IFERROR(INDEX(BD$10:BD$11,Предпосылки!$I$216,),0))*IFERROR(INDEX(BD$10:BD$11,Предпосылки!$I$216,),0),BD399/(1+IFERROR(INDEX(BD$10:BD$11,Предпосылки!$I$217,),0))*IFERROR(INDEX(BD$10:BD$11,Предпосылки!$I$217,),0),BD422/(1+IFERROR(INDEX(BD$10:BD$11,Предпосылки!$I$218,),0))*IFERROR(INDEX(BD$10:BD$11,Предпосылки!$I$218,),0),BD445/(1+IFERROR(INDEX(BD$10:BD$11,Предпосылки!$I$219,),0))*IFERROR(INDEX(BD$10:BD$11,Предпосылки!$I$219,),0),BD468/(1+IFERROR(INDEX(BD$10:BD$11,Предпосылки!$I$220,),0))*IFERROR(INDEX(BD$10:BD$11,Предпосылки!$I$220,),0))</f>
        <v>0</v>
      </c>
      <c s="125">
        <f>SUM(BE31/(1+IFERROR(INDEX(BE$10:BE$11,Предпосылки!$I$201,),0))*IFERROR(INDEX(BE$10:BE$11,Предпосылки!$I$201,),0),BE54/(1+IFERROR(INDEX(BE$10:BE$11,Предпосылки!$I$202,),0))*IFERROR(INDEX(BE$10:BE$11,Предпосылки!$I$202,),0),BE77/(1+IFERROR(INDEX(BE$10:BE$11,Предпосылки!$I$203,),0))*IFERROR(INDEX(BE$10:BE$11,Предпосылки!$I$203,),0),BE100/(1+IFERROR(INDEX(BE$10:BE$11,Предпосылки!$I$204,),0))*IFERROR(INDEX(BE$10:BE$11,Предпосылки!$I$204,),0),BE123/(1+IFERROR(INDEX(BE$10:BE$11,Предпосылки!$I$205,),0))*IFERROR(INDEX(BE$10:BE$11,Предпосылки!$I$205,),0),BE146/(1+IFERROR(INDEX(BE$10:BE$11,Предпосылки!$I$206,),0))*IFERROR(INDEX(BE$10:BE$11,Предпосылки!$I$206,),0),BE169/(1+IFERROR(INDEX(BE$10:BE$11,Предпосылки!$I$207,),0))*IFERROR(INDEX(BE$10:BE$11,Предпосылки!$I$207,),0),BE192/(1+IFERROR(INDEX(BE$10:BE$11,Предпосылки!$I$208,),0))*IFERROR(INDEX(BE$10:BE$11,Предпосылки!$I$208,),0),BE215/(1+IFERROR(INDEX(BE$10:BE$11,Предпосылки!$I$209,),0))*IFERROR(INDEX(BE$10:BE$11,Предпосылки!$I$209,),0),BE238/(1+IFERROR(INDEX(BE$10:BE$11,Предпосылки!$I$210,),0))*IFERROR(INDEX(BE$10:BE$11,Предпосылки!$I$210,),0),BE261/(1+IFERROR(INDEX(BE$10:BE$11,Предпосылки!$I$211,),0))*IFERROR(INDEX(BE$10:BE$11,Предпосылки!$I$211,),0),BE284/(1+IFERROR(INDEX(BE$10:BE$11,Предпосылки!$I$212,),0))*IFERROR(INDEX(BE$10:BE$11,Предпосылки!$I$212,),0),BE307/(1+IFERROR(INDEX(BE$10:BE$11,Предпосылки!$I$213,),0))*IFERROR(INDEX(BE$10:BE$11,Предпосылки!$I$213,),0),BE330/(1+IFERROR(INDEX(BE$10:BE$11,Предпосылки!$I$214,),0))*IFERROR(INDEX(BE$10:BE$11,Предпосылки!$I$214,),0),BE353/(1+IFERROR(INDEX(BE$10:BE$11,Предпосылки!$I$215,),0))*IFERROR(INDEX(BE$10:BE$11,Предпосылки!$I$215,),0),BE376/(1+IFERROR(INDEX(BE$10:BE$11,Предпосылки!$I$216,),0))*IFERROR(INDEX(BE$10:BE$11,Предпосылки!$I$216,),0),BE399/(1+IFERROR(INDEX(BE$10:BE$11,Предпосылки!$I$217,),0))*IFERROR(INDEX(BE$10:BE$11,Предпосылки!$I$217,),0),BE422/(1+IFERROR(INDEX(BE$10:BE$11,Предпосылки!$I$218,),0))*IFERROR(INDEX(BE$10:BE$11,Предпосылки!$I$218,),0),BE445/(1+IFERROR(INDEX(BE$10:BE$11,Предпосылки!$I$219,),0))*IFERROR(INDEX(BE$10:BE$11,Предпосылки!$I$219,),0),BE468/(1+IFERROR(INDEX(BE$10:BE$11,Предпосылки!$I$220,),0))*IFERROR(INDEX(BE$10:BE$11,Предпосылки!$I$220,),0))</f>
        <v>0</v>
      </c>
      <c s="125">
        <f>SUM(BF31/(1+IFERROR(INDEX(BF$10:BF$11,Предпосылки!$I$201,),0))*IFERROR(INDEX(BF$10:BF$11,Предпосылки!$I$201,),0),BF54/(1+IFERROR(INDEX(BF$10:BF$11,Предпосылки!$I$202,),0))*IFERROR(INDEX(BF$10:BF$11,Предпосылки!$I$202,),0),BF77/(1+IFERROR(INDEX(BF$10:BF$11,Предпосылки!$I$203,),0))*IFERROR(INDEX(BF$10:BF$11,Предпосылки!$I$203,),0),BF100/(1+IFERROR(INDEX(BF$10:BF$11,Предпосылки!$I$204,),0))*IFERROR(INDEX(BF$10:BF$11,Предпосылки!$I$204,),0),BF123/(1+IFERROR(INDEX(BF$10:BF$11,Предпосылки!$I$205,),0))*IFERROR(INDEX(BF$10:BF$11,Предпосылки!$I$205,),0),BF146/(1+IFERROR(INDEX(BF$10:BF$11,Предпосылки!$I$206,),0))*IFERROR(INDEX(BF$10:BF$11,Предпосылки!$I$206,),0),BF169/(1+IFERROR(INDEX(BF$10:BF$11,Предпосылки!$I$207,),0))*IFERROR(INDEX(BF$10:BF$11,Предпосылки!$I$207,),0),BF192/(1+IFERROR(INDEX(BF$10:BF$11,Предпосылки!$I$208,),0))*IFERROR(INDEX(BF$10:BF$11,Предпосылки!$I$208,),0),BF215/(1+IFERROR(INDEX(BF$10:BF$11,Предпосылки!$I$209,),0))*IFERROR(INDEX(BF$10:BF$11,Предпосылки!$I$209,),0),BF238/(1+IFERROR(INDEX(BF$10:BF$11,Предпосылки!$I$210,),0))*IFERROR(INDEX(BF$10:BF$11,Предпосылки!$I$210,),0),BF261/(1+IFERROR(INDEX(BF$10:BF$11,Предпосылки!$I$211,),0))*IFERROR(INDEX(BF$10:BF$11,Предпосылки!$I$211,),0),BF284/(1+IFERROR(INDEX(BF$10:BF$11,Предпосылки!$I$212,),0))*IFERROR(INDEX(BF$10:BF$11,Предпосылки!$I$212,),0),BF307/(1+IFERROR(INDEX(BF$10:BF$11,Предпосылки!$I$213,),0))*IFERROR(INDEX(BF$10:BF$11,Предпосылки!$I$213,),0),BF330/(1+IFERROR(INDEX(BF$10:BF$11,Предпосылки!$I$214,),0))*IFERROR(INDEX(BF$10:BF$11,Предпосылки!$I$214,),0),BF353/(1+IFERROR(INDEX(BF$10:BF$11,Предпосылки!$I$215,),0))*IFERROR(INDEX(BF$10:BF$11,Предпосылки!$I$215,),0),BF376/(1+IFERROR(INDEX(BF$10:BF$11,Предпосылки!$I$216,),0))*IFERROR(INDEX(BF$10:BF$11,Предпосылки!$I$216,),0),BF399/(1+IFERROR(INDEX(BF$10:BF$11,Предпосылки!$I$217,),0))*IFERROR(INDEX(BF$10:BF$11,Предпосылки!$I$217,),0),BF422/(1+IFERROR(INDEX(BF$10:BF$11,Предпосылки!$I$218,),0))*IFERROR(INDEX(BF$10:BF$11,Предпосылки!$I$218,),0),BF445/(1+IFERROR(INDEX(BF$10:BF$11,Предпосылки!$I$219,),0))*IFERROR(INDEX(BF$10:BF$11,Предпосылки!$I$219,),0),BF468/(1+IFERROR(INDEX(BF$10:BF$11,Предпосылки!$I$220,),0))*IFERROR(INDEX(BF$10:BF$11,Предпосылки!$I$220,),0))</f>
        <v>0</v>
      </c>
      <c s="125">
        <f>SUM(BG31/(1+IFERROR(INDEX(BG$10:BG$11,Предпосылки!$I$201,),0))*IFERROR(INDEX(BG$10:BG$11,Предпосылки!$I$201,),0),BG54/(1+IFERROR(INDEX(BG$10:BG$11,Предпосылки!$I$202,),0))*IFERROR(INDEX(BG$10:BG$11,Предпосылки!$I$202,),0),BG77/(1+IFERROR(INDEX(BG$10:BG$11,Предпосылки!$I$203,),0))*IFERROR(INDEX(BG$10:BG$11,Предпосылки!$I$203,),0),BG100/(1+IFERROR(INDEX(BG$10:BG$11,Предпосылки!$I$204,),0))*IFERROR(INDEX(BG$10:BG$11,Предпосылки!$I$204,),0),BG123/(1+IFERROR(INDEX(BG$10:BG$11,Предпосылки!$I$205,),0))*IFERROR(INDEX(BG$10:BG$11,Предпосылки!$I$205,),0),BG146/(1+IFERROR(INDEX(BG$10:BG$11,Предпосылки!$I$206,),0))*IFERROR(INDEX(BG$10:BG$11,Предпосылки!$I$206,),0),BG169/(1+IFERROR(INDEX(BG$10:BG$11,Предпосылки!$I$207,),0))*IFERROR(INDEX(BG$10:BG$11,Предпосылки!$I$207,),0),BG192/(1+IFERROR(INDEX(BG$10:BG$11,Предпосылки!$I$208,),0))*IFERROR(INDEX(BG$10:BG$11,Предпосылки!$I$208,),0),BG215/(1+IFERROR(INDEX(BG$10:BG$11,Предпосылки!$I$209,),0))*IFERROR(INDEX(BG$10:BG$11,Предпосылки!$I$209,),0),BG238/(1+IFERROR(INDEX(BG$10:BG$11,Предпосылки!$I$210,),0))*IFERROR(INDEX(BG$10:BG$11,Предпосылки!$I$210,),0),BG261/(1+IFERROR(INDEX(BG$10:BG$11,Предпосылки!$I$211,),0))*IFERROR(INDEX(BG$10:BG$11,Предпосылки!$I$211,),0),BG284/(1+IFERROR(INDEX(BG$10:BG$11,Предпосылки!$I$212,),0))*IFERROR(INDEX(BG$10:BG$11,Предпосылки!$I$212,),0),BG307/(1+IFERROR(INDEX(BG$10:BG$11,Предпосылки!$I$213,),0))*IFERROR(INDEX(BG$10:BG$11,Предпосылки!$I$213,),0),BG330/(1+IFERROR(INDEX(BG$10:BG$11,Предпосылки!$I$214,),0))*IFERROR(INDEX(BG$10:BG$11,Предпосылки!$I$214,),0),BG353/(1+IFERROR(INDEX(BG$10:BG$11,Предпосылки!$I$215,),0))*IFERROR(INDEX(BG$10:BG$11,Предпосылки!$I$215,),0),BG376/(1+IFERROR(INDEX(BG$10:BG$11,Предпосылки!$I$216,),0))*IFERROR(INDEX(BG$10:BG$11,Предпосылки!$I$216,),0),BG399/(1+IFERROR(INDEX(BG$10:BG$11,Предпосылки!$I$217,),0))*IFERROR(INDEX(BG$10:BG$11,Предпосылки!$I$217,),0),BG422/(1+IFERROR(INDEX(BG$10:BG$11,Предпосылки!$I$218,),0))*IFERROR(INDEX(BG$10:BG$11,Предпосылки!$I$218,),0),BG445/(1+IFERROR(INDEX(BG$10:BG$11,Предпосылки!$I$219,),0))*IFERROR(INDEX(BG$10:BG$11,Предпосылки!$I$219,),0),BG468/(1+IFERROR(INDEX(BG$10:BG$11,Предпосылки!$I$220,),0))*IFERROR(INDEX(BG$10:BG$11,Предпосылки!$I$220,),0))</f>
        <v>0</v>
      </c>
      <c s="125">
        <f>SUM(BH31/(1+IFERROR(INDEX(BH$10:BH$11,Предпосылки!$I$201,),0))*IFERROR(INDEX(BH$10:BH$11,Предпосылки!$I$201,),0),BH54/(1+IFERROR(INDEX(BH$10:BH$11,Предпосылки!$I$202,),0))*IFERROR(INDEX(BH$10:BH$11,Предпосылки!$I$202,),0),BH77/(1+IFERROR(INDEX(BH$10:BH$11,Предпосылки!$I$203,),0))*IFERROR(INDEX(BH$10:BH$11,Предпосылки!$I$203,),0),BH100/(1+IFERROR(INDEX(BH$10:BH$11,Предпосылки!$I$204,),0))*IFERROR(INDEX(BH$10:BH$11,Предпосылки!$I$204,),0),BH123/(1+IFERROR(INDEX(BH$10:BH$11,Предпосылки!$I$205,),0))*IFERROR(INDEX(BH$10:BH$11,Предпосылки!$I$205,),0),BH146/(1+IFERROR(INDEX(BH$10:BH$11,Предпосылки!$I$206,),0))*IFERROR(INDEX(BH$10:BH$11,Предпосылки!$I$206,),0),BH169/(1+IFERROR(INDEX(BH$10:BH$11,Предпосылки!$I$207,),0))*IFERROR(INDEX(BH$10:BH$11,Предпосылки!$I$207,),0),BH192/(1+IFERROR(INDEX(BH$10:BH$11,Предпосылки!$I$208,),0))*IFERROR(INDEX(BH$10:BH$11,Предпосылки!$I$208,),0),BH215/(1+IFERROR(INDEX(BH$10:BH$11,Предпосылки!$I$209,),0))*IFERROR(INDEX(BH$10:BH$11,Предпосылки!$I$209,),0),BH238/(1+IFERROR(INDEX(BH$10:BH$11,Предпосылки!$I$210,),0))*IFERROR(INDEX(BH$10:BH$11,Предпосылки!$I$210,),0),BH261/(1+IFERROR(INDEX(BH$10:BH$11,Предпосылки!$I$211,),0))*IFERROR(INDEX(BH$10:BH$11,Предпосылки!$I$211,),0),BH284/(1+IFERROR(INDEX(BH$10:BH$11,Предпосылки!$I$212,),0))*IFERROR(INDEX(BH$10:BH$11,Предпосылки!$I$212,),0),BH307/(1+IFERROR(INDEX(BH$10:BH$11,Предпосылки!$I$213,),0))*IFERROR(INDEX(BH$10:BH$11,Предпосылки!$I$213,),0),BH330/(1+IFERROR(INDEX(BH$10:BH$11,Предпосылки!$I$214,),0))*IFERROR(INDEX(BH$10:BH$11,Предпосылки!$I$214,),0),BH353/(1+IFERROR(INDEX(BH$10:BH$11,Предпосылки!$I$215,),0))*IFERROR(INDEX(BH$10:BH$11,Предпосылки!$I$215,),0),BH376/(1+IFERROR(INDEX(BH$10:BH$11,Предпосылки!$I$216,),0))*IFERROR(INDEX(BH$10:BH$11,Предпосылки!$I$216,),0),BH399/(1+IFERROR(INDEX(BH$10:BH$11,Предпосылки!$I$217,),0))*IFERROR(INDEX(BH$10:BH$11,Предпосылки!$I$217,),0),BH422/(1+IFERROR(INDEX(BH$10:BH$11,Предпосылки!$I$218,),0))*IFERROR(INDEX(BH$10:BH$11,Предпосылки!$I$218,),0),BH445/(1+IFERROR(INDEX(BH$10:BH$11,Предпосылки!$I$219,),0))*IFERROR(INDEX(BH$10:BH$11,Предпосылки!$I$219,),0),BH468/(1+IFERROR(INDEX(BH$10:BH$11,Предпосылки!$I$220,),0))*IFERROR(INDEX(BH$10:BH$11,Предпосылки!$I$220,),0))</f>
        <v>0</v>
      </c>
      <c s="125">
        <f>SUM(BI31/(1+IFERROR(INDEX(BI$10:BI$11,Предпосылки!$I$201,),0))*IFERROR(INDEX(BI$10:BI$11,Предпосылки!$I$201,),0),BI54/(1+IFERROR(INDEX(BI$10:BI$11,Предпосылки!$I$202,),0))*IFERROR(INDEX(BI$10:BI$11,Предпосылки!$I$202,),0),BI77/(1+IFERROR(INDEX(BI$10:BI$11,Предпосылки!$I$203,),0))*IFERROR(INDEX(BI$10:BI$11,Предпосылки!$I$203,),0),BI100/(1+IFERROR(INDEX(BI$10:BI$11,Предпосылки!$I$204,),0))*IFERROR(INDEX(BI$10:BI$11,Предпосылки!$I$204,),0),BI123/(1+IFERROR(INDEX(BI$10:BI$11,Предпосылки!$I$205,),0))*IFERROR(INDEX(BI$10:BI$11,Предпосылки!$I$205,),0),BI146/(1+IFERROR(INDEX(BI$10:BI$11,Предпосылки!$I$206,),0))*IFERROR(INDEX(BI$10:BI$11,Предпосылки!$I$206,),0),BI169/(1+IFERROR(INDEX(BI$10:BI$11,Предпосылки!$I$207,),0))*IFERROR(INDEX(BI$10:BI$11,Предпосылки!$I$207,),0),BI192/(1+IFERROR(INDEX(BI$10:BI$11,Предпосылки!$I$208,),0))*IFERROR(INDEX(BI$10:BI$11,Предпосылки!$I$208,),0),BI215/(1+IFERROR(INDEX(BI$10:BI$11,Предпосылки!$I$209,),0))*IFERROR(INDEX(BI$10:BI$11,Предпосылки!$I$209,),0),BI238/(1+IFERROR(INDEX(BI$10:BI$11,Предпосылки!$I$210,),0))*IFERROR(INDEX(BI$10:BI$11,Предпосылки!$I$210,),0),BI261/(1+IFERROR(INDEX(BI$10:BI$11,Предпосылки!$I$211,),0))*IFERROR(INDEX(BI$10:BI$11,Предпосылки!$I$211,),0),BI284/(1+IFERROR(INDEX(BI$10:BI$11,Предпосылки!$I$212,),0))*IFERROR(INDEX(BI$10:BI$11,Предпосылки!$I$212,),0),BI307/(1+IFERROR(INDEX(BI$10:BI$11,Предпосылки!$I$213,),0))*IFERROR(INDEX(BI$10:BI$11,Предпосылки!$I$213,),0),BI330/(1+IFERROR(INDEX(BI$10:BI$11,Предпосылки!$I$214,),0))*IFERROR(INDEX(BI$10:BI$11,Предпосылки!$I$214,),0),BI353/(1+IFERROR(INDEX(BI$10:BI$11,Предпосылки!$I$215,),0))*IFERROR(INDEX(BI$10:BI$11,Предпосылки!$I$215,),0),BI376/(1+IFERROR(INDEX(BI$10:BI$11,Предпосылки!$I$216,),0))*IFERROR(INDEX(BI$10:BI$11,Предпосылки!$I$216,),0),BI399/(1+IFERROR(INDEX(BI$10:BI$11,Предпосылки!$I$217,),0))*IFERROR(INDEX(BI$10:BI$11,Предпосылки!$I$217,),0),BI422/(1+IFERROR(INDEX(BI$10:BI$11,Предпосылки!$I$218,),0))*IFERROR(INDEX(BI$10:BI$11,Предпосылки!$I$218,),0),BI445/(1+IFERROR(INDEX(BI$10:BI$11,Предпосылки!$I$219,),0))*IFERROR(INDEX(BI$10:BI$11,Предпосылки!$I$219,),0),BI468/(1+IFERROR(INDEX(BI$10:BI$11,Предпосылки!$I$220,),0))*IFERROR(INDEX(BI$10:BI$11,Предпосылки!$I$220,),0))</f>
        <v>0</v>
      </c>
      <c s="125">
        <f>SUM(BJ31/(1+IFERROR(INDEX(BJ$10:BJ$11,Предпосылки!$I$201,),0))*IFERROR(INDEX(BJ$10:BJ$11,Предпосылки!$I$201,),0),BJ54/(1+IFERROR(INDEX(BJ$10:BJ$11,Предпосылки!$I$202,),0))*IFERROR(INDEX(BJ$10:BJ$11,Предпосылки!$I$202,),0),BJ77/(1+IFERROR(INDEX(BJ$10:BJ$11,Предпосылки!$I$203,),0))*IFERROR(INDEX(BJ$10:BJ$11,Предпосылки!$I$203,),0),BJ100/(1+IFERROR(INDEX(BJ$10:BJ$11,Предпосылки!$I$204,),0))*IFERROR(INDEX(BJ$10:BJ$11,Предпосылки!$I$204,),0),BJ123/(1+IFERROR(INDEX(BJ$10:BJ$11,Предпосылки!$I$205,),0))*IFERROR(INDEX(BJ$10:BJ$11,Предпосылки!$I$205,),0),BJ146/(1+IFERROR(INDEX(BJ$10:BJ$11,Предпосылки!$I$206,),0))*IFERROR(INDEX(BJ$10:BJ$11,Предпосылки!$I$206,),0),BJ169/(1+IFERROR(INDEX(BJ$10:BJ$11,Предпосылки!$I$207,),0))*IFERROR(INDEX(BJ$10:BJ$11,Предпосылки!$I$207,),0),BJ192/(1+IFERROR(INDEX(BJ$10:BJ$11,Предпосылки!$I$208,),0))*IFERROR(INDEX(BJ$10:BJ$11,Предпосылки!$I$208,),0),BJ215/(1+IFERROR(INDEX(BJ$10:BJ$11,Предпосылки!$I$209,),0))*IFERROR(INDEX(BJ$10:BJ$11,Предпосылки!$I$209,),0),BJ238/(1+IFERROR(INDEX(BJ$10:BJ$11,Предпосылки!$I$210,),0))*IFERROR(INDEX(BJ$10:BJ$11,Предпосылки!$I$210,),0),BJ261/(1+IFERROR(INDEX(BJ$10:BJ$11,Предпосылки!$I$211,),0))*IFERROR(INDEX(BJ$10:BJ$11,Предпосылки!$I$211,),0),BJ284/(1+IFERROR(INDEX(BJ$10:BJ$11,Предпосылки!$I$212,),0))*IFERROR(INDEX(BJ$10:BJ$11,Предпосылки!$I$212,),0),BJ307/(1+IFERROR(INDEX(BJ$10:BJ$11,Предпосылки!$I$213,),0))*IFERROR(INDEX(BJ$10:BJ$11,Предпосылки!$I$213,),0),BJ330/(1+IFERROR(INDEX(BJ$10:BJ$11,Предпосылки!$I$214,),0))*IFERROR(INDEX(BJ$10:BJ$11,Предпосылки!$I$214,),0),BJ353/(1+IFERROR(INDEX(BJ$10:BJ$11,Предпосылки!$I$215,),0))*IFERROR(INDEX(BJ$10:BJ$11,Предпосылки!$I$215,),0),BJ376/(1+IFERROR(INDEX(BJ$10:BJ$11,Предпосылки!$I$216,),0))*IFERROR(INDEX(BJ$10:BJ$11,Предпосылки!$I$216,),0),BJ399/(1+IFERROR(INDEX(BJ$10:BJ$11,Предпосылки!$I$217,),0))*IFERROR(INDEX(BJ$10:BJ$11,Предпосылки!$I$217,),0),BJ422/(1+IFERROR(INDEX(BJ$10:BJ$11,Предпосылки!$I$218,),0))*IFERROR(INDEX(BJ$10:BJ$11,Предпосылки!$I$218,),0),BJ445/(1+IFERROR(INDEX(BJ$10:BJ$11,Предпосылки!$I$219,),0))*IFERROR(INDEX(BJ$10:BJ$11,Предпосылки!$I$219,),0),BJ468/(1+IFERROR(INDEX(BJ$10:BJ$11,Предпосылки!$I$220,),0))*IFERROR(INDEX(BJ$10:BJ$11,Предпосылки!$I$220,),0))</f>
        <v>0</v>
      </c>
      <c s="125">
        <f>SUM(BK31/(1+IFERROR(INDEX(BK$10:BK$11,Предпосылки!$I$201,),0))*IFERROR(INDEX(BK$10:BK$11,Предпосылки!$I$201,),0),BK54/(1+IFERROR(INDEX(BK$10:BK$11,Предпосылки!$I$202,),0))*IFERROR(INDEX(BK$10:BK$11,Предпосылки!$I$202,),0),BK77/(1+IFERROR(INDEX(BK$10:BK$11,Предпосылки!$I$203,),0))*IFERROR(INDEX(BK$10:BK$11,Предпосылки!$I$203,),0),BK100/(1+IFERROR(INDEX(BK$10:BK$11,Предпосылки!$I$204,),0))*IFERROR(INDEX(BK$10:BK$11,Предпосылки!$I$204,),0),BK123/(1+IFERROR(INDEX(BK$10:BK$11,Предпосылки!$I$205,),0))*IFERROR(INDEX(BK$10:BK$11,Предпосылки!$I$205,),0),BK146/(1+IFERROR(INDEX(BK$10:BK$11,Предпосылки!$I$206,),0))*IFERROR(INDEX(BK$10:BK$11,Предпосылки!$I$206,),0),BK169/(1+IFERROR(INDEX(BK$10:BK$11,Предпосылки!$I$207,),0))*IFERROR(INDEX(BK$10:BK$11,Предпосылки!$I$207,),0),BK192/(1+IFERROR(INDEX(BK$10:BK$11,Предпосылки!$I$208,),0))*IFERROR(INDEX(BK$10:BK$11,Предпосылки!$I$208,),0),BK215/(1+IFERROR(INDEX(BK$10:BK$11,Предпосылки!$I$209,),0))*IFERROR(INDEX(BK$10:BK$11,Предпосылки!$I$209,),0),BK238/(1+IFERROR(INDEX(BK$10:BK$11,Предпосылки!$I$210,),0))*IFERROR(INDEX(BK$10:BK$11,Предпосылки!$I$210,),0),BK261/(1+IFERROR(INDEX(BK$10:BK$11,Предпосылки!$I$211,),0))*IFERROR(INDEX(BK$10:BK$11,Предпосылки!$I$211,),0),BK284/(1+IFERROR(INDEX(BK$10:BK$11,Предпосылки!$I$212,),0))*IFERROR(INDEX(BK$10:BK$11,Предпосылки!$I$212,),0),BK307/(1+IFERROR(INDEX(BK$10:BK$11,Предпосылки!$I$213,),0))*IFERROR(INDEX(BK$10:BK$11,Предпосылки!$I$213,),0),BK330/(1+IFERROR(INDEX(BK$10:BK$11,Предпосылки!$I$214,),0))*IFERROR(INDEX(BK$10:BK$11,Предпосылки!$I$214,),0),BK353/(1+IFERROR(INDEX(BK$10:BK$11,Предпосылки!$I$215,),0))*IFERROR(INDEX(BK$10:BK$11,Предпосылки!$I$215,),0),BK376/(1+IFERROR(INDEX(BK$10:BK$11,Предпосылки!$I$216,),0))*IFERROR(INDEX(BK$10:BK$11,Предпосылки!$I$216,),0),BK399/(1+IFERROR(INDEX(BK$10:BK$11,Предпосылки!$I$217,),0))*IFERROR(INDEX(BK$10:BK$11,Предпосылки!$I$217,),0),BK422/(1+IFERROR(INDEX(BK$10:BK$11,Предпосылки!$I$218,),0))*IFERROR(INDEX(BK$10:BK$11,Предпосылки!$I$218,),0),BK445/(1+IFERROR(INDEX(BK$10:BK$11,Предпосылки!$I$219,),0))*IFERROR(INDEX(BK$10:BK$11,Предпосылки!$I$219,),0),BK468/(1+IFERROR(INDEX(BK$10:BK$11,Предпосылки!$I$220,),0))*IFERROR(INDEX(BK$10:BK$11,Предпосылки!$I$220,),0))</f>
        <v>0</v>
      </c>
      <c s="125">
        <f>SUM(BL31/(1+IFERROR(INDEX(BL$10:BL$11,Предпосылки!$I$201,),0))*IFERROR(INDEX(BL$10:BL$11,Предпосылки!$I$201,),0),BL54/(1+IFERROR(INDEX(BL$10:BL$11,Предпосылки!$I$202,),0))*IFERROR(INDEX(BL$10:BL$11,Предпосылки!$I$202,),0),BL77/(1+IFERROR(INDEX(BL$10:BL$11,Предпосылки!$I$203,),0))*IFERROR(INDEX(BL$10:BL$11,Предпосылки!$I$203,),0),BL100/(1+IFERROR(INDEX(BL$10:BL$11,Предпосылки!$I$204,),0))*IFERROR(INDEX(BL$10:BL$11,Предпосылки!$I$204,),0),BL123/(1+IFERROR(INDEX(BL$10:BL$11,Предпосылки!$I$205,),0))*IFERROR(INDEX(BL$10:BL$11,Предпосылки!$I$205,),0),BL146/(1+IFERROR(INDEX(BL$10:BL$11,Предпосылки!$I$206,),0))*IFERROR(INDEX(BL$10:BL$11,Предпосылки!$I$206,),0),BL169/(1+IFERROR(INDEX(BL$10:BL$11,Предпосылки!$I$207,),0))*IFERROR(INDEX(BL$10:BL$11,Предпосылки!$I$207,),0),BL192/(1+IFERROR(INDEX(BL$10:BL$11,Предпосылки!$I$208,),0))*IFERROR(INDEX(BL$10:BL$11,Предпосылки!$I$208,),0),BL215/(1+IFERROR(INDEX(BL$10:BL$11,Предпосылки!$I$209,),0))*IFERROR(INDEX(BL$10:BL$11,Предпосылки!$I$209,),0),BL238/(1+IFERROR(INDEX(BL$10:BL$11,Предпосылки!$I$210,),0))*IFERROR(INDEX(BL$10:BL$11,Предпосылки!$I$210,),0),BL261/(1+IFERROR(INDEX(BL$10:BL$11,Предпосылки!$I$211,),0))*IFERROR(INDEX(BL$10:BL$11,Предпосылки!$I$211,),0),BL284/(1+IFERROR(INDEX(BL$10:BL$11,Предпосылки!$I$212,),0))*IFERROR(INDEX(BL$10:BL$11,Предпосылки!$I$212,),0),BL307/(1+IFERROR(INDEX(BL$10:BL$11,Предпосылки!$I$213,),0))*IFERROR(INDEX(BL$10:BL$11,Предпосылки!$I$213,),0),BL330/(1+IFERROR(INDEX(BL$10:BL$11,Предпосылки!$I$214,),0))*IFERROR(INDEX(BL$10:BL$11,Предпосылки!$I$214,),0),BL353/(1+IFERROR(INDEX(BL$10:BL$11,Предпосылки!$I$215,),0))*IFERROR(INDEX(BL$10:BL$11,Предпосылки!$I$215,),0),BL376/(1+IFERROR(INDEX(BL$10:BL$11,Предпосылки!$I$216,),0))*IFERROR(INDEX(BL$10:BL$11,Предпосылки!$I$216,),0),BL399/(1+IFERROR(INDEX(BL$10:BL$11,Предпосылки!$I$217,),0))*IFERROR(INDEX(BL$10:BL$11,Предпосылки!$I$217,),0),BL422/(1+IFERROR(INDEX(BL$10:BL$11,Предпосылки!$I$218,),0))*IFERROR(INDEX(BL$10:BL$11,Предпосылки!$I$218,),0),BL445/(1+IFERROR(INDEX(BL$10:BL$11,Предпосылки!$I$219,),0))*IFERROR(INDEX(BL$10:BL$11,Предпосылки!$I$219,),0),BL468/(1+IFERROR(INDEX(BL$10:BL$11,Предпосылки!$I$220,),0))*IFERROR(INDEX(BL$10:BL$11,Предпосылки!$I$220,),0))</f>
        <v>0</v>
      </c>
      <c s="125">
        <f>SUM(BM31/(1+IFERROR(INDEX(BM$10:BM$11,Предпосылки!$I$201,),0))*IFERROR(INDEX(BM$10:BM$11,Предпосылки!$I$201,),0),BM54/(1+IFERROR(INDEX(BM$10:BM$11,Предпосылки!$I$202,),0))*IFERROR(INDEX(BM$10:BM$11,Предпосылки!$I$202,),0),BM77/(1+IFERROR(INDEX(BM$10:BM$11,Предпосылки!$I$203,),0))*IFERROR(INDEX(BM$10:BM$11,Предпосылки!$I$203,),0),BM100/(1+IFERROR(INDEX(BM$10:BM$11,Предпосылки!$I$204,),0))*IFERROR(INDEX(BM$10:BM$11,Предпосылки!$I$204,),0),BM123/(1+IFERROR(INDEX(BM$10:BM$11,Предпосылки!$I$205,),0))*IFERROR(INDEX(BM$10:BM$11,Предпосылки!$I$205,),0),BM146/(1+IFERROR(INDEX(BM$10:BM$11,Предпосылки!$I$206,),0))*IFERROR(INDEX(BM$10:BM$11,Предпосылки!$I$206,),0),BM169/(1+IFERROR(INDEX(BM$10:BM$11,Предпосылки!$I$207,),0))*IFERROR(INDEX(BM$10:BM$11,Предпосылки!$I$207,),0),BM192/(1+IFERROR(INDEX(BM$10:BM$11,Предпосылки!$I$208,),0))*IFERROR(INDEX(BM$10:BM$11,Предпосылки!$I$208,),0),BM215/(1+IFERROR(INDEX(BM$10:BM$11,Предпосылки!$I$209,),0))*IFERROR(INDEX(BM$10:BM$11,Предпосылки!$I$209,),0),BM238/(1+IFERROR(INDEX(BM$10:BM$11,Предпосылки!$I$210,),0))*IFERROR(INDEX(BM$10:BM$11,Предпосылки!$I$210,),0),BM261/(1+IFERROR(INDEX(BM$10:BM$11,Предпосылки!$I$211,),0))*IFERROR(INDEX(BM$10:BM$11,Предпосылки!$I$211,),0),BM284/(1+IFERROR(INDEX(BM$10:BM$11,Предпосылки!$I$212,),0))*IFERROR(INDEX(BM$10:BM$11,Предпосылки!$I$212,),0),BM307/(1+IFERROR(INDEX(BM$10:BM$11,Предпосылки!$I$213,),0))*IFERROR(INDEX(BM$10:BM$11,Предпосылки!$I$213,),0),BM330/(1+IFERROR(INDEX(BM$10:BM$11,Предпосылки!$I$214,),0))*IFERROR(INDEX(BM$10:BM$11,Предпосылки!$I$214,),0),BM353/(1+IFERROR(INDEX(BM$10:BM$11,Предпосылки!$I$215,),0))*IFERROR(INDEX(BM$10:BM$11,Предпосылки!$I$215,),0),BM376/(1+IFERROR(INDEX(BM$10:BM$11,Предпосылки!$I$216,),0))*IFERROR(INDEX(BM$10:BM$11,Предпосылки!$I$216,),0),BM399/(1+IFERROR(INDEX(BM$10:BM$11,Предпосылки!$I$217,),0))*IFERROR(INDEX(BM$10:BM$11,Предпосылки!$I$217,),0),BM422/(1+IFERROR(INDEX(BM$10:BM$11,Предпосылки!$I$218,),0))*IFERROR(INDEX(BM$10:BM$11,Предпосылки!$I$218,),0),BM445/(1+IFERROR(INDEX(BM$10:BM$11,Предпосылки!$I$219,),0))*IFERROR(INDEX(BM$10:BM$11,Предпосылки!$I$219,),0),BM468/(1+IFERROR(INDEX(BM$10:BM$11,Предпосылки!$I$220,),0))*IFERROR(INDEX(BM$10:BM$11,Предпосылки!$I$220,),0))</f>
        <v>0</v>
      </c>
    </row>
    <row r="563" spans="2:65" ht="15" customHeight="1">
      <c r="B563" s="12" t="str">
        <f t="shared" si="255"/>
        <v>Продукт 10</v>
      </c>
      <c s="124" t="str">
        <f t="shared" si="254"/>
        <v>тыс. руб.</v>
      </c>
      <c s="276">
        <f t="shared" si="256"/>
        <v>0</v>
      </c>
      <c s="125">
        <f>SUM(E32/(1+IFERROR(INDEX(E$10:E$11,Предпосылки!$I210,),0))*IFERROR(INDEX(E$10:E$11,Предпосылки!$I210,),0),E55/(1+IFERROR(INDEX(E$10:E$11,Предпосылки!$I211,),0))*IFERROR(INDEX(E$10:E$11,Предпосылки!$I211,),0),E78/(1+IFERROR(INDEX(E$10:E$11,Предпосылки!$I212,),0))*IFERROR(INDEX(E$10:E$11,Предпосылки!$I212,),0),E101/(1+IFERROR(INDEX(E$10:E$11,Предпосылки!$I213,),0))*IFERROR(INDEX(E$10:E$11,Предпосылки!$I213,),0),E124/(1+IFERROR(INDEX(E$10:E$11,Предпосылки!$I214,),0))*IFERROR(INDEX(E$10:E$11,Предпосылки!$I214,),0),E147/(1+IFERROR(INDEX(E$10:E$11,Предпосылки!$I215,),0))*IFERROR(INDEX(E$10:E$11,Предпосылки!$I215,),0),E170/(1+IFERROR(INDEX(E$10:E$11,Предпосылки!$I216,),0))*IFERROR(INDEX(E$10:E$11,Предпосылки!$I216,),0),E193/(1+IFERROR(INDEX(E$10:E$11,Предпосылки!$I217,),0))*IFERROR(INDEX(E$10:E$11,Предпосылки!$I217,),0),E216/(1+IFERROR(INDEX(E$10:E$11,Предпосылки!$I218,),0))*IFERROR(INDEX(E$10:E$11,Предпосылки!$I218,),0),E239/(1+IFERROR(INDEX(E$10:E$11,Предпосылки!$I219,),0))*IFERROR(INDEX(E$10:E$11,Предпосылки!$I219,),0),E262/(1+IFERROR(INDEX(E$10:E$11,Предпосылки!$I220,),0))*IFERROR(INDEX(E$10:E$11,Предпосылки!$I220,),0),E285/(1+IFERROR(INDEX(E$10:E$11,Предпосылки!$I221,),0))*IFERROR(INDEX(E$10:E$11,Предпосылки!$I221,),0),E308/(1+IFERROR(INDEX(E$10:E$11,Предпосылки!$I222,),0))*IFERROR(INDEX(E$10:E$11,Предпосылки!$I222,),0),E331/(1+IFERROR(INDEX(E$10:E$11,Предпосылки!$I223,),0))*IFERROR(INDEX(E$10:E$11,Предпосылки!$I223,),0),E354/(1+IFERROR(INDEX(E$10:E$11,Предпосылки!$I224,),0))*IFERROR(INDEX(E$10:E$11,Предпосылки!$I224,),0),E377/(1+IFERROR(INDEX(E$10:E$11,Предпосылки!$I225,),0))*IFERROR(INDEX(E$10:E$11,Предпосылки!$I225,),0),E400/(1+IFERROR(INDEX(E$10:E$11,Предпосылки!$I226,),0))*IFERROR(INDEX(E$10:E$11,Предпосылки!$I226,),0),E423/(1+IFERROR(INDEX(E$10:E$11,Предпосылки!$I227,),0))*IFERROR(INDEX(E$10:E$11,Предпосылки!$I227,),0),E446/(1+IFERROR(INDEX(E$10:E$11,Предпосылки!$I228,),0))*IFERROR(INDEX(E$10:E$11,Предпосылки!$I228,),0),E469/(1+IFERROR(INDEX(E$10:E$11,Предпосылки!$I229,),0))*IFERROR(INDEX(E$10:E$11,Предпосылки!$I229,),0))</f>
        <v>0</v>
      </c>
      <c s="125">
        <f>SUM(F32/(1+IFERROR(INDEX(F$10:F$11,Предпосылки!$I$201,),0))*IFERROR(INDEX(F$10:F$11,Предпосылки!$I$201,),0),F55/(1+IFERROR(INDEX(F$10:F$11,Предпосылки!$I$202,),0))*IFERROR(INDEX(F$10:F$11,Предпосылки!$I$202,),0),F78/(1+IFERROR(INDEX(F$10:F$11,Предпосылки!$I$203,),0))*IFERROR(INDEX(F$10:F$11,Предпосылки!$I$203,),0),F101/(1+IFERROR(INDEX(F$10:F$11,Предпосылки!$I$204,),0))*IFERROR(INDEX(F$10:F$11,Предпосылки!$I$204,),0),F124/(1+IFERROR(INDEX(F$10:F$11,Предпосылки!$I$205,),0))*IFERROR(INDEX(F$10:F$11,Предпосылки!$I$205,),0),F147/(1+IFERROR(INDEX(F$10:F$11,Предпосылки!$I$206,),0))*IFERROR(INDEX(F$10:F$11,Предпосылки!$I$206,),0),F170/(1+IFERROR(INDEX(F$10:F$11,Предпосылки!$I$207,),0))*IFERROR(INDEX(F$10:F$11,Предпосылки!$I$207,),0),F193/(1+IFERROR(INDEX(F$10:F$11,Предпосылки!$I$208,),0))*IFERROR(INDEX(F$10:F$11,Предпосылки!$I$208,),0),F216/(1+IFERROR(INDEX(F$10:F$11,Предпосылки!$I$209,),0))*IFERROR(INDEX(F$10:F$11,Предпосылки!$I$209,),0),F239/(1+IFERROR(INDEX(F$10:F$11,Предпосылки!$I$210,),0))*IFERROR(INDEX(F$10:F$11,Предпосылки!$I$210,),0),F262/(1+IFERROR(INDEX(F$10:F$11,Предпосылки!$I$211,),0))*IFERROR(INDEX(F$10:F$11,Предпосылки!$I$211,),0),F285/(1+IFERROR(INDEX(F$10:F$11,Предпосылки!$I$212,),0))*IFERROR(INDEX(F$10:F$11,Предпосылки!$I$212,),0),F308/(1+IFERROR(INDEX(F$10:F$11,Предпосылки!$I$213,),0))*IFERROR(INDEX(F$10:F$11,Предпосылки!$I$213,),0),F331/(1+IFERROR(INDEX(F$10:F$11,Предпосылки!$I$214,),0))*IFERROR(INDEX(F$10:F$11,Предпосылки!$I$214,),0),F354/(1+IFERROR(INDEX(F$10:F$11,Предпосылки!$I$215,),0))*IFERROR(INDEX(F$10:F$11,Предпосылки!$I$215,),0),F377/(1+IFERROR(INDEX(F$10:F$11,Предпосылки!$I$216,),0))*IFERROR(INDEX(F$10:F$11,Предпосылки!$I$216,),0),F400/(1+IFERROR(INDEX(F$10:F$11,Предпосылки!$I$217,),0))*IFERROR(INDEX(F$10:F$11,Предпосылки!$I$217,),0),F423/(1+IFERROR(INDEX(F$10:F$11,Предпосылки!$I$218,),0))*IFERROR(INDEX(F$10:F$11,Предпосылки!$I$218,),0),F446/(1+IFERROR(INDEX(F$10:F$11,Предпосылки!$I$219,),0))*IFERROR(INDEX(F$10:F$11,Предпосылки!$I$219,),0),F469/(1+IFERROR(INDEX(F$10:F$11,Предпосылки!$I$220,),0))*IFERROR(INDEX(F$10:F$11,Предпосылки!$I$220,),0))</f>
        <v>0</v>
      </c>
      <c s="125">
        <f>SUM(G32/(1+IFERROR(INDEX(G$10:G$11,Предпосылки!$I$201,),0))*IFERROR(INDEX(G$10:G$11,Предпосылки!$I$201,),0),G55/(1+IFERROR(INDEX(G$10:G$11,Предпосылки!$I$202,),0))*IFERROR(INDEX(G$10:G$11,Предпосылки!$I$202,),0),G78/(1+IFERROR(INDEX(G$10:G$11,Предпосылки!$I$203,),0))*IFERROR(INDEX(G$10:G$11,Предпосылки!$I$203,),0),G101/(1+IFERROR(INDEX(G$10:G$11,Предпосылки!$I$204,),0))*IFERROR(INDEX(G$10:G$11,Предпосылки!$I$204,),0),G124/(1+IFERROR(INDEX(G$10:G$11,Предпосылки!$I$205,),0))*IFERROR(INDEX(G$10:G$11,Предпосылки!$I$205,),0),G147/(1+IFERROR(INDEX(G$10:G$11,Предпосылки!$I$206,),0))*IFERROR(INDEX(G$10:G$11,Предпосылки!$I$206,),0),G170/(1+IFERROR(INDEX(G$10:G$11,Предпосылки!$I$207,),0))*IFERROR(INDEX(G$10:G$11,Предпосылки!$I$207,),0),G193/(1+IFERROR(INDEX(G$10:G$11,Предпосылки!$I$208,),0))*IFERROR(INDEX(G$10:G$11,Предпосылки!$I$208,),0),G216/(1+IFERROR(INDEX(G$10:G$11,Предпосылки!$I$209,),0))*IFERROR(INDEX(G$10:G$11,Предпосылки!$I$209,),0),G239/(1+IFERROR(INDEX(G$10:G$11,Предпосылки!$I$210,),0))*IFERROR(INDEX(G$10:G$11,Предпосылки!$I$210,),0),G262/(1+IFERROR(INDEX(G$10:G$11,Предпосылки!$I$211,),0))*IFERROR(INDEX(G$10:G$11,Предпосылки!$I$211,),0),G285/(1+IFERROR(INDEX(G$10:G$11,Предпосылки!$I$212,),0))*IFERROR(INDEX(G$10:G$11,Предпосылки!$I$212,),0),G308/(1+IFERROR(INDEX(G$10:G$11,Предпосылки!$I$213,),0))*IFERROR(INDEX(G$10:G$11,Предпосылки!$I$213,),0),G331/(1+IFERROR(INDEX(G$10:G$11,Предпосылки!$I$214,),0))*IFERROR(INDEX(G$10:G$11,Предпосылки!$I$214,),0),G354/(1+IFERROR(INDEX(G$10:G$11,Предпосылки!$I$215,),0))*IFERROR(INDEX(G$10:G$11,Предпосылки!$I$215,),0),G377/(1+IFERROR(INDEX(G$10:G$11,Предпосылки!$I$216,),0))*IFERROR(INDEX(G$10:G$11,Предпосылки!$I$216,),0),G400/(1+IFERROR(INDEX(G$10:G$11,Предпосылки!$I$217,),0))*IFERROR(INDEX(G$10:G$11,Предпосылки!$I$217,),0),G423/(1+IFERROR(INDEX(G$10:G$11,Предпосылки!$I$218,),0))*IFERROR(INDEX(G$10:G$11,Предпосылки!$I$218,),0),G446/(1+IFERROR(INDEX(G$10:G$11,Предпосылки!$I$219,),0))*IFERROR(INDEX(G$10:G$11,Предпосылки!$I$219,),0),G469/(1+IFERROR(INDEX(G$10:G$11,Предпосылки!$I$220,),0))*IFERROR(INDEX(G$10:G$11,Предпосылки!$I$220,),0))</f>
        <v>0</v>
      </c>
      <c s="125">
        <f>SUM(H32/(1+IFERROR(INDEX(H$10:H$11,Предпосылки!$I$201,),0))*IFERROR(INDEX(H$10:H$11,Предпосылки!$I$201,),0),H55/(1+IFERROR(INDEX(H$10:H$11,Предпосылки!$I$202,),0))*IFERROR(INDEX(H$10:H$11,Предпосылки!$I$202,),0),H78/(1+IFERROR(INDEX(H$10:H$11,Предпосылки!$I$203,),0))*IFERROR(INDEX(H$10:H$11,Предпосылки!$I$203,),0),H101/(1+IFERROR(INDEX(H$10:H$11,Предпосылки!$I$204,),0))*IFERROR(INDEX(H$10:H$11,Предпосылки!$I$204,),0),H124/(1+IFERROR(INDEX(H$10:H$11,Предпосылки!$I$205,),0))*IFERROR(INDEX(H$10:H$11,Предпосылки!$I$205,),0),H147/(1+IFERROR(INDEX(H$10:H$11,Предпосылки!$I$206,),0))*IFERROR(INDEX(H$10:H$11,Предпосылки!$I$206,),0),H170/(1+IFERROR(INDEX(H$10:H$11,Предпосылки!$I$207,),0))*IFERROR(INDEX(H$10:H$11,Предпосылки!$I$207,),0),H193/(1+IFERROR(INDEX(H$10:H$11,Предпосылки!$I$208,),0))*IFERROR(INDEX(H$10:H$11,Предпосылки!$I$208,),0),H216/(1+IFERROR(INDEX(H$10:H$11,Предпосылки!$I$209,),0))*IFERROR(INDEX(H$10:H$11,Предпосылки!$I$209,),0),H239/(1+IFERROR(INDEX(H$10:H$11,Предпосылки!$I$210,),0))*IFERROR(INDEX(H$10:H$11,Предпосылки!$I$210,),0),H262/(1+IFERROR(INDEX(H$10:H$11,Предпосылки!$I$211,),0))*IFERROR(INDEX(H$10:H$11,Предпосылки!$I$211,),0),H285/(1+IFERROR(INDEX(H$10:H$11,Предпосылки!$I$212,),0))*IFERROR(INDEX(H$10:H$11,Предпосылки!$I$212,),0),H308/(1+IFERROR(INDEX(H$10:H$11,Предпосылки!$I$213,),0))*IFERROR(INDEX(H$10:H$11,Предпосылки!$I$213,),0),H331/(1+IFERROR(INDEX(H$10:H$11,Предпосылки!$I$214,),0))*IFERROR(INDEX(H$10:H$11,Предпосылки!$I$214,),0),H354/(1+IFERROR(INDEX(H$10:H$11,Предпосылки!$I$215,),0))*IFERROR(INDEX(H$10:H$11,Предпосылки!$I$215,),0),H377/(1+IFERROR(INDEX(H$10:H$11,Предпосылки!$I$216,),0))*IFERROR(INDEX(H$10:H$11,Предпосылки!$I$216,),0),H400/(1+IFERROR(INDEX(H$10:H$11,Предпосылки!$I$217,),0))*IFERROR(INDEX(H$10:H$11,Предпосылки!$I$217,),0),H423/(1+IFERROR(INDEX(H$10:H$11,Предпосылки!$I$218,),0))*IFERROR(INDEX(H$10:H$11,Предпосылки!$I$218,),0),H446/(1+IFERROR(INDEX(H$10:H$11,Предпосылки!$I$219,),0))*IFERROR(INDEX(H$10:H$11,Предпосылки!$I$219,),0),H469/(1+IFERROR(INDEX(H$10:H$11,Предпосылки!$I$220,),0))*IFERROR(INDEX(H$10:H$11,Предпосылки!$I$220,),0))</f>
        <v>0</v>
      </c>
      <c s="125">
        <f>SUM(I32/(1+IFERROR(INDEX(I$10:I$11,Предпосылки!$I$201,),0))*IFERROR(INDEX(I$10:I$11,Предпосылки!$I$201,),0),I55/(1+IFERROR(INDEX(I$10:I$11,Предпосылки!$I$202,),0))*IFERROR(INDEX(I$10:I$11,Предпосылки!$I$202,),0),I78/(1+IFERROR(INDEX(I$10:I$11,Предпосылки!$I$203,),0))*IFERROR(INDEX(I$10:I$11,Предпосылки!$I$203,),0),I101/(1+IFERROR(INDEX(I$10:I$11,Предпосылки!$I$204,),0))*IFERROR(INDEX(I$10:I$11,Предпосылки!$I$204,),0),I124/(1+IFERROR(INDEX(I$10:I$11,Предпосылки!$I$205,),0))*IFERROR(INDEX(I$10:I$11,Предпосылки!$I$205,),0),I147/(1+IFERROR(INDEX(I$10:I$11,Предпосылки!$I$206,),0))*IFERROR(INDEX(I$10:I$11,Предпосылки!$I$206,),0),I170/(1+IFERROR(INDEX(I$10:I$11,Предпосылки!$I$207,),0))*IFERROR(INDEX(I$10:I$11,Предпосылки!$I$207,),0),I193/(1+IFERROR(INDEX(I$10:I$11,Предпосылки!$I$208,),0))*IFERROR(INDEX(I$10:I$11,Предпосылки!$I$208,),0),I216/(1+IFERROR(INDEX(I$10:I$11,Предпосылки!$I$209,),0))*IFERROR(INDEX(I$10:I$11,Предпосылки!$I$209,),0),I239/(1+IFERROR(INDEX(I$10:I$11,Предпосылки!$I$210,),0))*IFERROR(INDEX(I$10:I$11,Предпосылки!$I$210,),0),I262/(1+IFERROR(INDEX(I$10:I$11,Предпосылки!$I$211,),0))*IFERROR(INDEX(I$10:I$11,Предпосылки!$I$211,),0),I285/(1+IFERROR(INDEX(I$10:I$11,Предпосылки!$I$212,),0))*IFERROR(INDEX(I$10:I$11,Предпосылки!$I$212,),0),I308/(1+IFERROR(INDEX(I$10:I$11,Предпосылки!$I$213,),0))*IFERROR(INDEX(I$10:I$11,Предпосылки!$I$213,),0),I331/(1+IFERROR(INDEX(I$10:I$11,Предпосылки!$I$214,),0))*IFERROR(INDEX(I$10:I$11,Предпосылки!$I$214,),0),I354/(1+IFERROR(INDEX(I$10:I$11,Предпосылки!$I$215,),0))*IFERROR(INDEX(I$10:I$11,Предпосылки!$I$215,),0),I377/(1+IFERROR(INDEX(I$10:I$11,Предпосылки!$I$216,),0))*IFERROR(INDEX(I$10:I$11,Предпосылки!$I$216,),0),I400/(1+IFERROR(INDEX(I$10:I$11,Предпосылки!$I$217,),0))*IFERROR(INDEX(I$10:I$11,Предпосылки!$I$217,),0),I423/(1+IFERROR(INDEX(I$10:I$11,Предпосылки!$I$218,),0))*IFERROR(INDEX(I$10:I$11,Предпосылки!$I$218,),0),I446/(1+IFERROR(INDEX(I$10:I$11,Предпосылки!$I$219,),0))*IFERROR(INDEX(I$10:I$11,Предпосылки!$I$219,),0),I469/(1+IFERROR(INDEX(I$10:I$11,Предпосылки!$I$220,),0))*IFERROR(INDEX(I$10:I$11,Предпосылки!$I$220,),0))</f>
        <v>0</v>
      </c>
      <c s="125">
        <f>SUM(J32/(1+IFERROR(INDEX(J$10:J$11,Предпосылки!$I$201,),0))*IFERROR(INDEX(J$10:J$11,Предпосылки!$I$201,),0),J55/(1+IFERROR(INDEX(J$10:J$11,Предпосылки!$I$202,),0))*IFERROR(INDEX(J$10:J$11,Предпосылки!$I$202,),0),J78/(1+IFERROR(INDEX(J$10:J$11,Предпосылки!$I$203,),0))*IFERROR(INDEX(J$10:J$11,Предпосылки!$I$203,),0),J101/(1+IFERROR(INDEX(J$10:J$11,Предпосылки!$I$204,),0))*IFERROR(INDEX(J$10:J$11,Предпосылки!$I$204,),0),J124/(1+IFERROR(INDEX(J$10:J$11,Предпосылки!$I$205,),0))*IFERROR(INDEX(J$10:J$11,Предпосылки!$I$205,),0),J147/(1+IFERROR(INDEX(J$10:J$11,Предпосылки!$I$206,),0))*IFERROR(INDEX(J$10:J$11,Предпосылки!$I$206,),0),J170/(1+IFERROR(INDEX(J$10:J$11,Предпосылки!$I$207,),0))*IFERROR(INDEX(J$10:J$11,Предпосылки!$I$207,),0),J193/(1+IFERROR(INDEX(J$10:J$11,Предпосылки!$I$208,),0))*IFERROR(INDEX(J$10:J$11,Предпосылки!$I$208,),0),J216/(1+IFERROR(INDEX(J$10:J$11,Предпосылки!$I$209,),0))*IFERROR(INDEX(J$10:J$11,Предпосылки!$I$209,),0),J239/(1+IFERROR(INDEX(J$10:J$11,Предпосылки!$I$210,),0))*IFERROR(INDEX(J$10:J$11,Предпосылки!$I$210,),0),J262/(1+IFERROR(INDEX(J$10:J$11,Предпосылки!$I$211,),0))*IFERROR(INDEX(J$10:J$11,Предпосылки!$I$211,),0),J285/(1+IFERROR(INDEX(J$10:J$11,Предпосылки!$I$212,),0))*IFERROR(INDEX(J$10:J$11,Предпосылки!$I$212,),0),J308/(1+IFERROR(INDEX(J$10:J$11,Предпосылки!$I$213,),0))*IFERROR(INDEX(J$10:J$11,Предпосылки!$I$213,),0),J331/(1+IFERROR(INDEX(J$10:J$11,Предпосылки!$I$214,),0))*IFERROR(INDEX(J$10:J$11,Предпосылки!$I$214,),0),J354/(1+IFERROR(INDEX(J$10:J$11,Предпосылки!$I$215,),0))*IFERROR(INDEX(J$10:J$11,Предпосылки!$I$215,),0),J377/(1+IFERROR(INDEX(J$10:J$11,Предпосылки!$I$216,),0))*IFERROR(INDEX(J$10:J$11,Предпосылки!$I$216,),0),J400/(1+IFERROR(INDEX(J$10:J$11,Предпосылки!$I$217,),0))*IFERROR(INDEX(J$10:J$11,Предпосылки!$I$217,),0),J423/(1+IFERROR(INDEX(J$10:J$11,Предпосылки!$I$218,),0))*IFERROR(INDEX(J$10:J$11,Предпосылки!$I$218,),0),J446/(1+IFERROR(INDEX(J$10:J$11,Предпосылки!$I$219,),0))*IFERROR(INDEX(J$10:J$11,Предпосылки!$I$219,),0),J469/(1+IFERROR(INDEX(J$10:J$11,Предпосылки!$I$220,),0))*IFERROR(INDEX(J$10:J$11,Предпосылки!$I$220,),0))</f>
        <v>0</v>
      </c>
      <c s="125">
        <f>SUM(K32/(1+IFERROR(INDEX(K$10:K$11,Предпосылки!$I$201,),0))*IFERROR(INDEX(K$10:K$11,Предпосылки!$I$201,),0),K55/(1+IFERROR(INDEX(K$10:K$11,Предпосылки!$I$202,),0))*IFERROR(INDEX(K$10:K$11,Предпосылки!$I$202,),0),K78/(1+IFERROR(INDEX(K$10:K$11,Предпосылки!$I$203,),0))*IFERROR(INDEX(K$10:K$11,Предпосылки!$I$203,),0),K101/(1+IFERROR(INDEX(K$10:K$11,Предпосылки!$I$204,),0))*IFERROR(INDEX(K$10:K$11,Предпосылки!$I$204,),0),K124/(1+IFERROR(INDEX(K$10:K$11,Предпосылки!$I$205,),0))*IFERROR(INDEX(K$10:K$11,Предпосылки!$I$205,),0),K147/(1+IFERROR(INDEX(K$10:K$11,Предпосылки!$I$206,),0))*IFERROR(INDEX(K$10:K$11,Предпосылки!$I$206,),0),K170/(1+IFERROR(INDEX(K$10:K$11,Предпосылки!$I$207,),0))*IFERROR(INDEX(K$10:K$11,Предпосылки!$I$207,),0),K193/(1+IFERROR(INDEX(K$10:K$11,Предпосылки!$I$208,),0))*IFERROR(INDEX(K$10:K$11,Предпосылки!$I$208,),0),K216/(1+IFERROR(INDEX(K$10:K$11,Предпосылки!$I$209,),0))*IFERROR(INDEX(K$10:K$11,Предпосылки!$I$209,),0),K239/(1+IFERROR(INDEX(K$10:K$11,Предпосылки!$I$210,),0))*IFERROR(INDEX(K$10:K$11,Предпосылки!$I$210,),0),K262/(1+IFERROR(INDEX(K$10:K$11,Предпосылки!$I$211,),0))*IFERROR(INDEX(K$10:K$11,Предпосылки!$I$211,),0),K285/(1+IFERROR(INDEX(K$10:K$11,Предпосылки!$I$212,),0))*IFERROR(INDEX(K$10:K$11,Предпосылки!$I$212,),0),K308/(1+IFERROR(INDEX(K$10:K$11,Предпосылки!$I$213,),0))*IFERROR(INDEX(K$10:K$11,Предпосылки!$I$213,),0),K331/(1+IFERROR(INDEX(K$10:K$11,Предпосылки!$I$214,),0))*IFERROR(INDEX(K$10:K$11,Предпосылки!$I$214,),0),K354/(1+IFERROR(INDEX(K$10:K$11,Предпосылки!$I$215,),0))*IFERROR(INDEX(K$10:K$11,Предпосылки!$I$215,),0),K377/(1+IFERROR(INDEX(K$10:K$11,Предпосылки!$I$216,),0))*IFERROR(INDEX(K$10:K$11,Предпосылки!$I$216,),0),K400/(1+IFERROR(INDEX(K$10:K$11,Предпосылки!$I$217,),0))*IFERROR(INDEX(K$10:K$11,Предпосылки!$I$217,),0),K423/(1+IFERROR(INDEX(K$10:K$11,Предпосылки!$I$218,),0))*IFERROR(INDEX(K$10:K$11,Предпосылки!$I$218,),0),K446/(1+IFERROR(INDEX(K$10:K$11,Предпосылки!$I$219,),0))*IFERROR(INDEX(K$10:K$11,Предпосылки!$I$219,),0),K469/(1+IFERROR(INDEX(K$10:K$11,Предпосылки!$I$220,),0))*IFERROR(INDEX(K$10:K$11,Предпосылки!$I$220,),0))</f>
        <v>0</v>
      </c>
      <c s="125">
        <f>SUM(L32/(1+IFERROR(INDEX(L$10:L$11,Предпосылки!$I$201,),0))*IFERROR(INDEX(L$10:L$11,Предпосылки!$I$201,),0),L55/(1+IFERROR(INDEX(L$10:L$11,Предпосылки!$I$202,),0))*IFERROR(INDEX(L$10:L$11,Предпосылки!$I$202,),0),L78/(1+IFERROR(INDEX(L$10:L$11,Предпосылки!$I$203,),0))*IFERROR(INDEX(L$10:L$11,Предпосылки!$I$203,),0),L101/(1+IFERROR(INDEX(L$10:L$11,Предпосылки!$I$204,),0))*IFERROR(INDEX(L$10:L$11,Предпосылки!$I$204,),0),L124/(1+IFERROR(INDEX(L$10:L$11,Предпосылки!$I$205,),0))*IFERROR(INDEX(L$10:L$11,Предпосылки!$I$205,),0),L147/(1+IFERROR(INDEX(L$10:L$11,Предпосылки!$I$206,),0))*IFERROR(INDEX(L$10:L$11,Предпосылки!$I$206,),0),L170/(1+IFERROR(INDEX(L$10:L$11,Предпосылки!$I$207,),0))*IFERROR(INDEX(L$10:L$11,Предпосылки!$I$207,),0),L193/(1+IFERROR(INDEX(L$10:L$11,Предпосылки!$I$208,),0))*IFERROR(INDEX(L$10:L$11,Предпосылки!$I$208,),0),L216/(1+IFERROR(INDEX(L$10:L$11,Предпосылки!$I$209,),0))*IFERROR(INDEX(L$10:L$11,Предпосылки!$I$209,),0),L239/(1+IFERROR(INDEX(L$10:L$11,Предпосылки!$I$210,),0))*IFERROR(INDEX(L$10:L$11,Предпосылки!$I$210,),0),L262/(1+IFERROR(INDEX(L$10:L$11,Предпосылки!$I$211,),0))*IFERROR(INDEX(L$10:L$11,Предпосылки!$I$211,),0),L285/(1+IFERROR(INDEX(L$10:L$11,Предпосылки!$I$212,),0))*IFERROR(INDEX(L$10:L$11,Предпосылки!$I$212,),0),L308/(1+IFERROR(INDEX(L$10:L$11,Предпосылки!$I$213,),0))*IFERROR(INDEX(L$10:L$11,Предпосылки!$I$213,),0),L331/(1+IFERROR(INDEX(L$10:L$11,Предпосылки!$I$214,),0))*IFERROR(INDEX(L$10:L$11,Предпосылки!$I$214,),0),L354/(1+IFERROR(INDEX(L$10:L$11,Предпосылки!$I$215,),0))*IFERROR(INDEX(L$10:L$11,Предпосылки!$I$215,),0),L377/(1+IFERROR(INDEX(L$10:L$11,Предпосылки!$I$216,),0))*IFERROR(INDEX(L$10:L$11,Предпосылки!$I$216,),0),L400/(1+IFERROR(INDEX(L$10:L$11,Предпосылки!$I$217,),0))*IFERROR(INDEX(L$10:L$11,Предпосылки!$I$217,),0),L423/(1+IFERROR(INDEX(L$10:L$11,Предпосылки!$I$218,),0))*IFERROR(INDEX(L$10:L$11,Предпосылки!$I$218,),0),L446/(1+IFERROR(INDEX(L$10:L$11,Предпосылки!$I$219,),0))*IFERROR(INDEX(L$10:L$11,Предпосылки!$I$219,),0),L469/(1+IFERROR(INDEX(L$10:L$11,Предпосылки!$I$220,),0))*IFERROR(INDEX(L$10:L$11,Предпосылки!$I$220,),0))</f>
        <v>0</v>
      </c>
      <c s="125">
        <f>SUM(M32/(1+IFERROR(INDEX(M$10:M$11,Предпосылки!$I$201,),0))*IFERROR(INDEX(M$10:M$11,Предпосылки!$I$201,),0),M55/(1+IFERROR(INDEX(M$10:M$11,Предпосылки!$I$202,),0))*IFERROR(INDEX(M$10:M$11,Предпосылки!$I$202,),0),M78/(1+IFERROR(INDEX(M$10:M$11,Предпосылки!$I$203,),0))*IFERROR(INDEX(M$10:M$11,Предпосылки!$I$203,),0),M101/(1+IFERROR(INDEX(M$10:M$11,Предпосылки!$I$204,),0))*IFERROR(INDEX(M$10:M$11,Предпосылки!$I$204,),0),M124/(1+IFERROR(INDEX(M$10:M$11,Предпосылки!$I$205,),0))*IFERROR(INDEX(M$10:M$11,Предпосылки!$I$205,),0),M147/(1+IFERROR(INDEX(M$10:M$11,Предпосылки!$I$206,),0))*IFERROR(INDEX(M$10:M$11,Предпосылки!$I$206,),0),M170/(1+IFERROR(INDEX(M$10:M$11,Предпосылки!$I$207,),0))*IFERROR(INDEX(M$10:M$11,Предпосылки!$I$207,),0),M193/(1+IFERROR(INDEX(M$10:M$11,Предпосылки!$I$208,),0))*IFERROR(INDEX(M$10:M$11,Предпосылки!$I$208,),0),M216/(1+IFERROR(INDEX(M$10:M$11,Предпосылки!$I$209,),0))*IFERROR(INDEX(M$10:M$11,Предпосылки!$I$209,),0),M239/(1+IFERROR(INDEX(M$10:M$11,Предпосылки!$I$210,),0))*IFERROR(INDEX(M$10:M$11,Предпосылки!$I$210,),0),M262/(1+IFERROR(INDEX(M$10:M$11,Предпосылки!$I$211,),0))*IFERROR(INDEX(M$10:M$11,Предпосылки!$I$211,),0),M285/(1+IFERROR(INDEX(M$10:M$11,Предпосылки!$I$212,),0))*IFERROR(INDEX(M$10:M$11,Предпосылки!$I$212,),0),M308/(1+IFERROR(INDEX(M$10:M$11,Предпосылки!$I$213,),0))*IFERROR(INDEX(M$10:M$11,Предпосылки!$I$213,),0),M331/(1+IFERROR(INDEX(M$10:M$11,Предпосылки!$I$214,),0))*IFERROR(INDEX(M$10:M$11,Предпосылки!$I$214,),0),M354/(1+IFERROR(INDEX(M$10:M$11,Предпосылки!$I$215,),0))*IFERROR(INDEX(M$10:M$11,Предпосылки!$I$215,),0),M377/(1+IFERROR(INDEX(M$10:M$11,Предпосылки!$I$216,),0))*IFERROR(INDEX(M$10:M$11,Предпосылки!$I$216,),0),M400/(1+IFERROR(INDEX(M$10:M$11,Предпосылки!$I$217,),0))*IFERROR(INDEX(M$10:M$11,Предпосылки!$I$217,),0),M423/(1+IFERROR(INDEX(M$10:M$11,Предпосылки!$I$218,),0))*IFERROR(INDEX(M$10:M$11,Предпосылки!$I$218,),0),M446/(1+IFERROR(INDEX(M$10:M$11,Предпосылки!$I$219,),0))*IFERROR(INDEX(M$10:M$11,Предпосылки!$I$219,),0),M469/(1+IFERROR(INDEX(M$10:M$11,Предпосылки!$I$220,),0))*IFERROR(INDEX(M$10:M$11,Предпосылки!$I$220,),0))</f>
        <v>0</v>
      </c>
      <c s="125">
        <f>SUM(N32/(1+IFERROR(INDEX(N$10:N$11,Предпосылки!$I$201,),0))*IFERROR(INDEX(N$10:N$11,Предпосылки!$I$201,),0),N55/(1+IFERROR(INDEX(N$10:N$11,Предпосылки!$I$202,),0))*IFERROR(INDEX(N$10:N$11,Предпосылки!$I$202,),0),N78/(1+IFERROR(INDEX(N$10:N$11,Предпосылки!$I$203,),0))*IFERROR(INDEX(N$10:N$11,Предпосылки!$I$203,),0),N101/(1+IFERROR(INDEX(N$10:N$11,Предпосылки!$I$204,),0))*IFERROR(INDEX(N$10:N$11,Предпосылки!$I$204,),0),N124/(1+IFERROR(INDEX(N$10:N$11,Предпосылки!$I$205,),0))*IFERROR(INDEX(N$10:N$11,Предпосылки!$I$205,),0),N147/(1+IFERROR(INDEX(N$10:N$11,Предпосылки!$I$206,),0))*IFERROR(INDEX(N$10:N$11,Предпосылки!$I$206,),0),N170/(1+IFERROR(INDEX(N$10:N$11,Предпосылки!$I$207,),0))*IFERROR(INDEX(N$10:N$11,Предпосылки!$I$207,),0),N193/(1+IFERROR(INDEX(N$10:N$11,Предпосылки!$I$208,),0))*IFERROR(INDEX(N$10:N$11,Предпосылки!$I$208,),0),N216/(1+IFERROR(INDEX(N$10:N$11,Предпосылки!$I$209,),0))*IFERROR(INDEX(N$10:N$11,Предпосылки!$I$209,),0),N239/(1+IFERROR(INDEX(N$10:N$11,Предпосылки!$I$210,),0))*IFERROR(INDEX(N$10:N$11,Предпосылки!$I$210,),0),N262/(1+IFERROR(INDEX(N$10:N$11,Предпосылки!$I$211,),0))*IFERROR(INDEX(N$10:N$11,Предпосылки!$I$211,),0),N285/(1+IFERROR(INDEX(N$10:N$11,Предпосылки!$I$212,),0))*IFERROR(INDEX(N$10:N$11,Предпосылки!$I$212,),0),N308/(1+IFERROR(INDEX(N$10:N$11,Предпосылки!$I$213,),0))*IFERROR(INDEX(N$10:N$11,Предпосылки!$I$213,),0),N331/(1+IFERROR(INDEX(N$10:N$11,Предпосылки!$I$214,),0))*IFERROR(INDEX(N$10:N$11,Предпосылки!$I$214,),0),N354/(1+IFERROR(INDEX(N$10:N$11,Предпосылки!$I$215,),0))*IFERROR(INDEX(N$10:N$11,Предпосылки!$I$215,),0),N377/(1+IFERROR(INDEX(N$10:N$11,Предпосылки!$I$216,),0))*IFERROR(INDEX(N$10:N$11,Предпосылки!$I$216,),0),N400/(1+IFERROR(INDEX(N$10:N$11,Предпосылки!$I$217,),0))*IFERROR(INDEX(N$10:N$11,Предпосылки!$I$217,),0),N423/(1+IFERROR(INDEX(N$10:N$11,Предпосылки!$I$218,),0))*IFERROR(INDEX(N$10:N$11,Предпосылки!$I$218,),0),N446/(1+IFERROR(INDEX(N$10:N$11,Предпосылки!$I$219,),0))*IFERROR(INDEX(N$10:N$11,Предпосылки!$I$219,),0),N469/(1+IFERROR(INDEX(N$10:N$11,Предпосылки!$I$220,),0))*IFERROR(INDEX(N$10:N$11,Предпосылки!$I$220,),0))</f>
        <v>0</v>
      </c>
      <c s="125">
        <f>SUM(O32/(1+IFERROR(INDEX(O$10:O$11,Предпосылки!$I$201,),0))*IFERROR(INDEX(O$10:O$11,Предпосылки!$I$201,),0),O55/(1+IFERROR(INDEX(O$10:O$11,Предпосылки!$I$202,),0))*IFERROR(INDEX(O$10:O$11,Предпосылки!$I$202,),0),O78/(1+IFERROR(INDEX(O$10:O$11,Предпосылки!$I$203,),0))*IFERROR(INDEX(O$10:O$11,Предпосылки!$I$203,),0),O101/(1+IFERROR(INDEX(O$10:O$11,Предпосылки!$I$204,),0))*IFERROR(INDEX(O$10:O$11,Предпосылки!$I$204,),0),O124/(1+IFERROR(INDEX(O$10:O$11,Предпосылки!$I$205,),0))*IFERROR(INDEX(O$10:O$11,Предпосылки!$I$205,),0),O147/(1+IFERROR(INDEX(O$10:O$11,Предпосылки!$I$206,),0))*IFERROR(INDEX(O$10:O$11,Предпосылки!$I$206,),0),O170/(1+IFERROR(INDEX(O$10:O$11,Предпосылки!$I$207,),0))*IFERROR(INDEX(O$10:O$11,Предпосылки!$I$207,),0),O193/(1+IFERROR(INDEX(O$10:O$11,Предпосылки!$I$208,),0))*IFERROR(INDEX(O$10:O$11,Предпосылки!$I$208,),0),O216/(1+IFERROR(INDEX(O$10:O$11,Предпосылки!$I$209,),0))*IFERROR(INDEX(O$10:O$11,Предпосылки!$I$209,),0),O239/(1+IFERROR(INDEX(O$10:O$11,Предпосылки!$I$210,),0))*IFERROR(INDEX(O$10:O$11,Предпосылки!$I$210,),0),O262/(1+IFERROR(INDEX(O$10:O$11,Предпосылки!$I$211,),0))*IFERROR(INDEX(O$10:O$11,Предпосылки!$I$211,),0),O285/(1+IFERROR(INDEX(O$10:O$11,Предпосылки!$I$212,),0))*IFERROR(INDEX(O$10:O$11,Предпосылки!$I$212,),0),O308/(1+IFERROR(INDEX(O$10:O$11,Предпосылки!$I$213,),0))*IFERROR(INDEX(O$10:O$11,Предпосылки!$I$213,),0),O331/(1+IFERROR(INDEX(O$10:O$11,Предпосылки!$I$214,),0))*IFERROR(INDEX(O$10:O$11,Предпосылки!$I$214,),0),O354/(1+IFERROR(INDEX(O$10:O$11,Предпосылки!$I$215,),0))*IFERROR(INDEX(O$10:O$11,Предпосылки!$I$215,),0),O377/(1+IFERROR(INDEX(O$10:O$11,Предпосылки!$I$216,),0))*IFERROR(INDEX(O$10:O$11,Предпосылки!$I$216,),0),O400/(1+IFERROR(INDEX(O$10:O$11,Предпосылки!$I$217,),0))*IFERROR(INDEX(O$10:O$11,Предпосылки!$I$217,),0),O423/(1+IFERROR(INDEX(O$10:O$11,Предпосылки!$I$218,),0))*IFERROR(INDEX(O$10:O$11,Предпосылки!$I$218,),0),O446/(1+IFERROR(INDEX(O$10:O$11,Предпосылки!$I$219,),0))*IFERROR(INDEX(O$10:O$11,Предпосылки!$I$219,),0),O469/(1+IFERROR(INDEX(O$10:O$11,Предпосылки!$I$220,),0))*IFERROR(INDEX(O$10:O$11,Предпосылки!$I$220,),0))</f>
        <v>0</v>
      </c>
      <c s="125">
        <f>SUM(P32/(1+IFERROR(INDEX(P$10:P$11,Предпосылки!$I$201,),0))*IFERROR(INDEX(P$10:P$11,Предпосылки!$I$201,),0),P55/(1+IFERROR(INDEX(P$10:P$11,Предпосылки!$I$202,),0))*IFERROR(INDEX(P$10:P$11,Предпосылки!$I$202,),0),P78/(1+IFERROR(INDEX(P$10:P$11,Предпосылки!$I$203,),0))*IFERROR(INDEX(P$10:P$11,Предпосылки!$I$203,),0),P101/(1+IFERROR(INDEX(P$10:P$11,Предпосылки!$I$204,),0))*IFERROR(INDEX(P$10:P$11,Предпосылки!$I$204,),0),P124/(1+IFERROR(INDEX(P$10:P$11,Предпосылки!$I$205,),0))*IFERROR(INDEX(P$10:P$11,Предпосылки!$I$205,),0),P147/(1+IFERROR(INDEX(P$10:P$11,Предпосылки!$I$206,),0))*IFERROR(INDEX(P$10:P$11,Предпосылки!$I$206,),0),P170/(1+IFERROR(INDEX(P$10:P$11,Предпосылки!$I$207,),0))*IFERROR(INDEX(P$10:P$11,Предпосылки!$I$207,),0),P193/(1+IFERROR(INDEX(P$10:P$11,Предпосылки!$I$208,),0))*IFERROR(INDEX(P$10:P$11,Предпосылки!$I$208,),0),P216/(1+IFERROR(INDEX(P$10:P$11,Предпосылки!$I$209,),0))*IFERROR(INDEX(P$10:P$11,Предпосылки!$I$209,),0),P239/(1+IFERROR(INDEX(P$10:P$11,Предпосылки!$I$210,),0))*IFERROR(INDEX(P$10:P$11,Предпосылки!$I$210,),0),P262/(1+IFERROR(INDEX(P$10:P$11,Предпосылки!$I$211,),0))*IFERROR(INDEX(P$10:P$11,Предпосылки!$I$211,),0),P285/(1+IFERROR(INDEX(P$10:P$11,Предпосылки!$I$212,),0))*IFERROR(INDEX(P$10:P$11,Предпосылки!$I$212,),0),P308/(1+IFERROR(INDEX(P$10:P$11,Предпосылки!$I$213,),0))*IFERROR(INDEX(P$10:P$11,Предпосылки!$I$213,),0),P331/(1+IFERROR(INDEX(P$10:P$11,Предпосылки!$I$214,),0))*IFERROR(INDEX(P$10:P$11,Предпосылки!$I$214,),0),P354/(1+IFERROR(INDEX(P$10:P$11,Предпосылки!$I$215,),0))*IFERROR(INDEX(P$10:P$11,Предпосылки!$I$215,),0),P377/(1+IFERROR(INDEX(P$10:P$11,Предпосылки!$I$216,),0))*IFERROR(INDEX(P$10:P$11,Предпосылки!$I$216,),0),P400/(1+IFERROR(INDEX(P$10:P$11,Предпосылки!$I$217,),0))*IFERROR(INDEX(P$10:P$11,Предпосылки!$I$217,),0),P423/(1+IFERROR(INDEX(P$10:P$11,Предпосылки!$I$218,),0))*IFERROR(INDEX(P$10:P$11,Предпосылки!$I$218,),0),P446/(1+IFERROR(INDEX(P$10:P$11,Предпосылки!$I$219,),0))*IFERROR(INDEX(P$10:P$11,Предпосылки!$I$219,),0),P469/(1+IFERROR(INDEX(P$10:P$11,Предпосылки!$I$220,),0))*IFERROR(INDEX(P$10:P$11,Предпосылки!$I$220,),0))</f>
        <v>0</v>
      </c>
      <c s="125">
        <f>SUM(Q32/(1+IFERROR(INDEX(Q$10:Q$11,Предпосылки!$I$201,),0))*IFERROR(INDEX(Q$10:Q$11,Предпосылки!$I$201,),0),Q55/(1+IFERROR(INDEX(Q$10:Q$11,Предпосылки!$I$202,),0))*IFERROR(INDEX(Q$10:Q$11,Предпосылки!$I$202,),0),Q78/(1+IFERROR(INDEX(Q$10:Q$11,Предпосылки!$I$203,),0))*IFERROR(INDEX(Q$10:Q$11,Предпосылки!$I$203,),0),Q101/(1+IFERROR(INDEX(Q$10:Q$11,Предпосылки!$I$204,),0))*IFERROR(INDEX(Q$10:Q$11,Предпосылки!$I$204,),0),Q124/(1+IFERROR(INDEX(Q$10:Q$11,Предпосылки!$I$205,),0))*IFERROR(INDEX(Q$10:Q$11,Предпосылки!$I$205,),0),Q147/(1+IFERROR(INDEX(Q$10:Q$11,Предпосылки!$I$206,),0))*IFERROR(INDEX(Q$10:Q$11,Предпосылки!$I$206,),0),Q170/(1+IFERROR(INDEX(Q$10:Q$11,Предпосылки!$I$207,),0))*IFERROR(INDEX(Q$10:Q$11,Предпосылки!$I$207,),0),Q193/(1+IFERROR(INDEX(Q$10:Q$11,Предпосылки!$I$208,),0))*IFERROR(INDEX(Q$10:Q$11,Предпосылки!$I$208,),0),Q216/(1+IFERROR(INDEX(Q$10:Q$11,Предпосылки!$I$209,),0))*IFERROR(INDEX(Q$10:Q$11,Предпосылки!$I$209,),0),Q239/(1+IFERROR(INDEX(Q$10:Q$11,Предпосылки!$I$210,),0))*IFERROR(INDEX(Q$10:Q$11,Предпосылки!$I$210,),0),Q262/(1+IFERROR(INDEX(Q$10:Q$11,Предпосылки!$I$211,),0))*IFERROR(INDEX(Q$10:Q$11,Предпосылки!$I$211,),0),Q285/(1+IFERROR(INDEX(Q$10:Q$11,Предпосылки!$I$212,),0))*IFERROR(INDEX(Q$10:Q$11,Предпосылки!$I$212,),0),Q308/(1+IFERROR(INDEX(Q$10:Q$11,Предпосылки!$I$213,),0))*IFERROR(INDEX(Q$10:Q$11,Предпосылки!$I$213,),0),Q331/(1+IFERROR(INDEX(Q$10:Q$11,Предпосылки!$I$214,),0))*IFERROR(INDEX(Q$10:Q$11,Предпосылки!$I$214,),0),Q354/(1+IFERROR(INDEX(Q$10:Q$11,Предпосылки!$I$215,),0))*IFERROR(INDEX(Q$10:Q$11,Предпосылки!$I$215,),0),Q377/(1+IFERROR(INDEX(Q$10:Q$11,Предпосылки!$I$216,),0))*IFERROR(INDEX(Q$10:Q$11,Предпосылки!$I$216,),0),Q400/(1+IFERROR(INDEX(Q$10:Q$11,Предпосылки!$I$217,),0))*IFERROR(INDEX(Q$10:Q$11,Предпосылки!$I$217,),0),Q423/(1+IFERROR(INDEX(Q$10:Q$11,Предпосылки!$I$218,),0))*IFERROR(INDEX(Q$10:Q$11,Предпосылки!$I$218,),0),Q446/(1+IFERROR(INDEX(Q$10:Q$11,Предпосылки!$I$219,),0))*IFERROR(INDEX(Q$10:Q$11,Предпосылки!$I$219,),0),Q469/(1+IFERROR(INDEX(Q$10:Q$11,Предпосылки!$I$220,),0))*IFERROR(INDEX(Q$10:Q$11,Предпосылки!$I$220,),0))</f>
        <v>0</v>
      </c>
      <c s="125">
        <f>SUM(R32/(1+IFERROR(INDEX(R$10:R$11,Предпосылки!$I$201,),0))*IFERROR(INDEX(R$10:R$11,Предпосылки!$I$201,),0),R55/(1+IFERROR(INDEX(R$10:R$11,Предпосылки!$I$202,),0))*IFERROR(INDEX(R$10:R$11,Предпосылки!$I$202,),0),R78/(1+IFERROR(INDEX(R$10:R$11,Предпосылки!$I$203,),0))*IFERROR(INDEX(R$10:R$11,Предпосылки!$I$203,),0),R101/(1+IFERROR(INDEX(R$10:R$11,Предпосылки!$I$204,),0))*IFERROR(INDEX(R$10:R$11,Предпосылки!$I$204,),0),R124/(1+IFERROR(INDEX(R$10:R$11,Предпосылки!$I$205,),0))*IFERROR(INDEX(R$10:R$11,Предпосылки!$I$205,),0),R147/(1+IFERROR(INDEX(R$10:R$11,Предпосылки!$I$206,),0))*IFERROR(INDEX(R$10:R$11,Предпосылки!$I$206,),0),R170/(1+IFERROR(INDEX(R$10:R$11,Предпосылки!$I$207,),0))*IFERROR(INDEX(R$10:R$11,Предпосылки!$I$207,),0),R193/(1+IFERROR(INDEX(R$10:R$11,Предпосылки!$I$208,),0))*IFERROR(INDEX(R$10:R$11,Предпосылки!$I$208,),0),R216/(1+IFERROR(INDEX(R$10:R$11,Предпосылки!$I$209,),0))*IFERROR(INDEX(R$10:R$11,Предпосылки!$I$209,),0),R239/(1+IFERROR(INDEX(R$10:R$11,Предпосылки!$I$210,),0))*IFERROR(INDEX(R$10:R$11,Предпосылки!$I$210,),0),R262/(1+IFERROR(INDEX(R$10:R$11,Предпосылки!$I$211,),0))*IFERROR(INDEX(R$10:R$11,Предпосылки!$I$211,),0),R285/(1+IFERROR(INDEX(R$10:R$11,Предпосылки!$I$212,),0))*IFERROR(INDEX(R$10:R$11,Предпосылки!$I$212,),0),R308/(1+IFERROR(INDEX(R$10:R$11,Предпосылки!$I$213,),0))*IFERROR(INDEX(R$10:R$11,Предпосылки!$I$213,),0),R331/(1+IFERROR(INDEX(R$10:R$11,Предпосылки!$I$214,),0))*IFERROR(INDEX(R$10:R$11,Предпосылки!$I$214,),0),R354/(1+IFERROR(INDEX(R$10:R$11,Предпосылки!$I$215,),0))*IFERROR(INDEX(R$10:R$11,Предпосылки!$I$215,),0),R377/(1+IFERROR(INDEX(R$10:R$11,Предпосылки!$I$216,),0))*IFERROR(INDEX(R$10:R$11,Предпосылки!$I$216,),0),R400/(1+IFERROR(INDEX(R$10:R$11,Предпосылки!$I$217,),0))*IFERROR(INDEX(R$10:R$11,Предпосылки!$I$217,),0),R423/(1+IFERROR(INDEX(R$10:R$11,Предпосылки!$I$218,),0))*IFERROR(INDEX(R$10:R$11,Предпосылки!$I$218,),0),R446/(1+IFERROR(INDEX(R$10:R$11,Предпосылки!$I$219,),0))*IFERROR(INDEX(R$10:R$11,Предпосылки!$I$219,),0),R469/(1+IFERROR(INDEX(R$10:R$11,Предпосылки!$I$220,),0))*IFERROR(INDEX(R$10:R$11,Предпосылки!$I$220,),0))</f>
        <v>0</v>
      </c>
      <c s="125">
        <f>SUM(S32/(1+IFERROR(INDEX(S$10:S$11,Предпосылки!$I$201,),0))*IFERROR(INDEX(S$10:S$11,Предпосылки!$I$201,),0),S55/(1+IFERROR(INDEX(S$10:S$11,Предпосылки!$I$202,),0))*IFERROR(INDEX(S$10:S$11,Предпосылки!$I$202,),0),S78/(1+IFERROR(INDEX(S$10:S$11,Предпосылки!$I$203,),0))*IFERROR(INDEX(S$10:S$11,Предпосылки!$I$203,),0),S101/(1+IFERROR(INDEX(S$10:S$11,Предпосылки!$I$204,),0))*IFERROR(INDEX(S$10:S$11,Предпосылки!$I$204,),0),S124/(1+IFERROR(INDEX(S$10:S$11,Предпосылки!$I$205,),0))*IFERROR(INDEX(S$10:S$11,Предпосылки!$I$205,),0),S147/(1+IFERROR(INDEX(S$10:S$11,Предпосылки!$I$206,),0))*IFERROR(INDEX(S$10:S$11,Предпосылки!$I$206,),0),S170/(1+IFERROR(INDEX(S$10:S$11,Предпосылки!$I$207,),0))*IFERROR(INDEX(S$10:S$11,Предпосылки!$I$207,),0),S193/(1+IFERROR(INDEX(S$10:S$11,Предпосылки!$I$208,),0))*IFERROR(INDEX(S$10:S$11,Предпосылки!$I$208,),0),S216/(1+IFERROR(INDEX(S$10:S$11,Предпосылки!$I$209,),0))*IFERROR(INDEX(S$10:S$11,Предпосылки!$I$209,),0),S239/(1+IFERROR(INDEX(S$10:S$11,Предпосылки!$I$210,),0))*IFERROR(INDEX(S$10:S$11,Предпосылки!$I$210,),0),S262/(1+IFERROR(INDEX(S$10:S$11,Предпосылки!$I$211,),0))*IFERROR(INDEX(S$10:S$11,Предпосылки!$I$211,),0),S285/(1+IFERROR(INDEX(S$10:S$11,Предпосылки!$I$212,),0))*IFERROR(INDEX(S$10:S$11,Предпосылки!$I$212,),0),S308/(1+IFERROR(INDEX(S$10:S$11,Предпосылки!$I$213,),0))*IFERROR(INDEX(S$10:S$11,Предпосылки!$I$213,),0),S331/(1+IFERROR(INDEX(S$10:S$11,Предпосылки!$I$214,),0))*IFERROR(INDEX(S$10:S$11,Предпосылки!$I$214,),0),S354/(1+IFERROR(INDEX(S$10:S$11,Предпосылки!$I$215,),0))*IFERROR(INDEX(S$10:S$11,Предпосылки!$I$215,),0),S377/(1+IFERROR(INDEX(S$10:S$11,Предпосылки!$I$216,),0))*IFERROR(INDEX(S$10:S$11,Предпосылки!$I$216,),0),S400/(1+IFERROR(INDEX(S$10:S$11,Предпосылки!$I$217,),0))*IFERROR(INDEX(S$10:S$11,Предпосылки!$I$217,),0),S423/(1+IFERROR(INDEX(S$10:S$11,Предпосылки!$I$218,),0))*IFERROR(INDEX(S$10:S$11,Предпосылки!$I$218,),0),S446/(1+IFERROR(INDEX(S$10:S$11,Предпосылки!$I$219,),0))*IFERROR(INDEX(S$10:S$11,Предпосылки!$I$219,),0),S469/(1+IFERROR(INDEX(S$10:S$11,Предпосылки!$I$220,),0))*IFERROR(INDEX(S$10:S$11,Предпосылки!$I$220,),0))</f>
        <v>0</v>
      </c>
      <c s="125">
        <f>SUM(T32/(1+IFERROR(INDEX(T$10:T$11,Предпосылки!$I$201,),0))*IFERROR(INDEX(T$10:T$11,Предпосылки!$I$201,),0),T55/(1+IFERROR(INDEX(T$10:T$11,Предпосылки!$I$202,),0))*IFERROR(INDEX(T$10:T$11,Предпосылки!$I$202,),0),T78/(1+IFERROR(INDEX(T$10:T$11,Предпосылки!$I$203,),0))*IFERROR(INDEX(T$10:T$11,Предпосылки!$I$203,),0),T101/(1+IFERROR(INDEX(T$10:T$11,Предпосылки!$I$204,),0))*IFERROR(INDEX(T$10:T$11,Предпосылки!$I$204,),0),T124/(1+IFERROR(INDEX(T$10:T$11,Предпосылки!$I$205,),0))*IFERROR(INDEX(T$10:T$11,Предпосылки!$I$205,),0),T147/(1+IFERROR(INDEX(T$10:T$11,Предпосылки!$I$206,),0))*IFERROR(INDEX(T$10:T$11,Предпосылки!$I$206,),0),T170/(1+IFERROR(INDEX(T$10:T$11,Предпосылки!$I$207,),0))*IFERROR(INDEX(T$10:T$11,Предпосылки!$I$207,),0),T193/(1+IFERROR(INDEX(T$10:T$11,Предпосылки!$I$208,),0))*IFERROR(INDEX(T$10:T$11,Предпосылки!$I$208,),0),T216/(1+IFERROR(INDEX(T$10:T$11,Предпосылки!$I$209,),0))*IFERROR(INDEX(T$10:T$11,Предпосылки!$I$209,),0),T239/(1+IFERROR(INDEX(T$10:T$11,Предпосылки!$I$210,),0))*IFERROR(INDEX(T$10:T$11,Предпосылки!$I$210,),0),T262/(1+IFERROR(INDEX(T$10:T$11,Предпосылки!$I$211,),0))*IFERROR(INDEX(T$10:T$11,Предпосылки!$I$211,),0),T285/(1+IFERROR(INDEX(T$10:T$11,Предпосылки!$I$212,),0))*IFERROR(INDEX(T$10:T$11,Предпосылки!$I$212,),0),T308/(1+IFERROR(INDEX(T$10:T$11,Предпосылки!$I$213,),0))*IFERROR(INDEX(T$10:T$11,Предпосылки!$I$213,),0),T331/(1+IFERROR(INDEX(T$10:T$11,Предпосылки!$I$214,),0))*IFERROR(INDEX(T$10:T$11,Предпосылки!$I$214,),0),T354/(1+IFERROR(INDEX(T$10:T$11,Предпосылки!$I$215,),0))*IFERROR(INDEX(T$10:T$11,Предпосылки!$I$215,),0),T377/(1+IFERROR(INDEX(T$10:T$11,Предпосылки!$I$216,),0))*IFERROR(INDEX(T$10:T$11,Предпосылки!$I$216,),0),T400/(1+IFERROR(INDEX(T$10:T$11,Предпосылки!$I$217,),0))*IFERROR(INDEX(T$10:T$11,Предпосылки!$I$217,),0),T423/(1+IFERROR(INDEX(T$10:T$11,Предпосылки!$I$218,),0))*IFERROR(INDEX(T$10:T$11,Предпосылки!$I$218,),0),T446/(1+IFERROR(INDEX(T$10:T$11,Предпосылки!$I$219,),0))*IFERROR(INDEX(T$10:T$11,Предпосылки!$I$219,),0),T469/(1+IFERROR(INDEX(T$10:T$11,Предпосылки!$I$220,),0))*IFERROR(INDEX(T$10:T$11,Предпосылки!$I$220,),0))</f>
        <v>0</v>
      </c>
      <c s="125">
        <f>SUM(U32/(1+IFERROR(INDEX(U$10:U$11,Предпосылки!$I$201,),0))*IFERROR(INDEX(U$10:U$11,Предпосылки!$I$201,),0),U55/(1+IFERROR(INDEX(U$10:U$11,Предпосылки!$I$202,),0))*IFERROR(INDEX(U$10:U$11,Предпосылки!$I$202,),0),U78/(1+IFERROR(INDEX(U$10:U$11,Предпосылки!$I$203,),0))*IFERROR(INDEX(U$10:U$11,Предпосылки!$I$203,),0),U101/(1+IFERROR(INDEX(U$10:U$11,Предпосылки!$I$204,),0))*IFERROR(INDEX(U$10:U$11,Предпосылки!$I$204,),0),U124/(1+IFERROR(INDEX(U$10:U$11,Предпосылки!$I$205,),0))*IFERROR(INDEX(U$10:U$11,Предпосылки!$I$205,),0),U147/(1+IFERROR(INDEX(U$10:U$11,Предпосылки!$I$206,),0))*IFERROR(INDEX(U$10:U$11,Предпосылки!$I$206,),0),U170/(1+IFERROR(INDEX(U$10:U$11,Предпосылки!$I$207,),0))*IFERROR(INDEX(U$10:U$11,Предпосылки!$I$207,),0),U193/(1+IFERROR(INDEX(U$10:U$11,Предпосылки!$I$208,),0))*IFERROR(INDEX(U$10:U$11,Предпосылки!$I$208,),0),U216/(1+IFERROR(INDEX(U$10:U$11,Предпосылки!$I$209,),0))*IFERROR(INDEX(U$10:U$11,Предпосылки!$I$209,),0),U239/(1+IFERROR(INDEX(U$10:U$11,Предпосылки!$I$210,),0))*IFERROR(INDEX(U$10:U$11,Предпосылки!$I$210,),0),U262/(1+IFERROR(INDEX(U$10:U$11,Предпосылки!$I$211,),0))*IFERROR(INDEX(U$10:U$11,Предпосылки!$I$211,),0),U285/(1+IFERROR(INDEX(U$10:U$11,Предпосылки!$I$212,),0))*IFERROR(INDEX(U$10:U$11,Предпосылки!$I$212,),0),U308/(1+IFERROR(INDEX(U$10:U$11,Предпосылки!$I$213,),0))*IFERROR(INDEX(U$10:U$11,Предпосылки!$I$213,),0),U331/(1+IFERROR(INDEX(U$10:U$11,Предпосылки!$I$214,),0))*IFERROR(INDEX(U$10:U$11,Предпосылки!$I$214,),0),U354/(1+IFERROR(INDEX(U$10:U$11,Предпосылки!$I$215,),0))*IFERROR(INDEX(U$10:U$11,Предпосылки!$I$215,),0),U377/(1+IFERROR(INDEX(U$10:U$11,Предпосылки!$I$216,),0))*IFERROR(INDEX(U$10:U$11,Предпосылки!$I$216,),0),U400/(1+IFERROR(INDEX(U$10:U$11,Предпосылки!$I$217,),0))*IFERROR(INDEX(U$10:U$11,Предпосылки!$I$217,),0),U423/(1+IFERROR(INDEX(U$10:U$11,Предпосылки!$I$218,),0))*IFERROR(INDEX(U$10:U$11,Предпосылки!$I$218,),0),U446/(1+IFERROR(INDEX(U$10:U$11,Предпосылки!$I$219,),0))*IFERROR(INDEX(U$10:U$11,Предпосылки!$I$219,),0),U469/(1+IFERROR(INDEX(U$10:U$11,Предпосылки!$I$220,),0))*IFERROR(INDEX(U$10:U$11,Предпосылки!$I$220,),0))</f>
        <v>0</v>
      </c>
      <c s="125">
        <f>SUM(V32/(1+IFERROR(INDEX(V$10:V$11,Предпосылки!$I$201,),0))*IFERROR(INDEX(V$10:V$11,Предпосылки!$I$201,),0),V55/(1+IFERROR(INDEX(V$10:V$11,Предпосылки!$I$202,),0))*IFERROR(INDEX(V$10:V$11,Предпосылки!$I$202,),0),V78/(1+IFERROR(INDEX(V$10:V$11,Предпосылки!$I$203,),0))*IFERROR(INDEX(V$10:V$11,Предпосылки!$I$203,),0),V101/(1+IFERROR(INDEX(V$10:V$11,Предпосылки!$I$204,),0))*IFERROR(INDEX(V$10:V$11,Предпосылки!$I$204,),0),V124/(1+IFERROR(INDEX(V$10:V$11,Предпосылки!$I$205,),0))*IFERROR(INDEX(V$10:V$11,Предпосылки!$I$205,),0),V147/(1+IFERROR(INDEX(V$10:V$11,Предпосылки!$I$206,),0))*IFERROR(INDEX(V$10:V$11,Предпосылки!$I$206,),0),V170/(1+IFERROR(INDEX(V$10:V$11,Предпосылки!$I$207,),0))*IFERROR(INDEX(V$10:V$11,Предпосылки!$I$207,),0),V193/(1+IFERROR(INDEX(V$10:V$11,Предпосылки!$I$208,),0))*IFERROR(INDEX(V$10:V$11,Предпосылки!$I$208,),0),V216/(1+IFERROR(INDEX(V$10:V$11,Предпосылки!$I$209,),0))*IFERROR(INDEX(V$10:V$11,Предпосылки!$I$209,),0),V239/(1+IFERROR(INDEX(V$10:V$11,Предпосылки!$I$210,),0))*IFERROR(INDEX(V$10:V$11,Предпосылки!$I$210,),0),V262/(1+IFERROR(INDEX(V$10:V$11,Предпосылки!$I$211,),0))*IFERROR(INDEX(V$10:V$11,Предпосылки!$I$211,),0),V285/(1+IFERROR(INDEX(V$10:V$11,Предпосылки!$I$212,),0))*IFERROR(INDEX(V$10:V$11,Предпосылки!$I$212,),0),V308/(1+IFERROR(INDEX(V$10:V$11,Предпосылки!$I$213,),0))*IFERROR(INDEX(V$10:V$11,Предпосылки!$I$213,),0),V331/(1+IFERROR(INDEX(V$10:V$11,Предпосылки!$I$214,),0))*IFERROR(INDEX(V$10:V$11,Предпосылки!$I$214,),0),V354/(1+IFERROR(INDEX(V$10:V$11,Предпосылки!$I$215,),0))*IFERROR(INDEX(V$10:V$11,Предпосылки!$I$215,),0),V377/(1+IFERROR(INDEX(V$10:V$11,Предпосылки!$I$216,),0))*IFERROR(INDEX(V$10:V$11,Предпосылки!$I$216,),0),V400/(1+IFERROR(INDEX(V$10:V$11,Предпосылки!$I$217,),0))*IFERROR(INDEX(V$10:V$11,Предпосылки!$I$217,),0),V423/(1+IFERROR(INDEX(V$10:V$11,Предпосылки!$I$218,),0))*IFERROR(INDEX(V$10:V$11,Предпосылки!$I$218,),0),V446/(1+IFERROR(INDEX(V$10:V$11,Предпосылки!$I$219,),0))*IFERROR(INDEX(V$10:V$11,Предпосылки!$I$219,),0),V469/(1+IFERROR(INDEX(V$10:V$11,Предпосылки!$I$220,),0))*IFERROR(INDEX(V$10:V$11,Предпосылки!$I$220,),0))</f>
        <v>0</v>
      </c>
      <c s="125">
        <f>SUM(W32/(1+IFERROR(INDEX(W$10:W$11,Предпосылки!$I$201,),0))*IFERROR(INDEX(W$10:W$11,Предпосылки!$I$201,),0),W55/(1+IFERROR(INDEX(W$10:W$11,Предпосылки!$I$202,),0))*IFERROR(INDEX(W$10:W$11,Предпосылки!$I$202,),0),W78/(1+IFERROR(INDEX(W$10:W$11,Предпосылки!$I$203,),0))*IFERROR(INDEX(W$10:W$11,Предпосылки!$I$203,),0),W101/(1+IFERROR(INDEX(W$10:W$11,Предпосылки!$I$204,),0))*IFERROR(INDEX(W$10:W$11,Предпосылки!$I$204,),0),W124/(1+IFERROR(INDEX(W$10:W$11,Предпосылки!$I$205,),0))*IFERROR(INDEX(W$10:W$11,Предпосылки!$I$205,),0),W147/(1+IFERROR(INDEX(W$10:W$11,Предпосылки!$I$206,),0))*IFERROR(INDEX(W$10:W$11,Предпосылки!$I$206,),0),W170/(1+IFERROR(INDEX(W$10:W$11,Предпосылки!$I$207,),0))*IFERROR(INDEX(W$10:W$11,Предпосылки!$I$207,),0),W193/(1+IFERROR(INDEX(W$10:W$11,Предпосылки!$I$208,),0))*IFERROR(INDEX(W$10:W$11,Предпосылки!$I$208,),0),W216/(1+IFERROR(INDEX(W$10:W$11,Предпосылки!$I$209,),0))*IFERROR(INDEX(W$10:W$11,Предпосылки!$I$209,),0),W239/(1+IFERROR(INDEX(W$10:W$11,Предпосылки!$I$210,),0))*IFERROR(INDEX(W$10:W$11,Предпосылки!$I$210,),0),W262/(1+IFERROR(INDEX(W$10:W$11,Предпосылки!$I$211,),0))*IFERROR(INDEX(W$10:W$11,Предпосылки!$I$211,),0),W285/(1+IFERROR(INDEX(W$10:W$11,Предпосылки!$I$212,),0))*IFERROR(INDEX(W$10:W$11,Предпосылки!$I$212,),0),W308/(1+IFERROR(INDEX(W$10:W$11,Предпосылки!$I$213,),0))*IFERROR(INDEX(W$10:W$11,Предпосылки!$I$213,),0),W331/(1+IFERROR(INDEX(W$10:W$11,Предпосылки!$I$214,),0))*IFERROR(INDEX(W$10:W$11,Предпосылки!$I$214,),0),W354/(1+IFERROR(INDEX(W$10:W$11,Предпосылки!$I$215,),0))*IFERROR(INDEX(W$10:W$11,Предпосылки!$I$215,),0),W377/(1+IFERROR(INDEX(W$10:W$11,Предпосылки!$I$216,),0))*IFERROR(INDEX(W$10:W$11,Предпосылки!$I$216,),0),W400/(1+IFERROR(INDEX(W$10:W$11,Предпосылки!$I$217,),0))*IFERROR(INDEX(W$10:W$11,Предпосылки!$I$217,),0),W423/(1+IFERROR(INDEX(W$10:W$11,Предпосылки!$I$218,),0))*IFERROR(INDEX(W$10:W$11,Предпосылки!$I$218,),0),W446/(1+IFERROR(INDEX(W$10:W$11,Предпосылки!$I$219,),0))*IFERROR(INDEX(W$10:W$11,Предпосылки!$I$219,),0),W469/(1+IFERROR(INDEX(W$10:W$11,Предпосылки!$I$220,),0))*IFERROR(INDEX(W$10:W$11,Предпосылки!$I$220,),0))</f>
        <v>0</v>
      </c>
      <c s="125">
        <f>SUM(X32/(1+IFERROR(INDEX(X$10:X$11,Предпосылки!$I$201,),0))*IFERROR(INDEX(X$10:X$11,Предпосылки!$I$201,),0),X55/(1+IFERROR(INDEX(X$10:X$11,Предпосылки!$I$202,),0))*IFERROR(INDEX(X$10:X$11,Предпосылки!$I$202,),0),X78/(1+IFERROR(INDEX(X$10:X$11,Предпосылки!$I$203,),0))*IFERROR(INDEX(X$10:X$11,Предпосылки!$I$203,),0),X101/(1+IFERROR(INDEX(X$10:X$11,Предпосылки!$I$204,),0))*IFERROR(INDEX(X$10:X$11,Предпосылки!$I$204,),0),X124/(1+IFERROR(INDEX(X$10:X$11,Предпосылки!$I$205,),0))*IFERROR(INDEX(X$10:X$11,Предпосылки!$I$205,),0),X147/(1+IFERROR(INDEX(X$10:X$11,Предпосылки!$I$206,),0))*IFERROR(INDEX(X$10:X$11,Предпосылки!$I$206,),0),X170/(1+IFERROR(INDEX(X$10:X$11,Предпосылки!$I$207,),0))*IFERROR(INDEX(X$10:X$11,Предпосылки!$I$207,),0),X193/(1+IFERROR(INDEX(X$10:X$11,Предпосылки!$I$208,),0))*IFERROR(INDEX(X$10:X$11,Предпосылки!$I$208,),0),X216/(1+IFERROR(INDEX(X$10:X$11,Предпосылки!$I$209,),0))*IFERROR(INDEX(X$10:X$11,Предпосылки!$I$209,),0),X239/(1+IFERROR(INDEX(X$10:X$11,Предпосылки!$I$210,),0))*IFERROR(INDEX(X$10:X$11,Предпосылки!$I$210,),0),X262/(1+IFERROR(INDEX(X$10:X$11,Предпосылки!$I$211,),0))*IFERROR(INDEX(X$10:X$11,Предпосылки!$I$211,),0),X285/(1+IFERROR(INDEX(X$10:X$11,Предпосылки!$I$212,),0))*IFERROR(INDEX(X$10:X$11,Предпосылки!$I$212,),0),X308/(1+IFERROR(INDEX(X$10:X$11,Предпосылки!$I$213,),0))*IFERROR(INDEX(X$10:X$11,Предпосылки!$I$213,),0),X331/(1+IFERROR(INDEX(X$10:X$11,Предпосылки!$I$214,),0))*IFERROR(INDEX(X$10:X$11,Предпосылки!$I$214,),0),X354/(1+IFERROR(INDEX(X$10:X$11,Предпосылки!$I$215,),0))*IFERROR(INDEX(X$10:X$11,Предпосылки!$I$215,),0),X377/(1+IFERROR(INDEX(X$10:X$11,Предпосылки!$I$216,),0))*IFERROR(INDEX(X$10:X$11,Предпосылки!$I$216,),0),X400/(1+IFERROR(INDEX(X$10:X$11,Предпосылки!$I$217,),0))*IFERROR(INDEX(X$10:X$11,Предпосылки!$I$217,),0),X423/(1+IFERROR(INDEX(X$10:X$11,Предпосылки!$I$218,),0))*IFERROR(INDEX(X$10:X$11,Предпосылки!$I$218,),0),X446/(1+IFERROR(INDEX(X$10:X$11,Предпосылки!$I$219,),0))*IFERROR(INDEX(X$10:X$11,Предпосылки!$I$219,),0),X469/(1+IFERROR(INDEX(X$10:X$11,Предпосылки!$I$220,),0))*IFERROR(INDEX(X$10:X$11,Предпосылки!$I$220,),0))</f>
        <v>0</v>
      </c>
      <c s="125">
        <f>SUM(Y32/(1+IFERROR(INDEX(Y$10:Y$11,Предпосылки!$I$201,),0))*IFERROR(INDEX(Y$10:Y$11,Предпосылки!$I$201,),0),Y55/(1+IFERROR(INDEX(Y$10:Y$11,Предпосылки!$I$202,),0))*IFERROR(INDEX(Y$10:Y$11,Предпосылки!$I$202,),0),Y78/(1+IFERROR(INDEX(Y$10:Y$11,Предпосылки!$I$203,),0))*IFERROR(INDEX(Y$10:Y$11,Предпосылки!$I$203,),0),Y101/(1+IFERROR(INDEX(Y$10:Y$11,Предпосылки!$I$204,),0))*IFERROR(INDEX(Y$10:Y$11,Предпосылки!$I$204,),0),Y124/(1+IFERROR(INDEX(Y$10:Y$11,Предпосылки!$I$205,),0))*IFERROR(INDEX(Y$10:Y$11,Предпосылки!$I$205,),0),Y147/(1+IFERROR(INDEX(Y$10:Y$11,Предпосылки!$I$206,),0))*IFERROR(INDEX(Y$10:Y$11,Предпосылки!$I$206,),0),Y170/(1+IFERROR(INDEX(Y$10:Y$11,Предпосылки!$I$207,),0))*IFERROR(INDEX(Y$10:Y$11,Предпосылки!$I$207,),0),Y193/(1+IFERROR(INDEX(Y$10:Y$11,Предпосылки!$I$208,),0))*IFERROR(INDEX(Y$10:Y$11,Предпосылки!$I$208,),0),Y216/(1+IFERROR(INDEX(Y$10:Y$11,Предпосылки!$I$209,),0))*IFERROR(INDEX(Y$10:Y$11,Предпосылки!$I$209,),0),Y239/(1+IFERROR(INDEX(Y$10:Y$11,Предпосылки!$I$210,),0))*IFERROR(INDEX(Y$10:Y$11,Предпосылки!$I$210,),0),Y262/(1+IFERROR(INDEX(Y$10:Y$11,Предпосылки!$I$211,),0))*IFERROR(INDEX(Y$10:Y$11,Предпосылки!$I$211,),0),Y285/(1+IFERROR(INDEX(Y$10:Y$11,Предпосылки!$I$212,),0))*IFERROR(INDEX(Y$10:Y$11,Предпосылки!$I$212,),0),Y308/(1+IFERROR(INDEX(Y$10:Y$11,Предпосылки!$I$213,),0))*IFERROR(INDEX(Y$10:Y$11,Предпосылки!$I$213,),0),Y331/(1+IFERROR(INDEX(Y$10:Y$11,Предпосылки!$I$214,),0))*IFERROR(INDEX(Y$10:Y$11,Предпосылки!$I$214,),0),Y354/(1+IFERROR(INDEX(Y$10:Y$11,Предпосылки!$I$215,),0))*IFERROR(INDEX(Y$10:Y$11,Предпосылки!$I$215,),0),Y377/(1+IFERROR(INDEX(Y$10:Y$11,Предпосылки!$I$216,),0))*IFERROR(INDEX(Y$10:Y$11,Предпосылки!$I$216,),0),Y400/(1+IFERROR(INDEX(Y$10:Y$11,Предпосылки!$I$217,),0))*IFERROR(INDEX(Y$10:Y$11,Предпосылки!$I$217,),0),Y423/(1+IFERROR(INDEX(Y$10:Y$11,Предпосылки!$I$218,),0))*IFERROR(INDEX(Y$10:Y$11,Предпосылки!$I$218,),0),Y446/(1+IFERROR(INDEX(Y$10:Y$11,Предпосылки!$I$219,),0))*IFERROR(INDEX(Y$10:Y$11,Предпосылки!$I$219,),0),Y469/(1+IFERROR(INDEX(Y$10:Y$11,Предпосылки!$I$220,),0))*IFERROR(INDEX(Y$10:Y$11,Предпосылки!$I$220,),0))</f>
        <v>0</v>
      </c>
      <c s="125">
        <f>SUM(Z32/(1+IFERROR(INDEX(Z$10:Z$11,Предпосылки!$I$201,),0))*IFERROR(INDEX(Z$10:Z$11,Предпосылки!$I$201,),0),Z55/(1+IFERROR(INDEX(Z$10:Z$11,Предпосылки!$I$202,),0))*IFERROR(INDEX(Z$10:Z$11,Предпосылки!$I$202,),0),Z78/(1+IFERROR(INDEX(Z$10:Z$11,Предпосылки!$I$203,),0))*IFERROR(INDEX(Z$10:Z$11,Предпосылки!$I$203,),0),Z101/(1+IFERROR(INDEX(Z$10:Z$11,Предпосылки!$I$204,),0))*IFERROR(INDEX(Z$10:Z$11,Предпосылки!$I$204,),0),Z124/(1+IFERROR(INDEX(Z$10:Z$11,Предпосылки!$I$205,),0))*IFERROR(INDEX(Z$10:Z$11,Предпосылки!$I$205,),0),Z147/(1+IFERROR(INDEX(Z$10:Z$11,Предпосылки!$I$206,),0))*IFERROR(INDEX(Z$10:Z$11,Предпосылки!$I$206,),0),Z170/(1+IFERROR(INDEX(Z$10:Z$11,Предпосылки!$I$207,),0))*IFERROR(INDEX(Z$10:Z$11,Предпосылки!$I$207,),0),Z193/(1+IFERROR(INDEX(Z$10:Z$11,Предпосылки!$I$208,),0))*IFERROR(INDEX(Z$10:Z$11,Предпосылки!$I$208,),0),Z216/(1+IFERROR(INDEX(Z$10:Z$11,Предпосылки!$I$209,),0))*IFERROR(INDEX(Z$10:Z$11,Предпосылки!$I$209,),0),Z239/(1+IFERROR(INDEX(Z$10:Z$11,Предпосылки!$I$210,),0))*IFERROR(INDEX(Z$10:Z$11,Предпосылки!$I$210,),0),Z262/(1+IFERROR(INDEX(Z$10:Z$11,Предпосылки!$I$211,),0))*IFERROR(INDEX(Z$10:Z$11,Предпосылки!$I$211,),0),Z285/(1+IFERROR(INDEX(Z$10:Z$11,Предпосылки!$I$212,),0))*IFERROR(INDEX(Z$10:Z$11,Предпосылки!$I$212,),0),Z308/(1+IFERROR(INDEX(Z$10:Z$11,Предпосылки!$I$213,),0))*IFERROR(INDEX(Z$10:Z$11,Предпосылки!$I$213,),0),Z331/(1+IFERROR(INDEX(Z$10:Z$11,Предпосылки!$I$214,),0))*IFERROR(INDEX(Z$10:Z$11,Предпосылки!$I$214,),0),Z354/(1+IFERROR(INDEX(Z$10:Z$11,Предпосылки!$I$215,),0))*IFERROR(INDEX(Z$10:Z$11,Предпосылки!$I$215,),0),Z377/(1+IFERROR(INDEX(Z$10:Z$11,Предпосылки!$I$216,),0))*IFERROR(INDEX(Z$10:Z$11,Предпосылки!$I$216,),0),Z400/(1+IFERROR(INDEX(Z$10:Z$11,Предпосылки!$I$217,),0))*IFERROR(INDEX(Z$10:Z$11,Предпосылки!$I$217,),0),Z423/(1+IFERROR(INDEX(Z$10:Z$11,Предпосылки!$I$218,),0))*IFERROR(INDEX(Z$10:Z$11,Предпосылки!$I$218,),0),Z446/(1+IFERROR(INDEX(Z$10:Z$11,Предпосылки!$I$219,),0))*IFERROR(INDEX(Z$10:Z$11,Предпосылки!$I$219,),0),Z469/(1+IFERROR(INDEX(Z$10:Z$11,Предпосылки!$I$220,),0))*IFERROR(INDEX(Z$10:Z$11,Предпосылки!$I$220,),0))</f>
        <v>0</v>
      </c>
      <c s="125">
        <f>SUM(AA32/(1+IFERROR(INDEX(AA$10:AA$11,Предпосылки!$I$201,),0))*IFERROR(INDEX(AA$10:AA$11,Предпосылки!$I$201,),0),AA55/(1+IFERROR(INDEX(AA$10:AA$11,Предпосылки!$I$202,),0))*IFERROR(INDEX(AA$10:AA$11,Предпосылки!$I$202,),0),AA78/(1+IFERROR(INDEX(AA$10:AA$11,Предпосылки!$I$203,),0))*IFERROR(INDEX(AA$10:AA$11,Предпосылки!$I$203,),0),AA101/(1+IFERROR(INDEX(AA$10:AA$11,Предпосылки!$I$204,),0))*IFERROR(INDEX(AA$10:AA$11,Предпосылки!$I$204,),0),AA124/(1+IFERROR(INDEX(AA$10:AA$11,Предпосылки!$I$205,),0))*IFERROR(INDEX(AA$10:AA$11,Предпосылки!$I$205,),0),AA147/(1+IFERROR(INDEX(AA$10:AA$11,Предпосылки!$I$206,),0))*IFERROR(INDEX(AA$10:AA$11,Предпосылки!$I$206,),0),AA170/(1+IFERROR(INDEX(AA$10:AA$11,Предпосылки!$I$207,),0))*IFERROR(INDEX(AA$10:AA$11,Предпосылки!$I$207,),0),AA193/(1+IFERROR(INDEX(AA$10:AA$11,Предпосылки!$I$208,),0))*IFERROR(INDEX(AA$10:AA$11,Предпосылки!$I$208,),0),AA216/(1+IFERROR(INDEX(AA$10:AA$11,Предпосылки!$I$209,),0))*IFERROR(INDEX(AA$10:AA$11,Предпосылки!$I$209,),0),AA239/(1+IFERROR(INDEX(AA$10:AA$11,Предпосылки!$I$210,),0))*IFERROR(INDEX(AA$10:AA$11,Предпосылки!$I$210,),0),AA262/(1+IFERROR(INDEX(AA$10:AA$11,Предпосылки!$I$211,),0))*IFERROR(INDEX(AA$10:AA$11,Предпосылки!$I$211,),0),AA285/(1+IFERROR(INDEX(AA$10:AA$11,Предпосылки!$I$212,),0))*IFERROR(INDEX(AA$10:AA$11,Предпосылки!$I$212,),0),AA308/(1+IFERROR(INDEX(AA$10:AA$11,Предпосылки!$I$213,),0))*IFERROR(INDEX(AA$10:AA$11,Предпосылки!$I$213,),0),AA331/(1+IFERROR(INDEX(AA$10:AA$11,Предпосылки!$I$214,),0))*IFERROR(INDEX(AA$10:AA$11,Предпосылки!$I$214,),0),AA354/(1+IFERROR(INDEX(AA$10:AA$11,Предпосылки!$I$215,),0))*IFERROR(INDEX(AA$10:AA$11,Предпосылки!$I$215,),0),AA377/(1+IFERROR(INDEX(AA$10:AA$11,Предпосылки!$I$216,),0))*IFERROR(INDEX(AA$10:AA$11,Предпосылки!$I$216,),0),AA400/(1+IFERROR(INDEX(AA$10:AA$11,Предпосылки!$I$217,),0))*IFERROR(INDEX(AA$10:AA$11,Предпосылки!$I$217,),0),AA423/(1+IFERROR(INDEX(AA$10:AA$11,Предпосылки!$I$218,),0))*IFERROR(INDEX(AA$10:AA$11,Предпосылки!$I$218,),0),AA446/(1+IFERROR(INDEX(AA$10:AA$11,Предпосылки!$I$219,),0))*IFERROR(INDEX(AA$10:AA$11,Предпосылки!$I$219,),0),AA469/(1+IFERROR(INDEX(AA$10:AA$11,Предпосылки!$I$220,),0))*IFERROR(INDEX(AA$10:AA$11,Предпосылки!$I$220,),0))</f>
        <v>0</v>
      </c>
      <c s="125">
        <f>SUM(AB32/(1+IFERROR(INDEX(AB$10:AB$11,Предпосылки!$I$201,),0))*IFERROR(INDEX(AB$10:AB$11,Предпосылки!$I$201,),0),AB55/(1+IFERROR(INDEX(AB$10:AB$11,Предпосылки!$I$202,),0))*IFERROR(INDEX(AB$10:AB$11,Предпосылки!$I$202,),0),AB78/(1+IFERROR(INDEX(AB$10:AB$11,Предпосылки!$I$203,),0))*IFERROR(INDEX(AB$10:AB$11,Предпосылки!$I$203,),0),AB101/(1+IFERROR(INDEX(AB$10:AB$11,Предпосылки!$I$204,),0))*IFERROR(INDEX(AB$10:AB$11,Предпосылки!$I$204,),0),AB124/(1+IFERROR(INDEX(AB$10:AB$11,Предпосылки!$I$205,),0))*IFERROR(INDEX(AB$10:AB$11,Предпосылки!$I$205,),0),AB147/(1+IFERROR(INDEX(AB$10:AB$11,Предпосылки!$I$206,),0))*IFERROR(INDEX(AB$10:AB$11,Предпосылки!$I$206,),0),AB170/(1+IFERROR(INDEX(AB$10:AB$11,Предпосылки!$I$207,),0))*IFERROR(INDEX(AB$10:AB$11,Предпосылки!$I$207,),0),AB193/(1+IFERROR(INDEX(AB$10:AB$11,Предпосылки!$I$208,),0))*IFERROR(INDEX(AB$10:AB$11,Предпосылки!$I$208,),0),AB216/(1+IFERROR(INDEX(AB$10:AB$11,Предпосылки!$I$209,),0))*IFERROR(INDEX(AB$10:AB$11,Предпосылки!$I$209,),0),AB239/(1+IFERROR(INDEX(AB$10:AB$11,Предпосылки!$I$210,),0))*IFERROR(INDEX(AB$10:AB$11,Предпосылки!$I$210,),0),AB262/(1+IFERROR(INDEX(AB$10:AB$11,Предпосылки!$I$211,),0))*IFERROR(INDEX(AB$10:AB$11,Предпосылки!$I$211,),0),AB285/(1+IFERROR(INDEX(AB$10:AB$11,Предпосылки!$I$212,),0))*IFERROR(INDEX(AB$10:AB$11,Предпосылки!$I$212,),0),AB308/(1+IFERROR(INDEX(AB$10:AB$11,Предпосылки!$I$213,),0))*IFERROR(INDEX(AB$10:AB$11,Предпосылки!$I$213,),0),AB331/(1+IFERROR(INDEX(AB$10:AB$11,Предпосылки!$I$214,),0))*IFERROR(INDEX(AB$10:AB$11,Предпосылки!$I$214,),0),AB354/(1+IFERROR(INDEX(AB$10:AB$11,Предпосылки!$I$215,),0))*IFERROR(INDEX(AB$10:AB$11,Предпосылки!$I$215,),0),AB377/(1+IFERROR(INDEX(AB$10:AB$11,Предпосылки!$I$216,),0))*IFERROR(INDEX(AB$10:AB$11,Предпосылки!$I$216,),0),AB400/(1+IFERROR(INDEX(AB$10:AB$11,Предпосылки!$I$217,),0))*IFERROR(INDEX(AB$10:AB$11,Предпосылки!$I$217,),0),AB423/(1+IFERROR(INDEX(AB$10:AB$11,Предпосылки!$I$218,),0))*IFERROR(INDEX(AB$10:AB$11,Предпосылки!$I$218,),0),AB446/(1+IFERROR(INDEX(AB$10:AB$11,Предпосылки!$I$219,),0))*IFERROR(INDEX(AB$10:AB$11,Предпосылки!$I$219,),0),AB469/(1+IFERROR(INDEX(AB$10:AB$11,Предпосылки!$I$220,),0))*IFERROR(INDEX(AB$10:AB$11,Предпосылки!$I$220,),0))</f>
        <v>0</v>
      </c>
      <c s="125">
        <f>SUM(AC32/(1+IFERROR(INDEX(AC$10:AC$11,Предпосылки!$I$201,),0))*IFERROR(INDEX(AC$10:AC$11,Предпосылки!$I$201,),0),AC55/(1+IFERROR(INDEX(AC$10:AC$11,Предпосылки!$I$202,),0))*IFERROR(INDEX(AC$10:AC$11,Предпосылки!$I$202,),0),AC78/(1+IFERROR(INDEX(AC$10:AC$11,Предпосылки!$I$203,),0))*IFERROR(INDEX(AC$10:AC$11,Предпосылки!$I$203,),0),AC101/(1+IFERROR(INDEX(AC$10:AC$11,Предпосылки!$I$204,),0))*IFERROR(INDEX(AC$10:AC$11,Предпосылки!$I$204,),0),AC124/(1+IFERROR(INDEX(AC$10:AC$11,Предпосылки!$I$205,),0))*IFERROR(INDEX(AC$10:AC$11,Предпосылки!$I$205,),0),AC147/(1+IFERROR(INDEX(AC$10:AC$11,Предпосылки!$I$206,),0))*IFERROR(INDEX(AC$10:AC$11,Предпосылки!$I$206,),0),AC170/(1+IFERROR(INDEX(AC$10:AC$11,Предпосылки!$I$207,),0))*IFERROR(INDEX(AC$10:AC$11,Предпосылки!$I$207,),0),AC193/(1+IFERROR(INDEX(AC$10:AC$11,Предпосылки!$I$208,),0))*IFERROR(INDEX(AC$10:AC$11,Предпосылки!$I$208,),0),AC216/(1+IFERROR(INDEX(AC$10:AC$11,Предпосылки!$I$209,),0))*IFERROR(INDEX(AC$10:AC$11,Предпосылки!$I$209,),0),AC239/(1+IFERROR(INDEX(AC$10:AC$11,Предпосылки!$I$210,),0))*IFERROR(INDEX(AC$10:AC$11,Предпосылки!$I$210,),0),AC262/(1+IFERROR(INDEX(AC$10:AC$11,Предпосылки!$I$211,),0))*IFERROR(INDEX(AC$10:AC$11,Предпосылки!$I$211,),0),AC285/(1+IFERROR(INDEX(AC$10:AC$11,Предпосылки!$I$212,),0))*IFERROR(INDEX(AC$10:AC$11,Предпосылки!$I$212,),0),AC308/(1+IFERROR(INDEX(AC$10:AC$11,Предпосылки!$I$213,),0))*IFERROR(INDEX(AC$10:AC$11,Предпосылки!$I$213,),0),AC331/(1+IFERROR(INDEX(AC$10:AC$11,Предпосылки!$I$214,),0))*IFERROR(INDEX(AC$10:AC$11,Предпосылки!$I$214,),0),AC354/(1+IFERROR(INDEX(AC$10:AC$11,Предпосылки!$I$215,),0))*IFERROR(INDEX(AC$10:AC$11,Предпосылки!$I$215,),0),AC377/(1+IFERROR(INDEX(AC$10:AC$11,Предпосылки!$I$216,),0))*IFERROR(INDEX(AC$10:AC$11,Предпосылки!$I$216,),0),AC400/(1+IFERROR(INDEX(AC$10:AC$11,Предпосылки!$I$217,),0))*IFERROR(INDEX(AC$10:AC$11,Предпосылки!$I$217,),0),AC423/(1+IFERROR(INDEX(AC$10:AC$11,Предпосылки!$I$218,),0))*IFERROR(INDEX(AC$10:AC$11,Предпосылки!$I$218,),0),AC446/(1+IFERROR(INDEX(AC$10:AC$11,Предпосылки!$I$219,),0))*IFERROR(INDEX(AC$10:AC$11,Предпосылки!$I$219,),0),AC469/(1+IFERROR(INDEX(AC$10:AC$11,Предпосылки!$I$220,),0))*IFERROR(INDEX(AC$10:AC$11,Предпосылки!$I$220,),0))</f>
        <v>0</v>
      </c>
      <c s="125">
        <f>SUM(AD32/(1+IFERROR(INDEX(AD$10:AD$11,Предпосылки!$I$201,),0))*IFERROR(INDEX(AD$10:AD$11,Предпосылки!$I$201,),0),AD55/(1+IFERROR(INDEX(AD$10:AD$11,Предпосылки!$I$202,),0))*IFERROR(INDEX(AD$10:AD$11,Предпосылки!$I$202,),0),AD78/(1+IFERROR(INDEX(AD$10:AD$11,Предпосылки!$I$203,),0))*IFERROR(INDEX(AD$10:AD$11,Предпосылки!$I$203,),0),AD101/(1+IFERROR(INDEX(AD$10:AD$11,Предпосылки!$I$204,),0))*IFERROR(INDEX(AD$10:AD$11,Предпосылки!$I$204,),0),AD124/(1+IFERROR(INDEX(AD$10:AD$11,Предпосылки!$I$205,),0))*IFERROR(INDEX(AD$10:AD$11,Предпосылки!$I$205,),0),AD147/(1+IFERROR(INDEX(AD$10:AD$11,Предпосылки!$I$206,),0))*IFERROR(INDEX(AD$10:AD$11,Предпосылки!$I$206,),0),AD170/(1+IFERROR(INDEX(AD$10:AD$11,Предпосылки!$I$207,),0))*IFERROR(INDEX(AD$10:AD$11,Предпосылки!$I$207,),0),AD193/(1+IFERROR(INDEX(AD$10:AD$11,Предпосылки!$I$208,),0))*IFERROR(INDEX(AD$10:AD$11,Предпосылки!$I$208,),0),AD216/(1+IFERROR(INDEX(AD$10:AD$11,Предпосылки!$I$209,),0))*IFERROR(INDEX(AD$10:AD$11,Предпосылки!$I$209,),0),AD239/(1+IFERROR(INDEX(AD$10:AD$11,Предпосылки!$I$210,),0))*IFERROR(INDEX(AD$10:AD$11,Предпосылки!$I$210,),0),AD262/(1+IFERROR(INDEX(AD$10:AD$11,Предпосылки!$I$211,),0))*IFERROR(INDEX(AD$10:AD$11,Предпосылки!$I$211,),0),AD285/(1+IFERROR(INDEX(AD$10:AD$11,Предпосылки!$I$212,),0))*IFERROR(INDEX(AD$10:AD$11,Предпосылки!$I$212,),0),AD308/(1+IFERROR(INDEX(AD$10:AD$11,Предпосылки!$I$213,),0))*IFERROR(INDEX(AD$10:AD$11,Предпосылки!$I$213,),0),AD331/(1+IFERROR(INDEX(AD$10:AD$11,Предпосылки!$I$214,),0))*IFERROR(INDEX(AD$10:AD$11,Предпосылки!$I$214,),0),AD354/(1+IFERROR(INDEX(AD$10:AD$11,Предпосылки!$I$215,),0))*IFERROR(INDEX(AD$10:AD$11,Предпосылки!$I$215,),0),AD377/(1+IFERROR(INDEX(AD$10:AD$11,Предпосылки!$I$216,),0))*IFERROR(INDEX(AD$10:AD$11,Предпосылки!$I$216,),0),AD400/(1+IFERROR(INDEX(AD$10:AD$11,Предпосылки!$I$217,),0))*IFERROR(INDEX(AD$10:AD$11,Предпосылки!$I$217,),0),AD423/(1+IFERROR(INDEX(AD$10:AD$11,Предпосылки!$I$218,),0))*IFERROR(INDEX(AD$10:AD$11,Предпосылки!$I$218,),0),AD446/(1+IFERROR(INDEX(AD$10:AD$11,Предпосылки!$I$219,),0))*IFERROR(INDEX(AD$10:AD$11,Предпосылки!$I$219,),0),AD469/(1+IFERROR(INDEX(AD$10:AD$11,Предпосылки!$I$220,),0))*IFERROR(INDEX(AD$10:AD$11,Предпосылки!$I$220,),0))</f>
        <v>0</v>
      </c>
      <c s="125">
        <f>SUM(AE32/(1+IFERROR(INDEX(AE$10:AE$11,Предпосылки!$I$201,),0))*IFERROR(INDEX(AE$10:AE$11,Предпосылки!$I$201,),0),AE55/(1+IFERROR(INDEX(AE$10:AE$11,Предпосылки!$I$202,),0))*IFERROR(INDEX(AE$10:AE$11,Предпосылки!$I$202,),0),AE78/(1+IFERROR(INDEX(AE$10:AE$11,Предпосылки!$I$203,),0))*IFERROR(INDEX(AE$10:AE$11,Предпосылки!$I$203,),0),AE101/(1+IFERROR(INDEX(AE$10:AE$11,Предпосылки!$I$204,),0))*IFERROR(INDEX(AE$10:AE$11,Предпосылки!$I$204,),0),AE124/(1+IFERROR(INDEX(AE$10:AE$11,Предпосылки!$I$205,),0))*IFERROR(INDEX(AE$10:AE$11,Предпосылки!$I$205,),0),AE147/(1+IFERROR(INDEX(AE$10:AE$11,Предпосылки!$I$206,),0))*IFERROR(INDEX(AE$10:AE$11,Предпосылки!$I$206,),0),AE170/(1+IFERROR(INDEX(AE$10:AE$11,Предпосылки!$I$207,),0))*IFERROR(INDEX(AE$10:AE$11,Предпосылки!$I$207,),0),AE193/(1+IFERROR(INDEX(AE$10:AE$11,Предпосылки!$I$208,),0))*IFERROR(INDEX(AE$10:AE$11,Предпосылки!$I$208,),0),AE216/(1+IFERROR(INDEX(AE$10:AE$11,Предпосылки!$I$209,),0))*IFERROR(INDEX(AE$10:AE$11,Предпосылки!$I$209,),0),AE239/(1+IFERROR(INDEX(AE$10:AE$11,Предпосылки!$I$210,),0))*IFERROR(INDEX(AE$10:AE$11,Предпосылки!$I$210,),0),AE262/(1+IFERROR(INDEX(AE$10:AE$11,Предпосылки!$I$211,),0))*IFERROR(INDEX(AE$10:AE$11,Предпосылки!$I$211,),0),AE285/(1+IFERROR(INDEX(AE$10:AE$11,Предпосылки!$I$212,),0))*IFERROR(INDEX(AE$10:AE$11,Предпосылки!$I$212,),0),AE308/(1+IFERROR(INDEX(AE$10:AE$11,Предпосылки!$I$213,),0))*IFERROR(INDEX(AE$10:AE$11,Предпосылки!$I$213,),0),AE331/(1+IFERROR(INDEX(AE$10:AE$11,Предпосылки!$I$214,),0))*IFERROR(INDEX(AE$10:AE$11,Предпосылки!$I$214,),0),AE354/(1+IFERROR(INDEX(AE$10:AE$11,Предпосылки!$I$215,),0))*IFERROR(INDEX(AE$10:AE$11,Предпосылки!$I$215,),0),AE377/(1+IFERROR(INDEX(AE$10:AE$11,Предпосылки!$I$216,),0))*IFERROR(INDEX(AE$10:AE$11,Предпосылки!$I$216,),0),AE400/(1+IFERROR(INDEX(AE$10:AE$11,Предпосылки!$I$217,),0))*IFERROR(INDEX(AE$10:AE$11,Предпосылки!$I$217,),0),AE423/(1+IFERROR(INDEX(AE$10:AE$11,Предпосылки!$I$218,),0))*IFERROR(INDEX(AE$10:AE$11,Предпосылки!$I$218,),0),AE446/(1+IFERROR(INDEX(AE$10:AE$11,Предпосылки!$I$219,),0))*IFERROR(INDEX(AE$10:AE$11,Предпосылки!$I$219,),0),AE469/(1+IFERROR(INDEX(AE$10:AE$11,Предпосылки!$I$220,),0))*IFERROR(INDEX(AE$10:AE$11,Предпосылки!$I$220,),0))</f>
        <v>0</v>
      </c>
      <c s="125">
        <f>SUM(AF32/(1+IFERROR(INDEX(AF$10:AF$11,Предпосылки!$I$201,),0))*IFERROR(INDEX(AF$10:AF$11,Предпосылки!$I$201,),0),AF55/(1+IFERROR(INDEX(AF$10:AF$11,Предпосылки!$I$202,),0))*IFERROR(INDEX(AF$10:AF$11,Предпосылки!$I$202,),0),AF78/(1+IFERROR(INDEX(AF$10:AF$11,Предпосылки!$I$203,),0))*IFERROR(INDEX(AF$10:AF$11,Предпосылки!$I$203,),0),AF101/(1+IFERROR(INDEX(AF$10:AF$11,Предпосылки!$I$204,),0))*IFERROR(INDEX(AF$10:AF$11,Предпосылки!$I$204,),0),AF124/(1+IFERROR(INDEX(AF$10:AF$11,Предпосылки!$I$205,),0))*IFERROR(INDEX(AF$10:AF$11,Предпосылки!$I$205,),0),AF147/(1+IFERROR(INDEX(AF$10:AF$11,Предпосылки!$I$206,),0))*IFERROR(INDEX(AF$10:AF$11,Предпосылки!$I$206,),0),AF170/(1+IFERROR(INDEX(AF$10:AF$11,Предпосылки!$I$207,),0))*IFERROR(INDEX(AF$10:AF$11,Предпосылки!$I$207,),0),AF193/(1+IFERROR(INDEX(AF$10:AF$11,Предпосылки!$I$208,),0))*IFERROR(INDEX(AF$10:AF$11,Предпосылки!$I$208,),0),AF216/(1+IFERROR(INDEX(AF$10:AF$11,Предпосылки!$I$209,),0))*IFERROR(INDEX(AF$10:AF$11,Предпосылки!$I$209,),0),AF239/(1+IFERROR(INDEX(AF$10:AF$11,Предпосылки!$I$210,),0))*IFERROR(INDEX(AF$10:AF$11,Предпосылки!$I$210,),0),AF262/(1+IFERROR(INDEX(AF$10:AF$11,Предпосылки!$I$211,),0))*IFERROR(INDEX(AF$10:AF$11,Предпосылки!$I$211,),0),AF285/(1+IFERROR(INDEX(AF$10:AF$11,Предпосылки!$I$212,),0))*IFERROR(INDEX(AF$10:AF$11,Предпосылки!$I$212,),0),AF308/(1+IFERROR(INDEX(AF$10:AF$11,Предпосылки!$I$213,),0))*IFERROR(INDEX(AF$10:AF$11,Предпосылки!$I$213,),0),AF331/(1+IFERROR(INDEX(AF$10:AF$11,Предпосылки!$I$214,),0))*IFERROR(INDEX(AF$10:AF$11,Предпосылки!$I$214,),0),AF354/(1+IFERROR(INDEX(AF$10:AF$11,Предпосылки!$I$215,),0))*IFERROR(INDEX(AF$10:AF$11,Предпосылки!$I$215,),0),AF377/(1+IFERROR(INDEX(AF$10:AF$11,Предпосылки!$I$216,),0))*IFERROR(INDEX(AF$10:AF$11,Предпосылки!$I$216,),0),AF400/(1+IFERROR(INDEX(AF$10:AF$11,Предпосылки!$I$217,),0))*IFERROR(INDEX(AF$10:AF$11,Предпосылки!$I$217,),0),AF423/(1+IFERROR(INDEX(AF$10:AF$11,Предпосылки!$I$218,),0))*IFERROR(INDEX(AF$10:AF$11,Предпосылки!$I$218,),0),AF446/(1+IFERROR(INDEX(AF$10:AF$11,Предпосылки!$I$219,),0))*IFERROR(INDEX(AF$10:AF$11,Предпосылки!$I$219,),0),AF469/(1+IFERROR(INDEX(AF$10:AF$11,Предпосылки!$I$220,),0))*IFERROR(INDEX(AF$10:AF$11,Предпосылки!$I$220,),0))</f>
        <v>0</v>
      </c>
      <c s="125">
        <f>SUM(AG32/(1+IFERROR(INDEX(AG$10:AG$11,Предпосылки!$I$201,),0))*IFERROR(INDEX(AG$10:AG$11,Предпосылки!$I$201,),0),AG55/(1+IFERROR(INDEX(AG$10:AG$11,Предпосылки!$I$202,),0))*IFERROR(INDEX(AG$10:AG$11,Предпосылки!$I$202,),0),AG78/(1+IFERROR(INDEX(AG$10:AG$11,Предпосылки!$I$203,),0))*IFERROR(INDEX(AG$10:AG$11,Предпосылки!$I$203,),0),AG101/(1+IFERROR(INDEX(AG$10:AG$11,Предпосылки!$I$204,),0))*IFERROR(INDEX(AG$10:AG$11,Предпосылки!$I$204,),0),AG124/(1+IFERROR(INDEX(AG$10:AG$11,Предпосылки!$I$205,),0))*IFERROR(INDEX(AG$10:AG$11,Предпосылки!$I$205,),0),AG147/(1+IFERROR(INDEX(AG$10:AG$11,Предпосылки!$I$206,),0))*IFERROR(INDEX(AG$10:AG$11,Предпосылки!$I$206,),0),AG170/(1+IFERROR(INDEX(AG$10:AG$11,Предпосылки!$I$207,),0))*IFERROR(INDEX(AG$10:AG$11,Предпосылки!$I$207,),0),AG193/(1+IFERROR(INDEX(AG$10:AG$11,Предпосылки!$I$208,),0))*IFERROR(INDEX(AG$10:AG$11,Предпосылки!$I$208,),0),AG216/(1+IFERROR(INDEX(AG$10:AG$11,Предпосылки!$I$209,),0))*IFERROR(INDEX(AG$10:AG$11,Предпосылки!$I$209,),0),AG239/(1+IFERROR(INDEX(AG$10:AG$11,Предпосылки!$I$210,),0))*IFERROR(INDEX(AG$10:AG$11,Предпосылки!$I$210,),0),AG262/(1+IFERROR(INDEX(AG$10:AG$11,Предпосылки!$I$211,),0))*IFERROR(INDEX(AG$10:AG$11,Предпосылки!$I$211,),0),AG285/(1+IFERROR(INDEX(AG$10:AG$11,Предпосылки!$I$212,),0))*IFERROR(INDEX(AG$10:AG$11,Предпосылки!$I$212,),0),AG308/(1+IFERROR(INDEX(AG$10:AG$11,Предпосылки!$I$213,),0))*IFERROR(INDEX(AG$10:AG$11,Предпосылки!$I$213,),0),AG331/(1+IFERROR(INDEX(AG$10:AG$11,Предпосылки!$I$214,),0))*IFERROR(INDEX(AG$10:AG$11,Предпосылки!$I$214,),0),AG354/(1+IFERROR(INDEX(AG$10:AG$11,Предпосылки!$I$215,),0))*IFERROR(INDEX(AG$10:AG$11,Предпосылки!$I$215,),0),AG377/(1+IFERROR(INDEX(AG$10:AG$11,Предпосылки!$I$216,),0))*IFERROR(INDEX(AG$10:AG$11,Предпосылки!$I$216,),0),AG400/(1+IFERROR(INDEX(AG$10:AG$11,Предпосылки!$I$217,),0))*IFERROR(INDEX(AG$10:AG$11,Предпосылки!$I$217,),0),AG423/(1+IFERROR(INDEX(AG$10:AG$11,Предпосылки!$I$218,),0))*IFERROR(INDEX(AG$10:AG$11,Предпосылки!$I$218,),0),AG446/(1+IFERROR(INDEX(AG$10:AG$11,Предпосылки!$I$219,),0))*IFERROR(INDEX(AG$10:AG$11,Предпосылки!$I$219,),0),AG469/(1+IFERROR(INDEX(AG$10:AG$11,Предпосылки!$I$220,),0))*IFERROR(INDEX(AG$10:AG$11,Предпосылки!$I$220,),0))</f>
        <v>0</v>
      </c>
      <c s="125">
        <f>SUM(AH32/(1+IFERROR(INDEX(AH$10:AH$11,Предпосылки!$I$201,),0))*IFERROR(INDEX(AH$10:AH$11,Предпосылки!$I$201,),0),AH55/(1+IFERROR(INDEX(AH$10:AH$11,Предпосылки!$I$202,),0))*IFERROR(INDEX(AH$10:AH$11,Предпосылки!$I$202,),0),AH78/(1+IFERROR(INDEX(AH$10:AH$11,Предпосылки!$I$203,),0))*IFERROR(INDEX(AH$10:AH$11,Предпосылки!$I$203,),0),AH101/(1+IFERROR(INDEX(AH$10:AH$11,Предпосылки!$I$204,),0))*IFERROR(INDEX(AH$10:AH$11,Предпосылки!$I$204,),0),AH124/(1+IFERROR(INDEX(AH$10:AH$11,Предпосылки!$I$205,),0))*IFERROR(INDEX(AH$10:AH$11,Предпосылки!$I$205,),0),AH147/(1+IFERROR(INDEX(AH$10:AH$11,Предпосылки!$I$206,),0))*IFERROR(INDEX(AH$10:AH$11,Предпосылки!$I$206,),0),AH170/(1+IFERROR(INDEX(AH$10:AH$11,Предпосылки!$I$207,),0))*IFERROR(INDEX(AH$10:AH$11,Предпосылки!$I$207,),0),AH193/(1+IFERROR(INDEX(AH$10:AH$11,Предпосылки!$I$208,),0))*IFERROR(INDEX(AH$10:AH$11,Предпосылки!$I$208,),0),AH216/(1+IFERROR(INDEX(AH$10:AH$11,Предпосылки!$I$209,),0))*IFERROR(INDEX(AH$10:AH$11,Предпосылки!$I$209,),0),AH239/(1+IFERROR(INDEX(AH$10:AH$11,Предпосылки!$I$210,),0))*IFERROR(INDEX(AH$10:AH$11,Предпосылки!$I$210,),0),AH262/(1+IFERROR(INDEX(AH$10:AH$11,Предпосылки!$I$211,),0))*IFERROR(INDEX(AH$10:AH$11,Предпосылки!$I$211,),0),AH285/(1+IFERROR(INDEX(AH$10:AH$11,Предпосылки!$I$212,),0))*IFERROR(INDEX(AH$10:AH$11,Предпосылки!$I$212,),0),AH308/(1+IFERROR(INDEX(AH$10:AH$11,Предпосылки!$I$213,),0))*IFERROR(INDEX(AH$10:AH$11,Предпосылки!$I$213,),0),AH331/(1+IFERROR(INDEX(AH$10:AH$11,Предпосылки!$I$214,),0))*IFERROR(INDEX(AH$10:AH$11,Предпосылки!$I$214,),0),AH354/(1+IFERROR(INDEX(AH$10:AH$11,Предпосылки!$I$215,),0))*IFERROR(INDEX(AH$10:AH$11,Предпосылки!$I$215,),0),AH377/(1+IFERROR(INDEX(AH$10:AH$11,Предпосылки!$I$216,),0))*IFERROR(INDEX(AH$10:AH$11,Предпосылки!$I$216,),0),AH400/(1+IFERROR(INDEX(AH$10:AH$11,Предпосылки!$I$217,),0))*IFERROR(INDEX(AH$10:AH$11,Предпосылки!$I$217,),0),AH423/(1+IFERROR(INDEX(AH$10:AH$11,Предпосылки!$I$218,),0))*IFERROR(INDEX(AH$10:AH$11,Предпосылки!$I$218,),0),AH446/(1+IFERROR(INDEX(AH$10:AH$11,Предпосылки!$I$219,),0))*IFERROR(INDEX(AH$10:AH$11,Предпосылки!$I$219,),0),AH469/(1+IFERROR(INDEX(AH$10:AH$11,Предпосылки!$I$220,),0))*IFERROR(INDEX(AH$10:AH$11,Предпосылки!$I$220,),0))</f>
        <v>0</v>
      </c>
      <c s="125">
        <f>SUM(AI32/(1+IFERROR(INDEX(AI$10:AI$11,Предпосылки!$I$201,),0))*IFERROR(INDEX(AI$10:AI$11,Предпосылки!$I$201,),0),AI55/(1+IFERROR(INDEX(AI$10:AI$11,Предпосылки!$I$202,),0))*IFERROR(INDEX(AI$10:AI$11,Предпосылки!$I$202,),0),AI78/(1+IFERROR(INDEX(AI$10:AI$11,Предпосылки!$I$203,),0))*IFERROR(INDEX(AI$10:AI$11,Предпосылки!$I$203,),0),AI101/(1+IFERROR(INDEX(AI$10:AI$11,Предпосылки!$I$204,),0))*IFERROR(INDEX(AI$10:AI$11,Предпосылки!$I$204,),0),AI124/(1+IFERROR(INDEX(AI$10:AI$11,Предпосылки!$I$205,),0))*IFERROR(INDEX(AI$10:AI$11,Предпосылки!$I$205,),0),AI147/(1+IFERROR(INDEX(AI$10:AI$11,Предпосылки!$I$206,),0))*IFERROR(INDEX(AI$10:AI$11,Предпосылки!$I$206,),0),AI170/(1+IFERROR(INDEX(AI$10:AI$11,Предпосылки!$I$207,),0))*IFERROR(INDEX(AI$10:AI$11,Предпосылки!$I$207,),0),AI193/(1+IFERROR(INDEX(AI$10:AI$11,Предпосылки!$I$208,),0))*IFERROR(INDEX(AI$10:AI$11,Предпосылки!$I$208,),0),AI216/(1+IFERROR(INDEX(AI$10:AI$11,Предпосылки!$I$209,),0))*IFERROR(INDEX(AI$10:AI$11,Предпосылки!$I$209,),0),AI239/(1+IFERROR(INDEX(AI$10:AI$11,Предпосылки!$I$210,),0))*IFERROR(INDEX(AI$10:AI$11,Предпосылки!$I$210,),0),AI262/(1+IFERROR(INDEX(AI$10:AI$11,Предпосылки!$I$211,),0))*IFERROR(INDEX(AI$10:AI$11,Предпосылки!$I$211,),0),AI285/(1+IFERROR(INDEX(AI$10:AI$11,Предпосылки!$I$212,),0))*IFERROR(INDEX(AI$10:AI$11,Предпосылки!$I$212,),0),AI308/(1+IFERROR(INDEX(AI$10:AI$11,Предпосылки!$I$213,),0))*IFERROR(INDEX(AI$10:AI$11,Предпосылки!$I$213,),0),AI331/(1+IFERROR(INDEX(AI$10:AI$11,Предпосылки!$I$214,),0))*IFERROR(INDEX(AI$10:AI$11,Предпосылки!$I$214,),0),AI354/(1+IFERROR(INDEX(AI$10:AI$11,Предпосылки!$I$215,),0))*IFERROR(INDEX(AI$10:AI$11,Предпосылки!$I$215,),0),AI377/(1+IFERROR(INDEX(AI$10:AI$11,Предпосылки!$I$216,),0))*IFERROR(INDEX(AI$10:AI$11,Предпосылки!$I$216,),0),AI400/(1+IFERROR(INDEX(AI$10:AI$11,Предпосылки!$I$217,),0))*IFERROR(INDEX(AI$10:AI$11,Предпосылки!$I$217,),0),AI423/(1+IFERROR(INDEX(AI$10:AI$11,Предпосылки!$I$218,),0))*IFERROR(INDEX(AI$10:AI$11,Предпосылки!$I$218,),0),AI446/(1+IFERROR(INDEX(AI$10:AI$11,Предпосылки!$I$219,),0))*IFERROR(INDEX(AI$10:AI$11,Предпосылки!$I$219,),0),AI469/(1+IFERROR(INDEX(AI$10:AI$11,Предпосылки!$I$220,),0))*IFERROR(INDEX(AI$10:AI$11,Предпосылки!$I$220,),0))</f>
        <v>0</v>
      </c>
      <c s="125">
        <f>SUM(AJ32/(1+IFERROR(INDEX(AJ$10:AJ$11,Предпосылки!$I$201,),0))*IFERROR(INDEX(AJ$10:AJ$11,Предпосылки!$I$201,),0),AJ55/(1+IFERROR(INDEX(AJ$10:AJ$11,Предпосылки!$I$202,),0))*IFERROR(INDEX(AJ$10:AJ$11,Предпосылки!$I$202,),0),AJ78/(1+IFERROR(INDEX(AJ$10:AJ$11,Предпосылки!$I$203,),0))*IFERROR(INDEX(AJ$10:AJ$11,Предпосылки!$I$203,),0),AJ101/(1+IFERROR(INDEX(AJ$10:AJ$11,Предпосылки!$I$204,),0))*IFERROR(INDEX(AJ$10:AJ$11,Предпосылки!$I$204,),0),AJ124/(1+IFERROR(INDEX(AJ$10:AJ$11,Предпосылки!$I$205,),0))*IFERROR(INDEX(AJ$10:AJ$11,Предпосылки!$I$205,),0),AJ147/(1+IFERROR(INDEX(AJ$10:AJ$11,Предпосылки!$I$206,),0))*IFERROR(INDEX(AJ$10:AJ$11,Предпосылки!$I$206,),0),AJ170/(1+IFERROR(INDEX(AJ$10:AJ$11,Предпосылки!$I$207,),0))*IFERROR(INDEX(AJ$10:AJ$11,Предпосылки!$I$207,),0),AJ193/(1+IFERROR(INDEX(AJ$10:AJ$11,Предпосылки!$I$208,),0))*IFERROR(INDEX(AJ$10:AJ$11,Предпосылки!$I$208,),0),AJ216/(1+IFERROR(INDEX(AJ$10:AJ$11,Предпосылки!$I$209,),0))*IFERROR(INDEX(AJ$10:AJ$11,Предпосылки!$I$209,),0),AJ239/(1+IFERROR(INDEX(AJ$10:AJ$11,Предпосылки!$I$210,),0))*IFERROR(INDEX(AJ$10:AJ$11,Предпосылки!$I$210,),0),AJ262/(1+IFERROR(INDEX(AJ$10:AJ$11,Предпосылки!$I$211,),0))*IFERROR(INDEX(AJ$10:AJ$11,Предпосылки!$I$211,),0),AJ285/(1+IFERROR(INDEX(AJ$10:AJ$11,Предпосылки!$I$212,),0))*IFERROR(INDEX(AJ$10:AJ$11,Предпосылки!$I$212,),0),AJ308/(1+IFERROR(INDEX(AJ$10:AJ$11,Предпосылки!$I$213,),0))*IFERROR(INDEX(AJ$10:AJ$11,Предпосылки!$I$213,),0),AJ331/(1+IFERROR(INDEX(AJ$10:AJ$11,Предпосылки!$I$214,),0))*IFERROR(INDEX(AJ$10:AJ$11,Предпосылки!$I$214,),0),AJ354/(1+IFERROR(INDEX(AJ$10:AJ$11,Предпосылки!$I$215,),0))*IFERROR(INDEX(AJ$10:AJ$11,Предпосылки!$I$215,),0),AJ377/(1+IFERROR(INDEX(AJ$10:AJ$11,Предпосылки!$I$216,),0))*IFERROR(INDEX(AJ$10:AJ$11,Предпосылки!$I$216,),0),AJ400/(1+IFERROR(INDEX(AJ$10:AJ$11,Предпосылки!$I$217,),0))*IFERROR(INDEX(AJ$10:AJ$11,Предпосылки!$I$217,),0),AJ423/(1+IFERROR(INDEX(AJ$10:AJ$11,Предпосылки!$I$218,),0))*IFERROR(INDEX(AJ$10:AJ$11,Предпосылки!$I$218,),0),AJ446/(1+IFERROR(INDEX(AJ$10:AJ$11,Предпосылки!$I$219,),0))*IFERROR(INDEX(AJ$10:AJ$11,Предпосылки!$I$219,),0),AJ469/(1+IFERROR(INDEX(AJ$10:AJ$11,Предпосылки!$I$220,),0))*IFERROR(INDEX(AJ$10:AJ$11,Предпосылки!$I$220,),0))</f>
        <v>0</v>
      </c>
      <c s="125">
        <f>SUM(AK32/(1+IFERROR(INDEX(AK$10:AK$11,Предпосылки!$I$201,),0))*IFERROR(INDEX(AK$10:AK$11,Предпосылки!$I$201,),0),AK55/(1+IFERROR(INDEX(AK$10:AK$11,Предпосылки!$I$202,),0))*IFERROR(INDEX(AK$10:AK$11,Предпосылки!$I$202,),0),AK78/(1+IFERROR(INDEX(AK$10:AK$11,Предпосылки!$I$203,),0))*IFERROR(INDEX(AK$10:AK$11,Предпосылки!$I$203,),0),AK101/(1+IFERROR(INDEX(AK$10:AK$11,Предпосылки!$I$204,),0))*IFERROR(INDEX(AK$10:AK$11,Предпосылки!$I$204,),0),AK124/(1+IFERROR(INDEX(AK$10:AK$11,Предпосылки!$I$205,),0))*IFERROR(INDEX(AK$10:AK$11,Предпосылки!$I$205,),0),AK147/(1+IFERROR(INDEX(AK$10:AK$11,Предпосылки!$I$206,),0))*IFERROR(INDEX(AK$10:AK$11,Предпосылки!$I$206,),0),AK170/(1+IFERROR(INDEX(AK$10:AK$11,Предпосылки!$I$207,),0))*IFERROR(INDEX(AK$10:AK$11,Предпосылки!$I$207,),0),AK193/(1+IFERROR(INDEX(AK$10:AK$11,Предпосылки!$I$208,),0))*IFERROR(INDEX(AK$10:AK$11,Предпосылки!$I$208,),0),AK216/(1+IFERROR(INDEX(AK$10:AK$11,Предпосылки!$I$209,),0))*IFERROR(INDEX(AK$10:AK$11,Предпосылки!$I$209,),0),AK239/(1+IFERROR(INDEX(AK$10:AK$11,Предпосылки!$I$210,),0))*IFERROR(INDEX(AK$10:AK$11,Предпосылки!$I$210,),0),AK262/(1+IFERROR(INDEX(AK$10:AK$11,Предпосылки!$I$211,),0))*IFERROR(INDEX(AK$10:AK$11,Предпосылки!$I$211,),0),AK285/(1+IFERROR(INDEX(AK$10:AK$11,Предпосылки!$I$212,),0))*IFERROR(INDEX(AK$10:AK$11,Предпосылки!$I$212,),0),AK308/(1+IFERROR(INDEX(AK$10:AK$11,Предпосылки!$I$213,),0))*IFERROR(INDEX(AK$10:AK$11,Предпосылки!$I$213,),0),AK331/(1+IFERROR(INDEX(AK$10:AK$11,Предпосылки!$I$214,),0))*IFERROR(INDEX(AK$10:AK$11,Предпосылки!$I$214,),0),AK354/(1+IFERROR(INDEX(AK$10:AK$11,Предпосылки!$I$215,),0))*IFERROR(INDEX(AK$10:AK$11,Предпосылки!$I$215,),0),AK377/(1+IFERROR(INDEX(AK$10:AK$11,Предпосылки!$I$216,),0))*IFERROR(INDEX(AK$10:AK$11,Предпосылки!$I$216,),0),AK400/(1+IFERROR(INDEX(AK$10:AK$11,Предпосылки!$I$217,),0))*IFERROR(INDEX(AK$10:AK$11,Предпосылки!$I$217,),0),AK423/(1+IFERROR(INDEX(AK$10:AK$11,Предпосылки!$I$218,),0))*IFERROR(INDEX(AK$10:AK$11,Предпосылки!$I$218,),0),AK446/(1+IFERROR(INDEX(AK$10:AK$11,Предпосылки!$I$219,),0))*IFERROR(INDEX(AK$10:AK$11,Предпосылки!$I$219,),0),AK469/(1+IFERROR(INDEX(AK$10:AK$11,Предпосылки!$I$220,),0))*IFERROR(INDEX(AK$10:AK$11,Предпосылки!$I$220,),0))</f>
        <v>0</v>
      </c>
      <c s="125">
        <f>SUM(AL32/(1+IFERROR(INDEX(AL$10:AL$11,Предпосылки!$I$201,),0))*IFERROR(INDEX(AL$10:AL$11,Предпосылки!$I$201,),0),AL55/(1+IFERROR(INDEX(AL$10:AL$11,Предпосылки!$I$202,),0))*IFERROR(INDEX(AL$10:AL$11,Предпосылки!$I$202,),0),AL78/(1+IFERROR(INDEX(AL$10:AL$11,Предпосылки!$I$203,),0))*IFERROR(INDEX(AL$10:AL$11,Предпосылки!$I$203,),0),AL101/(1+IFERROR(INDEX(AL$10:AL$11,Предпосылки!$I$204,),0))*IFERROR(INDEX(AL$10:AL$11,Предпосылки!$I$204,),0),AL124/(1+IFERROR(INDEX(AL$10:AL$11,Предпосылки!$I$205,),0))*IFERROR(INDEX(AL$10:AL$11,Предпосылки!$I$205,),0),AL147/(1+IFERROR(INDEX(AL$10:AL$11,Предпосылки!$I$206,),0))*IFERROR(INDEX(AL$10:AL$11,Предпосылки!$I$206,),0),AL170/(1+IFERROR(INDEX(AL$10:AL$11,Предпосылки!$I$207,),0))*IFERROR(INDEX(AL$10:AL$11,Предпосылки!$I$207,),0),AL193/(1+IFERROR(INDEX(AL$10:AL$11,Предпосылки!$I$208,),0))*IFERROR(INDEX(AL$10:AL$11,Предпосылки!$I$208,),0),AL216/(1+IFERROR(INDEX(AL$10:AL$11,Предпосылки!$I$209,),0))*IFERROR(INDEX(AL$10:AL$11,Предпосылки!$I$209,),0),AL239/(1+IFERROR(INDEX(AL$10:AL$11,Предпосылки!$I$210,),0))*IFERROR(INDEX(AL$10:AL$11,Предпосылки!$I$210,),0),AL262/(1+IFERROR(INDEX(AL$10:AL$11,Предпосылки!$I$211,),0))*IFERROR(INDEX(AL$10:AL$11,Предпосылки!$I$211,),0),AL285/(1+IFERROR(INDEX(AL$10:AL$11,Предпосылки!$I$212,),0))*IFERROR(INDEX(AL$10:AL$11,Предпосылки!$I$212,),0),AL308/(1+IFERROR(INDEX(AL$10:AL$11,Предпосылки!$I$213,),0))*IFERROR(INDEX(AL$10:AL$11,Предпосылки!$I$213,),0),AL331/(1+IFERROR(INDEX(AL$10:AL$11,Предпосылки!$I$214,),0))*IFERROR(INDEX(AL$10:AL$11,Предпосылки!$I$214,),0),AL354/(1+IFERROR(INDEX(AL$10:AL$11,Предпосылки!$I$215,),0))*IFERROR(INDEX(AL$10:AL$11,Предпосылки!$I$215,),0),AL377/(1+IFERROR(INDEX(AL$10:AL$11,Предпосылки!$I$216,),0))*IFERROR(INDEX(AL$10:AL$11,Предпосылки!$I$216,),0),AL400/(1+IFERROR(INDEX(AL$10:AL$11,Предпосылки!$I$217,),0))*IFERROR(INDEX(AL$10:AL$11,Предпосылки!$I$217,),0),AL423/(1+IFERROR(INDEX(AL$10:AL$11,Предпосылки!$I$218,),0))*IFERROR(INDEX(AL$10:AL$11,Предпосылки!$I$218,),0),AL446/(1+IFERROR(INDEX(AL$10:AL$11,Предпосылки!$I$219,),0))*IFERROR(INDEX(AL$10:AL$11,Предпосылки!$I$219,),0),AL469/(1+IFERROR(INDEX(AL$10:AL$11,Предпосылки!$I$220,),0))*IFERROR(INDEX(AL$10:AL$11,Предпосылки!$I$220,),0))</f>
        <v>0</v>
      </c>
      <c s="125">
        <f>SUM(AM32/(1+IFERROR(INDEX(AM$10:AM$11,Предпосылки!$I$201,),0))*IFERROR(INDEX(AM$10:AM$11,Предпосылки!$I$201,),0),AM55/(1+IFERROR(INDEX(AM$10:AM$11,Предпосылки!$I$202,),0))*IFERROR(INDEX(AM$10:AM$11,Предпосылки!$I$202,),0),AM78/(1+IFERROR(INDEX(AM$10:AM$11,Предпосылки!$I$203,),0))*IFERROR(INDEX(AM$10:AM$11,Предпосылки!$I$203,),0),AM101/(1+IFERROR(INDEX(AM$10:AM$11,Предпосылки!$I$204,),0))*IFERROR(INDEX(AM$10:AM$11,Предпосылки!$I$204,),0),AM124/(1+IFERROR(INDEX(AM$10:AM$11,Предпосылки!$I$205,),0))*IFERROR(INDEX(AM$10:AM$11,Предпосылки!$I$205,),0),AM147/(1+IFERROR(INDEX(AM$10:AM$11,Предпосылки!$I$206,),0))*IFERROR(INDEX(AM$10:AM$11,Предпосылки!$I$206,),0),AM170/(1+IFERROR(INDEX(AM$10:AM$11,Предпосылки!$I$207,),0))*IFERROR(INDEX(AM$10:AM$11,Предпосылки!$I$207,),0),AM193/(1+IFERROR(INDEX(AM$10:AM$11,Предпосылки!$I$208,),0))*IFERROR(INDEX(AM$10:AM$11,Предпосылки!$I$208,),0),AM216/(1+IFERROR(INDEX(AM$10:AM$11,Предпосылки!$I$209,),0))*IFERROR(INDEX(AM$10:AM$11,Предпосылки!$I$209,),0),AM239/(1+IFERROR(INDEX(AM$10:AM$11,Предпосылки!$I$210,),0))*IFERROR(INDEX(AM$10:AM$11,Предпосылки!$I$210,),0),AM262/(1+IFERROR(INDEX(AM$10:AM$11,Предпосылки!$I$211,),0))*IFERROR(INDEX(AM$10:AM$11,Предпосылки!$I$211,),0),AM285/(1+IFERROR(INDEX(AM$10:AM$11,Предпосылки!$I$212,),0))*IFERROR(INDEX(AM$10:AM$11,Предпосылки!$I$212,),0),AM308/(1+IFERROR(INDEX(AM$10:AM$11,Предпосылки!$I$213,),0))*IFERROR(INDEX(AM$10:AM$11,Предпосылки!$I$213,),0),AM331/(1+IFERROR(INDEX(AM$10:AM$11,Предпосылки!$I$214,),0))*IFERROR(INDEX(AM$10:AM$11,Предпосылки!$I$214,),0),AM354/(1+IFERROR(INDEX(AM$10:AM$11,Предпосылки!$I$215,),0))*IFERROR(INDEX(AM$10:AM$11,Предпосылки!$I$215,),0),AM377/(1+IFERROR(INDEX(AM$10:AM$11,Предпосылки!$I$216,),0))*IFERROR(INDEX(AM$10:AM$11,Предпосылки!$I$216,),0),AM400/(1+IFERROR(INDEX(AM$10:AM$11,Предпосылки!$I$217,),0))*IFERROR(INDEX(AM$10:AM$11,Предпосылки!$I$217,),0),AM423/(1+IFERROR(INDEX(AM$10:AM$11,Предпосылки!$I$218,),0))*IFERROR(INDEX(AM$10:AM$11,Предпосылки!$I$218,),0),AM446/(1+IFERROR(INDEX(AM$10:AM$11,Предпосылки!$I$219,),0))*IFERROR(INDEX(AM$10:AM$11,Предпосылки!$I$219,),0),AM469/(1+IFERROR(INDEX(AM$10:AM$11,Предпосылки!$I$220,),0))*IFERROR(INDEX(AM$10:AM$11,Предпосылки!$I$220,),0))</f>
        <v>0</v>
      </c>
      <c s="125">
        <f>SUM(AN32/(1+IFERROR(INDEX(AN$10:AN$11,Предпосылки!$I$201,),0))*IFERROR(INDEX(AN$10:AN$11,Предпосылки!$I$201,),0),AN55/(1+IFERROR(INDEX(AN$10:AN$11,Предпосылки!$I$202,),0))*IFERROR(INDEX(AN$10:AN$11,Предпосылки!$I$202,),0),AN78/(1+IFERROR(INDEX(AN$10:AN$11,Предпосылки!$I$203,),0))*IFERROR(INDEX(AN$10:AN$11,Предпосылки!$I$203,),0),AN101/(1+IFERROR(INDEX(AN$10:AN$11,Предпосылки!$I$204,),0))*IFERROR(INDEX(AN$10:AN$11,Предпосылки!$I$204,),0),AN124/(1+IFERROR(INDEX(AN$10:AN$11,Предпосылки!$I$205,),0))*IFERROR(INDEX(AN$10:AN$11,Предпосылки!$I$205,),0),AN147/(1+IFERROR(INDEX(AN$10:AN$11,Предпосылки!$I$206,),0))*IFERROR(INDEX(AN$10:AN$11,Предпосылки!$I$206,),0),AN170/(1+IFERROR(INDEX(AN$10:AN$11,Предпосылки!$I$207,),0))*IFERROR(INDEX(AN$10:AN$11,Предпосылки!$I$207,),0),AN193/(1+IFERROR(INDEX(AN$10:AN$11,Предпосылки!$I$208,),0))*IFERROR(INDEX(AN$10:AN$11,Предпосылки!$I$208,),0),AN216/(1+IFERROR(INDEX(AN$10:AN$11,Предпосылки!$I$209,),0))*IFERROR(INDEX(AN$10:AN$11,Предпосылки!$I$209,),0),AN239/(1+IFERROR(INDEX(AN$10:AN$11,Предпосылки!$I$210,),0))*IFERROR(INDEX(AN$10:AN$11,Предпосылки!$I$210,),0),AN262/(1+IFERROR(INDEX(AN$10:AN$11,Предпосылки!$I$211,),0))*IFERROR(INDEX(AN$10:AN$11,Предпосылки!$I$211,),0),AN285/(1+IFERROR(INDEX(AN$10:AN$11,Предпосылки!$I$212,),0))*IFERROR(INDEX(AN$10:AN$11,Предпосылки!$I$212,),0),AN308/(1+IFERROR(INDEX(AN$10:AN$11,Предпосылки!$I$213,),0))*IFERROR(INDEX(AN$10:AN$11,Предпосылки!$I$213,),0),AN331/(1+IFERROR(INDEX(AN$10:AN$11,Предпосылки!$I$214,),0))*IFERROR(INDEX(AN$10:AN$11,Предпосылки!$I$214,),0),AN354/(1+IFERROR(INDEX(AN$10:AN$11,Предпосылки!$I$215,),0))*IFERROR(INDEX(AN$10:AN$11,Предпосылки!$I$215,),0),AN377/(1+IFERROR(INDEX(AN$10:AN$11,Предпосылки!$I$216,),0))*IFERROR(INDEX(AN$10:AN$11,Предпосылки!$I$216,),0),AN400/(1+IFERROR(INDEX(AN$10:AN$11,Предпосылки!$I$217,),0))*IFERROR(INDEX(AN$10:AN$11,Предпосылки!$I$217,),0),AN423/(1+IFERROR(INDEX(AN$10:AN$11,Предпосылки!$I$218,),0))*IFERROR(INDEX(AN$10:AN$11,Предпосылки!$I$218,),0),AN446/(1+IFERROR(INDEX(AN$10:AN$11,Предпосылки!$I$219,),0))*IFERROR(INDEX(AN$10:AN$11,Предпосылки!$I$219,),0),AN469/(1+IFERROR(INDEX(AN$10:AN$11,Предпосылки!$I$220,),0))*IFERROR(INDEX(AN$10:AN$11,Предпосылки!$I$220,),0))</f>
        <v>0</v>
      </c>
      <c s="125">
        <f>SUM(AO32/(1+IFERROR(INDEX(AO$10:AO$11,Предпосылки!$I$201,),0))*IFERROR(INDEX(AO$10:AO$11,Предпосылки!$I$201,),0),AO55/(1+IFERROR(INDEX(AO$10:AO$11,Предпосылки!$I$202,),0))*IFERROR(INDEX(AO$10:AO$11,Предпосылки!$I$202,),0),AO78/(1+IFERROR(INDEX(AO$10:AO$11,Предпосылки!$I$203,),0))*IFERROR(INDEX(AO$10:AO$11,Предпосылки!$I$203,),0),AO101/(1+IFERROR(INDEX(AO$10:AO$11,Предпосылки!$I$204,),0))*IFERROR(INDEX(AO$10:AO$11,Предпосылки!$I$204,),0),AO124/(1+IFERROR(INDEX(AO$10:AO$11,Предпосылки!$I$205,),0))*IFERROR(INDEX(AO$10:AO$11,Предпосылки!$I$205,),0),AO147/(1+IFERROR(INDEX(AO$10:AO$11,Предпосылки!$I$206,),0))*IFERROR(INDEX(AO$10:AO$11,Предпосылки!$I$206,),0),AO170/(1+IFERROR(INDEX(AO$10:AO$11,Предпосылки!$I$207,),0))*IFERROR(INDEX(AO$10:AO$11,Предпосылки!$I$207,),0),AO193/(1+IFERROR(INDEX(AO$10:AO$11,Предпосылки!$I$208,),0))*IFERROR(INDEX(AO$10:AO$11,Предпосылки!$I$208,),0),AO216/(1+IFERROR(INDEX(AO$10:AO$11,Предпосылки!$I$209,),0))*IFERROR(INDEX(AO$10:AO$11,Предпосылки!$I$209,),0),AO239/(1+IFERROR(INDEX(AO$10:AO$11,Предпосылки!$I$210,),0))*IFERROR(INDEX(AO$10:AO$11,Предпосылки!$I$210,),0),AO262/(1+IFERROR(INDEX(AO$10:AO$11,Предпосылки!$I$211,),0))*IFERROR(INDEX(AO$10:AO$11,Предпосылки!$I$211,),0),AO285/(1+IFERROR(INDEX(AO$10:AO$11,Предпосылки!$I$212,),0))*IFERROR(INDEX(AO$10:AO$11,Предпосылки!$I$212,),0),AO308/(1+IFERROR(INDEX(AO$10:AO$11,Предпосылки!$I$213,),0))*IFERROR(INDEX(AO$10:AO$11,Предпосылки!$I$213,),0),AO331/(1+IFERROR(INDEX(AO$10:AO$11,Предпосылки!$I$214,),0))*IFERROR(INDEX(AO$10:AO$11,Предпосылки!$I$214,),0),AO354/(1+IFERROR(INDEX(AO$10:AO$11,Предпосылки!$I$215,),0))*IFERROR(INDEX(AO$10:AO$11,Предпосылки!$I$215,),0),AO377/(1+IFERROR(INDEX(AO$10:AO$11,Предпосылки!$I$216,),0))*IFERROR(INDEX(AO$10:AO$11,Предпосылки!$I$216,),0),AO400/(1+IFERROR(INDEX(AO$10:AO$11,Предпосылки!$I$217,),0))*IFERROR(INDEX(AO$10:AO$11,Предпосылки!$I$217,),0),AO423/(1+IFERROR(INDEX(AO$10:AO$11,Предпосылки!$I$218,),0))*IFERROR(INDEX(AO$10:AO$11,Предпосылки!$I$218,),0),AO446/(1+IFERROR(INDEX(AO$10:AO$11,Предпосылки!$I$219,),0))*IFERROR(INDEX(AO$10:AO$11,Предпосылки!$I$219,),0),AO469/(1+IFERROR(INDEX(AO$10:AO$11,Предпосылки!$I$220,),0))*IFERROR(INDEX(AO$10:AO$11,Предпосылки!$I$220,),0))</f>
        <v>0</v>
      </c>
      <c s="125">
        <f>SUM(AP32/(1+IFERROR(INDEX(AP$10:AP$11,Предпосылки!$I$201,),0))*IFERROR(INDEX(AP$10:AP$11,Предпосылки!$I$201,),0),AP55/(1+IFERROR(INDEX(AP$10:AP$11,Предпосылки!$I$202,),0))*IFERROR(INDEX(AP$10:AP$11,Предпосылки!$I$202,),0),AP78/(1+IFERROR(INDEX(AP$10:AP$11,Предпосылки!$I$203,),0))*IFERROR(INDEX(AP$10:AP$11,Предпосылки!$I$203,),0),AP101/(1+IFERROR(INDEX(AP$10:AP$11,Предпосылки!$I$204,),0))*IFERROR(INDEX(AP$10:AP$11,Предпосылки!$I$204,),0),AP124/(1+IFERROR(INDEX(AP$10:AP$11,Предпосылки!$I$205,),0))*IFERROR(INDEX(AP$10:AP$11,Предпосылки!$I$205,),0),AP147/(1+IFERROR(INDEX(AP$10:AP$11,Предпосылки!$I$206,),0))*IFERROR(INDEX(AP$10:AP$11,Предпосылки!$I$206,),0),AP170/(1+IFERROR(INDEX(AP$10:AP$11,Предпосылки!$I$207,),0))*IFERROR(INDEX(AP$10:AP$11,Предпосылки!$I$207,),0),AP193/(1+IFERROR(INDEX(AP$10:AP$11,Предпосылки!$I$208,),0))*IFERROR(INDEX(AP$10:AP$11,Предпосылки!$I$208,),0),AP216/(1+IFERROR(INDEX(AP$10:AP$11,Предпосылки!$I$209,),0))*IFERROR(INDEX(AP$10:AP$11,Предпосылки!$I$209,),0),AP239/(1+IFERROR(INDEX(AP$10:AP$11,Предпосылки!$I$210,),0))*IFERROR(INDEX(AP$10:AP$11,Предпосылки!$I$210,),0),AP262/(1+IFERROR(INDEX(AP$10:AP$11,Предпосылки!$I$211,),0))*IFERROR(INDEX(AP$10:AP$11,Предпосылки!$I$211,),0),AP285/(1+IFERROR(INDEX(AP$10:AP$11,Предпосылки!$I$212,),0))*IFERROR(INDEX(AP$10:AP$11,Предпосылки!$I$212,),0),AP308/(1+IFERROR(INDEX(AP$10:AP$11,Предпосылки!$I$213,),0))*IFERROR(INDEX(AP$10:AP$11,Предпосылки!$I$213,),0),AP331/(1+IFERROR(INDEX(AP$10:AP$11,Предпосылки!$I$214,),0))*IFERROR(INDEX(AP$10:AP$11,Предпосылки!$I$214,),0),AP354/(1+IFERROR(INDEX(AP$10:AP$11,Предпосылки!$I$215,),0))*IFERROR(INDEX(AP$10:AP$11,Предпосылки!$I$215,),0),AP377/(1+IFERROR(INDEX(AP$10:AP$11,Предпосылки!$I$216,),0))*IFERROR(INDEX(AP$10:AP$11,Предпосылки!$I$216,),0),AP400/(1+IFERROR(INDEX(AP$10:AP$11,Предпосылки!$I$217,),0))*IFERROR(INDEX(AP$10:AP$11,Предпосылки!$I$217,),0),AP423/(1+IFERROR(INDEX(AP$10:AP$11,Предпосылки!$I$218,),0))*IFERROR(INDEX(AP$10:AP$11,Предпосылки!$I$218,),0),AP446/(1+IFERROR(INDEX(AP$10:AP$11,Предпосылки!$I$219,),0))*IFERROR(INDEX(AP$10:AP$11,Предпосылки!$I$219,),0),AP469/(1+IFERROR(INDEX(AP$10:AP$11,Предпосылки!$I$220,),0))*IFERROR(INDEX(AP$10:AP$11,Предпосылки!$I$220,),0))</f>
        <v>0</v>
      </c>
      <c s="125">
        <f>SUM(AQ32/(1+IFERROR(INDEX(AQ$10:AQ$11,Предпосылки!$I$201,),0))*IFERROR(INDEX(AQ$10:AQ$11,Предпосылки!$I$201,),0),AQ55/(1+IFERROR(INDEX(AQ$10:AQ$11,Предпосылки!$I$202,),0))*IFERROR(INDEX(AQ$10:AQ$11,Предпосылки!$I$202,),0),AQ78/(1+IFERROR(INDEX(AQ$10:AQ$11,Предпосылки!$I$203,),0))*IFERROR(INDEX(AQ$10:AQ$11,Предпосылки!$I$203,),0),AQ101/(1+IFERROR(INDEX(AQ$10:AQ$11,Предпосылки!$I$204,),0))*IFERROR(INDEX(AQ$10:AQ$11,Предпосылки!$I$204,),0),AQ124/(1+IFERROR(INDEX(AQ$10:AQ$11,Предпосылки!$I$205,),0))*IFERROR(INDEX(AQ$10:AQ$11,Предпосылки!$I$205,),0),AQ147/(1+IFERROR(INDEX(AQ$10:AQ$11,Предпосылки!$I$206,),0))*IFERROR(INDEX(AQ$10:AQ$11,Предпосылки!$I$206,),0),AQ170/(1+IFERROR(INDEX(AQ$10:AQ$11,Предпосылки!$I$207,),0))*IFERROR(INDEX(AQ$10:AQ$11,Предпосылки!$I$207,),0),AQ193/(1+IFERROR(INDEX(AQ$10:AQ$11,Предпосылки!$I$208,),0))*IFERROR(INDEX(AQ$10:AQ$11,Предпосылки!$I$208,),0),AQ216/(1+IFERROR(INDEX(AQ$10:AQ$11,Предпосылки!$I$209,),0))*IFERROR(INDEX(AQ$10:AQ$11,Предпосылки!$I$209,),0),AQ239/(1+IFERROR(INDEX(AQ$10:AQ$11,Предпосылки!$I$210,),0))*IFERROR(INDEX(AQ$10:AQ$11,Предпосылки!$I$210,),0),AQ262/(1+IFERROR(INDEX(AQ$10:AQ$11,Предпосылки!$I$211,),0))*IFERROR(INDEX(AQ$10:AQ$11,Предпосылки!$I$211,),0),AQ285/(1+IFERROR(INDEX(AQ$10:AQ$11,Предпосылки!$I$212,),0))*IFERROR(INDEX(AQ$10:AQ$11,Предпосылки!$I$212,),0),AQ308/(1+IFERROR(INDEX(AQ$10:AQ$11,Предпосылки!$I$213,),0))*IFERROR(INDEX(AQ$10:AQ$11,Предпосылки!$I$213,),0),AQ331/(1+IFERROR(INDEX(AQ$10:AQ$11,Предпосылки!$I$214,),0))*IFERROR(INDEX(AQ$10:AQ$11,Предпосылки!$I$214,),0),AQ354/(1+IFERROR(INDEX(AQ$10:AQ$11,Предпосылки!$I$215,),0))*IFERROR(INDEX(AQ$10:AQ$11,Предпосылки!$I$215,),0),AQ377/(1+IFERROR(INDEX(AQ$10:AQ$11,Предпосылки!$I$216,),0))*IFERROR(INDEX(AQ$10:AQ$11,Предпосылки!$I$216,),0),AQ400/(1+IFERROR(INDEX(AQ$10:AQ$11,Предпосылки!$I$217,),0))*IFERROR(INDEX(AQ$10:AQ$11,Предпосылки!$I$217,),0),AQ423/(1+IFERROR(INDEX(AQ$10:AQ$11,Предпосылки!$I$218,),0))*IFERROR(INDEX(AQ$10:AQ$11,Предпосылки!$I$218,),0),AQ446/(1+IFERROR(INDEX(AQ$10:AQ$11,Предпосылки!$I$219,),0))*IFERROR(INDEX(AQ$10:AQ$11,Предпосылки!$I$219,),0),AQ469/(1+IFERROR(INDEX(AQ$10:AQ$11,Предпосылки!$I$220,),0))*IFERROR(INDEX(AQ$10:AQ$11,Предпосылки!$I$220,),0))</f>
        <v>0</v>
      </c>
      <c s="125">
        <f>SUM(AR32/(1+IFERROR(INDEX(AR$10:AR$11,Предпосылки!$I$201,),0))*IFERROR(INDEX(AR$10:AR$11,Предпосылки!$I$201,),0),AR55/(1+IFERROR(INDEX(AR$10:AR$11,Предпосылки!$I$202,),0))*IFERROR(INDEX(AR$10:AR$11,Предпосылки!$I$202,),0),AR78/(1+IFERROR(INDEX(AR$10:AR$11,Предпосылки!$I$203,),0))*IFERROR(INDEX(AR$10:AR$11,Предпосылки!$I$203,),0),AR101/(1+IFERROR(INDEX(AR$10:AR$11,Предпосылки!$I$204,),0))*IFERROR(INDEX(AR$10:AR$11,Предпосылки!$I$204,),0),AR124/(1+IFERROR(INDEX(AR$10:AR$11,Предпосылки!$I$205,),0))*IFERROR(INDEX(AR$10:AR$11,Предпосылки!$I$205,),0),AR147/(1+IFERROR(INDEX(AR$10:AR$11,Предпосылки!$I$206,),0))*IFERROR(INDEX(AR$10:AR$11,Предпосылки!$I$206,),0),AR170/(1+IFERROR(INDEX(AR$10:AR$11,Предпосылки!$I$207,),0))*IFERROR(INDEX(AR$10:AR$11,Предпосылки!$I$207,),0),AR193/(1+IFERROR(INDEX(AR$10:AR$11,Предпосылки!$I$208,),0))*IFERROR(INDEX(AR$10:AR$11,Предпосылки!$I$208,),0),AR216/(1+IFERROR(INDEX(AR$10:AR$11,Предпосылки!$I$209,),0))*IFERROR(INDEX(AR$10:AR$11,Предпосылки!$I$209,),0),AR239/(1+IFERROR(INDEX(AR$10:AR$11,Предпосылки!$I$210,),0))*IFERROR(INDEX(AR$10:AR$11,Предпосылки!$I$210,),0),AR262/(1+IFERROR(INDEX(AR$10:AR$11,Предпосылки!$I$211,),0))*IFERROR(INDEX(AR$10:AR$11,Предпосылки!$I$211,),0),AR285/(1+IFERROR(INDEX(AR$10:AR$11,Предпосылки!$I$212,),0))*IFERROR(INDEX(AR$10:AR$11,Предпосылки!$I$212,),0),AR308/(1+IFERROR(INDEX(AR$10:AR$11,Предпосылки!$I$213,),0))*IFERROR(INDEX(AR$10:AR$11,Предпосылки!$I$213,),0),AR331/(1+IFERROR(INDEX(AR$10:AR$11,Предпосылки!$I$214,),0))*IFERROR(INDEX(AR$10:AR$11,Предпосылки!$I$214,),0),AR354/(1+IFERROR(INDEX(AR$10:AR$11,Предпосылки!$I$215,),0))*IFERROR(INDEX(AR$10:AR$11,Предпосылки!$I$215,),0),AR377/(1+IFERROR(INDEX(AR$10:AR$11,Предпосылки!$I$216,),0))*IFERROR(INDEX(AR$10:AR$11,Предпосылки!$I$216,),0),AR400/(1+IFERROR(INDEX(AR$10:AR$11,Предпосылки!$I$217,),0))*IFERROR(INDEX(AR$10:AR$11,Предпосылки!$I$217,),0),AR423/(1+IFERROR(INDEX(AR$10:AR$11,Предпосылки!$I$218,),0))*IFERROR(INDEX(AR$10:AR$11,Предпосылки!$I$218,),0),AR446/(1+IFERROR(INDEX(AR$10:AR$11,Предпосылки!$I$219,),0))*IFERROR(INDEX(AR$10:AR$11,Предпосылки!$I$219,),0),AR469/(1+IFERROR(INDEX(AR$10:AR$11,Предпосылки!$I$220,),0))*IFERROR(INDEX(AR$10:AR$11,Предпосылки!$I$220,),0))</f>
        <v>0</v>
      </c>
      <c s="125">
        <f>SUM(AS32/(1+IFERROR(INDEX(AS$10:AS$11,Предпосылки!$I$201,),0))*IFERROR(INDEX(AS$10:AS$11,Предпосылки!$I$201,),0),AS55/(1+IFERROR(INDEX(AS$10:AS$11,Предпосылки!$I$202,),0))*IFERROR(INDEX(AS$10:AS$11,Предпосылки!$I$202,),0),AS78/(1+IFERROR(INDEX(AS$10:AS$11,Предпосылки!$I$203,),0))*IFERROR(INDEX(AS$10:AS$11,Предпосылки!$I$203,),0),AS101/(1+IFERROR(INDEX(AS$10:AS$11,Предпосылки!$I$204,),0))*IFERROR(INDEX(AS$10:AS$11,Предпосылки!$I$204,),0),AS124/(1+IFERROR(INDEX(AS$10:AS$11,Предпосылки!$I$205,),0))*IFERROR(INDEX(AS$10:AS$11,Предпосылки!$I$205,),0),AS147/(1+IFERROR(INDEX(AS$10:AS$11,Предпосылки!$I$206,),0))*IFERROR(INDEX(AS$10:AS$11,Предпосылки!$I$206,),0),AS170/(1+IFERROR(INDEX(AS$10:AS$11,Предпосылки!$I$207,),0))*IFERROR(INDEX(AS$10:AS$11,Предпосылки!$I$207,),0),AS193/(1+IFERROR(INDEX(AS$10:AS$11,Предпосылки!$I$208,),0))*IFERROR(INDEX(AS$10:AS$11,Предпосылки!$I$208,),0),AS216/(1+IFERROR(INDEX(AS$10:AS$11,Предпосылки!$I$209,),0))*IFERROR(INDEX(AS$10:AS$11,Предпосылки!$I$209,),0),AS239/(1+IFERROR(INDEX(AS$10:AS$11,Предпосылки!$I$210,),0))*IFERROR(INDEX(AS$10:AS$11,Предпосылки!$I$210,),0),AS262/(1+IFERROR(INDEX(AS$10:AS$11,Предпосылки!$I$211,),0))*IFERROR(INDEX(AS$10:AS$11,Предпосылки!$I$211,),0),AS285/(1+IFERROR(INDEX(AS$10:AS$11,Предпосылки!$I$212,),0))*IFERROR(INDEX(AS$10:AS$11,Предпосылки!$I$212,),0),AS308/(1+IFERROR(INDEX(AS$10:AS$11,Предпосылки!$I$213,),0))*IFERROR(INDEX(AS$10:AS$11,Предпосылки!$I$213,),0),AS331/(1+IFERROR(INDEX(AS$10:AS$11,Предпосылки!$I$214,),0))*IFERROR(INDEX(AS$10:AS$11,Предпосылки!$I$214,),0),AS354/(1+IFERROR(INDEX(AS$10:AS$11,Предпосылки!$I$215,),0))*IFERROR(INDEX(AS$10:AS$11,Предпосылки!$I$215,),0),AS377/(1+IFERROR(INDEX(AS$10:AS$11,Предпосылки!$I$216,),0))*IFERROR(INDEX(AS$10:AS$11,Предпосылки!$I$216,),0),AS400/(1+IFERROR(INDEX(AS$10:AS$11,Предпосылки!$I$217,),0))*IFERROR(INDEX(AS$10:AS$11,Предпосылки!$I$217,),0),AS423/(1+IFERROR(INDEX(AS$10:AS$11,Предпосылки!$I$218,),0))*IFERROR(INDEX(AS$10:AS$11,Предпосылки!$I$218,),0),AS446/(1+IFERROR(INDEX(AS$10:AS$11,Предпосылки!$I$219,),0))*IFERROR(INDEX(AS$10:AS$11,Предпосылки!$I$219,),0),AS469/(1+IFERROR(INDEX(AS$10:AS$11,Предпосылки!$I$220,),0))*IFERROR(INDEX(AS$10:AS$11,Предпосылки!$I$220,),0))</f>
        <v>0</v>
      </c>
      <c s="125">
        <f>SUM(AT32/(1+IFERROR(INDEX(AT$10:AT$11,Предпосылки!$I$201,),0))*IFERROR(INDEX(AT$10:AT$11,Предпосылки!$I$201,),0),AT55/(1+IFERROR(INDEX(AT$10:AT$11,Предпосылки!$I$202,),0))*IFERROR(INDEX(AT$10:AT$11,Предпосылки!$I$202,),0),AT78/(1+IFERROR(INDEX(AT$10:AT$11,Предпосылки!$I$203,),0))*IFERROR(INDEX(AT$10:AT$11,Предпосылки!$I$203,),0),AT101/(1+IFERROR(INDEX(AT$10:AT$11,Предпосылки!$I$204,),0))*IFERROR(INDEX(AT$10:AT$11,Предпосылки!$I$204,),0),AT124/(1+IFERROR(INDEX(AT$10:AT$11,Предпосылки!$I$205,),0))*IFERROR(INDEX(AT$10:AT$11,Предпосылки!$I$205,),0),AT147/(1+IFERROR(INDEX(AT$10:AT$11,Предпосылки!$I$206,),0))*IFERROR(INDEX(AT$10:AT$11,Предпосылки!$I$206,),0),AT170/(1+IFERROR(INDEX(AT$10:AT$11,Предпосылки!$I$207,),0))*IFERROR(INDEX(AT$10:AT$11,Предпосылки!$I$207,),0),AT193/(1+IFERROR(INDEX(AT$10:AT$11,Предпосылки!$I$208,),0))*IFERROR(INDEX(AT$10:AT$11,Предпосылки!$I$208,),0),AT216/(1+IFERROR(INDEX(AT$10:AT$11,Предпосылки!$I$209,),0))*IFERROR(INDEX(AT$10:AT$11,Предпосылки!$I$209,),0),AT239/(1+IFERROR(INDEX(AT$10:AT$11,Предпосылки!$I$210,),0))*IFERROR(INDEX(AT$10:AT$11,Предпосылки!$I$210,),0),AT262/(1+IFERROR(INDEX(AT$10:AT$11,Предпосылки!$I$211,),0))*IFERROR(INDEX(AT$10:AT$11,Предпосылки!$I$211,),0),AT285/(1+IFERROR(INDEX(AT$10:AT$11,Предпосылки!$I$212,),0))*IFERROR(INDEX(AT$10:AT$11,Предпосылки!$I$212,),0),AT308/(1+IFERROR(INDEX(AT$10:AT$11,Предпосылки!$I$213,),0))*IFERROR(INDEX(AT$10:AT$11,Предпосылки!$I$213,),0),AT331/(1+IFERROR(INDEX(AT$10:AT$11,Предпосылки!$I$214,),0))*IFERROR(INDEX(AT$10:AT$11,Предпосылки!$I$214,),0),AT354/(1+IFERROR(INDEX(AT$10:AT$11,Предпосылки!$I$215,),0))*IFERROR(INDEX(AT$10:AT$11,Предпосылки!$I$215,),0),AT377/(1+IFERROR(INDEX(AT$10:AT$11,Предпосылки!$I$216,),0))*IFERROR(INDEX(AT$10:AT$11,Предпосылки!$I$216,),0),AT400/(1+IFERROR(INDEX(AT$10:AT$11,Предпосылки!$I$217,),0))*IFERROR(INDEX(AT$10:AT$11,Предпосылки!$I$217,),0),AT423/(1+IFERROR(INDEX(AT$10:AT$11,Предпосылки!$I$218,),0))*IFERROR(INDEX(AT$10:AT$11,Предпосылки!$I$218,),0),AT446/(1+IFERROR(INDEX(AT$10:AT$11,Предпосылки!$I$219,),0))*IFERROR(INDEX(AT$10:AT$11,Предпосылки!$I$219,),0),AT469/(1+IFERROR(INDEX(AT$10:AT$11,Предпосылки!$I$220,),0))*IFERROR(INDEX(AT$10:AT$11,Предпосылки!$I$220,),0))</f>
        <v>0</v>
      </c>
      <c s="125">
        <f>SUM(AU32/(1+IFERROR(INDEX(AU$10:AU$11,Предпосылки!$I$201,),0))*IFERROR(INDEX(AU$10:AU$11,Предпосылки!$I$201,),0),AU55/(1+IFERROR(INDEX(AU$10:AU$11,Предпосылки!$I$202,),0))*IFERROR(INDEX(AU$10:AU$11,Предпосылки!$I$202,),0),AU78/(1+IFERROR(INDEX(AU$10:AU$11,Предпосылки!$I$203,),0))*IFERROR(INDEX(AU$10:AU$11,Предпосылки!$I$203,),0),AU101/(1+IFERROR(INDEX(AU$10:AU$11,Предпосылки!$I$204,),0))*IFERROR(INDEX(AU$10:AU$11,Предпосылки!$I$204,),0),AU124/(1+IFERROR(INDEX(AU$10:AU$11,Предпосылки!$I$205,),0))*IFERROR(INDEX(AU$10:AU$11,Предпосылки!$I$205,),0),AU147/(1+IFERROR(INDEX(AU$10:AU$11,Предпосылки!$I$206,),0))*IFERROR(INDEX(AU$10:AU$11,Предпосылки!$I$206,),0),AU170/(1+IFERROR(INDEX(AU$10:AU$11,Предпосылки!$I$207,),0))*IFERROR(INDEX(AU$10:AU$11,Предпосылки!$I$207,),0),AU193/(1+IFERROR(INDEX(AU$10:AU$11,Предпосылки!$I$208,),0))*IFERROR(INDEX(AU$10:AU$11,Предпосылки!$I$208,),0),AU216/(1+IFERROR(INDEX(AU$10:AU$11,Предпосылки!$I$209,),0))*IFERROR(INDEX(AU$10:AU$11,Предпосылки!$I$209,),0),AU239/(1+IFERROR(INDEX(AU$10:AU$11,Предпосылки!$I$210,),0))*IFERROR(INDEX(AU$10:AU$11,Предпосылки!$I$210,),0),AU262/(1+IFERROR(INDEX(AU$10:AU$11,Предпосылки!$I$211,),0))*IFERROR(INDEX(AU$10:AU$11,Предпосылки!$I$211,),0),AU285/(1+IFERROR(INDEX(AU$10:AU$11,Предпосылки!$I$212,),0))*IFERROR(INDEX(AU$10:AU$11,Предпосылки!$I$212,),0),AU308/(1+IFERROR(INDEX(AU$10:AU$11,Предпосылки!$I$213,),0))*IFERROR(INDEX(AU$10:AU$11,Предпосылки!$I$213,),0),AU331/(1+IFERROR(INDEX(AU$10:AU$11,Предпосылки!$I$214,),0))*IFERROR(INDEX(AU$10:AU$11,Предпосылки!$I$214,),0),AU354/(1+IFERROR(INDEX(AU$10:AU$11,Предпосылки!$I$215,),0))*IFERROR(INDEX(AU$10:AU$11,Предпосылки!$I$215,),0),AU377/(1+IFERROR(INDEX(AU$10:AU$11,Предпосылки!$I$216,),0))*IFERROR(INDEX(AU$10:AU$11,Предпосылки!$I$216,),0),AU400/(1+IFERROR(INDEX(AU$10:AU$11,Предпосылки!$I$217,),0))*IFERROR(INDEX(AU$10:AU$11,Предпосылки!$I$217,),0),AU423/(1+IFERROR(INDEX(AU$10:AU$11,Предпосылки!$I$218,),0))*IFERROR(INDEX(AU$10:AU$11,Предпосылки!$I$218,),0),AU446/(1+IFERROR(INDEX(AU$10:AU$11,Предпосылки!$I$219,),0))*IFERROR(INDEX(AU$10:AU$11,Предпосылки!$I$219,),0),AU469/(1+IFERROR(INDEX(AU$10:AU$11,Предпосылки!$I$220,),0))*IFERROR(INDEX(AU$10:AU$11,Предпосылки!$I$220,),0))</f>
        <v>0</v>
      </c>
      <c s="125">
        <f>SUM(AV32/(1+IFERROR(INDEX(AV$10:AV$11,Предпосылки!$I$201,),0))*IFERROR(INDEX(AV$10:AV$11,Предпосылки!$I$201,),0),AV55/(1+IFERROR(INDEX(AV$10:AV$11,Предпосылки!$I$202,),0))*IFERROR(INDEX(AV$10:AV$11,Предпосылки!$I$202,),0),AV78/(1+IFERROR(INDEX(AV$10:AV$11,Предпосылки!$I$203,),0))*IFERROR(INDEX(AV$10:AV$11,Предпосылки!$I$203,),0),AV101/(1+IFERROR(INDEX(AV$10:AV$11,Предпосылки!$I$204,),0))*IFERROR(INDEX(AV$10:AV$11,Предпосылки!$I$204,),0),AV124/(1+IFERROR(INDEX(AV$10:AV$11,Предпосылки!$I$205,),0))*IFERROR(INDEX(AV$10:AV$11,Предпосылки!$I$205,),0),AV147/(1+IFERROR(INDEX(AV$10:AV$11,Предпосылки!$I$206,),0))*IFERROR(INDEX(AV$10:AV$11,Предпосылки!$I$206,),0),AV170/(1+IFERROR(INDEX(AV$10:AV$11,Предпосылки!$I$207,),0))*IFERROR(INDEX(AV$10:AV$11,Предпосылки!$I$207,),0),AV193/(1+IFERROR(INDEX(AV$10:AV$11,Предпосылки!$I$208,),0))*IFERROR(INDEX(AV$10:AV$11,Предпосылки!$I$208,),0),AV216/(1+IFERROR(INDEX(AV$10:AV$11,Предпосылки!$I$209,),0))*IFERROR(INDEX(AV$10:AV$11,Предпосылки!$I$209,),0),AV239/(1+IFERROR(INDEX(AV$10:AV$11,Предпосылки!$I$210,),0))*IFERROR(INDEX(AV$10:AV$11,Предпосылки!$I$210,),0),AV262/(1+IFERROR(INDEX(AV$10:AV$11,Предпосылки!$I$211,),0))*IFERROR(INDEX(AV$10:AV$11,Предпосылки!$I$211,),0),AV285/(1+IFERROR(INDEX(AV$10:AV$11,Предпосылки!$I$212,),0))*IFERROR(INDEX(AV$10:AV$11,Предпосылки!$I$212,),0),AV308/(1+IFERROR(INDEX(AV$10:AV$11,Предпосылки!$I$213,),0))*IFERROR(INDEX(AV$10:AV$11,Предпосылки!$I$213,),0),AV331/(1+IFERROR(INDEX(AV$10:AV$11,Предпосылки!$I$214,),0))*IFERROR(INDEX(AV$10:AV$11,Предпосылки!$I$214,),0),AV354/(1+IFERROR(INDEX(AV$10:AV$11,Предпосылки!$I$215,),0))*IFERROR(INDEX(AV$10:AV$11,Предпосылки!$I$215,),0),AV377/(1+IFERROR(INDEX(AV$10:AV$11,Предпосылки!$I$216,),0))*IFERROR(INDEX(AV$10:AV$11,Предпосылки!$I$216,),0),AV400/(1+IFERROR(INDEX(AV$10:AV$11,Предпосылки!$I$217,),0))*IFERROR(INDEX(AV$10:AV$11,Предпосылки!$I$217,),0),AV423/(1+IFERROR(INDEX(AV$10:AV$11,Предпосылки!$I$218,),0))*IFERROR(INDEX(AV$10:AV$11,Предпосылки!$I$218,),0),AV446/(1+IFERROR(INDEX(AV$10:AV$11,Предпосылки!$I$219,),0))*IFERROR(INDEX(AV$10:AV$11,Предпосылки!$I$219,),0),AV469/(1+IFERROR(INDEX(AV$10:AV$11,Предпосылки!$I$220,),0))*IFERROR(INDEX(AV$10:AV$11,Предпосылки!$I$220,),0))</f>
        <v>0</v>
      </c>
      <c s="125">
        <f>SUM(AW32/(1+IFERROR(INDEX(AW$10:AW$11,Предпосылки!$I$201,),0))*IFERROR(INDEX(AW$10:AW$11,Предпосылки!$I$201,),0),AW55/(1+IFERROR(INDEX(AW$10:AW$11,Предпосылки!$I$202,),0))*IFERROR(INDEX(AW$10:AW$11,Предпосылки!$I$202,),0),AW78/(1+IFERROR(INDEX(AW$10:AW$11,Предпосылки!$I$203,),0))*IFERROR(INDEX(AW$10:AW$11,Предпосылки!$I$203,),0),AW101/(1+IFERROR(INDEX(AW$10:AW$11,Предпосылки!$I$204,),0))*IFERROR(INDEX(AW$10:AW$11,Предпосылки!$I$204,),0),AW124/(1+IFERROR(INDEX(AW$10:AW$11,Предпосылки!$I$205,),0))*IFERROR(INDEX(AW$10:AW$11,Предпосылки!$I$205,),0),AW147/(1+IFERROR(INDEX(AW$10:AW$11,Предпосылки!$I$206,),0))*IFERROR(INDEX(AW$10:AW$11,Предпосылки!$I$206,),0),AW170/(1+IFERROR(INDEX(AW$10:AW$11,Предпосылки!$I$207,),0))*IFERROR(INDEX(AW$10:AW$11,Предпосылки!$I$207,),0),AW193/(1+IFERROR(INDEX(AW$10:AW$11,Предпосылки!$I$208,),0))*IFERROR(INDEX(AW$10:AW$11,Предпосылки!$I$208,),0),AW216/(1+IFERROR(INDEX(AW$10:AW$11,Предпосылки!$I$209,),0))*IFERROR(INDEX(AW$10:AW$11,Предпосылки!$I$209,),0),AW239/(1+IFERROR(INDEX(AW$10:AW$11,Предпосылки!$I$210,),0))*IFERROR(INDEX(AW$10:AW$11,Предпосылки!$I$210,),0),AW262/(1+IFERROR(INDEX(AW$10:AW$11,Предпосылки!$I$211,),0))*IFERROR(INDEX(AW$10:AW$11,Предпосылки!$I$211,),0),AW285/(1+IFERROR(INDEX(AW$10:AW$11,Предпосылки!$I$212,),0))*IFERROR(INDEX(AW$10:AW$11,Предпосылки!$I$212,),0),AW308/(1+IFERROR(INDEX(AW$10:AW$11,Предпосылки!$I$213,),0))*IFERROR(INDEX(AW$10:AW$11,Предпосылки!$I$213,),0),AW331/(1+IFERROR(INDEX(AW$10:AW$11,Предпосылки!$I$214,),0))*IFERROR(INDEX(AW$10:AW$11,Предпосылки!$I$214,),0),AW354/(1+IFERROR(INDEX(AW$10:AW$11,Предпосылки!$I$215,),0))*IFERROR(INDEX(AW$10:AW$11,Предпосылки!$I$215,),0),AW377/(1+IFERROR(INDEX(AW$10:AW$11,Предпосылки!$I$216,),0))*IFERROR(INDEX(AW$10:AW$11,Предпосылки!$I$216,),0),AW400/(1+IFERROR(INDEX(AW$10:AW$11,Предпосылки!$I$217,),0))*IFERROR(INDEX(AW$10:AW$11,Предпосылки!$I$217,),0),AW423/(1+IFERROR(INDEX(AW$10:AW$11,Предпосылки!$I$218,),0))*IFERROR(INDEX(AW$10:AW$11,Предпосылки!$I$218,),0),AW446/(1+IFERROR(INDEX(AW$10:AW$11,Предпосылки!$I$219,),0))*IFERROR(INDEX(AW$10:AW$11,Предпосылки!$I$219,),0),AW469/(1+IFERROR(INDEX(AW$10:AW$11,Предпосылки!$I$220,),0))*IFERROR(INDEX(AW$10:AW$11,Предпосылки!$I$220,),0))</f>
        <v>0</v>
      </c>
      <c s="125">
        <f>SUM(AX32/(1+IFERROR(INDEX(AX$10:AX$11,Предпосылки!$I$201,),0))*IFERROR(INDEX(AX$10:AX$11,Предпосылки!$I$201,),0),AX55/(1+IFERROR(INDEX(AX$10:AX$11,Предпосылки!$I$202,),0))*IFERROR(INDEX(AX$10:AX$11,Предпосылки!$I$202,),0),AX78/(1+IFERROR(INDEX(AX$10:AX$11,Предпосылки!$I$203,),0))*IFERROR(INDEX(AX$10:AX$11,Предпосылки!$I$203,),0),AX101/(1+IFERROR(INDEX(AX$10:AX$11,Предпосылки!$I$204,),0))*IFERROR(INDEX(AX$10:AX$11,Предпосылки!$I$204,),0),AX124/(1+IFERROR(INDEX(AX$10:AX$11,Предпосылки!$I$205,),0))*IFERROR(INDEX(AX$10:AX$11,Предпосылки!$I$205,),0),AX147/(1+IFERROR(INDEX(AX$10:AX$11,Предпосылки!$I$206,),0))*IFERROR(INDEX(AX$10:AX$11,Предпосылки!$I$206,),0),AX170/(1+IFERROR(INDEX(AX$10:AX$11,Предпосылки!$I$207,),0))*IFERROR(INDEX(AX$10:AX$11,Предпосылки!$I$207,),0),AX193/(1+IFERROR(INDEX(AX$10:AX$11,Предпосылки!$I$208,),0))*IFERROR(INDEX(AX$10:AX$11,Предпосылки!$I$208,),0),AX216/(1+IFERROR(INDEX(AX$10:AX$11,Предпосылки!$I$209,),0))*IFERROR(INDEX(AX$10:AX$11,Предпосылки!$I$209,),0),AX239/(1+IFERROR(INDEX(AX$10:AX$11,Предпосылки!$I$210,),0))*IFERROR(INDEX(AX$10:AX$11,Предпосылки!$I$210,),0),AX262/(1+IFERROR(INDEX(AX$10:AX$11,Предпосылки!$I$211,),0))*IFERROR(INDEX(AX$10:AX$11,Предпосылки!$I$211,),0),AX285/(1+IFERROR(INDEX(AX$10:AX$11,Предпосылки!$I$212,),0))*IFERROR(INDEX(AX$10:AX$11,Предпосылки!$I$212,),0),AX308/(1+IFERROR(INDEX(AX$10:AX$11,Предпосылки!$I$213,),0))*IFERROR(INDEX(AX$10:AX$11,Предпосылки!$I$213,),0),AX331/(1+IFERROR(INDEX(AX$10:AX$11,Предпосылки!$I$214,),0))*IFERROR(INDEX(AX$10:AX$11,Предпосылки!$I$214,),0),AX354/(1+IFERROR(INDEX(AX$10:AX$11,Предпосылки!$I$215,),0))*IFERROR(INDEX(AX$10:AX$11,Предпосылки!$I$215,),0),AX377/(1+IFERROR(INDEX(AX$10:AX$11,Предпосылки!$I$216,),0))*IFERROR(INDEX(AX$10:AX$11,Предпосылки!$I$216,),0),AX400/(1+IFERROR(INDEX(AX$10:AX$11,Предпосылки!$I$217,),0))*IFERROR(INDEX(AX$10:AX$11,Предпосылки!$I$217,),0),AX423/(1+IFERROR(INDEX(AX$10:AX$11,Предпосылки!$I$218,),0))*IFERROR(INDEX(AX$10:AX$11,Предпосылки!$I$218,),0),AX446/(1+IFERROR(INDEX(AX$10:AX$11,Предпосылки!$I$219,),0))*IFERROR(INDEX(AX$10:AX$11,Предпосылки!$I$219,),0),AX469/(1+IFERROR(INDEX(AX$10:AX$11,Предпосылки!$I$220,),0))*IFERROR(INDEX(AX$10:AX$11,Предпосылки!$I$220,),0))</f>
        <v>0</v>
      </c>
      <c s="125">
        <f>SUM(AY32/(1+IFERROR(INDEX(AY$10:AY$11,Предпосылки!$I$201,),0))*IFERROR(INDEX(AY$10:AY$11,Предпосылки!$I$201,),0),AY55/(1+IFERROR(INDEX(AY$10:AY$11,Предпосылки!$I$202,),0))*IFERROR(INDEX(AY$10:AY$11,Предпосылки!$I$202,),0),AY78/(1+IFERROR(INDEX(AY$10:AY$11,Предпосылки!$I$203,),0))*IFERROR(INDEX(AY$10:AY$11,Предпосылки!$I$203,),0),AY101/(1+IFERROR(INDEX(AY$10:AY$11,Предпосылки!$I$204,),0))*IFERROR(INDEX(AY$10:AY$11,Предпосылки!$I$204,),0),AY124/(1+IFERROR(INDEX(AY$10:AY$11,Предпосылки!$I$205,),0))*IFERROR(INDEX(AY$10:AY$11,Предпосылки!$I$205,),0),AY147/(1+IFERROR(INDEX(AY$10:AY$11,Предпосылки!$I$206,),0))*IFERROR(INDEX(AY$10:AY$11,Предпосылки!$I$206,),0),AY170/(1+IFERROR(INDEX(AY$10:AY$11,Предпосылки!$I$207,),0))*IFERROR(INDEX(AY$10:AY$11,Предпосылки!$I$207,),0),AY193/(1+IFERROR(INDEX(AY$10:AY$11,Предпосылки!$I$208,),0))*IFERROR(INDEX(AY$10:AY$11,Предпосылки!$I$208,),0),AY216/(1+IFERROR(INDEX(AY$10:AY$11,Предпосылки!$I$209,),0))*IFERROR(INDEX(AY$10:AY$11,Предпосылки!$I$209,),0),AY239/(1+IFERROR(INDEX(AY$10:AY$11,Предпосылки!$I$210,),0))*IFERROR(INDEX(AY$10:AY$11,Предпосылки!$I$210,),0),AY262/(1+IFERROR(INDEX(AY$10:AY$11,Предпосылки!$I$211,),0))*IFERROR(INDEX(AY$10:AY$11,Предпосылки!$I$211,),0),AY285/(1+IFERROR(INDEX(AY$10:AY$11,Предпосылки!$I$212,),0))*IFERROR(INDEX(AY$10:AY$11,Предпосылки!$I$212,),0),AY308/(1+IFERROR(INDEX(AY$10:AY$11,Предпосылки!$I$213,),0))*IFERROR(INDEX(AY$10:AY$11,Предпосылки!$I$213,),0),AY331/(1+IFERROR(INDEX(AY$10:AY$11,Предпосылки!$I$214,),0))*IFERROR(INDEX(AY$10:AY$11,Предпосылки!$I$214,),0),AY354/(1+IFERROR(INDEX(AY$10:AY$11,Предпосылки!$I$215,),0))*IFERROR(INDEX(AY$10:AY$11,Предпосылки!$I$215,),0),AY377/(1+IFERROR(INDEX(AY$10:AY$11,Предпосылки!$I$216,),0))*IFERROR(INDEX(AY$10:AY$11,Предпосылки!$I$216,),0),AY400/(1+IFERROR(INDEX(AY$10:AY$11,Предпосылки!$I$217,),0))*IFERROR(INDEX(AY$10:AY$11,Предпосылки!$I$217,),0),AY423/(1+IFERROR(INDEX(AY$10:AY$11,Предпосылки!$I$218,),0))*IFERROR(INDEX(AY$10:AY$11,Предпосылки!$I$218,),0),AY446/(1+IFERROR(INDEX(AY$10:AY$11,Предпосылки!$I$219,),0))*IFERROR(INDEX(AY$10:AY$11,Предпосылки!$I$219,),0),AY469/(1+IFERROR(INDEX(AY$10:AY$11,Предпосылки!$I$220,),0))*IFERROR(INDEX(AY$10:AY$11,Предпосылки!$I$220,),0))</f>
        <v>0</v>
      </c>
      <c s="125">
        <f>SUM(AZ32/(1+IFERROR(INDEX(AZ$10:AZ$11,Предпосылки!$I$201,),0))*IFERROR(INDEX(AZ$10:AZ$11,Предпосылки!$I$201,),0),AZ55/(1+IFERROR(INDEX(AZ$10:AZ$11,Предпосылки!$I$202,),0))*IFERROR(INDEX(AZ$10:AZ$11,Предпосылки!$I$202,),0),AZ78/(1+IFERROR(INDEX(AZ$10:AZ$11,Предпосылки!$I$203,),0))*IFERROR(INDEX(AZ$10:AZ$11,Предпосылки!$I$203,),0),AZ101/(1+IFERROR(INDEX(AZ$10:AZ$11,Предпосылки!$I$204,),0))*IFERROR(INDEX(AZ$10:AZ$11,Предпосылки!$I$204,),0),AZ124/(1+IFERROR(INDEX(AZ$10:AZ$11,Предпосылки!$I$205,),0))*IFERROR(INDEX(AZ$10:AZ$11,Предпосылки!$I$205,),0),AZ147/(1+IFERROR(INDEX(AZ$10:AZ$11,Предпосылки!$I$206,),0))*IFERROR(INDEX(AZ$10:AZ$11,Предпосылки!$I$206,),0),AZ170/(1+IFERROR(INDEX(AZ$10:AZ$11,Предпосылки!$I$207,),0))*IFERROR(INDEX(AZ$10:AZ$11,Предпосылки!$I$207,),0),AZ193/(1+IFERROR(INDEX(AZ$10:AZ$11,Предпосылки!$I$208,),0))*IFERROR(INDEX(AZ$10:AZ$11,Предпосылки!$I$208,),0),AZ216/(1+IFERROR(INDEX(AZ$10:AZ$11,Предпосылки!$I$209,),0))*IFERROR(INDEX(AZ$10:AZ$11,Предпосылки!$I$209,),0),AZ239/(1+IFERROR(INDEX(AZ$10:AZ$11,Предпосылки!$I$210,),0))*IFERROR(INDEX(AZ$10:AZ$11,Предпосылки!$I$210,),0),AZ262/(1+IFERROR(INDEX(AZ$10:AZ$11,Предпосылки!$I$211,),0))*IFERROR(INDEX(AZ$10:AZ$11,Предпосылки!$I$211,),0),AZ285/(1+IFERROR(INDEX(AZ$10:AZ$11,Предпосылки!$I$212,),0))*IFERROR(INDEX(AZ$10:AZ$11,Предпосылки!$I$212,),0),AZ308/(1+IFERROR(INDEX(AZ$10:AZ$11,Предпосылки!$I$213,),0))*IFERROR(INDEX(AZ$10:AZ$11,Предпосылки!$I$213,),0),AZ331/(1+IFERROR(INDEX(AZ$10:AZ$11,Предпосылки!$I$214,),0))*IFERROR(INDEX(AZ$10:AZ$11,Предпосылки!$I$214,),0),AZ354/(1+IFERROR(INDEX(AZ$10:AZ$11,Предпосылки!$I$215,),0))*IFERROR(INDEX(AZ$10:AZ$11,Предпосылки!$I$215,),0),AZ377/(1+IFERROR(INDEX(AZ$10:AZ$11,Предпосылки!$I$216,),0))*IFERROR(INDEX(AZ$10:AZ$11,Предпосылки!$I$216,),0),AZ400/(1+IFERROR(INDEX(AZ$10:AZ$11,Предпосылки!$I$217,),0))*IFERROR(INDEX(AZ$10:AZ$11,Предпосылки!$I$217,),0),AZ423/(1+IFERROR(INDEX(AZ$10:AZ$11,Предпосылки!$I$218,),0))*IFERROR(INDEX(AZ$10:AZ$11,Предпосылки!$I$218,),0),AZ446/(1+IFERROR(INDEX(AZ$10:AZ$11,Предпосылки!$I$219,),0))*IFERROR(INDEX(AZ$10:AZ$11,Предпосылки!$I$219,),0),AZ469/(1+IFERROR(INDEX(AZ$10:AZ$11,Предпосылки!$I$220,),0))*IFERROR(INDEX(AZ$10:AZ$11,Предпосылки!$I$220,),0))</f>
        <v>0</v>
      </c>
      <c s="125">
        <f>SUM(BA32/(1+IFERROR(INDEX(BA$10:BA$11,Предпосылки!$I$201,),0))*IFERROR(INDEX(BA$10:BA$11,Предпосылки!$I$201,),0),BA55/(1+IFERROR(INDEX(BA$10:BA$11,Предпосылки!$I$202,),0))*IFERROR(INDEX(BA$10:BA$11,Предпосылки!$I$202,),0),BA78/(1+IFERROR(INDEX(BA$10:BA$11,Предпосылки!$I$203,),0))*IFERROR(INDEX(BA$10:BA$11,Предпосылки!$I$203,),0),BA101/(1+IFERROR(INDEX(BA$10:BA$11,Предпосылки!$I$204,),0))*IFERROR(INDEX(BA$10:BA$11,Предпосылки!$I$204,),0),BA124/(1+IFERROR(INDEX(BA$10:BA$11,Предпосылки!$I$205,),0))*IFERROR(INDEX(BA$10:BA$11,Предпосылки!$I$205,),0),BA147/(1+IFERROR(INDEX(BA$10:BA$11,Предпосылки!$I$206,),0))*IFERROR(INDEX(BA$10:BA$11,Предпосылки!$I$206,),0),BA170/(1+IFERROR(INDEX(BA$10:BA$11,Предпосылки!$I$207,),0))*IFERROR(INDEX(BA$10:BA$11,Предпосылки!$I$207,),0),BA193/(1+IFERROR(INDEX(BA$10:BA$11,Предпосылки!$I$208,),0))*IFERROR(INDEX(BA$10:BA$11,Предпосылки!$I$208,),0),BA216/(1+IFERROR(INDEX(BA$10:BA$11,Предпосылки!$I$209,),0))*IFERROR(INDEX(BA$10:BA$11,Предпосылки!$I$209,),0),BA239/(1+IFERROR(INDEX(BA$10:BA$11,Предпосылки!$I$210,),0))*IFERROR(INDEX(BA$10:BA$11,Предпосылки!$I$210,),0),BA262/(1+IFERROR(INDEX(BA$10:BA$11,Предпосылки!$I$211,),0))*IFERROR(INDEX(BA$10:BA$11,Предпосылки!$I$211,),0),BA285/(1+IFERROR(INDEX(BA$10:BA$11,Предпосылки!$I$212,),0))*IFERROR(INDEX(BA$10:BA$11,Предпосылки!$I$212,),0),BA308/(1+IFERROR(INDEX(BA$10:BA$11,Предпосылки!$I$213,),0))*IFERROR(INDEX(BA$10:BA$11,Предпосылки!$I$213,),0),BA331/(1+IFERROR(INDEX(BA$10:BA$11,Предпосылки!$I$214,),0))*IFERROR(INDEX(BA$10:BA$11,Предпосылки!$I$214,),0),BA354/(1+IFERROR(INDEX(BA$10:BA$11,Предпосылки!$I$215,),0))*IFERROR(INDEX(BA$10:BA$11,Предпосылки!$I$215,),0),BA377/(1+IFERROR(INDEX(BA$10:BA$11,Предпосылки!$I$216,),0))*IFERROR(INDEX(BA$10:BA$11,Предпосылки!$I$216,),0),BA400/(1+IFERROR(INDEX(BA$10:BA$11,Предпосылки!$I$217,),0))*IFERROR(INDEX(BA$10:BA$11,Предпосылки!$I$217,),0),BA423/(1+IFERROR(INDEX(BA$10:BA$11,Предпосылки!$I$218,),0))*IFERROR(INDEX(BA$10:BA$11,Предпосылки!$I$218,),0),BA446/(1+IFERROR(INDEX(BA$10:BA$11,Предпосылки!$I$219,),0))*IFERROR(INDEX(BA$10:BA$11,Предпосылки!$I$219,),0),BA469/(1+IFERROR(INDEX(BA$10:BA$11,Предпосылки!$I$220,),0))*IFERROR(INDEX(BA$10:BA$11,Предпосылки!$I$220,),0))</f>
        <v>0</v>
      </c>
      <c s="125">
        <f>SUM(BB32/(1+IFERROR(INDEX(BB$10:BB$11,Предпосылки!$I$201,),0))*IFERROR(INDEX(BB$10:BB$11,Предпосылки!$I$201,),0),BB55/(1+IFERROR(INDEX(BB$10:BB$11,Предпосылки!$I$202,),0))*IFERROR(INDEX(BB$10:BB$11,Предпосылки!$I$202,),0),BB78/(1+IFERROR(INDEX(BB$10:BB$11,Предпосылки!$I$203,),0))*IFERROR(INDEX(BB$10:BB$11,Предпосылки!$I$203,),0),BB101/(1+IFERROR(INDEX(BB$10:BB$11,Предпосылки!$I$204,),0))*IFERROR(INDEX(BB$10:BB$11,Предпосылки!$I$204,),0),BB124/(1+IFERROR(INDEX(BB$10:BB$11,Предпосылки!$I$205,),0))*IFERROR(INDEX(BB$10:BB$11,Предпосылки!$I$205,),0),BB147/(1+IFERROR(INDEX(BB$10:BB$11,Предпосылки!$I$206,),0))*IFERROR(INDEX(BB$10:BB$11,Предпосылки!$I$206,),0),BB170/(1+IFERROR(INDEX(BB$10:BB$11,Предпосылки!$I$207,),0))*IFERROR(INDEX(BB$10:BB$11,Предпосылки!$I$207,),0),BB193/(1+IFERROR(INDEX(BB$10:BB$11,Предпосылки!$I$208,),0))*IFERROR(INDEX(BB$10:BB$11,Предпосылки!$I$208,),0),BB216/(1+IFERROR(INDEX(BB$10:BB$11,Предпосылки!$I$209,),0))*IFERROR(INDEX(BB$10:BB$11,Предпосылки!$I$209,),0),BB239/(1+IFERROR(INDEX(BB$10:BB$11,Предпосылки!$I$210,),0))*IFERROR(INDEX(BB$10:BB$11,Предпосылки!$I$210,),0),BB262/(1+IFERROR(INDEX(BB$10:BB$11,Предпосылки!$I$211,),0))*IFERROR(INDEX(BB$10:BB$11,Предпосылки!$I$211,),0),BB285/(1+IFERROR(INDEX(BB$10:BB$11,Предпосылки!$I$212,),0))*IFERROR(INDEX(BB$10:BB$11,Предпосылки!$I$212,),0),BB308/(1+IFERROR(INDEX(BB$10:BB$11,Предпосылки!$I$213,),0))*IFERROR(INDEX(BB$10:BB$11,Предпосылки!$I$213,),0),BB331/(1+IFERROR(INDEX(BB$10:BB$11,Предпосылки!$I$214,),0))*IFERROR(INDEX(BB$10:BB$11,Предпосылки!$I$214,),0),BB354/(1+IFERROR(INDEX(BB$10:BB$11,Предпосылки!$I$215,),0))*IFERROR(INDEX(BB$10:BB$11,Предпосылки!$I$215,),0),BB377/(1+IFERROR(INDEX(BB$10:BB$11,Предпосылки!$I$216,),0))*IFERROR(INDEX(BB$10:BB$11,Предпосылки!$I$216,),0),BB400/(1+IFERROR(INDEX(BB$10:BB$11,Предпосылки!$I$217,),0))*IFERROR(INDEX(BB$10:BB$11,Предпосылки!$I$217,),0),BB423/(1+IFERROR(INDEX(BB$10:BB$11,Предпосылки!$I$218,),0))*IFERROR(INDEX(BB$10:BB$11,Предпосылки!$I$218,),0),BB446/(1+IFERROR(INDEX(BB$10:BB$11,Предпосылки!$I$219,),0))*IFERROR(INDEX(BB$10:BB$11,Предпосылки!$I$219,),0),BB469/(1+IFERROR(INDEX(BB$10:BB$11,Предпосылки!$I$220,),0))*IFERROR(INDEX(BB$10:BB$11,Предпосылки!$I$220,),0))</f>
        <v>0</v>
      </c>
      <c s="125">
        <f>SUM(BC32/(1+IFERROR(INDEX(BC$10:BC$11,Предпосылки!$I$201,),0))*IFERROR(INDEX(BC$10:BC$11,Предпосылки!$I$201,),0),BC55/(1+IFERROR(INDEX(BC$10:BC$11,Предпосылки!$I$202,),0))*IFERROR(INDEX(BC$10:BC$11,Предпосылки!$I$202,),0),BC78/(1+IFERROR(INDEX(BC$10:BC$11,Предпосылки!$I$203,),0))*IFERROR(INDEX(BC$10:BC$11,Предпосылки!$I$203,),0),BC101/(1+IFERROR(INDEX(BC$10:BC$11,Предпосылки!$I$204,),0))*IFERROR(INDEX(BC$10:BC$11,Предпосылки!$I$204,),0),BC124/(1+IFERROR(INDEX(BC$10:BC$11,Предпосылки!$I$205,),0))*IFERROR(INDEX(BC$10:BC$11,Предпосылки!$I$205,),0),BC147/(1+IFERROR(INDEX(BC$10:BC$11,Предпосылки!$I$206,),0))*IFERROR(INDEX(BC$10:BC$11,Предпосылки!$I$206,),0),BC170/(1+IFERROR(INDEX(BC$10:BC$11,Предпосылки!$I$207,),0))*IFERROR(INDEX(BC$10:BC$11,Предпосылки!$I$207,),0),BC193/(1+IFERROR(INDEX(BC$10:BC$11,Предпосылки!$I$208,),0))*IFERROR(INDEX(BC$10:BC$11,Предпосылки!$I$208,),0),BC216/(1+IFERROR(INDEX(BC$10:BC$11,Предпосылки!$I$209,),0))*IFERROR(INDEX(BC$10:BC$11,Предпосылки!$I$209,),0),BC239/(1+IFERROR(INDEX(BC$10:BC$11,Предпосылки!$I$210,),0))*IFERROR(INDEX(BC$10:BC$11,Предпосылки!$I$210,),0),BC262/(1+IFERROR(INDEX(BC$10:BC$11,Предпосылки!$I$211,),0))*IFERROR(INDEX(BC$10:BC$11,Предпосылки!$I$211,),0),BC285/(1+IFERROR(INDEX(BC$10:BC$11,Предпосылки!$I$212,),0))*IFERROR(INDEX(BC$10:BC$11,Предпосылки!$I$212,),0),BC308/(1+IFERROR(INDEX(BC$10:BC$11,Предпосылки!$I$213,),0))*IFERROR(INDEX(BC$10:BC$11,Предпосылки!$I$213,),0),BC331/(1+IFERROR(INDEX(BC$10:BC$11,Предпосылки!$I$214,),0))*IFERROR(INDEX(BC$10:BC$11,Предпосылки!$I$214,),0),BC354/(1+IFERROR(INDEX(BC$10:BC$11,Предпосылки!$I$215,),0))*IFERROR(INDEX(BC$10:BC$11,Предпосылки!$I$215,),0),BC377/(1+IFERROR(INDEX(BC$10:BC$11,Предпосылки!$I$216,),0))*IFERROR(INDEX(BC$10:BC$11,Предпосылки!$I$216,),0),BC400/(1+IFERROR(INDEX(BC$10:BC$11,Предпосылки!$I$217,),0))*IFERROR(INDEX(BC$10:BC$11,Предпосылки!$I$217,),0),BC423/(1+IFERROR(INDEX(BC$10:BC$11,Предпосылки!$I$218,),0))*IFERROR(INDEX(BC$10:BC$11,Предпосылки!$I$218,),0),BC446/(1+IFERROR(INDEX(BC$10:BC$11,Предпосылки!$I$219,),0))*IFERROR(INDEX(BC$10:BC$11,Предпосылки!$I$219,),0),BC469/(1+IFERROR(INDEX(BC$10:BC$11,Предпосылки!$I$220,),0))*IFERROR(INDEX(BC$10:BC$11,Предпосылки!$I$220,),0))</f>
        <v>0</v>
      </c>
      <c s="125">
        <f>SUM(BD32/(1+IFERROR(INDEX(BD$10:BD$11,Предпосылки!$I$201,),0))*IFERROR(INDEX(BD$10:BD$11,Предпосылки!$I$201,),0),BD55/(1+IFERROR(INDEX(BD$10:BD$11,Предпосылки!$I$202,),0))*IFERROR(INDEX(BD$10:BD$11,Предпосылки!$I$202,),0),BD78/(1+IFERROR(INDEX(BD$10:BD$11,Предпосылки!$I$203,),0))*IFERROR(INDEX(BD$10:BD$11,Предпосылки!$I$203,),0),BD101/(1+IFERROR(INDEX(BD$10:BD$11,Предпосылки!$I$204,),0))*IFERROR(INDEX(BD$10:BD$11,Предпосылки!$I$204,),0),BD124/(1+IFERROR(INDEX(BD$10:BD$11,Предпосылки!$I$205,),0))*IFERROR(INDEX(BD$10:BD$11,Предпосылки!$I$205,),0),BD147/(1+IFERROR(INDEX(BD$10:BD$11,Предпосылки!$I$206,),0))*IFERROR(INDEX(BD$10:BD$11,Предпосылки!$I$206,),0),BD170/(1+IFERROR(INDEX(BD$10:BD$11,Предпосылки!$I$207,),0))*IFERROR(INDEX(BD$10:BD$11,Предпосылки!$I$207,),0),BD193/(1+IFERROR(INDEX(BD$10:BD$11,Предпосылки!$I$208,),0))*IFERROR(INDEX(BD$10:BD$11,Предпосылки!$I$208,),0),BD216/(1+IFERROR(INDEX(BD$10:BD$11,Предпосылки!$I$209,),0))*IFERROR(INDEX(BD$10:BD$11,Предпосылки!$I$209,),0),BD239/(1+IFERROR(INDEX(BD$10:BD$11,Предпосылки!$I$210,),0))*IFERROR(INDEX(BD$10:BD$11,Предпосылки!$I$210,),0),BD262/(1+IFERROR(INDEX(BD$10:BD$11,Предпосылки!$I$211,),0))*IFERROR(INDEX(BD$10:BD$11,Предпосылки!$I$211,),0),BD285/(1+IFERROR(INDEX(BD$10:BD$11,Предпосылки!$I$212,),0))*IFERROR(INDEX(BD$10:BD$11,Предпосылки!$I$212,),0),BD308/(1+IFERROR(INDEX(BD$10:BD$11,Предпосылки!$I$213,),0))*IFERROR(INDEX(BD$10:BD$11,Предпосылки!$I$213,),0),BD331/(1+IFERROR(INDEX(BD$10:BD$11,Предпосылки!$I$214,),0))*IFERROR(INDEX(BD$10:BD$11,Предпосылки!$I$214,),0),BD354/(1+IFERROR(INDEX(BD$10:BD$11,Предпосылки!$I$215,),0))*IFERROR(INDEX(BD$10:BD$11,Предпосылки!$I$215,),0),BD377/(1+IFERROR(INDEX(BD$10:BD$11,Предпосылки!$I$216,),0))*IFERROR(INDEX(BD$10:BD$11,Предпосылки!$I$216,),0),BD400/(1+IFERROR(INDEX(BD$10:BD$11,Предпосылки!$I$217,),0))*IFERROR(INDEX(BD$10:BD$11,Предпосылки!$I$217,),0),BD423/(1+IFERROR(INDEX(BD$10:BD$11,Предпосылки!$I$218,),0))*IFERROR(INDEX(BD$10:BD$11,Предпосылки!$I$218,),0),BD446/(1+IFERROR(INDEX(BD$10:BD$11,Предпосылки!$I$219,),0))*IFERROR(INDEX(BD$10:BD$11,Предпосылки!$I$219,),0),BD469/(1+IFERROR(INDEX(BD$10:BD$11,Предпосылки!$I$220,),0))*IFERROR(INDEX(BD$10:BD$11,Предпосылки!$I$220,),0))</f>
        <v>0</v>
      </c>
      <c s="125">
        <f>SUM(BE32/(1+IFERROR(INDEX(BE$10:BE$11,Предпосылки!$I$201,),0))*IFERROR(INDEX(BE$10:BE$11,Предпосылки!$I$201,),0),BE55/(1+IFERROR(INDEX(BE$10:BE$11,Предпосылки!$I$202,),0))*IFERROR(INDEX(BE$10:BE$11,Предпосылки!$I$202,),0),BE78/(1+IFERROR(INDEX(BE$10:BE$11,Предпосылки!$I$203,),0))*IFERROR(INDEX(BE$10:BE$11,Предпосылки!$I$203,),0),BE101/(1+IFERROR(INDEX(BE$10:BE$11,Предпосылки!$I$204,),0))*IFERROR(INDEX(BE$10:BE$11,Предпосылки!$I$204,),0),BE124/(1+IFERROR(INDEX(BE$10:BE$11,Предпосылки!$I$205,),0))*IFERROR(INDEX(BE$10:BE$11,Предпосылки!$I$205,),0),BE147/(1+IFERROR(INDEX(BE$10:BE$11,Предпосылки!$I$206,),0))*IFERROR(INDEX(BE$10:BE$11,Предпосылки!$I$206,),0),BE170/(1+IFERROR(INDEX(BE$10:BE$11,Предпосылки!$I$207,),0))*IFERROR(INDEX(BE$10:BE$11,Предпосылки!$I$207,),0),BE193/(1+IFERROR(INDEX(BE$10:BE$11,Предпосылки!$I$208,),0))*IFERROR(INDEX(BE$10:BE$11,Предпосылки!$I$208,),0),BE216/(1+IFERROR(INDEX(BE$10:BE$11,Предпосылки!$I$209,),0))*IFERROR(INDEX(BE$10:BE$11,Предпосылки!$I$209,),0),BE239/(1+IFERROR(INDEX(BE$10:BE$11,Предпосылки!$I$210,),0))*IFERROR(INDEX(BE$10:BE$11,Предпосылки!$I$210,),0),BE262/(1+IFERROR(INDEX(BE$10:BE$11,Предпосылки!$I$211,),0))*IFERROR(INDEX(BE$10:BE$11,Предпосылки!$I$211,),0),BE285/(1+IFERROR(INDEX(BE$10:BE$11,Предпосылки!$I$212,),0))*IFERROR(INDEX(BE$10:BE$11,Предпосылки!$I$212,),0),BE308/(1+IFERROR(INDEX(BE$10:BE$11,Предпосылки!$I$213,),0))*IFERROR(INDEX(BE$10:BE$11,Предпосылки!$I$213,),0),BE331/(1+IFERROR(INDEX(BE$10:BE$11,Предпосылки!$I$214,),0))*IFERROR(INDEX(BE$10:BE$11,Предпосылки!$I$214,),0),BE354/(1+IFERROR(INDEX(BE$10:BE$11,Предпосылки!$I$215,),0))*IFERROR(INDEX(BE$10:BE$11,Предпосылки!$I$215,),0),BE377/(1+IFERROR(INDEX(BE$10:BE$11,Предпосылки!$I$216,),0))*IFERROR(INDEX(BE$10:BE$11,Предпосылки!$I$216,),0),BE400/(1+IFERROR(INDEX(BE$10:BE$11,Предпосылки!$I$217,),0))*IFERROR(INDEX(BE$10:BE$11,Предпосылки!$I$217,),0),BE423/(1+IFERROR(INDEX(BE$10:BE$11,Предпосылки!$I$218,),0))*IFERROR(INDEX(BE$10:BE$11,Предпосылки!$I$218,),0),BE446/(1+IFERROR(INDEX(BE$10:BE$11,Предпосылки!$I$219,),0))*IFERROR(INDEX(BE$10:BE$11,Предпосылки!$I$219,),0),BE469/(1+IFERROR(INDEX(BE$10:BE$11,Предпосылки!$I$220,),0))*IFERROR(INDEX(BE$10:BE$11,Предпосылки!$I$220,),0))</f>
        <v>0</v>
      </c>
      <c s="125">
        <f>SUM(BF32/(1+IFERROR(INDEX(BF$10:BF$11,Предпосылки!$I$201,),0))*IFERROR(INDEX(BF$10:BF$11,Предпосылки!$I$201,),0),BF55/(1+IFERROR(INDEX(BF$10:BF$11,Предпосылки!$I$202,),0))*IFERROR(INDEX(BF$10:BF$11,Предпосылки!$I$202,),0),BF78/(1+IFERROR(INDEX(BF$10:BF$11,Предпосылки!$I$203,),0))*IFERROR(INDEX(BF$10:BF$11,Предпосылки!$I$203,),0),BF101/(1+IFERROR(INDEX(BF$10:BF$11,Предпосылки!$I$204,),0))*IFERROR(INDEX(BF$10:BF$11,Предпосылки!$I$204,),0),BF124/(1+IFERROR(INDEX(BF$10:BF$11,Предпосылки!$I$205,),0))*IFERROR(INDEX(BF$10:BF$11,Предпосылки!$I$205,),0),BF147/(1+IFERROR(INDEX(BF$10:BF$11,Предпосылки!$I$206,),0))*IFERROR(INDEX(BF$10:BF$11,Предпосылки!$I$206,),0),BF170/(1+IFERROR(INDEX(BF$10:BF$11,Предпосылки!$I$207,),0))*IFERROR(INDEX(BF$10:BF$11,Предпосылки!$I$207,),0),BF193/(1+IFERROR(INDEX(BF$10:BF$11,Предпосылки!$I$208,),0))*IFERROR(INDEX(BF$10:BF$11,Предпосылки!$I$208,),0),BF216/(1+IFERROR(INDEX(BF$10:BF$11,Предпосылки!$I$209,),0))*IFERROR(INDEX(BF$10:BF$11,Предпосылки!$I$209,),0),BF239/(1+IFERROR(INDEX(BF$10:BF$11,Предпосылки!$I$210,),0))*IFERROR(INDEX(BF$10:BF$11,Предпосылки!$I$210,),0),BF262/(1+IFERROR(INDEX(BF$10:BF$11,Предпосылки!$I$211,),0))*IFERROR(INDEX(BF$10:BF$11,Предпосылки!$I$211,),0),BF285/(1+IFERROR(INDEX(BF$10:BF$11,Предпосылки!$I$212,),0))*IFERROR(INDEX(BF$10:BF$11,Предпосылки!$I$212,),0),BF308/(1+IFERROR(INDEX(BF$10:BF$11,Предпосылки!$I$213,),0))*IFERROR(INDEX(BF$10:BF$11,Предпосылки!$I$213,),0),BF331/(1+IFERROR(INDEX(BF$10:BF$11,Предпосылки!$I$214,),0))*IFERROR(INDEX(BF$10:BF$11,Предпосылки!$I$214,),0),BF354/(1+IFERROR(INDEX(BF$10:BF$11,Предпосылки!$I$215,),0))*IFERROR(INDEX(BF$10:BF$11,Предпосылки!$I$215,),0),BF377/(1+IFERROR(INDEX(BF$10:BF$11,Предпосылки!$I$216,),0))*IFERROR(INDEX(BF$10:BF$11,Предпосылки!$I$216,),0),BF400/(1+IFERROR(INDEX(BF$10:BF$11,Предпосылки!$I$217,),0))*IFERROR(INDEX(BF$10:BF$11,Предпосылки!$I$217,),0),BF423/(1+IFERROR(INDEX(BF$10:BF$11,Предпосылки!$I$218,),0))*IFERROR(INDEX(BF$10:BF$11,Предпосылки!$I$218,),0),BF446/(1+IFERROR(INDEX(BF$10:BF$11,Предпосылки!$I$219,),0))*IFERROR(INDEX(BF$10:BF$11,Предпосылки!$I$219,),0),BF469/(1+IFERROR(INDEX(BF$10:BF$11,Предпосылки!$I$220,),0))*IFERROR(INDEX(BF$10:BF$11,Предпосылки!$I$220,),0))</f>
        <v>0</v>
      </c>
      <c s="125">
        <f>SUM(BG32/(1+IFERROR(INDEX(BG$10:BG$11,Предпосылки!$I$201,),0))*IFERROR(INDEX(BG$10:BG$11,Предпосылки!$I$201,),0),BG55/(1+IFERROR(INDEX(BG$10:BG$11,Предпосылки!$I$202,),0))*IFERROR(INDEX(BG$10:BG$11,Предпосылки!$I$202,),0),BG78/(1+IFERROR(INDEX(BG$10:BG$11,Предпосылки!$I$203,),0))*IFERROR(INDEX(BG$10:BG$11,Предпосылки!$I$203,),0),BG101/(1+IFERROR(INDEX(BG$10:BG$11,Предпосылки!$I$204,),0))*IFERROR(INDEX(BG$10:BG$11,Предпосылки!$I$204,),0),BG124/(1+IFERROR(INDEX(BG$10:BG$11,Предпосылки!$I$205,),0))*IFERROR(INDEX(BG$10:BG$11,Предпосылки!$I$205,),0),BG147/(1+IFERROR(INDEX(BG$10:BG$11,Предпосылки!$I$206,),0))*IFERROR(INDEX(BG$10:BG$11,Предпосылки!$I$206,),0),BG170/(1+IFERROR(INDEX(BG$10:BG$11,Предпосылки!$I$207,),0))*IFERROR(INDEX(BG$10:BG$11,Предпосылки!$I$207,),0),BG193/(1+IFERROR(INDEX(BG$10:BG$11,Предпосылки!$I$208,),0))*IFERROR(INDEX(BG$10:BG$11,Предпосылки!$I$208,),0),BG216/(1+IFERROR(INDEX(BG$10:BG$11,Предпосылки!$I$209,),0))*IFERROR(INDEX(BG$10:BG$11,Предпосылки!$I$209,),0),BG239/(1+IFERROR(INDEX(BG$10:BG$11,Предпосылки!$I$210,),0))*IFERROR(INDEX(BG$10:BG$11,Предпосылки!$I$210,),0),BG262/(1+IFERROR(INDEX(BG$10:BG$11,Предпосылки!$I$211,),0))*IFERROR(INDEX(BG$10:BG$11,Предпосылки!$I$211,),0),BG285/(1+IFERROR(INDEX(BG$10:BG$11,Предпосылки!$I$212,),0))*IFERROR(INDEX(BG$10:BG$11,Предпосылки!$I$212,),0),BG308/(1+IFERROR(INDEX(BG$10:BG$11,Предпосылки!$I$213,),0))*IFERROR(INDEX(BG$10:BG$11,Предпосылки!$I$213,),0),BG331/(1+IFERROR(INDEX(BG$10:BG$11,Предпосылки!$I$214,),0))*IFERROR(INDEX(BG$10:BG$11,Предпосылки!$I$214,),0),BG354/(1+IFERROR(INDEX(BG$10:BG$11,Предпосылки!$I$215,),0))*IFERROR(INDEX(BG$10:BG$11,Предпосылки!$I$215,),0),BG377/(1+IFERROR(INDEX(BG$10:BG$11,Предпосылки!$I$216,),0))*IFERROR(INDEX(BG$10:BG$11,Предпосылки!$I$216,),0),BG400/(1+IFERROR(INDEX(BG$10:BG$11,Предпосылки!$I$217,),0))*IFERROR(INDEX(BG$10:BG$11,Предпосылки!$I$217,),0),BG423/(1+IFERROR(INDEX(BG$10:BG$11,Предпосылки!$I$218,),0))*IFERROR(INDEX(BG$10:BG$11,Предпосылки!$I$218,),0),BG446/(1+IFERROR(INDEX(BG$10:BG$11,Предпосылки!$I$219,),0))*IFERROR(INDEX(BG$10:BG$11,Предпосылки!$I$219,),0),BG469/(1+IFERROR(INDEX(BG$10:BG$11,Предпосылки!$I$220,),0))*IFERROR(INDEX(BG$10:BG$11,Предпосылки!$I$220,),0))</f>
        <v>0</v>
      </c>
      <c s="125">
        <f>SUM(BH32/(1+IFERROR(INDEX(BH$10:BH$11,Предпосылки!$I$201,),0))*IFERROR(INDEX(BH$10:BH$11,Предпосылки!$I$201,),0),BH55/(1+IFERROR(INDEX(BH$10:BH$11,Предпосылки!$I$202,),0))*IFERROR(INDEX(BH$10:BH$11,Предпосылки!$I$202,),0),BH78/(1+IFERROR(INDEX(BH$10:BH$11,Предпосылки!$I$203,),0))*IFERROR(INDEX(BH$10:BH$11,Предпосылки!$I$203,),0),BH101/(1+IFERROR(INDEX(BH$10:BH$11,Предпосылки!$I$204,),0))*IFERROR(INDEX(BH$10:BH$11,Предпосылки!$I$204,),0),BH124/(1+IFERROR(INDEX(BH$10:BH$11,Предпосылки!$I$205,),0))*IFERROR(INDEX(BH$10:BH$11,Предпосылки!$I$205,),0),BH147/(1+IFERROR(INDEX(BH$10:BH$11,Предпосылки!$I$206,),0))*IFERROR(INDEX(BH$10:BH$11,Предпосылки!$I$206,),0),BH170/(1+IFERROR(INDEX(BH$10:BH$11,Предпосылки!$I$207,),0))*IFERROR(INDEX(BH$10:BH$11,Предпосылки!$I$207,),0),BH193/(1+IFERROR(INDEX(BH$10:BH$11,Предпосылки!$I$208,),0))*IFERROR(INDEX(BH$10:BH$11,Предпосылки!$I$208,),0),BH216/(1+IFERROR(INDEX(BH$10:BH$11,Предпосылки!$I$209,),0))*IFERROR(INDEX(BH$10:BH$11,Предпосылки!$I$209,),0),BH239/(1+IFERROR(INDEX(BH$10:BH$11,Предпосылки!$I$210,),0))*IFERROR(INDEX(BH$10:BH$11,Предпосылки!$I$210,),0),BH262/(1+IFERROR(INDEX(BH$10:BH$11,Предпосылки!$I$211,),0))*IFERROR(INDEX(BH$10:BH$11,Предпосылки!$I$211,),0),BH285/(1+IFERROR(INDEX(BH$10:BH$11,Предпосылки!$I$212,),0))*IFERROR(INDEX(BH$10:BH$11,Предпосылки!$I$212,),0),BH308/(1+IFERROR(INDEX(BH$10:BH$11,Предпосылки!$I$213,),0))*IFERROR(INDEX(BH$10:BH$11,Предпосылки!$I$213,),0),BH331/(1+IFERROR(INDEX(BH$10:BH$11,Предпосылки!$I$214,),0))*IFERROR(INDEX(BH$10:BH$11,Предпосылки!$I$214,),0),BH354/(1+IFERROR(INDEX(BH$10:BH$11,Предпосылки!$I$215,),0))*IFERROR(INDEX(BH$10:BH$11,Предпосылки!$I$215,),0),BH377/(1+IFERROR(INDEX(BH$10:BH$11,Предпосылки!$I$216,),0))*IFERROR(INDEX(BH$10:BH$11,Предпосылки!$I$216,),0),BH400/(1+IFERROR(INDEX(BH$10:BH$11,Предпосылки!$I$217,),0))*IFERROR(INDEX(BH$10:BH$11,Предпосылки!$I$217,),0),BH423/(1+IFERROR(INDEX(BH$10:BH$11,Предпосылки!$I$218,),0))*IFERROR(INDEX(BH$10:BH$11,Предпосылки!$I$218,),0),BH446/(1+IFERROR(INDEX(BH$10:BH$11,Предпосылки!$I$219,),0))*IFERROR(INDEX(BH$10:BH$11,Предпосылки!$I$219,),0),BH469/(1+IFERROR(INDEX(BH$10:BH$11,Предпосылки!$I$220,),0))*IFERROR(INDEX(BH$10:BH$11,Предпосылки!$I$220,),0))</f>
        <v>0</v>
      </c>
      <c s="125">
        <f>SUM(BI32/(1+IFERROR(INDEX(BI$10:BI$11,Предпосылки!$I$201,),0))*IFERROR(INDEX(BI$10:BI$11,Предпосылки!$I$201,),0),BI55/(1+IFERROR(INDEX(BI$10:BI$11,Предпосылки!$I$202,),0))*IFERROR(INDEX(BI$10:BI$11,Предпосылки!$I$202,),0),BI78/(1+IFERROR(INDEX(BI$10:BI$11,Предпосылки!$I$203,),0))*IFERROR(INDEX(BI$10:BI$11,Предпосылки!$I$203,),0),BI101/(1+IFERROR(INDEX(BI$10:BI$11,Предпосылки!$I$204,),0))*IFERROR(INDEX(BI$10:BI$11,Предпосылки!$I$204,),0),BI124/(1+IFERROR(INDEX(BI$10:BI$11,Предпосылки!$I$205,),0))*IFERROR(INDEX(BI$10:BI$11,Предпосылки!$I$205,),0),BI147/(1+IFERROR(INDEX(BI$10:BI$11,Предпосылки!$I$206,),0))*IFERROR(INDEX(BI$10:BI$11,Предпосылки!$I$206,),0),BI170/(1+IFERROR(INDEX(BI$10:BI$11,Предпосылки!$I$207,),0))*IFERROR(INDEX(BI$10:BI$11,Предпосылки!$I$207,),0),BI193/(1+IFERROR(INDEX(BI$10:BI$11,Предпосылки!$I$208,),0))*IFERROR(INDEX(BI$10:BI$11,Предпосылки!$I$208,),0),BI216/(1+IFERROR(INDEX(BI$10:BI$11,Предпосылки!$I$209,),0))*IFERROR(INDEX(BI$10:BI$11,Предпосылки!$I$209,),0),BI239/(1+IFERROR(INDEX(BI$10:BI$11,Предпосылки!$I$210,),0))*IFERROR(INDEX(BI$10:BI$11,Предпосылки!$I$210,),0),BI262/(1+IFERROR(INDEX(BI$10:BI$11,Предпосылки!$I$211,),0))*IFERROR(INDEX(BI$10:BI$11,Предпосылки!$I$211,),0),BI285/(1+IFERROR(INDEX(BI$10:BI$11,Предпосылки!$I$212,),0))*IFERROR(INDEX(BI$10:BI$11,Предпосылки!$I$212,),0),BI308/(1+IFERROR(INDEX(BI$10:BI$11,Предпосылки!$I$213,),0))*IFERROR(INDEX(BI$10:BI$11,Предпосылки!$I$213,),0),BI331/(1+IFERROR(INDEX(BI$10:BI$11,Предпосылки!$I$214,),0))*IFERROR(INDEX(BI$10:BI$11,Предпосылки!$I$214,),0),BI354/(1+IFERROR(INDEX(BI$10:BI$11,Предпосылки!$I$215,),0))*IFERROR(INDEX(BI$10:BI$11,Предпосылки!$I$215,),0),BI377/(1+IFERROR(INDEX(BI$10:BI$11,Предпосылки!$I$216,),0))*IFERROR(INDEX(BI$10:BI$11,Предпосылки!$I$216,),0),BI400/(1+IFERROR(INDEX(BI$10:BI$11,Предпосылки!$I$217,),0))*IFERROR(INDEX(BI$10:BI$11,Предпосылки!$I$217,),0),BI423/(1+IFERROR(INDEX(BI$10:BI$11,Предпосылки!$I$218,),0))*IFERROR(INDEX(BI$10:BI$11,Предпосылки!$I$218,),0),BI446/(1+IFERROR(INDEX(BI$10:BI$11,Предпосылки!$I$219,),0))*IFERROR(INDEX(BI$10:BI$11,Предпосылки!$I$219,),0),BI469/(1+IFERROR(INDEX(BI$10:BI$11,Предпосылки!$I$220,),0))*IFERROR(INDEX(BI$10:BI$11,Предпосылки!$I$220,),0))</f>
        <v>0</v>
      </c>
      <c s="125">
        <f>SUM(BJ32/(1+IFERROR(INDEX(BJ$10:BJ$11,Предпосылки!$I$201,),0))*IFERROR(INDEX(BJ$10:BJ$11,Предпосылки!$I$201,),0),BJ55/(1+IFERROR(INDEX(BJ$10:BJ$11,Предпосылки!$I$202,),0))*IFERROR(INDEX(BJ$10:BJ$11,Предпосылки!$I$202,),0),BJ78/(1+IFERROR(INDEX(BJ$10:BJ$11,Предпосылки!$I$203,),0))*IFERROR(INDEX(BJ$10:BJ$11,Предпосылки!$I$203,),0),BJ101/(1+IFERROR(INDEX(BJ$10:BJ$11,Предпосылки!$I$204,),0))*IFERROR(INDEX(BJ$10:BJ$11,Предпосылки!$I$204,),0),BJ124/(1+IFERROR(INDEX(BJ$10:BJ$11,Предпосылки!$I$205,),0))*IFERROR(INDEX(BJ$10:BJ$11,Предпосылки!$I$205,),0),BJ147/(1+IFERROR(INDEX(BJ$10:BJ$11,Предпосылки!$I$206,),0))*IFERROR(INDEX(BJ$10:BJ$11,Предпосылки!$I$206,),0),BJ170/(1+IFERROR(INDEX(BJ$10:BJ$11,Предпосылки!$I$207,),0))*IFERROR(INDEX(BJ$10:BJ$11,Предпосылки!$I$207,),0),BJ193/(1+IFERROR(INDEX(BJ$10:BJ$11,Предпосылки!$I$208,),0))*IFERROR(INDEX(BJ$10:BJ$11,Предпосылки!$I$208,),0),BJ216/(1+IFERROR(INDEX(BJ$10:BJ$11,Предпосылки!$I$209,),0))*IFERROR(INDEX(BJ$10:BJ$11,Предпосылки!$I$209,),0),BJ239/(1+IFERROR(INDEX(BJ$10:BJ$11,Предпосылки!$I$210,),0))*IFERROR(INDEX(BJ$10:BJ$11,Предпосылки!$I$210,),0),BJ262/(1+IFERROR(INDEX(BJ$10:BJ$11,Предпосылки!$I$211,),0))*IFERROR(INDEX(BJ$10:BJ$11,Предпосылки!$I$211,),0),BJ285/(1+IFERROR(INDEX(BJ$10:BJ$11,Предпосылки!$I$212,),0))*IFERROR(INDEX(BJ$10:BJ$11,Предпосылки!$I$212,),0),BJ308/(1+IFERROR(INDEX(BJ$10:BJ$11,Предпосылки!$I$213,),0))*IFERROR(INDEX(BJ$10:BJ$11,Предпосылки!$I$213,),0),BJ331/(1+IFERROR(INDEX(BJ$10:BJ$11,Предпосылки!$I$214,),0))*IFERROR(INDEX(BJ$10:BJ$11,Предпосылки!$I$214,),0),BJ354/(1+IFERROR(INDEX(BJ$10:BJ$11,Предпосылки!$I$215,),0))*IFERROR(INDEX(BJ$10:BJ$11,Предпосылки!$I$215,),0),BJ377/(1+IFERROR(INDEX(BJ$10:BJ$11,Предпосылки!$I$216,),0))*IFERROR(INDEX(BJ$10:BJ$11,Предпосылки!$I$216,),0),BJ400/(1+IFERROR(INDEX(BJ$10:BJ$11,Предпосылки!$I$217,),0))*IFERROR(INDEX(BJ$10:BJ$11,Предпосылки!$I$217,),0),BJ423/(1+IFERROR(INDEX(BJ$10:BJ$11,Предпосылки!$I$218,),0))*IFERROR(INDEX(BJ$10:BJ$11,Предпосылки!$I$218,),0),BJ446/(1+IFERROR(INDEX(BJ$10:BJ$11,Предпосылки!$I$219,),0))*IFERROR(INDEX(BJ$10:BJ$11,Предпосылки!$I$219,),0),BJ469/(1+IFERROR(INDEX(BJ$10:BJ$11,Предпосылки!$I$220,),0))*IFERROR(INDEX(BJ$10:BJ$11,Предпосылки!$I$220,),0))</f>
        <v>0</v>
      </c>
      <c s="125">
        <f>SUM(BK32/(1+IFERROR(INDEX(BK$10:BK$11,Предпосылки!$I$201,),0))*IFERROR(INDEX(BK$10:BK$11,Предпосылки!$I$201,),0),BK55/(1+IFERROR(INDEX(BK$10:BK$11,Предпосылки!$I$202,),0))*IFERROR(INDEX(BK$10:BK$11,Предпосылки!$I$202,),0),BK78/(1+IFERROR(INDEX(BK$10:BK$11,Предпосылки!$I$203,),0))*IFERROR(INDEX(BK$10:BK$11,Предпосылки!$I$203,),0),BK101/(1+IFERROR(INDEX(BK$10:BK$11,Предпосылки!$I$204,),0))*IFERROR(INDEX(BK$10:BK$11,Предпосылки!$I$204,),0),BK124/(1+IFERROR(INDEX(BK$10:BK$11,Предпосылки!$I$205,),0))*IFERROR(INDEX(BK$10:BK$11,Предпосылки!$I$205,),0),BK147/(1+IFERROR(INDEX(BK$10:BK$11,Предпосылки!$I$206,),0))*IFERROR(INDEX(BK$10:BK$11,Предпосылки!$I$206,),0),BK170/(1+IFERROR(INDEX(BK$10:BK$11,Предпосылки!$I$207,),0))*IFERROR(INDEX(BK$10:BK$11,Предпосылки!$I$207,),0),BK193/(1+IFERROR(INDEX(BK$10:BK$11,Предпосылки!$I$208,),0))*IFERROR(INDEX(BK$10:BK$11,Предпосылки!$I$208,),0),BK216/(1+IFERROR(INDEX(BK$10:BK$11,Предпосылки!$I$209,),0))*IFERROR(INDEX(BK$10:BK$11,Предпосылки!$I$209,),0),BK239/(1+IFERROR(INDEX(BK$10:BK$11,Предпосылки!$I$210,),0))*IFERROR(INDEX(BK$10:BK$11,Предпосылки!$I$210,),0),BK262/(1+IFERROR(INDEX(BK$10:BK$11,Предпосылки!$I$211,),0))*IFERROR(INDEX(BK$10:BK$11,Предпосылки!$I$211,),0),BK285/(1+IFERROR(INDEX(BK$10:BK$11,Предпосылки!$I$212,),0))*IFERROR(INDEX(BK$10:BK$11,Предпосылки!$I$212,),0),BK308/(1+IFERROR(INDEX(BK$10:BK$11,Предпосылки!$I$213,),0))*IFERROR(INDEX(BK$10:BK$11,Предпосылки!$I$213,),0),BK331/(1+IFERROR(INDEX(BK$10:BK$11,Предпосылки!$I$214,),0))*IFERROR(INDEX(BK$10:BK$11,Предпосылки!$I$214,),0),BK354/(1+IFERROR(INDEX(BK$10:BK$11,Предпосылки!$I$215,),0))*IFERROR(INDEX(BK$10:BK$11,Предпосылки!$I$215,),0),BK377/(1+IFERROR(INDEX(BK$10:BK$11,Предпосылки!$I$216,),0))*IFERROR(INDEX(BK$10:BK$11,Предпосылки!$I$216,),0),BK400/(1+IFERROR(INDEX(BK$10:BK$11,Предпосылки!$I$217,),0))*IFERROR(INDEX(BK$10:BK$11,Предпосылки!$I$217,),0),BK423/(1+IFERROR(INDEX(BK$10:BK$11,Предпосылки!$I$218,),0))*IFERROR(INDEX(BK$10:BK$11,Предпосылки!$I$218,),0),BK446/(1+IFERROR(INDEX(BK$10:BK$11,Предпосылки!$I$219,),0))*IFERROR(INDEX(BK$10:BK$11,Предпосылки!$I$219,),0),BK469/(1+IFERROR(INDEX(BK$10:BK$11,Предпосылки!$I$220,),0))*IFERROR(INDEX(BK$10:BK$11,Предпосылки!$I$220,),0))</f>
        <v>0</v>
      </c>
      <c s="125">
        <f>SUM(BL32/(1+IFERROR(INDEX(BL$10:BL$11,Предпосылки!$I$201,),0))*IFERROR(INDEX(BL$10:BL$11,Предпосылки!$I$201,),0),BL55/(1+IFERROR(INDEX(BL$10:BL$11,Предпосылки!$I$202,),0))*IFERROR(INDEX(BL$10:BL$11,Предпосылки!$I$202,),0),BL78/(1+IFERROR(INDEX(BL$10:BL$11,Предпосылки!$I$203,),0))*IFERROR(INDEX(BL$10:BL$11,Предпосылки!$I$203,),0),BL101/(1+IFERROR(INDEX(BL$10:BL$11,Предпосылки!$I$204,),0))*IFERROR(INDEX(BL$10:BL$11,Предпосылки!$I$204,),0),BL124/(1+IFERROR(INDEX(BL$10:BL$11,Предпосылки!$I$205,),0))*IFERROR(INDEX(BL$10:BL$11,Предпосылки!$I$205,),0),BL147/(1+IFERROR(INDEX(BL$10:BL$11,Предпосылки!$I$206,),0))*IFERROR(INDEX(BL$10:BL$11,Предпосылки!$I$206,),0),BL170/(1+IFERROR(INDEX(BL$10:BL$11,Предпосылки!$I$207,),0))*IFERROR(INDEX(BL$10:BL$11,Предпосылки!$I$207,),0),BL193/(1+IFERROR(INDEX(BL$10:BL$11,Предпосылки!$I$208,),0))*IFERROR(INDEX(BL$10:BL$11,Предпосылки!$I$208,),0),BL216/(1+IFERROR(INDEX(BL$10:BL$11,Предпосылки!$I$209,),0))*IFERROR(INDEX(BL$10:BL$11,Предпосылки!$I$209,),0),BL239/(1+IFERROR(INDEX(BL$10:BL$11,Предпосылки!$I$210,),0))*IFERROR(INDEX(BL$10:BL$11,Предпосылки!$I$210,),0),BL262/(1+IFERROR(INDEX(BL$10:BL$11,Предпосылки!$I$211,),0))*IFERROR(INDEX(BL$10:BL$11,Предпосылки!$I$211,),0),BL285/(1+IFERROR(INDEX(BL$10:BL$11,Предпосылки!$I$212,),0))*IFERROR(INDEX(BL$10:BL$11,Предпосылки!$I$212,),0),BL308/(1+IFERROR(INDEX(BL$10:BL$11,Предпосылки!$I$213,),0))*IFERROR(INDEX(BL$10:BL$11,Предпосылки!$I$213,),0),BL331/(1+IFERROR(INDEX(BL$10:BL$11,Предпосылки!$I$214,),0))*IFERROR(INDEX(BL$10:BL$11,Предпосылки!$I$214,),0),BL354/(1+IFERROR(INDEX(BL$10:BL$11,Предпосылки!$I$215,),0))*IFERROR(INDEX(BL$10:BL$11,Предпосылки!$I$215,),0),BL377/(1+IFERROR(INDEX(BL$10:BL$11,Предпосылки!$I$216,),0))*IFERROR(INDEX(BL$10:BL$11,Предпосылки!$I$216,),0),BL400/(1+IFERROR(INDEX(BL$10:BL$11,Предпосылки!$I$217,),0))*IFERROR(INDEX(BL$10:BL$11,Предпосылки!$I$217,),0),BL423/(1+IFERROR(INDEX(BL$10:BL$11,Предпосылки!$I$218,),0))*IFERROR(INDEX(BL$10:BL$11,Предпосылки!$I$218,),0),BL446/(1+IFERROR(INDEX(BL$10:BL$11,Предпосылки!$I$219,),0))*IFERROR(INDEX(BL$10:BL$11,Предпосылки!$I$219,),0),BL469/(1+IFERROR(INDEX(BL$10:BL$11,Предпосылки!$I$220,),0))*IFERROR(INDEX(BL$10:BL$11,Предпосылки!$I$220,),0))</f>
        <v>0</v>
      </c>
      <c s="125">
        <f>SUM(BM32/(1+IFERROR(INDEX(BM$10:BM$11,Предпосылки!$I$201,),0))*IFERROR(INDEX(BM$10:BM$11,Предпосылки!$I$201,),0),BM55/(1+IFERROR(INDEX(BM$10:BM$11,Предпосылки!$I$202,),0))*IFERROR(INDEX(BM$10:BM$11,Предпосылки!$I$202,),0),BM78/(1+IFERROR(INDEX(BM$10:BM$11,Предпосылки!$I$203,),0))*IFERROR(INDEX(BM$10:BM$11,Предпосылки!$I$203,),0),BM101/(1+IFERROR(INDEX(BM$10:BM$11,Предпосылки!$I$204,),0))*IFERROR(INDEX(BM$10:BM$11,Предпосылки!$I$204,),0),BM124/(1+IFERROR(INDEX(BM$10:BM$11,Предпосылки!$I$205,),0))*IFERROR(INDEX(BM$10:BM$11,Предпосылки!$I$205,),0),BM147/(1+IFERROR(INDEX(BM$10:BM$11,Предпосылки!$I$206,),0))*IFERROR(INDEX(BM$10:BM$11,Предпосылки!$I$206,),0),BM170/(1+IFERROR(INDEX(BM$10:BM$11,Предпосылки!$I$207,),0))*IFERROR(INDEX(BM$10:BM$11,Предпосылки!$I$207,),0),BM193/(1+IFERROR(INDEX(BM$10:BM$11,Предпосылки!$I$208,),0))*IFERROR(INDEX(BM$10:BM$11,Предпосылки!$I$208,),0),BM216/(1+IFERROR(INDEX(BM$10:BM$11,Предпосылки!$I$209,),0))*IFERROR(INDEX(BM$10:BM$11,Предпосылки!$I$209,),0),BM239/(1+IFERROR(INDEX(BM$10:BM$11,Предпосылки!$I$210,),0))*IFERROR(INDEX(BM$10:BM$11,Предпосылки!$I$210,),0),BM262/(1+IFERROR(INDEX(BM$10:BM$11,Предпосылки!$I$211,),0))*IFERROR(INDEX(BM$10:BM$11,Предпосылки!$I$211,),0),BM285/(1+IFERROR(INDEX(BM$10:BM$11,Предпосылки!$I$212,),0))*IFERROR(INDEX(BM$10:BM$11,Предпосылки!$I$212,),0),BM308/(1+IFERROR(INDEX(BM$10:BM$11,Предпосылки!$I$213,),0))*IFERROR(INDEX(BM$10:BM$11,Предпосылки!$I$213,),0),BM331/(1+IFERROR(INDEX(BM$10:BM$11,Предпосылки!$I$214,),0))*IFERROR(INDEX(BM$10:BM$11,Предпосылки!$I$214,),0),BM354/(1+IFERROR(INDEX(BM$10:BM$11,Предпосылки!$I$215,),0))*IFERROR(INDEX(BM$10:BM$11,Предпосылки!$I$215,),0),BM377/(1+IFERROR(INDEX(BM$10:BM$11,Предпосылки!$I$216,),0))*IFERROR(INDEX(BM$10:BM$11,Предпосылки!$I$216,),0),BM400/(1+IFERROR(INDEX(BM$10:BM$11,Предпосылки!$I$217,),0))*IFERROR(INDEX(BM$10:BM$11,Предпосылки!$I$217,),0),BM423/(1+IFERROR(INDEX(BM$10:BM$11,Предпосылки!$I$218,),0))*IFERROR(INDEX(BM$10:BM$11,Предпосылки!$I$218,),0),BM446/(1+IFERROR(INDEX(BM$10:BM$11,Предпосылки!$I$219,),0))*IFERROR(INDEX(BM$10:BM$11,Предпосылки!$I$219,),0),BM469/(1+IFERROR(INDEX(BM$10:BM$11,Предпосылки!$I$220,),0))*IFERROR(INDEX(BM$10:BM$11,Предпосылки!$I$220,),0))</f>
        <v>0</v>
      </c>
    </row>
    <row r="564" spans="2:65" ht="15" customHeight="1">
      <c r="B564" s="12" t="str">
        <f t="shared" si="255"/>
        <v>Продукт 11</v>
      </c>
      <c s="124" t="str">
        <f t="shared" si="254"/>
        <v>тыс. руб.</v>
      </c>
      <c s="276">
        <f t="shared" si="256"/>
        <v>0</v>
      </c>
      <c s="125">
        <f>SUM(E33/(1+IFERROR(INDEX(E$10:E$11,Предпосылки!$I211,),0))*IFERROR(INDEX(E$10:E$11,Предпосылки!$I211,),0),E56/(1+IFERROR(INDEX(E$10:E$11,Предпосылки!$I212,),0))*IFERROR(INDEX(E$10:E$11,Предпосылки!$I212,),0),E79/(1+IFERROR(INDEX(E$10:E$11,Предпосылки!$I213,),0))*IFERROR(INDEX(E$10:E$11,Предпосылки!$I213,),0),E102/(1+IFERROR(INDEX(E$10:E$11,Предпосылки!$I214,),0))*IFERROR(INDEX(E$10:E$11,Предпосылки!$I214,),0),E125/(1+IFERROR(INDEX(E$10:E$11,Предпосылки!$I215,),0))*IFERROR(INDEX(E$10:E$11,Предпосылки!$I215,),0),E148/(1+IFERROR(INDEX(E$10:E$11,Предпосылки!$I216,),0))*IFERROR(INDEX(E$10:E$11,Предпосылки!$I216,),0),E171/(1+IFERROR(INDEX(E$10:E$11,Предпосылки!$I217,),0))*IFERROR(INDEX(E$10:E$11,Предпосылки!$I217,),0),E194/(1+IFERROR(INDEX(E$10:E$11,Предпосылки!$I218,),0))*IFERROR(INDEX(E$10:E$11,Предпосылки!$I218,),0),E217/(1+IFERROR(INDEX(E$10:E$11,Предпосылки!$I219,),0))*IFERROR(INDEX(E$10:E$11,Предпосылки!$I219,),0),E240/(1+IFERROR(INDEX(E$10:E$11,Предпосылки!$I220,),0))*IFERROR(INDEX(E$10:E$11,Предпосылки!$I220,),0),E263/(1+IFERROR(INDEX(E$10:E$11,Предпосылки!$I221,),0))*IFERROR(INDEX(E$10:E$11,Предпосылки!$I221,),0),E286/(1+IFERROR(INDEX(E$10:E$11,Предпосылки!$I222,),0))*IFERROR(INDEX(E$10:E$11,Предпосылки!$I222,),0),E309/(1+IFERROR(INDEX(E$10:E$11,Предпосылки!$I223,),0))*IFERROR(INDEX(E$10:E$11,Предпосылки!$I223,),0),E332/(1+IFERROR(INDEX(E$10:E$11,Предпосылки!$I224,),0))*IFERROR(INDEX(E$10:E$11,Предпосылки!$I224,),0),E355/(1+IFERROR(INDEX(E$10:E$11,Предпосылки!$I225,),0))*IFERROR(INDEX(E$10:E$11,Предпосылки!$I225,),0),E378/(1+IFERROR(INDEX(E$10:E$11,Предпосылки!$I226,),0))*IFERROR(INDEX(E$10:E$11,Предпосылки!$I226,),0),E401/(1+IFERROR(INDEX(E$10:E$11,Предпосылки!$I227,),0))*IFERROR(INDEX(E$10:E$11,Предпосылки!$I227,),0),E424/(1+IFERROR(INDEX(E$10:E$11,Предпосылки!$I228,),0))*IFERROR(INDEX(E$10:E$11,Предпосылки!$I228,),0),E447/(1+IFERROR(INDEX(E$10:E$11,Предпосылки!$I229,),0))*IFERROR(INDEX(E$10:E$11,Предпосылки!$I229,),0),E470/(1+IFERROR(INDEX(E$10:E$11,Предпосылки!$I230,),0))*IFERROR(INDEX(E$10:E$11,Предпосылки!$I230,),0))</f>
        <v>0</v>
      </c>
      <c s="125">
        <f>SUM(F33/(1+IFERROR(INDEX(F$10:F$11,Предпосылки!$I$201,),0))*IFERROR(INDEX(F$10:F$11,Предпосылки!$I$201,),0),F56/(1+IFERROR(INDEX(F$10:F$11,Предпосылки!$I$202,),0))*IFERROR(INDEX(F$10:F$11,Предпосылки!$I$202,),0),F79/(1+IFERROR(INDEX(F$10:F$11,Предпосылки!$I$203,),0))*IFERROR(INDEX(F$10:F$11,Предпосылки!$I$203,),0),F102/(1+IFERROR(INDEX(F$10:F$11,Предпосылки!$I$204,),0))*IFERROR(INDEX(F$10:F$11,Предпосылки!$I$204,),0),F125/(1+IFERROR(INDEX(F$10:F$11,Предпосылки!$I$205,),0))*IFERROR(INDEX(F$10:F$11,Предпосылки!$I$205,),0),F148/(1+IFERROR(INDEX(F$10:F$11,Предпосылки!$I$206,),0))*IFERROR(INDEX(F$10:F$11,Предпосылки!$I$206,),0),F171/(1+IFERROR(INDEX(F$10:F$11,Предпосылки!$I$207,),0))*IFERROR(INDEX(F$10:F$11,Предпосылки!$I$207,),0),F194/(1+IFERROR(INDEX(F$10:F$11,Предпосылки!$I$208,),0))*IFERROR(INDEX(F$10:F$11,Предпосылки!$I$208,),0),F217/(1+IFERROR(INDEX(F$10:F$11,Предпосылки!$I$209,),0))*IFERROR(INDEX(F$10:F$11,Предпосылки!$I$209,),0),F240/(1+IFERROR(INDEX(F$10:F$11,Предпосылки!$I$210,),0))*IFERROR(INDEX(F$10:F$11,Предпосылки!$I$210,),0),F263/(1+IFERROR(INDEX(F$10:F$11,Предпосылки!$I$211,),0))*IFERROR(INDEX(F$10:F$11,Предпосылки!$I$211,),0),F286/(1+IFERROR(INDEX(F$10:F$11,Предпосылки!$I$212,),0))*IFERROR(INDEX(F$10:F$11,Предпосылки!$I$212,),0),F309/(1+IFERROR(INDEX(F$10:F$11,Предпосылки!$I$213,),0))*IFERROR(INDEX(F$10:F$11,Предпосылки!$I$213,),0),F332/(1+IFERROR(INDEX(F$10:F$11,Предпосылки!$I$214,),0))*IFERROR(INDEX(F$10:F$11,Предпосылки!$I$214,),0),F355/(1+IFERROR(INDEX(F$10:F$11,Предпосылки!$I$215,),0))*IFERROR(INDEX(F$10:F$11,Предпосылки!$I$215,),0),F378/(1+IFERROR(INDEX(F$10:F$11,Предпосылки!$I$216,),0))*IFERROR(INDEX(F$10:F$11,Предпосылки!$I$216,),0),F401/(1+IFERROR(INDEX(F$10:F$11,Предпосылки!$I$217,),0))*IFERROR(INDEX(F$10:F$11,Предпосылки!$I$217,),0),F424/(1+IFERROR(INDEX(F$10:F$11,Предпосылки!$I$218,),0))*IFERROR(INDEX(F$10:F$11,Предпосылки!$I$218,),0),F447/(1+IFERROR(INDEX(F$10:F$11,Предпосылки!$I$219,),0))*IFERROR(INDEX(F$10:F$11,Предпосылки!$I$219,),0),F470/(1+IFERROR(INDEX(F$10:F$11,Предпосылки!$I$220,),0))*IFERROR(INDEX(F$10:F$11,Предпосылки!$I$220,),0))</f>
        <v>0</v>
      </c>
      <c s="125">
        <f>SUM(G33/(1+IFERROR(INDEX(G$10:G$11,Предпосылки!$I$201,),0))*IFERROR(INDEX(G$10:G$11,Предпосылки!$I$201,),0),G56/(1+IFERROR(INDEX(G$10:G$11,Предпосылки!$I$202,),0))*IFERROR(INDEX(G$10:G$11,Предпосылки!$I$202,),0),G79/(1+IFERROR(INDEX(G$10:G$11,Предпосылки!$I$203,),0))*IFERROR(INDEX(G$10:G$11,Предпосылки!$I$203,),0),G102/(1+IFERROR(INDEX(G$10:G$11,Предпосылки!$I$204,),0))*IFERROR(INDEX(G$10:G$11,Предпосылки!$I$204,),0),G125/(1+IFERROR(INDEX(G$10:G$11,Предпосылки!$I$205,),0))*IFERROR(INDEX(G$10:G$11,Предпосылки!$I$205,),0),G148/(1+IFERROR(INDEX(G$10:G$11,Предпосылки!$I$206,),0))*IFERROR(INDEX(G$10:G$11,Предпосылки!$I$206,),0),G171/(1+IFERROR(INDEX(G$10:G$11,Предпосылки!$I$207,),0))*IFERROR(INDEX(G$10:G$11,Предпосылки!$I$207,),0),G194/(1+IFERROR(INDEX(G$10:G$11,Предпосылки!$I$208,),0))*IFERROR(INDEX(G$10:G$11,Предпосылки!$I$208,),0),G217/(1+IFERROR(INDEX(G$10:G$11,Предпосылки!$I$209,),0))*IFERROR(INDEX(G$10:G$11,Предпосылки!$I$209,),0),G240/(1+IFERROR(INDEX(G$10:G$11,Предпосылки!$I$210,),0))*IFERROR(INDEX(G$10:G$11,Предпосылки!$I$210,),0),G263/(1+IFERROR(INDEX(G$10:G$11,Предпосылки!$I$211,),0))*IFERROR(INDEX(G$10:G$11,Предпосылки!$I$211,),0),G286/(1+IFERROR(INDEX(G$10:G$11,Предпосылки!$I$212,),0))*IFERROR(INDEX(G$10:G$11,Предпосылки!$I$212,),0),G309/(1+IFERROR(INDEX(G$10:G$11,Предпосылки!$I$213,),0))*IFERROR(INDEX(G$10:G$11,Предпосылки!$I$213,),0),G332/(1+IFERROR(INDEX(G$10:G$11,Предпосылки!$I$214,),0))*IFERROR(INDEX(G$10:G$11,Предпосылки!$I$214,),0),G355/(1+IFERROR(INDEX(G$10:G$11,Предпосылки!$I$215,),0))*IFERROR(INDEX(G$10:G$11,Предпосылки!$I$215,),0),G378/(1+IFERROR(INDEX(G$10:G$11,Предпосылки!$I$216,),0))*IFERROR(INDEX(G$10:G$11,Предпосылки!$I$216,),0),G401/(1+IFERROR(INDEX(G$10:G$11,Предпосылки!$I$217,),0))*IFERROR(INDEX(G$10:G$11,Предпосылки!$I$217,),0),G424/(1+IFERROR(INDEX(G$10:G$11,Предпосылки!$I$218,),0))*IFERROR(INDEX(G$10:G$11,Предпосылки!$I$218,),0),G447/(1+IFERROR(INDEX(G$10:G$11,Предпосылки!$I$219,),0))*IFERROR(INDEX(G$10:G$11,Предпосылки!$I$219,),0),G470/(1+IFERROR(INDEX(G$10:G$11,Предпосылки!$I$220,),0))*IFERROR(INDEX(G$10:G$11,Предпосылки!$I$220,),0))</f>
        <v>0</v>
      </c>
      <c s="125">
        <f>SUM(H33/(1+IFERROR(INDEX(H$10:H$11,Предпосылки!$I$201,),0))*IFERROR(INDEX(H$10:H$11,Предпосылки!$I$201,),0),H56/(1+IFERROR(INDEX(H$10:H$11,Предпосылки!$I$202,),0))*IFERROR(INDEX(H$10:H$11,Предпосылки!$I$202,),0),H79/(1+IFERROR(INDEX(H$10:H$11,Предпосылки!$I$203,),0))*IFERROR(INDEX(H$10:H$11,Предпосылки!$I$203,),0),H102/(1+IFERROR(INDEX(H$10:H$11,Предпосылки!$I$204,),0))*IFERROR(INDEX(H$10:H$11,Предпосылки!$I$204,),0),H125/(1+IFERROR(INDEX(H$10:H$11,Предпосылки!$I$205,),0))*IFERROR(INDEX(H$10:H$11,Предпосылки!$I$205,),0),H148/(1+IFERROR(INDEX(H$10:H$11,Предпосылки!$I$206,),0))*IFERROR(INDEX(H$10:H$11,Предпосылки!$I$206,),0),H171/(1+IFERROR(INDEX(H$10:H$11,Предпосылки!$I$207,),0))*IFERROR(INDEX(H$10:H$11,Предпосылки!$I$207,),0),H194/(1+IFERROR(INDEX(H$10:H$11,Предпосылки!$I$208,),0))*IFERROR(INDEX(H$10:H$11,Предпосылки!$I$208,),0),H217/(1+IFERROR(INDEX(H$10:H$11,Предпосылки!$I$209,),0))*IFERROR(INDEX(H$10:H$11,Предпосылки!$I$209,),0),H240/(1+IFERROR(INDEX(H$10:H$11,Предпосылки!$I$210,),0))*IFERROR(INDEX(H$10:H$11,Предпосылки!$I$210,),0),H263/(1+IFERROR(INDEX(H$10:H$11,Предпосылки!$I$211,),0))*IFERROR(INDEX(H$10:H$11,Предпосылки!$I$211,),0),H286/(1+IFERROR(INDEX(H$10:H$11,Предпосылки!$I$212,),0))*IFERROR(INDEX(H$10:H$11,Предпосылки!$I$212,),0),H309/(1+IFERROR(INDEX(H$10:H$11,Предпосылки!$I$213,),0))*IFERROR(INDEX(H$10:H$11,Предпосылки!$I$213,),0),H332/(1+IFERROR(INDEX(H$10:H$11,Предпосылки!$I$214,),0))*IFERROR(INDEX(H$10:H$11,Предпосылки!$I$214,),0),H355/(1+IFERROR(INDEX(H$10:H$11,Предпосылки!$I$215,),0))*IFERROR(INDEX(H$10:H$11,Предпосылки!$I$215,),0),H378/(1+IFERROR(INDEX(H$10:H$11,Предпосылки!$I$216,),0))*IFERROR(INDEX(H$10:H$11,Предпосылки!$I$216,),0),H401/(1+IFERROR(INDEX(H$10:H$11,Предпосылки!$I$217,),0))*IFERROR(INDEX(H$10:H$11,Предпосылки!$I$217,),0),H424/(1+IFERROR(INDEX(H$10:H$11,Предпосылки!$I$218,),0))*IFERROR(INDEX(H$10:H$11,Предпосылки!$I$218,),0),H447/(1+IFERROR(INDEX(H$10:H$11,Предпосылки!$I$219,),0))*IFERROR(INDEX(H$10:H$11,Предпосылки!$I$219,),0),H470/(1+IFERROR(INDEX(H$10:H$11,Предпосылки!$I$220,),0))*IFERROR(INDEX(H$10:H$11,Предпосылки!$I$220,),0))</f>
        <v>0</v>
      </c>
      <c s="125">
        <f>SUM(I33/(1+IFERROR(INDEX(I$10:I$11,Предпосылки!$I$201,),0))*IFERROR(INDEX(I$10:I$11,Предпосылки!$I$201,),0),I56/(1+IFERROR(INDEX(I$10:I$11,Предпосылки!$I$202,),0))*IFERROR(INDEX(I$10:I$11,Предпосылки!$I$202,),0),I79/(1+IFERROR(INDEX(I$10:I$11,Предпосылки!$I$203,),0))*IFERROR(INDEX(I$10:I$11,Предпосылки!$I$203,),0),I102/(1+IFERROR(INDEX(I$10:I$11,Предпосылки!$I$204,),0))*IFERROR(INDEX(I$10:I$11,Предпосылки!$I$204,),0),I125/(1+IFERROR(INDEX(I$10:I$11,Предпосылки!$I$205,),0))*IFERROR(INDEX(I$10:I$11,Предпосылки!$I$205,),0),I148/(1+IFERROR(INDEX(I$10:I$11,Предпосылки!$I$206,),0))*IFERROR(INDEX(I$10:I$11,Предпосылки!$I$206,),0),I171/(1+IFERROR(INDEX(I$10:I$11,Предпосылки!$I$207,),0))*IFERROR(INDEX(I$10:I$11,Предпосылки!$I$207,),0),I194/(1+IFERROR(INDEX(I$10:I$11,Предпосылки!$I$208,),0))*IFERROR(INDEX(I$10:I$11,Предпосылки!$I$208,),0),I217/(1+IFERROR(INDEX(I$10:I$11,Предпосылки!$I$209,),0))*IFERROR(INDEX(I$10:I$11,Предпосылки!$I$209,),0),I240/(1+IFERROR(INDEX(I$10:I$11,Предпосылки!$I$210,),0))*IFERROR(INDEX(I$10:I$11,Предпосылки!$I$210,),0),I263/(1+IFERROR(INDEX(I$10:I$11,Предпосылки!$I$211,),0))*IFERROR(INDEX(I$10:I$11,Предпосылки!$I$211,),0),I286/(1+IFERROR(INDEX(I$10:I$11,Предпосылки!$I$212,),0))*IFERROR(INDEX(I$10:I$11,Предпосылки!$I$212,),0),I309/(1+IFERROR(INDEX(I$10:I$11,Предпосылки!$I$213,),0))*IFERROR(INDEX(I$10:I$11,Предпосылки!$I$213,),0),I332/(1+IFERROR(INDEX(I$10:I$11,Предпосылки!$I$214,),0))*IFERROR(INDEX(I$10:I$11,Предпосылки!$I$214,),0),I355/(1+IFERROR(INDEX(I$10:I$11,Предпосылки!$I$215,),0))*IFERROR(INDEX(I$10:I$11,Предпосылки!$I$215,),0),I378/(1+IFERROR(INDEX(I$10:I$11,Предпосылки!$I$216,),0))*IFERROR(INDEX(I$10:I$11,Предпосылки!$I$216,),0),I401/(1+IFERROR(INDEX(I$10:I$11,Предпосылки!$I$217,),0))*IFERROR(INDEX(I$10:I$11,Предпосылки!$I$217,),0),I424/(1+IFERROR(INDEX(I$10:I$11,Предпосылки!$I$218,),0))*IFERROR(INDEX(I$10:I$11,Предпосылки!$I$218,),0),I447/(1+IFERROR(INDEX(I$10:I$11,Предпосылки!$I$219,),0))*IFERROR(INDEX(I$10:I$11,Предпосылки!$I$219,),0),I470/(1+IFERROR(INDEX(I$10:I$11,Предпосылки!$I$220,),0))*IFERROR(INDEX(I$10:I$11,Предпосылки!$I$220,),0))</f>
        <v>0</v>
      </c>
      <c s="125">
        <f>SUM(J33/(1+IFERROR(INDEX(J$10:J$11,Предпосылки!$I$201,),0))*IFERROR(INDEX(J$10:J$11,Предпосылки!$I$201,),0),J56/(1+IFERROR(INDEX(J$10:J$11,Предпосылки!$I$202,),0))*IFERROR(INDEX(J$10:J$11,Предпосылки!$I$202,),0),J79/(1+IFERROR(INDEX(J$10:J$11,Предпосылки!$I$203,),0))*IFERROR(INDEX(J$10:J$11,Предпосылки!$I$203,),0),J102/(1+IFERROR(INDEX(J$10:J$11,Предпосылки!$I$204,),0))*IFERROR(INDEX(J$10:J$11,Предпосылки!$I$204,),0),J125/(1+IFERROR(INDEX(J$10:J$11,Предпосылки!$I$205,),0))*IFERROR(INDEX(J$10:J$11,Предпосылки!$I$205,),0),J148/(1+IFERROR(INDEX(J$10:J$11,Предпосылки!$I$206,),0))*IFERROR(INDEX(J$10:J$11,Предпосылки!$I$206,),0),J171/(1+IFERROR(INDEX(J$10:J$11,Предпосылки!$I$207,),0))*IFERROR(INDEX(J$10:J$11,Предпосылки!$I$207,),0),J194/(1+IFERROR(INDEX(J$10:J$11,Предпосылки!$I$208,),0))*IFERROR(INDEX(J$10:J$11,Предпосылки!$I$208,),0),J217/(1+IFERROR(INDEX(J$10:J$11,Предпосылки!$I$209,),0))*IFERROR(INDEX(J$10:J$11,Предпосылки!$I$209,),0),J240/(1+IFERROR(INDEX(J$10:J$11,Предпосылки!$I$210,),0))*IFERROR(INDEX(J$10:J$11,Предпосылки!$I$210,),0),J263/(1+IFERROR(INDEX(J$10:J$11,Предпосылки!$I$211,),0))*IFERROR(INDEX(J$10:J$11,Предпосылки!$I$211,),0),J286/(1+IFERROR(INDEX(J$10:J$11,Предпосылки!$I$212,),0))*IFERROR(INDEX(J$10:J$11,Предпосылки!$I$212,),0),J309/(1+IFERROR(INDEX(J$10:J$11,Предпосылки!$I$213,),0))*IFERROR(INDEX(J$10:J$11,Предпосылки!$I$213,),0),J332/(1+IFERROR(INDEX(J$10:J$11,Предпосылки!$I$214,),0))*IFERROR(INDEX(J$10:J$11,Предпосылки!$I$214,),0),J355/(1+IFERROR(INDEX(J$10:J$11,Предпосылки!$I$215,),0))*IFERROR(INDEX(J$10:J$11,Предпосылки!$I$215,),0),J378/(1+IFERROR(INDEX(J$10:J$11,Предпосылки!$I$216,),0))*IFERROR(INDEX(J$10:J$11,Предпосылки!$I$216,),0),J401/(1+IFERROR(INDEX(J$10:J$11,Предпосылки!$I$217,),0))*IFERROR(INDEX(J$10:J$11,Предпосылки!$I$217,),0),J424/(1+IFERROR(INDEX(J$10:J$11,Предпосылки!$I$218,),0))*IFERROR(INDEX(J$10:J$11,Предпосылки!$I$218,),0),J447/(1+IFERROR(INDEX(J$10:J$11,Предпосылки!$I$219,),0))*IFERROR(INDEX(J$10:J$11,Предпосылки!$I$219,),0),J470/(1+IFERROR(INDEX(J$10:J$11,Предпосылки!$I$220,),0))*IFERROR(INDEX(J$10:J$11,Предпосылки!$I$220,),0))</f>
        <v>0</v>
      </c>
      <c s="125">
        <f>SUM(K33/(1+IFERROR(INDEX(K$10:K$11,Предпосылки!$I$201,),0))*IFERROR(INDEX(K$10:K$11,Предпосылки!$I$201,),0),K56/(1+IFERROR(INDEX(K$10:K$11,Предпосылки!$I$202,),0))*IFERROR(INDEX(K$10:K$11,Предпосылки!$I$202,),0),K79/(1+IFERROR(INDEX(K$10:K$11,Предпосылки!$I$203,),0))*IFERROR(INDEX(K$10:K$11,Предпосылки!$I$203,),0),K102/(1+IFERROR(INDEX(K$10:K$11,Предпосылки!$I$204,),0))*IFERROR(INDEX(K$10:K$11,Предпосылки!$I$204,),0),K125/(1+IFERROR(INDEX(K$10:K$11,Предпосылки!$I$205,),0))*IFERROR(INDEX(K$10:K$11,Предпосылки!$I$205,),0),K148/(1+IFERROR(INDEX(K$10:K$11,Предпосылки!$I$206,),0))*IFERROR(INDEX(K$10:K$11,Предпосылки!$I$206,),0),K171/(1+IFERROR(INDEX(K$10:K$11,Предпосылки!$I$207,),0))*IFERROR(INDEX(K$10:K$11,Предпосылки!$I$207,),0),K194/(1+IFERROR(INDEX(K$10:K$11,Предпосылки!$I$208,),0))*IFERROR(INDEX(K$10:K$11,Предпосылки!$I$208,),0),K217/(1+IFERROR(INDEX(K$10:K$11,Предпосылки!$I$209,),0))*IFERROR(INDEX(K$10:K$11,Предпосылки!$I$209,),0),K240/(1+IFERROR(INDEX(K$10:K$11,Предпосылки!$I$210,),0))*IFERROR(INDEX(K$10:K$11,Предпосылки!$I$210,),0),K263/(1+IFERROR(INDEX(K$10:K$11,Предпосылки!$I$211,),0))*IFERROR(INDEX(K$10:K$11,Предпосылки!$I$211,),0),K286/(1+IFERROR(INDEX(K$10:K$11,Предпосылки!$I$212,),0))*IFERROR(INDEX(K$10:K$11,Предпосылки!$I$212,),0),K309/(1+IFERROR(INDEX(K$10:K$11,Предпосылки!$I$213,),0))*IFERROR(INDEX(K$10:K$11,Предпосылки!$I$213,),0),K332/(1+IFERROR(INDEX(K$10:K$11,Предпосылки!$I$214,),0))*IFERROR(INDEX(K$10:K$11,Предпосылки!$I$214,),0),K355/(1+IFERROR(INDEX(K$10:K$11,Предпосылки!$I$215,),0))*IFERROR(INDEX(K$10:K$11,Предпосылки!$I$215,),0),K378/(1+IFERROR(INDEX(K$10:K$11,Предпосылки!$I$216,),0))*IFERROR(INDEX(K$10:K$11,Предпосылки!$I$216,),0),K401/(1+IFERROR(INDEX(K$10:K$11,Предпосылки!$I$217,),0))*IFERROR(INDEX(K$10:K$11,Предпосылки!$I$217,),0),K424/(1+IFERROR(INDEX(K$10:K$11,Предпосылки!$I$218,),0))*IFERROR(INDEX(K$10:K$11,Предпосылки!$I$218,),0),K447/(1+IFERROR(INDEX(K$10:K$11,Предпосылки!$I$219,),0))*IFERROR(INDEX(K$10:K$11,Предпосылки!$I$219,),0),K470/(1+IFERROR(INDEX(K$10:K$11,Предпосылки!$I$220,),0))*IFERROR(INDEX(K$10:K$11,Предпосылки!$I$220,),0))</f>
        <v>0</v>
      </c>
      <c s="125">
        <f>SUM(L33/(1+IFERROR(INDEX(L$10:L$11,Предпосылки!$I$201,),0))*IFERROR(INDEX(L$10:L$11,Предпосылки!$I$201,),0),L56/(1+IFERROR(INDEX(L$10:L$11,Предпосылки!$I$202,),0))*IFERROR(INDEX(L$10:L$11,Предпосылки!$I$202,),0),L79/(1+IFERROR(INDEX(L$10:L$11,Предпосылки!$I$203,),0))*IFERROR(INDEX(L$10:L$11,Предпосылки!$I$203,),0),L102/(1+IFERROR(INDEX(L$10:L$11,Предпосылки!$I$204,),0))*IFERROR(INDEX(L$10:L$11,Предпосылки!$I$204,),0),L125/(1+IFERROR(INDEX(L$10:L$11,Предпосылки!$I$205,),0))*IFERROR(INDEX(L$10:L$11,Предпосылки!$I$205,),0),L148/(1+IFERROR(INDEX(L$10:L$11,Предпосылки!$I$206,),0))*IFERROR(INDEX(L$10:L$11,Предпосылки!$I$206,),0),L171/(1+IFERROR(INDEX(L$10:L$11,Предпосылки!$I$207,),0))*IFERROR(INDEX(L$10:L$11,Предпосылки!$I$207,),0),L194/(1+IFERROR(INDEX(L$10:L$11,Предпосылки!$I$208,),0))*IFERROR(INDEX(L$10:L$11,Предпосылки!$I$208,),0),L217/(1+IFERROR(INDEX(L$10:L$11,Предпосылки!$I$209,),0))*IFERROR(INDEX(L$10:L$11,Предпосылки!$I$209,),0),L240/(1+IFERROR(INDEX(L$10:L$11,Предпосылки!$I$210,),0))*IFERROR(INDEX(L$10:L$11,Предпосылки!$I$210,),0),L263/(1+IFERROR(INDEX(L$10:L$11,Предпосылки!$I$211,),0))*IFERROR(INDEX(L$10:L$11,Предпосылки!$I$211,),0),L286/(1+IFERROR(INDEX(L$10:L$11,Предпосылки!$I$212,),0))*IFERROR(INDEX(L$10:L$11,Предпосылки!$I$212,),0),L309/(1+IFERROR(INDEX(L$10:L$11,Предпосылки!$I$213,),0))*IFERROR(INDEX(L$10:L$11,Предпосылки!$I$213,),0),L332/(1+IFERROR(INDEX(L$10:L$11,Предпосылки!$I$214,),0))*IFERROR(INDEX(L$10:L$11,Предпосылки!$I$214,),0),L355/(1+IFERROR(INDEX(L$10:L$11,Предпосылки!$I$215,),0))*IFERROR(INDEX(L$10:L$11,Предпосылки!$I$215,),0),L378/(1+IFERROR(INDEX(L$10:L$11,Предпосылки!$I$216,),0))*IFERROR(INDEX(L$10:L$11,Предпосылки!$I$216,),0),L401/(1+IFERROR(INDEX(L$10:L$11,Предпосылки!$I$217,),0))*IFERROR(INDEX(L$10:L$11,Предпосылки!$I$217,),0),L424/(1+IFERROR(INDEX(L$10:L$11,Предпосылки!$I$218,),0))*IFERROR(INDEX(L$10:L$11,Предпосылки!$I$218,),0),L447/(1+IFERROR(INDEX(L$10:L$11,Предпосылки!$I$219,),0))*IFERROR(INDEX(L$10:L$11,Предпосылки!$I$219,),0),L470/(1+IFERROR(INDEX(L$10:L$11,Предпосылки!$I$220,),0))*IFERROR(INDEX(L$10:L$11,Предпосылки!$I$220,),0))</f>
        <v>0</v>
      </c>
      <c s="125">
        <f>SUM(M33/(1+IFERROR(INDEX(M$10:M$11,Предпосылки!$I$201,),0))*IFERROR(INDEX(M$10:M$11,Предпосылки!$I$201,),0),M56/(1+IFERROR(INDEX(M$10:M$11,Предпосылки!$I$202,),0))*IFERROR(INDEX(M$10:M$11,Предпосылки!$I$202,),0),M79/(1+IFERROR(INDEX(M$10:M$11,Предпосылки!$I$203,),0))*IFERROR(INDEX(M$10:M$11,Предпосылки!$I$203,),0),M102/(1+IFERROR(INDEX(M$10:M$11,Предпосылки!$I$204,),0))*IFERROR(INDEX(M$10:M$11,Предпосылки!$I$204,),0),M125/(1+IFERROR(INDEX(M$10:M$11,Предпосылки!$I$205,),0))*IFERROR(INDEX(M$10:M$11,Предпосылки!$I$205,),0),M148/(1+IFERROR(INDEX(M$10:M$11,Предпосылки!$I$206,),0))*IFERROR(INDEX(M$10:M$11,Предпосылки!$I$206,),0),M171/(1+IFERROR(INDEX(M$10:M$11,Предпосылки!$I$207,),0))*IFERROR(INDEX(M$10:M$11,Предпосылки!$I$207,),0),M194/(1+IFERROR(INDEX(M$10:M$11,Предпосылки!$I$208,),0))*IFERROR(INDEX(M$10:M$11,Предпосылки!$I$208,),0),M217/(1+IFERROR(INDEX(M$10:M$11,Предпосылки!$I$209,),0))*IFERROR(INDEX(M$10:M$11,Предпосылки!$I$209,),0),M240/(1+IFERROR(INDEX(M$10:M$11,Предпосылки!$I$210,),0))*IFERROR(INDEX(M$10:M$11,Предпосылки!$I$210,),0),M263/(1+IFERROR(INDEX(M$10:M$11,Предпосылки!$I$211,),0))*IFERROR(INDEX(M$10:M$11,Предпосылки!$I$211,),0),M286/(1+IFERROR(INDEX(M$10:M$11,Предпосылки!$I$212,),0))*IFERROR(INDEX(M$10:M$11,Предпосылки!$I$212,),0),M309/(1+IFERROR(INDEX(M$10:M$11,Предпосылки!$I$213,),0))*IFERROR(INDEX(M$10:M$11,Предпосылки!$I$213,),0),M332/(1+IFERROR(INDEX(M$10:M$11,Предпосылки!$I$214,),0))*IFERROR(INDEX(M$10:M$11,Предпосылки!$I$214,),0),M355/(1+IFERROR(INDEX(M$10:M$11,Предпосылки!$I$215,),0))*IFERROR(INDEX(M$10:M$11,Предпосылки!$I$215,),0),M378/(1+IFERROR(INDEX(M$10:M$11,Предпосылки!$I$216,),0))*IFERROR(INDEX(M$10:M$11,Предпосылки!$I$216,),0),M401/(1+IFERROR(INDEX(M$10:M$11,Предпосылки!$I$217,),0))*IFERROR(INDEX(M$10:M$11,Предпосылки!$I$217,),0),M424/(1+IFERROR(INDEX(M$10:M$11,Предпосылки!$I$218,),0))*IFERROR(INDEX(M$10:M$11,Предпосылки!$I$218,),0),M447/(1+IFERROR(INDEX(M$10:M$11,Предпосылки!$I$219,),0))*IFERROR(INDEX(M$10:M$11,Предпосылки!$I$219,),0),M470/(1+IFERROR(INDEX(M$10:M$11,Предпосылки!$I$220,),0))*IFERROR(INDEX(M$10:M$11,Предпосылки!$I$220,),0))</f>
        <v>0</v>
      </c>
      <c s="125">
        <f>SUM(N33/(1+IFERROR(INDEX(N$10:N$11,Предпосылки!$I$201,),0))*IFERROR(INDEX(N$10:N$11,Предпосылки!$I$201,),0),N56/(1+IFERROR(INDEX(N$10:N$11,Предпосылки!$I$202,),0))*IFERROR(INDEX(N$10:N$11,Предпосылки!$I$202,),0),N79/(1+IFERROR(INDEX(N$10:N$11,Предпосылки!$I$203,),0))*IFERROR(INDEX(N$10:N$11,Предпосылки!$I$203,),0),N102/(1+IFERROR(INDEX(N$10:N$11,Предпосылки!$I$204,),0))*IFERROR(INDEX(N$10:N$11,Предпосылки!$I$204,),0),N125/(1+IFERROR(INDEX(N$10:N$11,Предпосылки!$I$205,),0))*IFERROR(INDEX(N$10:N$11,Предпосылки!$I$205,),0),N148/(1+IFERROR(INDEX(N$10:N$11,Предпосылки!$I$206,),0))*IFERROR(INDEX(N$10:N$11,Предпосылки!$I$206,),0),N171/(1+IFERROR(INDEX(N$10:N$11,Предпосылки!$I$207,),0))*IFERROR(INDEX(N$10:N$11,Предпосылки!$I$207,),0),N194/(1+IFERROR(INDEX(N$10:N$11,Предпосылки!$I$208,),0))*IFERROR(INDEX(N$10:N$11,Предпосылки!$I$208,),0),N217/(1+IFERROR(INDEX(N$10:N$11,Предпосылки!$I$209,),0))*IFERROR(INDEX(N$10:N$11,Предпосылки!$I$209,),0),N240/(1+IFERROR(INDEX(N$10:N$11,Предпосылки!$I$210,),0))*IFERROR(INDEX(N$10:N$11,Предпосылки!$I$210,),0),N263/(1+IFERROR(INDEX(N$10:N$11,Предпосылки!$I$211,),0))*IFERROR(INDEX(N$10:N$11,Предпосылки!$I$211,),0),N286/(1+IFERROR(INDEX(N$10:N$11,Предпосылки!$I$212,),0))*IFERROR(INDEX(N$10:N$11,Предпосылки!$I$212,),0),N309/(1+IFERROR(INDEX(N$10:N$11,Предпосылки!$I$213,),0))*IFERROR(INDEX(N$10:N$11,Предпосылки!$I$213,),0),N332/(1+IFERROR(INDEX(N$10:N$11,Предпосылки!$I$214,),0))*IFERROR(INDEX(N$10:N$11,Предпосылки!$I$214,),0),N355/(1+IFERROR(INDEX(N$10:N$11,Предпосылки!$I$215,),0))*IFERROR(INDEX(N$10:N$11,Предпосылки!$I$215,),0),N378/(1+IFERROR(INDEX(N$10:N$11,Предпосылки!$I$216,),0))*IFERROR(INDEX(N$10:N$11,Предпосылки!$I$216,),0),N401/(1+IFERROR(INDEX(N$10:N$11,Предпосылки!$I$217,),0))*IFERROR(INDEX(N$10:N$11,Предпосылки!$I$217,),0),N424/(1+IFERROR(INDEX(N$10:N$11,Предпосылки!$I$218,),0))*IFERROR(INDEX(N$10:N$11,Предпосылки!$I$218,),0),N447/(1+IFERROR(INDEX(N$10:N$11,Предпосылки!$I$219,),0))*IFERROR(INDEX(N$10:N$11,Предпосылки!$I$219,),0),N470/(1+IFERROR(INDEX(N$10:N$11,Предпосылки!$I$220,),0))*IFERROR(INDEX(N$10:N$11,Предпосылки!$I$220,),0))</f>
        <v>0</v>
      </c>
      <c s="125">
        <f>SUM(O33/(1+IFERROR(INDEX(O$10:O$11,Предпосылки!$I$201,),0))*IFERROR(INDEX(O$10:O$11,Предпосылки!$I$201,),0),O56/(1+IFERROR(INDEX(O$10:O$11,Предпосылки!$I$202,),0))*IFERROR(INDEX(O$10:O$11,Предпосылки!$I$202,),0),O79/(1+IFERROR(INDEX(O$10:O$11,Предпосылки!$I$203,),0))*IFERROR(INDEX(O$10:O$11,Предпосылки!$I$203,),0),O102/(1+IFERROR(INDEX(O$10:O$11,Предпосылки!$I$204,),0))*IFERROR(INDEX(O$10:O$11,Предпосылки!$I$204,),0),O125/(1+IFERROR(INDEX(O$10:O$11,Предпосылки!$I$205,),0))*IFERROR(INDEX(O$10:O$11,Предпосылки!$I$205,),0),O148/(1+IFERROR(INDEX(O$10:O$11,Предпосылки!$I$206,),0))*IFERROR(INDEX(O$10:O$11,Предпосылки!$I$206,),0),O171/(1+IFERROR(INDEX(O$10:O$11,Предпосылки!$I$207,),0))*IFERROR(INDEX(O$10:O$11,Предпосылки!$I$207,),0),O194/(1+IFERROR(INDEX(O$10:O$11,Предпосылки!$I$208,),0))*IFERROR(INDEX(O$10:O$11,Предпосылки!$I$208,),0),O217/(1+IFERROR(INDEX(O$10:O$11,Предпосылки!$I$209,),0))*IFERROR(INDEX(O$10:O$11,Предпосылки!$I$209,),0),O240/(1+IFERROR(INDEX(O$10:O$11,Предпосылки!$I$210,),0))*IFERROR(INDEX(O$10:O$11,Предпосылки!$I$210,),0),O263/(1+IFERROR(INDEX(O$10:O$11,Предпосылки!$I$211,),0))*IFERROR(INDEX(O$10:O$11,Предпосылки!$I$211,),0),O286/(1+IFERROR(INDEX(O$10:O$11,Предпосылки!$I$212,),0))*IFERROR(INDEX(O$10:O$11,Предпосылки!$I$212,),0),O309/(1+IFERROR(INDEX(O$10:O$11,Предпосылки!$I$213,),0))*IFERROR(INDEX(O$10:O$11,Предпосылки!$I$213,),0),O332/(1+IFERROR(INDEX(O$10:O$11,Предпосылки!$I$214,),0))*IFERROR(INDEX(O$10:O$11,Предпосылки!$I$214,),0),O355/(1+IFERROR(INDEX(O$10:O$11,Предпосылки!$I$215,),0))*IFERROR(INDEX(O$10:O$11,Предпосылки!$I$215,),0),O378/(1+IFERROR(INDEX(O$10:O$11,Предпосылки!$I$216,),0))*IFERROR(INDEX(O$10:O$11,Предпосылки!$I$216,),0),O401/(1+IFERROR(INDEX(O$10:O$11,Предпосылки!$I$217,),0))*IFERROR(INDEX(O$10:O$11,Предпосылки!$I$217,),0),O424/(1+IFERROR(INDEX(O$10:O$11,Предпосылки!$I$218,),0))*IFERROR(INDEX(O$10:O$11,Предпосылки!$I$218,),0),O447/(1+IFERROR(INDEX(O$10:O$11,Предпосылки!$I$219,),0))*IFERROR(INDEX(O$10:O$11,Предпосылки!$I$219,),0),O470/(1+IFERROR(INDEX(O$10:O$11,Предпосылки!$I$220,),0))*IFERROR(INDEX(O$10:O$11,Предпосылки!$I$220,),0))</f>
        <v>0</v>
      </c>
      <c s="125">
        <f>SUM(P33/(1+IFERROR(INDEX(P$10:P$11,Предпосылки!$I$201,),0))*IFERROR(INDEX(P$10:P$11,Предпосылки!$I$201,),0),P56/(1+IFERROR(INDEX(P$10:P$11,Предпосылки!$I$202,),0))*IFERROR(INDEX(P$10:P$11,Предпосылки!$I$202,),0),P79/(1+IFERROR(INDEX(P$10:P$11,Предпосылки!$I$203,),0))*IFERROR(INDEX(P$10:P$11,Предпосылки!$I$203,),0),P102/(1+IFERROR(INDEX(P$10:P$11,Предпосылки!$I$204,),0))*IFERROR(INDEX(P$10:P$11,Предпосылки!$I$204,),0),P125/(1+IFERROR(INDEX(P$10:P$11,Предпосылки!$I$205,),0))*IFERROR(INDEX(P$10:P$11,Предпосылки!$I$205,),0),P148/(1+IFERROR(INDEX(P$10:P$11,Предпосылки!$I$206,),0))*IFERROR(INDEX(P$10:P$11,Предпосылки!$I$206,),0),P171/(1+IFERROR(INDEX(P$10:P$11,Предпосылки!$I$207,),0))*IFERROR(INDEX(P$10:P$11,Предпосылки!$I$207,),0),P194/(1+IFERROR(INDEX(P$10:P$11,Предпосылки!$I$208,),0))*IFERROR(INDEX(P$10:P$11,Предпосылки!$I$208,),0),P217/(1+IFERROR(INDEX(P$10:P$11,Предпосылки!$I$209,),0))*IFERROR(INDEX(P$10:P$11,Предпосылки!$I$209,),0),P240/(1+IFERROR(INDEX(P$10:P$11,Предпосылки!$I$210,),0))*IFERROR(INDEX(P$10:P$11,Предпосылки!$I$210,),0),P263/(1+IFERROR(INDEX(P$10:P$11,Предпосылки!$I$211,),0))*IFERROR(INDEX(P$10:P$11,Предпосылки!$I$211,),0),P286/(1+IFERROR(INDEX(P$10:P$11,Предпосылки!$I$212,),0))*IFERROR(INDEX(P$10:P$11,Предпосылки!$I$212,),0),P309/(1+IFERROR(INDEX(P$10:P$11,Предпосылки!$I$213,),0))*IFERROR(INDEX(P$10:P$11,Предпосылки!$I$213,),0),P332/(1+IFERROR(INDEX(P$10:P$11,Предпосылки!$I$214,),0))*IFERROR(INDEX(P$10:P$11,Предпосылки!$I$214,),0),P355/(1+IFERROR(INDEX(P$10:P$11,Предпосылки!$I$215,),0))*IFERROR(INDEX(P$10:P$11,Предпосылки!$I$215,),0),P378/(1+IFERROR(INDEX(P$10:P$11,Предпосылки!$I$216,),0))*IFERROR(INDEX(P$10:P$11,Предпосылки!$I$216,),0),P401/(1+IFERROR(INDEX(P$10:P$11,Предпосылки!$I$217,),0))*IFERROR(INDEX(P$10:P$11,Предпосылки!$I$217,),0),P424/(1+IFERROR(INDEX(P$10:P$11,Предпосылки!$I$218,),0))*IFERROR(INDEX(P$10:P$11,Предпосылки!$I$218,),0),P447/(1+IFERROR(INDEX(P$10:P$11,Предпосылки!$I$219,),0))*IFERROR(INDEX(P$10:P$11,Предпосылки!$I$219,),0),P470/(1+IFERROR(INDEX(P$10:P$11,Предпосылки!$I$220,),0))*IFERROR(INDEX(P$10:P$11,Предпосылки!$I$220,),0))</f>
        <v>0</v>
      </c>
      <c s="125">
        <f>SUM(Q33/(1+IFERROR(INDEX(Q$10:Q$11,Предпосылки!$I$201,),0))*IFERROR(INDEX(Q$10:Q$11,Предпосылки!$I$201,),0),Q56/(1+IFERROR(INDEX(Q$10:Q$11,Предпосылки!$I$202,),0))*IFERROR(INDEX(Q$10:Q$11,Предпосылки!$I$202,),0),Q79/(1+IFERROR(INDEX(Q$10:Q$11,Предпосылки!$I$203,),0))*IFERROR(INDEX(Q$10:Q$11,Предпосылки!$I$203,),0),Q102/(1+IFERROR(INDEX(Q$10:Q$11,Предпосылки!$I$204,),0))*IFERROR(INDEX(Q$10:Q$11,Предпосылки!$I$204,),0),Q125/(1+IFERROR(INDEX(Q$10:Q$11,Предпосылки!$I$205,),0))*IFERROR(INDEX(Q$10:Q$11,Предпосылки!$I$205,),0),Q148/(1+IFERROR(INDEX(Q$10:Q$11,Предпосылки!$I$206,),0))*IFERROR(INDEX(Q$10:Q$11,Предпосылки!$I$206,),0),Q171/(1+IFERROR(INDEX(Q$10:Q$11,Предпосылки!$I$207,),0))*IFERROR(INDEX(Q$10:Q$11,Предпосылки!$I$207,),0),Q194/(1+IFERROR(INDEX(Q$10:Q$11,Предпосылки!$I$208,),0))*IFERROR(INDEX(Q$10:Q$11,Предпосылки!$I$208,),0),Q217/(1+IFERROR(INDEX(Q$10:Q$11,Предпосылки!$I$209,),0))*IFERROR(INDEX(Q$10:Q$11,Предпосылки!$I$209,),0),Q240/(1+IFERROR(INDEX(Q$10:Q$11,Предпосылки!$I$210,),0))*IFERROR(INDEX(Q$10:Q$11,Предпосылки!$I$210,),0),Q263/(1+IFERROR(INDEX(Q$10:Q$11,Предпосылки!$I$211,),0))*IFERROR(INDEX(Q$10:Q$11,Предпосылки!$I$211,),0),Q286/(1+IFERROR(INDEX(Q$10:Q$11,Предпосылки!$I$212,),0))*IFERROR(INDEX(Q$10:Q$11,Предпосылки!$I$212,),0),Q309/(1+IFERROR(INDEX(Q$10:Q$11,Предпосылки!$I$213,),0))*IFERROR(INDEX(Q$10:Q$11,Предпосылки!$I$213,),0),Q332/(1+IFERROR(INDEX(Q$10:Q$11,Предпосылки!$I$214,),0))*IFERROR(INDEX(Q$10:Q$11,Предпосылки!$I$214,),0),Q355/(1+IFERROR(INDEX(Q$10:Q$11,Предпосылки!$I$215,),0))*IFERROR(INDEX(Q$10:Q$11,Предпосылки!$I$215,),0),Q378/(1+IFERROR(INDEX(Q$10:Q$11,Предпосылки!$I$216,),0))*IFERROR(INDEX(Q$10:Q$11,Предпосылки!$I$216,),0),Q401/(1+IFERROR(INDEX(Q$10:Q$11,Предпосылки!$I$217,),0))*IFERROR(INDEX(Q$10:Q$11,Предпосылки!$I$217,),0),Q424/(1+IFERROR(INDEX(Q$10:Q$11,Предпосылки!$I$218,),0))*IFERROR(INDEX(Q$10:Q$11,Предпосылки!$I$218,),0),Q447/(1+IFERROR(INDEX(Q$10:Q$11,Предпосылки!$I$219,),0))*IFERROR(INDEX(Q$10:Q$11,Предпосылки!$I$219,),0),Q470/(1+IFERROR(INDEX(Q$10:Q$11,Предпосылки!$I$220,),0))*IFERROR(INDEX(Q$10:Q$11,Предпосылки!$I$220,),0))</f>
        <v>0</v>
      </c>
      <c s="125">
        <f>SUM(R33/(1+IFERROR(INDEX(R$10:R$11,Предпосылки!$I$201,),0))*IFERROR(INDEX(R$10:R$11,Предпосылки!$I$201,),0),R56/(1+IFERROR(INDEX(R$10:R$11,Предпосылки!$I$202,),0))*IFERROR(INDEX(R$10:R$11,Предпосылки!$I$202,),0),R79/(1+IFERROR(INDEX(R$10:R$11,Предпосылки!$I$203,),0))*IFERROR(INDEX(R$10:R$11,Предпосылки!$I$203,),0),R102/(1+IFERROR(INDEX(R$10:R$11,Предпосылки!$I$204,),0))*IFERROR(INDEX(R$10:R$11,Предпосылки!$I$204,),0),R125/(1+IFERROR(INDEX(R$10:R$11,Предпосылки!$I$205,),0))*IFERROR(INDEX(R$10:R$11,Предпосылки!$I$205,),0),R148/(1+IFERROR(INDEX(R$10:R$11,Предпосылки!$I$206,),0))*IFERROR(INDEX(R$10:R$11,Предпосылки!$I$206,),0),R171/(1+IFERROR(INDEX(R$10:R$11,Предпосылки!$I$207,),0))*IFERROR(INDEX(R$10:R$11,Предпосылки!$I$207,),0),R194/(1+IFERROR(INDEX(R$10:R$11,Предпосылки!$I$208,),0))*IFERROR(INDEX(R$10:R$11,Предпосылки!$I$208,),0),R217/(1+IFERROR(INDEX(R$10:R$11,Предпосылки!$I$209,),0))*IFERROR(INDEX(R$10:R$11,Предпосылки!$I$209,),0),R240/(1+IFERROR(INDEX(R$10:R$11,Предпосылки!$I$210,),0))*IFERROR(INDEX(R$10:R$11,Предпосылки!$I$210,),0),R263/(1+IFERROR(INDEX(R$10:R$11,Предпосылки!$I$211,),0))*IFERROR(INDEX(R$10:R$11,Предпосылки!$I$211,),0),R286/(1+IFERROR(INDEX(R$10:R$11,Предпосылки!$I$212,),0))*IFERROR(INDEX(R$10:R$11,Предпосылки!$I$212,),0),R309/(1+IFERROR(INDEX(R$10:R$11,Предпосылки!$I$213,),0))*IFERROR(INDEX(R$10:R$11,Предпосылки!$I$213,),0),R332/(1+IFERROR(INDEX(R$10:R$11,Предпосылки!$I$214,),0))*IFERROR(INDEX(R$10:R$11,Предпосылки!$I$214,),0),R355/(1+IFERROR(INDEX(R$10:R$11,Предпосылки!$I$215,),0))*IFERROR(INDEX(R$10:R$11,Предпосылки!$I$215,),0),R378/(1+IFERROR(INDEX(R$10:R$11,Предпосылки!$I$216,),0))*IFERROR(INDEX(R$10:R$11,Предпосылки!$I$216,),0),R401/(1+IFERROR(INDEX(R$10:R$11,Предпосылки!$I$217,),0))*IFERROR(INDEX(R$10:R$11,Предпосылки!$I$217,),0),R424/(1+IFERROR(INDEX(R$10:R$11,Предпосылки!$I$218,),0))*IFERROR(INDEX(R$10:R$11,Предпосылки!$I$218,),0),R447/(1+IFERROR(INDEX(R$10:R$11,Предпосылки!$I$219,),0))*IFERROR(INDEX(R$10:R$11,Предпосылки!$I$219,),0),R470/(1+IFERROR(INDEX(R$10:R$11,Предпосылки!$I$220,),0))*IFERROR(INDEX(R$10:R$11,Предпосылки!$I$220,),0))</f>
        <v>0</v>
      </c>
      <c s="125">
        <f>SUM(S33/(1+IFERROR(INDEX(S$10:S$11,Предпосылки!$I$201,),0))*IFERROR(INDEX(S$10:S$11,Предпосылки!$I$201,),0),S56/(1+IFERROR(INDEX(S$10:S$11,Предпосылки!$I$202,),0))*IFERROR(INDEX(S$10:S$11,Предпосылки!$I$202,),0),S79/(1+IFERROR(INDEX(S$10:S$11,Предпосылки!$I$203,),0))*IFERROR(INDEX(S$10:S$11,Предпосылки!$I$203,),0),S102/(1+IFERROR(INDEX(S$10:S$11,Предпосылки!$I$204,),0))*IFERROR(INDEX(S$10:S$11,Предпосылки!$I$204,),0),S125/(1+IFERROR(INDEX(S$10:S$11,Предпосылки!$I$205,),0))*IFERROR(INDEX(S$10:S$11,Предпосылки!$I$205,),0),S148/(1+IFERROR(INDEX(S$10:S$11,Предпосылки!$I$206,),0))*IFERROR(INDEX(S$10:S$11,Предпосылки!$I$206,),0),S171/(1+IFERROR(INDEX(S$10:S$11,Предпосылки!$I$207,),0))*IFERROR(INDEX(S$10:S$11,Предпосылки!$I$207,),0),S194/(1+IFERROR(INDEX(S$10:S$11,Предпосылки!$I$208,),0))*IFERROR(INDEX(S$10:S$11,Предпосылки!$I$208,),0),S217/(1+IFERROR(INDEX(S$10:S$11,Предпосылки!$I$209,),0))*IFERROR(INDEX(S$10:S$11,Предпосылки!$I$209,),0),S240/(1+IFERROR(INDEX(S$10:S$11,Предпосылки!$I$210,),0))*IFERROR(INDEX(S$10:S$11,Предпосылки!$I$210,),0),S263/(1+IFERROR(INDEX(S$10:S$11,Предпосылки!$I$211,),0))*IFERROR(INDEX(S$10:S$11,Предпосылки!$I$211,),0),S286/(1+IFERROR(INDEX(S$10:S$11,Предпосылки!$I$212,),0))*IFERROR(INDEX(S$10:S$11,Предпосылки!$I$212,),0),S309/(1+IFERROR(INDEX(S$10:S$11,Предпосылки!$I$213,),0))*IFERROR(INDEX(S$10:S$11,Предпосылки!$I$213,),0),S332/(1+IFERROR(INDEX(S$10:S$11,Предпосылки!$I$214,),0))*IFERROR(INDEX(S$10:S$11,Предпосылки!$I$214,),0),S355/(1+IFERROR(INDEX(S$10:S$11,Предпосылки!$I$215,),0))*IFERROR(INDEX(S$10:S$11,Предпосылки!$I$215,),0),S378/(1+IFERROR(INDEX(S$10:S$11,Предпосылки!$I$216,),0))*IFERROR(INDEX(S$10:S$11,Предпосылки!$I$216,),0),S401/(1+IFERROR(INDEX(S$10:S$11,Предпосылки!$I$217,),0))*IFERROR(INDEX(S$10:S$11,Предпосылки!$I$217,),0),S424/(1+IFERROR(INDEX(S$10:S$11,Предпосылки!$I$218,),0))*IFERROR(INDEX(S$10:S$11,Предпосылки!$I$218,),0),S447/(1+IFERROR(INDEX(S$10:S$11,Предпосылки!$I$219,),0))*IFERROR(INDEX(S$10:S$11,Предпосылки!$I$219,),0),S470/(1+IFERROR(INDEX(S$10:S$11,Предпосылки!$I$220,),0))*IFERROR(INDEX(S$10:S$11,Предпосылки!$I$220,),0))</f>
        <v>0</v>
      </c>
      <c s="125">
        <f>SUM(T33/(1+IFERROR(INDEX(T$10:T$11,Предпосылки!$I$201,),0))*IFERROR(INDEX(T$10:T$11,Предпосылки!$I$201,),0),T56/(1+IFERROR(INDEX(T$10:T$11,Предпосылки!$I$202,),0))*IFERROR(INDEX(T$10:T$11,Предпосылки!$I$202,),0),T79/(1+IFERROR(INDEX(T$10:T$11,Предпосылки!$I$203,),0))*IFERROR(INDEX(T$10:T$11,Предпосылки!$I$203,),0),T102/(1+IFERROR(INDEX(T$10:T$11,Предпосылки!$I$204,),0))*IFERROR(INDEX(T$10:T$11,Предпосылки!$I$204,),0),T125/(1+IFERROR(INDEX(T$10:T$11,Предпосылки!$I$205,),0))*IFERROR(INDEX(T$10:T$11,Предпосылки!$I$205,),0),T148/(1+IFERROR(INDEX(T$10:T$11,Предпосылки!$I$206,),0))*IFERROR(INDEX(T$10:T$11,Предпосылки!$I$206,),0),T171/(1+IFERROR(INDEX(T$10:T$11,Предпосылки!$I$207,),0))*IFERROR(INDEX(T$10:T$11,Предпосылки!$I$207,),0),T194/(1+IFERROR(INDEX(T$10:T$11,Предпосылки!$I$208,),0))*IFERROR(INDEX(T$10:T$11,Предпосылки!$I$208,),0),T217/(1+IFERROR(INDEX(T$10:T$11,Предпосылки!$I$209,),0))*IFERROR(INDEX(T$10:T$11,Предпосылки!$I$209,),0),T240/(1+IFERROR(INDEX(T$10:T$11,Предпосылки!$I$210,),0))*IFERROR(INDEX(T$10:T$11,Предпосылки!$I$210,),0),T263/(1+IFERROR(INDEX(T$10:T$11,Предпосылки!$I$211,),0))*IFERROR(INDEX(T$10:T$11,Предпосылки!$I$211,),0),T286/(1+IFERROR(INDEX(T$10:T$11,Предпосылки!$I$212,),0))*IFERROR(INDEX(T$10:T$11,Предпосылки!$I$212,),0),T309/(1+IFERROR(INDEX(T$10:T$11,Предпосылки!$I$213,),0))*IFERROR(INDEX(T$10:T$11,Предпосылки!$I$213,),0),T332/(1+IFERROR(INDEX(T$10:T$11,Предпосылки!$I$214,),0))*IFERROR(INDEX(T$10:T$11,Предпосылки!$I$214,),0),T355/(1+IFERROR(INDEX(T$10:T$11,Предпосылки!$I$215,),0))*IFERROR(INDEX(T$10:T$11,Предпосылки!$I$215,),0),T378/(1+IFERROR(INDEX(T$10:T$11,Предпосылки!$I$216,),0))*IFERROR(INDEX(T$10:T$11,Предпосылки!$I$216,),0),T401/(1+IFERROR(INDEX(T$10:T$11,Предпосылки!$I$217,),0))*IFERROR(INDEX(T$10:T$11,Предпосылки!$I$217,),0),T424/(1+IFERROR(INDEX(T$10:T$11,Предпосылки!$I$218,),0))*IFERROR(INDEX(T$10:T$11,Предпосылки!$I$218,),0),T447/(1+IFERROR(INDEX(T$10:T$11,Предпосылки!$I$219,),0))*IFERROR(INDEX(T$10:T$11,Предпосылки!$I$219,),0),T470/(1+IFERROR(INDEX(T$10:T$11,Предпосылки!$I$220,),0))*IFERROR(INDEX(T$10:T$11,Предпосылки!$I$220,),0))</f>
        <v>0</v>
      </c>
      <c s="125">
        <f>SUM(U33/(1+IFERROR(INDEX(U$10:U$11,Предпосылки!$I$201,),0))*IFERROR(INDEX(U$10:U$11,Предпосылки!$I$201,),0),U56/(1+IFERROR(INDEX(U$10:U$11,Предпосылки!$I$202,),0))*IFERROR(INDEX(U$10:U$11,Предпосылки!$I$202,),0),U79/(1+IFERROR(INDEX(U$10:U$11,Предпосылки!$I$203,),0))*IFERROR(INDEX(U$10:U$11,Предпосылки!$I$203,),0),U102/(1+IFERROR(INDEX(U$10:U$11,Предпосылки!$I$204,),0))*IFERROR(INDEX(U$10:U$11,Предпосылки!$I$204,),0),U125/(1+IFERROR(INDEX(U$10:U$11,Предпосылки!$I$205,),0))*IFERROR(INDEX(U$10:U$11,Предпосылки!$I$205,),0),U148/(1+IFERROR(INDEX(U$10:U$11,Предпосылки!$I$206,),0))*IFERROR(INDEX(U$10:U$11,Предпосылки!$I$206,),0),U171/(1+IFERROR(INDEX(U$10:U$11,Предпосылки!$I$207,),0))*IFERROR(INDEX(U$10:U$11,Предпосылки!$I$207,),0),U194/(1+IFERROR(INDEX(U$10:U$11,Предпосылки!$I$208,),0))*IFERROR(INDEX(U$10:U$11,Предпосылки!$I$208,),0),U217/(1+IFERROR(INDEX(U$10:U$11,Предпосылки!$I$209,),0))*IFERROR(INDEX(U$10:U$11,Предпосылки!$I$209,),0),U240/(1+IFERROR(INDEX(U$10:U$11,Предпосылки!$I$210,),0))*IFERROR(INDEX(U$10:U$11,Предпосылки!$I$210,),0),U263/(1+IFERROR(INDEX(U$10:U$11,Предпосылки!$I$211,),0))*IFERROR(INDEX(U$10:U$11,Предпосылки!$I$211,),0),U286/(1+IFERROR(INDEX(U$10:U$11,Предпосылки!$I$212,),0))*IFERROR(INDEX(U$10:U$11,Предпосылки!$I$212,),0),U309/(1+IFERROR(INDEX(U$10:U$11,Предпосылки!$I$213,),0))*IFERROR(INDEX(U$10:U$11,Предпосылки!$I$213,),0),U332/(1+IFERROR(INDEX(U$10:U$11,Предпосылки!$I$214,),0))*IFERROR(INDEX(U$10:U$11,Предпосылки!$I$214,),0),U355/(1+IFERROR(INDEX(U$10:U$11,Предпосылки!$I$215,),0))*IFERROR(INDEX(U$10:U$11,Предпосылки!$I$215,),0),U378/(1+IFERROR(INDEX(U$10:U$11,Предпосылки!$I$216,),0))*IFERROR(INDEX(U$10:U$11,Предпосылки!$I$216,),0),U401/(1+IFERROR(INDEX(U$10:U$11,Предпосылки!$I$217,),0))*IFERROR(INDEX(U$10:U$11,Предпосылки!$I$217,),0),U424/(1+IFERROR(INDEX(U$10:U$11,Предпосылки!$I$218,),0))*IFERROR(INDEX(U$10:U$11,Предпосылки!$I$218,),0),U447/(1+IFERROR(INDEX(U$10:U$11,Предпосылки!$I$219,),0))*IFERROR(INDEX(U$10:U$11,Предпосылки!$I$219,),0),U470/(1+IFERROR(INDEX(U$10:U$11,Предпосылки!$I$220,),0))*IFERROR(INDEX(U$10:U$11,Предпосылки!$I$220,),0))</f>
        <v>0</v>
      </c>
      <c s="125">
        <f>SUM(V33/(1+IFERROR(INDEX(V$10:V$11,Предпосылки!$I$201,),0))*IFERROR(INDEX(V$10:V$11,Предпосылки!$I$201,),0),V56/(1+IFERROR(INDEX(V$10:V$11,Предпосылки!$I$202,),0))*IFERROR(INDEX(V$10:V$11,Предпосылки!$I$202,),0),V79/(1+IFERROR(INDEX(V$10:V$11,Предпосылки!$I$203,),0))*IFERROR(INDEX(V$10:V$11,Предпосылки!$I$203,),0),V102/(1+IFERROR(INDEX(V$10:V$11,Предпосылки!$I$204,),0))*IFERROR(INDEX(V$10:V$11,Предпосылки!$I$204,),0),V125/(1+IFERROR(INDEX(V$10:V$11,Предпосылки!$I$205,),0))*IFERROR(INDEX(V$10:V$11,Предпосылки!$I$205,),0),V148/(1+IFERROR(INDEX(V$10:V$11,Предпосылки!$I$206,),0))*IFERROR(INDEX(V$10:V$11,Предпосылки!$I$206,),0),V171/(1+IFERROR(INDEX(V$10:V$11,Предпосылки!$I$207,),0))*IFERROR(INDEX(V$10:V$11,Предпосылки!$I$207,),0),V194/(1+IFERROR(INDEX(V$10:V$11,Предпосылки!$I$208,),0))*IFERROR(INDEX(V$10:V$11,Предпосылки!$I$208,),0),V217/(1+IFERROR(INDEX(V$10:V$11,Предпосылки!$I$209,),0))*IFERROR(INDEX(V$10:V$11,Предпосылки!$I$209,),0),V240/(1+IFERROR(INDEX(V$10:V$11,Предпосылки!$I$210,),0))*IFERROR(INDEX(V$10:V$11,Предпосылки!$I$210,),0),V263/(1+IFERROR(INDEX(V$10:V$11,Предпосылки!$I$211,),0))*IFERROR(INDEX(V$10:V$11,Предпосылки!$I$211,),0),V286/(1+IFERROR(INDEX(V$10:V$11,Предпосылки!$I$212,),0))*IFERROR(INDEX(V$10:V$11,Предпосылки!$I$212,),0),V309/(1+IFERROR(INDEX(V$10:V$11,Предпосылки!$I$213,),0))*IFERROR(INDEX(V$10:V$11,Предпосылки!$I$213,),0),V332/(1+IFERROR(INDEX(V$10:V$11,Предпосылки!$I$214,),0))*IFERROR(INDEX(V$10:V$11,Предпосылки!$I$214,),0),V355/(1+IFERROR(INDEX(V$10:V$11,Предпосылки!$I$215,),0))*IFERROR(INDEX(V$10:V$11,Предпосылки!$I$215,),0),V378/(1+IFERROR(INDEX(V$10:V$11,Предпосылки!$I$216,),0))*IFERROR(INDEX(V$10:V$11,Предпосылки!$I$216,),0),V401/(1+IFERROR(INDEX(V$10:V$11,Предпосылки!$I$217,),0))*IFERROR(INDEX(V$10:V$11,Предпосылки!$I$217,),0),V424/(1+IFERROR(INDEX(V$10:V$11,Предпосылки!$I$218,),0))*IFERROR(INDEX(V$10:V$11,Предпосылки!$I$218,),0),V447/(1+IFERROR(INDEX(V$10:V$11,Предпосылки!$I$219,),0))*IFERROR(INDEX(V$10:V$11,Предпосылки!$I$219,),0),V470/(1+IFERROR(INDEX(V$10:V$11,Предпосылки!$I$220,),0))*IFERROR(INDEX(V$10:V$11,Предпосылки!$I$220,),0))</f>
        <v>0</v>
      </c>
      <c s="125">
        <f>SUM(W33/(1+IFERROR(INDEX(W$10:W$11,Предпосылки!$I$201,),0))*IFERROR(INDEX(W$10:W$11,Предпосылки!$I$201,),0),W56/(1+IFERROR(INDEX(W$10:W$11,Предпосылки!$I$202,),0))*IFERROR(INDEX(W$10:W$11,Предпосылки!$I$202,),0),W79/(1+IFERROR(INDEX(W$10:W$11,Предпосылки!$I$203,),0))*IFERROR(INDEX(W$10:W$11,Предпосылки!$I$203,),0),W102/(1+IFERROR(INDEX(W$10:W$11,Предпосылки!$I$204,),0))*IFERROR(INDEX(W$10:W$11,Предпосылки!$I$204,),0),W125/(1+IFERROR(INDEX(W$10:W$11,Предпосылки!$I$205,),0))*IFERROR(INDEX(W$10:W$11,Предпосылки!$I$205,),0),W148/(1+IFERROR(INDEX(W$10:W$11,Предпосылки!$I$206,),0))*IFERROR(INDEX(W$10:W$11,Предпосылки!$I$206,),0),W171/(1+IFERROR(INDEX(W$10:W$11,Предпосылки!$I$207,),0))*IFERROR(INDEX(W$10:W$11,Предпосылки!$I$207,),0),W194/(1+IFERROR(INDEX(W$10:W$11,Предпосылки!$I$208,),0))*IFERROR(INDEX(W$10:W$11,Предпосылки!$I$208,),0),W217/(1+IFERROR(INDEX(W$10:W$11,Предпосылки!$I$209,),0))*IFERROR(INDEX(W$10:W$11,Предпосылки!$I$209,),0),W240/(1+IFERROR(INDEX(W$10:W$11,Предпосылки!$I$210,),0))*IFERROR(INDEX(W$10:W$11,Предпосылки!$I$210,),0),W263/(1+IFERROR(INDEX(W$10:W$11,Предпосылки!$I$211,),0))*IFERROR(INDEX(W$10:W$11,Предпосылки!$I$211,),0),W286/(1+IFERROR(INDEX(W$10:W$11,Предпосылки!$I$212,),0))*IFERROR(INDEX(W$10:W$11,Предпосылки!$I$212,),0),W309/(1+IFERROR(INDEX(W$10:W$11,Предпосылки!$I$213,),0))*IFERROR(INDEX(W$10:W$11,Предпосылки!$I$213,),0),W332/(1+IFERROR(INDEX(W$10:W$11,Предпосылки!$I$214,),0))*IFERROR(INDEX(W$10:W$11,Предпосылки!$I$214,),0),W355/(1+IFERROR(INDEX(W$10:W$11,Предпосылки!$I$215,),0))*IFERROR(INDEX(W$10:W$11,Предпосылки!$I$215,),0),W378/(1+IFERROR(INDEX(W$10:W$11,Предпосылки!$I$216,),0))*IFERROR(INDEX(W$10:W$11,Предпосылки!$I$216,),0),W401/(1+IFERROR(INDEX(W$10:W$11,Предпосылки!$I$217,),0))*IFERROR(INDEX(W$10:W$11,Предпосылки!$I$217,),0),W424/(1+IFERROR(INDEX(W$10:W$11,Предпосылки!$I$218,),0))*IFERROR(INDEX(W$10:W$11,Предпосылки!$I$218,),0),W447/(1+IFERROR(INDEX(W$10:W$11,Предпосылки!$I$219,),0))*IFERROR(INDEX(W$10:W$11,Предпосылки!$I$219,),0),W470/(1+IFERROR(INDEX(W$10:W$11,Предпосылки!$I$220,),0))*IFERROR(INDEX(W$10:W$11,Предпосылки!$I$220,),0))</f>
        <v>0</v>
      </c>
      <c s="125">
        <f>SUM(X33/(1+IFERROR(INDEX(X$10:X$11,Предпосылки!$I$201,),0))*IFERROR(INDEX(X$10:X$11,Предпосылки!$I$201,),0),X56/(1+IFERROR(INDEX(X$10:X$11,Предпосылки!$I$202,),0))*IFERROR(INDEX(X$10:X$11,Предпосылки!$I$202,),0),X79/(1+IFERROR(INDEX(X$10:X$11,Предпосылки!$I$203,),0))*IFERROR(INDEX(X$10:X$11,Предпосылки!$I$203,),0),X102/(1+IFERROR(INDEX(X$10:X$11,Предпосылки!$I$204,),0))*IFERROR(INDEX(X$10:X$11,Предпосылки!$I$204,),0),X125/(1+IFERROR(INDEX(X$10:X$11,Предпосылки!$I$205,),0))*IFERROR(INDEX(X$10:X$11,Предпосылки!$I$205,),0),X148/(1+IFERROR(INDEX(X$10:X$11,Предпосылки!$I$206,),0))*IFERROR(INDEX(X$10:X$11,Предпосылки!$I$206,),0),X171/(1+IFERROR(INDEX(X$10:X$11,Предпосылки!$I$207,),0))*IFERROR(INDEX(X$10:X$11,Предпосылки!$I$207,),0),X194/(1+IFERROR(INDEX(X$10:X$11,Предпосылки!$I$208,),0))*IFERROR(INDEX(X$10:X$11,Предпосылки!$I$208,),0),X217/(1+IFERROR(INDEX(X$10:X$11,Предпосылки!$I$209,),0))*IFERROR(INDEX(X$10:X$11,Предпосылки!$I$209,),0),X240/(1+IFERROR(INDEX(X$10:X$11,Предпосылки!$I$210,),0))*IFERROR(INDEX(X$10:X$11,Предпосылки!$I$210,),0),X263/(1+IFERROR(INDEX(X$10:X$11,Предпосылки!$I$211,),0))*IFERROR(INDEX(X$10:X$11,Предпосылки!$I$211,),0),X286/(1+IFERROR(INDEX(X$10:X$11,Предпосылки!$I$212,),0))*IFERROR(INDEX(X$10:X$11,Предпосылки!$I$212,),0),X309/(1+IFERROR(INDEX(X$10:X$11,Предпосылки!$I$213,),0))*IFERROR(INDEX(X$10:X$11,Предпосылки!$I$213,),0),X332/(1+IFERROR(INDEX(X$10:X$11,Предпосылки!$I$214,),0))*IFERROR(INDEX(X$10:X$11,Предпосылки!$I$214,),0),X355/(1+IFERROR(INDEX(X$10:X$11,Предпосылки!$I$215,),0))*IFERROR(INDEX(X$10:X$11,Предпосылки!$I$215,),0),X378/(1+IFERROR(INDEX(X$10:X$11,Предпосылки!$I$216,),0))*IFERROR(INDEX(X$10:X$11,Предпосылки!$I$216,),0),X401/(1+IFERROR(INDEX(X$10:X$11,Предпосылки!$I$217,),0))*IFERROR(INDEX(X$10:X$11,Предпосылки!$I$217,),0),X424/(1+IFERROR(INDEX(X$10:X$11,Предпосылки!$I$218,),0))*IFERROR(INDEX(X$10:X$11,Предпосылки!$I$218,),0),X447/(1+IFERROR(INDEX(X$10:X$11,Предпосылки!$I$219,),0))*IFERROR(INDEX(X$10:X$11,Предпосылки!$I$219,),0),X470/(1+IFERROR(INDEX(X$10:X$11,Предпосылки!$I$220,),0))*IFERROR(INDEX(X$10:X$11,Предпосылки!$I$220,),0))</f>
        <v>0</v>
      </c>
      <c s="125">
        <f>SUM(Y33/(1+IFERROR(INDEX(Y$10:Y$11,Предпосылки!$I$201,),0))*IFERROR(INDEX(Y$10:Y$11,Предпосылки!$I$201,),0),Y56/(1+IFERROR(INDEX(Y$10:Y$11,Предпосылки!$I$202,),0))*IFERROR(INDEX(Y$10:Y$11,Предпосылки!$I$202,),0),Y79/(1+IFERROR(INDEX(Y$10:Y$11,Предпосылки!$I$203,),0))*IFERROR(INDEX(Y$10:Y$11,Предпосылки!$I$203,),0),Y102/(1+IFERROR(INDEX(Y$10:Y$11,Предпосылки!$I$204,),0))*IFERROR(INDEX(Y$10:Y$11,Предпосылки!$I$204,),0),Y125/(1+IFERROR(INDEX(Y$10:Y$11,Предпосылки!$I$205,),0))*IFERROR(INDEX(Y$10:Y$11,Предпосылки!$I$205,),0),Y148/(1+IFERROR(INDEX(Y$10:Y$11,Предпосылки!$I$206,),0))*IFERROR(INDEX(Y$10:Y$11,Предпосылки!$I$206,),0),Y171/(1+IFERROR(INDEX(Y$10:Y$11,Предпосылки!$I$207,),0))*IFERROR(INDEX(Y$10:Y$11,Предпосылки!$I$207,),0),Y194/(1+IFERROR(INDEX(Y$10:Y$11,Предпосылки!$I$208,),0))*IFERROR(INDEX(Y$10:Y$11,Предпосылки!$I$208,),0),Y217/(1+IFERROR(INDEX(Y$10:Y$11,Предпосылки!$I$209,),0))*IFERROR(INDEX(Y$10:Y$11,Предпосылки!$I$209,),0),Y240/(1+IFERROR(INDEX(Y$10:Y$11,Предпосылки!$I$210,),0))*IFERROR(INDEX(Y$10:Y$11,Предпосылки!$I$210,),0),Y263/(1+IFERROR(INDEX(Y$10:Y$11,Предпосылки!$I$211,),0))*IFERROR(INDEX(Y$10:Y$11,Предпосылки!$I$211,),0),Y286/(1+IFERROR(INDEX(Y$10:Y$11,Предпосылки!$I$212,),0))*IFERROR(INDEX(Y$10:Y$11,Предпосылки!$I$212,),0),Y309/(1+IFERROR(INDEX(Y$10:Y$11,Предпосылки!$I$213,),0))*IFERROR(INDEX(Y$10:Y$11,Предпосылки!$I$213,),0),Y332/(1+IFERROR(INDEX(Y$10:Y$11,Предпосылки!$I$214,),0))*IFERROR(INDEX(Y$10:Y$11,Предпосылки!$I$214,),0),Y355/(1+IFERROR(INDEX(Y$10:Y$11,Предпосылки!$I$215,),0))*IFERROR(INDEX(Y$10:Y$11,Предпосылки!$I$215,),0),Y378/(1+IFERROR(INDEX(Y$10:Y$11,Предпосылки!$I$216,),0))*IFERROR(INDEX(Y$10:Y$11,Предпосылки!$I$216,),0),Y401/(1+IFERROR(INDEX(Y$10:Y$11,Предпосылки!$I$217,),0))*IFERROR(INDEX(Y$10:Y$11,Предпосылки!$I$217,),0),Y424/(1+IFERROR(INDEX(Y$10:Y$11,Предпосылки!$I$218,),0))*IFERROR(INDEX(Y$10:Y$11,Предпосылки!$I$218,),0),Y447/(1+IFERROR(INDEX(Y$10:Y$11,Предпосылки!$I$219,),0))*IFERROR(INDEX(Y$10:Y$11,Предпосылки!$I$219,),0),Y470/(1+IFERROR(INDEX(Y$10:Y$11,Предпосылки!$I$220,),0))*IFERROR(INDEX(Y$10:Y$11,Предпосылки!$I$220,),0))</f>
        <v>0</v>
      </c>
      <c s="125">
        <f>SUM(Z33/(1+IFERROR(INDEX(Z$10:Z$11,Предпосылки!$I$201,),0))*IFERROR(INDEX(Z$10:Z$11,Предпосылки!$I$201,),0),Z56/(1+IFERROR(INDEX(Z$10:Z$11,Предпосылки!$I$202,),0))*IFERROR(INDEX(Z$10:Z$11,Предпосылки!$I$202,),0),Z79/(1+IFERROR(INDEX(Z$10:Z$11,Предпосылки!$I$203,),0))*IFERROR(INDEX(Z$10:Z$11,Предпосылки!$I$203,),0),Z102/(1+IFERROR(INDEX(Z$10:Z$11,Предпосылки!$I$204,),0))*IFERROR(INDEX(Z$10:Z$11,Предпосылки!$I$204,),0),Z125/(1+IFERROR(INDEX(Z$10:Z$11,Предпосылки!$I$205,),0))*IFERROR(INDEX(Z$10:Z$11,Предпосылки!$I$205,),0),Z148/(1+IFERROR(INDEX(Z$10:Z$11,Предпосылки!$I$206,),0))*IFERROR(INDEX(Z$10:Z$11,Предпосылки!$I$206,),0),Z171/(1+IFERROR(INDEX(Z$10:Z$11,Предпосылки!$I$207,),0))*IFERROR(INDEX(Z$10:Z$11,Предпосылки!$I$207,),0),Z194/(1+IFERROR(INDEX(Z$10:Z$11,Предпосылки!$I$208,),0))*IFERROR(INDEX(Z$10:Z$11,Предпосылки!$I$208,),0),Z217/(1+IFERROR(INDEX(Z$10:Z$11,Предпосылки!$I$209,),0))*IFERROR(INDEX(Z$10:Z$11,Предпосылки!$I$209,),0),Z240/(1+IFERROR(INDEX(Z$10:Z$11,Предпосылки!$I$210,),0))*IFERROR(INDEX(Z$10:Z$11,Предпосылки!$I$210,),0),Z263/(1+IFERROR(INDEX(Z$10:Z$11,Предпосылки!$I$211,),0))*IFERROR(INDEX(Z$10:Z$11,Предпосылки!$I$211,),0),Z286/(1+IFERROR(INDEX(Z$10:Z$11,Предпосылки!$I$212,),0))*IFERROR(INDEX(Z$10:Z$11,Предпосылки!$I$212,),0),Z309/(1+IFERROR(INDEX(Z$10:Z$11,Предпосылки!$I$213,),0))*IFERROR(INDEX(Z$10:Z$11,Предпосылки!$I$213,),0),Z332/(1+IFERROR(INDEX(Z$10:Z$11,Предпосылки!$I$214,),0))*IFERROR(INDEX(Z$10:Z$11,Предпосылки!$I$214,),0),Z355/(1+IFERROR(INDEX(Z$10:Z$11,Предпосылки!$I$215,),0))*IFERROR(INDEX(Z$10:Z$11,Предпосылки!$I$215,),0),Z378/(1+IFERROR(INDEX(Z$10:Z$11,Предпосылки!$I$216,),0))*IFERROR(INDEX(Z$10:Z$11,Предпосылки!$I$216,),0),Z401/(1+IFERROR(INDEX(Z$10:Z$11,Предпосылки!$I$217,),0))*IFERROR(INDEX(Z$10:Z$11,Предпосылки!$I$217,),0),Z424/(1+IFERROR(INDEX(Z$10:Z$11,Предпосылки!$I$218,),0))*IFERROR(INDEX(Z$10:Z$11,Предпосылки!$I$218,),0),Z447/(1+IFERROR(INDEX(Z$10:Z$11,Предпосылки!$I$219,),0))*IFERROR(INDEX(Z$10:Z$11,Предпосылки!$I$219,),0),Z470/(1+IFERROR(INDEX(Z$10:Z$11,Предпосылки!$I$220,),0))*IFERROR(INDEX(Z$10:Z$11,Предпосылки!$I$220,),0))</f>
        <v>0</v>
      </c>
      <c s="125">
        <f>SUM(AA33/(1+IFERROR(INDEX(AA$10:AA$11,Предпосылки!$I$201,),0))*IFERROR(INDEX(AA$10:AA$11,Предпосылки!$I$201,),0),AA56/(1+IFERROR(INDEX(AA$10:AA$11,Предпосылки!$I$202,),0))*IFERROR(INDEX(AA$10:AA$11,Предпосылки!$I$202,),0),AA79/(1+IFERROR(INDEX(AA$10:AA$11,Предпосылки!$I$203,),0))*IFERROR(INDEX(AA$10:AA$11,Предпосылки!$I$203,),0),AA102/(1+IFERROR(INDEX(AA$10:AA$11,Предпосылки!$I$204,),0))*IFERROR(INDEX(AA$10:AA$11,Предпосылки!$I$204,),0),AA125/(1+IFERROR(INDEX(AA$10:AA$11,Предпосылки!$I$205,),0))*IFERROR(INDEX(AA$10:AA$11,Предпосылки!$I$205,),0),AA148/(1+IFERROR(INDEX(AA$10:AA$11,Предпосылки!$I$206,),0))*IFERROR(INDEX(AA$10:AA$11,Предпосылки!$I$206,),0),AA171/(1+IFERROR(INDEX(AA$10:AA$11,Предпосылки!$I$207,),0))*IFERROR(INDEX(AA$10:AA$11,Предпосылки!$I$207,),0),AA194/(1+IFERROR(INDEX(AA$10:AA$11,Предпосылки!$I$208,),0))*IFERROR(INDEX(AA$10:AA$11,Предпосылки!$I$208,),0),AA217/(1+IFERROR(INDEX(AA$10:AA$11,Предпосылки!$I$209,),0))*IFERROR(INDEX(AA$10:AA$11,Предпосылки!$I$209,),0),AA240/(1+IFERROR(INDEX(AA$10:AA$11,Предпосылки!$I$210,),0))*IFERROR(INDEX(AA$10:AA$11,Предпосылки!$I$210,),0),AA263/(1+IFERROR(INDEX(AA$10:AA$11,Предпосылки!$I$211,),0))*IFERROR(INDEX(AA$10:AA$11,Предпосылки!$I$211,),0),AA286/(1+IFERROR(INDEX(AA$10:AA$11,Предпосылки!$I$212,),0))*IFERROR(INDEX(AA$10:AA$11,Предпосылки!$I$212,),0),AA309/(1+IFERROR(INDEX(AA$10:AA$11,Предпосылки!$I$213,),0))*IFERROR(INDEX(AA$10:AA$11,Предпосылки!$I$213,),0),AA332/(1+IFERROR(INDEX(AA$10:AA$11,Предпосылки!$I$214,),0))*IFERROR(INDEX(AA$10:AA$11,Предпосылки!$I$214,),0),AA355/(1+IFERROR(INDEX(AA$10:AA$11,Предпосылки!$I$215,),0))*IFERROR(INDEX(AA$10:AA$11,Предпосылки!$I$215,),0),AA378/(1+IFERROR(INDEX(AA$10:AA$11,Предпосылки!$I$216,),0))*IFERROR(INDEX(AA$10:AA$11,Предпосылки!$I$216,),0),AA401/(1+IFERROR(INDEX(AA$10:AA$11,Предпосылки!$I$217,),0))*IFERROR(INDEX(AA$10:AA$11,Предпосылки!$I$217,),0),AA424/(1+IFERROR(INDEX(AA$10:AA$11,Предпосылки!$I$218,),0))*IFERROR(INDEX(AA$10:AA$11,Предпосылки!$I$218,),0),AA447/(1+IFERROR(INDEX(AA$10:AA$11,Предпосылки!$I$219,),0))*IFERROR(INDEX(AA$10:AA$11,Предпосылки!$I$219,),0),AA470/(1+IFERROR(INDEX(AA$10:AA$11,Предпосылки!$I$220,),0))*IFERROR(INDEX(AA$10:AA$11,Предпосылки!$I$220,),0))</f>
        <v>0</v>
      </c>
      <c s="125">
        <f>SUM(AB33/(1+IFERROR(INDEX(AB$10:AB$11,Предпосылки!$I$201,),0))*IFERROR(INDEX(AB$10:AB$11,Предпосылки!$I$201,),0),AB56/(1+IFERROR(INDEX(AB$10:AB$11,Предпосылки!$I$202,),0))*IFERROR(INDEX(AB$10:AB$11,Предпосылки!$I$202,),0),AB79/(1+IFERROR(INDEX(AB$10:AB$11,Предпосылки!$I$203,),0))*IFERROR(INDEX(AB$10:AB$11,Предпосылки!$I$203,),0),AB102/(1+IFERROR(INDEX(AB$10:AB$11,Предпосылки!$I$204,),0))*IFERROR(INDEX(AB$10:AB$11,Предпосылки!$I$204,),0),AB125/(1+IFERROR(INDEX(AB$10:AB$11,Предпосылки!$I$205,),0))*IFERROR(INDEX(AB$10:AB$11,Предпосылки!$I$205,),0),AB148/(1+IFERROR(INDEX(AB$10:AB$11,Предпосылки!$I$206,),0))*IFERROR(INDEX(AB$10:AB$11,Предпосылки!$I$206,),0),AB171/(1+IFERROR(INDEX(AB$10:AB$11,Предпосылки!$I$207,),0))*IFERROR(INDEX(AB$10:AB$11,Предпосылки!$I$207,),0),AB194/(1+IFERROR(INDEX(AB$10:AB$11,Предпосылки!$I$208,),0))*IFERROR(INDEX(AB$10:AB$11,Предпосылки!$I$208,),0),AB217/(1+IFERROR(INDEX(AB$10:AB$11,Предпосылки!$I$209,),0))*IFERROR(INDEX(AB$10:AB$11,Предпосылки!$I$209,),0),AB240/(1+IFERROR(INDEX(AB$10:AB$11,Предпосылки!$I$210,),0))*IFERROR(INDEX(AB$10:AB$11,Предпосылки!$I$210,),0),AB263/(1+IFERROR(INDEX(AB$10:AB$11,Предпосылки!$I$211,),0))*IFERROR(INDEX(AB$10:AB$11,Предпосылки!$I$211,),0),AB286/(1+IFERROR(INDEX(AB$10:AB$11,Предпосылки!$I$212,),0))*IFERROR(INDEX(AB$10:AB$11,Предпосылки!$I$212,),0),AB309/(1+IFERROR(INDEX(AB$10:AB$11,Предпосылки!$I$213,),0))*IFERROR(INDEX(AB$10:AB$11,Предпосылки!$I$213,),0),AB332/(1+IFERROR(INDEX(AB$10:AB$11,Предпосылки!$I$214,),0))*IFERROR(INDEX(AB$10:AB$11,Предпосылки!$I$214,),0),AB355/(1+IFERROR(INDEX(AB$10:AB$11,Предпосылки!$I$215,),0))*IFERROR(INDEX(AB$10:AB$11,Предпосылки!$I$215,),0),AB378/(1+IFERROR(INDEX(AB$10:AB$11,Предпосылки!$I$216,),0))*IFERROR(INDEX(AB$10:AB$11,Предпосылки!$I$216,),0),AB401/(1+IFERROR(INDEX(AB$10:AB$11,Предпосылки!$I$217,),0))*IFERROR(INDEX(AB$10:AB$11,Предпосылки!$I$217,),0),AB424/(1+IFERROR(INDEX(AB$10:AB$11,Предпосылки!$I$218,),0))*IFERROR(INDEX(AB$10:AB$11,Предпосылки!$I$218,),0),AB447/(1+IFERROR(INDEX(AB$10:AB$11,Предпосылки!$I$219,),0))*IFERROR(INDEX(AB$10:AB$11,Предпосылки!$I$219,),0),AB470/(1+IFERROR(INDEX(AB$10:AB$11,Предпосылки!$I$220,),0))*IFERROR(INDEX(AB$10:AB$11,Предпосылки!$I$220,),0))</f>
        <v>0</v>
      </c>
      <c s="125">
        <f>SUM(AC33/(1+IFERROR(INDEX(AC$10:AC$11,Предпосылки!$I$201,),0))*IFERROR(INDEX(AC$10:AC$11,Предпосылки!$I$201,),0),AC56/(1+IFERROR(INDEX(AC$10:AC$11,Предпосылки!$I$202,),0))*IFERROR(INDEX(AC$10:AC$11,Предпосылки!$I$202,),0),AC79/(1+IFERROR(INDEX(AC$10:AC$11,Предпосылки!$I$203,),0))*IFERROR(INDEX(AC$10:AC$11,Предпосылки!$I$203,),0),AC102/(1+IFERROR(INDEX(AC$10:AC$11,Предпосылки!$I$204,),0))*IFERROR(INDEX(AC$10:AC$11,Предпосылки!$I$204,),0),AC125/(1+IFERROR(INDEX(AC$10:AC$11,Предпосылки!$I$205,),0))*IFERROR(INDEX(AC$10:AC$11,Предпосылки!$I$205,),0),AC148/(1+IFERROR(INDEX(AC$10:AC$11,Предпосылки!$I$206,),0))*IFERROR(INDEX(AC$10:AC$11,Предпосылки!$I$206,),0),AC171/(1+IFERROR(INDEX(AC$10:AC$11,Предпосылки!$I$207,),0))*IFERROR(INDEX(AC$10:AC$11,Предпосылки!$I$207,),0),AC194/(1+IFERROR(INDEX(AC$10:AC$11,Предпосылки!$I$208,),0))*IFERROR(INDEX(AC$10:AC$11,Предпосылки!$I$208,),0),AC217/(1+IFERROR(INDEX(AC$10:AC$11,Предпосылки!$I$209,),0))*IFERROR(INDEX(AC$10:AC$11,Предпосылки!$I$209,),0),AC240/(1+IFERROR(INDEX(AC$10:AC$11,Предпосылки!$I$210,),0))*IFERROR(INDEX(AC$10:AC$11,Предпосылки!$I$210,),0),AC263/(1+IFERROR(INDEX(AC$10:AC$11,Предпосылки!$I$211,),0))*IFERROR(INDEX(AC$10:AC$11,Предпосылки!$I$211,),0),AC286/(1+IFERROR(INDEX(AC$10:AC$11,Предпосылки!$I$212,),0))*IFERROR(INDEX(AC$10:AC$11,Предпосылки!$I$212,),0),AC309/(1+IFERROR(INDEX(AC$10:AC$11,Предпосылки!$I$213,),0))*IFERROR(INDEX(AC$10:AC$11,Предпосылки!$I$213,),0),AC332/(1+IFERROR(INDEX(AC$10:AC$11,Предпосылки!$I$214,),0))*IFERROR(INDEX(AC$10:AC$11,Предпосылки!$I$214,),0),AC355/(1+IFERROR(INDEX(AC$10:AC$11,Предпосылки!$I$215,),0))*IFERROR(INDEX(AC$10:AC$11,Предпосылки!$I$215,),0),AC378/(1+IFERROR(INDEX(AC$10:AC$11,Предпосылки!$I$216,),0))*IFERROR(INDEX(AC$10:AC$11,Предпосылки!$I$216,),0),AC401/(1+IFERROR(INDEX(AC$10:AC$11,Предпосылки!$I$217,),0))*IFERROR(INDEX(AC$10:AC$11,Предпосылки!$I$217,),0),AC424/(1+IFERROR(INDEX(AC$10:AC$11,Предпосылки!$I$218,),0))*IFERROR(INDEX(AC$10:AC$11,Предпосылки!$I$218,),0),AC447/(1+IFERROR(INDEX(AC$10:AC$11,Предпосылки!$I$219,),0))*IFERROR(INDEX(AC$10:AC$11,Предпосылки!$I$219,),0),AC470/(1+IFERROR(INDEX(AC$10:AC$11,Предпосылки!$I$220,),0))*IFERROR(INDEX(AC$10:AC$11,Предпосылки!$I$220,),0))</f>
        <v>0</v>
      </c>
      <c s="125">
        <f>SUM(AD33/(1+IFERROR(INDEX(AD$10:AD$11,Предпосылки!$I$201,),0))*IFERROR(INDEX(AD$10:AD$11,Предпосылки!$I$201,),0),AD56/(1+IFERROR(INDEX(AD$10:AD$11,Предпосылки!$I$202,),0))*IFERROR(INDEX(AD$10:AD$11,Предпосылки!$I$202,),0),AD79/(1+IFERROR(INDEX(AD$10:AD$11,Предпосылки!$I$203,),0))*IFERROR(INDEX(AD$10:AD$11,Предпосылки!$I$203,),0),AD102/(1+IFERROR(INDEX(AD$10:AD$11,Предпосылки!$I$204,),0))*IFERROR(INDEX(AD$10:AD$11,Предпосылки!$I$204,),0),AD125/(1+IFERROR(INDEX(AD$10:AD$11,Предпосылки!$I$205,),0))*IFERROR(INDEX(AD$10:AD$11,Предпосылки!$I$205,),0),AD148/(1+IFERROR(INDEX(AD$10:AD$11,Предпосылки!$I$206,),0))*IFERROR(INDEX(AD$10:AD$11,Предпосылки!$I$206,),0),AD171/(1+IFERROR(INDEX(AD$10:AD$11,Предпосылки!$I$207,),0))*IFERROR(INDEX(AD$10:AD$11,Предпосылки!$I$207,),0),AD194/(1+IFERROR(INDEX(AD$10:AD$11,Предпосылки!$I$208,),0))*IFERROR(INDEX(AD$10:AD$11,Предпосылки!$I$208,),0),AD217/(1+IFERROR(INDEX(AD$10:AD$11,Предпосылки!$I$209,),0))*IFERROR(INDEX(AD$10:AD$11,Предпосылки!$I$209,),0),AD240/(1+IFERROR(INDEX(AD$10:AD$11,Предпосылки!$I$210,),0))*IFERROR(INDEX(AD$10:AD$11,Предпосылки!$I$210,),0),AD263/(1+IFERROR(INDEX(AD$10:AD$11,Предпосылки!$I$211,),0))*IFERROR(INDEX(AD$10:AD$11,Предпосылки!$I$211,),0),AD286/(1+IFERROR(INDEX(AD$10:AD$11,Предпосылки!$I$212,),0))*IFERROR(INDEX(AD$10:AD$11,Предпосылки!$I$212,),0),AD309/(1+IFERROR(INDEX(AD$10:AD$11,Предпосылки!$I$213,),0))*IFERROR(INDEX(AD$10:AD$11,Предпосылки!$I$213,),0),AD332/(1+IFERROR(INDEX(AD$10:AD$11,Предпосылки!$I$214,),0))*IFERROR(INDEX(AD$10:AD$11,Предпосылки!$I$214,),0),AD355/(1+IFERROR(INDEX(AD$10:AD$11,Предпосылки!$I$215,),0))*IFERROR(INDEX(AD$10:AD$11,Предпосылки!$I$215,),0),AD378/(1+IFERROR(INDEX(AD$10:AD$11,Предпосылки!$I$216,),0))*IFERROR(INDEX(AD$10:AD$11,Предпосылки!$I$216,),0),AD401/(1+IFERROR(INDEX(AD$10:AD$11,Предпосылки!$I$217,),0))*IFERROR(INDEX(AD$10:AD$11,Предпосылки!$I$217,),0),AD424/(1+IFERROR(INDEX(AD$10:AD$11,Предпосылки!$I$218,),0))*IFERROR(INDEX(AD$10:AD$11,Предпосылки!$I$218,),0),AD447/(1+IFERROR(INDEX(AD$10:AD$11,Предпосылки!$I$219,),0))*IFERROR(INDEX(AD$10:AD$11,Предпосылки!$I$219,),0),AD470/(1+IFERROR(INDEX(AD$10:AD$11,Предпосылки!$I$220,),0))*IFERROR(INDEX(AD$10:AD$11,Предпосылки!$I$220,),0))</f>
        <v>0</v>
      </c>
      <c s="125">
        <f>SUM(AE33/(1+IFERROR(INDEX(AE$10:AE$11,Предпосылки!$I$201,),0))*IFERROR(INDEX(AE$10:AE$11,Предпосылки!$I$201,),0),AE56/(1+IFERROR(INDEX(AE$10:AE$11,Предпосылки!$I$202,),0))*IFERROR(INDEX(AE$10:AE$11,Предпосылки!$I$202,),0),AE79/(1+IFERROR(INDEX(AE$10:AE$11,Предпосылки!$I$203,),0))*IFERROR(INDEX(AE$10:AE$11,Предпосылки!$I$203,),0),AE102/(1+IFERROR(INDEX(AE$10:AE$11,Предпосылки!$I$204,),0))*IFERROR(INDEX(AE$10:AE$11,Предпосылки!$I$204,),0),AE125/(1+IFERROR(INDEX(AE$10:AE$11,Предпосылки!$I$205,),0))*IFERROR(INDEX(AE$10:AE$11,Предпосылки!$I$205,),0),AE148/(1+IFERROR(INDEX(AE$10:AE$11,Предпосылки!$I$206,),0))*IFERROR(INDEX(AE$10:AE$11,Предпосылки!$I$206,),0),AE171/(1+IFERROR(INDEX(AE$10:AE$11,Предпосылки!$I$207,),0))*IFERROR(INDEX(AE$10:AE$11,Предпосылки!$I$207,),0),AE194/(1+IFERROR(INDEX(AE$10:AE$11,Предпосылки!$I$208,),0))*IFERROR(INDEX(AE$10:AE$11,Предпосылки!$I$208,),0),AE217/(1+IFERROR(INDEX(AE$10:AE$11,Предпосылки!$I$209,),0))*IFERROR(INDEX(AE$10:AE$11,Предпосылки!$I$209,),0),AE240/(1+IFERROR(INDEX(AE$10:AE$11,Предпосылки!$I$210,),0))*IFERROR(INDEX(AE$10:AE$11,Предпосылки!$I$210,),0),AE263/(1+IFERROR(INDEX(AE$10:AE$11,Предпосылки!$I$211,),0))*IFERROR(INDEX(AE$10:AE$11,Предпосылки!$I$211,),0),AE286/(1+IFERROR(INDEX(AE$10:AE$11,Предпосылки!$I$212,),0))*IFERROR(INDEX(AE$10:AE$11,Предпосылки!$I$212,),0),AE309/(1+IFERROR(INDEX(AE$10:AE$11,Предпосылки!$I$213,),0))*IFERROR(INDEX(AE$10:AE$11,Предпосылки!$I$213,),0),AE332/(1+IFERROR(INDEX(AE$10:AE$11,Предпосылки!$I$214,),0))*IFERROR(INDEX(AE$10:AE$11,Предпосылки!$I$214,),0),AE355/(1+IFERROR(INDEX(AE$10:AE$11,Предпосылки!$I$215,),0))*IFERROR(INDEX(AE$10:AE$11,Предпосылки!$I$215,),0),AE378/(1+IFERROR(INDEX(AE$10:AE$11,Предпосылки!$I$216,),0))*IFERROR(INDEX(AE$10:AE$11,Предпосылки!$I$216,),0),AE401/(1+IFERROR(INDEX(AE$10:AE$11,Предпосылки!$I$217,),0))*IFERROR(INDEX(AE$10:AE$11,Предпосылки!$I$217,),0),AE424/(1+IFERROR(INDEX(AE$10:AE$11,Предпосылки!$I$218,),0))*IFERROR(INDEX(AE$10:AE$11,Предпосылки!$I$218,),0),AE447/(1+IFERROR(INDEX(AE$10:AE$11,Предпосылки!$I$219,),0))*IFERROR(INDEX(AE$10:AE$11,Предпосылки!$I$219,),0),AE470/(1+IFERROR(INDEX(AE$10:AE$11,Предпосылки!$I$220,),0))*IFERROR(INDEX(AE$10:AE$11,Предпосылки!$I$220,),0))</f>
        <v>0</v>
      </c>
      <c s="125">
        <f>SUM(AF33/(1+IFERROR(INDEX(AF$10:AF$11,Предпосылки!$I$201,),0))*IFERROR(INDEX(AF$10:AF$11,Предпосылки!$I$201,),0),AF56/(1+IFERROR(INDEX(AF$10:AF$11,Предпосылки!$I$202,),0))*IFERROR(INDEX(AF$10:AF$11,Предпосылки!$I$202,),0),AF79/(1+IFERROR(INDEX(AF$10:AF$11,Предпосылки!$I$203,),0))*IFERROR(INDEX(AF$10:AF$11,Предпосылки!$I$203,),0),AF102/(1+IFERROR(INDEX(AF$10:AF$11,Предпосылки!$I$204,),0))*IFERROR(INDEX(AF$10:AF$11,Предпосылки!$I$204,),0),AF125/(1+IFERROR(INDEX(AF$10:AF$11,Предпосылки!$I$205,),0))*IFERROR(INDEX(AF$10:AF$11,Предпосылки!$I$205,),0),AF148/(1+IFERROR(INDEX(AF$10:AF$11,Предпосылки!$I$206,),0))*IFERROR(INDEX(AF$10:AF$11,Предпосылки!$I$206,),0),AF171/(1+IFERROR(INDEX(AF$10:AF$11,Предпосылки!$I$207,),0))*IFERROR(INDEX(AF$10:AF$11,Предпосылки!$I$207,),0),AF194/(1+IFERROR(INDEX(AF$10:AF$11,Предпосылки!$I$208,),0))*IFERROR(INDEX(AF$10:AF$11,Предпосылки!$I$208,),0),AF217/(1+IFERROR(INDEX(AF$10:AF$11,Предпосылки!$I$209,),0))*IFERROR(INDEX(AF$10:AF$11,Предпосылки!$I$209,),0),AF240/(1+IFERROR(INDEX(AF$10:AF$11,Предпосылки!$I$210,),0))*IFERROR(INDEX(AF$10:AF$11,Предпосылки!$I$210,),0),AF263/(1+IFERROR(INDEX(AF$10:AF$11,Предпосылки!$I$211,),0))*IFERROR(INDEX(AF$10:AF$11,Предпосылки!$I$211,),0),AF286/(1+IFERROR(INDEX(AF$10:AF$11,Предпосылки!$I$212,),0))*IFERROR(INDEX(AF$10:AF$11,Предпосылки!$I$212,),0),AF309/(1+IFERROR(INDEX(AF$10:AF$11,Предпосылки!$I$213,),0))*IFERROR(INDEX(AF$10:AF$11,Предпосылки!$I$213,),0),AF332/(1+IFERROR(INDEX(AF$10:AF$11,Предпосылки!$I$214,),0))*IFERROR(INDEX(AF$10:AF$11,Предпосылки!$I$214,),0),AF355/(1+IFERROR(INDEX(AF$10:AF$11,Предпосылки!$I$215,),0))*IFERROR(INDEX(AF$10:AF$11,Предпосылки!$I$215,),0),AF378/(1+IFERROR(INDEX(AF$10:AF$11,Предпосылки!$I$216,),0))*IFERROR(INDEX(AF$10:AF$11,Предпосылки!$I$216,),0),AF401/(1+IFERROR(INDEX(AF$10:AF$11,Предпосылки!$I$217,),0))*IFERROR(INDEX(AF$10:AF$11,Предпосылки!$I$217,),0),AF424/(1+IFERROR(INDEX(AF$10:AF$11,Предпосылки!$I$218,),0))*IFERROR(INDEX(AF$10:AF$11,Предпосылки!$I$218,),0),AF447/(1+IFERROR(INDEX(AF$10:AF$11,Предпосылки!$I$219,),0))*IFERROR(INDEX(AF$10:AF$11,Предпосылки!$I$219,),0),AF470/(1+IFERROR(INDEX(AF$10:AF$11,Предпосылки!$I$220,),0))*IFERROR(INDEX(AF$10:AF$11,Предпосылки!$I$220,),0))</f>
        <v>0</v>
      </c>
      <c s="125">
        <f>SUM(AG33/(1+IFERROR(INDEX(AG$10:AG$11,Предпосылки!$I$201,),0))*IFERROR(INDEX(AG$10:AG$11,Предпосылки!$I$201,),0),AG56/(1+IFERROR(INDEX(AG$10:AG$11,Предпосылки!$I$202,),0))*IFERROR(INDEX(AG$10:AG$11,Предпосылки!$I$202,),0),AG79/(1+IFERROR(INDEX(AG$10:AG$11,Предпосылки!$I$203,),0))*IFERROR(INDEX(AG$10:AG$11,Предпосылки!$I$203,),0),AG102/(1+IFERROR(INDEX(AG$10:AG$11,Предпосылки!$I$204,),0))*IFERROR(INDEX(AG$10:AG$11,Предпосылки!$I$204,),0),AG125/(1+IFERROR(INDEX(AG$10:AG$11,Предпосылки!$I$205,),0))*IFERROR(INDEX(AG$10:AG$11,Предпосылки!$I$205,),0),AG148/(1+IFERROR(INDEX(AG$10:AG$11,Предпосылки!$I$206,),0))*IFERROR(INDEX(AG$10:AG$11,Предпосылки!$I$206,),0),AG171/(1+IFERROR(INDEX(AG$10:AG$11,Предпосылки!$I$207,),0))*IFERROR(INDEX(AG$10:AG$11,Предпосылки!$I$207,),0),AG194/(1+IFERROR(INDEX(AG$10:AG$11,Предпосылки!$I$208,),0))*IFERROR(INDEX(AG$10:AG$11,Предпосылки!$I$208,),0),AG217/(1+IFERROR(INDEX(AG$10:AG$11,Предпосылки!$I$209,),0))*IFERROR(INDEX(AG$10:AG$11,Предпосылки!$I$209,),0),AG240/(1+IFERROR(INDEX(AG$10:AG$11,Предпосылки!$I$210,),0))*IFERROR(INDEX(AG$10:AG$11,Предпосылки!$I$210,),0),AG263/(1+IFERROR(INDEX(AG$10:AG$11,Предпосылки!$I$211,),0))*IFERROR(INDEX(AG$10:AG$11,Предпосылки!$I$211,),0),AG286/(1+IFERROR(INDEX(AG$10:AG$11,Предпосылки!$I$212,),0))*IFERROR(INDEX(AG$10:AG$11,Предпосылки!$I$212,),0),AG309/(1+IFERROR(INDEX(AG$10:AG$11,Предпосылки!$I$213,),0))*IFERROR(INDEX(AG$10:AG$11,Предпосылки!$I$213,),0),AG332/(1+IFERROR(INDEX(AG$10:AG$11,Предпосылки!$I$214,),0))*IFERROR(INDEX(AG$10:AG$11,Предпосылки!$I$214,),0),AG355/(1+IFERROR(INDEX(AG$10:AG$11,Предпосылки!$I$215,),0))*IFERROR(INDEX(AG$10:AG$11,Предпосылки!$I$215,),0),AG378/(1+IFERROR(INDEX(AG$10:AG$11,Предпосылки!$I$216,),0))*IFERROR(INDEX(AG$10:AG$11,Предпосылки!$I$216,),0),AG401/(1+IFERROR(INDEX(AG$10:AG$11,Предпосылки!$I$217,),0))*IFERROR(INDEX(AG$10:AG$11,Предпосылки!$I$217,),0),AG424/(1+IFERROR(INDEX(AG$10:AG$11,Предпосылки!$I$218,),0))*IFERROR(INDEX(AG$10:AG$11,Предпосылки!$I$218,),0),AG447/(1+IFERROR(INDEX(AG$10:AG$11,Предпосылки!$I$219,),0))*IFERROR(INDEX(AG$10:AG$11,Предпосылки!$I$219,),0),AG470/(1+IFERROR(INDEX(AG$10:AG$11,Предпосылки!$I$220,),0))*IFERROR(INDEX(AG$10:AG$11,Предпосылки!$I$220,),0))</f>
        <v>0</v>
      </c>
      <c s="125">
        <f>SUM(AH33/(1+IFERROR(INDEX(AH$10:AH$11,Предпосылки!$I$201,),0))*IFERROR(INDEX(AH$10:AH$11,Предпосылки!$I$201,),0),AH56/(1+IFERROR(INDEX(AH$10:AH$11,Предпосылки!$I$202,),0))*IFERROR(INDEX(AH$10:AH$11,Предпосылки!$I$202,),0),AH79/(1+IFERROR(INDEX(AH$10:AH$11,Предпосылки!$I$203,),0))*IFERROR(INDEX(AH$10:AH$11,Предпосылки!$I$203,),0),AH102/(1+IFERROR(INDEX(AH$10:AH$11,Предпосылки!$I$204,),0))*IFERROR(INDEX(AH$10:AH$11,Предпосылки!$I$204,),0),AH125/(1+IFERROR(INDEX(AH$10:AH$11,Предпосылки!$I$205,),0))*IFERROR(INDEX(AH$10:AH$11,Предпосылки!$I$205,),0),AH148/(1+IFERROR(INDEX(AH$10:AH$11,Предпосылки!$I$206,),0))*IFERROR(INDEX(AH$10:AH$11,Предпосылки!$I$206,),0),AH171/(1+IFERROR(INDEX(AH$10:AH$11,Предпосылки!$I$207,),0))*IFERROR(INDEX(AH$10:AH$11,Предпосылки!$I$207,),0),AH194/(1+IFERROR(INDEX(AH$10:AH$11,Предпосылки!$I$208,),0))*IFERROR(INDEX(AH$10:AH$11,Предпосылки!$I$208,),0),AH217/(1+IFERROR(INDEX(AH$10:AH$11,Предпосылки!$I$209,),0))*IFERROR(INDEX(AH$10:AH$11,Предпосылки!$I$209,),0),AH240/(1+IFERROR(INDEX(AH$10:AH$11,Предпосылки!$I$210,),0))*IFERROR(INDEX(AH$10:AH$11,Предпосылки!$I$210,),0),AH263/(1+IFERROR(INDEX(AH$10:AH$11,Предпосылки!$I$211,),0))*IFERROR(INDEX(AH$10:AH$11,Предпосылки!$I$211,),0),AH286/(1+IFERROR(INDEX(AH$10:AH$11,Предпосылки!$I$212,),0))*IFERROR(INDEX(AH$10:AH$11,Предпосылки!$I$212,),0),AH309/(1+IFERROR(INDEX(AH$10:AH$11,Предпосылки!$I$213,),0))*IFERROR(INDEX(AH$10:AH$11,Предпосылки!$I$213,),0),AH332/(1+IFERROR(INDEX(AH$10:AH$11,Предпосылки!$I$214,),0))*IFERROR(INDEX(AH$10:AH$11,Предпосылки!$I$214,),0),AH355/(1+IFERROR(INDEX(AH$10:AH$11,Предпосылки!$I$215,),0))*IFERROR(INDEX(AH$10:AH$11,Предпосылки!$I$215,),0),AH378/(1+IFERROR(INDEX(AH$10:AH$11,Предпосылки!$I$216,),0))*IFERROR(INDEX(AH$10:AH$11,Предпосылки!$I$216,),0),AH401/(1+IFERROR(INDEX(AH$10:AH$11,Предпосылки!$I$217,),0))*IFERROR(INDEX(AH$10:AH$11,Предпосылки!$I$217,),0),AH424/(1+IFERROR(INDEX(AH$10:AH$11,Предпосылки!$I$218,),0))*IFERROR(INDEX(AH$10:AH$11,Предпосылки!$I$218,),0),AH447/(1+IFERROR(INDEX(AH$10:AH$11,Предпосылки!$I$219,),0))*IFERROR(INDEX(AH$10:AH$11,Предпосылки!$I$219,),0),AH470/(1+IFERROR(INDEX(AH$10:AH$11,Предпосылки!$I$220,),0))*IFERROR(INDEX(AH$10:AH$11,Предпосылки!$I$220,),0))</f>
        <v>0</v>
      </c>
      <c s="125">
        <f>SUM(AI33/(1+IFERROR(INDEX(AI$10:AI$11,Предпосылки!$I$201,),0))*IFERROR(INDEX(AI$10:AI$11,Предпосылки!$I$201,),0),AI56/(1+IFERROR(INDEX(AI$10:AI$11,Предпосылки!$I$202,),0))*IFERROR(INDEX(AI$10:AI$11,Предпосылки!$I$202,),0),AI79/(1+IFERROR(INDEX(AI$10:AI$11,Предпосылки!$I$203,),0))*IFERROR(INDEX(AI$10:AI$11,Предпосылки!$I$203,),0),AI102/(1+IFERROR(INDEX(AI$10:AI$11,Предпосылки!$I$204,),0))*IFERROR(INDEX(AI$10:AI$11,Предпосылки!$I$204,),0),AI125/(1+IFERROR(INDEX(AI$10:AI$11,Предпосылки!$I$205,),0))*IFERROR(INDEX(AI$10:AI$11,Предпосылки!$I$205,),0),AI148/(1+IFERROR(INDEX(AI$10:AI$11,Предпосылки!$I$206,),0))*IFERROR(INDEX(AI$10:AI$11,Предпосылки!$I$206,),0),AI171/(1+IFERROR(INDEX(AI$10:AI$11,Предпосылки!$I$207,),0))*IFERROR(INDEX(AI$10:AI$11,Предпосылки!$I$207,),0),AI194/(1+IFERROR(INDEX(AI$10:AI$11,Предпосылки!$I$208,),0))*IFERROR(INDEX(AI$10:AI$11,Предпосылки!$I$208,),0),AI217/(1+IFERROR(INDEX(AI$10:AI$11,Предпосылки!$I$209,),0))*IFERROR(INDEX(AI$10:AI$11,Предпосылки!$I$209,),0),AI240/(1+IFERROR(INDEX(AI$10:AI$11,Предпосылки!$I$210,),0))*IFERROR(INDEX(AI$10:AI$11,Предпосылки!$I$210,),0),AI263/(1+IFERROR(INDEX(AI$10:AI$11,Предпосылки!$I$211,),0))*IFERROR(INDEX(AI$10:AI$11,Предпосылки!$I$211,),0),AI286/(1+IFERROR(INDEX(AI$10:AI$11,Предпосылки!$I$212,),0))*IFERROR(INDEX(AI$10:AI$11,Предпосылки!$I$212,),0),AI309/(1+IFERROR(INDEX(AI$10:AI$11,Предпосылки!$I$213,),0))*IFERROR(INDEX(AI$10:AI$11,Предпосылки!$I$213,),0),AI332/(1+IFERROR(INDEX(AI$10:AI$11,Предпосылки!$I$214,),0))*IFERROR(INDEX(AI$10:AI$11,Предпосылки!$I$214,),0),AI355/(1+IFERROR(INDEX(AI$10:AI$11,Предпосылки!$I$215,),0))*IFERROR(INDEX(AI$10:AI$11,Предпосылки!$I$215,),0),AI378/(1+IFERROR(INDEX(AI$10:AI$11,Предпосылки!$I$216,),0))*IFERROR(INDEX(AI$10:AI$11,Предпосылки!$I$216,),0),AI401/(1+IFERROR(INDEX(AI$10:AI$11,Предпосылки!$I$217,),0))*IFERROR(INDEX(AI$10:AI$11,Предпосылки!$I$217,),0),AI424/(1+IFERROR(INDEX(AI$10:AI$11,Предпосылки!$I$218,),0))*IFERROR(INDEX(AI$10:AI$11,Предпосылки!$I$218,),0),AI447/(1+IFERROR(INDEX(AI$10:AI$11,Предпосылки!$I$219,),0))*IFERROR(INDEX(AI$10:AI$11,Предпосылки!$I$219,),0),AI470/(1+IFERROR(INDEX(AI$10:AI$11,Предпосылки!$I$220,),0))*IFERROR(INDEX(AI$10:AI$11,Предпосылки!$I$220,),0))</f>
        <v>0</v>
      </c>
      <c s="125">
        <f>SUM(AJ33/(1+IFERROR(INDEX(AJ$10:AJ$11,Предпосылки!$I$201,),0))*IFERROR(INDEX(AJ$10:AJ$11,Предпосылки!$I$201,),0),AJ56/(1+IFERROR(INDEX(AJ$10:AJ$11,Предпосылки!$I$202,),0))*IFERROR(INDEX(AJ$10:AJ$11,Предпосылки!$I$202,),0),AJ79/(1+IFERROR(INDEX(AJ$10:AJ$11,Предпосылки!$I$203,),0))*IFERROR(INDEX(AJ$10:AJ$11,Предпосылки!$I$203,),0),AJ102/(1+IFERROR(INDEX(AJ$10:AJ$11,Предпосылки!$I$204,),0))*IFERROR(INDEX(AJ$10:AJ$11,Предпосылки!$I$204,),0),AJ125/(1+IFERROR(INDEX(AJ$10:AJ$11,Предпосылки!$I$205,),0))*IFERROR(INDEX(AJ$10:AJ$11,Предпосылки!$I$205,),0),AJ148/(1+IFERROR(INDEX(AJ$10:AJ$11,Предпосылки!$I$206,),0))*IFERROR(INDEX(AJ$10:AJ$11,Предпосылки!$I$206,),0),AJ171/(1+IFERROR(INDEX(AJ$10:AJ$11,Предпосылки!$I$207,),0))*IFERROR(INDEX(AJ$10:AJ$11,Предпосылки!$I$207,),0),AJ194/(1+IFERROR(INDEX(AJ$10:AJ$11,Предпосылки!$I$208,),0))*IFERROR(INDEX(AJ$10:AJ$11,Предпосылки!$I$208,),0),AJ217/(1+IFERROR(INDEX(AJ$10:AJ$11,Предпосылки!$I$209,),0))*IFERROR(INDEX(AJ$10:AJ$11,Предпосылки!$I$209,),0),AJ240/(1+IFERROR(INDEX(AJ$10:AJ$11,Предпосылки!$I$210,),0))*IFERROR(INDEX(AJ$10:AJ$11,Предпосылки!$I$210,),0),AJ263/(1+IFERROR(INDEX(AJ$10:AJ$11,Предпосылки!$I$211,),0))*IFERROR(INDEX(AJ$10:AJ$11,Предпосылки!$I$211,),0),AJ286/(1+IFERROR(INDEX(AJ$10:AJ$11,Предпосылки!$I$212,),0))*IFERROR(INDEX(AJ$10:AJ$11,Предпосылки!$I$212,),0),AJ309/(1+IFERROR(INDEX(AJ$10:AJ$11,Предпосылки!$I$213,),0))*IFERROR(INDEX(AJ$10:AJ$11,Предпосылки!$I$213,),0),AJ332/(1+IFERROR(INDEX(AJ$10:AJ$11,Предпосылки!$I$214,),0))*IFERROR(INDEX(AJ$10:AJ$11,Предпосылки!$I$214,),0),AJ355/(1+IFERROR(INDEX(AJ$10:AJ$11,Предпосылки!$I$215,),0))*IFERROR(INDEX(AJ$10:AJ$11,Предпосылки!$I$215,),0),AJ378/(1+IFERROR(INDEX(AJ$10:AJ$11,Предпосылки!$I$216,),0))*IFERROR(INDEX(AJ$10:AJ$11,Предпосылки!$I$216,),0),AJ401/(1+IFERROR(INDEX(AJ$10:AJ$11,Предпосылки!$I$217,),0))*IFERROR(INDEX(AJ$10:AJ$11,Предпосылки!$I$217,),0),AJ424/(1+IFERROR(INDEX(AJ$10:AJ$11,Предпосылки!$I$218,),0))*IFERROR(INDEX(AJ$10:AJ$11,Предпосылки!$I$218,),0),AJ447/(1+IFERROR(INDEX(AJ$10:AJ$11,Предпосылки!$I$219,),0))*IFERROR(INDEX(AJ$10:AJ$11,Предпосылки!$I$219,),0),AJ470/(1+IFERROR(INDEX(AJ$10:AJ$11,Предпосылки!$I$220,),0))*IFERROR(INDEX(AJ$10:AJ$11,Предпосылки!$I$220,),0))</f>
        <v>0</v>
      </c>
      <c s="125">
        <f>SUM(AK33/(1+IFERROR(INDEX(AK$10:AK$11,Предпосылки!$I$201,),0))*IFERROR(INDEX(AK$10:AK$11,Предпосылки!$I$201,),0),AK56/(1+IFERROR(INDEX(AK$10:AK$11,Предпосылки!$I$202,),0))*IFERROR(INDEX(AK$10:AK$11,Предпосылки!$I$202,),0),AK79/(1+IFERROR(INDEX(AK$10:AK$11,Предпосылки!$I$203,),0))*IFERROR(INDEX(AK$10:AK$11,Предпосылки!$I$203,),0),AK102/(1+IFERROR(INDEX(AK$10:AK$11,Предпосылки!$I$204,),0))*IFERROR(INDEX(AK$10:AK$11,Предпосылки!$I$204,),0),AK125/(1+IFERROR(INDEX(AK$10:AK$11,Предпосылки!$I$205,),0))*IFERROR(INDEX(AK$10:AK$11,Предпосылки!$I$205,),0),AK148/(1+IFERROR(INDEX(AK$10:AK$11,Предпосылки!$I$206,),0))*IFERROR(INDEX(AK$10:AK$11,Предпосылки!$I$206,),0),AK171/(1+IFERROR(INDEX(AK$10:AK$11,Предпосылки!$I$207,),0))*IFERROR(INDEX(AK$10:AK$11,Предпосылки!$I$207,),0),AK194/(1+IFERROR(INDEX(AK$10:AK$11,Предпосылки!$I$208,),0))*IFERROR(INDEX(AK$10:AK$11,Предпосылки!$I$208,),0),AK217/(1+IFERROR(INDEX(AK$10:AK$11,Предпосылки!$I$209,),0))*IFERROR(INDEX(AK$10:AK$11,Предпосылки!$I$209,),0),AK240/(1+IFERROR(INDEX(AK$10:AK$11,Предпосылки!$I$210,),0))*IFERROR(INDEX(AK$10:AK$11,Предпосылки!$I$210,),0),AK263/(1+IFERROR(INDEX(AK$10:AK$11,Предпосылки!$I$211,),0))*IFERROR(INDEX(AK$10:AK$11,Предпосылки!$I$211,),0),AK286/(1+IFERROR(INDEX(AK$10:AK$11,Предпосылки!$I$212,),0))*IFERROR(INDEX(AK$10:AK$11,Предпосылки!$I$212,),0),AK309/(1+IFERROR(INDEX(AK$10:AK$11,Предпосылки!$I$213,),0))*IFERROR(INDEX(AK$10:AK$11,Предпосылки!$I$213,),0),AK332/(1+IFERROR(INDEX(AK$10:AK$11,Предпосылки!$I$214,),0))*IFERROR(INDEX(AK$10:AK$11,Предпосылки!$I$214,),0),AK355/(1+IFERROR(INDEX(AK$10:AK$11,Предпосылки!$I$215,),0))*IFERROR(INDEX(AK$10:AK$11,Предпосылки!$I$215,),0),AK378/(1+IFERROR(INDEX(AK$10:AK$11,Предпосылки!$I$216,),0))*IFERROR(INDEX(AK$10:AK$11,Предпосылки!$I$216,),0),AK401/(1+IFERROR(INDEX(AK$10:AK$11,Предпосылки!$I$217,),0))*IFERROR(INDEX(AK$10:AK$11,Предпосылки!$I$217,),0),AK424/(1+IFERROR(INDEX(AK$10:AK$11,Предпосылки!$I$218,),0))*IFERROR(INDEX(AK$10:AK$11,Предпосылки!$I$218,),0),AK447/(1+IFERROR(INDEX(AK$10:AK$11,Предпосылки!$I$219,),0))*IFERROR(INDEX(AK$10:AK$11,Предпосылки!$I$219,),0),AK470/(1+IFERROR(INDEX(AK$10:AK$11,Предпосылки!$I$220,),0))*IFERROR(INDEX(AK$10:AK$11,Предпосылки!$I$220,),0))</f>
        <v>0</v>
      </c>
      <c s="125">
        <f>SUM(AL33/(1+IFERROR(INDEX(AL$10:AL$11,Предпосылки!$I$201,),0))*IFERROR(INDEX(AL$10:AL$11,Предпосылки!$I$201,),0),AL56/(1+IFERROR(INDEX(AL$10:AL$11,Предпосылки!$I$202,),0))*IFERROR(INDEX(AL$10:AL$11,Предпосылки!$I$202,),0),AL79/(1+IFERROR(INDEX(AL$10:AL$11,Предпосылки!$I$203,),0))*IFERROR(INDEX(AL$10:AL$11,Предпосылки!$I$203,),0),AL102/(1+IFERROR(INDEX(AL$10:AL$11,Предпосылки!$I$204,),0))*IFERROR(INDEX(AL$10:AL$11,Предпосылки!$I$204,),0),AL125/(1+IFERROR(INDEX(AL$10:AL$11,Предпосылки!$I$205,),0))*IFERROR(INDEX(AL$10:AL$11,Предпосылки!$I$205,),0),AL148/(1+IFERROR(INDEX(AL$10:AL$11,Предпосылки!$I$206,),0))*IFERROR(INDEX(AL$10:AL$11,Предпосылки!$I$206,),0),AL171/(1+IFERROR(INDEX(AL$10:AL$11,Предпосылки!$I$207,),0))*IFERROR(INDEX(AL$10:AL$11,Предпосылки!$I$207,),0),AL194/(1+IFERROR(INDEX(AL$10:AL$11,Предпосылки!$I$208,),0))*IFERROR(INDEX(AL$10:AL$11,Предпосылки!$I$208,),0),AL217/(1+IFERROR(INDEX(AL$10:AL$11,Предпосылки!$I$209,),0))*IFERROR(INDEX(AL$10:AL$11,Предпосылки!$I$209,),0),AL240/(1+IFERROR(INDEX(AL$10:AL$11,Предпосылки!$I$210,),0))*IFERROR(INDEX(AL$10:AL$11,Предпосылки!$I$210,),0),AL263/(1+IFERROR(INDEX(AL$10:AL$11,Предпосылки!$I$211,),0))*IFERROR(INDEX(AL$10:AL$11,Предпосылки!$I$211,),0),AL286/(1+IFERROR(INDEX(AL$10:AL$11,Предпосылки!$I$212,),0))*IFERROR(INDEX(AL$10:AL$11,Предпосылки!$I$212,),0),AL309/(1+IFERROR(INDEX(AL$10:AL$11,Предпосылки!$I$213,),0))*IFERROR(INDEX(AL$10:AL$11,Предпосылки!$I$213,),0),AL332/(1+IFERROR(INDEX(AL$10:AL$11,Предпосылки!$I$214,),0))*IFERROR(INDEX(AL$10:AL$11,Предпосылки!$I$214,),0),AL355/(1+IFERROR(INDEX(AL$10:AL$11,Предпосылки!$I$215,),0))*IFERROR(INDEX(AL$10:AL$11,Предпосылки!$I$215,),0),AL378/(1+IFERROR(INDEX(AL$10:AL$11,Предпосылки!$I$216,),0))*IFERROR(INDEX(AL$10:AL$11,Предпосылки!$I$216,),0),AL401/(1+IFERROR(INDEX(AL$10:AL$11,Предпосылки!$I$217,),0))*IFERROR(INDEX(AL$10:AL$11,Предпосылки!$I$217,),0),AL424/(1+IFERROR(INDEX(AL$10:AL$11,Предпосылки!$I$218,),0))*IFERROR(INDEX(AL$10:AL$11,Предпосылки!$I$218,),0),AL447/(1+IFERROR(INDEX(AL$10:AL$11,Предпосылки!$I$219,),0))*IFERROR(INDEX(AL$10:AL$11,Предпосылки!$I$219,),0),AL470/(1+IFERROR(INDEX(AL$10:AL$11,Предпосылки!$I$220,),0))*IFERROR(INDEX(AL$10:AL$11,Предпосылки!$I$220,),0))</f>
        <v>0</v>
      </c>
      <c s="125">
        <f>SUM(AM33/(1+IFERROR(INDEX(AM$10:AM$11,Предпосылки!$I$201,),0))*IFERROR(INDEX(AM$10:AM$11,Предпосылки!$I$201,),0),AM56/(1+IFERROR(INDEX(AM$10:AM$11,Предпосылки!$I$202,),0))*IFERROR(INDEX(AM$10:AM$11,Предпосылки!$I$202,),0),AM79/(1+IFERROR(INDEX(AM$10:AM$11,Предпосылки!$I$203,),0))*IFERROR(INDEX(AM$10:AM$11,Предпосылки!$I$203,),0),AM102/(1+IFERROR(INDEX(AM$10:AM$11,Предпосылки!$I$204,),0))*IFERROR(INDEX(AM$10:AM$11,Предпосылки!$I$204,),0),AM125/(1+IFERROR(INDEX(AM$10:AM$11,Предпосылки!$I$205,),0))*IFERROR(INDEX(AM$10:AM$11,Предпосылки!$I$205,),0),AM148/(1+IFERROR(INDEX(AM$10:AM$11,Предпосылки!$I$206,),0))*IFERROR(INDEX(AM$10:AM$11,Предпосылки!$I$206,),0),AM171/(1+IFERROR(INDEX(AM$10:AM$11,Предпосылки!$I$207,),0))*IFERROR(INDEX(AM$10:AM$11,Предпосылки!$I$207,),0),AM194/(1+IFERROR(INDEX(AM$10:AM$11,Предпосылки!$I$208,),0))*IFERROR(INDEX(AM$10:AM$11,Предпосылки!$I$208,),0),AM217/(1+IFERROR(INDEX(AM$10:AM$11,Предпосылки!$I$209,),0))*IFERROR(INDEX(AM$10:AM$11,Предпосылки!$I$209,),0),AM240/(1+IFERROR(INDEX(AM$10:AM$11,Предпосылки!$I$210,),0))*IFERROR(INDEX(AM$10:AM$11,Предпосылки!$I$210,),0),AM263/(1+IFERROR(INDEX(AM$10:AM$11,Предпосылки!$I$211,),0))*IFERROR(INDEX(AM$10:AM$11,Предпосылки!$I$211,),0),AM286/(1+IFERROR(INDEX(AM$10:AM$11,Предпосылки!$I$212,),0))*IFERROR(INDEX(AM$10:AM$11,Предпосылки!$I$212,),0),AM309/(1+IFERROR(INDEX(AM$10:AM$11,Предпосылки!$I$213,),0))*IFERROR(INDEX(AM$10:AM$11,Предпосылки!$I$213,),0),AM332/(1+IFERROR(INDEX(AM$10:AM$11,Предпосылки!$I$214,),0))*IFERROR(INDEX(AM$10:AM$11,Предпосылки!$I$214,),0),AM355/(1+IFERROR(INDEX(AM$10:AM$11,Предпосылки!$I$215,),0))*IFERROR(INDEX(AM$10:AM$11,Предпосылки!$I$215,),0),AM378/(1+IFERROR(INDEX(AM$10:AM$11,Предпосылки!$I$216,),0))*IFERROR(INDEX(AM$10:AM$11,Предпосылки!$I$216,),0),AM401/(1+IFERROR(INDEX(AM$10:AM$11,Предпосылки!$I$217,),0))*IFERROR(INDEX(AM$10:AM$11,Предпосылки!$I$217,),0),AM424/(1+IFERROR(INDEX(AM$10:AM$11,Предпосылки!$I$218,),0))*IFERROR(INDEX(AM$10:AM$11,Предпосылки!$I$218,),0),AM447/(1+IFERROR(INDEX(AM$10:AM$11,Предпосылки!$I$219,),0))*IFERROR(INDEX(AM$10:AM$11,Предпосылки!$I$219,),0),AM470/(1+IFERROR(INDEX(AM$10:AM$11,Предпосылки!$I$220,),0))*IFERROR(INDEX(AM$10:AM$11,Предпосылки!$I$220,),0))</f>
        <v>0</v>
      </c>
      <c s="125">
        <f>SUM(AN33/(1+IFERROR(INDEX(AN$10:AN$11,Предпосылки!$I$201,),0))*IFERROR(INDEX(AN$10:AN$11,Предпосылки!$I$201,),0),AN56/(1+IFERROR(INDEX(AN$10:AN$11,Предпосылки!$I$202,),0))*IFERROR(INDEX(AN$10:AN$11,Предпосылки!$I$202,),0),AN79/(1+IFERROR(INDEX(AN$10:AN$11,Предпосылки!$I$203,),0))*IFERROR(INDEX(AN$10:AN$11,Предпосылки!$I$203,),0),AN102/(1+IFERROR(INDEX(AN$10:AN$11,Предпосылки!$I$204,),0))*IFERROR(INDEX(AN$10:AN$11,Предпосылки!$I$204,),0),AN125/(1+IFERROR(INDEX(AN$10:AN$11,Предпосылки!$I$205,),0))*IFERROR(INDEX(AN$10:AN$11,Предпосылки!$I$205,),0),AN148/(1+IFERROR(INDEX(AN$10:AN$11,Предпосылки!$I$206,),0))*IFERROR(INDEX(AN$10:AN$11,Предпосылки!$I$206,),0),AN171/(1+IFERROR(INDEX(AN$10:AN$11,Предпосылки!$I$207,),0))*IFERROR(INDEX(AN$10:AN$11,Предпосылки!$I$207,),0),AN194/(1+IFERROR(INDEX(AN$10:AN$11,Предпосылки!$I$208,),0))*IFERROR(INDEX(AN$10:AN$11,Предпосылки!$I$208,),0),AN217/(1+IFERROR(INDEX(AN$10:AN$11,Предпосылки!$I$209,),0))*IFERROR(INDEX(AN$10:AN$11,Предпосылки!$I$209,),0),AN240/(1+IFERROR(INDEX(AN$10:AN$11,Предпосылки!$I$210,),0))*IFERROR(INDEX(AN$10:AN$11,Предпосылки!$I$210,),0),AN263/(1+IFERROR(INDEX(AN$10:AN$11,Предпосылки!$I$211,),0))*IFERROR(INDEX(AN$10:AN$11,Предпосылки!$I$211,),0),AN286/(1+IFERROR(INDEX(AN$10:AN$11,Предпосылки!$I$212,),0))*IFERROR(INDEX(AN$10:AN$11,Предпосылки!$I$212,),0),AN309/(1+IFERROR(INDEX(AN$10:AN$11,Предпосылки!$I$213,),0))*IFERROR(INDEX(AN$10:AN$11,Предпосылки!$I$213,),0),AN332/(1+IFERROR(INDEX(AN$10:AN$11,Предпосылки!$I$214,),0))*IFERROR(INDEX(AN$10:AN$11,Предпосылки!$I$214,),0),AN355/(1+IFERROR(INDEX(AN$10:AN$11,Предпосылки!$I$215,),0))*IFERROR(INDEX(AN$10:AN$11,Предпосылки!$I$215,),0),AN378/(1+IFERROR(INDEX(AN$10:AN$11,Предпосылки!$I$216,),0))*IFERROR(INDEX(AN$10:AN$11,Предпосылки!$I$216,),0),AN401/(1+IFERROR(INDEX(AN$10:AN$11,Предпосылки!$I$217,),0))*IFERROR(INDEX(AN$10:AN$11,Предпосылки!$I$217,),0),AN424/(1+IFERROR(INDEX(AN$10:AN$11,Предпосылки!$I$218,),0))*IFERROR(INDEX(AN$10:AN$11,Предпосылки!$I$218,),0),AN447/(1+IFERROR(INDEX(AN$10:AN$11,Предпосылки!$I$219,),0))*IFERROR(INDEX(AN$10:AN$11,Предпосылки!$I$219,),0),AN470/(1+IFERROR(INDEX(AN$10:AN$11,Предпосылки!$I$220,),0))*IFERROR(INDEX(AN$10:AN$11,Предпосылки!$I$220,),0))</f>
        <v>0</v>
      </c>
      <c s="125">
        <f>SUM(AO33/(1+IFERROR(INDEX(AO$10:AO$11,Предпосылки!$I$201,),0))*IFERROR(INDEX(AO$10:AO$11,Предпосылки!$I$201,),0),AO56/(1+IFERROR(INDEX(AO$10:AO$11,Предпосылки!$I$202,),0))*IFERROR(INDEX(AO$10:AO$11,Предпосылки!$I$202,),0),AO79/(1+IFERROR(INDEX(AO$10:AO$11,Предпосылки!$I$203,),0))*IFERROR(INDEX(AO$10:AO$11,Предпосылки!$I$203,),0),AO102/(1+IFERROR(INDEX(AO$10:AO$11,Предпосылки!$I$204,),0))*IFERROR(INDEX(AO$10:AO$11,Предпосылки!$I$204,),0),AO125/(1+IFERROR(INDEX(AO$10:AO$11,Предпосылки!$I$205,),0))*IFERROR(INDEX(AO$10:AO$11,Предпосылки!$I$205,),0),AO148/(1+IFERROR(INDEX(AO$10:AO$11,Предпосылки!$I$206,),0))*IFERROR(INDEX(AO$10:AO$11,Предпосылки!$I$206,),0),AO171/(1+IFERROR(INDEX(AO$10:AO$11,Предпосылки!$I$207,),0))*IFERROR(INDEX(AO$10:AO$11,Предпосылки!$I$207,),0),AO194/(1+IFERROR(INDEX(AO$10:AO$11,Предпосылки!$I$208,),0))*IFERROR(INDEX(AO$10:AO$11,Предпосылки!$I$208,),0),AO217/(1+IFERROR(INDEX(AO$10:AO$11,Предпосылки!$I$209,),0))*IFERROR(INDEX(AO$10:AO$11,Предпосылки!$I$209,),0),AO240/(1+IFERROR(INDEX(AO$10:AO$11,Предпосылки!$I$210,),0))*IFERROR(INDEX(AO$10:AO$11,Предпосылки!$I$210,),0),AO263/(1+IFERROR(INDEX(AO$10:AO$11,Предпосылки!$I$211,),0))*IFERROR(INDEX(AO$10:AO$11,Предпосылки!$I$211,),0),AO286/(1+IFERROR(INDEX(AO$10:AO$11,Предпосылки!$I$212,),0))*IFERROR(INDEX(AO$10:AO$11,Предпосылки!$I$212,),0),AO309/(1+IFERROR(INDEX(AO$10:AO$11,Предпосылки!$I$213,),0))*IFERROR(INDEX(AO$10:AO$11,Предпосылки!$I$213,),0),AO332/(1+IFERROR(INDEX(AO$10:AO$11,Предпосылки!$I$214,),0))*IFERROR(INDEX(AO$10:AO$11,Предпосылки!$I$214,),0),AO355/(1+IFERROR(INDEX(AO$10:AO$11,Предпосылки!$I$215,),0))*IFERROR(INDEX(AO$10:AO$11,Предпосылки!$I$215,),0),AO378/(1+IFERROR(INDEX(AO$10:AO$11,Предпосылки!$I$216,),0))*IFERROR(INDEX(AO$10:AO$11,Предпосылки!$I$216,),0),AO401/(1+IFERROR(INDEX(AO$10:AO$11,Предпосылки!$I$217,),0))*IFERROR(INDEX(AO$10:AO$11,Предпосылки!$I$217,),0),AO424/(1+IFERROR(INDEX(AO$10:AO$11,Предпосылки!$I$218,),0))*IFERROR(INDEX(AO$10:AO$11,Предпосылки!$I$218,),0),AO447/(1+IFERROR(INDEX(AO$10:AO$11,Предпосылки!$I$219,),0))*IFERROR(INDEX(AO$10:AO$11,Предпосылки!$I$219,),0),AO470/(1+IFERROR(INDEX(AO$10:AO$11,Предпосылки!$I$220,),0))*IFERROR(INDEX(AO$10:AO$11,Предпосылки!$I$220,),0))</f>
        <v>0</v>
      </c>
      <c s="125">
        <f>SUM(AP33/(1+IFERROR(INDEX(AP$10:AP$11,Предпосылки!$I$201,),0))*IFERROR(INDEX(AP$10:AP$11,Предпосылки!$I$201,),0),AP56/(1+IFERROR(INDEX(AP$10:AP$11,Предпосылки!$I$202,),0))*IFERROR(INDEX(AP$10:AP$11,Предпосылки!$I$202,),0),AP79/(1+IFERROR(INDEX(AP$10:AP$11,Предпосылки!$I$203,),0))*IFERROR(INDEX(AP$10:AP$11,Предпосылки!$I$203,),0),AP102/(1+IFERROR(INDEX(AP$10:AP$11,Предпосылки!$I$204,),0))*IFERROR(INDEX(AP$10:AP$11,Предпосылки!$I$204,),0),AP125/(1+IFERROR(INDEX(AP$10:AP$11,Предпосылки!$I$205,),0))*IFERROR(INDEX(AP$10:AP$11,Предпосылки!$I$205,),0),AP148/(1+IFERROR(INDEX(AP$10:AP$11,Предпосылки!$I$206,),0))*IFERROR(INDEX(AP$10:AP$11,Предпосылки!$I$206,),0),AP171/(1+IFERROR(INDEX(AP$10:AP$11,Предпосылки!$I$207,),0))*IFERROR(INDEX(AP$10:AP$11,Предпосылки!$I$207,),0),AP194/(1+IFERROR(INDEX(AP$10:AP$11,Предпосылки!$I$208,),0))*IFERROR(INDEX(AP$10:AP$11,Предпосылки!$I$208,),0),AP217/(1+IFERROR(INDEX(AP$10:AP$11,Предпосылки!$I$209,),0))*IFERROR(INDEX(AP$10:AP$11,Предпосылки!$I$209,),0),AP240/(1+IFERROR(INDEX(AP$10:AP$11,Предпосылки!$I$210,),0))*IFERROR(INDEX(AP$10:AP$11,Предпосылки!$I$210,),0),AP263/(1+IFERROR(INDEX(AP$10:AP$11,Предпосылки!$I$211,),0))*IFERROR(INDEX(AP$10:AP$11,Предпосылки!$I$211,),0),AP286/(1+IFERROR(INDEX(AP$10:AP$11,Предпосылки!$I$212,),0))*IFERROR(INDEX(AP$10:AP$11,Предпосылки!$I$212,),0),AP309/(1+IFERROR(INDEX(AP$10:AP$11,Предпосылки!$I$213,),0))*IFERROR(INDEX(AP$10:AP$11,Предпосылки!$I$213,),0),AP332/(1+IFERROR(INDEX(AP$10:AP$11,Предпосылки!$I$214,),0))*IFERROR(INDEX(AP$10:AP$11,Предпосылки!$I$214,),0),AP355/(1+IFERROR(INDEX(AP$10:AP$11,Предпосылки!$I$215,),0))*IFERROR(INDEX(AP$10:AP$11,Предпосылки!$I$215,),0),AP378/(1+IFERROR(INDEX(AP$10:AP$11,Предпосылки!$I$216,),0))*IFERROR(INDEX(AP$10:AP$11,Предпосылки!$I$216,),0),AP401/(1+IFERROR(INDEX(AP$10:AP$11,Предпосылки!$I$217,),0))*IFERROR(INDEX(AP$10:AP$11,Предпосылки!$I$217,),0),AP424/(1+IFERROR(INDEX(AP$10:AP$11,Предпосылки!$I$218,),0))*IFERROR(INDEX(AP$10:AP$11,Предпосылки!$I$218,),0),AP447/(1+IFERROR(INDEX(AP$10:AP$11,Предпосылки!$I$219,),0))*IFERROR(INDEX(AP$10:AP$11,Предпосылки!$I$219,),0),AP470/(1+IFERROR(INDEX(AP$10:AP$11,Предпосылки!$I$220,),0))*IFERROR(INDEX(AP$10:AP$11,Предпосылки!$I$220,),0))</f>
        <v>0</v>
      </c>
      <c s="125">
        <f>SUM(AQ33/(1+IFERROR(INDEX(AQ$10:AQ$11,Предпосылки!$I$201,),0))*IFERROR(INDEX(AQ$10:AQ$11,Предпосылки!$I$201,),0),AQ56/(1+IFERROR(INDEX(AQ$10:AQ$11,Предпосылки!$I$202,),0))*IFERROR(INDEX(AQ$10:AQ$11,Предпосылки!$I$202,),0),AQ79/(1+IFERROR(INDEX(AQ$10:AQ$11,Предпосылки!$I$203,),0))*IFERROR(INDEX(AQ$10:AQ$11,Предпосылки!$I$203,),0),AQ102/(1+IFERROR(INDEX(AQ$10:AQ$11,Предпосылки!$I$204,),0))*IFERROR(INDEX(AQ$10:AQ$11,Предпосылки!$I$204,),0),AQ125/(1+IFERROR(INDEX(AQ$10:AQ$11,Предпосылки!$I$205,),0))*IFERROR(INDEX(AQ$10:AQ$11,Предпосылки!$I$205,),0),AQ148/(1+IFERROR(INDEX(AQ$10:AQ$11,Предпосылки!$I$206,),0))*IFERROR(INDEX(AQ$10:AQ$11,Предпосылки!$I$206,),0),AQ171/(1+IFERROR(INDEX(AQ$10:AQ$11,Предпосылки!$I$207,),0))*IFERROR(INDEX(AQ$10:AQ$11,Предпосылки!$I$207,),0),AQ194/(1+IFERROR(INDEX(AQ$10:AQ$11,Предпосылки!$I$208,),0))*IFERROR(INDEX(AQ$10:AQ$11,Предпосылки!$I$208,),0),AQ217/(1+IFERROR(INDEX(AQ$10:AQ$11,Предпосылки!$I$209,),0))*IFERROR(INDEX(AQ$10:AQ$11,Предпосылки!$I$209,),0),AQ240/(1+IFERROR(INDEX(AQ$10:AQ$11,Предпосылки!$I$210,),0))*IFERROR(INDEX(AQ$10:AQ$11,Предпосылки!$I$210,),0),AQ263/(1+IFERROR(INDEX(AQ$10:AQ$11,Предпосылки!$I$211,),0))*IFERROR(INDEX(AQ$10:AQ$11,Предпосылки!$I$211,),0),AQ286/(1+IFERROR(INDEX(AQ$10:AQ$11,Предпосылки!$I$212,),0))*IFERROR(INDEX(AQ$10:AQ$11,Предпосылки!$I$212,),0),AQ309/(1+IFERROR(INDEX(AQ$10:AQ$11,Предпосылки!$I$213,),0))*IFERROR(INDEX(AQ$10:AQ$11,Предпосылки!$I$213,),0),AQ332/(1+IFERROR(INDEX(AQ$10:AQ$11,Предпосылки!$I$214,),0))*IFERROR(INDEX(AQ$10:AQ$11,Предпосылки!$I$214,),0),AQ355/(1+IFERROR(INDEX(AQ$10:AQ$11,Предпосылки!$I$215,),0))*IFERROR(INDEX(AQ$10:AQ$11,Предпосылки!$I$215,),0),AQ378/(1+IFERROR(INDEX(AQ$10:AQ$11,Предпосылки!$I$216,),0))*IFERROR(INDEX(AQ$10:AQ$11,Предпосылки!$I$216,),0),AQ401/(1+IFERROR(INDEX(AQ$10:AQ$11,Предпосылки!$I$217,),0))*IFERROR(INDEX(AQ$10:AQ$11,Предпосылки!$I$217,),0),AQ424/(1+IFERROR(INDEX(AQ$10:AQ$11,Предпосылки!$I$218,),0))*IFERROR(INDEX(AQ$10:AQ$11,Предпосылки!$I$218,),0),AQ447/(1+IFERROR(INDEX(AQ$10:AQ$11,Предпосылки!$I$219,),0))*IFERROR(INDEX(AQ$10:AQ$11,Предпосылки!$I$219,),0),AQ470/(1+IFERROR(INDEX(AQ$10:AQ$11,Предпосылки!$I$220,),0))*IFERROR(INDEX(AQ$10:AQ$11,Предпосылки!$I$220,),0))</f>
        <v>0</v>
      </c>
      <c s="125">
        <f>SUM(AR33/(1+IFERROR(INDEX(AR$10:AR$11,Предпосылки!$I$201,),0))*IFERROR(INDEX(AR$10:AR$11,Предпосылки!$I$201,),0),AR56/(1+IFERROR(INDEX(AR$10:AR$11,Предпосылки!$I$202,),0))*IFERROR(INDEX(AR$10:AR$11,Предпосылки!$I$202,),0),AR79/(1+IFERROR(INDEX(AR$10:AR$11,Предпосылки!$I$203,),0))*IFERROR(INDEX(AR$10:AR$11,Предпосылки!$I$203,),0),AR102/(1+IFERROR(INDEX(AR$10:AR$11,Предпосылки!$I$204,),0))*IFERROR(INDEX(AR$10:AR$11,Предпосылки!$I$204,),0),AR125/(1+IFERROR(INDEX(AR$10:AR$11,Предпосылки!$I$205,),0))*IFERROR(INDEX(AR$10:AR$11,Предпосылки!$I$205,),0),AR148/(1+IFERROR(INDEX(AR$10:AR$11,Предпосылки!$I$206,),0))*IFERROR(INDEX(AR$10:AR$11,Предпосылки!$I$206,),0),AR171/(1+IFERROR(INDEX(AR$10:AR$11,Предпосылки!$I$207,),0))*IFERROR(INDEX(AR$10:AR$11,Предпосылки!$I$207,),0),AR194/(1+IFERROR(INDEX(AR$10:AR$11,Предпосылки!$I$208,),0))*IFERROR(INDEX(AR$10:AR$11,Предпосылки!$I$208,),0),AR217/(1+IFERROR(INDEX(AR$10:AR$11,Предпосылки!$I$209,),0))*IFERROR(INDEX(AR$10:AR$11,Предпосылки!$I$209,),0),AR240/(1+IFERROR(INDEX(AR$10:AR$11,Предпосылки!$I$210,),0))*IFERROR(INDEX(AR$10:AR$11,Предпосылки!$I$210,),0),AR263/(1+IFERROR(INDEX(AR$10:AR$11,Предпосылки!$I$211,),0))*IFERROR(INDEX(AR$10:AR$11,Предпосылки!$I$211,),0),AR286/(1+IFERROR(INDEX(AR$10:AR$11,Предпосылки!$I$212,),0))*IFERROR(INDEX(AR$10:AR$11,Предпосылки!$I$212,),0),AR309/(1+IFERROR(INDEX(AR$10:AR$11,Предпосылки!$I$213,),0))*IFERROR(INDEX(AR$10:AR$11,Предпосылки!$I$213,),0),AR332/(1+IFERROR(INDEX(AR$10:AR$11,Предпосылки!$I$214,),0))*IFERROR(INDEX(AR$10:AR$11,Предпосылки!$I$214,),0),AR355/(1+IFERROR(INDEX(AR$10:AR$11,Предпосылки!$I$215,),0))*IFERROR(INDEX(AR$10:AR$11,Предпосылки!$I$215,),0),AR378/(1+IFERROR(INDEX(AR$10:AR$11,Предпосылки!$I$216,),0))*IFERROR(INDEX(AR$10:AR$11,Предпосылки!$I$216,),0),AR401/(1+IFERROR(INDEX(AR$10:AR$11,Предпосылки!$I$217,),0))*IFERROR(INDEX(AR$10:AR$11,Предпосылки!$I$217,),0),AR424/(1+IFERROR(INDEX(AR$10:AR$11,Предпосылки!$I$218,),0))*IFERROR(INDEX(AR$10:AR$11,Предпосылки!$I$218,),0),AR447/(1+IFERROR(INDEX(AR$10:AR$11,Предпосылки!$I$219,),0))*IFERROR(INDEX(AR$10:AR$11,Предпосылки!$I$219,),0),AR470/(1+IFERROR(INDEX(AR$10:AR$11,Предпосылки!$I$220,),0))*IFERROR(INDEX(AR$10:AR$11,Предпосылки!$I$220,),0))</f>
        <v>0</v>
      </c>
      <c s="125">
        <f>SUM(AS33/(1+IFERROR(INDEX(AS$10:AS$11,Предпосылки!$I$201,),0))*IFERROR(INDEX(AS$10:AS$11,Предпосылки!$I$201,),0),AS56/(1+IFERROR(INDEX(AS$10:AS$11,Предпосылки!$I$202,),0))*IFERROR(INDEX(AS$10:AS$11,Предпосылки!$I$202,),0),AS79/(1+IFERROR(INDEX(AS$10:AS$11,Предпосылки!$I$203,),0))*IFERROR(INDEX(AS$10:AS$11,Предпосылки!$I$203,),0),AS102/(1+IFERROR(INDEX(AS$10:AS$11,Предпосылки!$I$204,),0))*IFERROR(INDEX(AS$10:AS$11,Предпосылки!$I$204,),0),AS125/(1+IFERROR(INDEX(AS$10:AS$11,Предпосылки!$I$205,),0))*IFERROR(INDEX(AS$10:AS$11,Предпосылки!$I$205,),0),AS148/(1+IFERROR(INDEX(AS$10:AS$11,Предпосылки!$I$206,),0))*IFERROR(INDEX(AS$10:AS$11,Предпосылки!$I$206,),0),AS171/(1+IFERROR(INDEX(AS$10:AS$11,Предпосылки!$I$207,),0))*IFERROR(INDEX(AS$10:AS$11,Предпосылки!$I$207,),0),AS194/(1+IFERROR(INDEX(AS$10:AS$11,Предпосылки!$I$208,),0))*IFERROR(INDEX(AS$10:AS$11,Предпосылки!$I$208,),0),AS217/(1+IFERROR(INDEX(AS$10:AS$11,Предпосылки!$I$209,),0))*IFERROR(INDEX(AS$10:AS$11,Предпосылки!$I$209,),0),AS240/(1+IFERROR(INDEX(AS$10:AS$11,Предпосылки!$I$210,),0))*IFERROR(INDEX(AS$10:AS$11,Предпосылки!$I$210,),0),AS263/(1+IFERROR(INDEX(AS$10:AS$11,Предпосылки!$I$211,),0))*IFERROR(INDEX(AS$10:AS$11,Предпосылки!$I$211,),0),AS286/(1+IFERROR(INDEX(AS$10:AS$11,Предпосылки!$I$212,),0))*IFERROR(INDEX(AS$10:AS$11,Предпосылки!$I$212,),0),AS309/(1+IFERROR(INDEX(AS$10:AS$11,Предпосылки!$I$213,),0))*IFERROR(INDEX(AS$10:AS$11,Предпосылки!$I$213,),0),AS332/(1+IFERROR(INDEX(AS$10:AS$11,Предпосылки!$I$214,),0))*IFERROR(INDEX(AS$10:AS$11,Предпосылки!$I$214,),0),AS355/(1+IFERROR(INDEX(AS$10:AS$11,Предпосылки!$I$215,),0))*IFERROR(INDEX(AS$10:AS$11,Предпосылки!$I$215,),0),AS378/(1+IFERROR(INDEX(AS$10:AS$11,Предпосылки!$I$216,),0))*IFERROR(INDEX(AS$10:AS$11,Предпосылки!$I$216,),0),AS401/(1+IFERROR(INDEX(AS$10:AS$11,Предпосылки!$I$217,),0))*IFERROR(INDEX(AS$10:AS$11,Предпосылки!$I$217,),0),AS424/(1+IFERROR(INDEX(AS$10:AS$11,Предпосылки!$I$218,),0))*IFERROR(INDEX(AS$10:AS$11,Предпосылки!$I$218,),0),AS447/(1+IFERROR(INDEX(AS$10:AS$11,Предпосылки!$I$219,),0))*IFERROR(INDEX(AS$10:AS$11,Предпосылки!$I$219,),0),AS470/(1+IFERROR(INDEX(AS$10:AS$11,Предпосылки!$I$220,),0))*IFERROR(INDEX(AS$10:AS$11,Предпосылки!$I$220,),0))</f>
        <v>0</v>
      </c>
      <c s="125">
        <f>SUM(AT33/(1+IFERROR(INDEX(AT$10:AT$11,Предпосылки!$I$201,),0))*IFERROR(INDEX(AT$10:AT$11,Предпосылки!$I$201,),0),AT56/(1+IFERROR(INDEX(AT$10:AT$11,Предпосылки!$I$202,),0))*IFERROR(INDEX(AT$10:AT$11,Предпосылки!$I$202,),0),AT79/(1+IFERROR(INDEX(AT$10:AT$11,Предпосылки!$I$203,),0))*IFERROR(INDEX(AT$10:AT$11,Предпосылки!$I$203,),0),AT102/(1+IFERROR(INDEX(AT$10:AT$11,Предпосылки!$I$204,),0))*IFERROR(INDEX(AT$10:AT$11,Предпосылки!$I$204,),0),AT125/(1+IFERROR(INDEX(AT$10:AT$11,Предпосылки!$I$205,),0))*IFERROR(INDEX(AT$10:AT$11,Предпосылки!$I$205,),0),AT148/(1+IFERROR(INDEX(AT$10:AT$11,Предпосылки!$I$206,),0))*IFERROR(INDEX(AT$10:AT$11,Предпосылки!$I$206,),0),AT171/(1+IFERROR(INDEX(AT$10:AT$11,Предпосылки!$I$207,),0))*IFERROR(INDEX(AT$10:AT$11,Предпосылки!$I$207,),0),AT194/(1+IFERROR(INDEX(AT$10:AT$11,Предпосылки!$I$208,),0))*IFERROR(INDEX(AT$10:AT$11,Предпосылки!$I$208,),0),AT217/(1+IFERROR(INDEX(AT$10:AT$11,Предпосылки!$I$209,),0))*IFERROR(INDEX(AT$10:AT$11,Предпосылки!$I$209,),0),AT240/(1+IFERROR(INDEX(AT$10:AT$11,Предпосылки!$I$210,),0))*IFERROR(INDEX(AT$10:AT$11,Предпосылки!$I$210,),0),AT263/(1+IFERROR(INDEX(AT$10:AT$11,Предпосылки!$I$211,),0))*IFERROR(INDEX(AT$10:AT$11,Предпосылки!$I$211,),0),AT286/(1+IFERROR(INDEX(AT$10:AT$11,Предпосылки!$I$212,),0))*IFERROR(INDEX(AT$10:AT$11,Предпосылки!$I$212,),0),AT309/(1+IFERROR(INDEX(AT$10:AT$11,Предпосылки!$I$213,),0))*IFERROR(INDEX(AT$10:AT$11,Предпосылки!$I$213,),0),AT332/(1+IFERROR(INDEX(AT$10:AT$11,Предпосылки!$I$214,),0))*IFERROR(INDEX(AT$10:AT$11,Предпосылки!$I$214,),0),AT355/(1+IFERROR(INDEX(AT$10:AT$11,Предпосылки!$I$215,),0))*IFERROR(INDEX(AT$10:AT$11,Предпосылки!$I$215,),0),AT378/(1+IFERROR(INDEX(AT$10:AT$11,Предпосылки!$I$216,),0))*IFERROR(INDEX(AT$10:AT$11,Предпосылки!$I$216,),0),AT401/(1+IFERROR(INDEX(AT$10:AT$11,Предпосылки!$I$217,),0))*IFERROR(INDEX(AT$10:AT$11,Предпосылки!$I$217,),0),AT424/(1+IFERROR(INDEX(AT$10:AT$11,Предпосылки!$I$218,),0))*IFERROR(INDEX(AT$10:AT$11,Предпосылки!$I$218,),0),AT447/(1+IFERROR(INDEX(AT$10:AT$11,Предпосылки!$I$219,),0))*IFERROR(INDEX(AT$10:AT$11,Предпосылки!$I$219,),0),AT470/(1+IFERROR(INDEX(AT$10:AT$11,Предпосылки!$I$220,),0))*IFERROR(INDEX(AT$10:AT$11,Предпосылки!$I$220,),0))</f>
        <v>0</v>
      </c>
      <c s="125">
        <f>SUM(AU33/(1+IFERROR(INDEX(AU$10:AU$11,Предпосылки!$I$201,),0))*IFERROR(INDEX(AU$10:AU$11,Предпосылки!$I$201,),0),AU56/(1+IFERROR(INDEX(AU$10:AU$11,Предпосылки!$I$202,),0))*IFERROR(INDEX(AU$10:AU$11,Предпосылки!$I$202,),0),AU79/(1+IFERROR(INDEX(AU$10:AU$11,Предпосылки!$I$203,),0))*IFERROR(INDEX(AU$10:AU$11,Предпосылки!$I$203,),0),AU102/(1+IFERROR(INDEX(AU$10:AU$11,Предпосылки!$I$204,),0))*IFERROR(INDEX(AU$10:AU$11,Предпосылки!$I$204,),0),AU125/(1+IFERROR(INDEX(AU$10:AU$11,Предпосылки!$I$205,),0))*IFERROR(INDEX(AU$10:AU$11,Предпосылки!$I$205,),0),AU148/(1+IFERROR(INDEX(AU$10:AU$11,Предпосылки!$I$206,),0))*IFERROR(INDEX(AU$10:AU$11,Предпосылки!$I$206,),0),AU171/(1+IFERROR(INDEX(AU$10:AU$11,Предпосылки!$I$207,),0))*IFERROR(INDEX(AU$10:AU$11,Предпосылки!$I$207,),0),AU194/(1+IFERROR(INDEX(AU$10:AU$11,Предпосылки!$I$208,),0))*IFERROR(INDEX(AU$10:AU$11,Предпосылки!$I$208,),0),AU217/(1+IFERROR(INDEX(AU$10:AU$11,Предпосылки!$I$209,),0))*IFERROR(INDEX(AU$10:AU$11,Предпосылки!$I$209,),0),AU240/(1+IFERROR(INDEX(AU$10:AU$11,Предпосылки!$I$210,),0))*IFERROR(INDEX(AU$10:AU$11,Предпосылки!$I$210,),0),AU263/(1+IFERROR(INDEX(AU$10:AU$11,Предпосылки!$I$211,),0))*IFERROR(INDEX(AU$10:AU$11,Предпосылки!$I$211,),0),AU286/(1+IFERROR(INDEX(AU$10:AU$11,Предпосылки!$I$212,),0))*IFERROR(INDEX(AU$10:AU$11,Предпосылки!$I$212,),0),AU309/(1+IFERROR(INDEX(AU$10:AU$11,Предпосылки!$I$213,),0))*IFERROR(INDEX(AU$10:AU$11,Предпосылки!$I$213,),0),AU332/(1+IFERROR(INDEX(AU$10:AU$11,Предпосылки!$I$214,),0))*IFERROR(INDEX(AU$10:AU$11,Предпосылки!$I$214,),0),AU355/(1+IFERROR(INDEX(AU$10:AU$11,Предпосылки!$I$215,),0))*IFERROR(INDEX(AU$10:AU$11,Предпосылки!$I$215,),0),AU378/(1+IFERROR(INDEX(AU$10:AU$11,Предпосылки!$I$216,),0))*IFERROR(INDEX(AU$10:AU$11,Предпосылки!$I$216,),0),AU401/(1+IFERROR(INDEX(AU$10:AU$11,Предпосылки!$I$217,),0))*IFERROR(INDEX(AU$10:AU$11,Предпосылки!$I$217,),0),AU424/(1+IFERROR(INDEX(AU$10:AU$11,Предпосылки!$I$218,),0))*IFERROR(INDEX(AU$10:AU$11,Предпосылки!$I$218,),0),AU447/(1+IFERROR(INDEX(AU$10:AU$11,Предпосылки!$I$219,),0))*IFERROR(INDEX(AU$10:AU$11,Предпосылки!$I$219,),0),AU470/(1+IFERROR(INDEX(AU$10:AU$11,Предпосылки!$I$220,),0))*IFERROR(INDEX(AU$10:AU$11,Предпосылки!$I$220,),0))</f>
        <v>0</v>
      </c>
      <c s="125">
        <f>SUM(AV33/(1+IFERROR(INDEX(AV$10:AV$11,Предпосылки!$I$201,),0))*IFERROR(INDEX(AV$10:AV$11,Предпосылки!$I$201,),0),AV56/(1+IFERROR(INDEX(AV$10:AV$11,Предпосылки!$I$202,),0))*IFERROR(INDEX(AV$10:AV$11,Предпосылки!$I$202,),0),AV79/(1+IFERROR(INDEX(AV$10:AV$11,Предпосылки!$I$203,),0))*IFERROR(INDEX(AV$10:AV$11,Предпосылки!$I$203,),0),AV102/(1+IFERROR(INDEX(AV$10:AV$11,Предпосылки!$I$204,),0))*IFERROR(INDEX(AV$10:AV$11,Предпосылки!$I$204,),0),AV125/(1+IFERROR(INDEX(AV$10:AV$11,Предпосылки!$I$205,),0))*IFERROR(INDEX(AV$10:AV$11,Предпосылки!$I$205,),0),AV148/(1+IFERROR(INDEX(AV$10:AV$11,Предпосылки!$I$206,),0))*IFERROR(INDEX(AV$10:AV$11,Предпосылки!$I$206,),0),AV171/(1+IFERROR(INDEX(AV$10:AV$11,Предпосылки!$I$207,),0))*IFERROR(INDEX(AV$10:AV$11,Предпосылки!$I$207,),0),AV194/(1+IFERROR(INDEX(AV$10:AV$11,Предпосылки!$I$208,),0))*IFERROR(INDEX(AV$10:AV$11,Предпосылки!$I$208,),0),AV217/(1+IFERROR(INDEX(AV$10:AV$11,Предпосылки!$I$209,),0))*IFERROR(INDEX(AV$10:AV$11,Предпосылки!$I$209,),0),AV240/(1+IFERROR(INDEX(AV$10:AV$11,Предпосылки!$I$210,),0))*IFERROR(INDEX(AV$10:AV$11,Предпосылки!$I$210,),0),AV263/(1+IFERROR(INDEX(AV$10:AV$11,Предпосылки!$I$211,),0))*IFERROR(INDEX(AV$10:AV$11,Предпосылки!$I$211,),0),AV286/(1+IFERROR(INDEX(AV$10:AV$11,Предпосылки!$I$212,),0))*IFERROR(INDEX(AV$10:AV$11,Предпосылки!$I$212,),0),AV309/(1+IFERROR(INDEX(AV$10:AV$11,Предпосылки!$I$213,),0))*IFERROR(INDEX(AV$10:AV$11,Предпосылки!$I$213,),0),AV332/(1+IFERROR(INDEX(AV$10:AV$11,Предпосылки!$I$214,),0))*IFERROR(INDEX(AV$10:AV$11,Предпосылки!$I$214,),0),AV355/(1+IFERROR(INDEX(AV$10:AV$11,Предпосылки!$I$215,),0))*IFERROR(INDEX(AV$10:AV$11,Предпосылки!$I$215,),0),AV378/(1+IFERROR(INDEX(AV$10:AV$11,Предпосылки!$I$216,),0))*IFERROR(INDEX(AV$10:AV$11,Предпосылки!$I$216,),0),AV401/(1+IFERROR(INDEX(AV$10:AV$11,Предпосылки!$I$217,),0))*IFERROR(INDEX(AV$10:AV$11,Предпосылки!$I$217,),0),AV424/(1+IFERROR(INDEX(AV$10:AV$11,Предпосылки!$I$218,),0))*IFERROR(INDEX(AV$10:AV$11,Предпосылки!$I$218,),0),AV447/(1+IFERROR(INDEX(AV$10:AV$11,Предпосылки!$I$219,),0))*IFERROR(INDEX(AV$10:AV$11,Предпосылки!$I$219,),0),AV470/(1+IFERROR(INDEX(AV$10:AV$11,Предпосылки!$I$220,),0))*IFERROR(INDEX(AV$10:AV$11,Предпосылки!$I$220,),0))</f>
        <v>0</v>
      </c>
      <c s="125">
        <f>SUM(AW33/(1+IFERROR(INDEX(AW$10:AW$11,Предпосылки!$I$201,),0))*IFERROR(INDEX(AW$10:AW$11,Предпосылки!$I$201,),0),AW56/(1+IFERROR(INDEX(AW$10:AW$11,Предпосылки!$I$202,),0))*IFERROR(INDEX(AW$10:AW$11,Предпосылки!$I$202,),0),AW79/(1+IFERROR(INDEX(AW$10:AW$11,Предпосылки!$I$203,),0))*IFERROR(INDEX(AW$10:AW$11,Предпосылки!$I$203,),0),AW102/(1+IFERROR(INDEX(AW$10:AW$11,Предпосылки!$I$204,),0))*IFERROR(INDEX(AW$10:AW$11,Предпосылки!$I$204,),0),AW125/(1+IFERROR(INDEX(AW$10:AW$11,Предпосылки!$I$205,),0))*IFERROR(INDEX(AW$10:AW$11,Предпосылки!$I$205,),0),AW148/(1+IFERROR(INDEX(AW$10:AW$11,Предпосылки!$I$206,),0))*IFERROR(INDEX(AW$10:AW$11,Предпосылки!$I$206,),0),AW171/(1+IFERROR(INDEX(AW$10:AW$11,Предпосылки!$I$207,),0))*IFERROR(INDEX(AW$10:AW$11,Предпосылки!$I$207,),0),AW194/(1+IFERROR(INDEX(AW$10:AW$11,Предпосылки!$I$208,),0))*IFERROR(INDEX(AW$10:AW$11,Предпосылки!$I$208,),0),AW217/(1+IFERROR(INDEX(AW$10:AW$11,Предпосылки!$I$209,),0))*IFERROR(INDEX(AW$10:AW$11,Предпосылки!$I$209,),0),AW240/(1+IFERROR(INDEX(AW$10:AW$11,Предпосылки!$I$210,),0))*IFERROR(INDEX(AW$10:AW$11,Предпосылки!$I$210,),0),AW263/(1+IFERROR(INDEX(AW$10:AW$11,Предпосылки!$I$211,),0))*IFERROR(INDEX(AW$10:AW$11,Предпосылки!$I$211,),0),AW286/(1+IFERROR(INDEX(AW$10:AW$11,Предпосылки!$I$212,),0))*IFERROR(INDEX(AW$10:AW$11,Предпосылки!$I$212,),0),AW309/(1+IFERROR(INDEX(AW$10:AW$11,Предпосылки!$I$213,),0))*IFERROR(INDEX(AW$10:AW$11,Предпосылки!$I$213,),0),AW332/(1+IFERROR(INDEX(AW$10:AW$11,Предпосылки!$I$214,),0))*IFERROR(INDEX(AW$10:AW$11,Предпосылки!$I$214,),0),AW355/(1+IFERROR(INDEX(AW$10:AW$11,Предпосылки!$I$215,),0))*IFERROR(INDEX(AW$10:AW$11,Предпосылки!$I$215,),0),AW378/(1+IFERROR(INDEX(AW$10:AW$11,Предпосылки!$I$216,),0))*IFERROR(INDEX(AW$10:AW$11,Предпосылки!$I$216,),0),AW401/(1+IFERROR(INDEX(AW$10:AW$11,Предпосылки!$I$217,),0))*IFERROR(INDEX(AW$10:AW$11,Предпосылки!$I$217,),0),AW424/(1+IFERROR(INDEX(AW$10:AW$11,Предпосылки!$I$218,),0))*IFERROR(INDEX(AW$10:AW$11,Предпосылки!$I$218,),0),AW447/(1+IFERROR(INDEX(AW$10:AW$11,Предпосылки!$I$219,),0))*IFERROR(INDEX(AW$10:AW$11,Предпосылки!$I$219,),0),AW470/(1+IFERROR(INDEX(AW$10:AW$11,Предпосылки!$I$220,),0))*IFERROR(INDEX(AW$10:AW$11,Предпосылки!$I$220,),0))</f>
        <v>0</v>
      </c>
      <c s="125">
        <f>SUM(AX33/(1+IFERROR(INDEX(AX$10:AX$11,Предпосылки!$I$201,),0))*IFERROR(INDEX(AX$10:AX$11,Предпосылки!$I$201,),0),AX56/(1+IFERROR(INDEX(AX$10:AX$11,Предпосылки!$I$202,),0))*IFERROR(INDEX(AX$10:AX$11,Предпосылки!$I$202,),0),AX79/(1+IFERROR(INDEX(AX$10:AX$11,Предпосылки!$I$203,),0))*IFERROR(INDEX(AX$10:AX$11,Предпосылки!$I$203,),0),AX102/(1+IFERROR(INDEX(AX$10:AX$11,Предпосылки!$I$204,),0))*IFERROR(INDEX(AX$10:AX$11,Предпосылки!$I$204,),0),AX125/(1+IFERROR(INDEX(AX$10:AX$11,Предпосылки!$I$205,),0))*IFERROR(INDEX(AX$10:AX$11,Предпосылки!$I$205,),0),AX148/(1+IFERROR(INDEX(AX$10:AX$11,Предпосылки!$I$206,),0))*IFERROR(INDEX(AX$10:AX$11,Предпосылки!$I$206,),0),AX171/(1+IFERROR(INDEX(AX$10:AX$11,Предпосылки!$I$207,),0))*IFERROR(INDEX(AX$10:AX$11,Предпосылки!$I$207,),0),AX194/(1+IFERROR(INDEX(AX$10:AX$11,Предпосылки!$I$208,),0))*IFERROR(INDEX(AX$10:AX$11,Предпосылки!$I$208,),0),AX217/(1+IFERROR(INDEX(AX$10:AX$11,Предпосылки!$I$209,),0))*IFERROR(INDEX(AX$10:AX$11,Предпосылки!$I$209,),0),AX240/(1+IFERROR(INDEX(AX$10:AX$11,Предпосылки!$I$210,),0))*IFERROR(INDEX(AX$10:AX$11,Предпосылки!$I$210,),0),AX263/(1+IFERROR(INDEX(AX$10:AX$11,Предпосылки!$I$211,),0))*IFERROR(INDEX(AX$10:AX$11,Предпосылки!$I$211,),0),AX286/(1+IFERROR(INDEX(AX$10:AX$11,Предпосылки!$I$212,),0))*IFERROR(INDEX(AX$10:AX$11,Предпосылки!$I$212,),0),AX309/(1+IFERROR(INDEX(AX$10:AX$11,Предпосылки!$I$213,),0))*IFERROR(INDEX(AX$10:AX$11,Предпосылки!$I$213,),0),AX332/(1+IFERROR(INDEX(AX$10:AX$11,Предпосылки!$I$214,),0))*IFERROR(INDEX(AX$10:AX$11,Предпосылки!$I$214,),0),AX355/(1+IFERROR(INDEX(AX$10:AX$11,Предпосылки!$I$215,),0))*IFERROR(INDEX(AX$10:AX$11,Предпосылки!$I$215,),0),AX378/(1+IFERROR(INDEX(AX$10:AX$11,Предпосылки!$I$216,),0))*IFERROR(INDEX(AX$10:AX$11,Предпосылки!$I$216,),0),AX401/(1+IFERROR(INDEX(AX$10:AX$11,Предпосылки!$I$217,),0))*IFERROR(INDEX(AX$10:AX$11,Предпосылки!$I$217,),0),AX424/(1+IFERROR(INDEX(AX$10:AX$11,Предпосылки!$I$218,),0))*IFERROR(INDEX(AX$10:AX$11,Предпосылки!$I$218,),0),AX447/(1+IFERROR(INDEX(AX$10:AX$11,Предпосылки!$I$219,),0))*IFERROR(INDEX(AX$10:AX$11,Предпосылки!$I$219,),0),AX470/(1+IFERROR(INDEX(AX$10:AX$11,Предпосылки!$I$220,),0))*IFERROR(INDEX(AX$10:AX$11,Предпосылки!$I$220,),0))</f>
        <v>0</v>
      </c>
      <c s="125">
        <f>SUM(AY33/(1+IFERROR(INDEX(AY$10:AY$11,Предпосылки!$I$201,),0))*IFERROR(INDEX(AY$10:AY$11,Предпосылки!$I$201,),0),AY56/(1+IFERROR(INDEX(AY$10:AY$11,Предпосылки!$I$202,),0))*IFERROR(INDEX(AY$10:AY$11,Предпосылки!$I$202,),0),AY79/(1+IFERROR(INDEX(AY$10:AY$11,Предпосылки!$I$203,),0))*IFERROR(INDEX(AY$10:AY$11,Предпосылки!$I$203,),0),AY102/(1+IFERROR(INDEX(AY$10:AY$11,Предпосылки!$I$204,),0))*IFERROR(INDEX(AY$10:AY$11,Предпосылки!$I$204,),0),AY125/(1+IFERROR(INDEX(AY$10:AY$11,Предпосылки!$I$205,),0))*IFERROR(INDEX(AY$10:AY$11,Предпосылки!$I$205,),0),AY148/(1+IFERROR(INDEX(AY$10:AY$11,Предпосылки!$I$206,),0))*IFERROR(INDEX(AY$10:AY$11,Предпосылки!$I$206,),0),AY171/(1+IFERROR(INDEX(AY$10:AY$11,Предпосылки!$I$207,),0))*IFERROR(INDEX(AY$10:AY$11,Предпосылки!$I$207,),0),AY194/(1+IFERROR(INDEX(AY$10:AY$11,Предпосылки!$I$208,),0))*IFERROR(INDEX(AY$10:AY$11,Предпосылки!$I$208,),0),AY217/(1+IFERROR(INDEX(AY$10:AY$11,Предпосылки!$I$209,),0))*IFERROR(INDEX(AY$10:AY$11,Предпосылки!$I$209,),0),AY240/(1+IFERROR(INDEX(AY$10:AY$11,Предпосылки!$I$210,),0))*IFERROR(INDEX(AY$10:AY$11,Предпосылки!$I$210,),0),AY263/(1+IFERROR(INDEX(AY$10:AY$11,Предпосылки!$I$211,),0))*IFERROR(INDEX(AY$10:AY$11,Предпосылки!$I$211,),0),AY286/(1+IFERROR(INDEX(AY$10:AY$11,Предпосылки!$I$212,),0))*IFERROR(INDEX(AY$10:AY$11,Предпосылки!$I$212,),0),AY309/(1+IFERROR(INDEX(AY$10:AY$11,Предпосылки!$I$213,),0))*IFERROR(INDEX(AY$10:AY$11,Предпосылки!$I$213,),0),AY332/(1+IFERROR(INDEX(AY$10:AY$11,Предпосылки!$I$214,),0))*IFERROR(INDEX(AY$10:AY$11,Предпосылки!$I$214,),0),AY355/(1+IFERROR(INDEX(AY$10:AY$11,Предпосылки!$I$215,),0))*IFERROR(INDEX(AY$10:AY$11,Предпосылки!$I$215,),0),AY378/(1+IFERROR(INDEX(AY$10:AY$11,Предпосылки!$I$216,),0))*IFERROR(INDEX(AY$10:AY$11,Предпосылки!$I$216,),0),AY401/(1+IFERROR(INDEX(AY$10:AY$11,Предпосылки!$I$217,),0))*IFERROR(INDEX(AY$10:AY$11,Предпосылки!$I$217,),0),AY424/(1+IFERROR(INDEX(AY$10:AY$11,Предпосылки!$I$218,),0))*IFERROR(INDEX(AY$10:AY$11,Предпосылки!$I$218,),0),AY447/(1+IFERROR(INDEX(AY$10:AY$11,Предпосылки!$I$219,),0))*IFERROR(INDEX(AY$10:AY$11,Предпосылки!$I$219,),0),AY470/(1+IFERROR(INDEX(AY$10:AY$11,Предпосылки!$I$220,),0))*IFERROR(INDEX(AY$10:AY$11,Предпосылки!$I$220,),0))</f>
        <v>0</v>
      </c>
      <c s="125">
        <f>SUM(AZ33/(1+IFERROR(INDEX(AZ$10:AZ$11,Предпосылки!$I$201,),0))*IFERROR(INDEX(AZ$10:AZ$11,Предпосылки!$I$201,),0),AZ56/(1+IFERROR(INDEX(AZ$10:AZ$11,Предпосылки!$I$202,),0))*IFERROR(INDEX(AZ$10:AZ$11,Предпосылки!$I$202,),0),AZ79/(1+IFERROR(INDEX(AZ$10:AZ$11,Предпосылки!$I$203,),0))*IFERROR(INDEX(AZ$10:AZ$11,Предпосылки!$I$203,),0),AZ102/(1+IFERROR(INDEX(AZ$10:AZ$11,Предпосылки!$I$204,),0))*IFERROR(INDEX(AZ$10:AZ$11,Предпосылки!$I$204,),0),AZ125/(1+IFERROR(INDEX(AZ$10:AZ$11,Предпосылки!$I$205,),0))*IFERROR(INDEX(AZ$10:AZ$11,Предпосылки!$I$205,),0),AZ148/(1+IFERROR(INDEX(AZ$10:AZ$11,Предпосылки!$I$206,),0))*IFERROR(INDEX(AZ$10:AZ$11,Предпосылки!$I$206,),0),AZ171/(1+IFERROR(INDEX(AZ$10:AZ$11,Предпосылки!$I$207,),0))*IFERROR(INDEX(AZ$10:AZ$11,Предпосылки!$I$207,),0),AZ194/(1+IFERROR(INDEX(AZ$10:AZ$11,Предпосылки!$I$208,),0))*IFERROR(INDEX(AZ$10:AZ$11,Предпосылки!$I$208,),0),AZ217/(1+IFERROR(INDEX(AZ$10:AZ$11,Предпосылки!$I$209,),0))*IFERROR(INDEX(AZ$10:AZ$11,Предпосылки!$I$209,),0),AZ240/(1+IFERROR(INDEX(AZ$10:AZ$11,Предпосылки!$I$210,),0))*IFERROR(INDEX(AZ$10:AZ$11,Предпосылки!$I$210,),0),AZ263/(1+IFERROR(INDEX(AZ$10:AZ$11,Предпосылки!$I$211,),0))*IFERROR(INDEX(AZ$10:AZ$11,Предпосылки!$I$211,),0),AZ286/(1+IFERROR(INDEX(AZ$10:AZ$11,Предпосылки!$I$212,),0))*IFERROR(INDEX(AZ$10:AZ$11,Предпосылки!$I$212,),0),AZ309/(1+IFERROR(INDEX(AZ$10:AZ$11,Предпосылки!$I$213,),0))*IFERROR(INDEX(AZ$10:AZ$11,Предпосылки!$I$213,),0),AZ332/(1+IFERROR(INDEX(AZ$10:AZ$11,Предпосылки!$I$214,),0))*IFERROR(INDEX(AZ$10:AZ$11,Предпосылки!$I$214,),0),AZ355/(1+IFERROR(INDEX(AZ$10:AZ$11,Предпосылки!$I$215,),0))*IFERROR(INDEX(AZ$10:AZ$11,Предпосылки!$I$215,),0),AZ378/(1+IFERROR(INDEX(AZ$10:AZ$11,Предпосылки!$I$216,),0))*IFERROR(INDEX(AZ$10:AZ$11,Предпосылки!$I$216,),0),AZ401/(1+IFERROR(INDEX(AZ$10:AZ$11,Предпосылки!$I$217,),0))*IFERROR(INDEX(AZ$10:AZ$11,Предпосылки!$I$217,),0),AZ424/(1+IFERROR(INDEX(AZ$10:AZ$11,Предпосылки!$I$218,),0))*IFERROR(INDEX(AZ$10:AZ$11,Предпосылки!$I$218,),0),AZ447/(1+IFERROR(INDEX(AZ$10:AZ$11,Предпосылки!$I$219,),0))*IFERROR(INDEX(AZ$10:AZ$11,Предпосылки!$I$219,),0),AZ470/(1+IFERROR(INDEX(AZ$10:AZ$11,Предпосылки!$I$220,),0))*IFERROR(INDEX(AZ$10:AZ$11,Предпосылки!$I$220,),0))</f>
        <v>0</v>
      </c>
      <c s="125">
        <f>SUM(BA33/(1+IFERROR(INDEX(BA$10:BA$11,Предпосылки!$I$201,),0))*IFERROR(INDEX(BA$10:BA$11,Предпосылки!$I$201,),0),BA56/(1+IFERROR(INDEX(BA$10:BA$11,Предпосылки!$I$202,),0))*IFERROR(INDEX(BA$10:BA$11,Предпосылки!$I$202,),0),BA79/(1+IFERROR(INDEX(BA$10:BA$11,Предпосылки!$I$203,),0))*IFERROR(INDEX(BA$10:BA$11,Предпосылки!$I$203,),0),BA102/(1+IFERROR(INDEX(BA$10:BA$11,Предпосылки!$I$204,),0))*IFERROR(INDEX(BA$10:BA$11,Предпосылки!$I$204,),0),BA125/(1+IFERROR(INDEX(BA$10:BA$11,Предпосылки!$I$205,),0))*IFERROR(INDEX(BA$10:BA$11,Предпосылки!$I$205,),0),BA148/(1+IFERROR(INDEX(BA$10:BA$11,Предпосылки!$I$206,),0))*IFERROR(INDEX(BA$10:BA$11,Предпосылки!$I$206,),0),BA171/(1+IFERROR(INDEX(BA$10:BA$11,Предпосылки!$I$207,),0))*IFERROR(INDEX(BA$10:BA$11,Предпосылки!$I$207,),0),BA194/(1+IFERROR(INDEX(BA$10:BA$11,Предпосылки!$I$208,),0))*IFERROR(INDEX(BA$10:BA$11,Предпосылки!$I$208,),0),BA217/(1+IFERROR(INDEX(BA$10:BA$11,Предпосылки!$I$209,),0))*IFERROR(INDEX(BA$10:BA$11,Предпосылки!$I$209,),0),BA240/(1+IFERROR(INDEX(BA$10:BA$11,Предпосылки!$I$210,),0))*IFERROR(INDEX(BA$10:BA$11,Предпосылки!$I$210,),0),BA263/(1+IFERROR(INDEX(BA$10:BA$11,Предпосылки!$I$211,),0))*IFERROR(INDEX(BA$10:BA$11,Предпосылки!$I$211,),0),BA286/(1+IFERROR(INDEX(BA$10:BA$11,Предпосылки!$I$212,),0))*IFERROR(INDEX(BA$10:BA$11,Предпосылки!$I$212,),0),BA309/(1+IFERROR(INDEX(BA$10:BA$11,Предпосылки!$I$213,),0))*IFERROR(INDEX(BA$10:BA$11,Предпосылки!$I$213,),0),BA332/(1+IFERROR(INDEX(BA$10:BA$11,Предпосылки!$I$214,),0))*IFERROR(INDEX(BA$10:BA$11,Предпосылки!$I$214,),0),BA355/(1+IFERROR(INDEX(BA$10:BA$11,Предпосылки!$I$215,),0))*IFERROR(INDEX(BA$10:BA$11,Предпосылки!$I$215,),0),BA378/(1+IFERROR(INDEX(BA$10:BA$11,Предпосылки!$I$216,),0))*IFERROR(INDEX(BA$10:BA$11,Предпосылки!$I$216,),0),BA401/(1+IFERROR(INDEX(BA$10:BA$11,Предпосылки!$I$217,),0))*IFERROR(INDEX(BA$10:BA$11,Предпосылки!$I$217,),0),BA424/(1+IFERROR(INDEX(BA$10:BA$11,Предпосылки!$I$218,),0))*IFERROR(INDEX(BA$10:BA$11,Предпосылки!$I$218,),0),BA447/(1+IFERROR(INDEX(BA$10:BA$11,Предпосылки!$I$219,),0))*IFERROR(INDEX(BA$10:BA$11,Предпосылки!$I$219,),0),BA470/(1+IFERROR(INDEX(BA$10:BA$11,Предпосылки!$I$220,),0))*IFERROR(INDEX(BA$10:BA$11,Предпосылки!$I$220,),0))</f>
        <v>0</v>
      </c>
      <c s="125">
        <f>SUM(BB33/(1+IFERROR(INDEX(BB$10:BB$11,Предпосылки!$I$201,),0))*IFERROR(INDEX(BB$10:BB$11,Предпосылки!$I$201,),0),BB56/(1+IFERROR(INDEX(BB$10:BB$11,Предпосылки!$I$202,),0))*IFERROR(INDEX(BB$10:BB$11,Предпосылки!$I$202,),0),BB79/(1+IFERROR(INDEX(BB$10:BB$11,Предпосылки!$I$203,),0))*IFERROR(INDEX(BB$10:BB$11,Предпосылки!$I$203,),0),BB102/(1+IFERROR(INDEX(BB$10:BB$11,Предпосылки!$I$204,),0))*IFERROR(INDEX(BB$10:BB$11,Предпосылки!$I$204,),0),BB125/(1+IFERROR(INDEX(BB$10:BB$11,Предпосылки!$I$205,),0))*IFERROR(INDEX(BB$10:BB$11,Предпосылки!$I$205,),0),BB148/(1+IFERROR(INDEX(BB$10:BB$11,Предпосылки!$I$206,),0))*IFERROR(INDEX(BB$10:BB$11,Предпосылки!$I$206,),0),BB171/(1+IFERROR(INDEX(BB$10:BB$11,Предпосылки!$I$207,),0))*IFERROR(INDEX(BB$10:BB$11,Предпосылки!$I$207,),0),BB194/(1+IFERROR(INDEX(BB$10:BB$11,Предпосылки!$I$208,),0))*IFERROR(INDEX(BB$10:BB$11,Предпосылки!$I$208,),0),BB217/(1+IFERROR(INDEX(BB$10:BB$11,Предпосылки!$I$209,),0))*IFERROR(INDEX(BB$10:BB$11,Предпосылки!$I$209,),0),BB240/(1+IFERROR(INDEX(BB$10:BB$11,Предпосылки!$I$210,),0))*IFERROR(INDEX(BB$10:BB$11,Предпосылки!$I$210,),0),BB263/(1+IFERROR(INDEX(BB$10:BB$11,Предпосылки!$I$211,),0))*IFERROR(INDEX(BB$10:BB$11,Предпосылки!$I$211,),0),BB286/(1+IFERROR(INDEX(BB$10:BB$11,Предпосылки!$I$212,),0))*IFERROR(INDEX(BB$10:BB$11,Предпосылки!$I$212,),0),BB309/(1+IFERROR(INDEX(BB$10:BB$11,Предпосылки!$I$213,),0))*IFERROR(INDEX(BB$10:BB$11,Предпосылки!$I$213,),0),BB332/(1+IFERROR(INDEX(BB$10:BB$11,Предпосылки!$I$214,),0))*IFERROR(INDEX(BB$10:BB$11,Предпосылки!$I$214,),0),BB355/(1+IFERROR(INDEX(BB$10:BB$11,Предпосылки!$I$215,),0))*IFERROR(INDEX(BB$10:BB$11,Предпосылки!$I$215,),0),BB378/(1+IFERROR(INDEX(BB$10:BB$11,Предпосылки!$I$216,),0))*IFERROR(INDEX(BB$10:BB$11,Предпосылки!$I$216,),0),BB401/(1+IFERROR(INDEX(BB$10:BB$11,Предпосылки!$I$217,),0))*IFERROR(INDEX(BB$10:BB$11,Предпосылки!$I$217,),0),BB424/(1+IFERROR(INDEX(BB$10:BB$11,Предпосылки!$I$218,),0))*IFERROR(INDEX(BB$10:BB$11,Предпосылки!$I$218,),0),BB447/(1+IFERROR(INDEX(BB$10:BB$11,Предпосылки!$I$219,),0))*IFERROR(INDEX(BB$10:BB$11,Предпосылки!$I$219,),0),BB470/(1+IFERROR(INDEX(BB$10:BB$11,Предпосылки!$I$220,),0))*IFERROR(INDEX(BB$10:BB$11,Предпосылки!$I$220,),0))</f>
        <v>0</v>
      </c>
      <c s="125">
        <f>SUM(BC33/(1+IFERROR(INDEX(BC$10:BC$11,Предпосылки!$I$201,),0))*IFERROR(INDEX(BC$10:BC$11,Предпосылки!$I$201,),0),BC56/(1+IFERROR(INDEX(BC$10:BC$11,Предпосылки!$I$202,),0))*IFERROR(INDEX(BC$10:BC$11,Предпосылки!$I$202,),0),BC79/(1+IFERROR(INDEX(BC$10:BC$11,Предпосылки!$I$203,),0))*IFERROR(INDEX(BC$10:BC$11,Предпосылки!$I$203,),0),BC102/(1+IFERROR(INDEX(BC$10:BC$11,Предпосылки!$I$204,),0))*IFERROR(INDEX(BC$10:BC$11,Предпосылки!$I$204,),0),BC125/(1+IFERROR(INDEX(BC$10:BC$11,Предпосылки!$I$205,),0))*IFERROR(INDEX(BC$10:BC$11,Предпосылки!$I$205,),0),BC148/(1+IFERROR(INDEX(BC$10:BC$11,Предпосылки!$I$206,),0))*IFERROR(INDEX(BC$10:BC$11,Предпосылки!$I$206,),0),BC171/(1+IFERROR(INDEX(BC$10:BC$11,Предпосылки!$I$207,),0))*IFERROR(INDEX(BC$10:BC$11,Предпосылки!$I$207,),0),BC194/(1+IFERROR(INDEX(BC$10:BC$11,Предпосылки!$I$208,),0))*IFERROR(INDEX(BC$10:BC$11,Предпосылки!$I$208,),0),BC217/(1+IFERROR(INDEX(BC$10:BC$11,Предпосылки!$I$209,),0))*IFERROR(INDEX(BC$10:BC$11,Предпосылки!$I$209,),0),BC240/(1+IFERROR(INDEX(BC$10:BC$11,Предпосылки!$I$210,),0))*IFERROR(INDEX(BC$10:BC$11,Предпосылки!$I$210,),0),BC263/(1+IFERROR(INDEX(BC$10:BC$11,Предпосылки!$I$211,),0))*IFERROR(INDEX(BC$10:BC$11,Предпосылки!$I$211,),0),BC286/(1+IFERROR(INDEX(BC$10:BC$11,Предпосылки!$I$212,),0))*IFERROR(INDEX(BC$10:BC$11,Предпосылки!$I$212,),0),BC309/(1+IFERROR(INDEX(BC$10:BC$11,Предпосылки!$I$213,),0))*IFERROR(INDEX(BC$10:BC$11,Предпосылки!$I$213,),0),BC332/(1+IFERROR(INDEX(BC$10:BC$11,Предпосылки!$I$214,),0))*IFERROR(INDEX(BC$10:BC$11,Предпосылки!$I$214,),0),BC355/(1+IFERROR(INDEX(BC$10:BC$11,Предпосылки!$I$215,),0))*IFERROR(INDEX(BC$10:BC$11,Предпосылки!$I$215,),0),BC378/(1+IFERROR(INDEX(BC$10:BC$11,Предпосылки!$I$216,),0))*IFERROR(INDEX(BC$10:BC$11,Предпосылки!$I$216,),0),BC401/(1+IFERROR(INDEX(BC$10:BC$11,Предпосылки!$I$217,),0))*IFERROR(INDEX(BC$10:BC$11,Предпосылки!$I$217,),0),BC424/(1+IFERROR(INDEX(BC$10:BC$11,Предпосылки!$I$218,),0))*IFERROR(INDEX(BC$10:BC$11,Предпосылки!$I$218,),0),BC447/(1+IFERROR(INDEX(BC$10:BC$11,Предпосылки!$I$219,),0))*IFERROR(INDEX(BC$10:BC$11,Предпосылки!$I$219,),0),BC470/(1+IFERROR(INDEX(BC$10:BC$11,Предпосылки!$I$220,),0))*IFERROR(INDEX(BC$10:BC$11,Предпосылки!$I$220,),0))</f>
        <v>0</v>
      </c>
      <c s="125">
        <f>SUM(BD33/(1+IFERROR(INDEX(BD$10:BD$11,Предпосылки!$I$201,),0))*IFERROR(INDEX(BD$10:BD$11,Предпосылки!$I$201,),0),BD56/(1+IFERROR(INDEX(BD$10:BD$11,Предпосылки!$I$202,),0))*IFERROR(INDEX(BD$10:BD$11,Предпосылки!$I$202,),0),BD79/(1+IFERROR(INDEX(BD$10:BD$11,Предпосылки!$I$203,),0))*IFERROR(INDEX(BD$10:BD$11,Предпосылки!$I$203,),0),BD102/(1+IFERROR(INDEX(BD$10:BD$11,Предпосылки!$I$204,),0))*IFERROR(INDEX(BD$10:BD$11,Предпосылки!$I$204,),0),BD125/(1+IFERROR(INDEX(BD$10:BD$11,Предпосылки!$I$205,),0))*IFERROR(INDEX(BD$10:BD$11,Предпосылки!$I$205,),0),BD148/(1+IFERROR(INDEX(BD$10:BD$11,Предпосылки!$I$206,),0))*IFERROR(INDEX(BD$10:BD$11,Предпосылки!$I$206,),0),BD171/(1+IFERROR(INDEX(BD$10:BD$11,Предпосылки!$I$207,),0))*IFERROR(INDEX(BD$10:BD$11,Предпосылки!$I$207,),0),BD194/(1+IFERROR(INDEX(BD$10:BD$11,Предпосылки!$I$208,),0))*IFERROR(INDEX(BD$10:BD$11,Предпосылки!$I$208,),0),BD217/(1+IFERROR(INDEX(BD$10:BD$11,Предпосылки!$I$209,),0))*IFERROR(INDEX(BD$10:BD$11,Предпосылки!$I$209,),0),BD240/(1+IFERROR(INDEX(BD$10:BD$11,Предпосылки!$I$210,),0))*IFERROR(INDEX(BD$10:BD$11,Предпосылки!$I$210,),0),BD263/(1+IFERROR(INDEX(BD$10:BD$11,Предпосылки!$I$211,),0))*IFERROR(INDEX(BD$10:BD$11,Предпосылки!$I$211,),0),BD286/(1+IFERROR(INDEX(BD$10:BD$11,Предпосылки!$I$212,),0))*IFERROR(INDEX(BD$10:BD$11,Предпосылки!$I$212,),0),BD309/(1+IFERROR(INDEX(BD$10:BD$11,Предпосылки!$I$213,),0))*IFERROR(INDEX(BD$10:BD$11,Предпосылки!$I$213,),0),BD332/(1+IFERROR(INDEX(BD$10:BD$11,Предпосылки!$I$214,),0))*IFERROR(INDEX(BD$10:BD$11,Предпосылки!$I$214,),0),BD355/(1+IFERROR(INDEX(BD$10:BD$11,Предпосылки!$I$215,),0))*IFERROR(INDEX(BD$10:BD$11,Предпосылки!$I$215,),0),BD378/(1+IFERROR(INDEX(BD$10:BD$11,Предпосылки!$I$216,),0))*IFERROR(INDEX(BD$10:BD$11,Предпосылки!$I$216,),0),BD401/(1+IFERROR(INDEX(BD$10:BD$11,Предпосылки!$I$217,),0))*IFERROR(INDEX(BD$10:BD$11,Предпосылки!$I$217,),0),BD424/(1+IFERROR(INDEX(BD$10:BD$11,Предпосылки!$I$218,),0))*IFERROR(INDEX(BD$10:BD$11,Предпосылки!$I$218,),0),BD447/(1+IFERROR(INDEX(BD$10:BD$11,Предпосылки!$I$219,),0))*IFERROR(INDEX(BD$10:BD$11,Предпосылки!$I$219,),0),BD470/(1+IFERROR(INDEX(BD$10:BD$11,Предпосылки!$I$220,),0))*IFERROR(INDEX(BD$10:BD$11,Предпосылки!$I$220,),0))</f>
        <v>0</v>
      </c>
      <c s="125">
        <f>SUM(BE33/(1+IFERROR(INDEX(BE$10:BE$11,Предпосылки!$I$201,),0))*IFERROR(INDEX(BE$10:BE$11,Предпосылки!$I$201,),0),BE56/(1+IFERROR(INDEX(BE$10:BE$11,Предпосылки!$I$202,),0))*IFERROR(INDEX(BE$10:BE$11,Предпосылки!$I$202,),0),BE79/(1+IFERROR(INDEX(BE$10:BE$11,Предпосылки!$I$203,),0))*IFERROR(INDEX(BE$10:BE$11,Предпосылки!$I$203,),0),BE102/(1+IFERROR(INDEX(BE$10:BE$11,Предпосылки!$I$204,),0))*IFERROR(INDEX(BE$10:BE$11,Предпосылки!$I$204,),0),BE125/(1+IFERROR(INDEX(BE$10:BE$11,Предпосылки!$I$205,),0))*IFERROR(INDEX(BE$10:BE$11,Предпосылки!$I$205,),0),BE148/(1+IFERROR(INDEX(BE$10:BE$11,Предпосылки!$I$206,),0))*IFERROR(INDEX(BE$10:BE$11,Предпосылки!$I$206,),0),BE171/(1+IFERROR(INDEX(BE$10:BE$11,Предпосылки!$I$207,),0))*IFERROR(INDEX(BE$10:BE$11,Предпосылки!$I$207,),0),BE194/(1+IFERROR(INDEX(BE$10:BE$11,Предпосылки!$I$208,),0))*IFERROR(INDEX(BE$10:BE$11,Предпосылки!$I$208,),0),BE217/(1+IFERROR(INDEX(BE$10:BE$11,Предпосылки!$I$209,),0))*IFERROR(INDEX(BE$10:BE$11,Предпосылки!$I$209,),0),BE240/(1+IFERROR(INDEX(BE$10:BE$11,Предпосылки!$I$210,),0))*IFERROR(INDEX(BE$10:BE$11,Предпосылки!$I$210,),0),BE263/(1+IFERROR(INDEX(BE$10:BE$11,Предпосылки!$I$211,),0))*IFERROR(INDEX(BE$10:BE$11,Предпосылки!$I$211,),0),BE286/(1+IFERROR(INDEX(BE$10:BE$11,Предпосылки!$I$212,),0))*IFERROR(INDEX(BE$10:BE$11,Предпосылки!$I$212,),0),BE309/(1+IFERROR(INDEX(BE$10:BE$11,Предпосылки!$I$213,),0))*IFERROR(INDEX(BE$10:BE$11,Предпосылки!$I$213,),0),BE332/(1+IFERROR(INDEX(BE$10:BE$11,Предпосылки!$I$214,),0))*IFERROR(INDEX(BE$10:BE$11,Предпосылки!$I$214,),0),BE355/(1+IFERROR(INDEX(BE$10:BE$11,Предпосылки!$I$215,),0))*IFERROR(INDEX(BE$10:BE$11,Предпосылки!$I$215,),0),BE378/(1+IFERROR(INDEX(BE$10:BE$11,Предпосылки!$I$216,),0))*IFERROR(INDEX(BE$10:BE$11,Предпосылки!$I$216,),0),BE401/(1+IFERROR(INDEX(BE$10:BE$11,Предпосылки!$I$217,),0))*IFERROR(INDEX(BE$10:BE$11,Предпосылки!$I$217,),0),BE424/(1+IFERROR(INDEX(BE$10:BE$11,Предпосылки!$I$218,),0))*IFERROR(INDEX(BE$10:BE$11,Предпосылки!$I$218,),0),BE447/(1+IFERROR(INDEX(BE$10:BE$11,Предпосылки!$I$219,),0))*IFERROR(INDEX(BE$10:BE$11,Предпосылки!$I$219,),0),BE470/(1+IFERROR(INDEX(BE$10:BE$11,Предпосылки!$I$220,),0))*IFERROR(INDEX(BE$10:BE$11,Предпосылки!$I$220,),0))</f>
        <v>0</v>
      </c>
      <c s="125">
        <f>SUM(BF33/(1+IFERROR(INDEX(BF$10:BF$11,Предпосылки!$I$201,),0))*IFERROR(INDEX(BF$10:BF$11,Предпосылки!$I$201,),0),BF56/(1+IFERROR(INDEX(BF$10:BF$11,Предпосылки!$I$202,),0))*IFERROR(INDEX(BF$10:BF$11,Предпосылки!$I$202,),0),BF79/(1+IFERROR(INDEX(BF$10:BF$11,Предпосылки!$I$203,),0))*IFERROR(INDEX(BF$10:BF$11,Предпосылки!$I$203,),0),BF102/(1+IFERROR(INDEX(BF$10:BF$11,Предпосылки!$I$204,),0))*IFERROR(INDEX(BF$10:BF$11,Предпосылки!$I$204,),0),BF125/(1+IFERROR(INDEX(BF$10:BF$11,Предпосылки!$I$205,),0))*IFERROR(INDEX(BF$10:BF$11,Предпосылки!$I$205,),0),BF148/(1+IFERROR(INDEX(BF$10:BF$11,Предпосылки!$I$206,),0))*IFERROR(INDEX(BF$10:BF$11,Предпосылки!$I$206,),0),BF171/(1+IFERROR(INDEX(BF$10:BF$11,Предпосылки!$I$207,),0))*IFERROR(INDEX(BF$10:BF$11,Предпосылки!$I$207,),0),BF194/(1+IFERROR(INDEX(BF$10:BF$11,Предпосылки!$I$208,),0))*IFERROR(INDEX(BF$10:BF$11,Предпосылки!$I$208,),0),BF217/(1+IFERROR(INDEX(BF$10:BF$11,Предпосылки!$I$209,),0))*IFERROR(INDEX(BF$10:BF$11,Предпосылки!$I$209,),0),BF240/(1+IFERROR(INDEX(BF$10:BF$11,Предпосылки!$I$210,),0))*IFERROR(INDEX(BF$10:BF$11,Предпосылки!$I$210,),0),BF263/(1+IFERROR(INDEX(BF$10:BF$11,Предпосылки!$I$211,),0))*IFERROR(INDEX(BF$10:BF$11,Предпосылки!$I$211,),0),BF286/(1+IFERROR(INDEX(BF$10:BF$11,Предпосылки!$I$212,),0))*IFERROR(INDEX(BF$10:BF$11,Предпосылки!$I$212,),0),BF309/(1+IFERROR(INDEX(BF$10:BF$11,Предпосылки!$I$213,),0))*IFERROR(INDEX(BF$10:BF$11,Предпосылки!$I$213,),0),BF332/(1+IFERROR(INDEX(BF$10:BF$11,Предпосылки!$I$214,),0))*IFERROR(INDEX(BF$10:BF$11,Предпосылки!$I$214,),0),BF355/(1+IFERROR(INDEX(BF$10:BF$11,Предпосылки!$I$215,),0))*IFERROR(INDEX(BF$10:BF$11,Предпосылки!$I$215,),0),BF378/(1+IFERROR(INDEX(BF$10:BF$11,Предпосылки!$I$216,),0))*IFERROR(INDEX(BF$10:BF$11,Предпосылки!$I$216,),0),BF401/(1+IFERROR(INDEX(BF$10:BF$11,Предпосылки!$I$217,),0))*IFERROR(INDEX(BF$10:BF$11,Предпосылки!$I$217,),0),BF424/(1+IFERROR(INDEX(BF$10:BF$11,Предпосылки!$I$218,),0))*IFERROR(INDEX(BF$10:BF$11,Предпосылки!$I$218,),0),BF447/(1+IFERROR(INDEX(BF$10:BF$11,Предпосылки!$I$219,),0))*IFERROR(INDEX(BF$10:BF$11,Предпосылки!$I$219,),0),BF470/(1+IFERROR(INDEX(BF$10:BF$11,Предпосылки!$I$220,),0))*IFERROR(INDEX(BF$10:BF$11,Предпосылки!$I$220,),0))</f>
        <v>0</v>
      </c>
      <c s="125">
        <f>SUM(BG33/(1+IFERROR(INDEX(BG$10:BG$11,Предпосылки!$I$201,),0))*IFERROR(INDEX(BG$10:BG$11,Предпосылки!$I$201,),0),BG56/(1+IFERROR(INDEX(BG$10:BG$11,Предпосылки!$I$202,),0))*IFERROR(INDEX(BG$10:BG$11,Предпосылки!$I$202,),0),BG79/(1+IFERROR(INDEX(BG$10:BG$11,Предпосылки!$I$203,),0))*IFERROR(INDEX(BG$10:BG$11,Предпосылки!$I$203,),0),BG102/(1+IFERROR(INDEX(BG$10:BG$11,Предпосылки!$I$204,),0))*IFERROR(INDEX(BG$10:BG$11,Предпосылки!$I$204,),0),BG125/(1+IFERROR(INDEX(BG$10:BG$11,Предпосылки!$I$205,),0))*IFERROR(INDEX(BG$10:BG$11,Предпосылки!$I$205,),0),BG148/(1+IFERROR(INDEX(BG$10:BG$11,Предпосылки!$I$206,),0))*IFERROR(INDEX(BG$10:BG$11,Предпосылки!$I$206,),0),BG171/(1+IFERROR(INDEX(BG$10:BG$11,Предпосылки!$I$207,),0))*IFERROR(INDEX(BG$10:BG$11,Предпосылки!$I$207,),0),BG194/(1+IFERROR(INDEX(BG$10:BG$11,Предпосылки!$I$208,),0))*IFERROR(INDEX(BG$10:BG$11,Предпосылки!$I$208,),0),BG217/(1+IFERROR(INDEX(BG$10:BG$11,Предпосылки!$I$209,),0))*IFERROR(INDEX(BG$10:BG$11,Предпосылки!$I$209,),0),BG240/(1+IFERROR(INDEX(BG$10:BG$11,Предпосылки!$I$210,),0))*IFERROR(INDEX(BG$10:BG$11,Предпосылки!$I$210,),0),BG263/(1+IFERROR(INDEX(BG$10:BG$11,Предпосылки!$I$211,),0))*IFERROR(INDEX(BG$10:BG$11,Предпосылки!$I$211,),0),BG286/(1+IFERROR(INDEX(BG$10:BG$11,Предпосылки!$I$212,),0))*IFERROR(INDEX(BG$10:BG$11,Предпосылки!$I$212,),0),BG309/(1+IFERROR(INDEX(BG$10:BG$11,Предпосылки!$I$213,),0))*IFERROR(INDEX(BG$10:BG$11,Предпосылки!$I$213,),0),BG332/(1+IFERROR(INDEX(BG$10:BG$11,Предпосылки!$I$214,),0))*IFERROR(INDEX(BG$10:BG$11,Предпосылки!$I$214,),0),BG355/(1+IFERROR(INDEX(BG$10:BG$11,Предпосылки!$I$215,),0))*IFERROR(INDEX(BG$10:BG$11,Предпосылки!$I$215,),0),BG378/(1+IFERROR(INDEX(BG$10:BG$11,Предпосылки!$I$216,),0))*IFERROR(INDEX(BG$10:BG$11,Предпосылки!$I$216,),0),BG401/(1+IFERROR(INDEX(BG$10:BG$11,Предпосылки!$I$217,),0))*IFERROR(INDEX(BG$10:BG$11,Предпосылки!$I$217,),0),BG424/(1+IFERROR(INDEX(BG$10:BG$11,Предпосылки!$I$218,),0))*IFERROR(INDEX(BG$10:BG$11,Предпосылки!$I$218,),0),BG447/(1+IFERROR(INDEX(BG$10:BG$11,Предпосылки!$I$219,),0))*IFERROR(INDEX(BG$10:BG$11,Предпосылки!$I$219,),0),BG470/(1+IFERROR(INDEX(BG$10:BG$11,Предпосылки!$I$220,),0))*IFERROR(INDEX(BG$10:BG$11,Предпосылки!$I$220,),0))</f>
        <v>0</v>
      </c>
      <c s="125">
        <f>SUM(BH33/(1+IFERROR(INDEX(BH$10:BH$11,Предпосылки!$I$201,),0))*IFERROR(INDEX(BH$10:BH$11,Предпосылки!$I$201,),0),BH56/(1+IFERROR(INDEX(BH$10:BH$11,Предпосылки!$I$202,),0))*IFERROR(INDEX(BH$10:BH$11,Предпосылки!$I$202,),0),BH79/(1+IFERROR(INDEX(BH$10:BH$11,Предпосылки!$I$203,),0))*IFERROR(INDEX(BH$10:BH$11,Предпосылки!$I$203,),0),BH102/(1+IFERROR(INDEX(BH$10:BH$11,Предпосылки!$I$204,),0))*IFERROR(INDEX(BH$10:BH$11,Предпосылки!$I$204,),0),BH125/(1+IFERROR(INDEX(BH$10:BH$11,Предпосылки!$I$205,),0))*IFERROR(INDEX(BH$10:BH$11,Предпосылки!$I$205,),0),BH148/(1+IFERROR(INDEX(BH$10:BH$11,Предпосылки!$I$206,),0))*IFERROR(INDEX(BH$10:BH$11,Предпосылки!$I$206,),0),BH171/(1+IFERROR(INDEX(BH$10:BH$11,Предпосылки!$I$207,),0))*IFERROR(INDEX(BH$10:BH$11,Предпосылки!$I$207,),0),BH194/(1+IFERROR(INDEX(BH$10:BH$11,Предпосылки!$I$208,),0))*IFERROR(INDEX(BH$10:BH$11,Предпосылки!$I$208,),0),BH217/(1+IFERROR(INDEX(BH$10:BH$11,Предпосылки!$I$209,),0))*IFERROR(INDEX(BH$10:BH$11,Предпосылки!$I$209,),0),BH240/(1+IFERROR(INDEX(BH$10:BH$11,Предпосылки!$I$210,),0))*IFERROR(INDEX(BH$10:BH$11,Предпосылки!$I$210,),0),BH263/(1+IFERROR(INDEX(BH$10:BH$11,Предпосылки!$I$211,),0))*IFERROR(INDEX(BH$10:BH$11,Предпосылки!$I$211,),0),BH286/(1+IFERROR(INDEX(BH$10:BH$11,Предпосылки!$I$212,),0))*IFERROR(INDEX(BH$10:BH$11,Предпосылки!$I$212,),0),BH309/(1+IFERROR(INDEX(BH$10:BH$11,Предпосылки!$I$213,),0))*IFERROR(INDEX(BH$10:BH$11,Предпосылки!$I$213,),0),BH332/(1+IFERROR(INDEX(BH$10:BH$11,Предпосылки!$I$214,),0))*IFERROR(INDEX(BH$10:BH$11,Предпосылки!$I$214,),0),BH355/(1+IFERROR(INDEX(BH$10:BH$11,Предпосылки!$I$215,),0))*IFERROR(INDEX(BH$10:BH$11,Предпосылки!$I$215,),0),BH378/(1+IFERROR(INDEX(BH$10:BH$11,Предпосылки!$I$216,),0))*IFERROR(INDEX(BH$10:BH$11,Предпосылки!$I$216,),0),BH401/(1+IFERROR(INDEX(BH$10:BH$11,Предпосылки!$I$217,),0))*IFERROR(INDEX(BH$10:BH$11,Предпосылки!$I$217,),0),BH424/(1+IFERROR(INDEX(BH$10:BH$11,Предпосылки!$I$218,),0))*IFERROR(INDEX(BH$10:BH$11,Предпосылки!$I$218,),0),BH447/(1+IFERROR(INDEX(BH$10:BH$11,Предпосылки!$I$219,),0))*IFERROR(INDEX(BH$10:BH$11,Предпосылки!$I$219,),0),BH470/(1+IFERROR(INDEX(BH$10:BH$11,Предпосылки!$I$220,),0))*IFERROR(INDEX(BH$10:BH$11,Предпосылки!$I$220,),0))</f>
        <v>0</v>
      </c>
      <c s="125">
        <f>SUM(BI33/(1+IFERROR(INDEX(BI$10:BI$11,Предпосылки!$I$201,),0))*IFERROR(INDEX(BI$10:BI$11,Предпосылки!$I$201,),0),BI56/(1+IFERROR(INDEX(BI$10:BI$11,Предпосылки!$I$202,),0))*IFERROR(INDEX(BI$10:BI$11,Предпосылки!$I$202,),0),BI79/(1+IFERROR(INDEX(BI$10:BI$11,Предпосылки!$I$203,),0))*IFERROR(INDEX(BI$10:BI$11,Предпосылки!$I$203,),0),BI102/(1+IFERROR(INDEX(BI$10:BI$11,Предпосылки!$I$204,),0))*IFERROR(INDEX(BI$10:BI$11,Предпосылки!$I$204,),0),BI125/(1+IFERROR(INDEX(BI$10:BI$11,Предпосылки!$I$205,),0))*IFERROR(INDEX(BI$10:BI$11,Предпосылки!$I$205,),0),BI148/(1+IFERROR(INDEX(BI$10:BI$11,Предпосылки!$I$206,),0))*IFERROR(INDEX(BI$10:BI$11,Предпосылки!$I$206,),0),BI171/(1+IFERROR(INDEX(BI$10:BI$11,Предпосылки!$I$207,),0))*IFERROR(INDEX(BI$10:BI$11,Предпосылки!$I$207,),0),BI194/(1+IFERROR(INDEX(BI$10:BI$11,Предпосылки!$I$208,),0))*IFERROR(INDEX(BI$10:BI$11,Предпосылки!$I$208,),0),BI217/(1+IFERROR(INDEX(BI$10:BI$11,Предпосылки!$I$209,),0))*IFERROR(INDEX(BI$10:BI$11,Предпосылки!$I$209,),0),BI240/(1+IFERROR(INDEX(BI$10:BI$11,Предпосылки!$I$210,),0))*IFERROR(INDEX(BI$10:BI$11,Предпосылки!$I$210,),0),BI263/(1+IFERROR(INDEX(BI$10:BI$11,Предпосылки!$I$211,),0))*IFERROR(INDEX(BI$10:BI$11,Предпосылки!$I$211,),0),BI286/(1+IFERROR(INDEX(BI$10:BI$11,Предпосылки!$I$212,),0))*IFERROR(INDEX(BI$10:BI$11,Предпосылки!$I$212,),0),BI309/(1+IFERROR(INDEX(BI$10:BI$11,Предпосылки!$I$213,),0))*IFERROR(INDEX(BI$10:BI$11,Предпосылки!$I$213,),0),BI332/(1+IFERROR(INDEX(BI$10:BI$11,Предпосылки!$I$214,),0))*IFERROR(INDEX(BI$10:BI$11,Предпосылки!$I$214,),0),BI355/(1+IFERROR(INDEX(BI$10:BI$11,Предпосылки!$I$215,),0))*IFERROR(INDEX(BI$10:BI$11,Предпосылки!$I$215,),0),BI378/(1+IFERROR(INDEX(BI$10:BI$11,Предпосылки!$I$216,),0))*IFERROR(INDEX(BI$10:BI$11,Предпосылки!$I$216,),0),BI401/(1+IFERROR(INDEX(BI$10:BI$11,Предпосылки!$I$217,),0))*IFERROR(INDEX(BI$10:BI$11,Предпосылки!$I$217,),0),BI424/(1+IFERROR(INDEX(BI$10:BI$11,Предпосылки!$I$218,),0))*IFERROR(INDEX(BI$10:BI$11,Предпосылки!$I$218,),0),BI447/(1+IFERROR(INDEX(BI$10:BI$11,Предпосылки!$I$219,),0))*IFERROR(INDEX(BI$10:BI$11,Предпосылки!$I$219,),0),BI470/(1+IFERROR(INDEX(BI$10:BI$11,Предпосылки!$I$220,),0))*IFERROR(INDEX(BI$10:BI$11,Предпосылки!$I$220,),0))</f>
        <v>0</v>
      </c>
      <c s="125">
        <f>SUM(BJ33/(1+IFERROR(INDEX(BJ$10:BJ$11,Предпосылки!$I$201,),0))*IFERROR(INDEX(BJ$10:BJ$11,Предпосылки!$I$201,),0),BJ56/(1+IFERROR(INDEX(BJ$10:BJ$11,Предпосылки!$I$202,),0))*IFERROR(INDEX(BJ$10:BJ$11,Предпосылки!$I$202,),0),BJ79/(1+IFERROR(INDEX(BJ$10:BJ$11,Предпосылки!$I$203,),0))*IFERROR(INDEX(BJ$10:BJ$11,Предпосылки!$I$203,),0),BJ102/(1+IFERROR(INDEX(BJ$10:BJ$11,Предпосылки!$I$204,),0))*IFERROR(INDEX(BJ$10:BJ$11,Предпосылки!$I$204,),0),BJ125/(1+IFERROR(INDEX(BJ$10:BJ$11,Предпосылки!$I$205,),0))*IFERROR(INDEX(BJ$10:BJ$11,Предпосылки!$I$205,),0),BJ148/(1+IFERROR(INDEX(BJ$10:BJ$11,Предпосылки!$I$206,),0))*IFERROR(INDEX(BJ$10:BJ$11,Предпосылки!$I$206,),0),BJ171/(1+IFERROR(INDEX(BJ$10:BJ$11,Предпосылки!$I$207,),0))*IFERROR(INDEX(BJ$10:BJ$11,Предпосылки!$I$207,),0),BJ194/(1+IFERROR(INDEX(BJ$10:BJ$11,Предпосылки!$I$208,),0))*IFERROR(INDEX(BJ$10:BJ$11,Предпосылки!$I$208,),0),BJ217/(1+IFERROR(INDEX(BJ$10:BJ$11,Предпосылки!$I$209,),0))*IFERROR(INDEX(BJ$10:BJ$11,Предпосылки!$I$209,),0),BJ240/(1+IFERROR(INDEX(BJ$10:BJ$11,Предпосылки!$I$210,),0))*IFERROR(INDEX(BJ$10:BJ$11,Предпосылки!$I$210,),0),BJ263/(1+IFERROR(INDEX(BJ$10:BJ$11,Предпосылки!$I$211,),0))*IFERROR(INDEX(BJ$10:BJ$11,Предпосылки!$I$211,),0),BJ286/(1+IFERROR(INDEX(BJ$10:BJ$11,Предпосылки!$I$212,),0))*IFERROR(INDEX(BJ$10:BJ$11,Предпосылки!$I$212,),0),BJ309/(1+IFERROR(INDEX(BJ$10:BJ$11,Предпосылки!$I$213,),0))*IFERROR(INDEX(BJ$10:BJ$11,Предпосылки!$I$213,),0),BJ332/(1+IFERROR(INDEX(BJ$10:BJ$11,Предпосылки!$I$214,),0))*IFERROR(INDEX(BJ$10:BJ$11,Предпосылки!$I$214,),0),BJ355/(1+IFERROR(INDEX(BJ$10:BJ$11,Предпосылки!$I$215,),0))*IFERROR(INDEX(BJ$10:BJ$11,Предпосылки!$I$215,),0),BJ378/(1+IFERROR(INDEX(BJ$10:BJ$11,Предпосылки!$I$216,),0))*IFERROR(INDEX(BJ$10:BJ$11,Предпосылки!$I$216,),0),BJ401/(1+IFERROR(INDEX(BJ$10:BJ$11,Предпосылки!$I$217,),0))*IFERROR(INDEX(BJ$10:BJ$11,Предпосылки!$I$217,),0),BJ424/(1+IFERROR(INDEX(BJ$10:BJ$11,Предпосылки!$I$218,),0))*IFERROR(INDEX(BJ$10:BJ$11,Предпосылки!$I$218,),0),BJ447/(1+IFERROR(INDEX(BJ$10:BJ$11,Предпосылки!$I$219,),0))*IFERROR(INDEX(BJ$10:BJ$11,Предпосылки!$I$219,),0),BJ470/(1+IFERROR(INDEX(BJ$10:BJ$11,Предпосылки!$I$220,),0))*IFERROR(INDEX(BJ$10:BJ$11,Предпосылки!$I$220,),0))</f>
        <v>0</v>
      </c>
      <c s="125">
        <f>SUM(BK33/(1+IFERROR(INDEX(BK$10:BK$11,Предпосылки!$I$201,),0))*IFERROR(INDEX(BK$10:BK$11,Предпосылки!$I$201,),0),BK56/(1+IFERROR(INDEX(BK$10:BK$11,Предпосылки!$I$202,),0))*IFERROR(INDEX(BK$10:BK$11,Предпосылки!$I$202,),0),BK79/(1+IFERROR(INDEX(BK$10:BK$11,Предпосылки!$I$203,),0))*IFERROR(INDEX(BK$10:BK$11,Предпосылки!$I$203,),0),BK102/(1+IFERROR(INDEX(BK$10:BK$11,Предпосылки!$I$204,),0))*IFERROR(INDEX(BK$10:BK$11,Предпосылки!$I$204,),0),BK125/(1+IFERROR(INDEX(BK$10:BK$11,Предпосылки!$I$205,),0))*IFERROR(INDEX(BK$10:BK$11,Предпосылки!$I$205,),0),BK148/(1+IFERROR(INDEX(BK$10:BK$11,Предпосылки!$I$206,),0))*IFERROR(INDEX(BK$10:BK$11,Предпосылки!$I$206,),0),BK171/(1+IFERROR(INDEX(BK$10:BK$11,Предпосылки!$I$207,),0))*IFERROR(INDEX(BK$10:BK$11,Предпосылки!$I$207,),0),BK194/(1+IFERROR(INDEX(BK$10:BK$11,Предпосылки!$I$208,),0))*IFERROR(INDEX(BK$10:BK$11,Предпосылки!$I$208,),0),BK217/(1+IFERROR(INDEX(BK$10:BK$11,Предпосылки!$I$209,),0))*IFERROR(INDEX(BK$10:BK$11,Предпосылки!$I$209,),0),BK240/(1+IFERROR(INDEX(BK$10:BK$11,Предпосылки!$I$210,),0))*IFERROR(INDEX(BK$10:BK$11,Предпосылки!$I$210,),0),BK263/(1+IFERROR(INDEX(BK$10:BK$11,Предпосылки!$I$211,),0))*IFERROR(INDEX(BK$10:BK$11,Предпосылки!$I$211,),0),BK286/(1+IFERROR(INDEX(BK$10:BK$11,Предпосылки!$I$212,),0))*IFERROR(INDEX(BK$10:BK$11,Предпосылки!$I$212,),0),BK309/(1+IFERROR(INDEX(BK$10:BK$11,Предпосылки!$I$213,),0))*IFERROR(INDEX(BK$10:BK$11,Предпосылки!$I$213,),0),BK332/(1+IFERROR(INDEX(BK$10:BK$11,Предпосылки!$I$214,),0))*IFERROR(INDEX(BK$10:BK$11,Предпосылки!$I$214,),0),BK355/(1+IFERROR(INDEX(BK$10:BK$11,Предпосылки!$I$215,),0))*IFERROR(INDEX(BK$10:BK$11,Предпосылки!$I$215,),0),BK378/(1+IFERROR(INDEX(BK$10:BK$11,Предпосылки!$I$216,),0))*IFERROR(INDEX(BK$10:BK$11,Предпосылки!$I$216,),0),BK401/(1+IFERROR(INDEX(BK$10:BK$11,Предпосылки!$I$217,),0))*IFERROR(INDEX(BK$10:BK$11,Предпосылки!$I$217,),0),BK424/(1+IFERROR(INDEX(BK$10:BK$11,Предпосылки!$I$218,),0))*IFERROR(INDEX(BK$10:BK$11,Предпосылки!$I$218,),0),BK447/(1+IFERROR(INDEX(BK$10:BK$11,Предпосылки!$I$219,),0))*IFERROR(INDEX(BK$10:BK$11,Предпосылки!$I$219,),0),BK470/(1+IFERROR(INDEX(BK$10:BK$11,Предпосылки!$I$220,),0))*IFERROR(INDEX(BK$10:BK$11,Предпосылки!$I$220,),0))</f>
        <v>0</v>
      </c>
      <c s="125">
        <f>SUM(BL33/(1+IFERROR(INDEX(BL$10:BL$11,Предпосылки!$I$201,),0))*IFERROR(INDEX(BL$10:BL$11,Предпосылки!$I$201,),0),BL56/(1+IFERROR(INDEX(BL$10:BL$11,Предпосылки!$I$202,),0))*IFERROR(INDEX(BL$10:BL$11,Предпосылки!$I$202,),0),BL79/(1+IFERROR(INDEX(BL$10:BL$11,Предпосылки!$I$203,),0))*IFERROR(INDEX(BL$10:BL$11,Предпосылки!$I$203,),0),BL102/(1+IFERROR(INDEX(BL$10:BL$11,Предпосылки!$I$204,),0))*IFERROR(INDEX(BL$10:BL$11,Предпосылки!$I$204,),0),BL125/(1+IFERROR(INDEX(BL$10:BL$11,Предпосылки!$I$205,),0))*IFERROR(INDEX(BL$10:BL$11,Предпосылки!$I$205,),0),BL148/(1+IFERROR(INDEX(BL$10:BL$11,Предпосылки!$I$206,),0))*IFERROR(INDEX(BL$10:BL$11,Предпосылки!$I$206,),0),BL171/(1+IFERROR(INDEX(BL$10:BL$11,Предпосылки!$I$207,),0))*IFERROR(INDEX(BL$10:BL$11,Предпосылки!$I$207,),0),BL194/(1+IFERROR(INDEX(BL$10:BL$11,Предпосылки!$I$208,),0))*IFERROR(INDEX(BL$10:BL$11,Предпосылки!$I$208,),0),BL217/(1+IFERROR(INDEX(BL$10:BL$11,Предпосылки!$I$209,),0))*IFERROR(INDEX(BL$10:BL$11,Предпосылки!$I$209,),0),BL240/(1+IFERROR(INDEX(BL$10:BL$11,Предпосылки!$I$210,),0))*IFERROR(INDEX(BL$10:BL$11,Предпосылки!$I$210,),0),BL263/(1+IFERROR(INDEX(BL$10:BL$11,Предпосылки!$I$211,),0))*IFERROR(INDEX(BL$10:BL$11,Предпосылки!$I$211,),0),BL286/(1+IFERROR(INDEX(BL$10:BL$11,Предпосылки!$I$212,),0))*IFERROR(INDEX(BL$10:BL$11,Предпосылки!$I$212,),0),BL309/(1+IFERROR(INDEX(BL$10:BL$11,Предпосылки!$I$213,),0))*IFERROR(INDEX(BL$10:BL$11,Предпосылки!$I$213,),0),BL332/(1+IFERROR(INDEX(BL$10:BL$11,Предпосылки!$I$214,),0))*IFERROR(INDEX(BL$10:BL$11,Предпосылки!$I$214,),0),BL355/(1+IFERROR(INDEX(BL$10:BL$11,Предпосылки!$I$215,),0))*IFERROR(INDEX(BL$10:BL$11,Предпосылки!$I$215,),0),BL378/(1+IFERROR(INDEX(BL$10:BL$11,Предпосылки!$I$216,),0))*IFERROR(INDEX(BL$10:BL$11,Предпосылки!$I$216,),0),BL401/(1+IFERROR(INDEX(BL$10:BL$11,Предпосылки!$I$217,),0))*IFERROR(INDEX(BL$10:BL$11,Предпосылки!$I$217,),0),BL424/(1+IFERROR(INDEX(BL$10:BL$11,Предпосылки!$I$218,),0))*IFERROR(INDEX(BL$10:BL$11,Предпосылки!$I$218,),0),BL447/(1+IFERROR(INDEX(BL$10:BL$11,Предпосылки!$I$219,),0))*IFERROR(INDEX(BL$10:BL$11,Предпосылки!$I$219,),0),BL470/(1+IFERROR(INDEX(BL$10:BL$11,Предпосылки!$I$220,),0))*IFERROR(INDEX(BL$10:BL$11,Предпосылки!$I$220,),0))</f>
        <v>0</v>
      </c>
      <c s="125">
        <f>SUM(BM33/(1+IFERROR(INDEX(BM$10:BM$11,Предпосылки!$I$201,),0))*IFERROR(INDEX(BM$10:BM$11,Предпосылки!$I$201,),0),BM56/(1+IFERROR(INDEX(BM$10:BM$11,Предпосылки!$I$202,),0))*IFERROR(INDEX(BM$10:BM$11,Предпосылки!$I$202,),0),BM79/(1+IFERROR(INDEX(BM$10:BM$11,Предпосылки!$I$203,),0))*IFERROR(INDEX(BM$10:BM$11,Предпосылки!$I$203,),0),BM102/(1+IFERROR(INDEX(BM$10:BM$11,Предпосылки!$I$204,),0))*IFERROR(INDEX(BM$10:BM$11,Предпосылки!$I$204,),0),BM125/(1+IFERROR(INDEX(BM$10:BM$11,Предпосылки!$I$205,),0))*IFERROR(INDEX(BM$10:BM$11,Предпосылки!$I$205,),0),BM148/(1+IFERROR(INDEX(BM$10:BM$11,Предпосылки!$I$206,),0))*IFERROR(INDEX(BM$10:BM$11,Предпосылки!$I$206,),0),BM171/(1+IFERROR(INDEX(BM$10:BM$11,Предпосылки!$I$207,),0))*IFERROR(INDEX(BM$10:BM$11,Предпосылки!$I$207,),0),BM194/(1+IFERROR(INDEX(BM$10:BM$11,Предпосылки!$I$208,),0))*IFERROR(INDEX(BM$10:BM$11,Предпосылки!$I$208,),0),BM217/(1+IFERROR(INDEX(BM$10:BM$11,Предпосылки!$I$209,),0))*IFERROR(INDEX(BM$10:BM$11,Предпосылки!$I$209,),0),BM240/(1+IFERROR(INDEX(BM$10:BM$11,Предпосылки!$I$210,),0))*IFERROR(INDEX(BM$10:BM$11,Предпосылки!$I$210,),0),BM263/(1+IFERROR(INDEX(BM$10:BM$11,Предпосылки!$I$211,),0))*IFERROR(INDEX(BM$10:BM$11,Предпосылки!$I$211,),0),BM286/(1+IFERROR(INDEX(BM$10:BM$11,Предпосылки!$I$212,),0))*IFERROR(INDEX(BM$10:BM$11,Предпосылки!$I$212,),0),BM309/(1+IFERROR(INDEX(BM$10:BM$11,Предпосылки!$I$213,),0))*IFERROR(INDEX(BM$10:BM$11,Предпосылки!$I$213,),0),BM332/(1+IFERROR(INDEX(BM$10:BM$11,Предпосылки!$I$214,),0))*IFERROR(INDEX(BM$10:BM$11,Предпосылки!$I$214,),0),BM355/(1+IFERROR(INDEX(BM$10:BM$11,Предпосылки!$I$215,),0))*IFERROR(INDEX(BM$10:BM$11,Предпосылки!$I$215,),0),BM378/(1+IFERROR(INDEX(BM$10:BM$11,Предпосылки!$I$216,),0))*IFERROR(INDEX(BM$10:BM$11,Предпосылки!$I$216,),0),BM401/(1+IFERROR(INDEX(BM$10:BM$11,Предпосылки!$I$217,),0))*IFERROR(INDEX(BM$10:BM$11,Предпосылки!$I$217,),0),BM424/(1+IFERROR(INDEX(BM$10:BM$11,Предпосылки!$I$218,),0))*IFERROR(INDEX(BM$10:BM$11,Предпосылки!$I$218,),0),BM447/(1+IFERROR(INDEX(BM$10:BM$11,Предпосылки!$I$219,),0))*IFERROR(INDEX(BM$10:BM$11,Предпосылки!$I$219,),0),BM470/(1+IFERROR(INDEX(BM$10:BM$11,Предпосылки!$I$220,),0))*IFERROR(INDEX(BM$10:BM$11,Предпосылки!$I$220,),0))</f>
        <v>0</v>
      </c>
    </row>
    <row r="565" spans="2:65" ht="15" customHeight="1">
      <c r="B565" s="12" t="str">
        <f t="shared" si="255"/>
        <v>Продукт 12</v>
      </c>
      <c s="124" t="str">
        <f t="shared" si="254"/>
        <v>тыс. руб.</v>
      </c>
      <c s="276">
        <f t="shared" si="256"/>
        <v>0</v>
      </c>
      <c s="125">
        <f>SUM(E34/(1+IFERROR(INDEX(E$10:E$11,Предпосылки!$I212,),0))*IFERROR(INDEX(E$10:E$11,Предпосылки!$I212,),0),E57/(1+IFERROR(INDEX(E$10:E$11,Предпосылки!$I213,),0))*IFERROR(INDEX(E$10:E$11,Предпосылки!$I213,),0),E80/(1+IFERROR(INDEX(E$10:E$11,Предпосылки!$I214,),0))*IFERROR(INDEX(E$10:E$11,Предпосылки!$I214,),0),E103/(1+IFERROR(INDEX(E$10:E$11,Предпосылки!$I215,),0))*IFERROR(INDEX(E$10:E$11,Предпосылки!$I215,),0),E126/(1+IFERROR(INDEX(E$10:E$11,Предпосылки!$I216,),0))*IFERROR(INDEX(E$10:E$11,Предпосылки!$I216,),0),E149/(1+IFERROR(INDEX(E$10:E$11,Предпосылки!$I217,),0))*IFERROR(INDEX(E$10:E$11,Предпосылки!$I217,),0),E172/(1+IFERROR(INDEX(E$10:E$11,Предпосылки!$I218,),0))*IFERROR(INDEX(E$10:E$11,Предпосылки!$I218,),0),E195/(1+IFERROR(INDEX(E$10:E$11,Предпосылки!$I219,),0))*IFERROR(INDEX(E$10:E$11,Предпосылки!$I219,),0),E218/(1+IFERROR(INDEX(E$10:E$11,Предпосылки!$I220,),0))*IFERROR(INDEX(E$10:E$11,Предпосылки!$I220,),0),E241/(1+IFERROR(INDEX(E$10:E$11,Предпосылки!$I221,),0))*IFERROR(INDEX(E$10:E$11,Предпосылки!$I221,),0),E264/(1+IFERROR(INDEX(E$10:E$11,Предпосылки!$I222,),0))*IFERROR(INDEX(E$10:E$11,Предпосылки!$I222,),0),E287/(1+IFERROR(INDEX(E$10:E$11,Предпосылки!$I223,),0))*IFERROR(INDEX(E$10:E$11,Предпосылки!$I223,),0),E310/(1+IFERROR(INDEX(E$10:E$11,Предпосылки!$I224,),0))*IFERROR(INDEX(E$10:E$11,Предпосылки!$I224,),0),E333/(1+IFERROR(INDEX(E$10:E$11,Предпосылки!$I225,),0))*IFERROR(INDEX(E$10:E$11,Предпосылки!$I225,),0),E356/(1+IFERROR(INDEX(E$10:E$11,Предпосылки!$I226,),0))*IFERROR(INDEX(E$10:E$11,Предпосылки!$I226,),0),E379/(1+IFERROR(INDEX(E$10:E$11,Предпосылки!$I227,),0))*IFERROR(INDEX(E$10:E$11,Предпосылки!$I227,),0),E402/(1+IFERROR(INDEX(E$10:E$11,Предпосылки!$I228,),0))*IFERROR(INDEX(E$10:E$11,Предпосылки!$I228,),0),E425/(1+IFERROR(INDEX(E$10:E$11,Предпосылки!$I229,),0))*IFERROR(INDEX(E$10:E$11,Предпосылки!$I229,),0),E448/(1+IFERROR(INDEX(E$10:E$11,Предпосылки!$I230,),0))*IFERROR(INDEX(E$10:E$11,Предпосылки!$I230,),0),E471/(1+IFERROR(INDEX(E$10:E$11,Предпосылки!$I231,),0))*IFERROR(INDEX(E$10:E$11,Предпосылки!$I231,),0))</f>
        <v>0</v>
      </c>
      <c s="125">
        <f>SUM(F34/(1+IFERROR(INDEX(F$10:F$11,Предпосылки!$I$201,),0))*IFERROR(INDEX(F$10:F$11,Предпосылки!$I$201,),0),F57/(1+IFERROR(INDEX(F$10:F$11,Предпосылки!$I$202,),0))*IFERROR(INDEX(F$10:F$11,Предпосылки!$I$202,),0),F80/(1+IFERROR(INDEX(F$10:F$11,Предпосылки!$I$203,),0))*IFERROR(INDEX(F$10:F$11,Предпосылки!$I$203,),0),F103/(1+IFERROR(INDEX(F$10:F$11,Предпосылки!$I$204,),0))*IFERROR(INDEX(F$10:F$11,Предпосылки!$I$204,),0),F126/(1+IFERROR(INDEX(F$10:F$11,Предпосылки!$I$205,),0))*IFERROR(INDEX(F$10:F$11,Предпосылки!$I$205,),0),F149/(1+IFERROR(INDEX(F$10:F$11,Предпосылки!$I$206,),0))*IFERROR(INDEX(F$10:F$11,Предпосылки!$I$206,),0),F172/(1+IFERROR(INDEX(F$10:F$11,Предпосылки!$I$207,),0))*IFERROR(INDEX(F$10:F$11,Предпосылки!$I$207,),0),F195/(1+IFERROR(INDEX(F$10:F$11,Предпосылки!$I$208,),0))*IFERROR(INDEX(F$10:F$11,Предпосылки!$I$208,),0),F218/(1+IFERROR(INDEX(F$10:F$11,Предпосылки!$I$209,),0))*IFERROR(INDEX(F$10:F$11,Предпосылки!$I$209,),0),F241/(1+IFERROR(INDEX(F$10:F$11,Предпосылки!$I$210,),0))*IFERROR(INDEX(F$10:F$11,Предпосылки!$I$210,),0),F264/(1+IFERROR(INDEX(F$10:F$11,Предпосылки!$I$211,),0))*IFERROR(INDEX(F$10:F$11,Предпосылки!$I$211,),0),F287/(1+IFERROR(INDEX(F$10:F$11,Предпосылки!$I$212,),0))*IFERROR(INDEX(F$10:F$11,Предпосылки!$I$212,),0),F310/(1+IFERROR(INDEX(F$10:F$11,Предпосылки!$I$213,),0))*IFERROR(INDEX(F$10:F$11,Предпосылки!$I$213,),0),F333/(1+IFERROR(INDEX(F$10:F$11,Предпосылки!$I$214,),0))*IFERROR(INDEX(F$10:F$11,Предпосылки!$I$214,),0),F356/(1+IFERROR(INDEX(F$10:F$11,Предпосылки!$I$215,),0))*IFERROR(INDEX(F$10:F$11,Предпосылки!$I$215,),0),F379/(1+IFERROR(INDEX(F$10:F$11,Предпосылки!$I$216,),0))*IFERROR(INDEX(F$10:F$11,Предпосылки!$I$216,),0),F402/(1+IFERROR(INDEX(F$10:F$11,Предпосылки!$I$217,),0))*IFERROR(INDEX(F$10:F$11,Предпосылки!$I$217,),0),F425/(1+IFERROR(INDEX(F$10:F$11,Предпосылки!$I$218,),0))*IFERROR(INDEX(F$10:F$11,Предпосылки!$I$218,),0),F448/(1+IFERROR(INDEX(F$10:F$11,Предпосылки!$I$219,),0))*IFERROR(INDEX(F$10:F$11,Предпосылки!$I$219,),0),F471/(1+IFERROR(INDEX(F$10:F$11,Предпосылки!$I$220,),0))*IFERROR(INDEX(F$10:F$11,Предпосылки!$I$220,),0))</f>
        <v>0</v>
      </c>
      <c s="125">
        <f>SUM(G34/(1+IFERROR(INDEX(G$10:G$11,Предпосылки!$I$201,),0))*IFERROR(INDEX(G$10:G$11,Предпосылки!$I$201,),0),G57/(1+IFERROR(INDEX(G$10:G$11,Предпосылки!$I$202,),0))*IFERROR(INDEX(G$10:G$11,Предпосылки!$I$202,),0),G80/(1+IFERROR(INDEX(G$10:G$11,Предпосылки!$I$203,),0))*IFERROR(INDEX(G$10:G$11,Предпосылки!$I$203,),0),G103/(1+IFERROR(INDEX(G$10:G$11,Предпосылки!$I$204,),0))*IFERROR(INDEX(G$10:G$11,Предпосылки!$I$204,),0),G126/(1+IFERROR(INDEX(G$10:G$11,Предпосылки!$I$205,),0))*IFERROR(INDEX(G$10:G$11,Предпосылки!$I$205,),0),G149/(1+IFERROR(INDEX(G$10:G$11,Предпосылки!$I$206,),0))*IFERROR(INDEX(G$10:G$11,Предпосылки!$I$206,),0),G172/(1+IFERROR(INDEX(G$10:G$11,Предпосылки!$I$207,),0))*IFERROR(INDEX(G$10:G$11,Предпосылки!$I$207,),0),G195/(1+IFERROR(INDEX(G$10:G$11,Предпосылки!$I$208,),0))*IFERROR(INDEX(G$10:G$11,Предпосылки!$I$208,),0),G218/(1+IFERROR(INDEX(G$10:G$11,Предпосылки!$I$209,),0))*IFERROR(INDEX(G$10:G$11,Предпосылки!$I$209,),0),G241/(1+IFERROR(INDEX(G$10:G$11,Предпосылки!$I$210,),0))*IFERROR(INDEX(G$10:G$11,Предпосылки!$I$210,),0),G264/(1+IFERROR(INDEX(G$10:G$11,Предпосылки!$I$211,),0))*IFERROR(INDEX(G$10:G$11,Предпосылки!$I$211,),0),G287/(1+IFERROR(INDEX(G$10:G$11,Предпосылки!$I$212,),0))*IFERROR(INDEX(G$10:G$11,Предпосылки!$I$212,),0),G310/(1+IFERROR(INDEX(G$10:G$11,Предпосылки!$I$213,),0))*IFERROR(INDEX(G$10:G$11,Предпосылки!$I$213,),0),G333/(1+IFERROR(INDEX(G$10:G$11,Предпосылки!$I$214,),0))*IFERROR(INDEX(G$10:G$11,Предпосылки!$I$214,),0),G356/(1+IFERROR(INDEX(G$10:G$11,Предпосылки!$I$215,),0))*IFERROR(INDEX(G$10:G$11,Предпосылки!$I$215,),0),G379/(1+IFERROR(INDEX(G$10:G$11,Предпосылки!$I$216,),0))*IFERROR(INDEX(G$10:G$11,Предпосылки!$I$216,),0),G402/(1+IFERROR(INDEX(G$10:G$11,Предпосылки!$I$217,),0))*IFERROR(INDEX(G$10:G$11,Предпосылки!$I$217,),0),G425/(1+IFERROR(INDEX(G$10:G$11,Предпосылки!$I$218,),0))*IFERROR(INDEX(G$10:G$11,Предпосылки!$I$218,),0),G448/(1+IFERROR(INDEX(G$10:G$11,Предпосылки!$I$219,),0))*IFERROR(INDEX(G$10:G$11,Предпосылки!$I$219,),0),G471/(1+IFERROR(INDEX(G$10:G$11,Предпосылки!$I$220,),0))*IFERROR(INDEX(G$10:G$11,Предпосылки!$I$220,),0))</f>
        <v>0</v>
      </c>
      <c s="125">
        <f>SUM(H34/(1+IFERROR(INDEX(H$10:H$11,Предпосылки!$I$201,),0))*IFERROR(INDEX(H$10:H$11,Предпосылки!$I$201,),0),H57/(1+IFERROR(INDEX(H$10:H$11,Предпосылки!$I$202,),0))*IFERROR(INDEX(H$10:H$11,Предпосылки!$I$202,),0),H80/(1+IFERROR(INDEX(H$10:H$11,Предпосылки!$I$203,),0))*IFERROR(INDEX(H$10:H$11,Предпосылки!$I$203,),0),H103/(1+IFERROR(INDEX(H$10:H$11,Предпосылки!$I$204,),0))*IFERROR(INDEX(H$10:H$11,Предпосылки!$I$204,),0),H126/(1+IFERROR(INDEX(H$10:H$11,Предпосылки!$I$205,),0))*IFERROR(INDEX(H$10:H$11,Предпосылки!$I$205,),0),H149/(1+IFERROR(INDEX(H$10:H$11,Предпосылки!$I$206,),0))*IFERROR(INDEX(H$10:H$11,Предпосылки!$I$206,),0),H172/(1+IFERROR(INDEX(H$10:H$11,Предпосылки!$I$207,),0))*IFERROR(INDEX(H$10:H$11,Предпосылки!$I$207,),0),H195/(1+IFERROR(INDEX(H$10:H$11,Предпосылки!$I$208,),0))*IFERROR(INDEX(H$10:H$11,Предпосылки!$I$208,),0),H218/(1+IFERROR(INDEX(H$10:H$11,Предпосылки!$I$209,),0))*IFERROR(INDEX(H$10:H$11,Предпосылки!$I$209,),0),H241/(1+IFERROR(INDEX(H$10:H$11,Предпосылки!$I$210,),0))*IFERROR(INDEX(H$10:H$11,Предпосылки!$I$210,),0),H264/(1+IFERROR(INDEX(H$10:H$11,Предпосылки!$I$211,),0))*IFERROR(INDEX(H$10:H$11,Предпосылки!$I$211,),0),H287/(1+IFERROR(INDEX(H$10:H$11,Предпосылки!$I$212,),0))*IFERROR(INDEX(H$10:H$11,Предпосылки!$I$212,),0),H310/(1+IFERROR(INDEX(H$10:H$11,Предпосылки!$I$213,),0))*IFERROR(INDEX(H$10:H$11,Предпосылки!$I$213,),0),H333/(1+IFERROR(INDEX(H$10:H$11,Предпосылки!$I$214,),0))*IFERROR(INDEX(H$10:H$11,Предпосылки!$I$214,),0),H356/(1+IFERROR(INDEX(H$10:H$11,Предпосылки!$I$215,),0))*IFERROR(INDEX(H$10:H$11,Предпосылки!$I$215,),0),H379/(1+IFERROR(INDEX(H$10:H$11,Предпосылки!$I$216,),0))*IFERROR(INDEX(H$10:H$11,Предпосылки!$I$216,),0),H402/(1+IFERROR(INDEX(H$10:H$11,Предпосылки!$I$217,),0))*IFERROR(INDEX(H$10:H$11,Предпосылки!$I$217,),0),H425/(1+IFERROR(INDEX(H$10:H$11,Предпосылки!$I$218,),0))*IFERROR(INDEX(H$10:H$11,Предпосылки!$I$218,),0),H448/(1+IFERROR(INDEX(H$10:H$11,Предпосылки!$I$219,),0))*IFERROR(INDEX(H$10:H$11,Предпосылки!$I$219,),0),H471/(1+IFERROR(INDEX(H$10:H$11,Предпосылки!$I$220,),0))*IFERROR(INDEX(H$10:H$11,Предпосылки!$I$220,),0))</f>
        <v>0</v>
      </c>
      <c s="125">
        <f>SUM(I34/(1+IFERROR(INDEX(I$10:I$11,Предпосылки!$I$201,),0))*IFERROR(INDEX(I$10:I$11,Предпосылки!$I$201,),0),I57/(1+IFERROR(INDEX(I$10:I$11,Предпосылки!$I$202,),0))*IFERROR(INDEX(I$10:I$11,Предпосылки!$I$202,),0),I80/(1+IFERROR(INDEX(I$10:I$11,Предпосылки!$I$203,),0))*IFERROR(INDEX(I$10:I$11,Предпосылки!$I$203,),0),I103/(1+IFERROR(INDEX(I$10:I$11,Предпосылки!$I$204,),0))*IFERROR(INDEX(I$10:I$11,Предпосылки!$I$204,),0),I126/(1+IFERROR(INDEX(I$10:I$11,Предпосылки!$I$205,),0))*IFERROR(INDEX(I$10:I$11,Предпосылки!$I$205,),0),I149/(1+IFERROR(INDEX(I$10:I$11,Предпосылки!$I$206,),0))*IFERROR(INDEX(I$10:I$11,Предпосылки!$I$206,),0),I172/(1+IFERROR(INDEX(I$10:I$11,Предпосылки!$I$207,),0))*IFERROR(INDEX(I$10:I$11,Предпосылки!$I$207,),0),I195/(1+IFERROR(INDEX(I$10:I$11,Предпосылки!$I$208,),0))*IFERROR(INDEX(I$10:I$11,Предпосылки!$I$208,),0),I218/(1+IFERROR(INDEX(I$10:I$11,Предпосылки!$I$209,),0))*IFERROR(INDEX(I$10:I$11,Предпосылки!$I$209,),0),I241/(1+IFERROR(INDEX(I$10:I$11,Предпосылки!$I$210,),0))*IFERROR(INDEX(I$10:I$11,Предпосылки!$I$210,),0),I264/(1+IFERROR(INDEX(I$10:I$11,Предпосылки!$I$211,),0))*IFERROR(INDEX(I$10:I$11,Предпосылки!$I$211,),0),I287/(1+IFERROR(INDEX(I$10:I$11,Предпосылки!$I$212,),0))*IFERROR(INDEX(I$10:I$11,Предпосылки!$I$212,),0),I310/(1+IFERROR(INDEX(I$10:I$11,Предпосылки!$I$213,),0))*IFERROR(INDEX(I$10:I$11,Предпосылки!$I$213,),0),I333/(1+IFERROR(INDEX(I$10:I$11,Предпосылки!$I$214,),0))*IFERROR(INDEX(I$10:I$11,Предпосылки!$I$214,),0),I356/(1+IFERROR(INDEX(I$10:I$11,Предпосылки!$I$215,),0))*IFERROR(INDEX(I$10:I$11,Предпосылки!$I$215,),0),I379/(1+IFERROR(INDEX(I$10:I$11,Предпосылки!$I$216,),0))*IFERROR(INDEX(I$10:I$11,Предпосылки!$I$216,),0),I402/(1+IFERROR(INDEX(I$10:I$11,Предпосылки!$I$217,),0))*IFERROR(INDEX(I$10:I$11,Предпосылки!$I$217,),0),I425/(1+IFERROR(INDEX(I$10:I$11,Предпосылки!$I$218,),0))*IFERROR(INDEX(I$10:I$11,Предпосылки!$I$218,),0),I448/(1+IFERROR(INDEX(I$10:I$11,Предпосылки!$I$219,),0))*IFERROR(INDEX(I$10:I$11,Предпосылки!$I$219,),0),I471/(1+IFERROR(INDEX(I$10:I$11,Предпосылки!$I$220,),0))*IFERROR(INDEX(I$10:I$11,Предпосылки!$I$220,),0))</f>
        <v>0</v>
      </c>
      <c s="125">
        <f>SUM(J34/(1+IFERROR(INDEX(J$10:J$11,Предпосылки!$I$201,),0))*IFERROR(INDEX(J$10:J$11,Предпосылки!$I$201,),0),J57/(1+IFERROR(INDEX(J$10:J$11,Предпосылки!$I$202,),0))*IFERROR(INDEX(J$10:J$11,Предпосылки!$I$202,),0),J80/(1+IFERROR(INDEX(J$10:J$11,Предпосылки!$I$203,),0))*IFERROR(INDEX(J$10:J$11,Предпосылки!$I$203,),0),J103/(1+IFERROR(INDEX(J$10:J$11,Предпосылки!$I$204,),0))*IFERROR(INDEX(J$10:J$11,Предпосылки!$I$204,),0),J126/(1+IFERROR(INDEX(J$10:J$11,Предпосылки!$I$205,),0))*IFERROR(INDEX(J$10:J$11,Предпосылки!$I$205,),0),J149/(1+IFERROR(INDEX(J$10:J$11,Предпосылки!$I$206,),0))*IFERROR(INDEX(J$10:J$11,Предпосылки!$I$206,),0),J172/(1+IFERROR(INDEX(J$10:J$11,Предпосылки!$I$207,),0))*IFERROR(INDEX(J$10:J$11,Предпосылки!$I$207,),0),J195/(1+IFERROR(INDEX(J$10:J$11,Предпосылки!$I$208,),0))*IFERROR(INDEX(J$10:J$11,Предпосылки!$I$208,),0),J218/(1+IFERROR(INDEX(J$10:J$11,Предпосылки!$I$209,),0))*IFERROR(INDEX(J$10:J$11,Предпосылки!$I$209,),0),J241/(1+IFERROR(INDEX(J$10:J$11,Предпосылки!$I$210,),0))*IFERROR(INDEX(J$10:J$11,Предпосылки!$I$210,),0),J264/(1+IFERROR(INDEX(J$10:J$11,Предпосылки!$I$211,),0))*IFERROR(INDEX(J$10:J$11,Предпосылки!$I$211,),0),J287/(1+IFERROR(INDEX(J$10:J$11,Предпосылки!$I$212,),0))*IFERROR(INDEX(J$10:J$11,Предпосылки!$I$212,),0),J310/(1+IFERROR(INDEX(J$10:J$11,Предпосылки!$I$213,),0))*IFERROR(INDEX(J$10:J$11,Предпосылки!$I$213,),0),J333/(1+IFERROR(INDEX(J$10:J$11,Предпосылки!$I$214,),0))*IFERROR(INDEX(J$10:J$11,Предпосылки!$I$214,),0),J356/(1+IFERROR(INDEX(J$10:J$11,Предпосылки!$I$215,),0))*IFERROR(INDEX(J$10:J$11,Предпосылки!$I$215,),0),J379/(1+IFERROR(INDEX(J$10:J$11,Предпосылки!$I$216,),0))*IFERROR(INDEX(J$10:J$11,Предпосылки!$I$216,),0),J402/(1+IFERROR(INDEX(J$10:J$11,Предпосылки!$I$217,),0))*IFERROR(INDEX(J$10:J$11,Предпосылки!$I$217,),0),J425/(1+IFERROR(INDEX(J$10:J$11,Предпосылки!$I$218,),0))*IFERROR(INDEX(J$10:J$11,Предпосылки!$I$218,),0),J448/(1+IFERROR(INDEX(J$10:J$11,Предпосылки!$I$219,),0))*IFERROR(INDEX(J$10:J$11,Предпосылки!$I$219,),0),J471/(1+IFERROR(INDEX(J$10:J$11,Предпосылки!$I$220,),0))*IFERROR(INDEX(J$10:J$11,Предпосылки!$I$220,),0))</f>
        <v>0</v>
      </c>
      <c s="125">
        <f>SUM(K34/(1+IFERROR(INDEX(K$10:K$11,Предпосылки!$I$201,),0))*IFERROR(INDEX(K$10:K$11,Предпосылки!$I$201,),0),K57/(1+IFERROR(INDEX(K$10:K$11,Предпосылки!$I$202,),0))*IFERROR(INDEX(K$10:K$11,Предпосылки!$I$202,),0),K80/(1+IFERROR(INDEX(K$10:K$11,Предпосылки!$I$203,),0))*IFERROR(INDEX(K$10:K$11,Предпосылки!$I$203,),0),K103/(1+IFERROR(INDEX(K$10:K$11,Предпосылки!$I$204,),0))*IFERROR(INDEX(K$10:K$11,Предпосылки!$I$204,),0),K126/(1+IFERROR(INDEX(K$10:K$11,Предпосылки!$I$205,),0))*IFERROR(INDEX(K$10:K$11,Предпосылки!$I$205,),0),K149/(1+IFERROR(INDEX(K$10:K$11,Предпосылки!$I$206,),0))*IFERROR(INDEX(K$10:K$11,Предпосылки!$I$206,),0),K172/(1+IFERROR(INDEX(K$10:K$11,Предпосылки!$I$207,),0))*IFERROR(INDEX(K$10:K$11,Предпосылки!$I$207,),0),K195/(1+IFERROR(INDEX(K$10:K$11,Предпосылки!$I$208,),0))*IFERROR(INDEX(K$10:K$11,Предпосылки!$I$208,),0),K218/(1+IFERROR(INDEX(K$10:K$11,Предпосылки!$I$209,),0))*IFERROR(INDEX(K$10:K$11,Предпосылки!$I$209,),0),K241/(1+IFERROR(INDEX(K$10:K$11,Предпосылки!$I$210,),0))*IFERROR(INDEX(K$10:K$11,Предпосылки!$I$210,),0),K264/(1+IFERROR(INDEX(K$10:K$11,Предпосылки!$I$211,),0))*IFERROR(INDEX(K$10:K$11,Предпосылки!$I$211,),0),K287/(1+IFERROR(INDEX(K$10:K$11,Предпосылки!$I$212,),0))*IFERROR(INDEX(K$10:K$11,Предпосылки!$I$212,),0),K310/(1+IFERROR(INDEX(K$10:K$11,Предпосылки!$I$213,),0))*IFERROR(INDEX(K$10:K$11,Предпосылки!$I$213,),0),K333/(1+IFERROR(INDEX(K$10:K$11,Предпосылки!$I$214,),0))*IFERROR(INDEX(K$10:K$11,Предпосылки!$I$214,),0),K356/(1+IFERROR(INDEX(K$10:K$11,Предпосылки!$I$215,),0))*IFERROR(INDEX(K$10:K$11,Предпосылки!$I$215,),0),K379/(1+IFERROR(INDEX(K$10:K$11,Предпосылки!$I$216,),0))*IFERROR(INDEX(K$10:K$11,Предпосылки!$I$216,),0),K402/(1+IFERROR(INDEX(K$10:K$11,Предпосылки!$I$217,),0))*IFERROR(INDEX(K$10:K$11,Предпосылки!$I$217,),0),K425/(1+IFERROR(INDEX(K$10:K$11,Предпосылки!$I$218,),0))*IFERROR(INDEX(K$10:K$11,Предпосылки!$I$218,),0),K448/(1+IFERROR(INDEX(K$10:K$11,Предпосылки!$I$219,),0))*IFERROR(INDEX(K$10:K$11,Предпосылки!$I$219,),0),K471/(1+IFERROR(INDEX(K$10:K$11,Предпосылки!$I$220,),0))*IFERROR(INDEX(K$10:K$11,Предпосылки!$I$220,),0))</f>
        <v>0</v>
      </c>
      <c s="125">
        <f>SUM(L34/(1+IFERROR(INDEX(L$10:L$11,Предпосылки!$I$201,),0))*IFERROR(INDEX(L$10:L$11,Предпосылки!$I$201,),0),L57/(1+IFERROR(INDEX(L$10:L$11,Предпосылки!$I$202,),0))*IFERROR(INDEX(L$10:L$11,Предпосылки!$I$202,),0),L80/(1+IFERROR(INDEX(L$10:L$11,Предпосылки!$I$203,),0))*IFERROR(INDEX(L$10:L$11,Предпосылки!$I$203,),0),L103/(1+IFERROR(INDEX(L$10:L$11,Предпосылки!$I$204,),0))*IFERROR(INDEX(L$10:L$11,Предпосылки!$I$204,),0),L126/(1+IFERROR(INDEX(L$10:L$11,Предпосылки!$I$205,),0))*IFERROR(INDEX(L$10:L$11,Предпосылки!$I$205,),0),L149/(1+IFERROR(INDEX(L$10:L$11,Предпосылки!$I$206,),0))*IFERROR(INDEX(L$10:L$11,Предпосылки!$I$206,),0),L172/(1+IFERROR(INDEX(L$10:L$11,Предпосылки!$I$207,),0))*IFERROR(INDEX(L$10:L$11,Предпосылки!$I$207,),0),L195/(1+IFERROR(INDEX(L$10:L$11,Предпосылки!$I$208,),0))*IFERROR(INDEX(L$10:L$11,Предпосылки!$I$208,),0),L218/(1+IFERROR(INDEX(L$10:L$11,Предпосылки!$I$209,),0))*IFERROR(INDEX(L$10:L$11,Предпосылки!$I$209,),0),L241/(1+IFERROR(INDEX(L$10:L$11,Предпосылки!$I$210,),0))*IFERROR(INDEX(L$10:L$11,Предпосылки!$I$210,),0),L264/(1+IFERROR(INDEX(L$10:L$11,Предпосылки!$I$211,),0))*IFERROR(INDEX(L$10:L$11,Предпосылки!$I$211,),0),L287/(1+IFERROR(INDEX(L$10:L$11,Предпосылки!$I$212,),0))*IFERROR(INDEX(L$10:L$11,Предпосылки!$I$212,),0),L310/(1+IFERROR(INDEX(L$10:L$11,Предпосылки!$I$213,),0))*IFERROR(INDEX(L$10:L$11,Предпосылки!$I$213,),0),L333/(1+IFERROR(INDEX(L$10:L$11,Предпосылки!$I$214,),0))*IFERROR(INDEX(L$10:L$11,Предпосылки!$I$214,),0),L356/(1+IFERROR(INDEX(L$10:L$11,Предпосылки!$I$215,),0))*IFERROR(INDEX(L$10:L$11,Предпосылки!$I$215,),0),L379/(1+IFERROR(INDEX(L$10:L$11,Предпосылки!$I$216,),0))*IFERROR(INDEX(L$10:L$11,Предпосылки!$I$216,),0),L402/(1+IFERROR(INDEX(L$10:L$11,Предпосылки!$I$217,),0))*IFERROR(INDEX(L$10:L$11,Предпосылки!$I$217,),0),L425/(1+IFERROR(INDEX(L$10:L$11,Предпосылки!$I$218,),0))*IFERROR(INDEX(L$10:L$11,Предпосылки!$I$218,),0),L448/(1+IFERROR(INDEX(L$10:L$11,Предпосылки!$I$219,),0))*IFERROR(INDEX(L$10:L$11,Предпосылки!$I$219,),0),L471/(1+IFERROR(INDEX(L$10:L$11,Предпосылки!$I$220,),0))*IFERROR(INDEX(L$10:L$11,Предпосылки!$I$220,),0))</f>
        <v>0</v>
      </c>
      <c s="125">
        <f>SUM(M34/(1+IFERROR(INDEX(M$10:M$11,Предпосылки!$I$201,),0))*IFERROR(INDEX(M$10:M$11,Предпосылки!$I$201,),0),M57/(1+IFERROR(INDEX(M$10:M$11,Предпосылки!$I$202,),0))*IFERROR(INDEX(M$10:M$11,Предпосылки!$I$202,),0),M80/(1+IFERROR(INDEX(M$10:M$11,Предпосылки!$I$203,),0))*IFERROR(INDEX(M$10:M$11,Предпосылки!$I$203,),0),M103/(1+IFERROR(INDEX(M$10:M$11,Предпосылки!$I$204,),0))*IFERROR(INDEX(M$10:M$11,Предпосылки!$I$204,),0),M126/(1+IFERROR(INDEX(M$10:M$11,Предпосылки!$I$205,),0))*IFERROR(INDEX(M$10:M$11,Предпосылки!$I$205,),0),M149/(1+IFERROR(INDEX(M$10:M$11,Предпосылки!$I$206,),0))*IFERROR(INDEX(M$10:M$11,Предпосылки!$I$206,),0),M172/(1+IFERROR(INDEX(M$10:M$11,Предпосылки!$I$207,),0))*IFERROR(INDEX(M$10:M$11,Предпосылки!$I$207,),0),M195/(1+IFERROR(INDEX(M$10:M$11,Предпосылки!$I$208,),0))*IFERROR(INDEX(M$10:M$11,Предпосылки!$I$208,),0),M218/(1+IFERROR(INDEX(M$10:M$11,Предпосылки!$I$209,),0))*IFERROR(INDEX(M$10:M$11,Предпосылки!$I$209,),0),M241/(1+IFERROR(INDEX(M$10:M$11,Предпосылки!$I$210,),0))*IFERROR(INDEX(M$10:M$11,Предпосылки!$I$210,),0),M264/(1+IFERROR(INDEX(M$10:M$11,Предпосылки!$I$211,),0))*IFERROR(INDEX(M$10:M$11,Предпосылки!$I$211,),0),M287/(1+IFERROR(INDEX(M$10:M$11,Предпосылки!$I$212,),0))*IFERROR(INDEX(M$10:M$11,Предпосылки!$I$212,),0),M310/(1+IFERROR(INDEX(M$10:M$11,Предпосылки!$I$213,),0))*IFERROR(INDEX(M$10:M$11,Предпосылки!$I$213,),0),M333/(1+IFERROR(INDEX(M$10:M$11,Предпосылки!$I$214,),0))*IFERROR(INDEX(M$10:M$11,Предпосылки!$I$214,),0),M356/(1+IFERROR(INDEX(M$10:M$11,Предпосылки!$I$215,),0))*IFERROR(INDEX(M$10:M$11,Предпосылки!$I$215,),0),M379/(1+IFERROR(INDEX(M$10:M$11,Предпосылки!$I$216,),0))*IFERROR(INDEX(M$10:M$11,Предпосылки!$I$216,),0),M402/(1+IFERROR(INDEX(M$10:M$11,Предпосылки!$I$217,),0))*IFERROR(INDEX(M$10:M$11,Предпосылки!$I$217,),0),M425/(1+IFERROR(INDEX(M$10:M$11,Предпосылки!$I$218,),0))*IFERROR(INDEX(M$10:M$11,Предпосылки!$I$218,),0),M448/(1+IFERROR(INDEX(M$10:M$11,Предпосылки!$I$219,),0))*IFERROR(INDEX(M$10:M$11,Предпосылки!$I$219,),0),M471/(1+IFERROR(INDEX(M$10:M$11,Предпосылки!$I$220,),0))*IFERROR(INDEX(M$10:M$11,Предпосылки!$I$220,),0))</f>
        <v>0</v>
      </c>
      <c s="125">
        <f>SUM(N34/(1+IFERROR(INDEX(N$10:N$11,Предпосылки!$I$201,),0))*IFERROR(INDEX(N$10:N$11,Предпосылки!$I$201,),0),N57/(1+IFERROR(INDEX(N$10:N$11,Предпосылки!$I$202,),0))*IFERROR(INDEX(N$10:N$11,Предпосылки!$I$202,),0),N80/(1+IFERROR(INDEX(N$10:N$11,Предпосылки!$I$203,),0))*IFERROR(INDEX(N$10:N$11,Предпосылки!$I$203,),0),N103/(1+IFERROR(INDEX(N$10:N$11,Предпосылки!$I$204,),0))*IFERROR(INDEX(N$10:N$11,Предпосылки!$I$204,),0),N126/(1+IFERROR(INDEX(N$10:N$11,Предпосылки!$I$205,),0))*IFERROR(INDEX(N$10:N$11,Предпосылки!$I$205,),0),N149/(1+IFERROR(INDEX(N$10:N$11,Предпосылки!$I$206,),0))*IFERROR(INDEX(N$10:N$11,Предпосылки!$I$206,),0),N172/(1+IFERROR(INDEX(N$10:N$11,Предпосылки!$I$207,),0))*IFERROR(INDEX(N$10:N$11,Предпосылки!$I$207,),0),N195/(1+IFERROR(INDEX(N$10:N$11,Предпосылки!$I$208,),0))*IFERROR(INDEX(N$10:N$11,Предпосылки!$I$208,),0),N218/(1+IFERROR(INDEX(N$10:N$11,Предпосылки!$I$209,),0))*IFERROR(INDEX(N$10:N$11,Предпосылки!$I$209,),0),N241/(1+IFERROR(INDEX(N$10:N$11,Предпосылки!$I$210,),0))*IFERROR(INDEX(N$10:N$11,Предпосылки!$I$210,),0),N264/(1+IFERROR(INDEX(N$10:N$11,Предпосылки!$I$211,),0))*IFERROR(INDEX(N$10:N$11,Предпосылки!$I$211,),0),N287/(1+IFERROR(INDEX(N$10:N$11,Предпосылки!$I$212,),0))*IFERROR(INDEX(N$10:N$11,Предпосылки!$I$212,),0),N310/(1+IFERROR(INDEX(N$10:N$11,Предпосылки!$I$213,),0))*IFERROR(INDEX(N$10:N$11,Предпосылки!$I$213,),0),N333/(1+IFERROR(INDEX(N$10:N$11,Предпосылки!$I$214,),0))*IFERROR(INDEX(N$10:N$11,Предпосылки!$I$214,),0),N356/(1+IFERROR(INDEX(N$10:N$11,Предпосылки!$I$215,),0))*IFERROR(INDEX(N$10:N$11,Предпосылки!$I$215,),0),N379/(1+IFERROR(INDEX(N$10:N$11,Предпосылки!$I$216,),0))*IFERROR(INDEX(N$10:N$11,Предпосылки!$I$216,),0),N402/(1+IFERROR(INDEX(N$10:N$11,Предпосылки!$I$217,),0))*IFERROR(INDEX(N$10:N$11,Предпосылки!$I$217,),0),N425/(1+IFERROR(INDEX(N$10:N$11,Предпосылки!$I$218,),0))*IFERROR(INDEX(N$10:N$11,Предпосылки!$I$218,),0),N448/(1+IFERROR(INDEX(N$10:N$11,Предпосылки!$I$219,),0))*IFERROR(INDEX(N$10:N$11,Предпосылки!$I$219,),0),N471/(1+IFERROR(INDEX(N$10:N$11,Предпосылки!$I$220,),0))*IFERROR(INDEX(N$10:N$11,Предпосылки!$I$220,),0))</f>
        <v>0</v>
      </c>
      <c s="125">
        <f>SUM(O34/(1+IFERROR(INDEX(O$10:O$11,Предпосылки!$I$201,),0))*IFERROR(INDEX(O$10:O$11,Предпосылки!$I$201,),0),O57/(1+IFERROR(INDEX(O$10:O$11,Предпосылки!$I$202,),0))*IFERROR(INDEX(O$10:O$11,Предпосылки!$I$202,),0),O80/(1+IFERROR(INDEX(O$10:O$11,Предпосылки!$I$203,),0))*IFERROR(INDEX(O$10:O$11,Предпосылки!$I$203,),0),O103/(1+IFERROR(INDEX(O$10:O$11,Предпосылки!$I$204,),0))*IFERROR(INDEX(O$10:O$11,Предпосылки!$I$204,),0),O126/(1+IFERROR(INDEX(O$10:O$11,Предпосылки!$I$205,),0))*IFERROR(INDEX(O$10:O$11,Предпосылки!$I$205,),0),O149/(1+IFERROR(INDEX(O$10:O$11,Предпосылки!$I$206,),0))*IFERROR(INDEX(O$10:O$11,Предпосылки!$I$206,),0),O172/(1+IFERROR(INDEX(O$10:O$11,Предпосылки!$I$207,),0))*IFERROR(INDEX(O$10:O$11,Предпосылки!$I$207,),0),O195/(1+IFERROR(INDEX(O$10:O$11,Предпосылки!$I$208,),0))*IFERROR(INDEX(O$10:O$11,Предпосылки!$I$208,),0),O218/(1+IFERROR(INDEX(O$10:O$11,Предпосылки!$I$209,),0))*IFERROR(INDEX(O$10:O$11,Предпосылки!$I$209,),0),O241/(1+IFERROR(INDEX(O$10:O$11,Предпосылки!$I$210,),0))*IFERROR(INDEX(O$10:O$11,Предпосылки!$I$210,),0),O264/(1+IFERROR(INDEX(O$10:O$11,Предпосылки!$I$211,),0))*IFERROR(INDEX(O$10:O$11,Предпосылки!$I$211,),0),O287/(1+IFERROR(INDEX(O$10:O$11,Предпосылки!$I$212,),0))*IFERROR(INDEX(O$10:O$11,Предпосылки!$I$212,),0),O310/(1+IFERROR(INDEX(O$10:O$11,Предпосылки!$I$213,),0))*IFERROR(INDEX(O$10:O$11,Предпосылки!$I$213,),0),O333/(1+IFERROR(INDEX(O$10:O$11,Предпосылки!$I$214,),0))*IFERROR(INDEX(O$10:O$11,Предпосылки!$I$214,),0),O356/(1+IFERROR(INDEX(O$10:O$11,Предпосылки!$I$215,),0))*IFERROR(INDEX(O$10:O$11,Предпосылки!$I$215,),0),O379/(1+IFERROR(INDEX(O$10:O$11,Предпосылки!$I$216,),0))*IFERROR(INDEX(O$10:O$11,Предпосылки!$I$216,),0),O402/(1+IFERROR(INDEX(O$10:O$11,Предпосылки!$I$217,),0))*IFERROR(INDEX(O$10:O$11,Предпосылки!$I$217,),0),O425/(1+IFERROR(INDEX(O$10:O$11,Предпосылки!$I$218,),0))*IFERROR(INDEX(O$10:O$11,Предпосылки!$I$218,),0),O448/(1+IFERROR(INDEX(O$10:O$11,Предпосылки!$I$219,),0))*IFERROR(INDEX(O$10:O$11,Предпосылки!$I$219,),0),O471/(1+IFERROR(INDEX(O$10:O$11,Предпосылки!$I$220,),0))*IFERROR(INDEX(O$10:O$11,Предпосылки!$I$220,),0))</f>
        <v>0</v>
      </c>
      <c s="125">
        <f>SUM(P34/(1+IFERROR(INDEX(P$10:P$11,Предпосылки!$I$201,),0))*IFERROR(INDEX(P$10:P$11,Предпосылки!$I$201,),0),P57/(1+IFERROR(INDEX(P$10:P$11,Предпосылки!$I$202,),0))*IFERROR(INDEX(P$10:P$11,Предпосылки!$I$202,),0),P80/(1+IFERROR(INDEX(P$10:P$11,Предпосылки!$I$203,),0))*IFERROR(INDEX(P$10:P$11,Предпосылки!$I$203,),0),P103/(1+IFERROR(INDEX(P$10:P$11,Предпосылки!$I$204,),0))*IFERROR(INDEX(P$10:P$11,Предпосылки!$I$204,),0),P126/(1+IFERROR(INDEX(P$10:P$11,Предпосылки!$I$205,),0))*IFERROR(INDEX(P$10:P$11,Предпосылки!$I$205,),0),P149/(1+IFERROR(INDEX(P$10:P$11,Предпосылки!$I$206,),0))*IFERROR(INDEX(P$10:P$11,Предпосылки!$I$206,),0),P172/(1+IFERROR(INDEX(P$10:P$11,Предпосылки!$I$207,),0))*IFERROR(INDEX(P$10:P$11,Предпосылки!$I$207,),0),P195/(1+IFERROR(INDEX(P$10:P$11,Предпосылки!$I$208,),0))*IFERROR(INDEX(P$10:P$11,Предпосылки!$I$208,),0),P218/(1+IFERROR(INDEX(P$10:P$11,Предпосылки!$I$209,),0))*IFERROR(INDEX(P$10:P$11,Предпосылки!$I$209,),0),P241/(1+IFERROR(INDEX(P$10:P$11,Предпосылки!$I$210,),0))*IFERROR(INDEX(P$10:P$11,Предпосылки!$I$210,),0),P264/(1+IFERROR(INDEX(P$10:P$11,Предпосылки!$I$211,),0))*IFERROR(INDEX(P$10:P$11,Предпосылки!$I$211,),0),P287/(1+IFERROR(INDEX(P$10:P$11,Предпосылки!$I$212,),0))*IFERROR(INDEX(P$10:P$11,Предпосылки!$I$212,),0),P310/(1+IFERROR(INDEX(P$10:P$11,Предпосылки!$I$213,),0))*IFERROR(INDEX(P$10:P$11,Предпосылки!$I$213,),0),P333/(1+IFERROR(INDEX(P$10:P$11,Предпосылки!$I$214,),0))*IFERROR(INDEX(P$10:P$11,Предпосылки!$I$214,),0),P356/(1+IFERROR(INDEX(P$10:P$11,Предпосылки!$I$215,),0))*IFERROR(INDEX(P$10:P$11,Предпосылки!$I$215,),0),P379/(1+IFERROR(INDEX(P$10:P$11,Предпосылки!$I$216,),0))*IFERROR(INDEX(P$10:P$11,Предпосылки!$I$216,),0),P402/(1+IFERROR(INDEX(P$10:P$11,Предпосылки!$I$217,),0))*IFERROR(INDEX(P$10:P$11,Предпосылки!$I$217,),0),P425/(1+IFERROR(INDEX(P$10:P$11,Предпосылки!$I$218,),0))*IFERROR(INDEX(P$10:P$11,Предпосылки!$I$218,),0),P448/(1+IFERROR(INDEX(P$10:P$11,Предпосылки!$I$219,),0))*IFERROR(INDEX(P$10:P$11,Предпосылки!$I$219,),0),P471/(1+IFERROR(INDEX(P$10:P$11,Предпосылки!$I$220,),0))*IFERROR(INDEX(P$10:P$11,Предпосылки!$I$220,),0))</f>
        <v>0</v>
      </c>
      <c s="125">
        <f>SUM(Q34/(1+IFERROR(INDEX(Q$10:Q$11,Предпосылки!$I$201,),0))*IFERROR(INDEX(Q$10:Q$11,Предпосылки!$I$201,),0),Q57/(1+IFERROR(INDEX(Q$10:Q$11,Предпосылки!$I$202,),0))*IFERROR(INDEX(Q$10:Q$11,Предпосылки!$I$202,),0),Q80/(1+IFERROR(INDEX(Q$10:Q$11,Предпосылки!$I$203,),0))*IFERROR(INDEX(Q$10:Q$11,Предпосылки!$I$203,),0),Q103/(1+IFERROR(INDEX(Q$10:Q$11,Предпосылки!$I$204,),0))*IFERROR(INDEX(Q$10:Q$11,Предпосылки!$I$204,),0),Q126/(1+IFERROR(INDEX(Q$10:Q$11,Предпосылки!$I$205,),0))*IFERROR(INDEX(Q$10:Q$11,Предпосылки!$I$205,),0),Q149/(1+IFERROR(INDEX(Q$10:Q$11,Предпосылки!$I$206,),0))*IFERROR(INDEX(Q$10:Q$11,Предпосылки!$I$206,),0),Q172/(1+IFERROR(INDEX(Q$10:Q$11,Предпосылки!$I$207,),0))*IFERROR(INDEX(Q$10:Q$11,Предпосылки!$I$207,),0),Q195/(1+IFERROR(INDEX(Q$10:Q$11,Предпосылки!$I$208,),0))*IFERROR(INDEX(Q$10:Q$11,Предпосылки!$I$208,),0),Q218/(1+IFERROR(INDEX(Q$10:Q$11,Предпосылки!$I$209,),0))*IFERROR(INDEX(Q$10:Q$11,Предпосылки!$I$209,),0),Q241/(1+IFERROR(INDEX(Q$10:Q$11,Предпосылки!$I$210,),0))*IFERROR(INDEX(Q$10:Q$11,Предпосылки!$I$210,),0),Q264/(1+IFERROR(INDEX(Q$10:Q$11,Предпосылки!$I$211,),0))*IFERROR(INDEX(Q$10:Q$11,Предпосылки!$I$211,),0),Q287/(1+IFERROR(INDEX(Q$10:Q$11,Предпосылки!$I$212,),0))*IFERROR(INDEX(Q$10:Q$11,Предпосылки!$I$212,),0),Q310/(1+IFERROR(INDEX(Q$10:Q$11,Предпосылки!$I$213,),0))*IFERROR(INDEX(Q$10:Q$11,Предпосылки!$I$213,),0),Q333/(1+IFERROR(INDEX(Q$10:Q$11,Предпосылки!$I$214,),0))*IFERROR(INDEX(Q$10:Q$11,Предпосылки!$I$214,),0),Q356/(1+IFERROR(INDEX(Q$10:Q$11,Предпосылки!$I$215,),0))*IFERROR(INDEX(Q$10:Q$11,Предпосылки!$I$215,),0),Q379/(1+IFERROR(INDEX(Q$10:Q$11,Предпосылки!$I$216,),0))*IFERROR(INDEX(Q$10:Q$11,Предпосылки!$I$216,),0),Q402/(1+IFERROR(INDEX(Q$10:Q$11,Предпосылки!$I$217,),0))*IFERROR(INDEX(Q$10:Q$11,Предпосылки!$I$217,),0),Q425/(1+IFERROR(INDEX(Q$10:Q$11,Предпосылки!$I$218,),0))*IFERROR(INDEX(Q$10:Q$11,Предпосылки!$I$218,),0),Q448/(1+IFERROR(INDEX(Q$10:Q$11,Предпосылки!$I$219,),0))*IFERROR(INDEX(Q$10:Q$11,Предпосылки!$I$219,),0),Q471/(1+IFERROR(INDEX(Q$10:Q$11,Предпосылки!$I$220,),0))*IFERROR(INDEX(Q$10:Q$11,Предпосылки!$I$220,),0))</f>
        <v>0</v>
      </c>
      <c s="125">
        <f>SUM(R34/(1+IFERROR(INDEX(R$10:R$11,Предпосылки!$I$201,),0))*IFERROR(INDEX(R$10:R$11,Предпосылки!$I$201,),0),R57/(1+IFERROR(INDEX(R$10:R$11,Предпосылки!$I$202,),0))*IFERROR(INDEX(R$10:R$11,Предпосылки!$I$202,),0),R80/(1+IFERROR(INDEX(R$10:R$11,Предпосылки!$I$203,),0))*IFERROR(INDEX(R$10:R$11,Предпосылки!$I$203,),0),R103/(1+IFERROR(INDEX(R$10:R$11,Предпосылки!$I$204,),0))*IFERROR(INDEX(R$10:R$11,Предпосылки!$I$204,),0),R126/(1+IFERROR(INDEX(R$10:R$11,Предпосылки!$I$205,),0))*IFERROR(INDEX(R$10:R$11,Предпосылки!$I$205,),0),R149/(1+IFERROR(INDEX(R$10:R$11,Предпосылки!$I$206,),0))*IFERROR(INDEX(R$10:R$11,Предпосылки!$I$206,),0),R172/(1+IFERROR(INDEX(R$10:R$11,Предпосылки!$I$207,),0))*IFERROR(INDEX(R$10:R$11,Предпосылки!$I$207,),0),R195/(1+IFERROR(INDEX(R$10:R$11,Предпосылки!$I$208,),0))*IFERROR(INDEX(R$10:R$11,Предпосылки!$I$208,),0),R218/(1+IFERROR(INDEX(R$10:R$11,Предпосылки!$I$209,),0))*IFERROR(INDEX(R$10:R$11,Предпосылки!$I$209,),0),R241/(1+IFERROR(INDEX(R$10:R$11,Предпосылки!$I$210,),0))*IFERROR(INDEX(R$10:R$11,Предпосылки!$I$210,),0),R264/(1+IFERROR(INDEX(R$10:R$11,Предпосылки!$I$211,),0))*IFERROR(INDEX(R$10:R$11,Предпосылки!$I$211,),0),R287/(1+IFERROR(INDEX(R$10:R$11,Предпосылки!$I$212,),0))*IFERROR(INDEX(R$10:R$11,Предпосылки!$I$212,),0),R310/(1+IFERROR(INDEX(R$10:R$11,Предпосылки!$I$213,),0))*IFERROR(INDEX(R$10:R$11,Предпосылки!$I$213,),0),R333/(1+IFERROR(INDEX(R$10:R$11,Предпосылки!$I$214,),0))*IFERROR(INDEX(R$10:R$11,Предпосылки!$I$214,),0),R356/(1+IFERROR(INDEX(R$10:R$11,Предпосылки!$I$215,),0))*IFERROR(INDEX(R$10:R$11,Предпосылки!$I$215,),0),R379/(1+IFERROR(INDEX(R$10:R$11,Предпосылки!$I$216,),0))*IFERROR(INDEX(R$10:R$11,Предпосылки!$I$216,),0),R402/(1+IFERROR(INDEX(R$10:R$11,Предпосылки!$I$217,),0))*IFERROR(INDEX(R$10:R$11,Предпосылки!$I$217,),0),R425/(1+IFERROR(INDEX(R$10:R$11,Предпосылки!$I$218,),0))*IFERROR(INDEX(R$10:R$11,Предпосылки!$I$218,),0),R448/(1+IFERROR(INDEX(R$10:R$11,Предпосылки!$I$219,),0))*IFERROR(INDEX(R$10:R$11,Предпосылки!$I$219,),0),R471/(1+IFERROR(INDEX(R$10:R$11,Предпосылки!$I$220,),0))*IFERROR(INDEX(R$10:R$11,Предпосылки!$I$220,),0))</f>
        <v>0</v>
      </c>
      <c s="125">
        <f>SUM(S34/(1+IFERROR(INDEX(S$10:S$11,Предпосылки!$I$201,),0))*IFERROR(INDEX(S$10:S$11,Предпосылки!$I$201,),0),S57/(1+IFERROR(INDEX(S$10:S$11,Предпосылки!$I$202,),0))*IFERROR(INDEX(S$10:S$11,Предпосылки!$I$202,),0),S80/(1+IFERROR(INDEX(S$10:S$11,Предпосылки!$I$203,),0))*IFERROR(INDEX(S$10:S$11,Предпосылки!$I$203,),0),S103/(1+IFERROR(INDEX(S$10:S$11,Предпосылки!$I$204,),0))*IFERROR(INDEX(S$10:S$11,Предпосылки!$I$204,),0),S126/(1+IFERROR(INDEX(S$10:S$11,Предпосылки!$I$205,),0))*IFERROR(INDEX(S$10:S$11,Предпосылки!$I$205,),0),S149/(1+IFERROR(INDEX(S$10:S$11,Предпосылки!$I$206,),0))*IFERROR(INDEX(S$10:S$11,Предпосылки!$I$206,),0),S172/(1+IFERROR(INDEX(S$10:S$11,Предпосылки!$I$207,),0))*IFERROR(INDEX(S$10:S$11,Предпосылки!$I$207,),0),S195/(1+IFERROR(INDEX(S$10:S$11,Предпосылки!$I$208,),0))*IFERROR(INDEX(S$10:S$11,Предпосылки!$I$208,),0),S218/(1+IFERROR(INDEX(S$10:S$11,Предпосылки!$I$209,),0))*IFERROR(INDEX(S$10:S$11,Предпосылки!$I$209,),0),S241/(1+IFERROR(INDEX(S$10:S$11,Предпосылки!$I$210,),0))*IFERROR(INDEX(S$10:S$11,Предпосылки!$I$210,),0),S264/(1+IFERROR(INDEX(S$10:S$11,Предпосылки!$I$211,),0))*IFERROR(INDEX(S$10:S$11,Предпосылки!$I$211,),0),S287/(1+IFERROR(INDEX(S$10:S$11,Предпосылки!$I$212,),0))*IFERROR(INDEX(S$10:S$11,Предпосылки!$I$212,),0),S310/(1+IFERROR(INDEX(S$10:S$11,Предпосылки!$I$213,),0))*IFERROR(INDEX(S$10:S$11,Предпосылки!$I$213,),0),S333/(1+IFERROR(INDEX(S$10:S$11,Предпосылки!$I$214,),0))*IFERROR(INDEX(S$10:S$11,Предпосылки!$I$214,),0),S356/(1+IFERROR(INDEX(S$10:S$11,Предпосылки!$I$215,),0))*IFERROR(INDEX(S$10:S$11,Предпосылки!$I$215,),0),S379/(1+IFERROR(INDEX(S$10:S$11,Предпосылки!$I$216,),0))*IFERROR(INDEX(S$10:S$11,Предпосылки!$I$216,),0),S402/(1+IFERROR(INDEX(S$10:S$11,Предпосылки!$I$217,),0))*IFERROR(INDEX(S$10:S$11,Предпосылки!$I$217,),0),S425/(1+IFERROR(INDEX(S$10:S$11,Предпосылки!$I$218,),0))*IFERROR(INDEX(S$10:S$11,Предпосылки!$I$218,),0),S448/(1+IFERROR(INDEX(S$10:S$11,Предпосылки!$I$219,),0))*IFERROR(INDEX(S$10:S$11,Предпосылки!$I$219,),0),S471/(1+IFERROR(INDEX(S$10:S$11,Предпосылки!$I$220,),0))*IFERROR(INDEX(S$10:S$11,Предпосылки!$I$220,),0))</f>
        <v>0</v>
      </c>
      <c s="125">
        <f>SUM(T34/(1+IFERROR(INDEX(T$10:T$11,Предпосылки!$I$201,),0))*IFERROR(INDEX(T$10:T$11,Предпосылки!$I$201,),0),T57/(1+IFERROR(INDEX(T$10:T$11,Предпосылки!$I$202,),0))*IFERROR(INDEX(T$10:T$11,Предпосылки!$I$202,),0),T80/(1+IFERROR(INDEX(T$10:T$11,Предпосылки!$I$203,),0))*IFERROR(INDEX(T$10:T$11,Предпосылки!$I$203,),0),T103/(1+IFERROR(INDEX(T$10:T$11,Предпосылки!$I$204,),0))*IFERROR(INDEX(T$10:T$11,Предпосылки!$I$204,),0),T126/(1+IFERROR(INDEX(T$10:T$11,Предпосылки!$I$205,),0))*IFERROR(INDEX(T$10:T$11,Предпосылки!$I$205,),0),T149/(1+IFERROR(INDEX(T$10:T$11,Предпосылки!$I$206,),0))*IFERROR(INDEX(T$10:T$11,Предпосылки!$I$206,),0),T172/(1+IFERROR(INDEX(T$10:T$11,Предпосылки!$I$207,),0))*IFERROR(INDEX(T$10:T$11,Предпосылки!$I$207,),0),T195/(1+IFERROR(INDEX(T$10:T$11,Предпосылки!$I$208,),0))*IFERROR(INDEX(T$10:T$11,Предпосылки!$I$208,),0),T218/(1+IFERROR(INDEX(T$10:T$11,Предпосылки!$I$209,),0))*IFERROR(INDEX(T$10:T$11,Предпосылки!$I$209,),0),T241/(1+IFERROR(INDEX(T$10:T$11,Предпосылки!$I$210,),0))*IFERROR(INDEX(T$10:T$11,Предпосылки!$I$210,),0),T264/(1+IFERROR(INDEX(T$10:T$11,Предпосылки!$I$211,),0))*IFERROR(INDEX(T$10:T$11,Предпосылки!$I$211,),0),T287/(1+IFERROR(INDEX(T$10:T$11,Предпосылки!$I$212,),0))*IFERROR(INDEX(T$10:T$11,Предпосылки!$I$212,),0),T310/(1+IFERROR(INDEX(T$10:T$11,Предпосылки!$I$213,),0))*IFERROR(INDEX(T$10:T$11,Предпосылки!$I$213,),0),T333/(1+IFERROR(INDEX(T$10:T$11,Предпосылки!$I$214,),0))*IFERROR(INDEX(T$10:T$11,Предпосылки!$I$214,),0),T356/(1+IFERROR(INDEX(T$10:T$11,Предпосылки!$I$215,),0))*IFERROR(INDEX(T$10:T$11,Предпосылки!$I$215,),0),T379/(1+IFERROR(INDEX(T$10:T$11,Предпосылки!$I$216,),0))*IFERROR(INDEX(T$10:T$11,Предпосылки!$I$216,),0),T402/(1+IFERROR(INDEX(T$10:T$11,Предпосылки!$I$217,),0))*IFERROR(INDEX(T$10:T$11,Предпосылки!$I$217,),0),T425/(1+IFERROR(INDEX(T$10:T$11,Предпосылки!$I$218,),0))*IFERROR(INDEX(T$10:T$11,Предпосылки!$I$218,),0),T448/(1+IFERROR(INDEX(T$10:T$11,Предпосылки!$I$219,),0))*IFERROR(INDEX(T$10:T$11,Предпосылки!$I$219,),0),T471/(1+IFERROR(INDEX(T$10:T$11,Предпосылки!$I$220,),0))*IFERROR(INDEX(T$10:T$11,Предпосылки!$I$220,),0))</f>
        <v>0</v>
      </c>
      <c s="125">
        <f>SUM(U34/(1+IFERROR(INDEX(U$10:U$11,Предпосылки!$I$201,),0))*IFERROR(INDEX(U$10:U$11,Предпосылки!$I$201,),0),U57/(1+IFERROR(INDEX(U$10:U$11,Предпосылки!$I$202,),0))*IFERROR(INDEX(U$10:U$11,Предпосылки!$I$202,),0),U80/(1+IFERROR(INDEX(U$10:U$11,Предпосылки!$I$203,),0))*IFERROR(INDEX(U$10:U$11,Предпосылки!$I$203,),0),U103/(1+IFERROR(INDEX(U$10:U$11,Предпосылки!$I$204,),0))*IFERROR(INDEX(U$10:U$11,Предпосылки!$I$204,),0),U126/(1+IFERROR(INDEX(U$10:U$11,Предпосылки!$I$205,),0))*IFERROR(INDEX(U$10:U$11,Предпосылки!$I$205,),0),U149/(1+IFERROR(INDEX(U$10:U$11,Предпосылки!$I$206,),0))*IFERROR(INDEX(U$10:U$11,Предпосылки!$I$206,),0),U172/(1+IFERROR(INDEX(U$10:U$11,Предпосылки!$I$207,),0))*IFERROR(INDEX(U$10:U$11,Предпосылки!$I$207,),0),U195/(1+IFERROR(INDEX(U$10:U$11,Предпосылки!$I$208,),0))*IFERROR(INDEX(U$10:U$11,Предпосылки!$I$208,),0),U218/(1+IFERROR(INDEX(U$10:U$11,Предпосылки!$I$209,),0))*IFERROR(INDEX(U$10:U$11,Предпосылки!$I$209,),0),U241/(1+IFERROR(INDEX(U$10:U$11,Предпосылки!$I$210,),0))*IFERROR(INDEX(U$10:U$11,Предпосылки!$I$210,),0),U264/(1+IFERROR(INDEX(U$10:U$11,Предпосылки!$I$211,),0))*IFERROR(INDEX(U$10:U$11,Предпосылки!$I$211,),0),U287/(1+IFERROR(INDEX(U$10:U$11,Предпосылки!$I$212,),0))*IFERROR(INDEX(U$10:U$11,Предпосылки!$I$212,),0),U310/(1+IFERROR(INDEX(U$10:U$11,Предпосылки!$I$213,),0))*IFERROR(INDEX(U$10:U$11,Предпосылки!$I$213,),0),U333/(1+IFERROR(INDEX(U$10:U$11,Предпосылки!$I$214,),0))*IFERROR(INDEX(U$10:U$11,Предпосылки!$I$214,),0),U356/(1+IFERROR(INDEX(U$10:U$11,Предпосылки!$I$215,),0))*IFERROR(INDEX(U$10:U$11,Предпосылки!$I$215,),0),U379/(1+IFERROR(INDEX(U$10:U$11,Предпосылки!$I$216,),0))*IFERROR(INDEX(U$10:U$11,Предпосылки!$I$216,),0),U402/(1+IFERROR(INDEX(U$10:U$11,Предпосылки!$I$217,),0))*IFERROR(INDEX(U$10:U$11,Предпосылки!$I$217,),0),U425/(1+IFERROR(INDEX(U$10:U$11,Предпосылки!$I$218,),0))*IFERROR(INDEX(U$10:U$11,Предпосылки!$I$218,),0),U448/(1+IFERROR(INDEX(U$10:U$11,Предпосылки!$I$219,),0))*IFERROR(INDEX(U$10:U$11,Предпосылки!$I$219,),0),U471/(1+IFERROR(INDEX(U$10:U$11,Предпосылки!$I$220,),0))*IFERROR(INDEX(U$10:U$11,Предпосылки!$I$220,),0))</f>
        <v>0</v>
      </c>
      <c s="125">
        <f>SUM(V34/(1+IFERROR(INDEX(V$10:V$11,Предпосылки!$I$201,),0))*IFERROR(INDEX(V$10:V$11,Предпосылки!$I$201,),0),V57/(1+IFERROR(INDEX(V$10:V$11,Предпосылки!$I$202,),0))*IFERROR(INDEX(V$10:V$11,Предпосылки!$I$202,),0),V80/(1+IFERROR(INDEX(V$10:V$11,Предпосылки!$I$203,),0))*IFERROR(INDEX(V$10:V$11,Предпосылки!$I$203,),0),V103/(1+IFERROR(INDEX(V$10:V$11,Предпосылки!$I$204,),0))*IFERROR(INDEX(V$10:V$11,Предпосылки!$I$204,),0),V126/(1+IFERROR(INDEX(V$10:V$11,Предпосылки!$I$205,),0))*IFERROR(INDEX(V$10:V$11,Предпосылки!$I$205,),0),V149/(1+IFERROR(INDEX(V$10:V$11,Предпосылки!$I$206,),0))*IFERROR(INDEX(V$10:V$11,Предпосылки!$I$206,),0),V172/(1+IFERROR(INDEX(V$10:V$11,Предпосылки!$I$207,),0))*IFERROR(INDEX(V$10:V$11,Предпосылки!$I$207,),0),V195/(1+IFERROR(INDEX(V$10:V$11,Предпосылки!$I$208,),0))*IFERROR(INDEX(V$10:V$11,Предпосылки!$I$208,),0),V218/(1+IFERROR(INDEX(V$10:V$11,Предпосылки!$I$209,),0))*IFERROR(INDEX(V$10:V$11,Предпосылки!$I$209,),0),V241/(1+IFERROR(INDEX(V$10:V$11,Предпосылки!$I$210,),0))*IFERROR(INDEX(V$10:V$11,Предпосылки!$I$210,),0),V264/(1+IFERROR(INDEX(V$10:V$11,Предпосылки!$I$211,),0))*IFERROR(INDEX(V$10:V$11,Предпосылки!$I$211,),0),V287/(1+IFERROR(INDEX(V$10:V$11,Предпосылки!$I$212,),0))*IFERROR(INDEX(V$10:V$11,Предпосылки!$I$212,),0),V310/(1+IFERROR(INDEX(V$10:V$11,Предпосылки!$I$213,),0))*IFERROR(INDEX(V$10:V$11,Предпосылки!$I$213,),0),V333/(1+IFERROR(INDEX(V$10:V$11,Предпосылки!$I$214,),0))*IFERROR(INDEX(V$10:V$11,Предпосылки!$I$214,),0),V356/(1+IFERROR(INDEX(V$10:V$11,Предпосылки!$I$215,),0))*IFERROR(INDEX(V$10:V$11,Предпосылки!$I$215,),0),V379/(1+IFERROR(INDEX(V$10:V$11,Предпосылки!$I$216,),0))*IFERROR(INDEX(V$10:V$11,Предпосылки!$I$216,),0),V402/(1+IFERROR(INDEX(V$10:V$11,Предпосылки!$I$217,),0))*IFERROR(INDEX(V$10:V$11,Предпосылки!$I$217,),0),V425/(1+IFERROR(INDEX(V$10:V$11,Предпосылки!$I$218,),0))*IFERROR(INDEX(V$10:V$11,Предпосылки!$I$218,),0),V448/(1+IFERROR(INDEX(V$10:V$11,Предпосылки!$I$219,),0))*IFERROR(INDEX(V$10:V$11,Предпосылки!$I$219,),0),V471/(1+IFERROR(INDEX(V$10:V$11,Предпосылки!$I$220,),0))*IFERROR(INDEX(V$10:V$11,Предпосылки!$I$220,),0))</f>
        <v>0</v>
      </c>
      <c s="125">
        <f>SUM(W34/(1+IFERROR(INDEX(W$10:W$11,Предпосылки!$I$201,),0))*IFERROR(INDEX(W$10:W$11,Предпосылки!$I$201,),0),W57/(1+IFERROR(INDEX(W$10:W$11,Предпосылки!$I$202,),0))*IFERROR(INDEX(W$10:W$11,Предпосылки!$I$202,),0),W80/(1+IFERROR(INDEX(W$10:W$11,Предпосылки!$I$203,),0))*IFERROR(INDEX(W$10:W$11,Предпосылки!$I$203,),0),W103/(1+IFERROR(INDEX(W$10:W$11,Предпосылки!$I$204,),0))*IFERROR(INDEX(W$10:W$11,Предпосылки!$I$204,),0),W126/(1+IFERROR(INDEX(W$10:W$11,Предпосылки!$I$205,),0))*IFERROR(INDEX(W$10:W$11,Предпосылки!$I$205,),0),W149/(1+IFERROR(INDEX(W$10:W$11,Предпосылки!$I$206,),0))*IFERROR(INDEX(W$10:W$11,Предпосылки!$I$206,),0),W172/(1+IFERROR(INDEX(W$10:W$11,Предпосылки!$I$207,),0))*IFERROR(INDEX(W$10:W$11,Предпосылки!$I$207,),0),W195/(1+IFERROR(INDEX(W$10:W$11,Предпосылки!$I$208,),0))*IFERROR(INDEX(W$10:W$11,Предпосылки!$I$208,),0),W218/(1+IFERROR(INDEX(W$10:W$11,Предпосылки!$I$209,),0))*IFERROR(INDEX(W$10:W$11,Предпосылки!$I$209,),0),W241/(1+IFERROR(INDEX(W$10:W$11,Предпосылки!$I$210,),0))*IFERROR(INDEX(W$10:W$11,Предпосылки!$I$210,),0),W264/(1+IFERROR(INDEX(W$10:W$11,Предпосылки!$I$211,),0))*IFERROR(INDEX(W$10:W$11,Предпосылки!$I$211,),0),W287/(1+IFERROR(INDEX(W$10:W$11,Предпосылки!$I$212,),0))*IFERROR(INDEX(W$10:W$11,Предпосылки!$I$212,),0),W310/(1+IFERROR(INDEX(W$10:W$11,Предпосылки!$I$213,),0))*IFERROR(INDEX(W$10:W$11,Предпосылки!$I$213,),0),W333/(1+IFERROR(INDEX(W$10:W$11,Предпосылки!$I$214,),0))*IFERROR(INDEX(W$10:W$11,Предпосылки!$I$214,),0),W356/(1+IFERROR(INDEX(W$10:W$11,Предпосылки!$I$215,),0))*IFERROR(INDEX(W$10:W$11,Предпосылки!$I$215,),0),W379/(1+IFERROR(INDEX(W$10:W$11,Предпосылки!$I$216,),0))*IFERROR(INDEX(W$10:W$11,Предпосылки!$I$216,),0),W402/(1+IFERROR(INDEX(W$10:W$11,Предпосылки!$I$217,),0))*IFERROR(INDEX(W$10:W$11,Предпосылки!$I$217,),0),W425/(1+IFERROR(INDEX(W$10:W$11,Предпосылки!$I$218,),0))*IFERROR(INDEX(W$10:W$11,Предпосылки!$I$218,),0),W448/(1+IFERROR(INDEX(W$10:W$11,Предпосылки!$I$219,),0))*IFERROR(INDEX(W$10:W$11,Предпосылки!$I$219,),0),W471/(1+IFERROR(INDEX(W$10:W$11,Предпосылки!$I$220,),0))*IFERROR(INDEX(W$10:W$11,Предпосылки!$I$220,),0))</f>
        <v>0</v>
      </c>
      <c s="125">
        <f>SUM(X34/(1+IFERROR(INDEX(X$10:X$11,Предпосылки!$I$201,),0))*IFERROR(INDEX(X$10:X$11,Предпосылки!$I$201,),0),X57/(1+IFERROR(INDEX(X$10:X$11,Предпосылки!$I$202,),0))*IFERROR(INDEX(X$10:X$11,Предпосылки!$I$202,),0),X80/(1+IFERROR(INDEX(X$10:X$11,Предпосылки!$I$203,),0))*IFERROR(INDEX(X$10:X$11,Предпосылки!$I$203,),0),X103/(1+IFERROR(INDEX(X$10:X$11,Предпосылки!$I$204,),0))*IFERROR(INDEX(X$10:X$11,Предпосылки!$I$204,),0),X126/(1+IFERROR(INDEX(X$10:X$11,Предпосылки!$I$205,),0))*IFERROR(INDEX(X$10:X$11,Предпосылки!$I$205,),0),X149/(1+IFERROR(INDEX(X$10:X$11,Предпосылки!$I$206,),0))*IFERROR(INDEX(X$10:X$11,Предпосылки!$I$206,),0),X172/(1+IFERROR(INDEX(X$10:X$11,Предпосылки!$I$207,),0))*IFERROR(INDEX(X$10:X$11,Предпосылки!$I$207,),0),X195/(1+IFERROR(INDEX(X$10:X$11,Предпосылки!$I$208,),0))*IFERROR(INDEX(X$10:X$11,Предпосылки!$I$208,),0),X218/(1+IFERROR(INDEX(X$10:X$11,Предпосылки!$I$209,),0))*IFERROR(INDEX(X$10:X$11,Предпосылки!$I$209,),0),X241/(1+IFERROR(INDEX(X$10:X$11,Предпосылки!$I$210,),0))*IFERROR(INDEX(X$10:X$11,Предпосылки!$I$210,),0),X264/(1+IFERROR(INDEX(X$10:X$11,Предпосылки!$I$211,),0))*IFERROR(INDEX(X$10:X$11,Предпосылки!$I$211,),0),X287/(1+IFERROR(INDEX(X$10:X$11,Предпосылки!$I$212,),0))*IFERROR(INDEX(X$10:X$11,Предпосылки!$I$212,),0),X310/(1+IFERROR(INDEX(X$10:X$11,Предпосылки!$I$213,),0))*IFERROR(INDEX(X$10:X$11,Предпосылки!$I$213,),0),X333/(1+IFERROR(INDEX(X$10:X$11,Предпосылки!$I$214,),0))*IFERROR(INDEX(X$10:X$11,Предпосылки!$I$214,),0),X356/(1+IFERROR(INDEX(X$10:X$11,Предпосылки!$I$215,),0))*IFERROR(INDEX(X$10:X$11,Предпосылки!$I$215,),0),X379/(1+IFERROR(INDEX(X$10:X$11,Предпосылки!$I$216,),0))*IFERROR(INDEX(X$10:X$11,Предпосылки!$I$216,),0),X402/(1+IFERROR(INDEX(X$10:X$11,Предпосылки!$I$217,),0))*IFERROR(INDEX(X$10:X$11,Предпосылки!$I$217,),0),X425/(1+IFERROR(INDEX(X$10:X$11,Предпосылки!$I$218,),0))*IFERROR(INDEX(X$10:X$11,Предпосылки!$I$218,),0),X448/(1+IFERROR(INDEX(X$10:X$11,Предпосылки!$I$219,),0))*IFERROR(INDEX(X$10:X$11,Предпосылки!$I$219,),0),X471/(1+IFERROR(INDEX(X$10:X$11,Предпосылки!$I$220,),0))*IFERROR(INDEX(X$10:X$11,Предпосылки!$I$220,),0))</f>
        <v>0</v>
      </c>
      <c s="125">
        <f>SUM(Y34/(1+IFERROR(INDEX(Y$10:Y$11,Предпосылки!$I$201,),0))*IFERROR(INDEX(Y$10:Y$11,Предпосылки!$I$201,),0),Y57/(1+IFERROR(INDEX(Y$10:Y$11,Предпосылки!$I$202,),0))*IFERROR(INDEX(Y$10:Y$11,Предпосылки!$I$202,),0),Y80/(1+IFERROR(INDEX(Y$10:Y$11,Предпосылки!$I$203,),0))*IFERROR(INDEX(Y$10:Y$11,Предпосылки!$I$203,),0),Y103/(1+IFERROR(INDEX(Y$10:Y$11,Предпосылки!$I$204,),0))*IFERROR(INDEX(Y$10:Y$11,Предпосылки!$I$204,),0),Y126/(1+IFERROR(INDEX(Y$10:Y$11,Предпосылки!$I$205,),0))*IFERROR(INDEX(Y$10:Y$11,Предпосылки!$I$205,),0),Y149/(1+IFERROR(INDEX(Y$10:Y$11,Предпосылки!$I$206,),0))*IFERROR(INDEX(Y$10:Y$11,Предпосылки!$I$206,),0),Y172/(1+IFERROR(INDEX(Y$10:Y$11,Предпосылки!$I$207,),0))*IFERROR(INDEX(Y$10:Y$11,Предпосылки!$I$207,),0),Y195/(1+IFERROR(INDEX(Y$10:Y$11,Предпосылки!$I$208,),0))*IFERROR(INDEX(Y$10:Y$11,Предпосылки!$I$208,),0),Y218/(1+IFERROR(INDEX(Y$10:Y$11,Предпосылки!$I$209,),0))*IFERROR(INDEX(Y$10:Y$11,Предпосылки!$I$209,),0),Y241/(1+IFERROR(INDEX(Y$10:Y$11,Предпосылки!$I$210,),0))*IFERROR(INDEX(Y$10:Y$11,Предпосылки!$I$210,),0),Y264/(1+IFERROR(INDEX(Y$10:Y$11,Предпосылки!$I$211,),0))*IFERROR(INDEX(Y$10:Y$11,Предпосылки!$I$211,),0),Y287/(1+IFERROR(INDEX(Y$10:Y$11,Предпосылки!$I$212,),0))*IFERROR(INDEX(Y$10:Y$11,Предпосылки!$I$212,),0),Y310/(1+IFERROR(INDEX(Y$10:Y$11,Предпосылки!$I$213,),0))*IFERROR(INDEX(Y$10:Y$11,Предпосылки!$I$213,),0),Y333/(1+IFERROR(INDEX(Y$10:Y$11,Предпосылки!$I$214,),0))*IFERROR(INDEX(Y$10:Y$11,Предпосылки!$I$214,),0),Y356/(1+IFERROR(INDEX(Y$10:Y$11,Предпосылки!$I$215,),0))*IFERROR(INDEX(Y$10:Y$11,Предпосылки!$I$215,),0),Y379/(1+IFERROR(INDEX(Y$10:Y$11,Предпосылки!$I$216,),0))*IFERROR(INDEX(Y$10:Y$11,Предпосылки!$I$216,),0),Y402/(1+IFERROR(INDEX(Y$10:Y$11,Предпосылки!$I$217,),0))*IFERROR(INDEX(Y$10:Y$11,Предпосылки!$I$217,),0),Y425/(1+IFERROR(INDEX(Y$10:Y$11,Предпосылки!$I$218,),0))*IFERROR(INDEX(Y$10:Y$11,Предпосылки!$I$218,),0),Y448/(1+IFERROR(INDEX(Y$10:Y$11,Предпосылки!$I$219,),0))*IFERROR(INDEX(Y$10:Y$11,Предпосылки!$I$219,),0),Y471/(1+IFERROR(INDEX(Y$10:Y$11,Предпосылки!$I$220,),0))*IFERROR(INDEX(Y$10:Y$11,Предпосылки!$I$220,),0))</f>
        <v>0</v>
      </c>
      <c s="125">
        <f>SUM(Z34/(1+IFERROR(INDEX(Z$10:Z$11,Предпосылки!$I$201,),0))*IFERROR(INDEX(Z$10:Z$11,Предпосылки!$I$201,),0),Z57/(1+IFERROR(INDEX(Z$10:Z$11,Предпосылки!$I$202,),0))*IFERROR(INDEX(Z$10:Z$11,Предпосылки!$I$202,),0),Z80/(1+IFERROR(INDEX(Z$10:Z$11,Предпосылки!$I$203,),0))*IFERROR(INDEX(Z$10:Z$11,Предпосылки!$I$203,),0),Z103/(1+IFERROR(INDEX(Z$10:Z$11,Предпосылки!$I$204,),0))*IFERROR(INDEX(Z$10:Z$11,Предпосылки!$I$204,),0),Z126/(1+IFERROR(INDEX(Z$10:Z$11,Предпосылки!$I$205,),0))*IFERROR(INDEX(Z$10:Z$11,Предпосылки!$I$205,),0),Z149/(1+IFERROR(INDEX(Z$10:Z$11,Предпосылки!$I$206,),0))*IFERROR(INDEX(Z$10:Z$11,Предпосылки!$I$206,),0),Z172/(1+IFERROR(INDEX(Z$10:Z$11,Предпосылки!$I$207,),0))*IFERROR(INDEX(Z$10:Z$11,Предпосылки!$I$207,),0),Z195/(1+IFERROR(INDEX(Z$10:Z$11,Предпосылки!$I$208,),0))*IFERROR(INDEX(Z$10:Z$11,Предпосылки!$I$208,),0),Z218/(1+IFERROR(INDEX(Z$10:Z$11,Предпосылки!$I$209,),0))*IFERROR(INDEX(Z$10:Z$11,Предпосылки!$I$209,),0),Z241/(1+IFERROR(INDEX(Z$10:Z$11,Предпосылки!$I$210,),0))*IFERROR(INDEX(Z$10:Z$11,Предпосылки!$I$210,),0),Z264/(1+IFERROR(INDEX(Z$10:Z$11,Предпосылки!$I$211,),0))*IFERROR(INDEX(Z$10:Z$11,Предпосылки!$I$211,),0),Z287/(1+IFERROR(INDEX(Z$10:Z$11,Предпосылки!$I$212,),0))*IFERROR(INDEX(Z$10:Z$11,Предпосылки!$I$212,),0),Z310/(1+IFERROR(INDEX(Z$10:Z$11,Предпосылки!$I$213,),0))*IFERROR(INDEX(Z$10:Z$11,Предпосылки!$I$213,),0),Z333/(1+IFERROR(INDEX(Z$10:Z$11,Предпосылки!$I$214,),0))*IFERROR(INDEX(Z$10:Z$11,Предпосылки!$I$214,),0),Z356/(1+IFERROR(INDEX(Z$10:Z$11,Предпосылки!$I$215,),0))*IFERROR(INDEX(Z$10:Z$11,Предпосылки!$I$215,),0),Z379/(1+IFERROR(INDEX(Z$10:Z$11,Предпосылки!$I$216,),0))*IFERROR(INDEX(Z$10:Z$11,Предпосылки!$I$216,),0),Z402/(1+IFERROR(INDEX(Z$10:Z$11,Предпосылки!$I$217,),0))*IFERROR(INDEX(Z$10:Z$11,Предпосылки!$I$217,),0),Z425/(1+IFERROR(INDEX(Z$10:Z$11,Предпосылки!$I$218,),0))*IFERROR(INDEX(Z$10:Z$11,Предпосылки!$I$218,),0),Z448/(1+IFERROR(INDEX(Z$10:Z$11,Предпосылки!$I$219,),0))*IFERROR(INDEX(Z$10:Z$11,Предпосылки!$I$219,),0),Z471/(1+IFERROR(INDEX(Z$10:Z$11,Предпосылки!$I$220,),0))*IFERROR(INDEX(Z$10:Z$11,Предпосылки!$I$220,),0))</f>
        <v>0</v>
      </c>
      <c s="125">
        <f>SUM(AA34/(1+IFERROR(INDEX(AA$10:AA$11,Предпосылки!$I$201,),0))*IFERROR(INDEX(AA$10:AA$11,Предпосылки!$I$201,),0),AA57/(1+IFERROR(INDEX(AA$10:AA$11,Предпосылки!$I$202,),0))*IFERROR(INDEX(AA$10:AA$11,Предпосылки!$I$202,),0),AA80/(1+IFERROR(INDEX(AA$10:AA$11,Предпосылки!$I$203,),0))*IFERROR(INDEX(AA$10:AA$11,Предпосылки!$I$203,),0),AA103/(1+IFERROR(INDEX(AA$10:AA$11,Предпосылки!$I$204,),0))*IFERROR(INDEX(AA$10:AA$11,Предпосылки!$I$204,),0),AA126/(1+IFERROR(INDEX(AA$10:AA$11,Предпосылки!$I$205,),0))*IFERROR(INDEX(AA$10:AA$11,Предпосылки!$I$205,),0),AA149/(1+IFERROR(INDEX(AA$10:AA$11,Предпосылки!$I$206,),0))*IFERROR(INDEX(AA$10:AA$11,Предпосылки!$I$206,),0),AA172/(1+IFERROR(INDEX(AA$10:AA$11,Предпосылки!$I$207,),0))*IFERROR(INDEX(AA$10:AA$11,Предпосылки!$I$207,),0),AA195/(1+IFERROR(INDEX(AA$10:AA$11,Предпосылки!$I$208,),0))*IFERROR(INDEX(AA$10:AA$11,Предпосылки!$I$208,),0),AA218/(1+IFERROR(INDEX(AA$10:AA$11,Предпосылки!$I$209,),0))*IFERROR(INDEX(AA$10:AA$11,Предпосылки!$I$209,),0),AA241/(1+IFERROR(INDEX(AA$10:AA$11,Предпосылки!$I$210,),0))*IFERROR(INDEX(AA$10:AA$11,Предпосылки!$I$210,),0),AA264/(1+IFERROR(INDEX(AA$10:AA$11,Предпосылки!$I$211,),0))*IFERROR(INDEX(AA$10:AA$11,Предпосылки!$I$211,),0),AA287/(1+IFERROR(INDEX(AA$10:AA$11,Предпосылки!$I$212,),0))*IFERROR(INDEX(AA$10:AA$11,Предпосылки!$I$212,),0),AA310/(1+IFERROR(INDEX(AA$10:AA$11,Предпосылки!$I$213,),0))*IFERROR(INDEX(AA$10:AA$11,Предпосылки!$I$213,),0),AA333/(1+IFERROR(INDEX(AA$10:AA$11,Предпосылки!$I$214,),0))*IFERROR(INDEX(AA$10:AA$11,Предпосылки!$I$214,),0),AA356/(1+IFERROR(INDEX(AA$10:AA$11,Предпосылки!$I$215,),0))*IFERROR(INDEX(AA$10:AA$11,Предпосылки!$I$215,),0),AA379/(1+IFERROR(INDEX(AA$10:AA$11,Предпосылки!$I$216,),0))*IFERROR(INDEX(AA$10:AA$11,Предпосылки!$I$216,),0),AA402/(1+IFERROR(INDEX(AA$10:AA$11,Предпосылки!$I$217,),0))*IFERROR(INDEX(AA$10:AA$11,Предпосылки!$I$217,),0),AA425/(1+IFERROR(INDEX(AA$10:AA$11,Предпосылки!$I$218,),0))*IFERROR(INDEX(AA$10:AA$11,Предпосылки!$I$218,),0),AA448/(1+IFERROR(INDEX(AA$10:AA$11,Предпосылки!$I$219,),0))*IFERROR(INDEX(AA$10:AA$11,Предпосылки!$I$219,),0),AA471/(1+IFERROR(INDEX(AA$10:AA$11,Предпосылки!$I$220,),0))*IFERROR(INDEX(AA$10:AA$11,Предпосылки!$I$220,),0))</f>
        <v>0</v>
      </c>
      <c s="125">
        <f>SUM(AB34/(1+IFERROR(INDEX(AB$10:AB$11,Предпосылки!$I$201,),0))*IFERROR(INDEX(AB$10:AB$11,Предпосылки!$I$201,),0),AB57/(1+IFERROR(INDEX(AB$10:AB$11,Предпосылки!$I$202,),0))*IFERROR(INDEX(AB$10:AB$11,Предпосылки!$I$202,),0),AB80/(1+IFERROR(INDEX(AB$10:AB$11,Предпосылки!$I$203,),0))*IFERROR(INDEX(AB$10:AB$11,Предпосылки!$I$203,),0),AB103/(1+IFERROR(INDEX(AB$10:AB$11,Предпосылки!$I$204,),0))*IFERROR(INDEX(AB$10:AB$11,Предпосылки!$I$204,),0),AB126/(1+IFERROR(INDEX(AB$10:AB$11,Предпосылки!$I$205,),0))*IFERROR(INDEX(AB$10:AB$11,Предпосылки!$I$205,),0),AB149/(1+IFERROR(INDEX(AB$10:AB$11,Предпосылки!$I$206,),0))*IFERROR(INDEX(AB$10:AB$11,Предпосылки!$I$206,),0),AB172/(1+IFERROR(INDEX(AB$10:AB$11,Предпосылки!$I$207,),0))*IFERROR(INDEX(AB$10:AB$11,Предпосылки!$I$207,),0),AB195/(1+IFERROR(INDEX(AB$10:AB$11,Предпосылки!$I$208,),0))*IFERROR(INDEX(AB$10:AB$11,Предпосылки!$I$208,),0),AB218/(1+IFERROR(INDEX(AB$10:AB$11,Предпосылки!$I$209,),0))*IFERROR(INDEX(AB$10:AB$11,Предпосылки!$I$209,),0),AB241/(1+IFERROR(INDEX(AB$10:AB$11,Предпосылки!$I$210,),0))*IFERROR(INDEX(AB$10:AB$11,Предпосылки!$I$210,),0),AB264/(1+IFERROR(INDEX(AB$10:AB$11,Предпосылки!$I$211,),0))*IFERROR(INDEX(AB$10:AB$11,Предпосылки!$I$211,),0),AB287/(1+IFERROR(INDEX(AB$10:AB$11,Предпосылки!$I$212,),0))*IFERROR(INDEX(AB$10:AB$11,Предпосылки!$I$212,),0),AB310/(1+IFERROR(INDEX(AB$10:AB$11,Предпосылки!$I$213,),0))*IFERROR(INDEX(AB$10:AB$11,Предпосылки!$I$213,),0),AB333/(1+IFERROR(INDEX(AB$10:AB$11,Предпосылки!$I$214,),0))*IFERROR(INDEX(AB$10:AB$11,Предпосылки!$I$214,),0),AB356/(1+IFERROR(INDEX(AB$10:AB$11,Предпосылки!$I$215,),0))*IFERROR(INDEX(AB$10:AB$11,Предпосылки!$I$215,),0),AB379/(1+IFERROR(INDEX(AB$10:AB$11,Предпосылки!$I$216,),0))*IFERROR(INDEX(AB$10:AB$11,Предпосылки!$I$216,),0),AB402/(1+IFERROR(INDEX(AB$10:AB$11,Предпосылки!$I$217,),0))*IFERROR(INDEX(AB$10:AB$11,Предпосылки!$I$217,),0),AB425/(1+IFERROR(INDEX(AB$10:AB$11,Предпосылки!$I$218,),0))*IFERROR(INDEX(AB$10:AB$11,Предпосылки!$I$218,),0),AB448/(1+IFERROR(INDEX(AB$10:AB$11,Предпосылки!$I$219,),0))*IFERROR(INDEX(AB$10:AB$11,Предпосылки!$I$219,),0),AB471/(1+IFERROR(INDEX(AB$10:AB$11,Предпосылки!$I$220,),0))*IFERROR(INDEX(AB$10:AB$11,Предпосылки!$I$220,),0))</f>
        <v>0</v>
      </c>
      <c s="125">
        <f>SUM(AC34/(1+IFERROR(INDEX(AC$10:AC$11,Предпосылки!$I$201,),0))*IFERROR(INDEX(AC$10:AC$11,Предпосылки!$I$201,),0),AC57/(1+IFERROR(INDEX(AC$10:AC$11,Предпосылки!$I$202,),0))*IFERROR(INDEX(AC$10:AC$11,Предпосылки!$I$202,),0),AC80/(1+IFERROR(INDEX(AC$10:AC$11,Предпосылки!$I$203,),0))*IFERROR(INDEX(AC$10:AC$11,Предпосылки!$I$203,),0),AC103/(1+IFERROR(INDEX(AC$10:AC$11,Предпосылки!$I$204,),0))*IFERROR(INDEX(AC$10:AC$11,Предпосылки!$I$204,),0),AC126/(1+IFERROR(INDEX(AC$10:AC$11,Предпосылки!$I$205,),0))*IFERROR(INDEX(AC$10:AC$11,Предпосылки!$I$205,),0),AC149/(1+IFERROR(INDEX(AC$10:AC$11,Предпосылки!$I$206,),0))*IFERROR(INDEX(AC$10:AC$11,Предпосылки!$I$206,),0),AC172/(1+IFERROR(INDEX(AC$10:AC$11,Предпосылки!$I$207,),0))*IFERROR(INDEX(AC$10:AC$11,Предпосылки!$I$207,),0),AC195/(1+IFERROR(INDEX(AC$10:AC$11,Предпосылки!$I$208,),0))*IFERROR(INDEX(AC$10:AC$11,Предпосылки!$I$208,),0),AC218/(1+IFERROR(INDEX(AC$10:AC$11,Предпосылки!$I$209,),0))*IFERROR(INDEX(AC$10:AC$11,Предпосылки!$I$209,),0),AC241/(1+IFERROR(INDEX(AC$10:AC$11,Предпосылки!$I$210,),0))*IFERROR(INDEX(AC$10:AC$11,Предпосылки!$I$210,),0),AC264/(1+IFERROR(INDEX(AC$10:AC$11,Предпосылки!$I$211,),0))*IFERROR(INDEX(AC$10:AC$11,Предпосылки!$I$211,),0),AC287/(1+IFERROR(INDEX(AC$10:AC$11,Предпосылки!$I$212,),0))*IFERROR(INDEX(AC$10:AC$11,Предпосылки!$I$212,),0),AC310/(1+IFERROR(INDEX(AC$10:AC$11,Предпосылки!$I$213,),0))*IFERROR(INDEX(AC$10:AC$11,Предпосылки!$I$213,),0),AC333/(1+IFERROR(INDEX(AC$10:AC$11,Предпосылки!$I$214,),0))*IFERROR(INDEX(AC$10:AC$11,Предпосылки!$I$214,),0),AC356/(1+IFERROR(INDEX(AC$10:AC$11,Предпосылки!$I$215,),0))*IFERROR(INDEX(AC$10:AC$11,Предпосылки!$I$215,),0),AC379/(1+IFERROR(INDEX(AC$10:AC$11,Предпосылки!$I$216,),0))*IFERROR(INDEX(AC$10:AC$11,Предпосылки!$I$216,),0),AC402/(1+IFERROR(INDEX(AC$10:AC$11,Предпосылки!$I$217,),0))*IFERROR(INDEX(AC$10:AC$11,Предпосылки!$I$217,),0),AC425/(1+IFERROR(INDEX(AC$10:AC$11,Предпосылки!$I$218,),0))*IFERROR(INDEX(AC$10:AC$11,Предпосылки!$I$218,),0),AC448/(1+IFERROR(INDEX(AC$10:AC$11,Предпосылки!$I$219,),0))*IFERROR(INDEX(AC$10:AC$11,Предпосылки!$I$219,),0),AC471/(1+IFERROR(INDEX(AC$10:AC$11,Предпосылки!$I$220,),0))*IFERROR(INDEX(AC$10:AC$11,Предпосылки!$I$220,),0))</f>
        <v>0</v>
      </c>
      <c s="125">
        <f>SUM(AD34/(1+IFERROR(INDEX(AD$10:AD$11,Предпосылки!$I$201,),0))*IFERROR(INDEX(AD$10:AD$11,Предпосылки!$I$201,),0),AD57/(1+IFERROR(INDEX(AD$10:AD$11,Предпосылки!$I$202,),0))*IFERROR(INDEX(AD$10:AD$11,Предпосылки!$I$202,),0),AD80/(1+IFERROR(INDEX(AD$10:AD$11,Предпосылки!$I$203,),0))*IFERROR(INDEX(AD$10:AD$11,Предпосылки!$I$203,),0),AD103/(1+IFERROR(INDEX(AD$10:AD$11,Предпосылки!$I$204,),0))*IFERROR(INDEX(AD$10:AD$11,Предпосылки!$I$204,),0),AD126/(1+IFERROR(INDEX(AD$10:AD$11,Предпосылки!$I$205,),0))*IFERROR(INDEX(AD$10:AD$11,Предпосылки!$I$205,),0),AD149/(1+IFERROR(INDEX(AD$10:AD$11,Предпосылки!$I$206,),0))*IFERROR(INDEX(AD$10:AD$11,Предпосылки!$I$206,),0),AD172/(1+IFERROR(INDEX(AD$10:AD$11,Предпосылки!$I$207,),0))*IFERROR(INDEX(AD$10:AD$11,Предпосылки!$I$207,),0),AD195/(1+IFERROR(INDEX(AD$10:AD$11,Предпосылки!$I$208,),0))*IFERROR(INDEX(AD$10:AD$11,Предпосылки!$I$208,),0),AD218/(1+IFERROR(INDEX(AD$10:AD$11,Предпосылки!$I$209,),0))*IFERROR(INDEX(AD$10:AD$11,Предпосылки!$I$209,),0),AD241/(1+IFERROR(INDEX(AD$10:AD$11,Предпосылки!$I$210,),0))*IFERROR(INDEX(AD$10:AD$11,Предпосылки!$I$210,),0),AD264/(1+IFERROR(INDEX(AD$10:AD$11,Предпосылки!$I$211,),0))*IFERROR(INDEX(AD$10:AD$11,Предпосылки!$I$211,),0),AD287/(1+IFERROR(INDEX(AD$10:AD$11,Предпосылки!$I$212,),0))*IFERROR(INDEX(AD$10:AD$11,Предпосылки!$I$212,),0),AD310/(1+IFERROR(INDEX(AD$10:AD$11,Предпосылки!$I$213,),0))*IFERROR(INDEX(AD$10:AD$11,Предпосылки!$I$213,),0),AD333/(1+IFERROR(INDEX(AD$10:AD$11,Предпосылки!$I$214,),0))*IFERROR(INDEX(AD$10:AD$11,Предпосылки!$I$214,),0),AD356/(1+IFERROR(INDEX(AD$10:AD$11,Предпосылки!$I$215,),0))*IFERROR(INDEX(AD$10:AD$11,Предпосылки!$I$215,),0),AD379/(1+IFERROR(INDEX(AD$10:AD$11,Предпосылки!$I$216,),0))*IFERROR(INDEX(AD$10:AD$11,Предпосылки!$I$216,),0),AD402/(1+IFERROR(INDEX(AD$10:AD$11,Предпосылки!$I$217,),0))*IFERROR(INDEX(AD$10:AD$11,Предпосылки!$I$217,),0),AD425/(1+IFERROR(INDEX(AD$10:AD$11,Предпосылки!$I$218,),0))*IFERROR(INDEX(AD$10:AD$11,Предпосылки!$I$218,),0),AD448/(1+IFERROR(INDEX(AD$10:AD$11,Предпосылки!$I$219,),0))*IFERROR(INDEX(AD$10:AD$11,Предпосылки!$I$219,),0),AD471/(1+IFERROR(INDEX(AD$10:AD$11,Предпосылки!$I$220,),0))*IFERROR(INDEX(AD$10:AD$11,Предпосылки!$I$220,),0))</f>
        <v>0</v>
      </c>
      <c s="125">
        <f>SUM(AE34/(1+IFERROR(INDEX(AE$10:AE$11,Предпосылки!$I$201,),0))*IFERROR(INDEX(AE$10:AE$11,Предпосылки!$I$201,),0),AE57/(1+IFERROR(INDEX(AE$10:AE$11,Предпосылки!$I$202,),0))*IFERROR(INDEX(AE$10:AE$11,Предпосылки!$I$202,),0),AE80/(1+IFERROR(INDEX(AE$10:AE$11,Предпосылки!$I$203,),0))*IFERROR(INDEX(AE$10:AE$11,Предпосылки!$I$203,),0),AE103/(1+IFERROR(INDEX(AE$10:AE$11,Предпосылки!$I$204,),0))*IFERROR(INDEX(AE$10:AE$11,Предпосылки!$I$204,),0),AE126/(1+IFERROR(INDEX(AE$10:AE$11,Предпосылки!$I$205,),0))*IFERROR(INDEX(AE$10:AE$11,Предпосылки!$I$205,),0),AE149/(1+IFERROR(INDEX(AE$10:AE$11,Предпосылки!$I$206,),0))*IFERROR(INDEX(AE$10:AE$11,Предпосылки!$I$206,),0),AE172/(1+IFERROR(INDEX(AE$10:AE$11,Предпосылки!$I$207,),0))*IFERROR(INDEX(AE$10:AE$11,Предпосылки!$I$207,),0),AE195/(1+IFERROR(INDEX(AE$10:AE$11,Предпосылки!$I$208,),0))*IFERROR(INDEX(AE$10:AE$11,Предпосылки!$I$208,),0),AE218/(1+IFERROR(INDEX(AE$10:AE$11,Предпосылки!$I$209,),0))*IFERROR(INDEX(AE$10:AE$11,Предпосылки!$I$209,),0),AE241/(1+IFERROR(INDEX(AE$10:AE$11,Предпосылки!$I$210,),0))*IFERROR(INDEX(AE$10:AE$11,Предпосылки!$I$210,),0),AE264/(1+IFERROR(INDEX(AE$10:AE$11,Предпосылки!$I$211,),0))*IFERROR(INDEX(AE$10:AE$11,Предпосылки!$I$211,),0),AE287/(1+IFERROR(INDEX(AE$10:AE$11,Предпосылки!$I$212,),0))*IFERROR(INDEX(AE$10:AE$11,Предпосылки!$I$212,),0),AE310/(1+IFERROR(INDEX(AE$10:AE$11,Предпосылки!$I$213,),0))*IFERROR(INDEX(AE$10:AE$11,Предпосылки!$I$213,),0),AE333/(1+IFERROR(INDEX(AE$10:AE$11,Предпосылки!$I$214,),0))*IFERROR(INDEX(AE$10:AE$11,Предпосылки!$I$214,),0),AE356/(1+IFERROR(INDEX(AE$10:AE$11,Предпосылки!$I$215,),0))*IFERROR(INDEX(AE$10:AE$11,Предпосылки!$I$215,),0),AE379/(1+IFERROR(INDEX(AE$10:AE$11,Предпосылки!$I$216,),0))*IFERROR(INDEX(AE$10:AE$11,Предпосылки!$I$216,),0),AE402/(1+IFERROR(INDEX(AE$10:AE$11,Предпосылки!$I$217,),0))*IFERROR(INDEX(AE$10:AE$11,Предпосылки!$I$217,),0),AE425/(1+IFERROR(INDEX(AE$10:AE$11,Предпосылки!$I$218,),0))*IFERROR(INDEX(AE$10:AE$11,Предпосылки!$I$218,),0),AE448/(1+IFERROR(INDEX(AE$10:AE$11,Предпосылки!$I$219,),0))*IFERROR(INDEX(AE$10:AE$11,Предпосылки!$I$219,),0),AE471/(1+IFERROR(INDEX(AE$10:AE$11,Предпосылки!$I$220,),0))*IFERROR(INDEX(AE$10:AE$11,Предпосылки!$I$220,),0))</f>
        <v>0</v>
      </c>
      <c s="125">
        <f>SUM(AF34/(1+IFERROR(INDEX(AF$10:AF$11,Предпосылки!$I$201,),0))*IFERROR(INDEX(AF$10:AF$11,Предпосылки!$I$201,),0),AF57/(1+IFERROR(INDEX(AF$10:AF$11,Предпосылки!$I$202,),0))*IFERROR(INDEX(AF$10:AF$11,Предпосылки!$I$202,),0),AF80/(1+IFERROR(INDEX(AF$10:AF$11,Предпосылки!$I$203,),0))*IFERROR(INDEX(AF$10:AF$11,Предпосылки!$I$203,),0),AF103/(1+IFERROR(INDEX(AF$10:AF$11,Предпосылки!$I$204,),0))*IFERROR(INDEX(AF$10:AF$11,Предпосылки!$I$204,),0),AF126/(1+IFERROR(INDEX(AF$10:AF$11,Предпосылки!$I$205,),0))*IFERROR(INDEX(AF$10:AF$11,Предпосылки!$I$205,),0),AF149/(1+IFERROR(INDEX(AF$10:AF$11,Предпосылки!$I$206,),0))*IFERROR(INDEX(AF$10:AF$11,Предпосылки!$I$206,),0),AF172/(1+IFERROR(INDEX(AF$10:AF$11,Предпосылки!$I$207,),0))*IFERROR(INDEX(AF$10:AF$11,Предпосылки!$I$207,),0),AF195/(1+IFERROR(INDEX(AF$10:AF$11,Предпосылки!$I$208,),0))*IFERROR(INDEX(AF$10:AF$11,Предпосылки!$I$208,),0),AF218/(1+IFERROR(INDEX(AF$10:AF$11,Предпосылки!$I$209,),0))*IFERROR(INDEX(AF$10:AF$11,Предпосылки!$I$209,),0),AF241/(1+IFERROR(INDEX(AF$10:AF$11,Предпосылки!$I$210,),0))*IFERROR(INDEX(AF$10:AF$11,Предпосылки!$I$210,),0),AF264/(1+IFERROR(INDEX(AF$10:AF$11,Предпосылки!$I$211,),0))*IFERROR(INDEX(AF$10:AF$11,Предпосылки!$I$211,),0),AF287/(1+IFERROR(INDEX(AF$10:AF$11,Предпосылки!$I$212,),0))*IFERROR(INDEX(AF$10:AF$11,Предпосылки!$I$212,),0),AF310/(1+IFERROR(INDEX(AF$10:AF$11,Предпосылки!$I$213,),0))*IFERROR(INDEX(AF$10:AF$11,Предпосылки!$I$213,),0),AF333/(1+IFERROR(INDEX(AF$10:AF$11,Предпосылки!$I$214,),0))*IFERROR(INDEX(AF$10:AF$11,Предпосылки!$I$214,),0),AF356/(1+IFERROR(INDEX(AF$10:AF$11,Предпосылки!$I$215,),0))*IFERROR(INDEX(AF$10:AF$11,Предпосылки!$I$215,),0),AF379/(1+IFERROR(INDEX(AF$10:AF$11,Предпосылки!$I$216,),0))*IFERROR(INDEX(AF$10:AF$11,Предпосылки!$I$216,),0),AF402/(1+IFERROR(INDEX(AF$10:AF$11,Предпосылки!$I$217,),0))*IFERROR(INDEX(AF$10:AF$11,Предпосылки!$I$217,),0),AF425/(1+IFERROR(INDEX(AF$10:AF$11,Предпосылки!$I$218,),0))*IFERROR(INDEX(AF$10:AF$11,Предпосылки!$I$218,),0),AF448/(1+IFERROR(INDEX(AF$10:AF$11,Предпосылки!$I$219,),0))*IFERROR(INDEX(AF$10:AF$11,Предпосылки!$I$219,),0),AF471/(1+IFERROR(INDEX(AF$10:AF$11,Предпосылки!$I$220,),0))*IFERROR(INDEX(AF$10:AF$11,Предпосылки!$I$220,),0))</f>
        <v>0</v>
      </c>
      <c s="125">
        <f>SUM(AG34/(1+IFERROR(INDEX(AG$10:AG$11,Предпосылки!$I$201,),0))*IFERROR(INDEX(AG$10:AG$11,Предпосылки!$I$201,),0),AG57/(1+IFERROR(INDEX(AG$10:AG$11,Предпосылки!$I$202,),0))*IFERROR(INDEX(AG$10:AG$11,Предпосылки!$I$202,),0),AG80/(1+IFERROR(INDEX(AG$10:AG$11,Предпосылки!$I$203,),0))*IFERROR(INDEX(AG$10:AG$11,Предпосылки!$I$203,),0),AG103/(1+IFERROR(INDEX(AG$10:AG$11,Предпосылки!$I$204,),0))*IFERROR(INDEX(AG$10:AG$11,Предпосылки!$I$204,),0),AG126/(1+IFERROR(INDEX(AG$10:AG$11,Предпосылки!$I$205,),0))*IFERROR(INDEX(AG$10:AG$11,Предпосылки!$I$205,),0),AG149/(1+IFERROR(INDEX(AG$10:AG$11,Предпосылки!$I$206,),0))*IFERROR(INDEX(AG$10:AG$11,Предпосылки!$I$206,),0),AG172/(1+IFERROR(INDEX(AG$10:AG$11,Предпосылки!$I$207,),0))*IFERROR(INDEX(AG$10:AG$11,Предпосылки!$I$207,),0),AG195/(1+IFERROR(INDEX(AG$10:AG$11,Предпосылки!$I$208,),0))*IFERROR(INDEX(AG$10:AG$11,Предпосылки!$I$208,),0),AG218/(1+IFERROR(INDEX(AG$10:AG$11,Предпосылки!$I$209,),0))*IFERROR(INDEX(AG$10:AG$11,Предпосылки!$I$209,),0),AG241/(1+IFERROR(INDEX(AG$10:AG$11,Предпосылки!$I$210,),0))*IFERROR(INDEX(AG$10:AG$11,Предпосылки!$I$210,),0),AG264/(1+IFERROR(INDEX(AG$10:AG$11,Предпосылки!$I$211,),0))*IFERROR(INDEX(AG$10:AG$11,Предпосылки!$I$211,),0),AG287/(1+IFERROR(INDEX(AG$10:AG$11,Предпосылки!$I$212,),0))*IFERROR(INDEX(AG$10:AG$11,Предпосылки!$I$212,),0),AG310/(1+IFERROR(INDEX(AG$10:AG$11,Предпосылки!$I$213,),0))*IFERROR(INDEX(AG$10:AG$11,Предпосылки!$I$213,),0),AG333/(1+IFERROR(INDEX(AG$10:AG$11,Предпосылки!$I$214,),0))*IFERROR(INDEX(AG$10:AG$11,Предпосылки!$I$214,),0),AG356/(1+IFERROR(INDEX(AG$10:AG$11,Предпосылки!$I$215,),0))*IFERROR(INDEX(AG$10:AG$11,Предпосылки!$I$215,),0),AG379/(1+IFERROR(INDEX(AG$10:AG$11,Предпосылки!$I$216,),0))*IFERROR(INDEX(AG$10:AG$11,Предпосылки!$I$216,),0),AG402/(1+IFERROR(INDEX(AG$10:AG$11,Предпосылки!$I$217,),0))*IFERROR(INDEX(AG$10:AG$11,Предпосылки!$I$217,),0),AG425/(1+IFERROR(INDEX(AG$10:AG$11,Предпосылки!$I$218,),0))*IFERROR(INDEX(AG$10:AG$11,Предпосылки!$I$218,),0),AG448/(1+IFERROR(INDEX(AG$10:AG$11,Предпосылки!$I$219,),0))*IFERROR(INDEX(AG$10:AG$11,Предпосылки!$I$219,),0),AG471/(1+IFERROR(INDEX(AG$10:AG$11,Предпосылки!$I$220,),0))*IFERROR(INDEX(AG$10:AG$11,Предпосылки!$I$220,),0))</f>
        <v>0</v>
      </c>
      <c s="125">
        <f>SUM(AH34/(1+IFERROR(INDEX(AH$10:AH$11,Предпосылки!$I$201,),0))*IFERROR(INDEX(AH$10:AH$11,Предпосылки!$I$201,),0),AH57/(1+IFERROR(INDEX(AH$10:AH$11,Предпосылки!$I$202,),0))*IFERROR(INDEX(AH$10:AH$11,Предпосылки!$I$202,),0),AH80/(1+IFERROR(INDEX(AH$10:AH$11,Предпосылки!$I$203,),0))*IFERROR(INDEX(AH$10:AH$11,Предпосылки!$I$203,),0),AH103/(1+IFERROR(INDEX(AH$10:AH$11,Предпосылки!$I$204,),0))*IFERROR(INDEX(AH$10:AH$11,Предпосылки!$I$204,),0),AH126/(1+IFERROR(INDEX(AH$10:AH$11,Предпосылки!$I$205,),0))*IFERROR(INDEX(AH$10:AH$11,Предпосылки!$I$205,),0),AH149/(1+IFERROR(INDEX(AH$10:AH$11,Предпосылки!$I$206,),0))*IFERROR(INDEX(AH$10:AH$11,Предпосылки!$I$206,),0),AH172/(1+IFERROR(INDEX(AH$10:AH$11,Предпосылки!$I$207,),0))*IFERROR(INDEX(AH$10:AH$11,Предпосылки!$I$207,),0),AH195/(1+IFERROR(INDEX(AH$10:AH$11,Предпосылки!$I$208,),0))*IFERROR(INDEX(AH$10:AH$11,Предпосылки!$I$208,),0),AH218/(1+IFERROR(INDEX(AH$10:AH$11,Предпосылки!$I$209,),0))*IFERROR(INDEX(AH$10:AH$11,Предпосылки!$I$209,),0),AH241/(1+IFERROR(INDEX(AH$10:AH$11,Предпосылки!$I$210,),0))*IFERROR(INDEX(AH$10:AH$11,Предпосылки!$I$210,),0),AH264/(1+IFERROR(INDEX(AH$10:AH$11,Предпосылки!$I$211,),0))*IFERROR(INDEX(AH$10:AH$11,Предпосылки!$I$211,),0),AH287/(1+IFERROR(INDEX(AH$10:AH$11,Предпосылки!$I$212,),0))*IFERROR(INDEX(AH$10:AH$11,Предпосылки!$I$212,),0),AH310/(1+IFERROR(INDEX(AH$10:AH$11,Предпосылки!$I$213,),0))*IFERROR(INDEX(AH$10:AH$11,Предпосылки!$I$213,),0),AH333/(1+IFERROR(INDEX(AH$10:AH$11,Предпосылки!$I$214,),0))*IFERROR(INDEX(AH$10:AH$11,Предпосылки!$I$214,),0),AH356/(1+IFERROR(INDEX(AH$10:AH$11,Предпосылки!$I$215,),0))*IFERROR(INDEX(AH$10:AH$11,Предпосылки!$I$215,),0),AH379/(1+IFERROR(INDEX(AH$10:AH$11,Предпосылки!$I$216,),0))*IFERROR(INDEX(AH$10:AH$11,Предпосылки!$I$216,),0),AH402/(1+IFERROR(INDEX(AH$10:AH$11,Предпосылки!$I$217,),0))*IFERROR(INDEX(AH$10:AH$11,Предпосылки!$I$217,),0),AH425/(1+IFERROR(INDEX(AH$10:AH$11,Предпосылки!$I$218,),0))*IFERROR(INDEX(AH$10:AH$11,Предпосылки!$I$218,),0),AH448/(1+IFERROR(INDEX(AH$10:AH$11,Предпосылки!$I$219,),0))*IFERROR(INDEX(AH$10:AH$11,Предпосылки!$I$219,),0),AH471/(1+IFERROR(INDEX(AH$10:AH$11,Предпосылки!$I$220,),0))*IFERROR(INDEX(AH$10:AH$11,Предпосылки!$I$220,),0))</f>
        <v>0</v>
      </c>
      <c s="125">
        <f>SUM(AI34/(1+IFERROR(INDEX(AI$10:AI$11,Предпосылки!$I$201,),0))*IFERROR(INDEX(AI$10:AI$11,Предпосылки!$I$201,),0),AI57/(1+IFERROR(INDEX(AI$10:AI$11,Предпосылки!$I$202,),0))*IFERROR(INDEX(AI$10:AI$11,Предпосылки!$I$202,),0),AI80/(1+IFERROR(INDEX(AI$10:AI$11,Предпосылки!$I$203,),0))*IFERROR(INDEX(AI$10:AI$11,Предпосылки!$I$203,),0),AI103/(1+IFERROR(INDEX(AI$10:AI$11,Предпосылки!$I$204,),0))*IFERROR(INDEX(AI$10:AI$11,Предпосылки!$I$204,),0),AI126/(1+IFERROR(INDEX(AI$10:AI$11,Предпосылки!$I$205,),0))*IFERROR(INDEX(AI$10:AI$11,Предпосылки!$I$205,),0),AI149/(1+IFERROR(INDEX(AI$10:AI$11,Предпосылки!$I$206,),0))*IFERROR(INDEX(AI$10:AI$11,Предпосылки!$I$206,),0),AI172/(1+IFERROR(INDEX(AI$10:AI$11,Предпосылки!$I$207,),0))*IFERROR(INDEX(AI$10:AI$11,Предпосылки!$I$207,),0),AI195/(1+IFERROR(INDEX(AI$10:AI$11,Предпосылки!$I$208,),0))*IFERROR(INDEX(AI$10:AI$11,Предпосылки!$I$208,),0),AI218/(1+IFERROR(INDEX(AI$10:AI$11,Предпосылки!$I$209,),0))*IFERROR(INDEX(AI$10:AI$11,Предпосылки!$I$209,),0),AI241/(1+IFERROR(INDEX(AI$10:AI$11,Предпосылки!$I$210,),0))*IFERROR(INDEX(AI$10:AI$11,Предпосылки!$I$210,),0),AI264/(1+IFERROR(INDEX(AI$10:AI$11,Предпосылки!$I$211,),0))*IFERROR(INDEX(AI$10:AI$11,Предпосылки!$I$211,),0),AI287/(1+IFERROR(INDEX(AI$10:AI$11,Предпосылки!$I$212,),0))*IFERROR(INDEX(AI$10:AI$11,Предпосылки!$I$212,),0),AI310/(1+IFERROR(INDEX(AI$10:AI$11,Предпосылки!$I$213,),0))*IFERROR(INDEX(AI$10:AI$11,Предпосылки!$I$213,),0),AI333/(1+IFERROR(INDEX(AI$10:AI$11,Предпосылки!$I$214,),0))*IFERROR(INDEX(AI$10:AI$11,Предпосылки!$I$214,),0),AI356/(1+IFERROR(INDEX(AI$10:AI$11,Предпосылки!$I$215,),0))*IFERROR(INDEX(AI$10:AI$11,Предпосылки!$I$215,),0),AI379/(1+IFERROR(INDEX(AI$10:AI$11,Предпосылки!$I$216,),0))*IFERROR(INDEX(AI$10:AI$11,Предпосылки!$I$216,),0),AI402/(1+IFERROR(INDEX(AI$10:AI$11,Предпосылки!$I$217,),0))*IFERROR(INDEX(AI$10:AI$11,Предпосылки!$I$217,),0),AI425/(1+IFERROR(INDEX(AI$10:AI$11,Предпосылки!$I$218,),0))*IFERROR(INDEX(AI$10:AI$11,Предпосылки!$I$218,),0),AI448/(1+IFERROR(INDEX(AI$10:AI$11,Предпосылки!$I$219,),0))*IFERROR(INDEX(AI$10:AI$11,Предпосылки!$I$219,),0),AI471/(1+IFERROR(INDEX(AI$10:AI$11,Предпосылки!$I$220,),0))*IFERROR(INDEX(AI$10:AI$11,Предпосылки!$I$220,),0))</f>
        <v>0</v>
      </c>
      <c s="125">
        <f>SUM(AJ34/(1+IFERROR(INDEX(AJ$10:AJ$11,Предпосылки!$I$201,),0))*IFERROR(INDEX(AJ$10:AJ$11,Предпосылки!$I$201,),0),AJ57/(1+IFERROR(INDEX(AJ$10:AJ$11,Предпосылки!$I$202,),0))*IFERROR(INDEX(AJ$10:AJ$11,Предпосылки!$I$202,),0),AJ80/(1+IFERROR(INDEX(AJ$10:AJ$11,Предпосылки!$I$203,),0))*IFERROR(INDEX(AJ$10:AJ$11,Предпосылки!$I$203,),0),AJ103/(1+IFERROR(INDEX(AJ$10:AJ$11,Предпосылки!$I$204,),0))*IFERROR(INDEX(AJ$10:AJ$11,Предпосылки!$I$204,),0),AJ126/(1+IFERROR(INDEX(AJ$10:AJ$11,Предпосылки!$I$205,),0))*IFERROR(INDEX(AJ$10:AJ$11,Предпосылки!$I$205,),0),AJ149/(1+IFERROR(INDEX(AJ$10:AJ$11,Предпосылки!$I$206,),0))*IFERROR(INDEX(AJ$10:AJ$11,Предпосылки!$I$206,),0),AJ172/(1+IFERROR(INDEX(AJ$10:AJ$11,Предпосылки!$I$207,),0))*IFERROR(INDEX(AJ$10:AJ$11,Предпосылки!$I$207,),0),AJ195/(1+IFERROR(INDEX(AJ$10:AJ$11,Предпосылки!$I$208,),0))*IFERROR(INDEX(AJ$10:AJ$11,Предпосылки!$I$208,),0),AJ218/(1+IFERROR(INDEX(AJ$10:AJ$11,Предпосылки!$I$209,),0))*IFERROR(INDEX(AJ$10:AJ$11,Предпосылки!$I$209,),0),AJ241/(1+IFERROR(INDEX(AJ$10:AJ$11,Предпосылки!$I$210,),0))*IFERROR(INDEX(AJ$10:AJ$11,Предпосылки!$I$210,),0),AJ264/(1+IFERROR(INDEX(AJ$10:AJ$11,Предпосылки!$I$211,),0))*IFERROR(INDEX(AJ$10:AJ$11,Предпосылки!$I$211,),0),AJ287/(1+IFERROR(INDEX(AJ$10:AJ$11,Предпосылки!$I$212,),0))*IFERROR(INDEX(AJ$10:AJ$11,Предпосылки!$I$212,),0),AJ310/(1+IFERROR(INDEX(AJ$10:AJ$11,Предпосылки!$I$213,),0))*IFERROR(INDEX(AJ$10:AJ$11,Предпосылки!$I$213,),0),AJ333/(1+IFERROR(INDEX(AJ$10:AJ$11,Предпосылки!$I$214,),0))*IFERROR(INDEX(AJ$10:AJ$11,Предпосылки!$I$214,),0),AJ356/(1+IFERROR(INDEX(AJ$10:AJ$11,Предпосылки!$I$215,),0))*IFERROR(INDEX(AJ$10:AJ$11,Предпосылки!$I$215,),0),AJ379/(1+IFERROR(INDEX(AJ$10:AJ$11,Предпосылки!$I$216,),0))*IFERROR(INDEX(AJ$10:AJ$11,Предпосылки!$I$216,),0),AJ402/(1+IFERROR(INDEX(AJ$10:AJ$11,Предпосылки!$I$217,),0))*IFERROR(INDEX(AJ$10:AJ$11,Предпосылки!$I$217,),0),AJ425/(1+IFERROR(INDEX(AJ$10:AJ$11,Предпосылки!$I$218,),0))*IFERROR(INDEX(AJ$10:AJ$11,Предпосылки!$I$218,),0),AJ448/(1+IFERROR(INDEX(AJ$10:AJ$11,Предпосылки!$I$219,),0))*IFERROR(INDEX(AJ$10:AJ$11,Предпосылки!$I$219,),0),AJ471/(1+IFERROR(INDEX(AJ$10:AJ$11,Предпосылки!$I$220,),0))*IFERROR(INDEX(AJ$10:AJ$11,Предпосылки!$I$220,),0))</f>
        <v>0</v>
      </c>
      <c s="125">
        <f>SUM(AK34/(1+IFERROR(INDEX(AK$10:AK$11,Предпосылки!$I$201,),0))*IFERROR(INDEX(AK$10:AK$11,Предпосылки!$I$201,),0),AK57/(1+IFERROR(INDEX(AK$10:AK$11,Предпосылки!$I$202,),0))*IFERROR(INDEX(AK$10:AK$11,Предпосылки!$I$202,),0),AK80/(1+IFERROR(INDEX(AK$10:AK$11,Предпосылки!$I$203,),0))*IFERROR(INDEX(AK$10:AK$11,Предпосылки!$I$203,),0),AK103/(1+IFERROR(INDEX(AK$10:AK$11,Предпосылки!$I$204,),0))*IFERROR(INDEX(AK$10:AK$11,Предпосылки!$I$204,),0),AK126/(1+IFERROR(INDEX(AK$10:AK$11,Предпосылки!$I$205,),0))*IFERROR(INDEX(AK$10:AK$11,Предпосылки!$I$205,),0),AK149/(1+IFERROR(INDEX(AK$10:AK$11,Предпосылки!$I$206,),0))*IFERROR(INDEX(AK$10:AK$11,Предпосылки!$I$206,),0),AK172/(1+IFERROR(INDEX(AK$10:AK$11,Предпосылки!$I$207,),0))*IFERROR(INDEX(AK$10:AK$11,Предпосылки!$I$207,),0),AK195/(1+IFERROR(INDEX(AK$10:AK$11,Предпосылки!$I$208,),0))*IFERROR(INDEX(AK$10:AK$11,Предпосылки!$I$208,),0),AK218/(1+IFERROR(INDEX(AK$10:AK$11,Предпосылки!$I$209,),0))*IFERROR(INDEX(AK$10:AK$11,Предпосылки!$I$209,),0),AK241/(1+IFERROR(INDEX(AK$10:AK$11,Предпосылки!$I$210,),0))*IFERROR(INDEX(AK$10:AK$11,Предпосылки!$I$210,),0),AK264/(1+IFERROR(INDEX(AK$10:AK$11,Предпосылки!$I$211,),0))*IFERROR(INDEX(AK$10:AK$11,Предпосылки!$I$211,),0),AK287/(1+IFERROR(INDEX(AK$10:AK$11,Предпосылки!$I$212,),0))*IFERROR(INDEX(AK$10:AK$11,Предпосылки!$I$212,),0),AK310/(1+IFERROR(INDEX(AK$10:AK$11,Предпосылки!$I$213,),0))*IFERROR(INDEX(AK$10:AK$11,Предпосылки!$I$213,),0),AK333/(1+IFERROR(INDEX(AK$10:AK$11,Предпосылки!$I$214,),0))*IFERROR(INDEX(AK$10:AK$11,Предпосылки!$I$214,),0),AK356/(1+IFERROR(INDEX(AK$10:AK$11,Предпосылки!$I$215,),0))*IFERROR(INDEX(AK$10:AK$11,Предпосылки!$I$215,),0),AK379/(1+IFERROR(INDEX(AK$10:AK$11,Предпосылки!$I$216,),0))*IFERROR(INDEX(AK$10:AK$11,Предпосылки!$I$216,),0),AK402/(1+IFERROR(INDEX(AK$10:AK$11,Предпосылки!$I$217,),0))*IFERROR(INDEX(AK$10:AK$11,Предпосылки!$I$217,),0),AK425/(1+IFERROR(INDEX(AK$10:AK$11,Предпосылки!$I$218,),0))*IFERROR(INDEX(AK$10:AK$11,Предпосылки!$I$218,),0),AK448/(1+IFERROR(INDEX(AK$10:AK$11,Предпосылки!$I$219,),0))*IFERROR(INDEX(AK$10:AK$11,Предпосылки!$I$219,),0),AK471/(1+IFERROR(INDEX(AK$10:AK$11,Предпосылки!$I$220,),0))*IFERROR(INDEX(AK$10:AK$11,Предпосылки!$I$220,),0))</f>
        <v>0</v>
      </c>
      <c s="125">
        <f>SUM(AL34/(1+IFERROR(INDEX(AL$10:AL$11,Предпосылки!$I$201,),0))*IFERROR(INDEX(AL$10:AL$11,Предпосылки!$I$201,),0),AL57/(1+IFERROR(INDEX(AL$10:AL$11,Предпосылки!$I$202,),0))*IFERROR(INDEX(AL$10:AL$11,Предпосылки!$I$202,),0),AL80/(1+IFERROR(INDEX(AL$10:AL$11,Предпосылки!$I$203,),0))*IFERROR(INDEX(AL$10:AL$11,Предпосылки!$I$203,),0),AL103/(1+IFERROR(INDEX(AL$10:AL$11,Предпосылки!$I$204,),0))*IFERROR(INDEX(AL$10:AL$11,Предпосылки!$I$204,),0),AL126/(1+IFERROR(INDEX(AL$10:AL$11,Предпосылки!$I$205,),0))*IFERROR(INDEX(AL$10:AL$11,Предпосылки!$I$205,),0),AL149/(1+IFERROR(INDEX(AL$10:AL$11,Предпосылки!$I$206,),0))*IFERROR(INDEX(AL$10:AL$11,Предпосылки!$I$206,),0),AL172/(1+IFERROR(INDEX(AL$10:AL$11,Предпосылки!$I$207,),0))*IFERROR(INDEX(AL$10:AL$11,Предпосылки!$I$207,),0),AL195/(1+IFERROR(INDEX(AL$10:AL$11,Предпосылки!$I$208,),0))*IFERROR(INDEX(AL$10:AL$11,Предпосылки!$I$208,),0),AL218/(1+IFERROR(INDEX(AL$10:AL$11,Предпосылки!$I$209,),0))*IFERROR(INDEX(AL$10:AL$11,Предпосылки!$I$209,),0),AL241/(1+IFERROR(INDEX(AL$10:AL$11,Предпосылки!$I$210,),0))*IFERROR(INDEX(AL$10:AL$11,Предпосылки!$I$210,),0),AL264/(1+IFERROR(INDEX(AL$10:AL$11,Предпосылки!$I$211,),0))*IFERROR(INDEX(AL$10:AL$11,Предпосылки!$I$211,),0),AL287/(1+IFERROR(INDEX(AL$10:AL$11,Предпосылки!$I$212,),0))*IFERROR(INDEX(AL$10:AL$11,Предпосылки!$I$212,),0),AL310/(1+IFERROR(INDEX(AL$10:AL$11,Предпосылки!$I$213,),0))*IFERROR(INDEX(AL$10:AL$11,Предпосылки!$I$213,),0),AL333/(1+IFERROR(INDEX(AL$10:AL$11,Предпосылки!$I$214,),0))*IFERROR(INDEX(AL$10:AL$11,Предпосылки!$I$214,),0),AL356/(1+IFERROR(INDEX(AL$10:AL$11,Предпосылки!$I$215,),0))*IFERROR(INDEX(AL$10:AL$11,Предпосылки!$I$215,),0),AL379/(1+IFERROR(INDEX(AL$10:AL$11,Предпосылки!$I$216,),0))*IFERROR(INDEX(AL$10:AL$11,Предпосылки!$I$216,),0),AL402/(1+IFERROR(INDEX(AL$10:AL$11,Предпосылки!$I$217,),0))*IFERROR(INDEX(AL$10:AL$11,Предпосылки!$I$217,),0),AL425/(1+IFERROR(INDEX(AL$10:AL$11,Предпосылки!$I$218,),0))*IFERROR(INDEX(AL$10:AL$11,Предпосылки!$I$218,),0),AL448/(1+IFERROR(INDEX(AL$10:AL$11,Предпосылки!$I$219,),0))*IFERROR(INDEX(AL$10:AL$11,Предпосылки!$I$219,),0),AL471/(1+IFERROR(INDEX(AL$10:AL$11,Предпосылки!$I$220,),0))*IFERROR(INDEX(AL$10:AL$11,Предпосылки!$I$220,),0))</f>
        <v>0</v>
      </c>
      <c s="125">
        <f>SUM(AM34/(1+IFERROR(INDEX(AM$10:AM$11,Предпосылки!$I$201,),0))*IFERROR(INDEX(AM$10:AM$11,Предпосылки!$I$201,),0),AM57/(1+IFERROR(INDEX(AM$10:AM$11,Предпосылки!$I$202,),0))*IFERROR(INDEX(AM$10:AM$11,Предпосылки!$I$202,),0),AM80/(1+IFERROR(INDEX(AM$10:AM$11,Предпосылки!$I$203,),0))*IFERROR(INDEX(AM$10:AM$11,Предпосылки!$I$203,),0),AM103/(1+IFERROR(INDEX(AM$10:AM$11,Предпосылки!$I$204,),0))*IFERROR(INDEX(AM$10:AM$11,Предпосылки!$I$204,),0),AM126/(1+IFERROR(INDEX(AM$10:AM$11,Предпосылки!$I$205,),0))*IFERROR(INDEX(AM$10:AM$11,Предпосылки!$I$205,),0),AM149/(1+IFERROR(INDEX(AM$10:AM$11,Предпосылки!$I$206,),0))*IFERROR(INDEX(AM$10:AM$11,Предпосылки!$I$206,),0),AM172/(1+IFERROR(INDEX(AM$10:AM$11,Предпосылки!$I$207,),0))*IFERROR(INDEX(AM$10:AM$11,Предпосылки!$I$207,),0),AM195/(1+IFERROR(INDEX(AM$10:AM$11,Предпосылки!$I$208,),0))*IFERROR(INDEX(AM$10:AM$11,Предпосылки!$I$208,),0),AM218/(1+IFERROR(INDEX(AM$10:AM$11,Предпосылки!$I$209,),0))*IFERROR(INDEX(AM$10:AM$11,Предпосылки!$I$209,),0),AM241/(1+IFERROR(INDEX(AM$10:AM$11,Предпосылки!$I$210,),0))*IFERROR(INDEX(AM$10:AM$11,Предпосылки!$I$210,),0),AM264/(1+IFERROR(INDEX(AM$10:AM$11,Предпосылки!$I$211,),0))*IFERROR(INDEX(AM$10:AM$11,Предпосылки!$I$211,),0),AM287/(1+IFERROR(INDEX(AM$10:AM$11,Предпосылки!$I$212,),0))*IFERROR(INDEX(AM$10:AM$11,Предпосылки!$I$212,),0),AM310/(1+IFERROR(INDEX(AM$10:AM$11,Предпосылки!$I$213,),0))*IFERROR(INDEX(AM$10:AM$11,Предпосылки!$I$213,),0),AM333/(1+IFERROR(INDEX(AM$10:AM$11,Предпосылки!$I$214,),0))*IFERROR(INDEX(AM$10:AM$11,Предпосылки!$I$214,),0),AM356/(1+IFERROR(INDEX(AM$10:AM$11,Предпосылки!$I$215,),0))*IFERROR(INDEX(AM$10:AM$11,Предпосылки!$I$215,),0),AM379/(1+IFERROR(INDEX(AM$10:AM$11,Предпосылки!$I$216,),0))*IFERROR(INDEX(AM$10:AM$11,Предпосылки!$I$216,),0),AM402/(1+IFERROR(INDEX(AM$10:AM$11,Предпосылки!$I$217,),0))*IFERROR(INDEX(AM$10:AM$11,Предпосылки!$I$217,),0),AM425/(1+IFERROR(INDEX(AM$10:AM$11,Предпосылки!$I$218,),0))*IFERROR(INDEX(AM$10:AM$11,Предпосылки!$I$218,),0),AM448/(1+IFERROR(INDEX(AM$10:AM$11,Предпосылки!$I$219,),0))*IFERROR(INDEX(AM$10:AM$11,Предпосылки!$I$219,),0),AM471/(1+IFERROR(INDEX(AM$10:AM$11,Предпосылки!$I$220,),0))*IFERROR(INDEX(AM$10:AM$11,Предпосылки!$I$220,),0))</f>
        <v>0</v>
      </c>
      <c s="125">
        <f>SUM(AN34/(1+IFERROR(INDEX(AN$10:AN$11,Предпосылки!$I$201,),0))*IFERROR(INDEX(AN$10:AN$11,Предпосылки!$I$201,),0),AN57/(1+IFERROR(INDEX(AN$10:AN$11,Предпосылки!$I$202,),0))*IFERROR(INDEX(AN$10:AN$11,Предпосылки!$I$202,),0),AN80/(1+IFERROR(INDEX(AN$10:AN$11,Предпосылки!$I$203,),0))*IFERROR(INDEX(AN$10:AN$11,Предпосылки!$I$203,),0),AN103/(1+IFERROR(INDEX(AN$10:AN$11,Предпосылки!$I$204,),0))*IFERROR(INDEX(AN$10:AN$11,Предпосылки!$I$204,),0),AN126/(1+IFERROR(INDEX(AN$10:AN$11,Предпосылки!$I$205,),0))*IFERROR(INDEX(AN$10:AN$11,Предпосылки!$I$205,),0),AN149/(1+IFERROR(INDEX(AN$10:AN$11,Предпосылки!$I$206,),0))*IFERROR(INDEX(AN$10:AN$11,Предпосылки!$I$206,),0),AN172/(1+IFERROR(INDEX(AN$10:AN$11,Предпосылки!$I$207,),0))*IFERROR(INDEX(AN$10:AN$11,Предпосылки!$I$207,),0),AN195/(1+IFERROR(INDEX(AN$10:AN$11,Предпосылки!$I$208,),0))*IFERROR(INDEX(AN$10:AN$11,Предпосылки!$I$208,),0),AN218/(1+IFERROR(INDEX(AN$10:AN$11,Предпосылки!$I$209,),0))*IFERROR(INDEX(AN$10:AN$11,Предпосылки!$I$209,),0),AN241/(1+IFERROR(INDEX(AN$10:AN$11,Предпосылки!$I$210,),0))*IFERROR(INDEX(AN$10:AN$11,Предпосылки!$I$210,),0),AN264/(1+IFERROR(INDEX(AN$10:AN$11,Предпосылки!$I$211,),0))*IFERROR(INDEX(AN$10:AN$11,Предпосылки!$I$211,),0),AN287/(1+IFERROR(INDEX(AN$10:AN$11,Предпосылки!$I$212,),0))*IFERROR(INDEX(AN$10:AN$11,Предпосылки!$I$212,),0),AN310/(1+IFERROR(INDEX(AN$10:AN$11,Предпосылки!$I$213,),0))*IFERROR(INDEX(AN$10:AN$11,Предпосылки!$I$213,),0),AN333/(1+IFERROR(INDEX(AN$10:AN$11,Предпосылки!$I$214,),0))*IFERROR(INDEX(AN$10:AN$11,Предпосылки!$I$214,),0),AN356/(1+IFERROR(INDEX(AN$10:AN$11,Предпосылки!$I$215,),0))*IFERROR(INDEX(AN$10:AN$11,Предпосылки!$I$215,),0),AN379/(1+IFERROR(INDEX(AN$10:AN$11,Предпосылки!$I$216,),0))*IFERROR(INDEX(AN$10:AN$11,Предпосылки!$I$216,),0),AN402/(1+IFERROR(INDEX(AN$10:AN$11,Предпосылки!$I$217,),0))*IFERROR(INDEX(AN$10:AN$11,Предпосылки!$I$217,),0),AN425/(1+IFERROR(INDEX(AN$10:AN$11,Предпосылки!$I$218,),0))*IFERROR(INDEX(AN$10:AN$11,Предпосылки!$I$218,),0),AN448/(1+IFERROR(INDEX(AN$10:AN$11,Предпосылки!$I$219,),0))*IFERROR(INDEX(AN$10:AN$11,Предпосылки!$I$219,),0),AN471/(1+IFERROR(INDEX(AN$10:AN$11,Предпосылки!$I$220,),0))*IFERROR(INDEX(AN$10:AN$11,Предпосылки!$I$220,),0))</f>
        <v>0</v>
      </c>
      <c s="125">
        <f>SUM(AO34/(1+IFERROR(INDEX(AO$10:AO$11,Предпосылки!$I$201,),0))*IFERROR(INDEX(AO$10:AO$11,Предпосылки!$I$201,),0),AO57/(1+IFERROR(INDEX(AO$10:AO$11,Предпосылки!$I$202,),0))*IFERROR(INDEX(AO$10:AO$11,Предпосылки!$I$202,),0),AO80/(1+IFERROR(INDEX(AO$10:AO$11,Предпосылки!$I$203,),0))*IFERROR(INDEX(AO$10:AO$11,Предпосылки!$I$203,),0),AO103/(1+IFERROR(INDEX(AO$10:AO$11,Предпосылки!$I$204,),0))*IFERROR(INDEX(AO$10:AO$11,Предпосылки!$I$204,),0),AO126/(1+IFERROR(INDEX(AO$10:AO$11,Предпосылки!$I$205,),0))*IFERROR(INDEX(AO$10:AO$11,Предпосылки!$I$205,),0),AO149/(1+IFERROR(INDEX(AO$10:AO$11,Предпосылки!$I$206,),0))*IFERROR(INDEX(AO$10:AO$11,Предпосылки!$I$206,),0),AO172/(1+IFERROR(INDEX(AO$10:AO$11,Предпосылки!$I$207,),0))*IFERROR(INDEX(AO$10:AO$11,Предпосылки!$I$207,),0),AO195/(1+IFERROR(INDEX(AO$10:AO$11,Предпосылки!$I$208,),0))*IFERROR(INDEX(AO$10:AO$11,Предпосылки!$I$208,),0),AO218/(1+IFERROR(INDEX(AO$10:AO$11,Предпосылки!$I$209,),0))*IFERROR(INDEX(AO$10:AO$11,Предпосылки!$I$209,),0),AO241/(1+IFERROR(INDEX(AO$10:AO$11,Предпосылки!$I$210,),0))*IFERROR(INDEX(AO$10:AO$11,Предпосылки!$I$210,),0),AO264/(1+IFERROR(INDEX(AO$10:AO$11,Предпосылки!$I$211,),0))*IFERROR(INDEX(AO$10:AO$11,Предпосылки!$I$211,),0),AO287/(1+IFERROR(INDEX(AO$10:AO$11,Предпосылки!$I$212,),0))*IFERROR(INDEX(AO$10:AO$11,Предпосылки!$I$212,),0),AO310/(1+IFERROR(INDEX(AO$10:AO$11,Предпосылки!$I$213,),0))*IFERROR(INDEX(AO$10:AO$11,Предпосылки!$I$213,),0),AO333/(1+IFERROR(INDEX(AO$10:AO$11,Предпосылки!$I$214,),0))*IFERROR(INDEX(AO$10:AO$11,Предпосылки!$I$214,),0),AO356/(1+IFERROR(INDEX(AO$10:AO$11,Предпосылки!$I$215,),0))*IFERROR(INDEX(AO$10:AO$11,Предпосылки!$I$215,),0),AO379/(1+IFERROR(INDEX(AO$10:AO$11,Предпосылки!$I$216,),0))*IFERROR(INDEX(AO$10:AO$11,Предпосылки!$I$216,),0),AO402/(1+IFERROR(INDEX(AO$10:AO$11,Предпосылки!$I$217,),0))*IFERROR(INDEX(AO$10:AO$11,Предпосылки!$I$217,),0),AO425/(1+IFERROR(INDEX(AO$10:AO$11,Предпосылки!$I$218,),0))*IFERROR(INDEX(AO$10:AO$11,Предпосылки!$I$218,),0),AO448/(1+IFERROR(INDEX(AO$10:AO$11,Предпосылки!$I$219,),0))*IFERROR(INDEX(AO$10:AO$11,Предпосылки!$I$219,),0),AO471/(1+IFERROR(INDEX(AO$10:AO$11,Предпосылки!$I$220,),0))*IFERROR(INDEX(AO$10:AO$11,Предпосылки!$I$220,),0))</f>
        <v>0</v>
      </c>
      <c s="125">
        <f>SUM(AP34/(1+IFERROR(INDEX(AP$10:AP$11,Предпосылки!$I$201,),0))*IFERROR(INDEX(AP$10:AP$11,Предпосылки!$I$201,),0),AP57/(1+IFERROR(INDEX(AP$10:AP$11,Предпосылки!$I$202,),0))*IFERROR(INDEX(AP$10:AP$11,Предпосылки!$I$202,),0),AP80/(1+IFERROR(INDEX(AP$10:AP$11,Предпосылки!$I$203,),0))*IFERROR(INDEX(AP$10:AP$11,Предпосылки!$I$203,),0),AP103/(1+IFERROR(INDEX(AP$10:AP$11,Предпосылки!$I$204,),0))*IFERROR(INDEX(AP$10:AP$11,Предпосылки!$I$204,),0),AP126/(1+IFERROR(INDEX(AP$10:AP$11,Предпосылки!$I$205,),0))*IFERROR(INDEX(AP$10:AP$11,Предпосылки!$I$205,),0),AP149/(1+IFERROR(INDEX(AP$10:AP$11,Предпосылки!$I$206,),0))*IFERROR(INDEX(AP$10:AP$11,Предпосылки!$I$206,),0),AP172/(1+IFERROR(INDEX(AP$10:AP$11,Предпосылки!$I$207,),0))*IFERROR(INDEX(AP$10:AP$11,Предпосылки!$I$207,),0),AP195/(1+IFERROR(INDEX(AP$10:AP$11,Предпосылки!$I$208,),0))*IFERROR(INDEX(AP$10:AP$11,Предпосылки!$I$208,),0),AP218/(1+IFERROR(INDEX(AP$10:AP$11,Предпосылки!$I$209,),0))*IFERROR(INDEX(AP$10:AP$11,Предпосылки!$I$209,),0),AP241/(1+IFERROR(INDEX(AP$10:AP$11,Предпосылки!$I$210,),0))*IFERROR(INDEX(AP$10:AP$11,Предпосылки!$I$210,),0),AP264/(1+IFERROR(INDEX(AP$10:AP$11,Предпосылки!$I$211,),0))*IFERROR(INDEX(AP$10:AP$11,Предпосылки!$I$211,),0),AP287/(1+IFERROR(INDEX(AP$10:AP$11,Предпосылки!$I$212,),0))*IFERROR(INDEX(AP$10:AP$11,Предпосылки!$I$212,),0),AP310/(1+IFERROR(INDEX(AP$10:AP$11,Предпосылки!$I$213,),0))*IFERROR(INDEX(AP$10:AP$11,Предпосылки!$I$213,),0),AP333/(1+IFERROR(INDEX(AP$10:AP$11,Предпосылки!$I$214,),0))*IFERROR(INDEX(AP$10:AP$11,Предпосылки!$I$214,),0),AP356/(1+IFERROR(INDEX(AP$10:AP$11,Предпосылки!$I$215,),0))*IFERROR(INDEX(AP$10:AP$11,Предпосылки!$I$215,),0),AP379/(1+IFERROR(INDEX(AP$10:AP$11,Предпосылки!$I$216,),0))*IFERROR(INDEX(AP$10:AP$11,Предпосылки!$I$216,),0),AP402/(1+IFERROR(INDEX(AP$10:AP$11,Предпосылки!$I$217,),0))*IFERROR(INDEX(AP$10:AP$11,Предпосылки!$I$217,),0),AP425/(1+IFERROR(INDEX(AP$10:AP$11,Предпосылки!$I$218,),0))*IFERROR(INDEX(AP$10:AP$11,Предпосылки!$I$218,),0),AP448/(1+IFERROR(INDEX(AP$10:AP$11,Предпосылки!$I$219,),0))*IFERROR(INDEX(AP$10:AP$11,Предпосылки!$I$219,),0),AP471/(1+IFERROR(INDEX(AP$10:AP$11,Предпосылки!$I$220,),0))*IFERROR(INDEX(AP$10:AP$11,Предпосылки!$I$220,),0))</f>
        <v>0</v>
      </c>
      <c s="125">
        <f>SUM(AQ34/(1+IFERROR(INDEX(AQ$10:AQ$11,Предпосылки!$I$201,),0))*IFERROR(INDEX(AQ$10:AQ$11,Предпосылки!$I$201,),0),AQ57/(1+IFERROR(INDEX(AQ$10:AQ$11,Предпосылки!$I$202,),0))*IFERROR(INDEX(AQ$10:AQ$11,Предпосылки!$I$202,),0),AQ80/(1+IFERROR(INDEX(AQ$10:AQ$11,Предпосылки!$I$203,),0))*IFERROR(INDEX(AQ$10:AQ$11,Предпосылки!$I$203,),0),AQ103/(1+IFERROR(INDEX(AQ$10:AQ$11,Предпосылки!$I$204,),0))*IFERROR(INDEX(AQ$10:AQ$11,Предпосылки!$I$204,),0),AQ126/(1+IFERROR(INDEX(AQ$10:AQ$11,Предпосылки!$I$205,),0))*IFERROR(INDEX(AQ$10:AQ$11,Предпосылки!$I$205,),0),AQ149/(1+IFERROR(INDEX(AQ$10:AQ$11,Предпосылки!$I$206,),0))*IFERROR(INDEX(AQ$10:AQ$11,Предпосылки!$I$206,),0),AQ172/(1+IFERROR(INDEX(AQ$10:AQ$11,Предпосылки!$I$207,),0))*IFERROR(INDEX(AQ$10:AQ$11,Предпосылки!$I$207,),0),AQ195/(1+IFERROR(INDEX(AQ$10:AQ$11,Предпосылки!$I$208,),0))*IFERROR(INDEX(AQ$10:AQ$11,Предпосылки!$I$208,),0),AQ218/(1+IFERROR(INDEX(AQ$10:AQ$11,Предпосылки!$I$209,),0))*IFERROR(INDEX(AQ$10:AQ$11,Предпосылки!$I$209,),0),AQ241/(1+IFERROR(INDEX(AQ$10:AQ$11,Предпосылки!$I$210,),0))*IFERROR(INDEX(AQ$10:AQ$11,Предпосылки!$I$210,),0),AQ264/(1+IFERROR(INDEX(AQ$10:AQ$11,Предпосылки!$I$211,),0))*IFERROR(INDEX(AQ$10:AQ$11,Предпосылки!$I$211,),0),AQ287/(1+IFERROR(INDEX(AQ$10:AQ$11,Предпосылки!$I$212,),0))*IFERROR(INDEX(AQ$10:AQ$11,Предпосылки!$I$212,),0),AQ310/(1+IFERROR(INDEX(AQ$10:AQ$11,Предпосылки!$I$213,),0))*IFERROR(INDEX(AQ$10:AQ$11,Предпосылки!$I$213,),0),AQ333/(1+IFERROR(INDEX(AQ$10:AQ$11,Предпосылки!$I$214,),0))*IFERROR(INDEX(AQ$10:AQ$11,Предпосылки!$I$214,),0),AQ356/(1+IFERROR(INDEX(AQ$10:AQ$11,Предпосылки!$I$215,),0))*IFERROR(INDEX(AQ$10:AQ$11,Предпосылки!$I$215,),0),AQ379/(1+IFERROR(INDEX(AQ$10:AQ$11,Предпосылки!$I$216,),0))*IFERROR(INDEX(AQ$10:AQ$11,Предпосылки!$I$216,),0),AQ402/(1+IFERROR(INDEX(AQ$10:AQ$11,Предпосылки!$I$217,),0))*IFERROR(INDEX(AQ$10:AQ$11,Предпосылки!$I$217,),0),AQ425/(1+IFERROR(INDEX(AQ$10:AQ$11,Предпосылки!$I$218,),0))*IFERROR(INDEX(AQ$10:AQ$11,Предпосылки!$I$218,),0),AQ448/(1+IFERROR(INDEX(AQ$10:AQ$11,Предпосылки!$I$219,),0))*IFERROR(INDEX(AQ$10:AQ$11,Предпосылки!$I$219,),0),AQ471/(1+IFERROR(INDEX(AQ$10:AQ$11,Предпосылки!$I$220,),0))*IFERROR(INDEX(AQ$10:AQ$11,Предпосылки!$I$220,),0))</f>
        <v>0</v>
      </c>
      <c s="125">
        <f>SUM(AR34/(1+IFERROR(INDEX(AR$10:AR$11,Предпосылки!$I$201,),0))*IFERROR(INDEX(AR$10:AR$11,Предпосылки!$I$201,),0),AR57/(1+IFERROR(INDEX(AR$10:AR$11,Предпосылки!$I$202,),0))*IFERROR(INDEX(AR$10:AR$11,Предпосылки!$I$202,),0),AR80/(1+IFERROR(INDEX(AR$10:AR$11,Предпосылки!$I$203,),0))*IFERROR(INDEX(AR$10:AR$11,Предпосылки!$I$203,),0),AR103/(1+IFERROR(INDEX(AR$10:AR$11,Предпосылки!$I$204,),0))*IFERROR(INDEX(AR$10:AR$11,Предпосылки!$I$204,),0),AR126/(1+IFERROR(INDEX(AR$10:AR$11,Предпосылки!$I$205,),0))*IFERROR(INDEX(AR$10:AR$11,Предпосылки!$I$205,),0),AR149/(1+IFERROR(INDEX(AR$10:AR$11,Предпосылки!$I$206,),0))*IFERROR(INDEX(AR$10:AR$11,Предпосылки!$I$206,),0),AR172/(1+IFERROR(INDEX(AR$10:AR$11,Предпосылки!$I$207,),0))*IFERROR(INDEX(AR$10:AR$11,Предпосылки!$I$207,),0),AR195/(1+IFERROR(INDEX(AR$10:AR$11,Предпосылки!$I$208,),0))*IFERROR(INDEX(AR$10:AR$11,Предпосылки!$I$208,),0),AR218/(1+IFERROR(INDEX(AR$10:AR$11,Предпосылки!$I$209,),0))*IFERROR(INDEX(AR$10:AR$11,Предпосылки!$I$209,),0),AR241/(1+IFERROR(INDEX(AR$10:AR$11,Предпосылки!$I$210,),0))*IFERROR(INDEX(AR$10:AR$11,Предпосылки!$I$210,),0),AR264/(1+IFERROR(INDEX(AR$10:AR$11,Предпосылки!$I$211,),0))*IFERROR(INDEX(AR$10:AR$11,Предпосылки!$I$211,),0),AR287/(1+IFERROR(INDEX(AR$10:AR$11,Предпосылки!$I$212,),0))*IFERROR(INDEX(AR$10:AR$11,Предпосылки!$I$212,),0),AR310/(1+IFERROR(INDEX(AR$10:AR$11,Предпосылки!$I$213,),0))*IFERROR(INDEX(AR$10:AR$11,Предпосылки!$I$213,),0),AR333/(1+IFERROR(INDEX(AR$10:AR$11,Предпосылки!$I$214,),0))*IFERROR(INDEX(AR$10:AR$11,Предпосылки!$I$214,),0),AR356/(1+IFERROR(INDEX(AR$10:AR$11,Предпосылки!$I$215,),0))*IFERROR(INDEX(AR$10:AR$11,Предпосылки!$I$215,),0),AR379/(1+IFERROR(INDEX(AR$10:AR$11,Предпосылки!$I$216,),0))*IFERROR(INDEX(AR$10:AR$11,Предпосылки!$I$216,),0),AR402/(1+IFERROR(INDEX(AR$10:AR$11,Предпосылки!$I$217,),0))*IFERROR(INDEX(AR$10:AR$11,Предпосылки!$I$217,),0),AR425/(1+IFERROR(INDEX(AR$10:AR$11,Предпосылки!$I$218,),0))*IFERROR(INDEX(AR$10:AR$11,Предпосылки!$I$218,),0),AR448/(1+IFERROR(INDEX(AR$10:AR$11,Предпосылки!$I$219,),0))*IFERROR(INDEX(AR$10:AR$11,Предпосылки!$I$219,),0),AR471/(1+IFERROR(INDEX(AR$10:AR$11,Предпосылки!$I$220,),0))*IFERROR(INDEX(AR$10:AR$11,Предпосылки!$I$220,),0))</f>
        <v>0</v>
      </c>
      <c s="125">
        <f>SUM(AS34/(1+IFERROR(INDEX(AS$10:AS$11,Предпосылки!$I$201,),0))*IFERROR(INDEX(AS$10:AS$11,Предпосылки!$I$201,),0),AS57/(1+IFERROR(INDEX(AS$10:AS$11,Предпосылки!$I$202,),0))*IFERROR(INDEX(AS$10:AS$11,Предпосылки!$I$202,),0),AS80/(1+IFERROR(INDEX(AS$10:AS$11,Предпосылки!$I$203,),0))*IFERROR(INDEX(AS$10:AS$11,Предпосылки!$I$203,),0),AS103/(1+IFERROR(INDEX(AS$10:AS$11,Предпосылки!$I$204,),0))*IFERROR(INDEX(AS$10:AS$11,Предпосылки!$I$204,),0),AS126/(1+IFERROR(INDEX(AS$10:AS$11,Предпосылки!$I$205,),0))*IFERROR(INDEX(AS$10:AS$11,Предпосылки!$I$205,),0),AS149/(1+IFERROR(INDEX(AS$10:AS$11,Предпосылки!$I$206,),0))*IFERROR(INDEX(AS$10:AS$11,Предпосылки!$I$206,),0),AS172/(1+IFERROR(INDEX(AS$10:AS$11,Предпосылки!$I$207,),0))*IFERROR(INDEX(AS$10:AS$11,Предпосылки!$I$207,),0),AS195/(1+IFERROR(INDEX(AS$10:AS$11,Предпосылки!$I$208,),0))*IFERROR(INDEX(AS$10:AS$11,Предпосылки!$I$208,),0),AS218/(1+IFERROR(INDEX(AS$10:AS$11,Предпосылки!$I$209,),0))*IFERROR(INDEX(AS$10:AS$11,Предпосылки!$I$209,),0),AS241/(1+IFERROR(INDEX(AS$10:AS$11,Предпосылки!$I$210,),0))*IFERROR(INDEX(AS$10:AS$11,Предпосылки!$I$210,),0),AS264/(1+IFERROR(INDEX(AS$10:AS$11,Предпосылки!$I$211,),0))*IFERROR(INDEX(AS$10:AS$11,Предпосылки!$I$211,),0),AS287/(1+IFERROR(INDEX(AS$10:AS$11,Предпосылки!$I$212,),0))*IFERROR(INDEX(AS$10:AS$11,Предпосылки!$I$212,),0),AS310/(1+IFERROR(INDEX(AS$10:AS$11,Предпосылки!$I$213,),0))*IFERROR(INDEX(AS$10:AS$11,Предпосылки!$I$213,),0),AS333/(1+IFERROR(INDEX(AS$10:AS$11,Предпосылки!$I$214,),0))*IFERROR(INDEX(AS$10:AS$11,Предпосылки!$I$214,),0),AS356/(1+IFERROR(INDEX(AS$10:AS$11,Предпосылки!$I$215,),0))*IFERROR(INDEX(AS$10:AS$11,Предпосылки!$I$215,),0),AS379/(1+IFERROR(INDEX(AS$10:AS$11,Предпосылки!$I$216,),0))*IFERROR(INDEX(AS$10:AS$11,Предпосылки!$I$216,),0),AS402/(1+IFERROR(INDEX(AS$10:AS$11,Предпосылки!$I$217,),0))*IFERROR(INDEX(AS$10:AS$11,Предпосылки!$I$217,),0),AS425/(1+IFERROR(INDEX(AS$10:AS$11,Предпосылки!$I$218,),0))*IFERROR(INDEX(AS$10:AS$11,Предпосылки!$I$218,),0),AS448/(1+IFERROR(INDEX(AS$10:AS$11,Предпосылки!$I$219,),0))*IFERROR(INDEX(AS$10:AS$11,Предпосылки!$I$219,),0),AS471/(1+IFERROR(INDEX(AS$10:AS$11,Предпосылки!$I$220,),0))*IFERROR(INDEX(AS$10:AS$11,Предпосылки!$I$220,),0))</f>
        <v>0</v>
      </c>
      <c s="125">
        <f>SUM(AT34/(1+IFERROR(INDEX(AT$10:AT$11,Предпосылки!$I$201,),0))*IFERROR(INDEX(AT$10:AT$11,Предпосылки!$I$201,),0),AT57/(1+IFERROR(INDEX(AT$10:AT$11,Предпосылки!$I$202,),0))*IFERROR(INDEX(AT$10:AT$11,Предпосылки!$I$202,),0),AT80/(1+IFERROR(INDEX(AT$10:AT$11,Предпосылки!$I$203,),0))*IFERROR(INDEX(AT$10:AT$11,Предпосылки!$I$203,),0),AT103/(1+IFERROR(INDEX(AT$10:AT$11,Предпосылки!$I$204,),0))*IFERROR(INDEX(AT$10:AT$11,Предпосылки!$I$204,),0),AT126/(1+IFERROR(INDEX(AT$10:AT$11,Предпосылки!$I$205,),0))*IFERROR(INDEX(AT$10:AT$11,Предпосылки!$I$205,),0),AT149/(1+IFERROR(INDEX(AT$10:AT$11,Предпосылки!$I$206,),0))*IFERROR(INDEX(AT$10:AT$11,Предпосылки!$I$206,),0),AT172/(1+IFERROR(INDEX(AT$10:AT$11,Предпосылки!$I$207,),0))*IFERROR(INDEX(AT$10:AT$11,Предпосылки!$I$207,),0),AT195/(1+IFERROR(INDEX(AT$10:AT$11,Предпосылки!$I$208,),0))*IFERROR(INDEX(AT$10:AT$11,Предпосылки!$I$208,),0),AT218/(1+IFERROR(INDEX(AT$10:AT$11,Предпосылки!$I$209,),0))*IFERROR(INDEX(AT$10:AT$11,Предпосылки!$I$209,),0),AT241/(1+IFERROR(INDEX(AT$10:AT$11,Предпосылки!$I$210,),0))*IFERROR(INDEX(AT$10:AT$11,Предпосылки!$I$210,),0),AT264/(1+IFERROR(INDEX(AT$10:AT$11,Предпосылки!$I$211,),0))*IFERROR(INDEX(AT$10:AT$11,Предпосылки!$I$211,),0),AT287/(1+IFERROR(INDEX(AT$10:AT$11,Предпосылки!$I$212,),0))*IFERROR(INDEX(AT$10:AT$11,Предпосылки!$I$212,),0),AT310/(1+IFERROR(INDEX(AT$10:AT$11,Предпосылки!$I$213,),0))*IFERROR(INDEX(AT$10:AT$11,Предпосылки!$I$213,),0),AT333/(1+IFERROR(INDEX(AT$10:AT$11,Предпосылки!$I$214,),0))*IFERROR(INDEX(AT$10:AT$11,Предпосылки!$I$214,),0),AT356/(1+IFERROR(INDEX(AT$10:AT$11,Предпосылки!$I$215,),0))*IFERROR(INDEX(AT$10:AT$11,Предпосылки!$I$215,),0),AT379/(1+IFERROR(INDEX(AT$10:AT$11,Предпосылки!$I$216,),0))*IFERROR(INDEX(AT$10:AT$11,Предпосылки!$I$216,),0),AT402/(1+IFERROR(INDEX(AT$10:AT$11,Предпосылки!$I$217,),0))*IFERROR(INDEX(AT$10:AT$11,Предпосылки!$I$217,),0),AT425/(1+IFERROR(INDEX(AT$10:AT$11,Предпосылки!$I$218,),0))*IFERROR(INDEX(AT$10:AT$11,Предпосылки!$I$218,),0),AT448/(1+IFERROR(INDEX(AT$10:AT$11,Предпосылки!$I$219,),0))*IFERROR(INDEX(AT$10:AT$11,Предпосылки!$I$219,),0),AT471/(1+IFERROR(INDEX(AT$10:AT$11,Предпосылки!$I$220,),0))*IFERROR(INDEX(AT$10:AT$11,Предпосылки!$I$220,),0))</f>
        <v>0</v>
      </c>
      <c s="125">
        <f>SUM(AU34/(1+IFERROR(INDEX(AU$10:AU$11,Предпосылки!$I$201,),0))*IFERROR(INDEX(AU$10:AU$11,Предпосылки!$I$201,),0),AU57/(1+IFERROR(INDEX(AU$10:AU$11,Предпосылки!$I$202,),0))*IFERROR(INDEX(AU$10:AU$11,Предпосылки!$I$202,),0),AU80/(1+IFERROR(INDEX(AU$10:AU$11,Предпосылки!$I$203,),0))*IFERROR(INDEX(AU$10:AU$11,Предпосылки!$I$203,),0),AU103/(1+IFERROR(INDEX(AU$10:AU$11,Предпосылки!$I$204,),0))*IFERROR(INDEX(AU$10:AU$11,Предпосылки!$I$204,),0),AU126/(1+IFERROR(INDEX(AU$10:AU$11,Предпосылки!$I$205,),0))*IFERROR(INDEX(AU$10:AU$11,Предпосылки!$I$205,),0),AU149/(1+IFERROR(INDEX(AU$10:AU$11,Предпосылки!$I$206,),0))*IFERROR(INDEX(AU$10:AU$11,Предпосылки!$I$206,),0),AU172/(1+IFERROR(INDEX(AU$10:AU$11,Предпосылки!$I$207,),0))*IFERROR(INDEX(AU$10:AU$11,Предпосылки!$I$207,),0),AU195/(1+IFERROR(INDEX(AU$10:AU$11,Предпосылки!$I$208,),0))*IFERROR(INDEX(AU$10:AU$11,Предпосылки!$I$208,),0),AU218/(1+IFERROR(INDEX(AU$10:AU$11,Предпосылки!$I$209,),0))*IFERROR(INDEX(AU$10:AU$11,Предпосылки!$I$209,),0),AU241/(1+IFERROR(INDEX(AU$10:AU$11,Предпосылки!$I$210,),0))*IFERROR(INDEX(AU$10:AU$11,Предпосылки!$I$210,),0),AU264/(1+IFERROR(INDEX(AU$10:AU$11,Предпосылки!$I$211,),0))*IFERROR(INDEX(AU$10:AU$11,Предпосылки!$I$211,),0),AU287/(1+IFERROR(INDEX(AU$10:AU$11,Предпосылки!$I$212,),0))*IFERROR(INDEX(AU$10:AU$11,Предпосылки!$I$212,),0),AU310/(1+IFERROR(INDEX(AU$10:AU$11,Предпосылки!$I$213,),0))*IFERROR(INDEX(AU$10:AU$11,Предпосылки!$I$213,),0),AU333/(1+IFERROR(INDEX(AU$10:AU$11,Предпосылки!$I$214,),0))*IFERROR(INDEX(AU$10:AU$11,Предпосылки!$I$214,),0),AU356/(1+IFERROR(INDEX(AU$10:AU$11,Предпосылки!$I$215,),0))*IFERROR(INDEX(AU$10:AU$11,Предпосылки!$I$215,),0),AU379/(1+IFERROR(INDEX(AU$10:AU$11,Предпосылки!$I$216,),0))*IFERROR(INDEX(AU$10:AU$11,Предпосылки!$I$216,),0),AU402/(1+IFERROR(INDEX(AU$10:AU$11,Предпосылки!$I$217,),0))*IFERROR(INDEX(AU$10:AU$11,Предпосылки!$I$217,),0),AU425/(1+IFERROR(INDEX(AU$10:AU$11,Предпосылки!$I$218,),0))*IFERROR(INDEX(AU$10:AU$11,Предпосылки!$I$218,),0),AU448/(1+IFERROR(INDEX(AU$10:AU$11,Предпосылки!$I$219,),0))*IFERROR(INDEX(AU$10:AU$11,Предпосылки!$I$219,),0),AU471/(1+IFERROR(INDEX(AU$10:AU$11,Предпосылки!$I$220,),0))*IFERROR(INDEX(AU$10:AU$11,Предпосылки!$I$220,),0))</f>
        <v>0</v>
      </c>
      <c s="125">
        <f>SUM(AV34/(1+IFERROR(INDEX(AV$10:AV$11,Предпосылки!$I$201,),0))*IFERROR(INDEX(AV$10:AV$11,Предпосылки!$I$201,),0),AV57/(1+IFERROR(INDEX(AV$10:AV$11,Предпосылки!$I$202,),0))*IFERROR(INDEX(AV$10:AV$11,Предпосылки!$I$202,),0),AV80/(1+IFERROR(INDEX(AV$10:AV$11,Предпосылки!$I$203,),0))*IFERROR(INDEX(AV$10:AV$11,Предпосылки!$I$203,),0),AV103/(1+IFERROR(INDEX(AV$10:AV$11,Предпосылки!$I$204,),0))*IFERROR(INDEX(AV$10:AV$11,Предпосылки!$I$204,),0),AV126/(1+IFERROR(INDEX(AV$10:AV$11,Предпосылки!$I$205,),0))*IFERROR(INDEX(AV$10:AV$11,Предпосылки!$I$205,),0),AV149/(1+IFERROR(INDEX(AV$10:AV$11,Предпосылки!$I$206,),0))*IFERROR(INDEX(AV$10:AV$11,Предпосылки!$I$206,),0),AV172/(1+IFERROR(INDEX(AV$10:AV$11,Предпосылки!$I$207,),0))*IFERROR(INDEX(AV$10:AV$11,Предпосылки!$I$207,),0),AV195/(1+IFERROR(INDEX(AV$10:AV$11,Предпосылки!$I$208,),0))*IFERROR(INDEX(AV$10:AV$11,Предпосылки!$I$208,),0),AV218/(1+IFERROR(INDEX(AV$10:AV$11,Предпосылки!$I$209,),0))*IFERROR(INDEX(AV$10:AV$11,Предпосылки!$I$209,),0),AV241/(1+IFERROR(INDEX(AV$10:AV$11,Предпосылки!$I$210,),0))*IFERROR(INDEX(AV$10:AV$11,Предпосылки!$I$210,),0),AV264/(1+IFERROR(INDEX(AV$10:AV$11,Предпосылки!$I$211,),0))*IFERROR(INDEX(AV$10:AV$11,Предпосылки!$I$211,),0),AV287/(1+IFERROR(INDEX(AV$10:AV$11,Предпосылки!$I$212,),0))*IFERROR(INDEX(AV$10:AV$11,Предпосылки!$I$212,),0),AV310/(1+IFERROR(INDEX(AV$10:AV$11,Предпосылки!$I$213,),0))*IFERROR(INDEX(AV$10:AV$11,Предпосылки!$I$213,),0),AV333/(1+IFERROR(INDEX(AV$10:AV$11,Предпосылки!$I$214,),0))*IFERROR(INDEX(AV$10:AV$11,Предпосылки!$I$214,),0),AV356/(1+IFERROR(INDEX(AV$10:AV$11,Предпосылки!$I$215,),0))*IFERROR(INDEX(AV$10:AV$11,Предпосылки!$I$215,),0),AV379/(1+IFERROR(INDEX(AV$10:AV$11,Предпосылки!$I$216,),0))*IFERROR(INDEX(AV$10:AV$11,Предпосылки!$I$216,),0),AV402/(1+IFERROR(INDEX(AV$10:AV$11,Предпосылки!$I$217,),0))*IFERROR(INDEX(AV$10:AV$11,Предпосылки!$I$217,),0),AV425/(1+IFERROR(INDEX(AV$10:AV$11,Предпосылки!$I$218,),0))*IFERROR(INDEX(AV$10:AV$11,Предпосылки!$I$218,),0),AV448/(1+IFERROR(INDEX(AV$10:AV$11,Предпосылки!$I$219,),0))*IFERROR(INDEX(AV$10:AV$11,Предпосылки!$I$219,),0),AV471/(1+IFERROR(INDEX(AV$10:AV$11,Предпосылки!$I$220,),0))*IFERROR(INDEX(AV$10:AV$11,Предпосылки!$I$220,),0))</f>
        <v>0</v>
      </c>
      <c s="125">
        <f>SUM(AW34/(1+IFERROR(INDEX(AW$10:AW$11,Предпосылки!$I$201,),0))*IFERROR(INDEX(AW$10:AW$11,Предпосылки!$I$201,),0),AW57/(1+IFERROR(INDEX(AW$10:AW$11,Предпосылки!$I$202,),0))*IFERROR(INDEX(AW$10:AW$11,Предпосылки!$I$202,),0),AW80/(1+IFERROR(INDEX(AW$10:AW$11,Предпосылки!$I$203,),0))*IFERROR(INDEX(AW$10:AW$11,Предпосылки!$I$203,),0),AW103/(1+IFERROR(INDEX(AW$10:AW$11,Предпосылки!$I$204,),0))*IFERROR(INDEX(AW$10:AW$11,Предпосылки!$I$204,),0),AW126/(1+IFERROR(INDEX(AW$10:AW$11,Предпосылки!$I$205,),0))*IFERROR(INDEX(AW$10:AW$11,Предпосылки!$I$205,),0),AW149/(1+IFERROR(INDEX(AW$10:AW$11,Предпосылки!$I$206,),0))*IFERROR(INDEX(AW$10:AW$11,Предпосылки!$I$206,),0),AW172/(1+IFERROR(INDEX(AW$10:AW$11,Предпосылки!$I$207,),0))*IFERROR(INDEX(AW$10:AW$11,Предпосылки!$I$207,),0),AW195/(1+IFERROR(INDEX(AW$10:AW$11,Предпосылки!$I$208,),0))*IFERROR(INDEX(AW$10:AW$11,Предпосылки!$I$208,),0),AW218/(1+IFERROR(INDEX(AW$10:AW$11,Предпосылки!$I$209,),0))*IFERROR(INDEX(AW$10:AW$11,Предпосылки!$I$209,),0),AW241/(1+IFERROR(INDEX(AW$10:AW$11,Предпосылки!$I$210,),0))*IFERROR(INDEX(AW$10:AW$11,Предпосылки!$I$210,),0),AW264/(1+IFERROR(INDEX(AW$10:AW$11,Предпосылки!$I$211,),0))*IFERROR(INDEX(AW$10:AW$11,Предпосылки!$I$211,),0),AW287/(1+IFERROR(INDEX(AW$10:AW$11,Предпосылки!$I$212,),0))*IFERROR(INDEX(AW$10:AW$11,Предпосылки!$I$212,),0),AW310/(1+IFERROR(INDEX(AW$10:AW$11,Предпосылки!$I$213,),0))*IFERROR(INDEX(AW$10:AW$11,Предпосылки!$I$213,),0),AW333/(1+IFERROR(INDEX(AW$10:AW$11,Предпосылки!$I$214,),0))*IFERROR(INDEX(AW$10:AW$11,Предпосылки!$I$214,),0),AW356/(1+IFERROR(INDEX(AW$10:AW$11,Предпосылки!$I$215,),0))*IFERROR(INDEX(AW$10:AW$11,Предпосылки!$I$215,),0),AW379/(1+IFERROR(INDEX(AW$10:AW$11,Предпосылки!$I$216,),0))*IFERROR(INDEX(AW$10:AW$11,Предпосылки!$I$216,),0),AW402/(1+IFERROR(INDEX(AW$10:AW$11,Предпосылки!$I$217,),0))*IFERROR(INDEX(AW$10:AW$11,Предпосылки!$I$217,),0),AW425/(1+IFERROR(INDEX(AW$10:AW$11,Предпосылки!$I$218,),0))*IFERROR(INDEX(AW$10:AW$11,Предпосылки!$I$218,),0),AW448/(1+IFERROR(INDEX(AW$10:AW$11,Предпосылки!$I$219,),0))*IFERROR(INDEX(AW$10:AW$11,Предпосылки!$I$219,),0),AW471/(1+IFERROR(INDEX(AW$10:AW$11,Предпосылки!$I$220,),0))*IFERROR(INDEX(AW$10:AW$11,Предпосылки!$I$220,),0))</f>
        <v>0</v>
      </c>
      <c s="125">
        <f>SUM(AX34/(1+IFERROR(INDEX(AX$10:AX$11,Предпосылки!$I$201,),0))*IFERROR(INDEX(AX$10:AX$11,Предпосылки!$I$201,),0),AX57/(1+IFERROR(INDEX(AX$10:AX$11,Предпосылки!$I$202,),0))*IFERROR(INDEX(AX$10:AX$11,Предпосылки!$I$202,),0),AX80/(1+IFERROR(INDEX(AX$10:AX$11,Предпосылки!$I$203,),0))*IFERROR(INDEX(AX$10:AX$11,Предпосылки!$I$203,),0),AX103/(1+IFERROR(INDEX(AX$10:AX$11,Предпосылки!$I$204,),0))*IFERROR(INDEX(AX$10:AX$11,Предпосылки!$I$204,),0),AX126/(1+IFERROR(INDEX(AX$10:AX$11,Предпосылки!$I$205,),0))*IFERROR(INDEX(AX$10:AX$11,Предпосылки!$I$205,),0),AX149/(1+IFERROR(INDEX(AX$10:AX$11,Предпосылки!$I$206,),0))*IFERROR(INDEX(AX$10:AX$11,Предпосылки!$I$206,),0),AX172/(1+IFERROR(INDEX(AX$10:AX$11,Предпосылки!$I$207,),0))*IFERROR(INDEX(AX$10:AX$11,Предпосылки!$I$207,),0),AX195/(1+IFERROR(INDEX(AX$10:AX$11,Предпосылки!$I$208,),0))*IFERROR(INDEX(AX$10:AX$11,Предпосылки!$I$208,),0),AX218/(1+IFERROR(INDEX(AX$10:AX$11,Предпосылки!$I$209,),0))*IFERROR(INDEX(AX$10:AX$11,Предпосылки!$I$209,),0),AX241/(1+IFERROR(INDEX(AX$10:AX$11,Предпосылки!$I$210,),0))*IFERROR(INDEX(AX$10:AX$11,Предпосылки!$I$210,),0),AX264/(1+IFERROR(INDEX(AX$10:AX$11,Предпосылки!$I$211,),0))*IFERROR(INDEX(AX$10:AX$11,Предпосылки!$I$211,),0),AX287/(1+IFERROR(INDEX(AX$10:AX$11,Предпосылки!$I$212,),0))*IFERROR(INDEX(AX$10:AX$11,Предпосылки!$I$212,),0),AX310/(1+IFERROR(INDEX(AX$10:AX$11,Предпосылки!$I$213,),0))*IFERROR(INDEX(AX$10:AX$11,Предпосылки!$I$213,),0),AX333/(1+IFERROR(INDEX(AX$10:AX$11,Предпосылки!$I$214,),0))*IFERROR(INDEX(AX$10:AX$11,Предпосылки!$I$214,),0),AX356/(1+IFERROR(INDEX(AX$10:AX$11,Предпосылки!$I$215,),0))*IFERROR(INDEX(AX$10:AX$11,Предпосылки!$I$215,),0),AX379/(1+IFERROR(INDEX(AX$10:AX$11,Предпосылки!$I$216,),0))*IFERROR(INDEX(AX$10:AX$11,Предпосылки!$I$216,),0),AX402/(1+IFERROR(INDEX(AX$10:AX$11,Предпосылки!$I$217,),0))*IFERROR(INDEX(AX$10:AX$11,Предпосылки!$I$217,),0),AX425/(1+IFERROR(INDEX(AX$10:AX$11,Предпосылки!$I$218,),0))*IFERROR(INDEX(AX$10:AX$11,Предпосылки!$I$218,),0),AX448/(1+IFERROR(INDEX(AX$10:AX$11,Предпосылки!$I$219,),0))*IFERROR(INDEX(AX$10:AX$11,Предпосылки!$I$219,),0),AX471/(1+IFERROR(INDEX(AX$10:AX$11,Предпосылки!$I$220,),0))*IFERROR(INDEX(AX$10:AX$11,Предпосылки!$I$220,),0))</f>
        <v>0</v>
      </c>
      <c s="125">
        <f>SUM(AY34/(1+IFERROR(INDEX(AY$10:AY$11,Предпосылки!$I$201,),0))*IFERROR(INDEX(AY$10:AY$11,Предпосылки!$I$201,),0),AY57/(1+IFERROR(INDEX(AY$10:AY$11,Предпосылки!$I$202,),0))*IFERROR(INDEX(AY$10:AY$11,Предпосылки!$I$202,),0),AY80/(1+IFERROR(INDEX(AY$10:AY$11,Предпосылки!$I$203,),0))*IFERROR(INDEX(AY$10:AY$11,Предпосылки!$I$203,),0),AY103/(1+IFERROR(INDEX(AY$10:AY$11,Предпосылки!$I$204,),0))*IFERROR(INDEX(AY$10:AY$11,Предпосылки!$I$204,),0),AY126/(1+IFERROR(INDEX(AY$10:AY$11,Предпосылки!$I$205,),0))*IFERROR(INDEX(AY$10:AY$11,Предпосылки!$I$205,),0),AY149/(1+IFERROR(INDEX(AY$10:AY$11,Предпосылки!$I$206,),0))*IFERROR(INDEX(AY$10:AY$11,Предпосылки!$I$206,),0),AY172/(1+IFERROR(INDEX(AY$10:AY$11,Предпосылки!$I$207,),0))*IFERROR(INDEX(AY$10:AY$11,Предпосылки!$I$207,),0),AY195/(1+IFERROR(INDEX(AY$10:AY$11,Предпосылки!$I$208,),0))*IFERROR(INDEX(AY$10:AY$11,Предпосылки!$I$208,),0),AY218/(1+IFERROR(INDEX(AY$10:AY$11,Предпосылки!$I$209,),0))*IFERROR(INDEX(AY$10:AY$11,Предпосылки!$I$209,),0),AY241/(1+IFERROR(INDEX(AY$10:AY$11,Предпосылки!$I$210,),0))*IFERROR(INDEX(AY$10:AY$11,Предпосылки!$I$210,),0),AY264/(1+IFERROR(INDEX(AY$10:AY$11,Предпосылки!$I$211,),0))*IFERROR(INDEX(AY$10:AY$11,Предпосылки!$I$211,),0),AY287/(1+IFERROR(INDEX(AY$10:AY$11,Предпосылки!$I$212,),0))*IFERROR(INDEX(AY$10:AY$11,Предпосылки!$I$212,),0),AY310/(1+IFERROR(INDEX(AY$10:AY$11,Предпосылки!$I$213,),0))*IFERROR(INDEX(AY$10:AY$11,Предпосылки!$I$213,),0),AY333/(1+IFERROR(INDEX(AY$10:AY$11,Предпосылки!$I$214,),0))*IFERROR(INDEX(AY$10:AY$11,Предпосылки!$I$214,),0),AY356/(1+IFERROR(INDEX(AY$10:AY$11,Предпосылки!$I$215,),0))*IFERROR(INDEX(AY$10:AY$11,Предпосылки!$I$215,),0),AY379/(1+IFERROR(INDEX(AY$10:AY$11,Предпосылки!$I$216,),0))*IFERROR(INDEX(AY$10:AY$11,Предпосылки!$I$216,),0),AY402/(1+IFERROR(INDEX(AY$10:AY$11,Предпосылки!$I$217,),0))*IFERROR(INDEX(AY$10:AY$11,Предпосылки!$I$217,),0),AY425/(1+IFERROR(INDEX(AY$10:AY$11,Предпосылки!$I$218,),0))*IFERROR(INDEX(AY$10:AY$11,Предпосылки!$I$218,),0),AY448/(1+IFERROR(INDEX(AY$10:AY$11,Предпосылки!$I$219,),0))*IFERROR(INDEX(AY$10:AY$11,Предпосылки!$I$219,),0),AY471/(1+IFERROR(INDEX(AY$10:AY$11,Предпосылки!$I$220,),0))*IFERROR(INDEX(AY$10:AY$11,Предпосылки!$I$220,),0))</f>
        <v>0</v>
      </c>
      <c s="125">
        <f>SUM(AZ34/(1+IFERROR(INDEX(AZ$10:AZ$11,Предпосылки!$I$201,),0))*IFERROR(INDEX(AZ$10:AZ$11,Предпосылки!$I$201,),0),AZ57/(1+IFERROR(INDEX(AZ$10:AZ$11,Предпосылки!$I$202,),0))*IFERROR(INDEX(AZ$10:AZ$11,Предпосылки!$I$202,),0),AZ80/(1+IFERROR(INDEX(AZ$10:AZ$11,Предпосылки!$I$203,),0))*IFERROR(INDEX(AZ$10:AZ$11,Предпосылки!$I$203,),0),AZ103/(1+IFERROR(INDEX(AZ$10:AZ$11,Предпосылки!$I$204,),0))*IFERROR(INDEX(AZ$10:AZ$11,Предпосылки!$I$204,),0),AZ126/(1+IFERROR(INDEX(AZ$10:AZ$11,Предпосылки!$I$205,),0))*IFERROR(INDEX(AZ$10:AZ$11,Предпосылки!$I$205,),0),AZ149/(1+IFERROR(INDEX(AZ$10:AZ$11,Предпосылки!$I$206,),0))*IFERROR(INDEX(AZ$10:AZ$11,Предпосылки!$I$206,),0),AZ172/(1+IFERROR(INDEX(AZ$10:AZ$11,Предпосылки!$I$207,),0))*IFERROR(INDEX(AZ$10:AZ$11,Предпосылки!$I$207,),0),AZ195/(1+IFERROR(INDEX(AZ$10:AZ$11,Предпосылки!$I$208,),0))*IFERROR(INDEX(AZ$10:AZ$11,Предпосылки!$I$208,),0),AZ218/(1+IFERROR(INDEX(AZ$10:AZ$11,Предпосылки!$I$209,),0))*IFERROR(INDEX(AZ$10:AZ$11,Предпосылки!$I$209,),0),AZ241/(1+IFERROR(INDEX(AZ$10:AZ$11,Предпосылки!$I$210,),0))*IFERROR(INDEX(AZ$10:AZ$11,Предпосылки!$I$210,),0),AZ264/(1+IFERROR(INDEX(AZ$10:AZ$11,Предпосылки!$I$211,),0))*IFERROR(INDEX(AZ$10:AZ$11,Предпосылки!$I$211,),0),AZ287/(1+IFERROR(INDEX(AZ$10:AZ$11,Предпосылки!$I$212,),0))*IFERROR(INDEX(AZ$10:AZ$11,Предпосылки!$I$212,),0),AZ310/(1+IFERROR(INDEX(AZ$10:AZ$11,Предпосылки!$I$213,),0))*IFERROR(INDEX(AZ$10:AZ$11,Предпосылки!$I$213,),0),AZ333/(1+IFERROR(INDEX(AZ$10:AZ$11,Предпосылки!$I$214,),0))*IFERROR(INDEX(AZ$10:AZ$11,Предпосылки!$I$214,),0),AZ356/(1+IFERROR(INDEX(AZ$10:AZ$11,Предпосылки!$I$215,),0))*IFERROR(INDEX(AZ$10:AZ$11,Предпосылки!$I$215,),0),AZ379/(1+IFERROR(INDEX(AZ$10:AZ$11,Предпосылки!$I$216,),0))*IFERROR(INDEX(AZ$10:AZ$11,Предпосылки!$I$216,),0),AZ402/(1+IFERROR(INDEX(AZ$10:AZ$11,Предпосылки!$I$217,),0))*IFERROR(INDEX(AZ$10:AZ$11,Предпосылки!$I$217,),0),AZ425/(1+IFERROR(INDEX(AZ$10:AZ$11,Предпосылки!$I$218,),0))*IFERROR(INDEX(AZ$10:AZ$11,Предпосылки!$I$218,),0),AZ448/(1+IFERROR(INDEX(AZ$10:AZ$11,Предпосылки!$I$219,),0))*IFERROR(INDEX(AZ$10:AZ$11,Предпосылки!$I$219,),0),AZ471/(1+IFERROR(INDEX(AZ$10:AZ$11,Предпосылки!$I$220,),0))*IFERROR(INDEX(AZ$10:AZ$11,Предпосылки!$I$220,),0))</f>
        <v>0</v>
      </c>
      <c s="125">
        <f>SUM(BA34/(1+IFERROR(INDEX(BA$10:BA$11,Предпосылки!$I$201,),0))*IFERROR(INDEX(BA$10:BA$11,Предпосылки!$I$201,),0),BA57/(1+IFERROR(INDEX(BA$10:BA$11,Предпосылки!$I$202,),0))*IFERROR(INDEX(BA$10:BA$11,Предпосылки!$I$202,),0),BA80/(1+IFERROR(INDEX(BA$10:BA$11,Предпосылки!$I$203,),0))*IFERROR(INDEX(BA$10:BA$11,Предпосылки!$I$203,),0),BA103/(1+IFERROR(INDEX(BA$10:BA$11,Предпосылки!$I$204,),0))*IFERROR(INDEX(BA$10:BA$11,Предпосылки!$I$204,),0),BA126/(1+IFERROR(INDEX(BA$10:BA$11,Предпосылки!$I$205,),0))*IFERROR(INDEX(BA$10:BA$11,Предпосылки!$I$205,),0),BA149/(1+IFERROR(INDEX(BA$10:BA$11,Предпосылки!$I$206,),0))*IFERROR(INDEX(BA$10:BA$11,Предпосылки!$I$206,),0),BA172/(1+IFERROR(INDEX(BA$10:BA$11,Предпосылки!$I$207,),0))*IFERROR(INDEX(BA$10:BA$11,Предпосылки!$I$207,),0),BA195/(1+IFERROR(INDEX(BA$10:BA$11,Предпосылки!$I$208,),0))*IFERROR(INDEX(BA$10:BA$11,Предпосылки!$I$208,),0),BA218/(1+IFERROR(INDEX(BA$10:BA$11,Предпосылки!$I$209,),0))*IFERROR(INDEX(BA$10:BA$11,Предпосылки!$I$209,),0),BA241/(1+IFERROR(INDEX(BA$10:BA$11,Предпосылки!$I$210,),0))*IFERROR(INDEX(BA$10:BA$11,Предпосылки!$I$210,),0),BA264/(1+IFERROR(INDEX(BA$10:BA$11,Предпосылки!$I$211,),0))*IFERROR(INDEX(BA$10:BA$11,Предпосылки!$I$211,),0),BA287/(1+IFERROR(INDEX(BA$10:BA$11,Предпосылки!$I$212,),0))*IFERROR(INDEX(BA$10:BA$11,Предпосылки!$I$212,),0),BA310/(1+IFERROR(INDEX(BA$10:BA$11,Предпосылки!$I$213,),0))*IFERROR(INDEX(BA$10:BA$11,Предпосылки!$I$213,),0),BA333/(1+IFERROR(INDEX(BA$10:BA$11,Предпосылки!$I$214,),0))*IFERROR(INDEX(BA$10:BA$11,Предпосылки!$I$214,),0),BA356/(1+IFERROR(INDEX(BA$10:BA$11,Предпосылки!$I$215,),0))*IFERROR(INDEX(BA$10:BA$11,Предпосылки!$I$215,),0),BA379/(1+IFERROR(INDEX(BA$10:BA$11,Предпосылки!$I$216,),0))*IFERROR(INDEX(BA$10:BA$11,Предпосылки!$I$216,),0),BA402/(1+IFERROR(INDEX(BA$10:BA$11,Предпосылки!$I$217,),0))*IFERROR(INDEX(BA$10:BA$11,Предпосылки!$I$217,),0),BA425/(1+IFERROR(INDEX(BA$10:BA$11,Предпосылки!$I$218,),0))*IFERROR(INDEX(BA$10:BA$11,Предпосылки!$I$218,),0),BA448/(1+IFERROR(INDEX(BA$10:BA$11,Предпосылки!$I$219,),0))*IFERROR(INDEX(BA$10:BA$11,Предпосылки!$I$219,),0),BA471/(1+IFERROR(INDEX(BA$10:BA$11,Предпосылки!$I$220,),0))*IFERROR(INDEX(BA$10:BA$11,Предпосылки!$I$220,),0))</f>
        <v>0</v>
      </c>
      <c s="125">
        <f>SUM(BB34/(1+IFERROR(INDEX(BB$10:BB$11,Предпосылки!$I$201,),0))*IFERROR(INDEX(BB$10:BB$11,Предпосылки!$I$201,),0),BB57/(1+IFERROR(INDEX(BB$10:BB$11,Предпосылки!$I$202,),0))*IFERROR(INDEX(BB$10:BB$11,Предпосылки!$I$202,),0),BB80/(1+IFERROR(INDEX(BB$10:BB$11,Предпосылки!$I$203,),0))*IFERROR(INDEX(BB$10:BB$11,Предпосылки!$I$203,),0),BB103/(1+IFERROR(INDEX(BB$10:BB$11,Предпосылки!$I$204,),0))*IFERROR(INDEX(BB$10:BB$11,Предпосылки!$I$204,),0),BB126/(1+IFERROR(INDEX(BB$10:BB$11,Предпосылки!$I$205,),0))*IFERROR(INDEX(BB$10:BB$11,Предпосылки!$I$205,),0),BB149/(1+IFERROR(INDEX(BB$10:BB$11,Предпосылки!$I$206,),0))*IFERROR(INDEX(BB$10:BB$11,Предпосылки!$I$206,),0),BB172/(1+IFERROR(INDEX(BB$10:BB$11,Предпосылки!$I$207,),0))*IFERROR(INDEX(BB$10:BB$11,Предпосылки!$I$207,),0),BB195/(1+IFERROR(INDEX(BB$10:BB$11,Предпосылки!$I$208,),0))*IFERROR(INDEX(BB$10:BB$11,Предпосылки!$I$208,),0),BB218/(1+IFERROR(INDEX(BB$10:BB$11,Предпосылки!$I$209,),0))*IFERROR(INDEX(BB$10:BB$11,Предпосылки!$I$209,),0),BB241/(1+IFERROR(INDEX(BB$10:BB$11,Предпосылки!$I$210,),0))*IFERROR(INDEX(BB$10:BB$11,Предпосылки!$I$210,),0),BB264/(1+IFERROR(INDEX(BB$10:BB$11,Предпосылки!$I$211,),0))*IFERROR(INDEX(BB$10:BB$11,Предпосылки!$I$211,),0),BB287/(1+IFERROR(INDEX(BB$10:BB$11,Предпосылки!$I$212,),0))*IFERROR(INDEX(BB$10:BB$11,Предпосылки!$I$212,),0),BB310/(1+IFERROR(INDEX(BB$10:BB$11,Предпосылки!$I$213,),0))*IFERROR(INDEX(BB$10:BB$11,Предпосылки!$I$213,),0),BB333/(1+IFERROR(INDEX(BB$10:BB$11,Предпосылки!$I$214,),0))*IFERROR(INDEX(BB$10:BB$11,Предпосылки!$I$214,),0),BB356/(1+IFERROR(INDEX(BB$10:BB$11,Предпосылки!$I$215,),0))*IFERROR(INDEX(BB$10:BB$11,Предпосылки!$I$215,),0),BB379/(1+IFERROR(INDEX(BB$10:BB$11,Предпосылки!$I$216,),0))*IFERROR(INDEX(BB$10:BB$11,Предпосылки!$I$216,),0),BB402/(1+IFERROR(INDEX(BB$10:BB$11,Предпосылки!$I$217,),0))*IFERROR(INDEX(BB$10:BB$11,Предпосылки!$I$217,),0),BB425/(1+IFERROR(INDEX(BB$10:BB$11,Предпосылки!$I$218,),0))*IFERROR(INDEX(BB$10:BB$11,Предпосылки!$I$218,),0),BB448/(1+IFERROR(INDEX(BB$10:BB$11,Предпосылки!$I$219,),0))*IFERROR(INDEX(BB$10:BB$11,Предпосылки!$I$219,),0),BB471/(1+IFERROR(INDEX(BB$10:BB$11,Предпосылки!$I$220,),0))*IFERROR(INDEX(BB$10:BB$11,Предпосылки!$I$220,),0))</f>
        <v>0</v>
      </c>
      <c s="125">
        <f>SUM(BC34/(1+IFERROR(INDEX(BC$10:BC$11,Предпосылки!$I$201,),0))*IFERROR(INDEX(BC$10:BC$11,Предпосылки!$I$201,),0),BC57/(1+IFERROR(INDEX(BC$10:BC$11,Предпосылки!$I$202,),0))*IFERROR(INDEX(BC$10:BC$11,Предпосылки!$I$202,),0),BC80/(1+IFERROR(INDEX(BC$10:BC$11,Предпосылки!$I$203,),0))*IFERROR(INDEX(BC$10:BC$11,Предпосылки!$I$203,),0),BC103/(1+IFERROR(INDEX(BC$10:BC$11,Предпосылки!$I$204,),0))*IFERROR(INDEX(BC$10:BC$11,Предпосылки!$I$204,),0),BC126/(1+IFERROR(INDEX(BC$10:BC$11,Предпосылки!$I$205,),0))*IFERROR(INDEX(BC$10:BC$11,Предпосылки!$I$205,),0),BC149/(1+IFERROR(INDEX(BC$10:BC$11,Предпосылки!$I$206,),0))*IFERROR(INDEX(BC$10:BC$11,Предпосылки!$I$206,),0),BC172/(1+IFERROR(INDEX(BC$10:BC$11,Предпосылки!$I$207,),0))*IFERROR(INDEX(BC$10:BC$11,Предпосылки!$I$207,),0),BC195/(1+IFERROR(INDEX(BC$10:BC$11,Предпосылки!$I$208,),0))*IFERROR(INDEX(BC$10:BC$11,Предпосылки!$I$208,),0),BC218/(1+IFERROR(INDEX(BC$10:BC$11,Предпосылки!$I$209,),0))*IFERROR(INDEX(BC$10:BC$11,Предпосылки!$I$209,),0),BC241/(1+IFERROR(INDEX(BC$10:BC$11,Предпосылки!$I$210,),0))*IFERROR(INDEX(BC$10:BC$11,Предпосылки!$I$210,),0),BC264/(1+IFERROR(INDEX(BC$10:BC$11,Предпосылки!$I$211,),0))*IFERROR(INDEX(BC$10:BC$11,Предпосылки!$I$211,),0),BC287/(1+IFERROR(INDEX(BC$10:BC$11,Предпосылки!$I$212,),0))*IFERROR(INDEX(BC$10:BC$11,Предпосылки!$I$212,),0),BC310/(1+IFERROR(INDEX(BC$10:BC$11,Предпосылки!$I$213,),0))*IFERROR(INDEX(BC$10:BC$11,Предпосылки!$I$213,),0),BC333/(1+IFERROR(INDEX(BC$10:BC$11,Предпосылки!$I$214,),0))*IFERROR(INDEX(BC$10:BC$11,Предпосылки!$I$214,),0),BC356/(1+IFERROR(INDEX(BC$10:BC$11,Предпосылки!$I$215,),0))*IFERROR(INDEX(BC$10:BC$11,Предпосылки!$I$215,),0),BC379/(1+IFERROR(INDEX(BC$10:BC$11,Предпосылки!$I$216,),0))*IFERROR(INDEX(BC$10:BC$11,Предпосылки!$I$216,),0),BC402/(1+IFERROR(INDEX(BC$10:BC$11,Предпосылки!$I$217,),0))*IFERROR(INDEX(BC$10:BC$11,Предпосылки!$I$217,),0),BC425/(1+IFERROR(INDEX(BC$10:BC$11,Предпосылки!$I$218,),0))*IFERROR(INDEX(BC$10:BC$11,Предпосылки!$I$218,),0),BC448/(1+IFERROR(INDEX(BC$10:BC$11,Предпосылки!$I$219,),0))*IFERROR(INDEX(BC$10:BC$11,Предпосылки!$I$219,),0),BC471/(1+IFERROR(INDEX(BC$10:BC$11,Предпосылки!$I$220,),0))*IFERROR(INDEX(BC$10:BC$11,Предпосылки!$I$220,),0))</f>
        <v>0</v>
      </c>
      <c s="125">
        <f>SUM(BD34/(1+IFERROR(INDEX(BD$10:BD$11,Предпосылки!$I$201,),0))*IFERROR(INDEX(BD$10:BD$11,Предпосылки!$I$201,),0),BD57/(1+IFERROR(INDEX(BD$10:BD$11,Предпосылки!$I$202,),0))*IFERROR(INDEX(BD$10:BD$11,Предпосылки!$I$202,),0),BD80/(1+IFERROR(INDEX(BD$10:BD$11,Предпосылки!$I$203,),0))*IFERROR(INDEX(BD$10:BD$11,Предпосылки!$I$203,),0),BD103/(1+IFERROR(INDEX(BD$10:BD$11,Предпосылки!$I$204,),0))*IFERROR(INDEX(BD$10:BD$11,Предпосылки!$I$204,),0),BD126/(1+IFERROR(INDEX(BD$10:BD$11,Предпосылки!$I$205,),0))*IFERROR(INDEX(BD$10:BD$11,Предпосылки!$I$205,),0),BD149/(1+IFERROR(INDEX(BD$10:BD$11,Предпосылки!$I$206,),0))*IFERROR(INDEX(BD$10:BD$11,Предпосылки!$I$206,),0),BD172/(1+IFERROR(INDEX(BD$10:BD$11,Предпосылки!$I$207,),0))*IFERROR(INDEX(BD$10:BD$11,Предпосылки!$I$207,),0),BD195/(1+IFERROR(INDEX(BD$10:BD$11,Предпосылки!$I$208,),0))*IFERROR(INDEX(BD$10:BD$11,Предпосылки!$I$208,),0),BD218/(1+IFERROR(INDEX(BD$10:BD$11,Предпосылки!$I$209,),0))*IFERROR(INDEX(BD$10:BD$11,Предпосылки!$I$209,),0),BD241/(1+IFERROR(INDEX(BD$10:BD$11,Предпосылки!$I$210,),0))*IFERROR(INDEX(BD$10:BD$11,Предпосылки!$I$210,),0),BD264/(1+IFERROR(INDEX(BD$10:BD$11,Предпосылки!$I$211,),0))*IFERROR(INDEX(BD$10:BD$11,Предпосылки!$I$211,),0),BD287/(1+IFERROR(INDEX(BD$10:BD$11,Предпосылки!$I$212,),0))*IFERROR(INDEX(BD$10:BD$11,Предпосылки!$I$212,),0),BD310/(1+IFERROR(INDEX(BD$10:BD$11,Предпосылки!$I$213,),0))*IFERROR(INDEX(BD$10:BD$11,Предпосылки!$I$213,),0),BD333/(1+IFERROR(INDEX(BD$10:BD$11,Предпосылки!$I$214,),0))*IFERROR(INDEX(BD$10:BD$11,Предпосылки!$I$214,),0),BD356/(1+IFERROR(INDEX(BD$10:BD$11,Предпосылки!$I$215,),0))*IFERROR(INDEX(BD$10:BD$11,Предпосылки!$I$215,),0),BD379/(1+IFERROR(INDEX(BD$10:BD$11,Предпосылки!$I$216,),0))*IFERROR(INDEX(BD$10:BD$11,Предпосылки!$I$216,),0),BD402/(1+IFERROR(INDEX(BD$10:BD$11,Предпосылки!$I$217,),0))*IFERROR(INDEX(BD$10:BD$11,Предпосылки!$I$217,),0),BD425/(1+IFERROR(INDEX(BD$10:BD$11,Предпосылки!$I$218,),0))*IFERROR(INDEX(BD$10:BD$11,Предпосылки!$I$218,),0),BD448/(1+IFERROR(INDEX(BD$10:BD$11,Предпосылки!$I$219,),0))*IFERROR(INDEX(BD$10:BD$11,Предпосылки!$I$219,),0),BD471/(1+IFERROR(INDEX(BD$10:BD$11,Предпосылки!$I$220,),0))*IFERROR(INDEX(BD$10:BD$11,Предпосылки!$I$220,),0))</f>
        <v>0</v>
      </c>
      <c s="125">
        <f>SUM(BE34/(1+IFERROR(INDEX(BE$10:BE$11,Предпосылки!$I$201,),0))*IFERROR(INDEX(BE$10:BE$11,Предпосылки!$I$201,),0),BE57/(1+IFERROR(INDEX(BE$10:BE$11,Предпосылки!$I$202,),0))*IFERROR(INDEX(BE$10:BE$11,Предпосылки!$I$202,),0),BE80/(1+IFERROR(INDEX(BE$10:BE$11,Предпосылки!$I$203,),0))*IFERROR(INDEX(BE$10:BE$11,Предпосылки!$I$203,),0),BE103/(1+IFERROR(INDEX(BE$10:BE$11,Предпосылки!$I$204,),0))*IFERROR(INDEX(BE$10:BE$11,Предпосылки!$I$204,),0),BE126/(1+IFERROR(INDEX(BE$10:BE$11,Предпосылки!$I$205,),0))*IFERROR(INDEX(BE$10:BE$11,Предпосылки!$I$205,),0),BE149/(1+IFERROR(INDEX(BE$10:BE$11,Предпосылки!$I$206,),0))*IFERROR(INDEX(BE$10:BE$11,Предпосылки!$I$206,),0),BE172/(1+IFERROR(INDEX(BE$10:BE$11,Предпосылки!$I$207,),0))*IFERROR(INDEX(BE$10:BE$11,Предпосылки!$I$207,),0),BE195/(1+IFERROR(INDEX(BE$10:BE$11,Предпосылки!$I$208,),0))*IFERROR(INDEX(BE$10:BE$11,Предпосылки!$I$208,),0),BE218/(1+IFERROR(INDEX(BE$10:BE$11,Предпосылки!$I$209,),0))*IFERROR(INDEX(BE$10:BE$11,Предпосылки!$I$209,),0),BE241/(1+IFERROR(INDEX(BE$10:BE$11,Предпосылки!$I$210,),0))*IFERROR(INDEX(BE$10:BE$11,Предпосылки!$I$210,),0),BE264/(1+IFERROR(INDEX(BE$10:BE$11,Предпосылки!$I$211,),0))*IFERROR(INDEX(BE$10:BE$11,Предпосылки!$I$211,),0),BE287/(1+IFERROR(INDEX(BE$10:BE$11,Предпосылки!$I$212,),0))*IFERROR(INDEX(BE$10:BE$11,Предпосылки!$I$212,),0),BE310/(1+IFERROR(INDEX(BE$10:BE$11,Предпосылки!$I$213,),0))*IFERROR(INDEX(BE$10:BE$11,Предпосылки!$I$213,),0),BE333/(1+IFERROR(INDEX(BE$10:BE$11,Предпосылки!$I$214,),0))*IFERROR(INDEX(BE$10:BE$11,Предпосылки!$I$214,),0),BE356/(1+IFERROR(INDEX(BE$10:BE$11,Предпосылки!$I$215,),0))*IFERROR(INDEX(BE$10:BE$11,Предпосылки!$I$215,),0),BE379/(1+IFERROR(INDEX(BE$10:BE$11,Предпосылки!$I$216,),0))*IFERROR(INDEX(BE$10:BE$11,Предпосылки!$I$216,),0),BE402/(1+IFERROR(INDEX(BE$10:BE$11,Предпосылки!$I$217,),0))*IFERROR(INDEX(BE$10:BE$11,Предпосылки!$I$217,),0),BE425/(1+IFERROR(INDEX(BE$10:BE$11,Предпосылки!$I$218,),0))*IFERROR(INDEX(BE$10:BE$11,Предпосылки!$I$218,),0),BE448/(1+IFERROR(INDEX(BE$10:BE$11,Предпосылки!$I$219,),0))*IFERROR(INDEX(BE$10:BE$11,Предпосылки!$I$219,),0),BE471/(1+IFERROR(INDEX(BE$10:BE$11,Предпосылки!$I$220,),0))*IFERROR(INDEX(BE$10:BE$11,Предпосылки!$I$220,),0))</f>
        <v>0</v>
      </c>
      <c s="125">
        <f>SUM(BF34/(1+IFERROR(INDEX(BF$10:BF$11,Предпосылки!$I$201,),0))*IFERROR(INDEX(BF$10:BF$11,Предпосылки!$I$201,),0),BF57/(1+IFERROR(INDEX(BF$10:BF$11,Предпосылки!$I$202,),0))*IFERROR(INDEX(BF$10:BF$11,Предпосылки!$I$202,),0),BF80/(1+IFERROR(INDEX(BF$10:BF$11,Предпосылки!$I$203,),0))*IFERROR(INDEX(BF$10:BF$11,Предпосылки!$I$203,),0),BF103/(1+IFERROR(INDEX(BF$10:BF$11,Предпосылки!$I$204,),0))*IFERROR(INDEX(BF$10:BF$11,Предпосылки!$I$204,),0),BF126/(1+IFERROR(INDEX(BF$10:BF$11,Предпосылки!$I$205,),0))*IFERROR(INDEX(BF$10:BF$11,Предпосылки!$I$205,),0),BF149/(1+IFERROR(INDEX(BF$10:BF$11,Предпосылки!$I$206,),0))*IFERROR(INDEX(BF$10:BF$11,Предпосылки!$I$206,),0),BF172/(1+IFERROR(INDEX(BF$10:BF$11,Предпосылки!$I$207,),0))*IFERROR(INDEX(BF$10:BF$11,Предпосылки!$I$207,),0),BF195/(1+IFERROR(INDEX(BF$10:BF$11,Предпосылки!$I$208,),0))*IFERROR(INDEX(BF$10:BF$11,Предпосылки!$I$208,),0),BF218/(1+IFERROR(INDEX(BF$10:BF$11,Предпосылки!$I$209,),0))*IFERROR(INDEX(BF$10:BF$11,Предпосылки!$I$209,),0),BF241/(1+IFERROR(INDEX(BF$10:BF$11,Предпосылки!$I$210,),0))*IFERROR(INDEX(BF$10:BF$11,Предпосылки!$I$210,),0),BF264/(1+IFERROR(INDEX(BF$10:BF$11,Предпосылки!$I$211,),0))*IFERROR(INDEX(BF$10:BF$11,Предпосылки!$I$211,),0),BF287/(1+IFERROR(INDEX(BF$10:BF$11,Предпосылки!$I$212,),0))*IFERROR(INDEX(BF$10:BF$11,Предпосылки!$I$212,),0),BF310/(1+IFERROR(INDEX(BF$10:BF$11,Предпосылки!$I$213,),0))*IFERROR(INDEX(BF$10:BF$11,Предпосылки!$I$213,),0),BF333/(1+IFERROR(INDEX(BF$10:BF$11,Предпосылки!$I$214,),0))*IFERROR(INDEX(BF$10:BF$11,Предпосылки!$I$214,),0),BF356/(1+IFERROR(INDEX(BF$10:BF$11,Предпосылки!$I$215,),0))*IFERROR(INDEX(BF$10:BF$11,Предпосылки!$I$215,),0),BF379/(1+IFERROR(INDEX(BF$10:BF$11,Предпосылки!$I$216,),0))*IFERROR(INDEX(BF$10:BF$11,Предпосылки!$I$216,),0),BF402/(1+IFERROR(INDEX(BF$10:BF$11,Предпосылки!$I$217,),0))*IFERROR(INDEX(BF$10:BF$11,Предпосылки!$I$217,),0),BF425/(1+IFERROR(INDEX(BF$10:BF$11,Предпосылки!$I$218,),0))*IFERROR(INDEX(BF$10:BF$11,Предпосылки!$I$218,),0),BF448/(1+IFERROR(INDEX(BF$10:BF$11,Предпосылки!$I$219,),0))*IFERROR(INDEX(BF$10:BF$11,Предпосылки!$I$219,),0),BF471/(1+IFERROR(INDEX(BF$10:BF$11,Предпосылки!$I$220,),0))*IFERROR(INDEX(BF$10:BF$11,Предпосылки!$I$220,),0))</f>
        <v>0</v>
      </c>
      <c s="125">
        <f>SUM(BG34/(1+IFERROR(INDEX(BG$10:BG$11,Предпосылки!$I$201,),0))*IFERROR(INDEX(BG$10:BG$11,Предпосылки!$I$201,),0),BG57/(1+IFERROR(INDEX(BG$10:BG$11,Предпосылки!$I$202,),0))*IFERROR(INDEX(BG$10:BG$11,Предпосылки!$I$202,),0),BG80/(1+IFERROR(INDEX(BG$10:BG$11,Предпосылки!$I$203,),0))*IFERROR(INDEX(BG$10:BG$11,Предпосылки!$I$203,),0),BG103/(1+IFERROR(INDEX(BG$10:BG$11,Предпосылки!$I$204,),0))*IFERROR(INDEX(BG$10:BG$11,Предпосылки!$I$204,),0),BG126/(1+IFERROR(INDEX(BG$10:BG$11,Предпосылки!$I$205,),0))*IFERROR(INDEX(BG$10:BG$11,Предпосылки!$I$205,),0),BG149/(1+IFERROR(INDEX(BG$10:BG$11,Предпосылки!$I$206,),0))*IFERROR(INDEX(BG$10:BG$11,Предпосылки!$I$206,),0),BG172/(1+IFERROR(INDEX(BG$10:BG$11,Предпосылки!$I$207,),0))*IFERROR(INDEX(BG$10:BG$11,Предпосылки!$I$207,),0),BG195/(1+IFERROR(INDEX(BG$10:BG$11,Предпосылки!$I$208,),0))*IFERROR(INDEX(BG$10:BG$11,Предпосылки!$I$208,),0),BG218/(1+IFERROR(INDEX(BG$10:BG$11,Предпосылки!$I$209,),0))*IFERROR(INDEX(BG$10:BG$11,Предпосылки!$I$209,),0),BG241/(1+IFERROR(INDEX(BG$10:BG$11,Предпосылки!$I$210,),0))*IFERROR(INDEX(BG$10:BG$11,Предпосылки!$I$210,),0),BG264/(1+IFERROR(INDEX(BG$10:BG$11,Предпосылки!$I$211,),0))*IFERROR(INDEX(BG$10:BG$11,Предпосылки!$I$211,),0),BG287/(1+IFERROR(INDEX(BG$10:BG$11,Предпосылки!$I$212,),0))*IFERROR(INDEX(BG$10:BG$11,Предпосылки!$I$212,),0),BG310/(1+IFERROR(INDEX(BG$10:BG$11,Предпосылки!$I$213,),0))*IFERROR(INDEX(BG$10:BG$11,Предпосылки!$I$213,),0),BG333/(1+IFERROR(INDEX(BG$10:BG$11,Предпосылки!$I$214,),0))*IFERROR(INDEX(BG$10:BG$11,Предпосылки!$I$214,),0),BG356/(1+IFERROR(INDEX(BG$10:BG$11,Предпосылки!$I$215,),0))*IFERROR(INDEX(BG$10:BG$11,Предпосылки!$I$215,),0),BG379/(1+IFERROR(INDEX(BG$10:BG$11,Предпосылки!$I$216,),0))*IFERROR(INDEX(BG$10:BG$11,Предпосылки!$I$216,),0),BG402/(1+IFERROR(INDEX(BG$10:BG$11,Предпосылки!$I$217,),0))*IFERROR(INDEX(BG$10:BG$11,Предпосылки!$I$217,),0),BG425/(1+IFERROR(INDEX(BG$10:BG$11,Предпосылки!$I$218,),0))*IFERROR(INDEX(BG$10:BG$11,Предпосылки!$I$218,),0),BG448/(1+IFERROR(INDEX(BG$10:BG$11,Предпосылки!$I$219,),0))*IFERROR(INDEX(BG$10:BG$11,Предпосылки!$I$219,),0),BG471/(1+IFERROR(INDEX(BG$10:BG$11,Предпосылки!$I$220,),0))*IFERROR(INDEX(BG$10:BG$11,Предпосылки!$I$220,),0))</f>
        <v>0</v>
      </c>
      <c s="125">
        <f>SUM(BH34/(1+IFERROR(INDEX(BH$10:BH$11,Предпосылки!$I$201,),0))*IFERROR(INDEX(BH$10:BH$11,Предпосылки!$I$201,),0),BH57/(1+IFERROR(INDEX(BH$10:BH$11,Предпосылки!$I$202,),0))*IFERROR(INDEX(BH$10:BH$11,Предпосылки!$I$202,),0),BH80/(1+IFERROR(INDEX(BH$10:BH$11,Предпосылки!$I$203,),0))*IFERROR(INDEX(BH$10:BH$11,Предпосылки!$I$203,),0),BH103/(1+IFERROR(INDEX(BH$10:BH$11,Предпосылки!$I$204,),0))*IFERROR(INDEX(BH$10:BH$11,Предпосылки!$I$204,),0),BH126/(1+IFERROR(INDEX(BH$10:BH$11,Предпосылки!$I$205,),0))*IFERROR(INDEX(BH$10:BH$11,Предпосылки!$I$205,),0),BH149/(1+IFERROR(INDEX(BH$10:BH$11,Предпосылки!$I$206,),0))*IFERROR(INDEX(BH$10:BH$11,Предпосылки!$I$206,),0),BH172/(1+IFERROR(INDEX(BH$10:BH$11,Предпосылки!$I$207,),0))*IFERROR(INDEX(BH$10:BH$11,Предпосылки!$I$207,),0),BH195/(1+IFERROR(INDEX(BH$10:BH$11,Предпосылки!$I$208,),0))*IFERROR(INDEX(BH$10:BH$11,Предпосылки!$I$208,),0),BH218/(1+IFERROR(INDEX(BH$10:BH$11,Предпосылки!$I$209,),0))*IFERROR(INDEX(BH$10:BH$11,Предпосылки!$I$209,),0),BH241/(1+IFERROR(INDEX(BH$10:BH$11,Предпосылки!$I$210,),0))*IFERROR(INDEX(BH$10:BH$11,Предпосылки!$I$210,),0),BH264/(1+IFERROR(INDEX(BH$10:BH$11,Предпосылки!$I$211,),0))*IFERROR(INDEX(BH$10:BH$11,Предпосылки!$I$211,),0),BH287/(1+IFERROR(INDEX(BH$10:BH$11,Предпосылки!$I$212,),0))*IFERROR(INDEX(BH$10:BH$11,Предпосылки!$I$212,),0),BH310/(1+IFERROR(INDEX(BH$10:BH$11,Предпосылки!$I$213,),0))*IFERROR(INDEX(BH$10:BH$11,Предпосылки!$I$213,),0),BH333/(1+IFERROR(INDEX(BH$10:BH$11,Предпосылки!$I$214,),0))*IFERROR(INDEX(BH$10:BH$11,Предпосылки!$I$214,),0),BH356/(1+IFERROR(INDEX(BH$10:BH$11,Предпосылки!$I$215,),0))*IFERROR(INDEX(BH$10:BH$11,Предпосылки!$I$215,),0),BH379/(1+IFERROR(INDEX(BH$10:BH$11,Предпосылки!$I$216,),0))*IFERROR(INDEX(BH$10:BH$11,Предпосылки!$I$216,),0),BH402/(1+IFERROR(INDEX(BH$10:BH$11,Предпосылки!$I$217,),0))*IFERROR(INDEX(BH$10:BH$11,Предпосылки!$I$217,),0),BH425/(1+IFERROR(INDEX(BH$10:BH$11,Предпосылки!$I$218,),0))*IFERROR(INDEX(BH$10:BH$11,Предпосылки!$I$218,),0),BH448/(1+IFERROR(INDEX(BH$10:BH$11,Предпосылки!$I$219,),0))*IFERROR(INDEX(BH$10:BH$11,Предпосылки!$I$219,),0),BH471/(1+IFERROR(INDEX(BH$10:BH$11,Предпосылки!$I$220,),0))*IFERROR(INDEX(BH$10:BH$11,Предпосылки!$I$220,),0))</f>
        <v>0</v>
      </c>
      <c s="125">
        <f>SUM(BI34/(1+IFERROR(INDEX(BI$10:BI$11,Предпосылки!$I$201,),0))*IFERROR(INDEX(BI$10:BI$11,Предпосылки!$I$201,),0),BI57/(1+IFERROR(INDEX(BI$10:BI$11,Предпосылки!$I$202,),0))*IFERROR(INDEX(BI$10:BI$11,Предпосылки!$I$202,),0),BI80/(1+IFERROR(INDEX(BI$10:BI$11,Предпосылки!$I$203,),0))*IFERROR(INDEX(BI$10:BI$11,Предпосылки!$I$203,),0),BI103/(1+IFERROR(INDEX(BI$10:BI$11,Предпосылки!$I$204,),0))*IFERROR(INDEX(BI$10:BI$11,Предпосылки!$I$204,),0),BI126/(1+IFERROR(INDEX(BI$10:BI$11,Предпосылки!$I$205,),0))*IFERROR(INDEX(BI$10:BI$11,Предпосылки!$I$205,),0),BI149/(1+IFERROR(INDEX(BI$10:BI$11,Предпосылки!$I$206,),0))*IFERROR(INDEX(BI$10:BI$11,Предпосылки!$I$206,),0),BI172/(1+IFERROR(INDEX(BI$10:BI$11,Предпосылки!$I$207,),0))*IFERROR(INDEX(BI$10:BI$11,Предпосылки!$I$207,),0),BI195/(1+IFERROR(INDEX(BI$10:BI$11,Предпосылки!$I$208,),0))*IFERROR(INDEX(BI$10:BI$11,Предпосылки!$I$208,),0),BI218/(1+IFERROR(INDEX(BI$10:BI$11,Предпосылки!$I$209,),0))*IFERROR(INDEX(BI$10:BI$11,Предпосылки!$I$209,),0),BI241/(1+IFERROR(INDEX(BI$10:BI$11,Предпосылки!$I$210,),0))*IFERROR(INDEX(BI$10:BI$11,Предпосылки!$I$210,),0),BI264/(1+IFERROR(INDEX(BI$10:BI$11,Предпосылки!$I$211,),0))*IFERROR(INDEX(BI$10:BI$11,Предпосылки!$I$211,),0),BI287/(1+IFERROR(INDEX(BI$10:BI$11,Предпосылки!$I$212,),0))*IFERROR(INDEX(BI$10:BI$11,Предпосылки!$I$212,),0),BI310/(1+IFERROR(INDEX(BI$10:BI$11,Предпосылки!$I$213,),0))*IFERROR(INDEX(BI$10:BI$11,Предпосылки!$I$213,),0),BI333/(1+IFERROR(INDEX(BI$10:BI$11,Предпосылки!$I$214,),0))*IFERROR(INDEX(BI$10:BI$11,Предпосылки!$I$214,),0),BI356/(1+IFERROR(INDEX(BI$10:BI$11,Предпосылки!$I$215,),0))*IFERROR(INDEX(BI$10:BI$11,Предпосылки!$I$215,),0),BI379/(1+IFERROR(INDEX(BI$10:BI$11,Предпосылки!$I$216,),0))*IFERROR(INDEX(BI$10:BI$11,Предпосылки!$I$216,),0),BI402/(1+IFERROR(INDEX(BI$10:BI$11,Предпосылки!$I$217,),0))*IFERROR(INDEX(BI$10:BI$11,Предпосылки!$I$217,),0),BI425/(1+IFERROR(INDEX(BI$10:BI$11,Предпосылки!$I$218,),0))*IFERROR(INDEX(BI$10:BI$11,Предпосылки!$I$218,),0),BI448/(1+IFERROR(INDEX(BI$10:BI$11,Предпосылки!$I$219,),0))*IFERROR(INDEX(BI$10:BI$11,Предпосылки!$I$219,),0),BI471/(1+IFERROR(INDEX(BI$10:BI$11,Предпосылки!$I$220,),0))*IFERROR(INDEX(BI$10:BI$11,Предпосылки!$I$220,),0))</f>
        <v>0</v>
      </c>
      <c s="125">
        <f>SUM(BJ34/(1+IFERROR(INDEX(BJ$10:BJ$11,Предпосылки!$I$201,),0))*IFERROR(INDEX(BJ$10:BJ$11,Предпосылки!$I$201,),0),BJ57/(1+IFERROR(INDEX(BJ$10:BJ$11,Предпосылки!$I$202,),0))*IFERROR(INDEX(BJ$10:BJ$11,Предпосылки!$I$202,),0),BJ80/(1+IFERROR(INDEX(BJ$10:BJ$11,Предпосылки!$I$203,),0))*IFERROR(INDEX(BJ$10:BJ$11,Предпосылки!$I$203,),0),BJ103/(1+IFERROR(INDEX(BJ$10:BJ$11,Предпосылки!$I$204,),0))*IFERROR(INDEX(BJ$10:BJ$11,Предпосылки!$I$204,),0),BJ126/(1+IFERROR(INDEX(BJ$10:BJ$11,Предпосылки!$I$205,),0))*IFERROR(INDEX(BJ$10:BJ$11,Предпосылки!$I$205,),0),BJ149/(1+IFERROR(INDEX(BJ$10:BJ$11,Предпосылки!$I$206,),0))*IFERROR(INDEX(BJ$10:BJ$11,Предпосылки!$I$206,),0),BJ172/(1+IFERROR(INDEX(BJ$10:BJ$11,Предпосылки!$I$207,),0))*IFERROR(INDEX(BJ$10:BJ$11,Предпосылки!$I$207,),0),BJ195/(1+IFERROR(INDEX(BJ$10:BJ$11,Предпосылки!$I$208,),0))*IFERROR(INDEX(BJ$10:BJ$11,Предпосылки!$I$208,),0),BJ218/(1+IFERROR(INDEX(BJ$10:BJ$11,Предпосылки!$I$209,),0))*IFERROR(INDEX(BJ$10:BJ$11,Предпосылки!$I$209,),0),BJ241/(1+IFERROR(INDEX(BJ$10:BJ$11,Предпосылки!$I$210,),0))*IFERROR(INDEX(BJ$10:BJ$11,Предпосылки!$I$210,),0),BJ264/(1+IFERROR(INDEX(BJ$10:BJ$11,Предпосылки!$I$211,),0))*IFERROR(INDEX(BJ$10:BJ$11,Предпосылки!$I$211,),0),BJ287/(1+IFERROR(INDEX(BJ$10:BJ$11,Предпосылки!$I$212,),0))*IFERROR(INDEX(BJ$10:BJ$11,Предпосылки!$I$212,),0),BJ310/(1+IFERROR(INDEX(BJ$10:BJ$11,Предпосылки!$I$213,),0))*IFERROR(INDEX(BJ$10:BJ$11,Предпосылки!$I$213,),0),BJ333/(1+IFERROR(INDEX(BJ$10:BJ$11,Предпосылки!$I$214,),0))*IFERROR(INDEX(BJ$10:BJ$11,Предпосылки!$I$214,),0),BJ356/(1+IFERROR(INDEX(BJ$10:BJ$11,Предпосылки!$I$215,),0))*IFERROR(INDEX(BJ$10:BJ$11,Предпосылки!$I$215,),0),BJ379/(1+IFERROR(INDEX(BJ$10:BJ$11,Предпосылки!$I$216,),0))*IFERROR(INDEX(BJ$10:BJ$11,Предпосылки!$I$216,),0),BJ402/(1+IFERROR(INDEX(BJ$10:BJ$11,Предпосылки!$I$217,),0))*IFERROR(INDEX(BJ$10:BJ$11,Предпосылки!$I$217,),0),BJ425/(1+IFERROR(INDEX(BJ$10:BJ$11,Предпосылки!$I$218,),0))*IFERROR(INDEX(BJ$10:BJ$11,Предпосылки!$I$218,),0),BJ448/(1+IFERROR(INDEX(BJ$10:BJ$11,Предпосылки!$I$219,),0))*IFERROR(INDEX(BJ$10:BJ$11,Предпосылки!$I$219,),0),BJ471/(1+IFERROR(INDEX(BJ$10:BJ$11,Предпосылки!$I$220,),0))*IFERROR(INDEX(BJ$10:BJ$11,Предпосылки!$I$220,),0))</f>
        <v>0</v>
      </c>
      <c s="125">
        <f>SUM(BK34/(1+IFERROR(INDEX(BK$10:BK$11,Предпосылки!$I$201,),0))*IFERROR(INDEX(BK$10:BK$11,Предпосылки!$I$201,),0),BK57/(1+IFERROR(INDEX(BK$10:BK$11,Предпосылки!$I$202,),0))*IFERROR(INDEX(BK$10:BK$11,Предпосылки!$I$202,),0),BK80/(1+IFERROR(INDEX(BK$10:BK$11,Предпосылки!$I$203,),0))*IFERROR(INDEX(BK$10:BK$11,Предпосылки!$I$203,),0),BK103/(1+IFERROR(INDEX(BK$10:BK$11,Предпосылки!$I$204,),0))*IFERROR(INDEX(BK$10:BK$11,Предпосылки!$I$204,),0),BK126/(1+IFERROR(INDEX(BK$10:BK$11,Предпосылки!$I$205,),0))*IFERROR(INDEX(BK$10:BK$11,Предпосылки!$I$205,),0),BK149/(1+IFERROR(INDEX(BK$10:BK$11,Предпосылки!$I$206,),0))*IFERROR(INDEX(BK$10:BK$11,Предпосылки!$I$206,),0),BK172/(1+IFERROR(INDEX(BK$10:BK$11,Предпосылки!$I$207,),0))*IFERROR(INDEX(BK$10:BK$11,Предпосылки!$I$207,),0),BK195/(1+IFERROR(INDEX(BK$10:BK$11,Предпосылки!$I$208,),0))*IFERROR(INDEX(BK$10:BK$11,Предпосылки!$I$208,),0),BK218/(1+IFERROR(INDEX(BK$10:BK$11,Предпосылки!$I$209,),0))*IFERROR(INDEX(BK$10:BK$11,Предпосылки!$I$209,),0),BK241/(1+IFERROR(INDEX(BK$10:BK$11,Предпосылки!$I$210,),0))*IFERROR(INDEX(BK$10:BK$11,Предпосылки!$I$210,),0),BK264/(1+IFERROR(INDEX(BK$10:BK$11,Предпосылки!$I$211,),0))*IFERROR(INDEX(BK$10:BK$11,Предпосылки!$I$211,),0),BK287/(1+IFERROR(INDEX(BK$10:BK$11,Предпосылки!$I$212,),0))*IFERROR(INDEX(BK$10:BK$11,Предпосылки!$I$212,),0),BK310/(1+IFERROR(INDEX(BK$10:BK$11,Предпосылки!$I$213,),0))*IFERROR(INDEX(BK$10:BK$11,Предпосылки!$I$213,),0),BK333/(1+IFERROR(INDEX(BK$10:BK$11,Предпосылки!$I$214,),0))*IFERROR(INDEX(BK$10:BK$11,Предпосылки!$I$214,),0),BK356/(1+IFERROR(INDEX(BK$10:BK$11,Предпосылки!$I$215,),0))*IFERROR(INDEX(BK$10:BK$11,Предпосылки!$I$215,),0),BK379/(1+IFERROR(INDEX(BK$10:BK$11,Предпосылки!$I$216,),0))*IFERROR(INDEX(BK$10:BK$11,Предпосылки!$I$216,),0),BK402/(1+IFERROR(INDEX(BK$10:BK$11,Предпосылки!$I$217,),0))*IFERROR(INDEX(BK$10:BK$11,Предпосылки!$I$217,),0),BK425/(1+IFERROR(INDEX(BK$10:BK$11,Предпосылки!$I$218,),0))*IFERROR(INDEX(BK$10:BK$11,Предпосылки!$I$218,),0),BK448/(1+IFERROR(INDEX(BK$10:BK$11,Предпосылки!$I$219,),0))*IFERROR(INDEX(BK$10:BK$11,Предпосылки!$I$219,),0),BK471/(1+IFERROR(INDEX(BK$10:BK$11,Предпосылки!$I$220,),0))*IFERROR(INDEX(BK$10:BK$11,Предпосылки!$I$220,),0))</f>
        <v>0</v>
      </c>
      <c s="125">
        <f>SUM(BL34/(1+IFERROR(INDEX(BL$10:BL$11,Предпосылки!$I$201,),0))*IFERROR(INDEX(BL$10:BL$11,Предпосылки!$I$201,),0),BL57/(1+IFERROR(INDEX(BL$10:BL$11,Предпосылки!$I$202,),0))*IFERROR(INDEX(BL$10:BL$11,Предпосылки!$I$202,),0),BL80/(1+IFERROR(INDEX(BL$10:BL$11,Предпосылки!$I$203,),0))*IFERROR(INDEX(BL$10:BL$11,Предпосылки!$I$203,),0),BL103/(1+IFERROR(INDEX(BL$10:BL$11,Предпосылки!$I$204,),0))*IFERROR(INDEX(BL$10:BL$11,Предпосылки!$I$204,),0),BL126/(1+IFERROR(INDEX(BL$10:BL$11,Предпосылки!$I$205,),0))*IFERROR(INDEX(BL$10:BL$11,Предпосылки!$I$205,),0),BL149/(1+IFERROR(INDEX(BL$10:BL$11,Предпосылки!$I$206,),0))*IFERROR(INDEX(BL$10:BL$11,Предпосылки!$I$206,),0),BL172/(1+IFERROR(INDEX(BL$10:BL$11,Предпосылки!$I$207,),0))*IFERROR(INDEX(BL$10:BL$11,Предпосылки!$I$207,),0),BL195/(1+IFERROR(INDEX(BL$10:BL$11,Предпосылки!$I$208,),0))*IFERROR(INDEX(BL$10:BL$11,Предпосылки!$I$208,),0),BL218/(1+IFERROR(INDEX(BL$10:BL$11,Предпосылки!$I$209,),0))*IFERROR(INDEX(BL$10:BL$11,Предпосылки!$I$209,),0),BL241/(1+IFERROR(INDEX(BL$10:BL$11,Предпосылки!$I$210,),0))*IFERROR(INDEX(BL$10:BL$11,Предпосылки!$I$210,),0),BL264/(1+IFERROR(INDEX(BL$10:BL$11,Предпосылки!$I$211,),0))*IFERROR(INDEX(BL$10:BL$11,Предпосылки!$I$211,),0),BL287/(1+IFERROR(INDEX(BL$10:BL$11,Предпосылки!$I$212,),0))*IFERROR(INDEX(BL$10:BL$11,Предпосылки!$I$212,),0),BL310/(1+IFERROR(INDEX(BL$10:BL$11,Предпосылки!$I$213,),0))*IFERROR(INDEX(BL$10:BL$11,Предпосылки!$I$213,),0),BL333/(1+IFERROR(INDEX(BL$10:BL$11,Предпосылки!$I$214,),0))*IFERROR(INDEX(BL$10:BL$11,Предпосылки!$I$214,),0),BL356/(1+IFERROR(INDEX(BL$10:BL$11,Предпосылки!$I$215,),0))*IFERROR(INDEX(BL$10:BL$11,Предпосылки!$I$215,),0),BL379/(1+IFERROR(INDEX(BL$10:BL$11,Предпосылки!$I$216,),0))*IFERROR(INDEX(BL$10:BL$11,Предпосылки!$I$216,),0),BL402/(1+IFERROR(INDEX(BL$10:BL$11,Предпосылки!$I$217,),0))*IFERROR(INDEX(BL$10:BL$11,Предпосылки!$I$217,),0),BL425/(1+IFERROR(INDEX(BL$10:BL$11,Предпосылки!$I$218,),0))*IFERROR(INDEX(BL$10:BL$11,Предпосылки!$I$218,),0),BL448/(1+IFERROR(INDEX(BL$10:BL$11,Предпосылки!$I$219,),0))*IFERROR(INDEX(BL$10:BL$11,Предпосылки!$I$219,),0),BL471/(1+IFERROR(INDEX(BL$10:BL$11,Предпосылки!$I$220,),0))*IFERROR(INDEX(BL$10:BL$11,Предпосылки!$I$220,),0))</f>
        <v>0</v>
      </c>
      <c s="125">
        <f>SUM(BM34/(1+IFERROR(INDEX(BM$10:BM$11,Предпосылки!$I$201,),0))*IFERROR(INDEX(BM$10:BM$11,Предпосылки!$I$201,),0),BM57/(1+IFERROR(INDEX(BM$10:BM$11,Предпосылки!$I$202,),0))*IFERROR(INDEX(BM$10:BM$11,Предпосылки!$I$202,),0),BM80/(1+IFERROR(INDEX(BM$10:BM$11,Предпосылки!$I$203,),0))*IFERROR(INDEX(BM$10:BM$11,Предпосылки!$I$203,),0),BM103/(1+IFERROR(INDEX(BM$10:BM$11,Предпосылки!$I$204,),0))*IFERROR(INDEX(BM$10:BM$11,Предпосылки!$I$204,),0),BM126/(1+IFERROR(INDEX(BM$10:BM$11,Предпосылки!$I$205,),0))*IFERROR(INDEX(BM$10:BM$11,Предпосылки!$I$205,),0),BM149/(1+IFERROR(INDEX(BM$10:BM$11,Предпосылки!$I$206,),0))*IFERROR(INDEX(BM$10:BM$11,Предпосылки!$I$206,),0),BM172/(1+IFERROR(INDEX(BM$10:BM$11,Предпосылки!$I$207,),0))*IFERROR(INDEX(BM$10:BM$11,Предпосылки!$I$207,),0),BM195/(1+IFERROR(INDEX(BM$10:BM$11,Предпосылки!$I$208,),0))*IFERROR(INDEX(BM$10:BM$11,Предпосылки!$I$208,),0),BM218/(1+IFERROR(INDEX(BM$10:BM$11,Предпосылки!$I$209,),0))*IFERROR(INDEX(BM$10:BM$11,Предпосылки!$I$209,),0),BM241/(1+IFERROR(INDEX(BM$10:BM$11,Предпосылки!$I$210,),0))*IFERROR(INDEX(BM$10:BM$11,Предпосылки!$I$210,),0),BM264/(1+IFERROR(INDEX(BM$10:BM$11,Предпосылки!$I$211,),0))*IFERROR(INDEX(BM$10:BM$11,Предпосылки!$I$211,),0),BM287/(1+IFERROR(INDEX(BM$10:BM$11,Предпосылки!$I$212,),0))*IFERROR(INDEX(BM$10:BM$11,Предпосылки!$I$212,),0),BM310/(1+IFERROR(INDEX(BM$10:BM$11,Предпосылки!$I$213,),0))*IFERROR(INDEX(BM$10:BM$11,Предпосылки!$I$213,),0),BM333/(1+IFERROR(INDEX(BM$10:BM$11,Предпосылки!$I$214,),0))*IFERROR(INDEX(BM$10:BM$11,Предпосылки!$I$214,),0),BM356/(1+IFERROR(INDEX(BM$10:BM$11,Предпосылки!$I$215,),0))*IFERROR(INDEX(BM$10:BM$11,Предпосылки!$I$215,),0),BM379/(1+IFERROR(INDEX(BM$10:BM$11,Предпосылки!$I$216,),0))*IFERROR(INDEX(BM$10:BM$11,Предпосылки!$I$216,),0),BM402/(1+IFERROR(INDEX(BM$10:BM$11,Предпосылки!$I$217,),0))*IFERROR(INDEX(BM$10:BM$11,Предпосылки!$I$217,),0),BM425/(1+IFERROR(INDEX(BM$10:BM$11,Предпосылки!$I$218,),0))*IFERROR(INDEX(BM$10:BM$11,Предпосылки!$I$218,),0),BM448/(1+IFERROR(INDEX(BM$10:BM$11,Предпосылки!$I$219,),0))*IFERROR(INDEX(BM$10:BM$11,Предпосылки!$I$219,),0),BM471/(1+IFERROR(INDEX(BM$10:BM$11,Предпосылки!$I$220,),0))*IFERROR(INDEX(BM$10:BM$11,Предпосылки!$I$220,),0))</f>
        <v>0</v>
      </c>
    </row>
    <row r="566" spans="2:65" ht="15" customHeight="1">
      <c r="B566" s="12" t="str">
        <f t="shared" si="255"/>
        <v>Продукт 13</v>
      </c>
      <c s="124" t="str">
        <f t="shared" si="254"/>
        <v>тыс. руб.</v>
      </c>
      <c s="276">
        <f t="shared" si="256"/>
        <v>0</v>
      </c>
      <c s="125">
        <f>SUM(E35/(1+IFERROR(INDEX(E$10:E$11,Предпосылки!$I213,),0))*IFERROR(INDEX(E$10:E$11,Предпосылки!$I213,),0),E58/(1+IFERROR(INDEX(E$10:E$11,Предпосылки!$I214,),0))*IFERROR(INDEX(E$10:E$11,Предпосылки!$I214,),0),E81/(1+IFERROR(INDEX(E$10:E$11,Предпосылки!$I215,),0))*IFERROR(INDEX(E$10:E$11,Предпосылки!$I215,),0),E104/(1+IFERROR(INDEX(E$10:E$11,Предпосылки!$I216,),0))*IFERROR(INDEX(E$10:E$11,Предпосылки!$I216,),0),E127/(1+IFERROR(INDEX(E$10:E$11,Предпосылки!$I217,),0))*IFERROR(INDEX(E$10:E$11,Предпосылки!$I217,),0),E150/(1+IFERROR(INDEX(E$10:E$11,Предпосылки!$I218,),0))*IFERROR(INDEX(E$10:E$11,Предпосылки!$I218,),0),E173/(1+IFERROR(INDEX(E$10:E$11,Предпосылки!$I219,),0))*IFERROR(INDEX(E$10:E$11,Предпосылки!$I219,),0),E196/(1+IFERROR(INDEX(E$10:E$11,Предпосылки!$I220,),0))*IFERROR(INDEX(E$10:E$11,Предпосылки!$I220,),0),E219/(1+IFERROR(INDEX(E$10:E$11,Предпосылки!$I221,),0))*IFERROR(INDEX(E$10:E$11,Предпосылки!$I221,),0),E242/(1+IFERROR(INDEX(E$10:E$11,Предпосылки!$I222,),0))*IFERROR(INDEX(E$10:E$11,Предпосылки!$I222,),0),E265/(1+IFERROR(INDEX(E$10:E$11,Предпосылки!$I223,),0))*IFERROR(INDEX(E$10:E$11,Предпосылки!$I223,),0),E288/(1+IFERROR(INDEX(E$10:E$11,Предпосылки!$I224,),0))*IFERROR(INDEX(E$10:E$11,Предпосылки!$I224,),0),E311/(1+IFERROR(INDEX(E$10:E$11,Предпосылки!$I225,),0))*IFERROR(INDEX(E$10:E$11,Предпосылки!$I225,),0),E334/(1+IFERROR(INDEX(E$10:E$11,Предпосылки!$I226,),0))*IFERROR(INDEX(E$10:E$11,Предпосылки!$I226,),0),E357/(1+IFERROR(INDEX(E$10:E$11,Предпосылки!$I227,),0))*IFERROR(INDEX(E$10:E$11,Предпосылки!$I227,),0),E380/(1+IFERROR(INDEX(E$10:E$11,Предпосылки!$I228,),0))*IFERROR(INDEX(E$10:E$11,Предпосылки!$I228,),0),E403/(1+IFERROR(INDEX(E$10:E$11,Предпосылки!$I229,),0))*IFERROR(INDEX(E$10:E$11,Предпосылки!$I229,),0),E426/(1+IFERROR(INDEX(E$10:E$11,Предпосылки!$I230,),0))*IFERROR(INDEX(E$10:E$11,Предпосылки!$I230,),0),E449/(1+IFERROR(INDEX(E$10:E$11,Предпосылки!$I231,),0))*IFERROR(INDEX(E$10:E$11,Предпосылки!$I231,),0),E472/(1+IFERROR(INDEX(E$10:E$11,Предпосылки!$I232,),0))*IFERROR(INDEX(E$10:E$11,Предпосылки!$I232,),0))</f>
        <v>0</v>
      </c>
      <c s="125">
        <f>SUM(F35/(1+IFERROR(INDEX(F$10:F$11,Предпосылки!$I$201,),0))*IFERROR(INDEX(F$10:F$11,Предпосылки!$I$201,),0),F58/(1+IFERROR(INDEX(F$10:F$11,Предпосылки!$I$202,),0))*IFERROR(INDEX(F$10:F$11,Предпосылки!$I$202,),0),F81/(1+IFERROR(INDEX(F$10:F$11,Предпосылки!$I$203,),0))*IFERROR(INDEX(F$10:F$11,Предпосылки!$I$203,),0),F104/(1+IFERROR(INDEX(F$10:F$11,Предпосылки!$I$204,),0))*IFERROR(INDEX(F$10:F$11,Предпосылки!$I$204,),0),F127/(1+IFERROR(INDEX(F$10:F$11,Предпосылки!$I$205,),0))*IFERROR(INDEX(F$10:F$11,Предпосылки!$I$205,),0),F150/(1+IFERROR(INDEX(F$10:F$11,Предпосылки!$I$206,),0))*IFERROR(INDEX(F$10:F$11,Предпосылки!$I$206,),0),F173/(1+IFERROR(INDEX(F$10:F$11,Предпосылки!$I$207,),0))*IFERROR(INDEX(F$10:F$11,Предпосылки!$I$207,),0),F196/(1+IFERROR(INDEX(F$10:F$11,Предпосылки!$I$208,),0))*IFERROR(INDEX(F$10:F$11,Предпосылки!$I$208,),0),F219/(1+IFERROR(INDEX(F$10:F$11,Предпосылки!$I$209,),0))*IFERROR(INDEX(F$10:F$11,Предпосылки!$I$209,),0),F242/(1+IFERROR(INDEX(F$10:F$11,Предпосылки!$I$210,),0))*IFERROR(INDEX(F$10:F$11,Предпосылки!$I$210,),0),F265/(1+IFERROR(INDEX(F$10:F$11,Предпосылки!$I$211,),0))*IFERROR(INDEX(F$10:F$11,Предпосылки!$I$211,),0),F288/(1+IFERROR(INDEX(F$10:F$11,Предпосылки!$I$212,),0))*IFERROR(INDEX(F$10:F$11,Предпосылки!$I$212,),0),F311/(1+IFERROR(INDEX(F$10:F$11,Предпосылки!$I$213,),0))*IFERROR(INDEX(F$10:F$11,Предпосылки!$I$213,),0),F334/(1+IFERROR(INDEX(F$10:F$11,Предпосылки!$I$214,),0))*IFERROR(INDEX(F$10:F$11,Предпосылки!$I$214,),0),F357/(1+IFERROR(INDEX(F$10:F$11,Предпосылки!$I$215,),0))*IFERROR(INDEX(F$10:F$11,Предпосылки!$I$215,),0),F380/(1+IFERROR(INDEX(F$10:F$11,Предпосылки!$I$216,),0))*IFERROR(INDEX(F$10:F$11,Предпосылки!$I$216,),0),F403/(1+IFERROR(INDEX(F$10:F$11,Предпосылки!$I$217,),0))*IFERROR(INDEX(F$10:F$11,Предпосылки!$I$217,),0),F426/(1+IFERROR(INDEX(F$10:F$11,Предпосылки!$I$218,),0))*IFERROR(INDEX(F$10:F$11,Предпосылки!$I$218,),0),F449/(1+IFERROR(INDEX(F$10:F$11,Предпосылки!$I$219,),0))*IFERROR(INDEX(F$10:F$11,Предпосылки!$I$219,),0),F472/(1+IFERROR(INDEX(F$10:F$11,Предпосылки!$I$220,),0))*IFERROR(INDEX(F$10:F$11,Предпосылки!$I$220,),0))</f>
        <v>0</v>
      </c>
      <c s="125">
        <f>SUM(G35/(1+IFERROR(INDEX(G$10:G$11,Предпосылки!$I$201,),0))*IFERROR(INDEX(G$10:G$11,Предпосылки!$I$201,),0),G58/(1+IFERROR(INDEX(G$10:G$11,Предпосылки!$I$202,),0))*IFERROR(INDEX(G$10:G$11,Предпосылки!$I$202,),0),G81/(1+IFERROR(INDEX(G$10:G$11,Предпосылки!$I$203,),0))*IFERROR(INDEX(G$10:G$11,Предпосылки!$I$203,),0),G104/(1+IFERROR(INDEX(G$10:G$11,Предпосылки!$I$204,),0))*IFERROR(INDEX(G$10:G$11,Предпосылки!$I$204,),0),G127/(1+IFERROR(INDEX(G$10:G$11,Предпосылки!$I$205,),0))*IFERROR(INDEX(G$10:G$11,Предпосылки!$I$205,),0),G150/(1+IFERROR(INDEX(G$10:G$11,Предпосылки!$I$206,),0))*IFERROR(INDEX(G$10:G$11,Предпосылки!$I$206,),0),G173/(1+IFERROR(INDEX(G$10:G$11,Предпосылки!$I$207,),0))*IFERROR(INDEX(G$10:G$11,Предпосылки!$I$207,),0),G196/(1+IFERROR(INDEX(G$10:G$11,Предпосылки!$I$208,),0))*IFERROR(INDEX(G$10:G$11,Предпосылки!$I$208,),0),G219/(1+IFERROR(INDEX(G$10:G$11,Предпосылки!$I$209,),0))*IFERROR(INDEX(G$10:G$11,Предпосылки!$I$209,),0),G242/(1+IFERROR(INDEX(G$10:G$11,Предпосылки!$I$210,),0))*IFERROR(INDEX(G$10:G$11,Предпосылки!$I$210,),0),G265/(1+IFERROR(INDEX(G$10:G$11,Предпосылки!$I$211,),0))*IFERROR(INDEX(G$10:G$11,Предпосылки!$I$211,),0),G288/(1+IFERROR(INDEX(G$10:G$11,Предпосылки!$I$212,),0))*IFERROR(INDEX(G$10:G$11,Предпосылки!$I$212,),0),G311/(1+IFERROR(INDEX(G$10:G$11,Предпосылки!$I$213,),0))*IFERROR(INDEX(G$10:G$11,Предпосылки!$I$213,),0),G334/(1+IFERROR(INDEX(G$10:G$11,Предпосылки!$I$214,),0))*IFERROR(INDEX(G$10:G$11,Предпосылки!$I$214,),0),G357/(1+IFERROR(INDEX(G$10:G$11,Предпосылки!$I$215,),0))*IFERROR(INDEX(G$10:G$11,Предпосылки!$I$215,),0),G380/(1+IFERROR(INDEX(G$10:G$11,Предпосылки!$I$216,),0))*IFERROR(INDEX(G$10:G$11,Предпосылки!$I$216,),0),G403/(1+IFERROR(INDEX(G$10:G$11,Предпосылки!$I$217,),0))*IFERROR(INDEX(G$10:G$11,Предпосылки!$I$217,),0),G426/(1+IFERROR(INDEX(G$10:G$11,Предпосылки!$I$218,),0))*IFERROR(INDEX(G$10:G$11,Предпосылки!$I$218,),0),G449/(1+IFERROR(INDEX(G$10:G$11,Предпосылки!$I$219,),0))*IFERROR(INDEX(G$10:G$11,Предпосылки!$I$219,),0),G472/(1+IFERROR(INDEX(G$10:G$11,Предпосылки!$I$220,),0))*IFERROR(INDEX(G$10:G$11,Предпосылки!$I$220,),0))</f>
        <v>0</v>
      </c>
      <c s="125">
        <f>SUM(H35/(1+IFERROR(INDEX(H$10:H$11,Предпосылки!$I$201,),0))*IFERROR(INDEX(H$10:H$11,Предпосылки!$I$201,),0),H58/(1+IFERROR(INDEX(H$10:H$11,Предпосылки!$I$202,),0))*IFERROR(INDEX(H$10:H$11,Предпосылки!$I$202,),0),H81/(1+IFERROR(INDEX(H$10:H$11,Предпосылки!$I$203,),0))*IFERROR(INDEX(H$10:H$11,Предпосылки!$I$203,),0),H104/(1+IFERROR(INDEX(H$10:H$11,Предпосылки!$I$204,),0))*IFERROR(INDEX(H$10:H$11,Предпосылки!$I$204,),0),H127/(1+IFERROR(INDEX(H$10:H$11,Предпосылки!$I$205,),0))*IFERROR(INDEX(H$10:H$11,Предпосылки!$I$205,),0),H150/(1+IFERROR(INDEX(H$10:H$11,Предпосылки!$I$206,),0))*IFERROR(INDEX(H$10:H$11,Предпосылки!$I$206,),0),H173/(1+IFERROR(INDEX(H$10:H$11,Предпосылки!$I$207,),0))*IFERROR(INDEX(H$10:H$11,Предпосылки!$I$207,),0),H196/(1+IFERROR(INDEX(H$10:H$11,Предпосылки!$I$208,),0))*IFERROR(INDEX(H$10:H$11,Предпосылки!$I$208,),0),H219/(1+IFERROR(INDEX(H$10:H$11,Предпосылки!$I$209,),0))*IFERROR(INDEX(H$10:H$11,Предпосылки!$I$209,),0),H242/(1+IFERROR(INDEX(H$10:H$11,Предпосылки!$I$210,),0))*IFERROR(INDEX(H$10:H$11,Предпосылки!$I$210,),0),H265/(1+IFERROR(INDEX(H$10:H$11,Предпосылки!$I$211,),0))*IFERROR(INDEX(H$10:H$11,Предпосылки!$I$211,),0),H288/(1+IFERROR(INDEX(H$10:H$11,Предпосылки!$I$212,),0))*IFERROR(INDEX(H$10:H$11,Предпосылки!$I$212,),0),H311/(1+IFERROR(INDEX(H$10:H$11,Предпосылки!$I$213,),0))*IFERROR(INDEX(H$10:H$11,Предпосылки!$I$213,),0),H334/(1+IFERROR(INDEX(H$10:H$11,Предпосылки!$I$214,),0))*IFERROR(INDEX(H$10:H$11,Предпосылки!$I$214,),0),H357/(1+IFERROR(INDEX(H$10:H$11,Предпосылки!$I$215,),0))*IFERROR(INDEX(H$10:H$11,Предпосылки!$I$215,),0),H380/(1+IFERROR(INDEX(H$10:H$11,Предпосылки!$I$216,),0))*IFERROR(INDEX(H$10:H$11,Предпосылки!$I$216,),0),H403/(1+IFERROR(INDEX(H$10:H$11,Предпосылки!$I$217,),0))*IFERROR(INDEX(H$10:H$11,Предпосылки!$I$217,),0),H426/(1+IFERROR(INDEX(H$10:H$11,Предпосылки!$I$218,),0))*IFERROR(INDEX(H$10:H$11,Предпосылки!$I$218,),0),H449/(1+IFERROR(INDEX(H$10:H$11,Предпосылки!$I$219,),0))*IFERROR(INDEX(H$10:H$11,Предпосылки!$I$219,),0),H472/(1+IFERROR(INDEX(H$10:H$11,Предпосылки!$I$220,),0))*IFERROR(INDEX(H$10:H$11,Предпосылки!$I$220,),0))</f>
        <v>0</v>
      </c>
      <c s="125">
        <f>SUM(I35/(1+IFERROR(INDEX(I$10:I$11,Предпосылки!$I$201,),0))*IFERROR(INDEX(I$10:I$11,Предпосылки!$I$201,),0),I58/(1+IFERROR(INDEX(I$10:I$11,Предпосылки!$I$202,),0))*IFERROR(INDEX(I$10:I$11,Предпосылки!$I$202,),0),I81/(1+IFERROR(INDEX(I$10:I$11,Предпосылки!$I$203,),0))*IFERROR(INDEX(I$10:I$11,Предпосылки!$I$203,),0),I104/(1+IFERROR(INDEX(I$10:I$11,Предпосылки!$I$204,),0))*IFERROR(INDEX(I$10:I$11,Предпосылки!$I$204,),0),I127/(1+IFERROR(INDEX(I$10:I$11,Предпосылки!$I$205,),0))*IFERROR(INDEX(I$10:I$11,Предпосылки!$I$205,),0),I150/(1+IFERROR(INDEX(I$10:I$11,Предпосылки!$I$206,),0))*IFERROR(INDEX(I$10:I$11,Предпосылки!$I$206,),0),I173/(1+IFERROR(INDEX(I$10:I$11,Предпосылки!$I$207,),0))*IFERROR(INDEX(I$10:I$11,Предпосылки!$I$207,),0),I196/(1+IFERROR(INDEX(I$10:I$11,Предпосылки!$I$208,),0))*IFERROR(INDEX(I$10:I$11,Предпосылки!$I$208,),0),I219/(1+IFERROR(INDEX(I$10:I$11,Предпосылки!$I$209,),0))*IFERROR(INDEX(I$10:I$11,Предпосылки!$I$209,),0),I242/(1+IFERROR(INDEX(I$10:I$11,Предпосылки!$I$210,),0))*IFERROR(INDEX(I$10:I$11,Предпосылки!$I$210,),0),I265/(1+IFERROR(INDEX(I$10:I$11,Предпосылки!$I$211,),0))*IFERROR(INDEX(I$10:I$11,Предпосылки!$I$211,),0),I288/(1+IFERROR(INDEX(I$10:I$11,Предпосылки!$I$212,),0))*IFERROR(INDEX(I$10:I$11,Предпосылки!$I$212,),0),I311/(1+IFERROR(INDEX(I$10:I$11,Предпосылки!$I$213,),0))*IFERROR(INDEX(I$10:I$11,Предпосылки!$I$213,),0),I334/(1+IFERROR(INDEX(I$10:I$11,Предпосылки!$I$214,),0))*IFERROR(INDEX(I$10:I$11,Предпосылки!$I$214,),0),I357/(1+IFERROR(INDEX(I$10:I$11,Предпосылки!$I$215,),0))*IFERROR(INDEX(I$10:I$11,Предпосылки!$I$215,),0),I380/(1+IFERROR(INDEX(I$10:I$11,Предпосылки!$I$216,),0))*IFERROR(INDEX(I$10:I$11,Предпосылки!$I$216,),0),I403/(1+IFERROR(INDEX(I$10:I$11,Предпосылки!$I$217,),0))*IFERROR(INDEX(I$10:I$11,Предпосылки!$I$217,),0),I426/(1+IFERROR(INDEX(I$10:I$11,Предпосылки!$I$218,),0))*IFERROR(INDEX(I$10:I$11,Предпосылки!$I$218,),0),I449/(1+IFERROR(INDEX(I$10:I$11,Предпосылки!$I$219,),0))*IFERROR(INDEX(I$10:I$11,Предпосылки!$I$219,),0),I472/(1+IFERROR(INDEX(I$10:I$11,Предпосылки!$I$220,),0))*IFERROR(INDEX(I$10:I$11,Предпосылки!$I$220,),0))</f>
        <v>0</v>
      </c>
      <c s="125">
        <f>SUM(J35/(1+IFERROR(INDEX(J$10:J$11,Предпосылки!$I$201,),0))*IFERROR(INDEX(J$10:J$11,Предпосылки!$I$201,),0),J58/(1+IFERROR(INDEX(J$10:J$11,Предпосылки!$I$202,),0))*IFERROR(INDEX(J$10:J$11,Предпосылки!$I$202,),0),J81/(1+IFERROR(INDEX(J$10:J$11,Предпосылки!$I$203,),0))*IFERROR(INDEX(J$10:J$11,Предпосылки!$I$203,),0),J104/(1+IFERROR(INDEX(J$10:J$11,Предпосылки!$I$204,),0))*IFERROR(INDEX(J$10:J$11,Предпосылки!$I$204,),0),J127/(1+IFERROR(INDEX(J$10:J$11,Предпосылки!$I$205,),0))*IFERROR(INDEX(J$10:J$11,Предпосылки!$I$205,),0),J150/(1+IFERROR(INDEX(J$10:J$11,Предпосылки!$I$206,),0))*IFERROR(INDEX(J$10:J$11,Предпосылки!$I$206,),0),J173/(1+IFERROR(INDEX(J$10:J$11,Предпосылки!$I$207,),0))*IFERROR(INDEX(J$10:J$11,Предпосылки!$I$207,),0),J196/(1+IFERROR(INDEX(J$10:J$11,Предпосылки!$I$208,),0))*IFERROR(INDEX(J$10:J$11,Предпосылки!$I$208,),0),J219/(1+IFERROR(INDEX(J$10:J$11,Предпосылки!$I$209,),0))*IFERROR(INDEX(J$10:J$11,Предпосылки!$I$209,),0),J242/(1+IFERROR(INDEX(J$10:J$11,Предпосылки!$I$210,),0))*IFERROR(INDEX(J$10:J$11,Предпосылки!$I$210,),0),J265/(1+IFERROR(INDEX(J$10:J$11,Предпосылки!$I$211,),0))*IFERROR(INDEX(J$10:J$11,Предпосылки!$I$211,),0),J288/(1+IFERROR(INDEX(J$10:J$11,Предпосылки!$I$212,),0))*IFERROR(INDEX(J$10:J$11,Предпосылки!$I$212,),0),J311/(1+IFERROR(INDEX(J$10:J$11,Предпосылки!$I$213,),0))*IFERROR(INDEX(J$10:J$11,Предпосылки!$I$213,),0),J334/(1+IFERROR(INDEX(J$10:J$11,Предпосылки!$I$214,),0))*IFERROR(INDEX(J$10:J$11,Предпосылки!$I$214,),0),J357/(1+IFERROR(INDEX(J$10:J$11,Предпосылки!$I$215,),0))*IFERROR(INDEX(J$10:J$11,Предпосылки!$I$215,),0),J380/(1+IFERROR(INDEX(J$10:J$11,Предпосылки!$I$216,),0))*IFERROR(INDEX(J$10:J$11,Предпосылки!$I$216,),0),J403/(1+IFERROR(INDEX(J$10:J$11,Предпосылки!$I$217,),0))*IFERROR(INDEX(J$10:J$11,Предпосылки!$I$217,),0),J426/(1+IFERROR(INDEX(J$10:J$11,Предпосылки!$I$218,),0))*IFERROR(INDEX(J$10:J$11,Предпосылки!$I$218,),0),J449/(1+IFERROR(INDEX(J$10:J$11,Предпосылки!$I$219,),0))*IFERROR(INDEX(J$10:J$11,Предпосылки!$I$219,),0),J472/(1+IFERROR(INDEX(J$10:J$11,Предпосылки!$I$220,),0))*IFERROR(INDEX(J$10:J$11,Предпосылки!$I$220,),0))</f>
        <v>0</v>
      </c>
      <c s="125">
        <f>SUM(K35/(1+IFERROR(INDEX(K$10:K$11,Предпосылки!$I$201,),0))*IFERROR(INDEX(K$10:K$11,Предпосылки!$I$201,),0),K58/(1+IFERROR(INDEX(K$10:K$11,Предпосылки!$I$202,),0))*IFERROR(INDEX(K$10:K$11,Предпосылки!$I$202,),0),K81/(1+IFERROR(INDEX(K$10:K$11,Предпосылки!$I$203,),0))*IFERROR(INDEX(K$10:K$11,Предпосылки!$I$203,),0),K104/(1+IFERROR(INDEX(K$10:K$11,Предпосылки!$I$204,),0))*IFERROR(INDEX(K$10:K$11,Предпосылки!$I$204,),0),K127/(1+IFERROR(INDEX(K$10:K$11,Предпосылки!$I$205,),0))*IFERROR(INDEX(K$10:K$11,Предпосылки!$I$205,),0),K150/(1+IFERROR(INDEX(K$10:K$11,Предпосылки!$I$206,),0))*IFERROR(INDEX(K$10:K$11,Предпосылки!$I$206,),0),K173/(1+IFERROR(INDEX(K$10:K$11,Предпосылки!$I$207,),0))*IFERROR(INDEX(K$10:K$11,Предпосылки!$I$207,),0),K196/(1+IFERROR(INDEX(K$10:K$11,Предпосылки!$I$208,),0))*IFERROR(INDEX(K$10:K$11,Предпосылки!$I$208,),0),K219/(1+IFERROR(INDEX(K$10:K$11,Предпосылки!$I$209,),0))*IFERROR(INDEX(K$10:K$11,Предпосылки!$I$209,),0),K242/(1+IFERROR(INDEX(K$10:K$11,Предпосылки!$I$210,),0))*IFERROR(INDEX(K$10:K$11,Предпосылки!$I$210,),0),K265/(1+IFERROR(INDEX(K$10:K$11,Предпосылки!$I$211,),0))*IFERROR(INDEX(K$10:K$11,Предпосылки!$I$211,),0),K288/(1+IFERROR(INDEX(K$10:K$11,Предпосылки!$I$212,),0))*IFERROR(INDEX(K$10:K$11,Предпосылки!$I$212,),0),K311/(1+IFERROR(INDEX(K$10:K$11,Предпосылки!$I$213,),0))*IFERROR(INDEX(K$10:K$11,Предпосылки!$I$213,),0),K334/(1+IFERROR(INDEX(K$10:K$11,Предпосылки!$I$214,),0))*IFERROR(INDEX(K$10:K$11,Предпосылки!$I$214,),0),K357/(1+IFERROR(INDEX(K$10:K$11,Предпосылки!$I$215,),0))*IFERROR(INDEX(K$10:K$11,Предпосылки!$I$215,),0),K380/(1+IFERROR(INDEX(K$10:K$11,Предпосылки!$I$216,),0))*IFERROR(INDEX(K$10:K$11,Предпосылки!$I$216,),0),K403/(1+IFERROR(INDEX(K$10:K$11,Предпосылки!$I$217,),0))*IFERROR(INDEX(K$10:K$11,Предпосылки!$I$217,),0),K426/(1+IFERROR(INDEX(K$10:K$11,Предпосылки!$I$218,),0))*IFERROR(INDEX(K$10:K$11,Предпосылки!$I$218,),0),K449/(1+IFERROR(INDEX(K$10:K$11,Предпосылки!$I$219,),0))*IFERROR(INDEX(K$10:K$11,Предпосылки!$I$219,),0),K472/(1+IFERROR(INDEX(K$10:K$11,Предпосылки!$I$220,),0))*IFERROR(INDEX(K$10:K$11,Предпосылки!$I$220,),0))</f>
        <v>0</v>
      </c>
      <c s="125">
        <f>SUM(L35/(1+IFERROR(INDEX(L$10:L$11,Предпосылки!$I$201,),0))*IFERROR(INDEX(L$10:L$11,Предпосылки!$I$201,),0),L58/(1+IFERROR(INDEX(L$10:L$11,Предпосылки!$I$202,),0))*IFERROR(INDEX(L$10:L$11,Предпосылки!$I$202,),0),L81/(1+IFERROR(INDEX(L$10:L$11,Предпосылки!$I$203,),0))*IFERROR(INDEX(L$10:L$11,Предпосылки!$I$203,),0),L104/(1+IFERROR(INDEX(L$10:L$11,Предпосылки!$I$204,),0))*IFERROR(INDEX(L$10:L$11,Предпосылки!$I$204,),0),L127/(1+IFERROR(INDEX(L$10:L$11,Предпосылки!$I$205,),0))*IFERROR(INDEX(L$10:L$11,Предпосылки!$I$205,),0),L150/(1+IFERROR(INDEX(L$10:L$11,Предпосылки!$I$206,),0))*IFERROR(INDEX(L$10:L$11,Предпосылки!$I$206,),0),L173/(1+IFERROR(INDEX(L$10:L$11,Предпосылки!$I$207,),0))*IFERROR(INDEX(L$10:L$11,Предпосылки!$I$207,),0),L196/(1+IFERROR(INDEX(L$10:L$11,Предпосылки!$I$208,),0))*IFERROR(INDEX(L$10:L$11,Предпосылки!$I$208,),0),L219/(1+IFERROR(INDEX(L$10:L$11,Предпосылки!$I$209,),0))*IFERROR(INDEX(L$10:L$11,Предпосылки!$I$209,),0),L242/(1+IFERROR(INDEX(L$10:L$11,Предпосылки!$I$210,),0))*IFERROR(INDEX(L$10:L$11,Предпосылки!$I$210,),0),L265/(1+IFERROR(INDEX(L$10:L$11,Предпосылки!$I$211,),0))*IFERROR(INDEX(L$10:L$11,Предпосылки!$I$211,),0),L288/(1+IFERROR(INDEX(L$10:L$11,Предпосылки!$I$212,),0))*IFERROR(INDEX(L$10:L$11,Предпосылки!$I$212,),0),L311/(1+IFERROR(INDEX(L$10:L$11,Предпосылки!$I$213,),0))*IFERROR(INDEX(L$10:L$11,Предпосылки!$I$213,),0),L334/(1+IFERROR(INDEX(L$10:L$11,Предпосылки!$I$214,),0))*IFERROR(INDEX(L$10:L$11,Предпосылки!$I$214,),0),L357/(1+IFERROR(INDEX(L$10:L$11,Предпосылки!$I$215,),0))*IFERROR(INDEX(L$10:L$11,Предпосылки!$I$215,),0),L380/(1+IFERROR(INDEX(L$10:L$11,Предпосылки!$I$216,),0))*IFERROR(INDEX(L$10:L$11,Предпосылки!$I$216,),0),L403/(1+IFERROR(INDEX(L$10:L$11,Предпосылки!$I$217,),0))*IFERROR(INDEX(L$10:L$11,Предпосылки!$I$217,),0),L426/(1+IFERROR(INDEX(L$10:L$11,Предпосылки!$I$218,),0))*IFERROR(INDEX(L$10:L$11,Предпосылки!$I$218,),0),L449/(1+IFERROR(INDEX(L$10:L$11,Предпосылки!$I$219,),0))*IFERROR(INDEX(L$10:L$11,Предпосылки!$I$219,),0),L472/(1+IFERROR(INDEX(L$10:L$11,Предпосылки!$I$220,),0))*IFERROR(INDEX(L$10:L$11,Предпосылки!$I$220,),0))</f>
        <v>0</v>
      </c>
      <c s="125">
        <f>SUM(M35/(1+IFERROR(INDEX(M$10:M$11,Предпосылки!$I$201,),0))*IFERROR(INDEX(M$10:M$11,Предпосылки!$I$201,),0),M58/(1+IFERROR(INDEX(M$10:M$11,Предпосылки!$I$202,),0))*IFERROR(INDEX(M$10:M$11,Предпосылки!$I$202,),0),M81/(1+IFERROR(INDEX(M$10:M$11,Предпосылки!$I$203,),0))*IFERROR(INDEX(M$10:M$11,Предпосылки!$I$203,),0),M104/(1+IFERROR(INDEX(M$10:M$11,Предпосылки!$I$204,),0))*IFERROR(INDEX(M$10:M$11,Предпосылки!$I$204,),0),M127/(1+IFERROR(INDEX(M$10:M$11,Предпосылки!$I$205,),0))*IFERROR(INDEX(M$10:M$11,Предпосылки!$I$205,),0),M150/(1+IFERROR(INDEX(M$10:M$11,Предпосылки!$I$206,),0))*IFERROR(INDEX(M$10:M$11,Предпосылки!$I$206,),0),M173/(1+IFERROR(INDEX(M$10:M$11,Предпосылки!$I$207,),0))*IFERROR(INDEX(M$10:M$11,Предпосылки!$I$207,),0),M196/(1+IFERROR(INDEX(M$10:M$11,Предпосылки!$I$208,),0))*IFERROR(INDEX(M$10:M$11,Предпосылки!$I$208,),0),M219/(1+IFERROR(INDEX(M$10:M$11,Предпосылки!$I$209,),0))*IFERROR(INDEX(M$10:M$11,Предпосылки!$I$209,),0),M242/(1+IFERROR(INDEX(M$10:M$11,Предпосылки!$I$210,),0))*IFERROR(INDEX(M$10:M$11,Предпосылки!$I$210,),0),M265/(1+IFERROR(INDEX(M$10:M$11,Предпосылки!$I$211,),0))*IFERROR(INDEX(M$10:M$11,Предпосылки!$I$211,),0),M288/(1+IFERROR(INDEX(M$10:M$11,Предпосылки!$I$212,),0))*IFERROR(INDEX(M$10:M$11,Предпосылки!$I$212,),0),M311/(1+IFERROR(INDEX(M$10:M$11,Предпосылки!$I$213,),0))*IFERROR(INDEX(M$10:M$11,Предпосылки!$I$213,),0),M334/(1+IFERROR(INDEX(M$10:M$11,Предпосылки!$I$214,),0))*IFERROR(INDEX(M$10:M$11,Предпосылки!$I$214,),0),M357/(1+IFERROR(INDEX(M$10:M$11,Предпосылки!$I$215,),0))*IFERROR(INDEX(M$10:M$11,Предпосылки!$I$215,),0),M380/(1+IFERROR(INDEX(M$10:M$11,Предпосылки!$I$216,),0))*IFERROR(INDEX(M$10:M$11,Предпосылки!$I$216,),0),M403/(1+IFERROR(INDEX(M$10:M$11,Предпосылки!$I$217,),0))*IFERROR(INDEX(M$10:M$11,Предпосылки!$I$217,),0),M426/(1+IFERROR(INDEX(M$10:M$11,Предпосылки!$I$218,),0))*IFERROR(INDEX(M$10:M$11,Предпосылки!$I$218,),0),M449/(1+IFERROR(INDEX(M$10:M$11,Предпосылки!$I$219,),0))*IFERROR(INDEX(M$10:M$11,Предпосылки!$I$219,),0),M472/(1+IFERROR(INDEX(M$10:M$11,Предпосылки!$I$220,),0))*IFERROR(INDEX(M$10:M$11,Предпосылки!$I$220,),0))</f>
        <v>0</v>
      </c>
      <c s="125">
        <f>SUM(N35/(1+IFERROR(INDEX(N$10:N$11,Предпосылки!$I$201,),0))*IFERROR(INDEX(N$10:N$11,Предпосылки!$I$201,),0),N58/(1+IFERROR(INDEX(N$10:N$11,Предпосылки!$I$202,),0))*IFERROR(INDEX(N$10:N$11,Предпосылки!$I$202,),0),N81/(1+IFERROR(INDEX(N$10:N$11,Предпосылки!$I$203,),0))*IFERROR(INDEX(N$10:N$11,Предпосылки!$I$203,),0),N104/(1+IFERROR(INDEX(N$10:N$11,Предпосылки!$I$204,),0))*IFERROR(INDEX(N$10:N$11,Предпосылки!$I$204,),0),N127/(1+IFERROR(INDEX(N$10:N$11,Предпосылки!$I$205,),0))*IFERROR(INDEX(N$10:N$11,Предпосылки!$I$205,),0),N150/(1+IFERROR(INDEX(N$10:N$11,Предпосылки!$I$206,),0))*IFERROR(INDEX(N$10:N$11,Предпосылки!$I$206,),0),N173/(1+IFERROR(INDEX(N$10:N$11,Предпосылки!$I$207,),0))*IFERROR(INDEX(N$10:N$11,Предпосылки!$I$207,),0),N196/(1+IFERROR(INDEX(N$10:N$11,Предпосылки!$I$208,),0))*IFERROR(INDEX(N$10:N$11,Предпосылки!$I$208,),0),N219/(1+IFERROR(INDEX(N$10:N$11,Предпосылки!$I$209,),0))*IFERROR(INDEX(N$10:N$11,Предпосылки!$I$209,),0),N242/(1+IFERROR(INDEX(N$10:N$11,Предпосылки!$I$210,),0))*IFERROR(INDEX(N$10:N$11,Предпосылки!$I$210,),0),N265/(1+IFERROR(INDEX(N$10:N$11,Предпосылки!$I$211,),0))*IFERROR(INDEX(N$10:N$11,Предпосылки!$I$211,),0),N288/(1+IFERROR(INDEX(N$10:N$11,Предпосылки!$I$212,),0))*IFERROR(INDEX(N$10:N$11,Предпосылки!$I$212,),0),N311/(1+IFERROR(INDEX(N$10:N$11,Предпосылки!$I$213,),0))*IFERROR(INDEX(N$10:N$11,Предпосылки!$I$213,),0),N334/(1+IFERROR(INDEX(N$10:N$11,Предпосылки!$I$214,),0))*IFERROR(INDEX(N$10:N$11,Предпосылки!$I$214,),0),N357/(1+IFERROR(INDEX(N$10:N$11,Предпосылки!$I$215,),0))*IFERROR(INDEX(N$10:N$11,Предпосылки!$I$215,),0),N380/(1+IFERROR(INDEX(N$10:N$11,Предпосылки!$I$216,),0))*IFERROR(INDEX(N$10:N$11,Предпосылки!$I$216,),0),N403/(1+IFERROR(INDEX(N$10:N$11,Предпосылки!$I$217,),0))*IFERROR(INDEX(N$10:N$11,Предпосылки!$I$217,),0),N426/(1+IFERROR(INDEX(N$10:N$11,Предпосылки!$I$218,),0))*IFERROR(INDEX(N$10:N$11,Предпосылки!$I$218,),0),N449/(1+IFERROR(INDEX(N$10:N$11,Предпосылки!$I$219,),0))*IFERROR(INDEX(N$10:N$11,Предпосылки!$I$219,),0),N472/(1+IFERROR(INDEX(N$10:N$11,Предпосылки!$I$220,),0))*IFERROR(INDEX(N$10:N$11,Предпосылки!$I$220,),0))</f>
        <v>0</v>
      </c>
      <c s="125">
        <f>SUM(O35/(1+IFERROR(INDEX(O$10:O$11,Предпосылки!$I$201,),0))*IFERROR(INDEX(O$10:O$11,Предпосылки!$I$201,),0),O58/(1+IFERROR(INDEX(O$10:O$11,Предпосылки!$I$202,),0))*IFERROR(INDEX(O$10:O$11,Предпосылки!$I$202,),0),O81/(1+IFERROR(INDEX(O$10:O$11,Предпосылки!$I$203,),0))*IFERROR(INDEX(O$10:O$11,Предпосылки!$I$203,),0),O104/(1+IFERROR(INDEX(O$10:O$11,Предпосылки!$I$204,),0))*IFERROR(INDEX(O$10:O$11,Предпосылки!$I$204,),0),O127/(1+IFERROR(INDEX(O$10:O$11,Предпосылки!$I$205,),0))*IFERROR(INDEX(O$10:O$11,Предпосылки!$I$205,),0),O150/(1+IFERROR(INDEX(O$10:O$11,Предпосылки!$I$206,),0))*IFERROR(INDEX(O$10:O$11,Предпосылки!$I$206,),0),O173/(1+IFERROR(INDEX(O$10:O$11,Предпосылки!$I$207,),0))*IFERROR(INDEX(O$10:O$11,Предпосылки!$I$207,),0),O196/(1+IFERROR(INDEX(O$10:O$11,Предпосылки!$I$208,),0))*IFERROR(INDEX(O$10:O$11,Предпосылки!$I$208,),0),O219/(1+IFERROR(INDEX(O$10:O$11,Предпосылки!$I$209,),0))*IFERROR(INDEX(O$10:O$11,Предпосылки!$I$209,),0),O242/(1+IFERROR(INDEX(O$10:O$11,Предпосылки!$I$210,),0))*IFERROR(INDEX(O$10:O$11,Предпосылки!$I$210,),0),O265/(1+IFERROR(INDEX(O$10:O$11,Предпосылки!$I$211,),0))*IFERROR(INDEX(O$10:O$11,Предпосылки!$I$211,),0),O288/(1+IFERROR(INDEX(O$10:O$11,Предпосылки!$I$212,),0))*IFERROR(INDEX(O$10:O$11,Предпосылки!$I$212,),0),O311/(1+IFERROR(INDEX(O$10:O$11,Предпосылки!$I$213,),0))*IFERROR(INDEX(O$10:O$11,Предпосылки!$I$213,),0),O334/(1+IFERROR(INDEX(O$10:O$11,Предпосылки!$I$214,),0))*IFERROR(INDEX(O$10:O$11,Предпосылки!$I$214,),0),O357/(1+IFERROR(INDEX(O$10:O$11,Предпосылки!$I$215,),0))*IFERROR(INDEX(O$10:O$11,Предпосылки!$I$215,),0),O380/(1+IFERROR(INDEX(O$10:O$11,Предпосылки!$I$216,),0))*IFERROR(INDEX(O$10:O$11,Предпосылки!$I$216,),0),O403/(1+IFERROR(INDEX(O$10:O$11,Предпосылки!$I$217,),0))*IFERROR(INDEX(O$10:O$11,Предпосылки!$I$217,),0),O426/(1+IFERROR(INDEX(O$10:O$11,Предпосылки!$I$218,),0))*IFERROR(INDEX(O$10:O$11,Предпосылки!$I$218,),0),O449/(1+IFERROR(INDEX(O$10:O$11,Предпосылки!$I$219,),0))*IFERROR(INDEX(O$10:O$11,Предпосылки!$I$219,),0),O472/(1+IFERROR(INDEX(O$10:O$11,Предпосылки!$I$220,),0))*IFERROR(INDEX(O$10:O$11,Предпосылки!$I$220,),0))</f>
        <v>0</v>
      </c>
      <c s="125">
        <f>SUM(P35/(1+IFERROR(INDEX(P$10:P$11,Предпосылки!$I$201,),0))*IFERROR(INDEX(P$10:P$11,Предпосылки!$I$201,),0),P58/(1+IFERROR(INDEX(P$10:P$11,Предпосылки!$I$202,),0))*IFERROR(INDEX(P$10:P$11,Предпосылки!$I$202,),0),P81/(1+IFERROR(INDEX(P$10:P$11,Предпосылки!$I$203,),0))*IFERROR(INDEX(P$10:P$11,Предпосылки!$I$203,),0),P104/(1+IFERROR(INDEX(P$10:P$11,Предпосылки!$I$204,),0))*IFERROR(INDEX(P$10:P$11,Предпосылки!$I$204,),0),P127/(1+IFERROR(INDEX(P$10:P$11,Предпосылки!$I$205,),0))*IFERROR(INDEX(P$10:P$11,Предпосылки!$I$205,),0),P150/(1+IFERROR(INDEX(P$10:P$11,Предпосылки!$I$206,),0))*IFERROR(INDEX(P$10:P$11,Предпосылки!$I$206,),0),P173/(1+IFERROR(INDEX(P$10:P$11,Предпосылки!$I$207,),0))*IFERROR(INDEX(P$10:P$11,Предпосылки!$I$207,),0),P196/(1+IFERROR(INDEX(P$10:P$11,Предпосылки!$I$208,),0))*IFERROR(INDEX(P$10:P$11,Предпосылки!$I$208,),0),P219/(1+IFERROR(INDEX(P$10:P$11,Предпосылки!$I$209,),0))*IFERROR(INDEX(P$10:P$11,Предпосылки!$I$209,),0),P242/(1+IFERROR(INDEX(P$10:P$11,Предпосылки!$I$210,),0))*IFERROR(INDEX(P$10:P$11,Предпосылки!$I$210,),0),P265/(1+IFERROR(INDEX(P$10:P$11,Предпосылки!$I$211,),0))*IFERROR(INDEX(P$10:P$11,Предпосылки!$I$211,),0),P288/(1+IFERROR(INDEX(P$10:P$11,Предпосылки!$I$212,),0))*IFERROR(INDEX(P$10:P$11,Предпосылки!$I$212,),0),P311/(1+IFERROR(INDEX(P$10:P$11,Предпосылки!$I$213,),0))*IFERROR(INDEX(P$10:P$11,Предпосылки!$I$213,),0),P334/(1+IFERROR(INDEX(P$10:P$11,Предпосылки!$I$214,),0))*IFERROR(INDEX(P$10:P$11,Предпосылки!$I$214,),0),P357/(1+IFERROR(INDEX(P$10:P$11,Предпосылки!$I$215,),0))*IFERROR(INDEX(P$10:P$11,Предпосылки!$I$215,),0),P380/(1+IFERROR(INDEX(P$10:P$11,Предпосылки!$I$216,),0))*IFERROR(INDEX(P$10:P$11,Предпосылки!$I$216,),0),P403/(1+IFERROR(INDEX(P$10:P$11,Предпосылки!$I$217,),0))*IFERROR(INDEX(P$10:P$11,Предпосылки!$I$217,),0),P426/(1+IFERROR(INDEX(P$10:P$11,Предпосылки!$I$218,),0))*IFERROR(INDEX(P$10:P$11,Предпосылки!$I$218,),0),P449/(1+IFERROR(INDEX(P$10:P$11,Предпосылки!$I$219,),0))*IFERROR(INDEX(P$10:P$11,Предпосылки!$I$219,),0),P472/(1+IFERROR(INDEX(P$10:P$11,Предпосылки!$I$220,),0))*IFERROR(INDEX(P$10:P$11,Предпосылки!$I$220,),0))</f>
        <v>0</v>
      </c>
      <c s="125">
        <f>SUM(Q35/(1+IFERROR(INDEX(Q$10:Q$11,Предпосылки!$I$201,),0))*IFERROR(INDEX(Q$10:Q$11,Предпосылки!$I$201,),0),Q58/(1+IFERROR(INDEX(Q$10:Q$11,Предпосылки!$I$202,),0))*IFERROR(INDEX(Q$10:Q$11,Предпосылки!$I$202,),0),Q81/(1+IFERROR(INDEX(Q$10:Q$11,Предпосылки!$I$203,),0))*IFERROR(INDEX(Q$10:Q$11,Предпосылки!$I$203,),0),Q104/(1+IFERROR(INDEX(Q$10:Q$11,Предпосылки!$I$204,),0))*IFERROR(INDEX(Q$10:Q$11,Предпосылки!$I$204,),0),Q127/(1+IFERROR(INDEX(Q$10:Q$11,Предпосылки!$I$205,),0))*IFERROR(INDEX(Q$10:Q$11,Предпосылки!$I$205,),0),Q150/(1+IFERROR(INDEX(Q$10:Q$11,Предпосылки!$I$206,),0))*IFERROR(INDEX(Q$10:Q$11,Предпосылки!$I$206,),0),Q173/(1+IFERROR(INDEX(Q$10:Q$11,Предпосылки!$I$207,),0))*IFERROR(INDEX(Q$10:Q$11,Предпосылки!$I$207,),0),Q196/(1+IFERROR(INDEX(Q$10:Q$11,Предпосылки!$I$208,),0))*IFERROR(INDEX(Q$10:Q$11,Предпосылки!$I$208,),0),Q219/(1+IFERROR(INDEX(Q$10:Q$11,Предпосылки!$I$209,),0))*IFERROR(INDEX(Q$10:Q$11,Предпосылки!$I$209,),0),Q242/(1+IFERROR(INDEX(Q$10:Q$11,Предпосылки!$I$210,),0))*IFERROR(INDEX(Q$10:Q$11,Предпосылки!$I$210,),0),Q265/(1+IFERROR(INDEX(Q$10:Q$11,Предпосылки!$I$211,),0))*IFERROR(INDEX(Q$10:Q$11,Предпосылки!$I$211,),0),Q288/(1+IFERROR(INDEX(Q$10:Q$11,Предпосылки!$I$212,),0))*IFERROR(INDEX(Q$10:Q$11,Предпосылки!$I$212,),0),Q311/(1+IFERROR(INDEX(Q$10:Q$11,Предпосылки!$I$213,),0))*IFERROR(INDEX(Q$10:Q$11,Предпосылки!$I$213,),0),Q334/(1+IFERROR(INDEX(Q$10:Q$11,Предпосылки!$I$214,),0))*IFERROR(INDEX(Q$10:Q$11,Предпосылки!$I$214,),0),Q357/(1+IFERROR(INDEX(Q$10:Q$11,Предпосылки!$I$215,),0))*IFERROR(INDEX(Q$10:Q$11,Предпосылки!$I$215,),0),Q380/(1+IFERROR(INDEX(Q$10:Q$11,Предпосылки!$I$216,),0))*IFERROR(INDEX(Q$10:Q$11,Предпосылки!$I$216,),0),Q403/(1+IFERROR(INDEX(Q$10:Q$11,Предпосылки!$I$217,),0))*IFERROR(INDEX(Q$10:Q$11,Предпосылки!$I$217,),0),Q426/(1+IFERROR(INDEX(Q$10:Q$11,Предпосылки!$I$218,),0))*IFERROR(INDEX(Q$10:Q$11,Предпосылки!$I$218,),0),Q449/(1+IFERROR(INDEX(Q$10:Q$11,Предпосылки!$I$219,),0))*IFERROR(INDEX(Q$10:Q$11,Предпосылки!$I$219,),0),Q472/(1+IFERROR(INDEX(Q$10:Q$11,Предпосылки!$I$220,),0))*IFERROR(INDEX(Q$10:Q$11,Предпосылки!$I$220,),0))</f>
        <v>0</v>
      </c>
      <c s="125">
        <f>SUM(R35/(1+IFERROR(INDEX(R$10:R$11,Предпосылки!$I$201,),0))*IFERROR(INDEX(R$10:R$11,Предпосылки!$I$201,),0),R58/(1+IFERROR(INDEX(R$10:R$11,Предпосылки!$I$202,),0))*IFERROR(INDEX(R$10:R$11,Предпосылки!$I$202,),0),R81/(1+IFERROR(INDEX(R$10:R$11,Предпосылки!$I$203,),0))*IFERROR(INDEX(R$10:R$11,Предпосылки!$I$203,),0),R104/(1+IFERROR(INDEX(R$10:R$11,Предпосылки!$I$204,),0))*IFERROR(INDEX(R$10:R$11,Предпосылки!$I$204,),0),R127/(1+IFERROR(INDEX(R$10:R$11,Предпосылки!$I$205,),0))*IFERROR(INDEX(R$10:R$11,Предпосылки!$I$205,),0),R150/(1+IFERROR(INDEX(R$10:R$11,Предпосылки!$I$206,),0))*IFERROR(INDEX(R$10:R$11,Предпосылки!$I$206,),0),R173/(1+IFERROR(INDEX(R$10:R$11,Предпосылки!$I$207,),0))*IFERROR(INDEX(R$10:R$11,Предпосылки!$I$207,),0),R196/(1+IFERROR(INDEX(R$10:R$11,Предпосылки!$I$208,),0))*IFERROR(INDEX(R$10:R$11,Предпосылки!$I$208,),0),R219/(1+IFERROR(INDEX(R$10:R$11,Предпосылки!$I$209,),0))*IFERROR(INDEX(R$10:R$11,Предпосылки!$I$209,),0),R242/(1+IFERROR(INDEX(R$10:R$11,Предпосылки!$I$210,),0))*IFERROR(INDEX(R$10:R$11,Предпосылки!$I$210,),0),R265/(1+IFERROR(INDEX(R$10:R$11,Предпосылки!$I$211,),0))*IFERROR(INDEX(R$10:R$11,Предпосылки!$I$211,),0),R288/(1+IFERROR(INDEX(R$10:R$11,Предпосылки!$I$212,),0))*IFERROR(INDEX(R$10:R$11,Предпосылки!$I$212,),0),R311/(1+IFERROR(INDEX(R$10:R$11,Предпосылки!$I$213,),0))*IFERROR(INDEX(R$10:R$11,Предпосылки!$I$213,),0),R334/(1+IFERROR(INDEX(R$10:R$11,Предпосылки!$I$214,),0))*IFERROR(INDEX(R$10:R$11,Предпосылки!$I$214,),0),R357/(1+IFERROR(INDEX(R$10:R$11,Предпосылки!$I$215,),0))*IFERROR(INDEX(R$10:R$11,Предпосылки!$I$215,),0),R380/(1+IFERROR(INDEX(R$10:R$11,Предпосылки!$I$216,),0))*IFERROR(INDEX(R$10:R$11,Предпосылки!$I$216,),0),R403/(1+IFERROR(INDEX(R$10:R$11,Предпосылки!$I$217,),0))*IFERROR(INDEX(R$10:R$11,Предпосылки!$I$217,),0),R426/(1+IFERROR(INDEX(R$10:R$11,Предпосылки!$I$218,),0))*IFERROR(INDEX(R$10:R$11,Предпосылки!$I$218,),0),R449/(1+IFERROR(INDEX(R$10:R$11,Предпосылки!$I$219,),0))*IFERROR(INDEX(R$10:R$11,Предпосылки!$I$219,),0),R472/(1+IFERROR(INDEX(R$10:R$11,Предпосылки!$I$220,),0))*IFERROR(INDEX(R$10:R$11,Предпосылки!$I$220,),0))</f>
        <v>0</v>
      </c>
      <c s="125">
        <f>SUM(S35/(1+IFERROR(INDEX(S$10:S$11,Предпосылки!$I$201,),0))*IFERROR(INDEX(S$10:S$11,Предпосылки!$I$201,),0),S58/(1+IFERROR(INDEX(S$10:S$11,Предпосылки!$I$202,),0))*IFERROR(INDEX(S$10:S$11,Предпосылки!$I$202,),0),S81/(1+IFERROR(INDEX(S$10:S$11,Предпосылки!$I$203,),0))*IFERROR(INDEX(S$10:S$11,Предпосылки!$I$203,),0),S104/(1+IFERROR(INDEX(S$10:S$11,Предпосылки!$I$204,),0))*IFERROR(INDEX(S$10:S$11,Предпосылки!$I$204,),0),S127/(1+IFERROR(INDEX(S$10:S$11,Предпосылки!$I$205,),0))*IFERROR(INDEX(S$10:S$11,Предпосылки!$I$205,),0),S150/(1+IFERROR(INDEX(S$10:S$11,Предпосылки!$I$206,),0))*IFERROR(INDEX(S$10:S$11,Предпосылки!$I$206,),0),S173/(1+IFERROR(INDEX(S$10:S$11,Предпосылки!$I$207,),0))*IFERROR(INDEX(S$10:S$11,Предпосылки!$I$207,),0),S196/(1+IFERROR(INDEX(S$10:S$11,Предпосылки!$I$208,),0))*IFERROR(INDEX(S$10:S$11,Предпосылки!$I$208,),0),S219/(1+IFERROR(INDEX(S$10:S$11,Предпосылки!$I$209,),0))*IFERROR(INDEX(S$10:S$11,Предпосылки!$I$209,),0),S242/(1+IFERROR(INDEX(S$10:S$11,Предпосылки!$I$210,),0))*IFERROR(INDEX(S$10:S$11,Предпосылки!$I$210,),0),S265/(1+IFERROR(INDEX(S$10:S$11,Предпосылки!$I$211,),0))*IFERROR(INDEX(S$10:S$11,Предпосылки!$I$211,),0),S288/(1+IFERROR(INDEX(S$10:S$11,Предпосылки!$I$212,),0))*IFERROR(INDEX(S$10:S$11,Предпосылки!$I$212,),0),S311/(1+IFERROR(INDEX(S$10:S$11,Предпосылки!$I$213,),0))*IFERROR(INDEX(S$10:S$11,Предпосылки!$I$213,),0),S334/(1+IFERROR(INDEX(S$10:S$11,Предпосылки!$I$214,),0))*IFERROR(INDEX(S$10:S$11,Предпосылки!$I$214,),0),S357/(1+IFERROR(INDEX(S$10:S$11,Предпосылки!$I$215,),0))*IFERROR(INDEX(S$10:S$11,Предпосылки!$I$215,),0),S380/(1+IFERROR(INDEX(S$10:S$11,Предпосылки!$I$216,),0))*IFERROR(INDEX(S$10:S$11,Предпосылки!$I$216,),0),S403/(1+IFERROR(INDEX(S$10:S$11,Предпосылки!$I$217,),0))*IFERROR(INDEX(S$10:S$11,Предпосылки!$I$217,),0),S426/(1+IFERROR(INDEX(S$10:S$11,Предпосылки!$I$218,),0))*IFERROR(INDEX(S$10:S$11,Предпосылки!$I$218,),0),S449/(1+IFERROR(INDEX(S$10:S$11,Предпосылки!$I$219,),0))*IFERROR(INDEX(S$10:S$11,Предпосылки!$I$219,),0),S472/(1+IFERROR(INDEX(S$10:S$11,Предпосылки!$I$220,),0))*IFERROR(INDEX(S$10:S$11,Предпосылки!$I$220,),0))</f>
        <v>0</v>
      </c>
      <c s="125">
        <f>SUM(T35/(1+IFERROR(INDEX(T$10:T$11,Предпосылки!$I$201,),0))*IFERROR(INDEX(T$10:T$11,Предпосылки!$I$201,),0),T58/(1+IFERROR(INDEX(T$10:T$11,Предпосылки!$I$202,),0))*IFERROR(INDEX(T$10:T$11,Предпосылки!$I$202,),0),T81/(1+IFERROR(INDEX(T$10:T$11,Предпосылки!$I$203,),0))*IFERROR(INDEX(T$10:T$11,Предпосылки!$I$203,),0),T104/(1+IFERROR(INDEX(T$10:T$11,Предпосылки!$I$204,),0))*IFERROR(INDEX(T$10:T$11,Предпосылки!$I$204,),0),T127/(1+IFERROR(INDEX(T$10:T$11,Предпосылки!$I$205,),0))*IFERROR(INDEX(T$10:T$11,Предпосылки!$I$205,),0),T150/(1+IFERROR(INDEX(T$10:T$11,Предпосылки!$I$206,),0))*IFERROR(INDEX(T$10:T$11,Предпосылки!$I$206,),0),T173/(1+IFERROR(INDEX(T$10:T$11,Предпосылки!$I$207,),0))*IFERROR(INDEX(T$10:T$11,Предпосылки!$I$207,),0),T196/(1+IFERROR(INDEX(T$10:T$11,Предпосылки!$I$208,),0))*IFERROR(INDEX(T$10:T$11,Предпосылки!$I$208,),0),T219/(1+IFERROR(INDEX(T$10:T$11,Предпосылки!$I$209,),0))*IFERROR(INDEX(T$10:T$11,Предпосылки!$I$209,),0),T242/(1+IFERROR(INDEX(T$10:T$11,Предпосылки!$I$210,),0))*IFERROR(INDEX(T$10:T$11,Предпосылки!$I$210,),0),T265/(1+IFERROR(INDEX(T$10:T$11,Предпосылки!$I$211,),0))*IFERROR(INDEX(T$10:T$11,Предпосылки!$I$211,),0),T288/(1+IFERROR(INDEX(T$10:T$11,Предпосылки!$I$212,),0))*IFERROR(INDEX(T$10:T$11,Предпосылки!$I$212,),0),T311/(1+IFERROR(INDEX(T$10:T$11,Предпосылки!$I$213,),0))*IFERROR(INDEX(T$10:T$11,Предпосылки!$I$213,),0),T334/(1+IFERROR(INDEX(T$10:T$11,Предпосылки!$I$214,),0))*IFERROR(INDEX(T$10:T$11,Предпосылки!$I$214,),0),T357/(1+IFERROR(INDEX(T$10:T$11,Предпосылки!$I$215,),0))*IFERROR(INDEX(T$10:T$11,Предпосылки!$I$215,),0),T380/(1+IFERROR(INDEX(T$10:T$11,Предпосылки!$I$216,),0))*IFERROR(INDEX(T$10:T$11,Предпосылки!$I$216,),0),T403/(1+IFERROR(INDEX(T$10:T$11,Предпосылки!$I$217,),0))*IFERROR(INDEX(T$10:T$11,Предпосылки!$I$217,),0),T426/(1+IFERROR(INDEX(T$10:T$11,Предпосылки!$I$218,),0))*IFERROR(INDEX(T$10:T$11,Предпосылки!$I$218,),0),T449/(1+IFERROR(INDEX(T$10:T$11,Предпосылки!$I$219,),0))*IFERROR(INDEX(T$10:T$11,Предпосылки!$I$219,),0),T472/(1+IFERROR(INDEX(T$10:T$11,Предпосылки!$I$220,),0))*IFERROR(INDEX(T$10:T$11,Предпосылки!$I$220,),0))</f>
        <v>0</v>
      </c>
      <c s="125">
        <f>SUM(U35/(1+IFERROR(INDEX(U$10:U$11,Предпосылки!$I$201,),0))*IFERROR(INDEX(U$10:U$11,Предпосылки!$I$201,),0),U58/(1+IFERROR(INDEX(U$10:U$11,Предпосылки!$I$202,),0))*IFERROR(INDEX(U$10:U$11,Предпосылки!$I$202,),0),U81/(1+IFERROR(INDEX(U$10:U$11,Предпосылки!$I$203,),0))*IFERROR(INDEX(U$10:U$11,Предпосылки!$I$203,),0),U104/(1+IFERROR(INDEX(U$10:U$11,Предпосылки!$I$204,),0))*IFERROR(INDEX(U$10:U$11,Предпосылки!$I$204,),0),U127/(1+IFERROR(INDEX(U$10:U$11,Предпосылки!$I$205,),0))*IFERROR(INDEX(U$10:U$11,Предпосылки!$I$205,),0),U150/(1+IFERROR(INDEX(U$10:U$11,Предпосылки!$I$206,),0))*IFERROR(INDEX(U$10:U$11,Предпосылки!$I$206,),0),U173/(1+IFERROR(INDEX(U$10:U$11,Предпосылки!$I$207,),0))*IFERROR(INDEX(U$10:U$11,Предпосылки!$I$207,),0),U196/(1+IFERROR(INDEX(U$10:U$11,Предпосылки!$I$208,),0))*IFERROR(INDEX(U$10:U$11,Предпосылки!$I$208,),0),U219/(1+IFERROR(INDEX(U$10:U$11,Предпосылки!$I$209,),0))*IFERROR(INDEX(U$10:U$11,Предпосылки!$I$209,),0),U242/(1+IFERROR(INDEX(U$10:U$11,Предпосылки!$I$210,),0))*IFERROR(INDEX(U$10:U$11,Предпосылки!$I$210,),0),U265/(1+IFERROR(INDEX(U$10:U$11,Предпосылки!$I$211,),0))*IFERROR(INDEX(U$10:U$11,Предпосылки!$I$211,),0),U288/(1+IFERROR(INDEX(U$10:U$11,Предпосылки!$I$212,),0))*IFERROR(INDEX(U$10:U$11,Предпосылки!$I$212,),0),U311/(1+IFERROR(INDEX(U$10:U$11,Предпосылки!$I$213,),0))*IFERROR(INDEX(U$10:U$11,Предпосылки!$I$213,),0),U334/(1+IFERROR(INDEX(U$10:U$11,Предпосылки!$I$214,),0))*IFERROR(INDEX(U$10:U$11,Предпосылки!$I$214,),0),U357/(1+IFERROR(INDEX(U$10:U$11,Предпосылки!$I$215,),0))*IFERROR(INDEX(U$10:U$11,Предпосылки!$I$215,),0),U380/(1+IFERROR(INDEX(U$10:U$11,Предпосылки!$I$216,),0))*IFERROR(INDEX(U$10:U$11,Предпосылки!$I$216,),0),U403/(1+IFERROR(INDEX(U$10:U$11,Предпосылки!$I$217,),0))*IFERROR(INDEX(U$10:U$11,Предпосылки!$I$217,),0),U426/(1+IFERROR(INDEX(U$10:U$11,Предпосылки!$I$218,),0))*IFERROR(INDEX(U$10:U$11,Предпосылки!$I$218,),0),U449/(1+IFERROR(INDEX(U$10:U$11,Предпосылки!$I$219,),0))*IFERROR(INDEX(U$10:U$11,Предпосылки!$I$219,),0),U472/(1+IFERROR(INDEX(U$10:U$11,Предпосылки!$I$220,),0))*IFERROR(INDEX(U$10:U$11,Предпосылки!$I$220,),0))</f>
        <v>0</v>
      </c>
      <c s="125">
        <f>SUM(V35/(1+IFERROR(INDEX(V$10:V$11,Предпосылки!$I$201,),0))*IFERROR(INDEX(V$10:V$11,Предпосылки!$I$201,),0),V58/(1+IFERROR(INDEX(V$10:V$11,Предпосылки!$I$202,),0))*IFERROR(INDEX(V$10:V$11,Предпосылки!$I$202,),0),V81/(1+IFERROR(INDEX(V$10:V$11,Предпосылки!$I$203,),0))*IFERROR(INDEX(V$10:V$11,Предпосылки!$I$203,),0),V104/(1+IFERROR(INDEX(V$10:V$11,Предпосылки!$I$204,),0))*IFERROR(INDEX(V$10:V$11,Предпосылки!$I$204,),0),V127/(1+IFERROR(INDEX(V$10:V$11,Предпосылки!$I$205,),0))*IFERROR(INDEX(V$10:V$11,Предпосылки!$I$205,),0),V150/(1+IFERROR(INDEX(V$10:V$11,Предпосылки!$I$206,),0))*IFERROR(INDEX(V$10:V$11,Предпосылки!$I$206,),0),V173/(1+IFERROR(INDEX(V$10:V$11,Предпосылки!$I$207,),0))*IFERROR(INDEX(V$10:V$11,Предпосылки!$I$207,),0),V196/(1+IFERROR(INDEX(V$10:V$11,Предпосылки!$I$208,),0))*IFERROR(INDEX(V$10:V$11,Предпосылки!$I$208,),0),V219/(1+IFERROR(INDEX(V$10:V$11,Предпосылки!$I$209,),0))*IFERROR(INDEX(V$10:V$11,Предпосылки!$I$209,),0),V242/(1+IFERROR(INDEX(V$10:V$11,Предпосылки!$I$210,),0))*IFERROR(INDEX(V$10:V$11,Предпосылки!$I$210,),0),V265/(1+IFERROR(INDEX(V$10:V$11,Предпосылки!$I$211,),0))*IFERROR(INDEX(V$10:V$11,Предпосылки!$I$211,),0),V288/(1+IFERROR(INDEX(V$10:V$11,Предпосылки!$I$212,),0))*IFERROR(INDEX(V$10:V$11,Предпосылки!$I$212,),0),V311/(1+IFERROR(INDEX(V$10:V$11,Предпосылки!$I$213,),0))*IFERROR(INDEX(V$10:V$11,Предпосылки!$I$213,),0),V334/(1+IFERROR(INDEX(V$10:V$11,Предпосылки!$I$214,),0))*IFERROR(INDEX(V$10:V$11,Предпосылки!$I$214,),0),V357/(1+IFERROR(INDEX(V$10:V$11,Предпосылки!$I$215,),0))*IFERROR(INDEX(V$10:V$11,Предпосылки!$I$215,),0),V380/(1+IFERROR(INDEX(V$10:V$11,Предпосылки!$I$216,),0))*IFERROR(INDEX(V$10:V$11,Предпосылки!$I$216,),0),V403/(1+IFERROR(INDEX(V$10:V$11,Предпосылки!$I$217,),0))*IFERROR(INDEX(V$10:V$11,Предпосылки!$I$217,),0),V426/(1+IFERROR(INDEX(V$10:V$11,Предпосылки!$I$218,),0))*IFERROR(INDEX(V$10:V$11,Предпосылки!$I$218,),0),V449/(1+IFERROR(INDEX(V$10:V$11,Предпосылки!$I$219,),0))*IFERROR(INDEX(V$10:V$11,Предпосылки!$I$219,),0),V472/(1+IFERROR(INDEX(V$10:V$11,Предпосылки!$I$220,),0))*IFERROR(INDEX(V$10:V$11,Предпосылки!$I$220,),0))</f>
        <v>0</v>
      </c>
      <c s="125">
        <f>SUM(W35/(1+IFERROR(INDEX(W$10:W$11,Предпосылки!$I$201,),0))*IFERROR(INDEX(W$10:W$11,Предпосылки!$I$201,),0),W58/(1+IFERROR(INDEX(W$10:W$11,Предпосылки!$I$202,),0))*IFERROR(INDEX(W$10:W$11,Предпосылки!$I$202,),0),W81/(1+IFERROR(INDEX(W$10:W$11,Предпосылки!$I$203,),0))*IFERROR(INDEX(W$10:W$11,Предпосылки!$I$203,),0),W104/(1+IFERROR(INDEX(W$10:W$11,Предпосылки!$I$204,),0))*IFERROR(INDEX(W$10:W$11,Предпосылки!$I$204,),0),W127/(1+IFERROR(INDEX(W$10:W$11,Предпосылки!$I$205,),0))*IFERROR(INDEX(W$10:W$11,Предпосылки!$I$205,),0),W150/(1+IFERROR(INDEX(W$10:W$11,Предпосылки!$I$206,),0))*IFERROR(INDEX(W$10:W$11,Предпосылки!$I$206,),0),W173/(1+IFERROR(INDEX(W$10:W$11,Предпосылки!$I$207,),0))*IFERROR(INDEX(W$10:W$11,Предпосылки!$I$207,),0),W196/(1+IFERROR(INDEX(W$10:W$11,Предпосылки!$I$208,),0))*IFERROR(INDEX(W$10:W$11,Предпосылки!$I$208,),0),W219/(1+IFERROR(INDEX(W$10:W$11,Предпосылки!$I$209,),0))*IFERROR(INDEX(W$10:W$11,Предпосылки!$I$209,),0),W242/(1+IFERROR(INDEX(W$10:W$11,Предпосылки!$I$210,),0))*IFERROR(INDEX(W$10:W$11,Предпосылки!$I$210,),0),W265/(1+IFERROR(INDEX(W$10:W$11,Предпосылки!$I$211,),0))*IFERROR(INDEX(W$10:W$11,Предпосылки!$I$211,),0),W288/(1+IFERROR(INDEX(W$10:W$11,Предпосылки!$I$212,),0))*IFERROR(INDEX(W$10:W$11,Предпосылки!$I$212,),0),W311/(1+IFERROR(INDEX(W$10:W$11,Предпосылки!$I$213,),0))*IFERROR(INDEX(W$10:W$11,Предпосылки!$I$213,),0),W334/(1+IFERROR(INDEX(W$10:W$11,Предпосылки!$I$214,),0))*IFERROR(INDEX(W$10:W$11,Предпосылки!$I$214,),0),W357/(1+IFERROR(INDEX(W$10:W$11,Предпосылки!$I$215,),0))*IFERROR(INDEX(W$10:W$11,Предпосылки!$I$215,),0),W380/(1+IFERROR(INDEX(W$10:W$11,Предпосылки!$I$216,),0))*IFERROR(INDEX(W$10:W$11,Предпосылки!$I$216,),0),W403/(1+IFERROR(INDEX(W$10:W$11,Предпосылки!$I$217,),0))*IFERROR(INDEX(W$10:W$11,Предпосылки!$I$217,),0),W426/(1+IFERROR(INDEX(W$10:W$11,Предпосылки!$I$218,),0))*IFERROR(INDEX(W$10:W$11,Предпосылки!$I$218,),0),W449/(1+IFERROR(INDEX(W$10:W$11,Предпосылки!$I$219,),0))*IFERROR(INDEX(W$10:W$11,Предпосылки!$I$219,),0),W472/(1+IFERROR(INDEX(W$10:W$11,Предпосылки!$I$220,),0))*IFERROR(INDEX(W$10:W$11,Предпосылки!$I$220,),0))</f>
        <v>0</v>
      </c>
      <c s="125">
        <f>SUM(X35/(1+IFERROR(INDEX(X$10:X$11,Предпосылки!$I$201,),0))*IFERROR(INDEX(X$10:X$11,Предпосылки!$I$201,),0),X58/(1+IFERROR(INDEX(X$10:X$11,Предпосылки!$I$202,),0))*IFERROR(INDEX(X$10:X$11,Предпосылки!$I$202,),0),X81/(1+IFERROR(INDEX(X$10:X$11,Предпосылки!$I$203,),0))*IFERROR(INDEX(X$10:X$11,Предпосылки!$I$203,),0),X104/(1+IFERROR(INDEX(X$10:X$11,Предпосылки!$I$204,),0))*IFERROR(INDEX(X$10:X$11,Предпосылки!$I$204,),0),X127/(1+IFERROR(INDEX(X$10:X$11,Предпосылки!$I$205,),0))*IFERROR(INDEX(X$10:X$11,Предпосылки!$I$205,),0),X150/(1+IFERROR(INDEX(X$10:X$11,Предпосылки!$I$206,),0))*IFERROR(INDEX(X$10:X$11,Предпосылки!$I$206,),0),X173/(1+IFERROR(INDEX(X$10:X$11,Предпосылки!$I$207,),0))*IFERROR(INDEX(X$10:X$11,Предпосылки!$I$207,),0),X196/(1+IFERROR(INDEX(X$10:X$11,Предпосылки!$I$208,),0))*IFERROR(INDEX(X$10:X$11,Предпосылки!$I$208,),0),X219/(1+IFERROR(INDEX(X$10:X$11,Предпосылки!$I$209,),0))*IFERROR(INDEX(X$10:X$11,Предпосылки!$I$209,),0),X242/(1+IFERROR(INDEX(X$10:X$11,Предпосылки!$I$210,),0))*IFERROR(INDEX(X$10:X$11,Предпосылки!$I$210,),0),X265/(1+IFERROR(INDEX(X$10:X$11,Предпосылки!$I$211,),0))*IFERROR(INDEX(X$10:X$11,Предпосылки!$I$211,),0),X288/(1+IFERROR(INDEX(X$10:X$11,Предпосылки!$I$212,),0))*IFERROR(INDEX(X$10:X$11,Предпосылки!$I$212,),0),X311/(1+IFERROR(INDEX(X$10:X$11,Предпосылки!$I$213,),0))*IFERROR(INDEX(X$10:X$11,Предпосылки!$I$213,),0),X334/(1+IFERROR(INDEX(X$10:X$11,Предпосылки!$I$214,),0))*IFERROR(INDEX(X$10:X$11,Предпосылки!$I$214,),0),X357/(1+IFERROR(INDEX(X$10:X$11,Предпосылки!$I$215,),0))*IFERROR(INDEX(X$10:X$11,Предпосылки!$I$215,),0),X380/(1+IFERROR(INDEX(X$10:X$11,Предпосылки!$I$216,),0))*IFERROR(INDEX(X$10:X$11,Предпосылки!$I$216,),0),X403/(1+IFERROR(INDEX(X$10:X$11,Предпосылки!$I$217,),0))*IFERROR(INDEX(X$10:X$11,Предпосылки!$I$217,),0),X426/(1+IFERROR(INDEX(X$10:X$11,Предпосылки!$I$218,),0))*IFERROR(INDEX(X$10:X$11,Предпосылки!$I$218,),0),X449/(1+IFERROR(INDEX(X$10:X$11,Предпосылки!$I$219,),0))*IFERROR(INDEX(X$10:X$11,Предпосылки!$I$219,),0),X472/(1+IFERROR(INDEX(X$10:X$11,Предпосылки!$I$220,),0))*IFERROR(INDEX(X$10:X$11,Предпосылки!$I$220,),0))</f>
        <v>0</v>
      </c>
      <c s="125">
        <f>SUM(Y35/(1+IFERROR(INDEX(Y$10:Y$11,Предпосылки!$I$201,),0))*IFERROR(INDEX(Y$10:Y$11,Предпосылки!$I$201,),0),Y58/(1+IFERROR(INDEX(Y$10:Y$11,Предпосылки!$I$202,),0))*IFERROR(INDEX(Y$10:Y$11,Предпосылки!$I$202,),0),Y81/(1+IFERROR(INDEX(Y$10:Y$11,Предпосылки!$I$203,),0))*IFERROR(INDEX(Y$10:Y$11,Предпосылки!$I$203,),0),Y104/(1+IFERROR(INDEX(Y$10:Y$11,Предпосылки!$I$204,),0))*IFERROR(INDEX(Y$10:Y$11,Предпосылки!$I$204,),0),Y127/(1+IFERROR(INDEX(Y$10:Y$11,Предпосылки!$I$205,),0))*IFERROR(INDEX(Y$10:Y$11,Предпосылки!$I$205,),0),Y150/(1+IFERROR(INDEX(Y$10:Y$11,Предпосылки!$I$206,),0))*IFERROR(INDEX(Y$10:Y$11,Предпосылки!$I$206,),0),Y173/(1+IFERROR(INDEX(Y$10:Y$11,Предпосылки!$I$207,),0))*IFERROR(INDEX(Y$10:Y$11,Предпосылки!$I$207,),0),Y196/(1+IFERROR(INDEX(Y$10:Y$11,Предпосылки!$I$208,),0))*IFERROR(INDEX(Y$10:Y$11,Предпосылки!$I$208,),0),Y219/(1+IFERROR(INDEX(Y$10:Y$11,Предпосылки!$I$209,),0))*IFERROR(INDEX(Y$10:Y$11,Предпосылки!$I$209,),0),Y242/(1+IFERROR(INDEX(Y$10:Y$11,Предпосылки!$I$210,),0))*IFERROR(INDEX(Y$10:Y$11,Предпосылки!$I$210,),0),Y265/(1+IFERROR(INDEX(Y$10:Y$11,Предпосылки!$I$211,),0))*IFERROR(INDEX(Y$10:Y$11,Предпосылки!$I$211,),0),Y288/(1+IFERROR(INDEX(Y$10:Y$11,Предпосылки!$I$212,),0))*IFERROR(INDEX(Y$10:Y$11,Предпосылки!$I$212,),0),Y311/(1+IFERROR(INDEX(Y$10:Y$11,Предпосылки!$I$213,),0))*IFERROR(INDEX(Y$10:Y$11,Предпосылки!$I$213,),0),Y334/(1+IFERROR(INDEX(Y$10:Y$11,Предпосылки!$I$214,),0))*IFERROR(INDEX(Y$10:Y$11,Предпосылки!$I$214,),0),Y357/(1+IFERROR(INDEX(Y$10:Y$11,Предпосылки!$I$215,),0))*IFERROR(INDEX(Y$10:Y$11,Предпосылки!$I$215,),0),Y380/(1+IFERROR(INDEX(Y$10:Y$11,Предпосылки!$I$216,),0))*IFERROR(INDEX(Y$10:Y$11,Предпосылки!$I$216,),0),Y403/(1+IFERROR(INDEX(Y$10:Y$11,Предпосылки!$I$217,),0))*IFERROR(INDEX(Y$10:Y$11,Предпосылки!$I$217,),0),Y426/(1+IFERROR(INDEX(Y$10:Y$11,Предпосылки!$I$218,),0))*IFERROR(INDEX(Y$10:Y$11,Предпосылки!$I$218,),0),Y449/(1+IFERROR(INDEX(Y$10:Y$11,Предпосылки!$I$219,),0))*IFERROR(INDEX(Y$10:Y$11,Предпосылки!$I$219,),0),Y472/(1+IFERROR(INDEX(Y$10:Y$11,Предпосылки!$I$220,),0))*IFERROR(INDEX(Y$10:Y$11,Предпосылки!$I$220,),0))</f>
        <v>0</v>
      </c>
      <c s="125">
        <f>SUM(Z35/(1+IFERROR(INDEX(Z$10:Z$11,Предпосылки!$I$201,),0))*IFERROR(INDEX(Z$10:Z$11,Предпосылки!$I$201,),0),Z58/(1+IFERROR(INDEX(Z$10:Z$11,Предпосылки!$I$202,),0))*IFERROR(INDEX(Z$10:Z$11,Предпосылки!$I$202,),0),Z81/(1+IFERROR(INDEX(Z$10:Z$11,Предпосылки!$I$203,),0))*IFERROR(INDEX(Z$10:Z$11,Предпосылки!$I$203,),0),Z104/(1+IFERROR(INDEX(Z$10:Z$11,Предпосылки!$I$204,),0))*IFERROR(INDEX(Z$10:Z$11,Предпосылки!$I$204,),0),Z127/(1+IFERROR(INDEX(Z$10:Z$11,Предпосылки!$I$205,),0))*IFERROR(INDEX(Z$10:Z$11,Предпосылки!$I$205,),0),Z150/(1+IFERROR(INDEX(Z$10:Z$11,Предпосылки!$I$206,),0))*IFERROR(INDEX(Z$10:Z$11,Предпосылки!$I$206,),0),Z173/(1+IFERROR(INDEX(Z$10:Z$11,Предпосылки!$I$207,),0))*IFERROR(INDEX(Z$10:Z$11,Предпосылки!$I$207,),0),Z196/(1+IFERROR(INDEX(Z$10:Z$11,Предпосылки!$I$208,),0))*IFERROR(INDEX(Z$10:Z$11,Предпосылки!$I$208,),0),Z219/(1+IFERROR(INDEX(Z$10:Z$11,Предпосылки!$I$209,),0))*IFERROR(INDEX(Z$10:Z$11,Предпосылки!$I$209,),0),Z242/(1+IFERROR(INDEX(Z$10:Z$11,Предпосылки!$I$210,),0))*IFERROR(INDEX(Z$10:Z$11,Предпосылки!$I$210,),0),Z265/(1+IFERROR(INDEX(Z$10:Z$11,Предпосылки!$I$211,),0))*IFERROR(INDEX(Z$10:Z$11,Предпосылки!$I$211,),0),Z288/(1+IFERROR(INDEX(Z$10:Z$11,Предпосылки!$I$212,),0))*IFERROR(INDEX(Z$10:Z$11,Предпосылки!$I$212,),0),Z311/(1+IFERROR(INDEX(Z$10:Z$11,Предпосылки!$I$213,),0))*IFERROR(INDEX(Z$10:Z$11,Предпосылки!$I$213,),0),Z334/(1+IFERROR(INDEX(Z$10:Z$11,Предпосылки!$I$214,),0))*IFERROR(INDEX(Z$10:Z$11,Предпосылки!$I$214,),0),Z357/(1+IFERROR(INDEX(Z$10:Z$11,Предпосылки!$I$215,),0))*IFERROR(INDEX(Z$10:Z$11,Предпосылки!$I$215,),0),Z380/(1+IFERROR(INDEX(Z$10:Z$11,Предпосылки!$I$216,),0))*IFERROR(INDEX(Z$10:Z$11,Предпосылки!$I$216,),0),Z403/(1+IFERROR(INDEX(Z$10:Z$11,Предпосылки!$I$217,),0))*IFERROR(INDEX(Z$10:Z$11,Предпосылки!$I$217,),0),Z426/(1+IFERROR(INDEX(Z$10:Z$11,Предпосылки!$I$218,),0))*IFERROR(INDEX(Z$10:Z$11,Предпосылки!$I$218,),0),Z449/(1+IFERROR(INDEX(Z$10:Z$11,Предпосылки!$I$219,),0))*IFERROR(INDEX(Z$10:Z$11,Предпосылки!$I$219,),0),Z472/(1+IFERROR(INDEX(Z$10:Z$11,Предпосылки!$I$220,),0))*IFERROR(INDEX(Z$10:Z$11,Предпосылки!$I$220,),0))</f>
        <v>0</v>
      </c>
      <c s="125">
        <f>SUM(AA35/(1+IFERROR(INDEX(AA$10:AA$11,Предпосылки!$I$201,),0))*IFERROR(INDEX(AA$10:AA$11,Предпосылки!$I$201,),0),AA58/(1+IFERROR(INDEX(AA$10:AA$11,Предпосылки!$I$202,),0))*IFERROR(INDEX(AA$10:AA$11,Предпосылки!$I$202,),0),AA81/(1+IFERROR(INDEX(AA$10:AA$11,Предпосылки!$I$203,),0))*IFERROR(INDEX(AA$10:AA$11,Предпосылки!$I$203,),0),AA104/(1+IFERROR(INDEX(AA$10:AA$11,Предпосылки!$I$204,),0))*IFERROR(INDEX(AA$10:AA$11,Предпосылки!$I$204,),0),AA127/(1+IFERROR(INDEX(AA$10:AA$11,Предпосылки!$I$205,),0))*IFERROR(INDEX(AA$10:AA$11,Предпосылки!$I$205,),0),AA150/(1+IFERROR(INDEX(AA$10:AA$11,Предпосылки!$I$206,),0))*IFERROR(INDEX(AA$10:AA$11,Предпосылки!$I$206,),0),AA173/(1+IFERROR(INDEX(AA$10:AA$11,Предпосылки!$I$207,),0))*IFERROR(INDEX(AA$10:AA$11,Предпосылки!$I$207,),0),AA196/(1+IFERROR(INDEX(AA$10:AA$11,Предпосылки!$I$208,),0))*IFERROR(INDEX(AA$10:AA$11,Предпосылки!$I$208,),0),AA219/(1+IFERROR(INDEX(AA$10:AA$11,Предпосылки!$I$209,),0))*IFERROR(INDEX(AA$10:AA$11,Предпосылки!$I$209,),0),AA242/(1+IFERROR(INDEX(AA$10:AA$11,Предпосылки!$I$210,),0))*IFERROR(INDEX(AA$10:AA$11,Предпосылки!$I$210,),0),AA265/(1+IFERROR(INDEX(AA$10:AA$11,Предпосылки!$I$211,),0))*IFERROR(INDEX(AA$10:AA$11,Предпосылки!$I$211,),0),AA288/(1+IFERROR(INDEX(AA$10:AA$11,Предпосылки!$I$212,),0))*IFERROR(INDEX(AA$10:AA$11,Предпосылки!$I$212,),0),AA311/(1+IFERROR(INDEX(AA$10:AA$11,Предпосылки!$I$213,),0))*IFERROR(INDEX(AA$10:AA$11,Предпосылки!$I$213,),0),AA334/(1+IFERROR(INDEX(AA$10:AA$11,Предпосылки!$I$214,),0))*IFERROR(INDEX(AA$10:AA$11,Предпосылки!$I$214,),0),AA357/(1+IFERROR(INDEX(AA$10:AA$11,Предпосылки!$I$215,),0))*IFERROR(INDEX(AA$10:AA$11,Предпосылки!$I$215,),0),AA380/(1+IFERROR(INDEX(AA$10:AA$11,Предпосылки!$I$216,),0))*IFERROR(INDEX(AA$10:AA$11,Предпосылки!$I$216,),0),AA403/(1+IFERROR(INDEX(AA$10:AA$11,Предпосылки!$I$217,),0))*IFERROR(INDEX(AA$10:AA$11,Предпосылки!$I$217,),0),AA426/(1+IFERROR(INDEX(AA$10:AA$11,Предпосылки!$I$218,),0))*IFERROR(INDEX(AA$10:AA$11,Предпосылки!$I$218,),0),AA449/(1+IFERROR(INDEX(AA$10:AA$11,Предпосылки!$I$219,),0))*IFERROR(INDEX(AA$10:AA$11,Предпосылки!$I$219,),0),AA472/(1+IFERROR(INDEX(AA$10:AA$11,Предпосылки!$I$220,),0))*IFERROR(INDEX(AA$10:AA$11,Предпосылки!$I$220,),0))</f>
        <v>0</v>
      </c>
      <c s="125">
        <f>SUM(AB35/(1+IFERROR(INDEX(AB$10:AB$11,Предпосылки!$I$201,),0))*IFERROR(INDEX(AB$10:AB$11,Предпосылки!$I$201,),0),AB58/(1+IFERROR(INDEX(AB$10:AB$11,Предпосылки!$I$202,),0))*IFERROR(INDEX(AB$10:AB$11,Предпосылки!$I$202,),0),AB81/(1+IFERROR(INDEX(AB$10:AB$11,Предпосылки!$I$203,),0))*IFERROR(INDEX(AB$10:AB$11,Предпосылки!$I$203,),0),AB104/(1+IFERROR(INDEX(AB$10:AB$11,Предпосылки!$I$204,),0))*IFERROR(INDEX(AB$10:AB$11,Предпосылки!$I$204,),0),AB127/(1+IFERROR(INDEX(AB$10:AB$11,Предпосылки!$I$205,),0))*IFERROR(INDEX(AB$10:AB$11,Предпосылки!$I$205,),0),AB150/(1+IFERROR(INDEX(AB$10:AB$11,Предпосылки!$I$206,),0))*IFERROR(INDEX(AB$10:AB$11,Предпосылки!$I$206,),0),AB173/(1+IFERROR(INDEX(AB$10:AB$11,Предпосылки!$I$207,),0))*IFERROR(INDEX(AB$10:AB$11,Предпосылки!$I$207,),0),AB196/(1+IFERROR(INDEX(AB$10:AB$11,Предпосылки!$I$208,),0))*IFERROR(INDEX(AB$10:AB$11,Предпосылки!$I$208,),0),AB219/(1+IFERROR(INDEX(AB$10:AB$11,Предпосылки!$I$209,),0))*IFERROR(INDEX(AB$10:AB$11,Предпосылки!$I$209,),0),AB242/(1+IFERROR(INDEX(AB$10:AB$11,Предпосылки!$I$210,),0))*IFERROR(INDEX(AB$10:AB$11,Предпосылки!$I$210,),0),AB265/(1+IFERROR(INDEX(AB$10:AB$11,Предпосылки!$I$211,),0))*IFERROR(INDEX(AB$10:AB$11,Предпосылки!$I$211,),0),AB288/(1+IFERROR(INDEX(AB$10:AB$11,Предпосылки!$I$212,),0))*IFERROR(INDEX(AB$10:AB$11,Предпосылки!$I$212,),0),AB311/(1+IFERROR(INDEX(AB$10:AB$11,Предпосылки!$I$213,),0))*IFERROR(INDEX(AB$10:AB$11,Предпосылки!$I$213,),0),AB334/(1+IFERROR(INDEX(AB$10:AB$11,Предпосылки!$I$214,),0))*IFERROR(INDEX(AB$10:AB$11,Предпосылки!$I$214,),0),AB357/(1+IFERROR(INDEX(AB$10:AB$11,Предпосылки!$I$215,),0))*IFERROR(INDEX(AB$10:AB$11,Предпосылки!$I$215,),0),AB380/(1+IFERROR(INDEX(AB$10:AB$11,Предпосылки!$I$216,),0))*IFERROR(INDEX(AB$10:AB$11,Предпосылки!$I$216,),0),AB403/(1+IFERROR(INDEX(AB$10:AB$11,Предпосылки!$I$217,),0))*IFERROR(INDEX(AB$10:AB$11,Предпосылки!$I$217,),0),AB426/(1+IFERROR(INDEX(AB$10:AB$11,Предпосылки!$I$218,),0))*IFERROR(INDEX(AB$10:AB$11,Предпосылки!$I$218,),0),AB449/(1+IFERROR(INDEX(AB$10:AB$11,Предпосылки!$I$219,),0))*IFERROR(INDEX(AB$10:AB$11,Предпосылки!$I$219,),0),AB472/(1+IFERROR(INDEX(AB$10:AB$11,Предпосылки!$I$220,),0))*IFERROR(INDEX(AB$10:AB$11,Предпосылки!$I$220,),0))</f>
        <v>0</v>
      </c>
      <c s="125">
        <f>SUM(AC35/(1+IFERROR(INDEX(AC$10:AC$11,Предпосылки!$I$201,),0))*IFERROR(INDEX(AC$10:AC$11,Предпосылки!$I$201,),0),AC58/(1+IFERROR(INDEX(AC$10:AC$11,Предпосылки!$I$202,),0))*IFERROR(INDEX(AC$10:AC$11,Предпосылки!$I$202,),0),AC81/(1+IFERROR(INDEX(AC$10:AC$11,Предпосылки!$I$203,),0))*IFERROR(INDEX(AC$10:AC$11,Предпосылки!$I$203,),0),AC104/(1+IFERROR(INDEX(AC$10:AC$11,Предпосылки!$I$204,),0))*IFERROR(INDEX(AC$10:AC$11,Предпосылки!$I$204,),0),AC127/(1+IFERROR(INDEX(AC$10:AC$11,Предпосылки!$I$205,),0))*IFERROR(INDEX(AC$10:AC$11,Предпосылки!$I$205,),0),AC150/(1+IFERROR(INDEX(AC$10:AC$11,Предпосылки!$I$206,),0))*IFERROR(INDEX(AC$10:AC$11,Предпосылки!$I$206,),0),AC173/(1+IFERROR(INDEX(AC$10:AC$11,Предпосылки!$I$207,),0))*IFERROR(INDEX(AC$10:AC$11,Предпосылки!$I$207,),0),AC196/(1+IFERROR(INDEX(AC$10:AC$11,Предпосылки!$I$208,),0))*IFERROR(INDEX(AC$10:AC$11,Предпосылки!$I$208,),0),AC219/(1+IFERROR(INDEX(AC$10:AC$11,Предпосылки!$I$209,),0))*IFERROR(INDEX(AC$10:AC$11,Предпосылки!$I$209,),0),AC242/(1+IFERROR(INDEX(AC$10:AC$11,Предпосылки!$I$210,),0))*IFERROR(INDEX(AC$10:AC$11,Предпосылки!$I$210,),0),AC265/(1+IFERROR(INDEX(AC$10:AC$11,Предпосылки!$I$211,),0))*IFERROR(INDEX(AC$10:AC$11,Предпосылки!$I$211,),0),AC288/(1+IFERROR(INDEX(AC$10:AC$11,Предпосылки!$I$212,),0))*IFERROR(INDEX(AC$10:AC$11,Предпосылки!$I$212,),0),AC311/(1+IFERROR(INDEX(AC$10:AC$11,Предпосылки!$I$213,),0))*IFERROR(INDEX(AC$10:AC$11,Предпосылки!$I$213,),0),AC334/(1+IFERROR(INDEX(AC$10:AC$11,Предпосылки!$I$214,),0))*IFERROR(INDEX(AC$10:AC$11,Предпосылки!$I$214,),0),AC357/(1+IFERROR(INDEX(AC$10:AC$11,Предпосылки!$I$215,),0))*IFERROR(INDEX(AC$10:AC$11,Предпосылки!$I$215,),0),AC380/(1+IFERROR(INDEX(AC$10:AC$11,Предпосылки!$I$216,),0))*IFERROR(INDEX(AC$10:AC$11,Предпосылки!$I$216,),0),AC403/(1+IFERROR(INDEX(AC$10:AC$11,Предпосылки!$I$217,),0))*IFERROR(INDEX(AC$10:AC$11,Предпосылки!$I$217,),0),AC426/(1+IFERROR(INDEX(AC$10:AC$11,Предпосылки!$I$218,),0))*IFERROR(INDEX(AC$10:AC$11,Предпосылки!$I$218,),0),AC449/(1+IFERROR(INDEX(AC$10:AC$11,Предпосылки!$I$219,),0))*IFERROR(INDEX(AC$10:AC$11,Предпосылки!$I$219,),0),AC472/(1+IFERROR(INDEX(AC$10:AC$11,Предпосылки!$I$220,),0))*IFERROR(INDEX(AC$10:AC$11,Предпосылки!$I$220,),0))</f>
        <v>0</v>
      </c>
      <c s="125">
        <f>SUM(AD35/(1+IFERROR(INDEX(AD$10:AD$11,Предпосылки!$I$201,),0))*IFERROR(INDEX(AD$10:AD$11,Предпосылки!$I$201,),0),AD58/(1+IFERROR(INDEX(AD$10:AD$11,Предпосылки!$I$202,),0))*IFERROR(INDEX(AD$10:AD$11,Предпосылки!$I$202,),0),AD81/(1+IFERROR(INDEX(AD$10:AD$11,Предпосылки!$I$203,),0))*IFERROR(INDEX(AD$10:AD$11,Предпосылки!$I$203,),0),AD104/(1+IFERROR(INDEX(AD$10:AD$11,Предпосылки!$I$204,),0))*IFERROR(INDEX(AD$10:AD$11,Предпосылки!$I$204,),0),AD127/(1+IFERROR(INDEX(AD$10:AD$11,Предпосылки!$I$205,),0))*IFERROR(INDEX(AD$10:AD$11,Предпосылки!$I$205,),0),AD150/(1+IFERROR(INDEX(AD$10:AD$11,Предпосылки!$I$206,),0))*IFERROR(INDEX(AD$10:AD$11,Предпосылки!$I$206,),0),AD173/(1+IFERROR(INDEX(AD$10:AD$11,Предпосылки!$I$207,),0))*IFERROR(INDEX(AD$10:AD$11,Предпосылки!$I$207,),0),AD196/(1+IFERROR(INDEX(AD$10:AD$11,Предпосылки!$I$208,),0))*IFERROR(INDEX(AD$10:AD$11,Предпосылки!$I$208,),0),AD219/(1+IFERROR(INDEX(AD$10:AD$11,Предпосылки!$I$209,),0))*IFERROR(INDEX(AD$10:AD$11,Предпосылки!$I$209,),0),AD242/(1+IFERROR(INDEX(AD$10:AD$11,Предпосылки!$I$210,),0))*IFERROR(INDEX(AD$10:AD$11,Предпосылки!$I$210,),0),AD265/(1+IFERROR(INDEX(AD$10:AD$11,Предпосылки!$I$211,),0))*IFERROR(INDEX(AD$10:AD$11,Предпосылки!$I$211,),0),AD288/(1+IFERROR(INDEX(AD$10:AD$11,Предпосылки!$I$212,),0))*IFERROR(INDEX(AD$10:AD$11,Предпосылки!$I$212,),0),AD311/(1+IFERROR(INDEX(AD$10:AD$11,Предпосылки!$I$213,),0))*IFERROR(INDEX(AD$10:AD$11,Предпосылки!$I$213,),0),AD334/(1+IFERROR(INDEX(AD$10:AD$11,Предпосылки!$I$214,),0))*IFERROR(INDEX(AD$10:AD$11,Предпосылки!$I$214,),0),AD357/(1+IFERROR(INDEX(AD$10:AD$11,Предпосылки!$I$215,),0))*IFERROR(INDEX(AD$10:AD$11,Предпосылки!$I$215,),0),AD380/(1+IFERROR(INDEX(AD$10:AD$11,Предпосылки!$I$216,),0))*IFERROR(INDEX(AD$10:AD$11,Предпосылки!$I$216,),0),AD403/(1+IFERROR(INDEX(AD$10:AD$11,Предпосылки!$I$217,),0))*IFERROR(INDEX(AD$10:AD$11,Предпосылки!$I$217,),0),AD426/(1+IFERROR(INDEX(AD$10:AD$11,Предпосылки!$I$218,),0))*IFERROR(INDEX(AD$10:AD$11,Предпосылки!$I$218,),0),AD449/(1+IFERROR(INDEX(AD$10:AD$11,Предпосылки!$I$219,),0))*IFERROR(INDEX(AD$10:AD$11,Предпосылки!$I$219,),0),AD472/(1+IFERROR(INDEX(AD$10:AD$11,Предпосылки!$I$220,),0))*IFERROR(INDEX(AD$10:AD$11,Предпосылки!$I$220,),0))</f>
        <v>0</v>
      </c>
      <c s="125">
        <f>SUM(AE35/(1+IFERROR(INDEX(AE$10:AE$11,Предпосылки!$I$201,),0))*IFERROR(INDEX(AE$10:AE$11,Предпосылки!$I$201,),0),AE58/(1+IFERROR(INDEX(AE$10:AE$11,Предпосылки!$I$202,),0))*IFERROR(INDEX(AE$10:AE$11,Предпосылки!$I$202,),0),AE81/(1+IFERROR(INDEX(AE$10:AE$11,Предпосылки!$I$203,),0))*IFERROR(INDEX(AE$10:AE$11,Предпосылки!$I$203,),0),AE104/(1+IFERROR(INDEX(AE$10:AE$11,Предпосылки!$I$204,),0))*IFERROR(INDEX(AE$10:AE$11,Предпосылки!$I$204,),0),AE127/(1+IFERROR(INDEX(AE$10:AE$11,Предпосылки!$I$205,),0))*IFERROR(INDEX(AE$10:AE$11,Предпосылки!$I$205,),0),AE150/(1+IFERROR(INDEX(AE$10:AE$11,Предпосылки!$I$206,),0))*IFERROR(INDEX(AE$10:AE$11,Предпосылки!$I$206,),0),AE173/(1+IFERROR(INDEX(AE$10:AE$11,Предпосылки!$I$207,),0))*IFERROR(INDEX(AE$10:AE$11,Предпосылки!$I$207,),0),AE196/(1+IFERROR(INDEX(AE$10:AE$11,Предпосылки!$I$208,),0))*IFERROR(INDEX(AE$10:AE$11,Предпосылки!$I$208,),0),AE219/(1+IFERROR(INDEX(AE$10:AE$11,Предпосылки!$I$209,),0))*IFERROR(INDEX(AE$10:AE$11,Предпосылки!$I$209,),0),AE242/(1+IFERROR(INDEX(AE$10:AE$11,Предпосылки!$I$210,),0))*IFERROR(INDEX(AE$10:AE$11,Предпосылки!$I$210,),0),AE265/(1+IFERROR(INDEX(AE$10:AE$11,Предпосылки!$I$211,),0))*IFERROR(INDEX(AE$10:AE$11,Предпосылки!$I$211,),0),AE288/(1+IFERROR(INDEX(AE$10:AE$11,Предпосылки!$I$212,),0))*IFERROR(INDEX(AE$10:AE$11,Предпосылки!$I$212,),0),AE311/(1+IFERROR(INDEX(AE$10:AE$11,Предпосылки!$I$213,),0))*IFERROR(INDEX(AE$10:AE$11,Предпосылки!$I$213,),0),AE334/(1+IFERROR(INDEX(AE$10:AE$11,Предпосылки!$I$214,),0))*IFERROR(INDEX(AE$10:AE$11,Предпосылки!$I$214,),0),AE357/(1+IFERROR(INDEX(AE$10:AE$11,Предпосылки!$I$215,),0))*IFERROR(INDEX(AE$10:AE$11,Предпосылки!$I$215,),0),AE380/(1+IFERROR(INDEX(AE$10:AE$11,Предпосылки!$I$216,),0))*IFERROR(INDEX(AE$10:AE$11,Предпосылки!$I$216,),0),AE403/(1+IFERROR(INDEX(AE$10:AE$11,Предпосылки!$I$217,),0))*IFERROR(INDEX(AE$10:AE$11,Предпосылки!$I$217,),0),AE426/(1+IFERROR(INDEX(AE$10:AE$11,Предпосылки!$I$218,),0))*IFERROR(INDEX(AE$10:AE$11,Предпосылки!$I$218,),0),AE449/(1+IFERROR(INDEX(AE$10:AE$11,Предпосылки!$I$219,),0))*IFERROR(INDEX(AE$10:AE$11,Предпосылки!$I$219,),0),AE472/(1+IFERROR(INDEX(AE$10:AE$11,Предпосылки!$I$220,),0))*IFERROR(INDEX(AE$10:AE$11,Предпосылки!$I$220,),0))</f>
        <v>0</v>
      </c>
      <c s="125">
        <f>SUM(AF35/(1+IFERROR(INDEX(AF$10:AF$11,Предпосылки!$I$201,),0))*IFERROR(INDEX(AF$10:AF$11,Предпосылки!$I$201,),0),AF58/(1+IFERROR(INDEX(AF$10:AF$11,Предпосылки!$I$202,),0))*IFERROR(INDEX(AF$10:AF$11,Предпосылки!$I$202,),0),AF81/(1+IFERROR(INDEX(AF$10:AF$11,Предпосылки!$I$203,),0))*IFERROR(INDEX(AF$10:AF$11,Предпосылки!$I$203,),0),AF104/(1+IFERROR(INDEX(AF$10:AF$11,Предпосылки!$I$204,),0))*IFERROR(INDEX(AF$10:AF$11,Предпосылки!$I$204,),0),AF127/(1+IFERROR(INDEX(AF$10:AF$11,Предпосылки!$I$205,),0))*IFERROR(INDEX(AF$10:AF$11,Предпосылки!$I$205,),0),AF150/(1+IFERROR(INDEX(AF$10:AF$11,Предпосылки!$I$206,),0))*IFERROR(INDEX(AF$10:AF$11,Предпосылки!$I$206,),0),AF173/(1+IFERROR(INDEX(AF$10:AF$11,Предпосылки!$I$207,),0))*IFERROR(INDEX(AF$10:AF$11,Предпосылки!$I$207,),0),AF196/(1+IFERROR(INDEX(AF$10:AF$11,Предпосылки!$I$208,),0))*IFERROR(INDEX(AF$10:AF$11,Предпосылки!$I$208,),0),AF219/(1+IFERROR(INDEX(AF$10:AF$11,Предпосылки!$I$209,),0))*IFERROR(INDEX(AF$10:AF$11,Предпосылки!$I$209,),0),AF242/(1+IFERROR(INDEX(AF$10:AF$11,Предпосылки!$I$210,),0))*IFERROR(INDEX(AF$10:AF$11,Предпосылки!$I$210,),0),AF265/(1+IFERROR(INDEX(AF$10:AF$11,Предпосылки!$I$211,),0))*IFERROR(INDEX(AF$10:AF$11,Предпосылки!$I$211,),0),AF288/(1+IFERROR(INDEX(AF$10:AF$11,Предпосылки!$I$212,),0))*IFERROR(INDEX(AF$10:AF$11,Предпосылки!$I$212,),0),AF311/(1+IFERROR(INDEX(AF$10:AF$11,Предпосылки!$I$213,),0))*IFERROR(INDEX(AF$10:AF$11,Предпосылки!$I$213,),0),AF334/(1+IFERROR(INDEX(AF$10:AF$11,Предпосылки!$I$214,),0))*IFERROR(INDEX(AF$10:AF$11,Предпосылки!$I$214,),0),AF357/(1+IFERROR(INDEX(AF$10:AF$11,Предпосылки!$I$215,),0))*IFERROR(INDEX(AF$10:AF$11,Предпосылки!$I$215,),0),AF380/(1+IFERROR(INDEX(AF$10:AF$11,Предпосылки!$I$216,),0))*IFERROR(INDEX(AF$10:AF$11,Предпосылки!$I$216,),0),AF403/(1+IFERROR(INDEX(AF$10:AF$11,Предпосылки!$I$217,),0))*IFERROR(INDEX(AF$10:AF$11,Предпосылки!$I$217,),0),AF426/(1+IFERROR(INDEX(AF$10:AF$11,Предпосылки!$I$218,),0))*IFERROR(INDEX(AF$10:AF$11,Предпосылки!$I$218,),0),AF449/(1+IFERROR(INDEX(AF$10:AF$11,Предпосылки!$I$219,),0))*IFERROR(INDEX(AF$10:AF$11,Предпосылки!$I$219,),0),AF472/(1+IFERROR(INDEX(AF$10:AF$11,Предпосылки!$I$220,),0))*IFERROR(INDEX(AF$10:AF$11,Предпосылки!$I$220,),0))</f>
        <v>0</v>
      </c>
      <c s="125">
        <f>SUM(AG35/(1+IFERROR(INDEX(AG$10:AG$11,Предпосылки!$I$201,),0))*IFERROR(INDEX(AG$10:AG$11,Предпосылки!$I$201,),0),AG58/(1+IFERROR(INDEX(AG$10:AG$11,Предпосылки!$I$202,),0))*IFERROR(INDEX(AG$10:AG$11,Предпосылки!$I$202,),0),AG81/(1+IFERROR(INDEX(AG$10:AG$11,Предпосылки!$I$203,),0))*IFERROR(INDEX(AG$10:AG$11,Предпосылки!$I$203,),0),AG104/(1+IFERROR(INDEX(AG$10:AG$11,Предпосылки!$I$204,),0))*IFERROR(INDEX(AG$10:AG$11,Предпосылки!$I$204,),0),AG127/(1+IFERROR(INDEX(AG$10:AG$11,Предпосылки!$I$205,),0))*IFERROR(INDEX(AG$10:AG$11,Предпосылки!$I$205,),0),AG150/(1+IFERROR(INDEX(AG$10:AG$11,Предпосылки!$I$206,),0))*IFERROR(INDEX(AG$10:AG$11,Предпосылки!$I$206,),0),AG173/(1+IFERROR(INDEX(AG$10:AG$11,Предпосылки!$I$207,),0))*IFERROR(INDEX(AG$10:AG$11,Предпосылки!$I$207,),0),AG196/(1+IFERROR(INDEX(AG$10:AG$11,Предпосылки!$I$208,),0))*IFERROR(INDEX(AG$10:AG$11,Предпосылки!$I$208,),0),AG219/(1+IFERROR(INDEX(AG$10:AG$11,Предпосылки!$I$209,),0))*IFERROR(INDEX(AG$10:AG$11,Предпосылки!$I$209,),0),AG242/(1+IFERROR(INDEX(AG$10:AG$11,Предпосылки!$I$210,),0))*IFERROR(INDEX(AG$10:AG$11,Предпосылки!$I$210,),0),AG265/(1+IFERROR(INDEX(AG$10:AG$11,Предпосылки!$I$211,),0))*IFERROR(INDEX(AG$10:AG$11,Предпосылки!$I$211,),0),AG288/(1+IFERROR(INDEX(AG$10:AG$11,Предпосылки!$I$212,),0))*IFERROR(INDEX(AG$10:AG$11,Предпосылки!$I$212,),0),AG311/(1+IFERROR(INDEX(AG$10:AG$11,Предпосылки!$I$213,),0))*IFERROR(INDEX(AG$10:AG$11,Предпосылки!$I$213,),0),AG334/(1+IFERROR(INDEX(AG$10:AG$11,Предпосылки!$I$214,),0))*IFERROR(INDEX(AG$10:AG$11,Предпосылки!$I$214,),0),AG357/(1+IFERROR(INDEX(AG$10:AG$11,Предпосылки!$I$215,),0))*IFERROR(INDEX(AG$10:AG$11,Предпосылки!$I$215,),0),AG380/(1+IFERROR(INDEX(AG$10:AG$11,Предпосылки!$I$216,),0))*IFERROR(INDEX(AG$10:AG$11,Предпосылки!$I$216,),0),AG403/(1+IFERROR(INDEX(AG$10:AG$11,Предпосылки!$I$217,),0))*IFERROR(INDEX(AG$10:AG$11,Предпосылки!$I$217,),0),AG426/(1+IFERROR(INDEX(AG$10:AG$11,Предпосылки!$I$218,),0))*IFERROR(INDEX(AG$10:AG$11,Предпосылки!$I$218,),0),AG449/(1+IFERROR(INDEX(AG$10:AG$11,Предпосылки!$I$219,),0))*IFERROR(INDEX(AG$10:AG$11,Предпосылки!$I$219,),0),AG472/(1+IFERROR(INDEX(AG$10:AG$11,Предпосылки!$I$220,),0))*IFERROR(INDEX(AG$10:AG$11,Предпосылки!$I$220,),0))</f>
        <v>0</v>
      </c>
      <c s="125">
        <f>SUM(AH35/(1+IFERROR(INDEX(AH$10:AH$11,Предпосылки!$I$201,),0))*IFERROR(INDEX(AH$10:AH$11,Предпосылки!$I$201,),0),AH58/(1+IFERROR(INDEX(AH$10:AH$11,Предпосылки!$I$202,),0))*IFERROR(INDEX(AH$10:AH$11,Предпосылки!$I$202,),0),AH81/(1+IFERROR(INDEX(AH$10:AH$11,Предпосылки!$I$203,),0))*IFERROR(INDEX(AH$10:AH$11,Предпосылки!$I$203,),0),AH104/(1+IFERROR(INDEX(AH$10:AH$11,Предпосылки!$I$204,),0))*IFERROR(INDEX(AH$10:AH$11,Предпосылки!$I$204,),0),AH127/(1+IFERROR(INDEX(AH$10:AH$11,Предпосылки!$I$205,),0))*IFERROR(INDEX(AH$10:AH$11,Предпосылки!$I$205,),0),AH150/(1+IFERROR(INDEX(AH$10:AH$11,Предпосылки!$I$206,),0))*IFERROR(INDEX(AH$10:AH$11,Предпосылки!$I$206,),0),AH173/(1+IFERROR(INDEX(AH$10:AH$11,Предпосылки!$I$207,),0))*IFERROR(INDEX(AH$10:AH$11,Предпосылки!$I$207,),0),AH196/(1+IFERROR(INDEX(AH$10:AH$11,Предпосылки!$I$208,),0))*IFERROR(INDEX(AH$10:AH$11,Предпосылки!$I$208,),0),AH219/(1+IFERROR(INDEX(AH$10:AH$11,Предпосылки!$I$209,),0))*IFERROR(INDEX(AH$10:AH$11,Предпосылки!$I$209,),0),AH242/(1+IFERROR(INDEX(AH$10:AH$11,Предпосылки!$I$210,),0))*IFERROR(INDEX(AH$10:AH$11,Предпосылки!$I$210,),0),AH265/(1+IFERROR(INDEX(AH$10:AH$11,Предпосылки!$I$211,),0))*IFERROR(INDEX(AH$10:AH$11,Предпосылки!$I$211,),0),AH288/(1+IFERROR(INDEX(AH$10:AH$11,Предпосылки!$I$212,),0))*IFERROR(INDEX(AH$10:AH$11,Предпосылки!$I$212,),0),AH311/(1+IFERROR(INDEX(AH$10:AH$11,Предпосылки!$I$213,),0))*IFERROR(INDEX(AH$10:AH$11,Предпосылки!$I$213,),0),AH334/(1+IFERROR(INDEX(AH$10:AH$11,Предпосылки!$I$214,),0))*IFERROR(INDEX(AH$10:AH$11,Предпосылки!$I$214,),0),AH357/(1+IFERROR(INDEX(AH$10:AH$11,Предпосылки!$I$215,),0))*IFERROR(INDEX(AH$10:AH$11,Предпосылки!$I$215,),0),AH380/(1+IFERROR(INDEX(AH$10:AH$11,Предпосылки!$I$216,),0))*IFERROR(INDEX(AH$10:AH$11,Предпосылки!$I$216,),0),AH403/(1+IFERROR(INDEX(AH$10:AH$11,Предпосылки!$I$217,),0))*IFERROR(INDEX(AH$10:AH$11,Предпосылки!$I$217,),0),AH426/(1+IFERROR(INDEX(AH$10:AH$11,Предпосылки!$I$218,),0))*IFERROR(INDEX(AH$10:AH$11,Предпосылки!$I$218,),0),AH449/(1+IFERROR(INDEX(AH$10:AH$11,Предпосылки!$I$219,),0))*IFERROR(INDEX(AH$10:AH$11,Предпосылки!$I$219,),0),AH472/(1+IFERROR(INDEX(AH$10:AH$11,Предпосылки!$I$220,),0))*IFERROR(INDEX(AH$10:AH$11,Предпосылки!$I$220,),0))</f>
        <v>0</v>
      </c>
      <c s="125">
        <f>SUM(AI35/(1+IFERROR(INDEX(AI$10:AI$11,Предпосылки!$I$201,),0))*IFERROR(INDEX(AI$10:AI$11,Предпосылки!$I$201,),0),AI58/(1+IFERROR(INDEX(AI$10:AI$11,Предпосылки!$I$202,),0))*IFERROR(INDEX(AI$10:AI$11,Предпосылки!$I$202,),0),AI81/(1+IFERROR(INDEX(AI$10:AI$11,Предпосылки!$I$203,),0))*IFERROR(INDEX(AI$10:AI$11,Предпосылки!$I$203,),0),AI104/(1+IFERROR(INDEX(AI$10:AI$11,Предпосылки!$I$204,),0))*IFERROR(INDEX(AI$10:AI$11,Предпосылки!$I$204,),0),AI127/(1+IFERROR(INDEX(AI$10:AI$11,Предпосылки!$I$205,),0))*IFERROR(INDEX(AI$10:AI$11,Предпосылки!$I$205,),0),AI150/(1+IFERROR(INDEX(AI$10:AI$11,Предпосылки!$I$206,),0))*IFERROR(INDEX(AI$10:AI$11,Предпосылки!$I$206,),0),AI173/(1+IFERROR(INDEX(AI$10:AI$11,Предпосылки!$I$207,),0))*IFERROR(INDEX(AI$10:AI$11,Предпосылки!$I$207,),0),AI196/(1+IFERROR(INDEX(AI$10:AI$11,Предпосылки!$I$208,),0))*IFERROR(INDEX(AI$10:AI$11,Предпосылки!$I$208,),0),AI219/(1+IFERROR(INDEX(AI$10:AI$11,Предпосылки!$I$209,),0))*IFERROR(INDEX(AI$10:AI$11,Предпосылки!$I$209,),0),AI242/(1+IFERROR(INDEX(AI$10:AI$11,Предпосылки!$I$210,),0))*IFERROR(INDEX(AI$10:AI$11,Предпосылки!$I$210,),0),AI265/(1+IFERROR(INDEX(AI$10:AI$11,Предпосылки!$I$211,),0))*IFERROR(INDEX(AI$10:AI$11,Предпосылки!$I$211,),0),AI288/(1+IFERROR(INDEX(AI$10:AI$11,Предпосылки!$I$212,),0))*IFERROR(INDEX(AI$10:AI$11,Предпосылки!$I$212,),0),AI311/(1+IFERROR(INDEX(AI$10:AI$11,Предпосылки!$I$213,),0))*IFERROR(INDEX(AI$10:AI$11,Предпосылки!$I$213,),0),AI334/(1+IFERROR(INDEX(AI$10:AI$11,Предпосылки!$I$214,),0))*IFERROR(INDEX(AI$10:AI$11,Предпосылки!$I$214,),0),AI357/(1+IFERROR(INDEX(AI$10:AI$11,Предпосылки!$I$215,),0))*IFERROR(INDEX(AI$10:AI$11,Предпосылки!$I$215,),0),AI380/(1+IFERROR(INDEX(AI$10:AI$11,Предпосылки!$I$216,),0))*IFERROR(INDEX(AI$10:AI$11,Предпосылки!$I$216,),0),AI403/(1+IFERROR(INDEX(AI$10:AI$11,Предпосылки!$I$217,),0))*IFERROR(INDEX(AI$10:AI$11,Предпосылки!$I$217,),0),AI426/(1+IFERROR(INDEX(AI$10:AI$11,Предпосылки!$I$218,),0))*IFERROR(INDEX(AI$10:AI$11,Предпосылки!$I$218,),0),AI449/(1+IFERROR(INDEX(AI$10:AI$11,Предпосылки!$I$219,),0))*IFERROR(INDEX(AI$10:AI$11,Предпосылки!$I$219,),0),AI472/(1+IFERROR(INDEX(AI$10:AI$11,Предпосылки!$I$220,),0))*IFERROR(INDEX(AI$10:AI$11,Предпосылки!$I$220,),0))</f>
        <v>0</v>
      </c>
      <c s="125">
        <f>SUM(AJ35/(1+IFERROR(INDEX(AJ$10:AJ$11,Предпосылки!$I$201,),0))*IFERROR(INDEX(AJ$10:AJ$11,Предпосылки!$I$201,),0),AJ58/(1+IFERROR(INDEX(AJ$10:AJ$11,Предпосылки!$I$202,),0))*IFERROR(INDEX(AJ$10:AJ$11,Предпосылки!$I$202,),0),AJ81/(1+IFERROR(INDEX(AJ$10:AJ$11,Предпосылки!$I$203,),0))*IFERROR(INDEX(AJ$10:AJ$11,Предпосылки!$I$203,),0),AJ104/(1+IFERROR(INDEX(AJ$10:AJ$11,Предпосылки!$I$204,),0))*IFERROR(INDEX(AJ$10:AJ$11,Предпосылки!$I$204,),0),AJ127/(1+IFERROR(INDEX(AJ$10:AJ$11,Предпосылки!$I$205,),0))*IFERROR(INDEX(AJ$10:AJ$11,Предпосылки!$I$205,),0),AJ150/(1+IFERROR(INDEX(AJ$10:AJ$11,Предпосылки!$I$206,),0))*IFERROR(INDEX(AJ$10:AJ$11,Предпосылки!$I$206,),0),AJ173/(1+IFERROR(INDEX(AJ$10:AJ$11,Предпосылки!$I$207,),0))*IFERROR(INDEX(AJ$10:AJ$11,Предпосылки!$I$207,),0),AJ196/(1+IFERROR(INDEX(AJ$10:AJ$11,Предпосылки!$I$208,),0))*IFERROR(INDEX(AJ$10:AJ$11,Предпосылки!$I$208,),0),AJ219/(1+IFERROR(INDEX(AJ$10:AJ$11,Предпосылки!$I$209,),0))*IFERROR(INDEX(AJ$10:AJ$11,Предпосылки!$I$209,),0),AJ242/(1+IFERROR(INDEX(AJ$10:AJ$11,Предпосылки!$I$210,),0))*IFERROR(INDEX(AJ$10:AJ$11,Предпосылки!$I$210,),0),AJ265/(1+IFERROR(INDEX(AJ$10:AJ$11,Предпосылки!$I$211,),0))*IFERROR(INDEX(AJ$10:AJ$11,Предпосылки!$I$211,),0),AJ288/(1+IFERROR(INDEX(AJ$10:AJ$11,Предпосылки!$I$212,),0))*IFERROR(INDEX(AJ$10:AJ$11,Предпосылки!$I$212,),0),AJ311/(1+IFERROR(INDEX(AJ$10:AJ$11,Предпосылки!$I$213,),0))*IFERROR(INDEX(AJ$10:AJ$11,Предпосылки!$I$213,),0),AJ334/(1+IFERROR(INDEX(AJ$10:AJ$11,Предпосылки!$I$214,),0))*IFERROR(INDEX(AJ$10:AJ$11,Предпосылки!$I$214,),0),AJ357/(1+IFERROR(INDEX(AJ$10:AJ$11,Предпосылки!$I$215,),0))*IFERROR(INDEX(AJ$10:AJ$11,Предпосылки!$I$215,),0),AJ380/(1+IFERROR(INDEX(AJ$10:AJ$11,Предпосылки!$I$216,),0))*IFERROR(INDEX(AJ$10:AJ$11,Предпосылки!$I$216,),0),AJ403/(1+IFERROR(INDEX(AJ$10:AJ$11,Предпосылки!$I$217,),0))*IFERROR(INDEX(AJ$10:AJ$11,Предпосылки!$I$217,),0),AJ426/(1+IFERROR(INDEX(AJ$10:AJ$11,Предпосылки!$I$218,),0))*IFERROR(INDEX(AJ$10:AJ$11,Предпосылки!$I$218,),0),AJ449/(1+IFERROR(INDEX(AJ$10:AJ$11,Предпосылки!$I$219,),0))*IFERROR(INDEX(AJ$10:AJ$11,Предпосылки!$I$219,),0),AJ472/(1+IFERROR(INDEX(AJ$10:AJ$11,Предпосылки!$I$220,),0))*IFERROR(INDEX(AJ$10:AJ$11,Предпосылки!$I$220,),0))</f>
        <v>0</v>
      </c>
      <c s="125">
        <f>SUM(AK35/(1+IFERROR(INDEX(AK$10:AK$11,Предпосылки!$I$201,),0))*IFERROR(INDEX(AK$10:AK$11,Предпосылки!$I$201,),0),AK58/(1+IFERROR(INDEX(AK$10:AK$11,Предпосылки!$I$202,),0))*IFERROR(INDEX(AK$10:AK$11,Предпосылки!$I$202,),0),AK81/(1+IFERROR(INDEX(AK$10:AK$11,Предпосылки!$I$203,),0))*IFERROR(INDEX(AK$10:AK$11,Предпосылки!$I$203,),0),AK104/(1+IFERROR(INDEX(AK$10:AK$11,Предпосылки!$I$204,),0))*IFERROR(INDEX(AK$10:AK$11,Предпосылки!$I$204,),0),AK127/(1+IFERROR(INDEX(AK$10:AK$11,Предпосылки!$I$205,),0))*IFERROR(INDEX(AK$10:AK$11,Предпосылки!$I$205,),0),AK150/(1+IFERROR(INDEX(AK$10:AK$11,Предпосылки!$I$206,),0))*IFERROR(INDEX(AK$10:AK$11,Предпосылки!$I$206,),0),AK173/(1+IFERROR(INDEX(AK$10:AK$11,Предпосылки!$I$207,),0))*IFERROR(INDEX(AK$10:AK$11,Предпосылки!$I$207,),0),AK196/(1+IFERROR(INDEX(AK$10:AK$11,Предпосылки!$I$208,),0))*IFERROR(INDEX(AK$10:AK$11,Предпосылки!$I$208,),0),AK219/(1+IFERROR(INDEX(AK$10:AK$11,Предпосылки!$I$209,),0))*IFERROR(INDEX(AK$10:AK$11,Предпосылки!$I$209,),0),AK242/(1+IFERROR(INDEX(AK$10:AK$11,Предпосылки!$I$210,),0))*IFERROR(INDEX(AK$10:AK$11,Предпосылки!$I$210,),0),AK265/(1+IFERROR(INDEX(AK$10:AK$11,Предпосылки!$I$211,),0))*IFERROR(INDEX(AK$10:AK$11,Предпосылки!$I$211,),0),AK288/(1+IFERROR(INDEX(AK$10:AK$11,Предпосылки!$I$212,),0))*IFERROR(INDEX(AK$10:AK$11,Предпосылки!$I$212,),0),AK311/(1+IFERROR(INDEX(AK$10:AK$11,Предпосылки!$I$213,),0))*IFERROR(INDEX(AK$10:AK$11,Предпосылки!$I$213,),0),AK334/(1+IFERROR(INDEX(AK$10:AK$11,Предпосылки!$I$214,),0))*IFERROR(INDEX(AK$10:AK$11,Предпосылки!$I$214,),0),AK357/(1+IFERROR(INDEX(AK$10:AK$11,Предпосылки!$I$215,),0))*IFERROR(INDEX(AK$10:AK$11,Предпосылки!$I$215,),0),AK380/(1+IFERROR(INDEX(AK$10:AK$11,Предпосылки!$I$216,),0))*IFERROR(INDEX(AK$10:AK$11,Предпосылки!$I$216,),0),AK403/(1+IFERROR(INDEX(AK$10:AK$11,Предпосылки!$I$217,),0))*IFERROR(INDEX(AK$10:AK$11,Предпосылки!$I$217,),0),AK426/(1+IFERROR(INDEX(AK$10:AK$11,Предпосылки!$I$218,),0))*IFERROR(INDEX(AK$10:AK$11,Предпосылки!$I$218,),0),AK449/(1+IFERROR(INDEX(AK$10:AK$11,Предпосылки!$I$219,),0))*IFERROR(INDEX(AK$10:AK$11,Предпосылки!$I$219,),0),AK472/(1+IFERROR(INDEX(AK$10:AK$11,Предпосылки!$I$220,),0))*IFERROR(INDEX(AK$10:AK$11,Предпосылки!$I$220,),0))</f>
        <v>0</v>
      </c>
      <c s="125">
        <f>SUM(AL35/(1+IFERROR(INDEX(AL$10:AL$11,Предпосылки!$I$201,),0))*IFERROR(INDEX(AL$10:AL$11,Предпосылки!$I$201,),0),AL58/(1+IFERROR(INDEX(AL$10:AL$11,Предпосылки!$I$202,),0))*IFERROR(INDEX(AL$10:AL$11,Предпосылки!$I$202,),0),AL81/(1+IFERROR(INDEX(AL$10:AL$11,Предпосылки!$I$203,),0))*IFERROR(INDEX(AL$10:AL$11,Предпосылки!$I$203,),0),AL104/(1+IFERROR(INDEX(AL$10:AL$11,Предпосылки!$I$204,),0))*IFERROR(INDEX(AL$10:AL$11,Предпосылки!$I$204,),0),AL127/(1+IFERROR(INDEX(AL$10:AL$11,Предпосылки!$I$205,),0))*IFERROR(INDEX(AL$10:AL$11,Предпосылки!$I$205,),0),AL150/(1+IFERROR(INDEX(AL$10:AL$11,Предпосылки!$I$206,),0))*IFERROR(INDEX(AL$10:AL$11,Предпосылки!$I$206,),0),AL173/(1+IFERROR(INDEX(AL$10:AL$11,Предпосылки!$I$207,),0))*IFERROR(INDEX(AL$10:AL$11,Предпосылки!$I$207,),0),AL196/(1+IFERROR(INDEX(AL$10:AL$11,Предпосылки!$I$208,),0))*IFERROR(INDEX(AL$10:AL$11,Предпосылки!$I$208,),0),AL219/(1+IFERROR(INDEX(AL$10:AL$11,Предпосылки!$I$209,),0))*IFERROR(INDEX(AL$10:AL$11,Предпосылки!$I$209,),0),AL242/(1+IFERROR(INDEX(AL$10:AL$11,Предпосылки!$I$210,),0))*IFERROR(INDEX(AL$10:AL$11,Предпосылки!$I$210,),0),AL265/(1+IFERROR(INDEX(AL$10:AL$11,Предпосылки!$I$211,),0))*IFERROR(INDEX(AL$10:AL$11,Предпосылки!$I$211,),0),AL288/(1+IFERROR(INDEX(AL$10:AL$11,Предпосылки!$I$212,),0))*IFERROR(INDEX(AL$10:AL$11,Предпосылки!$I$212,),0),AL311/(1+IFERROR(INDEX(AL$10:AL$11,Предпосылки!$I$213,),0))*IFERROR(INDEX(AL$10:AL$11,Предпосылки!$I$213,),0),AL334/(1+IFERROR(INDEX(AL$10:AL$11,Предпосылки!$I$214,),0))*IFERROR(INDEX(AL$10:AL$11,Предпосылки!$I$214,),0),AL357/(1+IFERROR(INDEX(AL$10:AL$11,Предпосылки!$I$215,),0))*IFERROR(INDEX(AL$10:AL$11,Предпосылки!$I$215,),0),AL380/(1+IFERROR(INDEX(AL$10:AL$11,Предпосылки!$I$216,),0))*IFERROR(INDEX(AL$10:AL$11,Предпосылки!$I$216,),0),AL403/(1+IFERROR(INDEX(AL$10:AL$11,Предпосылки!$I$217,),0))*IFERROR(INDEX(AL$10:AL$11,Предпосылки!$I$217,),0),AL426/(1+IFERROR(INDEX(AL$10:AL$11,Предпосылки!$I$218,),0))*IFERROR(INDEX(AL$10:AL$11,Предпосылки!$I$218,),0),AL449/(1+IFERROR(INDEX(AL$10:AL$11,Предпосылки!$I$219,),0))*IFERROR(INDEX(AL$10:AL$11,Предпосылки!$I$219,),0),AL472/(1+IFERROR(INDEX(AL$10:AL$11,Предпосылки!$I$220,),0))*IFERROR(INDEX(AL$10:AL$11,Предпосылки!$I$220,),0))</f>
        <v>0</v>
      </c>
      <c s="125">
        <f>SUM(AM35/(1+IFERROR(INDEX(AM$10:AM$11,Предпосылки!$I$201,),0))*IFERROR(INDEX(AM$10:AM$11,Предпосылки!$I$201,),0),AM58/(1+IFERROR(INDEX(AM$10:AM$11,Предпосылки!$I$202,),0))*IFERROR(INDEX(AM$10:AM$11,Предпосылки!$I$202,),0),AM81/(1+IFERROR(INDEX(AM$10:AM$11,Предпосылки!$I$203,),0))*IFERROR(INDEX(AM$10:AM$11,Предпосылки!$I$203,),0),AM104/(1+IFERROR(INDEX(AM$10:AM$11,Предпосылки!$I$204,),0))*IFERROR(INDEX(AM$10:AM$11,Предпосылки!$I$204,),0),AM127/(1+IFERROR(INDEX(AM$10:AM$11,Предпосылки!$I$205,),0))*IFERROR(INDEX(AM$10:AM$11,Предпосылки!$I$205,),0),AM150/(1+IFERROR(INDEX(AM$10:AM$11,Предпосылки!$I$206,),0))*IFERROR(INDEX(AM$10:AM$11,Предпосылки!$I$206,),0),AM173/(1+IFERROR(INDEX(AM$10:AM$11,Предпосылки!$I$207,),0))*IFERROR(INDEX(AM$10:AM$11,Предпосылки!$I$207,),0),AM196/(1+IFERROR(INDEX(AM$10:AM$11,Предпосылки!$I$208,),0))*IFERROR(INDEX(AM$10:AM$11,Предпосылки!$I$208,),0),AM219/(1+IFERROR(INDEX(AM$10:AM$11,Предпосылки!$I$209,),0))*IFERROR(INDEX(AM$10:AM$11,Предпосылки!$I$209,),0),AM242/(1+IFERROR(INDEX(AM$10:AM$11,Предпосылки!$I$210,),0))*IFERROR(INDEX(AM$10:AM$11,Предпосылки!$I$210,),0),AM265/(1+IFERROR(INDEX(AM$10:AM$11,Предпосылки!$I$211,),0))*IFERROR(INDEX(AM$10:AM$11,Предпосылки!$I$211,),0),AM288/(1+IFERROR(INDEX(AM$10:AM$11,Предпосылки!$I$212,),0))*IFERROR(INDEX(AM$10:AM$11,Предпосылки!$I$212,),0),AM311/(1+IFERROR(INDEX(AM$10:AM$11,Предпосылки!$I$213,),0))*IFERROR(INDEX(AM$10:AM$11,Предпосылки!$I$213,),0),AM334/(1+IFERROR(INDEX(AM$10:AM$11,Предпосылки!$I$214,),0))*IFERROR(INDEX(AM$10:AM$11,Предпосылки!$I$214,),0),AM357/(1+IFERROR(INDEX(AM$10:AM$11,Предпосылки!$I$215,),0))*IFERROR(INDEX(AM$10:AM$11,Предпосылки!$I$215,),0),AM380/(1+IFERROR(INDEX(AM$10:AM$11,Предпосылки!$I$216,),0))*IFERROR(INDEX(AM$10:AM$11,Предпосылки!$I$216,),0),AM403/(1+IFERROR(INDEX(AM$10:AM$11,Предпосылки!$I$217,),0))*IFERROR(INDEX(AM$10:AM$11,Предпосылки!$I$217,),0),AM426/(1+IFERROR(INDEX(AM$10:AM$11,Предпосылки!$I$218,),0))*IFERROR(INDEX(AM$10:AM$11,Предпосылки!$I$218,),0),AM449/(1+IFERROR(INDEX(AM$10:AM$11,Предпосылки!$I$219,),0))*IFERROR(INDEX(AM$10:AM$11,Предпосылки!$I$219,),0),AM472/(1+IFERROR(INDEX(AM$10:AM$11,Предпосылки!$I$220,),0))*IFERROR(INDEX(AM$10:AM$11,Предпосылки!$I$220,),0))</f>
        <v>0</v>
      </c>
      <c s="125">
        <f>SUM(AN35/(1+IFERROR(INDEX(AN$10:AN$11,Предпосылки!$I$201,),0))*IFERROR(INDEX(AN$10:AN$11,Предпосылки!$I$201,),0),AN58/(1+IFERROR(INDEX(AN$10:AN$11,Предпосылки!$I$202,),0))*IFERROR(INDEX(AN$10:AN$11,Предпосылки!$I$202,),0),AN81/(1+IFERROR(INDEX(AN$10:AN$11,Предпосылки!$I$203,),0))*IFERROR(INDEX(AN$10:AN$11,Предпосылки!$I$203,),0),AN104/(1+IFERROR(INDEX(AN$10:AN$11,Предпосылки!$I$204,),0))*IFERROR(INDEX(AN$10:AN$11,Предпосылки!$I$204,),0),AN127/(1+IFERROR(INDEX(AN$10:AN$11,Предпосылки!$I$205,),0))*IFERROR(INDEX(AN$10:AN$11,Предпосылки!$I$205,),0),AN150/(1+IFERROR(INDEX(AN$10:AN$11,Предпосылки!$I$206,),0))*IFERROR(INDEX(AN$10:AN$11,Предпосылки!$I$206,),0),AN173/(1+IFERROR(INDEX(AN$10:AN$11,Предпосылки!$I$207,),0))*IFERROR(INDEX(AN$10:AN$11,Предпосылки!$I$207,),0),AN196/(1+IFERROR(INDEX(AN$10:AN$11,Предпосылки!$I$208,),0))*IFERROR(INDEX(AN$10:AN$11,Предпосылки!$I$208,),0),AN219/(1+IFERROR(INDEX(AN$10:AN$11,Предпосылки!$I$209,),0))*IFERROR(INDEX(AN$10:AN$11,Предпосылки!$I$209,),0),AN242/(1+IFERROR(INDEX(AN$10:AN$11,Предпосылки!$I$210,),0))*IFERROR(INDEX(AN$10:AN$11,Предпосылки!$I$210,),0),AN265/(1+IFERROR(INDEX(AN$10:AN$11,Предпосылки!$I$211,),0))*IFERROR(INDEX(AN$10:AN$11,Предпосылки!$I$211,),0),AN288/(1+IFERROR(INDEX(AN$10:AN$11,Предпосылки!$I$212,),0))*IFERROR(INDEX(AN$10:AN$11,Предпосылки!$I$212,),0),AN311/(1+IFERROR(INDEX(AN$10:AN$11,Предпосылки!$I$213,),0))*IFERROR(INDEX(AN$10:AN$11,Предпосылки!$I$213,),0),AN334/(1+IFERROR(INDEX(AN$10:AN$11,Предпосылки!$I$214,),0))*IFERROR(INDEX(AN$10:AN$11,Предпосылки!$I$214,),0),AN357/(1+IFERROR(INDEX(AN$10:AN$11,Предпосылки!$I$215,),0))*IFERROR(INDEX(AN$10:AN$11,Предпосылки!$I$215,),0),AN380/(1+IFERROR(INDEX(AN$10:AN$11,Предпосылки!$I$216,),0))*IFERROR(INDEX(AN$10:AN$11,Предпосылки!$I$216,),0),AN403/(1+IFERROR(INDEX(AN$10:AN$11,Предпосылки!$I$217,),0))*IFERROR(INDEX(AN$10:AN$11,Предпосылки!$I$217,),0),AN426/(1+IFERROR(INDEX(AN$10:AN$11,Предпосылки!$I$218,),0))*IFERROR(INDEX(AN$10:AN$11,Предпосылки!$I$218,),0),AN449/(1+IFERROR(INDEX(AN$10:AN$11,Предпосылки!$I$219,),0))*IFERROR(INDEX(AN$10:AN$11,Предпосылки!$I$219,),0),AN472/(1+IFERROR(INDEX(AN$10:AN$11,Предпосылки!$I$220,),0))*IFERROR(INDEX(AN$10:AN$11,Предпосылки!$I$220,),0))</f>
        <v>0</v>
      </c>
      <c s="125">
        <f>SUM(AO35/(1+IFERROR(INDEX(AO$10:AO$11,Предпосылки!$I$201,),0))*IFERROR(INDEX(AO$10:AO$11,Предпосылки!$I$201,),0),AO58/(1+IFERROR(INDEX(AO$10:AO$11,Предпосылки!$I$202,),0))*IFERROR(INDEX(AO$10:AO$11,Предпосылки!$I$202,),0),AO81/(1+IFERROR(INDEX(AO$10:AO$11,Предпосылки!$I$203,),0))*IFERROR(INDEX(AO$10:AO$11,Предпосылки!$I$203,),0),AO104/(1+IFERROR(INDEX(AO$10:AO$11,Предпосылки!$I$204,),0))*IFERROR(INDEX(AO$10:AO$11,Предпосылки!$I$204,),0),AO127/(1+IFERROR(INDEX(AO$10:AO$11,Предпосылки!$I$205,),0))*IFERROR(INDEX(AO$10:AO$11,Предпосылки!$I$205,),0),AO150/(1+IFERROR(INDEX(AO$10:AO$11,Предпосылки!$I$206,),0))*IFERROR(INDEX(AO$10:AO$11,Предпосылки!$I$206,),0),AO173/(1+IFERROR(INDEX(AO$10:AO$11,Предпосылки!$I$207,),0))*IFERROR(INDEX(AO$10:AO$11,Предпосылки!$I$207,),0),AO196/(1+IFERROR(INDEX(AO$10:AO$11,Предпосылки!$I$208,),0))*IFERROR(INDEX(AO$10:AO$11,Предпосылки!$I$208,),0),AO219/(1+IFERROR(INDEX(AO$10:AO$11,Предпосылки!$I$209,),0))*IFERROR(INDEX(AO$10:AO$11,Предпосылки!$I$209,),0),AO242/(1+IFERROR(INDEX(AO$10:AO$11,Предпосылки!$I$210,),0))*IFERROR(INDEX(AO$10:AO$11,Предпосылки!$I$210,),0),AO265/(1+IFERROR(INDEX(AO$10:AO$11,Предпосылки!$I$211,),0))*IFERROR(INDEX(AO$10:AO$11,Предпосылки!$I$211,),0),AO288/(1+IFERROR(INDEX(AO$10:AO$11,Предпосылки!$I$212,),0))*IFERROR(INDEX(AO$10:AO$11,Предпосылки!$I$212,),0),AO311/(1+IFERROR(INDEX(AO$10:AO$11,Предпосылки!$I$213,),0))*IFERROR(INDEX(AO$10:AO$11,Предпосылки!$I$213,),0),AO334/(1+IFERROR(INDEX(AO$10:AO$11,Предпосылки!$I$214,),0))*IFERROR(INDEX(AO$10:AO$11,Предпосылки!$I$214,),0),AO357/(1+IFERROR(INDEX(AO$10:AO$11,Предпосылки!$I$215,),0))*IFERROR(INDEX(AO$10:AO$11,Предпосылки!$I$215,),0),AO380/(1+IFERROR(INDEX(AO$10:AO$11,Предпосылки!$I$216,),0))*IFERROR(INDEX(AO$10:AO$11,Предпосылки!$I$216,),0),AO403/(1+IFERROR(INDEX(AO$10:AO$11,Предпосылки!$I$217,),0))*IFERROR(INDEX(AO$10:AO$11,Предпосылки!$I$217,),0),AO426/(1+IFERROR(INDEX(AO$10:AO$11,Предпосылки!$I$218,),0))*IFERROR(INDEX(AO$10:AO$11,Предпосылки!$I$218,),0),AO449/(1+IFERROR(INDEX(AO$10:AO$11,Предпосылки!$I$219,),0))*IFERROR(INDEX(AO$10:AO$11,Предпосылки!$I$219,),0),AO472/(1+IFERROR(INDEX(AO$10:AO$11,Предпосылки!$I$220,),0))*IFERROR(INDEX(AO$10:AO$11,Предпосылки!$I$220,),0))</f>
        <v>0</v>
      </c>
      <c s="125">
        <f>SUM(AP35/(1+IFERROR(INDEX(AP$10:AP$11,Предпосылки!$I$201,),0))*IFERROR(INDEX(AP$10:AP$11,Предпосылки!$I$201,),0),AP58/(1+IFERROR(INDEX(AP$10:AP$11,Предпосылки!$I$202,),0))*IFERROR(INDEX(AP$10:AP$11,Предпосылки!$I$202,),0),AP81/(1+IFERROR(INDEX(AP$10:AP$11,Предпосылки!$I$203,),0))*IFERROR(INDEX(AP$10:AP$11,Предпосылки!$I$203,),0),AP104/(1+IFERROR(INDEX(AP$10:AP$11,Предпосылки!$I$204,),0))*IFERROR(INDEX(AP$10:AP$11,Предпосылки!$I$204,),0),AP127/(1+IFERROR(INDEX(AP$10:AP$11,Предпосылки!$I$205,),0))*IFERROR(INDEX(AP$10:AP$11,Предпосылки!$I$205,),0),AP150/(1+IFERROR(INDEX(AP$10:AP$11,Предпосылки!$I$206,),0))*IFERROR(INDEX(AP$10:AP$11,Предпосылки!$I$206,),0),AP173/(1+IFERROR(INDEX(AP$10:AP$11,Предпосылки!$I$207,),0))*IFERROR(INDEX(AP$10:AP$11,Предпосылки!$I$207,),0),AP196/(1+IFERROR(INDEX(AP$10:AP$11,Предпосылки!$I$208,),0))*IFERROR(INDEX(AP$10:AP$11,Предпосылки!$I$208,),0),AP219/(1+IFERROR(INDEX(AP$10:AP$11,Предпосылки!$I$209,),0))*IFERROR(INDEX(AP$10:AP$11,Предпосылки!$I$209,),0),AP242/(1+IFERROR(INDEX(AP$10:AP$11,Предпосылки!$I$210,),0))*IFERROR(INDEX(AP$10:AP$11,Предпосылки!$I$210,),0),AP265/(1+IFERROR(INDEX(AP$10:AP$11,Предпосылки!$I$211,),0))*IFERROR(INDEX(AP$10:AP$11,Предпосылки!$I$211,),0),AP288/(1+IFERROR(INDEX(AP$10:AP$11,Предпосылки!$I$212,),0))*IFERROR(INDEX(AP$10:AP$11,Предпосылки!$I$212,),0),AP311/(1+IFERROR(INDEX(AP$10:AP$11,Предпосылки!$I$213,),0))*IFERROR(INDEX(AP$10:AP$11,Предпосылки!$I$213,),0),AP334/(1+IFERROR(INDEX(AP$10:AP$11,Предпосылки!$I$214,),0))*IFERROR(INDEX(AP$10:AP$11,Предпосылки!$I$214,),0),AP357/(1+IFERROR(INDEX(AP$10:AP$11,Предпосылки!$I$215,),0))*IFERROR(INDEX(AP$10:AP$11,Предпосылки!$I$215,),0),AP380/(1+IFERROR(INDEX(AP$10:AP$11,Предпосылки!$I$216,),0))*IFERROR(INDEX(AP$10:AP$11,Предпосылки!$I$216,),0),AP403/(1+IFERROR(INDEX(AP$10:AP$11,Предпосылки!$I$217,),0))*IFERROR(INDEX(AP$10:AP$11,Предпосылки!$I$217,),0),AP426/(1+IFERROR(INDEX(AP$10:AP$11,Предпосылки!$I$218,),0))*IFERROR(INDEX(AP$10:AP$11,Предпосылки!$I$218,),0),AP449/(1+IFERROR(INDEX(AP$10:AP$11,Предпосылки!$I$219,),0))*IFERROR(INDEX(AP$10:AP$11,Предпосылки!$I$219,),0),AP472/(1+IFERROR(INDEX(AP$10:AP$11,Предпосылки!$I$220,),0))*IFERROR(INDEX(AP$10:AP$11,Предпосылки!$I$220,),0))</f>
        <v>0</v>
      </c>
      <c s="125">
        <f>SUM(AQ35/(1+IFERROR(INDEX(AQ$10:AQ$11,Предпосылки!$I$201,),0))*IFERROR(INDEX(AQ$10:AQ$11,Предпосылки!$I$201,),0),AQ58/(1+IFERROR(INDEX(AQ$10:AQ$11,Предпосылки!$I$202,),0))*IFERROR(INDEX(AQ$10:AQ$11,Предпосылки!$I$202,),0),AQ81/(1+IFERROR(INDEX(AQ$10:AQ$11,Предпосылки!$I$203,),0))*IFERROR(INDEX(AQ$10:AQ$11,Предпосылки!$I$203,),0),AQ104/(1+IFERROR(INDEX(AQ$10:AQ$11,Предпосылки!$I$204,),0))*IFERROR(INDEX(AQ$10:AQ$11,Предпосылки!$I$204,),0),AQ127/(1+IFERROR(INDEX(AQ$10:AQ$11,Предпосылки!$I$205,),0))*IFERROR(INDEX(AQ$10:AQ$11,Предпосылки!$I$205,),0),AQ150/(1+IFERROR(INDEX(AQ$10:AQ$11,Предпосылки!$I$206,),0))*IFERROR(INDEX(AQ$10:AQ$11,Предпосылки!$I$206,),0),AQ173/(1+IFERROR(INDEX(AQ$10:AQ$11,Предпосылки!$I$207,),0))*IFERROR(INDEX(AQ$10:AQ$11,Предпосылки!$I$207,),0),AQ196/(1+IFERROR(INDEX(AQ$10:AQ$11,Предпосылки!$I$208,),0))*IFERROR(INDEX(AQ$10:AQ$11,Предпосылки!$I$208,),0),AQ219/(1+IFERROR(INDEX(AQ$10:AQ$11,Предпосылки!$I$209,),0))*IFERROR(INDEX(AQ$10:AQ$11,Предпосылки!$I$209,),0),AQ242/(1+IFERROR(INDEX(AQ$10:AQ$11,Предпосылки!$I$210,),0))*IFERROR(INDEX(AQ$10:AQ$11,Предпосылки!$I$210,),0),AQ265/(1+IFERROR(INDEX(AQ$10:AQ$11,Предпосылки!$I$211,),0))*IFERROR(INDEX(AQ$10:AQ$11,Предпосылки!$I$211,),0),AQ288/(1+IFERROR(INDEX(AQ$10:AQ$11,Предпосылки!$I$212,),0))*IFERROR(INDEX(AQ$10:AQ$11,Предпосылки!$I$212,),0),AQ311/(1+IFERROR(INDEX(AQ$10:AQ$11,Предпосылки!$I$213,),0))*IFERROR(INDEX(AQ$10:AQ$11,Предпосылки!$I$213,),0),AQ334/(1+IFERROR(INDEX(AQ$10:AQ$11,Предпосылки!$I$214,),0))*IFERROR(INDEX(AQ$10:AQ$11,Предпосылки!$I$214,),0),AQ357/(1+IFERROR(INDEX(AQ$10:AQ$11,Предпосылки!$I$215,),0))*IFERROR(INDEX(AQ$10:AQ$11,Предпосылки!$I$215,),0),AQ380/(1+IFERROR(INDEX(AQ$10:AQ$11,Предпосылки!$I$216,),0))*IFERROR(INDEX(AQ$10:AQ$11,Предпосылки!$I$216,),0),AQ403/(1+IFERROR(INDEX(AQ$10:AQ$11,Предпосылки!$I$217,),0))*IFERROR(INDEX(AQ$10:AQ$11,Предпосылки!$I$217,),0),AQ426/(1+IFERROR(INDEX(AQ$10:AQ$11,Предпосылки!$I$218,),0))*IFERROR(INDEX(AQ$10:AQ$11,Предпосылки!$I$218,),0),AQ449/(1+IFERROR(INDEX(AQ$10:AQ$11,Предпосылки!$I$219,),0))*IFERROR(INDEX(AQ$10:AQ$11,Предпосылки!$I$219,),0),AQ472/(1+IFERROR(INDEX(AQ$10:AQ$11,Предпосылки!$I$220,),0))*IFERROR(INDEX(AQ$10:AQ$11,Предпосылки!$I$220,),0))</f>
        <v>0</v>
      </c>
      <c s="125">
        <f>SUM(AR35/(1+IFERROR(INDEX(AR$10:AR$11,Предпосылки!$I$201,),0))*IFERROR(INDEX(AR$10:AR$11,Предпосылки!$I$201,),0),AR58/(1+IFERROR(INDEX(AR$10:AR$11,Предпосылки!$I$202,),0))*IFERROR(INDEX(AR$10:AR$11,Предпосылки!$I$202,),0),AR81/(1+IFERROR(INDEX(AR$10:AR$11,Предпосылки!$I$203,),0))*IFERROR(INDEX(AR$10:AR$11,Предпосылки!$I$203,),0),AR104/(1+IFERROR(INDEX(AR$10:AR$11,Предпосылки!$I$204,),0))*IFERROR(INDEX(AR$10:AR$11,Предпосылки!$I$204,),0),AR127/(1+IFERROR(INDEX(AR$10:AR$11,Предпосылки!$I$205,),0))*IFERROR(INDEX(AR$10:AR$11,Предпосылки!$I$205,),0),AR150/(1+IFERROR(INDEX(AR$10:AR$11,Предпосылки!$I$206,),0))*IFERROR(INDEX(AR$10:AR$11,Предпосылки!$I$206,),0),AR173/(1+IFERROR(INDEX(AR$10:AR$11,Предпосылки!$I$207,),0))*IFERROR(INDEX(AR$10:AR$11,Предпосылки!$I$207,),0),AR196/(1+IFERROR(INDEX(AR$10:AR$11,Предпосылки!$I$208,),0))*IFERROR(INDEX(AR$10:AR$11,Предпосылки!$I$208,),0),AR219/(1+IFERROR(INDEX(AR$10:AR$11,Предпосылки!$I$209,),0))*IFERROR(INDEX(AR$10:AR$11,Предпосылки!$I$209,),0),AR242/(1+IFERROR(INDEX(AR$10:AR$11,Предпосылки!$I$210,),0))*IFERROR(INDEX(AR$10:AR$11,Предпосылки!$I$210,),0),AR265/(1+IFERROR(INDEX(AR$10:AR$11,Предпосылки!$I$211,),0))*IFERROR(INDEX(AR$10:AR$11,Предпосылки!$I$211,),0),AR288/(1+IFERROR(INDEX(AR$10:AR$11,Предпосылки!$I$212,),0))*IFERROR(INDEX(AR$10:AR$11,Предпосылки!$I$212,),0),AR311/(1+IFERROR(INDEX(AR$10:AR$11,Предпосылки!$I$213,),0))*IFERROR(INDEX(AR$10:AR$11,Предпосылки!$I$213,),0),AR334/(1+IFERROR(INDEX(AR$10:AR$11,Предпосылки!$I$214,),0))*IFERROR(INDEX(AR$10:AR$11,Предпосылки!$I$214,),0),AR357/(1+IFERROR(INDEX(AR$10:AR$11,Предпосылки!$I$215,),0))*IFERROR(INDEX(AR$10:AR$11,Предпосылки!$I$215,),0),AR380/(1+IFERROR(INDEX(AR$10:AR$11,Предпосылки!$I$216,),0))*IFERROR(INDEX(AR$10:AR$11,Предпосылки!$I$216,),0),AR403/(1+IFERROR(INDEX(AR$10:AR$11,Предпосылки!$I$217,),0))*IFERROR(INDEX(AR$10:AR$11,Предпосылки!$I$217,),0),AR426/(1+IFERROR(INDEX(AR$10:AR$11,Предпосылки!$I$218,),0))*IFERROR(INDEX(AR$10:AR$11,Предпосылки!$I$218,),0),AR449/(1+IFERROR(INDEX(AR$10:AR$11,Предпосылки!$I$219,),0))*IFERROR(INDEX(AR$10:AR$11,Предпосылки!$I$219,),0),AR472/(1+IFERROR(INDEX(AR$10:AR$11,Предпосылки!$I$220,),0))*IFERROR(INDEX(AR$10:AR$11,Предпосылки!$I$220,),0))</f>
        <v>0</v>
      </c>
      <c s="125">
        <f>SUM(AS35/(1+IFERROR(INDEX(AS$10:AS$11,Предпосылки!$I$201,),0))*IFERROR(INDEX(AS$10:AS$11,Предпосылки!$I$201,),0),AS58/(1+IFERROR(INDEX(AS$10:AS$11,Предпосылки!$I$202,),0))*IFERROR(INDEX(AS$10:AS$11,Предпосылки!$I$202,),0),AS81/(1+IFERROR(INDEX(AS$10:AS$11,Предпосылки!$I$203,),0))*IFERROR(INDEX(AS$10:AS$11,Предпосылки!$I$203,),0),AS104/(1+IFERROR(INDEX(AS$10:AS$11,Предпосылки!$I$204,),0))*IFERROR(INDEX(AS$10:AS$11,Предпосылки!$I$204,),0),AS127/(1+IFERROR(INDEX(AS$10:AS$11,Предпосылки!$I$205,),0))*IFERROR(INDEX(AS$10:AS$11,Предпосылки!$I$205,),0),AS150/(1+IFERROR(INDEX(AS$10:AS$11,Предпосылки!$I$206,),0))*IFERROR(INDEX(AS$10:AS$11,Предпосылки!$I$206,),0),AS173/(1+IFERROR(INDEX(AS$10:AS$11,Предпосылки!$I$207,),0))*IFERROR(INDEX(AS$10:AS$11,Предпосылки!$I$207,),0),AS196/(1+IFERROR(INDEX(AS$10:AS$11,Предпосылки!$I$208,),0))*IFERROR(INDEX(AS$10:AS$11,Предпосылки!$I$208,),0),AS219/(1+IFERROR(INDEX(AS$10:AS$11,Предпосылки!$I$209,),0))*IFERROR(INDEX(AS$10:AS$11,Предпосылки!$I$209,),0),AS242/(1+IFERROR(INDEX(AS$10:AS$11,Предпосылки!$I$210,),0))*IFERROR(INDEX(AS$10:AS$11,Предпосылки!$I$210,),0),AS265/(1+IFERROR(INDEX(AS$10:AS$11,Предпосылки!$I$211,),0))*IFERROR(INDEX(AS$10:AS$11,Предпосылки!$I$211,),0),AS288/(1+IFERROR(INDEX(AS$10:AS$11,Предпосылки!$I$212,),0))*IFERROR(INDEX(AS$10:AS$11,Предпосылки!$I$212,),0),AS311/(1+IFERROR(INDEX(AS$10:AS$11,Предпосылки!$I$213,),0))*IFERROR(INDEX(AS$10:AS$11,Предпосылки!$I$213,),0),AS334/(1+IFERROR(INDEX(AS$10:AS$11,Предпосылки!$I$214,),0))*IFERROR(INDEX(AS$10:AS$11,Предпосылки!$I$214,),0),AS357/(1+IFERROR(INDEX(AS$10:AS$11,Предпосылки!$I$215,),0))*IFERROR(INDEX(AS$10:AS$11,Предпосылки!$I$215,),0),AS380/(1+IFERROR(INDEX(AS$10:AS$11,Предпосылки!$I$216,),0))*IFERROR(INDEX(AS$10:AS$11,Предпосылки!$I$216,),0),AS403/(1+IFERROR(INDEX(AS$10:AS$11,Предпосылки!$I$217,),0))*IFERROR(INDEX(AS$10:AS$11,Предпосылки!$I$217,),0),AS426/(1+IFERROR(INDEX(AS$10:AS$11,Предпосылки!$I$218,),0))*IFERROR(INDEX(AS$10:AS$11,Предпосылки!$I$218,),0),AS449/(1+IFERROR(INDEX(AS$10:AS$11,Предпосылки!$I$219,),0))*IFERROR(INDEX(AS$10:AS$11,Предпосылки!$I$219,),0),AS472/(1+IFERROR(INDEX(AS$10:AS$11,Предпосылки!$I$220,),0))*IFERROR(INDEX(AS$10:AS$11,Предпосылки!$I$220,),0))</f>
        <v>0</v>
      </c>
      <c s="125">
        <f>SUM(AT35/(1+IFERROR(INDEX(AT$10:AT$11,Предпосылки!$I$201,),0))*IFERROR(INDEX(AT$10:AT$11,Предпосылки!$I$201,),0),AT58/(1+IFERROR(INDEX(AT$10:AT$11,Предпосылки!$I$202,),0))*IFERROR(INDEX(AT$10:AT$11,Предпосылки!$I$202,),0),AT81/(1+IFERROR(INDEX(AT$10:AT$11,Предпосылки!$I$203,),0))*IFERROR(INDEX(AT$10:AT$11,Предпосылки!$I$203,),0),AT104/(1+IFERROR(INDEX(AT$10:AT$11,Предпосылки!$I$204,),0))*IFERROR(INDEX(AT$10:AT$11,Предпосылки!$I$204,),0),AT127/(1+IFERROR(INDEX(AT$10:AT$11,Предпосылки!$I$205,),0))*IFERROR(INDEX(AT$10:AT$11,Предпосылки!$I$205,),0),AT150/(1+IFERROR(INDEX(AT$10:AT$11,Предпосылки!$I$206,),0))*IFERROR(INDEX(AT$10:AT$11,Предпосылки!$I$206,),0),AT173/(1+IFERROR(INDEX(AT$10:AT$11,Предпосылки!$I$207,),0))*IFERROR(INDEX(AT$10:AT$11,Предпосылки!$I$207,),0),AT196/(1+IFERROR(INDEX(AT$10:AT$11,Предпосылки!$I$208,),0))*IFERROR(INDEX(AT$10:AT$11,Предпосылки!$I$208,),0),AT219/(1+IFERROR(INDEX(AT$10:AT$11,Предпосылки!$I$209,),0))*IFERROR(INDEX(AT$10:AT$11,Предпосылки!$I$209,),0),AT242/(1+IFERROR(INDEX(AT$10:AT$11,Предпосылки!$I$210,),0))*IFERROR(INDEX(AT$10:AT$11,Предпосылки!$I$210,),0),AT265/(1+IFERROR(INDEX(AT$10:AT$11,Предпосылки!$I$211,),0))*IFERROR(INDEX(AT$10:AT$11,Предпосылки!$I$211,),0),AT288/(1+IFERROR(INDEX(AT$10:AT$11,Предпосылки!$I$212,),0))*IFERROR(INDEX(AT$10:AT$11,Предпосылки!$I$212,),0),AT311/(1+IFERROR(INDEX(AT$10:AT$11,Предпосылки!$I$213,),0))*IFERROR(INDEX(AT$10:AT$11,Предпосылки!$I$213,),0),AT334/(1+IFERROR(INDEX(AT$10:AT$11,Предпосылки!$I$214,),0))*IFERROR(INDEX(AT$10:AT$11,Предпосылки!$I$214,),0),AT357/(1+IFERROR(INDEX(AT$10:AT$11,Предпосылки!$I$215,),0))*IFERROR(INDEX(AT$10:AT$11,Предпосылки!$I$215,),0),AT380/(1+IFERROR(INDEX(AT$10:AT$11,Предпосылки!$I$216,),0))*IFERROR(INDEX(AT$10:AT$11,Предпосылки!$I$216,),0),AT403/(1+IFERROR(INDEX(AT$10:AT$11,Предпосылки!$I$217,),0))*IFERROR(INDEX(AT$10:AT$11,Предпосылки!$I$217,),0),AT426/(1+IFERROR(INDEX(AT$10:AT$11,Предпосылки!$I$218,),0))*IFERROR(INDEX(AT$10:AT$11,Предпосылки!$I$218,),0),AT449/(1+IFERROR(INDEX(AT$10:AT$11,Предпосылки!$I$219,),0))*IFERROR(INDEX(AT$10:AT$11,Предпосылки!$I$219,),0),AT472/(1+IFERROR(INDEX(AT$10:AT$11,Предпосылки!$I$220,),0))*IFERROR(INDEX(AT$10:AT$11,Предпосылки!$I$220,),0))</f>
        <v>0</v>
      </c>
      <c s="125">
        <f>SUM(AU35/(1+IFERROR(INDEX(AU$10:AU$11,Предпосылки!$I$201,),0))*IFERROR(INDEX(AU$10:AU$11,Предпосылки!$I$201,),0),AU58/(1+IFERROR(INDEX(AU$10:AU$11,Предпосылки!$I$202,),0))*IFERROR(INDEX(AU$10:AU$11,Предпосылки!$I$202,),0),AU81/(1+IFERROR(INDEX(AU$10:AU$11,Предпосылки!$I$203,),0))*IFERROR(INDEX(AU$10:AU$11,Предпосылки!$I$203,),0),AU104/(1+IFERROR(INDEX(AU$10:AU$11,Предпосылки!$I$204,),0))*IFERROR(INDEX(AU$10:AU$11,Предпосылки!$I$204,),0),AU127/(1+IFERROR(INDEX(AU$10:AU$11,Предпосылки!$I$205,),0))*IFERROR(INDEX(AU$10:AU$11,Предпосылки!$I$205,),0),AU150/(1+IFERROR(INDEX(AU$10:AU$11,Предпосылки!$I$206,),0))*IFERROR(INDEX(AU$10:AU$11,Предпосылки!$I$206,),0),AU173/(1+IFERROR(INDEX(AU$10:AU$11,Предпосылки!$I$207,),0))*IFERROR(INDEX(AU$10:AU$11,Предпосылки!$I$207,),0),AU196/(1+IFERROR(INDEX(AU$10:AU$11,Предпосылки!$I$208,),0))*IFERROR(INDEX(AU$10:AU$11,Предпосылки!$I$208,),0),AU219/(1+IFERROR(INDEX(AU$10:AU$11,Предпосылки!$I$209,),0))*IFERROR(INDEX(AU$10:AU$11,Предпосылки!$I$209,),0),AU242/(1+IFERROR(INDEX(AU$10:AU$11,Предпосылки!$I$210,),0))*IFERROR(INDEX(AU$10:AU$11,Предпосылки!$I$210,),0),AU265/(1+IFERROR(INDEX(AU$10:AU$11,Предпосылки!$I$211,),0))*IFERROR(INDEX(AU$10:AU$11,Предпосылки!$I$211,),0),AU288/(1+IFERROR(INDEX(AU$10:AU$11,Предпосылки!$I$212,),0))*IFERROR(INDEX(AU$10:AU$11,Предпосылки!$I$212,),0),AU311/(1+IFERROR(INDEX(AU$10:AU$11,Предпосылки!$I$213,),0))*IFERROR(INDEX(AU$10:AU$11,Предпосылки!$I$213,),0),AU334/(1+IFERROR(INDEX(AU$10:AU$11,Предпосылки!$I$214,),0))*IFERROR(INDEX(AU$10:AU$11,Предпосылки!$I$214,),0),AU357/(1+IFERROR(INDEX(AU$10:AU$11,Предпосылки!$I$215,),0))*IFERROR(INDEX(AU$10:AU$11,Предпосылки!$I$215,),0),AU380/(1+IFERROR(INDEX(AU$10:AU$11,Предпосылки!$I$216,),0))*IFERROR(INDEX(AU$10:AU$11,Предпосылки!$I$216,),0),AU403/(1+IFERROR(INDEX(AU$10:AU$11,Предпосылки!$I$217,),0))*IFERROR(INDEX(AU$10:AU$11,Предпосылки!$I$217,),0),AU426/(1+IFERROR(INDEX(AU$10:AU$11,Предпосылки!$I$218,),0))*IFERROR(INDEX(AU$10:AU$11,Предпосылки!$I$218,),0),AU449/(1+IFERROR(INDEX(AU$10:AU$11,Предпосылки!$I$219,),0))*IFERROR(INDEX(AU$10:AU$11,Предпосылки!$I$219,),0),AU472/(1+IFERROR(INDEX(AU$10:AU$11,Предпосылки!$I$220,),0))*IFERROR(INDEX(AU$10:AU$11,Предпосылки!$I$220,),0))</f>
        <v>0</v>
      </c>
      <c s="125">
        <f>SUM(AV35/(1+IFERROR(INDEX(AV$10:AV$11,Предпосылки!$I$201,),0))*IFERROR(INDEX(AV$10:AV$11,Предпосылки!$I$201,),0),AV58/(1+IFERROR(INDEX(AV$10:AV$11,Предпосылки!$I$202,),0))*IFERROR(INDEX(AV$10:AV$11,Предпосылки!$I$202,),0),AV81/(1+IFERROR(INDEX(AV$10:AV$11,Предпосылки!$I$203,),0))*IFERROR(INDEX(AV$10:AV$11,Предпосылки!$I$203,),0),AV104/(1+IFERROR(INDEX(AV$10:AV$11,Предпосылки!$I$204,),0))*IFERROR(INDEX(AV$10:AV$11,Предпосылки!$I$204,),0),AV127/(1+IFERROR(INDEX(AV$10:AV$11,Предпосылки!$I$205,),0))*IFERROR(INDEX(AV$10:AV$11,Предпосылки!$I$205,),0),AV150/(1+IFERROR(INDEX(AV$10:AV$11,Предпосылки!$I$206,),0))*IFERROR(INDEX(AV$10:AV$11,Предпосылки!$I$206,),0),AV173/(1+IFERROR(INDEX(AV$10:AV$11,Предпосылки!$I$207,),0))*IFERROR(INDEX(AV$10:AV$11,Предпосылки!$I$207,),0),AV196/(1+IFERROR(INDEX(AV$10:AV$11,Предпосылки!$I$208,),0))*IFERROR(INDEX(AV$10:AV$11,Предпосылки!$I$208,),0),AV219/(1+IFERROR(INDEX(AV$10:AV$11,Предпосылки!$I$209,),0))*IFERROR(INDEX(AV$10:AV$11,Предпосылки!$I$209,),0),AV242/(1+IFERROR(INDEX(AV$10:AV$11,Предпосылки!$I$210,),0))*IFERROR(INDEX(AV$10:AV$11,Предпосылки!$I$210,),0),AV265/(1+IFERROR(INDEX(AV$10:AV$11,Предпосылки!$I$211,),0))*IFERROR(INDEX(AV$10:AV$11,Предпосылки!$I$211,),0),AV288/(1+IFERROR(INDEX(AV$10:AV$11,Предпосылки!$I$212,),0))*IFERROR(INDEX(AV$10:AV$11,Предпосылки!$I$212,),0),AV311/(1+IFERROR(INDEX(AV$10:AV$11,Предпосылки!$I$213,),0))*IFERROR(INDEX(AV$10:AV$11,Предпосылки!$I$213,),0),AV334/(1+IFERROR(INDEX(AV$10:AV$11,Предпосылки!$I$214,),0))*IFERROR(INDEX(AV$10:AV$11,Предпосылки!$I$214,),0),AV357/(1+IFERROR(INDEX(AV$10:AV$11,Предпосылки!$I$215,),0))*IFERROR(INDEX(AV$10:AV$11,Предпосылки!$I$215,),0),AV380/(1+IFERROR(INDEX(AV$10:AV$11,Предпосылки!$I$216,),0))*IFERROR(INDEX(AV$10:AV$11,Предпосылки!$I$216,),0),AV403/(1+IFERROR(INDEX(AV$10:AV$11,Предпосылки!$I$217,),0))*IFERROR(INDEX(AV$10:AV$11,Предпосылки!$I$217,),0),AV426/(1+IFERROR(INDEX(AV$10:AV$11,Предпосылки!$I$218,),0))*IFERROR(INDEX(AV$10:AV$11,Предпосылки!$I$218,),0),AV449/(1+IFERROR(INDEX(AV$10:AV$11,Предпосылки!$I$219,),0))*IFERROR(INDEX(AV$10:AV$11,Предпосылки!$I$219,),0),AV472/(1+IFERROR(INDEX(AV$10:AV$11,Предпосылки!$I$220,),0))*IFERROR(INDEX(AV$10:AV$11,Предпосылки!$I$220,),0))</f>
        <v>0</v>
      </c>
      <c s="125">
        <f>SUM(AW35/(1+IFERROR(INDEX(AW$10:AW$11,Предпосылки!$I$201,),0))*IFERROR(INDEX(AW$10:AW$11,Предпосылки!$I$201,),0),AW58/(1+IFERROR(INDEX(AW$10:AW$11,Предпосылки!$I$202,),0))*IFERROR(INDEX(AW$10:AW$11,Предпосылки!$I$202,),0),AW81/(1+IFERROR(INDEX(AW$10:AW$11,Предпосылки!$I$203,),0))*IFERROR(INDEX(AW$10:AW$11,Предпосылки!$I$203,),0),AW104/(1+IFERROR(INDEX(AW$10:AW$11,Предпосылки!$I$204,),0))*IFERROR(INDEX(AW$10:AW$11,Предпосылки!$I$204,),0),AW127/(1+IFERROR(INDEX(AW$10:AW$11,Предпосылки!$I$205,),0))*IFERROR(INDEX(AW$10:AW$11,Предпосылки!$I$205,),0),AW150/(1+IFERROR(INDEX(AW$10:AW$11,Предпосылки!$I$206,),0))*IFERROR(INDEX(AW$10:AW$11,Предпосылки!$I$206,),0),AW173/(1+IFERROR(INDEX(AW$10:AW$11,Предпосылки!$I$207,),0))*IFERROR(INDEX(AW$10:AW$11,Предпосылки!$I$207,),0),AW196/(1+IFERROR(INDEX(AW$10:AW$11,Предпосылки!$I$208,),0))*IFERROR(INDEX(AW$10:AW$11,Предпосылки!$I$208,),0),AW219/(1+IFERROR(INDEX(AW$10:AW$11,Предпосылки!$I$209,),0))*IFERROR(INDEX(AW$10:AW$11,Предпосылки!$I$209,),0),AW242/(1+IFERROR(INDEX(AW$10:AW$11,Предпосылки!$I$210,),0))*IFERROR(INDEX(AW$10:AW$11,Предпосылки!$I$210,),0),AW265/(1+IFERROR(INDEX(AW$10:AW$11,Предпосылки!$I$211,),0))*IFERROR(INDEX(AW$10:AW$11,Предпосылки!$I$211,),0),AW288/(1+IFERROR(INDEX(AW$10:AW$11,Предпосылки!$I$212,),0))*IFERROR(INDEX(AW$10:AW$11,Предпосылки!$I$212,),0),AW311/(1+IFERROR(INDEX(AW$10:AW$11,Предпосылки!$I$213,),0))*IFERROR(INDEX(AW$10:AW$11,Предпосылки!$I$213,),0),AW334/(1+IFERROR(INDEX(AW$10:AW$11,Предпосылки!$I$214,),0))*IFERROR(INDEX(AW$10:AW$11,Предпосылки!$I$214,),0),AW357/(1+IFERROR(INDEX(AW$10:AW$11,Предпосылки!$I$215,),0))*IFERROR(INDEX(AW$10:AW$11,Предпосылки!$I$215,),0),AW380/(1+IFERROR(INDEX(AW$10:AW$11,Предпосылки!$I$216,),0))*IFERROR(INDEX(AW$10:AW$11,Предпосылки!$I$216,),0),AW403/(1+IFERROR(INDEX(AW$10:AW$11,Предпосылки!$I$217,),0))*IFERROR(INDEX(AW$10:AW$11,Предпосылки!$I$217,),0),AW426/(1+IFERROR(INDEX(AW$10:AW$11,Предпосылки!$I$218,),0))*IFERROR(INDEX(AW$10:AW$11,Предпосылки!$I$218,),0),AW449/(1+IFERROR(INDEX(AW$10:AW$11,Предпосылки!$I$219,),0))*IFERROR(INDEX(AW$10:AW$11,Предпосылки!$I$219,),0),AW472/(1+IFERROR(INDEX(AW$10:AW$11,Предпосылки!$I$220,),0))*IFERROR(INDEX(AW$10:AW$11,Предпосылки!$I$220,),0))</f>
        <v>0</v>
      </c>
      <c s="125">
        <f>SUM(AX35/(1+IFERROR(INDEX(AX$10:AX$11,Предпосылки!$I$201,),0))*IFERROR(INDEX(AX$10:AX$11,Предпосылки!$I$201,),0),AX58/(1+IFERROR(INDEX(AX$10:AX$11,Предпосылки!$I$202,),0))*IFERROR(INDEX(AX$10:AX$11,Предпосылки!$I$202,),0),AX81/(1+IFERROR(INDEX(AX$10:AX$11,Предпосылки!$I$203,),0))*IFERROR(INDEX(AX$10:AX$11,Предпосылки!$I$203,),0),AX104/(1+IFERROR(INDEX(AX$10:AX$11,Предпосылки!$I$204,),0))*IFERROR(INDEX(AX$10:AX$11,Предпосылки!$I$204,),0),AX127/(1+IFERROR(INDEX(AX$10:AX$11,Предпосылки!$I$205,),0))*IFERROR(INDEX(AX$10:AX$11,Предпосылки!$I$205,),0),AX150/(1+IFERROR(INDEX(AX$10:AX$11,Предпосылки!$I$206,),0))*IFERROR(INDEX(AX$10:AX$11,Предпосылки!$I$206,),0),AX173/(1+IFERROR(INDEX(AX$10:AX$11,Предпосылки!$I$207,),0))*IFERROR(INDEX(AX$10:AX$11,Предпосылки!$I$207,),0),AX196/(1+IFERROR(INDEX(AX$10:AX$11,Предпосылки!$I$208,),0))*IFERROR(INDEX(AX$10:AX$11,Предпосылки!$I$208,),0),AX219/(1+IFERROR(INDEX(AX$10:AX$11,Предпосылки!$I$209,),0))*IFERROR(INDEX(AX$10:AX$11,Предпосылки!$I$209,),0),AX242/(1+IFERROR(INDEX(AX$10:AX$11,Предпосылки!$I$210,),0))*IFERROR(INDEX(AX$10:AX$11,Предпосылки!$I$210,),0),AX265/(1+IFERROR(INDEX(AX$10:AX$11,Предпосылки!$I$211,),0))*IFERROR(INDEX(AX$10:AX$11,Предпосылки!$I$211,),0),AX288/(1+IFERROR(INDEX(AX$10:AX$11,Предпосылки!$I$212,),0))*IFERROR(INDEX(AX$10:AX$11,Предпосылки!$I$212,),0),AX311/(1+IFERROR(INDEX(AX$10:AX$11,Предпосылки!$I$213,),0))*IFERROR(INDEX(AX$10:AX$11,Предпосылки!$I$213,),0),AX334/(1+IFERROR(INDEX(AX$10:AX$11,Предпосылки!$I$214,),0))*IFERROR(INDEX(AX$10:AX$11,Предпосылки!$I$214,),0),AX357/(1+IFERROR(INDEX(AX$10:AX$11,Предпосылки!$I$215,),0))*IFERROR(INDEX(AX$10:AX$11,Предпосылки!$I$215,),0),AX380/(1+IFERROR(INDEX(AX$10:AX$11,Предпосылки!$I$216,),0))*IFERROR(INDEX(AX$10:AX$11,Предпосылки!$I$216,),0),AX403/(1+IFERROR(INDEX(AX$10:AX$11,Предпосылки!$I$217,),0))*IFERROR(INDEX(AX$10:AX$11,Предпосылки!$I$217,),0),AX426/(1+IFERROR(INDEX(AX$10:AX$11,Предпосылки!$I$218,),0))*IFERROR(INDEX(AX$10:AX$11,Предпосылки!$I$218,),0),AX449/(1+IFERROR(INDEX(AX$10:AX$11,Предпосылки!$I$219,),0))*IFERROR(INDEX(AX$10:AX$11,Предпосылки!$I$219,),0),AX472/(1+IFERROR(INDEX(AX$10:AX$11,Предпосылки!$I$220,),0))*IFERROR(INDEX(AX$10:AX$11,Предпосылки!$I$220,),0))</f>
        <v>0</v>
      </c>
      <c s="125">
        <f>SUM(AY35/(1+IFERROR(INDEX(AY$10:AY$11,Предпосылки!$I$201,),0))*IFERROR(INDEX(AY$10:AY$11,Предпосылки!$I$201,),0),AY58/(1+IFERROR(INDEX(AY$10:AY$11,Предпосылки!$I$202,),0))*IFERROR(INDEX(AY$10:AY$11,Предпосылки!$I$202,),0),AY81/(1+IFERROR(INDEX(AY$10:AY$11,Предпосылки!$I$203,),0))*IFERROR(INDEX(AY$10:AY$11,Предпосылки!$I$203,),0),AY104/(1+IFERROR(INDEX(AY$10:AY$11,Предпосылки!$I$204,),0))*IFERROR(INDEX(AY$10:AY$11,Предпосылки!$I$204,),0),AY127/(1+IFERROR(INDEX(AY$10:AY$11,Предпосылки!$I$205,),0))*IFERROR(INDEX(AY$10:AY$11,Предпосылки!$I$205,),0),AY150/(1+IFERROR(INDEX(AY$10:AY$11,Предпосылки!$I$206,),0))*IFERROR(INDEX(AY$10:AY$11,Предпосылки!$I$206,),0),AY173/(1+IFERROR(INDEX(AY$10:AY$11,Предпосылки!$I$207,),0))*IFERROR(INDEX(AY$10:AY$11,Предпосылки!$I$207,),0),AY196/(1+IFERROR(INDEX(AY$10:AY$11,Предпосылки!$I$208,),0))*IFERROR(INDEX(AY$10:AY$11,Предпосылки!$I$208,),0),AY219/(1+IFERROR(INDEX(AY$10:AY$11,Предпосылки!$I$209,),0))*IFERROR(INDEX(AY$10:AY$11,Предпосылки!$I$209,),0),AY242/(1+IFERROR(INDEX(AY$10:AY$11,Предпосылки!$I$210,),0))*IFERROR(INDEX(AY$10:AY$11,Предпосылки!$I$210,),0),AY265/(1+IFERROR(INDEX(AY$10:AY$11,Предпосылки!$I$211,),0))*IFERROR(INDEX(AY$10:AY$11,Предпосылки!$I$211,),0),AY288/(1+IFERROR(INDEX(AY$10:AY$11,Предпосылки!$I$212,),0))*IFERROR(INDEX(AY$10:AY$11,Предпосылки!$I$212,),0),AY311/(1+IFERROR(INDEX(AY$10:AY$11,Предпосылки!$I$213,),0))*IFERROR(INDEX(AY$10:AY$11,Предпосылки!$I$213,),0),AY334/(1+IFERROR(INDEX(AY$10:AY$11,Предпосылки!$I$214,),0))*IFERROR(INDEX(AY$10:AY$11,Предпосылки!$I$214,),0),AY357/(1+IFERROR(INDEX(AY$10:AY$11,Предпосылки!$I$215,),0))*IFERROR(INDEX(AY$10:AY$11,Предпосылки!$I$215,),0),AY380/(1+IFERROR(INDEX(AY$10:AY$11,Предпосылки!$I$216,),0))*IFERROR(INDEX(AY$10:AY$11,Предпосылки!$I$216,),0),AY403/(1+IFERROR(INDEX(AY$10:AY$11,Предпосылки!$I$217,),0))*IFERROR(INDEX(AY$10:AY$11,Предпосылки!$I$217,),0),AY426/(1+IFERROR(INDEX(AY$10:AY$11,Предпосылки!$I$218,),0))*IFERROR(INDEX(AY$10:AY$11,Предпосылки!$I$218,),0),AY449/(1+IFERROR(INDEX(AY$10:AY$11,Предпосылки!$I$219,),0))*IFERROR(INDEX(AY$10:AY$11,Предпосылки!$I$219,),0),AY472/(1+IFERROR(INDEX(AY$10:AY$11,Предпосылки!$I$220,),0))*IFERROR(INDEX(AY$10:AY$11,Предпосылки!$I$220,),0))</f>
        <v>0</v>
      </c>
      <c s="125">
        <f>SUM(AZ35/(1+IFERROR(INDEX(AZ$10:AZ$11,Предпосылки!$I$201,),0))*IFERROR(INDEX(AZ$10:AZ$11,Предпосылки!$I$201,),0),AZ58/(1+IFERROR(INDEX(AZ$10:AZ$11,Предпосылки!$I$202,),0))*IFERROR(INDEX(AZ$10:AZ$11,Предпосылки!$I$202,),0),AZ81/(1+IFERROR(INDEX(AZ$10:AZ$11,Предпосылки!$I$203,),0))*IFERROR(INDEX(AZ$10:AZ$11,Предпосылки!$I$203,),0),AZ104/(1+IFERROR(INDEX(AZ$10:AZ$11,Предпосылки!$I$204,),0))*IFERROR(INDEX(AZ$10:AZ$11,Предпосылки!$I$204,),0),AZ127/(1+IFERROR(INDEX(AZ$10:AZ$11,Предпосылки!$I$205,),0))*IFERROR(INDEX(AZ$10:AZ$11,Предпосылки!$I$205,),0),AZ150/(1+IFERROR(INDEX(AZ$10:AZ$11,Предпосылки!$I$206,),0))*IFERROR(INDEX(AZ$10:AZ$11,Предпосылки!$I$206,),0),AZ173/(1+IFERROR(INDEX(AZ$10:AZ$11,Предпосылки!$I$207,),0))*IFERROR(INDEX(AZ$10:AZ$11,Предпосылки!$I$207,),0),AZ196/(1+IFERROR(INDEX(AZ$10:AZ$11,Предпосылки!$I$208,),0))*IFERROR(INDEX(AZ$10:AZ$11,Предпосылки!$I$208,),0),AZ219/(1+IFERROR(INDEX(AZ$10:AZ$11,Предпосылки!$I$209,),0))*IFERROR(INDEX(AZ$10:AZ$11,Предпосылки!$I$209,),0),AZ242/(1+IFERROR(INDEX(AZ$10:AZ$11,Предпосылки!$I$210,),0))*IFERROR(INDEX(AZ$10:AZ$11,Предпосылки!$I$210,),0),AZ265/(1+IFERROR(INDEX(AZ$10:AZ$11,Предпосылки!$I$211,),0))*IFERROR(INDEX(AZ$10:AZ$11,Предпосылки!$I$211,),0),AZ288/(1+IFERROR(INDEX(AZ$10:AZ$11,Предпосылки!$I$212,),0))*IFERROR(INDEX(AZ$10:AZ$11,Предпосылки!$I$212,),0),AZ311/(1+IFERROR(INDEX(AZ$10:AZ$11,Предпосылки!$I$213,),0))*IFERROR(INDEX(AZ$10:AZ$11,Предпосылки!$I$213,),0),AZ334/(1+IFERROR(INDEX(AZ$10:AZ$11,Предпосылки!$I$214,),0))*IFERROR(INDEX(AZ$10:AZ$11,Предпосылки!$I$214,),0),AZ357/(1+IFERROR(INDEX(AZ$10:AZ$11,Предпосылки!$I$215,),0))*IFERROR(INDEX(AZ$10:AZ$11,Предпосылки!$I$215,),0),AZ380/(1+IFERROR(INDEX(AZ$10:AZ$11,Предпосылки!$I$216,),0))*IFERROR(INDEX(AZ$10:AZ$11,Предпосылки!$I$216,),0),AZ403/(1+IFERROR(INDEX(AZ$10:AZ$11,Предпосылки!$I$217,),0))*IFERROR(INDEX(AZ$10:AZ$11,Предпосылки!$I$217,),0),AZ426/(1+IFERROR(INDEX(AZ$10:AZ$11,Предпосылки!$I$218,),0))*IFERROR(INDEX(AZ$10:AZ$11,Предпосылки!$I$218,),0),AZ449/(1+IFERROR(INDEX(AZ$10:AZ$11,Предпосылки!$I$219,),0))*IFERROR(INDEX(AZ$10:AZ$11,Предпосылки!$I$219,),0),AZ472/(1+IFERROR(INDEX(AZ$10:AZ$11,Предпосылки!$I$220,),0))*IFERROR(INDEX(AZ$10:AZ$11,Предпосылки!$I$220,),0))</f>
        <v>0</v>
      </c>
      <c s="125">
        <f>SUM(BA35/(1+IFERROR(INDEX(BA$10:BA$11,Предпосылки!$I$201,),0))*IFERROR(INDEX(BA$10:BA$11,Предпосылки!$I$201,),0),BA58/(1+IFERROR(INDEX(BA$10:BA$11,Предпосылки!$I$202,),0))*IFERROR(INDEX(BA$10:BA$11,Предпосылки!$I$202,),0),BA81/(1+IFERROR(INDEX(BA$10:BA$11,Предпосылки!$I$203,),0))*IFERROR(INDEX(BA$10:BA$11,Предпосылки!$I$203,),0),BA104/(1+IFERROR(INDEX(BA$10:BA$11,Предпосылки!$I$204,),0))*IFERROR(INDEX(BA$10:BA$11,Предпосылки!$I$204,),0),BA127/(1+IFERROR(INDEX(BA$10:BA$11,Предпосылки!$I$205,),0))*IFERROR(INDEX(BA$10:BA$11,Предпосылки!$I$205,),0),BA150/(1+IFERROR(INDEX(BA$10:BA$11,Предпосылки!$I$206,),0))*IFERROR(INDEX(BA$10:BA$11,Предпосылки!$I$206,),0),BA173/(1+IFERROR(INDEX(BA$10:BA$11,Предпосылки!$I$207,),0))*IFERROR(INDEX(BA$10:BA$11,Предпосылки!$I$207,),0),BA196/(1+IFERROR(INDEX(BA$10:BA$11,Предпосылки!$I$208,),0))*IFERROR(INDEX(BA$10:BA$11,Предпосылки!$I$208,),0),BA219/(1+IFERROR(INDEX(BA$10:BA$11,Предпосылки!$I$209,),0))*IFERROR(INDEX(BA$10:BA$11,Предпосылки!$I$209,),0),BA242/(1+IFERROR(INDEX(BA$10:BA$11,Предпосылки!$I$210,),0))*IFERROR(INDEX(BA$10:BA$11,Предпосылки!$I$210,),0),BA265/(1+IFERROR(INDEX(BA$10:BA$11,Предпосылки!$I$211,),0))*IFERROR(INDEX(BA$10:BA$11,Предпосылки!$I$211,),0),BA288/(1+IFERROR(INDEX(BA$10:BA$11,Предпосылки!$I$212,),0))*IFERROR(INDEX(BA$10:BA$11,Предпосылки!$I$212,),0),BA311/(1+IFERROR(INDEX(BA$10:BA$11,Предпосылки!$I$213,),0))*IFERROR(INDEX(BA$10:BA$11,Предпосылки!$I$213,),0),BA334/(1+IFERROR(INDEX(BA$10:BA$11,Предпосылки!$I$214,),0))*IFERROR(INDEX(BA$10:BA$11,Предпосылки!$I$214,),0),BA357/(1+IFERROR(INDEX(BA$10:BA$11,Предпосылки!$I$215,),0))*IFERROR(INDEX(BA$10:BA$11,Предпосылки!$I$215,),0),BA380/(1+IFERROR(INDEX(BA$10:BA$11,Предпосылки!$I$216,),0))*IFERROR(INDEX(BA$10:BA$11,Предпосылки!$I$216,),0),BA403/(1+IFERROR(INDEX(BA$10:BA$11,Предпосылки!$I$217,),0))*IFERROR(INDEX(BA$10:BA$11,Предпосылки!$I$217,),0),BA426/(1+IFERROR(INDEX(BA$10:BA$11,Предпосылки!$I$218,),0))*IFERROR(INDEX(BA$10:BA$11,Предпосылки!$I$218,),0),BA449/(1+IFERROR(INDEX(BA$10:BA$11,Предпосылки!$I$219,),0))*IFERROR(INDEX(BA$10:BA$11,Предпосылки!$I$219,),0),BA472/(1+IFERROR(INDEX(BA$10:BA$11,Предпосылки!$I$220,),0))*IFERROR(INDEX(BA$10:BA$11,Предпосылки!$I$220,),0))</f>
        <v>0</v>
      </c>
      <c s="125">
        <f>SUM(BB35/(1+IFERROR(INDEX(BB$10:BB$11,Предпосылки!$I$201,),0))*IFERROR(INDEX(BB$10:BB$11,Предпосылки!$I$201,),0),BB58/(1+IFERROR(INDEX(BB$10:BB$11,Предпосылки!$I$202,),0))*IFERROR(INDEX(BB$10:BB$11,Предпосылки!$I$202,),0),BB81/(1+IFERROR(INDEX(BB$10:BB$11,Предпосылки!$I$203,),0))*IFERROR(INDEX(BB$10:BB$11,Предпосылки!$I$203,),0),BB104/(1+IFERROR(INDEX(BB$10:BB$11,Предпосылки!$I$204,),0))*IFERROR(INDEX(BB$10:BB$11,Предпосылки!$I$204,),0),BB127/(1+IFERROR(INDEX(BB$10:BB$11,Предпосылки!$I$205,),0))*IFERROR(INDEX(BB$10:BB$11,Предпосылки!$I$205,),0),BB150/(1+IFERROR(INDEX(BB$10:BB$11,Предпосылки!$I$206,),0))*IFERROR(INDEX(BB$10:BB$11,Предпосылки!$I$206,),0),BB173/(1+IFERROR(INDEX(BB$10:BB$11,Предпосылки!$I$207,),0))*IFERROR(INDEX(BB$10:BB$11,Предпосылки!$I$207,),0),BB196/(1+IFERROR(INDEX(BB$10:BB$11,Предпосылки!$I$208,),0))*IFERROR(INDEX(BB$10:BB$11,Предпосылки!$I$208,),0),BB219/(1+IFERROR(INDEX(BB$10:BB$11,Предпосылки!$I$209,),0))*IFERROR(INDEX(BB$10:BB$11,Предпосылки!$I$209,),0),BB242/(1+IFERROR(INDEX(BB$10:BB$11,Предпосылки!$I$210,),0))*IFERROR(INDEX(BB$10:BB$11,Предпосылки!$I$210,),0),BB265/(1+IFERROR(INDEX(BB$10:BB$11,Предпосылки!$I$211,),0))*IFERROR(INDEX(BB$10:BB$11,Предпосылки!$I$211,),0),BB288/(1+IFERROR(INDEX(BB$10:BB$11,Предпосылки!$I$212,),0))*IFERROR(INDEX(BB$10:BB$11,Предпосылки!$I$212,),0),BB311/(1+IFERROR(INDEX(BB$10:BB$11,Предпосылки!$I$213,),0))*IFERROR(INDEX(BB$10:BB$11,Предпосылки!$I$213,),0),BB334/(1+IFERROR(INDEX(BB$10:BB$11,Предпосылки!$I$214,),0))*IFERROR(INDEX(BB$10:BB$11,Предпосылки!$I$214,),0),BB357/(1+IFERROR(INDEX(BB$10:BB$11,Предпосылки!$I$215,),0))*IFERROR(INDEX(BB$10:BB$11,Предпосылки!$I$215,),0),BB380/(1+IFERROR(INDEX(BB$10:BB$11,Предпосылки!$I$216,),0))*IFERROR(INDEX(BB$10:BB$11,Предпосылки!$I$216,),0),BB403/(1+IFERROR(INDEX(BB$10:BB$11,Предпосылки!$I$217,),0))*IFERROR(INDEX(BB$10:BB$11,Предпосылки!$I$217,),0),BB426/(1+IFERROR(INDEX(BB$10:BB$11,Предпосылки!$I$218,),0))*IFERROR(INDEX(BB$10:BB$11,Предпосылки!$I$218,),0),BB449/(1+IFERROR(INDEX(BB$10:BB$11,Предпосылки!$I$219,),0))*IFERROR(INDEX(BB$10:BB$11,Предпосылки!$I$219,),0),BB472/(1+IFERROR(INDEX(BB$10:BB$11,Предпосылки!$I$220,),0))*IFERROR(INDEX(BB$10:BB$11,Предпосылки!$I$220,),0))</f>
        <v>0</v>
      </c>
      <c s="125">
        <f>SUM(BC35/(1+IFERROR(INDEX(BC$10:BC$11,Предпосылки!$I$201,),0))*IFERROR(INDEX(BC$10:BC$11,Предпосылки!$I$201,),0),BC58/(1+IFERROR(INDEX(BC$10:BC$11,Предпосылки!$I$202,),0))*IFERROR(INDEX(BC$10:BC$11,Предпосылки!$I$202,),0),BC81/(1+IFERROR(INDEX(BC$10:BC$11,Предпосылки!$I$203,),0))*IFERROR(INDEX(BC$10:BC$11,Предпосылки!$I$203,),0),BC104/(1+IFERROR(INDEX(BC$10:BC$11,Предпосылки!$I$204,),0))*IFERROR(INDEX(BC$10:BC$11,Предпосылки!$I$204,),0),BC127/(1+IFERROR(INDEX(BC$10:BC$11,Предпосылки!$I$205,),0))*IFERROR(INDEX(BC$10:BC$11,Предпосылки!$I$205,),0),BC150/(1+IFERROR(INDEX(BC$10:BC$11,Предпосылки!$I$206,),0))*IFERROR(INDEX(BC$10:BC$11,Предпосылки!$I$206,),0),BC173/(1+IFERROR(INDEX(BC$10:BC$11,Предпосылки!$I$207,),0))*IFERROR(INDEX(BC$10:BC$11,Предпосылки!$I$207,),0),BC196/(1+IFERROR(INDEX(BC$10:BC$11,Предпосылки!$I$208,),0))*IFERROR(INDEX(BC$10:BC$11,Предпосылки!$I$208,),0),BC219/(1+IFERROR(INDEX(BC$10:BC$11,Предпосылки!$I$209,),0))*IFERROR(INDEX(BC$10:BC$11,Предпосылки!$I$209,),0),BC242/(1+IFERROR(INDEX(BC$10:BC$11,Предпосылки!$I$210,),0))*IFERROR(INDEX(BC$10:BC$11,Предпосылки!$I$210,),0),BC265/(1+IFERROR(INDEX(BC$10:BC$11,Предпосылки!$I$211,),0))*IFERROR(INDEX(BC$10:BC$11,Предпосылки!$I$211,),0),BC288/(1+IFERROR(INDEX(BC$10:BC$11,Предпосылки!$I$212,),0))*IFERROR(INDEX(BC$10:BC$11,Предпосылки!$I$212,),0),BC311/(1+IFERROR(INDEX(BC$10:BC$11,Предпосылки!$I$213,),0))*IFERROR(INDEX(BC$10:BC$11,Предпосылки!$I$213,),0),BC334/(1+IFERROR(INDEX(BC$10:BC$11,Предпосылки!$I$214,),0))*IFERROR(INDEX(BC$10:BC$11,Предпосылки!$I$214,),0),BC357/(1+IFERROR(INDEX(BC$10:BC$11,Предпосылки!$I$215,),0))*IFERROR(INDEX(BC$10:BC$11,Предпосылки!$I$215,),0),BC380/(1+IFERROR(INDEX(BC$10:BC$11,Предпосылки!$I$216,),0))*IFERROR(INDEX(BC$10:BC$11,Предпосылки!$I$216,),0),BC403/(1+IFERROR(INDEX(BC$10:BC$11,Предпосылки!$I$217,),0))*IFERROR(INDEX(BC$10:BC$11,Предпосылки!$I$217,),0),BC426/(1+IFERROR(INDEX(BC$10:BC$11,Предпосылки!$I$218,),0))*IFERROR(INDEX(BC$10:BC$11,Предпосылки!$I$218,),0),BC449/(1+IFERROR(INDEX(BC$10:BC$11,Предпосылки!$I$219,),0))*IFERROR(INDEX(BC$10:BC$11,Предпосылки!$I$219,),0),BC472/(1+IFERROR(INDEX(BC$10:BC$11,Предпосылки!$I$220,),0))*IFERROR(INDEX(BC$10:BC$11,Предпосылки!$I$220,),0))</f>
        <v>0</v>
      </c>
      <c s="125">
        <f>SUM(BD35/(1+IFERROR(INDEX(BD$10:BD$11,Предпосылки!$I$201,),0))*IFERROR(INDEX(BD$10:BD$11,Предпосылки!$I$201,),0),BD58/(1+IFERROR(INDEX(BD$10:BD$11,Предпосылки!$I$202,),0))*IFERROR(INDEX(BD$10:BD$11,Предпосылки!$I$202,),0),BD81/(1+IFERROR(INDEX(BD$10:BD$11,Предпосылки!$I$203,),0))*IFERROR(INDEX(BD$10:BD$11,Предпосылки!$I$203,),0),BD104/(1+IFERROR(INDEX(BD$10:BD$11,Предпосылки!$I$204,),0))*IFERROR(INDEX(BD$10:BD$11,Предпосылки!$I$204,),0),BD127/(1+IFERROR(INDEX(BD$10:BD$11,Предпосылки!$I$205,),0))*IFERROR(INDEX(BD$10:BD$11,Предпосылки!$I$205,),0),BD150/(1+IFERROR(INDEX(BD$10:BD$11,Предпосылки!$I$206,),0))*IFERROR(INDEX(BD$10:BD$11,Предпосылки!$I$206,),0),BD173/(1+IFERROR(INDEX(BD$10:BD$11,Предпосылки!$I$207,),0))*IFERROR(INDEX(BD$10:BD$11,Предпосылки!$I$207,),0),BD196/(1+IFERROR(INDEX(BD$10:BD$11,Предпосылки!$I$208,),0))*IFERROR(INDEX(BD$10:BD$11,Предпосылки!$I$208,),0),BD219/(1+IFERROR(INDEX(BD$10:BD$11,Предпосылки!$I$209,),0))*IFERROR(INDEX(BD$10:BD$11,Предпосылки!$I$209,),0),BD242/(1+IFERROR(INDEX(BD$10:BD$11,Предпосылки!$I$210,),0))*IFERROR(INDEX(BD$10:BD$11,Предпосылки!$I$210,),0),BD265/(1+IFERROR(INDEX(BD$10:BD$11,Предпосылки!$I$211,),0))*IFERROR(INDEX(BD$10:BD$11,Предпосылки!$I$211,),0),BD288/(1+IFERROR(INDEX(BD$10:BD$11,Предпосылки!$I$212,),0))*IFERROR(INDEX(BD$10:BD$11,Предпосылки!$I$212,),0),BD311/(1+IFERROR(INDEX(BD$10:BD$11,Предпосылки!$I$213,),0))*IFERROR(INDEX(BD$10:BD$11,Предпосылки!$I$213,),0),BD334/(1+IFERROR(INDEX(BD$10:BD$11,Предпосылки!$I$214,),0))*IFERROR(INDEX(BD$10:BD$11,Предпосылки!$I$214,),0),BD357/(1+IFERROR(INDEX(BD$10:BD$11,Предпосылки!$I$215,),0))*IFERROR(INDEX(BD$10:BD$11,Предпосылки!$I$215,),0),BD380/(1+IFERROR(INDEX(BD$10:BD$11,Предпосылки!$I$216,),0))*IFERROR(INDEX(BD$10:BD$11,Предпосылки!$I$216,),0),BD403/(1+IFERROR(INDEX(BD$10:BD$11,Предпосылки!$I$217,),0))*IFERROR(INDEX(BD$10:BD$11,Предпосылки!$I$217,),0),BD426/(1+IFERROR(INDEX(BD$10:BD$11,Предпосылки!$I$218,),0))*IFERROR(INDEX(BD$10:BD$11,Предпосылки!$I$218,),0),BD449/(1+IFERROR(INDEX(BD$10:BD$11,Предпосылки!$I$219,),0))*IFERROR(INDEX(BD$10:BD$11,Предпосылки!$I$219,),0),BD472/(1+IFERROR(INDEX(BD$10:BD$11,Предпосылки!$I$220,),0))*IFERROR(INDEX(BD$10:BD$11,Предпосылки!$I$220,),0))</f>
        <v>0</v>
      </c>
      <c s="125">
        <f>SUM(BE35/(1+IFERROR(INDEX(BE$10:BE$11,Предпосылки!$I$201,),0))*IFERROR(INDEX(BE$10:BE$11,Предпосылки!$I$201,),0),BE58/(1+IFERROR(INDEX(BE$10:BE$11,Предпосылки!$I$202,),0))*IFERROR(INDEX(BE$10:BE$11,Предпосылки!$I$202,),0),BE81/(1+IFERROR(INDEX(BE$10:BE$11,Предпосылки!$I$203,),0))*IFERROR(INDEX(BE$10:BE$11,Предпосылки!$I$203,),0),BE104/(1+IFERROR(INDEX(BE$10:BE$11,Предпосылки!$I$204,),0))*IFERROR(INDEX(BE$10:BE$11,Предпосылки!$I$204,),0),BE127/(1+IFERROR(INDEX(BE$10:BE$11,Предпосылки!$I$205,),0))*IFERROR(INDEX(BE$10:BE$11,Предпосылки!$I$205,),0),BE150/(1+IFERROR(INDEX(BE$10:BE$11,Предпосылки!$I$206,),0))*IFERROR(INDEX(BE$10:BE$11,Предпосылки!$I$206,),0),BE173/(1+IFERROR(INDEX(BE$10:BE$11,Предпосылки!$I$207,),0))*IFERROR(INDEX(BE$10:BE$11,Предпосылки!$I$207,),0),BE196/(1+IFERROR(INDEX(BE$10:BE$11,Предпосылки!$I$208,),0))*IFERROR(INDEX(BE$10:BE$11,Предпосылки!$I$208,),0),BE219/(1+IFERROR(INDEX(BE$10:BE$11,Предпосылки!$I$209,),0))*IFERROR(INDEX(BE$10:BE$11,Предпосылки!$I$209,),0),BE242/(1+IFERROR(INDEX(BE$10:BE$11,Предпосылки!$I$210,),0))*IFERROR(INDEX(BE$10:BE$11,Предпосылки!$I$210,),0),BE265/(1+IFERROR(INDEX(BE$10:BE$11,Предпосылки!$I$211,),0))*IFERROR(INDEX(BE$10:BE$11,Предпосылки!$I$211,),0),BE288/(1+IFERROR(INDEX(BE$10:BE$11,Предпосылки!$I$212,),0))*IFERROR(INDEX(BE$10:BE$11,Предпосылки!$I$212,),0),BE311/(1+IFERROR(INDEX(BE$10:BE$11,Предпосылки!$I$213,),0))*IFERROR(INDEX(BE$10:BE$11,Предпосылки!$I$213,),0),BE334/(1+IFERROR(INDEX(BE$10:BE$11,Предпосылки!$I$214,),0))*IFERROR(INDEX(BE$10:BE$11,Предпосылки!$I$214,),0),BE357/(1+IFERROR(INDEX(BE$10:BE$11,Предпосылки!$I$215,),0))*IFERROR(INDEX(BE$10:BE$11,Предпосылки!$I$215,),0),BE380/(1+IFERROR(INDEX(BE$10:BE$11,Предпосылки!$I$216,),0))*IFERROR(INDEX(BE$10:BE$11,Предпосылки!$I$216,),0),BE403/(1+IFERROR(INDEX(BE$10:BE$11,Предпосылки!$I$217,),0))*IFERROR(INDEX(BE$10:BE$11,Предпосылки!$I$217,),0),BE426/(1+IFERROR(INDEX(BE$10:BE$11,Предпосылки!$I$218,),0))*IFERROR(INDEX(BE$10:BE$11,Предпосылки!$I$218,),0),BE449/(1+IFERROR(INDEX(BE$10:BE$11,Предпосылки!$I$219,),0))*IFERROR(INDEX(BE$10:BE$11,Предпосылки!$I$219,),0),BE472/(1+IFERROR(INDEX(BE$10:BE$11,Предпосылки!$I$220,),0))*IFERROR(INDEX(BE$10:BE$11,Предпосылки!$I$220,),0))</f>
        <v>0</v>
      </c>
      <c s="125">
        <f>SUM(BF35/(1+IFERROR(INDEX(BF$10:BF$11,Предпосылки!$I$201,),0))*IFERROR(INDEX(BF$10:BF$11,Предпосылки!$I$201,),0),BF58/(1+IFERROR(INDEX(BF$10:BF$11,Предпосылки!$I$202,),0))*IFERROR(INDEX(BF$10:BF$11,Предпосылки!$I$202,),0),BF81/(1+IFERROR(INDEX(BF$10:BF$11,Предпосылки!$I$203,),0))*IFERROR(INDEX(BF$10:BF$11,Предпосылки!$I$203,),0),BF104/(1+IFERROR(INDEX(BF$10:BF$11,Предпосылки!$I$204,),0))*IFERROR(INDEX(BF$10:BF$11,Предпосылки!$I$204,),0),BF127/(1+IFERROR(INDEX(BF$10:BF$11,Предпосылки!$I$205,),0))*IFERROR(INDEX(BF$10:BF$11,Предпосылки!$I$205,),0),BF150/(1+IFERROR(INDEX(BF$10:BF$11,Предпосылки!$I$206,),0))*IFERROR(INDEX(BF$10:BF$11,Предпосылки!$I$206,),0),BF173/(1+IFERROR(INDEX(BF$10:BF$11,Предпосылки!$I$207,),0))*IFERROR(INDEX(BF$10:BF$11,Предпосылки!$I$207,),0),BF196/(1+IFERROR(INDEX(BF$10:BF$11,Предпосылки!$I$208,),0))*IFERROR(INDEX(BF$10:BF$11,Предпосылки!$I$208,),0),BF219/(1+IFERROR(INDEX(BF$10:BF$11,Предпосылки!$I$209,),0))*IFERROR(INDEX(BF$10:BF$11,Предпосылки!$I$209,),0),BF242/(1+IFERROR(INDEX(BF$10:BF$11,Предпосылки!$I$210,),0))*IFERROR(INDEX(BF$10:BF$11,Предпосылки!$I$210,),0),BF265/(1+IFERROR(INDEX(BF$10:BF$11,Предпосылки!$I$211,),0))*IFERROR(INDEX(BF$10:BF$11,Предпосылки!$I$211,),0),BF288/(1+IFERROR(INDEX(BF$10:BF$11,Предпосылки!$I$212,),0))*IFERROR(INDEX(BF$10:BF$11,Предпосылки!$I$212,),0),BF311/(1+IFERROR(INDEX(BF$10:BF$11,Предпосылки!$I$213,),0))*IFERROR(INDEX(BF$10:BF$11,Предпосылки!$I$213,),0),BF334/(1+IFERROR(INDEX(BF$10:BF$11,Предпосылки!$I$214,),0))*IFERROR(INDEX(BF$10:BF$11,Предпосылки!$I$214,),0),BF357/(1+IFERROR(INDEX(BF$10:BF$11,Предпосылки!$I$215,),0))*IFERROR(INDEX(BF$10:BF$11,Предпосылки!$I$215,),0),BF380/(1+IFERROR(INDEX(BF$10:BF$11,Предпосылки!$I$216,),0))*IFERROR(INDEX(BF$10:BF$11,Предпосылки!$I$216,),0),BF403/(1+IFERROR(INDEX(BF$10:BF$11,Предпосылки!$I$217,),0))*IFERROR(INDEX(BF$10:BF$11,Предпосылки!$I$217,),0),BF426/(1+IFERROR(INDEX(BF$10:BF$11,Предпосылки!$I$218,),0))*IFERROR(INDEX(BF$10:BF$11,Предпосылки!$I$218,),0),BF449/(1+IFERROR(INDEX(BF$10:BF$11,Предпосылки!$I$219,),0))*IFERROR(INDEX(BF$10:BF$11,Предпосылки!$I$219,),0),BF472/(1+IFERROR(INDEX(BF$10:BF$11,Предпосылки!$I$220,),0))*IFERROR(INDEX(BF$10:BF$11,Предпосылки!$I$220,),0))</f>
        <v>0</v>
      </c>
      <c s="125">
        <f>SUM(BG35/(1+IFERROR(INDEX(BG$10:BG$11,Предпосылки!$I$201,),0))*IFERROR(INDEX(BG$10:BG$11,Предпосылки!$I$201,),0),BG58/(1+IFERROR(INDEX(BG$10:BG$11,Предпосылки!$I$202,),0))*IFERROR(INDEX(BG$10:BG$11,Предпосылки!$I$202,),0),BG81/(1+IFERROR(INDEX(BG$10:BG$11,Предпосылки!$I$203,),0))*IFERROR(INDEX(BG$10:BG$11,Предпосылки!$I$203,),0),BG104/(1+IFERROR(INDEX(BG$10:BG$11,Предпосылки!$I$204,),0))*IFERROR(INDEX(BG$10:BG$11,Предпосылки!$I$204,),0),BG127/(1+IFERROR(INDEX(BG$10:BG$11,Предпосылки!$I$205,),0))*IFERROR(INDEX(BG$10:BG$11,Предпосылки!$I$205,),0),BG150/(1+IFERROR(INDEX(BG$10:BG$11,Предпосылки!$I$206,),0))*IFERROR(INDEX(BG$10:BG$11,Предпосылки!$I$206,),0),BG173/(1+IFERROR(INDEX(BG$10:BG$11,Предпосылки!$I$207,),0))*IFERROR(INDEX(BG$10:BG$11,Предпосылки!$I$207,),0),BG196/(1+IFERROR(INDEX(BG$10:BG$11,Предпосылки!$I$208,),0))*IFERROR(INDEX(BG$10:BG$11,Предпосылки!$I$208,),0),BG219/(1+IFERROR(INDEX(BG$10:BG$11,Предпосылки!$I$209,),0))*IFERROR(INDEX(BG$10:BG$11,Предпосылки!$I$209,),0),BG242/(1+IFERROR(INDEX(BG$10:BG$11,Предпосылки!$I$210,),0))*IFERROR(INDEX(BG$10:BG$11,Предпосылки!$I$210,),0),BG265/(1+IFERROR(INDEX(BG$10:BG$11,Предпосылки!$I$211,),0))*IFERROR(INDEX(BG$10:BG$11,Предпосылки!$I$211,),0),BG288/(1+IFERROR(INDEX(BG$10:BG$11,Предпосылки!$I$212,),0))*IFERROR(INDEX(BG$10:BG$11,Предпосылки!$I$212,),0),BG311/(1+IFERROR(INDEX(BG$10:BG$11,Предпосылки!$I$213,),0))*IFERROR(INDEX(BG$10:BG$11,Предпосылки!$I$213,),0),BG334/(1+IFERROR(INDEX(BG$10:BG$11,Предпосылки!$I$214,),0))*IFERROR(INDEX(BG$10:BG$11,Предпосылки!$I$214,),0),BG357/(1+IFERROR(INDEX(BG$10:BG$11,Предпосылки!$I$215,),0))*IFERROR(INDEX(BG$10:BG$11,Предпосылки!$I$215,),0),BG380/(1+IFERROR(INDEX(BG$10:BG$11,Предпосылки!$I$216,),0))*IFERROR(INDEX(BG$10:BG$11,Предпосылки!$I$216,),0),BG403/(1+IFERROR(INDEX(BG$10:BG$11,Предпосылки!$I$217,),0))*IFERROR(INDEX(BG$10:BG$11,Предпосылки!$I$217,),0),BG426/(1+IFERROR(INDEX(BG$10:BG$11,Предпосылки!$I$218,),0))*IFERROR(INDEX(BG$10:BG$11,Предпосылки!$I$218,),0),BG449/(1+IFERROR(INDEX(BG$10:BG$11,Предпосылки!$I$219,),0))*IFERROR(INDEX(BG$10:BG$11,Предпосылки!$I$219,),0),BG472/(1+IFERROR(INDEX(BG$10:BG$11,Предпосылки!$I$220,),0))*IFERROR(INDEX(BG$10:BG$11,Предпосылки!$I$220,),0))</f>
        <v>0</v>
      </c>
      <c s="125">
        <f>SUM(BH35/(1+IFERROR(INDEX(BH$10:BH$11,Предпосылки!$I$201,),0))*IFERROR(INDEX(BH$10:BH$11,Предпосылки!$I$201,),0),BH58/(1+IFERROR(INDEX(BH$10:BH$11,Предпосылки!$I$202,),0))*IFERROR(INDEX(BH$10:BH$11,Предпосылки!$I$202,),0),BH81/(1+IFERROR(INDEX(BH$10:BH$11,Предпосылки!$I$203,),0))*IFERROR(INDEX(BH$10:BH$11,Предпосылки!$I$203,),0),BH104/(1+IFERROR(INDEX(BH$10:BH$11,Предпосылки!$I$204,),0))*IFERROR(INDEX(BH$10:BH$11,Предпосылки!$I$204,),0),BH127/(1+IFERROR(INDEX(BH$10:BH$11,Предпосылки!$I$205,),0))*IFERROR(INDEX(BH$10:BH$11,Предпосылки!$I$205,),0),BH150/(1+IFERROR(INDEX(BH$10:BH$11,Предпосылки!$I$206,),0))*IFERROR(INDEX(BH$10:BH$11,Предпосылки!$I$206,),0),BH173/(1+IFERROR(INDEX(BH$10:BH$11,Предпосылки!$I$207,),0))*IFERROR(INDEX(BH$10:BH$11,Предпосылки!$I$207,),0),BH196/(1+IFERROR(INDEX(BH$10:BH$11,Предпосылки!$I$208,),0))*IFERROR(INDEX(BH$10:BH$11,Предпосылки!$I$208,),0),BH219/(1+IFERROR(INDEX(BH$10:BH$11,Предпосылки!$I$209,),0))*IFERROR(INDEX(BH$10:BH$11,Предпосылки!$I$209,),0),BH242/(1+IFERROR(INDEX(BH$10:BH$11,Предпосылки!$I$210,),0))*IFERROR(INDEX(BH$10:BH$11,Предпосылки!$I$210,),0),BH265/(1+IFERROR(INDEX(BH$10:BH$11,Предпосылки!$I$211,),0))*IFERROR(INDEX(BH$10:BH$11,Предпосылки!$I$211,),0),BH288/(1+IFERROR(INDEX(BH$10:BH$11,Предпосылки!$I$212,),0))*IFERROR(INDEX(BH$10:BH$11,Предпосылки!$I$212,),0),BH311/(1+IFERROR(INDEX(BH$10:BH$11,Предпосылки!$I$213,),0))*IFERROR(INDEX(BH$10:BH$11,Предпосылки!$I$213,),0),BH334/(1+IFERROR(INDEX(BH$10:BH$11,Предпосылки!$I$214,),0))*IFERROR(INDEX(BH$10:BH$11,Предпосылки!$I$214,),0),BH357/(1+IFERROR(INDEX(BH$10:BH$11,Предпосылки!$I$215,),0))*IFERROR(INDEX(BH$10:BH$11,Предпосылки!$I$215,),0),BH380/(1+IFERROR(INDEX(BH$10:BH$11,Предпосылки!$I$216,),0))*IFERROR(INDEX(BH$10:BH$11,Предпосылки!$I$216,),0),BH403/(1+IFERROR(INDEX(BH$10:BH$11,Предпосылки!$I$217,),0))*IFERROR(INDEX(BH$10:BH$11,Предпосылки!$I$217,),0),BH426/(1+IFERROR(INDEX(BH$10:BH$11,Предпосылки!$I$218,),0))*IFERROR(INDEX(BH$10:BH$11,Предпосылки!$I$218,),0),BH449/(1+IFERROR(INDEX(BH$10:BH$11,Предпосылки!$I$219,),0))*IFERROR(INDEX(BH$10:BH$11,Предпосылки!$I$219,),0),BH472/(1+IFERROR(INDEX(BH$10:BH$11,Предпосылки!$I$220,),0))*IFERROR(INDEX(BH$10:BH$11,Предпосылки!$I$220,),0))</f>
        <v>0</v>
      </c>
      <c s="125">
        <f>SUM(BI35/(1+IFERROR(INDEX(BI$10:BI$11,Предпосылки!$I$201,),0))*IFERROR(INDEX(BI$10:BI$11,Предпосылки!$I$201,),0),BI58/(1+IFERROR(INDEX(BI$10:BI$11,Предпосылки!$I$202,),0))*IFERROR(INDEX(BI$10:BI$11,Предпосылки!$I$202,),0),BI81/(1+IFERROR(INDEX(BI$10:BI$11,Предпосылки!$I$203,),0))*IFERROR(INDEX(BI$10:BI$11,Предпосылки!$I$203,),0),BI104/(1+IFERROR(INDEX(BI$10:BI$11,Предпосылки!$I$204,),0))*IFERROR(INDEX(BI$10:BI$11,Предпосылки!$I$204,),0),BI127/(1+IFERROR(INDEX(BI$10:BI$11,Предпосылки!$I$205,),0))*IFERROR(INDEX(BI$10:BI$11,Предпосылки!$I$205,),0),BI150/(1+IFERROR(INDEX(BI$10:BI$11,Предпосылки!$I$206,),0))*IFERROR(INDEX(BI$10:BI$11,Предпосылки!$I$206,),0),BI173/(1+IFERROR(INDEX(BI$10:BI$11,Предпосылки!$I$207,),0))*IFERROR(INDEX(BI$10:BI$11,Предпосылки!$I$207,),0),BI196/(1+IFERROR(INDEX(BI$10:BI$11,Предпосылки!$I$208,),0))*IFERROR(INDEX(BI$10:BI$11,Предпосылки!$I$208,),0),BI219/(1+IFERROR(INDEX(BI$10:BI$11,Предпосылки!$I$209,),0))*IFERROR(INDEX(BI$10:BI$11,Предпосылки!$I$209,),0),BI242/(1+IFERROR(INDEX(BI$10:BI$11,Предпосылки!$I$210,),0))*IFERROR(INDEX(BI$10:BI$11,Предпосылки!$I$210,),0),BI265/(1+IFERROR(INDEX(BI$10:BI$11,Предпосылки!$I$211,),0))*IFERROR(INDEX(BI$10:BI$11,Предпосылки!$I$211,),0),BI288/(1+IFERROR(INDEX(BI$10:BI$11,Предпосылки!$I$212,),0))*IFERROR(INDEX(BI$10:BI$11,Предпосылки!$I$212,),0),BI311/(1+IFERROR(INDEX(BI$10:BI$11,Предпосылки!$I$213,),0))*IFERROR(INDEX(BI$10:BI$11,Предпосылки!$I$213,),0),BI334/(1+IFERROR(INDEX(BI$10:BI$11,Предпосылки!$I$214,),0))*IFERROR(INDEX(BI$10:BI$11,Предпосылки!$I$214,),0),BI357/(1+IFERROR(INDEX(BI$10:BI$11,Предпосылки!$I$215,),0))*IFERROR(INDEX(BI$10:BI$11,Предпосылки!$I$215,),0),BI380/(1+IFERROR(INDEX(BI$10:BI$11,Предпосылки!$I$216,),0))*IFERROR(INDEX(BI$10:BI$11,Предпосылки!$I$216,),0),BI403/(1+IFERROR(INDEX(BI$10:BI$11,Предпосылки!$I$217,),0))*IFERROR(INDEX(BI$10:BI$11,Предпосылки!$I$217,),0),BI426/(1+IFERROR(INDEX(BI$10:BI$11,Предпосылки!$I$218,),0))*IFERROR(INDEX(BI$10:BI$11,Предпосылки!$I$218,),0),BI449/(1+IFERROR(INDEX(BI$10:BI$11,Предпосылки!$I$219,),0))*IFERROR(INDEX(BI$10:BI$11,Предпосылки!$I$219,),0),BI472/(1+IFERROR(INDEX(BI$10:BI$11,Предпосылки!$I$220,),0))*IFERROR(INDEX(BI$10:BI$11,Предпосылки!$I$220,),0))</f>
        <v>0</v>
      </c>
      <c s="125">
        <f>SUM(BJ35/(1+IFERROR(INDEX(BJ$10:BJ$11,Предпосылки!$I$201,),0))*IFERROR(INDEX(BJ$10:BJ$11,Предпосылки!$I$201,),0),BJ58/(1+IFERROR(INDEX(BJ$10:BJ$11,Предпосылки!$I$202,),0))*IFERROR(INDEX(BJ$10:BJ$11,Предпосылки!$I$202,),0),BJ81/(1+IFERROR(INDEX(BJ$10:BJ$11,Предпосылки!$I$203,),0))*IFERROR(INDEX(BJ$10:BJ$11,Предпосылки!$I$203,),0),BJ104/(1+IFERROR(INDEX(BJ$10:BJ$11,Предпосылки!$I$204,),0))*IFERROR(INDEX(BJ$10:BJ$11,Предпосылки!$I$204,),0),BJ127/(1+IFERROR(INDEX(BJ$10:BJ$11,Предпосылки!$I$205,),0))*IFERROR(INDEX(BJ$10:BJ$11,Предпосылки!$I$205,),0),BJ150/(1+IFERROR(INDEX(BJ$10:BJ$11,Предпосылки!$I$206,),0))*IFERROR(INDEX(BJ$10:BJ$11,Предпосылки!$I$206,),0),BJ173/(1+IFERROR(INDEX(BJ$10:BJ$11,Предпосылки!$I$207,),0))*IFERROR(INDEX(BJ$10:BJ$11,Предпосылки!$I$207,),0),BJ196/(1+IFERROR(INDEX(BJ$10:BJ$11,Предпосылки!$I$208,),0))*IFERROR(INDEX(BJ$10:BJ$11,Предпосылки!$I$208,),0),BJ219/(1+IFERROR(INDEX(BJ$10:BJ$11,Предпосылки!$I$209,),0))*IFERROR(INDEX(BJ$10:BJ$11,Предпосылки!$I$209,),0),BJ242/(1+IFERROR(INDEX(BJ$10:BJ$11,Предпосылки!$I$210,),0))*IFERROR(INDEX(BJ$10:BJ$11,Предпосылки!$I$210,),0),BJ265/(1+IFERROR(INDEX(BJ$10:BJ$11,Предпосылки!$I$211,),0))*IFERROR(INDEX(BJ$10:BJ$11,Предпосылки!$I$211,),0),BJ288/(1+IFERROR(INDEX(BJ$10:BJ$11,Предпосылки!$I$212,),0))*IFERROR(INDEX(BJ$10:BJ$11,Предпосылки!$I$212,),0),BJ311/(1+IFERROR(INDEX(BJ$10:BJ$11,Предпосылки!$I$213,),0))*IFERROR(INDEX(BJ$10:BJ$11,Предпосылки!$I$213,),0),BJ334/(1+IFERROR(INDEX(BJ$10:BJ$11,Предпосылки!$I$214,),0))*IFERROR(INDEX(BJ$10:BJ$11,Предпосылки!$I$214,),0),BJ357/(1+IFERROR(INDEX(BJ$10:BJ$11,Предпосылки!$I$215,),0))*IFERROR(INDEX(BJ$10:BJ$11,Предпосылки!$I$215,),0),BJ380/(1+IFERROR(INDEX(BJ$10:BJ$11,Предпосылки!$I$216,),0))*IFERROR(INDEX(BJ$10:BJ$11,Предпосылки!$I$216,),0),BJ403/(1+IFERROR(INDEX(BJ$10:BJ$11,Предпосылки!$I$217,),0))*IFERROR(INDEX(BJ$10:BJ$11,Предпосылки!$I$217,),0),BJ426/(1+IFERROR(INDEX(BJ$10:BJ$11,Предпосылки!$I$218,),0))*IFERROR(INDEX(BJ$10:BJ$11,Предпосылки!$I$218,),0),BJ449/(1+IFERROR(INDEX(BJ$10:BJ$11,Предпосылки!$I$219,),0))*IFERROR(INDEX(BJ$10:BJ$11,Предпосылки!$I$219,),0),BJ472/(1+IFERROR(INDEX(BJ$10:BJ$11,Предпосылки!$I$220,),0))*IFERROR(INDEX(BJ$10:BJ$11,Предпосылки!$I$220,),0))</f>
        <v>0</v>
      </c>
      <c s="125">
        <f>SUM(BK35/(1+IFERROR(INDEX(BK$10:BK$11,Предпосылки!$I$201,),0))*IFERROR(INDEX(BK$10:BK$11,Предпосылки!$I$201,),0),BK58/(1+IFERROR(INDEX(BK$10:BK$11,Предпосылки!$I$202,),0))*IFERROR(INDEX(BK$10:BK$11,Предпосылки!$I$202,),0),BK81/(1+IFERROR(INDEX(BK$10:BK$11,Предпосылки!$I$203,),0))*IFERROR(INDEX(BK$10:BK$11,Предпосылки!$I$203,),0),BK104/(1+IFERROR(INDEX(BK$10:BK$11,Предпосылки!$I$204,),0))*IFERROR(INDEX(BK$10:BK$11,Предпосылки!$I$204,),0),BK127/(1+IFERROR(INDEX(BK$10:BK$11,Предпосылки!$I$205,),0))*IFERROR(INDEX(BK$10:BK$11,Предпосылки!$I$205,),0),BK150/(1+IFERROR(INDEX(BK$10:BK$11,Предпосылки!$I$206,),0))*IFERROR(INDEX(BK$10:BK$11,Предпосылки!$I$206,),0),BK173/(1+IFERROR(INDEX(BK$10:BK$11,Предпосылки!$I$207,),0))*IFERROR(INDEX(BK$10:BK$11,Предпосылки!$I$207,),0),BK196/(1+IFERROR(INDEX(BK$10:BK$11,Предпосылки!$I$208,),0))*IFERROR(INDEX(BK$10:BK$11,Предпосылки!$I$208,),0),BK219/(1+IFERROR(INDEX(BK$10:BK$11,Предпосылки!$I$209,),0))*IFERROR(INDEX(BK$10:BK$11,Предпосылки!$I$209,),0),BK242/(1+IFERROR(INDEX(BK$10:BK$11,Предпосылки!$I$210,),0))*IFERROR(INDEX(BK$10:BK$11,Предпосылки!$I$210,),0),BK265/(1+IFERROR(INDEX(BK$10:BK$11,Предпосылки!$I$211,),0))*IFERROR(INDEX(BK$10:BK$11,Предпосылки!$I$211,),0),BK288/(1+IFERROR(INDEX(BK$10:BK$11,Предпосылки!$I$212,),0))*IFERROR(INDEX(BK$10:BK$11,Предпосылки!$I$212,),0),BK311/(1+IFERROR(INDEX(BK$10:BK$11,Предпосылки!$I$213,),0))*IFERROR(INDEX(BK$10:BK$11,Предпосылки!$I$213,),0),BK334/(1+IFERROR(INDEX(BK$10:BK$11,Предпосылки!$I$214,),0))*IFERROR(INDEX(BK$10:BK$11,Предпосылки!$I$214,),0),BK357/(1+IFERROR(INDEX(BK$10:BK$11,Предпосылки!$I$215,),0))*IFERROR(INDEX(BK$10:BK$11,Предпосылки!$I$215,),0),BK380/(1+IFERROR(INDEX(BK$10:BK$11,Предпосылки!$I$216,),0))*IFERROR(INDEX(BK$10:BK$11,Предпосылки!$I$216,),0),BK403/(1+IFERROR(INDEX(BK$10:BK$11,Предпосылки!$I$217,),0))*IFERROR(INDEX(BK$10:BK$11,Предпосылки!$I$217,),0),BK426/(1+IFERROR(INDEX(BK$10:BK$11,Предпосылки!$I$218,),0))*IFERROR(INDEX(BK$10:BK$11,Предпосылки!$I$218,),0),BK449/(1+IFERROR(INDEX(BK$10:BK$11,Предпосылки!$I$219,),0))*IFERROR(INDEX(BK$10:BK$11,Предпосылки!$I$219,),0),BK472/(1+IFERROR(INDEX(BK$10:BK$11,Предпосылки!$I$220,),0))*IFERROR(INDEX(BK$10:BK$11,Предпосылки!$I$220,),0))</f>
        <v>0</v>
      </c>
      <c s="125">
        <f>SUM(BL35/(1+IFERROR(INDEX(BL$10:BL$11,Предпосылки!$I$201,),0))*IFERROR(INDEX(BL$10:BL$11,Предпосылки!$I$201,),0),BL58/(1+IFERROR(INDEX(BL$10:BL$11,Предпосылки!$I$202,),0))*IFERROR(INDEX(BL$10:BL$11,Предпосылки!$I$202,),0),BL81/(1+IFERROR(INDEX(BL$10:BL$11,Предпосылки!$I$203,),0))*IFERROR(INDEX(BL$10:BL$11,Предпосылки!$I$203,),0),BL104/(1+IFERROR(INDEX(BL$10:BL$11,Предпосылки!$I$204,),0))*IFERROR(INDEX(BL$10:BL$11,Предпосылки!$I$204,),0),BL127/(1+IFERROR(INDEX(BL$10:BL$11,Предпосылки!$I$205,),0))*IFERROR(INDEX(BL$10:BL$11,Предпосылки!$I$205,),0),BL150/(1+IFERROR(INDEX(BL$10:BL$11,Предпосылки!$I$206,),0))*IFERROR(INDEX(BL$10:BL$11,Предпосылки!$I$206,),0),BL173/(1+IFERROR(INDEX(BL$10:BL$11,Предпосылки!$I$207,),0))*IFERROR(INDEX(BL$10:BL$11,Предпосылки!$I$207,),0),BL196/(1+IFERROR(INDEX(BL$10:BL$11,Предпосылки!$I$208,),0))*IFERROR(INDEX(BL$10:BL$11,Предпосылки!$I$208,),0),BL219/(1+IFERROR(INDEX(BL$10:BL$11,Предпосылки!$I$209,),0))*IFERROR(INDEX(BL$10:BL$11,Предпосылки!$I$209,),0),BL242/(1+IFERROR(INDEX(BL$10:BL$11,Предпосылки!$I$210,),0))*IFERROR(INDEX(BL$10:BL$11,Предпосылки!$I$210,),0),BL265/(1+IFERROR(INDEX(BL$10:BL$11,Предпосылки!$I$211,),0))*IFERROR(INDEX(BL$10:BL$11,Предпосылки!$I$211,),0),BL288/(1+IFERROR(INDEX(BL$10:BL$11,Предпосылки!$I$212,),0))*IFERROR(INDEX(BL$10:BL$11,Предпосылки!$I$212,),0),BL311/(1+IFERROR(INDEX(BL$10:BL$11,Предпосылки!$I$213,),0))*IFERROR(INDEX(BL$10:BL$11,Предпосылки!$I$213,),0),BL334/(1+IFERROR(INDEX(BL$10:BL$11,Предпосылки!$I$214,),0))*IFERROR(INDEX(BL$10:BL$11,Предпосылки!$I$214,),0),BL357/(1+IFERROR(INDEX(BL$10:BL$11,Предпосылки!$I$215,),0))*IFERROR(INDEX(BL$10:BL$11,Предпосылки!$I$215,),0),BL380/(1+IFERROR(INDEX(BL$10:BL$11,Предпосылки!$I$216,),0))*IFERROR(INDEX(BL$10:BL$11,Предпосылки!$I$216,),0),BL403/(1+IFERROR(INDEX(BL$10:BL$11,Предпосылки!$I$217,),0))*IFERROR(INDEX(BL$10:BL$11,Предпосылки!$I$217,),0),BL426/(1+IFERROR(INDEX(BL$10:BL$11,Предпосылки!$I$218,),0))*IFERROR(INDEX(BL$10:BL$11,Предпосылки!$I$218,),0),BL449/(1+IFERROR(INDEX(BL$10:BL$11,Предпосылки!$I$219,),0))*IFERROR(INDEX(BL$10:BL$11,Предпосылки!$I$219,),0),BL472/(1+IFERROR(INDEX(BL$10:BL$11,Предпосылки!$I$220,),0))*IFERROR(INDEX(BL$10:BL$11,Предпосылки!$I$220,),0))</f>
        <v>0</v>
      </c>
      <c s="125">
        <f>SUM(BM35/(1+IFERROR(INDEX(BM$10:BM$11,Предпосылки!$I$201,),0))*IFERROR(INDEX(BM$10:BM$11,Предпосылки!$I$201,),0),BM58/(1+IFERROR(INDEX(BM$10:BM$11,Предпосылки!$I$202,),0))*IFERROR(INDEX(BM$10:BM$11,Предпосылки!$I$202,),0),BM81/(1+IFERROR(INDEX(BM$10:BM$11,Предпосылки!$I$203,),0))*IFERROR(INDEX(BM$10:BM$11,Предпосылки!$I$203,),0),BM104/(1+IFERROR(INDEX(BM$10:BM$11,Предпосылки!$I$204,),0))*IFERROR(INDEX(BM$10:BM$11,Предпосылки!$I$204,),0),BM127/(1+IFERROR(INDEX(BM$10:BM$11,Предпосылки!$I$205,),0))*IFERROR(INDEX(BM$10:BM$11,Предпосылки!$I$205,),0),BM150/(1+IFERROR(INDEX(BM$10:BM$11,Предпосылки!$I$206,),0))*IFERROR(INDEX(BM$10:BM$11,Предпосылки!$I$206,),0),BM173/(1+IFERROR(INDEX(BM$10:BM$11,Предпосылки!$I$207,),0))*IFERROR(INDEX(BM$10:BM$11,Предпосылки!$I$207,),0),BM196/(1+IFERROR(INDEX(BM$10:BM$11,Предпосылки!$I$208,),0))*IFERROR(INDEX(BM$10:BM$11,Предпосылки!$I$208,),0),BM219/(1+IFERROR(INDEX(BM$10:BM$11,Предпосылки!$I$209,),0))*IFERROR(INDEX(BM$10:BM$11,Предпосылки!$I$209,),0),BM242/(1+IFERROR(INDEX(BM$10:BM$11,Предпосылки!$I$210,),0))*IFERROR(INDEX(BM$10:BM$11,Предпосылки!$I$210,),0),BM265/(1+IFERROR(INDEX(BM$10:BM$11,Предпосылки!$I$211,),0))*IFERROR(INDEX(BM$10:BM$11,Предпосылки!$I$211,),0),BM288/(1+IFERROR(INDEX(BM$10:BM$11,Предпосылки!$I$212,),0))*IFERROR(INDEX(BM$10:BM$11,Предпосылки!$I$212,),0),BM311/(1+IFERROR(INDEX(BM$10:BM$11,Предпосылки!$I$213,),0))*IFERROR(INDEX(BM$10:BM$11,Предпосылки!$I$213,),0),BM334/(1+IFERROR(INDEX(BM$10:BM$11,Предпосылки!$I$214,),0))*IFERROR(INDEX(BM$10:BM$11,Предпосылки!$I$214,),0),BM357/(1+IFERROR(INDEX(BM$10:BM$11,Предпосылки!$I$215,),0))*IFERROR(INDEX(BM$10:BM$11,Предпосылки!$I$215,),0),BM380/(1+IFERROR(INDEX(BM$10:BM$11,Предпосылки!$I$216,),0))*IFERROR(INDEX(BM$10:BM$11,Предпосылки!$I$216,),0),BM403/(1+IFERROR(INDEX(BM$10:BM$11,Предпосылки!$I$217,),0))*IFERROR(INDEX(BM$10:BM$11,Предпосылки!$I$217,),0),BM426/(1+IFERROR(INDEX(BM$10:BM$11,Предпосылки!$I$218,),0))*IFERROR(INDEX(BM$10:BM$11,Предпосылки!$I$218,),0),BM449/(1+IFERROR(INDEX(BM$10:BM$11,Предпосылки!$I$219,),0))*IFERROR(INDEX(BM$10:BM$11,Предпосылки!$I$219,),0),BM472/(1+IFERROR(INDEX(BM$10:BM$11,Предпосылки!$I$220,),0))*IFERROR(INDEX(BM$10:BM$11,Предпосылки!$I$220,),0))</f>
        <v>0</v>
      </c>
    </row>
    <row r="567" spans="2:65" ht="15" customHeight="1">
      <c r="B567" s="12" t="str">
        <f t="shared" si="255"/>
        <v>Продукт 14</v>
      </c>
      <c s="124" t="str">
        <f t="shared" si="254"/>
        <v>тыс. руб.</v>
      </c>
      <c s="276">
        <f t="shared" si="256"/>
        <v>0</v>
      </c>
      <c s="125">
        <f>SUM(E36/(1+IFERROR(INDEX(E$10:E$11,Предпосылки!$I214,),0))*IFERROR(INDEX(E$10:E$11,Предпосылки!$I214,),0),E59/(1+IFERROR(INDEX(E$10:E$11,Предпосылки!$I215,),0))*IFERROR(INDEX(E$10:E$11,Предпосылки!$I215,),0),E82/(1+IFERROR(INDEX(E$10:E$11,Предпосылки!$I216,),0))*IFERROR(INDEX(E$10:E$11,Предпосылки!$I216,),0),E105/(1+IFERROR(INDEX(E$10:E$11,Предпосылки!$I217,),0))*IFERROR(INDEX(E$10:E$11,Предпосылки!$I217,),0),E128/(1+IFERROR(INDEX(E$10:E$11,Предпосылки!$I218,),0))*IFERROR(INDEX(E$10:E$11,Предпосылки!$I218,),0),E151/(1+IFERROR(INDEX(E$10:E$11,Предпосылки!$I219,),0))*IFERROR(INDEX(E$10:E$11,Предпосылки!$I219,),0),E174/(1+IFERROR(INDEX(E$10:E$11,Предпосылки!$I220,),0))*IFERROR(INDEX(E$10:E$11,Предпосылки!$I220,),0),E197/(1+IFERROR(INDEX(E$10:E$11,Предпосылки!$I221,),0))*IFERROR(INDEX(E$10:E$11,Предпосылки!$I221,),0),E220/(1+IFERROR(INDEX(E$10:E$11,Предпосылки!$I222,),0))*IFERROR(INDEX(E$10:E$11,Предпосылки!$I222,),0),E243/(1+IFERROR(INDEX(E$10:E$11,Предпосылки!$I223,),0))*IFERROR(INDEX(E$10:E$11,Предпосылки!$I223,),0),E266/(1+IFERROR(INDEX(E$10:E$11,Предпосылки!$I224,),0))*IFERROR(INDEX(E$10:E$11,Предпосылки!$I224,),0),E289/(1+IFERROR(INDEX(E$10:E$11,Предпосылки!$I225,),0))*IFERROR(INDEX(E$10:E$11,Предпосылки!$I225,),0),E312/(1+IFERROR(INDEX(E$10:E$11,Предпосылки!$I226,),0))*IFERROR(INDEX(E$10:E$11,Предпосылки!$I226,),0),E335/(1+IFERROR(INDEX(E$10:E$11,Предпосылки!$I227,),0))*IFERROR(INDEX(E$10:E$11,Предпосылки!$I227,),0),E358/(1+IFERROR(INDEX(E$10:E$11,Предпосылки!$I228,),0))*IFERROR(INDEX(E$10:E$11,Предпосылки!$I228,),0),E381/(1+IFERROR(INDEX(E$10:E$11,Предпосылки!$I229,),0))*IFERROR(INDEX(E$10:E$11,Предпосылки!$I229,),0),E404/(1+IFERROR(INDEX(E$10:E$11,Предпосылки!$I230,),0))*IFERROR(INDEX(E$10:E$11,Предпосылки!$I230,),0),E427/(1+IFERROR(INDEX(E$10:E$11,Предпосылки!$I231,),0))*IFERROR(INDEX(E$10:E$11,Предпосылки!$I231,),0),E450/(1+IFERROR(INDEX(E$10:E$11,Предпосылки!$I232,),0))*IFERROR(INDEX(E$10:E$11,Предпосылки!$I232,),0),E473/(1+IFERROR(INDEX(E$10:E$11,Предпосылки!$I233,),0))*IFERROR(INDEX(E$10:E$11,Предпосылки!$I233,),0))</f>
        <v>0</v>
      </c>
      <c s="125">
        <f>SUM(F36/(1+IFERROR(INDEX(F$10:F$11,Предпосылки!$I$201,),0))*IFERROR(INDEX(F$10:F$11,Предпосылки!$I$201,),0),F59/(1+IFERROR(INDEX(F$10:F$11,Предпосылки!$I$202,),0))*IFERROR(INDEX(F$10:F$11,Предпосылки!$I$202,),0),F82/(1+IFERROR(INDEX(F$10:F$11,Предпосылки!$I$203,),0))*IFERROR(INDEX(F$10:F$11,Предпосылки!$I$203,),0),F105/(1+IFERROR(INDEX(F$10:F$11,Предпосылки!$I$204,),0))*IFERROR(INDEX(F$10:F$11,Предпосылки!$I$204,),0),F128/(1+IFERROR(INDEX(F$10:F$11,Предпосылки!$I$205,),0))*IFERROR(INDEX(F$10:F$11,Предпосылки!$I$205,),0),F151/(1+IFERROR(INDEX(F$10:F$11,Предпосылки!$I$206,),0))*IFERROR(INDEX(F$10:F$11,Предпосылки!$I$206,),0),F174/(1+IFERROR(INDEX(F$10:F$11,Предпосылки!$I$207,),0))*IFERROR(INDEX(F$10:F$11,Предпосылки!$I$207,),0),F197/(1+IFERROR(INDEX(F$10:F$11,Предпосылки!$I$208,),0))*IFERROR(INDEX(F$10:F$11,Предпосылки!$I$208,),0),F220/(1+IFERROR(INDEX(F$10:F$11,Предпосылки!$I$209,),0))*IFERROR(INDEX(F$10:F$11,Предпосылки!$I$209,),0),F243/(1+IFERROR(INDEX(F$10:F$11,Предпосылки!$I$210,),0))*IFERROR(INDEX(F$10:F$11,Предпосылки!$I$210,),0),F266/(1+IFERROR(INDEX(F$10:F$11,Предпосылки!$I$211,),0))*IFERROR(INDEX(F$10:F$11,Предпосылки!$I$211,),0),F289/(1+IFERROR(INDEX(F$10:F$11,Предпосылки!$I$212,),0))*IFERROR(INDEX(F$10:F$11,Предпосылки!$I$212,),0),F312/(1+IFERROR(INDEX(F$10:F$11,Предпосылки!$I$213,),0))*IFERROR(INDEX(F$10:F$11,Предпосылки!$I$213,),0),F335/(1+IFERROR(INDEX(F$10:F$11,Предпосылки!$I$214,),0))*IFERROR(INDEX(F$10:F$11,Предпосылки!$I$214,),0),F358/(1+IFERROR(INDEX(F$10:F$11,Предпосылки!$I$215,),0))*IFERROR(INDEX(F$10:F$11,Предпосылки!$I$215,),0),F381/(1+IFERROR(INDEX(F$10:F$11,Предпосылки!$I$216,),0))*IFERROR(INDEX(F$10:F$11,Предпосылки!$I$216,),0),F404/(1+IFERROR(INDEX(F$10:F$11,Предпосылки!$I$217,),0))*IFERROR(INDEX(F$10:F$11,Предпосылки!$I$217,),0),F427/(1+IFERROR(INDEX(F$10:F$11,Предпосылки!$I$218,),0))*IFERROR(INDEX(F$10:F$11,Предпосылки!$I$218,),0),F450/(1+IFERROR(INDEX(F$10:F$11,Предпосылки!$I$219,),0))*IFERROR(INDEX(F$10:F$11,Предпосылки!$I$219,),0),F473/(1+IFERROR(INDEX(F$10:F$11,Предпосылки!$I$220,),0))*IFERROR(INDEX(F$10:F$11,Предпосылки!$I$220,),0))</f>
        <v>0</v>
      </c>
      <c s="125">
        <f>SUM(G36/(1+IFERROR(INDEX(G$10:G$11,Предпосылки!$I$201,),0))*IFERROR(INDEX(G$10:G$11,Предпосылки!$I$201,),0),G59/(1+IFERROR(INDEX(G$10:G$11,Предпосылки!$I$202,),0))*IFERROR(INDEX(G$10:G$11,Предпосылки!$I$202,),0),G82/(1+IFERROR(INDEX(G$10:G$11,Предпосылки!$I$203,),0))*IFERROR(INDEX(G$10:G$11,Предпосылки!$I$203,),0),G105/(1+IFERROR(INDEX(G$10:G$11,Предпосылки!$I$204,),0))*IFERROR(INDEX(G$10:G$11,Предпосылки!$I$204,),0),G128/(1+IFERROR(INDEX(G$10:G$11,Предпосылки!$I$205,),0))*IFERROR(INDEX(G$10:G$11,Предпосылки!$I$205,),0),G151/(1+IFERROR(INDEX(G$10:G$11,Предпосылки!$I$206,),0))*IFERROR(INDEX(G$10:G$11,Предпосылки!$I$206,),0),G174/(1+IFERROR(INDEX(G$10:G$11,Предпосылки!$I$207,),0))*IFERROR(INDEX(G$10:G$11,Предпосылки!$I$207,),0),G197/(1+IFERROR(INDEX(G$10:G$11,Предпосылки!$I$208,),0))*IFERROR(INDEX(G$10:G$11,Предпосылки!$I$208,),0),G220/(1+IFERROR(INDEX(G$10:G$11,Предпосылки!$I$209,),0))*IFERROR(INDEX(G$10:G$11,Предпосылки!$I$209,),0),G243/(1+IFERROR(INDEX(G$10:G$11,Предпосылки!$I$210,),0))*IFERROR(INDEX(G$10:G$11,Предпосылки!$I$210,),0),G266/(1+IFERROR(INDEX(G$10:G$11,Предпосылки!$I$211,),0))*IFERROR(INDEX(G$10:G$11,Предпосылки!$I$211,),0),G289/(1+IFERROR(INDEX(G$10:G$11,Предпосылки!$I$212,),0))*IFERROR(INDEX(G$10:G$11,Предпосылки!$I$212,),0),G312/(1+IFERROR(INDEX(G$10:G$11,Предпосылки!$I$213,),0))*IFERROR(INDEX(G$10:G$11,Предпосылки!$I$213,),0),G335/(1+IFERROR(INDEX(G$10:G$11,Предпосылки!$I$214,),0))*IFERROR(INDEX(G$10:G$11,Предпосылки!$I$214,),0),G358/(1+IFERROR(INDEX(G$10:G$11,Предпосылки!$I$215,),0))*IFERROR(INDEX(G$10:G$11,Предпосылки!$I$215,),0),G381/(1+IFERROR(INDEX(G$10:G$11,Предпосылки!$I$216,),0))*IFERROR(INDEX(G$10:G$11,Предпосылки!$I$216,),0),G404/(1+IFERROR(INDEX(G$10:G$11,Предпосылки!$I$217,),0))*IFERROR(INDEX(G$10:G$11,Предпосылки!$I$217,),0),G427/(1+IFERROR(INDEX(G$10:G$11,Предпосылки!$I$218,),0))*IFERROR(INDEX(G$10:G$11,Предпосылки!$I$218,),0),G450/(1+IFERROR(INDEX(G$10:G$11,Предпосылки!$I$219,),0))*IFERROR(INDEX(G$10:G$11,Предпосылки!$I$219,),0),G473/(1+IFERROR(INDEX(G$10:G$11,Предпосылки!$I$220,),0))*IFERROR(INDEX(G$10:G$11,Предпосылки!$I$220,),0))</f>
        <v>0</v>
      </c>
      <c s="125">
        <f>SUM(H36/(1+IFERROR(INDEX(H$10:H$11,Предпосылки!$I$201,),0))*IFERROR(INDEX(H$10:H$11,Предпосылки!$I$201,),0),H59/(1+IFERROR(INDEX(H$10:H$11,Предпосылки!$I$202,),0))*IFERROR(INDEX(H$10:H$11,Предпосылки!$I$202,),0),H82/(1+IFERROR(INDEX(H$10:H$11,Предпосылки!$I$203,),0))*IFERROR(INDEX(H$10:H$11,Предпосылки!$I$203,),0),H105/(1+IFERROR(INDEX(H$10:H$11,Предпосылки!$I$204,),0))*IFERROR(INDEX(H$10:H$11,Предпосылки!$I$204,),0),H128/(1+IFERROR(INDEX(H$10:H$11,Предпосылки!$I$205,),0))*IFERROR(INDEX(H$10:H$11,Предпосылки!$I$205,),0),H151/(1+IFERROR(INDEX(H$10:H$11,Предпосылки!$I$206,),0))*IFERROR(INDEX(H$10:H$11,Предпосылки!$I$206,),0),H174/(1+IFERROR(INDEX(H$10:H$11,Предпосылки!$I$207,),0))*IFERROR(INDEX(H$10:H$11,Предпосылки!$I$207,),0),H197/(1+IFERROR(INDEX(H$10:H$11,Предпосылки!$I$208,),0))*IFERROR(INDEX(H$10:H$11,Предпосылки!$I$208,),0),H220/(1+IFERROR(INDEX(H$10:H$11,Предпосылки!$I$209,),0))*IFERROR(INDEX(H$10:H$11,Предпосылки!$I$209,),0),H243/(1+IFERROR(INDEX(H$10:H$11,Предпосылки!$I$210,),0))*IFERROR(INDEX(H$10:H$11,Предпосылки!$I$210,),0),H266/(1+IFERROR(INDEX(H$10:H$11,Предпосылки!$I$211,),0))*IFERROR(INDEX(H$10:H$11,Предпосылки!$I$211,),0),H289/(1+IFERROR(INDEX(H$10:H$11,Предпосылки!$I$212,),0))*IFERROR(INDEX(H$10:H$11,Предпосылки!$I$212,),0),H312/(1+IFERROR(INDEX(H$10:H$11,Предпосылки!$I$213,),0))*IFERROR(INDEX(H$10:H$11,Предпосылки!$I$213,),0),H335/(1+IFERROR(INDEX(H$10:H$11,Предпосылки!$I$214,),0))*IFERROR(INDEX(H$10:H$11,Предпосылки!$I$214,),0),H358/(1+IFERROR(INDEX(H$10:H$11,Предпосылки!$I$215,),0))*IFERROR(INDEX(H$10:H$11,Предпосылки!$I$215,),0),H381/(1+IFERROR(INDEX(H$10:H$11,Предпосылки!$I$216,),0))*IFERROR(INDEX(H$10:H$11,Предпосылки!$I$216,),0),H404/(1+IFERROR(INDEX(H$10:H$11,Предпосылки!$I$217,),0))*IFERROR(INDEX(H$10:H$11,Предпосылки!$I$217,),0),H427/(1+IFERROR(INDEX(H$10:H$11,Предпосылки!$I$218,),0))*IFERROR(INDEX(H$10:H$11,Предпосылки!$I$218,),0),H450/(1+IFERROR(INDEX(H$10:H$11,Предпосылки!$I$219,),0))*IFERROR(INDEX(H$10:H$11,Предпосылки!$I$219,),0),H473/(1+IFERROR(INDEX(H$10:H$11,Предпосылки!$I$220,),0))*IFERROR(INDEX(H$10:H$11,Предпосылки!$I$220,),0))</f>
        <v>0</v>
      </c>
      <c s="125">
        <f>SUM(I36/(1+IFERROR(INDEX(I$10:I$11,Предпосылки!$I$201,),0))*IFERROR(INDEX(I$10:I$11,Предпосылки!$I$201,),0),I59/(1+IFERROR(INDEX(I$10:I$11,Предпосылки!$I$202,),0))*IFERROR(INDEX(I$10:I$11,Предпосылки!$I$202,),0),I82/(1+IFERROR(INDEX(I$10:I$11,Предпосылки!$I$203,),0))*IFERROR(INDEX(I$10:I$11,Предпосылки!$I$203,),0),I105/(1+IFERROR(INDEX(I$10:I$11,Предпосылки!$I$204,),0))*IFERROR(INDEX(I$10:I$11,Предпосылки!$I$204,),0),I128/(1+IFERROR(INDEX(I$10:I$11,Предпосылки!$I$205,),0))*IFERROR(INDEX(I$10:I$11,Предпосылки!$I$205,),0),I151/(1+IFERROR(INDEX(I$10:I$11,Предпосылки!$I$206,),0))*IFERROR(INDEX(I$10:I$11,Предпосылки!$I$206,),0),I174/(1+IFERROR(INDEX(I$10:I$11,Предпосылки!$I$207,),0))*IFERROR(INDEX(I$10:I$11,Предпосылки!$I$207,),0),I197/(1+IFERROR(INDEX(I$10:I$11,Предпосылки!$I$208,),0))*IFERROR(INDEX(I$10:I$11,Предпосылки!$I$208,),0),I220/(1+IFERROR(INDEX(I$10:I$11,Предпосылки!$I$209,),0))*IFERROR(INDEX(I$10:I$11,Предпосылки!$I$209,),0),I243/(1+IFERROR(INDEX(I$10:I$11,Предпосылки!$I$210,),0))*IFERROR(INDEX(I$10:I$11,Предпосылки!$I$210,),0),I266/(1+IFERROR(INDEX(I$10:I$11,Предпосылки!$I$211,),0))*IFERROR(INDEX(I$10:I$11,Предпосылки!$I$211,),0),I289/(1+IFERROR(INDEX(I$10:I$11,Предпосылки!$I$212,),0))*IFERROR(INDEX(I$10:I$11,Предпосылки!$I$212,),0),I312/(1+IFERROR(INDEX(I$10:I$11,Предпосылки!$I$213,),0))*IFERROR(INDEX(I$10:I$11,Предпосылки!$I$213,),0),I335/(1+IFERROR(INDEX(I$10:I$11,Предпосылки!$I$214,),0))*IFERROR(INDEX(I$10:I$11,Предпосылки!$I$214,),0),I358/(1+IFERROR(INDEX(I$10:I$11,Предпосылки!$I$215,),0))*IFERROR(INDEX(I$10:I$11,Предпосылки!$I$215,),0),I381/(1+IFERROR(INDEX(I$10:I$11,Предпосылки!$I$216,),0))*IFERROR(INDEX(I$10:I$11,Предпосылки!$I$216,),0),I404/(1+IFERROR(INDEX(I$10:I$11,Предпосылки!$I$217,),0))*IFERROR(INDEX(I$10:I$11,Предпосылки!$I$217,),0),I427/(1+IFERROR(INDEX(I$10:I$11,Предпосылки!$I$218,),0))*IFERROR(INDEX(I$10:I$11,Предпосылки!$I$218,),0),I450/(1+IFERROR(INDEX(I$10:I$11,Предпосылки!$I$219,),0))*IFERROR(INDEX(I$10:I$11,Предпосылки!$I$219,),0),I473/(1+IFERROR(INDEX(I$10:I$11,Предпосылки!$I$220,),0))*IFERROR(INDEX(I$10:I$11,Предпосылки!$I$220,),0))</f>
        <v>0</v>
      </c>
      <c s="125">
        <f>SUM(J36/(1+IFERROR(INDEX(J$10:J$11,Предпосылки!$I$201,),0))*IFERROR(INDEX(J$10:J$11,Предпосылки!$I$201,),0),J59/(1+IFERROR(INDEX(J$10:J$11,Предпосылки!$I$202,),0))*IFERROR(INDEX(J$10:J$11,Предпосылки!$I$202,),0),J82/(1+IFERROR(INDEX(J$10:J$11,Предпосылки!$I$203,),0))*IFERROR(INDEX(J$10:J$11,Предпосылки!$I$203,),0),J105/(1+IFERROR(INDEX(J$10:J$11,Предпосылки!$I$204,),0))*IFERROR(INDEX(J$10:J$11,Предпосылки!$I$204,),0),J128/(1+IFERROR(INDEX(J$10:J$11,Предпосылки!$I$205,),0))*IFERROR(INDEX(J$10:J$11,Предпосылки!$I$205,),0),J151/(1+IFERROR(INDEX(J$10:J$11,Предпосылки!$I$206,),0))*IFERROR(INDEX(J$10:J$11,Предпосылки!$I$206,),0),J174/(1+IFERROR(INDEX(J$10:J$11,Предпосылки!$I$207,),0))*IFERROR(INDEX(J$10:J$11,Предпосылки!$I$207,),0),J197/(1+IFERROR(INDEX(J$10:J$11,Предпосылки!$I$208,),0))*IFERROR(INDEX(J$10:J$11,Предпосылки!$I$208,),0),J220/(1+IFERROR(INDEX(J$10:J$11,Предпосылки!$I$209,),0))*IFERROR(INDEX(J$10:J$11,Предпосылки!$I$209,),0),J243/(1+IFERROR(INDEX(J$10:J$11,Предпосылки!$I$210,),0))*IFERROR(INDEX(J$10:J$11,Предпосылки!$I$210,),0),J266/(1+IFERROR(INDEX(J$10:J$11,Предпосылки!$I$211,),0))*IFERROR(INDEX(J$10:J$11,Предпосылки!$I$211,),0),J289/(1+IFERROR(INDEX(J$10:J$11,Предпосылки!$I$212,),0))*IFERROR(INDEX(J$10:J$11,Предпосылки!$I$212,),0),J312/(1+IFERROR(INDEX(J$10:J$11,Предпосылки!$I$213,),0))*IFERROR(INDEX(J$10:J$11,Предпосылки!$I$213,),0),J335/(1+IFERROR(INDEX(J$10:J$11,Предпосылки!$I$214,),0))*IFERROR(INDEX(J$10:J$11,Предпосылки!$I$214,),0),J358/(1+IFERROR(INDEX(J$10:J$11,Предпосылки!$I$215,),0))*IFERROR(INDEX(J$10:J$11,Предпосылки!$I$215,),0),J381/(1+IFERROR(INDEX(J$10:J$11,Предпосылки!$I$216,),0))*IFERROR(INDEX(J$10:J$11,Предпосылки!$I$216,),0),J404/(1+IFERROR(INDEX(J$10:J$11,Предпосылки!$I$217,),0))*IFERROR(INDEX(J$10:J$11,Предпосылки!$I$217,),0),J427/(1+IFERROR(INDEX(J$10:J$11,Предпосылки!$I$218,),0))*IFERROR(INDEX(J$10:J$11,Предпосылки!$I$218,),0),J450/(1+IFERROR(INDEX(J$10:J$11,Предпосылки!$I$219,),0))*IFERROR(INDEX(J$10:J$11,Предпосылки!$I$219,),0),J473/(1+IFERROR(INDEX(J$10:J$11,Предпосылки!$I$220,),0))*IFERROR(INDEX(J$10:J$11,Предпосылки!$I$220,),0))</f>
        <v>0</v>
      </c>
      <c s="125">
        <f>SUM(K36/(1+IFERROR(INDEX(K$10:K$11,Предпосылки!$I$201,),0))*IFERROR(INDEX(K$10:K$11,Предпосылки!$I$201,),0),K59/(1+IFERROR(INDEX(K$10:K$11,Предпосылки!$I$202,),0))*IFERROR(INDEX(K$10:K$11,Предпосылки!$I$202,),0),K82/(1+IFERROR(INDEX(K$10:K$11,Предпосылки!$I$203,),0))*IFERROR(INDEX(K$10:K$11,Предпосылки!$I$203,),0),K105/(1+IFERROR(INDEX(K$10:K$11,Предпосылки!$I$204,),0))*IFERROR(INDEX(K$10:K$11,Предпосылки!$I$204,),0),K128/(1+IFERROR(INDEX(K$10:K$11,Предпосылки!$I$205,),0))*IFERROR(INDEX(K$10:K$11,Предпосылки!$I$205,),0),K151/(1+IFERROR(INDEX(K$10:K$11,Предпосылки!$I$206,),0))*IFERROR(INDEX(K$10:K$11,Предпосылки!$I$206,),0),K174/(1+IFERROR(INDEX(K$10:K$11,Предпосылки!$I$207,),0))*IFERROR(INDEX(K$10:K$11,Предпосылки!$I$207,),0),K197/(1+IFERROR(INDEX(K$10:K$11,Предпосылки!$I$208,),0))*IFERROR(INDEX(K$10:K$11,Предпосылки!$I$208,),0),K220/(1+IFERROR(INDEX(K$10:K$11,Предпосылки!$I$209,),0))*IFERROR(INDEX(K$10:K$11,Предпосылки!$I$209,),0),K243/(1+IFERROR(INDEX(K$10:K$11,Предпосылки!$I$210,),0))*IFERROR(INDEX(K$10:K$11,Предпосылки!$I$210,),0),K266/(1+IFERROR(INDEX(K$10:K$11,Предпосылки!$I$211,),0))*IFERROR(INDEX(K$10:K$11,Предпосылки!$I$211,),0),K289/(1+IFERROR(INDEX(K$10:K$11,Предпосылки!$I$212,),0))*IFERROR(INDEX(K$10:K$11,Предпосылки!$I$212,),0),K312/(1+IFERROR(INDEX(K$10:K$11,Предпосылки!$I$213,),0))*IFERROR(INDEX(K$10:K$11,Предпосылки!$I$213,),0),K335/(1+IFERROR(INDEX(K$10:K$11,Предпосылки!$I$214,),0))*IFERROR(INDEX(K$10:K$11,Предпосылки!$I$214,),0),K358/(1+IFERROR(INDEX(K$10:K$11,Предпосылки!$I$215,),0))*IFERROR(INDEX(K$10:K$11,Предпосылки!$I$215,),0),K381/(1+IFERROR(INDEX(K$10:K$11,Предпосылки!$I$216,),0))*IFERROR(INDEX(K$10:K$11,Предпосылки!$I$216,),0),K404/(1+IFERROR(INDEX(K$10:K$11,Предпосылки!$I$217,),0))*IFERROR(INDEX(K$10:K$11,Предпосылки!$I$217,),0),K427/(1+IFERROR(INDEX(K$10:K$11,Предпосылки!$I$218,),0))*IFERROR(INDEX(K$10:K$11,Предпосылки!$I$218,),0),K450/(1+IFERROR(INDEX(K$10:K$11,Предпосылки!$I$219,),0))*IFERROR(INDEX(K$10:K$11,Предпосылки!$I$219,),0),K473/(1+IFERROR(INDEX(K$10:K$11,Предпосылки!$I$220,),0))*IFERROR(INDEX(K$10:K$11,Предпосылки!$I$220,),0))</f>
        <v>0</v>
      </c>
      <c s="125">
        <f>SUM(L36/(1+IFERROR(INDEX(L$10:L$11,Предпосылки!$I$201,),0))*IFERROR(INDEX(L$10:L$11,Предпосылки!$I$201,),0),L59/(1+IFERROR(INDEX(L$10:L$11,Предпосылки!$I$202,),0))*IFERROR(INDEX(L$10:L$11,Предпосылки!$I$202,),0),L82/(1+IFERROR(INDEX(L$10:L$11,Предпосылки!$I$203,),0))*IFERROR(INDEX(L$10:L$11,Предпосылки!$I$203,),0),L105/(1+IFERROR(INDEX(L$10:L$11,Предпосылки!$I$204,),0))*IFERROR(INDEX(L$10:L$11,Предпосылки!$I$204,),0),L128/(1+IFERROR(INDEX(L$10:L$11,Предпосылки!$I$205,),0))*IFERROR(INDEX(L$10:L$11,Предпосылки!$I$205,),0),L151/(1+IFERROR(INDEX(L$10:L$11,Предпосылки!$I$206,),0))*IFERROR(INDEX(L$10:L$11,Предпосылки!$I$206,),0),L174/(1+IFERROR(INDEX(L$10:L$11,Предпосылки!$I$207,),0))*IFERROR(INDEX(L$10:L$11,Предпосылки!$I$207,),0),L197/(1+IFERROR(INDEX(L$10:L$11,Предпосылки!$I$208,),0))*IFERROR(INDEX(L$10:L$11,Предпосылки!$I$208,),0),L220/(1+IFERROR(INDEX(L$10:L$11,Предпосылки!$I$209,),0))*IFERROR(INDEX(L$10:L$11,Предпосылки!$I$209,),0),L243/(1+IFERROR(INDEX(L$10:L$11,Предпосылки!$I$210,),0))*IFERROR(INDEX(L$10:L$11,Предпосылки!$I$210,),0),L266/(1+IFERROR(INDEX(L$10:L$11,Предпосылки!$I$211,),0))*IFERROR(INDEX(L$10:L$11,Предпосылки!$I$211,),0),L289/(1+IFERROR(INDEX(L$10:L$11,Предпосылки!$I$212,),0))*IFERROR(INDEX(L$10:L$11,Предпосылки!$I$212,),0),L312/(1+IFERROR(INDEX(L$10:L$11,Предпосылки!$I$213,),0))*IFERROR(INDEX(L$10:L$11,Предпосылки!$I$213,),0),L335/(1+IFERROR(INDEX(L$10:L$11,Предпосылки!$I$214,),0))*IFERROR(INDEX(L$10:L$11,Предпосылки!$I$214,),0),L358/(1+IFERROR(INDEX(L$10:L$11,Предпосылки!$I$215,),0))*IFERROR(INDEX(L$10:L$11,Предпосылки!$I$215,),0),L381/(1+IFERROR(INDEX(L$10:L$11,Предпосылки!$I$216,),0))*IFERROR(INDEX(L$10:L$11,Предпосылки!$I$216,),0),L404/(1+IFERROR(INDEX(L$10:L$11,Предпосылки!$I$217,),0))*IFERROR(INDEX(L$10:L$11,Предпосылки!$I$217,),0),L427/(1+IFERROR(INDEX(L$10:L$11,Предпосылки!$I$218,),0))*IFERROR(INDEX(L$10:L$11,Предпосылки!$I$218,),0),L450/(1+IFERROR(INDEX(L$10:L$11,Предпосылки!$I$219,),0))*IFERROR(INDEX(L$10:L$11,Предпосылки!$I$219,),0),L473/(1+IFERROR(INDEX(L$10:L$11,Предпосылки!$I$220,),0))*IFERROR(INDEX(L$10:L$11,Предпосылки!$I$220,),0))</f>
        <v>0</v>
      </c>
      <c s="125">
        <f>SUM(M36/(1+IFERROR(INDEX(M$10:M$11,Предпосылки!$I$201,),0))*IFERROR(INDEX(M$10:M$11,Предпосылки!$I$201,),0),M59/(1+IFERROR(INDEX(M$10:M$11,Предпосылки!$I$202,),0))*IFERROR(INDEX(M$10:M$11,Предпосылки!$I$202,),0),M82/(1+IFERROR(INDEX(M$10:M$11,Предпосылки!$I$203,),0))*IFERROR(INDEX(M$10:M$11,Предпосылки!$I$203,),0),M105/(1+IFERROR(INDEX(M$10:M$11,Предпосылки!$I$204,),0))*IFERROR(INDEX(M$10:M$11,Предпосылки!$I$204,),0),M128/(1+IFERROR(INDEX(M$10:M$11,Предпосылки!$I$205,),0))*IFERROR(INDEX(M$10:M$11,Предпосылки!$I$205,),0),M151/(1+IFERROR(INDEX(M$10:M$11,Предпосылки!$I$206,),0))*IFERROR(INDEX(M$10:M$11,Предпосылки!$I$206,),0),M174/(1+IFERROR(INDEX(M$10:M$11,Предпосылки!$I$207,),0))*IFERROR(INDEX(M$10:M$11,Предпосылки!$I$207,),0),M197/(1+IFERROR(INDEX(M$10:M$11,Предпосылки!$I$208,),0))*IFERROR(INDEX(M$10:M$11,Предпосылки!$I$208,),0),M220/(1+IFERROR(INDEX(M$10:M$11,Предпосылки!$I$209,),0))*IFERROR(INDEX(M$10:M$11,Предпосылки!$I$209,),0),M243/(1+IFERROR(INDEX(M$10:M$11,Предпосылки!$I$210,),0))*IFERROR(INDEX(M$10:M$11,Предпосылки!$I$210,),0),M266/(1+IFERROR(INDEX(M$10:M$11,Предпосылки!$I$211,),0))*IFERROR(INDEX(M$10:M$11,Предпосылки!$I$211,),0),M289/(1+IFERROR(INDEX(M$10:M$11,Предпосылки!$I$212,),0))*IFERROR(INDEX(M$10:M$11,Предпосылки!$I$212,),0),M312/(1+IFERROR(INDEX(M$10:M$11,Предпосылки!$I$213,),0))*IFERROR(INDEX(M$10:M$11,Предпосылки!$I$213,),0),M335/(1+IFERROR(INDEX(M$10:M$11,Предпосылки!$I$214,),0))*IFERROR(INDEX(M$10:M$11,Предпосылки!$I$214,),0),M358/(1+IFERROR(INDEX(M$10:M$11,Предпосылки!$I$215,),0))*IFERROR(INDEX(M$10:M$11,Предпосылки!$I$215,),0),M381/(1+IFERROR(INDEX(M$10:M$11,Предпосылки!$I$216,),0))*IFERROR(INDEX(M$10:M$11,Предпосылки!$I$216,),0),M404/(1+IFERROR(INDEX(M$10:M$11,Предпосылки!$I$217,),0))*IFERROR(INDEX(M$10:M$11,Предпосылки!$I$217,),0),M427/(1+IFERROR(INDEX(M$10:M$11,Предпосылки!$I$218,),0))*IFERROR(INDEX(M$10:M$11,Предпосылки!$I$218,),0),M450/(1+IFERROR(INDEX(M$10:M$11,Предпосылки!$I$219,),0))*IFERROR(INDEX(M$10:M$11,Предпосылки!$I$219,),0),M473/(1+IFERROR(INDEX(M$10:M$11,Предпосылки!$I$220,),0))*IFERROR(INDEX(M$10:M$11,Предпосылки!$I$220,),0))</f>
        <v>0</v>
      </c>
      <c s="125">
        <f>SUM(N36/(1+IFERROR(INDEX(N$10:N$11,Предпосылки!$I$201,),0))*IFERROR(INDEX(N$10:N$11,Предпосылки!$I$201,),0),N59/(1+IFERROR(INDEX(N$10:N$11,Предпосылки!$I$202,),0))*IFERROR(INDEX(N$10:N$11,Предпосылки!$I$202,),0),N82/(1+IFERROR(INDEX(N$10:N$11,Предпосылки!$I$203,),0))*IFERROR(INDEX(N$10:N$11,Предпосылки!$I$203,),0),N105/(1+IFERROR(INDEX(N$10:N$11,Предпосылки!$I$204,),0))*IFERROR(INDEX(N$10:N$11,Предпосылки!$I$204,),0),N128/(1+IFERROR(INDEX(N$10:N$11,Предпосылки!$I$205,),0))*IFERROR(INDEX(N$10:N$11,Предпосылки!$I$205,),0),N151/(1+IFERROR(INDEX(N$10:N$11,Предпосылки!$I$206,),0))*IFERROR(INDEX(N$10:N$11,Предпосылки!$I$206,),0),N174/(1+IFERROR(INDEX(N$10:N$11,Предпосылки!$I$207,),0))*IFERROR(INDEX(N$10:N$11,Предпосылки!$I$207,),0),N197/(1+IFERROR(INDEX(N$10:N$11,Предпосылки!$I$208,),0))*IFERROR(INDEX(N$10:N$11,Предпосылки!$I$208,),0),N220/(1+IFERROR(INDEX(N$10:N$11,Предпосылки!$I$209,),0))*IFERROR(INDEX(N$10:N$11,Предпосылки!$I$209,),0),N243/(1+IFERROR(INDEX(N$10:N$11,Предпосылки!$I$210,),0))*IFERROR(INDEX(N$10:N$11,Предпосылки!$I$210,),0),N266/(1+IFERROR(INDEX(N$10:N$11,Предпосылки!$I$211,),0))*IFERROR(INDEX(N$10:N$11,Предпосылки!$I$211,),0),N289/(1+IFERROR(INDEX(N$10:N$11,Предпосылки!$I$212,),0))*IFERROR(INDEX(N$10:N$11,Предпосылки!$I$212,),0),N312/(1+IFERROR(INDEX(N$10:N$11,Предпосылки!$I$213,),0))*IFERROR(INDEX(N$10:N$11,Предпосылки!$I$213,),0),N335/(1+IFERROR(INDEX(N$10:N$11,Предпосылки!$I$214,),0))*IFERROR(INDEX(N$10:N$11,Предпосылки!$I$214,),0),N358/(1+IFERROR(INDEX(N$10:N$11,Предпосылки!$I$215,),0))*IFERROR(INDEX(N$10:N$11,Предпосылки!$I$215,),0),N381/(1+IFERROR(INDEX(N$10:N$11,Предпосылки!$I$216,),0))*IFERROR(INDEX(N$10:N$11,Предпосылки!$I$216,),0),N404/(1+IFERROR(INDEX(N$10:N$11,Предпосылки!$I$217,),0))*IFERROR(INDEX(N$10:N$11,Предпосылки!$I$217,),0),N427/(1+IFERROR(INDEX(N$10:N$11,Предпосылки!$I$218,),0))*IFERROR(INDEX(N$10:N$11,Предпосылки!$I$218,),0),N450/(1+IFERROR(INDEX(N$10:N$11,Предпосылки!$I$219,),0))*IFERROR(INDEX(N$10:N$11,Предпосылки!$I$219,),0),N473/(1+IFERROR(INDEX(N$10:N$11,Предпосылки!$I$220,),0))*IFERROR(INDEX(N$10:N$11,Предпосылки!$I$220,),0))</f>
        <v>0</v>
      </c>
      <c s="125">
        <f>SUM(O36/(1+IFERROR(INDEX(O$10:O$11,Предпосылки!$I$201,),0))*IFERROR(INDEX(O$10:O$11,Предпосылки!$I$201,),0),O59/(1+IFERROR(INDEX(O$10:O$11,Предпосылки!$I$202,),0))*IFERROR(INDEX(O$10:O$11,Предпосылки!$I$202,),0),O82/(1+IFERROR(INDEX(O$10:O$11,Предпосылки!$I$203,),0))*IFERROR(INDEX(O$10:O$11,Предпосылки!$I$203,),0),O105/(1+IFERROR(INDEX(O$10:O$11,Предпосылки!$I$204,),0))*IFERROR(INDEX(O$10:O$11,Предпосылки!$I$204,),0),O128/(1+IFERROR(INDEX(O$10:O$11,Предпосылки!$I$205,),0))*IFERROR(INDEX(O$10:O$11,Предпосылки!$I$205,),0),O151/(1+IFERROR(INDEX(O$10:O$11,Предпосылки!$I$206,),0))*IFERROR(INDEX(O$10:O$11,Предпосылки!$I$206,),0),O174/(1+IFERROR(INDEX(O$10:O$11,Предпосылки!$I$207,),0))*IFERROR(INDEX(O$10:O$11,Предпосылки!$I$207,),0),O197/(1+IFERROR(INDEX(O$10:O$11,Предпосылки!$I$208,),0))*IFERROR(INDEX(O$10:O$11,Предпосылки!$I$208,),0),O220/(1+IFERROR(INDEX(O$10:O$11,Предпосылки!$I$209,),0))*IFERROR(INDEX(O$10:O$11,Предпосылки!$I$209,),0),O243/(1+IFERROR(INDEX(O$10:O$11,Предпосылки!$I$210,),0))*IFERROR(INDEX(O$10:O$11,Предпосылки!$I$210,),0),O266/(1+IFERROR(INDEX(O$10:O$11,Предпосылки!$I$211,),0))*IFERROR(INDEX(O$10:O$11,Предпосылки!$I$211,),0),O289/(1+IFERROR(INDEX(O$10:O$11,Предпосылки!$I$212,),0))*IFERROR(INDEX(O$10:O$11,Предпосылки!$I$212,),0),O312/(1+IFERROR(INDEX(O$10:O$11,Предпосылки!$I$213,),0))*IFERROR(INDEX(O$10:O$11,Предпосылки!$I$213,),0),O335/(1+IFERROR(INDEX(O$10:O$11,Предпосылки!$I$214,),0))*IFERROR(INDEX(O$10:O$11,Предпосылки!$I$214,),0),O358/(1+IFERROR(INDEX(O$10:O$11,Предпосылки!$I$215,),0))*IFERROR(INDEX(O$10:O$11,Предпосылки!$I$215,),0),O381/(1+IFERROR(INDEX(O$10:O$11,Предпосылки!$I$216,),0))*IFERROR(INDEX(O$10:O$11,Предпосылки!$I$216,),0),O404/(1+IFERROR(INDEX(O$10:O$11,Предпосылки!$I$217,),0))*IFERROR(INDEX(O$10:O$11,Предпосылки!$I$217,),0),O427/(1+IFERROR(INDEX(O$10:O$11,Предпосылки!$I$218,),0))*IFERROR(INDEX(O$10:O$11,Предпосылки!$I$218,),0),O450/(1+IFERROR(INDEX(O$10:O$11,Предпосылки!$I$219,),0))*IFERROR(INDEX(O$10:O$11,Предпосылки!$I$219,),0),O473/(1+IFERROR(INDEX(O$10:O$11,Предпосылки!$I$220,),0))*IFERROR(INDEX(O$10:O$11,Предпосылки!$I$220,),0))</f>
        <v>0</v>
      </c>
      <c s="125">
        <f>SUM(P36/(1+IFERROR(INDEX(P$10:P$11,Предпосылки!$I$201,),0))*IFERROR(INDEX(P$10:P$11,Предпосылки!$I$201,),0),P59/(1+IFERROR(INDEX(P$10:P$11,Предпосылки!$I$202,),0))*IFERROR(INDEX(P$10:P$11,Предпосылки!$I$202,),0),P82/(1+IFERROR(INDEX(P$10:P$11,Предпосылки!$I$203,),0))*IFERROR(INDEX(P$10:P$11,Предпосылки!$I$203,),0),P105/(1+IFERROR(INDEX(P$10:P$11,Предпосылки!$I$204,),0))*IFERROR(INDEX(P$10:P$11,Предпосылки!$I$204,),0),P128/(1+IFERROR(INDEX(P$10:P$11,Предпосылки!$I$205,),0))*IFERROR(INDEX(P$10:P$11,Предпосылки!$I$205,),0),P151/(1+IFERROR(INDEX(P$10:P$11,Предпосылки!$I$206,),0))*IFERROR(INDEX(P$10:P$11,Предпосылки!$I$206,),0),P174/(1+IFERROR(INDEX(P$10:P$11,Предпосылки!$I$207,),0))*IFERROR(INDEX(P$10:P$11,Предпосылки!$I$207,),0),P197/(1+IFERROR(INDEX(P$10:P$11,Предпосылки!$I$208,),0))*IFERROR(INDEX(P$10:P$11,Предпосылки!$I$208,),0),P220/(1+IFERROR(INDEX(P$10:P$11,Предпосылки!$I$209,),0))*IFERROR(INDEX(P$10:P$11,Предпосылки!$I$209,),0),P243/(1+IFERROR(INDEX(P$10:P$11,Предпосылки!$I$210,),0))*IFERROR(INDEX(P$10:P$11,Предпосылки!$I$210,),0),P266/(1+IFERROR(INDEX(P$10:P$11,Предпосылки!$I$211,),0))*IFERROR(INDEX(P$10:P$11,Предпосылки!$I$211,),0),P289/(1+IFERROR(INDEX(P$10:P$11,Предпосылки!$I$212,),0))*IFERROR(INDEX(P$10:P$11,Предпосылки!$I$212,),0),P312/(1+IFERROR(INDEX(P$10:P$11,Предпосылки!$I$213,),0))*IFERROR(INDEX(P$10:P$11,Предпосылки!$I$213,),0),P335/(1+IFERROR(INDEX(P$10:P$11,Предпосылки!$I$214,),0))*IFERROR(INDEX(P$10:P$11,Предпосылки!$I$214,),0),P358/(1+IFERROR(INDEX(P$10:P$11,Предпосылки!$I$215,),0))*IFERROR(INDEX(P$10:P$11,Предпосылки!$I$215,),0),P381/(1+IFERROR(INDEX(P$10:P$11,Предпосылки!$I$216,),0))*IFERROR(INDEX(P$10:P$11,Предпосылки!$I$216,),0),P404/(1+IFERROR(INDEX(P$10:P$11,Предпосылки!$I$217,),0))*IFERROR(INDEX(P$10:P$11,Предпосылки!$I$217,),0),P427/(1+IFERROR(INDEX(P$10:P$11,Предпосылки!$I$218,),0))*IFERROR(INDEX(P$10:P$11,Предпосылки!$I$218,),0),P450/(1+IFERROR(INDEX(P$10:P$11,Предпосылки!$I$219,),0))*IFERROR(INDEX(P$10:P$11,Предпосылки!$I$219,),0),P473/(1+IFERROR(INDEX(P$10:P$11,Предпосылки!$I$220,),0))*IFERROR(INDEX(P$10:P$11,Предпосылки!$I$220,),0))</f>
        <v>0</v>
      </c>
      <c s="125">
        <f>SUM(Q36/(1+IFERROR(INDEX(Q$10:Q$11,Предпосылки!$I$201,),0))*IFERROR(INDEX(Q$10:Q$11,Предпосылки!$I$201,),0),Q59/(1+IFERROR(INDEX(Q$10:Q$11,Предпосылки!$I$202,),0))*IFERROR(INDEX(Q$10:Q$11,Предпосылки!$I$202,),0),Q82/(1+IFERROR(INDEX(Q$10:Q$11,Предпосылки!$I$203,),0))*IFERROR(INDEX(Q$10:Q$11,Предпосылки!$I$203,),0),Q105/(1+IFERROR(INDEX(Q$10:Q$11,Предпосылки!$I$204,),0))*IFERROR(INDEX(Q$10:Q$11,Предпосылки!$I$204,),0),Q128/(1+IFERROR(INDEX(Q$10:Q$11,Предпосылки!$I$205,),0))*IFERROR(INDEX(Q$10:Q$11,Предпосылки!$I$205,),0),Q151/(1+IFERROR(INDEX(Q$10:Q$11,Предпосылки!$I$206,),0))*IFERROR(INDEX(Q$10:Q$11,Предпосылки!$I$206,),0),Q174/(1+IFERROR(INDEX(Q$10:Q$11,Предпосылки!$I$207,),0))*IFERROR(INDEX(Q$10:Q$11,Предпосылки!$I$207,),0),Q197/(1+IFERROR(INDEX(Q$10:Q$11,Предпосылки!$I$208,),0))*IFERROR(INDEX(Q$10:Q$11,Предпосылки!$I$208,),0),Q220/(1+IFERROR(INDEX(Q$10:Q$11,Предпосылки!$I$209,),0))*IFERROR(INDEX(Q$10:Q$11,Предпосылки!$I$209,),0),Q243/(1+IFERROR(INDEX(Q$10:Q$11,Предпосылки!$I$210,),0))*IFERROR(INDEX(Q$10:Q$11,Предпосылки!$I$210,),0),Q266/(1+IFERROR(INDEX(Q$10:Q$11,Предпосылки!$I$211,),0))*IFERROR(INDEX(Q$10:Q$11,Предпосылки!$I$211,),0),Q289/(1+IFERROR(INDEX(Q$10:Q$11,Предпосылки!$I$212,),0))*IFERROR(INDEX(Q$10:Q$11,Предпосылки!$I$212,),0),Q312/(1+IFERROR(INDEX(Q$10:Q$11,Предпосылки!$I$213,),0))*IFERROR(INDEX(Q$10:Q$11,Предпосылки!$I$213,),0),Q335/(1+IFERROR(INDEX(Q$10:Q$11,Предпосылки!$I$214,),0))*IFERROR(INDEX(Q$10:Q$11,Предпосылки!$I$214,),0),Q358/(1+IFERROR(INDEX(Q$10:Q$11,Предпосылки!$I$215,),0))*IFERROR(INDEX(Q$10:Q$11,Предпосылки!$I$215,),0),Q381/(1+IFERROR(INDEX(Q$10:Q$11,Предпосылки!$I$216,),0))*IFERROR(INDEX(Q$10:Q$11,Предпосылки!$I$216,),0),Q404/(1+IFERROR(INDEX(Q$10:Q$11,Предпосылки!$I$217,),0))*IFERROR(INDEX(Q$10:Q$11,Предпосылки!$I$217,),0),Q427/(1+IFERROR(INDEX(Q$10:Q$11,Предпосылки!$I$218,),0))*IFERROR(INDEX(Q$10:Q$11,Предпосылки!$I$218,),0),Q450/(1+IFERROR(INDEX(Q$10:Q$11,Предпосылки!$I$219,),0))*IFERROR(INDEX(Q$10:Q$11,Предпосылки!$I$219,),0),Q473/(1+IFERROR(INDEX(Q$10:Q$11,Предпосылки!$I$220,),0))*IFERROR(INDEX(Q$10:Q$11,Предпосылки!$I$220,),0))</f>
        <v>0</v>
      </c>
      <c s="125">
        <f>SUM(R36/(1+IFERROR(INDEX(R$10:R$11,Предпосылки!$I$201,),0))*IFERROR(INDEX(R$10:R$11,Предпосылки!$I$201,),0),R59/(1+IFERROR(INDEX(R$10:R$11,Предпосылки!$I$202,),0))*IFERROR(INDEX(R$10:R$11,Предпосылки!$I$202,),0),R82/(1+IFERROR(INDEX(R$10:R$11,Предпосылки!$I$203,),0))*IFERROR(INDEX(R$10:R$11,Предпосылки!$I$203,),0),R105/(1+IFERROR(INDEX(R$10:R$11,Предпосылки!$I$204,),0))*IFERROR(INDEX(R$10:R$11,Предпосылки!$I$204,),0),R128/(1+IFERROR(INDEX(R$10:R$11,Предпосылки!$I$205,),0))*IFERROR(INDEX(R$10:R$11,Предпосылки!$I$205,),0),R151/(1+IFERROR(INDEX(R$10:R$11,Предпосылки!$I$206,),0))*IFERROR(INDEX(R$10:R$11,Предпосылки!$I$206,),0),R174/(1+IFERROR(INDEX(R$10:R$11,Предпосылки!$I$207,),0))*IFERROR(INDEX(R$10:R$11,Предпосылки!$I$207,),0),R197/(1+IFERROR(INDEX(R$10:R$11,Предпосылки!$I$208,),0))*IFERROR(INDEX(R$10:R$11,Предпосылки!$I$208,),0),R220/(1+IFERROR(INDEX(R$10:R$11,Предпосылки!$I$209,),0))*IFERROR(INDEX(R$10:R$11,Предпосылки!$I$209,),0),R243/(1+IFERROR(INDEX(R$10:R$11,Предпосылки!$I$210,),0))*IFERROR(INDEX(R$10:R$11,Предпосылки!$I$210,),0),R266/(1+IFERROR(INDEX(R$10:R$11,Предпосылки!$I$211,),0))*IFERROR(INDEX(R$10:R$11,Предпосылки!$I$211,),0),R289/(1+IFERROR(INDEX(R$10:R$11,Предпосылки!$I$212,),0))*IFERROR(INDEX(R$10:R$11,Предпосылки!$I$212,),0),R312/(1+IFERROR(INDEX(R$10:R$11,Предпосылки!$I$213,),0))*IFERROR(INDEX(R$10:R$11,Предпосылки!$I$213,),0),R335/(1+IFERROR(INDEX(R$10:R$11,Предпосылки!$I$214,),0))*IFERROR(INDEX(R$10:R$11,Предпосылки!$I$214,),0),R358/(1+IFERROR(INDEX(R$10:R$11,Предпосылки!$I$215,),0))*IFERROR(INDEX(R$10:R$11,Предпосылки!$I$215,),0),R381/(1+IFERROR(INDEX(R$10:R$11,Предпосылки!$I$216,),0))*IFERROR(INDEX(R$10:R$11,Предпосылки!$I$216,),0),R404/(1+IFERROR(INDEX(R$10:R$11,Предпосылки!$I$217,),0))*IFERROR(INDEX(R$10:R$11,Предпосылки!$I$217,),0),R427/(1+IFERROR(INDEX(R$10:R$11,Предпосылки!$I$218,),0))*IFERROR(INDEX(R$10:R$11,Предпосылки!$I$218,),0),R450/(1+IFERROR(INDEX(R$10:R$11,Предпосылки!$I$219,),0))*IFERROR(INDEX(R$10:R$11,Предпосылки!$I$219,),0),R473/(1+IFERROR(INDEX(R$10:R$11,Предпосылки!$I$220,),0))*IFERROR(INDEX(R$10:R$11,Предпосылки!$I$220,),0))</f>
        <v>0</v>
      </c>
      <c s="125">
        <f>SUM(S36/(1+IFERROR(INDEX(S$10:S$11,Предпосылки!$I$201,),0))*IFERROR(INDEX(S$10:S$11,Предпосылки!$I$201,),0),S59/(1+IFERROR(INDEX(S$10:S$11,Предпосылки!$I$202,),0))*IFERROR(INDEX(S$10:S$11,Предпосылки!$I$202,),0),S82/(1+IFERROR(INDEX(S$10:S$11,Предпосылки!$I$203,),0))*IFERROR(INDEX(S$10:S$11,Предпосылки!$I$203,),0),S105/(1+IFERROR(INDEX(S$10:S$11,Предпосылки!$I$204,),0))*IFERROR(INDEX(S$10:S$11,Предпосылки!$I$204,),0),S128/(1+IFERROR(INDEX(S$10:S$11,Предпосылки!$I$205,),0))*IFERROR(INDEX(S$10:S$11,Предпосылки!$I$205,),0),S151/(1+IFERROR(INDEX(S$10:S$11,Предпосылки!$I$206,),0))*IFERROR(INDEX(S$10:S$11,Предпосылки!$I$206,),0),S174/(1+IFERROR(INDEX(S$10:S$11,Предпосылки!$I$207,),0))*IFERROR(INDEX(S$10:S$11,Предпосылки!$I$207,),0),S197/(1+IFERROR(INDEX(S$10:S$11,Предпосылки!$I$208,),0))*IFERROR(INDEX(S$10:S$11,Предпосылки!$I$208,),0),S220/(1+IFERROR(INDEX(S$10:S$11,Предпосылки!$I$209,),0))*IFERROR(INDEX(S$10:S$11,Предпосылки!$I$209,),0),S243/(1+IFERROR(INDEX(S$10:S$11,Предпосылки!$I$210,),0))*IFERROR(INDEX(S$10:S$11,Предпосылки!$I$210,),0),S266/(1+IFERROR(INDEX(S$10:S$11,Предпосылки!$I$211,),0))*IFERROR(INDEX(S$10:S$11,Предпосылки!$I$211,),0),S289/(1+IFERROR(INDEX(S$10:S$11,Предпосылки!$I$212,),0))*IFERROR(INDEX(S$10:S$11,Предпосылки!$I$212,),0),S312/(1+IFERROR(INDEX(S$10:S$11,Предпосылки!$I$213,),0))*IFERROR(INDEX(S$10:S$11,Предпосылки!$I$213,),0),S335/(1+IFERROR(INDEX(S$10:S$11,Предпосылки!$I$214,),0))*IFERROR(INDEX(S$10:S$11,Предпосылки!$I$214,),0),S358/(1+IFERROR(INDEX(S$10:S$11,Предпосылки!$I$215,),0))*IFERROR(INDEX(S$10:S$11,Предпосылки!$I$215,),0),S381/(1+IFERROR(INDEX(S$10:S$11,Предпосылки!$I$216,),0))*IFERROR(INDEX(S$10:S$11,Предпосылки!$I$216,),0),S404/(1+IFERROR(INDEX(S$10:S$11,Предпосылки!$I$217,),0))*IFERROR(INDEX(S$10:S$11,Предпосылки!$I$217,),0),S427/(1+IFERROR(INDEX(S$10:S$11,Предпосылки!$I$218,),0))*IFERROR(INDEX(S$10:S$11,Предпосылки!$I$218,),0),S450/(1+IFERROR(INDEX(S$10:S$11,Предпосылки!$I$219,),0))*IFERROR(INDEX(S$10:S$11,Предпосылки!$I$219,),0),S473/(1+IFERROR(INDEX(S$10:S$11,Предпосылки!$I$220,),0))*IFERROR(INDEX(S$10:S$11,Предпосылки!$I$220,),0))</f>
        <v>0</v>
      </c>
      <c s="125">
        <f>SUM(T36/(1+IFERROR(INDEX(T$10:T$11,Предпосылки!$I$201,),0))*IFERROR(INDEX(T$10:T$11,Предпосылки!$I$201,),0),T59/(1+IFERROR(INDEX(T$10:T$11,Предпосылки!$I$202,),0))*IFERROR(INDEX(T$10:T$11,Предпосылки!$I$202,),0),T82/(1+IFERROR(INDEX(T$10:T$11,Предпосылки!$I$203,),0))*IFERROR(INDEX(T$10:T$11,Предпосылки!$I$203,),0),T105/(1+IFERROR(INDEX(T$10:T$11,Предпосылки!$I$204,),0))*IFERROR(INDEX(T$10:T$11,Предпосылки!$I$204,),0),T128/(1+IFERROR(INDEX(T$10:T$11,Предпосылки!$I$205,),0))*IFERROR(INDEX(T$10:T$11,Предпосылки!$I$205,),0),T151/(1+IFERROR(INDEX(T$10:T$11,Предпосылки!$I$206,),0))*IFERROR(INDEX(T$10:T$11,Предпосылки!$I$206,),0),T174/(1+IFERROR(INDEX(T$10:T$11,Предпосылки!$I$207,),0))*IFERROR(INDEX(T$10:T$11,Предпосылки!$I$207,),0),T197/(1+IFERROR(INDEX(T$10:T$11,Предпосылки!$I$208,),0))*IFERROR(INDEX(T$10:T$11,Предпосылки!$I$208,),0),T220/(1+IFERROR(INDEX(T$10:T$11,Предпосылки!$I$209,),0))*IFERROR(INDEX(T$10:T$11,Предпосылки!$I$209,),0),T243/(1+IFERROR(INDEX(T$10:T$11,Предпосылки!$I$210,),0))*IFERROR(INDEX(T$10:T$11,Предпосылки!$I$210,),0),T266/(1+IFERROR(INDEX(T$10:T$11,Предпосылки!$I$211,),0))*IFERROR(INDEX(T$10:T$11,Предпосылки!$I$211,),0),T289/(1+IFERROR(INDEX(T$10:T$11,Предпосылки!$I$212,),0))*IFERROR(INDEX(T$10:T$11,Предпосылки!$I$212,),0),T312/(1+IFERROR(INDEX(T$10:T$11,Предпосылки!$I$213,),0))*IFERROR(INDEX(T$10:T$11,Предпосылки!$I$213,),0),T335/(1+IFERROR(INDEX(T$10:T$11,Предпосылки!$I$214,),0))*IFERROR(INDEX(T$10:T$11,Предпосылки!$I$214,),0),T358/(1+IFERROR(INDEX(T$10:T$11,Предпосылки!$I$215,),0))*IFERROR(INDEX(T$10:T$11,Предпосылки!$I$215,),0),T381/(1+IFERROR(INDEX(T$10:T$11,Предпосылки!$I$216,),0))*IFERROR(INDEX(T$10:T$11,Предпосылки!$I$216,),0),T404/(1+IFERROR(INDEX(T$10:T$11,Предпосылки!$I$217,),0))*IFERROR(INDEX(T$10:T$11,Предпосылки!$I$217,),0),T427/(1+IFERROR(INDEX(T$10:T$11,Предпосылки!$I$218,),0))*IFERROR(INDEX(T$10:T$11,Предпосылки!$I$218,),0),T450/(1+IFERROR(INDEX(T$10:T$11,Предпосылки!$I$219,),0))*IFERROR(INDEX(T$10:T$11,Предпосылки!$I$219,),0),T473/(1+IFERROR(INDEX(T$10:T$11,Предпосылки!$I$220,),0))*IFERROR(INDEX(T$10:T$11,Предпосылки!$I$220,),0))</f>
        <v>0</v>
      </c>
      <c s="125">
        <f>SUM(U36/(1+IFERROR(INDEX(U$10:U$11,Предпосылки!$I$201,),0))*IFERROR(INDEX(U$10:U$11,Предпосылки!$I$201,),0),U59/(1+IFERROR(INDEX(U$10:U$11,Предпосылки!$I$202,),0))*IFERROR(INDEX(U$10:U$11,Предпосылки!$I$202,),0),U82/(1+IFERROR(INDEX(U$10:U$11,Предпосылки!$I$203,),0))*IFERROR(INDEX(U$10:U$11,Предпосылки!$I$203,),0),U105/(1+IFERROR(INDEX(U$10:U$11,Предпосылки!$I$204,),0))*IFERROR(INDEX(U$10:U$11,Предпосылки!$I$204,),0),U128/(1+IFERROR(INDEX(U$10:U$11,Предпосылки!$I$205,),0))*IFERROR(INDEX(U$10:U$11,Предпосылки!$I$205,),0),U151/(1+IFERROR(INDEX(U$10:U$11,Предпосылки!$I$206,),0))*IFERROR(INDEX(U$10:U$11,Предпосылки!$I$206,),0),U174/(1+IFERROR(INDEX(U$10:U$11,Предпосылки!$I$207,),0))*IFERROR(INDEX(U$10:U$11,Предпосылки!$I$207,),0),U197/(1+IFERROR(INDEX(U$10:U$11,Предпосылки!$I$208,),0))*IFERROR(INDEX(U$10:U$11,Предпосылки!$I$208,),0),U220/(1+IFERROR(INDEX(U$10:U$11,Предпосылки!$I$209,),0))*IFERROR(INDEX(U$10:U$11,Предпосылки!$I$209,),0),U243/(1+IFERROR(INDEX(U$10:U$11,Предпосылки!$I$210,),0))*IFERROR(INDEX(U$10:U$11,Предпосылки!$I$210,),0),U266/(1+IFERROR(INDEX(U$10:U$11,Предпосылки!$I$211,),0))*IFERROR(INDEX(U$10:U$11,Предпосылки!$I$211,),0),U289/(1+IFERROR(INDEX(U$10:U$11,Предпосылки!$I$212,),0))*IFERROR(INDEX(U$10:U$11,Предпосылки!$I$212,),0),U312/(1+IFERROR(INDEX(U$10:U$11,Предпосылки!$I$213,),0))*IFERROR(INDEX(U$10:U$11,Предпосылки!$I$213,),0),U335/(1+IFERROR(INDEX(U$10:U$11,Предпосылки!$I$214,),0))*IFERROR(INDEX(U$10:U$11,Предпосылки!$I$214,),0),U358/(1+IFERROR(INDEX(U$10:U$11,Предпосылки!$I$215,),0))*IFERROR(INDEX(U$10:U$11,Предпосылки!$I$215,),0),U381/(1+IFERROR(INDEX(U$10:U$11,Предпосылки!$I$216,),0))*IFERROR(INDEX(U$10:U$11,Предпосылки!$I$216,),0),U404/(1+IFERROR(INDEX(U$10:U$11,Предпосылки!$I$217,),0))*IFERROR(INDEX(U$10:U$11,Предпосылки!$I$217,),0),U427/(1+IFERROR(INDEX(U$10:U$11,Предпосылки!$I$218,),0))*IFERROR(INDEX(U$10:U$11,Предпосылки!$I$218,),0),U450/(1+IFERROR(INDEX(U$10:U$11,Предпосылки!$I$219,),0))*IFERROR(INDEX(U$10:U$11,Предпосылки!$I$219,),0),U473/(1+IFERROR(INDEX(U$10:U$11,Предпосылки!$I$220,),0))*IFERROR(INDEX(U$10:U$11,Предпосылки!$I$220,),0))</f>
        <v>0</v>
      </c>
      <c s="125">
        <f>SUM(V36/(1+IFERROR(INDEX(V$10:V$11,Предпосылки!$I$201,),0))*IFERROR(INDEX(V$10:V$11,Предпосылки!$I$201,),0),V59/(1+IFERROR(INDEX(V$10:V$11,Предпосылки!$I$202,),0))*IFERROR(INDEX(V$10:V$11,Предпосылки!$I$202,),0),V82/(1+IFERROR(INDEX(V$10:V$11,Предпосылки!$I$203,),0))*IFERROR(INDEX(V$10:V$11,Предпосылки!$I$203,),0),V105/(1+IFERROR(INDEX(V$10:V$11,Предпосылки!$I$204,),0))*IFERROR(INDEX(V$10:V$11,Предпосылки!$I$204,),0),V128/(1+IFERROR(INDEX(V$10:V$11,Предпосылки!$I$205,),0))*IFERROR(INDEX(V$10:V$11,Предпосылки!$I$205,),0),V151/(1+IFERROR(INDEX(V$10:V$11,Предпосылки!$I$206,),0))*IFERROR(INDEX(V$10:V$11,Предпосылки!$I$206,),0),V174/(1+IFERROR(INDEX(V$10:V$11,Предпосылки!$I$207,),0))*IFERROR(INDEX(V$10:V$11,Предпосылки!$I$207,),0),V197/(1+IFERROR(INDEX(V$10:V$11,Предпосылки!$I$208,),0))*IFERROR(INDEX(V$10:V$11,Предпосылки!$I$208,),0),V220/(1+IFERROR(INDEX(V$10:V$11,Предпосылки!$I$209,),0))*IFERROR(INDEX(V$10:V$11,Предпосылки!$I$209,),0),V243/(1+IFERROR(INDEX(V$10:V$11,Предпосылки!$I$210,),0))*IFERROR(INDEX(V$10:V$11,Предпосылки!$I$210,),0),V266/(1+IFERROR(INDEX(V$10:V$11,Предпосылки!$I$211,),0))*IFERROR(INDEX(V$10:V$11,Предпосылки!$I$211,),0),V289/(1+IFERROR(INDEX(V$10:V$11,Предпосылки!$I$212,),0))*IFERROR(INDEX(V$10:V$11,Предпосылки!$I$212,),0),V312/(1+IFERROR(INDEX(V$10:V$11,Предпосылки!$I$213,),0))*IFERROR(INDEX(V$10:V$11,Предпосылки!$I$213,),0),V335/(1+IFERROR(INDEX(V$10:V$11,Предпосылки!$I$214,),0))*IFERROR(INDEX(V$10:V$11,Предпосылки!$I$214,),0),V358/(1+IFERROR(INDEX(V$10:V$11,Предпосылки!$I$215,),0))*IFERROR(INDEX(V$10:V$11,Предпосылки!$I$215,),0),V381/(1+IFERROR(INDEX(V$10:V$11,Предпосылки!$I$216,),0))*IFERROR(INDEX(V$10:V$11,Предпосылки!$I$216,),0),V404/(1+IFERROR(INDEX(V$10:V$11,Предпосылки!$I$217,),0))*IFERROR(INDEX(V$10:V$11,Предпосылки!$I$217,),0),V427/(1+IFERROR(INDEX(V$10:V$11,Предпосылки!$I$218,),0))*IFERROR(INDEX(V$10:V$11,Предпосылки!$I$218,),0),V450/(1+IFERROR(INDEX(V$10:V$11,Предпосылки!$I$219,),0))*IFERROR(INDEX(V$10:V$11,Предпосылки!$I$219,),0),V473/(1+IFERROR(INDEX(V$10:V$11,Предпосылки!$I$220,),0))*IFERROR(INDEX(V$10:V$11,Предпосылки!$I$220,),0))</f>
        <v>0</v>
      </c>
      <c s="125">
        <f>SUM(W36/(1+IFERROR(INDEX(W$10:W$11,Предпосылки!$I$201,),0))*IFERROR(INDEX(W$10:W$11,Предпосылки!$I$201,),0),W59/(1+IFERROR(INDEX(W$10:W$11,Предпосылки!$I$202,),0))*IFERROR(INDEX(W$10:W$11,Предпосылки!$I$202,),0),W82/(1+IFERROR(INDEX(W$10:W$11,Предпосылки!$I$203,),0))*IFERROR(INDEX(W$10:W$11,Предпосылки!$I$203,),0),W105/(1+IFERROR(INDEX(W$10:W$11,Предпосылки!$I$204,),0))*IFERROR(INDEX(W$10:W$11,Предпосылки!$I$204,),0),W128/(1+IFERROR(INDEX(W$10:W$11,Предпосылки!$I$205,),0))*IFERROR(INDEX(W$10:W$11,Предпосылки!$I$205,),0),W151/(1+IFERROR(INDEX(W$10:W$11,Предпосылки!$I$206,),0))*IFERROR(INDEX(W$10:W$11,Предпосылки!$I$206,),0),W174/(1+IFERROR(INDEX(W$10:W$11,Предпосылки!$I$207,),0))*IFERROR(INDEX(W$10:W$11,Предпосылки!$I$207,),0),W197/(1+IFERROR(INDEX(W$10:W$11,Предпосылки!$I$208,),0))*IFERROR(INDEX(W$10:W$11,Предпосылки!$I$208,),0),W220/(1+IFERROR(INDEX(W$10:W$11,Предпосылки!$I$209,),0))*IFERROR(INDEX(W$10:W$11,Предпосылки!$I$209,),0),W243/(1+IFERROR(INDEX(W$10:W$11,Предпосылки!$I$210,),0))*IFERROR(INDEX(W$10:W$11,Предпосылки!$I$210,),0),W266/(1+IFERROR(INDEX(W$10:W$11,Предпосылки!$I$211,),0))*IFERROR(INDEX(W$10:W$11,Предпосылки!$I$211,),0),W289/(1+IFERROR(INDEX(W$10:W$11,Предпосылки!$I$212,),0))*IFERROR(INDEX(W$10:W$11,Предпосылки!$I$212,),0),W312/(1+IFERROR(INDEX(W$10:W$11,Предпосылки!$I$213,),0))*IFERROR(INDEX(W$10:W$11,Предпосылки!$I$213,),0),W335/(1+IFERROR(INDEX(W$10:W$11,Предпосылки!$I$214,),0))*IFERROR(INDEX(W$10:W$11,Предпосылки!$I$214,),0),W358/(1+IFERROR(INDEX(W$10:W$11,Предпосылки!$I$215,),0))*IFERROR(INDEX(W$10:W$11,Предпосылки!$I$215,),0),W381/(1+IFERROR(INDEX(W$10:W$11,Предпосылки!$I$216,),0))*IFERROR(INDEX(W$10:W$11,Предпосылки!$I$216,),0),W404/(1+IFERROR(INDEX(W$10:W$11,Предпосылки!$I$217,),0))*IFERROR(INDEX(W$10:W$11,Предпосылки!$I$217,),0),W427/(1+IFERROR(INDEX(W$10:W$11,Предпосылки!$I$218,),0))*IFERROR(INDEX(W$10:W$11,Предпосылки!$I$218,),0),W450/(1+IFERROR(INDEX(W$10:W$11,Предпосылки!$I$219,),0))*IFERROR(INDEX(W$10:W$11,Предпосылки!$I$219,),0),W473/(1+IFERROR(INDEX(W$10:W$11,Предпосылки!$I$220,),0))*IFERROR(INDEX(W$10:W$11,Предпосылки!$I$220,),0))</f>
        <v>0</v>
      </c>
      <c s="125">
        <f>SUM(X36/(1+IFERROR(INDEX(X$10:X$11,Предпосылки!$I$201,),0))*IFERROR(INDEX(X$10:X$11,Предпосылки!$I$201,),0),X59/(1+IFERROR(INDEX(X$10:X$11,Предпосылки!$I$202,),0))*IFERROR(INDEX(X$10:X$11,Предпосылки!$I$202,),0),X82/(1+IFERROR(INDEX(X$10:X$11,Предпосылки!$I$203,),0))*IFERROR(INDEX(X$10:X$11,Предпосылки!$I$203,),0),X105/(1+IFERROR(INDEX(X$10:X$11,Предпосылки!$I$204,),0))*IFERROR(INDEX(X$10:X$11,Предпосылки!$I$204,),0),X128/(1+IFERROR(INDEX(X$10:X$11,Предпосылки!$I$205,),0))*IFERROR(INDEX(X$10:X$11,Предпосылки!$I$205,),0),X151/(1+IFERROR(INDEX(X$10:X$11,Предпосылки!$I$206,),0))*IFERROR(INDEX(X$10:X$11,Предпосылки!$I$206,),0),X174/(1+IFERROR(INDEX(X$10:X$11,Предпосылки!$I$207,),0))*IFERROR(INDEX(X$10:X$11,Предпосылки!$I$207,),0),X197/(1+IFERROR(INDEX(X$10:X$11,Предпосылки!$I$208,),0))*IFERROR(INDEX(X$10:X$11,Предпосылки!$I$208,),0),X220/(1+IFERROR(INDEX(X$10:X$11,Предпосылки!$I$209,),0))*IFERROR(INDEX(X$10:X$11,Предпосылки!$I$209,),0),X243/(1+IFERROR(INDEX(X$10:X$11,Предпосылки!$I$210,),0))*IFERROR(INDEX(X$10:X$11,Предпосылки!$I$210,),0),X266/(1+IFERROR(INDEX(X$10:X$11,Предпосылки!$I$211,),0))*IFERROR(INDEX(X$10:X$11,Предпосылки!$I$211,),0),X289/(1+IFERROR(INDEX(X$10:X$11,Предпосылки!$I$212,),0))*IFERROR(INDEX(X$10:X$11,Предпосылки!$I$212,),0),X312/(1+IFERROR(INDEX(X$10:X$11,Предпосылки!$I$213,),0))*IFERROR(INDEX(X$10:X$11,Предпосылки!$I$213,),0),X335/(1+IFERROR(INDEX(X$10:X$11,Предпосылки!$I$214,),0))*IFERROR(INDEX(X$10:X$11,Предпосылки!$I$214,),0),X358/(1+IFERROR(INDEX(X$10:X$11,Предпосылки!$I$215,),0))*IFERROR(INDEX(X$10:X$11,Предпосылки!$I$215,),0),X381/(1+IFERROR(INDEX(X$10:X$11,Предпосылки!$I$216,),0))*IFERROR(INDEX(X$10:X$11,Предпосылки!$I$216,),0),X404/(1+IFERROR(INDEX(X$10:X$11,Предпосылки!$I$217,),0))*IFERROR(INDEX(X$10:X$11,Предпосылки!$I$217,),0),X427/(1+IFERROR(INDEX(X$10:X$11,Предпосылки!$I$218,),0))*IFERROR(INDEX(X$10:X$11,Предпосылки!$I$218,),0),X450/(1+IFERROR(INDEX(X$10:X$11,Предпосылки!$I$219,),0))*IFERROR(INDEX(X$10:X$11,Предпосылки!$I$219,),0),X473/(1+IFERROR(INDEX(X$10:X$11,Предпосылки!$I$220,),0))*IFERROR(INDEX(X$10:X$11,Предпосылки!$I$220,),0))</f>
        <v>0</v>
      </c>
      <c s="125">
        <f>SUM(Y36/(1+IFERROR(INDEX(Y$10:Y$11,Предпосылки!$I$201,),0))*IFERROR(INDEX(Y$10:Y$11,Предпосылки!$I$201,),0),Y59/(1+IFERROR(INDEX(Y$10:Y$11,Предпосылки!$I$202,),0))*IFERROR(INDEX(Y$10:Y$11,Предпосылки!$I$202,),0),Y82/(1+IFERROR(INDEX(Y$10:Y$11,Предпосылки!$I$203,),0))*IFERROR(INDEX(Y$10:Y$11,Предпосылки!$I$203,),0),Y105/(1+IFERROR(INDEX(Y$10:Y$11,Предпосылки!$I$204,),0))*IFERROR(INDEX(Y$10:Y$11,Предпосылки!$I$204,),0),Y128/(1+IFERROR(INDEX(Y$10:Y$11,Предпосылки!$I$205,),0))*IFERROR(INDEX(Y$10:Y$11,Предпосылки!$I$205,),0),Y151/(1+IFERROR(INDEX(Y$10:Y$11,Предпосылки!$I$206,),0))*IFERROR(INDEX(Y$10:Y$11,Предпосылки!$I$206,),0),Y174/(1+IFERROR(INDEX(Y$10:Y$11,Предпосылки!$I$207,),0))*IFERROR(INDEX(Y$10:Y$11,Предпосылки!$I$207,),0),Y197/(1+IFERROR(INDEX(Y$10:Y$11,Предпосылки!$I$208,),0))*IFERROR(INDEX(Y$10:Y$11,Предпосылки!$I$208,),0),Y220/(1+IFERROR(INDEX(Y$10:Y$11,Предпосылки!$I$209,),0))*IFERROR(INDEX(Y$10:Y$11,Предпосылки!$I$209,),0),Y243/(1+IFERROR(INDEX(Y$10:Y$11,Предпосылки!$I$210,),0))*IFERROR(INDEX(Y$10:Y$11,Предпосылки!$I$210,),0),Y266/(1+IFERROR(INDEX(Y$10:Y$11,Предпосылки!$I$211,),0))*IFERROR(INDEX(Y$10:Y$11,Предпосылки!$I$211,),0),Y289/(1+IFERROR(INDEX(Y$10:Y$11,Предпосылки!$I$212,),0))*IFERROR(INDEX(Y$10:Y$11,Предпосылки!$I$212,),0),Y312/(1+IFERROR(INDEX(Y$10:Y$11,Предпосылки!$I$213,),0))*IFERROR(INDEX(Y$10:Y$11,Предпосылки!$I$213,),0),Y335/(1+IFERROR(INDEX(Y$10:Y$11,Предпосылки!$I$214,),0))*IFERROR(INDEX(Y$10:Y$11,Предпосылки!$I$214,),0),Y358/(1+IFERROR(INDEX(Y$10:Y$11,Предпосылки!$I$215,),0))*IFERROR(INDEX(Y$10:Y$11,Предпосылки!$I$215,),0),Y381/(1+IFERROR(INDEX(Y$10:Y$11,Предпосылки!$I$216,),0))*IFERROR(INDEX(Y$10:Y$11,Предпосылки!$I$216,),0),Y404/(1+IFERROR(INDEX(Y$10:Y$11,Предпосылки!$I$217,),0))*IFERROR(INDEX(Y$10:Y$11,Предпосылки!$I$217,),0),Y427/(1+IFERROR(INDEX(Y$10:Y$11,Предпосылки!$I$218,),0))*IFERROR(INDEX(Y$10:Y$11,Предпосылки!$I$218,),0),Y450/(1+IFERROR(INDEX(Y$10:Y$11,Предпосылки!$I$219,),0))*IFERROR(INDEX(Y$10:Y$11,Предпосылки!$I$219,),0),Y473/(1+IFERROR(INDEX(Y$10:Y$11,Предпосылки!$I$220,),0))*IFERROR(INDEX(Y$10:Y$11,Предпосылки!$I$220,),0))</f>
        <v>0</v>
      </c>
      <c s="125">
        <f>SUM(Z36/(1+IFERROR(INDEX(Z$10:Z$11,Предпосылки!$I$201,),0))*IFERROR(INDEX(Z$10:Z$11,Предпосылки!$I$201,),0),Z59/(1+IFERROR(INDEX(Z$10:Z$11,Предпосылки!$I$202,),0))*IFERROR(INDEX(Z$10:Z$11,Предпосылки!$I$202,),0),Z82/(1+IFERROR(INDEX(Z$10:Z$11,Предпосылки!$I$203,),0))*IFERROR(INDEX(Z$10:Z$11,Предпосылки!$I$203,),0),Z105/(1+IFERROR(INDEX(Z$10:Z$11,Предпосылки!$I$204,),0))*IFERROR(INDEX(Z$10:Z$11,Предпосылки!$I$204,),0),Z128/(1+IFERROR(INDEX(Z$10:Z$11,Предпосылки!$I$205,),0))*IFERROR(INDEX(Z$10:Z$11,Предпосылки!$I$205,),0),Z151/(1+IFERROR(INDEX(Z$10:Z$11,Предпосылки!$I$206,),0))*IFERROR(INDEX(Z$10:Z$11,Предпосылки!$I$206,),0),Z174/(1+IFERROR(INDEX(Z$10:Z$11,Предпосылки!$I$207,),0))*IFERROR(INDEX(Z$10:Z$11,Предпосылки!$I$207,),0),Z197/(1+IFERROR(INDEX(Z$10:Z$11,Предпосылки!$I$208,),0))*IFERROR(INDEX(Z$10:Z$11,Предпосылки!$I$208,),0),Z220/(1+IFERROR(INDEX(Z$10:Z$11,Предпосылки!$I$209,),0))*IFERROR(INDEX(Z$10:Z$11,Предпосылки!$I$209,),0),Z243/(1+IFERROR(INDEX(Z$10:Z$11,Предпосылки!$I$210,),0))*IFERROR(INDEX(Z$10:Z$11,Предпосылки!$I$210,),0),Z266/(1+IFERROR(INDEX(Z$10:Z$11,Предпосылки!$I$211,),0))*IFERROR(INDEX(Z$10:Z$11,Предпосылки!$I$211,),0),Z289/(1+IFERROR(INDEX(Z$10:Z$11,Предпосылки!$I$212,),0))*IFERROR(INDEX(Z$10:Z$11,Предпосылки!$I$212,),0),Z312/(1+IFERROR(INDEX(Z$10:Z$11,Предпосылки!$I$213,),0))*IFERROR(INDEX(Z$10:Z$11,Предпосылки!$I$213,),0),Z335/(1+IFERROR(INDEX(Z$10:Z$11,Предпосылки!$I$214,),0))*IFERROR(INDEX(Z$10:Z$11,Предпосылки!$I$214,),0),Z358/(1+IFERROR(INDEX(Z$10:Z$11,Предпосылки!$I$215,),0))*IFERROR(INDEX(Z$10:Z$11,Предпосылки!$I$215,),0),Z381/(1+IFERROR(INDEX(Z$10:Z$11,Предпосылки!$I$216,),0))*IFERROR(INDEX(Z$10:Z$11,Предпосылки!$I$216,),0),Z404/(1+IFERROR(INDEX(Z$10:Z$11,Предпосылки!$I$217,),0))*IFERROR(INDEX(Z$10:Z$11,Предпосылки!$I$217,),0),Z427/(1+IFERROR(INDEX(Z$10:Z$11,Предпосылки!$I$218,),0))*IFERROR(INDEX(Z$10:Z$11,Предпосылки!$I$218,),0),Z450/(1+IFERROR(INDEX(Z$10:Z$11,Предпосылки!$I$219,),0))*IFERROR(INDEX(Z$10:Z$11,Предпосылки!$I$219,),0),Z473/(1+IFERROR(INDEX(Z$10:Z$11,Предпосылки!$I$220,),0))*IFERROR(INDEX(Z$10:Z$11,Предпосылки!$I$220,),0))</f>
        <v>0</v>
      </c>
      <c s="125">
        <f>SUM(AA36/(1+IFERROR(INDEX(AA$10:AA$11,Предпосылки!$I$201,),0))*IFERROR(INDEX(AA$10:AA$11,Предпосылки!$I$201,),0),AA59/(1+IFERROR(INDEX(AA$10:AA$11,Предпосылки!$I$202,),0))*IFERROR(INDEX(AA$10:AA$11,Предпосылки!$I$202,),0),AA82/(1+IFERROR(INDEX(AA$10:AA$11,Предпосылки!$I$203,),0))*IFERROR(INDEX(AA$10:AA$11,Предпосылки!$I$203,),0),AA105/(1+IFERROR(INDEX(AA$10:AA$11,Предпосылки!$I$204,),0))*IFERROR(INDEX(AA$10:AA$11,Предпосылки!$I$204,),0),AA128/(1+IFERROR(INDEX(AA$10:AA$11,Предпосылки!$I$205,),0))*IFERROR(INDEX(AA$10:AA$11,Предпосылки!$I$205,),0),AA151/(1+IFERROR(INDEX(AA$10:AA$11,Предпосылки!$I$206,),0))*IFERROR(INDEX(AA$10:AA$11,Предпосылки!$I$206,),0),AA174/(1+IFERROR(INDEX(AA$10:AA$11,Предпосылки!$I$207,),0))*IFERROR(INDEX(AA$10:AA$11,Предпосылки!$I$207,),0),AA197/(1+IFERROR(INDEX(AA$10:AA$11,Предпосылки!$I$208,),0))*IFERROR(INDEX(AA$10:AA$11,Предпосылки!$I$208,),0),AA220/(1+IFERROR(INDEX(AA$10:AA$11,Предпосылки!$I$209,),0))*IFERROR(INDEX(AA$10:AA$11,Предпосылки!$I$209,),0),AA243/(1+IFERROR(INDEX(AA$10:AA$11,Предпосылки!$I$210,),0))*IFERROR(INDEX(AA$10:AA$11,Предпосылки!$I$210,),0),AA266/(1+IFERROR(INDEX(AA$10:AA$11,Предпосылки!$I$211,),0))*IFERROR(INDEX(AA$10:AA$11,Предпосылки!$I$211,),0),AA289/(1+IFERROR(INDEX(AA$10:AA$11,Предпосылки!$I$212,),0))*IFERROR(INDEX(AA$10:AA$11,Предпосылки!$I$212,),0),AA312/(1+IFERROR(INDEX(AA$10:AA$11,Предпосылки!$I$213,),0))*IFERROR(INDEX(AA$10:AA$11,Предпосылки!$I$213,),0),AA335/(1+IFERROR(INDEX(AA$10:AA$11,Предпосылки!$I$214,),0))*IFERROR(INDEX(AA$10:AA$11,Предпосылки!$I$214,),0),AA358/(1+IFERROR(INDEX(AA$10:AA$11,Предпосылки!$I$215,),0))*IFERROR(INDEX(AA$10:AA$11,Предпосылки!$I$215,),0),AA381/(1+IFERROR(INDEX(AA$10:AA$11,Предпосылки!$I$216,),0))*IFERROR(INDEX(AA$10:AA$11,Предпосылки!$I$216,),0),AA404/(1+IFERROR(INDEX(AA$10:AA$11,Предпосылки!$I$217,),0))*IFERROR(INDEX(AA$10:AA$11,Предпосылки!$I$217,),0),AA427/(1+IFERROR(INDEX(AA$10:AA$11,Предпосылки!$I$218,),0))*IFERROR(INDEX(AA$10:AA$11,Предпосылки!$I$218,),0),AA450/(1+IFERROR(INDEX(AA$10:AA$11,Предпосылки!$I$219,),0))*IFERROR(INDEX(AA$10:AA$11,Предпосылки!$I$219,),0),AA473/(1+IFERROR(INDEX(AA$10:AA$11,Предпосылки!$I$220,),0))*IFERROR(INDEX(AA$10:AA$11,Предпосылки!$I$220,),0))</f>
        <v>0</v>
      </c>
      <c s="125">
        <f>SUM(AB36/(1+IFERROR(INDEX(AB$10:AB$11,Предпосылки!$I$201,),0))*IFERROR(INDEX(AB$10:AB$11,Предпосылки!$I$201,),0),AB59/(1+IFERROR(INDEX(AB$10:AB$11,Предпосылки!$I$202,),0))*IFERROR(INDEX(AB$10:AB$11,Предпосылки!$I$202,),0),AB82/(1+IFERROR(INDEX(AB$10:AB$11,Предпосылки!$I$203,),0))*IFERROR(INDEX(AB$10:AB$11,Предпосылки!$I$203,),0),AB105/(1+IFERROR(INDEX(AB$10:AB$11,Предпосылки!$I$204,),0))*IFERROR(INDEX(AB$10:AB$11,Предпосылки!$I$204,),0),AB128/(1+IFERROR(INDEX(AB$10:AB$11,Предпосылки!$I$205,),0))*IFERROR(INDEX(AB$10:AB$11,Предпосылки!$I$205,),0),AB151/(1+IFERROR(INDEX(AB$10:AB$11,Предпосылки!$I$206,),0))*IFERROR(INDEX(AB$10:AB$11,Предпосылки!$I$206,),0),AB174/(1+IFERROR(INDEX(AB$10:AB$11,Предпосылки!$I$207,),0))*IFERROR(INDEX(AB$10:AB$11,Предпосылки!$I$207,),0),AB197/(1+IFERROR(INDEX(AB$10:AB$11,Предпосылки!$I$208,),0))*IFERROR(INDEX(AB$10:AB$11,Предпосылки!$I$208,),0),AB220/(1+IFERROR(INDEX(AB$10:AB$11,Предпосылки!$I$209,),0))*IFERROR(INDEX(AB$10:AB$11,Предпосылки!$I$209,),0),AB243/(1+IFERROR(INDEX(AB$10:AB$11,Предпосылки!$I$210,),0))*IFERROR(INDEX(AB$10:AB$11,Предпосылки!$I$210,),0),AB266/(1+IFERROR(INDEX(AB$10:AB$11,Предпосылки!$I$211,),0))*IFERROR(INDEX(AB$10:AB$11,Предпосылки!$I$211,),0),AB289/(1+IFERROR(INDEX(AB$10:AB$11,Предпосылки!$I$212,),0))*IFERROR(INDEX(AB$10:AB$11,Предпосылки!$I$212,),0),AB312/(1+IFERROR(INDEX(AB$10:AB$11,Предпосылки!$I$213,),0))*IFERROR(INDEX(AB$10:AB$11,Предпосылки!$I$213,),0),AB335/(1+IFERROR(INDEX(AB$10:AB$11,Предпосылки!$I$214,),0))*IFERROR(INDEX(AB$10:AB$11,Предпосылки!$I$214,),0),AB358/(1+IFERROR(INDEX(AB$10:AB$11,Предпосылки!$I$215,),0))*IFERROR(INDEX(AB$10:AB$11,Предпосылки!$I$215,),0),AB381/(1+IFERROR(INDEX(AB$10:AB$11,Предпосылки!$I$216,),0))*IFERROR(INDEX(AB$10:AB$11,Предпосылки!$I$216,),0),AB404/(1+IFERROR(INDEX(AB$10:AB$11,Предпосылки!$I$217,),0))*IFERROR(INDEX(AB$10:AB$11,Предпосылки!$I$217,),0),AB427/(1+IFERROR(INDEX(AB$10:AB$11,Предпосылки!$I$218,),0))*IFERROR(INDEX(AB$10:AB$11,Предпосылки!$I$218,),0),AB450/(1+IFERROR(INDEX(AB$10:AB$11,Предпосылки!$I$219,),0))*IFERROR(INDEX(AB$10:AB$11,Предпосылки!$I$219,),0),AB473/(1+IFERROR(INDEX(AB$10:AB$11,Предпосылки!$I$220,),0))*IFERROR(INDEX(AB$10:AB$11,Предпосылки!$I$220,),0))</f>
        <v>0</v>
      </c>
      <c s="125">
        <f>SUM(AC36/(1+IFERROR(INDEX(AC$10:AC$11,Предпосылки!$I$201,),0))*IFERROR(INDEX(AC$10:AC$11,Предпосылки!$I$201,),0),AC59/(1+IFERROR(INDEX(AC$10:AC$11,Предпосылки!$I$202,),0))*IFERROR(INDEX(AC$10:AC$11,Предпосылки!$I$202,),0),AC82/(1+IFERROR(INDEX(AC$10:AC$11,Предпосылки!$I$203,),0))*IFERROR(INDEX(AC$10:AC$11,Предпосылки!$I$203,),0),AC105/(1+IFERROR(INDEX(AC$10:AC$11,Предпосылки!$I$204,),0))*IFERROR(INDEX(AC$10:AC$11,Предпосылки!$I$204,),0),AC128/(1+IFERROR(INDEX(AC$10:AC$11,Предпосылки!$I$205,),0))*IFERROR(INDEX(AC$10:AC$11,Предпосылки!$I$205,),0),AC151/(1+IFERROR(INDEX(AC$10:AC$11,Предпосылки!$I$206,),0))*IFERROR(INDEX(AC$10:AC$11,Предпосылки!$I$206,),0),AC174/(1+IFERROR(INDEX(AC$10:AC$11,Предпосылки!$I$207,),0))*IFERROR(INDEX(AC$10:AC$11,Предпосылки!$I$207,),0),AC197/(1+IFERROR(INDEX(AC$10:AC$11,Предпосылки!$I$208,),0))*IFERROR(INDEX(AC$10:AC$11,Предпосылки!$I$208,),0),AC220/(1+IFERROR(INDEX(AC$10:AC$11,Предпосылки!$I$209,),0))*IFERROR(INDEX(AC$10:AC$11,Предпосылки!$I$209,),0),AC243/(1+IFERROR(INDEX(AC$10:AC$11,Предпосылки!$I$210,),0))*IFERROR(INDEX(AC$10:AC$11,Предпосылки!$I$210,),0),AC266/(1+IFERROR(INDEX(AC$10:AC$11,Предпосылки!$I$211,),0))*IFERROR(INDEX(AC$10:AC$11,Предпосылки!$I$211,),0),AC289/(1+IFERROR(INDEX(AC$10:AC$11,Предпосылки!$I$212,),0))*IFERROR(INDEX(AC$10:AC$11,Предпосылки!$I$212,),0),AC312/(1+IFERROR(INDEX(AC$10:AC$11,Предпосылки!$I$213,),0))*IFERROR(INDEX(AC$10:AC$11,Предпосылки!$I$213,),0),AC335/(1+IFERROR(INDEX(AC$10:AC$11,Предпосылки!$I$214,),0))*IFERROR(INDEX(AC$10:AC$11,Предпосылки!$I$214,),0),AC358/(1+IFERROR(INDEX(AC$10:AC$11,Предпосылки!$I$215,),0))*IFERROR(INDEX(AC$10:AC$11,Предпосылки!$I$215,),0),AC381/(1+IFERROR(INDEX(AC$10:AC$11,Предпосылки!$I$216,),0))*IFERROR(INDEX(AC$10:AC$11,Предпосылки!$I$216,),0),AC404/(1+IFERROR(INDEX(AC$10:AC$11,Предпосылки!$I$217,),0))*IFERROR(INDEX(AC$10:AC$11,Предпосылки!$I$217,),0),AC427/(1+IFERROR(INDEX(AC$10:AC$11,Предпосылки!$I$218,),0))*IFERROR(INDEX(AC$10:AC$11,Предпосылки!$I$218,),0),AC450/(1+IFERROR(INDEX(AC$10:AC$11,Предпосылки!$I$219,),0))*IFERROR(INDEX(AC$10:AC$11,Предпосылки!$I$219,),0),AC473/(1+IFERROR(INDEX(AC$10:AC$11,Предпосылки!$I$220,),0))*IFERROR(INDEX(AC$10:AC$11,Предпосылки!$I$220,),0))</f>
        <v>0</v>
      </c>
      <c s="125">
        <f>SUM(AD36/(1+IFERROR(INDEX(AD$10:AD$11,Предпосылки!$I$201,),0))*IFERROR(INDEX(AD$10:AD$11,Предпосылки!$I$201,),0),AD59/(1+IFERROR(INDEX(AD$10:AD$11,Предпосылки!$I$202,),0))*IFERROR(INDEX(AD$10:AD$11,Предпосылки!$I$202,),0),AD82/(1+IFERROR(INDEX(AD$10:AD$11,Предпосылки!$I$203,),0))*IFERROR(INDEX(AD$10:AD$11,Предпосылки!$I$203,),0),AD105/(1+IFERROR(INDEX(AD$10:AD$11,Предпосылки!$I$204,),0))*IFERROR(INDEX(AD$10:AD$11,Предпосылки!$I$204,),0),AD128/(1+IFERROR(INDEX(AD$10:AD$11,Предпосылки!$I$205,),0))*IFERROR(INDEX(AD$10:AD$11,Предпосылки!$I$205,),0),AD151/(1+IFERROR(INDEX(AD$10:AD$11,Предпосылки!$I$206,),0))*IFERROR(INDEX(AD$10:AD$11,Предпосылки!$I$206,),0),AD174/(1+IFERROR(INDEX(AD$10:AD$11,Предпосылки!$I$207,),0))*IFERROR(INDEX(AD$10:AD$11,Предпосылки!$I$207,),0),AD197/(1+IFERROR(INDEX(AD$10:AD$11,Предпосылки!$I$208,),0))*IFERROR(INDEX(AD$10:AD$11,Предпосылки!$I$208,),0),AD220/(1+IFERROR(INDEX(AD$10:AD$11,Предпосылки!$I$209,),0))*IFERROR(INDEX(AD$10:AD$11,Предпосылки!$I$209,),0),AD243/(1+IFERROR(INDEX(AD$10:AD$11,Предпосылки!$I$210,),0))*IFERROR(INDEX(AD$10:AD$11,Предпосылки!$I$210,),0),AD266/(1+IFERROR(INDEX(AD$10:AD$11,Предпосылки!$I$211,),0))*IFERROR(INDEX(AD$10:AD$11,Предпосылки!$I$211,),0),AD289/(1+IFERROR(INDEX(AD$10:AD$11,Предпосылки!$I$212,),0))*IFERROR(INDEX(AD$10:AD$11,Предпосылки!$I$212,),0),AD312/(1+IFERROR(INDEX(AD$10:AD$11,Предпосылки!$I$213,),0))*IFERROR(INDEX(AD$10:AD$11,Предпосылки!$I$213,),0),AD335/(1+IFERROR(INDEX(AD$10:AD$11,Предпосылки!$I$214,),0))*IFERROR(INDEX(AD$10:AD$11,Предпосылки!$I$214,),0),AD358/(1+IFERROR(INDEX(AD$10:AD$11,Предпосылки!$I$215,),0))*IFERROR(INDEX(AD$10:AD$11,Предпосылки!$I$215,),0),AD381/(1+IFERROR(INDEX(AD$10:AD$11,Предпосылки!$I$216,),0))*IFERROR(INDEX(AD$10:AD$11,Предпосылки!$I$216,),0),AD404/(1+IFERROR(INDEX(AD$10:AD$11,Предпосылки!$I$217,),0))*IFERROR(INDEX(AD$10:AD$11,Предпосылки!$I$217,),0),AD427/(1+IFERROR(INDEX(AD$10:AD$11,Предпосылки!$I$218,),0))*IFERROR(INDEX(AD$10:AD$11,Предпосылки!$I$218,),0),AD450/(1+IFERROR(INDEX(AD$10:AD$11,Предпосылки!$I$219,),0))*IFERROR(INDEX(AD$10:AD$11,Предпосылки!$I$219,),0),AD473/(1+IFERROR(INDEX(AD$10:AD$11,Предпосылки!$I$220,),0))*IFERROR(INDEX(AD$10:AD$11,Предпосылки!$I$220,),0))</f>
        <v>0</v>
      </c>
      <c s="125">
        <f>SUM(AE36/(1+IFERROR(INDEX(AE$10:AE$11,Предпосылки!$I$201,),0))*IFERROR(INDEX(AE$10:AE$11,Предпосылки!$I$201,),0),AE59/(1+IFERROR(INDEX(AE$10:AE$11,Предпосылки!$I$202,),0))*IFERROR(INDEX(AE$10:AE$11,Предпосылки!$I$202,),0),AE82/(1+IFERROR(INDEX(AE$10:AE$11,Предпосылки!$I$203,),0))*IFERROR(INDEX(AE$10:AE$11,Предпосылки!$I$203,),0),AE105/(1+IFERROR(INDEX(AE$10:AE$11,Предпосылки!$I$204,),0))*IFERROR(INDEX(AE$10:AE$11,Предпосылки!$I$204,),0),AE128/(1+IFERROR(INDEX(AE$10:AE$11,Предпосылки!$I$205,),0))*IFERROR(INDEX(AE$10:AE$11,Предпосылки!$I$205,),0),AE151/(1+IFERROR(INDEX(AE$10:AE$11,Предпосылки!$I$206,),0))*IFERROR(INDEX(AE$10:AE$11,Предпосылки!$I$206,),0),AE174/(1+IFERROR(INDEX(AE$10:AE$11,Предпосылки!$I$207,),0))*IFERROR(INDEX(AE$10:AE$11,Предпосылки!$I$207,),0),AE197/(1+IFERROR(INDEX(AE$10:AE$11,Предпосылки!$I$208,),0))*IFERROR(INDEX(AE$10:AE$11,Предпосылки!$I$208,),0),AE220/(1+IFERROR(INDEX(AE$10:AE$11,Предпосылки!$I$209,),0))*IFERROR(INDEX(AE$10:AE$11,Предпосылки!$I$209,),0),AE243/(1+IFERROR(INDEX(AE$10:AE$11,Предпосылки!$I$210,),0))*IFERROR(INDEX(AE$10:AE$11,Предпосылки!$I$210,),0),AE266/(1+IFERROR(INDEX(AE$10:AE$11,Предпосылки!$I$211,),0))*IFERROR(INDEX(AE$10:AE$11,Предпосылки!$I$211,),0),AE289/(1+IFERROR(INDEX(AE$10:AE$11,Предпосылки!$I$212,),0))*IFERROR(INDEX(AE$10:AE$11,Предпосылки!$I$212,),0),AE312/(1+IFERROR(INDEX(AE$10:AE$11,Предпосылки!$I$213,),0))*IFERROR(INDEX(AE$10:AE$11,Предпосылки!$I$213,),0),AE335/(1+IFERROR(INDEX(AE$10:AE$11,Предпосылки!$I$214,),0))*IFERROR(INDEX(AE$10:AE$11,Предпосылки!$I$214,),0),AE358/(1+IFERROR(INDEX(AE$10:AE$11,Предпосылки!$I$215,),0))*IFERROR(INDEX(AE$10:AE$11,Предпосылки!$I$215,),0),AE381/(1+IFERROR(INDEX(AE$10:AE$11,Предпосылки!$I$216,),0))*IFERROR(INDEX(AE$10:AE$11,Предпосылки!$I$216,),0),AE404/(1+IFERROR(INDEX(AE$10:AE$11,Предпосылки!$I$217,),0))*IFERROR(INDEX(AE$10:AE$11,Предпосылки!$I$217,),0),AE427/(1+IFERROR(INDEX(AE$10:AE$11,Предпосылки!$I$218,),0))*IFERROR(INDEX(AE$10:AE$11,Предпосылки!$I$218,),0),AE450/(1+IFERROR(INDEX(AE$10:AE$11,Предпосылки!$I$219,),0))*IFERROR(INDEX(AE$10:AE$11,Предпосылки!$I$219,),0),AE473/(1+IFERROR(INDEX(AE$10:AE$11,Предпосылки!$I$220,),0))*IFERROR(INDEX(AE$10:AE$11,Предпосылки!$I$220,),0))</f>
        <v>0</v>
      </c>
      <c s="125">
        <f>SUM(AF36/(1+IFERROR(INDEX(AF$10:AF$11,Предпосылки!$I$201,),0))*IFERROR(INDEX(AF$10:AF$11,Предпосылки!$I$201,),0),AF59/(1+IFERROR(INDEX(AF$10:AF$11,Предпосылки!$I$202,),0))*IFERROR(INDEX(AF$10:AF$11,Предпосылки!$I$202,),0),AF82/(1+IFERROR(INDEX(AF$10:AF$11,Предпосылки!$I$203,),0))*IFERROR(INDEX(AF$10:AF$11,Предпосылки!$I$203,),0),AF105/(1+IFERROR(INDEX(AF$10:AF$11,Предпосылки!$I$204,),0))*IFERROR(INDEX(AF$10:AF$11,Предпосылки!$I$204,),0),AF128/(1+IFERROR(INDEX(AF$10:AF$11,Предпосылки!$I$205,),0))*IFERROR(INDEX(AF$10:AF$11,Предпосылки!$I$205,),0),AF151/(1+IFERROR(INDEX(AF$10:AF$11,Предпосылки!$I$206,),0))*IFERROR(INDEX(AF$10:AF$11,Предпосылки!$I$206,),0),AF174/(1+IFERROR(INDEX(AF$10:AF$11,Предпосылки!$I$207,),0))*IFERROR(INDEX(AF$10:AF$11,Предпосылки!$I$207,),0),AF197/(1+IFERROR(INDEX(AF$10:AF$11,Предпосылки!$I$208,),0))*IFERROR(INDEX(AF$10:AF$11,Предпосылки!$I$208,),0),AF220/(1+IFERROR(INDEX(AF$10:AF$11,Предпосылки!$I$209,),0))*IFERROR(INDEX(AF$10:AF$11,Предпосылки!$I$209,),0),AF243/(1+IFERROR(INDEX(AF$10:AF$11,Предпосылки!$I$210,),0))*IFERROR(INDEX(AF$10:AF$11,Предпосылки!$I$210,),0),AF266/(1+IFERROR(INDEX(AF$10:AF$11,Предпосылки!$I$211,),0))*IFERROR(INDEX(AF$10:AF$11,Предпосылки!$I$211,),0),AF289/(1+IFERROR(INDEX(AF$10:AF$11,Предпосылки!$I$212,),0))*IFERROR(INDEX(AF$10:AF$11,Предпосылки!$I$212,),0),AF312/(1+IFERROR(INDEX(AF$10:AF$11,Предпосылки!$I$213,),0))*IFERROR(INDEX(AF$10:AF$11,Предпосылки!$I$213,),0),AF335/(1+IFERROR(INDEX(AF$10:AF$11,Предпосылки!$I$214,),0))*IFERROR(INDEX(AF$10:AF$11,Предпосылки!$I$214,),0),AF358/(1+IFERROR(INDEX(AF$10:AF$11,Предпосылки!$I$215,),0))*IFERROR(INDEX(AF$10:AF$11,Предпосылки!$I$215,),0),AF381/(1+IFERROR(INDEX(AF$10:AF$11,Предпосылки!$I$216,),0))*IFERROR(INDEX(AF$10:AF$11,Предпосылки!$I$216,),0),AF404/(1+IFERROR(INDEX(AF$10:AF$11,Предпосылки!$I$217,),0))*IFERROR(INDEX(AF$10:AF$11,Предпосылки!$I$217,),0),AF427/(1+IFERROR(INDEX(AF$10:AF$11,Предпосылки!$I$218,),0))*IFERROR(INDEX(AF$10:AF$11,Предпосылки!$I$218,),0),AF450/(1+IFERROR(INDEX(AF$10:AF$11,Предпосылки!$I$219,),0))*IFERROR(INDEX(AF$10:AF$11,Предпосылки!$I$219,),0),AF473/(1+IFERROR(INDEX(AF$10:AF$11,Предпосылки!$I$220,),0))*IFERROR(INDEX(AF$10:AF$11,Предпосылки!$I$220,),0))</f>
        <v>0</v>
      </c>
      <c s="125">
        <f>SUM(AG36/(1+IFERROR(INDEX(AG$10:AG$11,Предпосылки!$I$201,),0))*IFERROR(INDEX(AG$10:AG$11,Предпосылки!$I$201,),0),AG59/(1+IFERROR(INDEX(AG$10:AG$11,Предпосылки!$I$202,),0))*IFERROR(INDEX(AG$10:AG$11,Предпосылки!$I$202,),0),AG82/(1+IFERROR(INDEX(AG$10:AG$11,Предпосылки!$I$203,),0))*IFERROR(INDEX(AG$10:AG$11,Предпосылки!$I$203,),0),AG105/(1+IFERROR(INDEX(AG$10:AG$11,Предпосылки!$I$204,),0))*IFERROR(INDEX(AG$10:AG$11,Предпосылки!$I$204,),0),AG128/(1+IFERROR(INDEX(AG$10:AG$11,Предпосылки!$I$205,),0))*IFERROR(INDEX(AG$10:AG$11,Предпосылки!$I$205,),0),AG151/(1+IFERROR(INDEX(AG$10:AG$11,Предпосылки!$I$206,),0))*IFERROR(INDEX(AG$10:AG$11,Предпосылки!$I$206,),0),AG174/(1+IFERROR(INDEX(AG$10:AG$11,Предпосылки!$I$207,),0))*IFERROR(INDEX(AG$10:AG$11,Предпосылки!$I$207,),0),AG197/(1+IFERROR(INDEX(AG$10:AG$11,Предпосылки!$I$208,),0))*IFERROR(INDEX(AG$10:AG$11,Предпосылки!$I$208,),0),AG220/(1+IFERROR(INDEX(AG$10:AG$11,Предпосылки!$I$209,),0))*IFERROR(INDEX(AG$10:AG$11,Предпосылки!$I$209,),0),AG243/(1+IFERROR(INDEX(AG$10:AG$11,Предпосылки!$I$210,),0))*IFERROR(INDEX(AG$10:AG$11,Предпосылки!$I$210,),0),AG266/(1+IFERROR(INDEX(AG$10:AG$11,Предпосылки!$I$211,),0))*IFERROR(INDEX(AG$10:AG$11,Предпосылки!$I$211,),0),AG289/(1+IFERROR(INDEX(AG$10:AG$11,Предпосылки!$I$212,),0))*IFERROR(INDEX(AG$10:AG$11,Предпосылки!$I$212,),0),AG312/(1+IFERROR(INDEX(AG$10:AG$11,Предпосылки!$I$213,),0))*IFERROR(INDEX(AG$10:AG$11,Предпосылки!$I$213,),0),AG335/(1+IFERROR(INDEX(AG$10:AG$11,Предпосылки!$I$214,),0))*IFERROR(INDEX(AG$10:AG$11,Предпосылки!$I$214,),0),AG358/(1+IFERROR(INDEX(AG$10:AG$11,Предпосылки!$I$215,),0))*IFERROR(INDEX(AG$10:AG$11,Предпосылки!$I$215,),0),AG381/(1+IFERROR(INDEX(AG$10:AG$11,Предпосылки!$I$216,),0))*IFERROR(INDEX(AG$10:AG$11,Предпосылки!$I$216,),0),AG404/(1+IFERROR(INDEX(AG$10:AG$11,Предпосылки!$I$217,),0))*IFERROR(INDEX(AG$10:AG$11,Предпосылки!$I$217,),0),AG427/(1+IFERROR(INDEX(AG$10:AG$11,Предпосылки!$I$218,),0))*IFERROR(INDEX(AG$10:AG$11,Предпосылки!$I$218,),0),AG450/(1+IFERROR(INDEX(AG$10:AG$11,Предпосылки!$I$219,),0))*IFERROR(INDEX(AG$10:AG$11,Предпосылки!$I$219,),0),AG473/(1+IFERROR(INDEX(AG$10:AG$11,Предпосылки!$I$220,),0))*IFERROR(INDEX(AG$10:AG$11,Предпосылки!$I$220,),0))</f>
        <v>0</v>
      </c>
      <c s="125">
        <f>SUM(AH36/(1+IFERROR(INDEX(AH$10:AH$11,Предпосылки!$I$201,),0))*IFERROR(INDEX(AH$10:AH$11,Предпосылки!$I$201,),0),AH59/(1+IFERROR(INDEX(AH$10:AH$11,Предпосылки!$I$202,),0))*IFERROR(INDEX(AH$10:AH$11,Предпосылки!$I$202,),0),AH82/(1+IFERROR(INDEX(AH$10:AH$11,Предпосылки!$I$203,),0))*IFERROR(INDEX(AH$10:AH$11,Предпосылки!$I$203,),0),AH105/(1+IFERROR(INDEX(AH$10:AH$11,Предпосылки!$I$204,),0))*IFERROR(INDEX(AH$10:AH$11,Предпосылки!$I$204,),0),AH128/(1+IFERROR(INDEX(AH$10:AH$11,Предпосылки!$I$205,),0))*IFERROR(INDEX(AH$10:AH$11,Предпосылки!$I$205,),0),AH151/(1+IFERROR(INDEX(AH$10:AH$11,Предпосылки!$I$206,),0))*IFERROR(INDEX(AH$10:AH$11,Предпосылки!$I$206,),0),AH174/(1+IFERROR(INDEX(AH$10:AH$11,Предпосылки!$I$207,),0))*IFERROR(INDEX(AH$10:AH$11,Предпосылки!$I$207,),0),AH197/(1+IFERROR(INDEX(AH$10:AH$11,Предпосылки!$I$208,),0))*IFERROR(INDEX(AH$10:AH$11,Предпосылки!$I$208,),0),AH220/(1+IFERROR(INDEX(AH$10:AH$11,Предпосылки!$I$209,),0))*IFERROR(INDEX(AH$10:AH$11,Предпосылки!$I$209,),0),AH243/(1+IFERROR(INDEX(AH$10:AH$11,Предпосылки!$I$210,),0))*IFERROR(INDEX(AH$10:AH$11,Предпосылки!$I$210,),0),AH266/(1+IFERROR(INDEX(AH$10:AH$11,Предпосылки!$I$211,),0))*IFERROR(INDEX(AH$10:AH$11,Предпосылки!$I$211,),0),AH289/(1+IFERROR(INDEX(AH$10:AH$11,Предпосылки!$I$212,),0))*IFERROR(INDEX(AH$10:AH$11,Предпосылки!$I$212,),0),AH312/(1+IFERROR(INDEX(AH$10:AH$11,Предпосылки!$I$213,),0))*IFERROR(INDEX(AH$10:AH$11,Предпосылки!$I$213,),0),AH335/(1+IFERROR(INDEX(AH$10:AH$11,Предпосылки!$I$214,),0))*IFERROR(INDEX(AH$10:AH$11,Предпосылки!$I$214,),0),AH358/(1+IFERROR(INDEX(AH$10:AH$11,Предпосылки!$I$215,),0))*IFERROR(INDEX(AH$10:AH$11,Предпосылки!$I$215,),0),AH381/(1+IFERROR(INDEX(AH$10:AH$11,Предпосылки!$I$216,),0))*IFERROR(INDEX(AH$10:AH$11,Предпосылки!$I$216,),0),AH404/(1+IFERROR(INDEX(AH$10:AH$11,Предпосылки!$I$217,),0))*IFERROR(INDEX(AH$10:AH$11,Предпосылки!$I$217,),0),AH427/(1+IFERROR(INDEX(AH$10:AH$11,Предпосылки!$I$218,),0))*IFERROR(INDEX(AH$10:AH$11,Предпосылки!$I$218,),0),AH450/(1+IFERROR(INDEX(AH$10:AH$11,Предпосылки!$I$219,),0))*IFERROR(INDEX(AH$10:AH$11,Предпосылки!$I$219,),0),AH473/(1+IFERROR(INDEX(AH$10:AH$11,Предпосылки!$I$220,),0))*IFERROR(INDEX(AH$10:AH$11,Предпосылки!$I$220,),0))</f>
        <v>0</v>
      </c>
      <c s="125">
        <f>SUM(AI36/(1+IFERROR(INDEX(AI$10:AI$11,Предпосылки!$I$201,),0))*IFERROR(INDEX(AI$10:AI$11,Предпосылки!$I$201,),0),AI59/(1+IFERROR(INDEX(AI$10:AI$11,Предпосылки!$I$202,),0))*IFERROR(INDEX(AI$10:AI$11,Предпосылки!$I$202,),0),AI82/(1+IFERROR(INDEX(AI$10:AI$11,Предпосылки!$I$203,),0))*IFERROR(INDEX(AI$10:AI$11,Предпосылки!$I$203,),0),AI105/(1+IFERROR(INDEX(AI$10:AI$11,Предпосылки!$I$204,),0))*IFERROR(INDEX(AI$10:AI$11,Предпосылки!$I$204,),0),AI128/(1+IFERROR(INDEX(AI$10:AI$11,Предпосылки!$I$205,),0))*IFERROR(INDEX(AI$10:AI$11,Предпосылки!$I$205,),0),AI151/(1+IFERROR(INDEX(AI$10:AI$11,Предпосылки!$I$206,),0))*IFERROR(INDEX(AI$10:AI$11,Предпосылки!$I$206,),0),AI174/(1+IFERROR(INDEX(AI$10:AI$11,Предпосылки!$I$207,),0))*IFERROR(INDEX(AI$10:AI$11,Предпосылки!$I$207,),0),AI197/(1+IFERROR(INDEX(AI$10:AI$11,Предпосылки!$I$208,),0))*IFERROR(INDEX(AI$10:AI$11,Предпосылки!$I$208,),0),AI220/(1+IFERROR(INDEX(AI$10:AI$11,Предпосылки!$I$209,),0))*IFERROR(INDEX(AI$10:AI$11,Предпосылки!$I$209,),0),AI243/(1+IFERROR(INDEX(AI$10:AI$11,Предпосылки!$I$210,),0))*IFERROR(INDEX(AI$10:AI$11,Предпосылки!$I$210,),0),AI266/(1+IFERROR(INDEX(AI$10:AI$11,Предпосылки!$I$211,),0))*IFERROR(INDEX(AI$10:AI$11,Предпосылки!$I$211,),0),AI289/(1+IFERROR(INDEX(AI$10:AI$11,Предпосылки!$I$212,),0))*IFERROR(INDEX(AI$10:AI$11,Предпосылки!$I$212,),0),AI312/(1+IFERROR(INDEX(AI$10:AI$11,Предпосылки!$I$213,),0))*IFERROR(INDEX(AI$10:AI$11,Предпосылки!$I$213,),0),AI335/(1+IFERROR(INDEX(AI$10:AI$11,Предпосылки!$I$214,),0))*IFERROR(INDEX(AI$10:AI$11,Предпосылки!$I$214,),0),AI358/(1+IFERROR(INDEX(AI$10:AI$11,Предпосылки!$I$215,),0))*IFERROR(INDEX(AI$10:AI$11,Предпосылки!$I$215,),0),AI381/(1+IFERROR(INDEX(AI$10:AI$11,Предпосылки!$I$216,),0))*IFERROR(INDEX(AI$10:AI$11,Предпосылки!$I$216,),0),AI404/(1+IFERROR(INDEX(AI$10:AI$11,Предпосылки!$I$217,),0))*IFERROR(INDEX(AI$10:AI$11,Предпосылки!$I$217,),0),AI427/(1+IFERROR(INDEX(AI$10:AI$11,Предпосылки!$I$218,),0))*IFERROR(INDEX(AI$10:AI$11,Предпосылки!$I$218,),0),AI450/(1+IFERROR(INDEX(AI$10:AI$11,Предпосылки!$I$219,),0))*IFERROR(INDEX(AI$10:AI$11,Предпосылки!$I$219,),0),AI473/(1+IFERROR(INDEX(AI$10:AI$11,Предпосылки!$I$220,),0))*IFERROR(INDEX(AI$10:AI$11,Предпосылки!$I$220,),0))</f>
        <v>0</v>
      </c>
      <c s="125">
        <f>SUM(AJ36/(1+IFERROR(INDEX(AJ$10:AJ$11,Предпосылки!$I$201,),0))*IFERROR(INDEX(AJ$10:AJ$11,Предпосылки!$I$201,),0),AJ59/(1+IFERROR(INDEX(AJ$10:AJ$11,Предпосылки!$I$202,),0))*IFERROR(INDEX(AJ$10:AJ$11,Предпосылки!$I$202,),0),AJ82/(1+IFERROR(INDEX(AJ$10:AJ$11,Предпосылки!$I$203,),0))*IFERROR(INDEX(AJ$10:AJ$11,Предпосылки!$I$203,),0),AJ105/(1+IFERROR(INDEX(AJ$10:AJ$11,Предпосылки!$I$204,),0))*IFERROR(INDEX(AJ$10:AJ$11,Предпосылки!$I$204,),0),AJ128/(1+IFERROR(INDEX(AJ$10:AJ$11,Предпосылки!$I$205,),0))*IFERROR(INDEX(AJ$10:AJ$11,Предпосылки!$I$205,),0),AJ151/(1+IFERROR(INDEX(AJ$10:AJ$11,Предпосылки!$I$206,),0))*IFERROR(INDEX(AJ$10:AJ$11,Предпосылки!$I$206,),0),AJ174/(1+IFERROR(INDEX(AJ$10:AJ$11,Предпосылки!$I$207,),0))*IFERROR(INDEX(AJ$10:AJ$11,Предпосылки!$I$207,),0),AJ197/(1+IFERROR(INDEX(AJ$10:AJ$11,Предпосылки!$I$208,),0))*IFERROR(INDEX(AJ$10:AJ$11,Предпосылки!$I$208,),0),AJ220/(1+IFERROR(INDEX(AJ$10:AJ$11,Предпосылки!$I$209,),0))*IFERROR(INDEX(AJ$10:AJ$11,Предпосылки!$I$209,),0),AJ243/(1+IFERROR(INDEX(AJ$10:AJ$11,Предпосылки!$I$210,),0))*IFERROR(INDEX(AJ$10:AJ$11,Предпосылки!$I$210,),0),AJ266/(1+IFERROR(INDEX(AJ$10:AJ$11,Предпосылки!$I$211,),0))*IFERROR(INDEX(AJ$10:AJ$11,Предпосылки!$I$211,),0),AJ289/(1+IFERROR(INDEX(AJ$10:AJ$11,Предпосылки!$I$212,),0))*IFERROR(INDEX(AJ$10:AJ$11,Предпосылки!$I$212,),0),AJ312/(1+IFERROR(INDEX(AJ$10:AJ$11,Предпосылки!$I$213,),0))*IFERROR(INDEX(AJ$10:AJ$11,Предпосылки!$I$213,),0),AJ335/(1+IFERROR(INDEX(AJ$10:AJ$11,Предпосылки!$I$214,),0))*IFERROR(INDEX(AJ$10:AJ$11,Предпосылки!$I$214,),0),AJ358/(1+IFERROR(INDEX(AJ$10:AJ$11,Предпосылки!$I$215,),0))*IFERROR(INDEX(AJ$10:AJ$11,Предпосылки!$I$215,),0),AJ381/(1+IFERROR(INDEX(AJ$10:AJ$11,Предпосылки!$I$216,),0))*IFERROR(INDEX(AJ$10:AJ$11,Предпосылки!$I$216,),0),AJ404/(1+IFERROR(INDEX(AJ$10:AJ$11,Предпосылки!$I$217,),0))*IFERROR(INDEX(AJ$10:AJ$11,Предпосылки!$I$217,),0),AJ427/(1+IFERROR(INDEX(AJ$10:AJ$11,Предпосылки!$I$218,),0))*IFERROR(INDEX(AJ$10:AJ$11,Предпосылки!$I$218,),0),AJ450/(1+IFERROR(INDEX(AJ$10:AJ$11,Предпосылки!$I$219,),0))*IFERROR(INDEX(AJ$10:AJ$11,Предпосылки!$I$219,),0),AJ473/(1+IFERROR(INDEX(AJ$10:AJ$11,Предпосылки!$I$220,),0))*IFERROR(INDEX(AJ$10:AJ$11,Предпосылки!$I$220,),0))</f>
        <v>0</v>
      </c>
      <c s="125">
        <f>SUM(AK36/(1+IFERROR(INDEX(AK$10:AK$11,Предпосылки!$I$201,),0))*IFERROR(INDEX(AK$10:AK$11,Предпосылки!$I$201,),0),AK59/(1+IFERROR(INDEX(AK$10:AK$11,Предпосылки!$I$202,),0))*IFERROR(INDEX(AK$10:AK$11,Предпосылки!$I$202,),0),AK82/(1+IFERROR(INDEX(AK$10:AK$11,Предпосылки!$I$203,),0))*IFERROR(INDEX(AK$10:AK$11,Предпосылки!$I$203,),0),AK105/(1+IFERROR(INDEX(AK$10:AK$11,Предпосылки!$I$204,),0))*IFERROR(INDEX(AK$10:AK$11,Предпосылки!$I$204,),0),AK128/(1+IFERROR(INDEX(AK$10:AK$11,Предпосылки!$I$205,),0))*IFERROR(INDEX(AK$10:AK$11,Предпосылки!$I$205,),0),AK151/(1+IFERROR(INDEX(AK$10:AK$11,Предпосылки!$I$206,),0))*IFERROR(INDEX(AK$10:AK$11,Предпосылки!$I$206,),0),AK174/(1+IFERROR(INDEX(AK$10:AK$11,Предпосылки!$I$207,),0))*IFERROR(INDEX(AK$10:AK$11,Предпосылки!$I$207,),0),AK197/(1+IFERROR(INDEX(AK$10:AK$11,Предпосылки!$I$208,),0))*IFERROR(INDEX(AK$10:AK$11,Предпосылки!$I$208,),0),AK220/(1+IFERROR(INDEX(AK$10:AK$11,Предпосылки!$I$209,),0))*IFERROR(INDEX(AK$10:AK$11,Предпосылки!$I$209,),0),AK243/(1+IFERROR(INDEX(AK$10:AK$11,Предпосылки!$I$210,),0))*IFERROR(INDEX(AK$10:AK$11,Предпосылки!$I$210,),0),AK266/(1+IFERROR(INDEX(AK$10:AK$11,Предпосылки!$I$211,),0))*IFERROR(INDEX(AK$10:AK$11,Предпосылки!$I$211,),0),AK289/(1+IFERROR(INDEX(AK$10:AK$11,Предпосылки!$I$212,),0))*IFERROR(INDEX(AK$10:AK$11,Предпосылки!$I$212,),0),AK312/(1+IFERROR(INDEX(AK$10:AK$11,Предпосылки!$I$213,),0))*IFERROR(INDEX(AK$10:AK$11,Предпосылки!$I$213,),0),AK335/(1+IFERROR(INDEX(AK$10:AK$11,Предпосылки!$I$214,),0))*IFERROR(INDEX(AK$10:AK$11,Предпосылки!$I$214,),0),AK358/(1+IFERROR(INDEX(AK$10:AK$11,Предпосылки!$I$215,),0))*IFERROR(INDEX(AK$10:AK$11,Предпосылки!$I$215,),0),AK381/(1+IFERROR(INDEX(AK$10:AK$11,Предпосылки!$I$216,),0))*IFERROR(INDEX(AK$10:AK$11,Предпосылки!$I$216,),0),AK404/(1+IFERROR(INDEX(AK$10:AK$11,Предпосылки!$I$217,),0))*IFERROR(INDEX(AK$10:AK$11,Предпосылки!$I$217,),0),AK427/(1+IFERROR(INDEX(AK$10:AK$11,Предпосылки!$I$218,),0))*IFERROR(INDEX(AK$10:AK$11,Предпосылки!$I$218,),0),AK450/(1+IFERROR(INDEX(AK$10:AK$11,Предпосылки!$I$219,),0))*IFERROR(INDEX(AK$10:AK$11,Предпосылки!$I$219,),0),AK473/(1+IFERROR(INDEX(AK$10:AK$11,Предпосылки!$I$220,),0))*IFERROR(INDEX(AK$10:AK$11,Предпосылки!$I$220,),0))</f>
        <v>0</v>
      </c>
      <c s="125">
        <f>SUM(AL36/(1+IFERROR(INDEX(AL$10:AL$11,Предпосылки!$I$201,),0))*IFERROR(INDEX(AL$10:AL$11,Предпосылки!$I$201,),0),AL59/(1+IFERROR(INDEX(AL$10:AL$11,Предпосылки!$I$202,),0))*IFERROR(INDEX(AL$10:AL$11,Предпосылки!$I$202,),0),AL82/(1+IFERROR(INDEX(AL$10:AL$11,Предпосылки!$I$203,),0))*IFERROR(INDEX(AL$10:AL$11,Предпосылки!$I$203,),0),AL105/(1+IFERROR(INDEX(AL$10:AL$11,Предпосылки!$I$204,),0))*IFERROR(INDEX(AL$10:AL$11,Предпосылки!$I$204,),0),AL128/(1+IFERROR(INDEX(AL$10:AL$11,Предпосылки!$I$205,),0))*IFERROR(INDEX(AL$10:AL$11,Предпосылки!$I$205,),0),AL151/(1+IFERROR(INDEX(AL$10:AL$11,Предпосылки!$I$206,),0))*IFERROR(INDEX(AL$10:AL$11,Предпосылки!$I$206,),0),AL174/(1+IFERROR(INDEX(AL$10:AL$11,Предпосылки!$I$207,),0))*IFERROR(INDEX(AL$10:AL$11,Предпосылки!$I$207,),0),AL197/(1+IFERROR(INDEX(AL$10:AL$11,Предпосылки!$I$208,),0))*IFERROR(INDEX(AL$10:AL$11,Предпосылки!$I$208,),0),AL220/(1+IFERROR(INDEX(AL$10:AL$11,Предпосылки!$I$209,),0))*IFERROR(INDEX(AL$10:AL$11,Предпосылки!$I$209,),0),AL243/(1+IFERROR(INDEX(AL$10:AL$11,Предпосылки!$I$210,),0))*IFERROR(INDEX(AL$10:AL$11,Предпосылки!$I$210,),0),AL266/(1+IFERROR(INDEX(AL$10:AL$11,Предпосылки!$I$211,),0))*IFERROR(INDEX(AL$10:AL$11,Предпосылки!$I$211,),0),AL289/(1+IFERROR(INDEX(AL$10:AL$11,Предпосылки!$I$212,),0))*IFERROR(INDEX(AL$10:AL$11,Предпосылки!$I$212,),0),AL312/(1+IFERROR(INDEX(AL$10:AL$11,Предпосылки!$I$213,),0))*IFERROR(INDEX(AL$10:AL$11,Предпосылки!$I$213,),0),AL335/(1+IFERROR(INDEX(AL$10:AL$11,Предпосылки!$I$214,),0))*IFERROR(INDEX(AL$10:AL$11,Предпосылки!$I$214,),0),AL358/(1+IFERROR(INDEX(AL$10:AL$11,Предпосылки!$I$215,),0))*IFERROR(INDEX(AL$10:AL$11,Предпосылки!$I$215,),0),AL381/(1+IFERROR(INDEX(AL$10:AL$11,Предпосылки!$I$216,),0))*IFERROR(INDEX(AL$10:AL$11,Предпосылки!$I$216,),0),AL404/(1+IFERROR(INDEX(AL$10:AL$11,Предпосылки!$I$217,),0))*IFERROR(INDEX(AL$10:AL$11,Предпосылки!$I$217,),0),AL427/(1+IFERROR(INDEX(AL$10:AL$11,Предпосылки!$I$218,),0))*IFERROR(INDEX(AL$10:AL$11,Предпосылки!$I$218,),0),AL450/(1+IFERROR(INDEX(AL$10:AL$11,Предпосылки!$I$219,),0))*IFERROR(INDEX(AL$10:AL$11,Предпосылки!$I$219,),0),AL473/(1+IFERROR(INDEX(AL$10:AL$11,Предпосылки!$I$220,),0))*IFERROR(INDEX(AL$10:AL$11,Предпосылки!$I$220,),0))</f>
        <v>0</v>
      </c>
      <c s="125">
        <f>SUM(AM36/(1+IFERROR(INDEX(AM$10:AM$11,Предпосылки!$I$201,),0))*IFERROR(INDEX(AM$10:AM$11,Предпосылки!$I$201,),0),AM59/(1+IFERROR(INDEX(AM$10:AM$11,Предпосылки!$I$202,),0))*IFERROR(INDEX(AM$10:AM$11,Предпосылки!$I$202,),0),AM82/(1+IFERROR(INDEX(AM$10:AM$11,Предпосылки!$I$203,),0))*IFERROR(INDEX(AM$10:AM$11,Предпосылки!$I$203,),0),AM105/(1+IFERROR(INDEX(AM$10:AM$11,Предпосылки!$I$204,),0))*IFERROR(INDEX(AM$10:AM$11,Предпосылки!$I$204,),0),AM128/(1+IFERROR(INDEX(AM$10:AM$11,Предпосылки!$I$205,),0))*IFERROR(INDEX(AM$10:AM$11,Предпосылки!$I$205,),0),AM151/(1+IFERROR(INDEX(AM$10:AM$11,Предпосылки!$I$206,),0))*IFERROR(INDEX(AM$10:AM$11,Предпосылки!$I$206,),0),AM174/(1+IFERROR(INDEX(AM$10:AM$11,Предпосылки!$I$207,),0))*IFERROR(INDEX(AM$10:AM$11,Предпосылки!$I$207,),0),AM197/(1+IFERROR(INDEX(AM$10:AM$11,Предпосылки!$I$208,),0))*IFERROR(INDEX(AM$10:AM$11,Предпосылки!$I$208,),0),AM220/(1+IFERROR(INDEX(AM$10:AM$11,Предпосылки!$I$209,),0))*IFERROR(INDEX(AM$10:AM$11,Предпосылки!$I$209,),0),AM243/(1+IFERROR(INDEX(AM$10:AM$11,Предпосылки!$I$210,),0))*IFERROR(INDEX(AM$10:AM$11,Предпосылки!$I$210,),0),AM266/(1+IFERROR(INDEX(AM$10:AM$11,Предпосылки!$I$211,),0))*IFERROR(INDEX(AM$10:AM$11,Предпосылки!$I$211,),0),AM289/(1+IFERROR(INDEX(AM$10:AM$11,Предпосылки!$I$212,),0))*IFERROR(INDEX(AM$10:AM$11,Предпосылки!$I$212,),0),AM312/(1+IFERROR(INDEX(AM$10:AM$11,Предпосылки!$I$213,),0))*IFERROR(INDEX(AM$10:AM$11,Предпосылки!$I$213,),0),AM335/(1+IFERROR(INDEX(AM$10:AM$11,Предпосылки!$I$214,),0))*IFERROR(INDEX(AM$10:AM$11,Предпосылки!$I$214,),0),AM358/(1+IFERROR(INDEX(AM$10:AM$11,Предпосылки!$I$215,),0))*IFERROR(INDEX(AM$10:AM$11,Предпосылки!$I$215,),0),AM381/(1+IFERROR(INDEX(AM$10:AM$11,Предпосылки!$I$216,),0))*IFERROR(INDEX(AM$10:AM$11,Предпосылки!$I$216,),0),AM404/(1+IFERROR(INDEX(AM$10:AM$11,Предпосылки!$I$217,),0))*IFERROR(INDEX(AM$10:AM$11,Предпосылки!$I$217,),0),AM427/(1+IFERROR(INDEX(AM$10:AM$11,Предпосылки!$I$218,),0))*IFERROR(INDEX(AM$10:AM$11,Предпосылки!$I$218,),0),AM450/(1+IFERROR(INDEX(AM$10:AM$11,Предпосылки!$I$219,),0))*IFERROR(INDEX(AM$10:AM$11,Предпосылки!$I$219,),0),AM473/(1+IFERROR(INDEX(AM$10:AM$11,Предпосылки!$I$220,),0))*IFERROR(INDEX(AM$10:AM$11,Предпосылки!$I$220,),0))</f>
        <v>0</v>
      </c>
      <c s="125">
        <f>SUM(AN36/(1+IFERROR(INDEX(AN$10:AN$11,Предпосылки!$I$201,),0))*IFERROR(INDEX(AN$10:AN$11,Предпосылки!$I$201,),0),AN59/(1+IFERROR(INDEX(AN$10:AN$11,Предпосылки!$I$202,),0))*IFERROR(INDEX(AN$10:AN$11,Предпосылки!$I$202,),0),AN82/(1+IFERROR(INDEX(AN$10:AN$11,Предпосылки!$I$203,),0))*IFERROR(INDEX(AN$10:AN$11,Предпосылки!$I$203,),0),AN105/(1+IFERROR(INDEX(AN$10:AN$11,Предпосылки!$I$204,),0))*IFERROR(INDEX(AN$10:AN$11,Предпосылки!$I$204,),0),AN128/(1+IFERROR(INDEX(AN$10:AN$11,Предпосылки!$I$205,),0))*IFERROR(INDEX(AN$10:AN$11,Предпосылки!$I$205,),0),AN151/(1+IFERROR(INDEX(AN$10:AN$11,Предпосылки!$I$206,),0))*IFERROR(INDEX(AN$10:AN$11,Предпосылки!$I$206,),0),AN174/(1+IFERROR(INDEX(AN$10:AN$11,Предпосылки!$I$207,),0))*IFERROR(INDEX(AN$10:AN$11,Предпосылки!$I$207,),0),AN197/(1+IFERROR(INDEX(AN$10:AN$11,Предпосылки!$I$208,),0))*IFERROR(INDEX(AN$10:AN$11,Предпосылки!$I$208,),0),AN220/(1+IFERROR(INDEX(AN$10:AN$11,Предпосылки!$I$209,),0))*IFERROR(INDEX(AN$10:AN$11,Предпосылки!$I$209,),0),AN243/(1+IFERROR(INDEX(AN$10:AN$11,Предпосылки!$I$210,),0))*IFERROR(INDEX(AN$10:AN$11,Предпосылки!$I$210,),0),AN266/(1+IFERROR(INDEX(AN$10:AN$11,Предпосылки!$I$211,),0))*IFERROR(INDEX(AN$10:AN$11,Предпосылки!$I$211,),0),AN289/(1+IFERROR(INDEX(AN$10:AN$11,Предпосылки!$I$212,),0))*IFERROR(INDEX(AN$10:AN$11,Предпосылки!$I$212,),0),AN312/(1+IFERROR(INDEX(AN$10:AN$11,Предпосылки!$I$213,),0))*IFERROR(INDEX(AN$10:AN$11,Предпосылки!$I$213,),0),AN335/(1+IFERROR(INDEX(AN$10:AN$11,Предпосылки!$I$214,),0))*IFERROR(INDEX(AN$10:AN$11,Предпосылки!$I$214,),0),AN358/(1+IFERROR(INDEX(AN$10:AN$11,Предпосылки!$I$215,),0))*IFERROR(INDEX(AN$10:AN$11,Предпосылки!$I$215,),0),AN381/(1+IFERROR(INDEX(AN$10:AN$11,Предпосылки!$I$216,),0))*IFERROR(INDEX(AN$10:AN$11,Предпосылки!$I$216,),0),AN404/(1+IFERROR(INDEX(AN$10:AN$11,Предпосылки!$I$217,),0))*IFERROR(INDEX(AN$10:AN$11,Предпосылки!$I$217,),0),AN427/(1+IFERROR(INDEX(AN$10:AN$11,Предпосылки!$I$218,),0))*IFERROR(INDEX(AN$10:AN$11,Предпосылки!$I$218,),0),AN450/(1+IFERROR(INDEX(AN$10:AN$11,Предпосылки!$I$219,),0))*IFERROR(INDEX(AN$10:AN$11,Предпосылки!$I$219,),0),AN473/(1+IFERROR(INDEX(AN$10:AN$11,Предпосылки!$I$220,),0))*IFERROR(INDEX(AN$10:AN$11,Предпосылки!$I$220,),0))</f>
        <v>0</v>
      </c>
      <c s="125">
        <f>SUM(AO36/(1+IFERROR(INDEX(AO$10:AO$11,Предпосылки!$I$201,),0))*IFERROR(INDEX(AO$10:AO$11,Предпосылки!$I$201,),0),AO59/(1+IFERROR(INDEX(AO$10:AO$11,Предпосылки!$I$202,),0))*IFERROR(INDEX(AO$10:AO$11,Предпосылки!$I$202,),0),AO82/(1+IFERROR(INDEX(AO$10:AO$11,Предпосылки!$I$203,),0))*IFERROR(INDEX(AO$10:AO$11,Предпосылки!$I$203,),0),AO105/(1+IFERROR(INDEX(AO$10:AO$11,Предпосылки!$I$204,),0))*IFERROR(INDEX(AO$10:AO$11,Предпосылки!$I$204,),0),AO128/(1+IFERROR(INDEX(AO$10:AO$11,Предпосылки!$I$205,),0))*IFERROR(INDEX(AO$10:AO$11,Предпосылки!$I$205,),0),AO151/(1+IFERROR(INDEX(AO$10:AO$11,Предпосылки!$I$206,),0))*IFERROR(INDEX(AO$10:AO$11,Предпосылки!$I$206,),0),AO174/(1+IFERROR(INDEX(AO$10:AO$11,Предпосылки!$I$207,),0))*IFERROR(INDEX(AO$10:AO$11,Предпосылки!$I$207,),0),AO197/(1+IFERROR(INDEX(AO$10:AO$11,Предпосылки!$I$208,),0))*IFERROR(INDEX(AO$10:AO$11,Предпосылки!$I$208,),0),AO220/(1+IFERROR(INDEX(AO$10:AO$11,Предпосылки!$I$209,),0))*IFERROR(INDEX(AO$10:AO$11,Предпосылки!$I$209,),0),AO243/(1+IFERROR(INDEX(AO$10:AO$11,Предпосылки!$I$210,),0))*IFERROR(INDEX(AO$10:AO$11,Предпосылки!$I$210,),0),AO266/(1+IFERROR(INDEX(AO$10:AO$11,Предпосылки!$I$211,),0))*IFERROR(INDEX(AO$10:AO$11,Предпосылки!$I$211,),0),AO289/(1+IFERROR(INDEX(AO$10:AO$11,Предпосылки!$I$212,),0))*IFERROR(INDEX(AO$10:AO$11,Предпосылки!$I$212,),0),AO312/(1+IFERROR(INDEX(AO$10:AO$11,Предпосылки!$I$213,),0))*IFERROR(INDEX(AO$10:AO$11,Предпосылки!$I$213,),0),AO335/(1+IFERROR(INDEX(AO$10:AO$11,Предпосылки!$I$214,),0))*IFERROR(INDEX(AO$10:AO$11,Предпосылки!$I$214,),0),AO358/(1+IFERROR(INDEX(AO$10:AO$11,Предпосылки!$I$215,),0))*IFERROR(INDEX(AO$10:AO$11,Предпосылки!$I$215,),0),AO381/(1+IFERROR(INDEX(AO$10:AO$11,Предпосылки!$I$216,),0))*IFERROR(INDEX(AO$10:AO$11,Предпосылки!$I$216,),0),AO404/(1+IFERROR(INDEX(AO$10:AO$11,Предпосылки!$I$217,),0))*IFERROR(INDEX(AO$10:AO$11,Предпосылки!$I$217,),0),AO427/(1+IFERROR(INDEX(AO$10:AO$11,Предпосылки!$I$218,),0))*IFERROR(INDEX(AO$10:AO$11,Предпосылки!$I$218,),0),AO450/(1+IFERROR(INDEX(AO$10:AO$11,Предпосылки!$I$219,),0))*IFERROR(INDEX(AO$10:AO$11,Предпосылки!$I$219,),0),AO473/(1+IFERROR(INDEX(AO$10:AO$11,Предпосылки!$I$220,),0))*IFERROR(INDEX(AO$10:AO$11,Предпосылки!$I$220,),0))</f>
        <v>0</v>
      </c>
      <c s="125">
        <f>SUM(AP36/(1+IFERROR(INDEX(AP$10:AP$11,Предпосылки!$I$201,),0))*IFERROR(INDEX(AP$10:AP$11,Предпосылки!$I$201,),0),AP59/(1+IFERROR(INDEX(AP$10:AP$11,Предпосылки!$I$202,),0))*IFERROR(INDEX(AP$10:AP$11,Предпосылки!$I$202,),0),AP82/(1+IFERROR(INDEX(AP$10:AP$11,Предпосылки!$I$203,),0))*IFERROR(INDEX(AP$10:AP$11,Предпосылки!$I$203,),0),AP105/(1+IFERROR(INDEX(AP$10:AP$11,Предпосылки!$I$204,),0))*IFERROR(INDEX(AP$10:AP$11,Предпосылки!$I$204,),0),AP128/(1+IFERROR(INDEX(AP$10:AP$11,Предпосылки!$I$205,),0))*IFERROR(INDEX(AP$10:AP$11,Предпосылки!$I$205,),0),AP151/(1+IFERROR(INDEX(AP$10:AP$11,Предпосылки!$I$206,),0))*IFERROR(INDEX(AP$10:AP$11,Предпосылки!$I$206,),0),AP174/(1+IFERROR(INDEX(AP$10:AP$11,Предпосылки!$I$207,),0))*IFERROR(INDEX(AP$10:AP$11,Предпосылки!$I$207,),0),AP197/(1+IFERROR(INDEX(AP$10:AP$11,Предпосылки!$I$208,),0))*IFERROR(INDEX(AP$10:AP$11,Предпосылки!$I$208,),0),AP220/(1+IFERROR(INDEX(AP$10:AP$11,Предпосылки!$I$209,),0))*IFERROR(INDEX(AP$10:AP$11,Предпосылки!$I$209,),0),AP243/(1+IFERROR(INDEX(AP$10:AP$11,Предпосылки!$I$210,),0))*IFERROR(INDEX(AP$10:AP$11,Предпосылки!$I$210,),0),AP266/(1+IFERROR(INDEX(AP$10:AP$11,Предпосылки!$I$211,),0))*IFERROR(INDEX(AP$10:AP$11,Предпосылки!$I$211,),0),AP289/(1+IFERROR(INDEX(AP$10:AP$11,Предпосылки!$I$212,),0))*IFERROR(INDEX(AP$10:AP$11,Предпосылки!$I$212,),0),AP312/(1+IFERROR(INDEX(AP$10:AP$11,Предпосылки!$I$213,),0))*IFERROR(INDEX(AP$10:AP$11,Предпосылки!$I$213,),0),AP335/(1+IFERROR(INDEX(AP$10:AP$11,Предпосылки!$I$214,),0))*IFERROR(INDEX(AP$10:AP$11,Предпосылки!$I$214,),0),AP358/(1+IFERROR(INDEX(AP$10:AP$11,Предпосылки!$I$215,),0))*IFERROR(INDEX(AP$10:AP$11,Предпосылки!$I$215,),0),AP381/(1+IFERROR(INDEX(AP$10:AP$11,Предпосылки!$I$216,),0))*IFERROR(INDEX(AP$10:AP$11,Предпосылки!$I$216,),0),AP404/(1+IFERROR(INDEX(AP$10:AP$11,Предпосылки!$I$217,),0))*IFERROR(INDEX(AP$10:AP$11,Предпосылки!$I$217,),0),AP427/(1+IFERROR(INDEX(AP$10:AP$11,Предпосылки!$I$218,),0))*IFERROR(INDEX(AP$10:AP$11,Предпосылки!$I$218,),0),AP450/(1+IFERROR(INDEX(AP$10:AP$11,Предпосылки!$I$219,),0))*IFERROR(INDEX(AP$10:AP$11,Предпосылки!$I$219,),0),AP473/(1+IFERROR(INDEX(AP$10:AP$11,Предпосылки!$I$220,),0))*IFERROR(INDEX(AP$10:AP$11,Предпосылки!$I$220,),0))</f>
        <v>0</v>
      </c>
      <c s="125">
        <f>SUM(AQ36/(1+IFERROR(INDEX(AQ$10:AQ$11,Предпосылки!$I$201,),0))*IFERROR(INDEX(AQ$10:AQ$11,Предпосылки!$I$201,),0),AQ59/(1+IFERROR(INDEX(AQ$10:AQ$11,Предпосылки!$I$202,),0))*IFERROR(INDEX(AQ$10:AQ$11,Предпосылки!$I$202,),0),AQ82/(1+IFERROR(INDEX(AQ$10:AQ$11,Предпосылки!$I$203,),0))*IFERROR(INDEX(AQ$10:AQ$11,Предпосылки!$I$203,),0),AQ105/(1+IFERROR(INDEX(AQ$10:AQ$11,Предпосылки!$I$204,),0))*IFERROR(INDEX(AQ$10:AQ$11,Предпосылки!$I$204,),0),AQ128/(1+IFERROR(INDEX(AQ$10:AQ$11,Предпосылки!$I$205,),0))*IFERROR(INDEX(AQ$10:AQ$11,Предпосылки!$I$205,),0),AQ151/(1+IFERROR(INDEX(AQ$10:AQ$11,Предпосылки!$I$206,),0))*IFERROR(INDEX(AQ$10:AQ$11,Предпосылки!$I$206,),0),AQ174/(1+IFERROR(INDEX(AQ$10:AQ$11,Предпосылки!$I$207,),0))*IFERROR(INDEX(AQ$10:AQ$11,Предпосылки!$I$207,),0),AQ197/(1+IFERROR(INDEX(AQ$10:AQ$11,Предпосылки!$I$208,),0))*IFERROR(INDEX(AQ$10:AQ$11,Предпосылки!$I$208,),0),AQ220/(1+IFERROR(INDEX(AQ$10:AQ$11,Предпосылки!$I$209,),0))*IFERROR(INDEX(AQ$10:AQ$11,Предпосылки!$I$209,),0),AQ243/(1+IFERROR(INDEX(AQ$10:AQ$11,Предпосылки!$I$210,),0))*IFERROR(INDEX(AQ$10:AQ$11,Предпосылки!$I$210,),0),AQ266/(1+IFERROR(INDEX(AQ$10:AQ$11,Предпосылки!$I$211,),0))*IFERROR(INDEX(AQ$10:AQ$11,Предпосылки!$I$211,),0),AQ289/(1+IFERROR(INDEX(AQ$10:AQ$11,Предпосылки!$I$212,),0))*IFERROR(INDEX(AQ$10:AQ$11,Предпосылки!$I$212,),0),AQ312/(1+IFERROR(INDEX(AQ$10:AQ$11,Предпосылки!$I$213,),0))*IFERROR(INDEX(AQ$10:AQ$11,Предпосылки!$I$213,),0),AQ335/(1+IFERROR(INDEX(AQ$10:AQ$11,Предпосылки!$I$214,),0))*IFERROR(INDEX(AQ$10:AQ$11,Предпосылки!$I$214,),0),AQ358/(1+IFERROR(INDEX(AQ$10:AQ$11,Предпосылки!$I$215,),0))*IFERROR(INDEX(AQ$10:AQ$11,Предпосылки!$I$215,),0),AQ381/(1+IFERROR(INDEX(AQ$10:AQ$11,Предпосылки!$I$216,),0))*IFERROR(INDEX(AQ$10:AQ$11,Предпосылки!$I$216,),0),AQ404/(1+IFERROR(INDEX(AQ$10:AQ$11,Предпосылки!$I$217,),0))*IFERROR(INDEX(AQ$10:AQ$11,Предпосылки!$I$217,),0),AQ427/(1+IFERROR(INDEX(AQ$10:AQ$11,Предпосылки!$I$218,),0))*IFERROR(INDEX(AQ$10:AQ$11,Предпосылки!$I$218,),0),AQ450/(1+IFERROR(INDEX(AQ$10:AQ$11,Предпосылки!$I$219,),0))*IFERROR(INDEX(AQ$10:AQ$11,Предпосылки!$I$219,),0),AQ473/(1+IFERROR(INDEX(AQ$10:AQ$11,Предпосылки!$I$220,),0))*IFERROR(INDEX(AQ$10:AQ$11,Предпосылки!$I$220,),0))</f>
        <v>0</v>
      </c>
      <c s="125">
        <f>SUM(AR36/(1+IFERROR(INDEX(AR$10:AR$11,Предпосылки!$I$201,),0))*IFERROR(INDEX(AR$10:AR$11,Предпосылки!$I$201,),0),AR59/(1+IFERROR(INDEX(AR$10:AR$11,Предпосылки!$I$202,),0))*IFERROR(INDEX(AR$10:AR$11,Предпосылки!$I$202,),0),AR82/(1+IFERROR(INDEX(AR$10:AR$11,Предпосылки!$I$203,),0))*IFERROR(INDEX(AR$10:AR$11,Предпосылки!$I$203,),0),AR105/(1+IFERROR(INDEX(AR$10:AR$11,Предпосылки!$I$204,),0))*IFERROR(INDEX(AR$10:AR$11,Предпосылки!$I$204,),0),AR128/(1+IFERROR(INDEX(AR$10:AR$11,Предпосылки!$I$205,),0))*IFERROR(INDEX(AR$10:AR$11,Предпосылки!$I$205,),0),AR151/(1+IFERROR(INDEX(AR$10:AR$11,Предпосылки!$I$206,),0))*IFERROR(INDEX(AR$10:AR$11,Предпосылки!$I$206,),0),AR174/(1+IFERROR(INDEX(AR$10:AR$11,Предпосылки!$I$207,),0))*IFERROR(INDEX(AR$10:AR$11,Предпосылки!$I$207,),0),AR197/(1+IFERROR(INDEX(AR$10:AR$11,Предпосылки!$I$208,),0))*IFERROR(INDEX(AR$10:AR$11,Предпосылки!$I$208,),0),AR220/(1+IFERROR(INDEX(AR$10:AR$11,Предпосылки!$I$209,),0))*IFERROR(INDEX(AR$10:AR$11,Предпосылки!$I$209,),0),AR243/(1+IFERROR(INDEX(AR$10:AR$11,Предпосылки!$I$210,),0))*IFERROR(INDEX(AR$10:AR$11,Предпосылки!$I$210,),0),AR266/(1+IFERROR(INDEX(AR$10:AR$11,Предпосылки!$I$211,),0))*IFERROR(INDEX(AR$10:AR$11,Предпосылки!$I$211,),0),AR289/(1+IFERROR(INDEX(AR$10:AR$11,Предпосылки!$I$212,),0))*IFERROR(INDEX(AR$10:AR$11,Предпосылки!$I$212,),0),AR312/(1+IFERROR(INDEX(AR$10:AR$11,Предпосылки!$I$213,),0))*IFERROR(INDEX(AR$10:AR$11,Предпосылки!$I$213,),0),AR335/(1+IFERROR(INDEX(AR$10:AR$11,Предпосылки!$I$214,),0))*IFERROR(INDEX(AR$10:AR$11,Предпосылки!$I$214,),0),AR358/(1+IFERROR(INDEX(AR$10:AR$11,Предпосылки!$I$215,),0))*IFERROR(INDEX(AR$10:AR$11,Предпосылки!$I$215,),0),AR381/(1+IFERROR(INDEX(AR$10:AR$11,Предпосылки!$I$216,),0))*IFERROR(INDEX(AR$10:AR$11,Предпосылки!$I$216,),0),AR404/(1+IFERROR(INDEX(AR$10:AR$11,Предпосылки!$I$217,),0))*IFERROR(INDEX(AR$10:AR$11,Предпосылки!$I$217,),0),AR427/(1+IFERROR(INDEX(AR$10:AR$11,Предпосылки!$I$218,),0))*IFERROR(INDEX(AR$10:AR$11,Предпосылки!$I$218,),0),AR450/(1+IFERROR(INDEX(AR$10:AR$11,Предпосылки!$I$219,),0))*IFERROR(INDEX(AR$10:AR$11,Предпосылки!$I$219,),0),AR473/(1+IFERROR(INDEX(AR$10:AR$11,Предпосылки!$I$220,),0))*IFERROR(INDEX(AR$10:AR$11,Предпосылки!$I$220,),0))</f>
        <v>0</v>
      </c>
      <c s="125">
        <f>SUM(AS36/(1+IFERROR(INDEX(AS$10:AS$11,Предпосылки!$I$201,),0))*IFERROR(INDEX(AS$10:AS$11,Предпосылки!$I$201,),0),AS59/(1+IFERROR(INDEX(AS$10:AS$11,Предпосылки!$I$202,),0))*IFERROR(INDEX(AS$10:AS$11,Предпосылки!$I$202,),0),AS82/(1+IFERROR(INDEX(AS$10:AS$11,Предпосылки!$I$203,),0))*IFERROR(INDEX(AS$10:AS$11,Предпосылки!$I$203,),0),AS105/(1+IFERROR(INDEX(AS$10:AS$11,Предпосылки!$I$204,),0))*IFERROR(INDEX(AS$10:AS$11,Предпосылки!$I$204,),0),AS128/(1+IFERROR(INDEX(AS$10:AS$11,Предпосылки!$I$205,),0))*IFERROR(INDEX(AS$10:AS$11,Предпосылки!$I$205,),0),AS151/(1+IFERROR(INDEX(AS$10:AS$11,Предпосылки!$I$206,),0))*IFERROR(INDEX(AS$10:AS$11,Предпосылки!$I$206,),0),AS174/(1+IFERROR(INDEX(AS$10:AS$11,Предпосылки!$I$207,),0))*IFERROR(INDEX(AS$10:AS$11,Предпосылки!$I$207,),0),AS197/(1+IFERROR(INDEX(AS$10:AS$11,Предпосылки!$I$208,),0))*IFERROR(INDEX(AS$10:AS$11,Предпосылки!$I$208,),0),AS220/(1+IFERROR(INDEX(AS$10:AS$11,Предпосылки!$I$209,),0))*IFERROR(INDEX(AS$10:AS$11,Предпосылки!$I$209,),0),AS243/(1+IFERROR(INDEX(AS$10:AS$11,Предпосылки!$I$210,),0))*IFERROR(INDEX(AS$10:AS$11,Предпосылки!$I$210,),0),AS266/(1+IFERROR(INDEX(AS$10:AS$11,Предпосылки!$I$211,),0))*IFERROR(INDEX(AS$10:AS$11,Предпосылки!$I$211,),0),AS289/(1+IFERROR(INDEX(AS$10:AS$11,Предпосылки!$I$212,),0))*IFERROR(INDEX(AS$10:AS$11,Предпосылки!$I$212,),0),AS312/(1+IFERROR(INDEX(AS$10:AS$11,Предпосылки!$I$213,),0))*IFERROR(INDEX(AS$10:AS$11,Предпосылки!$I$213,),0),AS335/(1+IFERROR(INDEX(AS$10:AS$11,Предпосылки!$I$214,),0))*IFERROR(INDEX(AS$10:AS$11,Предпосылки!$I$214,),0),AS358/(1+IFERROR(INDEX(AS$10:AS$11,Предпосылки!$I$215,),0))*IFERROR(INDEX(AS$10:AS$11,Предпосылки!$I$215,),0),AS381/(1+IFERROR(INDEX(AS$10:AS$11,Предпосылки!$I$216,),0))*IFERROR(INDEX(AS$10:AS$11,Предпосылки!$I$216,),0),AS404/(1+IFERROR(INDEX(AS$10:AS$11,Предпосылки!$I$217,),0))*IFERROR(INDEX(AS$10:AS$11,Предпосылки!$I$217,),0),AS427/(1+IFERROR(INDEX(AS$10:AS$11,Предпосылки!$I$218,),0))*IFERROR(INDEX(AS$10:AS$11,Предпосылки!$I$218,),0),AS450/(1+IFERROR(INDEX(AS$10:AS$11,Предпосылки!$I$219,),0))*IFERROR(INDEX(AS$10:AS$11,Предпосылки!$I$219,),0),AS473/(1+IFERROR(INDEX(AS$10:AS$11,Предпосылки!$I$220,),0))*IFERROR(INDEX(AS$10:AS$11,Предпосылки!$I$220,),0))</f>
        <v>0</v>
      </c>
      <c s="125">
        <f>SUM(AT36/(1+IFERROR(INDEX(AT$10:AT$11,Предпосылки!$I$201,),0))*IFERROR(INDEX(AT$10:AT$11,Предпосылки!$I$201,),0),AT59/(1+IFERROR(INDEX(AT$10:AT$11,Предпосылки!$I$202,),0))*IFERROR(INDEX(AT$10:AT$11,Предпосылки!$I$202,),0),AT82/(1+IFERROR(INDEX(AT$10:AT$11,Предпосылки!$I$203,),0))*IFERROR(INDEX(AT$10:AT$11,Предпосылки!$I$203,),0),AT105/(1+IFERROR(INDEX(AT$10:AT$11,Предпосылки!$I$204,),0))*IFERROR(INDEX(AT$10:AT$11,Предпосылки!$I$204,),0),AT128/(1+IFERROR(INDEX(AT$10:AT$11,Предпосылки!$I$205,),0))*IFERROR(INDEX(AT$10:AT$11,Предпосылки!$I$205,),0),AT151/(1+IFERROR(INDEX(AT$10:AT$11,Предпосылки!$I$206,),0))*IFERROR(INDEX(AT$10:AT$11,Предпосылки!$I$206,),0),AT174/(1+IFERROR(INDEX(AT$10:AT$11,Предпосылки!$I$207,),0))*IFERROR(INDEX(AT$10:AT$11,Предпосылки!$I$207,),0),AT197/(1+IFERROR(INDEX(AT$10:AT$11,Предпосылки!$I$208,),0))*IFERROR(INDEX(AT$10:AT$11,Предпосылки!$I$208,),0),AT220/(1+IFERROR(INDEX(AT$10:AT$11,Предпосылки!$I$209,),0))*IFERROR(INDEX(AT$10:AT$11,Предпосылки!$I$209,),0),AT243/(1+IFERROR(INDEX(AT$10:AT$11,Предпосылки!$I$210,),0))*IFERROR(INDEX(AT$10:AT$11,Предпосылки!$I$210,),0),AT266/(1+IFERROR(INDEX(AT$10:AT$11,Предпосылки!$I$211,),0))*IFERROR(INDEX(AT$10:AT$11,Предпосылки!$I$211,),0),AT289/(1+IFERROR(INDEX(AT$10:AT$11,Предпосылки!$I$212,),0))*IFERROR(INDEX(AT$10:AT$11,Предпосылки!$I$212,),0),AT312/(1+IFERROR(INDEX(AT$10:AT$11,Предпосылки!$I$213,),0))*IFERROR(INDEX(AT$10:AT$11,Предпосылки!$I$213,),0),AT335/(1+IFERROR(INDEX(AT$10:AT$11,Предпосылки!$I$214,),0))*IFERROR(INDEX(AT$10:AT$11,Предпосылки!$I$214,),0),AT358/(1+IFERROR(INDEX(AT$10:AT$11,Предпосылки!$I$215,),0))*IFERROR(INDEX(AT$10:AT$11,Предпосылки!$I$215,),0),AT381/(1+IFERROR(INDEX(AT$10:AT$11,Предпосылки!$I$216,),0))*IFERROR(INDEX(AT$10:AT$11,Предпосылки!$I$216,),0),AT404/(1+IFERROR(INDEX(AT$10:AT$11,Предпосылки!$I$217,),0))*IFERROR(INDEX(AT$10:AT$11,Предпосылки!$I$217,),0),AT427/(1+IFERROR(INDEX(AT$10:AT$11,Предпосылки!$I$218,),0))*IFERROR(INDEX(AT$10:AT$11,Предпосылки!$I$218,),0),AT450/(1+IFERROR(INDEX(AT$10:AT$11,Предпосылки!$I$219,),0))*IFERROR(INDEX(AT$10:AT$11,Предпосылки!$I$219,),0),AT473/(1+IFERROR(INDEX(AT$10:AT$11,Предпосылки!$I$220,),0))*IFERROR(INDEX(AT$10:AT$11,Предпосылки!$I$220,),0))</f>
        <v>0</v>
      </c>
      <c s="125">
        <f>SUM(AU36/(1+IFERROR(INDEX(AU$10:AU$11,Предпосылки!$I$201,),0))*IFERROR(INDEX(AU$10:AU$11,Предпосылки!$I$201,),0),AU59/(1+IFERROR(INDEX(AU$10:AU$11,Предпосылки!$I$202,),0))*IFERROR(INDEX(AU$10:AU$11,Предпосылки!$I$202,),0),AU82/(1+IFERROR(INDEX(AU$10:AU$11,Предпосылки!$I$203,),0))*IFERROR(INDEX(AU$10:AU$11,Предпосылки!$I$203,),0),AU105/(1+IFERROR(INDEX(AU$10:AU$11,Предпосылки!$I$204,),0))*IFERROR(INDEX(AU$10:AU$11,Предпосылки!$I$204,),0),AU128/(1+IFERROR(INDEX(AU$10:AU$11,Предпосылки!$I$205,),0))*IFERROR(INDEX(AU$10:AU$11,Предпосылки!$I$205,),0),AU151/(1+IFERROR(INDEX(AU$10:AU$11,Предпосылки!$I$206,),0))*IFERROR(INDEX(AU$10:AU$11,Предпосылки!$I$206,),0),AU174/(1+IFERROR(INDEX(AU$10:AU$11,Предпосылки!$I$207,),0))*IFERROR(INDEX(AU$10:AU$11,Предпосылки!$I$207,),0),AU197/(1+IFERROR(INDEX(AU$10:AU$11,Предпосылки!$I$208,),0))*IFERROR(INDEX(AU$10:AU$11,Предпосылки!$I$208,),0),AU220/(1+IFERROR(INDEX(AU$10:AU$11,Предпосылки!$I$209,),0))*IFERROR(INDEX(AU$10:AU$11,Предпосылки!$I$209,),0),AU243/(1+IFERROR(INDEX(AU$10:AU$11,Предпосылки!$I$210,),0))*IFERROR(INDEX(AU$10:AU$11,Предпосылки!$I$210,),0),AU266/(1+IFERROR(INDEX(AU$10:AU$11,Предпосылки!$I$211,),0))*IFERROR(INDEX(AU$10:AU$11,Предпосылки!$I$211,),0),AU289/(1+IFERROR(INDEX(AU$10:AU$11,Предпосылки!$I$212,),0))*IFERROR(INDEX(AU$10:AU$11,Предпосылки!$I$212,),0),AU312/(1+IFERROR(INDEX(AU$10:AU$11,Предпосылки!$I$213,),0))*IFERROR(INDEX(AU$10:AU$11,Предпосылки!$I$213,),0),AU335/(1+IFERROR(INDEX(AU$10:AU$11,Предпосылки!$I$214,),0))*IFERROR(INDEX(AU$10:AU$11,Предпосылки!$I$214,),0),AU358/(1+IFERROR(INDEX(AU$10:AU$11,Предпосылки!$I$215,),0))*IFERROR(INDEX(AU$10:AU$11,Предпосылки!$I$215,),0),AU381/(1+IFERROR(INDEX(AU$10:AU$11,Предпосылки!$I$216,),0))*IFERROR(INDEX(AU$10:AU$11,Предпосылки!$I$216,),0),AU404/(1+IFERROR(INDEX(AU$10:AU$11,Предпосылки!$I$217,),0))*IFERROR(INDEX(AU$10:AU$11,Предпосылки!$I$217,),0),AU427/(1+IFERROR(INDEX(AU$10:AU$11,Предпосылки!$I$218,),0))*IFERROR(INDEX(AU$10:AU$11,Предпосылки!$I$218,),0),AU450/(1+IFERROR(INDEX(AU$10:AU$11,Предпосылки!$I$219,),0))*IFERROR(INDEX(AU$10:AU$11,Предпосылки!$I$219,),0),AU473/(1+IFERROR(INDEX(AU$10:AU$11,Предпосылки!$I$220,),0))*IFERROR(INDEX(AU$10:AU$11,Предпосылки!$I$220,),0))</f>
        <v>0</v>
      </c>
      <c s="125">
        <f>SUM(AV36/(1+IFERROR(INDEX(AV$10:AV$11,Предпосылки!$I$201,),0))*IFERROR(INDEX(AV$10:AV$11,Предпосылки!$I$201,),0),AV59/(1+IFERROR(INDEX(AV$10:AV$11,Предпосылки!$I$202,),0))*IFERROR(INDEX(AV$10:AV$11,Предпосылки!$I$202,),0),AV82/(1+IFERROR(INDEX(AV$10:AV$11,Предпосылки!$I$203,),0))*IFERROR(INDEX(AV$10:AV$11,Предпосылки!$I$203,),0),AV105/(1+IFERROR(INDEX(AV$10:AV$11,Предпосылки!$I$204,),0))*IFERROR(INDEX(AV$10:AV$11,Предпосылки!$I$204,),0),AV128/(1+IFERROR(INDEX(AV$10:AV$11,Предпосылки!$I$205,),0))*IFERROR(INDEX(AV$10:AV$11,Предпосылки!$I$205,),0),AV151/(1+IFERROR(INDEX(AV$10:AV$11,Предпосылки!$I$206,),0))*IFERROR(INDEX(AV$10:AV$11,Предпосылки!$I$206,),0),AV174/(1+IFERROR(INDEX(AV$10:AV$11,Предпосылки!$I$207,),0))*IFERROR(INDEX(AV$10:AV$11,Предпосылки!$I$207,),0),AV197/(1+IFERROR(INDEX(AV$10:AV$11,Предпосылки!$I$208,),0))*IFERROR(INDEX(AV$10:AV$11,Предпосылки!$I$208,),0),AV220/(1+IFERROR(INDEX(AV$10:AV$11,Предпосылки!$I$209,),0))*IFERROR(INDEX(AV$10:AV$11,Предпосылки!$I$209,),0),AV243/(1+IFERROR(INDEX(AV$10:AV$11,Предпосылки!$I$210,),0))*IFERROR(INDEX(AV$10:AV$11,Предпосылки!$I$210,),0),AV266/(1+IFERROR(INDEX(AV$10:AV$11,Предпосылки!$I$211,),0))*IFERROR(INDEX(AV$10:AV$11,Предпосылки!$I$211,),0),AV289/(1+IFERROR(INDEX(AV$10:AV$11,Предпосылки!$I$212,),0))*IFERROR(INDEX(AV$10:AV$11,Предпосылки!$I$212,),0),AV312/(1+IFERROR(INDEX(AV$10:AV$11,Предпосылки!$I$213,),0))*IFERROR(INDEX(AV$10:AV$11,Предпосылки!$I$213,),0),AV335/(1+IFERROR(INDEX(AV$10:AV$11,Предпосылки!$I$214,),0))*IFERROR(INDEX(AV$10:AV$11,Предпосылки!$I$214,),0),AV358/(1+IFERROR(INDEX(AV$10:AV$11,Предпосылки!$I$215,),0))*IFERROR(INDEX(AV$10:AV$11,Предпосылки!$I$215,),0),AV381/(1+IFERROR(INDEX(AV$10:AV$11,Предпосылки!$I$216,),0))*IFERROR(INDEX(AV$10:AV$11,Предпосылки!$I$216,),0),AV404/(1+IFERROR(INDEX(AV$10:AV$11,Предпосылки!$I$217,),0))*IFERROR(INDEX(AV$10:AV$11,Предпосылки!$I$217,),0),AV427/(1+IFERROR(INDEX(AV$10:AV$11,Предпосылки!$I$218,),0))*IFERROR(INDEX(AV$10:AV$11,Предпосылки!$I$218,),0),AV450/(1+IFERROR(INDEX(AV$10:AV$11,Предпосылки!$I$219,),0))*IFERROR(INDEX(AV$10:AV$11,Предпосылки!$I$219,),0),AV473/(1+IFERROR(INDEX(AV$10:AV$11,Предпосылки!$I$220,),0))*IFERROR(INDEX(AV$10:AV$11,Предпосылки!$I$220,),0))</f>
        <v>0</v>
      </c>
      <c s="125">
        <f>SUM(AW36/(1+IFERROR(INDEX(AW$10:AW$11,Предпосылки!$I$201,),0))*IFERROR(INDEX(AW$10:AW$11,Предпосылки!$I$201,),0),AW59/(1+IFERROR(INDEX(AW$10:AW$11,Предпосылки!$I$202,),0))*IFERROR(INDEX(AW$10:AW$11,Предпосылки!$I$202,),0),AW82/(1+IFERROR(INDEX(AW$10:AW$11,Предпосылки!$I$203,),0))*IFERROR(INDEX(AW$10:AW$11,Предпосылки!$I$203,),0),AW105/(1+IFERROR(INDEX(AW$10:AW$11,Предпосылки!$I$204,),0))*IFERROR(INDEX(AW$10:AW$11,Предпосылки!$I$204,),0),AW128/(1+IFERROR(INDEX(AW$10:AW$11,Предпосылки!$I$205,),0))*IFERROR(INDEX(AW$10:AW$11,Предпосылки!$I$205,),0),AW151/(1+IFERROR(INDEX(AW$10:AW$11,Предпосылки!$I$206,),0))*IFERROR(INDEX(AW$10:AW$11,Предпосылки!$I$206,),0),AW174/(1+IFERROR(INDEX(AW$10:AW$11,Предпосылки!$I$207,),0))*IFERROR(INDEX(AW$10:AW$11,Предпосылки!$I$207,),0),AW197/(1+IFERROR(INDEX(AW$10:AW$11,Предпосылки!$I$208,),0))*IFERROR(INDEX(AW$10:AW$11,Предпосылки!$I$208,),0),AW220/(1+IFERROR(INDEX(AW$10:AW$11,Предпосылки!$I$209,),0))*IFERROR(INDEX(AW$10:AW$11,Предпосылки!$I$209,),0),AW243/(1+IFERROR(INDEX(AW$10:AW$11,Предпосылки!$I$210,),0))*IFERROR(INDEX(AW$10:AW$11,Предпосылки!$I$210,),0),AW266/(1+IFERROR(INDEX(AW$10:AW$11,Предпосылки!$I$211,),0))*IFERROR(INDEX(AW$10:AW$11,Предпосылки!$I$211,),0),AW289/(1+IFERROR(INDEX(AW$10:AW$11,Предпосылки!$I$212,),0))*IFERROR(INDEX(AW$10:AW$11,Предпосылки!$I$212,),0),AW312/(1+IFERROR(INDEX(AW$10:AW$11,Предпосылки!$I$213,),0))*IFERROR(INDEX(AW$10:AW$11,Предпосылки!$I$213,),0),AW335/(1+IFERROR(INDEX(AW$10:AW$11,Предпосылки!$I$214,),0))*IFERROR(INDEX(AW$10:AW$11,Предпосылки!$I$214,),0),AW358/(1+IFERROR(INDEX(AW$10:AW$11,Предпосылки!$I$215,),0))*IFERROR(INDEX(AW$10:AW$11,Предпосылки!$I$215,),0),AW381/(1+IFERROR(INDEX(AW$10:AW$11,Предпосылки!$I$216,),0))*IFERROR(INDEX(AW$10:AW$11,Предпосылки!$I$216,),0),AW404/(1+IFERROR(INDEX(AW$10:AW$11,Предпосылки!$I$217,),0))*IFERROR(INDEX(AW$10:AW$11,Предпосылки!$I$217,),0),AW427/(1+IFERROR(INDEX(AW$10:AW$11,Предпосылки!$I$218,),0))*IFERROR(INDEX(AW$10:AW$11,Предпосылки!$I$218,),0),AW450/(1+IFERROR(INDEX(AW$10:AW$11,Предпосылки!$I$219,),0))*IFERROR(INDEX(AW$10:AW$11,Предпосылки!$I$219,),0),AW473/(1+IFERROR(INDEX(AW$10:AW$11,Предпосылки!$I$220,),0))*IFERROR(INDEX(AW$10:AW$11,Предпосылки!$I$220,),0))</f>
        <v>0</v>
      </c>
      <c s="125">
        <f>SUM(AX36/(1+IFERROR(INDEX(AX$10:AX$11,Предпосылки!$I$201,),0))*IFERROR(INDEX(AX$10:AX$11,Предпосылки!$I$201,),0),AX59/(1+IFERROR(INDEX(AX$10:AX$11,Предпосылки!$I$202,),0))*IFERROR(INDEX(AX$10:AX$11,Предпосылки!$I$202,),0),AX82/(1+IFERROR(INDEX(AX$10:AX$11,Предпосылки!$I$203,),0))*IFERROR(INDEX(AX$10:AX$11,Предпосылки!$I$203,),0),AX105/(1+IFERROR(INDEX(AX$10:AX$11,Предпосылки!$I$204,),0))*IFERROR(INDEX(AX$10:AX$11,Предпосылки!$I$204,),0),AX128/(1+IFERROR(INDEX(AX$10:AX$11,Предпосылки!$I$205,),0))*IFERROR(INDEX(AX$10:AX$11,Предпосылки!$I$205,),0),AX151/(1+IFERROR(INDEX(AX$10:AX$11,Предпосылки!$I$206,),0))*IFERROR(INDEX(AX$10:AX$11,Предпосылки!$I$206,),0),AX174/(1+IFERROR(INDEX(AX$10:AX$11,Предпосылки!$I$207,),0))*IFERROR(INDEX(AX$10:AX$11,Предпосылки!$I$207,),0),AX197/(1+IFERROR(INDEX(AX$10:AX$11,Предпосылки!$I$208,),0))*IFERROR(INDEX(AX$10:AX$11,Предпосылки!$I$208,),0),AX220/(1+IFERROR(INDEX(AX$10:AX$11,Предпосылки!$I$209,),0))*IFERROR(INDEX(AX$10:AX$11,Предпосылки!$I$209,),0),AX243/(1+IFERROR(INDEX(AX$10:AX$11,Предпосылки!$I$210,),0))*IFERROR(INDEX(AX$10:AX$11,Предпосылки!$I$210,),0),AX266/(1+IFERROR(INDEX(AX$10:AX$11,Предпосылки!$I$211,),0))*IFERROR(INDEX(AX$10:AX$11,Предпосылки!$I$211,),0),AX289/(1+IFERROR(INDEX(AX$10:AX$11,Предпосылки!$I$212,),0))*IFERROR(INDEX(AX$10:AX$11,Предпосылки!$I$212,),0),AX312/(1+IFERROR(INDEX(AX$10:AX$11,Предпосылки!$I$213,),0))*IFERROR(INDEX(AX$10:AX$11,Предпосылки!$I$213,),0),AX335/(1+IFERROR(INDEX(AX$10:AX$11,Предпосылки!$I$214,),0))*IFERROR(INDEX(AX$10:AX$11,Предпосылки!$I$214,),0),AX358/(1+IFERROR(INDEX(AX$10:AX$11,Предпосылки!$I$215,),0))*IFERROR(INDEX(AX$10:AX$11,Предпосылки!$I$215,),0),AX381/(1+IFERROR(INDEX(AX$10:AX$11,Предпосылки!$I$216,),0))*IFERROR(INDEX(AX$10:AX$11,Предпосылки!$I$216,),0),AX404/(1+IFERROR(INDEX(AX$10:AX$11,Предпосылки!$I$217,),0))*IFERROR(INDEX(AX$10:AX$11,Предпосылки!$I$217,),0),AX427/(1+IFERROR(INDEX(AX$10:AX$11,Предпосылки!$I$218,),0))*IFERROR(INDEX(AX$10:AX$11,Предпосылки!$I$218,),0),AX450/(1+IFERROR(INDEX(AX$10:AX$11,Предпосылки!$I$219,),0))*IFERROR(INDEX(AX$10:AX$11,Предпосылки!$I$219,),0),AX473/(1+IFERROR(INDEX(AX$10:AX$11,Предпосылки!$I$220,),0))*IFERROR(INDEX(AX$10:AX$11,Предпосылки!$I$220,),0))</f>
        <v>0</v>
      </c>
      <c s="125">
        <f>SUM(AY36/(1+IFERROR(INDEX(AY$10:AY$11,Предпосылки!$I$201,),0))*IFERROR(INDEX(AY$10:AY$11,Предпосылки!$I$201,),0),AY59/(1+IFERROR(INDEX(AY$10:AY$11,Предпосылки!$I$202,),0))*IFERROR(INDEX(AY$10:AY$11,Предпосылки!$I$202,),0),AY82/(1+IFERROR(INDEX(AY$10:AY$11,Предпосылки!$I$203,),0))*IFERROR(INDEX(AY$10:AY$11,Предпосылки!$I$203,),0),AY105/(1+IFERROR(INDEX(AY$10:AY$11,Предпосылки!$I$204,),0))*IFERROR(INDEX(AY$10:AY$11,Предпосылки!$I$204,),0),AY128/(1+IFERROR(INDEX(AY$10:AY$11,Предпосылки!$I$205,),0))*IFERROR(INDEX(AY$10:AY$11,Предпосылки!$I$205,),0),AY151/(1+IFERROR(INDEX(AY$10:AY$11,Предпосылки!$I$206,),0))*IFERROR(INDEX(AY$10:AY$11,Предпосылки!$I$206,),0),AY174/(1+IFERROR(INDEX(AY$10:AY$11,Предпосылки!$I$207,),0))*IFERROR(INDEX(AY$10:AY$11,Предпосылки!$I$207,),0),AY197/(1+IFERROR(INDEX(AY$10:AY$11,Предпосылки!$I$208,),0))*IFERROR(INDEX(AY$10:AY$11,Предпосылки!$I$208,),0),AY220/(1+IFERROR(INDEX(AY$10:AY$11,Предпосылки!$I$209,),0))*IFERROR(INDEX(AY$10:AY$11,Предпосылки!$I$209,),0),AY243/(1+IFERROR(INDEX(AY$10:AY$11,Предпосылки!$I$210,),0))*IFERROR(INDEX(AY$10:AY$11,Предпосылки!$I$210,),0),AY266/(1+IFERROR(INDEX(AY$10:AY$11,Предпосылки!$I$211,),0))*IFERROR(INDEX(AY$10:AY$11,Предпосылки!$I$211,),0),AY289/(1+IFERROR(INDEX(AY$10:AY$11,Предпосылки!$I$212,),0))*IFERROR(INDEX(AY$10:AY$11,Предпосылки!$I$212,),0),AY312/(1+IFERROR(INDEX(AY$10:AY$11,Предпосылки!$I$213,),0))*IFERROR(INDEX(AY$10:AY$11,Предпосылки!$I$213,),0),AY335/(1+IFERROR(INDEX(AY$10:AY$11,Предпосылки!$I$214,),0))*IFERROR(INDEX(AY$10:AY$11,Предпосылки!$I$214,),0),AY358/(1+IFERROR(INDEX(AY$10:AY$11,Предпосылки!$I$215,),0))*IFERROR(INDEX(AY$10:AY$11,Предпосылки!$I$215,),0),AY381/(1+IFERROR(INDEX(AY$10:AY$11,Предпосылки!$I$216,),0))*IFERROR(INDEX(AY$10:AY$11,Предпосылки!$I$216,),0),AY404/(1+IFERROR(INDEX(AY$10:AY$11,Предпосылки!$I$217,),0))*IFERROR(INDEX(AY$10:AY$11,Предпосылки!$I$217,),0),AY427/(1+IFERROR(INDEX(AY$10:AY$11,Предпосылки!$I$218,),0))*IFERROR(INDEX(AY$10:AY$11,Предпосылки!$I$218,),0),AY450/(1+IFERROR(INDEX(AY$10:AY$11,Предпосылки!$I$219,),0))*IFERROR(INDEX(AY$10:AY$11,Предпосылки!$I$219,),0),AY473/(1+IFERROR(INDEX(AY$10:AY$11,Предпосылки!$I$220,),0))*IFERROR(INDEX(AY$10:AY$11,Предпосылки!$I$220,),0))</f>
        <v>0</v>
      </c>
      <c s="125">
        <f>SUM(AZ36/(1+IFERROR(INDEX(AZ$10:AZ$11,Предпосылки!$I$201,),0))*IFERROR(INDEX(AZ$10:AZ$11,Предпосылки!$I$201,),0),AZ59/(1+IFERROR(INDEX(AZ$10:AZ$11,Предпосылки!$I$202,),0))*IFERROR(INDEX(AZ$10:AZ$11,Предпосылки!$I$202,),0),AZ82/(1+IFERROR(INDEX(AZ$10:AZ$11,Предпосылки!$I$203,),0))*IFERROR(INDEX(AZ$10:AZ$11,Предпосылки!$I$203,),0),AZ105/(1+IFERROR(INDEX(AZ$10:AZ$11,Предпосылки!$I$204,),0))*IFERROR(INDEX(AZ$10:AZ$11,Предпосылки!$I$204,),0),AZ128/(1+IFERROR(INDEX(AZ$10:AZ$11,Предпосылки!$I$205,),0))*IFERROR(INDEX(AZ$10:AZ$11,Предпосылки!$I$205,),0),AZ151/(1+IFERROR(INDEX(AZ$10:AZ$11,Предпосылки!$I$206,),0))*IFERROR(INDEX(AZ$10:AZ$11,Предпосылки!$I$206,),0),AZ174/(1+IFERROR(INDEX(AZ$10:AZ$11,Предпосылки!$I$207,),0))*IFERROR(INDEX(AZ$10:AZ$11,Предпосылки!$I$207,),0),AZ197/(1+IFERROR(INDEX(AZ$10:AZ$11,Предпосылки!$I$208,),0))*IFERROR(INDEX(AZ$10:AZ$11,Предпосылки!$I$208,),0),AZ220/(1+IFERROR(INDEX(AZ$10:AZ$11,Предпосылки!$I$209,),0))*IFERROR(INDEX(AZ$10:AZ$11,Предпосылки!$I$209,),0),AZ243/(1+IFERROR(INDEX(AZ$10:AZ$11,Предпосылки!$I$210,),0))*IFERROR(INDEX(AZ$10:AZ$11,Предпосылки!$I$210,),0),AZ266/(1+IFERROR(INDEX(AZ$10:AZ$11,Предпосылки!$I$211,),0))*IFERROR(INDEX(AZ$10:AZ$11,Предпосылки!$I$211,),0),AZ289/(1+IFERROR(INDEX(AZ$10:AZ$11,Предпосылки!$I$212,),0))*IFERROR(INDEX(AZ$10:AZ$11,Предпосылки!$I$212,),0),AZ312/(1+IFERROR(INDEX(AZ$10:AZ$11,Предпосылки!$I$213,),0))*IFERROR(INDEX(AZ$10:AZ$11,Предпосылки!$I$213,),0),AZ335/(1+IFERROR(INDEX(AZ$10:AZ$11,Предпосылки!$I$214,),0))*IFERROR(INDEX(AZ$10:AZ$11,Предпосылки!$I$214,),0),AZ358/(1+IFERROR(INDEX(AZ$10:AZ$11,Предпосылки!$I$215,),0))*IFERROR(INDEX(AZ$10:AZ$11,Предпосылки!$I$215,),0),AZ381/(1+IFERROR(INDEX(AZ$10:AZ$11,Предпосылки!$I$216,),0))*IFERROR(INDEX(AZ$10:AZ$11,Предпосылки!$I$216,),0),AZ404/(1+IFERROR(INDEX(AZ$10:AZ$11,Предпосылки!$I$217,),0))*IFERROR(INDEX(AZ$10:AZ$11,Предпосылки!$I$217,),0),AZ427/(1+IFERROR(INDEX(AZ$10:AZ$11,Предпосылки!$I$218,),0))*IFERROR(INDEX(AZ$10:AZ$11,Предпосылки!$I$218,),0),AZ450/(1+IFERROR(INDEX(AZ$10:AZ$11,Предпосылки!$I$219,),0))*IFERROR(INDEX(AZ$10:AZ$11,Предпосылки!$I$219,),0),AZ473/(1+IFERROR(INDEX(AZ$10:AZ$11,Предпосылки!$I$220,),0))*IFERROR(INDEX(AZ$10:AZ$11,Предпосылки!$I$220,),0))</f>
        <v>0</v>
      </c>
      <c s="125">
        <f>SUM(BA36/(1+IFERROR(INDEX(BA$10:BA$11,Предпосылки!$I$201,),0))*IFERROR(INDEX(BA$10:BA$11,Предпосылки!$I$201,),0),BA59/(1+IFERROR(INDEX(BA$10:BA$11,Предпосылки!$I$202,),0))*IFERROR(INDEX(BA$10:BA$11,Предпосылки!$I$202,),0),BA82/(1+IFERROR(INDEX(BA$10:BA$11,Предпосылки!$I$203,),0))*IFERROR(INDEX(BA$10:BA$11,Предпосылки!$I$203,),0),BA105/(1+IFERROR(INDEX(BA$10:BA$11,Предпосылки!$I$204,),0))*IFERROR(INDEX(BA$10:BA$11,Предпосылки!$I$204,),0),BA128/(1+IFERROR(INDEX(BA$10:BA$11,Предпосылки!$I$205,),0))*IFERROR(INDEX(BA$10:BA$11,Предпосылки!$I$205,),0),BA151/(1+IFERROR(INDEX(BA$10:BA$11,Предпосылки!$I$206,),0))*IFERROR(INDEX(BA$10:BA$11,Предпосылки!$I$206,),0),BA174/(1+IFERROR(INDEX(BA$10:BA$11,Предпосылки!$I$207,),0))*IFERROR(INDEX(BA$10:BA$11,Предпосылки!$I$207,),0),BA197/(1+IFERROR(INDEX(BA$10:BA$11,Предпосылки!$I$208,),0))*IFERROR(INDEX(BA$10:BA$11,Предпосылки!$I$208,),0),BA220/(1+IFERROR(INDEX(BA$10:BA$11,Предпосылки!$I$209,),0))*IFERROR(INDEX(BA$10:BA$11,Предпосылки!$I$209,),0),BA243/(1+IFERROR(INDEX(BA$10:BA$11,Предпосылки!$I$210,),0))*IFERROR(INDEX(BA$10:BA$11,Предпосылки!$I$210,),0),BA266/(1+IFERROR(INDEX(BA$10:BA$11,Предпосылки!$I$211,),0))*IFERROR(INDEX(BA$10:BA$11,Предпосылки!$I$211,),0),BA289/(1+IFERROR(INDEX(BA$10:BA$11,Предпосылки!$I$212,),0))*IFERROR(INDEX(BA$10:BA$11,Предпосылки!$I$212,),0),BA312/(1+IFERROR(INDEX(BA$10:BA$11,Предпосылки!$I$213,),0))*IFERROR(INDEX(BA$10:BA$11,Предпосылки!$I$213,),0),BA335/(1+IFERROR(INDEX(BA$10:BA$11,Предпосылки!$I$214,),0))*IFERROR(INDEX(BA$10:BA$11,Предпосылки!$I$214,),0),BA358/(1+IFERROR(INDEX(BA$10:BA$11,Предпосылки!$I$215,),0))*IFERROR(INDEX(BA$10:BA$11,Предпосылки!$I$215,),0),BA381/(1+IFERROR(INDEX(BA$10:BA$11,Предпосылки!$I$216,),0))*IFERROR(INDEX(BA$10:BA$11,Предпосылки!$I$216,),0),BA404/(1+IFERROR(INDEX(BA$10:BA$11,Предпосылки!$I$217,),0))*IFERROR(INDEX(BA$10:BA$11,Предпосылки!$I$217,),0),BA427/(1+IFERROR(INDEX(BA$10:BA$11,Предпосылки!$I$218,),0))*IFERROR(INDEX(BA$10:BA$11,Предпосылки!$I$218,),0),BA450/(1+IFERROR(INDEX(BA$10:BA$11,Предпосылки!$I$219,),0))*IFERROR(INDEX(BA$10:BA$11,Предпосылки!$I$219,),0),BA473/(1+IFERROR(INDEX(BA$10:BA$11,Предпосылки!$I$220,),0))*IFERROR(INDEX(BA$10:BA$11,Предпосылки!$I$220,),0))</f>
        <v>0</v>
      </c>
      <c s="125">
        <f>SUM(BB36/(1+IFERROR(INDEX(BB$10:BB$11,Предпосылки!$I$201,),0))*IFERROR(INDEX(BB$10:BB$11,Предпосылки!$I$201,),0),BB59/(1+IFERROR(INDEX(BB$10:BB$11,Предпосылки!$I$202,),0))*IFERROR(INDEX(BB$10:BB$11,Предпосылки!$I$202,),0),BB82/(1+IFERROR(INDEX(BB$10:BB$11,Предпосылки!$I$203,),0))*IFERROR(INDEX(BB$10:BB$11,Предпосылки!$I$203,),0),BB105/(1+IFERROR(INDEX(BB$10:BB$11,Предпосылки!$I$204,),0))*IFERROR(INDEX(BB$10:BB$11,Предпосылки!$I$204,),0),BB128/(1+IFERROR(INDEX(BB$10:BB$11,Предпосылки!$I$205,),0))*IFERROR(INDEX(BB$10:BB$11,Предпосылки!$I$205,),0),BB151/(1+IFERROR(INDEX(BB$10:BB$11,Предпосылки!$I$206,),0))*IFERROR(INDEX(BB$10:BB$11,Предпосылки!$I$206,),0),BB174/(1+IFERROR(INDEX(BB$10:BB$11,Предпосылки!$I$207,),0))*IFERROR(INDEX(BB$10:BB$11,Предпосылки!$I$207,),0),BB197/(1+IFERROR(INDEX(BB$10:BB$11,Предпосылки!$I$208,),0))*IFERROR(INDEX(BB$10:BB$11,Предпосылки!$I$208,),0),BB220/(1+IFERROR(INDEX(BB$10:BB$11,Предпосылки!$I$209,),0))*IFERROR(INDEX(BB$10:BB$11,Предпосылки!$I$209,),0),BB243/(1+IFERROR(INDEX(BB$10:BB$11,Предпосылки!$I$210,),0))*IFERROR(INDEX(BB$10:BB$11,Предпосылки!$I$210,),0),BB266/(1+IFERROR(INDEX(BB$10:BB$11,Предпосылки!$I$211,),0))*IFERROR(INDEX(BB$10:BB$11,Предпосылки!$I$211,),0),BB289/(1+IFERROR(INDEX(BB$10:BB$11,Предпосылки!$I$212,),0))*IFERROR(INDEX(BB$10:BB$11,Предпосылки!$I$212,),0),BB312/(1+IFERROR(INDEX(BB$10:BB$11,Предпосылки!$I$213,),0))*IFERROR(INDEX(BB$10:BB$11,Предпосылки!$I$213,),0),BB335/(1+IFERROR(INDEX(BB$10:BB$11,Предпосылки!$I$214,),0))*IFERROR(INDEX(BB$10:BB$11,Предпосылки!$I$214,),0),BB358/(1+IFERROR(INDEX(BB$10:BB$11,Предпосылки!$I$215,),0))*IFERROR(INDEX(BB$10:BB$11,Предпосылки!$I$215,),0),BB381/(1+IFERROR(INDEX(BB$10:BB$11,Предпосылки!$I$216,),0))*IFERROR(INDEX(BB$10:BB$11,Предпосылки!$I$216,),0),BB404/(1+IFERROR(INDEX(BB$10:BB$11,Предпосылки!$I$217,),0))*IFERROR(INDEX(BB$10:BB$11,Предпосылки!$I$217,),0),BB427/(1+IFERROR(INDEX(BB$10:BB$11,Предпосылки!$I$218,),0))*IFERROR(INDEX(BB$10:BB$11,Предпосылки!$I$218,),0),BB450/(1+IFERROR(INDEX(BB$10:BB$11,Предпосылки!$I$219,),0))*IFERROR(INDEX(BB$10:BB$11,Предпосылки!$I$219,),0),BB473/(1+IFERROR(INDEX(BB$10:BB$11,Предпосылки!$I$220,),0))*IFERROR(INDEX(BB$10:BB$11,Предпосылки!$I$220,),0))</f>
        <v>0</v>
      </c>
      <c s="125">
        <f>SUM(BC36/(1+IFERROR(INDEX(BC$10:BC$11,Предпосылки!$I$201,),0))*IFERROR(INDEX(BC$10:BC$11,Предпосылки!$I$201,),0),BC59/(1+IFERROR(INDEX(BC$10:BC$11,Предпосылки!$I$202,),0))*IFERROR(INDEX(BC$10:BC$11,Предпосылки!$I$202,),0),BC82/(1+IFERROR(INDEX(BC$10:BC$11,Предпосылки!$I$203,),0))*IFERROR(INDEX(BC$10:BC$11,Предпосылки!$I$203,),0),BC105/(1+IFERROR(INDEX(BC$10:BC$11,Предпосылки!$I$204,),0))*IFERROR(INDEX(BC$10:BC$11,Предпосылки!$I$204,),0),BC128/(1+IFERROR(INDEX(BC$10:BC$11,Предпосылки!$I$205,),0))*IFERROR(INDEX(BC$10:BC$11,Предпосылки!$I$205,),0),BC151/(1+IFERROR(INDEX(BC$10:BC$11,Предпосылки!$I$206,),0))*IFERROR(INDEX(BC$10:BC$11,Предпосылки!$I$206,),0),BC174/(1+IFERROR(INDEX(BC$10:BC$11,Предпосылки!$I$207,),0))*IFERROR(INDEX(BC$10:BC$11,Предпосылки!$I$207,),0),BC197/(1+IFERROR(INDEX(BC$10:BC$11,Предпосылки!$I$208,),0))*IFERROR(INDEX(BC$10:BC$11,Предпосылки!$I$208,),0),BC220/(1+IFERROR(INDEX(BC$10:BC$11,Предпосылки!$I$209,),0))*IFERROR(INDEX(BC$10:BC$11,Предпосылки!$I$209,),0),BC243/(1+IFERROR(INDEX(BC$10:BC$11,Предпосылки!$I$210,),0))*IFERROR(INDEX(BC$10:BC$11,Предпосылки!$I$210,),0),BC266/(1+IFERROR(INDEX(BC$10:BC$11,Предпосылки!$I$211,),0))*IFERROR(INDEX(BC$10:BC$11,Предпосылки!$I$211,),0),BC289/(1+IFERROR(INDEX(BC$10:BC$11,Предпосылки!$I$212,),0))*IFERROR(INDEX(BC$10:BC$11,Предпосылки!$I$212,),0),BC312/(1+IFERROR(INDEX(BC$10:BC$11,Предпосылки!$I$213,),0))*IFERROR(INDEX(BC$10:BC$11,Предпосылки!$I$213,),0),BC335/(1+IFERROR(INDEX(BC$10:BC$11,Предпосылки!$I$214,),0))*IFERROR(INDEX(BC$10:BC$11,Предпосылки!$I$214,),0),BC358/(1+IFERROR(INDEX(BC$10:BC$11,Предпосылки!$I$215,),0))*IFERROR(INDEX(BC$10:BC$11,Предпосылки!$I$215,),0),BC381/(1+IFERROR(INDEX(BC$10:BC$11,Предпосылки!$I$216,),0))*IFERROR(INDEX(BC$10:BC$11,Предпосылки!$I$216,),0),BC404/(1+IFERROR(INDEX(BC$10:BC$11,Предпосылки!$I$217,),0))*IFERROR(INDEX(BC$10:BC$11,Предпосылки!$I$217,),0),BC427/(1+IFERROR(INDEX(BC$10:BC$11,Предпосылки!$I$218,),0))*IFERROR(INDEX(BC$10:BC$11,Предпосылки!$I$218,),0),BC450/(1+IFERROR(INDEX(BC$10:BC$11,Предпосылки!$I$219,),0))*IFERROR(INDEX(BC$10:BC$11,Предпосылки!$I$219,),0),BC473/(1+IFERROR(INDEX(BC$10:BC$11,Предпосылки!$I$220,),0))*IFERROR(INDEX(BC$10:BC$11,Предпосылки!$I$220,),0))</f>
        <v>0</v>
      </c>
      <c s="125">
        <f>SUM(BD36/(1+IFERROR(INDEX(BD$10:BD$11,Предпосылки!$I$201,),0))*IFERROR(INDEX(BD$10:BD$11,Предпосылки!$I$201,),0),BD59/(1+IFERROR(INDEX(BD$10:BD$11,Предпосылки!$I$202,),0))*IFERROR(INDEX(BD$10:BD$11,Предпосылки!$I$202,),0),BD82/(1+IFERROR(INDEX(BD$10:BD$11,Предпосылки!$I$203,),0))*IFERROR(INDEX(BD$10:BD$11,Предпосылки!$I$203,),0),BD105/(1+IFERROR(INDEX(BD$10:BD$11,Предпосылки!$I$204,),0))*IFERROR(INDEX(BD$10:BD$11,Предпосылки!$I$204,),0),BD128/(1+IFERROR(INDEX(BD$10:BD$11,Предпосылки!$I$205,),0))*IFERROR(INDEX(BD$10:BD$11,Предпосылки!$I$205,),0),BD151/(1+IFERROR(INDEX(BD$10:BD$11,Предпосылки!$I$206,),0))*IFERROR(INDEX(BD$10:BD$11,Предпосылки!$I$206,),0),BD174/(1+IFERROR(INDEX(BD$10:BD$11,Предпосылки!$I$207,),0))*IFERROR(INDEX(BD$10:BD$11,Предпосылки!$I$207,),0),BD197/(1+IFERROR(INDEX(BD$10:BD$11,Предпосылки!$I$208,),0))*IFERROR(INDEX(BD$10:BD$11,Предпосылки!$I$208,),0),BD220/(1+IFERROR(INDEX(BD$10:BD$11,Предпосылки!$I$209,),0))*IFERROR(INDEX(BD$10:BD$11,Предпосылки!$I$209,),0),BD243/(1+IFERROR(INDEX(BD$10:BD$11,Предпосылки!$I$210,),0))*IFERROR(INDEX(BD$10:BD$11,Предпосылки!$I$210,),0),BD266/(1+IFERROR(INDEX(BD$10:BD$11,Предпосылки!$I$211,),0))*IFERROR(INDEX(BD$10:BD$11,Предпосылки!$I$211,),0),BD289/(1+IFERROR(INDEX(BD$10:BD$11,Предпосылки!$I$212,),0))*IFERROR(INDEX(BD$10:BD$11,Предпосылки!$I$212,),0),BD312/(1+IFERROR(INDEX(BD$10:BD$11,Предпосылки!$I$213,),0))*IFERROR(INDEX(BD$10:BD$11,Предпосылки!$I$213,),0),BD335/(1+IFERROR(INDEX(BD$10:BD$11,Предпосылки!$I$214,),0))*IFERROR(INDEX(BD$10:BD$11,Предпосылки!$I$214,),0),BD358/(1+IFERROR(INDEX(BD$10:BD$11,Предпосылки!$I$215,),0))*IFERROR(INDEX(BD$10:BD$11,Предпосылки!$I$215,),0),BD381/(1+IFERROR(INDEX(BD$10:BD$11,Предпосылки!$I$216,),0))*IFERROR(INDEX(BD$10:BD$11,Предпосылки!$I$216,),0),BD404/(1+IFERROR(INDEX(BD$10:BD$11,Предпосылки!$I$217,),0))*IFERROR(INDEX(BD$10:BD$11,Предпосылки!$I$217,),0),BD427/(1+IFERROR(INDEX(BD$10:BD$11,Предпосылки!$I$218,),0))*IFERROR(INDEX(BD$10:BD$11,Предпосылки!$I$218,),0),BD450/(1+IFERROR(INDEX(BD$10:BD$11,Предпосылки!$I$219,),0))*IFERROR(INDEX(BD$10:BD$11,Предпосылки!$I$219,),0),BD473/(1+IFERROR(INDEX(BD$10:BD$11,Предпосылки!$I$220,),0))*IFERROR(INDEX(BD$10:BD$11,Предпосылки!$I$220,),0))</f>
        <v>0</v>
      </c>
      <c s="125">
        <f>SUM(BE36/(1+IFERROR(INDEX(BE$10:BE$11,Предпосылки!$I$201,),0))*IFERROR(INDEX(BE$10:BE$11,Предпосылки!$I$201,),0),BE59/(1+IFERROR(INDEX(BE$10:BE$11,Предпосылки!$I$202,),0))*IFERROR(INDEX(BE$10:BE$11,Предпосылки!$I$202,),0),BE82/(1+IFERROR(INDEX(BE$10:BE$11,Предпосылки!$I$203,),0))*IFERROR(INDEX(BE$10:BE$11,Предпосылки!$I$203,),0),BE105/(1+IFERROR(INDEX(BE$10:BE$11,Предпосылки!$I$204,),0))*IFERROR(INDEX(BE$10:BE$11,Предпосылки!$I$204,),0),BE128/(1+IFERROR(INDEX(BE$10:BE$11,Предпосылки!$I$205,),0))*IFERROR(INDEX(BE$10:BE$11,Предпосылки!$I$205,),0),BE151/(1+IFERROR(INDEX(BE$10:BE$11,Предпосылки!$I$206,),0))*IFERROR(INDEX(BE$10:BE$11,Предпосылки!$I$206,),0),BE174/(1+IFERROR(INDEX(BE$10:BE$11,Предпосылки!$I$207,),0))*IFERROR(INDEX(BE$10:BE$11,Предпосылки!$I$207,),0),BE197/(1+IFERROR(INDEX(BE$10:BE$11,Предпосылки!$I$208,),0))*IFERROR(INDEX(BE$10:BE$11,Предпосылки!$I$208,),0),BE220/(1+IFERROR(INDEX(BE$10:BE$11,Предпосылки!$I$209,),0))*IFERROR(INDEX(BE$10:BE$11,Предпосылки!$I$209,),0),BE243/(1+IFERROR(INDEX(BE$10:BE$11,Предпосылки!$I$210,),0))*IFERROR(INDEX(BE$10:BE$11,Предпосылки!$I$210,),0),BE266/(1+IFERROR(INDEX(BE$10:BE$11,Предпосылки!$I$211,),0))*IFERROR(INDEX(BE$10:BE$11,Предпосылки!$I$211,),0),BE289/(1+IFERROR(INDEX(BE$10:BE$11,Предпосылки!$I$212,),0))*IFERROR(INDEX(BE$10:BE$11,Предпосылки!$I$212,),0),BE312/(1+IFERROR(INDEX(BE$10:BE$11,Предпосылки!$I$213,),0))*IFERROR(INDEX(BE$10:BE$11,Предпосылки!$I$213,),0),BE335/(1+IFERROR(INDEX(BE$10:BE$11,Предпосылки!$I$214,),0))*IFERROR(INDEX(BE$10:BE$11,Предпосылки!$I$214,),0),BE358/(1+IFERROR(INDEX(BE$10:BE$11,Предпосылки!$I$215,),0))*IFERROR(INDEX(BE$10:BE$11,Предпосылки!$I$215,),0),BE381/(1+IFERROR(INDEX(BE$10:BE$11,Предпосылки!$I$216,),0))*IFERROR(INDEX(BE$10:BE$11,Предпосылки!$I$216,),0),BE404/(1+IFERROR(INDEX(BE$10:BE$11,Предпосылки!$I$217,),0))*IFERROR(INDEX(BE$10:BE$11,Предпосылки!$I$217,),0),BE427/(1+IFERROR(INDEX(BE$10:BE$11,Предпосылки!$I$218,),0))*IFERROR(INDEX(BE$10:BE$11,Предпосылки!$I$218,),0),BE450/(1+IFERROR(INDEX(BE$10:BE$11,Предпосылки!$I$219,),0))*IFERROR(INDEX(BE$10:BE$11,Предпосылки!$I$219,),0),BE473/(1+IFERROR(INDEX(BE$10:BE$11,Предпосылки!$I$220,),0))*IFERROR(INDEX(BE$10:BE$11,Предпосылки!$I$220,),0))</f>
        <v>0</v>
      </c>
      <c s="125">
        <f>SUM(BF36/(1+IFERROR(INDEX(BF$10:BF$11,Предпосылки!$I$201,),0))*IFERROR(INDEX(BF$10:BF$11,Предпосылки!$I$201,),0),BF59/(1+IFERROR(INDEX(BF$10:BF$11,Предпосылки!$I$202,),0))*IFERROR(INDEX(BF$10:BF$11,Предпосылки!$I$202,),0),BF82/(1+IFERROR(INDEX(BF$10:BF$11,Предпосылки!$I$203,),0))*IFERROR(INDEX(BF$10:BF$11,Предпосылки!$I$203,),0),BF105/(1+IFERROR(INDEX(BF$10:BF$11,Предпосылки!$I$204,),0))*IFERROR(INDEX(BF$10:BF$11,Предпосылки!$I$204,),0),BF128/(1+IFERROR(INDEX(BF$10:BF$11,Предпосылки!$I$205,),0))*IFERROR(INDEX(BF$10:BF$11,Предпосылки!$I$205,),0),BF151/(1+IFERROR(INDEX(BF$10:BF$11,Предпосылки!$I$206,),0))*IFERROR(INDEX(BF$10:BF$11,Предпосылки!$I$206,),0),BF174/(1+IFERROR(INDEX(BF$10:BF$11,Предпосылки!$I$207,),0))*IFERROR(INDEX(BF$10:BF$11,Предпосылки!$I$207,),0),BF197/(1+IFERROR(INDEX(BF$10:BF$11,Предпосылки!$I$208,),0))*IFERROR(INDEX(BF$10:BF$11,Предпосылки!$I$208,),0),BF220/(1+IFERROR(INDEX(BF$10:BF$11,Предпосылки!$I$209,),0))*IFERROR(INDEX(BF$10:BF$11,Предпосылки!$I$209,),0),BF243/(1+IFERROR(INDEX(BF$10:BF$11,Предпосылки!$I$210,),0))*IFERROR(INDEX(BF$10:BF$11,Предпосылки!$I$210,),0),BF266/(1+IFERROR(INDEX(BF$10:BF$11,Предпосылки!$I$211,),0))*IFERROR(INDEX(BF$10:BF$11,Предпосылки!$I$211,),0),BF289/(1+IFERROR(INDEX(BF$10:BF$11,Предпосылки!$I$212,),0))*IFERROR(INDEX(BF$10:BF$11,Предпосылки!$I$212,),0),BF312/(1+IFERROR(INDEX(BF$10:BF$11,Предпосылки!$I$213,),0))*IFERROR(INDEX(BF$10:BF$11,Предпосылки!$I$213,),0),BF335/(1+IFERROR(INDEX(BF$10:BF$11,Предпосылки!$I$214,),0))*IFERROR(INDEX(BF$10:BF$11,Предпосылки!$I$214,),0),BF358/(1+IFERROR(INDEX(BF$10:BF$11,Предпосылки!$I$215,),0))*IFERROR(INDEX(BF$10:BF$11,Предпосылки!$I$215,),0),BF381/(1+IFERROR(INDEX(BF$10:BF$11,Предпосылки!$I$216,),0))*IFERROR(INDEX(BF$10:BF$11,Предпосылки!$I$216,),0),BF404/(1+IFERROR(INDEX(BF$10:BF$11,Предпосылки!$I$217,),0))*IFERROR(INDEX(BF$10:BF$11,Предпосылки!$I$217,),0),BF427/(1+IFERROR(INDEX(BF$10:BF$11,Предпосылки!$I$218,),0))*IFERROR(INDEX(BF$10:BF$11,Предпосылки!$I$218,),0),BF450/(1+IFERROR(INDEX(BF$10:BF$11,Предпосылки!$I$219,),0))*IFERROR(INDEX(BF$10:BF$11,Предпосылки!$I$219,),0),BF473/(1+IFERROR(INDEX(BF$10:BF$11,Предпосылки!$I$220,),0))*IFERROR(INDEX(BF$10:BF$11,Предпосылки!$I$220,),0))</f>
        <v>0</v>
      </c>
      <c s="125">
        <f>SUM(BG36/(1+IFERROR(INDEX(BG$10:BG$11,Предпосылки!$I$201,),0))*IFERROR(INDEX(BG$10:BG$11,Предпосылки!$I$201,),0),BG59/(1+IFERROR(INDEX(BG$10:BG$11,Предпосылки!$I$202,),0))*IFERROR(INDEX(BG$10:BG$11,Предпосылки!$I$202,),0),BG82/(1+IFERROR(INDEX(BG$10:BG$11,Предпосылки!$I$203,),0))*IFERROR(INDEX(BG$10:BG$11,Предпосылки!$I$203,),0),BG105/(1+IFERROR(INDEX(BG$10:BG$11,Предпосылки!$I$204,),0))*IFERROR(INDEX(BG$10:BG$11,Предпосылки!$I$204,),0),BG128/(1+IFERROR(INDEX(BG$10:BG$11,Предпосылки!$I$205,),0))*IFERROR(INDEX(BG$10:BG$11,Предпосылки!$I$205,),0),BG151/(1+IFERROR(INDEX(BG$10:BG$11,Предпосылки!$I$206,),0))*IFERROR(INDEX(BG$10:BG$11,Предпосылки!$I$206,),0),BG174/(1+IFERROR(INDEX(BG$10:BG$11,Предпосылки!$I$207,),0))*IFERROR(INDEX(BG$10:BG$11,Предпосылки!$I$207,),0),BG197/(1+IFERROR(INDEX(BG$10:BG$11,Предпосылки!$I$208,),0))*IFERROR(INDEX(BG$10:BG$11,Предпосылки!$I$208,),0),BG220/(1+IFERROR(INDEX(BG$10:BG$11,Предпосылки!$I$209,),0))*IFERROR(INDEX(BG$10:BG$11,Предпосылки!$I$209,),0),BG243/(1+IFERROR(INDEX(BG$10:BG$11,Предпосылки!$I$210,),0))*IFERROR(INDEX(BG$10:BG$11,Предпосылки!$I$210,),0),BG266/(1+IFERROR(INDEX(BG$10:BG$11,Предпосылки!$I$211,),0))*IFERROR(INDEX(BG$10:BG$11,Предпосылки!$I$211,),0),BG289/(1+IFERROR(INDEX(BG$10:BG$11,Предпосылки!$I$212,),0))*IFERROR(INDEX(BG$10:BG$11,Предпосылки!$I$212,),0),BG312/(1+IFERROR(INDEX(BG$10:BG$11,Предпосылки!$I$213,),0))*IFERROR(INDEX(BG$10:BG$11,Предпосылки!$I$213,),0),BG335/(1+IFERROR(INDEX(BG$10:BG$11,Предпосылки!$I$214,),0))*IFERROR(INDEX(BG$10:BG$11,Предпосылки!$I$214,),0),BG358/(1+IFERROR(INDEX(BG$10:BG$11,Предпосылки!$I$215,),0))*IFERROR(INDEX(BG$10:BG$11,Предпосылки!$I$215,),0),BG381/(1+IFERROR(INDEX(BG$10:BG$11,Предпосылки!$I$216,),0))*IFERROR(INDEX(BG$10:BG$11,Предпосылки!$I$216,),0),BG404/(1+IFERROR(INDEX(BG$10:BG$11,Предпосылки!$I$217,),0))*IFERROR(INDEX(BG$10:BG$11,Предпосылки!$I$217,),0),BG427/(1+IFERROR(INDEX(BG$10:BG$11,Предпосылки!$I$218,),0))*IFERROR(INDEX(BG$10:BG$11,Предпосылки!$I$218,),0),BG450/(1+IFERROR(INDEX(BG$10:BG$11,Предпосылки!$I$219,),0))*IFERROR(INDEX(BG$10:BG$11,Предпосылки!$I$219,),0),BG473/(1+IFERROR(INDEX(BG$10:BG$11,Предпосылки!$I$220,),0))*IFERROR(INDEX(BG$10:BG$11,Предпосылки!$I$220,),0))</f>
        <v>0</v>
      </c>
      <c s="125">
        <f>SUM(BH36/(1+IFERROR(INDEX(BH$10:BH$11,Предпосылки!$I$201,),0))*IFERROR(INDEX(BH$10:BH$11,Предпосылки!$I$201,),0),BH59/(1+IFERROR(INDEX(BH$10:BH$11,Предпосылки!$I$202,),0))*IFERROR(INDEX(BH$10:BH$11,Предпосылки!$I$202,),0),BH82/(1+IFERROR(INDEX(BH$10:BH$11,Предпосылки!$I$203,),0))*IFERROR(INDEX(BH$10:BH$11,Предпосылки!$I$203,),0),BH105/(1+IFERROR(INDEX(BH$10:BH$11,Предпосылки!$I$204,),0))*IFERROR(INDEX(BH$10:BH$11,Предпосылки!$I$204,),0),BH128/(1+IFERROR(INDEX(BH$10:BH$11,Предпосылки!$I$205,),0))*IFERROR(INDEX(BH$10:BH$11,Предпосылки!$I$205,),0),BH151/(1+IFERROR(INDEX(BH$10:BH$11,Предпосылки!$I$206,),0))*IFERROR(INDEX(BH$10:BH$11,Предпосылки!$I$206,),0),BH174/(1+IFERROR(INDEX(BH$10:BH$11,Предпосылки!$I$207,),0))*IFERROR(INDEX(BH$10:BH$11,Предпосылки!$I$207,),0),BH197/(1+IFERROR(INDEX(BH$10:BH$11,Предпосылки!$I$208,),0))*IFERROR(INDEX(BH$10:BH$11,Предпосылки!$I$208,),0),BH220/(1+IFERROR(INDEX(BH$10:BH$11,Предпосылки!$I$209,),0))*IFERROR(INDEX(BH$10:BH$11,Предпосылки!$I$209,),0),BH243/(1+IFERROR(INDEX(BH$10:BH$11,Предпосылки!$I$210,),0))*IFERROR(INDEX(BH$10:BH$11,Предпосылки!$I$210,),0),BH266/(1+IFERROR(INDEX(BH$10:BH$11,Предпосылки!$I$211,),0))*IFERROR(INDEX(BH$10:BH$11,Предпосылки!$I$211,),0),BH289/(1+IFERROR(INDEX(BH$10:BH$11,Предпосылки!$I$212,),0))*IFERROR(INDEX(BH$10:BH$11,Предпосылки!$I$212,),0),BH312/(1+IFERROR(INDEX(BH$10:BH$11,Предпосылки!$I$213,),0))*IFERROR(INDEX(BH$10:BH$11,Предпосылки!$I$213,),0),BH335/(1+IFERROR(INDEX(BH$10:BH$11,Предпосылки!$I$214,),0))*IFERROR(INDEX(BH$10:BH$11,Предпосылки!$I$214,),0),BH358/(1+IFERROR(INDEX(BH$10:BH$11,Предпосылки!$I$215,),0))*IFERROR(INDEX(BH$10:BH$11,Предпосылки!$I$215,),0),BH381/(1+IFERROR(INDEX(BH$10:BH$11,Предпосылки!$I$216,),0))*IFERROR(INDEX(BH$10:BH$11,Предпосылки!$I$216,),0),BH404/(1+IFERROR(INDEX(BH$10:BH$11,Предпосылки!$I$217,),0))*IFERROR(INDEX(BH$10:BH$11,Предпосылки!$I$217,),0),BH427/(1+IFERROR(INDEX(BH$10:BH$11,Предпосылки!$I$218,),0))*IFERROR(INDEX(BH$10:BH$11,Предпосылки!$I$218,),0),BH450/(1+IFERROR(INDEX(BH$10:BH$11,Предпосылки!$I$219,),0))*IFERROR(INDEX(BH$10:BH$11,Предпосылки!$I$219,),0),BH473/(1+IFERROR(INDEX(BH$10:BH$11,Предпосылки!$I$220,),0))*IFERROR(INDEX(BH$10:BH$11,Предпосылки!$I$220,),0))</f>
        <v>0</v>
      </c>
      <c s="125">
        <f>SUM(BI36/(1+IFERROR(INDEX(BI$10:BI$11,Предпосылки!$I$201,),0))*IFERROR(INDEX(BI$10:BI$11,Предпосылки!$I$201,),0),BI59/(1+IFERROR(INDEX(BI$10:BI$11,Предпосылки!$I$202,),0))*IFERROR(INDEX(BI$10:BI$11,Предпосылки!$I$202,),0),BI82/(1+IFERROR(INDEX(BI$10:BI$11,Предпосылки!$I$203,),0))*IFERROR(INDEX(BI$10:BI$11,Предпосылки!$I$203,),0),BI105/(1+IFERROR(INDEX(BI$10:BI$11,Предпосылки!$I$204,),0))*IFERROR(INDEX(BI$10:BI$11,Предпосылки!$I$204,),0),BI128/(1+IFERROR(INDEX(BI$10:BI$11,Предпосылки!$I$205,),0))*IFERROR(INDEX(BI$10:BI$11,Предпосылки!$I$205,),0),BI151/(1+IFERROR(INDEX(BI$10:BI$11,Предпосылки!$I$206,),0))*IFERROR(INDEX(BI$10:BI$11,Предпосылки!$I$206,),0),BI174/(1+IFERROR(INDEX(BI$10:BI$11,Предпосылки!$I$207,),0))*IFERROR(INDEX(BI$10:BI$11,Предпосылки!$I$207,),0),BI197/(1+IFERROR(INDEX(BI$10:BI$11,Предпосылки!$I$208,),0))*IFERROR(INDEX(BI$10:BI$11,Предпосылки!$I$208,),0),BI220/(1+IFERROR(INDEX(BI$10:BI$11,Предпосылки!$I$209,),0))*IFERROR(INDEX(BI$10:BI$11,Предпосылки!$I$209,),0),BI243/(1+IFERROR(INDEX(BI$10:BI$11,Предпосылки!$I$210,),0))*IFERROR(INDEX(BI$10:BI$11,Предпосылки!$I$210,),0),BI266/(1+IFERROR(INDEX(BI$10:BI$11,Предпосылки!$I$211,),0))*IFERROR(INDEX(BI$10:BI$11,Предпосылки!$I$211,),0),BI289/(1+IFERROR(INDEX(BI$10:BI$11,Предпосылки!$I$212,),0))*IFERROR(INDEX(BI$10:BI$11,Предпосылки!$I$212,),0),BI312/(1+IFERROR(INDEX(BI$10:BI$11,Предпосылки!$I$213,),0))*IFERROR(INDEX(BI$10:BI$11,Предпосылки!$I$213,),0),BI335/(1+IFERROR(INDEX(BI$10:BI$11,Предпосылки!$I$214,),0))*IFERROR(INDEX(BI$10:BI$11,Предпосылки!$I$214,),0),BI358/(1+IFERROR(INDEX(BI$10:BI$11,Предпосылки!$I$215,),0))*IFERROR(INDEX(BI$10:BI$11,Предпосылки!$I$215,),0),BI381/(1+IFERROR(INDEX(BI$10:BI$11,Предпосылки!$I$216,),0))*IFERROR(INDEX(BI$10:BI$11,Предпосылки!$I$216,),0),BI404/(1+IFERROR(INDEX(BI$10:BI$11,Предпосылки!$I$217,),0))*IFERROR(INDEX(BI$10:BI$11,Предпосылки!$I$217,),0),BI427/(1+IFERROR(INDEX(BI$10:BI$11,Предпосылки!$I$218,),0))*IFERROR(INDEX(BI$10:BI$11,Предпосылки!$I$218,),0),BI450/(1+IFERROR(INDEX(BI$10:BI$11,Предпосылки!$I$219,),0))*IFERROR(INDEX(BI$10:BI$11,Предпосылки!$I$219,),0),BI473/(1+IFERROR(INDEX(BI$10:BI$11,Предпосылки!$I$220,),0))*IFERROR(INDEX(BI$10:BI$11,Предпосылки!$I$220,),0))</f>
        <v>0</v>
      </c>
      <c s="125">
        <f>SUM(BJ36/(1+IFERROR(INDEX(BJ$10:BJ$11,Предпосылки!$I$201,),0))*IFERROR(INDEX(BJ$10:BJ$11,Предпосылки!$I$201,),0),BJ59/(1+IFERROR(INDEX(BJ$10:BJ$11,Предпосылки!$I$202,),0))*IFERROR(INDEX(BJ$10:BJ$11,Предпосылки!$I$202,),0),BJ82/(1+IFERROR(INDEX(BJ$10:BJ$11,Предпосылки!$I$203,),0))*IFERROR(INDEX(BJ$10:BJ$11,Предпосылки!$I$203,),0),BJ105/(1+IFERROR(INDEX(BJ$10:BJ$11,Предпосылки!$I$204,),0))*IFERROR(INDEX(BJ$10:BJ$11,Предпосылки!$I$204,),0),BJ128/(1+IFERROR(INDEX(BJ$10:BJ$11,Предпосылки!$I$205,),0))*IFERROR(INDEX(BJ$10:BJ$11,Предпосылки!$I$205,),0),BJ151/(1+IFERROR(INDEX(BJ$10:BJ$11,Предпосылки!$I$206,),0))*IFERROR(INDEX(BJ$10:BJ$11,Предпосылки!$I$206,),0),BJ174/(1+IFERROR(INDEX(BJ$10:BJ$11,Предпосылки!$I$207,),0))*IFERROR(INDEX(BJ$10:BJ$11,Предпосылки!$I$207,),0),BJ197/(1+IFERROR(INDEX(BJ$10:BJ$11,Предпосылки!$I$208,),0))*IFERROR(INDEX(BJ$10:BJ$11,Предпосылки!$I$208,),0),BJ220/(1+IFERROR(INDEX(BJ$10:BJ$11,Предпосылки!$I$209,),0))*IFERROR(INDEX(BJ$10:BJ$11,Предпосылки!$I$209,),0),BJ243/(1+IFERROR(INDEX(BJ$10:BJ$11,Предпосылки!$I$210,),0))*IFERROR(INDEX(BJ$10:BJ$11,Предпосылки!$I$210,),0),BJ266/(1+IFERROR(INDEX(BJ$10:BJ$11,Предпосылки!$I$211,),0))*IFERROR(INDEX(BJ$10:BJ$11,Предпосылки!$I$211,),0),BJ289/(1+IFERROR(INDEX(BJ$10:BJ$11,Предпосылки!$I$212,),0))*IFERROR(INDEX(BJ$10:BJ$11,Предпосылки!$I$212,),0),BJ312/(1+IFERROR(INDEX(BJ$10:BJ$11,Предпосылки!$I$213,),0))*IFERROR(INDEX(BJ$10:BJ$11,Предпосылки!$I$213,),0),BJ335/(1+IFERROR(INDEX(BJ$10:BJ$11,Предпосылки!$I$214,),0))*IFERROR(INDEX(BJ$10:BJ$11,Предпосылки!$I$214,),0),BJ358/(1+IFERROR(INDEX(BJ$10:BJ$11,Предпосылки!$I$215,),0))*IFERROR(INDEX(BJ$10:BJ$11,Предпосылки!$I$215,),0),BJ381/(1+IFERROR(INDEX(BJ$10:BJ$11,Предпосылки!$I$216,),0))*IFERROR(INDEX(BJ$10:BJ$11,Предпосылки!$I$216,),0),BJ404/(1+IFERROR(INDEX(BJ$10:BJ$11,Предпосылки!$I$217,),0))*IFERROR(INDEX(BJ$10:BJ$11,Предпосылки!$I$217,),0),BJ427/(1+IFERROR(INDEX(BJ$10:BJ$11,Предпосылки!$I$218,),0))*IFERROR(INDEX(BJ$10:BJ$11,Предпосылки!$I$218,),0),BJ450/(1+IFERROR(INDEX(BJ$10:BJ$11,Предпосылки!$I$219,),0))*IFERROR(INDEX(BJ$10:BJ$11,Предпосылки!$I$219,),0),BJ473/(1+IFERROR(INDEX(BJ$10:BJ$11,Предпосылки!$I$220,),0))*IFERROR(INDEX(BJ$10:BJ$11,Предпосылки!$I$220,),0))</f>
        <v>0</v>
      </c>
      <c s="125">
        <f>SUM(BK36/(1+IFERROR(INDEX(BK$10:BK$11,Предпосылки!$I$201,),0))*IFERROR(INDEX(BK$10:BK$11,Предпосылки!$I$201,),0),BK59/(1+IFERROR(INDEX(BK$10:BK$11,Предпосылки!$I$202,),0))*IFERROR(INDEX(BK$10:BK$11,Предпосылки!$I$202,),0),BK82/(1+IFERROR(INDEX(BK$10:BK$11,Предпосылки!$I$203,),0))*IFERROR(INDEX(BK$10:BK$11,Предпосылки!$I$203,),0),BK105/(1+IFERROR(INDEX(BK$10:BK$11,Предпосылки!$I$204,),0))*IFERROR(INDEX(BK$10:BK$11,Предпосылки!$I$204,),0),BK128/(1+IFERROR(INDEX(BK$10:BK$11,Предпосылки!$I$205,),0))*IFERROR(INDEX(BK$10:BK$11,Предпосылки!$I$205,),0),BK151/(1+IFERROR(INDEX(BK$10:BK$11,Предпосылки!$I$206,),0))*IFERROR(INDEX(BK$10:BK$11,Предпосылки!$I$206,),0),BK174/(1+IFERROR(INDEX(BK$10:BK$11,Предпосылки!$I$207,),0))*IFERROR(INDEX(BK$10:BK$11,Предпосылки!$I$207,),0),BK197/(1+IFERROR(INDEX(BK$10:BK$11,Предпосылки!$I$208,),0))*IFERROR(INDEX(BK$10:BK$11,Предпосылки!$I$208,),0),BK220/(1+IFERROR(INDEX(BK$10:BK$11,Предпосылки!$I$209,),0))*IFERROR(INDEX(BK$10:BK$11,Предпосылки!$I$209,),0),BK243/(1+IFERROR(INDEX(BK$10:BK$11,Предпосылки!$I$210,),0))*IFERROR(INDEX(BK$10:BK$11,Предпосылки!$I$210,),0),BK266/(1+IFERROR(INDEX(BK$10:BK$11,Предпосылки!$I$211,),0))*IFERROR(INDEX(BK$10:BK$11,Предпосылки!$I$211,),0),BK289/(1+IFERROR(INDEX(BK$10:BK$11,Предпосылки!$I$212,),0))*IFERROR(INDEX(BK$10:BK$11,Предпосылки!$I$212,),0),BK312/(1+IFERROR(INDEX(BK$10:BK$11,Предпосылки!$I$213,),0))*IFERROR(INDEX(BK$10:BK$11,Предпосылки!$I$213,),0),BK335/(1+IFERROR(INDEX(BK$10:BK$11,Предпосылки!$I$214,),0))*IFERROR(INDEX(BK$10:BK$11,Предпосылки!$I$214,),0),BK358/(1+IFERROR(INDEX(BK$10:BK$11,Предпосылки!$I$215,),0))*IFERROR(INDEX(BK$10:BK$11,Предпосылки!$I$215,),0),BK381/(1+IFERROR(INDEX(BK$10:BK$11,Предпосылки!$I$216,),0))*IFERROR(INDEX(BK$10:BK$11,Предпосылки!$I$216,),0),BK404/(1+IFERROR(INDEX(BK$10:BK$11,Предпосылки!$I$217,),0))*IFERROR(INDEX(BK$10:BK$11,Предпосылки!$I$217,),0),BK427/(1+IFERROR(INDEX(BK$10:BK$11,Предпосылки!$I$218,),0))*IFERROR(INDEX(BK$10:BK$11,Предпосылки!$I$218,),0),BK450/(1+IFERROR(INDEX(BK$10:BK$11,Предпосылки!$I$219,),0))*IFERROR(INDEX(BK$10:BK$11,Предпосылки!$I$219,),0),BK473/(1+IFERROR(INDEX(BK$10:BK$11,Предпосылки!$I$220,),0))*IFERROR(INDEX(BK$10:BK$11,Предпосылки!$I$220,),0))</f>
        <v>0</v>
      </c>
      <c s="125">
        <f>SUM(BL36/(1+IFERROR(INDEX(BL$10:BL$11,Предпосылки!$I$201,),0))*IFERROR(INDEX(BL$10:BL$11,Предпосылки!$I$201,),0),BL59/(1+IFERROR(INDEX(BL$10:BL$11,Предпосылки!$I$202,),0))*IFERROR(INDEX(BL$10:BL$11,Предпосылки!$I$202,),0),BL82/(1+IFERROR(INDEX(BL$10:BL$11,Предпосылки!$I$203,),0))*IFERROR(INDEX(BL$10:BL$11,Предпосылки!$I$203,),0),BL105/(1+IFERROR(INDEX(BL$10:BL$11,Предпосылки!$I$204,),0))*IFERROR(INDEX(BL$10:BL$11,Предпосылки!$I$204,),0),BL128/(1+IFERROR(INDEX(BL$10:BL$11,Предпосылки!$I$205,),0))*IFERROR(INDEX(BL$10:BL$11,Предпосылки!$I$205,),0),BL151/(1+IFERROR(INDEX(BL$10:BL$11,Предпосылки!$I$206,),0))*IFERROR(INDEX(BL$10:BL$11,Предпосылки!$I$206,),0),BL174/(1+IFERROR(INDEX(BL$10:BL$11,Предпосылки!$I$207,),0))*IFERROR(INDEX(BL$10:BL$11,Предпосылки!$I$207,),0),BL197/(1+IFERROR(INDEX(BL$10:BL$11,Предпосылки!$I$208,),0))*IFERROR(INDEX(BL$10:BL$11,Предпосылки!$I$208,),0),BL220/(1+IFERROR(INDEX(BL$10:BL$11,Предпосылки!$I$209,),0))*IFERROR(INDEX(BL$10:BL$11,Предпосылки!$I$209,),0),BL243/(1+IFERROR(INDEX(BL$10:BL$11,Предпосылки!$I$210,),0))*IFERROR(INDEX(BL$10:BL$11,Предпосылки!$I$210,),0),BL266/(1+IFERROR(INDEX(BL$10:BL$11,Предпосылки!$I$211,),0))*IFERROR(INDEX(BL$10:BL$11,Предпосылки!$I$211,),0),BL289/(1+IFERROR(INDEX(BL$10:BL$11,Предпосылки!$I$212,),0))*IFERROR(INDEX(BL$10:BL$11,Предпосылки!$I$212,),0),BL312/(1+IFERROR(INDEX(BL$10:BL$11,Предпосылки!$I$213,),0))*IFERROR(INDEX(BL$10:BL$11,Предпосылки!$I$213,),0),BL335/(1+IFERROR(INDEX(BL$10:BL$11,Предпосылки!$I$214,),0))*IFERROR(INDEX(BL$10:BL$11,Предпосылки!$I$214,),0),BL358/(1+IFERROR(INDEX(BL$10:BL$11,Предпосылки!$I$215,),0))*IFERROR(INDEX(BL$10:BL$11,Предпосылки!$I$215,),0),BL381/(1+IFERROR(INDEX(BL$10:BL$11,Предпосылки!$I$216,),0))*IFERROR(INDEX(BL$10:BL$11,Предпосылки!$I$216,),0),BL404/(1+IFERROR(INDEX(BL$10:BL$11,Предпосылки!$I$217,),0))*IFERROR(INDEX(BL$10:BL$11,Предпосылки!$I$217,),0),BL427/(1+IFERROR(INDEX(BL$10:BL$11,Предпосылки!$I$218,),0))*IFERROR(INDEX(BL$10:BL$11,Предпосылки!$I$218,),0),BL450/(1+IFERROR(INDEX(BL$10:BL$11,Предпосылки!$I$219,),0))*IFERROR(INDEX(BL$10:BL$11,Предпосылки!$I$219,),0),BL473/(1+IFERROR(INDEX(BL$10:BL$11,Предпосылки!$I$220,),0))*IFERROR(INDEX(BL$10:BL$11,Предпосылки!$I$220,),0))</f>
        <v>0</v>
      </c>
      <c s="125">
        <f>SUM(BM36/(1+IFERROR(INDEX(BM$10:BM$11,Предпосылки!$I$201,),0))*IFERROR(INDEX(BM$10:BM$11,Предпосылки!$I$201,),0),BM59/(1+IFERROR(INDEX(BM$10:BM$11,Предпосылки!$I$202,),0))*IFERROR(INDEX(BM$10:BM$11,Предпосылки!$I$202,),0),BM82/(1+IFERROR(INDEX(BM$10:BM$11,Предпосылки!$I$203,),0))*IFERROR(INDEX(BM$10:BM$11,Предпосылки!$I$203,),0),BM105/(1+IFERROR(INDEX(BM$10:BM$11,Предпосылки!$I$204,),0))*IFERROR(INDEX(BM$10:BM$11,Предпосылки!$I$204,),0),BM128/(1+IFERROR(INDEX(BM$10:BM$11,Предпосылки!$I$205,),0))*IFERROR(INDEX(BM$10:BM$11,Предпосылки!$I$205,),0),BM151/(1+IFERROR(INDEX(BM$10:BM$11,Предпосылки!$I$206,),0))*IFERROR(INDEX(BM$10:BM$11,Предпосылки!$I$206,),0),BM174/(1+IFERROR(INDEX(BM$10:BM$11,Предпосылки!$I$207,),0))*IFERROR(INDEX(BM$10:BM$11,Предпосылки!$I$207,),0),BM197/(1+IFERROR(INDEX(BM$10:BM$11,Предпосылки!$I$208,),0))*IFERROR(INDEX(BM$10:BM$11,Предпосылки!$I$208,),0),BM220/(1+IFERROR(INDEX(BM$10:BM$11,Предпосылки!$I$209,),0))*IFERROR(INDEX(BM$10:BM$11,Предпосылки!$I$209,),0),BM243/(1+IFERROR(INDEX(BM$10:BM$11,Предпосылки!$I$210,),0))*IFERROR(INDEX(BM$10:BM$11,Предпосылки!$I$210,),0),BM266/(1+IFERROR(INDEX(BM$10:BM$11,Предпосылки!$I$211,),0))*IFERROR(INDEX(BM$10:BM$11,Предпосылки!$I$211,),0),BM289/(1+IFERROR(INDEX(BM$10:BM$11,Предпосылки!$I$212,),0))*IFERROR(INDEX(BM$10:BM$11,Предпосылки!$I$212,),0),BM312/(1+IFERROR(INDEX(BM$10:BM$11,Предпосылки!$I$213,),0))*IFERROR(INDEX(BM$10:BM$11,Предпосылки!$I$213,),0),BM335/(1+IFERROR(INDEX(BM$10:BM$11,Предпосылки!$I$214,),0))*IFERROR(INDEX(BM$10:BM$11,Предпосылки!$I$214,),0),BM358/(1+IFERROR(INDEX(BM$10:BM$11,Предпосылки!$I$215,),0))*IFERROR(INDEX(BM$10:BM$11,Предпосылки!$I$215,),0),BM381/(1+IFERROR(INDEX(BM$10:BM$11,Предпосылки!$I$216,),0))*IFERROR(INDEX(BM$10:BM$11,Предпосылки!$I$216,),0),BM404/(1+IFERROR(INDEX(BM$10:BM$11,Предпосылки!$I$217,),0))*IFERROR(INDEX(BM$10:BM$11,Предпосылки!$I$217,),0),BM427/(1+IFERROR(INDEX(BM$10:BM$11,Предпосылки!$I$218,),0))*IFERROR(INDEX(BM$10:BM$11,Предпосылки!$I$218,),0),BM450/(1+IFERROR(INDEX(BM$10:BM$11,Предпосылки!$I$219,),0))*IFERROR(INDEX(BM$10:BM$11,Предпосылки!$I$219,),0),BM473/(1+IFERROR(INDEX(BM$10:BM$11,Предпосылки!$I$220,),0))*IFERROR(INDEX(BM$10:BM$11,Предпосылки!$I$220,),0))</f>
        <v>0</v>
      </c>
    </row>
    <row r="568" spans="2:65" ht="15" customHeight="1">
      <c r="B568" s="12" t="str">
        <f t="shared" si="255"/>
        <v>Продукт 15</v>
      </c>
      <c s="124" t="str">
        <f t="shared" si="254"/>
        <v>тыс. руб.</v>
      </c>
      <c s="276">
        <f t="shared" si="256"/>
        <v>0</v>
      </c>
      <c s="125">
        <f>SUM(E37/(1+IFERROR(INDEX(E$10:E$11,Предпосылки!$I215,),0))*IFERROR(INDEX(E$10:E$11,Предпосылки!$I215,),0),E60/(1+IFERROR(INDEX(E$10:E$11,Предпосылки!$I216,),0))*IFERROR(INDEX(E$10:E$11,Предпосылки!$I216,),0),E83/(1+IFERROR(INDEX(E$10:E$11,Предпосылки!$I217,),0))*IFERROR(INDEX(E$10:E$11,Предпосылки!$I217,),0),E106/(1+IFERROR(INDEX(E$10:E$11,Предпосылки!$I218,),0))*IFERROR(INDEX(E$10:E$11,Предпосылки!$I218,),0),E129/(1+IFERROR(INDEX(E$10:E$11,Предпосылки!$I219,),0))*IFERROR(INDEX(E$10:E$11,Предпосылки!$I219,),0),E152/(1+IFERROR(INDEX(E$10:E$11,Предпосылки!$I220,),0))*IFERROR(INDEX(E$10:E$11,Предпосылки!$I220,),0),E175/(1+IFERROR(INDEX(E$10:E$11,Предпосылки!$I221,),0))*IFERROR(INDEX(E$10:E$11,Предпосылки!$I221,),0),E198/(1+IFERROR(INDEX(E$10:E$11,Предпосылки!$I222,),0))*IFERROR(INDEX(E$10:E$11,Предпосылки!$I222,),0),E221/(1+IFERROR(INDEX(E$10:E$11,Предпосылки!$I223,),0))*IFERROR(INDEX(E$10:E$11,Предпосылки!$I223,),0),E244/(1+IFERROR(INDEX(E$10:E$11,Предпосылки!$I224,),0))*IFERROR(INDEX(E$10:E$11,Предпосылки!$I224,),0),E267/(1+IFERROR(INDEX(E$10:E$11,Предпосылки!$I225,),0))*IFERROR(INDEX(E$10:E$11,Предпосылки!$I225,),0),E290/(1+IFERROR(INDEX(E$10:E$11,Предпосылки!$I226,),0))*IFERROR(INDEX(E$10:E$11,Предпосылки!$I226,),0),E313/(1+IFERROR(INDEX(E$10:E$11,Предпосылки!$I227,),0))*IFERROR(INDEX(E$10:E$11,Предпосылки!$I227,),0),E336/(1+IFERROR(INDEX(E$10:E$11,Предпосылки!$I228,),0))*IFERROR(INDEX(E$10:E$11,Предпосылки!$I228,),0),E359/(1+IFERROR(INDEX(E$10:E$11,Предпосылки!$I229,),0))*IFERROR(INDEX(E$10:E$11,Предпосылки!$I229,),0),E382/(1+IFERROR(INDEX(E$10:E$11,Предпосылки!$I230,),0))*IFERROR(INDEX(E$10:E$11,Предпосылки!$I230,),0),E405/(1+IFERROR(INDEX(E$10:E$11,Предпосылки!$I231,),0))*IFERROR(INDEX(E$10:E$11,Предпосылки!$I231,),0),E428/(1+IFERROR(INDEX(E$10:E$11,Предпосылки!$I232,),0))*IFERROR(INDEX(E$10:E$11,Предпосылки!$I232,),0),E451/(1+IFERROR(INDEX(E$10:E$11,Предпосылки!$I233,),0))*IFERROR(INDEX(E$10:E$11,Предпосылки!$I233,),0),E474/(1+IFERROR(INDEX(E$10:E$11,Предпосылки!$I234,),0))*IFERROR(INDEX(E$10:E$11,Предпосылки!$I234,),0))</f>
        <v>0</v>
      </c>
      <c s="125">
        <f>SUM(F37/(1+IFERROR(INDEX(F$10:F$11,Предпосылки!$I$201,),0))*IFERROR(INDEX(F$10:F$11,Предпосылки!$I$201,),0),F60/(1+IFERROR(INDEX(F$10:F$11,Предпосылки!$I$202,),0))*IFERROR(INDEX(F$10:F$11,Предпосылки!$I$202,),0),F83/(1+IFERROR(INDEX(F$10:F$11,Предпосылки!$I$203,),0))*IFERROR(INDEX(F$10:F$11,Предпосылки!$I$203,),0),F106/(1+IFERROR(INDEX(F$10:F$11,Предпосылки!$I$204,),0))*IFERROR(INDEX(F$10:F$11,Предпосылки!$I$204,),0),F129/(1+IFERROR(INDEX(F$10:F$11,Предпосылки!$I$205,),0))*IFERROR(INDEX(F$10:F$11,Предпосылки!$I$205,),0),F152/(1+IFERROR(INDEX(F$10:F$11,Предпосылки!$I$206,),0))*IFERROR(INDEX(F$10:F$11,Предпосылки!$I$206,),0),F175/(1+IFERROR(INDEX(F$10:F$11,Предпосылки!$I$207,),0))*IFERROR(INDEX(F$10:F$11,Предпосылки!$I$207,),0),F198/(1+IFERROR(INDEX(F$10:F$11,Предпосылки!$I$208,),0))*IFERROR(INDEX(F$10:F$11,Предпосылки!$I$208,),0),F221/(1+IFERROR(INDEX(F$10:F$11,Предпосылки!$I$209,),0))*IFERROR(INDEX(F$10:F$11,Предпосылки!$I$209,),0),F244/(1+IFERROR(INDEX(F$10:F$11,Предпосылки!$I$210,),0))*IFERROR(INDEX(F$10:F$11,Предпосылки!$I$210,),0),F267/(1+IFERROR(INDEX(F$10:F$11,Предпосылки!$I$211,),0))*IFERROR(INDEX(F$10:F$11,Предпосылки!$I$211,),0),F290/(1+IFERROR(INDEX(F$10:F$11,Предпосылки!$I$212,),0))*IFERROR(INDEX(F$10:F$11,Предпосылки!$I$212,),0),F313/(1+IFERROR(INDEX(F$10:F$11,Предпосылки!$I$213,),0))*IFERROR(INDEX(F$10:F$11,Предпосылки!$I$213,),0),F336/(1+IFERROR(INDEX(F$10:F$11,Предпосылки!$I$214,),0))*IFERROR(INDEX(F$10:F$11,Предпосылки!$I$214,),0),F359/(1+IFERROR(INDEX(F$10:F$11,Предпосылки!$I$215,),0))*IFERROR(INDEX(F$10:F$11,Предпосылки!$I$215,),0),F382/(1+IFERROR(INDEX(F$10:F$11,Предпосылки!$I$216,),0))*IFERROR(INDEX(F$10:F$11,Предпосылки!$I$216,),0),F405/(1+IFERROR(INDEX(F$10:F$11,Предпосылки!$I$217,),0))*IFERROR(INDEX(F$10:F$11,Предпосылки!$I$217,),0),F428/(1+IFERROR(INDEX(F$10:F$11,Предпосылки!$I$218,),0))*IFERROR(INDEX(F$10:F$11,Предпосылки!$I$218,),0),F451/(1+IFERROR(INDEX(F$10:F$11,Предпосылки!$I$219,),0))*IFERROR(INDEX(F$10:F$11,Предпосылки!$I$219,),0),F474/(1+IFERROR(INDEX(F$10:F$11,Предпосылки!$I$220,),0))*IFERROR(INDEX(F$10:F$11,Предпосылки!$I$220,),0))</f>
        <v>0</v>
      </c>
      <c s="125">
        <f>SUM(G37/(1+IFERROR(INDEX(G$10:G$11,Предпосылки!$I$201,),0))*IFERROR(INDEX(G$10:G$11,Предпосылки!$I$201,),0),G60/(1+IFERROR(INDEX(G$10:G$11,Предпосылки!$I$202,),0))*IFERROR(INDEX(G$10:G$11,Предпосылки!$I$202,),0),G83/(1+IFERROR(INDEX(G$10:G$11,Предпосылки!$I$203,),0))*IFERROR(INDEX(G$10:G$11,Предпосылки!$I$203,),0),G106/(1+IFERROR(INDEX(G$10:G$11,Предпосылки!$I$204,),0))*IFERROR(INDEX(G$10:G$11,Предпосылки!$I$204,),0),G129/(1+IFERROR(INDEX(G$10:G$11,Предпосылки!$I$205,),0))*IFERROR(INDEX(G$10:G$11,Предпосылки!$I$205,),0),G152/(1+IFERROR(INDEX(G$10:G$11,Предпосылки!$I$206,),0))*IFERROR(INDEX(G$10:G$11,Предпосылки!$I$206,),0),G175/(1+IFERROR(INDEX(G$10:G$11,Предпосылки!$I$207,),0))*IFERROR(INDEX(G$10:G$11,Предпосылки!$I$207,),0),G198/(1+IFERROR(INDEX(G$10:G$11,Предпосылки!$I$208,),0))*IFERROR(INDEX(G$10:G$11,Предпосылки!$I$208,),0),G221/(1+IFERROR(INDEX(G$10:G$11,Предпосылки!$I$209,),0))*IFERROR(INDEX(G$10:G$11,Предпосылки!$I$209,),0),G244/(1+IFERROR(INDEX(G$10:G$11,Предпосылки!$I$210,),0))*IFERROR(INDEX(G$10:G$11,Предпосылки!$I$210,),0),G267/(1+IFERROR(INDEX(G$10:G$11,Предпосылки!$I$211,),0))*IFERROR(INDEX(G$10:G$11,Предпосылки!$I$211,),0),G290/(1+IFERROR(INDEX(G$10:G$11,Предпосылки!$I$212,),0))*IFERROR(INDEX(G$10:G$11,Предпосылки!$I$212,),0),G313/(1+IFERROR(INDEX(G$10:G$11,Предпосылки!$I$213,),0))*IFERROR(INDEX(G$10:G$11,Предпосылки!$I$213,),0),G336/(1+IFERROR(INDEX(G$10:G$11,Предпосылки!$I$214,),0))*IFERROR(INDEX(G$10:G$11,Предпосылки!$I$214,),0),G359/(1+IFERROR(INDEX(G$10:G$11,Предпосылки!$I$215,),0))*IFERROR(INDEX(G$10:G$11,Предпосылки!$I$215,),0),G382/(1+IFERROR(INDEX(G$10:G$11,Предпосылки!$I$216,),0))*IFERROR(INDEX(G$10:G$11,Предпосылки!$I$216,),0),G405/(1+IFERROR(INDEX(G$10:G$11,Предпосылки!$I$217,),0))*IFERROR(INDEX(G$10:G$11,Предпосылки!$I$217,),0),G428/(1+IFERROR(INDEX(G$10:G$11,Предпосылки!$I$218,),0))*IFERROR(INDEX(G$10:G$11,Предпосылки!$I$218,),0),G451/(1+IFERROR(INDEX(G$10:G$11,Предпосылки!$I$219,),0))*IFERROR(INDEX(G$10:G$11,Предпосылки!$I$219,),0),G474/(1+IFERROR(INDEX(G$10:G$11,Предпосылки!$I$220,),0))*IFERROR(INDEX(G$10:G$11,Предпосылки!$I$220,),0))</f>
        <v>0</v>
      </c>
      <c s="125">
        <f>SUM(H37/(1+IFERROR(INDEX(H$10:H$11,Предпосылки!$I$201,),0))*IFERROR(INDEX(H$10:H$11,Предпосылки!$I$201,),0),H60/(1+IFERROR(INDEX(H$10:H$11,Предпосылки!$I$202,),0))*IFERROR(INDEX(H$10:H$11,Предпосылки!$I$202,),0),H83/(1+IFERROR(INDEX(H$10:H$11,Предпосылки!$I$203,),0))*IFERROR(INDEX(H$10:H$11,Предпосылки!$I$203,),0),H106/(1+IFERROR(INDEX(H$10:H$11,Предпосылки!$I$204,),0))*IFERROR(INDEX(H$10:H$11,Предпосылки!$I$204,),0),H129/(1+IFERROR(INDEX(H$10:H$11,Предпосылки!$I$205,),0))*IFERROR(INDEX(H$10:H$11,Предпосылки!$I$205,),0),H152/(1+IFERROR(INDEX(H$10:H$11,Предпосылки!$I$206,),0))*IFERROR(INDEX(H$10:H$11,Предпосылки!$I$206,),0),H175/(1+IFERROR(INDEX(H$10:H$11,Предпосылки!$I$207,),0))*IFERROR(INDEX(H$10:H$11,Предпосылки!$I$207,),0),H198/(1+IFERROR(INDEX(H$10:H$11,Предпосылки!$I$208,),0))*IFERROR(INDEX(H$10:H$11,Предпосылки!$I$208,),0),H221/(1+IFERROR(INDEX(H$10:H$11,Предпосылки!$I$209,),0))*IFERROR(INDEX(H$10:H$11,Предпосылки!$I$209,),0),H244/(1+IFERROR(INDEX(H$10:H$11,Предпосылки!$I$210,),0))*IFERROR(INDEX(H$10:H$11,Предпосылки!$I$210,),0),H267/(1+IFERROR(INDEX(H$10:H$11,Предпосылки!$I$211,),0))*IFERROR(INDEX(H$10:H$11,Предпосылки!$I$211,),0),H290/(1+IFERROR(INDEX(H$10:H$11,Предпосылки!$I$212,),0))*IFERROR(INDEX(H$10:H$11,Предпосылки!$I$212,),0),H313/(1+IFERROR(INDEX(H$10:H$11,Предпосылки!$I$213,),0))*IFERROR(INDEX(H$10:H$11,Предпосылки!$I$213,),0),H336/(1+IFERROR(INDEX(H$10:H$11,Предпосылки!$I$214,),0))*IFERROR(INDEX(H$10:H$11,Предпосылки!$I$214,),0),H359/(1+IFERROR(INDEX(H$10:H$11,Предпосылки!$I$215,),0))*IFERROR(INDEX(H$10:H$11,Предпосылки!$I$215,),0),H382/(1+IFERROR(INDEX(H$10:H$11,Предпосылки!$I$216,),0))*IFERROR(INDEX(H$10:H$11,Предпосылки!$I$216,),0),H405/(1+IFERROR(INDEX(H$10:H$11,Предпосылки!$I$217,),0))*IFERROR(INDEX(H$10:H$11,Предпосылки!$I$217,),0),H428/(1+IFERROR(INDEX(H$10:H$11,Предпосылки!$I$218,),0))*IFERROR(INDEX(H$10:H$11,Предпосылки!$I$218,),0),H451/(1+IFERROR(INDEX(H$10:H$11,Предпосылки!$I$219,),0))*IFERROR(INDEX(H$10:H$11,Предпосылки!$I$219,),0),H474/(1+IFERROR(INDEX(H$10:H$11,Предпосылки!$I$220,),0))*IFERROR(INDEX(H$10:H$11,Предпосылки!$I$220,),0))</f>
        <v>0</v>
      </c>
      <c s="125">
        <f>SUM(I37/(1+IFERROR(INDEX(I$10:I$11,Предпосылки!$I$201,),0))*IFERROR(INDEX(I$10:I$11,Предпосылки!$I$201,),0),I60/(1+IFERROR(INDEX(I$10:I$11,Предпосылки!$I$202,),0))*IFERROR(INDEX(I$10:I$11,Предпосылки!$I$202,),0),I83/(1+IFERROR(INDEX(I$10:I$11,Предпосылки!$I$203,),0))*IFERROR(INDEX(I$10:I$11,Предпосылки!$I$203,),0),I106/(1+IFERROR(INDEX(I$10:I$11,Предпосылки!$I$204,),0))*IFERROR(INDEX(I$10:I$11,Предпосылки!$I$204,),0),I129/(1+IFERROR(INDEX(I$10:I$11,Предпосылки!$I$205,),0))*IFERROR(INDEX(I$10:I$11,Предпосылки!$I$205,),0),I152/(1+IFERROR(INDEX(I$10:I$11,Предпосылки!$I$206,),0))*IFERROR(INDEX(I$10:I$11,Предпосылки!$I$206,),0),I175/(1+IFERROR(INDEX(I$10:I$11,Предпосылки!$I$207,),0))*IFERROR(INDEX(I$10:I$11,Предпосылки!$I$207,),0),I198/(1+IFERROR(INDEX(I$10:I$11,Предпосылки!$I$208,),0))*IFERROR(INDEX(I$10:I$11,Предпосылки!$I$208,),0),I221/(1+IFERROR(INDEX(I$10:I$11,Предпосылки!$I$209,),0))*IFERROR(INDEX(I$10:I$11,Предпосылки!$I$209,),0),I244/(1+IFERROR(INDEX(I$10:I$11,Предпосылки!$I$210,),0))*IFERROR(INDEX(I$10:I$11,Предпосылки!$I$210,),0),I267/(1+IFERROR(INDEX(I$10:I$11,Предпосылки!$I$211,),0))*IFERROR(INDEX(I$10:I$11,Предпосылки!$I$211,),0),I290/(1+IFERROR(INDEX(I$10:I$11,Предпосылки!$I$212,),0))*IFERROR(INDEX(I$10:I$11,Предпосылки!$I$212,),0),I313/(1+IFERROR(INDEX(I$10:I$11,Предпосылки!$I$213,),0))*IFERROR(INDEX(I$10:I$11,Предпосылки!$I$213,),0),I336/(1+IFERROR(INDEX(I$10:I$11,Предпосылки!$I$214,),0))*IFERROR(INDEX(I$10:I$11,Предпосылки!$I$214,),0),I359/(1+IFERROR(INDEX(I$10:I$11,Предпосылки!$I$215,),0))*IFERROR(INDEX(I$10:I$11,Предпосылки!$I$215,),0),I382/(1+IFERROR(INDEX(I$10:I$11,Предпосылки!$I$216,),0))*IFERROR(INDEX(I$10:I$11,Предпосылки!$I$216,),0),I405/(1+IFERROR(INDEX(I$10:I$11,Предпосылки!$I$217,),0))*IFERROR(INDEX(I$10:I$11,Предпосылки!$I$217,),0),I428/(1+IFERROR(INDEX(I$10:I$11,Предпосылки!$I$218,),0))*IFERROR(INDEX(I$10:I$11,Предпосылки!$I$218,),0),I451/(1+IFERROR(INDEX(I$10:I$11,Предпосылки!$I$219,),0))*IFERROR(INDEX(I$10:I$11,Предпосылки!$I$219,),0),I474/(1+IFERROR(INDEX(I$10:I$11,Предпосылки!$I$220,),0))*IFERROR(INDEX(I$10:I$11,Предпосылки!$I$220,),0))</f>
        <v>0</v>
      </c>
      <c s="125">
        <f>SUM(J37/(1+IFERROR(INDEX(J$10:J$11,Предпосылки!$I$201,),0))*IFERROR(INDEX(J$10:J$11,Предпосылки!$I$201,),0),J60/(1+IFERROR(INDEX(J$10:J$11,Предпосылки!$I$202,),0))*IFERROR(INDEX(J$10:J$11,Предпосылки!$I$202,),0),J83/(1+IFERROR(INDEX(J$10:J$11,Предпосылки!$I$203,),0))*IFERROR(INDEX(J$10:J$11,Предпосылки!$I$203,),0),J106/(1+IFERROR(INDEX(J$10:J$11,Предпосылки!$I$204,),0))*IFERROR(INDEX(J$10:J$11,Предпосылки!$I$204,),0),J129/(1+IFERROR(INDEX(J$10:J$11,Предпосылки!$I$205,),0))*IFERROR(INDEX(J$10:J$11,Предпосылки!$I$205,),0),J152/(1+IFERROR(INDEX(J$10:J$11,Предпосылки!$I$206,),0))*IFERROR(INDEX(J$10:J$11,Предпосылки!$I$206,),0),J175/(1+IFERROR(INDEX(J$10:J$11,Предпосылки!$I$207,),0))*IFERROR(INDEX(J$10:J$11,Предпосылки!$I$207,),0),J198/(1+IFERROR(INDEX(J$10:J$11,Предпосылки!$I$208,),0))*IFERROR(INDEX(J$10:J$11,Предпосылки!$I$208,),0),J221/(1+IFERROR(INDEX(J$10:J$11,Предпосылки!$I$209,),0))*IFERROR(INDEX(J$10:J$11,Предпосылки!$I$209,),0),J244/(1+IFERROR(INDEX(J$10:J$11,Предпосылки!$I$210,),0))*IFERROR(INDEX(J$10:J$11,Предпосылки!$I$210,),0),J267/(1+IFERROR(INDEX(J$10:J$11,Предпосылки!$I$211,),0))*IFERROR(INDEX(J$10:J$11,Предпосылки!$I$211,),0),J290/(1+IFERROR(INDEX(J$10:J$11,Предпосылки!$I$212,),0))*IFERROR(INDEX(J$10:J$11,Предпосылки!$I$212,),0),J313/(1+IFERROR(INDEX(J$10:J$11,Предпосылки!$I$213,),0))*IFERROR(INDEX(J$10:J$11,Предпосылки!$I$213,),0),J336/(1+IFERROR(INDEX(J$10:J$11,Предпосылки!$I$214,),0))*IFERROR(INDEX(J$10:J$11,Предпосылки!$I$214,),0),J359/(1+IFERROR(INDEX(J$10:J$11,Предпосылки!$I$215,),0))*IFERROR(INDEX(J$10:J$11,Предпосылки!$I$215,),0),J382/(1+IFERROR(INDEX(J$10:J$11,Предпосылки!$I$216,),0))*IFERROR(INDEX(J$10:J$11,Предпосылки!$I$216,),0),J405/(1+IFERROR(INDEX(J$10:J$11,Предпосылки!$I$217,),0))*IFERROR(INDEX(J$10:J$11,Предпосылки!$I$217,),0),J428/(1+IFERROR(INDEX(J$10:J$11,Предпосылки!$I$218,),0))*IFERROR(INDEX(J$10:J$11,Предпосылки!$I$218,),0),J451/(1+IFERROR(INDEX(J$10:J$11,Предпосылки!$I$219,),0))*IFERROR(INDEX(J$10:J$11,Предпосылки!$I$219,),0),J474/(1+IFERROR(INDEX(J$10:J$11,Предпосылки!$I$220,),0))*IFERROR(INDEX(J$10:J$11,Предпосылки!$I$220,),0))</f>
        <v>0</v>
      </c>
      <c s="125">
        <f>SUM(K37/(1+IFERROR(INDEX(K$10:K$11,Предпосылки!$I$201,),0))*IFERROR(INDEX(K$10:K$11,Предпосылки!$I$201,),0),K60/(1+IFERROR(INDEX(K$10:K$11,Предпосылки!$I$202,),0))*IFERROR(INDEX(K$10:K$11,Предпосылки!$I$202,),0),K83/(1+IFERROR(INDEX(K$10:K$11,Предпосылки!$I$203,),0))*IFERROR(INDEX(K$10:K$11,Предпосылки!$I$203,),0),K106/(1+IFERROR(INDEX(K$10:K$11,Предпосылки!$I$204,),0))*IFERROR(INDEX(K$10:K$11,Предпосылки!$I$204,),0),K129/(1+IFERROR(INDEX(K$10:K$11,Предпосылки!$I$205,),0))*IFERROR(INDEX(K$10:K$11,Предпосылки!$I$205,),0),K152/(1+IFERROR(INDEX(K$10:K$11,Предпосылки!$I$206,),0))*IFERROR(INDEX(K$10:K$11,Предпосылки!$I$206,),0),K175/(1+IFERROR(INDEX(K$10:K$11,Предпосылки!$I$207,),0))*IFERROR(INDEX(K$10:K$11,Предпосылки!$I$207,),0),K198/(1+IFERROR(INDEX(K$10:K$11,Предпосылки!$I$208,),0))*IFERROR(INDEX(K$10:K$11,Предпосылки!$I$208,),0),K221/(1+IFERROR(INDEX(K$10:K$11,Предпосылки!$I$209,),0))*IFERROR(INDEX(K$10:K$11,Предпосылки!$I$209,),0),K244/(1+IFERROR(INDEX(K$10:K$11,Предпосылки!$I$210,),0))*IFERROR(INDEX(K$10:K$11,Предпосылки!$I$210,),0),K267/(1+IFERROR(INDEX(K$10:K$11,Предпосылки!$I$211,),0))*IFERROR(INDEX(K$10:K$11,Предпосылки!$I$211,),0),K290/(1+IFERROR(INDEX(K$10:K$11,Предпосылки!$I$212,),0))*IFERROR(INDEX(K$10:K$11,Предпосылки!$I$212,),0),K313/(1+IFERROR(INDEX(K$10:K$11,Предпосылки!$I$213,),0))*IFERROR(INDEX(K$10:K$11,Предпосылки!$I$213,),0),K336/(1+IFERROR(INDEX(K$10:K$11,Предпосылки!$I$214,),0))*IFERROR(INDEX(K$10:K$11,Предпосылки!$I$214,),0),K359/(1+IFERROR(INDEX(K$10:K$11,Предпосылки!$I$215,),0))*IFERROR(INDEX(K$10:K$11,Предпосылки!$I$215,),0),K382/(1+IFERROR(INDEX(K$10:K$11,Предпосылки!$I$216,),0))*IFERROR(INDEX(K$10:K$11,Предпосылки!$I$216,),0),K405/(1+IFERROR(INDEX(K$10:K$11,Предпосылки!$I$217,),0))*IFERROR(INDEX(K$10:K$11,Предпосылки!$I$217,),0),K428/(1+IFERROR(INDEX(K$10:K$11,Предпосылки!$I$218,),0))*IFERROR(INDEX(K$10:K$11,Предпосылки!$I$218,),0),K451/(1+IFERROR(INDEX(K$10:K$11,Предпосылки!$I$219,),0))*IFERROR(INDEX(K$10:K$11,Предпосылки!$I$219,),0),K474/(1+IFERROR(INDEX(K$10:K$11,Предпосылки!$I$220,),0))*IFERROR(INDEX(K$10:K$11,Предпосылки!$I$220,),0))</f>
        <v>0</v>
      </c>
      <c s="125">
        <f>SUM(L37/(1+IFERROR(INDEX(L$10:L$11,Предпосылки!$I$201,),0))*IFERROR(INDEX(L$10:L$11,Предпосылки!$I$201,),0),L60/(1+IFERROR(INDEX(L$10:L$11,Предпосылки!$I$202,),0))*IFERROR(INDEX(L$10:L$11,Предпосылки!$I$202,),0),L83/(1+IFERROR(INDEX(L$10:L$11,Предпосылки!$I$203,),0))*IFERROR(INDEX(L$10:L$11,Предпосылки!$I$203,),0),L106/(1+IFERROR(INDEX(L$10:L$11,Предпосылки!$I$204,),0))*IFERROR(INDEX(L$10:L$11,Предпосылки!$I$204,),0),L129/(1+IFERROR(INDEX(L$10:L$11,Предпосылки!$I$205,),0))*IFERROR(INDEX(L$10:L$11,Предпосылки!$I$205,),0),L152/(1+IFERROR(INDEX(L$10:L$11,Предпосылки!$I$206,),0))*IFERROR(INDEX(L$10:L$11,Предпосылки!$I$206,),0),L175/(1+IFERROR(INDEX(L$10:L$11,Предпосылки!$I$207,),0))*IFERROR(INDEX(L$10:L$11,Предпосылки!$I$207,),0),L198/(1+IFERROR(INDEX(L$10:L$11,Предпосылки!$I$208,),0))*IFERROR(INDEX(L$10:L$11,Предпосылки!$I$208,),0),L221/(1+IFERROR(INDEX(L$10:L$11,Предпосылки!$I$209,),0))*IFERROR(INDEX(L$10:L$11,Предпосылки!$I$209,),0),L244/(1+IFERROR(INDEX(L$10:L$11,Предпосылки!$I$210,),0))*IFERROR(INDEX(L$10:L$11,Предпосылки!$I$210,),0),L267/(1+IFERROR(INDEX(L$10:L$11,Предпосылки!$I$211,),0))*IFERROR(INDEX(L$10:L$11,Предпосылки!$I$211,),0),L290/(1+IFERROR(INDEX(L$10:L$11,Предпосылки!$I$212,),0))*IFERROR(INDEX(L$10:L$11,Предпосылки!$I$212,),0),L313/(1+IFERROR(INDEX(L$10:L$11,Предпосылки!$I$213,),0))*IFERROR(INDEX(L$10:L$11,Предпосылки!$I$213,),0),L336/(1+IFERROR(INDEX(L$10:L$11,Предпосылки!$I$214,),0))*IFERROR(INDEX(L$10:L$11,Предпосылки!$I$214,),0),L359/(1+IFERROR(INDEX(L$10:L$11,Предпосылки!$I$215,),0))*IFERROR(INDEX(L$10:L$11,Предпосылки!$I$215,),0),L382/(1+IFERROR(INDEX(L$10:L$11,Предпосылки!$I$216,),0))*IFERROR(INDEX(L$10:L$11,Предпосылки!$I$216,),0),L405/(1+IFERROR(INDEX(L$10:L$11,Предпосылки!$I$217,),0))*IFERROR(INDEX(L$10:L$11,Предпосылки!$I$217,),0),L428/(1+IFERROR(INDEX(L$10:L$11,Предпосылки!$I$218,),0))*IFERROR(INDEX(L$10:L$11,Предпосылки!$I$218,),0),L451/(1+IFERROR(INDEX(L$10:L$11,Предпосылки!$I$219,),0))*IFERROR(INDEX(L$10:L$11,Предпосылки!$I$219,),0),L474/(1+IFERROR(INDEX(L$10:L$11,Предпосылки!$I$220,),0))*IFERROR(INDEX(L$10:L$11,Предпосылки!$I$220,),0))</f>
        <v>0</v>
      </c>
      <c s="125">
        <f>SUM(M37/(1+IFERROR(INDEX(M$10:M$11,Предпосылки!$I$201,),0))*IFERROR(INDEX(M$10:M$11,Предпосылки!$I$201,),0),M60/(1+IFERROR(INDEX(M$10:M$11,Предпосылки!$I$202,),0))*IFERROR(INDEX(M$10:M$11,Предпосылки!$I$202,),0),M83/(1+IFERROR(INDEX(M$10:M$11,Предпосылки!$I$203,),0))*IFERROR(INDEX(M$10:M$11,Предпосылки!$I$203,),0),M106/(1+IFERROR(INDEX(M$10:M$11,Предпосылки!$I$204,),0))*IFERROR(INDEX(M$10:M$11,Предпосылки!$I$204,),0),M129/(1+IFERROR(INDEX(M$10:M$11,Предпосылки!$I$205,),0))*IFERROR(INDEX(M$10:M$11,Предпосылки!$I$205,),0),M152/(1+IFERROR(INDEX(M$10:M$11,Предпосылки!$I$206,),0))*IFERROR(INDEX(M$10:M$11,Предпосылки!$I$206,),0),M175/(1+IFERROR(INDEX(M$10:M$11,Предпосылки!$I$207,),0))*IFERROR(INDEX(M$10:M$11,Предпосылки!$I$207,),0),M198/(1+IFERROR(INDEX(M$10:M$11,Предпосылки!$I$208,),0))*IFERROR(INDEX(M$10:M$11,Предпосылки!$I$208,),0),M221/(1+IFERROR(INDEX(M$10:M$11,Предпосылки!$I$209,),0))*IFERROR(INDEX(M$10:M$11,Предпосылки!$I$209,),0),M244/(1+IFERROR(INDEX(M$10:M$11,Предпосылки!$I$210,),0))*IFERROR(INDEX(M$10:M$11,Предпосылки!$I$210,),0),M267/(1+IFERROR(INDEX(M$10:M$11,Предпосылки!$I$211,),0))*IFERROR(INDEX(M$10:M$11,Предпосылки!$I$211,),0),M290/(1+IFERROR(INDEX(M$10:M$11,Предпосылки!$I$212,),0))*IFERROR(INDEX(M$10:M$11,Предпосылки!$I$212,),0),M313/(1+IFERROR(INDEX(M$10:M$11,Предпосылки!$I$213,),0))*IFERROR(INDEX(M$10:M$11,Предпосылки!$I$213,),0),M336/(1+IFERROR(INDEX(M$10:M$11,Предпосылки!$I$214,),0))*IFERROR(INDEX(M$10:M$11,Предпосылки!$I$214,),0),M359/(1+IFERROR(INDEX(M$10:M$11,Предпосылки!$I$215,),0))*IFERROR(INDEX(M$10:M$11,Предпосылки!$I$215,),0),M382/(1+IFERROR(INDEX(M$10:M$11,Предпосылки!$I$216,),0))*IFERROR(INDEX(M$10:M$11,Предпосылки!$I$216,),0),M405/(1+IFERROR(INDEX(M$10:M$11,Предпосылки!$I$217,),0))*IFERROR(INDEX(M$10:M$11,Предпосылки!$I$217,),0),M428/(1+IFERROR(INDEX(M$10:M$11,Предпосылки!$I$218,),0))*IFERROR(INDEX(M$10:M$11,Предпосылки!$I$218,),0),M451/(1+IFERROR(INDEX(M$10:M$11,Предпосылки!$I$219,),0))*IFERROR(INDEX(M$10:M$11,Предпосылки!$I$219,),0),M474/(1+IFERROR(INDEX(M$10:M$11,Предпосылки!$I$220,),0))*IFERROR(INDEX(M$10:M$11,Предпосылки!$I$220,),0))</f>
        <v>0</v>
      </c>
      <c s="125">
        <f>SUM(N37/(1+IFERROR(INDEX(N$10:N$11,Предпосылки!$I$201,),0))*IFERROR(INDEX(N$10:N$11,Предпосылки!$I$201,),0),N60/(1+IFERROR(INDEX(N$10:N$11,Предпосылки!$I$202,),0))*IFERROR(INDEX(N$10:N$11,Предпосылки!$I$202,),0),N83/(1+IFERROR(INDEX(N$10:N$11,Предпосылки!$I$203,),0))*IFERROR(INDEX(N$10:N$11,Предпосылки!$I$203,),0),N106/(1+IFERROR(INDEX(N$10:N$11,Предпосылки!$I$204,),0))*IFERROR(INDEX(N$10:N$11,Предпосылки!$I$204,),0),N129/(1+IFERROR(INDEX(N$10:N$11,Предпосылки!$I$205,),0))*IFERROR(INDEX(N$10:N$11,Предпосылки!$I$205,),0),N152/(1+IFERROR(INDEX(N$10:N$11,Предпосылки!$I$206,),0))*IFERROR(INDEX(N$10:N$11,Предпосылки!$I$206,),0),N175/(1+IFERROR(INDEX(N$10:N$11,Предпосылки!$I$207,),0))*IFERROR(INDEX(N$10:N$11,Предпосылки!$I$207,),0),N198/(1+IFERROR(INDEX(N$10:N$11,Предпосылки!$I$208,),0))*IFERROR(INDEX(N$10:N$11,Предпосылки!$I$208,),0),N221/(1+IFERROR(INDEX(N$10:N$11,Предпосылки!$I$209,),0))*IFERROR(INDEX(N$10:N$11,Предпосылки!$I$209,),0),N244/(1+IFERROR(INDEX(N$10:N$11,Предпосылки!$I$210,),0))*IFERROR(INDEX(N$10:N$11,Предпосылки!$I$210,),0),N267/(1+IFERROR(INDEX(N$10:N$11,Предпосылки!$I$211,),0))*IFERROR(INDEX(N$10:N$11,Предпосылки!$I$211,),0),N290/(1+IFERROR(INDEX(N$10:N$11,Предпосылки!$I$212,),0))*IFERROR(INDEX(N$10:N$11,Предпосылки!$I$212,),0),N313/(1+IFERROR(INDEX(N$10:N$11,Предпосылки!$I$213,),0))*IFERROR(INDEX(N$10:N$11,Предпосылки!$I$213,),0),N336/(1+IFERROR(INDEX(N$10:N$11,Предпосылки!$I$214,),0))*IFERROR(INDEX(N$10:N$11,Предпосылки!$I$214,),0),N359/(1+IFERROR(INDEX(N$10:N$11,Предпосылки!$I$215,),0))*IFERROR(INDEX(N$10:N$11,Предпосылки!$I$215,),0),N382/(1+IFERROR(INDEX(N$10:N$11,Предпосылки!$I$216,),0))*IFERROR(INDEX(N$10:N$11,Предпосылки!$I$216,),0),N405/(1+IFERROR(INDEX(N$10:N$11,Предпосылки!$I$217,),0))*IFERROR(INDEX(N$10:N$11,Предпосылки!$I$217,),0),N428/(1+IFERROR(INDEX(N$10:N$11,Предпосылки!$I$218,),0))*IFERROR(INDEX(N$10:N$11,Предпосылки!$I$218,),0),N451/(1+IFERROR(INDEX(N$10:N$11,Предпосылки!$I$219,),0))*IFERROR(INDEX(N$10:N$11,Предпосылки!$I$219,),0),N474/(1+IFERROR(INDEX(N$10:N$11,Предпосылки!$I$220,),0))*IFERROR(INDEX(N$10:N$11,Предпосылки!$I$220,),0))</f>
        <v>0</v>
      </c>
      <c s="125">
        <f>SUM(O37/(1+IFERROR(INDEX(O$10:O$11,Предпосылки!$I$201,),0))*IFERROR(INDEX(O$10:O$11,Предпосылки!$I$201,),0),O60/(1+IFERROR(INDEX(O$10:O$11,Предпосылки!$I$202,),0))*IFERROR(INDEX(O$10:O$11,Предпосылки!$I$202,),0),O83/(1+IFERROR(INDEX(O$10:O$11,Предпосылки!$I$203,),0))*IFERROR(INDEX(O$10:O$11,Предпосылки!$I$203,),0),O106/(1+IFERROR(INDEX(O$10:O$11,Предпосылки!$I$204,),0))*IFERROR(INDEX(O$10:O$11,Предпосылки!$I$204,),0),O129/(1+IFERROR(INDEX(O$10:O$11,Предпосылки!$I$205,),0))*IFERROR(INDEX(O$10:O$11,Предпосылки!$I$205,),0),O152/(1+IFERROR(INDEX(O$10:O$11,Предпосылки!$I$206,),0))*IFERROR(INDEX(O$10:O$11,Предпосылки!$I$206,),0),O175/(1+IFERROR(INDEX(O$10:O$11,Предпосылки!$I$207,),0))*IFERROR(INDEX(O$10:O$11,Предпосылки!$I$207,),0),O198/(1+IFERROR(INDEX(O$10:O$11,Предпосылки!$I$208,),0))*IFERROR(INDEX(O$10:O$11,Предпосылки!$I$208,),0),O221/(1+IFERROR(INDEX(O$10:O$11,Предпосылки!$I$209,),0))*IFERROR(INDEX(O$10:O$11,Предпосылки!$I$209,),0),O244/(1+IFERROR(INDEX(O$10:O$11,Предпосылки!$I$210,),0))*IFERROR(INDEX(O$10:O$11,Предпосылки!$I$210,),0),O267/(1+IFERROR(INDEX(O$10:O$11,Предпосылки!$I$211,),0))*IFERROR(INDEX(O$10:O$11,Предпосылки!$I$211,),0),O290/(1+IFERROR(INDEX(O$10:O$11,Предпосылки!$I$212,),0))*IFERROR(INDEX(O$10:O$11,Предпосылки!$I$212,),0),O313/(1+IFERROR(INDEX(O$10:O$11,Предпосылки!$I$213,),0))*IFERROR(INDEX(O$10:O$11,Предпосылки!$I$213,),0),O336/(1+IFERROR(INDEX(O$10:O$11,Предпосылки!$I$214,),0))*IFERROR(INDEX(O$10:O$11,Предпосылки!$I$214,),0),O359/(1+IFERROR(INDEX(O$10:O$11,Предпосылки!$I$215,),0))*IFERROR(INDEX(O$10:O$11,Предпосылки!$I$215,),0),O382/(1+IFERROR(INDEX(O$10:O$11,Предпосылки!$I$216,),0))*IFERROR(INDEX(O$10:O$11,Предпосылки!$I$216,),0),O405/(1+IFERROR(INDEX(O$10:O$11,Предпосылки!$I$217,),0))*IFERROR(INDEX(O$10:O$11,Предпосылки!$I$217,),0),O428/(1+IFERROR(INDEX(O$10:O$11,Предпосылки!$I$218,),0))*IFERROR(INDEX(O$10:O$11,Предпосылки!$I$218,),0),O451/(1+IFERROR(INDEX(O$10:O$11,Предпосылки!$I$219,),0))*IFERROR(INDEX(O$10:O$11,Предпосылки!$I$219,),0),O474/(1+IFERROR(INDEX(O$10:O$11,Предпосылки!$I$220,),0))*IFERROR(INDEX(O$10:O$11,Предпосылки!$I$220,),0))</f>
        <v>0</v>
      </c>
      <c s="125">
        <f>SUM(P37/(1+IFERROR(INDEX(P$10:P$11,Предпосылки!$I$201,),0))*IFERROR(INDEX(P$10:P$11,Предпосылки!$I$201,),0),P60/(1+IFERROR(INDEX(P$10:P$11,Предпосылки!$I$202,),0))*IFERROR(INDEX(P$10:P$11,Предпосылки!$I$202,),0),P83/(1+IFERROR(INDEX(P$10:P$11,Предпосылки!$I$203,),0))*IFERROR(INDEX(P$10:P$11,Предпосылки!$I$203,),0),P106/(1+IFERROR(INDEX(P$10:P$11,Предпосылки!$I$204,),0))*IFERROR(INDEX(P$10:P$11,Предпосылки!$I$204,),0),P129/(1+IFERROR(INDEX(P$10:P$11,Предпосылки!$I$205,),0))*IFERROR(INDEX(P$10:P$11,Предпосылки!$I$205,),0),P152/(1+IFERROR(INDEX(P$10:P$11,Предпосылки!$I$206,),0))*IFERROR(INDEX(P$10:P$11,Предпосылки!$I$206,),0),P175/(1+IFERROR(INDEX(P$10:P$11,Предпосылки!$I$207,),0))*IFERROR(INDEX(P$10:P$11,Предпосылки!$I$207,),0),P198/(1+IFERROR(INDEX(P$10:P$11,Предпосылки!$I$208,),0))*IFERROR(INDEX(P$10:P$11,Предпосылки!$I$208,),0),P221/(1+IFERROR(INDEX(P$10:P$11,Предпосылки!$I$209,),0))*IFERROR(INDEX(P$10:P$11,Предпосылки!$I$209,),0),P244/(1+IFERROR(INDEX(P$10:P$11,Предпосылки!$I$210,),0))*IFERROR(INDEX(P$10:P$11,Предпосылки!$I$210,),0),P267/(1+IFERROR(INDEX(P$10:P$11,Предпосылки!$I$211,),0))*IFERROR(INDEX(P$10:P$11,Предпосылки!$I$211,),0),P290/(1+IFERROR(INDEX(P$10:P$11,Предпосылки!$I$212,),0))*IFERROR(INDEX(P$10:P$11,Предпосылки!$I$212,),0),P313/(1+IFERROR(INDEX(P$10:P$11,Предпосылки!$I$213,),0))*IFERROR(INDEX(P$10:P$11,Предпосылки!$I$213,),0),P336/(1+IFERROR(INDEX(P$10:P$11,Предпосылки!$I$214,),0))*IFERROR(INDEX(P$10:P$11,Предпосылки!$I$214,),0),P359/(1+IFERROR(INDEX(P$10:P$11,Предпосылки!$I$215,),0))*IFERROR(INDEX(P$10:P$11,Предпосылки!$I$215,),0),P382/(1+IFERROR(INDEX(P$10:P$11,Предпосылки!$I$216,),0))*IFERROR(INDEX(P$10:P$11,Предпосылки!$I$216,),0),P405/(1+IFERROR(INDEX(P$10:P$11,Предпосылки!$I$217,),0))*IFERROR(INDEX(P$10:P$11,Предпосылки!$I$217,),0),P428/(1+IFERROR(INDEX(P$10:P$11,Предпосылки!$I$218,),0))*IFERROR(INDEX(P$10:P$11,Предпосылки!$I$218,),0),P451/(1+IFERROR(INDEX(P$10:P$11,Предпосылки!$I$219,),0))*IFERROR(INDEX(P$10:P$11,Предпосылки!$I$219,),0),P474/(1+IFERROR(INDEX(P$10:P$11,Предпосылки!$I$220,),0))*IFERROR(INDEX(P$10:P$11,Предпосылки!$I$220,),0))</f>
        <v>0</v>
      </c>
      <c s="125">
        <f>SUM(Q37/(1+IFERROR(INDEX(Q$10:Q$11,Предпосылки!$I$201,),0))*IFERROR(INDEX(Q$10:Q$11,Предпосылки!$I$201,),0),Q60/(1+IFERROR(INDEX(Q$10:Q$11,Предпосылки!$I$202,),0))*IFERROR(INDEX(Q$10:Q$11,Предпосылки!$I$202,),0),Q83/(1+IFERROR(INDEX(Q$10:Q$11,Предпосылки!$I$203,),0))*IFERROR(INDEX(Q$10:Q$11,Предпосылки!$I$203,),0),Q106/(1+IFERROR(INDEX(Q$10:Q$11,Предпосылки!$I$204,),0))*IFERROR(INDEX(Q$10:Q$11,Предпосылки!$I$204,),0),Q129/(1+IFERROR(INDEX(Q$10:Q$11,Предпосылки!$I$205,),0))*IFERROR(INDEX(Q$10:Q$11,Предпосылки!$I$205,),0),Q152/(1+IFERROR(INDEX(Q$10:Q$11,Предпосылки!$I$206,),0))*IFERROR(INDEX(Q$10:Q$11,Предпосылки!$I$206,),0),Q175/(1+IFERROR(INDEX(Q$10:Q$11,Предпосылки!$I$207,),0))*IFERROR(INDEX(Q$10:Q$11,Предпосылки!$I$207,),0),Q198/(1+IFERROR(INDEX(Q$10:Q$11,Предпосылки!$I$208,),0))*IFERROR(INDEX(Q$10:Q$11,Предпосылки!$I$208,),0),Q221/(1+IFERROR(INDEX(Q$10:Q$11,Предпосылки!$I$209,),0))*IFERROR(INDEX(Q$10:Q$11,Предпосылки!$I$209,),0),Q244/(1+IFERROR(INDEX(Q$10:Q$11,Предпосылки!$I$210,),0))*IFERROR(INDEX(Q$10:Q$11,Предпосылки!$I$210,),0),Q267/(1+IFERROR(INDEX(Q$10:Q$11,Предпосылки!$I$211,),0))*IFERROR(INDEX(Q$10:Q$11,Предпосылки!$I$211,),0),Q290/(1+IFERROR(INDEX(Q$10:Q$11,Предпосылки!$I$212,),0))*IFERROR(INDEX(Q$10:Q$11,Предпосылки!$I$212,),0),Q313/(1+IFERROR(INDEX(Q$10:Q$11,Предпосылки!$I$213,),0))*IFERROR(INDEX(Q$10:Q$11,Предпосылки!$I$213,),0),Q336/(1+IFERROR(INDEX(Q$10:Q$11,Предпосылки!$I$214,),0))*IFERROR(INDEX(Q$10:Q$11,Предпосылки!$I$214,),0),Q359/(1+IFERROR(INDEX(Q$10:Q$11,Предпосылки!$I$215,),0))*IFERROR(INDEX(Q$10:Q$11,Предпосылки!$I$215,),0),Q382/(1+IFERROR(INDEX(Q$10:Q$11,Предпосылки!$I$216,),0))*IFERROR(INDEX(Q$10:Q$11,Предпосылки!$I$216,),0),Q405/(1+IFERROR(INDEX(Q$10:Q$11,Предпосылки!$I$217,),0))*IFERROR(INDEX(Q$10:Q$11,Предпосылки!$I$217,),0),Q428/(1+IFERROR(INDEX(Q$10:Q$11,Предпосылки!$I$218,),0))*IFERROR(INDEX(Q$10:Q$11,Предпосылки!$I$218,),0),Q451/(1+IFERROR(INDEX(Q$10:Q$11,Предпосылки!$I$219,),0))*IFERROR(INDEX(Q$10:Q$11,Предпосылки!$I$219,),0),Q474/(1+IFERROR(INDEX(Q$10:Q$11,Предпосылки!$I$220,),0))*IFERROR(INDEX(Q$10:Q$11,Предпосылки!$I$220,),0))</f>
        <v>0</v>
      </c>
      <c s="125">
        <f>SUM(R37/(1+IFERROR(INDEX(R$10:R$11,Предпосылки!$I$201,),0))*IFERROR(INDEX(R$10:R$11,Предпосылки!$I$201,),0),R60/(1+IFERROR(INDEX(R$10:R$11,Предпосылки!$I$202,),0))*IFERROR(INDEX(R$10:R$11,Предпосылки!$I$202,),0),R83/(1+IFERROR(INDEX(R$10:R$11,Предпосылки!$I$203,),0))*IFERROR(INDEX(R$10:R$11,Предпосылки!$I$203,),0),R106/(1+IFERROR(INDEX(R$10:R$11,Предпосылки!$I$204,),0))*IFERROR(INDEX(R$10:R$11,Предпосылки!$I$204,),0),R129/(1+IFERROR(INDEX(R$10:R$11,Предпосылки!$I$205,),0))*IFERROR(INDEX(R$10:R$11,Предпосылки!$I$205,),0),R152/(1+IFERROR(INDEX(R$10:R$11,Предпосылки!$I$206,),0))*IFERROR(INDEX(R$10:R$11,Предпосылки!$I$206,),0),R175/(1+IFERROR(INDEX(R$10:R$11,Предпосылки!$I$207,),0))*IFERROR(INDEX(R$10:R$11,Предпосылки!$I$207,),0),R198/(1+IFERROR(INDEX(R$10:R$11,Предпосылки!$I$208,),0))*IFERROR(INDEX(R$10:R$11,Предпосылки!$I$208,),0),R221/(1+IFERROR(INDEX(R$10:R$11,Предпосылки!$I$209,),0))*IFERROR(INDEX(R$10:R$11,Предпосылки!$I$209,),0),R244/(1+IFERROR(INDEX(R$10:R$11,Предпосылки!$I$210,),0))*IFERROR(INDEX(R$10:R$11,Предпосылки!$I$210,),0),R267/(1+IFERROR(INDEX(R$10:R$11,Предпосылки!$I$211,),0))*IFERROR(INDEX(R$10:R$11,Предпосылки!$I$211,),0),R290/(1+IFERROR(INDEX(R$10:R$11,Предпосылки!$I$212,),0))*IFERROR(INDEX(R$10:R$11,Предпосылки!$I$212,),0),R313/(1+IFERROR(INDEX(R$10:R$11,Предпосылки!$I$213,),0))*IFERROR(INDEX(R$10:R$11,Предпосылки!$I$213,),0),R336/(1+IFERROR(INDEX(R$10:R$11,Предпосылки!$I$214,),0))*IFERROR(INDEX(R$10:R$11,Предпосылки!$I$214,),0),R359/(1+IFERROR(INDEX(R$10:R$11,Предпосылки!$I$215,),0))*IFERROR(INDEX(R$10:R$11,Предпосылки!$I$215,),0),R382/(1+IFERROR(INDEX(R$10:R$11,Предпосылки!$I$216,),0))*IFERROR(INDEX(R$10:R$11,Предпосылки!$I$216,),0),R405/(1+IFERROR(INDEX(R$10:R$11,Предпосылки!$I$217,),0))*IFERROR(INDEX(R$10:R$11,Предпосылки!$I$217,),0),R428/(1+IFERROR(INDEX(R$10:R$11,Предпосылки!$I$218,),0))*IFERROR(INDEX(R$10:R$11,Предпосылки!$I$218,),0),R451/(1+IFERROR(INDEX(R$10:R$11,Предпосылки!$I$219,),0))*IFERROR(INDEX(R$10:R$11,Предпосылки!$I$219,),0),R474/(1+IFERROR(INDEX(R$10:R$11,Предпосылки!$I$220,),0))*IFERROR(INDEX(R$10:R$11,Предпосылки!$I$220,),0))</f>
        <v>0</v>
      </c>
      <c s="125">
        <f>SUM(S37/(1+IFERROR(INDEX(S$10:S$11,Предпосылки!$I$201,),0))*IFERROR(INDEX(S$10:S$11,Предпосылки!$I$201,),0),S60/(1+IFERROR(INDEX(S$10:S$11,Предпосылки!$I$202,),0))*IFERROR(INDEX(S$10:S$11,Предпосылки!$I$202,),0),S83/(1+IFERROR(INDEX(S$10:S$11,Предпосылки!$I$203,),0))*IFERROR(INDEX(S$10:S$11,Предпосылки!$I$203,),0),S106/(1+IFERROR(INDEX(S$10:S$11,Предпосылки!$I$204,),0))*IFERROR(INDEX(S$10:S$11,Предпосылки!$I$204,),0),S129/(1+IFERROR(INDEX(S$10:S$11,Предпосылки!$I$205,),0))*IFERROR(INDEX(S$10:S$11,Предпосылки!$I$205,),0),S152/(1+IFERROR(INDEX(S$10:S$11,Предпосылки!$I$206,),0))*IFERROR(INDEX(S$10:S$11,Предпосылки!$I$206,),0),S175/(1+IFERROR(INDEX(S$10:S$11,Предпосылки!$I$207,),0))*IFERROR(INDEX(S$10:S$11,Предпосылки!$I$207,),0),S198/(1+IFERROR(INDEX(S$10:S$11,Предпосылки!$I$208,),0))*IFERROR(INDEX(S$10:S$11,Предпосылки!$I$208,),0),S221/(1+IFERROR(INDEX(S$10:S$11,Предпосылки!$I$209,),0))*IFERROR(INDEX(S$10:S$11,Предпосылки!$I$209,),0),S244/(1+IFERROR(INDEX(S$10:S$11,Предпосылки!$I$210,),0))*IFERROR(INDEX(S$10:S$11,Предпосылки!$I$210,),0),S267/(1+IFERROR(INDEX(S$10:S$11,Предпосылки!$I$211,),0))*IFERROR(INDEX(S$10:S$11,Предпосылки!$I$211,),0),S290/(1+IFERROR(INDEX(S$10:S$11,Предпосылки!$I$212,),0))*IFERROR(INDEX(S$10:S$11,Предпосылки!$I$212,),0),S313/(1+IFERROR(INDEX(S$10:S$11,Предпосылки!$I$213,),0))*IFERROR(INDEX(S$10:S$11,Предпосылки!$I$213,),0),S336/(1+IFERROR(INDEX(S$10:S$11,Предпосылки!$I$214,),0))*IFERROR(INDEX(S$10:S$11,Предпосылки!$I$214,),0),S359/(1+IFERROR(INDEX(S$10:S$11,Предпосылки!$I$215,),0))*IFERROR(INDEX(S$10:S$11,Предпосылки!$I$215,),0),S382/(1+IFERROR(INDEX(S$10:S$11,Предпосылки!$I$216,),0))*IFERROR(INDEX(S$10:S$11,Предпосылки!$I$216,),0),S405/(1+IFERROR(INDEX(S$10:S$11,Предпосылки!$I$217,),0))*IFERROR(INDEX(S$10:S$11,Предпосылки!$I$217,),0),S428/(1+IFERROR(INDEX(S$10:S$11,Предпосылки!$I$218,),0))*IFERROR(INDEX(S$10:S$11,Предпосылки!$I$218,),0),S451/(1+IFERROR(INDEX(S$10:S$11,Предпосылки!$I$219,),0))*IFERROR(INDEX(S$10:S$11,Предпосылки!$I$219,),0),S474/(1+IFERROR(INDEX(S$10:S$11,Предпосылки!$I$220,),0))*IFERROR(INDEX(S$10:S$11,Предпосылки!$I$220,),0))</f>
        <v>0</v>
      </c>
      <c s="125">
        <f>SUM(T37/(1+IFERROR(INDEX(T$10:T$11,Предпосылки!$I$201,),0))*IFERROR(INDEX(T$10:T$11,Предпосылки!$I$201,),0),T60/(1+IFERROR(INDEX(T$10:T$11,Предпосылки!$I$202,),0))*IFERROR(INDEX(T$10:T$11,Предпосылки!$I$202,),0),T83/(1+IFERROR(INDEX(T$10:T$11,Предпосылки!$I$203,),0))*IFERROR(INDEX(T$10:T$11,Предпосылки!$I$203,),0),T106/(1+IFERROR(INDEX(T$10:T$11,Предпосылки!$I$204,),0))*IFERROR(INDEX(T$10:T$11,Предпосылки!$I$204,),0),T129/(1+IFERROR(INDEX(T$10:T$11,Предпосылки!$I$205,),0))*IFERROR(INDEX(T$10:T$11,Предпосылки!$I$205,),0),T152/(1+IFERROR(INDEX(T$10:T$11,Предпосылки!$I$206,),0))*IFERROR(INDEX(T$10:T$11,Предпосылки!$I$206,),0),T175/(1+IFERROR(INDEX(T$10:T$11,Предпосылки!$I$207,),0))*IFERROR(INDEX(T$10:T$11,Предпосылки!$I$207,),0),T198/(1+IFERROR(INDEX(T$10:T$11,Предпосылки!$I$208,),0))*IFERROR(INDEX(T$10:T$11,Предпосылки!$I$208,),0),T221/(1+IFERROR(INDEX(T$10:T$11,Предпосылки!$I$209,),0))*IFERROR(INDEX(T$10:T$11,Предпосылки!$I$209,),0),T244/(1+IFERROR(INDEX(T$10:T$11,Предпосылки!$I$210,),0))*IFERROR(INDEX(T$10:T$11,Предпосылки!$I$210,),0),T267/(1+IFERROR(INDEX(T$10:T$11,Предпосылки!$I$211,),0))*IFERROR(INDEX(T$10:T$11,Предпосылки!$I$211,),0),T290/(1+IFERROR(INDEX(T$10:T$11,Предпосылки!$I$212,),0))*IFERROR(INDEX(T$10:T$11,Предпосылки!$I$212,),0),T313/(1+IFERROR(INDEX(T$10:T$11,Предпосылки!$I$213,),0))*IFERROR(INDEX(T$10:T$11,Предпосылки!$I$213,),0),T336/(1+IFERROR(INDEX(T$10:T$11,Предпосылки!$I$214,),0))*IFERROR(INDEX(T$10:T$11,Предпосылки!$I$214,),0),T359/(1+IFERROR(INDEX(T$10:T$11,Предпосылки!$I$215,),0))*IFERROR(INDEX(T$10:T$11,Предпосылки!$I$215,),0),T382/(1+IFERROR(INDEX(T$10:T$11,Предпосылки!$I$216,),0))*IFERROR(INDEX(T$10:T$11,Предпосылки!$I$216,),0),T405/(1+IFERROR(INDEX(T$10:T$11,Предпосылки!$I$217,),0))*IFERROR(INDEX(T$10:T$11,Предпосылки!$I$217,),0),T428/(1+IFERROR(INDEX(T$10:T$11,Предпосылки!$I$218,),0))*IFERROR(INDEX(T$10:T$11,Предпосылки!$I$218,),0),T451/(1+IFERROR(INDEX(T$10:T$11,Предпосылки!$I$219,),0))*IFERROR(INDEX(T$10:T$11,Предпосылки!$I$219,),0),T474/(1+IFERROR(INDEX(T$10:T$11,Предпосылки!$I$220,),0))*IFERROR(INDEX(T$10:T$11,Предпосылки!$I$220,),0))</f>
        <v>0</v>
      </c>
      <c s="125">
        <f>SUM(U37/(1+IFERROR(INDEX(U$10:U$11,Предпосылки!$I$201,),0))*IFERROR(INDEX(U$10:U$11,Предпосылки!$I$201,),0),U60/(1+IFERROR(INDEX(U$10:U$11,Предпосылки!$I$202,),0))*IFERROR(INDEX(U$10:U$11,Предпосылки!$I$202,),0),U83/(1+IFERROR(INDEX(U$10:U$11,Предпосылки!$I$203,),0))*IFERROR(INDEX(U$10:U$11,Предпосылки!$I$203,),0),U106/(1+IFERROR(INDEX(U$10:U$11,Предпосылки!$I$204,),0))*IFERROR(INDEX(U$10:U$11,Предпосылки!$I$204,),0),U129/(1+IFERROR(INDEX(U$10:U$11,Предпосылки!$I$205,),0))*IFERROR(INDEX(U$10:U$11,Предпосылки!$I$205,),0),U152/(1+IFERROR(INDEX(U$10:U$11,Предпосылки!$I$206,),0))*IFERROR(INDEX(U$10:U$11,Предпосылки!$I$206,),0),U175/(1+IFERROR(INDEX(U$10:U$11,Предпосылки!$I$207,),0))*IFERROR(INDEX(U$10:U$11,Предпосылки!$I$207,),0),U198/(1+IFERROR(INDEX(U$10:U$11,Предпосылки!$I$208,),0))*IFERROR(INDEX(U$10:U$11,Предпосылки!$I$208,),0),U221/(1+IFERROR(INDEX(U$10:U$11,Предпосылки!$I$209,),0))*IFERROR(INDEX(U$10:U$11,Предпосылки!$I$209,),0),U244/(1+IFERROR(INDEX(U$10:U$11,Предпосылки!$I$210,),0))*IFERROR(INDEX(U$10:U$11,Предпосылки!$I$210,),0),U267/(1+IFERROR(INDEX(U$10:U$11,Предпосылки!$I$211,),0))*IFERROR(INDEX(U$10:U$11,Предпосылки!$I$211,),0),U290/(1+IFERROR(INDEX(U$10:U$11,Предпосылки!$I$212,),0))*IFERROR(INDEX(U$10:U$11,Предпосылки!$I$212,),0),U313/(1+IFERROR(INDEX(U$10:U$11,Предпосылки!$I$213,),0))*IFERROR(INDEX(U$10:U$11,Предпосылки!$I$213,),0),U336/(1+IFERROR(INDEX(U$10:U$11,Предпосылки!$I$214,),0))*IFERROR(INDEX(U$10:U$11,Предпосылки!$I$214,),0),U359/(1+IFERROR(INDEX(U$10:U$11,Предпосылки!$I$215,),0))*IFERROR(INDEX(U$10:U$11,Предпосылки!$I$215,),0),U382/(1+IFERROR(INDEX(U$10:U$11,Предпосылки!$I$216,),0))*IFERROR(INDEX(U$10:U$11,Предпосылки!$I$216,),0),U405/(1+IFERROR(INDEX(U$10:U$11,Предпосылки!$I$217,),0))*IFERROR(INDEX(U$10:U$11,Предпосылки!$I$217,),0),U428/(1+IFERROR(INDEX(U$10:U$11,Предпосылки!$I$218,),0))*IFERROR(INDEX(U$10:U$11,Предпосылки!$I$218,),0),U451/(1+IFERROR(INDEX(U$10:U$11,Предпосылки!$I$219,),0))*IFERROR(INDEX(U$10:U$11,Предпосылки!$I$219,),0),U474/(1+IFERROR(INDEX(U$10:U$11,Предпосылки!$I$220,),0))*IFERROR(INDEX(U$10:U$11,Предпосылки!$I$220,),0))</f>
        <v>0</v>
      </c>
      <c s="125">
        <f>SUM(V37/(1+IFERROR(INDEX(V$10:V$11,Предпосылки!$I$201,),0))*IFERROR(INDEX(V$10:V$11,Предпосылки!$I$201,),0),V60/(1+IFERROR(INDEX(V$10:V$11,Предпосылки!$I$202,),0))*IFERROR(INDEX(V$10:V$11,Предпосылки!$I$202,),0),V83/(1+IFERROR(INDEX(V$10:V$11,Предпосылки!$I$203,),0))*IFERROR(INDEX(V$10:V$11,Предпосылки!$I$203,),0),V106/(1+IFERROR(INDEX(V$10:V$11,Предпосылки!$I$204,),0))*IFERROR(INDEX(V$10:V$11,Предпосылки!$I$204,),0),V129/(1+IFERROR(INDEX(V$10:V$11,Предпосылки!$I$205,),0))*IFERROR(INDEX(V$10:V$11,Предпосылки!$I$205,),0),V152/(1+IFERROR(INDEX(V$10:V$11,Предпосылки!$I$206,),0))*IFERROR(INDEX(V$10:V$11,Предпосылки!$I$206,),0),V175/(1+IFERROR(INDEX(V$10:V$11,Предпосылки!$I$207,),0))*IFERROR(INDEX(V$10:V$11,Предпосылки!$I$207,),0),V198/(1+IFERROR(INDEX(V$10:V$11,Предпосылки!$I$208,),0))*IFERROR(INDEX(V$10:V$11,Предпосылки!$I$208,),0),V221/(1+IFERROR(INDEX(V$10:V$11,Предпосылки!$I$209,),0))*IFERROR(INDEX(V$10:V$11,Предпосылки!$I$209,),0),V244/(1+IFERROR(INDEX(V$10:V$11,Предпосылки!$I$210,),0))*IFERROR(INDEX(V$10:V$11,Предпосылки!$I$210,),0),V267/(1+IFERROR(INDEX(V$10:V$11,Предпосылки!$I$211,),0))*IFERROR(INDEX(V$10:V$11,Предпосылки!$I$211,),0),V290/(1+IFERROR(INDEX(V$10:V$11,Предпосылки!$I$212,),0))*IFERROR(INDEX(V$10:V$11,Предпосылки!$I$212,),0),V313/(1+IFERROR(INDEX(V$10:V$11,Предпосылки!$I$213,),0))*IFERROR(INDEX(V$10:V$11,Предпосылки!$I$213,),0),V336/(1+IFERROR(INDEX(V$10:V$11,Предпосылки!$I$214,),0))*IFERROR(INDEX(V$10:V$11,Предпосылки!$I$214,),0),V359/(1+IFERROR(INDEX(V$10:V$11,Предпосылки!$I$215,),0))*IFERROR(INDEX(V$10:V$11,Предпосылки!$I$215,),0),V382/(1+IFERROR(INDEX(V$10:V$11,Предпосылки!$I$216,),0))*IFERROR(INDEX(V$10:V$11,Предпосылки!$I$216,),0),V405/(1+IFERROR(INDEX(V$10:V$11,Предпосылки!$I$217,),0))*IFERROR(INDEX(V$10:V$11,Предпосылки!$I$217,),0),V428/(1+IFERROR(INDEX(V$10:V$11,Предпосылки!$I$218,),0))*IFERROR(INDEX(V$10:V$11,Предпосылки!$I$218,),0),V451/(1+IFERROR(INDEX(V$10:V$11,Предпосылки!$I$219,),0))*IFERROR(INDEX(V$10:V$11,Предпосылки!$I$219,),0),V474/(1+IFERROR(INDEX(V$10:V$11,Предпосылки!$I$220,),0))*IFERROR(INDEX(V$10:V$11,Предпосылки!$I$220,),0))</f>
        <v>0</v>
      </c>
      <c s="125">
        <f>SUM(W37/(1+IFERROR(INDEX(W$10:W$11,Предпосылки!$I$201,),0))*IFERROR(INDEX(W$10:W$11,Предпосылки!$I$201,),0),W60/(1+IFERROR(INDEX(W$10:W$11,Предпосылки!$I$202,),0))*IFERROR(INDEX(W$10:W$11,Предпосылки!$I$202,),0),W83/(1+IFERROR(INDEX(W$10:W$11,Предпосылки!$I$203,),0))*IFERROR(INDEX(W$10:W$11,Предпосылки!$I$203,),0),W106/(1+IFERROR(INDEX(W$10:W$11,Предпосылки!$I$204,),0))*IFERROR(INDEX(W$10:W$11,Предпосылки!$I$204,),0),W129/(1+IFERROR(INDEX(W$10:W$11,Предпосылки!$I$205,),0))*IFERROR(INDEX(W$10:W$11,Предпосылки!$I$205,),0),W152/(1+IFERROR(INDEX(W$10:W$11,Предпосылки!$I$206,),0))*IFERROR(INDEX(W$10:W$11,Предпосылки!$I$206,),0),W175/(1+IFERROR(INDEX(W$10:W$11,Предпосылки!$I$207,),0))*IFERROR(INDEX(W$10:W$11,Предпосылки!$I$207,),0),W198/(1+IFERROR(INDEX(W$10:W$11,Предпосылки!$I$208,),0))*IFERROR(INDEX(W$10:W$11,Предпосылки!$I$208,),0),W221/(1+IFERROR(INDEX(W$10:W$11,Предпосылки!$I$209,),0))*IFERROR(INDEX(W$10:W$11,Предпосылки!$I$209,),0),W244/(1+IFERROR(INDEX(W$10:W$11,Предпосылки!$I$210,),0))*IFERROR(INDEX(W$10:W$11,Предпосылки!$I$210,),0),W267/(1+IFERROR(INDEX(W$10:W$11,Предпосылки!$I$211,),0))*IFERROR(INDEX(W$10:W$11,Предпосылки!$I$211,),0),W290/(1+IFERROR(INDEX(W$10:W$11,Предпосылки!$I$212,),0))*IFERROR(INDEX(W$10:W$11,Предпосылки!$I$212,),0),W313/(1+IFERROR(INDEX(W$10:W$11,Предпосылки!$I$213,),0))*IFERROR(INDEX(W$10:W$11,Предпосылки!$I$213,),0),W336/(1+IFERROR(INDEX(W$10:W$11,Предпосылки!$I$214,),0))*IFERROR(INDEX(W$10:W$11,Предпосылки!$I$214,),0),W359/(1+IFERROR(INDEX(W$10:W$11,Предпосылки!$I$215,),0))*IFERROR(INDEX(W$10:W$11,Предпосылки!$I$215,),0),W382/(1+IFERROR(INDEX(W$10:W$11,Предпосылки!$I$216,),0))*IFERROR(INDEX(W$10:W$11,Предпосылки!$I$216,),0),W405/(1+IFERROR(INDEX(W$10:W$11,Предпосылки!$I$217,),0))*IFERROR(INDEX(W$10:W$11,Предпосылки!$I$217,),0),W428/(1+IFERROR(INDEX(W$10:W$11,Предпосылки!$I$218,),0))*IFERROR(INDEX(W$10:W$11,Предпосылки!$I$218,),0),W451/(1+IFERROR(INDEX(W$10:W$11,Предпосылки!$I$219,),0))*IFERROR(INDEX(W$10:W$11,Предпосылки!$I$219,),0),W474/(1+IFERROR(INDEX(W$10:W$11,Предпосылки!$I$220,),0))*IFERROR(INDEX(W$10:W$11,Предпосылки!$I$220,),0))</f>
        <v>0</v>
      </c>
      <c s="125">
        <f>SUM(X37/(1+IFERROR(INDEX(X$10:X$11,Предпосылки!$I$201,),0))*IFERROR(INDEX(X$10:X$11,Предпосылки!$I$201,),0),X60/(1+IFERROR(INDEX(X$10:X$11,Предпосылки!$I$202,),0))*IFERROR(INDEX(X$10:X$11,Предпосылки!$I$202,),0),X83/(1+IFERROR(INDEX(X$10:X$11,Предпосылки!$I$203,),0))*IFERROR(INDEX(X$10:X$11,Предпосылки!$I$203,),0),X106/(1+IFERROR(INDEX(X$10:X$11,Предпосылки!$I$204,),0))*IFERROR(INDEX(X$10:X$11,Предпосылки!$I$204,),0),X129/(1+IFERROR(INDEX(X$10:X$11,Предпосылки!$I$205,),0))*IFERROR(INDEX(X$10:X$11,Предпосылки!$I$205,),0),X152/(1+IFERROR(INDEX(X$10:X$11,Предпосылки!$I$206,),0))*IFERROR(INDEX(X$10:X$11,Предпосылки!$I$206,),0),X175/(1+IFERROR(INDEX(X$10:X$11,Предпосылки!$I$207,),0))*IFERROR(INDEX(X$10:X$11,Предпосылки!$I$207,),0),X198/(1+IFERROR(INDEX(X$10:X$11,Предпосылки!$I$208,),0))*IFERROR(INDEX(X$10:X$11,Предпосылки!$I$208,),0),X221/(1+IFERROR(INDEX(X$10:X$11,Предпосылки!$I$209,),0))*IFERROR(INDEX(X$10:X$11,Предпосылки!$I$209,),0),X244/(1+IFERROR(INDEX(X$10:X$11,Предпосылки!$I$210,),0))*IFERROR(INDEX(X$10:X$11,Предпосылки!$I$210,),0),X267/(1+IFERROR(INDEX(X$10:X$11,Предпосылки!$I$211,),0))*IFERROR(INDEX(X$10:X$11,Предпосылки!$I$211,),0),X290/(1+IFERROR(INDEX(X$10:X$11,Предпосылки!$I$212,),0))*IFERROR(INDEX(X$10:X$11,Предпосылки!$I$212,),0),X313/(1+IFERROR(INDEX(X$10:X$11,Предпосылки!$I$213,),0))*IFERROR(INDEX(X$10:X$11,Предпосылки!$I$213,),0),X336/(1+IFERROR(INDEX(X$10:X$11,Предпосылки!$I$214,),0))*IFERROR(INDEX(X$10:X$11,Предпосылки!$I$214,),0),X359/(1+IFERROR(INDEX(X$10:X$11,Предпосылки!$I$215,),0))*IFERROR(INDEX(X$10:X$11,Предпосылки!$I$215,),0),X382/(1+IFERROR(INDEX(X$10:X$11,Предпосылки!$I$216,),0))*IFERROR(INDEX(X$10:X$11,Предпосылки!$I$216,),0),X405/(1+IFERROR(INDEX(X$10:X$11,Предпосылки!$I$217,),0))*IFERROR(INDEX(X$10:X$11,Предпосылки!$I$217,),0),X428/(1+IFERROR(INDEX(X$10:X$11,Предпосылки!$I$218,),0))*IFERROR(INDEX(X$10:X$11,Предпосылки!$I$218,),0),X451/(1+IFERROR(INDEX(X$10:X$11,Предпосылки!$I$219,),0))*IFERROR(INDEX(X$10:X$11,Предпосылки!$I$219,),0),X474/(1+IFERROR(INDEX(X$10:X$11,Предпосылки!$I$220,),0))*IFERROR(INDEX(X$10:X$11,Предпосылки!$I$220,),0))</f>
        <v>0</v>
      </c>
      <c s="125">
        <f>SUM(Y37/(1+IFERROR(INDEX(Y$10:Y$11,Предпосылки!$I$201,),0))*IFERROR(INDEX(Y$10:Y$11,Предпосылки!$I$201,),0),Y60/(1+IFERROR(INDEX(Y$10:Y$11,Предпосылки!$I$202,),0))*IFERROR(INDEX(Y$10:Y$11,Предпосылки!$I$202,),0),Y83/(1+IFERROR(INDEX(Y$10:Y$11,Предпосылки!$I$203,),0))*IFERROR(INDEX(Y$10:Y$11,Предпосылки!$I$203,),0),Y106/(1+IFERROR(INDEX(Y$10:Y$11,Предпосылки!$I$204,),0))*IFERROR(INDEX(Y$10:Y$11,Предпосылки!$I$204,),0),Y129/(1+IFERROR(INDEX(Y$10:Y$11,Предпосылки!$I$205,),0))*IFERROR(INDEX(Y$10:Y$11,Предпосылки!$I$205,),0),Y152/(1+IFERROR(INDEX(Y$10:Y$11,Предпосылки!$I$206,),0))*IFERROR(INDEX(Y$10:Y$11,Предпосылки!$I$206,),0),Y175/(1+IFERROR(INDEX(Y$10:Y$11,Предпосылки!$I$207,),0))*IFERROR(INDEX(Y$10:Y$11,Предпосылки!$I$207,),0),Y198/(1+IFERROR(INDEX(Y$10:Y$11,Предпосылки!$I$208,),0))*IFERROR(INDEX(Y$10:Y$11,Предпосылки!$I$208,),0),Y221/(1+IFERROR(INDEX(Y$10:Y$11,Предпосылки!$I$209,),0))*IFERROR(INDEX(Y$10:Y$11,Предпосылки!$I$209,),0),Y244/(1+IFERROR(INDEX(Y$10:Y$11,Предпосылки!$I$210,),0))*IFERROR(INDEX(Y$10:Y$11,Предпосылки!$I$210,),0),Y267/(1+IFERROR(INDEX(Y$10:Y$11,Предпосылки!$I$211,),0))*IFERROR(INDEX(Y$10:Y$11,Предпосылки!$I$211,),0),Y290/(1+IFERROR(INDEX(Y$10:Y$11,Предпосылки!$I$212,),0))*IFERROR(INDEX(Y$10:Y$11,Предпосылки!$I$212,),0),Y313/(1+IFERROR(INDEX(Y$10:Y$11,Предпосылки!$I$213,),0))*IFERROR(INDEX(Y$10:Y$11,Предпосылки!$I$213,),0),Y336/(1+IFERROR(INDEX(Y$10:Y$11,Предпосылки!$I$214,),0))*IFERROR(INDEX(Y$10:Y$11,Предпосылки!$I$214,),0),Y359/(1+IFERROR(INDEX(Y$10:Y$11,Предпосылки!$I$215,),0))*IFERROR(INDEX(Y$10:Y$11,Предпосылки!$I$215,),0),Y382/(1+IFERROR(INDEX(Y$10:Y$11,Предпосылки!$I$216,),0))*IFERROR(INDEX(Y$10:Y$11,Предпосылки!$I$216,),0),Y405/(1+IFERROR(INDEX(Y$10:Y$11,Предпосылки!$I$217,),0))*IFERROR(INDEX(Y$10:Y$11,Предпосылки!$I$217,),0),Y428/(1+IFERROR(INDEX(Y$10:Y$11,Предпосылки!$I$218,),0))*IFERROR(INDEX(Y$10:Y$11,Предпосылки!$I$218,),0),Y451/(1+IFERROR(INDEX(Y$10:Y$11,Предпосылки!$I$219,),0))*IFERROR(INDEX(Y$10:Y$11,Предпосылки!$I$219,),0),Y474/(1+IFERROR(INDEX(Y$10:Y$11,Предпосылки!$I$220,),0))*IFERROR(INDEX(Y$10:Y$11,Предпосылки!$I$220,),0))</f>
        <v>0</v>
      </c>
      <c s="125">
        <f>SUM(Z37/(1+IFERROR(INDEX(Z$10:Z$11,Предпосылки!$I$201,),0))*IFERROR(INDEX(Z$10:Z$11,Предпосылки!$I$201,),0),Z60/(1+IFERROR(INDEX(Z$10:Z$11,Предпосылки!$I$202,),0))*IFERROR(INDEX(Z$10:Z$11,Предпосылки!$I$202,),0),Z83/(1+IFERROR(INDEX(Z$10:Z$11,Предпосылки!$I$203,),0))*IFERROR(INDEX(Z$10:Z$11,Предпосылки!$I$203,),0),Z106/(1+IFERROR(INDEX(Z$10:Z$11,Предпосылки!$I$204,),0))*IFERROR(INDEX(Z$10:Z$11,Предпосылки!$I$204,),0),Z129/(1+IFERROR(INDEX(Z$10:Z$11,Предпосылки!$I$205,),0))*IFERROR(INDEX(Z$10:Z$11,Предпосылки!$I$205,),0),Z152/(1+IFERROR(INDEX(Z$10:Z$11,Предпосылки!$I$206,),0))*IFERROR(INDEX(Z$10:Z$11,Предпосылки!$I$206,),0),Z175/(1+IFERROR(INDEX(Z$10:Z$11,Предпосылки!$I$207,),0))*IFERROR(INDEX(Z$10:Z$11,Предпосылки!$I$207,),0),Z198/(1+IFERROR(INDEX(Z$10:Z$11,Предпосылки!$I$208,),0))*IFERROR(INDEX(Z$10:Z$11,Предпосылки!$I$208,),0),Z221/(1+IFERROR(INDEX(Z$10:Z$11,Предпосылки!$I$209,),0))*IFERROR(INDEX(Z$10:Z$11,Предпосылки!$I$209,),0),Z244/(1+IFERROR(INDEX(Z$10:Z$11,Предпосылки!$I$210,),0))*IFERROR(INDEX(Z$10:Z$11,Предпосылки!$I$210,),0),Z267/(1+IFERROR(INDEX(Z$10:Z$11,Предпосылки!$I$211,),0))*IFERROR(INDEX(Z$10:Z$11,Предпосылки!$I$211,),0),Z290/(1+IFERROR(INDEX(Z$10:Z$11,Предпосылки!$I$212,),0))*IFERROR(INDEX(Z$10:Z$11,Предпосылки!$I$212,),0),Z313/(1+IFERROR(INDEX(Z$10:Z$11,Предпосылки!$I$213,),0))*IFERROR(INDEX(Z$10:Z$11,Предпосылки!$I$213,),0),Z336/(1+IFERROR(INDEX(Z$10:Z$11,Предпосылки!$I$214,),0))*IFERROR(INDEX(Z$10:Z$11,Предпосылки!$I$214,),0),Z359/(1+IFERROR(INDEX(Z$10:Z$11,Предпосылки!$I$215,),0))*IFERROR(INDEX(Z$10:Z$11,Предпосылки!$I$215,),0),Z382/(1+IFERROR(INDEX(Z$10:Z$11,Предпосылки!$I$216,),0))*IFERROR(INDEX(Z$10:Z$11,Предпосылки!$I$216,),0),Z405/(1+IFERROR(INDEX(Z$10:Z$11,Предпосылки!$I$217,),0))*IFERROR(INDEX(Z$10:Z$11,Предпосылки!$I$217,),0),Z428/(1+IFERROR(INDEX(Z$10:Z$11,Предпосылки!$I$218,),0))*IFERROR(INDEX(Z$10:Z$11,Предпосылки!$I$218,),0),Z451/(1+IFERROR(INDEX(Z$10:Z$11,Предпосылки!$I$219,),0))*IFERROR(INDEX(Z$10:Z$11,Предпосылки!$I$219,),0),Z474/(1+IFERROR(INDEX(Z$10:Z$11,Предпосылки!$I$220,),0))*IFERROR(INDEX(Z$10:Z$11,Предпосылки!$I$220,),0))</f>
        <v>0</v>
      </c>
      <c s="125">
        <f>SUM(AA37/(1+IFERROR(INDEX(AA$10:AA$11,Предпосылки!$I$201,),0))*IFERROR(INDEX(AA$10:AA$11,Предпосылки!$I$201,),0),AA60/(1+IFERROR(INDEX(AA$10:AA$11,Предпосылки!$I$202,),0))*IFERROR(INDEX(AA$10:AA$11,Предпосылки!$I$202,),0),AA83/(1+IFERROR(INDEX(AA$10:AA$11,Предпосылки!$I$203,),0))*IFERROR(INDEX(AA$10:AA$11,Предпосылки!$I$203,),0),AA106/(1+IFERROR(INDEX(AA$10:AA$11,Предпосылки!$I$204,),0))*IFERROR(INDEX(AA$10:AA$11,Предпосылки!$I$204,),0),AA129/(1+IFERROR(INDEX(AA$10:AA$11,Предпосылки!$I$205,),0))*IFERROR(INDEX(AA$10:AA$11,Предпосылки!$I$205,),0),AA152/(1+IFERROR(INDEX(AA$10:AA$11,Предпосылки!$I$206,),0))*IFERROR(INDEX(AA$10:AA$11,Предпосылки!$I$206,),0),AA175/(1+IFERROR(INDEX(AA$10:AA$11,Предпосылки!$I$207,),0))*IFERROR(INDEX(AA$10:AA$11,Предпосылки!$I$207,),0),AA198/(1+IFERROR(INDEX(AA$10:AA$11,Предпосылки!$I$208,),0))*IFERROR(INDEX(AA$10:AA$11,Предпосылки!$I$208,),0),AA221/(1+IFERROR(INDEX(AA$10:AA$11,Предпосылки!$I$209,),0))*IFERROR(INDEX(AA$10:AA$11,Предпосылки!$I$209,),0),AA244/(1+IFERROR(INDEX(AA$10:AA$11,Предпосылки!$I$210,),0))*IFERROR(INDEX(AA$10:AA$11,Предпосылки!$I$210,),0),AA267/(1+IFERROR(INDEX(AA$10:AA$11,Предпосылки!$I$211,),0))*IFERROR(INDEX(AA$10:AA$11,Предпосылки!$I$211,),0),AA290/(1+IFERROR(INDEX(AA$10:AA$11,Предпосылки!$I$212,),0))*IFERROR(INDEX(AA$10:AA$11,Предпосылки!$I$212,),0),AA313/(1+IFERROR(INDEX(AA$10:AA$11,Предпосылки!$I$213,),0))*IFERROR(INDEX(AA$10:AA$11,Предпосылки!$I$213,),0),AA336/(1+IFERROR(INDEX(AA$10:AA$11,Предпосылки!$I$214,),0))*IFERROR(INDEX(AA$10:AA$11,Предпосылки!$I$214,),0),AA359/(1+IFERROR(INDEX(AA$10:AA$11,Предпосылки!$I$215,),0))*IFERROR(INDEX(AA$10:AA$11,Предпосылки!$I$215,),0),AA382/(1+IFERROR(INDEX(AA$10:AA$11,Предпосылки!$I$216,),0))*IFERROR(INDEX(AA$10:AA$11,Предпосылки!$I$216,),0),AA405/(1+IFERROR(INDEX(AA$10:AA$11,Предпосылки!$I$217,),0))*IFERROR(INDEX(AA$10:AA$11,Предпосылки!$I$217,),0),AA428/(1+IFERROR(INDEX(AA$10:AA$11,Предпосылки!$I$218,),0))*IFERROR(INDEX(AA$10:AA$11,Предпосылки!$I$218,),0),AA451/(1+IFERROR(INDEX(AA$10:AA$11,Предпосылки!$I$219,),0))*IFERROR(INDEX(AA$10:AA$11,Предпосылки!$I$219,),0),AA474/(1+IFERROR(INDEX(AA$10:AA$11,Предпосылки!$I$220,),0))*IFERROR(INDEX(AA$10:AA$11,Предпосылки!$I$220,),0))</f>
        <v>0</v>
      </c>
      <c s="125">
        <f>SUM(AB37/(1+IFERROR(INDEX(AB$10:AB$11,Предпосылки!$I$201,),0))*IFERROR(INDEX(AB$10:AB$11,Предпосылки!$I$201,),0),AB60/(1+IFERROR(INDEX(AB$10:AB$11,Предпосылки!$I$202,),0))*IFERROR(INDEX(AB$10:AB$11,Предпосылки!$I$202,),0),AB83/(1+IFERROR(INDEX(AB$10:AB$11,Предпосылки!$I$203,),0))*IFERROR(INDEX(AB$10:AB$11,Предпосылки!$I$203,),0),AB106/(1+IFERROR(INDEX(AB$10:AB$11,Предпосылки!$I$204,),0))*IFERROR(INDEX(AB$10:AB$11,Предпосылки!$I$204,),0),AB129/(1+IFERROR(INDEX(AB$10:AB$11,Предпосылки!$I$205,),0))*IFERROR(INDEX(AB$10:AB$11,Предпосылки!$I$205,),0),AB152/(1+IFERROR(INDEX(AB$10:AB$11,Предпосылки!$I$206,),0))*IFERROR(INDEX(AB$10:AB$11,Предпосылки!$I$206,),0),AB175/(1+IFERROR(INDEX(AB$10:AB$11,Предпосылки!$I$207,),0))*IFERROR(INDEX(AB$10:AB$11,Предпосылки!$I$207,),0),AB198/(1+IFERROR(INDEX(AB$10:AB$11,Предпосылки!$I$208,),0))*IFERROR(INDEX(AB$10:AB$11,Предпосылки!$I$208,),0),AB221/(1+IFERROR(INDEX(AB$10:AB$11,Предпосылки!$I$209,),0))*IFERROR(INDEX(AB$10:AB$11,Предпосылки!$I$209,),0),AB244/(1+IFERROR(INDEX(AB$10:AB$11,Предпосылки!$I$210,),0))*IFERROR(INDEX(AB$10:AB$11,Предпосылки!$I$210,),0),AB267/(1+IFERROR(INDEX(AB$10:AB$11,Предпосылки!$I$211,),0))*IFERROR(INDEX(AB$10:AB$11,Предпосылки!$I$211,),0),AB290/(1+IFERROR(INDEX(AB$10:AB$11,Предпосылки!$I$212,),0))*IFERROR(INDEX(AB$10:AB$11,Предпосылки!$I$212,),0),AB313/(1+IFERROR(INDEX(AB$10:AB$11,Предпосылки!$I$213,),0))*IFERROR(INDEX(AB$10:AB$11,Предпосылки!$I$213,),0),AB336/(1+IFERROR(INDEX(AB$10:AB$11,Предпосылки!$I$214,),0))*IFERROR(INDEX(AB$10:AB$11,Предпосылки!$I$214,),0),AB359/(1+IFERROR(INDEX(AB$10:AB$11,Предпосылки!$I$215,),0))*IFERROR(INDEX(AB$10:AB$11,Предпосылки!$I$215,),0),AB382/(1+IFERROR(INDEX(AB$10:AB$11,Предпосылки!$I$216,),0))*IFERROR(INDEX(AB$10:AB$11,Предпосылки!$I$216,),0),AB405/(1+IFERROR(INDEX(AB$10:AB$11,Предпосылки!$I$217,),0))*IFERROR(INDEX(AB$10:AB$11,Предпосылки!$I$217,),0),AB428/(1+IFERROR(INDEX(AB$10:AB$11,Предпосылки!$I$218,),0))*IFERROR(INDEX(AB$10:AB$11,Предпосылки!$I$218,),0),AB451/(1+IFERROR(INDEX(AB$10:AB$11,Предпосылки!$I$219,),0))*IFERROR(INDEX(AB$10:AB$11,Предпосылки!$I$219,),0),AB474/(1+IFERROR(INDEX(AB$10:AB$11,Предпосылки!$I$220,),0))*IFERROR(INDEX(AB$10:AB$11,Предпосылки!$I$220,),0))</f>
        <v>0</v>
      </c>
      <c s="125">
        <f>SUM(AC37/(1+IFERROR(INDEX(AC$10:AC$11,Предпосылки!$I$201,),0))*IFERROR(INDEX(AC$10:AC$11,Предпосылки!$I$201,),0),AC60/(1+IFERROR(INDEX(AC$10:AC$11,Предпосылки!$I$202,),0))*IFERROR(INDEX(AC$10:AC$11,Предпосылки!$I$202,),0),AC83/(1+IFERROR(INDEX(AC$10:AC$11,Предпосылки!$I$203,),0))*IFERROR(INDEX(AC$10:AC$11,Предпосылки!$I$203,),0),AC106/(1+IFERROR(INDEX(AC$10:AC$11,Предпосылки!$I$204,),0))*IFERROR(INDEX(AC$10:AC$11,Предпосылки!$I$204,),0),AC129/(1+IFERROR(INDEX(AC$10:AC$11,Предпосылки!$I$205,),0))*IFERROR(INDEX(AC$10:AC$11,Предпосылки!$I$205,),0),AC152/(1+IFERROR(INDEX(AC$10:AC$11,Предпосылки!$I$206,),0))*IFERROR(INDEX(AC$10:AC$11,Предпосылки!$I$206,),0),AC175/(1+IFERROR(INDEX(AC$10:AC$11,Предпосылки!$I$207,),0))*IFERROR(INDEX(AC$10:AC$11,Предпосылки!$I$207,),0),AC198/(1+IFERROR(INDEX(AC$10:AC$11,Предпосылки!$I$208,),0))*IFERROR(INDEX(AC$10:AC$11,Предпосылки!$I$208,),0),AC221/(1+IFERROR(INDEX(AC$10:AC$11,Предпосылки!$I$209,),0))*IFERROR(INDEX(AC$10:AC$11,Предпосылки!$I$209,),0),AC244/(1+IFERROR(INDEX(AC$10:AC$11,Предпосылки!$I$210,),0))*IFERROR(INDEX(AC$10:AC$11,Предпосылки!$I$210,),0),AC267/(1+IFERROR(INDEX(AC$10:AC$11,Предпосылки!$I$211,),0))*IFERROR(INDEX(AC$10:AC$11,Предпосылки!$I$211,),0),AC290/(1+IFERROR(INDEX(AC$10:AC$11,Предпосылки!$I$212,),0))*IFERROR(INDEX(AC$10:AC$11,Предпосылки!$I$212,),0),AC313/(1+IFERROR(INDEX(AC$10:AC$11,Предпосылки!$I$213,),0))*IFERROR(INDEX(AC$10:AC$11,Предпосылки!$I$213,),0),AC336/(1+IFERROR(INDEX(AC$10:AC$11,Предпосылки!$I$214,),0))*IFERROR(INDEX(AC$10:AC$11,Предпосылки!$I$214,),0),AC359/(1+IFERROR(INDEX(AC$10:AC$11,Предпосылки!$I$215,),0))*IFERROR(INDEX(AC$10:AC$11,Предпосылки!$I$215,),0),AC382/(1+IFERROR(INDEX(AC$10:AC$11,Предпосылки!$I$216,),0))*IFERROR(INDEX(AC$10:AC$11,Предпосылки!$I$216,),0),AC405/(1+IFERROR(INDEX(AC$10:AC$11,Предпосылки!$I$217,),0))*IFERROR(INDEX(AC$10:AC$11,Предпосылки!$I$217,),0),AC428/(1+IFERROR(INDEX(AC$10:AC$11,Предпосылки!$I$218,),0))*IFERROR(INDEX(AC$10:AC$11,Предпосылки!$I$218,),0),AC451/(1+IFERROR(INDEX(AC$10:AC$11,Предпосылки!$I$219,),0))*IFERROR(INDEX(AC$10:AC$11,Предпосылки!$I$219,),0),AC474/(1+IFERROR(INDEX(AC$10:AC$11,Предпосылки!$I$220,),0))*IFERROR(INDEX(AC$10:AC$11,Предпосылки!$I$220,),0))</f>
        <v>0</v>
      </c>
      <c s="125">
        <f>SUM(AD37/(1+IFERROR(INDEX(AD$10:AD$11,Предпосылки!$I$201,),0))*IFERROR(INDEX(AD$10:AD$11,Предпосылки!$I$201,),0),AD60/(1+IFERROR(INDEX(AD$10:AD$11,Предпосылки!$I$202,),0))*IFERROR(INDEX(AD$10:AD$11,Предпосылки!$I$202,),0),AD83/(1+IFERROR(INDEX(AD$10:AD$11,Предпосылки!$I$203,),0))*IFERROR(INDEX(AD$10:AD$11,Предпосылки!$I$203,),0),AD106/(1+IFERROR(INDEX(AD$10:AD$11,Предпосылки!$I$204,),0))*IFERROR(INDEX(AD$10:AD$11,Предпосылки!$I$204,),0),AD129/(1+IFERROR(INDEX(AD$10:AD$11,Предпосылки!$I$205,),0))*IFERROR(INDEX(AD$10:AD$11,Предпосылки!$I$205,),0),AD152/(1+IFERROR(INDEX(AD$10:AD$11,Предпосылки!$I$206,),0))*IFERROR(INDEX(AD$10:AD$11,Предпосылки!$I$206,),0),AD175/(1+IFERROR(INDEX(AD$10:AD$11,Предпосылки!$I$207,),0))*IFERROR(INDEX(AD$10:AD$11,Предпосылки!$I$207,),0),AD198/(1+IFERROR(INDEX(AD$10:AD$11,Предпосылки!$I$208,),0))*IFERROR(INDEX(AD$10:AD$11,Предпосылки!$I$208,),0),AD221/(1+IFERROR(INDEX(AD$10:AD$11,Предпосылки!$I$209,),0))*IFERROR(INDEX(AD$10:AD$11,Предпосылки!$I$209,),0),AD244/(1+IFERROR(INDEX(AD$10:AD$11,Предпосылки!$I$210,),0))*IFERROR(INDEX(AD$10:AD$11,Предпосылки!$I$210,),0),AD267/(1+IFERROR(INDEX(AD$10:AD$11,Предпосылки!$I$211,),0))*IFERROR(INDEX(AD$10:AD$11,Предпосылки!$I$211,),0),AD290/(1+IFERROR(INDEX(AD$10:AD$11,Предпосылки!$I$212,),0))*IFERROR(INDEX(AD$10:AD$11,Предпосылки!$I$212,),0),AD313/(1+IFERROR(INDEX(AD$10:AD$11,Предпосылки!$I$213,),0))*IFERROR(INDEX(AD$10:AD$11,Предпосылки!$I$213,),0),AD336/(1+IFERROR(INDEX(AD$10:AD$11,Предпосылки!$I$214,),0))*IFERROR(INDEX(AD$10:AD$11,Предпосылки!$I$214,),0),AD359/(1+IFERROR(INDEX(AD$10:AD$11,Предпосылки!$I$215,),0))*IFERROR(INDEX(AD$10:AD$11,Предпосылки!$I$215,),0),AD382/(1+IFERROR(INDEX(AD$10:AD$11,Предпосылки!$I$216,),0))*IFERROR(INDEX(AD$10:AD$11,Предпосылки!$I$216,),0),AD405/(1+IFERROR(INDEX(AD$10:AD$11,Предпосылки!$I$217,),0))*IFERROR(INDEX(AD$10:AD$11,Предпосылки!$I$217,),0),AD428/(1+IFERROR(INDEX(AD$10:AD$11,Предпосылки!$I$218,),0))*IFERROR(INDEX(AD$10:AD$11,Предпосылки!$I$218,),0),AD451/(1+IFERROR(INDEX(AD$10:AD$11,Предпосылки!$I$219,),0))*IFERROR(INDEX(AD$10:AD$11,Предпосылки!$I$219,),0),AD474/(1+IFERROR(INDEX(AD$10:AD$11,Предпосылки!$I$220,),0))*IFERROR(INDEX(AD$10:AD$11,Предпосылки!$I$220,),0))</f>
        <v>0</v>
      </c>
      <c s="125">
        <f>SUM(AE37/(1+IFERROR(INDEX(AE$10:AE$11,Предпосылки!$I$201,),0))*IFERROR(INDEX(AE$10:AE$11,Предпосылки!$I$201,),0),AE60/(1+IFERROR(INDEX(AE$10:AE$11,Предпосылки!$I$202,),0))*IFERROR(INDEX(AE$10:AE$11,Предпосылки!$I$202,),0),AE83/(1+IFERROR(INDEX(AE$10:AE$11,Предпосылки!$I$203,),0))*IFERROR(INDEX(AE$10:AE$11,Предпосылки!$I$203,),0),AE106/(1+IFERROR(INDEX(AE$10:AE$11,Предпосылки!$I$204,),0))*IFERROR(INDEX(AE$10:AE$11,Предпосылки!$I$204,),0),AE129/(1+IFERROR(INDEX(AE$10:AE$11,Предпосылки!$I$205,),0))*IFERROR(INDEX(AE$10:AE$11,Предпосылки!$I$205,),0),AE152/(1+IFERROR(INDEX(AE$10:AE$11,Предпосылки!$I$206,),0))*IFERROR(INDEX(AE$10:AE$11,Предпосылки!$I$206,),0),AE175/(1+IFERROR(INDEX(AE$10:AE$11,Предпосылки!$I$207,),0))*IFERROR(INDEX(AE$10:AE$11,Предпосылки!$I$207,),0),AE198/(1+IFERROR(INDEX(AE$10:AE$11,Предпосылки!$I$208,),0))*IFERROR(INDEX(AE$10:AE$11,Предпосылки!$I$208,),0),AE221/(1+IFERROR(INDEX(AE$10:AE$11,Предпосылки!$I$209,),0))*IFERROR(INDEX(AE$10:AE$11,Предпосылки!$I$209,),0),AE244/(1+IFERROR(INDEX(AE$10:AE$11,Предпосылки!$I$210,),0))*IFERROR(INDEX(AE$10:AE$11,Предпосылки!$I$210,),0),AE267/(1+IFERROR(INDEX(AE$10:AE$11,Предпосылки!$I$211,),0))*IFERROR(INDEX(AE$10:AE$11,Предпосылки!$I$211,),0),AE290/(1+IFERROR(INDEX(AE$10:AE$11,Предпосылки!$I$212,),0))*IFERROR(INDEX(AE$10:AE$11,Предпосылки!$I$212,),0),AE313/(1+IFERROR(INDEX(AE$10:AE$11,Предпосылки!$I$213,),0))*IFERROR(INDEX(AE$10:AE$11,Предпосылки!$I$213,),0),AE336/(1+IFERROR(INDEX(AE$10:AE$11,Предпосылки!$I$214,),0))*IFERROR(INDEX(AE$10:AE$11,Предпосылки!$I$214,),0),AE359/(1+IFERROR(INDEX(AE$10:AE$11,Предпосылки!$I$215,),0))*IFERROR(INDEX(AE$10:AE$11,Предпосылки!$I$215,),0),AE382/(1+IFERROR(INDEX(AE$10:AE$11,Предпосылки!$I$216,),0))*IFERROR(INDEX(AE$10:AE$11,Предпосылки!$I$216,),0),AE405/(1+IFERROR(INDEX(AE$10:AE$11,Предпосылки!$I$217,),0))*IFERROR(INDEX(AE$10:AE$11,Предпосылки!$I$217,),0),AE428/(1+IFERROR(INDEX(AE$10:AE$11,Предпосылки!$I$218,),0))*IFERROR(INDEX(AE$10:AE$11,Предпосылки!$I$218,),0),AE451/(1+IFERROR(INDEX(AE$10:AE$11,Предпосылки!$I$219,),0))*IFERROR(INDEX(AE$10:AE$11,Предпосылки!$I$219,),0),AE474/(1+IFERROR(INDEX(AE$10:AE$11,Предпосылки!$I$220,),0))*IFERROR(INDEX(AE$10:AE$11,Предпосылки!$I$220,),0))</f>
        <v>0</v>
      </c>
      <c s="125">
        <f>SUM(AF37/(1+IFERROR(INDEX(AF$10:AF$11,Предпосылки!$I$201,),0))*IFERROR(INDEX(AF$10:AF$11,Предпосылки!$I$201,),0),AF60/(1+IFERROR(INDEX(AF$10:AF$11,Предпосылки!$I$202,),0))*IFERROR(INDEX(AF$10:AF$11,Предпосылки!$I$202,),0),AF83/(1+IFERROR(INDEX(AF$10:AF$11,Предпосылки!$I$203,),0))*IFERROR(INDEX(AF$10:AF$11,Предпосылки!$I$203,),0),AF106/(1+IFERROR(INDEX(AF$10:AF$11,Предпосылки!$I$204,),0))*IFERROR(INDEX(AF$10:AF$11,Предпосылки!$I$204,),0),AF129/(1+IFERROR(INDEX(AF$10:AF$11,Предпосылки!$I$205,),0))*IFERROR(INDEX(AF$10:AF$11,Предпосылки!$I$205,),0),AF152/(1+IFERROR(INDEX(AF$10:AF$11,Предпосылки!$I$206,),0))*IFERROR(INDEX(AF$10:AF$11,Предпосылки!$I$206,),0),AF175/(1+IFERROR(INDEX(AF$10:AF$11,Предпосылки!$I$207,),0))*IFERROR(INDEX(AF$10:AF$11,Предпосылки!$I$207,),0),AF198/(1+IFERROR(INDEX(AF$10:AF$11,Предпосылки!$I$208,),0))*IFERROR(INDEX(AF$10:AF$11,Предпосылки!$I$208,),0),AF221/(1+IFERROR(INDEX(AF$10:AF$11,Предпосылки!$I$209,),0))*IFERROR(INDEX(AF$10:AF$11,Предпосылки!$I$209,),0),AF244/(1+IFERROR(INDEX(AF$10:AF$11,Предпосылки!$I$210,),0))*IFERROR(INDEX(AF$10:AF$11,Предпосылки!$I$210,),0),AF267/(1+IFERROR(INDEX(AF$10:AF$11,Предпосылки!$I$211,),0))*IFERROR(INDEX(AF$10:AF$11,Предпосылки!$I$211,),0),AF290/(1+IFERROR(INDEX(AF$10:AF$11,Предпосылки!$I$212,),0))*IFERROR(INDEX(AF$10:AF$11,Предпосылки!$I$212,),0),AF313/(1+IFERROR(INDEX(AF$10:AF$11,Предпосылки!$I$213,),0))*IFERROR(INDEX(AF$10:AF$11,Предпосылки!$I$213,),0),AF336/(1+IFERROR(INDEX(AF$10:AF$11,Предпосылки!$I$214,),0))*IFERROR(INDEX(AF$10:AF$11,Предпосылки!$I$214,),0),AF359/(1+IFERROR(INDEX(AF$10:AF$11,Предпосылки!$I$215,),0))*IFERROR(INDEX(AF$10:AF$11,Предпосылки!$I$215,),0),AF382/(1+IFERROR(INDEX(AF$10:AF$11,Предпосылки!$I$216,),0))*IFERROR(INDEX(AF$10:AF$11,Предпосылки!$I$216,),0),AF405/(1+IFERROR(INDEX(AF$10:AF$11,Предпосылки!$I$217,),0))*IFERROR(INDEX(AF$10:AF$11,Предпосылки!$I$217,),0),AF428/(1+IFERROR(INDEX(AF$10:AF$11,Предпосылки!$I$218,),0))*IFERROR(INDEX(AF$10:AF$11,Предпосылки!$I$218,),0),AF451/(1+IFERROR(INDEX(AF$10:AF$11,Предпосылки!$I$219,),0))*IFERROR(INDEX(AF$10:AF$11,Предпосылки!$I$219,),0),AF474/(1+IFERROR(INDEX(AF$10:AF$11,Предпосылки!$I$220,),0))*IFERROR(INDEX(AF$10:AF$11,Предпосылки!$I$220,),0))</f>
        <v>0</v>
      </c>
      <c s="125">
        <f>SUM(AG37/(1+IFERROR(INDEX(AG$10:AG$11,Предпосылки!$I$201,),0))*IFERROR(INDEX(AG$10:AG$11,Предпосылки!$I$201,),0),AG60/(1+IFERROR(INDEX(AG$10:AG$11,Предпосылки!$I$202,),0))*IFERROR(INDEX(AG$10:AG$11,Предпосылки!$I$202,),0),AG83/(1+IFERROR(INDEX(AG$10:AG$11,Предпосылки!$I$203,),0))*IFERROR(INDEX(AG$10:AG$11,Предпосылки!$I$203,),0),AG106/(1+IFERROR(INDEX(AG$10:AG$11,Предпосылки!$I$204,),0))*IFERROR(INDEX(AG$10:AG$11,Предпосылки!$I$204,),0),AG129/(1+IFERROR(INDEX(AG$10:AG$11,Предпосылки!$I$205,),0))*IFERROR(INDEX(AG$10:AG$11,Предпосылки!$I$205,),0),AG152/(1+IFERROR(INDEX(AG$10:AG$11,Предпосылки!$I$206,),0))*IFERROR(INDEX(AG$10:AG$11,Предпосылки!$I$206,),0),AG175/(1+IFERROR(INDEX(AG$10:AG$11,Предпосылки!$I$207,),0))*IFERROR(INDEX(AG$10:AG$11,Предпосылки!$I$207,),0),AG198/(1+IFERROR(INDEX(AG$10:AG$11,Предпосылки!$I$208,),0))*IFERROR(INDEX(AG$10:AG$11,Предпосылки!$I$208,),0),AG221/(1+IFERROR(INDEX(AG$10:AG$11,Предпосылки!$I$209,),0))*IFERROR(INDEX(AG$10:AG$11,Предпосылки!$I$209,),0),AG244/(1+IFERROR(INDEX(AG$10:AG$11,Предпосылки!$I$210,),0))*IFERROR(INDEX(AG$10:AG$11,Предпосылки!$I$210,),0),AG267/(1+IFERROR(INDEX(AG$10:AG$11,Предпосылки!$I$211,),0))*IFERROR(INDEX(AG$10:AG$11,Предпосылки!$I$211,),0),AG290/(1+IFERROR(INDEX(AG$10:AG$11,Предпосылки!$I$212,),0))*IFERROR(INDEX(AG$10:AG$11,Предпосылки!$I$212,),0),AG313/(1+IFERROR(INDEX(AG$10:AG$11,Предпосылки!$I$213,),0))*IFERROR(INDEX(AG$10:AG$11,Предпосылки!$I$213,),0),AG336/(1+IFERROR(INDEX(AG$10:AG$11,Предпосылки!$I$214,),0))*IFERROR(INDEX(AG$10:AG$11,Предпосылки!$I$214,),0),AG359/(1+IFERROR(INDEX(AG$10:AG$11,Предпосылки!$I$215,),0))*IFERROR(INDEX(AG$10:AG$11,Предпосылки!$I$215,),0),AG382/(1+IFERROR(INDEX(AG$10:AG$11,Предпосылки!$I$216,),0))*IFERROR(INDEX(AG$10:AG$11,Предпосылки!$I$216,),0),AG405/(1+IFERROR(INDEX(AG$10:AG$11,Предпосылки!$I$217,),0))*IFERROR(INDEX(AG$10:AG$11,Предпосылки!$I$217,),0),AG428/(1+IFERROR(INDEX(AG$10:AG$11,Предпосылки!$I$218,),0))*IFERROR(INDEX(AG$10:AG$11,Предпосылки!$I$218,),0),AG451/(1+IFERROR(INDEX(AG$10:AG$11,Предпосылки!$I$219,),0))*IFERROR(INDEX(AG$10:AG$11,Предпосылки!$I$219,),0),AG474/(1+IFERROR(INDEX(AG$10:AG$11,Предпосылки!$I$220,),0))*IFERROR(INDEX(AG$10:AG$11,Предпосылки!$I$220,),0))</f>
        <v>0</v>
      </c>
      <c s="125">
        <f>SUM(AH37/(1+IFERROR(INDEX(AH$10:AH$11,Предпосылки!$I$201,),0))*IFERROR(INDEX(AH$10:AH$11,Предпосылки!$I$201,),0),AH60/(1+IFERROR(INDEX(AH$10:AH$11,Предпосылки!$I$202,),0))*IFERROR(INDEX(AH$10:AH$11,Предпосылки!$I$202,),0),AH83/(1+IFERROR(INDEX(AH$10:AH$11,Предпосылки!$I$203,),0))*IFERROR(INDEX(AH$10:AH$11,Предпосылки!$I$203,),0),AH106/(1+IFERROR(INDEX(AH$10:AH$11,Предпосылки!$I$204,),0))*IFERROR(INDEX(AH$10:AH$11,Предпосылки!$I$204,),0),AH129/(1+IFERROR(INDEX(AH$10:AH$11,Предпосылки!$I$205,),0))*IFERROR(INDEX(AH$10:AH$11,Предпосылки!$I$205,),0),AH152/(1+IFERROR(INDEX(AH$10:AH$11,Предпосылки!$I$206,),0))*IFERROR(INDEX(AH$10:AH$11,Предпосылки!$I$206,),0),AH175/(1+IFERROR(INDEX(AH$10:AH$11,Предпосылки!$I$207,),0))*IFERROR(INDEX(AH$10:AH$11,Предпосылки!$I$207,),0),AH198/(1+IFERROR(INDEX(AH$10:AH$11,Предпосылки!$I$208,),0))*IFERROR(INDEX(AH$10:AH$11,Предпосылки!$I$208,),0),AH221/(1+IFERROR(INDEX(AH$10:AH$11,Предпосылки!$I$209,),0))*IFERROR(INDEX(AH$10:AH$11,Предпосылки!$I$209,),0),AH244/(1+IFERROR(INDEX(AH$10:AH$11,Предпосылки!$I$210,),0))*IFERROR(INDEX(AH$10:AH$11,Предпосылки!$I$210,),0),AH267/(1+IFERROR(INDEX(AH$10:AH$11,Предпосылки!$I$211,),0))*IFERROR(INDEX(AH$10:AH$11,Предпосылки!$I$211,),0),AH290/(1+IFERROR(INDEX(AH$10:AH$11,Предпосылки!$I$212,),0))*IFERROR(INDEX(AH$10:AH$11,Предпосылки!$I$212,),0),AH313/(1+IFERROR(INDEX(AH$10:AH$11,Предпосылки!$I$213,),0))*IFERROR(INDEX(AH$10:AH$11,Предпосылки!$I$213,),0),AH336/(1+IFERROR(INDEX(AH$10:AH$11,Предпосылки!$I$214,),0))*IFERROR(INDEX(AH$10:AH$11,Предпосылки!$I$214,),0),AH359/(1+IFERROR(INDEX(AH$10:AH$11,Предпосылки!$I$215,),0))*IFERROR(INDEX(AH$10:AH$11,Предпосылки!$I$215,),0),AH382/(1+IFERROR(INDEX(AH$10:AH$11,Предпосылки!$I$216,),0))*IFERROR(INDEX(AH$10:AH$11,Предпосылки!$I$216,),0),AH405/(1+IFERROR(INDEX(AH$10:AH$11,Предпосылки!$I$217,),0))*IFERROR(INDEX(AH$10:AH$11,Предпосылки!$I$217,),0),AH428/(1+IFERROR(INDEX(AH$10:AH$11,Предпосылки!$I$218,),0))*IFERROR(INDEX(AH$10:AH$11,Предпосылки!$I$218,),0),AH451/(1+IFERROR(INDEX(AH$10:AH$11,Предпосылки!$I$219,),0))*IFERROR(INDEX(AH$10:AH$11,Предпосылки!$I$219,),0),AH474/(1+IFERROR(INDEX(AH$10:AH$11,Предпосылки!$I$220,),0))*IFERROR(INDEX(AH$10:AH$11,Предпосылки!$I$220,),0))</f>
        <v>0</v>
      </c>
      <c s="125">
        <f>SUM(AI37/(1+IFERROR(INDEX(AI$10:AI$11,Предпосылки!$I$201,),0))*IFERROR(INDEX(AI$10:AI$11,Предпосылки!$I$201,),0),AI60/(1+IFERROR(INDEX(AI$10:AI$11,Предпосылки!$I$202,),0))*IFERROR(INDEX(AI$10:AI$11,Предпосылки!$I$202,),0),AI83/(1+IFERROR(INDEX(AI$10:AI$11,Предпосылки!$I$203,),0))*IFERROR(INDEX(AI$10:AI$11,Предпосылки!$I$203,),0),AI106/(1+IFERROR(INDEX(AI$10:AI$11,Предпосылки!$I$204,),0))*IFERROR(INDEX(AI$10:AI$11,Предпосылки!$I$204,),0),AI129/(1+IFERROR(INDEX(AI$10:AI$11,Предпосылки!$I$205,),0))*IFERROR(INDEX(AI$10:AI$11,Предпосылки!$I$205,),0),AI152/(1+IFERROR(INDEX(AI$10:AI$11,Предпосылки!$I$206,),0))*IFERROR(INDEX(AI$10:AI$11,Предпосылки!$I$206,),0),AI175/(1+IFERROR(INDEX(AI$10:AI$11,Предпосылки!$I$207,),0))*IFERROR(INDEX(AI$10:AI$11,Предпосылки!$I$207,),0),AI198/(1+IFERROR(INDEX(AI$10:AI$11,Предпосылки!$I$208,),0))*IFERROR(INDEX(AI$10:AI$11,Предпосылки!$I$208,),0),AI221/(1+IFERROR(INDEX(AI$10:AI$11,Предпосылки!$I$209,),0))*IFERROR(INDEX(AI$10:AI$11,Предпосылки!$I$209,),0),AI244/(1+IFERROR(INDEX(AI$10:AI$11,Предпосылки!$I$210,),0))*IFERROR(INDEX(AI$10:AI$11,Предпосылки!$I$210,),0),AI267/(1+IFERROR(INDEX(AI$10:AI$11,Предпосылки!$I$211,),0))*IFERROR(INDEX(AI$10:AI$11,Предпосылки!$I$211,),0),AI290/(1+IFERROR(INDEX(AI$10:AI$11,Предпосылки!$I$212,),0))*IFERROR(INDEX(AI$10:AI$11,Предпосылки!$I$212,),0),AI313/(1+IFERROR(INDEX(AI$10:AI$11,Предпосылки!$I$213,),0))*IFERROR(INDEX(AI$10:AI$11,Предпосылки!$I$213,),0),AI336/(1+IFERROR(INDEX(AI$10:AI$11,Предпосылки!$I$214,),0))*IFERROR(INDEX(AI$10:AI$11,Предпосылки!$I$214,),0),AI359/(1+IFERROR(INDEX(AI$10:AI$11,Предпосылки!$I$215,),0))*IFERROR(INDEX(AI$10:AI$11,Предпосылки!$I$215,),0),AI382/(1+IFERROR(INDEX(AI$10:AI$11,Предпосылки!$I$216,),0))*IFERROR(INDEX(AI$10:AI$11,Предпосылки!$I$216,),0),AI405/(1+IFERROR(INDEX(AI$10:AI$11,Предпосылки!$I$217,),0))*IFERROR(INDEX(AI$10:AI$11,Предпосылки!$I$217,),0),AI428/(1+IFERROR(INDEX(AI$10:AI$11,Предпосылки!$I$218,),0))*IFERROR(INDEX(AI$10:AI$11,Предпосылки!$I$218,),0),AI451/(1+IFERROR(INDEX(AI$10:AI$11,Предпосылки!$I$219,),0))*IFERROR(INDEX(AI$10:AI$11,Предпосылки!$I$219,),0),AI474/(1+IFERROR(INDEX(AI$10:AI$11,Предпосылки!$I$220,),0))*IFERROR(INDEX(AI$10:AI$11,Предпосылки!$I$220,),0))</f>
        <v>0</v>
      </c>
      <c s="125">
        <f>SUM(AJ37/(1+IFERROR(INDEX(AJ$10:AJ$11,Предпосылки!$I$201,),0))*IFERROR(INDEX(AJ$10:AJ$11,Предпосылки!$I$201,),0),AJ60/(1+IFERROR(INDEX(AJ$10:AJ$11,Предпосылки!$I$202,),0))*IFERROR(INDEX(AJ$10:AJ$11,Предпосылки!$I$202,),0),AJ83/(1+IFERROR(INDEX(AJ$10:AJ$11,Предпосылки!$I$203,),0))*IFERROR(INDEX(AJ$10:AJ$11,Предпосылки!$I$203,),0),AJ106/(1+IFERROR(INDEX(AJ$10:AJ$11,Предпосылки!$I$204,),0))*IFERROR(INDEX(AJ$10:AJ$11,Предпосылки!$I$204,),0),AJ129/(1+IFERROR(INDEX(AJ$10:AJ$11,Предпосылки!$I$205,),0))*IFERROR(INDEX(AJ$10:AJ$11,Предпосылки!$I$205,),0),AJ152/(1+IFERROR(INDEX(AJ$10:AJ$11,Предпосылки!$I$206,),0))*IFERROR(INDEX(AJ$10:AJ$11,Предпосылки!$I$206,),0),AJ175/(1+IFERROR(INDEX(AJ$10:AJ$11,Предпосылки!$I$207,),0))*IFERROR(INDEX(AJ$10:AJ$11,Предпосылки!$I$207,),0),AJ198/(1+IFERROR(INDEX(AJ$10:AJ$11,Предпосылки!$I$208,),0))*IFERROR(INDEX(AJ$10:AJ$11,Предпосылки!$I$208,),0),AJ221/(1+IFERROR(INDEX(AJ$10:AJ$11,Предпосылки!$I$209,),0))*IFERROR(INDEX(AJ$10:AJ$11,Предпосылки!$I$209,),0),AJ244/(1+IFERROR(INDEX(AJ$10:AJ$11,Предпосылки!$I$210,),0))*IFERROR(INDEX(AJ$10:AJ$11,Предпосылки!$I$210,),0),AJ267/(1+IFERROR(INDEX(AJ$10:AJ$11,Предпосылки!$I$211,),0))*IFERROR(INDEX(AJ$10:AJ$11,Предпосылки!$I$211,),0),AJ290/(1+IFERROR(INDEX(AJ$10:AJ$11,Предпосылки!$I$212,),0))*IFERROR(INDEX(AJ$10:AJ$11,Предпосылки!$I$212,),0),AJ313/(1+IFERROR(INDEX(AJ$10:AJ$11,Предпосылки!$I$213,),0))*IFERROR(INDEX(AJ$10:AJ$11,Предпосылки!$I$213,),0),AJ336/(1+IFERROR(INDEX(AJ$10:AJ$11,Предпосылки!$I$214,),0))*IFERROR(INDEX(AJ$10:AJ$11,Предпосылки!$I$214,),0),AJ359/(1+IFERROR(INDEX(AJ$10:AJ$11,Предпосылки!$I$215,),0))*IFERROR(INDEX(AJ$10:AJ$11,Предпосылки!$I$215,),0),AJ382/(1+IFERROR(INDEX(AJ$10:AJ$11,Предпосылки!$I$216,),0))*IFERROR(INDEX(AJ$10:AJ$11,Предпосылки!$I$216,),0),AJ405/(1+IFERROR(INDEX(AJ$10:AJ$11,Предпосылки!$I$217,),0))*IFERROR(INDEX(AJ$10:AJ$11,Предпосылки!$I$217,),0),AJ428/(1+IFERROR(INDEX(AJ$10:AJ$11,Предпосылки!$I$218,),0))*IFERROR(INDEX(AJ$10:AJ$11,Предпосылки!$I$218,),0),AJ451/(1+IFERROR(INDEX(AJ$10:AJ$11,Предпосылки!$I$219,),0))*IFERROR(INDEX(AJ$10:AJ$11,Предпосылки!$I$219,),0),AJ474/(1+IFERROR(INDEX(AJ$10:AJ$11,Предпосылки!$I$220,),0))*IFERROR(INDEX(AJ$10:AJ$11,Предпосылки!$I$220,),0))</f>
        <v>0</v>
      </c>
      <c s="125">
        <f>SUM(AK37/(1+IFERROR(INDEX(AK$10:AK$11,Предпосылки!$I$201,),0))*IFERROR(INDEX(AK$10:AK$11,Предпосылки!$I$201,),0),AK60/(1+IFERROR(INDEX(AK$10:AK$11,Предпосылки!$I$202,),0))*IFERROR(INDEX(AK$10:AK$11,Предпосылки!$I$202,),0),AK83/(1+IFERROR(INDEX(AK$10:AK$11,Предпосылки!$I$203,),0))*IFERROR(INDEX(AK$10:AK$11,Предпосылки!$I$203,),0),AK106/(1+IFERROR(INDEX(AK$10:AK$11,Предпосылки!$I$204,),0))*IFERROR(INDEX(AK$10:AK$11,Предпосылки!$I$204,),0),AK129/(1+IFERROR(INDEX(AK$10:AK$11,Предпосылки!$I$205,),0))*IFERROR(INDEX(AK$10:AK$11,Предпосылки!$I$205,),0),AK152/(1+IFERROR(INDEX(AK$10:AK$11,Предпосылки!$I$206,),0))*IFERROR(INDEX(AK$10:AK$11,Предпосылки!$I$206,),0),AK175/(1+IFERROR(INDEX(AK$10:AK$11,Предпосылки!$I$207,),0))*IFERROR(INDEX(AK$10:AK$11,Предпосылки!$I$207,),0),AK198/(1+IFERROR(INDEX(AK$10:AK$11,Предпосылки!$I$208,),0))*IFERROR(INDEX(AK$10:AK$11,Предпосылки!$I$208,),0),AK221/(1+IFERROR(INDEX(AK$10:AK$11,Предпосылки!$I$209,),0))*IFERROR(INDEX(AK$10:AK$11,Предпосылки!$I$209,),0),AK244/(1+IFERROR(INDEX(AK$10:AK$11,Предпосылки!$I$210,),0))*IFERROR(INDEX(AK$10:AK$11,Предпосылки!$I$210,),0),AK267/(1+IFERROR(INDEX(AK$10:AK$11,Предпосылки!$I$211,),0))*IFERROR(INDEX(AK$10:AK$11,Предпосылки!$I$211,),0),AK290/(1+IFERROR(INDEX(AK$10:AK$11,Предпосылки!$I$212,),0))*IFERROR(INDEX(AK$10:AK$11,Предпосылки!$I$212,),0),AK313/(1+IFERROR(INDEX(AK$10:AK$11,Предпосылки!$I$213,),0))*IFERROR(INDEX(AK$10:AK$11,Предпосылки!$I$213,),0),AK336/(1+IFERROR(INDEX(AK$10:AK$11,Предпосылки!$I$214,),0))*IFERROR(INDEX(AK$10:AK$11,Предпосылки!$I$214,),0),AK359/(1+IFERROR(INDEX(AK$10:AK$11,Предпосылки!$I$215,),0))*IFERROR(INDEX(AK$10:AK$11,Предпосылки!$I$215,),0),AK382/(1+IFERROR(INDEX(AK$10:AK$11,Предпосылки!$I$216,),0))*IFERROR(INDEX(AK$10:AK$11,Предпосылки!$I$216,),0),AK405/(1+IFERROR(INDEX(AK$10:AK$11,Предпосылки!$I$217,),0))*IFERROR(INDEX(AK$10:AK$11,Предпосылки!$I$217,),0),AK428/(1+IFERROR(INDEX(AK$10:AK$11,Предпосылки!$I$218,),0))*IFERROR(INDEX(AK$10:AK$11,Предпосылки!$I$218,),0),AK451/(1+IFERROR(INDEX(AK$10:AK$11,Предпосылки!$I$219,),0))*IFERROR(INDEX(AK$10:AK$11,Предпосылки!$I$219,),0),AK474/(1+IFERROR(INDEX(AK$10:AK$11,Предпосылки!$I$220,),0))*IFERROR(INDEX(AK$10:AK$11,Предпосылки!$I$220,),0))</f>
        <v>0</v>
      </c>
      <c s="125">
        <f>SUM(AL37/(1+IFERROR(INDEX(AL$10:AL$11,Предпосылки!$I$201,),0))*IFERROR(INDEX(AL$10:AL$11,Предпосылки!$I$201,),0),AL60/(1+IFERROR(INDEX(AL$10:AL$11,Предпосылки!$I$202,),0))*IFERROR(INDEX(AL$10:AL$11,Предпосылки!$I$202,),0),AL83/(1+IFERROR(INDEX(AL$10:AL$11,Предпосылки!$I$203,),0))*IFERROR(INDEX(AL$10:AL$11,Предпосылки!$I$203,),0),AL106/(1+IFERROR(INDEX(AL$10:AL$11,Предпосылки!$I$204,),0))*IFERROR(INDEX(AL$10:AL$11,Предпосылки!$I$204,),0),AL129/(1+IFERROR(INDEX(AL$10:AL$11,Предпосылки!$I$205,),0))*IFERROR(INDEX(AL$10:AL$11,Предпосылки!$I$205,),0),AL152/(1+IFERROR(INDEX(AL$10:AL$11,Предпосылки!$I$206,),0))*IFERROR(INDEX(AL$10:AL$11,Предпосылки!$I$206,),0),AL175/(1+IFERROR(INDEX(AL$10:AL$11,Предпосылки!$I$207,),0))*IFERROR(INDEX(AL$10:AL$11,Предпосылки!$I$207,),0),AL198/(1+IFERROR(INDEX(AL$10:AL$11,Предпосылки!$I$208,),0))*IFERROR(INDEX(AL$10:AL$11,Предпосылки!$I$208,),0),AL221/(1+IFERROR(INDEX(AL$10:AL$11,Предпосылки!$I$209,),0))*IFERROR(INDEX(AL$10:AL$11,Предпосылки!$I$209,),0),AL244/(1+IFERROR(INDEX(AL$10:AL$11,Предпосылки!$I$210,),0))*IFERROR(INDEX(AL$10:AL$11,Предпосылки!$I$210,),0),AL267/(1+IFERROR(INDEX(AL$10:AL$11,Предпосылки!$I$211,),0))*IFERROR(INDEX(AL$10:AL$11,Предпосылки!$I$211,),0),AL290/(1+IFERROR(INDEX(AL$10:AL$11,Предпосылки!$I$212,),0))*IFERROR(INDEX(AL$10:AL$11,Предпосылки!$I$212,),0),AL313/(1+IFERROR(INDEX(AL$10:AL$11,Предпосылки!$I$213,),0))*IFERROR(INDEX(AL$10:AL$11,Предпосылки!$I$213,),0),AL336/(1+IFERROR(INDEX(AL$10:AL$11,Предпосылки!$I$214,),0))*IFERROR(INDEX(AL$10:AL$11,Предпосылки!$I$214,),0),AL359/(1+IFERROR(INDEX(AL$10:AL$11,Предпосылки!$I$215,),0))*IFERROR(INDEX(AL$10:AL$11,Предпосылки!$I$215,),0),AL382/(1+IFERROR(INDEX(AL$10:AL$11,Предпосылки!$I$216,),0))*IFERROR(INDEX(AL$10:AL$11,Предпосылки!$I$216,),0),AL405/(1+IFERROR(INDEX(AL$10:AL$11,Предпосылки!$I$217,),0))*IFERROR(INDEX(AL$10:AL$11,Предпосылки!$I$217,),0),AL428/(1+IFERROR(INDEX(AL$10:AL$11,Предпосылки!$I$218,),0))*IFERROR(INDEX(AL$10:AL$11,Предпосылки!$I$218,),0),AL451/(1+IFERROR(INDEX(AL$10:AL$11,Предпосылки!$I$219,),0))*IFERROR(INDEX(AL$10:AL$11,Предпосылки!$I$219,),0),AL474/(1+IFERROR(INDEX(AL$10:AL$11,Предпосылки!$I$220,),0))*IFERROR(INDEX(AL$10:AL$11,Предпосылки!$I$220,),0))</f>
        <v>0</v>
      </c>
      <c s="125">
        <f>SUM(AM37/(1+IFERROR(INDEX(AM$10:AM$11,Предпосылки!$I$201,),0))*IFERROR(INDEX(AM$10:AM$11,Предпосылки!$I$201,),0),AM60/(1+IFERROR(INDEX(AM$10:AM$11,Предпосылки!$I$202,),0))*IFERROR(INDEX(AM$10:AM$11,Предпосылки!$I$202,),0),AM83/(1+IFERROR(INDEX(AM$10:AM$11,Предпосылки!$I$203,),0))*IFERROR(INDEX(AM$10:AM$11,Предпосылки!$I$203,),0),AM106/(1+IFERROR(INDEX(AM$10:AM$11,Предпосылки!$I$204,),0))*IFERROR(INDEX(AM$10:AM$11,Предпосылки!$I$204,),0),AM129/(1+IFERROR(INDEX(AM$10:AM$11,Предпосылки!$I$205,),0))*IFERROR(INDEX(AM$10:AM$11,Предпосылки!$I$205,),0),AM152/(1+IFERROR(INDEX(AM$10:AM$11,Предпосылки!$I$206,),0))*IFERROR(INDEX(AM$10:AM$11,Предпосылки!$I$206,),0),AM175/(1+IFERROR(INDEX(AM$10:AM$11,Предпосылки!$I$207,),0))*IFERROR(INDEX(AM$10:AM$11,Предпосылки!$I$207,),0),AM198/(1+IFERROR(INDEX(AM$10:AM$11,Предпосылки!$I$208,),0))*IFERROR(INDEX(AM$10:AM$11,Предпосылки!$I$208,),0),AM221/(1+IFERROR(INDEX(AM$10:AM$11,Предпосылки!$I$209,),0))*IFERROR(INDEX(AM$10:AM$11,Предпосылки!$I$209,),0),AM244/(1+IFERROR(INDEX(AM$10:AM$11,Предпосылки!$I$210,),0))*IFERROR(INDEX(AM$10:AM$11,Предпосылки!$I$210,),0),AM267/(1+IFERROR(INDEX(AM$10:AM$11,Предпосылки!$I$211,),0))*IFERROR(INDEX(AM$10:AM$11,Предпосылки!$I$211,),0),AM290/(1+IFERROR(INDEX(AM$10:AM$11,Предпосылки!$I$212,),0))*IFERROR(INDEX(AM$10:AM$11,Предпосылки!$I$212,),0),AM313/(1+IFERROR(INDEX(AM$10:AM$11,Предпосылки!$I$213,),0))*IFERROR(INDEX(AM$10:AM$11,Предпосылки!$I$213,),0),AM336/(1+IFERROR(INDEX(AM$10:AM$11,Предпосылки!$I$214,),0))*IFERROR(INDEX(AM$10:AM$11,Предпосылки!$I$214,),0),AM359/(1+IFERROR(INDEX(AM$10:AM$11,Предпосылки!$I$215,),0))*IFERROR(INDEX(AM$10:AM$11,Предпосылки!$I$215,),0),AM382/(1+IFERROR(INDEX(AM$10:AM$11,Предпосылки!$I$216,),0))*IFERROR(INDEX(AM$10:AM$11,Предпосылки!$I$216,),0),AM405/(1+IFERROR(INDEX(AM$10:AM$11,Предпосылки!$I$217,),0))*IFERROR(INDEX(AM$10:AM$11,Предпосылки!$I$217,),0),AM428/(1+IFERROR(INDEX(AM$10:AM$11,Предпосылки!$I$218,),0))*IFERROR(INDEX(AM$10:AM$11,Предпосылки!$I$218,),0),AM451/(1+IFERROR(INDEX(AM$10:AM$11,Предпосылки!$I$219,),0))*IFERROR(INDEX(AM$10:AM$11,Предпосылки!$I$219,),0),AM474/(1+IFERROR(INDEX(AM$10:AM$11,Предпосылки!$I$220,),0))*IFERROR(INDEX(AM$10:AM$11,Предпосылки!$I$220,),0))</f>
        <v>0</v>
      </c>
      <c s="125">
        <f>SUM(AN37/(1+IFERROR(INDEX(AN$10:AN$11,Предпосылки!$I$201,),0))*IFERROR(INDEX(AN$10:AN$11,Предпосылки!$I$201,),0),AN60/(1+IFERROR(INDEX(AN$10:AN$11,Предпосылки!$I$202,),0))*IFERROR(INDEX(AN$10:AN$11,Предпосылки!$I$202,),0),AN83/(1+IFERROR(INDEX(AN$10:AN$11,Предпосылки!$I$203,),0))*IFERROR(INDEX(AN$10:AN$11,Предпосылки!$I$203,),0),AN106/(1+IFERROR(INDEX(AN$10:AN$11,Предпосылки!$I$204,),0))*IFERROR(INDEX(AN$10:AN$11,Предпосылки!$I$204,),0),AN129/(1+IFERROR(INDEX(AN$10:AN$11,Предпосылки!$I$205,),0))*IFERROR(INDEX(AN$10:AN$11,Предпосылки!$I$205,),0),AN152/(1+IFERROR(INDEX(AN$10:AN$11,Предпосылки!$I$206,),0))*IFERROR(INDEX(AN$10:AN$11,Предпосылки!$I$206,),0),AN175/(1+IFERROR(INDEX(AN$10:AN$11,Предпосылки!$I$207,),0))*IFERROR(INDEX(AN$10:AN$11,Предпосылки!$I$207,),0),AN198/(1+IFERROR(INDEX(AN$10:AN$11,Предпосылки!$I$208,),0))*IFERROR(INDEX(AN$10:AN$11,Предпосылки!$I$208,),0),AN221/(1+IFERROR(INDEX(AN$10:AN$11,Предпосылки!$I$209,),0))*IFERROR(INDEX(AN$10:AN$11,Предпосылки!$I$209,),0),AN244/(1+IFERROR(INDEX(AN$10:AN$11,Предпосылки!$I$210,),0))*IFERROR(INDEX(AN$10:AN$11,Предпосылки!$I$210,),0),AN267/(1+IFERROR(INDEX(AN$10:AN$11,Предпосылки!$I$211,),0))*IFERROR(INDEX(AN$10:AN$11,Предпосылки!$I$211,),0),AN290/(1+IFERROR(INDEX(AN$10:AN$11,Предпосылки!$I$212,),0))*IFERROR(INDEX(AN$10:AN$11,Предпосылки!$I$212,),0),AN313/(1+IFERROR(INDEX(AN$10:AN$11,Предпосылки!$I$213,),0))*IFERROR(INDEX(AN$10:AN$11,Предпосылки!$I$213,),0),AN336/(1+IFERROR(INDEX(AN$10:AN$11,Предпосылки!$I$214,),0))*IFERROR(INDEX(AN$10:AN$11,Предпосылки!$I$214,),0),AN359/(1+IFERROR(INDEX(AN$10:AN$11,Предпосылки!$I$215,),0))*IFERROR(INDEX(AN$10:AN$11,Предпосылки!$I$215,),0),AN382/(1+IFERROR(INDEX(AN$10:AN$11,Предпосылки!$I$216,),0))*IFERROR(INDEX(AN$10:AN$11,Предпосылки!$I$216,),0),AN405/(1+IFERROR(INDEX(AN$10:AN$11,Предпосылки!$I$217,),0))*IFERROR(INDEX(AN$10:AN$11,Предпосылки!$I$217,),0),AN428/(1+IFERROR(INDEX(AN$10:AN$11,Предпосылки!$I$218,),0))*IFERROR(INDEX(AN$10:AN$11,Предпосылки!$I$218,),0),AN451/(1+IFERROR(INDEX(AN$10:AN$11,Предпосылки!$I$219,),0))*IFERROR(INDEX(AN$10:AN$11,Предпосылки!$I$219,),0),AN474/(1+IFERROR(INDEX(AN$10:AN$11,Предпосылки!$I$220,),0))*IFERROR(INDEX(AN$10:AN$11,Предпосылки!$I$220,),0))</f>
        <v>0</v>
      </c>
      <c s="125">
        <f>SUM(AO37/(1+IFERROR(INDEX(AO$10:AO$11,Предпосылки!$I$201,),0))*IFERROR(INDEX(AO$10:AO$11,Предпосылки!$I$201,),0),AO60/(1+IFERROR(INDEX(AO$10:AO$11,Предпосылки!$I$202,),0))*IFERROR(INDEX(AO$10:AO$11,Предпосылки!$I$202,),0),AO83/(1+IFERROR(INDEX(AO$10:AO$11,Предпосылки!$I$203,),0))*IFERROR(INDEX(AO$10:AO$11,Предпосылки!$I$203,),0),AO106/(1+IFERROR(INDEX(AO$10:AO$11,Предпосылки!$I$204,),0))*IFERROR(INDEX(AO$10:AO$11,Предпосылки!$I$204,),0),AO129/(1+IFERROR(INDEX(AO$10:AO$11,Предпосылки!$I$205,),0))*IFERROR(INDEX(AO$10:AO$11,Предпосылки!$I$205,),0),AO152/(1+IFERROR(INDEX(AO$10:AO$11,Предпосылки!$I$206,),0))*IFERROR(INDEX(AO$10:AO$11,Предпосылки!$I$206,),0),AO175/(1+IFERROR(INDEX(AO$10:AO$11,Предпосылки!$I$207,),0))*IFERROR(INDEX(AO$10:AO$11,Предпосылки!$I$207,),0),AO198/(1+IFERROR(INDEX(AO$10:AO$11,Предпосылки!$I$208,),0))*IFERROR(INDEX(AO$10:AO$11,Предпосылки!$I$208,),0),AO221/(1+IFERROR(INDEX(AO$10:AO$11,Предпосылки!$I$209,),0))*IFERROR(INDEX(AO$10:AO$11,Предпосылки!$I$209,),0),AO244/(1+IFERROR(INDEX(AO$10:AO$11,Предпосылки!$I$210,),0))*IFERROR(INDEX(AO$10:AO$11,Предпосылки!$I$210,),0),AO267/(1+IFERROR(INDEX(AO$10:AO$11,Предпосылки!$I$211,),0))*IFERROR(INDEX(AO$10:AO$11,Предпосылки!$I$211,),0),AO290/(1+IFERROR(INDEX(AO$10:AO$11,Предпосылки!$I$212,),0))*IFERROR(INDEX(AO$10:AO$11,Предпосылки!$I$212,),0),AO313/(1+IFERROR(INDEX(AO$10:AO$11,Предпосылки!$I$213,),0))*IFERROR(INDEX(AO$10:AO$11,Предпосылки!$I$213,),0),AO336/(1+IFERROR(INDEX(AO$10:AO$11,Предпосылки!$I$214,),0))*IFERROR(INDEX(AO$10:AO$11,Предпосылки!$I$214,),0),AO359/(1+IFERROR(INDEX(AO$10:AO$11,Предпосылки!$I$215,),0))*IFERROR(INDEX(AO$10:AO$11,Предпосылки!$I$215,),0),AO382/(1+IFERROR(INDEX(AO$10:AO$11,Предпосылки!$I$216,),0))*IFERROR(INDEX(AO$10:AO$11,Предпосылки!$I$216,),0),AO405/(1+IFERROR(INDEX(AO$10:AO$11,Предпосылки!$I$217,),0))*IFERROR(INDEX(AO$10:AO$11,Предпосылки!$I$217,),0),AO428/(1+IFERROR(INDEX(AO$10:AO$11,Предпосылки!$I$218,),0))*IFERROR(INDEX(AO$10:AO$11,Предпосылки!$I$218,),0),AO451/(1+IFERROR(INDEX(AO$10:AO$11,Предпосылки!$I$219,),0))*IFERROR(INDEX(AO$10:AO$11,Предпосылки!$I$219,),0),AO474/(1+IFERROR(INDEX(AO$10:AO$11,Предпосылки!$I$220,),0))*IFERROR(INDEX(AO$10:AO$11,Предпосылки!$I$220,),0))</f>
        <v>0</v>
      </c>
      <c s="125">
        <f>SUM(AP37/(1+IFERROR(INDEX(AP$10:AP$11,Предпосылки!$I$201,),0))*IFERROR(INDEX(AP$10:AP$11,Предпосылки!$I$201,),0),AP60/(1+IFERROR(INDEX(AP$10:AP$11,Предпосылки!$I$202,),0))*IFERROR(INDEX(AP$10:AP$11,Предпосылки!$I$202,),0),AP83/(1+IFERROR(INDEX(AP$10:AP$11,Предпосылки!$I$203,),0))*IFERROR(INDEX(AP$10:AP$11,Предпосылки!$I$203,),0),AP106/(1+IFERROR(INDEX(AP$10:AP$11,Предпосылки!$I$204,),0))*IFERROR(INDEX(AP$10:AP$11,Предпосылки!$I$204,),0),AP129/(1+IFERROR(INDEX(AP$10:AP$11,Предпосылки!$I$205,),0))*IFERROR(INDEX(AP$10:AP$11,Предпосылки!$I$205,),0),AP152/(1+IFERROR(INDEX(AP$10:AP$11,Предпосылки!$I$206,),0))*IFERROR(INDEX(AP$10:AP$11,Предпосылки!$I$206,),0),AP175/(1+IFERROR(INDEX(AP$10:AP$11,Предпосылки!$I$207,),0))*IFERROR(INDEX(AP$10:AP$11,Предпосылки!$I$207,),0),AP198/(1+IFERROR(INDEX(AP$10:AP$11,Предпосылки!$I$208,),0))*IFERROR(INDEX(AP$10:AP$11,Предпосылки!$I$208,),0),AP221/(1+IFERROR(INDEX(AP$10:AP$11,Предпосылки!$I$209,),0))*IFERROR(INDEX(AP$10:AP$11,Предпосылки!$I$209,),0),AP244/(1+IFERROR(INDEX(AP$10:AP$11,Предпосылки!$I$210,),0))*IFERROR(INDEX(AP$10:AP$11,Предпосылки!$I$210,),0),AP267/(1+IFERROR(INDEX(AP$10:AP$11,Предпосылки!$I$211,),0))*IFERROR(INDEX(AP$10:AP$11,Предпосылки!$I$211,),0),AP290/(1+IFERROR(INDEX(AP$10:AP$11,Предпосылки!$I$212,),0))*IFERROR(INDEX(AP$10:AP$11,Предпосылки!$I$212,),0),AP313/(1+IFERROR(INDEX(AP$10:AP$11,Предпосылки!$I$213,),0))*IFERROR(INDEX(AP$10:AP$11,Предпосылки!$I$213,),0),AP336/(1+IFERROR(INDEX(AP$10:AP$11,Предпосылки!$I$214,),0))*IFERROR(INDEX(AP$10:AP$11,Предпосылки!$I$214,),0),AP359/(1+IFERROR(INDEX(AP$10:AP$11,Предпосылки!$I$215,),0))*IFERROR(INDEX(AP$10:AP$11,Предпосылки!$I$215,),0),AP382/(1+IFERROR(INDEX(AP$10:AP$11,Предпосылки!$I$216,),0))*IFERROR(INDEX(AP$10:AP$11,Предпосылки!$I$216,),0),AP405/(1+IFERROR(INDEX(AP$10:AP$11,Предпосылки!$I$217,),0))*IFERROR(INDEX(AP$10:AP$11,Предпосылки!$I$217,),0),AP428/(1+IFERROR(INDEX(AP$10:AP$11,Предпосылки!$I$218,),0))*IFERROR(INDEX(AP$10:AP$11,Предпосылки!$I$218,),0),AP451/(1+IFERROR(INDEX(AP$10:AP$11,Предпосылки!$I$219,),0))*IFERROR(INDEX(AP$10:AP$11,Предпосылки!$I$219,),0),AP474/(1+IFERROR(INDEX(AP$10:AP$11,Предпосылки!$I$220,),0))*IFERROR(INDEX(AP$10:AP$11,Предпосылки!$I$220,),0))</f>
        <v>0</v>
      </c>
      <c s="125">
        <f>SUM(AQ37/(1+IFERROR(INDEX(AQ$10:AQ$11,Предпосылки!$I$201,),0))*IFERROR(INDEX(AQ$10:AQ$11,Предпосылки!$I$201,),0),AQ60/(1+IFERROR(INDEX(AQ$10:AQ$11,Предпосылки!$I$202,),0))*IFERROR(INDEX(AQ$10:AQ$11,Предпосылки!$I$202,),0),AQ83/(1+IFERROR(INDEX(AQ$10:AQ$11,Предпосылки!$I$203,),0))*IFERROR(INDEX(AQ$10:AQ$11,Предпосылки!$I$203,),0),AQ106/(1+IFERROR(INDEX(AQ$10:AQ$11,Предпосылки!$I$204,),0))*IFERROR(INDEX(AQ$10:AQ$11,Предпосылки!$I$204,),0),AQ129/(1+IFERROR(INDEX(AQ$10:AQ$11,Предпосылки!$I$205,),0))*IFERROR(INDEX(AQ$10:AQ$11,Предпосылки!$I$205,),0),AQ152/(1+IFERROR(INDEX(AQ$10:AQ$11,Предпосылки!$I$206,),0))*IFERROR(INDEX(AQ$10:AQ$11,Предпосылки!$I$206,),0),AQ175/(1+IFERROR(INDEX(AQ$10:AQ$11,Предпосылки!$I$207,),0))*IFERROR(INDEX(AQ$10:AQ$11,Предпосылки!$I$207,),0),AQ198/(1+IFERROR(INDEX(AQ$10:AQ$11,Предпосылки!$I$208,),0))*IFERROR(INDEX(AQ$10:AQ$11,Предпосылки!$I$208,),0),AQ221/(1+IFERROR(INDEX(AQ$10:AQ$11,Предпосылки!$I$209,),0))*IFERROR(INDEX(AQ$10:AQ$11,Предпосылки!$I$209,),0),AQ244/(1+IFERROR(INDEX(AQ$10:AQ$11,Предпосылки!$I$210,),0))*IFERROR(INDEX(AQ$10:AQ$11,Предпосылки!$I$210,),0),AQ267/(1+IFERROR(INDEX(AQ$10:AQ$11,Предпосылки!$I$211,),0))*IFERROR(INDEX(AQ$10:AQ$11,Предпосылки!$I$211,),0),AQ290/(1+IFERROR(INDEX(AQ$10:AQ$11,Предпосылки!$I$212,),0))*IFERROR(INDEX(AQ$10:AQ$11,Предпосылки!$I$212,),0),AQ313/(1+IFERROR(INDEX(AQ$10:AQ$11,Предпосылки!$I$213,),0))*IFERROR(INDEX(AQ$10:AQ$11,Предпосылки!$I$213,),0),AQ336/(1+IFERROR(INDEX(AQ$10:AQ$11,Предпосылки!$I$214,),0))*IFERROR(INDEX(AQ$10:AQ$11,Предпосылки!$I$214,),0),AQ359/(1+IFERROR(INDEX(AQ$10:AQ$11,Предпосылки!$I$215,),0))*IFERROR(INDEX(AQ$10:AQ$11,Предпосылки!$I$215,),0),AQ382/(1+IFERROR(INDEX(AQ$10:AQ$11,Предпосылки!$I$216,),0))*IFERROR(INDEX(AQ$10:AQ$11,Предпосылки!$I$216,),0),AQ405/(1+IFERROR(INDEX(AQ$10:AQ$11,Предпосылки!$I$217,),0))*IFERROR(INDEX(AQ$10:AQ$11,Предпосылки!$I$217,),0),AQ428/(1+IFERROR(INDEX(AQ$10:AQ$11,Предпосылки!$I$218,),0))*IFERROR(INDEX(AQ$10:AQ$11,Предпосылки!$I$218,),0),AQ451/(1+IFERROR(INDEX(AQ$10:AQ$11,Предпосылки!$I$219,),0))*IFERROR(INDEX(AQ$10:AQ$11,Предпосылки!$I$219,),0),AQ474/(1+IFERROR(INDEX(AQ$10:AQ$11,Предпосылки!$I$220,),0))*IFERROR(INDEX(AQ$10:AQ$11,Предпосылки!$I$220,),0))</f>
        <v>0</v>
      </c>
      <c s="125">
        <f>SUM(AR37/(1+IFERROR(INDEX(AR$10:AR$11,Предпосылки!$I$201,),0))*IFERROR(INDEX(AR$10:AR$11,Предпосылки!$I$201,),0),AR60/(1+IFERROR(INDEX(AR$10:AR$11,Предпосылки!$I$202,),0))*IFERROR(INDEX(AR$10:AR$11,Предпосылки!$I$202,),0),AR83/(1+IFERROR(INDEX(AR$10:AR$11,Предпосылки!$I$203,),0))*IFERROR(INDEX(AR$10:AR$11,Предпосылки!$I$203,),0),AR106/(1+IFERROR(INDEX(AR$10:AR$11,Предпосылки!$I$204,),0))*IFERROR(INDEX(AR$10:AR$11,Предпосылки!$I$204,),0),AR129/(1+IFERROR(INDEX(AR$10:AR$11,Предпосылки!$I$205,),0))*IFERROR(INDEX(AR$10:AR$11,Предпосылки!$I$205,),0),AR152/(1+IFERROR(INDEX(AR$10:AR$11,Предпосылки!$I$206,),0))*IFERROR(INDEX(AR$10:AR$11,Предпосылки!$I$206,),0),AR175/(1+IFERROR(INDEX(AR$10:AR$11,Предпосылки!$I$207,),0))*IFERROR(INDEX(AR$10:AR$11,Предпосылки!$I$207,),0),AR198/(1+IFERROR(INDEX(AR$10:AR$11,Предпосылки!$I$208,),0))*IFERROR(INDEX(AR$10:AR$11,Предпосылки!$I$208,),0),AR221/(1+IFERROR(INDEX(AR$10:AR$11,Предпосылки!$I$209,),0))*IFERROR(INDEX(AR$10:AR$11,Предпосылки!$I$209,),0),AR244/(1+IFERROR(INDEX(AR$10:AR$11,Предпосылки!$I$210,),0))*IFERROR(INDEX(AR$10:AR$11,Предпосылки!$I$210,),0),AR267/(1+IFERROR(INDEX(AR$10:AR$11,Предпосылки!$I$211,),0))*IFERROR(INDEX(AR$10:AR$11,Предпосылки!$I$211,),0),AR290/(1+IFERROR(INDEX(AR$10:AR$11,Предпосылки!$I$212,),0))*IFERROR(INDEX(AR$10:AR$11,Предпосылки!$I$212,),0),AR313/(1+IFERROR(INDEX(AR$10:AR$11,Предпосылки!$I$213,),0))*IFERROR(INDEX(AR$10:AR$11,Предпосылки!$I$213,),0),AR336/(1+IFERROR(INDEX(AR$10:AR$11,Предпосылки!$I$214,),0))*IFERROR(INDEX(AR$10:AR$11,Предпосылки!$I$214,),0),AR359/(1+IFERROR(INDEX(AR$10:AR$11,Предпосылки!$I$215,),0))*IFERROR(INDEX(AR$10:AR$11,Предпосылки!$I$215,),0),AR382/(1+IFERROR(INDEX(AR$10:AR$11,Предпосылки!$I$216,),0))*IFERROR(INDEX(AR$10:AR$11,Предпосылки!$I$216,),0),AR405/(1+IFERROR(INDEX(AR$10:AR$11,Предпосылки!$I$217,),0))*IFERROR(INDEX(AR$10:AR$11,Предпосылки!$I$217,),0),AR428/(1+IFERROR(INDEX(AR$10:AR$11,Предпосылки!$I$218,),0))*IFERROR(INDEX(AR$10:AR$11,Предпосылки!$I$218,),0),AR451/(1+IFERROR(INDEX(AR$10:AR$11,Предпосылки!$I$219,),0))*IFERROR(INDEX(AR$10:AR$11,Предпосылки!$I$219,),0),AR474/(1+IFERROR(INDEX(AR$10:AR$11,Предпосылки!$I$220,),0))*IFERROR(INDEX(AR$10:AR$11,Предпосылки!$I$220,),0))</f>
        <v>0</v>
      </c>
      <c s="125">
        <f>SUM(AS37/(1+IFERROR(INDEX(AS$10:AS$11,Предпосылки!$I$201,),0))*IFERROR(INDEX(AS$10:AS$11,Предпосылки!$I$201,),0),AS60/(1+IFERROR(INDEX(AS$10:AS$11,Предпосылки!$I$202,),0))*IFERROR(INDEX(AS$10:AS$11,Предпосылки!$I$202,),0),AS83/(1+IFERROR(INDEX(AS$10:AS$11,Предпосылки!$I$203,),0))*IFERROR(INDEX(AS$10:AS$11,Предпосылки!$I$203,),0),AS106/(1+IFERROR(INDEX(AS$10:AS$11,Предпосылки!$I$204,),0))*IFERROR(INDEX(AS$10:AS$11,Предпосылки!$I$204,),0),AS129/(1+IFERROR(INDEX(AS$10:AS$11,Предпосылки!$I$205,),0))*IFERROR(INDEX(AS$10:AS$11,Предпосылки!$I$205,),0),AS152/(1+IFERROR(INDEX(AS$10:AS$11,Предпосылки!$I$206,),0))*IFERROR(INDEX(AS$10:AS$11,Предпосылки!$I$206,),0),AS175/(1+IFERROR(INDEX(AS$10:AS$11,Предпосылки!$I$207,),0))*IFERROR(INDEX(AS$10:AS$11,Предпосылки!$I$207,),0),AS198/(1+IFERROR(INDEX(AS$10:AS$11,Предпосылки!$I$208,),0))*IFERROR(INDEX(AS$10:AS$11,Предпосылки!$I$208,),0),AS221/(1+IFERROR(INDEX(AS$10:AS$11,Предпосылки!$I$209,),0))*IFERROR(INDEX(AS$10:AS$11,Предпосылки!$I$209,),0),AS244/(1+IFERROR(INDEX(AS$10:AS$11,Предпосылки!$I$210,),0))*IFERROR(INDEX(AS$10:AS$11,Предпосылки!$I$210,),0),AS267/(1+IFERROR(INDEX(AS$10:AS$11,Предпосылки!$I$211,),0))*IFERROR(INDEX(AS$10:AS$11,Предпосылки!$I$211,),0),AS290/(1+IFERROR(INDEX(AS$10:AS$11,Предпосылки!$I$212,),0))*IFERROR(INDEX(AS$10:AS$11,Предпосылки!$I$212,),0),AS313/(1+IFERROR(INDEX(AS$10:AS$11,Предпосылки!$I$213,),0))*IFERROR(INDEX(AS$10:AS$11,Предпосылки!$I$213,),0),AS336/(1+IFERROR(INDEX(AS$10:AS$11,Предпосылки!$I$214,),0))*IFERROR(INDEX(AS$10:AS$11,Предпосылки!$I$214,),0),AS359/(1+IFERROR(INDEX(AS$10:AS$11,Предпосылки!$I$215,),0))*IFERROR(INDEX(AS$10:AS$11,Предпосылки!$I$215,),0),AS382/(1+IFERROR(INDEX(AS$10:AS$11,Предпосылки!$I$216,),0))*IFERROR(INDEX(AS$10:AS$11,Предпосылки!$I$216,),0),AS405/(1+IFERROR(INDEX(AS$10:AS$11,Предпосылки!$I$217,),0))*IFERROR(INDEX(AS$10:AS$11,Предпосылки!$I$217,),0),AS428/(1+IFERROR(INDEX(AS$10:AS$11,Предпосылки!$I$218,),0))*IFERROR(INDEX(AS$10:AS$11,Предпосылки!$I$218,),0),AS451/(1+IFERROR(INDEX(AS$10:AS$11,Предпосылки!$I$219,),0))*IFERROR(INDEX(AS$10:AS$11,Предпосылки!$I$219,),0),AS474/(1+IFERROR(INDEX(AS$10:AS$11,Предпосылки!$I$220,),0))*IFERROR(INDEX(AS$10:AS$11,Предпосылки!$I$220,),0))</f>
        <v>0</v>
      </c>
      <c s="125">
        <f>SUM(AT37/(1+IFERROR(INDEX(AT$10:AT$11,Предпосылки!$I$201,),0))*IFERROR(INDEX(AT$10:AT$11,Предпосылки!$I$201,),0),AT60/(1+IFERROR(INDEX(AT$10:AT$11,Предпосылки!$I$202,),0))*IFERROR(INDEX(AT$10:AT$11,Предпосылки!$I$202,),0),AT83/(1+IFERROR(INDEX(AT$10:AT$11,Предпосылки!$I$203,),0))*IFERROR(INDEX(AT$10:AT$11,Предпосылки!$I$203,),0),AT106/(1+IFERROR(INDEX(AT$10:AT$11,Предпосылки!$I$204,),0))*IFERROR(INDEX(AT$10:AT$11,Предпосылки!$I$204,),0),AT129/(1+IFERROR(INDEX(AT$10:AT$11,Предпосылки!$I$205,),0))*IFERROR(INDEX(AT$10:AT$11,Предпосылки!$I$205,),0),AT152/(1+IFERROR(INDEX(AT$10:AT$11,Предпосылки!$I$206,),0))*IFERROR(INDEX(AT$10:AT$11,Предпосылки!$I$206,),0),AT175/(1+IFERROR(INDEX(AT$10:AT$11,Предпосылки!$I$207,),0))*IFERROR(INDEX(AT$10:AT$11,Предпосылки!$I$207,),0),AT198/(1+IFERROR(INDEX(AT$10:AT$11,Предпосылки!$I$208,),0))*IFERROR(INDEX(AT$10:AT$11,Предпосылки!$I$208,),0),AT221/(1+IFERROR(INDEX(AT$10:AT$11,Предпосылки!$I$209,),0))*IFERROR(INDEX(AT$10:AT$11,Предпосылки!$I$209,),0),AT244/(1+IFERROR(INDEX(AT$10:AT$11,Предпосылки!$I$210,),0))*IFERROR(INDEX(AT$10:AT$11,Предпосылки!$I$210,),0),AT267/(1+IFERROR(INDEX(AT$10:AT$11,Предпосылки!$I$211,),0))*IFERROR(INDEX(AT$10:AT$11,Предпосылки!$I$211,),0),AT290/(1+IFERROR(INDEX(AT$10:AT$11,Предпосылки!$I$212,),0))*IFERROR(INDEX(AT$10:AT$11,Предпосылки!$I$212,),0),AT313/(1+IFERROR(INDEX(AT$10:AT$11,Предпосылки!$I$213,),0))*IFERROR(INDEX(AT$10:AT$11,Предпосылки!$I$213,),0),AT336/(1+IFERROR(INDEX(AT$10:AT$11,Предпосылки!$I$214,),0))*IFERROR(INDEX(AT$10:AT$11,Предпосылки!$I$214,),0),AT359/(1+IFERROR(INDEX(AT$10:AT$11,Предпосылки!$I$215,),0))*IFERROR(INDEX(AT$10:AT$11,Предпосылки!$I$215,),0),AT382/(1+IFERROR(INDEX(AT$10:AT$11,Предпосылки!$I$216,),0))*IFERROR(INDEX(AT$10:AT$11,Предпосылки!$I$216,),0),AT405/(1+IFERROR(INDEX(AT$10:AT$11,Предпосылки!$I$217,),0))*IFERROR(INDEX(AT$10:AT$11,Предпосылки!$I$217,),0),AT428/(1+IFERROR(INDEX(AT$10:AT$11,Предпосылки!$I$218,),0))*IFERROR(INDEX(AT$10:AT$11,Предпосылки!$I$218,),0),AT451/(1+IFERROR(INDEX(AT$10:AT$11,Предпосылки!$I$219,),0))*IFERROR(INDEX(AT$10:AT$11,Предпосылки!$I$219,),0),AT474/(1+IFERROR(INDEX(AT$10:AT$11,Предпосылки!$I$220,),0))*IFERROR(INDEX(AT$10:AT$11,Предпосылки!$I$220,),0))</f>
        <v>0</v>
      </c>
      <c s="125">
        <f>SUM(AU37/(1+IFERROR(INDEX(AU$10:AU$11,Предпосылки!$I$201,),0))*IFERROR(INDEX(AU$10:AU$11,Предпосылки!$I$201,),0),AU60/(1+IFERROR(INDEX(AU$10:AU$11,Предпосылки!$I$202,),0))*IFERROR(INDEX(AU$10:AU$11,Предпосылки!$I$202,),0),AU83/(1+IFERROR(INDEX(AU$10:AU$11,Предпосылки!$I$203,),0))*IFERROR(INDEX(AU$10:AU$11,Предпосылки!$I$203,),0),AU106/(1+IFERROR(INDEX(AU$10:AU$11,Предпосылки!$I$204,),0))*IFERROR(INDEX(AU$10:AU$11,Предпосылки!$I$204,),0),AU129/(1+IFERROR(INDEX(AU$10:AU$11,Предпосылки!$I$205,),0))*IFERROR(INDEX(AU$10:AU$11,Предпосылки!$I$205,),0),AU152/(1+IFERROR(INDEX(AU$10:AU$11,Предпосылки!$I$206,),0))*IFERROR(INDEX(AU$10:AU$11,Предпосылки!$I$206,),0),AU175/(1+IFERROR(INDEX(AU$10:AU$11,Предпосылки!$I$207,),0))*IFERROR(INDEX(AU$10:AU$11,Предпосылки!$I$207,),0),AU198/(1+IFERROR(INDEX(AU$10:AU$11,Предпосылки!$I$208,),0))*IFERROR(INDEX(AU$10:AU$11,Предпосылки!$I$208,),0),AU221/(1+IFERROR(INDEX(AU$10:AU$11,Предпосылки!$I$209,),0))*IFERROR(INDEX(AU$10:AU$11,Предпосылки!$I$209,),0),AU244/(1+IFERROR(INDEX(AU$10:AU$11,Предпосылки!$I$210,),0))*IFERROR(INDEX(AU$10:AU$11,Предпосылки!$I$210,),0),AU267/(1+IFERROR(INDEX(AU$10:AU$11,Предпосылки!$I$211,),0))*IFERROR(INDEX(AU$10:AU$11,Предпосылки!$I$211,),0),AU290/(1+IFERROR(INDEX(AU$10:AU$11,Предпосылки!$I$212,),0))*IFERROR(INDEX(AU$10:AU$11,Предпосылки!$I$212,),0),AU313/(1+IFERROR(INDEX(AU$10:AU$11,Предпосылки!$I$213,),0))*IFERROR(INDEX(AU$10:AU$11,Предпосылки!$I$213,),0),AU336/(1+IFERROR(INDEX(AU$10:AU$11,Предпосылки!$I$214,),0))*IFERROR(INDEX(AU$10:AU$11,Предпосылки!$I$214,),0),AU359/(1+IFERROR(INDEX(AU$10:AU$11,Предпосылки!$I$215,),0))*IFERROR(INDEX(AU$10:AU$11,Предпосылки!$I$215,),0),AU382/(1+IFERROR(INDEX(AU$10:AU$11,Предпосылки!$I$216,),0))*IFERROR(INDEX(AU$10:AU$11,Предпосылки!$I$216,),0),AU405/(1+IFERROR(INDEX(AU$10:AU$11,Предпосылки!$I$217,),0))*IFERROR(INDEX(AU$10:AU$11,Предпосылки!$I$217,),0),AU428/(1+IFERROR(INDEX(AU$10:AU$11,Предпосылки!$I$218,),0))*IFERROR(INDEX(AU$10:AU$11,Предпосылки!$I$218,),0),AU451/(1+IFERROR(INDEX(AU$10:AU$11,Предпосылки!$I$219,),0))*IFERROR(INDEX(AU$10:AU$11,Предпосылки!$I$219,),0),AU474/(1+IFERROR(INDEX(AU$10:AU$11,Предпосылки!$I$220,),0))*IFERROR(INDEX(AU$10:AU$11,Предпосылки!$I$220,),0))</f>
        <v>0</v>
      </c>
      <c s="125">
        <f>SUM(AV37/(1+IFERROR(INDEX(AV$10:AV$11,Предпосылки!$I$201,),0))*IFERROR(INDEX(AV$10:AV$11,Предпосылки!$I$201,),0),AV60/(1+IFERROR(INDEX(AV$10:AV$11,Предпосылки!$I$202,),0))*IFERROR(INDEX(AV$10:AV$11,Предпосылки!$I$202,),0),AV83/(1+IFERROR(INDEX(AV$10:AV$11,Предпосылки!$I$203,),0))*IFERROR(INDEX(AV$10:AV$11,Предпосылки!$I$203,),0),AV106/(1+IFERROR(INDEX(AV$10:AV$11,Предпосылки!$I$204,),0))*IFERROR(INDEX(AV$10:AV$11,Предпосылки!$I$204,),0),AV129/(1+IFERROR(INDEX(AV$10:AV$11,Предпосылки!$I$205,),0))*IFERROR(INDEX(AV$10:AV$11,Предпосылки!$I$205,),0),AV152/(1+IFERROR(INDEX(AV$10:AV$11,Предпосылки!$I$206,),0))*IFERROR(INDEX(AV$10:AV$11,Предпосылки!$I$206,),0),AV175/(1+IFERROR(INDEX(AV$10:AV$11,Предпосылки!$I$207,),0))*IFERROR(INDEX(AV$10:AV$11,Предпосылки!$I$207,),0),AV198/(1+IFERROR(INDEX(AV$10:AV$11,Предпосылки!$I$208,),0))*IFERROR(INDEX(AV$10:AV$11,Предпосылки!$I$208,),0),AV221/(1+IFERROR(INDEX(AV$10:AV$11,Предпосылки!$I$209,),0))*IFERROR(INDEX(AV$10:AV$11,Предпосылки!$I$209,),0),AV244/(1+IFERROR(INDEX(AV$10:AV$11,Предпосылки!$I$210,),0))*IFERROR(INDEX(AV$10:AV$11,Предпосылки!$I$210,),0),AV267/(1+IFERROR(INDEX(AV$10:AV$11,Предпосылки!$I$211,),0))*IFERROR(INDEX(AV$10:AV$11,Предпосылки!$I$211,),0),AV290/(1+IFERROR(INDEX(AV$10:AV$11,Предпосылки!$I$212,),0))*IFERROR(INDEX(AV$10:AV$11,Предпосылки!$I$212,),0),AV313/(1+IFERROR(INDEX(AV$10:AV$11,Предпосылки!$I$213,),0))*IFERROR(INDEX(AV$10:AV$11,Предпосылки!$I$213,),0),AV336/(1+IFERROR(INDEX(AV$10:AV$11,Предпосылки!$I$214,),0))*IFERROR(INDEX(AV$10:AV$11,Предпосылки!$I$214,),0),AV359/(1+IFERROR(INDEX(AV$10:AV$11,Предпосылки!$I$215,),0))*IFERROR(INDEX(AV$10:AV$11,Предпосылки!$I$215,),0),AV382/(1+IFERROR(INDEX(AV$10:AV$11,Предпосылки!$I$216,),0))*IFERROR(INDEX(AV$10:AV$11,Предпосылки!$I$216,),0),AV405/(1+IFERROR(INDEX(AV$10:AV$11,Предпосылки!$I$217,),0))*IFERROR(INDEX(AV$10:AV$11,Предпосылки!$I$217,),0),AV428/(1+IFERROR(INDEX(AV$10:AV$11,Предпосылки!$I$218,),0))*IFERROR(INDEX(AV$10:AV$11,Предпосылки!$I$218,),0),AV451/(1+IFERROR(INDEX(AV$10:AV$11,Предпосылки!$I$219,),0))*IFERROR(INDEX(AV$10:AV$11,Предпосылки!$I$219,),0),AV474/(1+IFERROR(INDEX(AV$10:AV$11,Предпосылки!$I$220,),0))*IFERROR(INDEX(AV$10:AV$11,Предпосылки!$I$220,),0))</f>
        <v>0</v>
      </c>
      <c s="125">
        <f>SUM(AW37/(1+IFERROR(INDEX(AW$10:AW$11,Предпосылки!$I$201,),0))*IFERROR(INDEX(AW$10:AW$11,Предпосылки!$I$201,),0),AW60/(1+IFERROR(INDEX(AW$10:AW$11,Предпосылки!$I$202,),0))*IFERROR(INDEX(AW$10:AW$11,Предпосылки!$I$202,),0),AW83/(1+IFERROR(INDEX(AW$10:AW$11,Предпосылки!$I$203,),0))*IFERROR(INDEX(AW$10:AW$11,Предпосылки!$I$203,),0),AW106/(1+IFERROR(INDEX(AW$10:AW$11,Предпосылки!$I$204,),0))*IFERROR(INDEX(AW$10:AW$11,Предпосылки!$I$204,),0),AW129/(1+IFERROR(INDEX(AW$10:AW$11,Предпосылки!$I$205,),0))*IFERROR(INDEX(AW$10:AW$11,Предпосылки!$I$205,),0),AW152/(1+IFERROR(INDEX(AW$10:AW$11,Предпосылки!$I$206,),0))*IFERROR(INDEX(AW$10:AW$11,Предпосылки!$I$206,),0),AW175/(1+IFERROR(INDEX(AW$10:AW$11,Предпосылки!$I$207,),0))*IFERROR(INDEX(AW$10:AW$11,Предпосылки!$I$207,),0),AW198/(1+IFERROR(INDEX(AW$10:AW$11,Предпосылки!$I$208,),0))*IFERROR(INDEX(AW$10:AW$11,Предпосылки!$I$208,),0),AW221/(1+IFERROR(INDEX(AW$10:AW$11,Предпосылки!$I$209,),0))*IFERROR(INDEX(AW$10:AW$11,Предпосылки!$I$209,),0),AW244/(1+IFERROR(INDEX(AW$10:AW$11,Предпосылки!$I$210,),0))*IFERROR(INDEX(AW$10:AW$11,Предпосылки!$I$210,),0),AW267/(1+IFERROR(INDEX(AW$10:AW$11,Предпосылки!$I$211,),0))*IFERROR(INDEX(AW$10:AW$11,Предпосылки!$I$211,),0),AW290/(1+IFERROR(INDEX(AW$10:AW$11,Предпосылки!$I$212,),0))*IFERROR(INDEX(AW$10:AW$11,Предпосылки!$I$212,),0),AW313/(1+IFERROR(INDEX(AW$10:AW$11,Предпосылки!$I$213,),0))*IFERROR(INDEX(AW$10:AW$11,Предпосылки!$I$213,),0),AW336/(1+IFERROR(INDEX(AW$10:AW$11,Предпосылки!$I$214,),0))*IFERROR(INDEX(AW$10:AW$11,Предпосылки!$I$214,),0),AW359/(1+IFERROR(INDEX(AW$10:AW$11,Предпосылки!$I$215,),0))*IFERROR(INDEX(AW$10:AW$11,Предпосылки!$I$215,),0),AW382/(1+IFERROR(INDEX(AW$10:AW$11,Предпосылки!$I$216,),0))*IFERROR(INDEX(AW$10:AW$11,Предпосылки!$I$216,),0),AW405/(1+IFERROR(INDEX(AW$10:AW$11,Предпосылки!$I$217,),0))*IFERROR(INDEX(AW$10:AW$11,Предпосылки!$I$217,),0),AW428/(1+IFERROR(INDEX(AW$10:AW$11,Предпосылки!$I$218,),0))*IFERROR(INDEX(AW$10:AW$11,Предпосылки!$I$218,),0),AW451/(1+IFERROR(INDEX(AW$10:AW$11,Предпосылки!$I$219,),0))*IFERROR(INDEX(AW$10:AW$11,Предпосылки!$I$219,),0),AW474/(1+IFERROR(INDEX(AW$10:AW$11,Предпосылки!$I$220,),0))*IFERROR(INDEX(AW$10:AW$11,Предпосылки!$I$220,),0))</f>
        <v>0</v>
      </c>
      <c s="125">
        <f>SUM(AX37/(1+IFERROR(INDEX(AX$10:AX$11,Предпосылки!$I$201,),0))*IFERROR(INDEX(AX$10:AX$11,Предпосылки!$I$201,),0),AX60/(1+IFERROR(INDEX(AX$10:AX$11,Предпосылки!$I$202,),0))*IFERROR(INDEX(AX$10:AX$11,Предпосылки!$I$202,),0),AX83/(1+IFERROR(INDEX(AX$10:AX$11,Предпосылки!$I$203,),0))*IFERROR(INDEX(AX$10:AX$11,Предпосылки!$I$203,),0),AX106/(1+IFERROR(INDEX(AX$10:AX$11,Предпосылки!$I$204,),0))*IFERROR(INDEX(AX$10:AX$11,Предпосылки!$I$204,),0),AX129/(1+IFERROR(INDEX(AX$10:AX$11,Предпосылки!$I$205,),0))*IFERROR(INDEX(AX$10:AX$11,Предпосылки!$I$205,),0),AX152/(1+IFERROR(INDEX(AX$10:AX$11,Предпосылки!$I$206,),0))*IFERROR(INDEX(AX$10:AX$11,Предпосылки!$I$206,),0),AX175/(1+IFERROR(INDEX(AX$10:AX$11,Предпосылки!$I$207,),0))*IFERROR(INDEX(AX$10:AX$11,Предпосылки!$I$207,),0),AX198/(1+IFERROR(INDEX(AX$10:AX$11,Предпосылки!$I$208,),0))*IFERROR(INDEX(AX$10:AX$11,Предпосылки!$I$208,),0),AX221/(1+IFERROR(INDEX(AX$10:AX$11,Предпосылки!$I$209,),0))*IFERROR(INDEX(AX$10:AX$11,Предпосылки!$I$209,),0),AX244/(1+IFERROR(INDEX(AX$10:AX$11,Предпосылки!$I$210,),0))*IFERROR(INDEX(AX$10:AX$11,Предпосылки!$I$210,),0),AX267/(1+IFERROR(INDEX(AX$10:AX$11,Предпосылки!$I$211,),0))*IFERROR(INDEX(AX$10:AX$11,Предпосылки!$I$211,),0),AX290/(1+IFERROR(INDEX(AX$10:AX$11,Предпосылки!$I$212,),0))*IFERROR(INDEX(AX$10:AX$11,Предпосылки!$I$212,),0),AX313/(1+IFERROR(INDEX(AX$10:AX$11,Предпосылки!$I$213,),0))*IFERROR(INDEX(AX$10:AX$11,Предпосылки!$I$213,),0),AX336/(1+IFERROR(INDEX(AX$10:AX$11,Предпосылки!$I$214,),0))*IFERROR(INDEX(AX$10:AX$11,Предпосылки!$I$214,),0),AX359/(1+IFERROR(INDEX(AX$10:AX$11,Предпосылки!$I$215,),0))*IFERROR(INDEX(AX$10:AX$11,Предпосылки!$I$215,),0),AX382/(1+IFERROR(INDEX(AX$10:AX$11,Предпосылки!$I$216,),0))*IFERROR(INDEX(AX$10:AX$11,Предпосылки!$I$216,),0),AX405/(1+IFERROR(INDEX(AX$10:AX$11,Предпосылки!$I$217,),0))*IFERROR(INDEX(AX$10:AX$11,Предпосылки!$I$217,),0),AX428/(1+IFERROR(INDEX(AX$10:AX$11,Предпосылки!$I$218,),0))*IFERROR(INDEX(AX$10:AX$11,Предпосылки!$I$218,),0),AX451/(1+IFERROR(INDEX(AX$10:AX$11,Предпосылки!$I$219,),0))*IFERROR(INDEX(AX$10:AX$11,Предпосылки!$I$219,),0),AX474/(1+IFERROR(INDEX(AX$10:AX$11,Предпосылки!$I$220,),0))*IFERROR(INDEX(AX$10:AX$11,Предпосылки!$I$220,),0))</f>
        <v>0</v>
      </c>
      <c s="125">
        <f>SUM(AY37/(1+IFERROR(INDEX(AY$10:AY$11,Предпосылки!$I$201,),0))*IFERROR(INDEX(AY$10:AY$11,Предпосылки!$I$201,),0),AY60/(1+IFERROR(INDEX(AY$10:AY$11,Предпосылки!$I$202,),0))*IFERROR(INDEX(AY$10:AY$11,Предпосылки!$I$202,),0),AY83/(1+IFERROR(INDEX(AY$10:AY$11,Предпосылки!$I$203,),0))*IFERROR(INDEX(AY$10:AY$11,Предпосылки!$I$203,),0),AY106/(1+IFERROR(INDEX(AY$10:AY$11,Предпосылки!$I$204,),0))*IFERROR(INDEX(AY$10:AY$11,Предпосылки!$I$204,),0),AY129/(1+IFERROR(INDEX(AY$10:AY$11,Предпосылки!$I$205,),0))*IFERROR(INDEX(AY$10:AY$11,Предпосылки!$I$205,),0),AY152/(1+IFERROR(INDEX(AY$10:AY$11,Предпосылки!$I$206,),0))*IFERROR(INDEX(AY$10:AY$11,Предпосылки!$I$206,),0),AY175/(1+IFERROR(INDEX(AY$10:AY$11,Предпосылки!$I$207,),0))*IFERROR(INDEX(AY$10:AY$11,Предпосылки!$I$207,),0),AY198/(1+IFERROR(INDEX(AY$10:AY$11,Предпосылки!$I$208,),0))*IFERROR(INDEX(AY$10:AY$11,Предпосылки!$I$208,),0),AY221/(1+IFERROR(INDEX(AY$10:AY$11,Предпосылки!$I$209,),0))*IFERROR(INDEX(AY$10:AY$11,Предпосылки!$I$209,),0),AY244/(1+IFERROR(INDEX(AY$10:AY$11,Предпосылки!$I$210,),0))*IFERROR(INDEX(AY$10:AY$11,Предпосылки!$I$210,),0),AY267/(1+IFERROR(INDEX(AY$10:AY$11,Предпосылки!$I$211,),0))*IFERROR(INDEX(AY$10:AY$11,Предпосылки!$I$211,),0),AY290/(1+IFERROR(INDEX(AY$10:AY$11,Предпосылки!$I$212,),0))*IFERROR(INDEX(AY$10:AY$11,Предпосылки!$I$212,),0),AY313/(1+IFERROR(INDEX(AY$10:AY$11,Предпосылки!$I$213,),0))*IFERROR(INDEX(AY$10:AY$11,Предпосылки!$I$213,),0),AY336/(1+IFERROR(INDEX(AY$10:AY$11,Предпосылки!$I$214,),0))*IFERROR(INDEX(AY$10:AY$11,Предпосылки!$I$214,),0),AY359/(1+IFERROR(INDEX(AY$10:AY$11,Предпосылки!$I$215,),0))*IFERROR(INDEX(AY$10:AY$11,Предпосылки!$I$215,),0),AY382/(1+IFERROR(INDEX(AY$10:AY$11,Предпосылки!$I$216,),0))*IFERROR(INDEX(AY$10:AY$11,Предпосылки!$I$216,),0),AY405/(1+IFERROR(INDEX(AY$10:AY$11,Предпосылки!$I$217,),0))*IFERROR(INDEX(AY$10:AY$11,Предпосылки!$I$217,),0),AY428/(1+IFERROR(INDEX(AY$10:AY$11,Предпосылки!$I$218,),0))*IFERROR(INDEX(AY$10:AY$11,Предпосылки!$I$218,),0),AY451/(1+IFERROR(INDEX(AY$10:AY$11,Предпосылки!$I$219,),0))*IFERROR(INDEX(AY$10:AY$11,Предпосылки!$I$219,),0),AY474/(1+IFERROR(INDEX(AY$10:AY$11,Предпосылки!$I$220,),0))*IFERROR(INDEX(AY$10:AY$11,Предпосылки!$I$220,),0))</f>
        <v>0</v>
      </c>
      <c s="125">
        <f>SUM(AZ37/(1+IFERROR(INDEX(AZ$10:AZ$11,Предпосылки!$I$201,),0))*IFERROR(INDEX(AZ$10:AZ$11,Предпосылки!$I$201,),0),AZ60/(1+IFERROR(INDEX(AZ$10:AZ$11,Предпосылки!$I$202,),0))*IFERROR(INDEX(AZ$10:AZ$11,Предпосылки!$I$202,),0),AZ83/(1+IFERROR(INDEX(AZ$10:AZ$11,Предпосылки!$I$203,),0))*IFERROR(INDEX(AZ$10:AZ$11,Предпосылки!$I$203,),0),AZ106/(1+IFERROR(INDEX(AZ$10:AZ$11,Предпосылки!$I$204,),0))*IFERROR(INDEX(AZ$10:AZ$11,Предпосылки!$I$204,),0),AZ129/(1+IFERROR(INDEX(AZ$10:AZ$11,Предпосылки!$I$205,),0))*IFERROR(INDEX(AZ$10:AZ$11,Предпосылки!$I$205,),0),AZ152/(1+IFERROR(INDEX(AZ$10:AZ$11,Предпосылки!$I$206,),0))*IFERROR(INDEX(AZ$10:AZ$11,Предпосылки!$I$206,),0),AZ175/(1+IFERROR(INDEX(AZ$10:AZ$11,Предпосылки!$I$207,),0))*IFERROR(INDEX(AZ$10:AZ$11,Предпосылки!$I$207,),0),AZ198/(1+IFERROR(INDEX(AZ$10:AZ$11,Предпосылки!$I$208,),0))*IFERROR(INDEX(AZ$10:AZ$11,Предпосылки!$I$208,),0),AZ221/(1+IFERROR(INDEX(AZ$10:AZ$11,Предпосылки!$I$209,),0))*IFERROR(INDEX(AZ$10:AZ$11,Предпосылки!$I$209,),0),AZ244/(1+IFERROR(INDEX(AZ$10:AZ$11,Предпосылки!$I$210,),0))*IFERROR(INDEX(AZ$10:AZ$11,Предпосылки!$I$210,),0),AZ267/(1+IFERROR(INDEX(AZ$10:AZ$11,Предпосылки!$I$211,),0))*IFERROR(INDEX(AZ$10:AZ$11,Предпосылки!$I$211,),0),AZ290/(1+IFERROR(INDEX(AZ$10:AZ$11,Предпосылки!$I$212,),0))*IFERROR(INDEX(AZ$10:AZ$11,Предпосылки!$I$212,),0),AZ313/(1+IFERROR(INDEX(AZ$10:AZ$11,Предпосылки!$I$213,),0))*IFERROR(INDEX(AZ$10:AZ$11,Предпосылки!$I$213,),0),AZ336/(1+IFERROR(INDEX(AZ$10:AZ$11,Предпосылки!$I$214,),0))*IFERROR(INDEX(AZ$10:AZ$11,Предпосылки!$I$214,),0),AZ359/(1+IFERROR(INDEX(AZ$10:AZ$11,Предпосылки!$I$215,),0))*IFERROR(INDEX(AZ$10:AZ$11,Предпосылки!$I$215,),0),AZ382/(1+IFERROR(INDEX(AZ$10:AZ$11,Предпосылки!$I$216,),0))*IFERROR(INDEX(AZ$10:AZ$11,Предпосылки!$I$216,),0),AZ405/(1+IFERROR(INDEX(AZ$10:AZ$11,Предпосылки!$I$217,),0))*IFERROR(INDEX(AZ$10:AZ$11,Предпосылки!$I$217,),0),AZ428/(1+IFERROR(INDEX(AZ$10:AZ$11,Предпосылки!$I$218,),0))*IFERROR(INDEX(AZ$10:AZ$11,Предпосылки!$I$218,),0),AZ451/(1+IFERROR(INDEX(AZ$10:AZ$11,Предпосылки!$I$219,),0))*IFERROR(INDEX(AZ$10:AZ$11,Предпосылки!$I$219,),0),AZ474/(1+IFERROR(INDEX(AZ$10:AZ$11,Предпосылки!$I$220,),0))*IFERROR(INDEX(AZ$10:AZ$11,Предпосылки!$I$220,),0))</f>
        <v>0</v>
      </c>
      <c s="125">
        <f>SUM(BA37/(1+IFERROR(INDEX(BA$10:BA$11,Предпосылки!$I$201,),0))*IFERROR(INDEX(BA$10:BA$11,Предпосылки!$I$201,),0),BA60/(1+IFERROR(INDEX(BA$10:BA$11,Предпосылки!$I$202,),0))*IFERROR(INDEX(BA$10:BA$11,Предпосылки!$I$202,),0),BA83/(1+IFERROR(INDEX(BA$10:BA$11,Предпосылки!$I$203,),0))*IFERROR(INDEX(BA$10:BA$11,Предпосылки!$I$203,),0),BA106/(1+IFERROR(INDEX(BA$10:BA$11,Предпосылки!$I$204,),0))*IFERROR(INDEX(BA$10:BA$11,Предпосылки!$I$204,),0),BA129/(1+IFERROR(INDEX(BA$10:BA$11,Предпосылки!$I$205,),0))*IFERROR(INDEX(BA$10:BA$11,Предпосылки!$I$205,),0),BA152/(1+IFERROR(INDEX(BA$10:BA$11,Предпосылки!$I$206,),0))*IFERROR(INDEX(BA$10:BA$11,Предпосылки!$I$206,),0),BA175/(1+IFERROR(INDEX(BA$10:BA$11,Предпосылки!$I$207,),0))*IFERROR(INDEX(BA$10:BA$11,Предпосылки!$I$207,),0),BA198/(1+IFERROR(INDEX(BA$10:BA$11,Предпосылки!$I$208,),0))*IFERROR(INDEX(BA$10:BA$11,Предпосылки!$I$208,),0),BA221/(1+IFERROR(INDEX(BA$10:BA$11,Предпосылки!$I$209,),0))*IFERROR(INDEX(BA$10:BA$11,Предпосылки!$I$209,),0),BA244/(1+IFERROR(INDEX(BA$10:BA$11,Предпосылки!$I$210,),0))*IFERROR(INDEX(BA$10:BA$11,Предпосылки!$I$210,),0),BA267/(1+IFERROR(INDEX(BA$10:BA$11,Предпосылки!$I$211,),0))*IFERROR(INDEX(BA$10:BA$11,Предпосылки!$I$211,),0),BA290/(1+IFERROR(INDEX(BA$10:BA$11,Предпосылки!$I$212,),0))*IFERROR(INDEX(BA$10:BA$11,Предпосылки!$I$212,),0),BA313/(1+IFERROR(INDEX(BA$10:BA$11,Предпосылки!$I$213,),0))*IFERROR(INDEX(BA$10:BA$11,Предпосылки!$I$213,),0),BA336/(1+IFERROR(INDEX(BA$10:BA$11,Предпосылки!$I$214,),0))*IFERROR(INDEX(BA$10:BA$11,Предпосылки!$I$214,),0),BA359/(1+IFERROR(INDEX(BA$10:BA$11,Предпосылки!$I$215,),0))*IFERROR(INDEX(BA$10:BA$11,Предпосылки!$I$215,),0),BA382/(1+IFERROR(INDEX(BA$10:BA$11,Предпосылки!$I$216,),0))*IFERROR(INDEX(BA$10:BA$11,Предпосылки!$I$216,),0),BA405/(1+IFERROR(INDEX(BA$10:BA$11,Предпосылки!$I$217,),0))*IFERROR(INDEX(BA$10:BA$11,Предпосылки!$I$217,),0),BA428/(1+IFERROR(INDEX(BA$10:BA$11,Предпосылки!$I$218,),0))*IFERROR(INDEX(BA$10:BA$11,Предпосылки!$I$218,),0),BA451/(1+IFERROR(INDEX(BA$10:BA$11,Предпосылки!$I$219,),0))*IFERROR(INDEX(BA$10:BA$11,Предпосылки!$I$219,),0),BA474/(1+IFERROR(INDEX(BA$10:BA$11,Предпосылки!$I$220,),0))*IFERROR(INDEX(BA$10:BA$11,Предпосылки!$I$220,),0))</f>
        <v>0</v>
      </c>
      <c s="125">
        <f>SUM(BB37/(1+IFERROR(INDEX(BB$10:BB$11,Предпосылки!$I$201,),0))*IFERROR(INDEX(BB$10:BB$11,Предпосылки!$I$201,),0),BB60/(1+IFERROR(INDEX(BB$10:BB$11,Предпосылки!$I$202,),0))*IFERROR(INDEX(BB$10:BB$11,Предпосылки!$I$202,),0),BB83/(1+IFERROR(INDEX(BB$10:BB$11,Предпосылки!$I$203,),0))*IFERROR(INDEX(BB$10:BB$11,Предпосылки!$I$203,),0),BB106/(1+IFERROR(INDEX(BB$10:BB$11,Предпосылки!$I$204,),0))*IFERROR(INDEX(BB$10:BB$11,Предпосылки!$I$204,),0),BB129/(1+IFERROR(INDEX(BB$10:BB$11,Предпосылки!$I$205,),0))*IFERROR(INDEX(BB$10:BB$11,Предпосылки!$I$205,),0),BB152/(1+IFERROR(INDEX(BB$10:BB$11,Предпосылки!$I$206,),0))*IFERROR(INDEX(BB$10:BB$11,Предпосылки!$I$206,),0),BB175/(1+IFERROR(INDEX(BB$10:BB$11,Предпосылки!$I$207,),0))*IFERROR(INDEX(BB$10:BB$11,Предпосылки!$I$207,),0),BB198/(1+IFERROR(INDEX(BB$10:BB$11,Предпосылки!$I$208,),0))*IFERROR(INDEX(BB$10:BB$11,Предпосылки!$I$208,),0),BB221/(1+IFERROR(INDEX(BB$10:BB$11,Предпосылки!$I$209,),0))*IFERROR(INDEX(BB$10:BB$11,Предпосылки!$I$209,),0),BB244/(1+IFERROR(INDEX(BB$10:BB$11,Предпосылки!$I$210,),0))*IFERROR(INDEX(BB$10:BB$11,Предпосылки!$I$210,),0),BB267/(1+IFERROR(INDEX(BB$10:BB$11,Предпосылки!$I$211,),0))*IFERROR(INDEX(BB$10:BB$11,Предпосылки!$I$211,),0),BB290/(1+IFERROR(INDEX(BB$10:BB$11,Предпосылки!$I$212,),0))*IFERROR(INDEX(BB$10:BB$11,Предпосылки!$I$212,),0),BB313/(1+IFERROR(INDEX(BB$10:BB$11,Предпосылки!$I$213,),0))*IFERROR(INDEX(BB$10:BB$11,Предпосылки!$I$213,),0),BB336/(1+IFERROR(INDEX(BB$10:BB$11,Предпосылки!$I$214,),0))*IFERROR(INDEX(BB$10:BB$11,Предпосылки!$I$214,),0),BB359/(1+IFERROR(INDEX(BB$10:BB$11,Предпосылки!$I$215,),0))*IFERROR(INDEX(BB$10:BB$11,Предпосылки!$I$215,),0),BB382/(1+IFERROR(INDEX(BB$10:BB$11,Предпосылки!$I$216,),0))*IFERROR(INDEX(BB$10:BB$11,Предпосылки!$I$216,),0),BB405/(1+IFERROR(INDEX(BB$10:BB$11,Предпосылки!$I$217,),0))*IFERROR(INDEX(BB$10:BB$11,Предпосылки!$I$217,),0),BB428/(1+IFERROR(INDEX(BB$10:BB$11,Предпосылки!$I$218,),0))*IFERROR(INDEX(BB$10:BB$11,Предпосылки!$I$218,),0),BB451/(1+IFERROR(INDEX(BB$10:BB$11,Предпосылки!$I$219,),0))*IFERROR(INDEX(BB$10:BB$11,Предпосылки!$I$219,),0),BB474/(1+IFERROR(INDEX(BB$10:BB$11,Предпосылки!$I$220,),0))*IFERROR(INDEX(BB$10:BB$11,Предпосылки!$I$220,),0))</f>
        <v>0</v>
      </c>
      <c s="125">
        <f>SUM(BC37/(1+IFERROR(INDEX(BC$10:BC$11,Предпосылки!$I$201,),0))*IFERROR(INDEX(BC$10:BC$11,Предпосылки!$I$201,),0),BC60/(1+IFERROR(INDEX(BC$10:BC$11,Предпосылки!$I$202,),0))*IFERROR(INDEX(BC$10:BC$11,Предпосылки!$I$202,),0),BC83/(1+IFERROR(INDEX(BC$10:BC$11,Предпосылки!$I$203,),0))*IFERROR(INDEX(BC$10:BC$11,Предпосылки!$I$203,),0),BC106/(1+IFERROR(INDEX(BC$10:BC$11,Предпосылки!$I$204,),0))*IFERROR(INDEX(BC$10:BC$11,Предпосылки!$I$204,),0),BC129/(1+IFERROR(INDEX(BC$10:BC$11,Предпосылки!$I$205,),0))*IFERROR(INDEX(BC$10:BC$11,Предпосылки!$I$205,),0),BC152/(1+IFERROR(INDEX(BC$10:BC$11,Предпосылки!$I$206,),0))*IFERROR(INDEX(BC$10:BC$11,Предпосылки!$I$206,),0),BC175/(1+IFERROR(INDEX(BC$10:BC$11,Предпосылки!$I$207,),0))*IFERROR(INDEX(BC$10:BC$11,Предпосылки!$I$207,),0),BC198/(1+IFERROR(INDEX(BC$10:BC$11,Предпосылки!$I$208,),0))*IFERROR(INDEX(BC$10:BC$11,Предпосылки!$I$208,),0),BC221/(1+IFERROR(INDEX(BC$10:BC$11,Предпосылки!$I$209,),0))*IFERROR(INDEX(BC$10:BC$11,Предпосылки!$I$209,),0),BC244/(1+IFERROR(INDEX(BC$10:BC$11,Предпосылки!$I$210,),0))*IFERROR(INDEX(BC$10:BC$11,Предпосылки!$I$210,),0),BC267/(1+IFERROR(INDEX(BC$10:BC$11,Предпосылки!$I$211,),0))*IFERROR(INDEX(BC$10:BC$11,Предпосылки!$I$211,),0),BC290/(1+IFERROR(INDEX(BC$10:BC$11,Предпосылки!$I$212,),0))*IFERROR(INDEX(BC$10:BC$11,Предпосылки!$I$212,),0),BC313/(1+IFERROR(INDEX(BC$10:BC$11,Предпосылки!$I$213,),0))*IFERROR(INDEX(BC$10:BC$11,Предпосылки!$I$213,),0),BC336/(1+IFERROR(INDEX(BC$10:BC$11,Предпосылки!$I$214,),0))*IFERROR(INDEX(BC$10:BC$11,Предпосылки!$I$214,),0),BC359/(1+IFERROR(INDEX(BC$10:BC$11,Предпосылки!$I$215,),0))*IFERROR(INDEX(BC$10:BC$11,Предпосылки!$I$215,),0),BC382/(1+IFERROR(INDEX(BC$10:BC$11,Предпосылки!$I$216,),0))*IFERROR(INDEX(BC$10:BC$11,Предпосылки!$I$216,),0),BC405/(1+IFERROR(INDEX(BC$10:BC$11,Предпосылки!$I$217,),0))*IFERROR(INDEX(BC$10:BC$11,Предпосылки!$I$217,),0),BC428/(1+IFERROR(INDEX(BC$10:BC$11,Предпосылки!$I$218,),0))*IFERROR(INDEX(BC$10:BC$11,Предпосылки!$I$218,),0),BC451/(1+IFERROR(INDEX(BC$10:BC$11,Предпосылки!$I$219,),0))*IFERROR(INDEX(BC$10:BC$11,Предпосылки!$I$219,),0),BC474/(1+IFERROR(INDEX(BC$10:BC$11,Предпосылки!$I$220,),0))*IFERROR(INDEX(BC$10:BC$11,Предпосылки!$I$220,),0))</f>
        <v>0</v>
      </c>
      <c s="125">
        <f>SUM(BD37/(1+IFERROR(INDEX(BD$10:BD$11,Предпосылки!$I$201,),0))*IFERROR(INDEX(BD$10:BD$11,Предпосылки!$I$201,),0),BD60/(1+IFERROR(INDEX(BD$10:BD$11,Предпосылки!$I$202,),0))*IFERROR(INDEX(BD$10:BD$11,Предпосылки!$I$202,),0),BD83/(1+IFERROR(INDEX(BD$10:BD$11,Предпосылки!$I$203,),0))*IFERROR(INDEX(BD$10:BD$11,Предпосылки!$I$203,),0),BD106/(1+IFERROR(INDEX(BD$10:BD$11,Предпосылки!$I$204,),0))*IFERROR(INDEX(BD$10:BD$11,Предпосылки!$I$204,),0),BD129/(1+IFERROR(INDEX(BD$10:BD$11,Предпосылки!$I$205,),0))*IFERROR(INDEX(BD$10:BD$11,Предпосылки!$I$205,),0),BD152/(1+IFERROR(INDEX(BD$10:BD$11,Предпосылки!$I$206,),0))*IFERROR(INDEX(BD$10:BD$11,Предпосылки!$I$206,),0),BD175/(1+IFERROR(INDEX(BD$10:BD$11,Предпосылки!$I$207,),0))*IFERROR(INDEX(BD$10:BD$11,Предпосылки!$I$207,),0),BD198/(1+IFERROR(INDEX(BD$10:BD$11,Предпосылки!$I$208,),0))*IFERROR(INDEX(BD$10:BD$11,Предпосылки!$I$208,),0),BD221/(1+IFERROR(INDEX(BD$10:BD$11,Предпосылки!$I$209,),0))*IFERROR(INDEX(BD$10:BD$11,Предпосылки!$I$209,),0),BD244/(1+IFERROR(INDEX(BD$10:BD$11,Предпосылки!$I$210,),0))*IFERROR(INDEX(BD$10:BD$11,Предпосылки!$I$210,),0),BD267/(1+IFERROR(INDEX(BD$10:BD$11,Предпосылки!$I$211,),0))*IFERROR(INDEX(BD$10:BD$11,Предпосылки!$I$211,),0),BD290/(1+IFERROR(INDEX(BD$10:BD$11,Предпосылки!$I$212,),0))*IFERROR(INDEX(BD$10:BD$11,Предпосылки!$I$212,),0),BD313/(1+IFERROR(INDEX(BD$10:BD$11,Предпосылки!$I$213,),0))*IFERROR(INDEX(BD$10:BD$11,Предпосылки!$I$213,),0),BD336/(1+IFERROR(INDEX(BD$10:BD$11,Предпосылки!$I$214,),0))*IFERROR(INDEX(BD$10:BD$11,Предпосылки!$I$214,),0),BD359/(1+IFERROR(INDEX(BD$10:BD$11,Предпосылки!$I$215,),0))*IFERROR(INDEX(BD$10:BD$11,Предпосылки!$I$215,),0),BD382/(1+IFERROR(INDEX(BD$10:BD$11,Предпосылки!$I$216,),0))*IFERROR(INDEX(BD$10:BD$11,Предпосылки!$I$216,),0),BD405/(1+IFERROR(INDEX(BD$10:BD$11,Предпосылки!$I$217,),0))*IFERROR(INDEX(BD$10:BD$11,Предпосылки!$I$217,),0),BD428/(1+IFERROR(INDEX(BD$10:BD$11,Предпосылки!$I$218,),0))*IFERROR(INDEX(BD$10:BD$11,Предпосылки!$I$218,),0),BD451/(1+IFERROR(INDEX(BD$10:BD$11,Предпосылки!$I$219,),0))*IFERROR(INDEX(BD$10:BD$11,Предпосылки!$I$219,),0),BD474/(1+IFERROR(INDEX(BD$10:BD$11,Предпосылки!$I$220,),0))*IFERROR(INDEX(BD$10:BD$11,Предпосылки!$I$220,),0))</f>
        <v>0</v>
      </c>
      <c s="125">
        <f>SUM(BE37/(1+IFERROR(INDEX(BE$10:BE$11,Предпосылки!$I$201,),0))*IFERROR(INDEX(BE$10:BE$11,Предпосылки!$I$201,),0),BE60/(1+IFERROR(INDEX(BE$10:BE$11,Предпосылки!$I$202,),0))*IFERROR(INDEX(BE$10:BE$11,Предпосылки!$I$202,),0),BE83/(1+IFERROR(INDEX(BE$10:BE$11,Предпосылки!$I$203,),0))*IFERROR(INDEX(BE$10:BE$11,Предпосылки!$I$203,),0),BE106/(1+IFERROR(INDEX(BE$10:BE$11,Предпосылки!$I$204,),0))*IFERROR(INDEX(BE$10:BE$11,Предпосылки!$I$204,),0),BE129/(1+IFERROR(INDEX(BE$10:BE$11,Предпосылки!$I$205,),0))*IFERROR(INDEX(BE$10:BE$11,Предпосылки!$I$205,),0),BE152/(1+IFERROR(INDEX(BE$10:BE$11,Предпосылки!$I$206,),0))*IFERROR(INDEX(BE$10:BE$11,Предпосылки!$I$206,),0),BE175/(1+IFERROR(INDEX(BE$10:BE$11,Предпосылки!$I$207,),0))*IFERROR(INDEX(BE$10:BE$11,Предпосылки!$I$207,),0),BE198/(1+IFERROR(INDEX(BE$10:BE$11,Предпосылки!$I$208,),0))*IFERROR(INDEX(BE$10:BE$11,Предпосылки!$I$208,),0),BE221/(1+IFERROR(INDEX(BE$10:BE$11,Предпосылки!$I$209,),0))*IFERROR(INDEX(BE$10:BE$11,Предпосылки!$I$209,),0),BE244/(1+IFERROR(INDEX(BE$10:BE$11,Предпосылки!$I$210,),0))*IFERROR(INDEX(BE$10:BE$11,Предпосылки!$I$210,),0),BE267/(1+IFERROR(INDEX(BE$10:BE$11,Предпосылки!$I$211,),0))*IFERROR(INDEX(BE$10:BE$11,Предпосылки!$I$211,),0),BE290/(1+IFERROR(INDEX(BE$10:BE$11,Предпосылки!$I$212,),0))*IFERROR(INDEX(BE$10:BE$11,Предпосылки!$I$212,),0),BE313/(1+IFERROR(INDEX(BE$10:BE$11,Предпосылки!$I$213,),0))*IFERROR(INDEX(BE$10:BE$11,Предпосылки!$I$213,),0),BE336/(1+IFERROR(INDEX(BE$10:BE$11,Предпосылки!$I$214,),0))*IFERROR(INDEX(BE$10:BE$11,Предпосылки!$I$214,),0),BE359/(1+IFERROR(INDEX(BE$10:BE$11,Предпосылки!$I$215,),0))*IFERROR(INDEX(BE$10:BE$11,Предпосылки!$I$215,),0),BE382/(1+IFERROR(INDEX(BE$10:BE$11,Предпосылки!$I$216,),0))*IFERROR(INDEX(BE$10:BE$11,Предпосылки!$I$216,),0),BE405/(1+IFERROR(INDEX(BE$10:BE$11,Предпосылки!$I$217,),0))*IFERROR(INDEX(BE$10:BE$11,Предпосылки!$I$217,),0),BE428/(1+IFERROR(INDEX(BE$10:BE$11,Предпосылки!$I$218,),0))*IFERROR(INDEX(BE$10:BE$11,Предпосылки!$I$218,),0),BE451/(1+IFERROR(INDEX(BE$10:BE$11,Предпосылки!$I$219,),0))*IFERROR(INDEX(BE$10:BE$11,Предпосылки!$I$219,),0),BE474/(1+IFERROR(INDEX(BE$10:BE$11,Предпосылки!$I$220,),0))*IFERROR(INDEX(BE$10:BE$11,Предпосылки!$I$220,),0))</f>
        <v>0</v>
      </c>
      <c s="125">
        <f>SUM(BF37/(1+IFERROR(INDEX(BF$10:BF$11,Предпосылки!$I$201,),0))*IFERROR(INDEX(BF$10:BF$11,Предпосылки!$I$201,),0),BF60/(1+IFERROR(INDEX(BF$10:BF$11,Предпосылки!$I$202,),0))*IFERROR(INDEX(BF$10:BF$11,Предпосылки!$I$202,),0),BF83/(1+IFERROR(INDEX(BF$10:BF$11,Предпосылки!$I$203,),0))*IFERROR(INDEX(BF$10:BF$11,Предпосылки!$I$203,),0),BF106/(1+IFERROR(INDEX(BF$10:BF$11,Предпосылки!$I$204,),0))*IFERROR(INDEX(BF$10:BF$11,Предпосылки!$I$204,),0),BF129/(1+IFERROR(INDEX(BF$10:BF$11,Предпосылки!$I$205,),0))*IFERROR(INDEX(BF$10:BF$11,Предпосылки!$I$205,),0),BF152/(1+IFERROR(INDEX(BF$10:BF$11,Предпосылки!$I$206,),0))*IFERROR(INDEX(BF$10:BF$11,Предпосылки!$I$206,),0),BF175/(1+IFERROR(INDEX(BF$10:BF$11,Предпосылки!$I$207,),0))*IFERROR(INDEX(BF$10:BF$11,Предпосылки!$I$207,),0),BF198/(1+IFERROR(INDEX(BF$10:BF$11,Предпосылки!$I$208,),0))*IFERROR(INDEX(BF$10:BF$11,Предпосылки!$I$208,),0),BF221/(1+IFERROR(INDEX(BF$10:BF$11,Предпосылки!$I$209,),0))*IFERROR(INDEX(BF$10:BF$11,Предпосылки!$I$209,),0),BF244/(1+IFERROR(INDEX(BF$10:BF$11,Предпосылки!$I$210,),0))*IFERROR(INDEX(BF$10:BF$11,Предпосылки!$I$210,),0),BF267/(1+IFERROR(INDEX(BF$10:BF$11,Предпосылки!$I$211,),0))*IFERROR(INDEX(BF$10:BF$11,Предпосылки!$I$211,),0),BF290/(1+IFERROR(INDEX(BF$10:BF$11,Предпосылки!$I$212,),0))*IFERROR(INDEX(BF$10:BF$11,Предпосылки!$I$212,),0),BF313/(1+IFERROR(INDEX(BF$10:BF$11,Предпосылки!$I$213,),0))*IFERROR(INDEX(BF$10:BF$11,Предпосылки!$I$213,),0),BF336/(1+IFERROR(INDEX(BF$10:BF$11,Предпосылки!$I$214,),0))*IFERROR(INDEX(BF$10:BF$11,Предпосылки!$I$214,),0),BF359/(1+IFERROR(INDEX(BF$10:BF$11,Предпосылки!$I$215,),0))*IFERROR(INDEX(BF$10:BF$11,Предпосылки!$I$215,),0),BF382/(1+IFERROR(INDEX(BF$10:BF$11,Предпосылки!$I$216,),0))*IFERROR(INDEX(BF$10:BF$11,Предпосылки!$I$216,),0),BF405/(1+IFERROR(INDEX(BF$10:BF$11,Предпосылки!$I$217,),0))*IFERROR(INDEX(BF$10:BF$11,Предпосылки!$I$217,),0),BF428/(1+IFERROR(INDEX(BF$10:BF$11,Предпосылки!$I$218,),0))*IFERROR(INDEX(BF$10:BF$11,Предпосылки!$I$218,),0),BF451/(1+IFERROR(INDEX(BF$10:BF$11,Предпосылки!$I$219,),0))*IFERROR(INDEX(BF$10:BF$11,Предпосылки!$I$219,),0),BF474/(1+IFERROR(INDEX(BF$10:BF$11,Предпосылки!$I$220,),0))*IFERROR(INDEX(BF$10:BF$11,Предпосылки!$I$220,),0))</f>
        <v>0</v>
      </c>
      <c s="125">
        <f>SUM(BG37/(1+IFERROR(INDEX(BG$10:BG$11,Предпосылки!$I$201,),0))*IFERROR(INDEX(BG$10:BG$11,Предпосылки!$I$201,),0),BG60/(1+IFERROR(INDEX(BG$10:BG$11,Предпосылки!$I$202,),0))*IFERROR(INDEX(BG$10:BG$11,Предпосылки!$I$202,),0),BG83/(1+IFERROR(INDEX(BG$10:BG$11,Предпосылки!$I$203,),0))*IFERROR(INDEX(BG$10:BG$11,Предпосылки!$I$203,),0),BG106/(1+IFERROR(INDEX(BG$10:BG$11,Предпосылки!$I$204,),0))*IFERROR(INDEX(BG$10:BG$11,Предпосылки!$I$204,),0),BG129/(1+IFERROR(INDEX(BG$10:BG$11,Предпосылки!$I$205,),0))*IFERROR(INDEX(BG$10:BG$11,Предпосылки!$I$205,),0),BG152/(1+IFERROR(INDEX(BG$10:BG$11,Предпосылки!$I$206,),0))*IFERROR(INDEX(BG$10:BG$11,Предпосылки!$I$206,),0),BG175/(1+IFERROR(INDEX(BG$10:BG$11,Предпосылки!$I$207,),0))*IFERROR(INDEX(BG$10:BG$11,Предпосылки!$I$207,),0),BG198/(1+IFERROR(INDEX(BG$10:BG$11,Предпосылки!$I$208,),0))*IFERROR(INDEX(BG$10:BG$11,Предпосылки!$I$208,),0),BG221/(1+IFERROR(INDEX(BG$10:BG$11,Предпосылки!$I$209,),0))*IFERROR(INDEX(BG$10:BG$11,Предпосылки!$I$209,),0),BG244/(1+IFERROR(INDEX(BG$10:BG$11,Предпосылки!$I$210,),0))*IFERROR(INDEX(BG$10:BG$11,Предпосылки!$I$210,),0),BG267/(1+IFERROR(INDEX(BG$10:BG$11,Предпосылки!$I$211,),0))*IFERROR(INDEX(BG$10:BG$11,Предпосылки!$I$211,),0),BG290/(1+IFERROR(INDEX(BG$10:BG$11,Предпосылки!$I$212,),0))*IFERROR(INDEX(BG$10:BG$11,Предпосылки!$I$212,),0),BG313/(1+IFERROR(INDEX(BG$10:BG$11,Предпосылки!$I$213,),0))*IFERROR(INDEX(BG$10:BG$11,Предпосылки!$I$213,),0),BG336/(1+IFERROR(INDEX(BG$10:BG$11,Предпосылки!$I$214,),0))*IFERROR(INDEX(BG$10:BG$11,Предпосылки!$I$214,),0),BG359/(1+IFERROR(INDEX(BG$10:BG$11,Предпосылки!$I$215,),0))*IFERROR(INDEX(BG$10:BG$11,Предпосылки!$I$215,),0),BG382/(1+IFERROR(INDEX(BG$10:BG$11,Предпосылки!$I$216,),0))*IFERROR(INDEX(BG$10:BG$11,Предпосылки!$I$216,),0),BG405/(1+IFERROR(INDEX(BG$10:BG$11,Предпосылки!$I$217,),0))*IFERROR(INDEX(BG$10:BG$11,Предпосылки!$I$217,),0),BG428/(1+IFERROR(INDEX(BG$10:BG$11,Предпосылки!$I$218,),0))*IFERROR(INDEX(BG$10:BG$11,Предпосылки!$I$218,),0),BG451/(1+IFERROR(INDEX(BG$10:BG$11,Предпосылки!$I$219,),0))*IFERROR(INDEX(BG$10:BG$11,Предпосылки!$I$219,),0),BG474/(1+IFERROR(INDEX(BG$10:BG$11,Предпосылки!$I$220,),0))*IFERROR(INDEX(BG$10:BG$11,Предпосылки!$I$220,),0))</f>
        <v>0</v>
      </c>
      <c s="125">
        <f>SUM(BH37/(1+IFERROR(INDEX(BH$10:BH$11,Предпосылки!$I$201,),0))*IFERROR(INDEX(BH$10:BH$11,Предпосылки!$I$201,),0),BH60/(1+IFERROR(INDEX(BH$10:BH$11,Предпосылки!$I$202,),0))*IFERROR(INDEX(BH$10:BH$11,Предпосылки!$I$202,),0),BH83/(1+IFERROR(INDEX(BH$10:BH$11,Предпосылки!$I$203,),0))*IFERROR(INDEX(BH$10:BH$11,Предпосылки!$I$203,),0),BH106/(1+IFERROR(INDEX(BH$10:BH$11,Предпосылки!$I$204,),0))*IFERROR(INDEX(BH$10:BH$11,Предпосылки!$I$204,),0),BH129/(1+IFERROR(INDEX(BH$10:BH$11,Предпосылки!$I$205,),0))*IFERROR(INDEX(BH$10:BH$11,Предпосылки!$I$205,),0),BH152/(1+IFERROR(INDEX(BH$10:BH$11,Предпосылки!$I$206,),0))*IFERROR(INDEX(BH$10:BH$11,Предпосылки!$I$206,),0),BH175/(1+IFERROR(INDEX(BH$10:BH$11,Предпосылки!$I$207,),0))*IFERROR(INDEX(BH$10:BH$11,Предпосылки!$I$207,),0),BH198/(1+IFERROR(INDEX(BH$10:BH$11,Предпосылки!$I$208,),0))*IFERROR(INDEX(BH$10:BH$11,Предпосылки!$I$208,),0),BH221/(1+IFERROR(INDEX(BH$10:BH$11,Предпосылки!$I$209,),0))*IFERROR(INDEX(BH$10:BH$11,Предпосылки!$I$209,),0),BH244/(1+IFERROR(INDEX(BH$10:BH$11,Предпосылки!$I$210,),0))*IFERROR(INDEX(BH$10:BH$11,Предпосылки!$I$210,),0),BH267/(1+IFERROR(INDEX(BH$10:BH$11,Предпосылки!$I$211,),0))*IFERROR(INDEX(BH$10:BH$11,Предпосылки!$I$211,),0),BH290/(1+IFERROR(INDEX(BH$10:BH$11,Предпосылки!$I$212,),0))*IFERROR(INDEX(BH$10:BH$11,Предпосылки!$I$212,),0),BH313/(1+IFERROR(INDEX(BH$10:BH$11,Предпосылки!$I$213,),0))*IFERROR(INDEX(BH$10:BH$11,Предпосылки!$I$213,),0),BH336/(1+IFERROR(INDEX(BH$10:BH$11,Предпосылки!$I$214,),0))*IFERROR(INDEX(BH$10:BH$11,Предпосылки!$I$214,),0),BH359/(1+IFERROR(INDEX(BH$10:BH$11,Предпосылки!$I$215,),0))*IFERROR(INDEX(BH$10:BH$11,Предпосылки!$I$215,),0),BH382/(1+IFERROR(INDEX(BH$10:BH$11,Предпосылки!$I$216,),0))*IFERROR(INDEX(BH$10:BH$11,Предпосылки!$I$216,),0),BH405/(1+IFERROR(INDEX(BH$10:BH$11,Предпосылки!$I$217,),0))*IFERROR(INDEX(BH$10:BH$11,Предпосылки!$I$217,),0),BH428/(1+IFERROR(INDEX(BH$10:BH$11,Предпосылки!$I$218,),0))*IFERROR(INDEX(BH$10:BH$11,Предпосылки!$I$218,),0),BH451/(1+IFERROR(INDEX(BH$10:BH$11,Предпосылки!$I$219,),0))*IFERROR(INDEX(BH$10:BH$11,Предпосылки!$I$219,),0),BH474/(1+IFERROR(INDEX(BH$10:BH$11,Предпосылки!$I$220,),0))*IFERROR(INDEX(BH$10:BH$11,Предпосылки!$I$220,),0))</f>
        <v>0</v>
      </c>
      <c s="125">
        <f>SUM(BI37/(1+IFERROR(INDEX(BI$10:BI$11,Предпосылки!$I$201,),0))*IFERROR(INDEX(BI$10:BI$11,Предпосылки!$I$201,),0),BI60/(1+IFERROR(INDEX(BI$10:BI$11,Предпосылки!$I$202,),0))*IFERROR(INDEX(BI$10:BI$11,Предпосылки!$I$202,),0),BI83/(1+IFERROR(INDEX(BI$10:BI$11,Предпосылки!$I$203,),0))*IFERROR(INDEX(BI$10:BI$11,Предпосылки!$I$203,),0),BI106/(1+IFERROR(INDEX(BI$10:BI$11,Предпосылки!$I$204,),0))*IFERROR(INDEX(BI$10:BI$11,Предпосылки!$I$204,),0),BI129/(1+IFERROR(INDEX(BI$10:BI$11,Предпосылки!$I$205,),0))*IFERROR(INDEX(BI$10:BI$11,Предпосылки!$I$205,),0),BI152/(1+IFERROR(INDEX(BI$10:BI$11,Предпосылки!$I$206,),0))*IFERROR(INDEX(BI$10:BI$11,Предпосылки!$I$206,),0),BI175/(1+IFERROR(INDEX(BI$10:BI$11,Предпосылки!$I$207,),0))*IFERROR(INDEX(BI$10:BI$11,Предпосылки!$I$207,),0),BI198/(1+IFERROR(INDEX(BI$10:BI$11,Предпосылки!$I$208,),0))*IFERROR(INDEX(BI$10:BI$11,Предпосылки!$I$208,),0),BI221/(1+IFERROR(INDEX(BI$10:BI$11,Предпосылки!$I$209,),0))*IFERROR(INDEX(BI$10:BI$11,Предпосылки!$I$209,),0),BI244/(1+IFERROR(INDEX(BI$10:BI$11,Предпосылки!$I$210,),0))*IFERROR(INDEX(BI$10:BI$11,Предпосылки!$I$210,),0),BI267/(1+IFERROR(INDEX(BI$10:BI$11,Предпосылки!$I$211,),0))*IFERROR(INDEX(BI$10:BI$11,Предпосылки!$I$211,),0),BI290/(1+IFERROR(INDEX(BI$10:BI$11,Предпосылки!$I$212,),0))*IFERROR(INDEX(BI$10:BI$11,Предпосылки!$I$212,),0),BI313/(1+IFERROR(INDEX(BI$10:BI$11,Предпосылки!$I$213,),0))*IFERROR(INDEX(BI$10:BI$11,Предпосылки!$I$213,),0),BI336/(1+IFERROR(INDEX(BI$10:BI$11,Предпосылки!$I$214,),0))*IFERROR(INDEX(BI$10:BI$11,Предпосылки!$I$214,),0),BI359/(1+IFERROR(INDEX(BI$10:BI$11,Предпосылки!$I$215,),0))*IFERROR(INDEX(BI$10:BI$11,Предпосылки!$I$215,),0),BI382/(1+IFERROR(INDEX(BI$10:BI$11,Предпосылки!$I$216,),0))*IFERROR(INDEX(BI$10:BI$11,Предпосылки!$I$216,),0),BI405/(1+IFERROR(INDEX(BI$10:BI$11,Предпосылки!$I$217,),0))*IFERROR(INDEX(BI$10:BI$11,Предпосылки!$I$217,),0),BI428/(1+IFERROR(INDEX(BI$10:BI$11,Предпосылки!$I$218,),0))*IFERROR(INDEX(BI$10:BI$11,Предпосылки!$I$218,),0),BI451/(1+IFERROR(INDEX(BI$10:BI$11,Предпосылки!$I$219,),0))*IFERROR(INDEX(BI$10:BI$11,Предпосылки!$I$219,),0),BI474/(1+IFERROR(INDEX(BI$10:BI$11,Предпосылки!$I$220,),0))*IFERROR(INDEX(BI$10:BI$11,Предпосылки!$I$220,),0))</f>
        <v>0</v>
      </c>
      <c s="125">
        <f>SUM(BJ37/(1+IFERROR(INDEX(BJ$10:BJ$11,Предпосылки!$I$201,),0))*IFERROR(INDEX(BJ$10:BJ$11,Предпосылки!$I$201,),0),BJ60/(1+IFERROR(INDEX(BJ$10:BJ$11,Предпосылки!$I$202,),0))*IFERROR(INDEX(BJ$10:BJ$11,Предпосылки!$I$202,),0),BJ83/(1+IFERROR(INDEX(BJ$10:BJ$11,Предпосылки!$I$203,),0))*IFERROR(INDEX(BJ$10:BJ$11,Предпосылки!$I$203,),0),BJ106/(1+IFERROR(INDEX(BJ$10:BJ$11,Предпосылки!$I$204,),0))*IFERROR(INDEX(BJ$10:BJ$11,Предпосылки!$I$204,),0),BJ129/(1+IFERROR(INDEX(BJ$10:BJ$11,Предпосылки!$I$205,),0))*IFERROR(INDEX(BJ$10:BJ$11,Предпосылки!$I$205,),0),BJ152/(1+IFERROR(INDEX(BJ$10:BJ$11,Предпосылки!$I$206,),0))*IFERROR(INDEX(BJ$10:BJ$11,Предпосылки!$I$206,),0),BJ175/(1+IFERROR(INDEX(BJ$10:BJ$11,Предпосылки!$I$207,),0))*IFERROR(INDEX(BJ$10:BJ$11,Предпосылки!$I$207,),0),BJ198/(1+IFERROR(INDEX(BJ$10:BJ$11,Предпосылки!$I$208,),0))*IFERROR(INDEX(BJ$10:BJ$11,Предпосылки!$I$208,),0),BJ221/(1+IFERROR(INDEX(BJ$10:BJ$11,Предпосылки!$I$209,),0))*IFERROR(INDEX(BJ$10:BJ$11,Предпосылки!$I$209,),0),BJ244/(1+IFERROR(INDEX(BJ$10:BJ$11,Предпосылки!$I$210,),0))*IFERROR(INDEX(BJ$10:BJ$11,Предпосылки!$I$210,),0),BJ267/(1+IFERROR(INDEX(BJ$10:BJ$11,Предпосылки!$I$211,),0))*IFERROR(INDEX(BJ$10:BJ$11,Предпосылки!$I$211,),0),BJ290/(1+IFERROR(INDEX(BJ$10:BJ$11,Предпосылки!$I$212,),0))*IFERROR(INDEX(BJ$10:BJ$11,Предпосылки!$I$212,),0),BJ313/(1+IFERROR(INDEX(BJ$10:BJ$11,Предпосылки!$I$213,),0))*IFERROR(INDEX(BJ$10:BJ$11,Предпосылки!$I$213,),0),BJ336/(1+IFERROR(INDEX(BJ$10:BJ$11,Предпосылки!$I$214,),0))*IFERROR(INDEX(BJ$10:BJ$11,Предпосылки!$I$214,),0),BJ359/(1+IFERROR(INDEX(BJ$10:BJ$11,Предпосылки!$I$215,),0))*IFERROR(INDEX(BJ$10:BJ$11,Предпосылки!$I$215,),0),BJ382/(1+IFERROR(INDEX(BJ$10:BJ$11,Предпосылки!$I$216,),0))*IFERROR(INDEX(BJ$10:BJ$11,Предпосылки!$I$216,),0),BJ405/(1+IFERROR(INDEX(BJ$10:BJ$11,Предпосылки!$I$217,),0))*IFERROR(INDEX(BJ$10:BJ$11,Предпосылки!$I$217,),0),BJ428/(1+IFERROR(INDEX(BJ$10:BJ$11,Предпосылки!$I$218,),0))*IFERROR(INDEX(BJ$10:BJ$11,Предпосылки!$I$218,),0),BJ451/(1+IFERROR(INDEX(BJ$10:BJ$11,Предпосылки!$I$219,),0))*IFERROR(INDEX(BJ$10:BJ$11,Предпосылки!$I$219,),0),BJ474/(1+IFERROR(INDEX(BJ$10:BJ$11,Предпосылки!$I$220,),0))*IFERROR(INDEX(BJ$10:BJ$11,Предпосылки!$I$220,),0))</f>
        <v>0</v>
      </c>
      <c s="125">
        <f>SUM(BK37/(1+IFERROR(INDEX(BK$10:BK$11,Предпосылки!$I$201,),0))*IFERROR(INDEX(BK$10:BK$11,Предпосылки!$I$201,),0),BK60/(1+IFERROR(INDEX(BK$10:BK$11,Предпосылки!$I$202,),0))*IFERROR(INDEX(BK$10:BK$11,Предпосылки!$I$202,),0),BK83/(1+IFERROR(INDEX(BK$10:BK$11,Предпосылки!$I$203,),0))*IFERROR(INDEX(BK$10:BK$11,Предпосылки!$I$203,),0),BK106/(1+IFERROR(INDEX(BK$10:BK$11,Предпосылки!$I$204,),0))*IFERROR(INDEX(BK$10:BK$11,Предпосылки!$I$204,),0),BK129/(1+IFERROR(INDEX(BK$10:BK$11,Предпосылки!$I$205,),0))*IFERROR(INDEX(BK$10:BK$11,Предпосылки!$I$205,),0),BK152/(1+IFERROR(INDEX(BK$10:BK$11,Предпосылки!$I$206,),0))*IFERROR(INDEX(BK$10:BK$11,Предпосылки!$I$206,),0),BK175/(1+IFERROR(INDEX(BK$10:BK$11,Предпосылки!$I$207,),0))*IFERROR(INDEX(BK$10:BK$11,Предпосылки!$I$207,),0),BK198/(1+IFERROR(INDEX(BK$10:BK$11,Предпосылки!$I$208,),0))*IFERROR(INDEX(BK$10:BK$11,Предпосылки!$I$208,),0),BK221/(1+IFERROR(INDEX(BK$10:BK$11,Предпосылки!$I$209,),0))*IFERROR(INDEX(BK$10:BK$11,Предпосылки!$I$209,),0),BK244/(1+IFERROR(INDEX(BK$10:BK$11,Предпосылки!$I$210,),0))*IFERROR(INDEX(BK$10:BK$11,Предпосылки!$I$210,),0),BK267/(1+IFERROR(INDEX(BK$10:BK$11,Предпосылки!$I$211,),0))*IFERROR(INDEX(BK$10:BK$11,Предпосылки!$I$211,),0),BK290/(1+IFERROR(INDEX(BK$10:BK$11,Предпосылки!$I$212,),0))*IFERROR(INDEX(BK$10:BK$11,Предпосылки!$I$212,),0),BK313/(1+IFERROR(INDEX(BK$10:BK$11,Предпосылки!$I$213,),0))*IFERROR(INDEX(BK$10:BK$11,Предпосылки!$I$213,),0),BK336/(1+IFERROR(INDEX(BK$10:BK$11,Предпосылки!$I$214,),0))*IFERROR(INDEX(BK$10:BK$11,Предпосылки!$I$214,),0),BK359/(1+IFERROR(INDEX(BK$10:BK$11,Предпосылки!$I$215,),0))*IFERROR(INDEX(BK$10:BK$11,Предпосылки!$I$215,),0),BK382/(1+IFERROR(INDEX(BK$10:BK$11,Предпосылки!$I$216,),0))*IFERROR(INDEX(BK$10:BK$11,Предпосылки!$I$216,),0),BK405/(1+IFERROR(INDEX(BK$10:BK$11,Предпосылки!$I$217,),0))*IFERROR(INDEX(BK$10:BK$11,Предпосылки!$I$217,),0),BK428/(1+IFERROR(INDEX(BK$10:BK$11,Предпосылки!$I$218,),0))*IFERROR(INDEX(BK$10:BK$11,Предпосылки!$I$218,),0),BK451/(1+IFERROR(INDEX(BK$10:BK$11,Предпосылки!$I$219,),0))*IFERROR(INDEX(BK$10:BK$11,Предпосылки!$I$219,),0),BK474/(1+IFERROR(INDEX(BK$10:BK$11,Предпосылки!$I$220,),0))*IFERROR(INDEX(BK$10:BK$11,Предпосылки!$I$220,),0))</f>
        <v>0</v>
      </c>
      <c s="125">
        <f>SUM(BL37/(1+IFERROR(INDEX(BL$10:BL$11,Предпосылки!$I$201,),0))*IFERROR(INDEX(BL$10:BL$11,Предпосылки!$I$201,),0),BL60/(1+IFERROR(INDEX(BL$10:BL$11,Предпосылки!$I$202,),0))*IFERROR(INDEX(BL$10:BL$11,Предпосылки!$I$202,),0),BL83/(1+IFERROR(INDEX(BL$10:BL$11,Предпосылки!$I$203,),0))*IFERROR(INDEX(BL$10:BL$11,Предпосылки!$I$203,),0),BL106/(1+IFERROR(INDEX(BL$10:BL$11,Предпосылки!$I$204,),0))*IFERROR(INDEX(BL$10:BL$11,Предпосылки!$I$204,),0),BL129/(1+IFERROR(INDEX(BL$10:BL$11,Предпосылки!$I$205,),0))*IFERROR(INDEX(BL$10:BL$11,Предпосылки!$I$205,),0),BL152/(1+IFERROR(INDEX(BL$10:BL$11,Предпосылки!$I$206,),0))*IFERROR(INDEX(BL$10:BL$11,Предпосылки!$I$206,),0),BL175/(1+IFERROR(INDEX(BL$10:BL$11,Предпосылки!$I$207,),0))*IFERROR(INDEX(BL$10:BL$11,Предпосылки!$I$207,),0),BL198/(1+IFERROR(INDEX(BL$10:BL$11,Предпосылки!$I$208,),0))*IFERROR(INDEX(BL$10:BL$11,Предпосылки!$I$208,),0),BL221/(1+IFERROR(INDEX(BL$10:BL$11,Предпосылки!$I$209,),0))*IFERROR(INDEX(BL$10:BL$11,Предпосылки!$I$209,),0),BL244/(1+IFERROR(INDEX(BL$10:BL$11,Предпосылки!$I$210,),0))*IFERROR(INDEX(BL$10:BL$11,Предпосылки!$I$210,),0),BL267/(1+IFERROR(INDEX(BL$10:BL$11,Предпосылки!$I$211,),0))*IFERROR(INDEX(BL$10:BL$11,Предпосылки!$I$211,),0),BL290/(1+IFERROR(INDEX(BL$10:BL$11,Предпосылки!$I$212,),0))*IFERROR(INDEX(BL$10:BL$11,Предпосылки!$I$212,),0),BL313/(1+IFERROR(INDEX(BL$10:BL$11,Предпосылки!$I$213,),0))*IFERROR(INDEX(BL$10:BL$11,Предпосылки!$I$213,),0),BL336/(1+IFERROR(INDEX(BL$10:BL$11,Предпосылки!$I$214,),0))*IFERROR(INDEX(BL$10:BL$11,Предпосылки!$I$214,),0),BL359/(1+IFERROR(INDEX(BL$10:BL$11,Предпосылки!$I$215,),0))*IFERROR(INDEX(BL$10:BL$11,Предпосылки!$I$215,),0),BL382/(1+IFERROR(INDEX(BL$10:BL$11,Предпосылки!$I$216,),0))*IFERROR(INDEX(BL$10:BL$11,Предпосылки!$I$216,),0),BL405/(1+IFERROR(INDEX(BL$10:BL$11,Предпосылки!$I$217,),0))*IFERROR(INDEX(BL$10:BL$11,Предпосылки!$I$217,),0),BL428/(1+IFERROR(INDEX(BL$10:BL$11,Предпосылки!$I$218,),0))*IFERROR(INDEX(BL$10:BL$11,Предпосылки!$I$218,),0),BL451/(1+IFERROR(INDEX(BL$10:BL$11,Предпосылки!$I$219,),0))*IFERROR(INDEX(BL$10:BL$11,Предпосылки!$I$219,),0),BL474/(1+IFERROR(INDEX(BL$10:BL$11,Предпосылки!$I$220,),0))*IFERROR(INDEX(BL$10:BL$11,Предпосылки!$I$220,),0))</f>
        <v>0</v>
      </c>
      <c s="125">
        <f>SUM(BM37/(1+IFERROR(INDEX(BM$10:BM$11,Предпосылки!$I$201,),0))*IFERROR(INDEX(BM$10:BM$11,Предпосылки!$I$201,),0),BM60/(1+IFERROR(INDEX(BM$10:BM$11,Предпосылки!$I$202,),0))*IFERROR(INDEX(BM$10:BM$11,Предпосылки!$I$202,),0),BM83/(1+IFERROR(INDEX(BM$10:BM$11,Предпосылки!$I$203,),0))*IFERROR(INDEX(BM$10:BM$11,Предпосылки!$I$203,),0),BM106/(1+IFERROR(INDEX(BM$10:BM$11,Предпосылки!$I$204,),0))*IFERROR(INDEX(BM$10:BM$11,Предпосылки!$I$204,),0),BM129/(1+IFERROR(INDEX(BM$10:BM$11,Предпосылки!$I$205,),0))*IFERROR(INDEX(BM$10:BM$11,Предпосылки!$I$205,),0),BM152/(1+IFERROR(INDEX(BM$10:BM$11,Предпосылки!$I$206,),0))*IFERROR(INDEX(BM$10:BM$11,Предпосылки!$I$206,),0),BM175/(1+IFERROR(INDEX(BM$10:BM$11,Предпосылки!$I$207,),0))*IFERROR(INDEX(BM$10:BM$11,Предпосылки!$I$207,),0),BM198/(1+IFERROR(INDEX(BM$10:BM$11,Предпосылки!$I$208,),0))*IFERROR(INDEX(BM$10:BM$11,Предпосылки!$I$208,),0),BM221/(1+IFERROR(INDEX(BM$10:BM$11,Предпосылки!$I$209,),0))*IFERROR(INDEX(BM$10:BM$11,Предпосылки!$I$209,),0),BM244/(1+IFERROR(INDEX(BM$10:BM$11,Предпосылки!$I$210,),0))*IFERROR(INDEX(BM$10:BM$11,Предпосылки!$I$210,),0),BM267/(1+IFERROR(INDEX(BM$10:BM$11,Предпосылки!$I$211,),0))*IFERROR(INDEX(BM$10:BM$11,Предпосылки!$I$211,),0),BM290/(1+IFERROR(INDEX(BM$10:BM$11,Предпосылки!$I$212,),0))*IFERROR(INDEX(BM$10:BM$11,Предпосылки!$I$212,),0),BM313/(1+IFERROR(INDEX(BM$10:BM$11,Предпосылки!$I$213,),0))*IFERROR(INDEX(BM$10:BM$11,Предпосылки!$I$213,),0),BM336/(1+IFERROR(INDEX(BM$10:BM$11,Предпосылки!$I$214,),0))*IFERROR(INDEX(BM$10:BM$11,Предпосылки!$I$214,),0),BM359/(1+IFERROR(INDEX(BM$10:BM$11,Предпосылки!$I$215,),0))*IFERROR(INDEX(BM$10:BM$11,Предпосылки!$I$215,),0),BM382/(1+IFERROR(INDEX(BM$10:BM$11,Предпосылки!$I$216,),0))*IFERROR(INDEX(BM$10:BM$11,Предпосылки!$I$216,),0),BM405/(1+IFERROR(INDEX(BM$10:BM$11,Предпосылки!$I$217,),0))*IFERROR(INDEX(BM$10:BM$11,Предпосылки!$I$217,),0),BM428/(1+IFERROR(INDEX(BM$10:BM$11,Предпосылки!$I$218,),0))*IFERROR(INDEX(BM$10:BM$11,Предпосылки!$I$218,),0),BM451/(1+IFERROR(INDEX(BM$10:BM$11,Предпосылки!$I$219,),0))*IFERROR(INDEX(BM$10:BM$11,Предпосылки!$I$219,),0),BM474/(1+IFERROR(INDEX(BM$10:BM$11,Предпосылки!$I$220,),0))*IFERROR(INDEX(BM$10:BM$11,Предпосылки!$I$220,),0))</f>
        <v>0</v>
      </c>
    </row>
    <row r="569" spans="2:65" ht="15" customHeight="1">
      <c r="B569" s="12" t="str">
        <f t="shared" si="255"/>
        <v>Продукт 16</v>
      </c>
      <c s="124" t="str">
        <f t="shared" si="254"/>
        <v>тыс. руб.</v>
      </c>
      <c s="276">
        <f t="shared" si="256"/>
        <v>0</v>
      </c>
      <c s="125">
        <f>SUM(E38/(1+IFERROR(INDEX(E$10:E$11,Предпосылки!$I216,),0))*IFERROR(INDEX(E$10:E$11,Предпосылки!$I216,),0),E61/(1+IFERROR(INDEX(E$10:E$11,Предпосылки!$I217,),0))*IFERROR(INDEX(E$10:E$11,Предпосылки!$I217,),0),E84/(1+IFERROR(INDEX(E$10:E$11,Предпосылки!$I218,),0))*IFERROR(INDEX(E$10:E$11,Предпосылки!$I218,),0),E107/(1+IFERROR(INDEX(E$10:E$11,Предпосылки!$I219,),0))*IFERROR(INDEX(E$10:E$11,Предпосылки!$I219,),0),E130/(1+IFERROR(INDEX(E$10:E$11,Предпосылки!$I220,),0))*IFERROR(INDEX(E$10:E$11,Предпосылки!$I220,),0),E153/(1+IFERROR(INDEX(E$10:E$11,Предпосылки!$I221,),0))*IFERROR(INDEX(E$10:E$11,Предпосылки!$I221,),0),E176/(1+IFERROR(INDEX(E$10:E$11,Предпосылки!$I222,),0))*IFERROR(INDEX(E$10:E$11,Предпосылки!$I222,),0),E199/(1+IFERROR(INDEX(E$10:E$11,Предпосылки!$I223,),0))*IFERROR(INDEX(E$10:E$11,Предпосылки!$I223,),0),E222/(1+IFERROR(INDEX(E$10:E$11,Предпосылки!$I224,),0))*IFERROR(INDEX(E$10:E$11,Предпосылки!$I224,),0),E245/(1+IFERROR(INDEX(E$10:E$11,Предпосылки!$I225,),0))*IFERROR(INDEX(E$10:E$11,Предпосылки!$I225,),0),E268/(1+IFERROR(INDEX(E$10:E$11,Предпосылки!$I226,),0))*IFERROR(INDEX(E$10:E$11,Предпосылки!$I226,),0),E291/(1+IFERROR(INDEX(E$10:E$11,Предпосылки!$I227,),0))*IFERROR(INDEX(E$10:E$11,Предпосылки!$I227,),0),E314/(1+IFERROR(INDEX(E$10:E$11,Предпосылки!$I228,),0))*IFERROR(INDEX(E$10:E$11,Предпосылки!$I228,),0),E337/(1+IFERROR(INDEX(E$10:E$11,Предпосылки!$I229,),0))*IFERROR(INDEX(E$10:E$11,Предпосылки!$I229,),0),E360/(1+IFERROR(INDEX(E$10:E$11,Предпосылки!$I230,),0))*IFERROR(INDEX(E$10:E$11,Предпосылки!$I230,),0),E383/(1+IFERROR(INDEX(E$10:E$11,Предпосылки!$I231,),0))*IFERROR(INDEX(E$10:E$11,Предпосылки!$I231,),0),E406/(1+IFERROR(INDEX(E$10:E$11,Предпосылки!$I232,),0))*IFERROR(INDEX(E$10:E$11,Предпосылки!$I232,),0),E429/(1+IFERROR(INDEX(E$10:E$11,Предпосылки!$I233,),0))*IFERROR(INDEX(E$10:E$11,Предпосылки!$I233,),0),E452/(1+IFERROR(INDEX(E$10:E$11,Предпосылки!$I234,),0))*IFERROR(INDEX(E$10:E$11,Предпосылки!$I234,),0),E475/(1+IFERROR(INDEX(E$10:E$11,Предпосылки!$I235,),0))*IFERROR(INDEX(E$10:E$11,Предпосылки!$I235,),0))</f>
        <v>0</v>
      </c>
      <c s="125">
        <f>SUM(F38/(1+IFERROR(INDEX(F$10:F$11,Предпосылки!$I$201,),0))*IFERROR(INDEX(F$10:F$11,Предпосылки!$I$201,),0),F61/(1+IFERROR(INDEX(F$10:F$11,Предпосылки!$I$202,),0))*IFERROR(INDEX(F$10:F$11,Предпосылки!$I$202,),0),F84/(1+IFERROR(INDEX(F$10:F$11,Предпосылки!$I$203,),0))*IFERROR(INDEX(F$10:F$11,Предпосылки!$I$203,),0),F107/(1+IFERROR(INDEX(F$10:F$11,Предпосылки!$I$204,),0))*IFERROR(INDEX(F$10:F$11,Предпосылки!$I$204,),0),F130/(1+IFERROR(INDEX(F$10:F$11,Предпосылки!$I$205,),0))*IFERROR(INDEX(F$10:F$11,Предпосылки!$I$205,),0),F153/(1+IFERROR(INDEX(F$10:F$11,Предпосылки!$I$206,),0))*IFERROR(INDEX(F$10:F$11,Предпосылки!$I$206,),0),F176/(1+IFERROR(INDEX(F$10:F$11,Предпосылки!$I$207,),0))*IFERROR(INDEX(F$10:F$11,Предпосылки!$I$207,),0),F199/(1+IFERROR(INDEX(F$10:F$11,Предпосылки!$I$208,),0))*IFERROR(INDEX(F$10:F$11,Предпосылки!$I$208,),0),F222/(1+IFERROR(INDEX(F$10:F$11,Предпосылки!$I$209,),0))*IFERROR(INDEX(F$10:F$11,Предпосылки!$I$209,),0),F245/(1+IFERROR(INDEX(F$10:F$11,Предпосылки!$I$210,),0))*IFERROR(INDEX(F$10:F$11,Предпосылки!$I$210,),0),F268/(1+IFERROR(INDEX(F$10:F$11,Предпосылки!$I$211,),0))*IFERROR(INDEX(F$10:F$11,Предпосылки!$I$211,),0),F291/(1+IFERROR(INDEX(F$10:F$11,Предпосылки!$I$212,),0))*IFERROR(INDEX(F$10:F$11,Предпосылки!$I$212,),0),F314/(1+IFERROR(INDEX(F$10:F$11,Предпосылки!$I$213,),0))*IFERROR(INDEX(F$10:F$11,Предпосылки!$I$213,),0),F337/(1+IFERROR(INDEX(F$10:F$11,Предпосылки!$I$214,),0))*IFERROR(INDEX(F$10:F$11,Предпосылки!$I$214,),0),F360/(1+IFERROR(INDEX(F$10:F$11,Предпосылки!$I$215,),0))*IFERROR(INDEX(F$10:F$11,Предпосылки!$I$215,),0),F383/(1+IFERROR(INDEX(F$10:F$11,Предпосылки!$I$216,),0))*IFERROR(INDEX(F$10:F$11,Предпосылки!$I$216,),0),F406/(1+IFERROR(INDEX(F$10:F$11,Предпосылки!$I$217,),0))*IFERROR(INDEX(F$10:F$11,Предпосылки!$I$217,),0),F429/(1+IFERROR(INDEX(F$10:F$11,Предпосылки!$I$218,),0))*IFERROR(INDEX(F$10:F$11,Предпосылки!$I$218,),0),F452/(1+IFERROR(INDEX(F$10:F$11,Предпосылки!$I$219,),0))*IFERROR(INDEX(F$10:F$11,Предпосылки!$I$219,),0),F475/(1+IFERROR(INDEX(F$10:F$11,Предпосылки!$I$220,),0))*IFERROR(INDEX(F$10:F$11,Предпосылки!$I$220,),0))</f>
        <v>0</v>
      </c>
      <c s="125">
        <f>SUM(G38/(1+IFERROR(INDEX(G$10:G$11,Предпосылки!$I$201,),0))*IFERROR(INDEX(G$10:G$11,Предпосылки!$I$201,),0),G61/(1+IFERROR(INDEX(G$10:G$11,Предпосылки!$I$202,),0))*IFERROR(INDEX(G$10:G$11,Предпосылки!$I$202,),0),G84/(1+IFERROR(INDEX(G$10:G$11,Предпосылки!$I$203,),0))*IFERROR(INDEX(G$10:G$11,Предпосылки!$I$203,),0),G107/(1+IFERROR(INDEX(G$10:G$11,Предпосылки!$I$204,),0))*IFERROR(INDEX(G$10:G$11,Предпосылки!$I$204,),0),G130/(1+IFERROR(INDEX(G$10:G$11,Предпосылки!$I$205,),0))*IFERROR(INDEX(G$10:G$11,Предпосылки!$I$205,),0),G153/(1+IFERROR(INDEX(G$10:G$11,Предпосылки!$I$206,),0))*IFERROR(INDEX(G$10:G$11,Предпосылки!$I$206,),0),G176/(1+IFERROR(INDEX(G$10:G$11,Предпосылки!$I$207,),0))*IFERROR(INDEX(G$10:G$11,Предпосылки!$I$207,),0),G199/(1+IFERROR(INDEX(G$10:G$11,Предпосылки!$I$208,),0))*IFERROR(INDEX(G$10:G$11,Предпосылки!$I$208,),0),G222/(1+IFERROR(INDEX(G$10:G$11,Предпосылки!$I$209,),0))*IFERROR(INDEX(G$10:G$11,Предпосылки!$I$209,),0),G245/(1+IFERROR(INDEX(G$10:G$11,Предпосылки!$I$210,),0))*IFERROR(INDEX(G$10:G$11,Предпосылки!$I$210,),0),G268/(1+IFERROR(INDEX(G$10:G$11,Предпосылки!$I$211,),0))*IFERROR(INDEX(G$10:G$11,Предпосылки!$I$211,),0),G291/(1+IFERROR(INDEX(G$10:G$11,Предпосылки!$I$212,),0))*IFERROR(INDEX(G$10:G$11,Предпосылки!$I$212,),0),G314/(1+IFERROR(INDEX(G$10:G$11,Предпосылки!$I$213,),0))*IFERROR(INDEX(G$10:G$11,Предпосылки!$I$213,),0),G337/(1+IFERROR(INDEX(G$10:G$11,Предпосылки!$I$214,),0))*IFERROR(INDEX(G$10:G$11,Предпосылки!$I$214,),0),G360/(1+IFERROR(INDEX(G$10:G$11,Предпосылки!$I$215,),0))*IFERROR(INDEX(G$10:G$11,Предпосылки!$I$215,),0),G383/(1+IFERROR(INDEX(G$10:G$11,Предпосылки!$I$216,),0))*IFERROR(INDEX(G$10:G$11,Предпосылки!$I$216,),0),G406/(1+IFERROR(INDEX(G$10:G$11,Предпосылки!$I$217,),0))*IFERROR(INDEX(G$10:G$11,Предпосылки!$I$217,),0),G429/(1+IFERROR(INDEX(G$10:G$11,Предпосылки!$I$218,),0))*IFERROR(INDEX(G$10:G$11,Предпосылки!$I$218,),0),G452/(1+IFERROR(INDEX(G$10:G$11,Предпосылки!$I$219,),0))*IFERROR(INDEX(G$10:G$11,Предпосылки!$I$219,),0),G475/(1+IFERROR(INDEX(G$10:G$11,Предпосылки!$I$220,),0))*IFERROR(INDEX(G$10:G$11,Предпосылки!$I$220,),0))</f>
        <v>0</v>
      </c>
      <c s="125">
        <f>SUM(H38/(1+IFERROR(INDEX(H$10:H$11,Предпосылки!$I$201,),0))*IFERROR(INDEX(H$10:H$11,Предпосылки!$I$201,),0),H61/(1+IFERROR(INDEX(H$10:H$11,Предпосылки!$I$202,),0))*IFERROR(INDEX(H$10:H$11,Предпосылки!$I$202,),0),H84/(1+IFERROR(INDEX(H$10:H$11,Предпосылки!$I$203,),0))*IFERROR(INDEX(H$10:H$11,Предпосылки!$I$203,),0),H107/(1+IFERROR(INDEX(H$10:H$11,Предпосылки!$I$204,),0))*IFERROR(INDEX(H$10:H$11,Предпосылки!$I$204,),0),H130/(1+IFERROR(INDEX(H$10:H$11,Предпосылки!$I$205,),0))*IFERROR(INDEX(H$10:H$11,Предпосылки!$I$205,),0),H153/(1+IFERROR(INDEX(H$10:H$11,Предпосылки!$I$206,),0))*IFERROR(INDEX(H$10:H$11,Предпосылки!$I$206,),0),H176/(1+IFERROR(INDEX(H$10:H$11,Предпосылки!$I$207,),0))*IFERROR(INDEX(H$10:H$11,Предпосылки!$I$207,),0),H199/(1+IFERROR(INDEX(H$10:H$11,Предпосылки!$I$208,),0))*IFERROR(INDEX(H$10:H$11,Предпосылки!$I$208,),0),H222/(1+IFERROR(INDEX(H$10:H$11,Предпосылки!$I$209,),0))*IFERROR(INDEX(H$10:H$11,Предпосылки!$I$209,),0),H245/(1+IFERROR(INDEX(H$10:H$11,Предпосылки!$I$210,),0))*IFERROR(INDEX(H$10:H$11,Предпосылки!$I$210,),0),H268/(1+IFERROR(INDEX(H$10:H$11,Предпосылки!$I$211,),0))*IFERROR(INDEX(H$10:H$11,Предпосылки!$I$211,),0),H291/(1+IFERROR(INDEX(H$10:H$11,Предпосылки!$I$212,),0))*IFERROR(INDEX(H$10:H$11,Предпосылки!$I$212,),0),H314/(1+IFERROR(INDEX(H$10:H$11,Предпосылки!$I$213,),0))*IFERROR(INDEX(H$10:H$11,Предпосылки!$I$213,),0),H337/(1+IFERROR(INDEX(H$10:H$11,Предпосылки!$I$214,),0))*IFERROR(INDEX(H$10:H$11,Предпосылки!$I$214,),0),H360/(1+IFERROR(INDEX(H$10:H$11,Предпосылки!$I$215,),0))*IFERROR(INDEX(H$10:H$11,Предпосылки!$I$215,),0),H383/(1+IFERROR(INDEX(H$10:H$11,Предпосылки!$I$216,),0))*IFERROR(INDEX(H$10:H$11,Предпосылки!$I$216,),0),H406/(1+IFERROR(INDEX(H$10:H$11,Предпосылки!$I$217,),0))*IFERROR(INDEX(H$10:H$11,Предпосылки!$I$217,),0),H429/(1+IFERROR(INDEX(H$10:H$11,Предпосылки!$I$218,),0))*IFERROR(INDEX(H$10:H$11,Предпосылки!$I$218,),0),H452/(1+IFERROR(INDEX(H$10:H$11,Предпосылки!$I$219,),0))*IFERROR(INDEX(H$10:H$11,Предпосылки!$I$219,),0),H475/(1+IFERROR(INDEX(H$10:H$11,Предпосылки!$I$220,),0))*IFERROR(INDEX(H$10:H$11,Предпосылки!$I$220,),0))</f>
        <v>0</v>
      </c>
      <c s="125">
        <f>SUM(I38/(1+IFERROR(INDEX(I$10:I$11,Предпосылки!$I$201,),0))*IFERROR(INDEX(I$10:I$11,Предпосылки!$I$201,),0),I61/(1+IFERROR(INDEX(I$10:I$11,Предпосылки!$I$202,),0))*IFERROR(INDEX(I$10:I$11,Предпосылки!$I$202,),0),I84/(1+IFERROR(INDEX(I$10:I$11,Предпосылки!$I$203,),0))*IFERROR(INDEX(I$10:I$11,Предпосылки!$I$203,),0),I107/(1+IFERROR(INDEX(I$10:I$11,Предпосылки!$I$204,),0))*IFERROR(INDEX(I$10:I$11,Предпосылки!$I$204,),0),I130/(1+IFERROR(INDEX(I$10:I$11,Предпосылки!$I$205,),0))*IFERROR(INDEX(I$10:I$11,Предпосылки!$I$205,),0),I153/(1+IFERROR(INDEX(I$10:I$11,Предпосылки!$I$206,),0))*IFERROR(INDEX(I$10:I$11,Предпосылки!$I$206,),0),I176/(1+IFERROR(INDEX(I$10:I$11,Предпосылки!$I$207,),0))*IFERROR(INDEX(I$10:I$11,Предпосылки!$I$207,),0),I199/(1+IFERROR(INDEX(I$10:I$11,Предпосылки!$I$208,),0))*IFERROR(INDEX(I$10:I$11,Предпосылки!$I$208,),0),I222/(1+IFERROR(INDEX(I$10:I$11,Предпосылки!$I$209,),0))*IFERROR(INDEX(I$10:I$11,Предпосылки!$I$209,),0),I245/(1+IFERROR(INDEX(I$10:I$11,Предпосылки!$I$210,),0))*IFERROR(INDEX(I$10:I$11,Предпосылки!$I$210,),0),I268/(1+IFERROR(INDEX(I$10:I$11,Предпосылки!$I$211,),0))*IFERROR(INDEX(I$10:I$11,Предпосылки!$I$211,),0),I291/(1+IFERROR(INDEX(I$10:I$11,Предпосылки!$I$212,),0))*IFERROR(INDEX(I$10:I$11,Предпосылки!$I$212,),0),I314/(1+IFERROR(INDEX(I$10:I$11,Предпосылки!$I$213,),0))*IFERROR(INDEX(I$10:I$11,Предпосылки!$I$213,),0),I337/(1+IFERROR(INDEX(I$10:I$11,Предпосылки!$I$214,),0))*IFERROR(INDEX(I$10:I$11,Предпосылки!$I$214,),0),I360/(1+IFERROR(INDEX(I$10:I$11,Предпосылки!$I$215,),0))*IFERROR(INDEX(I$10:I$11,Предпосылки!$I$215,),0),I383/(1+IFERROR(INDEX(I$10:I$11,Предпосылки!$I$216,),0))*IFERROR(INDEX(I$10:I$11,Предпосылки!$I$216,),0),I406/(1+IFERROR(INDEX(I$10:I$11,Предпосылки!$I$217,),0))*IFERROR(INDEX(I$10:I$11,Предпосылки!$I$217,),0),I429/(1+IFERROR(INDEX(I$10:I$11,Предпосылки!$I$218,),0))*IFERROR(INDEX(I$10:I$11,Предпосылки!$I$218,),0),I452/(1+IFERROR(INDEX(I$10:I$11,Предпосылки!$I$219,),0))*IFERROR(INDEX(I$10:I$11,Предпосылки!$I$219,),0),I475/(1+IFERROR(INDEX(I$10:I$11,Предпосылки!$I$220,),0))*IFERROR(INDEX(I$10:I$11,Предпосылки!$I$220,),0))</f>
        <v>0</v>
      </c>
      <c s="125">
        <f>SUM(J38/(1+IFERROR(INDEX(J$10:J$11,Предпосылки!$I$201,),0))*IFERROR(INDEX(J$10:J$11,Предпосылки!$I$201,),0),J61/(1+IFERROR(INDEX(J$10:J$11,Предпосылки!$I$202,),0))*IFERROR(INDEX(J$10:J$11,Предпосылки!$I$202,),0),J84/(1+IFERROR(INDEX(J$10:J$11,Предпосылки!$I$203,),0))*IFERROR(INDEX(J$10:J$11,Предпосылки!$I$203,),0),J107/(1+IFERROR(INDEX(J$10:J$11,Предпосылки!$I$204,),0))*IFERROR(INDEX(J$10:J$11,Предпосылки!$I$204,),0),J130/(1+IFERROR(INDEX(J$10:J$11,Предпосылки!$I$205,),0))*IFERROR(INDEX(J$10:J$11,Предпосылки!$I$205,),0),J153/(1+IFERROR(INDEX(J$10:J$11,Предпосылки!$I$206,),0))*IFERROR(INDEX(J$10:J$11,Предпосылки!$I$206,),0),J176/(1+IFERROR(INDEX(J$10:J$11,Предпосылки!$I$207,),0))*IFERROR(INDEX(J$10:J$11,Предпосылки!$I$207,),0),J199/(1+IFERROR(INDEX(J$10:J$11,Предпосылки!$I$208,),0))*IFERROR(INDEX(J$10:J$11,Предпосылки!$I$208,),0),J222/(1+IFERROR(INDEX(J$10:J$11,Предпосылки!$I$209,),0))*IFERROR(INDEX(J$10:J$11,Предпосылки!$I$209,),0),J245/(1+IFERROR(INDEX(J$10:J$11,Предпосылки!$I$210,),0))*IFERROR(INDEX(J$10:J$11,Предпосылки!$I$210,),0),J268/(1+IFERROR(INDEX(J$10:J$11,Предпосылки!$I$211,),0))*IFERROR(INDEX(J$10:J$11,Предпосылки!$I$211,),0),J291/(1+IFERROR(INDEX(J$10:J$11,Предпосылки!$I$212,),0))*IFERROR(INDEX(J$10:J$11,Предпосылки!$I$212,),0),J314/(1+IFERROR(INDEX(J$10:J$11,Предпосылки!$I$213,),0))*IFERROR(INDEX(J$10:J$11,Предпосылки!$I$213,),0),J337/(1+IFERROR(INDEX(J$10:J$11,Предпосылки!$I$214,),0))*IFERROR(INDEX(J$10:J$11,Предпосылки!$I$214,),0),J360/(1+IFERROR(INDEX(J$10:J$11,Предпосылки!$I$215,),0))*IFERROR(INDEX(J$10:J$11,Предпосылки!$I$215,),0),J383/(1+IFERROR(INDEX(J$10:J$11,Предпосылки!$I$216,),0))*IFERROR(INDEX(J$10:J$11,Предпосылки!$I$216,),0),J406/(1+IFERROR(INDEX(J$10:J$11,Предпосылки!$I$217,),0))*IFERROR(INDEX(J$10:J$11,Предпосылки!$I$217,),0),J429/(1+IFERROR(INDEX(J$10:J$11,Предпосылки!$I$218,),0))*IFERROR(INDEX(J$10:J$11,Предпосылки!$I$218,),0),J452/(1+IFERROR(INDEX(J$10:J$11,Предпосылки!$I$219,),0))*IFERROR(INDEX(J$10:J$11,Предпосылки!$I$219,),0),J475/(1+IFERROR(INDEX(J$10:J$11,Предпосылки!$I$220,),0))*IFERROR(INDEX(J$10:J$11,Предпосылки!$I$220,),0))</f>
        <v>0</v>
      </c>
      <c s="125">
        <f>SUM(K38/(1+IFERROR(INDEX(K$10:K$11,Предпосылки!$I$201,),0))*IFERROR(INDEX(K$10:K$11,Предпосылки!$I$201,),0),K61/(1+IFERROR(INDEX(K$10:K$11,Предпосылки!$I$202,),0))*IFERROR(INDEX(K$10:K$11,Предпосылки!$I$202,),0),K84/(1+IFERROR(INDEX(K$10:K$11,Предпосылки!$I$203,),0))*IFERROR(INDEX(K$10:K$11,Предпосылки!$I$203,),0),K107/(1+IFERROR(INDEX(K$10:K$11,Предпосылки!$I$204,),0))*IFERROR(INDEX(K$10:K$11,Предпосылки!$I$204,),0),K130/(1+IFERROR(INDEX(K$10:K$11,Предпосылки!$I$205,),0))*IFERROR(INDEX(K$10:K$11,Предпосылки!$I$205,),0),K153/(1+IFERROR(INDEX(K$10:K$11,Предпосылки!$I$206,),0))*IFERROR(INDEX(K$10:K$11,Предпосылки!$I$206,),0),K176/(1+IFERROR(INDEX(K$10:K$11,Предпосылки!$I$207,),0))*IFERROR(INDEX(K$10:K$11,Предпосылки!$I$207,),0),K199/(1+IFERROR(INDEX(K$10:K$11,Предпосылки!$I$208,),0))*IFERROR(INDEX(K$10:K$11,Предпосылки!$I$208,),0),K222/(1+IFERROR(INDEX(K$10:K$11,Предпосылки!$I$209,),0))*IFERROR(INDEX(K$10:K$11,Предпосылки!$I$209,),0),K245/(1+IFERROR(INDEX(K$10:K$11,Предпосылки!$I$210,),0))*IFERROR(INDEX(K$10:K$11,Предпосылки!$I$210,),0),K268/(1+IFERROR(INDEX(K$10:K$11,Предпосылки!$I$211,),0))*IFERROR(INDEX(K$10:K$11,Предпосылки!$I$211,),0),K291/(1+IFERROR(INDEX(K$10:K$11,Предпосылки!$I$212,),0))*IFERROR(INDEX(K$10:K$11,Предпосылки!$I$212,),0),K314/(1+IFERROR(INDEX(K$10:K$11,Предпосылки!$I$213,),0))*IFERROR(INDEX(K$10:K$11,Предпосылки!$I$213,),0),K337/(1+IFERROR(INDEX(K$10:K$11,Предпосылки!$I$214,),0))*IFERROR(INDEX(K$10:K$11,Предпосылки!$I$214,),0),K360/(1+IFERROR(INDEX(K$10:K$11,Предпосылки!$I$215,),0))*IFERROR(INDEX(K$10:K$11,Предпосылки!$I$215,),0),K383/(1+IFERROR(INDEX(K$10:K$11,Предпосылки!$I$216,),0))*IFERROR(INDEX(K$10:K$11,Предпосылки!$I$216,),0),K406/(1+IFERROR(INDEX(K$10:K$11,Предпосылки!$I$217,),0))*IFERROR(INDEX(K$10:K$11,Предпосылки!$I$217,),0),K429/(1+IFERROR(INDEX(K$10:K$11,Предпосылки!$I$218,),0))*IFERROR(INDEX(K$10:K$11,Предпосылки!$I$218,),0),K452/(1+IFERROR(INDEX(K$10:K$11,Предпосылки!$I$219,),0))*IFERROR(INDEX(K$10:K$11,Предпосылки!$I$219,),0),K475/(1+IFERROR(INDEX(K$10:K$11,Предпосылки!$I$220,),0))*IFERROR(INDEX(K$10:K$11,Предпосылки!$I$220,),0))</f>
        <v>0</v>
      </c>
      <c s="125">
        <f>SUM(L38/(1+IFERROR(INDEX(L$10:L$11,Предпосылки!$I$201,),0))*IFERROR(INDEX(L$10:L$11,Предпосылки!$I$201,),0),L61/(1+IFERROR(INDEX(L$10:L$11,Предпосылки!$I$202,),0))*IFERROR(INDEX(L$10:L$11,Предпосылки!$I$202,),0),L84/(1+IFERROR(INDEX(L$10:L$11,Предпосылки!$I$203,),0))*IFERROR(INDEX(L$10:L$11,Предпосылки!$I$203,),0),L107/(1+IFERROR(INDEX(L$10:L$11,Предпосылки!$I$204,),0))*IFERROR(INDEX(L$10:L$11,Предпосылки!$I$204,),0),L130/(1+IFERROR(INDEX(L$10:L$11,Предпосылки!$I$205,),0))*IFERROR(INDEX(L$10:L$11,Предпосылки!$I$205,),0),L153/(1+IFERROR(INDEX(L$10:L$11,Предпосылки!$I$206,),0))*IFERROR(INDEX(L$10:L$11,Предпосылки!$I$206,),0),L176/(1+IFERROR(INDEX(L$10:L$11,Предпосылки!$I$207,),0))*IFERROR(INDEX(L$10:L$11,Предпосылки!$I$207,),0),L199/(1+IFERROR(INDEX(L$10:L$11,Предпосылки!$I$208,),0))*IFERROR(INDEX(L$10:L$11,Предпосылки!$I$208,),0),L222/(1+IFERROR(INDEX(L$10:L$11,Предпосылки!$I$209,),0))*IFERROR(INDEX(L$10:L$11,Предпосылки!$I$209,),0),L245/(1+IFERROR(INDEX(L$10:L$11,Предпосылки!$I$210,),0))*IFERROR(INDEX(L$10:L$11,Предпосылки!$I$210,),0),L268/(1+IFERROR(INDEX(L$10:L$11,Предпосылки!$I$211,),0))*IFERROR(INDEX(L$10:L$11,Предпосылки!$I$211,),0),L291/(1+IFERROR(INDEX(L$10:L$11,Предпосылки!$I$212,),0))*IFERROR(INDEX(L$10:L$11,Предпосылки!$I$212,),0),L314/(1+IFERROR(INDEX(L$10:L$11,Предпосылки!$I$213,),0))*IFERROR(INDEX(L$10:L$11,Предпосылки!$I$213,),0),L337/(1+IFERROR(INDEX(L$10:L$11,Предпосылки!$I$214,),0))*IFERROR(INDEX(L$10:L$11,Предпосылки!$I$214,),0),L360/(1+IFERROR(INDEX(L$10:L$11,Предпосылки!$I$215,),0))*IFERROR(INDEX(L$10:L$11,Предпосылки!$I$215,),0),L383/(1+IFERROR(INDEX(L$10:L$11,Предпосылки!$I$216,),0))*IFERROR(INDEX(L$10:L$11,Предпосылки!$I$216,),0),L406/(1+IFERROR(INDEX(L$10:L$11,Предпосылки!$I$217,),0))*IFERROR(INDEX(L$10:L$11,Предпосылки!$I$217,),0),L429/(1+IFERROR(INDEX(L$10:L$11,Предпосылки!$I$218,),0))*IFERROR(INDEX(L$10:L$11,Предпосылки!$I$218,),0),L452/(1+IFERROR(INDEX(L$10:L$11,Предпосылки!$I$219,),0))*IFERROR(INDEX(L$10:L$11,Предпосылки!$I$219,),0),L475/(1+IFERROR(INDEX(L$10:L$11,Предпосылки!$I$220,),0))*IFERROR(INDEX(L$10:L$11,Предпосылки!$I$220,),0))</f>
        <v>0</v>
      </c>
      <c s="125">
        <f>SUM(M38/(1+IFERROR(INDEX(M$10:M$11,Предпосылки!$I$201,),0))*IFERROR(INDEX(M$10:M$11,Предпосылки!$I$201,),0),M61/(1+IFERROR(INDEX(M$10:M$11,Предпосылки!$I$202,),0))*IFERROR(INDEX(M$10:M$11,Предпосылки!$I$202,),0),M84/(1+IFERROR(INDEX(M$10:M$11,Предпосылки!$I$203,),0))*IFERROR(INDEX(M$10:M$11,Предпосылки!$I$203,),0),M107/(1+IFERROR(INDEX(M$10:M$11,Предпосылки!$I$204,),0))*IFERROR(INDEX(M$10:M$11,Предпосылки!$I$204,),0),M130/(1+IFERROR(INDEX(M$10:M$11,Предпосылки!$I$205,),0))*IFERROR(INDEX(M$10:M$11,Предпосылки!$I$205,),0),M153/(1+IFERROR(INDEX(M$10:M$11,Предпосылки!$I$206,),0))*IFERROR(INDEX(M$10:M$11,Предпосылки!$I$206,),0),M176/(1+IFERROR(INDEX(M$10:M$11,Предпосылки!$I$207,),0))*IFERROR(INDEX(M$10:M$11,Предпосылки!$I$207,),0),M199/(1+IFERROR(INDEX(M$10:M$11,Предпосылки!$I$208,),0))*IFERROR(INDEX(M$10:M$11,Предпосылки!$I$208,),0),M222/(1+IFERROR(INDEX(M$10:M$11,Предпосылки!$I$209,),0))*IFERROR(INDEX(M$10:M$11,Предпосылки!$I$209,),0),M245/(1+IFERROR(INDEX(M$10:M$11,Предпосылки!$I$210,),0))*IFERROR(INDEX(M$10:M$11,Предпосылки!$I$210,),0),M268/(1+IFERROR(INDEX(M$10:M$11,Предпосылки!$I$211,),0))*IFERROR(INDEX(M$10:M$11,Предпосылки!$I$211,),0),M291/(1+IFERROR(INDEX(M$10:M$11,Предпосылки!$I$212,),0))*IFERROR(INDEX(M$10:M$11,Предпосылки!$I$212,),0),M314/(1+IFERROR(INDEX(M$10:M$11,Предпосылки!$I$213,),0))*IFERROR(INDEX(M$10:M$11,Предпосылки!$I$213,),0),M337/(1+IFERROR(INDEX(M$10:M$11,Предпосылки!$I$214,),0))*IFERROR(INDEX(M$10:M$11,Предпосылки!$I$214,),0),M360/(1+IFERROR(INDEX(M$10:M$11,Предпосылки!$I$215,),0))*IFERROR(INDEX(M$10:M$11,Предпосылки!$I$215,),0),M383/(1+IFERROR(INDEX(M$10:M$11,Предпосылки!$I$216,),0))*IFERROR(INDEX(M$10:M$11,Предпосылки!$I$216,),0),M406/(1+IFERROR(INDEX(M$10:M$11,Предпосылки!$I$217,),0))*IFERROR(INDEX(M$10:M$11,Предпосылки!$I$217,),0),M429/(1+IFERROR(INDEX(M$10:M$11,Предпосылки!$I$218,),0))*IFERROR(INDEX(M$10:M$11,Предпосылки!$I$218,),0),M452/(1+IFERROR(INDEX(M$10:M$11,Предпосылки!$I$219,),0))*IFERROR(INDEX(M$10:M$11,Предпосылки!$I$219,),0),M475/(1+IFERROR(INDEX(M$10:M$11,Предпосылки!$I$220,),0))*IFERROR(INDEX(M$10:M$11,Предпосылки!$I$220,),0))</f>
        <v>0</v>
      </c>
      <c s="125">
        <f>SUM(N38/(1+IFERROR(INDEX(N$10:N$11,Предпосылки!$I$201,),0))*IFERROR(INDEX(N$10:N$11,Предпосылки!$I$201,),0),N61/(1+IFERROR(INDEX(N$10:N$11,Предпосылки!$I$202,),0))*IFERROR(INDEX(N$10:N$11,Предпосылки!$I$202,),0),N84/(1+IFERROR(INDEX(N$10:N$11,Предпосылки!$I$203,),0))*IFERROR(INDEX(N$10:N$11,Предпосылки!$I$203,),0),N107/(1+IFERROR(INDEX(N$10:N$11,Предпосылки!$I$204,),0))*IFERROR(INDEX(N$10:N$11,Предпосылки!$I$204,),0),N130/(1+IFERROR(INDEX(N$10:N$11,Предпосылки!$I$205,),0))*IFERROR(INDEX(N$10:N$11,Предпосылки!$I$205,),0),N153/(1+IFERROR(INDEX(N$10:N$11,Предпосылки!$I$206,),0))*IFERROR(INDEX(N$10:N$11,Предпосылки!$I$206,),0),N176/(1+IFERROR(INDEX(N$10:N$11,Предпосылки!$I$207,),0))*IFERROR(INDEX(N$10:N$11,Предпосылки!$I$207,),0),N199/(1+IFERROR(INDEX(N$10:N$11,Предпосылки!$I$208,),0))*IFERROR(INDEX(N$10:N$11,Предпосылки!$I$208,),0),N222/(1+IFERROR(INDEX(N$10:N$11,Предпосылки!$I$209,),0))*IFERROR(INDEX(N$10:N$11,Предпосылки!$I$209,),0),N245/(1+IFERROR(INDEX(N$10:N$11,Предпосылки!$I$210,),0))*IFERROR(INDEX(N$10:N$11,Предпосылки!$I$210,),0),N268/(1+IFERROR(INDEX(N$10:N$11,Предпосылки!$I$211,),0))*IFERROR(INDEX(N$10:N$11,Предпосылки!$I$211,),0),N291/(1+IFERROR(INDEX(N$10:N$11,Предпосылки!$I$212,),0))*IFERROR(INDEX(N$10:N$11,Предпосылки!$I$212,),0),N314/(1+IFERROR(INDEX(N$10:N$11,Предпосылки!$I$213,),0))*IFERROR(INDEX(N$10:N$11,Предпосылки!$I$213,),0),N337/(1+IFERROR(INDEX(N$10:N$11,Предпосылки!$I$214,),0))*IFERROR(INDEX(N$10:N$11,Предпосылки!$I$214,),0),N360/(1+IFERROR(INDEX(N$10:N$11,Предпосылки!$I$215,),0))*IFERROR(INDEX(N$10:N$11,Предпосылки!$I$215,),0),N383/(1+IFERROR(INDEX(N$10:N$11,Предпосылки!$I$216,),0))*IFERROR(INDEX(N$10:N$11,Предпосылки!$I$216,),0),N406/(1+IFERROR(INDEX(N$10:N$11,Предпосылки!$I$217,),0))*IFERROR(INDEX(N$10:N$11,Предпосылки!$I$217,),0),N429/(1+IFERROR(INDEX(N$10:N$11,Предпосылки!$I$218,),0))*IFERROR(INDEX(N$10:N$11,Предпосылки!$I$218,),0),N452/(1+IFERROR(INDEX(N$10:N$11,Предпосылки!$I$219,),0))*IFERROR(INDEX(N$10:N$11,Предпосылки!$I$219,),0),N475/(1+IFERROR(INDEX(N$10:N$11,Предпосылки!$I$220,),0))*IFERROR(INDEX(N$10:N$11,Предпосылки!$I$220,),0))</f>
        <v>0</v>
      </c>
      <c s="125">
        <f>SUM(O38/(1+IFERROR(INDEX(O$10:O$11,Предпосылки!$I$201,),0))*IFERROR(INDEX(O$10:O$11,Предпосылки!$I$201,),0),O61/(1+IFERROR(INDEX(O$10:O$11,Предпосылки!$I$202,),0))*IFERROR(INDEX(O$10:O$11,Предпосылки!$I$202,),0),O84/(1+IFERROR(INDEX(O$10:O$11,Предпосылки!$I$203,),0))*IFERROR(INDEX(O$10:O$11,Предпосылки!$I$203,),0),O107/(1+IFERROR(INDEX(O$10:O$11,Предпосылки!$I$204,),0))*IFERROR(INDEX(O$10:O$11,Предпосылки!$I$204,),0),O130/(1+IFERROR(INDEX(O$10:O$11,Предпосылки!$I$205,),0))*IFERROR(INDEX(O$10:O$11,Предпосылки!$I$205,),0),O153/(1+IFERROR(INDEX(O$10:O$11,Предпосылки!$I$206,),0))*IFERROR(INDEX(O$10:O$11,Предпосылки!$I$206,),0),O176/(1+IFERROR(INDEX(O$10:O$11,Предпосылки!$I$207,),0))*IFERROR(INDEX(O$10:O$11,Предпосылки!$I$207,),0),O199/(1+IFERROR(INDEX(O$10:O$11,Предпосылки!$I$208,),0))*IFERROR(INDEX(O$10:O$11,Предпосылки!$I$208,),0),O222/(1+IFERROR(INDEX(O$10:O$11,Предпосылки!$I$209,),0))*IFERROR(INDEX(O$10:O$11,Предпосылки!$I$209,),0),O245/(1+IFERROR(INDEX(O$10:O$11,Предпосылки!$I$210,),0))*IFERROR(INDEX(O$10:O$11,Предпосылки!$I$210,),0),O268/(1+IFERROR(INDEX(O$10:O$11,Предпосылки!$I$211,),0))*IFERROR(INDEX(O$10:O$11,Предпосылки!$I$211,),0),O291/(1+IFERROR(INDEX(O$10:O$11,Предпосылки!$I$212,),0))*IFERROR(INDEX(O$10:O$11,Предпосылки!$I$212,),0),O314/(1+IFERROR(INDEX(O$10:O$11,Предпосылки!$I$213,),0))*IFERROR(INDEX(O$10:O$11,Предпосылки!$I$213,),0),O337/(1+IFERROR(INDEX(O$10:O$11,Предпосылки!$I$214,),0))*IFERROR(INDEX(O$10:O$11,Предпосылки!$I$214,),0),O360/(1+IFERROR(INDEX(O$10:O$11,Предпосылки!$I$215,),0))*IFERROR(INDEX(O$10:O$11,Предпосылки!$I$215,),0),O383/(1+IFERROR(INDEX(O$10:O$11,Предпосылки!$I$216,),0))*IFERROR(INDEX(O$10:O$11,Предпосылки!$I$216,),0),O406/(1+IFERROR(INDEX(O$10:O$11,Предпосылки!$I$217,),0))*IFERROR(INDEX(O$10:O$11,Предпосылки!$I$217,),0),O429/(1+IFERROR(INDEX(O$10:O$11,Предпосылки!$I$218,),0))*IFERROR(INDEX(O$10:O$11,Предпосылки!$I$218,),0),O452/(1+IFERROR(INDEX(O$10:O$11,Предпосылки!$I$219,),0))*IFERROR(INDEX(O$10:O$11,Предпосылки!$I$219,),0),O475/(1+IFERROR(INDEX(O$10:O$11,Предпосылки!$I$220,),0))*IFERROR(INDEX(O$10:O$11,Предпосылки!$I$220,),0))</f>
        <v>0</v>
      </c>
      <c s="125">
        <f>SUM(P38/(1+IFERROR(INDEX(P$10:P$11,Предпосылки!$I$201,),0))*IFERROR(INDEX(P$10:P$11,Предпосылки!$I$201,),0),P61/(1+IFERROR(INDEX(P$10:P$11,Предпосылки!$I$202,),0))*IFERROR(INDEX(P$10:P$11,Предпосылки!$I$202,),0),P84/(1+IFERROR(INDEX(P$10:P$11,Предпосылки!$I$203,),0))*IFERROR(INDEX(P$10:P$11,Предпосылки!$I$203,),0),P107/(1+IFERROR(INDEX(P$10:P$11,Предпосылки!$I$204,),0))*IFERROR(INDEX(P$10:P$11,Предпосылки!$I$204,),0),P130/(1+IFERROR(INDEX(P$10:P$11,Предпосылки!$I$205,),0))*IFERROR(INDEX(P$10:P$11,Предпосылки!$I$205,),0),P153/(1+IFERROR(INDEX(P$10:P$11,Предпосылки!$I$206,),0))*IFERROR(INDEX(P$10:P$11,Предпосылки!$I$206,),0),P176/(1+IFERROR(INDEX(P$10:P$11,Предпосылки!$I$207,),0))*IFERROR(INDEX(P$10:P$11,Предпосылки!$I$207,),0),P199/(1+IFERROR(INDEX(P$10:P$11,Предпосылки!$I$208,),0))*IFERROR(INDEX(P$10:P$11,Предпосылки!$I$208,),0),P222/(1+IFERROR(INDEX(P$10:P$11,Предпосылки!$I$209,),0))*IFERROR(INDEX(P$10:P$11,Предпосылки!$I$209,),0),P245/(1+IFERROR(INDEX(P$10:P$11,Предпосылки!$I$210,),0))*IFERROR(INDEX(P$10:P$11,Предпосылки!$I$210,),0),P268/(1+IFERROR(INDEX(P$10:P$11,Предпосылки!$I$211,),0))*IFERROR(INDEX(P$10:P$11,Предпосылки!$I$211,),0),P291/(1+IFERROR(INDEX(P$10:P$11,Предпосылки!$I$212,),0))*IFERROR(INDEX(P$10:P$11,Предпосылки!$I$212,),0),P314/(1+IFERROR(INDEX(P$10:P$11,Предпосылки!$I$213,),0))*IFERROR(INDEX(P$10:P$11,Предпосылки!$I$213,),0),P337/(1+IFERROR(INDEX(P$10:P$11,Предпосылки!$I$214,),0))*IFERROR(INDEX(P$10:P$11,Предпосылки!$I$214,),0),P360/(1+IFERROR(INDEX(P$10:P$11,Предпосылки!$I$215,),0))*IFERROR(INDEX(P$10:P$11,Предпосылки!$I$215,),0),P383/(1+IFERROR(INDEX(P$10:P$11,Предпосылки!$I$216,),0))*IFERROR(INDEX(P$10:P$11,Предпосылки!$I$216,),0),P406/(1+IFERROR(INDEX(P$10:P$11,Предпосылки!$I$217,),0))*IFERROR(INDEX(P$10:P$11,Предпосылки!$I$217,),0),P429/(1+IFERROR(INDEX(P$10:P$11,Предпосылки!$I$218,),0))*IFERROR(INDEX(P$10:P$11,Предпосылки!$I$218,),0),P452/(1+IFERROR(INDEX(P$10:P$11,Предпосылки!$I$219,),0))*IFERROR(INDEX(P$10:P$11,Предпосылки!$I$219,),0),P475/(1+IFERROR(INDEX(P$10:P$11,Предпосылки!$I$220,),0))*IFERROR(INDEX(P$10:P$11,Предпосылки!$I$220,),0))</f>
        <v>0</v>
      </c>
      <c s="125">
        <f>SUM(Q38/(1+IFERROR(INDEX(Q$10:Q$11,Предпосылки!$I$201,),0))*IFERROR(INDEX(Q$10:Q$11,Предпосылки!$I$201,),0),Q61/(1+IFERROR(INDEX(Q$10:Q$11,Предпосылки!$I$202,),0))*IFERROR(INDEX(Q$10:Q$11,Предпосылки!$I$202,),0),Q84/(1+IFERROR(INDEX(Q$10:Q$11,Предпосылки!$I$203,),0))*IFERROR(INDEX(Q$10:Q$11,Предпосылки!$I$203,),0),Q107/(1+IFERROR(INDEX(Q$10:Q$11,Предпосылки!$I$204,),0))*IFERROR(INDEX(Q$10:Q$11,Предпосылки!$I$204,),0),Q130/(1+IFERROR(INDEX(Q$10:Q$11,Предпосылки!$I$205,),0))*IFERROR(INDEX(Q$10:Q$11,Предпосылки!$I$205,),0),Q153/(1+IFERROR(INDEX(Q$10:Q$11,Предпосылки!$I$206,),0))*IFERROR(INDEX(Q$10:Q$11,Предпосылки!$I$206,),0),Q176/(1+IFERROR(INDEX(Q$10:Q$11,Предпосылки!$I$207,),0))*IFERROR(INDEX(Q$10:Q$11,Предпосылки!$I$207,),0),Q199/(1+IFERROR(INDEX(Q$10:Q$11,Предпосылки!$I$208,),0))*IFERROR(INDEX(Q$10:Q$11,Предпосылки!$I$208,),0),Q222/(1+IFERROR(INDEX(Q$10:Q$11,Предпосылки!$I$209,),0))*IFERROR(INDEX(Q$10:Q$11,Предпосылки!$I$209,),0),Q245/(1+IFERROR(INDEX(Q$10:Q$11,Предпосылки!$I$210,),0))*IFERROR(INDEX(Q$10:Q$11,Предпосылки!$I$210,),0),Q268/(1+IFERROR(INDEX(Q$10:Q$11,Предпосылки!$I$211,),0))*IFERROR(INDEX(Q$10:Q$11,Предпосылки!$I$211,),0),Q291/(1+IFERROR(INDEX(Q$10:Q$11,Предпосылки!$I$212,),0))*IFERROR(INDEX(Q$10:Q$11,Предпосылки!$I$212,),0),Q314/(1+IFERROR(INDEX(Q$10:Q$11,Предпосылки!$I$213,),0))*IFERROR(INDEX(Q$10:Q$11,Предпосылки!$I$213,),0),Q337/(1+IFERROR(INDEX(Q$10:Q$11,Предпосылки!$I$214,),0))*IFERROR(INDEX(Q$10:Q$11,Предпосылки!$I$214,),0),Q360/(1+IFERROR(INDEX(Q$10:Q$11,Предпосылки!$I$215,),0))*IFERROR(INDEX(Q$10:Q$11,Предпосылки!$I$215,),0),Q383/(1+IFERROR(INDEX(Q$10:Q$11,Предпосылки!$I$216,),0))*IFERROR(INDEX(Q$10:Q$11,Предпосылки!$I$216,),0),Q406/(1+IFERROR(INDEX(Q$10:Q$11,Предпосылки!$I$217,),0))*IFERROR(INDEX(Q$10:Q$11,Предпосылки!$I$217,),0),Q429/(1+IFERROR(INDEX(Q$10:Q$11,Предпосылки!$I$218,),0))*IFERROR(INDEX(Q$10:Q$11,Предпосылки!$I$218,),0),Q452/(1+IFERROR(INDEX(Q$10:Q$11,Предпосылки!$I$219,),0))*IFERROR(INDEX(Q$10:Q$11,Предпосылки!$I$219,),0),Q475/(1+IFERROR(INDEX(Q$10:Q$11,Предпосылки!$I$220,),0))*IFERROR(INDEX(Q$10:Q$11,Предпосылки!$I$220,),0))</f>
        <v>0</v>
      </c>
      <c s="125">
        <f>SUM(R38/(1+IFERROR(INDEX(R$10:R$11,Предпосылки!$I$201,),0))*IFERROR(INDEX(R$10:R$11,Предпосылки!$I$201,),0),R61/(1+IFERROR(INDEX(R$10:R$11,Предпосылки!$I$202,),0))*IFERROR(INDEX(R$10:R$11,Предпосылки!$I$202,),0),R84/(1+IFERROR(INDEX(R$10:R$11,Предпосылки!$I$203,),0))*IFERROR(INDEX(R$10:R$11,Предпосылки!$I$203,),0),R107/(1+IFERROR(INDEX(R$10:R$11,Предпосылки!$I$204,),0))*IFERROR(INDEX(R$10:R$11,Предпосылки!$I$204,),0),R130/(1+IFERROR(INDEX(R$10:R$11,Предпосылки!$I$205,),0))*IFERROR(INDEX(R$10:R$11,Предпосылки!$I$205,),0),R153/(1+IFERROR(INDEX(R$10:R$11,Предпосылки!$I$206,),0))*IFERROR(INDEX(R$10:R$11,Предпосылки!$I$206,),0),R176/(1+IFERROR(INDEX(R$10:R$11,Предпосылки!$I$207,),0))*IFERROR(INDEX(R$10:R$11,Предпосылки!$I$207,),0),R199/(1+IFERROR(INDEX(R$10:R$11,Предпосылки!$I$208,),0))*IFERROR(INDEX(R$10:R$11,Предпосылки!$I$208,),0),R222/(1+IFERROR(INDEX(R$10:R$11,Предпосылки!$I$209,),0))*IFERROR(INDEX(R$10:R$11,Предпосылки!$I$209,),0),R245/(1+IFERROR(INDEX(R$10:R$11,Предпосылки!$I$210,),0))*IFERROR(INDEX(R$10:R$11,Предпосылки!$I$210,),0),R268/(1+IFERROR(INDEX(R$10:R$11,Предпосылки!$I$211,),0))*IFERROR(INDEX(R$10:R$11,Предпосылки!$I$211,),0),R291/(1+IFERROR(INDEX(R$10:R$11,Предпосылки!$I$212,),0))*IFERROR(INDEX(R$10:R$11,Предпосылки!$I$212,),0),R314/(1+IFERROR(INDEX(R$10:R$11,Предпосылки!$I$213,),0))*IFERROR(INDEX(R$10:R$11,Предпосылки!$I$213,),0),R337/(1+IFERROR(INDEX(R$10:R$11,Предпосылки!$I$214,),0))*IFERROR(INDEX(R$10:R$11,Предпосылки!$I$214,),0),R360/(1+IFERROR(INDEX(R$10:R$11,Предпосылки!$I$215,),0))*IFERROR(INDEX(R$10:R$11,Предпосылки!$I$215,),0),R383/(1+IFERROR(INDEX(R$10:R$11,Предпосылки!$I$216,),0))*IFERROR(INDEX(R$10:R$11,Предпосылки!$I$216,),0),R406/(1+IFERROR(INDEX(R$10:R$11,Предпосылки!$I$217,),0))*IFERROR(INDEX(R$10:R$11,Предпосылки!$I$217,),0),R429/(1+IFERROR(INDEX(R$10:R$11,Предпосылки!$I$218,),0))*IFERROR(INDEX(R$10:R$11,Предпосылки!$I$218,),0),R452/(1+IFERROR(INDEX(R$10:R$11,Предпосылки!$I$219,),0))*IFERROR(INDEX(R$10:R$11,Предпосылки!$I$219,),0),R475/(1+IFERROR(INDEX(R$10:R$11,Предпосылки!$I$220,),0))*IFERROR(INDEX(R$10:R$11,Предпосылки!$I$220,),0))</f>
        <v>0</v>
      </c>
      <c s="125">
        <f>SUM(S38/(1+IFERROR(INDEX(S$10:S$11,Предпосылки!$I$201,),0))*IFERROR(INDEX(S$10:S$11,Предпосылки!$I$201,),0),S61/(1+IFERROR(INDEX(S$10:S$11,Предпосылки!$I$202,),0))*IFERROR(INDEX(S$10:S$11,Предпосылки!$I$202,),0),S84/(1+IFERROR(INDEX(S$10:S$11,Предпосылки!$I$203,),0))*IFERROR(INDEX(S$10:S$11,Предпосылки!$I$203,),0),S107/(1+IFERROR(INDEX(S$10:S$11,Предпосылки!$I$204,),0))*IFERROR(INDEX(S$10:S$11,Предпосылки!$I$204,),0),S130/(1+IFERROR(INDEX(S$10:S$11,Предпосылки!$I$205,),0))*IFERROR(INDEX(S$10:S$11,Предпосылки!$I$205,),0),S153/(1+IFERROR(INDEX(S$10:S$11,Предпосылки!$I$206,),0))*IFERROR(INDEX(S$10:S$11,Предпосылки!$I$206,),0),S176/(1+IFERROR(INDEX(S$10:S$11,Предпосылки!$I$207,),0))*IFERROR(INDEX(S$10:S$11,Предпосылки!$I$207,),0),S199/(1+IFERROR(INDEX(S$10:S$11,Предпосылки!$I$208,),0))*IFERROR(INDEX(S$10:S$11,Предпосылки!$I$208,),0),S222/(1+IFERROR(INDEX(S$10:S$11,Предпосылки!$I$209,),0))*IFERROR(INDEX(S$10:S$11,Предпосылки!$I$209,),0),S245/(1+IFERROR(INDEX(S$10:S$11,Предпосылки!$I$210,),0))*IFERROR(INDEX(S$10:S$11,Предпосылки!$I$210,),0),S268/(1+IFERROR(INDEX(S$10:S$11,Предпосылки!$I$211,),0))*IFERROR(INDEX(S$10:S$11,Предпосылки!$I$211,),0),S291/(1+IFERROR(INDEX(S$10:S$11,Предпосылки!$I$212,),0))*IFERROR(INDEX(S$10:S$11,Предпосылки!$I$212,),0),S314/(1+IFERROR(INDEX(S$10:S$11,Предпосылки!$I$213,),0))*IFERROR(INDEX(S$10:S$11,Предпосылки!$I$213,),0),S337/(1+IFERROR(INDEX(S$10:S$11,Предпосылки!$I$214,),0))*IFERROR(INDEX(S$10:S$11,Предпосылки!$I$214,),0),S360/(1+IFERROR(INDEX(S$10:S$11,Предпосылки!$I$215,),0))*IFERROR(INDEX(S$10:S$11,Предпосылки!$I$215,),0),S383/(1+IFERROR(INDEX(S$10:S$11,Предпосылки!$I$216,),0))*IFERROR(INDEX(S$10:S$11,Предпосылки!$I$216,),0),S406/(1+IFERROR(INDEX(S$10:S$11,Предпосылки!$I$217,),0))*IFERROR(INDEX(S$10:S$11,Предпосылки!$I$217,),0),S429/(1+IFERROR(INDEX(S$10:S$11,Предпосылки!$I$218,),0))*IFERROR(INDEX(S$10:S$11,Предпосылки!$I$218,),0),S452/(1+IFERROR(INDEX(S$10:S$11,Предпосылки!$I$219,),0))*IFERROR(INDEX(S$10:S$11,Предпосылки!$I$219,),0),S475/(1+IFERROR(INDEX(S$10:S$11,Предпосылки!$I$220,),0))*IFERROR(INDEX(S$10:S$11,Предпосылки!$I$220,),0))</f>
        <v>0</v>
      </c>
      <c s="125">
        <f>SUM(T38/(1+IFERROR(INDEX(T$10:T$11,Предпосылки!$I$201,),0))*IFERROR(INDEX(T$10:T$11,Предпосылки!$I$201,),0),T61/(1+IFERROR(INDEX(T$10:T$11,Предпосылки!$I$202,),0))*IFERROR(INDEX(T$10:T$11,Предпосылки!$I$202,),0),T84/(1+IFERROR(INDEX(T$10:T$11,Предпосылки!$I$203,),0))*IFERROR(INDEX(T$10:T$11,Предпосылки!$I$203,),0),T107/(1+IFERROR(INDEX(T$10:T$11,Предпосылки!$I$204,),0))*IFERROR(INDEX(T$10:T$11,Предпосылки!$I$204,),0),T130/(1+IFERROR(INDEX(T$10:T$11,Предпосылки!$I$205,),0))*IFERROR(INDEX(T$10:T$11,Предпосылки!$I$205,),0),T153/(1+IFERROR(INDEX(T$10:T$11,Предпосылки!$I$206,),0))*IFERROR(INDEX(T$10:T$11,Предпосылки!$I$206,),0),T176/(1+IFERROR(INDEX(T$10:T$11,Предпосылки!$I$207,),0))*IFERROR(INDEX(T$10:T$11,Предпосылки!$I$207,),0),T199/(1+IFERROR(INDEX(T$10:T$11,Предпосылки!$I$208,),0))*IFERROR(INDEX(T$10:T$11,Предпосылки!$I$208,),0),T222/(1+IFERROR(INDEX(T$10:T$11,Предпосылки!$I$209,),0))*IFERROR(INDEX(T$10:T$11,Предпосылки!$I$209,),0),T245/(1+IFERROR(INDEX(T$10:T$11,Предпосылки!$I$210,),0))*IFERROR(INDEX(T$10:T$11,Предпосылки!$I$210,),0),T268/(1+IFERROR(INDEX(T$10:T$11,Предпосылки!$I$211,),0))*IFERROR(INDEX(T$10:T$11,Предпосылки!$I$211,),0),T291/(1+IFERROR(INDEX(T$10:T$11,Предпосылки!$I$212,),0))*IFERROR(INDEX(T$10:T$11,Предпосылки!$I$212,),0),T314/(1+IFERROR(INDEX(T$10:T$11,Предпосылки!$I$213,),0))*IFERROR(INDEX(T$10:T$11,Предпосылки!$I$213,),0),T337/(1+IFERROR(INDEX(T$10:T$11,Предпосылки!$I$214,),0))*IFERROR(INDEX(T$10:T$11,Предпосылки!$I$214,),0),T360/(1+IFERROR(INDEX(T$10:T$11,Предпосылки!$I$215,),0))*IFERROR(INDEX(T$10:T$11,Предпосылки!$I$215,),0),T383/(1+IFERROR(INDEX(T$10:T$11,Предпосылки!$I$216,),0))*IFERROR(INDEX(T$10:T$11,Предпосылки!$I$216,),0),T406/(1+IFERROR(INDEX(T$10:T$11,Предпосылки!$I$217,),0))*IFERROR(INDEX(T$10:T$11,Предпосылки!$I$217,),0),T429/(1+IFERROR(INDEX(T$10:T$11,Предпосылки!$I$218,),0))*IFERROR(INDEX(T$10:T$11,Предпосылки!$I$218,),0),T452/(1+IFERROR(INDEX(T$10:T$11,Предпосылки!$I$219,),0))*IFERROR(INDEX(T$10:T$11,Предпосылки!$I$219,),0),T475/(1+IFERROR(INDEX(T$10:T$11,Предпосылки!$I$220,),0))*IFERROR(INDEX(T$10:T$11,Предпосылки!$I$220,),0))</f>
        <v>0</v>
      </c>
      <c s="125">
        <f>SUM(U38/(1+IFERROR(INDEX(U$10:U$11,Предпосылки!$I$201,),0))*IFERROR(INDEX(U$10:U$11,Предпосылки!$I$201,),0),U61/(1+IFERROR(INDEX(U$10:U$11,Предпосылки!$I$202,),0))*IFERROR(INDEX(U$10:U$11,Предпосылки!$I$202,),0),U84/(1+IFERROR(INDEX(U$10:U$11,Предпосылки!$I$203,),0))*IFERROR(INDEX(U$10:U$11,Предпосылки!$I$203,),0),U107/(1+IFERROR(INDEX(U$10:U$11,Предпосылки!$I$204,),0))*IFERROR(INDEX(U$10:U$11,Предпосылки!$I$204,),0),U130/(1+IFERROR(INDEX(U$10:U$11,Предпосылки!$I$205,),0))*IFERROR(INDEX(U$10:U$11,Предпосылки!$I$205,),0),U153/(1+IFERROR(INDEX(U$10:U$11,Предпосылки!$I$206,),0))*IFERROR(INDEX(U$10:U$11,Предпосылки!$I$206,),0),U176/(1+IFERROR(INDEX(U$10:U$11,Предпосылки!$I$207,),0))*IFERROR(INDEX(U$10:U$11,Предпосылки!$I$207,),0),U199/(1+IFERROR(INDEX(U$10:U$11,Предпосылки!$I$208,),0))*IFERROR(INDEX(U$10:U$11,Предпосылки!$I$208,),0),U222/(1+IFERROR(INDEX(U$10:U$11,Предпосылки!$I$209,),0))*IFERROR(INDEX(U$10:U$11,Предпосылки!$I$209,),0),U245/(1+IFERROR(INDEX(U$10:U$11,Предпосылки!$I$210,),0))*IFERROR(INDEX(U$10:U$11,Предпосылки!$I$210,),0),U268/(1+IFERROR(INDEX(U$10:U$11,Предпосылки!$I$211,),0))*IFERROR(INDEX(U$10:U$11,Предпосылки!$I$211,),0),U291/(1+IFERROR(INDEX(U$10:U$11,Предпосылки!$I$212,),0))*IFERROR(INDEX(U$10:U$11,Предпосылки!$I$212,),0),U314/(1+IFERROR(INDEX(U$10:U$11,Предпосылки!$I$213,),0))*IFERROR(INDEX(U$10:U$11,Предпосылки!$I$213,),0),U337/(1+IFERROR(INDEX(U$10:U$11,Предпосылки!$I$214,),0))*IFERROR(INDEX(U$10:U$11,Предпосылки!$I$214,),0),U360/(1+IFERROR(INDEX(U$10:U$11,Предпосылки!$I$215,),0))*IFERROR(INDEX(U$10:U$11,Предпосылки!$I$215,),0),U383/(1+IFERROR(INDEX(U$10:U$11,Предпосылки!$I$216,),0))*IFERROR(INDEX(U$10:U$11,Предпосылки!$I$216,),0),U406/(1+IFERROR(INDEX(U$10:U$11,Предпосылки!$I$217,),0))*IFERROR(INDEX(U$10:U$11,Предпосылки!$I$217,),0),U429/(1+IFERROR(INDEX(U$10:U$11,Предпосылки!$I$218,),0))*IFERROR(INDEX(U$10:U$11,Предпосылки!$I$218,),0),U452/(1+IFERROR(INDEX(U$10:U$11,Предпосылки!$I$219,),0))*IFERROR(INDEX(U$10:U$11,Предпосылки!$I$219,),0),U475/(1+IFERROR(INDEX(U$10:U$11,Предпосылки!$I$220,),0))*IFERROR(INDEX(U$10:U$11,Предпосылки!$I$220,),0))</f>
        <v>0</v>
      </c>
      <c s="125">
        <f>SUM(V38/(1+IFERROR(INDEX(V$10:V$11,Предпосылки!$I$201,),0))*IFERROR(INDEX(V$10:V$11,Предпосылки!$I$201,),0),V61/(1+IFERROR(INDEX(V$10:V$11,Предпосылки!$I$202,),0))*IFERROR(INDEX(V$10:V$11,Предпосылки!$I$202,),0),V84/(1+IFERROR(INDEX(V$10:V$11,Предпосылки!$I$203,),0))*IFERROR(INDEX(V$10:V$11,Предпосылки!$I$203,),0),V107/(1+IFERROR(INDEX(V$10:V$11,Предпосылки!$I$204,),0))*IFERROR(INDEX(V$10:V$11,Предпосылки!$I$204,),0),V130/(1+IFERROR(INDEX(V$10:V$11,Предпосылки!$I$205,),0))*IFERROR(INDEX(V$10:V$11,Предпосылки!$I$205,),0),V153/(1+IFERROR(INDEX(V$10:V$11,Предпосылки!$I$206,),0))*IFERROR(INDEX(V$10:V$11,Предпосылки!$I$206,),0),V176/(1+IFERROR(INDEX(V$10:V$11,Предпосылки!$I$207,),0))*IFERROR(INDEX(V$10:V$11,Предпосылки!$I$207,),0),V199/(1+IFERROR(INDEX(V$10:V$11,Предпосылки!$I$208,),0))*IFERROR(INDEX(V$10:V$11,Предпосылки!$I$208,),0),V222/(1+IFERROR(INDEX(V$10:V$11,Предпосылки!$I$209,),0))*IFERROR(INDEX(V$10:V$11,Предпосылки!$I$209,),0),V245/(1+IFERROR(INDEX(V$10:V$11,Предпосылки!$I$210,),0))*IFERROR(INDEX(V$10:V$11,Предпосылки!$I$210,),0),V268/(1+IFERROR(INDEX(V$10:V$11,Предпосылки!$I$211,),0))*IFERROR(INDEX(V$10:V$11,Предпосылки!$I$211,),0),V291/(1+IFERROR(INDEX(V$10:V$11,Предпосылки!$I$212,),0))*IFERROR(INDEX(V$10:V$11,Предпосылки!$I$212,),0),V314/(1+IFERROR(INDEX(V$10:V$11,Предпосылки!$I$213,),0))*IFERROR(INDEX(V$10:V$11,Предпосылки!$I$213,),0),V337/(1+IFERROR(INDEX(V$10:V$11,Предпосылки!$I$214,),0))*IFERROR(INDEX(V$10:V$11,Предпосылки!$I$214,),0),V360/(1+IFERROR(INDEX(V$10:V$11,Предпосылки!$I$215,),0))*IFERROR(INDEX(V$10:V$11,Предпосылки!$I$215,),0),V383/(1+IFERROR(INDEX(V$10:V$11,Предпосылки!$I$216,),0))*IFERROR(INDEX(V$10:V$11,Предпосылки!$I$216,),0),V406/(1+IFERROR(INDEX(V$10:V$11,Предпосылки!$I$217,),0))*IFERROR(INDEX(V$10:V$11,Предпосылки!$I$217,),0),V429/(1+IFERROR(INDEX(V$10:V$11,Предпосылки!$I$218,),0))*IFERROR(INDEX(V$10:V$11,Предпосылки!$I$218,),0),V452/(1+IFERROR(INDEX(V$10:V$11,Предпосылки!$I$219,),0))*IFERROR(INDEX(V$10:V$11,Предпосылки!$I$219,),0),V475/(1+IFERROR(INDEX(V$10:V$11,Предпосылки!$I$220,),0))*IFERROR(INDEX(V$10:V$11,Предпосылки!$I$220,),0))</f>
        <v>0</v>
      </c>
      <c s="125">
        <f>SUM(W38/(1+IFERROR(INDEX(W$10:W$11,Предпосылки!$I$201,),0))*IFERROR(INDEX(W$10:W$11,Предпосылки!$I$201,),0),W61/(1+IFERROR(INDEX(W$10:W$11,Предпосылки!$I$202,),0))*IFERROR(INDEX(W$10:W$11,Предпосылки!$I$202,),0),W84/(1+IFERROR(INDEX(W$10:W$11,Предпосылки!$I$203,),0))*IFERROR(INDEX(W$10:W$11,Предпосылки!$I$203,),0),W107/(1+IFERROR(INDEX(W$10:W$11,Предпосылки!$I$204,),0))*IFERROR(INDEX(W$10:W$11,Предпосылки!$I$204,),0),W130/(1+IFERROR(INDEX(W$10:W$11,Предпосылки!$I$205,),0))*IFERROR(INDEX(W$10:W$11,Предпосылки!$I$205,),0),W153/(1+IFERROR(INDEX(W$10:W$11,Предпосылки!$I$206,),0))*IFERROR(INDEX(W$10:W$11,Предпосылки!$I$206,),0),W176/(1+IFERROR(INDEX(W$10:W$11,Предпосылки!$I$207,),0))*IFERROR(INDEX(W$10:W$11,Предпосылки!$I$207,),0),W199/(1+IFERROR(INDEX(W$10:W$11,Предпосылки!$I$208,),0))*IFERROR(INDEX(W$10:W$11,Предпосылки!$I$208,),0),W222/(1+IFERROR(INDEX(W$10:W$11,Предпосылки!$I$209,),0))*IFERROR(INDEX(W$10:W$11,Предпосылки!$I$209,),0),W245/(1+IFERROR(INDEX(W$10:W$11,Предпосылки!$I$210,),0))*IFERROR(INDEX(W$10:W$11,Предпосылки!$I$210,),0),W268/(1+IFERROR(INDEX(W$10:W$11,Предпосылки!$I$211,),0))*IFERROR(INDEX(W$10:W$11,Предпосылки!$I$211,),0),W291/(1+IFERROR(INDEX(W$10:W$11,Предпосылки!$I$212,),0))*IFERROR(INDEX(W$10:W$11,Предпосылки!$I$212,),0),W314/(1+IFERROR(INDEX(W$10:W$11,Предпосылки!$I$213,),0))*IFERROR(INDEX(W$10:W$11,Предпосылки!$I$213,),0),W337/(1+IFERROR(INDEX(W$10:W$11,Предпосылки!$I$214,),0))*IFERROR(INDEX(W$10:W$11,Предпосылки!$I$214,),0),W360/(1+IFERROR(INDEX(W$10:W$11,Предпосылки!$I$215,),0))*IFERROR(INDEX(W$10:W$11,Предпосылки!$I$215,),0),W383/(1+IFERROR(INDEX(W$10:W$11,Предпосылки!$I$216,),0))*IFERROR(INDEX(W$10:W$11,Предпосылки!$I$216,),0),W406/(1+IFERROR(INDEX(W$10:W$11,Предпосылки!$I$217,),0))*IFERROR(INDEX(W$10:W$11,Предпосылки!$I$217,),0),W429/(1+IFERROR(INDEX(W$10:W$11,Предпосылки!$I$218,),0))*IFERROR(INDEX(W$10:W$11,Предпосылки!$I$218,),0),W452/(1+IFERROR(INDEX(W$10:W$11,Предпосылки!$I$219,),0))*IFERROR(INDEX(W$10:W$11,Предпосылки!$I$219,),0),W475/(1+IFERROR(INDEX(W$10:W$11,Предпосылки!$I$220,),0))*IFERROR(INDEX(W$10:W$11,Предпосылки!$I$220,),0))</f>
        <v>0</v>
      </c>
      <c s="125">
        <f>SUM(X38/(1+IFERROR(INDEX(X$10:X$11,Предпосылки!$I$201,),0))*IFERROR(INDEX(X$10:X$11,Предпосылки!$I$201,),0),X61/(1+IFERROR(INDEX(X$10:X$11,Предпосылки!$I$202,),0))*IFERROR(INDEX(X$10:X$11,Предпосылки!$I$202,),0),X84/(1+IFERROR(INDEX(X$10:X$11,Предпосылки!$I$203,),0))*IFERROR(INDEX(X$10:X$11,Предпосылки!$I$203,),0),X107/(1+IFERROR(INDEX(X$10:X$11,Предпосылки!$I$204,),0))*IFERROR(INDEX(X$10:X$11,Предпосылки!$I$204,),0),X130/(1+IFERROR(INDEX(X$10:X$11,Предпосылки!$I$205,),0))*IFERROR(INDEX(X$10:X$11,Предпосылки!$I$205,),0),X153/(1+IFERROR(INDEX(X$10:X$11,Предпосылки!$I$206,),0))*IFERROR(INDEX(X$10:X$11,Предпосылки!$I$206,),0),X176/(1+IFERROR(INDEX(X$10:X$11,Предпосылки!$I$207,),0))*IFERROR(INDEX(X$10:X$11,Предпосылки!$I$207,),0),X199/(1+IFERROR(INDEX(X$10:X$11,Предпосылки!$I$208,),0))*IFERROR(INDEX(X$10:X$11,Предпосылки!$I$208,),0),X222/(1+IFERROR(INDEX(X$10:X$11,Предпосылки!$I$209,),0))*IFERROR(INDEX(X$10:X$11,Предпосылки!$I$209,),0),X245/(1+IFERROR(INDEX(X$10:X$11,Предпосылки!$I$210,),0))*IFERROR(INDEX(X$10:X$11,Предпосылки!$I$210,),0),X268/(1+IFERROR(INDEX(X$10:X$11,Предпосылки!$I$211,),0))*IFERROR(INDEX(X$10:X$11,Предпосылки!$I$211,),0),X291/(1+IFERROR(INDEX(X$10:X$11,Предпосылки!$I$212,),0))*IFERROR(INDEX(X$10:X$11,Предпосылки!$I$212,),0),X314/(1+IFERROR(INDEX(X$10:X$11,Предпосылки!$I$213,),0))*IFERROR(INDEX(X$10:X$11,Предпосылки!$I$213,),0),X337/(1+IFERROR(INDEX(X$10:X$11,Предпосылки!$I$214,),0))*IFERROR(INDEX(X$10:X$11,Предпосылки!$I$214,),0),X360/(1+IFERROR(INDEX(X$10:X$11,Предпосылки!$I$215,),0))*IFERROR(INDEX(X$10:X$11,Предпосылки!$I$215,),0),X383/(1+IFERROR(INDEX(X$10:X$11,Предпосылки!$I$216,),0))*IFERROR(INDEX(X$10:X$11,Предпосылки!$I$216,),0),X406/(1+IFERROR(INDEX(X$10:X$11,Предпосылки!$I$217,),0))*IFERROR(INDEX(X$10:X$11,Предпосылки!$I$217,),0),X429/(1+IFERROR(INDEX(X$10:X$11,Предпосылки!$I$218,),0))*IFERROR(INDEX(X$10:X$11,Предпосылки!$I$218,),0),X452/(1+IFERROR(INDEX(X$10:X$11,Предпосылки!$I$219,),0))*IFERROR(INDEX(X$10:X$11,Предпосылки!$I$219,),0),X475/(1+IFERROR(INDEX(X$10:X$11,Предпосылки!$I$220,),0))*IFERROR(INDEX(X$10:X$11,Предпосылки!$I$220,),0))</f>
        <v>0</v>
      </c>
      <c s="125">
        <f>SUM(Y38/(1+IFERROR(INDEX(Y$10:Y$11,Предпосылки!$I$201,),0))*IFERROR(INDEX(Y$10:Y$11,Предпосылки!$I$201,),0),Y61/(1+IFERROR(INDEX(Y$10:Y$11,Предпосылки!$I$202,),0))*IFERROR(INDEX(Y$10:Y$11,Предпосылки!$I$202,),0),Y84/(1+IFERROR(INDEX(Y$10:Y$11,Предпосылки!$I$203,),0))*IFERROR(INDEX(Y$10:Y$11,Предпосылки!$I$203,),0),Y107/(1+IFERROR(INDEX(Y$10:Y$11,Предпосылки!$I$204,),0))*IFERROR(INDEX(Y$10:Y$11,Предпосылки!$I$204,),0),Y130/(1+IFERROR(INDEX(Y$10:Y$11,Предпосылки!$I$205,),0))*IFERROR(INDEX(Y$10:Y$11,Предпосылки!$I$205,),0),Y153/(1+IFERROR(INDEX(Y$10:Y$11,Предпосылки!$I$206,),0))*IFERROR(INDEX(Y$10:Y$11,Предпосылки!$I$206,),0),Y176/(1+IFERROR(INDEX(Y$10:Y$11,Предпосылки!$I$207,),0))*IFERROR(INDEX(Y$10:Y$11,Предпосылки!$I$207,),0),Y199/(1+IFERROR(INDEX(Y$10:Y$11,Предпосылки!$I$208,),0))*IFERROR(INDEX(Y$10:Y$11,Предпосылки!$I$208,),0),Y222/(1+IFERROR(INDEX(Y$10:Y$11,Предпосылки!$I$209,),0))*IFERROR(INDEX(Y$10:Y$11,Предпосылки!$I$209,),0),Y245/(1+IFERROR(INDEX(Y$10:Y$11,Предпосылки!$I$210,),0))*IFERROR(INDEX(Y$10:Y$11,Предпосылки!$I$210,),0),Y268/(1+IFERROR(INDEX(Y$10:Y$11,Предпосылки!$I$211,),0))*IFERROR(INDEX(Y$10:Y$11,Предпосылки!$I$211,),0),Y291/(1+IFERROR(INDEX(Y$10:Y$11,Предпосылки!$I$212,),0))*IFERROR(INDEX(Y$10:Y$11,Предпосылки!$I$212,),0),Y314/(1+IFERROR(INDEX(Y$10:Y$11,Предпосылки!$I$213,),0))*IFERROR(INDEX(Y$10:Y$11,Предпосылки!$I$213,),0),Y337/(1+IFERROR(INDEX(Y$10:Y$11,Предпосылки!$I$214,),0))*IFERROR(INDEX(Y$10:Y$11,Предпосылки!$I$214,),0),Y360/(1+IFERROR(INDEX(Y$10:Y$11,Предпосылки!$I$215,),0))*IFERROR(INDEX(Y$10:Y$11,Предпосылки!$I$215,),0),Y383/(1+IFERROR(INDEX(Y$10:Y$11,Предпосылки!$I$216,),0))*IFERROR(INDEX(Y$10:Y$11,Предпосылки!$I$216,),0),Y406/(1+IFERROR(INDEX(Y$10:Y$11,Предпосылки!$I$217,),0))*IFERROR(INDEX(Y$10:Y$11,Предпосылки!$I$217,),0),Y429/(1+IFERROR(INDEX(Y$10:Y$11,Предпосылки!$I$218,),0))*IFERROR(INDEX(Y$10:Y$11,Предпосылки!$I$218,),0),Y452/(1+IFERROR(INDEX(Y$10:Y$11,Предпосылки!$I$219,),0))*IFERROR(INDEX(Y$10:Y$11,Предпосылки!$I$219,),0),Y475/(1+IFERROR(INDEX(Y$10:Y$11,Предпосылки!$I$220,),0))*IFERROR(INDEX(Y$10:Y$11,Предпосылки!$I$220,),0))</f>
        <v>0</v>
      </c>
      <c s="125">
        <f>SUM(Z38/(1+IFERROR(INDEX(Z$10:Z$11,Предпосылки!$I$201,),0))*IFERROR(INDEX(Z$10:Z$11,Предпосылки!$I$201,),0),Z61/(1+IFERROR(INDEX(Z$10:Z$11,Предпосылки!$I$202,),0))*IFERROR(INDEX(Z$10:Z$11,Предпосылки!$I$202,),0),Z84/(1+IFERROR(INDEX(Z$10:Z$11,Предпосылки!$I$203,),0))*IFERROR(INDEX(Z$10:Z$11,Предпосылки!$I$203,),0),Z107/(1+IFERROR(INDEX(Z$10:Z$11,Предпосылки!$I$204,),0))*IFERROR(INDEX(Z$10:Z$11,Предпосылки!$I$204,),0),Z130/(1+IFERROR(INDEX(Z$10:Z$11,Предпосылки!$I$205,),0))*IFERROR(INDEX(Z$10:Z$11,Предпосылки!$I$205,),0),Z153/(1+IFERROR(INDEX(Z$10:Z$11,Предпосылки!$I$206,),0))*IFERROR(INDEX(Z$10:Z$11,Предпосылки!$I$206,),0),Z176/(1+IFERROR(INDEX(Z$10:Z$11,Предпосылки!$I$207,),0))*IFERROR(INDEX(Z$10:Z$11,Предпосылки!$I$207,),0),Z199/(1+IFERROR(INDEX(Z$10:Z$11,Предпосылки!$I$208,),0))*IFERROR(INDEX(Z$10:Z$11,Предпосылки!$I$208,),0),Z222/(1+IFERROR(INDEX(Z$10:Z$11,Предпосылки!$I$209,),0))*IFERROR(INDEX(Z$10:Z$11,Предпосылки!$I$209,),0),Z245/(1+IFERROR(INDEX(Z$10:Z$11,Предпосылки!$I$210,),0))*IFERROR(INDEX(Z$10:Z$11,Предпосылки!$I$210,),0),Z268/(1+IFERROR(INDEX(Z$10:Z$11,Предпосылки!$I$211,),0))*IFERROR(INDEX(Z$10:Z$11,Предпосылки!$I$211,),0),Z291/(1+IFERROR(INDEX(Z$10:Z$11,Предпосылки!$I$212,),0))*IFERROR(INDEX(Z$10:Z$11,Предпосылки!$I$212,),0),Z314/(1+IFERROR(INDEX(Z$10:Z$11,Предпосылки!$I$213,),0))*IFERROR(INDEX(Z$10:Z$11,Предпосылки!$I$213,),0),Z337/(1+IFERROR(INDEX(Z$10:Z$11,Предпосылки!$I$214,),0))*IFERROR(INDEX(Z$10:Z$11,Предпосылки!$I$214,),0),Z360/(1+IFERROR(INDEX(Z$10:Z$11,Предпосылки!$I$215,),0))*IFERROR(INDEX(Z$10:Z$11,Предпосылки!$I$215,),0),Z383/(1+IFERROR(INDEX(Z$10:Z$11,Предпосылки!$I$216,),0))*IFERROR(INDEX(Z$10:Z$11,Предпосылки!$I$216,),0),Z406/(1+IFERROR(INDEX(Z$10:Z$11,Предпосылки!$I$217,),0))*IFERROR(INDEX(Z$10:Z$11,Предпосылки!$I$217,),0),Z429/(1+IFERROR(INDEX(Z$10:Z$11,Предпосылки!$I$218,),0))*IFERROR(INDEX(Z$10:Z$11,Предпосылки!$I$218,),0),Z452/(1+IFERROR(INDEX(Z$10:Z$11,Предпосылки!$I$219,),0))*IFERROR(INDEX(Z$10:Z$11,Предпосылки!$I$219,),0),Z475/(1+IFERROR(INDEX(Z$10:Z$11,Предпосылки!$I$220,),0))*IFERROR(INDEX(Z$10:Z$11,Предпосылки!$I$220,),0))</f>
        <v>0</v>
      </c>
      <c s="125">
        <f>SUM(AA38/(1+IFERROR(INDEX(AA$10:AA$11,Предпосылки!$I$201,),0))*IFERROR(INDEX(AA$10:AA$11,Предпосылки!$I$201,),0),AA61/(1+IFERROR(INDEX(AA$10:AA$11,Предпосылки!$I$202,),0))*IFERROR(INDEX(AA$10:AA$11,Предпосылки!$I$202,),0),AA84/(1+IFERROR(INDEX(AA$10:AA$11,Предпосылки!$I$203,),0))*IFERROR(INDEX(AA$10:AA$11,Предпосылки!$I$203,),0),AA107/(1+IFERROR(INDEX(AA$10:AA$11,Предпосылки!$I$204,),0))*IFERROR(INDEX(AA$10:AA$11,Предпосылки!$I$204,),0),AA130/(1+IFERROR(INDEX(AA$10:AA$11,Предпосылки!$I$205,),0))*IFERROR(INDEX(AA$10:AA$11,Предпосылки!$I$205,),0),AA153/(1+IFERROR(INDEX(AA$10:AA$11,Предпосылки!$I$206,),0))*IFERROR(INDEX(AA$10:AA$11,Предпосылки!$I$206,),0),AA176/(1+IFERROR(INDEX(AA$10:AA$11,Предпосылки!$I$207,),0))*IFERROR(INDEX(AA$10:AA$11,Предпосылки!$I$207,),0),AA199/(1+IFERROR(INDEX(AA$10:AA$11,Предпосылки!$I$208,),0))*IFERROR(INDEX(AA$10:AA$11,Предпосылки!$I$208,),0),AA222/(1+IFERROR(INDEX(AA$10:AA$11,Предпосылки!$I$209,),0))*IFERROR(INDEX(AA$10:AA$11,Предпосылки!$I$209,),0),AA245/(1+IFERROR(INDEX(AA$10:AA$11,Предпосылки!$I$210,),0))*IFERROR(INDEX(AA$10:AA$11,Предпосылки!$I$210,),0),AA268/(1+IFERROR(INDEX(AA$10:AA$11,Предпосылки!$I$211,),0))*IFERROR(INDEX(AA$10:AA$11,Предпосылки!$I$211,),0),AA291/(1+IFERROR(INDEX(AA$10:AA$11,Предпосылки!$I$212,),0))*IFERROR(INDEX(AA$10:AA$11,Предпосылки!$I$212,),0),AA314/(1+IFERROR(INDEX(AA$10:AA$11,Предпосылки!$I$213,),0))*IFERROR(INDEX(AA$10:AA$11,Предпосылки!$I$213,),0),AA337/(1+IFERROR(INDEX(AA$10:AA$11,Предпосылки!$I$214,),0))*IFERROR(INDEX(AA$10:AA$11,Предпосылки!$I$214,),0),AA360/(1+IFERROR(INDEX(AA$10:AA$11,Предпосылки!$I$215,),0))*IFERROR(INDEX(AA$10:AA$11,Предпосылки!$I$215,),0),AA383/(1+IFERROR(INDEX(AA$10:AA$11,Предпосылки!$I$216,),0))*IFERROR(INDEX(AA$10:AA$11,Предпосылки!$I$216,),0),AA406/(1+IFERROR(INDEX(AA$10:AA$11,Предпосылки!$I$217,),0))*IFERROR(INDEX(AA$10:AA$11,Предпосылки!$I$217,),0),AA429/(1+IFERROR(INDEX(AA$10:AA$11,Предпосылки!$I$218,),0))*IFERROR(INDEX(AA$10:AA$11,Предпосылки!$I$218,),0),AA452/(1+IFERROR(INDEX(AA$10:AA$11,Предпосылки!$I$219,),0))*IFERROR(INDEX(AA$10:AA$11,Предпосылки!$I$219,),0),AA475/(1+IFERROR(INDEX(AA$10:AA$11,Предпосылки!$I$220,),0))*IFERROR(INDEX(AA$10:AA$11,Предпосылки!$I$220,),0))</f>
        <v>0</v>
      </c>
      <c s="125">
        <f>SUM(AB38/(1+IFERROR(INDEX(AB$10:AB$11,Предпосылки!$I$201,),0))*IFERROR(INDEX(AB$10:AB$11,Предпосылки!$I$201,),0),AB61/(1+IFERROR(INDEX(AB$10:AB$11,Предпосылки!$I$202,),0))*IFERROR(INDEX(AB$10:AB$11,Предпосылки!$I$202,),0),AB84/(1+IFERROR(INDEX(AB$10:AB$11,Предпосылки!$I$203,),0))*IFERROR(INDEX(AB$10:AB$11,Предпосылки!$I$203,),0),AB107/(1+IFERROR(INDEX(AB$10:AB$11,Предпосылки!$I$204,),0))*IFERROR(INDEX(AB$10:AB$11,Предпосылки!$I$204,),0),AB130/(1+IFERROR(INDEX(AB$10:AB$11,Предпосылки!$I$205,),0))*IFERROR(INDEX(AB$10:AB$11,Предпосылки!$I$205,),0),AB153/(1+IFERROR(INDEX(AB$10:AB$11,Предпосылки!$I$206,),0))*IFERROR(INDEX(AB$10:AB$11,Предпосылки!$I$206,),0),AB176/(1+IFERROR(INDEX(AB$10:AB$11,Предпосылки!$I$207,),0))*IFERROR(INDEX(AB$10:AB$11,Предпосылки!$I$207,),0),AB199/(1+IFERROR(INDEX(AB$10:AB$11,Предпосылки!$I$208,),0))*IFERROR(INDEX(AB$10:AB$11,Предпосылки!$I$208,),0),AB222/(1+IFERROR(INDEX(AB$10:AB$11,Предпосылки!$I$209,),0))*IFERROR(INDEX(AB$10:AB$11,Предпосылки!$I$209,),0),AB245/(1+IFERROR(INDEX(AB$10:AB$11,Предпосылки!$I$210,),0))*IFERROR(INDEX(AB$10:AB$11,Предпосылки!$I$210,),0),AB268/(1+IFERROR(INDEX(AB$10:AB$11,Предпосылки!$I$211,),0))*IFERROR(INDEX(AB$10:AB$11,Предпосылки!$I$211,),0),AB291/(1+IFERROR(INDEX(AB$10:AB$11,Предпосылки!$I$212,),0))*IFERROR(INDEX(AB$10:AB$11,Предпосылки!$I$212,),0),AB314/(1+IFERROR(INDEX(AB$10:AB$11,Предпосылки!$I$213,),0))*IFERROR(INDEX(AB$10:AB$11,Предпосылки!$I$213,),0),AB337/(1+IFERROR(INDEX(AB$10:AB$11,Предпосылки!$I$214,),0))*IFERROR(INDEX(AB$10:AB$11,Предпосылки!$I$214,),0),AB360/(1+IFERROR(INDEX(AB$10:AB$11,Предпосылки!$I$215,),0))*IFERROR(INDEX(AB$10:AB$11,Предпосылки!$I$215,),0),AB383/(1+IFERROR(INDEX(AB$10:AB$11,Предпосылки!$I$216,),0))*IFERROR(INDEX(AB$10:AB$11,Предпосылки!$I$216,),0),AB406/(1+IFERROR(INDEX(AB$10:AB$11,Предпосылки!$I$217,),0))*IFERROR(INDEX(AB$10:AB$11,Предпосылки!$I$217,),0),AB429/(1+IFERROR(INDEX(AB$10:AB$11,Предпосылки!$I$218,),0))*IFERROR(INDEX(AB$10:AB$11,Предпосылки!$I$218,),0),AB452/(1+IFERROR(INDEX(AB$10:AB$11,Предпосылки!$I$219,),0))*IFERROR(INDEX(AB$10:AB$11,Предпосылки!$I$219,),0),AB475/(1+IFERROR(INDEX(AB$10:AB$11,Предпосылки!$I$220,),0))*IFERROR(INDEX(AB$10:AB$11,Предпосылки!$I$220,),0))</f>
        <v>0</v>
      </c>
      <c s="125">
        <f>SUM(AC38/(1+IFERROR(INDEX(AC$10:AC$11,Предпосылки!$I$201,),0))*IFERROR(INDEX(AC$10:AC$11,Предпосылки!$I$201,),0),AC61/(1+IFERROR(INDEX(AC$10:AC$11,Предпосылки!$I$202,),0))*IFERROR(INDEX(AC$10:AC$11,Предпосылки!$I$202,),0),AC84/(1+IFERROR(INDEX(AC$10:AC$11,Предпосылки!$I$203,),0))*IFERROR(INDEX(AC$10:AC$11,Предпосылки!$I$203,),0),AC107/(1+IFERROR(INDEX(AC$10:AC$11,Предпосылки!$I$204,),0))*IFERROR(INDEX(AC$10:AC$11,Предпосылки!$I$204,),0),AC130/(1+IFERROR(INDEX(AC$10:AC$11,Предпосылки!$I$205,),0))*IFERROR(INDEX(AC$10:AC$11,Предпосылки!$I$205,),0),AC153/(1+IFERROR(INDEX(AC$10:AC$11,Предпосылки!$I$206,),0))*IFERROR(INDEX(AC$10:AC$11,Предпосылки!$I$206,),0),AC176/(1+IFERROR(INDEX(AC$10:AC$11,Предпосылки!$I$207,),0))*IFERROR(INDEX(AC$10:AC$11,Предпосылки!$I$207,),0),AC199/(1+IFERROR(INDEX(AC$10:AC$11,Предпосылки!$I$208,),0))*IFERROR(INDEX(AC$10:AC$11,Предпосылки!$I$208,),0),AC222/(1+IFERROR(INDEX(AC$10:AC$11,Предпосылки!$I$209,),0))*IFERROR(INDEX(AC$10:AC$11,Предпосылки!$I$209,),0),AC245/(1+IFERROR(INDEX(AC$10:AC$11,Предпосылки!$I$210,),0))*IFERROR(INDEX(AC$10:AC$11,Предпосылки!$I$210,),0),AC268/(1+IFERROR(INDEX(AC$10:AC$11,Предпосылки!$I$211,),0))*IFERROR(INDEX(AC$10:AC$11,Предпосылки!$I$211,),0),AC291/(1+IFERROR(INDEX(AC$10:AC$11,Предпосылки!$I$212,),0))*IFERROR(INDEX(AC$10:AC$11,Предпосылки!$I$212,),0),AC314/(1+IFERROR(INDEX(AC$10:AC$11,Предпосылки!$I$213,),0))*IFERROR(INDEX(AC$10:AC$11,Предпосылки!$I$213,),0),AC337/(1+IFERROR(INDEX(AC$10:AC$11,Предпосылки!$I$214,),0))*IFERROR(INDEX(AC$10:AC$11,Предпосылки!$I$214,),0),AC360/(1+IFERROR(INDEX(AC$10:AC$11,Предпосылки!$I$215,),0))*IFERROR(INDEX(AC$10:AC$11,Предпосылки!$I$215,),0),AC383/(1+IFERROR(INDEX(AC$10:AC$11,Предпосылки!$I$216,),0))*IFERROR(INDEX(AC$10:AC$11,Предпосылки!$I$216,),0),AC406/(1+IFERROR(INDEX(AC$10:AC$11,Предпосылки!$I$217,),0))*IFERROR(INDEX(AC$10:AC$11,Предпосылки!$I$217,),0),AC429/(1+IFERROR(INDEX(AC$10:AC$11,Предпосылки!$I$218,),0))*IFERROR(INDEX(AC$10:AC$11,Предпосылки!$I$218,),0),AC452/(1+IFERROR(INDEX(AC$10:AC$11,Предпосылки!$I$219,),0))*IFERROR(INDEX(AC$10:AC$11,Предпосылки!$I$219,),0),AC475/(1+IFERROR(INDEX(AC$10:AC$11,Предпосылки!$I$220,),0))*IFERROR(INDEX(AC$10:AC$11,Предпосылки!$I$220,),0))</f>
        <v>0</v>
      </c>
      <c s="125">
        <f>SUM(AD38/(1+IFERROR(INDEX(AD$10:AD$11,Предпосылки!$I$201,),0))*IFERROR(INDEX(AD$10:AD$11,Предпосылки!$I$201,),0),AD61/(1+IFERROR(INDEX(AD$10:AD$11,Предпосылки!$I$202,),0))*IFERROR(INDEX(AD$10:AD$11,Предпосылки!$I$202,),0),AD84/(1+IFERROR(INDEX(AD$10:AD$11,Предпосылки!$I$203,),0))*IFERROR(INDEX(AD$10:AD$11,Предпосылки!$I$203,),0),AD107/(1+IFERROR(INDEX(AD$10:AD$11,Предпосылки!$I$204,),0))*IFERROR(INDEX(AD$10:AD$11,Предпосылки!$I$204,),0),AD130/(1+IFERROR(INDEX(AD$10:AD$11,Предпосылки!$I$205,),0))*IFERROR(INDEX(AD$10:AD$11,Предпосылки!$I$205,),0),AD153/(1+IFERROR(INDEX(AD$10:AD$11,Предпосылки!$I$206,),0))*IFERROR(INDEX(AD$10:AD$11,Предпосылки!$I$206,),0),AD176/(1+IFERROR(INDEX(AD$10:AD$11,Предпосылки!$I$207,),0))*IFERROR(INDEX(AD$10:AD$11,Предпосылки!$I$207,),0),AD199/(1+IFERROR(INDEX(AD$10:AD$11,Предпосылки!$I$208,),0))*IFERROR(INDEX(AD$10:AD$11,Предпосылки!$I$208,),0),AD222/(1+IFERROR(INDEX(AD$10:AD$11,Предпосылки!$I$209,),0))*IFERROR(INDEX(AD$10:AD$11,Предпосылки!$I$209,),0),AD245/(1+IFERROR(INDEX(AD$10:AD$11,Предпосылки!$I$210,),0))*IFERROR(INDEX(AD$10:AD$11,Предпосылки!$I$210,),0),AD268/(1+IFERROR(INDEX(AD$10:AD$11,Предпосылки!$I$211,),0))*IFERROR(INDEX(AD$10:AD$11,Предпосылки!$I$211,),0),AD291/(1+IFERROR(INDEX(AD$10:AD$11,Предпосылки!$I$212,),0))*IFERROR(INDEX(AD$10:AD$11,Предпосылки!$I$212,),0),AD314/(1+IFERROR(INDEX(AD$10:AD$11,Предпосылки!$I$213,),0))*IFERROR(INDEX(AD$10:AD$11,Предпосылки!$I$213,),0),AD337/(1+IFERROR(INDEX(AD$10:AD$11,Предпосылки!$I$214,),0))*IFERROR(INDEX(AD$10:AD$11,Предпосылки!$I$214,),0),AD360/(1+IFERROR(INDEX(AD$10:AD$11,Предпосылки!$I$215,),0))*IFERROR(INDEX(AD$10:AD$11,Предпосылки!$I$215,),0),AD383/(1+IFERROR(INDEX(AD$10:AD$11,Предпосылки!$I$216,),0))*IFERROR(INDEX(AD$10:AD$11,Предпосылки!$I$216,),0),AD406/(1+IFERROR(INDEX(AD$10:AD$11,Предпосылки!$I$217,),0))*IFERROR(INDEX(AD$10:AD$11,Предпосылки!$I$217,),0),AD429/(1+IFERROR(INDEX(AD$10:AD$11,Предпосылки!$I$218,),0))*IFERROR(INDEX(AD$10:AD$11,Предпосылки!$I$218,),0),AD452/(1+IFERROR(INDEX(AD$10:AD$11,Предпосылки!$I$219,),0))*IFERROR(INDEX(AD$10:AD$11,Предпосылки!$I$219,),0),AD475/(1+IFERROR(INDEX(AD$10:AD$11,Предпосылки!$I$220,),0))*IFERROR(INDEX(AD$10:AD$11,Предпосылки!$I$220,),0))</f>
        <v>0</v>
      </c>
      <c s="125">
        <f>SUM(AE38/(1+IFERROR(INDEX(AE$10:AE$11,Предпосылки!$I$201,),0))*IFERROR(INDEX(AE$10:AE$11,Предпосылки!$I$201,),0),AE61/(1+IFERROR(INDEX(AE$10:AE$11,Предпосылки!$I$202,),0))*IFERROR(INDEX(AE$10:AE$11,Предпосылки!$I$202,),0),AE84/(1+IFERROR(INDEX(AE$10:AE$11,Предпосылки!$I$203,),0))*IFERROR(INDEX(AE$10:AE$11,Предпосылки!$I$203,),0),AE107/(1+IFERROR(INDEX(AE$10:AE$11,Предпосылки!$I$204,),0))*IFERROR(INDEX(AE$10:AE$11,Предпосылки!$I$204,),0),AE130/(1+IFERROR(INDEX(AE$10:AE$11,Предпосылки!$I$205,),0))*IFERROR(INDEX(AE$10:AE$11,Предпосылки!$I$205,),0),AE153/(1+IFERROR(INDEX(AE$10:AE$11,Предпосылки!$I$206,),0))*IFERROR(INDEX(AE$10:AE$11,Предпосылки!$I$206,),0),AE176/(1+IFERROR(INDEX(AE$10:AE$11,Предпосылки!$I$207,),0))*IFERROR(INDEX(AE$10:AE$11,Предпосылки!$I$207,),0),AE199/(1+IFERROR(INDEX(AE$10:AE$11,Предпосылки!$I$208,),0))*IFERROR(INDEX(AE$10:AE$11,Предпосылки!$I$208,),0),AE222/(1+IFERROR(INDEX(AE$10:AE$11,Предпосылки!$I$209,),0))*IFERROR(INDEX(AE$10:AE$11,Предпосылки!$I$209,),0),AE245/(1+IFERROR(INDEX(AE$10:AE$11,Предпосылки!$I$210,),0))*IFERROR(INDEX(AE$10:AE$11,Предпосылки!$I$210,),0),AE268/(1+IFERROR(INDEX(AE$10:AE$11,Предпосылки!$I$211,),0))*IFERROR(INDEX(AE$10:AE$11,Предпосылки!$I$211,),0),AE291/(1+IFERROR(INDEX(AE$10:AE$11,Предпосылки!$I$212,),0))*IFERROR(INDEX(AE$10:AE$11,Предпосылки!$I$212,),0),AE314/(1+IFERROR(INDEX(AE$10:AE$11,Предпосылки!$I$213,),0))*IFERROR(INDEX(AE$10:AE$11,Предпосылки!$I$213,),0),AE337/(1+IFERROR(INDEX(AE$10:AE$11,Предпосылки!$I$214,),0))*IFERROR(INDEX(AE$10:AE$11,Предпосылки!$I$214,),0),AE360/(1+IFERROR(INDEX(AE$10:AE$11,Предпосылки!$I$215,),0))*IFERROR(INDEX(AE$10:AE$11,Предпосылки!$I$215,),0),AE383/(1+IFERROR(INDEX(AE$10:AE$11,Предпосылки!$I$216,),0))*IFERROR(INDEX(AE$10:AE$11,Предпосылки!$I$216,),0),AE406/(1+IFERROR(INDEX(AE$10:AE$11,Предпосылки!$I$217,),0))*IFERROR(INDEX(AE$10:AE$11,Предпосылки!$I$217,),0),AE429/(1+IFERROR(INDEX(AE$10:AE$11,Предпосылки!$I$218,),0))*IFERROR(INDEX(AE$10:AE$11,Предпосылки!$I$218,),0),AE452/(1+IFERROR(INDEX(AE$10:AE$11,Предпосылки!$I$219,),0))*IFERROR(INDEX(AE$10:AE$11,Предпосылки!$I$219,),0),AE475/(1+IFERROR(INDEX(AE$10:AE$11,Предпосылки!$I$220,),0))*IFERROR(INDEX(AE$10:AE$11,Предпосылки!$I$220,),0))</f>
        <v>0</v>
      </c>
      <c s="125">
        <f>SUM(AF38/(1+IFERROR(INDEX(AF$10:AF$11,Предпосылки!$I$201,),0))*IFERROR(INDEX(AF$10:AF$11,Предпосылки!$I$201,),0),AF61/(1+IFERROR(INDEX(AF$10:AF$11,Предпосылки!$I$202,),0))*IFERROR(INDEX(AF$10:AF$11,Предпосылки!$I$202,),0),AF84/(1+IFERROR(INDEX(AF$10:AF$11,Предпосылки!$I$203,),0))*IFERROR(INDEX(AF$10:AF$11,Предпосылки!$I$203,),0),AF107/(1+IFERROR(INDEX(AF$10:AF$11,Предпосылки!$I$204,),0))*IFERROR(INDEX(AF$10:AF$11,Предпосылки!$I$204,),0),AF130/(1+IFERROR(INDEX(AF$10:AF$11,Предпосылки!$I$205,),0))*IFERROR(INDEX(AF$10:AF$11,Предпосылки!$I$205,),0),AF153/(1+IFERROR(INDEX(AF$10:AF$11,Предпосылки!$I$206,),0))*IFERROR(INDEX(AF$10:AF$11,Предпосылки!$I$206,),0),AF176/(1+IFERROR(INDEX(AF$10:AF$11,Предпосылки!$I$207,),0))*IFERROR(INDEX(AF$10:AF$11,Предпосылки!$I$207,),0),AF199/(1+IFERROR(INDEX(AF$10:AF$11,Предпосылки!$I$208,),0))*IFERROR(INDEX(AF$10:AF$11,Предпосылки!$I$208,),0),AF222/(1+IFERROR(INDEX(AF$10:AF$11,Предпосылки!$I$209,),0))*IFERROR(INDEX(AF$10:AF$11,Предпосылки!$I$209,),0),AF245/(1+IFERROR(INDEX(AF$10:AF$11,Предпосылки!$I$210,),0))*IFERROR(INDEX(AF$10:AF$11,Предпосылки!$I$210,),0),AF268/(1+IFERROR(INDEX(AF$10:AF$11,Предпосылки!$I$211,),0))*IFERROR(INDEX(AF$10:AF$11,Предпосылки!$I$211,),0),AF291/(1+IFERROR(INDEX(AF$10:AF$11,Предпосылки!$I$212,),0))*IFERROR(INDEX(AF$10:AF$11,Предпосылки!$I$212,),0),AF314/(1+IFERROR(INDEX(AF$10:AF$11,Предпосылки!$I$213,),0))*IFERROR(INDEX(AF$10:AF$11,Предпосылки!$I$213,),0),AF337/(1+IFERROR(INDEX(AF$10:AF$11,Предпосылки!$I$214,),0))*IFERROR(INDEX(AF$10:AF$11,Предпосылки!$I$214,),0),AF360/(1+IFERROR(INDEX(AF$10:AF$11,Предпосылки!$I$215,),0))*IFERROR(INDEX(AF$10:AF$11,Предпосылки!$I$215,),0),AF383/(1+IFERROR(INDEX(AF$10:AF$11,Предпосылки!$I$216,),0))*IFERROR(INDEX(AF$10:AF$11,Предпосылки!$I$216,),0),AF406/(1+IFERROR(INDEX(AF$10:AF$11,Предпосылки!$I$217,),0))*IFERROR(INDEX(AF$10:AF$11,Предпосылки!$I$217,),0),AF429/(1+IFERROR(INDEX(AF$10:AF$11,Предпосылки!$I$218,),0))*IFERROR(INDEX(AF$10:AF$11,Предпосылки!$I$218,),0),AF452/(1+IFERROR(INDEX(AF$10:AF$11,Предпосылки!$I$219,),0))*IFERROR(INDEX(AF$10:AF$11,Предпосылки!$I$219,),0),AF475/(1+IFERROR(INDEX(AF$10:AF$11,Предпосылки!$I$220,),0))*IFERROR(INDEX(AF$10:AF$11,Предпосылки!$I$220,),0))</f>
        <v>0</v>
      </c>
      <c s="125">
        <f>SUM(AG38/(1+IFERROR(INDEX(AG$10:AG$11,Предпосылки!$I$201,),0))*IFERROR(INDEX(AG$10:AG$11,Предпосылки!$I$201,),0),AG61/(1+IFERROR(INDEX(AG$10:AG$11,Предпосылки!$I$202,),0))*IFERROR(INDEX(AG$10:AG$11,Предпосылки!$I$202,),0),AG84/(1+IFERROR(INDEX(AG$10:AG$11,Предпосылки!$I$203,),0))*IFERROR(INDEX(AG$10:AG$11,Предпосылки!$I$203,),0),AG107/(1+IFERROR(INDEX(AG$10:AG$11,Предпосылки!$I$204,),0))*IFERROR(INDEX(AG$10:AG$11,Предпосылки!$I$204,),0),AG130/(1+IFERROR(INDEX(AG$10:AG$11,Предпосылки!$I$205,),0))*IFERROR(INDEX(AG$10:AG$11,Предпосылки!$I$205,),0),AG153/(1+IFERROR(INDEX(AG$10:AG$11,Предпосылки!$I$206,),0))*IFERROR(INDEX(AG$10:AG$11,Предпосылки!$I$206,),0),AG176/(1+IFERROR(INDEX(AG$10:AG$11,Предпосылки!$I$207,),0))*IFERROR(INDEX(AG$10:AG$11,Предпосылки!$I$207,),0),AG199/(1+IFERROR(INDEX(AG$10:AG$11,Предпосылки!$I$208,),0))*IFERROR(INDEX(AG$10:AG$11,Предпосылки!$I$208,),0),AG222/(1+IFERROR(INDEX(AG$10:AG$11,Предпосылки!$I$209,),0))*IFERROR(INDEX(AG$10:AG$11,Предпосылки!$I$209,),0),AG245/(1+IFERROR(INDEX(AG$10:AG$11,Предпосылки!$I$210,),0))*IFERROR(INDEX(AG$10:AG$11,Предпосылки!$I$210,),0),AG268/(1+IFERROR(INDEX(AG$10:AG$11,Предпосылки!$I$211,),0))*IFERROR(INDEX(AG$10:AG$11,Предпосылки!$I$211,),0),AG291/(1+IFERROR(INDEX(AG$10:AG$11,Предпосылки!$I$212,),0))*IFERROR(INDEX(AG$10:AG$11,Предпосылки!$I$212,),0),AG314/(1+IFERROR(INDEX(AG$10:AG$11,Предпосылки!$I$213,),0))*IFERROR(INDEX(AG$10:AG$11,Предпосылки!$I$213,),0),AG337/(1+IFERROR(INDEX(AG$10:AG$11,Предпосылки!$I$214,),0))*IFERROR(INDEX(AG$10:AG$11,Предпосылки!$I$214,),0),AG360/(1+IFERROR(INDEX(AG$10:AG$11,Предпосылки!$I$215,),0))*IFERROR(INDEX(AG$10:AG$11,Предпосылки!$I$215,),0),AG383/(1+IFERROR(INDEX(AG$10:AG$11,Предпосылки!$I$216,),0))*IFERROR(INDEX(AG$10:AG$11,Предпосылки!$I$216,),0),AG406/(1+IFERROR(INDEX(AG$10:AG$11,Предпосылки!$I$217,),0))*IFERROR(INDEX(AG$10:AG$11,Предпосылки!$I$217,),0),AG429/(1+IFERROR(INDEX(AG$10:AG$11,Предпосылки!$I$218,),0))*IFERROR(INDEX(AG$10:AG$11,Предпосылки!$I$218,),0),AG452/(1+IFERROR(INDEX(AG$10:AG$11,Предпосылки!$I$219,),0))*IFERROR(INDEX(AG$10:AG$11,Предпосылки!$I$219,),0),AG475/(1+IFERROR(INDEX(AG$10:AG$11,Предпосылки!$I$220,),0))*IFERROR(INDEX(AG$10:AG$11,Предпосылки!$I$220,),0))</f>
        <v>0</v>
      </c>
      <c s="125">
        <f>SUM(AH38/(1+IFERROR(INDEX(AH$10:AH$11,Предпосылки!$I$201,),0))*IFERROR(INDEX(AH$10:AH$11,Предпосылки!$I$201,),0),AH61/(1+IFERROR(INDEX(AH$10:AH$11,Предпосылки!$I$202,),0))*IFERROR(INDEX(AH$10:AH$11,Предпосылки!$I$202,),0),AH84/(1+IFERROR(INDEX(AH$10:AH$11,Предпосылки!$I$203,),0))*IFERROR(INDEX(AH$10:AH$11,Предпосылки!$I$203,),0),AH107/(1+IFERROR(INDEX(AH$10:AH$11,Предпосылки!$I$204,),0))*IFERROR(INDEX(AH$10:AH$11,Предпосылки!$I$204,),0),AH130/(1+IFERROR(INDEX(AH$10:AH$11,Предпосылки!$I$205,),0))*IFERROR(INDEX(AH$10:AH$11,Предпосылки!$I$205,),0),AH153/(1+IFERROR(INDEX(AH$10:AH$11,Предпосылки!$I$206,),0))*IFERROR(INDEX(AH$10:AH$11,Предпосылки!$I$206,),0),AH176/(1+IFERROR(INDEX(AH$10:AH$11,Предпосылки!$I$207,),0))*IFERROR(INDEX(AH$10:AH$11,Предпосылки!$I$207,),0),AH199/(1+IFERROR(INDEX(AH$10:AH$11,Предпосылки!$I$208,),0))*IFERROR(INDEX(AH$10:AH$11,Предпосылки!$I$208,),0),AH222/(1+IFERROR(INDEX(AH$10:AH$11,Предпосылки!$I$209,),0))*IFERROR(INDEX(AH$10:AH$11,Предпосылки!$I$209,),0),AH245/(1+IFERROR(INDEX(AH$10:AH$11,Предпосылки!$I$210,),0))*IFERROR(INDEX(AH$10:AH$11,Предпосылки!$I$210,),0),AH268/(1+IFERROR(INDEX(AH$10:AH$11,Предпосылки!$I$211,),0))*IFERROR(INDEX(AH$10:AH$11,Предпосылки!$I$211,),0),AH291/(1+IFERROR(INDEX(AH$10:AH$11,Предпосылки!$I$212,),0))*IFERROR(INDEX(AH$10:AH$11,Предпосылки!$I$212,),0),AH314/(1+IFERROR(INDEX(AH$10:AH$11,Предпосылки!$I$213,),0))*IFERROR(INDEX(AH$10:AH$11,Предпосылки!$I$213,),0),AH337/(1+IFERROR(INDEX(AH$10:AH$11,Предпосылки!$I$214,),0))*IFERROR(INDEX(AH$10:AH$11,Предпосылки!$I$214,),0),AH360/(1+IFERROR(INDEX(AH$10:AH$11,Предпосылки!$I$215,),0))*IFERROR(INDEX(AH$10:AH$11,Предпосылки!$I$215,),0),AH383/(1+IFERROR(INDEX(AH$10:AH$11,Предпосылки!$I$216,),0))*IFERROR(INDEX(AH$10:AH$11,Предпосылки!$I$216,),0),AH406/(1+IFERROR(INDEX(AH$10:AH$11,Предпосылки!$I$217,),0))*IFERROR(INDEX(AH$10:AH$11,Предпосылки!$I$217,),0),AH429/(1+IFERROR(INDEX(AH$10:AH$11,Предпосылки!$I$218,),0))*IFERROR(INDEX(AH$10:AH$11,Предпосылки!$I$218,),0),AH452/(1+IFERROR(INDEX(AH$10:AH$11,Предпосылки!$I$219,),0))*IFERROR(INDEX(AH$10:AH$11,Предпосылки!$I$219,),0),AH475/(1+IFERROR(INDEX(AH$10:AH$11,Предпосылки!$I$220,),0))*IFERROR(INDEX(AH$10:AH$11,Предпосылки!$I$220,),0))</f>
        <v>0</v>
      </c>
      <c s="125">
        <f>SUM(AI38/(1+IFERROR(INDEX(AI$10:AI$11,Предпосылки!$I$201,),0))*IFERROR(INDEX(AI$10:AI$11,Предпосылки!$I$201,),0),AI61/(1+IFERROR(INDEX(AI$10:AI$11,Предпосылки!$I$202,),0))*IFERROR(INDEX(AI$10:AI$11,Предпосылки!$I$202,),0),AI84/(1+IFERROR(INDEX(AI$10:AI$11,Предпосылки!$I$203,),0))*IFERROR(INDEX(AI$10:AI$11,Предпосылки!$I$203,),0),AI107/(1+IFERROR(INDEX(AI$10:AI$11,Предпосылки!$I$204,),0))*IFERROR(INDEX(AI$10:AI$11,Предпосылки!$I$204,),0),AI130/(1+IFERROR(INDEX(AI$10:AI$11,Предпосылки!$I$205,),0))*IFERROR(INDEX(AI$10:AI$11,Предпосылки!$I$205,),0),AI153/(1+IFERROR(INDEX(AI$10:AI$11,Предпосылки!$I$206,),0))*IFERROR(INDEX(AI$10:AI$11,Предпосылки!$I$206,),0),AI176/(1+IFERROR(INDEX(AI$10:AI$11,Предпосылки!$I$207,),0))*IFERROR(INDEX(AI$10:AI$11,Предпосылки!$I$207,),0),AI199/(1+IFERROR(INDEX(AI$10:AI$11,Предпосылки!$I$208,),0))*IFERROR(INDEX(AI$10:AI$11,Предпосылки!$I$208,),0),AI222/(1+IFERROR(INDEX(AI$10:AI$11,Предпосылки!$I$209,),0))*IFERROR(INDEX(AI$10:AI$11,Предпосылки!$I$209,),0),AI245/(1+IFERROR(INDEX(AI$10:AI$11,Предпосылки!$I$210,),0))*IFERROR(INDEX(AI$10:AI$11,Предпосылки!$I$210,),0),AI268/(1+IFERROR(INDEX(AI$10:AI$11,Предпосылки!$I$211,),0))*IFERROR(INDEX(AI$10:AI$11,Предпосылки!$I$211,),0),AI291/(1+IFERROR(INDEX(AI$10:AI$11,Предпосылки!$I$212,),0))*IFERROR(INDEX(AI$10:AI$11,Предпосылки!$I$212,),0),AI314/(1+IFERROR(INDEX(AI$10:AI$11,Предпосылки!$I$213,),0))*IFERROR(INDEX(AI$10:AI$11,Предпосылки!$I$213,),0),AI337/(1+IFERROR(INDEX(AI$10:AI$11,Предпосылки!$I$214,),0))*IFERROR(INDEX(AI$10:AI$11,Предпосылки!$I$214,),0),AI360/(1+IFERROR(INDEX(AI$10:AI$11,Предпосылки!$I$215,),0))*IFERROR(INDEX(AI$10:AI$11,Предпосылки!$I$215,),0),AI383/(1+IFERROR(INDEX(AI$10:AI$11,Предпосылки!$I$216,),0))*IFERROR(INDEX(AI$10:AI$11,Предпосылки!$I$216,),0),AI406/(1+IFERROR(INDEX(AI$10:AI$11,Предпосылки!$I$217,),0))*IFERROR(INDEX(AI$10:AI$11,Предпосылки!$I$217,),0),AI429/(1+IFERROR(INDEX(AI$10:AI$11,Предпосылки!$I$218,),0))*IFERROR(INDEX(AI$10:AI$11,Предпосылки!$I$218,),0),AI452/(1+IFERROR(INDEX(AI$10:AI$11,Предпосылки!$I$219,),0))*IFERROR(INDEX(AI$10:AI$11,Предпосылки!$I$219,),0),AI475/(1+IFERROR(INDEX(AI$10:AI$11,Предпосылки!$I$220,),0))*IFERROR(INDEX(AI$10:AI$11,Предпосылки!$I$220,),0))</f>
        <v>0</v>
      </c>
      <c s="125">
        <f>SUM(AJ38/(1+IFERROR(INDEX(AJ$10:AJ$11,Предпосылки!$I$201,),0))*IFERROR(INDEX(AJ$10:AJ$11,Предпосылки!$I$201,),0),AJ61/(1+IFERROR(INDEX(AJ$10:AJ$11,Предпосылки!$I$202,),0))*IFERROR(INDEX(AJ$10:AJ$11,Предпосылки!$I$202,),0),AJ84/(1+IFERROR(INDEX(AJ$10:AJ$11,Предпосылки!$I$203,),0))*IFERROR(INDEX(AJ$10:AJ$11,Предпосылки!$I$203,),0),AJ107/(1+IFERROR(INDEX(AJ$10:AJ$11,Предпосылки!$I$204,),0))*IFERROR(INDEX(AJ$10:AJ$11,Предпосылки!$I$204,),0),AJ130/(1+IFERROR(INDEX(AJ$10:AJ$11,Предпосылки!$I$205,),0))*IFERROR(INDEX(AJ$10:AJ$11,Предпосылки!$I$205,),0),AJ153/(1+IFERROR(INDEX(AJ$10:AJ$11,Предпосылки!$I$206,),0))*IFERROR(INDEX(AJ$10:AJ$11,Предпосылки!$I$206,),0),AJ176/(1+IFERROR(INDEX(AJ$10:AJ$11,Предпосылки!$I$207,),0))*IFERROR(INDEX(AJ$10:AJ$11,Предпосылки!$I$207,),0),AJ199/(1+IFERROR(INDEX(AJ$10:AJ$11,Предпосылки!$I$208,),0))*IFERROR(INDEX(AJ$10:AJ$11,Предпосылки!$I$208,),0),AJ222/(1+IFERROR(INDEX(AJ$10:AJ$11,Предпосылки!$I$209,),0))*IFERROR(INDEX(AJ$10:AJ$11,Предпосылки!$I$209,),0),AJ245/(1+IFERROR(INDEX(AJ$10:AJ$11,Предпосылки!$I$210,),0))*IFERROR(INDEX(AJ$10:AJ$11,Предпосылки!$I$210,),0),AJ268/(1+IFERROR(INDEX(AJ$10:AJ$11,Предпосылки!$I$211,),0))*IFERROR(INDEX(AJ$10:AJ$11,Предпосылки!$I$211,),0),AJ291/(1+IFERROR(INDEX(AJ$10:AJ$11,Предпосылки!$I$212,),0))*IFERROR(INDEX(AJ$10:AJ$11,Предпосылки!$I$212,),0),AJ314/(1+IFERROR(INDEX(AJ$10:AJ$11,Предпосылки!$I$213,),0))*IFERROR(INDEX(AJ$10:AJ$11,Предпосылки!$I$213,),0),AJ337/(1+IFERROR(INDEX(AJ$10:AJ$11,Предпосылки!$I$214,),0))*IFERROR(INDEX(AJ$10:AJ$11,Предпосылки!$I$214,),0),AJ360/(1+IFERROR(INDEX(AJ$10:AJ$11,Предпосылки!$I$215,),0))*IFERROR(INDEX(AJ$10:AJ$11,Предпосылки!$I$215,),0),AJ383/(1+IFERROR(INDEX(AJ$10:AJ$11,Предпосылки!$I$216,),0))*IFERROR(INDEX(AJ$10:AJ$11,Предпосылки!$I$216,),0),AJ406/(1+IFERROR(INDEX(AJ$10:AJ$11,Предпосылки!$I$217,),0))*IFERROR(INDEX(AJ$10:AJ$11,Предпосылки!$I$217,),0),AJ429/(1+IFERROR(INDEX(AJ$10:AJ$11,Предпосылки!$I$218,),0))*IFERROR(INDEX(AJ$10:AJ$11,Предпосылки!$I$218,),0),AJ452/(1+IFERROR(INDEX(AJ$10:AJ$11,Предпосылки!$I$219,),0))*IFERROR(INDEX(AJ$10:AJ$11,Предпосылки!$I$219,),0),AJ475/(1+IFERROR(INDEX(AJ$10:AJ$11,Предпосылки!$I$220,),0))*IFERROR(INDEX(AJ$10:AJ$11,Предпосылки!$I$220,),0))</f>
        <v>0</v>
      </c>
      <c s="125">
        <f>SUM(AK38/(1+IFERROR(INDEX(AK$10:AK$11,Предпосылки!$I$201,),0))*IFERROR(INDEX(AK$10:AK$11,Предпосылки!$I$201,),0),AK61/(1+IFERROR(INDEX(AK$10:AK$11,Предпосылки!$I$202,),0))*IFERROR(INDEX(AK$10:AK$11,Предпосылки!$I$202,),0),AK84/(1+IFERROR(INDEX(AK$10:AK$11,Предпосылки!$I$203,),0))*IFERROR(INDEX(AK$10:AK$11,Предпосылки!$I$203,),0),AK107/(1+IFERROR(INDEX(AK$10:AK$11,Предпосылки!$I$204,),0))*IFERROR(INDEX(AK$10:AK$11,Предпосылки!$I$204,),0),AK130/(1+IFERROR(INDEX(AK$10:AK$11,Предпосылки!$I$205,),0))*IFERROR(INDEX(AK$10:AK$11,Предпосылки!$I$205,),0),AK153/(1+IFERROR(INDEX(AK$10:AK$11,Предпосылки!$I$206,),0))*IFERROR(INDEX(AK$10:AK$11,Предпосылки!$I$206,),0),AK176/(1+IFERROR(INDEX(AK$10:AK$11,Предпосылки!$I$207,),0))*IFERROR(INDEX(AK$10:AK$11,Предпосылки!$I$207,),0),AK199/(1+IFERROR(INDEX(AK$10:AK$11,Предпосылки!$I$208,),0))*IFERROR(INDEX(AK$10:AK$11,Предпосылки!$I$208,),0),AK222/(1+IFERROR(INDEX(AK$10:AK$11,Предпосылки!$I$209,),0))*IFERROR(INDEX(AK$10:AK$11,Предпосылки!$I$209,),0),AK245/(1+IFERROR(INDEX(AK$10:AK$11,Предпосылки!$I$210,),0))*IFERROR(INDEX(AK$10:AK$11,Предпосылки!$I$210,),0),AK268/(1+IFERROR(INDEX(AK$10:AK$11,Предпосылки!$I$211,),0))*IFERROR(INDEX(AK$10:AK$11,Предпосылки!$I$211,),0),AK291/(1+IFERROR(INDEX(AK$10:AK$11,Предпосылки!$I$212,),0))*IFERROR(INDEX(AK$10:AK$11,Предпосылки!$I$212,),0),AK314/(1+IFERROR(INDEX(AK$10:AK$11,Предпосылки!$I$213,),0))*IFERROR(INDEX(AK$10:AK$11,Предпосылки!$I$213,),0),AK337/(1+IFERROR(INDEX(AK$10:AK$11,Предпосылки!$I$214,),0))*IFERROR(INDEX(AK$10:AK$11,Предпосылки!$I$214,),0),AK360/(1+IFERROR(INDEX(AK$10:AK$11,Предпосылки!$I$215,),0))*IFERROR(INDEX(AK$10:AK$11,Предпосылки!$I$215,),0),AK383/(1+IFERROR(INDEX(AK$10:AK$11,Предпосылки!$I$216,),0))*IFERROR(INDEX(AK$10:AK$11,Предпосылки!$I$216,),0),AK406/(1+IFERROR(INDEX(AK$10:AK$11,Предпосылки!$I$217,),0))*IFERROR(INDEX(AK$10:AK$11,Предпосылки!$I$217,),0),AK429/(1+IFERROR(INDEX(AK$10:AK$11,Предпосылки!$I$218,),0))*IFERROR(INDEX(AK$10:AK$11,Предпосылки!$I$218,),0),AK452/(1+IFERROR(INDEX(AK$10:AK$11,Предпосылки!$I$219,),0))*IFERROR(INDEX(AK$10:AK$11,Предпосылки!$I$219,),0),AK475/(1+IFERROR(INDEX(AK$10:AK$11,Предпосылки!$I$220,),0))*IFERROR(INDEX(AK$10:AK$11,Предпосылки!$I$220,),0))</f>
        <v>0</v>
      </c>
      <c s="125">
        <f>SUM(AL38/(1+IFERROR(INDEX(AL$10:AL$11,Предпосылки!$I$201,),0))*IFERROR(INDEX(AL$10:AL$11,Предпосылки!$I$201,),0),AL61/(1+IFERROR(INDEX(AL$10:AL$11,Предпосылки!$I$202,),0))*IFERROR(INDEX(AL$10:AL$11,Предпосылки!$I$202,),0),AL84/(1+IFERROR(INDEX(AL$10:AL$11,Предпосылки!$I$203,),0))*IFERROR(INDEX(AL$10:AL$11,Предпосылки!$I$203,),0),AL107/(1+IFERROR(INDEX(AL$10:AL$11,Предпосылки!$I$204,),0))*IFERROR(INDEX(AL$10:AL$11,Предпосылки!$I$204,),0),AL130/(1+IFERROR(INDEX(AL$10:AL$11,Предпосылки!$I$205,),0))*IFERROR(INDEX(AL$10:AL$11,Предпосылки!$I$205,),0),AL153/(1+IFERROR(INDEX(AL$10:AL$11,Предпосылки!$I$206,),0))*IFERROR(INDEX(AL$10:AL$11,Предпосылки!$I$206,),0),AL176/(1+IFERROR(INDEX(AL$10:AL$11,Предпосылки!$I$207,),0))*IFERROR(INDEX(AL$10:AL$11,Предпосылки!$I$207,),0),AL199/(1+IFERROR(INDEX(AL$10:AL$11,Предпосылки!$I$208,),0))*IFERROR(INDEX(AL$10:AL$11,Предпосылки!$I$208,),0),AL222/(1+IFERROR(INDEX(AL$10:AL$11,Предпосылки!$I$209,),0))*IFERROR(INDEX(AL$10:AL$11,Предпосылки!$I$209,),0),AL245/(1+IFERROR(INDEX(AL$10:AL$11,Предпосылки!$I$210,),0))*IFERROR(INDEX(AL$10:AL$11,Предпосылки!$I$210,),0),AL268/(1+IFERROR(INDEX(AL$10:AL$11,Предпосылки!$I$211,),0))*IFERROR(INDEX(AL$10:AL$11,Предпосылки!$I$211,),0),AL291/(1+IFERROR(INDEX(AL$10:AL$11,Предпосылки!$I$212,),0))*IFERROR(INDEX(AL$10:AL$11,Предпосылки!$I$212,),0),AL314/(1+IFERROR(INDEX(AL$10:AL$11,Предпосылки!$I$213,),0))*IFERROR(INDEX(AL$10:AL$11,Предпосылки!$I$213,),0),AL337/(1+IFERROR(INDEX(AL$10:AL$11,Предпосылки!$I$214,),0))*IFERROR(INDEX(AL$10:AL$11,Предпосылки!$I$214,),0),AL360/(1+IFERROR(INDEX(AL$10:AL$11,Предпосылки!$I$215,),0))*IFERROR(INDEX(AL$10:AL$11,Предпосылки!$I$215,),0),AL383/(1+IFERROR(INDEX(AL$10:AL$11,Предпосылки!$I$216,),0))*IFERROR(INDEX(AL$10:AL$11,Предпосылки!$I$216,),0),AL406/(1+IFERROR(INDEX(AL$10:AL$11,Предпосылки!$I$217,),0))*IFERROR(INDEX(AL$10:AL$11,Предпосылки!$I$217,),0),AL429/(1+IFERROR(INDEX(AL$10:AL$11,Предпосылки!$I$218,),0))*IFERROR(INDEX(AL$10:AL$11,Предпосылки!$I$218,),0),AL452/(1+IFERROR(INDEX(AL$10:AL$11,Предпосылки!$I$219,),0))*IFERROR(INDEX(AL$10:AL$11,Предпосылки!$I$219,),0),AL475/(1+IFERROR(INDEX(AL$10:AL$11,Предпосылки!$I$220,),0))*IFERROR(INDEX(AL$10:AL$11,Предпосылки!$I$220,),0))</f>
        <v>0</v>
      </c>
      <c s="125">
        <f>SUM(AM38/(1+IFERROR(INDEX(AM$10:AM$11,Предпосылки!$I$201,),0))*IFERROR(INDEX(AM$10:AM$11,Предпосылки!$I$201,),0),AM61/(1+IFERROR(INDEX(AM$10:AM$11,Предпосылки!$I$202,),0))*IFERROR(INDEX(AM$10:AM$11,Предпосылки!$I$202,),0),AM84/(1+IFERROR(INDEX(AM$10:AM$11,Предпосылки!$I$203,),0))*IFERROR(INDEX(AM$10:AM$11,Предпосылки!$I$203,),0),AM107/(1+IFERROR(INDEX(AM$10:AM$11,Предпосылки!$I$204,),0))*IFERROR(INDEX(AM$10:AM$11,Предпосылки!$I$204,),0),AM130/(1+IFERROR(INDEX(AM$10:AM$11,Предпосылки!$I$205,),0))*IFERROR(INDEX(AM$10:AM$11,Предпосылки!$I$205,),0),AM153/(1+IFERROR(INDEX(AM$10:AM$11,Предпосылки!$I$206,),0))*IFERROR(INDEX(AM$10:AM$11,Предпосылки!$I$206,),0),AM176/(1+IFERROR(INDEX(AM$10:AM$11,Предпосылки!$I$207,),0))*IFERROR(INDEX(AM$10:AM$11,Предпосылки!$I$207,),0),AM199/(1+IFERROR(INDEX(AM$10:AM$11,Предпосылки!$I$208,),0))*IFERROR(INDEX(AM$10:AM$11,Предпосылки!$I$208,),0),AM222/(1+IFERROR(INDEX(AM$10:AM$11,Предпосылки!$I$209,),0))*IFERROR(INDEX(AM$10:AM$11,Предпосылки!$I$209,),0),AM245/(1+IFERROR(INDEX(AM$10:AM$11,Предпосылки!$I$210,),0))*IFERROR(INDEX(AM$10:AM$11,Предпосылки!$I$210,),0),AM268/(1+IFERROR(INDEX(AM$10:AM$11,Предпосылки!$I$211,),0))*IFERROR(INDEX(AM$10:AM$11,Предпосылки!$I$211,),0),AM291/(1+IFERROR(INDEX(AM$10:AM$11,Предпосылки!$I$212,),0))*IFERROR(INDEX(AM$10:AM$11,Предпосылки!$I$212,),0),AM314/(1+IFERROR(INDEX(AM$10:AM$11,Предпосылки!$I$213,),0))*IFERROR(INDEX(AM$10:AM$11,Предпосылки!$I$213,),0),AM337/(1+IFERROR(INDEX(AM$10:AM$11,Предпосылки!$I$214,),0))*IFERROR(INDEX(AM$10:AM$11,Предпосылки!$I$214,),0),AM360/(1+IFERROR(INDEX(AM$10:AM$11,Предпосылки!$I$215,),0))*IFERROR(INDEX(AM$10:AM$11,Предпосылки!$I$215,),0),AM383/(1+IFERROR(INDEX(AM$10:AM$11,Предпосылки!$I$216,),0))*IFERROR(INDEX(AM$10:AM$11,Предпосылки!$I$216,),0),AM406/(1+IFERROR(INDEX(AM$10:AM$11,Предпосылки!$I$217,),0))*IFERROR(INDEX(AM$10:AM$11,Предпосылки!$I$217,),0),AM429/(1+IFERROR(INDEX(AM$10:AM$11,Предпосылки!$I$218,),0))*IFERROR(INDEX(AM$10:AM$11,Предпосылки!$I$218,),0),AM452/(1+IFERROR(INDEX(AM$10:AM$11,Предпосылки!$I$219,),0))*IFERROR(INDEX(AM$10:AM$11,Предпосылки!$I$219,),0),AM475/(1+IFERROR(INDEX(AM$10:AM$11,Предпосылки!$I$220,),0))*IFERROR(INDEX(AM$10:AM$11,Предпосылки!$I$220,),0))</f>
        <v>0</v>
      </c>
      <c s="125">
        <f>SUM(AN38/(1+IFERROR(INDEX(AN$10:AN$11,Предпосылки!$I$201,),0))*IFERROR(INDEX(AN$10:AN$11,Предпосылки!$I$201,),0),AN61/(1+IFERROR(INDEX(AN$10:AN$11,Предпосылки!$I$202,),0))*IFERROR(INDEX(AN$10:AN$11,Предпосылки!$I$202,),0),AN84/(1+IFERROR(INDEX(AN$10:AN$11,Предпосылки!$I$203,),0))*IFERROR(INDEX(AN$10:AN$11,Предпосылки!$I$203,),0),AN107/(1+IFERROR(INDEX(AN$10:AN$11,Предпосылки!$I$204,),0))*IFERROR(INDEX(AN$10:AN$11,Предпосылки!$I$204,),0),AN130/(1+IFERROR(INDEX(AN$10:AN$11,Предпосылки!$I$205,),0))*IFERROR(INDEX(AN$10:AN$11,Предпосылки!$I$205,),0),AN153/(1+IFERROR(INDEX(AN$10:AN$11,Предпосылки!$I$206,),0))*IFERROR(INDEX(AN$10:AN$11,Предпосылки!$I$206,),0),AN176/(1+IFERROR(INDEX(AN$10:AN$11,Предпосылки!$I$207,),0))*IFERROR(INDEX(AN$10:AN$11,Предпосылки!$I$207,),0),AN199/(1+IFERROR(INDEX(AN$10:AN$11,Предпосылки!$I$208,),0))*IFERROR(INDEX(AN$10:AN$11,Предпосылки!$I$208,),0),AN222/(1+IFERROR(INDEX(AN$10:AN$11,Предпосылки!$I$209,),0))*IFERROR(INDEX(AN$10:AN$11,Предпосылки!$I$209,),0),AN245/(1+IFERROR(INDEX(AN$10:AN$11,Предпосылки!$I$210,),0))*IFERROR(INDEX(AN$10:AN$11,Предпосылки!$I$210,),0),AN268/(1+IFERROR(INDEX(AN$10:AN$11,Предпосылки!$I$211,),0))*IFERROR(INDEX(AN$10:AN$11,Предпосылки!$I$211,),0),AN291/(1+IFERROR(INDEX(AN$10:AN$11,Предпосылки!$I$212,),0))*IFERROR(INDEX(AN$10:AN$11,Предпосылки!$I$212,),0),AN314/(1+IFERROR(INDEX(AN$10:AN$11,Предпосылки!$I$213,),0))*IFERROR(INDEX(AN$10:AN$11,Предпосылки!$I$213,),0),AN337/(1+IFERROR(INDEX(AN$10:AN$11,Предпосылки!$I$214,),0))*IFERROR(INDEX(AN$10:AN$11,Предпосылки!$I$214,),0),AN360/(1+IFERROR(INDEX(AN$10:AN$11,Предпосылки!$I$215,),0))*IFERROR(INDEX(AN$10:AN$11,Предпосылки!$I$215,),0),AN383/(1+IFERROR(INDEX(AN$10:AN$11,Предпосылки!$I$216,),0))*IFERROR(INDEX(AN$10:AN$11,Предпосылки!$I$216,),0),AN406/(1+IFERROR(INDEX(AN$10:AN$11,Предпосылки!$I$217,),0))*IFERROR(INDEX(AN$10:AN$11,Предпосылки!$I$217,),0),AN429/(1+IFERROR(INDEX(AN$10:AN$11,Предпосылки!$I$218,),0))*IFERROR(INDEX(AN$10:AN$11,Предпосылки!$I$218,),0),AN452/(1+IFERROR(INDEX(AN$10:AN$11,Предпосылки!$I$219,),0))*IFERROR(INDEX(AN$10:AN$11,Предпосылки!$I$219,),0),AN475/(1+IFERROR(INDEX(AN$10:AN$11,Предпосылки!$I$220,),0))*IFERROR(INDEX(AN$10:AN$11,Предпосылки!$I$220,),0))</f>
        <v>0</v>
      </c>
      <c s="125">
        <f>SUM(AO38/(1+IFERROR(INDEX(AO$10:AO$11,Предпосылки!$I$201,),0))*IFERROR(INDEX(AO$10:AO$11,Предпосылки!$I$201,),0),AO61/(1+IFERROR(INDEX(AO$10:AO$11,Предпосылки!$I$202,),0))*IFERROR(INDEX(AO$10:AO$11,Предпосылки!$I$202,),0),AO84/(1+IFERROR(INDEX(AO$10:AO$11,Предпосылки!$I$203,),0))*IFERROR(INDEX(AO$10:AO$11,Предпосылки!$I$203,),0),AO107/(1+IFERROR(INDEX(AO$10:AO$11,Предпосылки!$I$204,),0))*IFERROR(INDEX(AO$10:AO$11,Предпосылки!$I$204,),0),AO130/(1+IFERROR(INDEX(AO$10:AO$11,Предпосылки!$I$205,),0))*IFERROR(INDEX(AO$10:AO$11,Предпосылки!$I$205,),0),AO153/(1+IFERROR(INDEX(AO$10:AO$11,Предпосылки!$I$206,),0))*IFERROR(INDEX(AO$10:AO$11,Предпосылки!$I$206,),0),AO176/(1+IFERROR(INDEX(AO$10:AO$11,Предпосылки!$I$207,),0))*IFERROR(INDEX(AO$10:AO$11,Предпосылки!$I$207,),0),AO199/(1+IFERROR(INDEX(AO$10:AO$11,Предпосылки!$I$208,),0))*IFERROR(INDEX(AO$10:AO$11,Предпосылки!$I$208,),0),AO222/(1+IFERROR(INDEX(AO$10:AO$11,Предпосылки!$I$209,),0))*IFERROR(INDEX(AO$10:AO$11,Предпосылки!$I$209,),0),AO245/(1+IFERROR(INDEX(AO$10:AO$11,Предпосылки!$I$210,),0))*IFERROR(INDEX(AO$10:AO$11,Предпосылки!$I$210,),0),AO268/(1+IFERROR(INDEX(AO$10:AO$11,Предпосылки!$I$211,),0))*IFERROR(INDEX(AO$10:AO$11,Предпосылки!$I$211,),0),AO291/(1+IFERROR(INDEX(AO$10:AO$11,Предпосылки!$I$212,),0))*IFERROR(INDEX(AO$10:AO$11,Предпосылки!$I$212,),0),AO314/(1+IFERROR(INDEX(AO$10:AO$11,Предпосылки!$I$213,),0))*IFERROR(INDEX(AO$10:AO$11,Предпосылки!$I$213,),0),AO337/(1+IFERROR(INDEX(AO$10:AO$11,Предпосылки!$I$214,),0))*IFERROR(INDEX(AO$10:AO$11,Предпосылки!$I$214,),0),AO360/(1+IFERROR(INDEX(AO$10:AO$11,Предпосылки!$I$215,),0))*IFERROR(INDEX(AO$10:AO$11,Предпосылки!$I$215,),0),AO383/(1+IFERROR(INDEX(AO$10:AO$11,Предпосылки!$I$216,),0))*IFERROR(INDEX(AO$10:AO$11,Предпосылки!$I$216,),0),AO406/(1+IFERROR(INDEX(AO$10:AO$11,Предпосылки!$I$217,),0))*IFERROR(INDEX(AO$10:AO$11,Предпосылки!$I$217,),0),AO429/(1+IFERROR(INDEX(AO$10:AO$11,Предпосылки!$I$218,),0))*IFERROR(INDEX(AO$10:AO$11,Предпосылки!$I$218,),0),AO452/(1+IFERROR(INDEX(AO$10:AO$11,Предпосылки!$I$219,),0))*IFERROR(INDEX(AO$10:AO$11,Предпосылки!$I$219,),0),AO475/(1+IFERROR(INDEX(AO$10:AO$11,Предпосылки!$I$220,),0))*IFERROR(INDEX(AO$10:AO$11,Предпосылки!$I$220,),0))</f>
        <v>0</v>
      </c>
      <c s="125">
        <f>SUM(AP38/(1+IFERROR(INDEX(AP$10:AP$11,Предпосылки!$I$201,),0))*IFERROR(INDEX(AP$10:AP$11,Предпосылки!$I$201,),0),AP61/(1+IFERROR(INDEX(AP$10:AP$11,Предпосылки!$I$202,),0))*IFERROR(INDEX(AP$10:AP$11,Предпосылки!$I$202,),0),AP84/(1+IFERROR(INDEX(AP$10:AP$11,Предпосылки!$I$203,),0))*IFERROR(INDEX(AP$10:AP$11,Предпосылки!$I$203,),0),AP107/(1+IFERROR(INDEX(AP$10:AP$11,Предпосылки!$I$204,),0))*IFERROR(INDEX(AP$10:AP$11,Предпосылки!$I$204,),0),AP130/(1+IFERROR(INDEX(AP$10:AP$11,Предпосылки!$I$205,),0))*IFERROR(INDEX(AP$10:AP$11,Предпосылки!$I$205,),0),AP153/(1+IFERROR(INDEX(AP$10:AP$11,Предпосылки!$I$206,),0))*IFERROR(INDEX(AP$10:AP$11,Предпосылки!$I$206,),0),AP176/(1+IFERROR(INDEX(AP$10:AP$11,Предпосылки!$I$207,),0))*IFERROR(INDEX(AP$10:AP$11,Предпосылки!$I$207,),0),AP199/(1+IFERROR(INDEX(AP$10:AP$11,Предпосылки!$I$208,),0))*IFERROR(INDEX(AP$10:AP$11,Предпосылки!$I$208,),0),AP222/(1+IFERROR(INDEX(AP$10:AP$11,Предпосылки!$I$209,),0))*IFERROR(INDEX(AP$10:AP$11,Предпосылки!$I$209,),0),AP245/(1+IFERROR(INDEX(AP$10:AP$11,Предпосылки!$I$210,),0))*IFERROR(INDEX(AP$10:AP$11,Предпосылки!$I$210,),0),AP268/(1+IFERROR(INDEX(AP$10:AP$11,Предпосылки!$I$211,),0))*IFERROR(INDEX(AP$10:AP$11,Предпосылки!$I$211,),0),AP291/(1+IFERROR(INDEX(AP$10:AP$11,Предпосылки!$I$212,),0))*IFERROR(INDEX(AP$10:AP$11,Предпосылки!$I$212,),0),AP314/(1+IFERROR(INDEX(AP$10:AP$11,Предпосылки!$I$213,),0))*IFERROR(INDEX(AP$10:AP$11,Предпосылки!$I$213,),0),AP337/(1+IFERROR(INDEX(AP$10:AP$11,Предпосылки!$I$214,),0))*IFERROR(INDEX(AP$10:AP$11,Предпосылки!$I$214,),0),AP360/(1+IFERROR(INDEX(AP$10:AP$11,Предпосылки!$I$215,),0))*IFERROR(INDEX(AP$10:AP$11,Предпосылки!$I$215,),0),AP383/(1+IFERROR(INDEX(AP$10:AP$11,Предпосылки!$I$216,),0))*IFERROR(INDEX(AP$10:AP$11,Предпосылки!$I$216,),0),AP406/(1+IFERROR(INDEX(AP$10:AP$11,Предпосылки!$I$217,),0))*IFERROR(INDEX(AP$10:AP$11,Предпосылки!$I$217,),0),AP429/(1+IFERROR(INDEX(AP$10:AP$11,Предпосылки!$I$218,),0))*IFERROR(INDEX(AP$10:AP$11,Предпосылки!$I$218,),0),AP452/(1+IFERROR(INDEX(AP$10:AP$11,Предпосылки!$I$219,),0))*IFERROR(INDEX(AP$10:AP$11,Предпосылки!$I$219,),0),AP475/(1+IFERROR(INDEX(AP$10:AP$11,Предпосылки!$I$220,),0))*IFERROR(INDEX(AP$10:AP$11,Предпосылки!$I$220,),0))</f>
        <v>0</v>
      </c>
      <c s="125">
        <f>SUM(AQ38/(1+IFERROR(INDEX(AQ$10:AQ$11,Предпосылки!$I$201,),0))*IFERROR(INDEX(AQ$10:AQ$11,Предпосылки!$I$201,),0),AQ61/(1+IFERROR(INDEX(AQ$10:AQ$11,Предпосылки!$I$202,),0))*IFERROR(INDEX(AQ$10:AQ$11,Предпосылки!$I$202,),0),AQ84/(1+IFERROR(INDEX(AQ$10:AQ$11,Предпосылки!$I$203,),0))*IFERROR(INDEX(AQ$10:AQ$11,Предпосылки!$I$203,),0),AQ107/(1+IFERROR(INDEX(AQ$10:AQ$11,Предпосылки!$I$204,),0))*IFERROR(INDEX(AQ$10:AQ$11,Предпосылки!$I$204,),0),AQ130/(1+IFERROR(INDEX(AQ$10:AQ$11,Предпосылки!$I$205,),0))*IFERROR(INDEX(AQ$10:AQ$11,Предпосылки!$I$205,),0),AQ153/(1+IFERROR(INDEX(AQ$10:AQ$11,Предпосылки!$I$206,),0))*IFERROR(INDEX(AQ$10:AQ$11,Предпосылки!$I$206,),0),AQ176/(1+IFERROR(INDEX(AQ$10:AQ$11,Предпосылки!$I$207,),0))*IFERROR(INDEX(AQ$10:AQ$11,Предпосылки!$I$207,),0),AQ199/(1+IFERROR(INDEX(AQ$10:AQ$11,Предпосылки!$I$208,),0))*IFERROR(INDEX(AQ$10:AQ$11,Предпосылки!$I$208,),0),AQ222/(1+IFERROR(INDEX(AQ$10:AQ$11,Предпосылки!$I$209,),0))*IFERROR(INDEX(AQ$10:AQ$11,Предпосылки!$I$209,),0),AQ245/(1+IFERROR(INDEX(AQ$10:AQ$11,Предпосылки!$I$210,),0))*IFERROR(INDEX(AQ$10:AQ$11,Предпосылки!$I$210,),0),AQ268/(1+IFERROR(INDEX(AQ$10:AQ$11,Предпосылки!$I$211,),0))*IFERROR(INDEX(AQ$10:AQ$11,Предпосылки!$I$211,),0),AQ291/(1+IFERROR(INDEX(AQ$10:AQ$11,Предпосылки!$I$212,),0))*IFERROR(INDEX(AQ$10:AQ$11,Предпосылки!$I$212,),0),AQ314/(1+IFERROR(INDEX(AQ$10:AQ$11,Предпосылки!$I$213,),0))*IFERROR(INDEX(AQ$10:AQ$11,Предпосылки!$I$213,),0),AQ337/(1+IFERROR(INDEX(AQ$10:AQ$11,Предпосылки!$I$214,),0))*IFERROR(INDEX(AQ$10:AQ$11,Предпосылки!$I$214,),0),AQ360/(1+IFERROR(INDEX(AQ$10:AQ$11,Предпосылки!$I$215,),0))*IFERROR(INDEX(AQ$10:AQ$11,Предпосылки!$I$215,),0),AQ383/(1+IFERROR(INDEX(AQ$10:AQ$11,Предпосылки!$I$216,),0))*IFERROR(INDEX(AQ$10:AQ$11,Предпосылки!$I$216,),0),AQ406/(1+IFERROR(INDEX(AQ$10:AQ$11,Предпосылки!$I$217,),0))*IFERROR(INDEX(AQ$10:AQ$11,Предпосылки!$I$217,),0),AQ429/(1+IFERROR(INDEX(AQ$10:AQ$11,Предпосылки!$I$218,),0))*IFERROR(INDEX(AQ$10:AQ$11,Предпосылки!$I$218,),0),AQ452/(1+IFERROR(INDEX(AQ$10:AQ$11,Предпосылки!$I$219,),0))*IFERROR(INDEX(AQ$10:AQ$11,Предпосылки!$I$219,),0),AQ475/(1+IFERROR(INDEX(AQ$10:AQ$11,Предпосылки!$I$220,),0))*IFERROR(INDEX(AQ$10:AQ$11,Предпосылки!$I$220,),0))</f>
        <v>0</v>
      </c>
      <c s="125">
        <f>SUM(AR38/(1+IFERROR(INDEX(AR$10:AR$11,Предпосылки!$I$201,),0))*IFERROR(INDEX(AR$10:AR$11,Предпосылки!$I$201,),0),AR61/(1+IFERROR(INDEX(AR$10:AR$11,Предпосылки!$I$202,),0))*IFERROR(INDEX(AR$10:AR$11,Предпосылки!$I$202,),0),AR84/(1+IFERROR(INDEX(AR$10:AR$11,Предпосылки!$I$203,),0))*IFERROR(INDEX(AR$10:AR$11,Предпосылки!$I$203,),0),AR107/(1+IFERROR(INDEX(AR$10:AR$11,Предпосылки!$I$204,),0))*IFERROR(INDEX(AR$10:AR$11,Предпосылки!$I$204,),0),AR130/(1+IFERROR(INDEX(AR$10:AR$11,Предпосылки!$I$205,),0))*IFERROR(INDEX(AR$10:AR$11,Предпосылки!$I$205,),0),AR153/(1+IFERROR(INDEX(AR$10:AR$11,Предпосылки!$I$206,),0))*IFERROR(INDEX(AR$10:AR$11,Предпосылки!$I$206,),0),AR176/(1+IFERROR(INDEX(AR$10:AR$11,Предпосылки!$I$207,),0))*IFERROR(INDEX(AR$10:AR$11,Предпосылки!$I$207,),0),AR199/(1+IFERROR(INDEX(AR$10:AR$11,Предпосылки!$I$208,),0))*IFERROR(INDEX(AR$10:AR$11,Предпосылки!$I$208,),0),AR222/(1+IFERROR(INDEX(AR$10:AR$11,Предпосылки!$I$209,),0))*IFERROR(INDEX(AR$10:AR$11,Предпосылки!$I$209,),0),AR245/(1+IFERROR(INDEX(AR$10:AR$11,Предпосылки!$I$210,),0))*IFERROR(INDEX(AR$10:AR$11,Предпосылки!$I$210,),0),AR268/(1+IFERROR(INDEX(AR$10:AR$11,Предпосылки!$I$211,),0))*IFERROR(INDEX(AR$10:AR$11,Предпосылки!$I$211,),0),AR291/(1+IFERROR(INDEX(AR$10:AR$11,Предпосылки!$I$212,),0))*IFERROR(INDEX(AR$10:AR$11,Предпосылки!$I$212,),0),AR314/(1+IFERROR(INDEX(AR$10:AR$11,Предпосылки!$I$213,),0))*IFERROR(INDEX(AR$10:AR$11,Предпосылки!$I$213,),0),AR337/(1+IFERROR(INDEX(AR$10:AR$11,Предпосылки!$I$214,),0))*IFERROR(INDEX(AR$10:AR$11,Предпосылки!$I$214,),0),AR360/(1+IFERROR(INDEX(AR$10:AR$11,Предпосылки!$I$215,),0))*IFERROR(INDEX(AR$10:AR$11,Предпосылки!$I$215,),0),AR383/(1+IFERROR(INDEX(AR$10:AR$11,Предпосылки!$I$216,),0))*IFERROR(INDEX(AR$10:AR$11,Предпосылки!$I$216,),0),AR406/(1+IFERROR(INDEX(AR$10:AR$11,Предпосылки!$I$217,),0))*IFERROR(INDEX(AR$10:AR$11,Предпосылки!$I$217,),0),AR429/(1+IFERROR(INDEX(AR$10:AR$11,Предпосылки!$I$218,),0))*IFERROR(INDEX(AR$10:AR$11,Предпосылки!$I$218,),0),AR452/(1+IFERROR(INDEX(AR$10:AR$11,Предпосылки!$I$219,),0))*IFERROR(INDEX(AR$10:AR$11,Предпосылки!$I$219,),0),AR475/(1+IFERROR(INDEX(AR$10:AR$11,Предпосылки!$I$220,),0))*IFERROR(INDEX(AR$10:AR$11,Предпосылки!$I$220,),0))</f>
        <v>0</v>
      </c>
      <c s="125">
        <f>SUM(AS38/(1+IFERROR(INDEX(AS$10:AS$11,Предпосылки!$I$201,),0))*IFERROR(INDEX(AS$10:AS$11,Предпосылки!$I$201,),0),AS61/(1+IFERROR(INDEX(AS$10:AS$11,Предпосылки!$I$202,),0))*IFERROR(INDEX(AS$10:AS$11,Предпосылки!$I$202,),0),AS84/(1+IFERROR(INDEX(AS$10:AS$11,Предпосылки!$I$203,),0))*IFERROR(INDEX(AS$10:AS$11,Предпосылки!$I$203,),0),AS107/(1+IFERROR(INDEX(AS$10:AS$11,Предпосылки!$I$204,),0))*IFERROR(INDEX(AS$10:AS$11,Предпосылки!$I$204,),0),AS130/(1+IFERROR(INDEX(AS$10:AS$11,Предпосылки!$I$205,),0))*IFERROR(INDEX(AS$10:AS$11,Предпосылки!$I$205,),0),AS153/(1+IFERROR(INDEX(AS$10:AS$11,Предпосылки!$I$206,),0))*IFERROR(INDEX(AS$10:AS$11,Предпосылки!$I$206,),0),AS176/(1+IFERROR(INDEX(AS$10:AS$11,Предпосылки!$I$207,),0))*IFERROR(INDEX(AS$10:AS$11,Предпосылки!$I$207,),0),AS199/(1+IFERROR(INDEX(AS$10:AS$11,Предпосылки!$I$208,),0))*IFERROR(INDEX(AS$10:AS$11,Предпосылки!$I$208,),0),AS222/(1+IFERROR(INDEX(AS$10:AS$11,Предпосылки!$I$209,),0))*IFERROR(INDEX(AS$10:AS$11,Предпосылки!$I$209,),0),AS245/(1+IFERROR(INDEX(AS$10:AS$11,Предпосылки!$I$210,),0))*IFERROR(INDEX(AS$10:AS$11,Предпосылки!$I$210,),0),AS268/(1+IFERROR(INDEX(AS$10:AS$11,Предпосылки!$I$211,),0))*IFERROR(INDEX(AS$10:AS$11,Предпосылки!$I$211,),0),AS291/(1+IFERROR(INDEX(AS$10:AS$11,Предпосылки!$I$212,),0))*IFERROR(INDEX(AS$10:AS$11,Предпосылки!$I$212,),0),AS314/(1+IFERROR(INDEX(AS$10:AS$11,Предпосылки!$I$213,),0))*IFERROR(INDEX(AS$10:AS$11,Предпосылки!$I$213,),0),AS337/(1+IFERROR(INDEX(AS$10:AS$11,Предпосылки!$I$214,),0))*IFERROR(INDEX(AS$10:AS$11,Предпосылки!$I$214,),0),AS360/(1+IFERROR(INDEX(AS$10:AS$11,Предпосылки!$I$215,),0))*IFERROR(INDEX(AS$10:AS$11,Предпосылки!$I$215,),0),AS383/(1+IFERROR(INDEX(AS$10:AS$11,Предпосылки!$I$216,),0))*IFERROR(INDEX(AS$10:AS$11,Предпосылки!$I$216,),0),AS406/(1+IFERROR(INDEX(AS$10:AS$11,Предпосылки!$I$217,),0))*IFERROR(INDEX(AS$10:AS$11,Предпосылки!$I$217,),0),AS429/(1+IFERROR(INDEX(AS$10:AS$11,Предпосылки!$I$218,),0))*IFERROR(INDEX(AS$10:AS$11,Предпосылки!$I$218,),0),AS452/(1+IFERROR(INDEX(AS$10:AS$11,Предпосылки!$I$219,),0))*IFERROR(INDEX(AS$10:AS$11,Предпосылки!$I$219,),0),AS475/(1+IFERROR(INDEX(AS$10:AS$11,Предпосылки!$I$220,),0))*IFERROR(INDEX(AS$10:AS$11,Предпосылки!$I$220,),0))</f>
        <v>0</v>
      </c>
      <c s="125">
        <f>SUM(AT38/(1+IFERROR(INDEX(AT$10:AT$11,Предпосылки!$I$201,),0))*IFERROR(INDEX(AT$10:AT$11,Предпосылки!$I$201,),0),AT61/(1+IFERROR(INDEX(AT$10:AT$11,Предпосылки!$I$202,),0))*IFERROR(INDEX(AT$10:AT$11,Предпосылки!$I$202,),0),AT84/(1+IFERROR(INDEX(AT$10:AT$11,Предпосылки!$I$203,),0))*IFERROR(INDEX(AT$10:AT$11,Предпосылки!$I$203,),0),AT107/(1+IFERROR(INDEX(AT$10:AT$11,Предпосылки!$I$204,),0))*IFERROR(INDEX(AT$10:AT$11,Предпосылки!$I$204,),0),AT130/(1+IFERROR(INDEX(AT$10:AT$11,Предпосылки!$I$205,),0))*IFERROR(INDEX(AT$10:AT$11,Предпосылки!$I$205,),0),AT153/(1+IFERROR(INDEX(AT$10:AT$11,Предпосылки!$I$206,),0))*IFERROR(INDEX(AT$10:AT$11,Предпосылки!$I$206,),0),AT176/(1+IFERROR(INDEX(AT$10:AT$11,Предпосылки!$I$207,),0))*IFERROR(INDEX(AT$10:AT$11,Предпосылки!$I$207,),0),AT199/(1+IFERROR(INDEX(AT$10:AT$11,Предпосылки!$I$208,),0))*IFERROR(INDEX(AT$10:AT$11,Предпосылки!$I$208,),0),AT222/(1+IFERROR(INDEX(AT$10:AT$11,Предпосылки!$I$209,),0))*IFERROR(INDEX(AT$10:AT$11,Предпосылки!$I$209,),0),AT245/(1+IFERROR(INDEX(AT$10:AT$11,Предпосылки!$I$210,),0))*IFERROR(INDEX(AT$10:AT$11,Предпосылки!$I$210,),0),AT268/(1+IFERROR(INDEX(AT$10:AT$11,Предпосылки!$I$211,),0))*IFERROR(INDEX(AT$10:AT$11,Предпосылки!$I$211,),0),AT291/(1+IFERROR(INDEX(AT$10:AT$11,Предпосылки!$I$212,),0))*IFERROR(INDEX(AT$10:AT$11,Предпосылки!$I$212,),0),AT314/(1+IFERROR(INDEX(AT$10:AT$11,Предпосылки!$I$213,),0))*IFERROR(INDEX(AT$10:AT$11,Предпосылки!$I$213,),0),AT337/(1+IFERROR(INDEX(AT$10:AT$11,Предпосылки!$I$214,),0))*IFERROR(INDEX(AT$10:AT$11,Предпосылки!$I$214,),0),AT360/(1+IFERROR(INDEX(AT$10:AT$11,Предпосылки!$I$215,),0))*IFERROR(INDEX(AT$10:AT$11,Предпосылки!$I$215,),0),AT383/(1+IFERROR(INDEX(AT$10:AT$11,Предпосылки!$I$216,),0))*IFERROR(INDEX(AT$10:AT$11,Предпосылки!$I$216,),0),AT406/(1+IFERROR(INDEX(AT$10:AT$11,Предпосылки!$I$217,),0))*IFERROR(INDEX(AT$10:AT$11,Предпосылки!$I$217,),0),AT429/(1+IFERROR(INDEX(AT$10:AT$11,Предпосылки!$I$218,),0))*IFERROR(INDEX(AT$10:AT$11,Предпосылки!$I$218,),0),AT452/(1+IFERROR(INDEX(AT$10:AT$11,Предпосылки!$I$219,),0))*IFERROR(INDEX(AT$10:AT$11,Предпосылки!$I$219,),0),AT475/(1+IFERROR(INDEX(AT$10:AT$11,Предпосылки!$I$220,),0))*IFERROR(INDEX(AT$10:AT$11,Предпосылки!$I$220,),0))</f>
        <v>0</v>
      </c>
      <c s="125">
        <f>SUM(AU38/(1+IFERROR(INDEX(AU$10:AU$11,Предпосылки!$I$201,),0))*IFERROR(INDEX(AU$10:AU$11,Предпосылки!$I$201,),0),AU61/(1+IFERROR(INDEX(AU$10:AU$11,Предпосылки!$I$202,),0))*IFERROR(INDEX(AU$10:AU$11,Предпосылки!$I$202,),0),AU84/(1+IFERROR(INDEX(AU$10:AU$11,Предпосылки!$I$203,),0))*IFERROR(INDEX(AU$10:AU$11,Предпосылки!$I$203,),0),AU107/(1+IFERROR(INDEX(AU$10:AU$11,Предпосылки!$I$204,),0))*IFERROR(INDEX(AU$10:AU$11,Предпосылки!$I$204,),0),AU130/(1+IFERROR(INDEX(AU$10:AU$11,Предпосылки!$I$205,),0))*IFERROR(INDEX(AU$10:AU$11,Предпосылки!$I$205,),0),AU153/(1+IFERROR(INDEX(AU$10:AU$11,Предпосылки!$I$206,),0))*IFERROR(INDEX(AU$10:AU$11,Предпосылки!$I$206,),0),AU176/(1+IFERROR(INDEX(AU$10:AU$11,Предпосылки!$I$207,),0))*IFERROR(INDEX(AU$10:AU$11,Предпосылки!$I$207,),0),AU199/(1+IFERROR(INDEX(AU$10:AU$11,Предпосылки!$I$208,),0))*IFERROR(INDEX(AU$10:AU$11,Предпосылки!$I$208,),0),AU222/(1+IFERROR(INDEX(AU$10:AU$11,Предпосылки!$I$209,),0))*IFERROR(INDEX(AU$10:AU$11,Предпосылки!$I$209,),0),AU245/(1+IFERROR(INDEX(AU$10:AU$11,Предпосылки!$I$210,),0))*IFERROR(INDEX(AU$10:AU$11,Предпосылки!$I$210,),0),AU268/(1+IFERROR(INDEX(AU$10:AU$11,Предпосылки!$I$211,),0))*IFERROR(INDEX(AU$10:AU$11,Предпосылки!$I$211,),0),AU291/(1+IFERROR(INDEX(AU$10:AU$11,Предпосылки!$I$212,),0))*IFERROR(INDEX(AU$10:AU$11,Предпосылки!$I$212,),0),AU314/(1+IFERROR(INDEX(AU$10:AU$11,Предпосылки!$I$213,),0))*IFERROR(INDEX(AU$10:AU$11,Предпосылки!$I$213,),0),AU337/(1+IFERROR(INDEX(AU$10:AU$11,Предпосылки!$I$214,),0))*IFERROR(INDEX(AU$10:AU$11,Предпосылки!$I$214,),0),AU360/(1+IFERROR(INDEX(AU$10:AU$11,Предпосылки!$I$215,),0))*IFERROR(INDEX(AU$10:AU$11,Предпосылки!$I$215,),0),AU383/(1+IFERROR(INDEX(AU$10:AU$11,Предпосылки!$I$216,),0))*IFERROR(INDEX(AU$10:AU$11,Предпосылки!$I$216,),0),AU406/(1+IFERROR(INDEX(AU$10:AU$11,Предпосылки!$I$217,),0))*IFERROR(INDEX(AU$10:AU$11,Предпосылки!$I$217,),0),AU429/(1+IFERROR(INDEX(AU$10:AU$11,Предпосылки!$I$218,),0))*IFERROR(INDEX(AU$10:AU$11,Предпосылки!$I$218,),0),AU452/(1+IFERROR(INDEX(AU$10:AU$11,Предпосылки!$I$219,),0))*IFERROR(INDEX(AU$10:AU$11,Предпосылки!$I$219,),0),AU475/(1+IFERROR(INDEX(AU$10:AU$11,Предпосылки!$I$220,),0))*IFERROR(INDEX(AU$10:AU$11,Предпосылки!$I$220,),0))</f>
        <v>0</v>
      </c>
      <c s="125">
        <f>SUM(AV38/(1+IFERROR(INDEX(AV$10:AV$11,Предпосылки!$I$201,),0))*IFERROR(INDEX(AV$10:AV$11,Предпосылки!$I$201,),0),AV61/(1+IFERROR(INDEX(AV$10:AV$11,Предпосылки!$I$202,),0))*IFERROR(INDEX(AV$10:AV$11,Предпосылки!$I$202,),0),AV84/(1+IFERROR(INDEX(AV$10:AV$11,Предпосылки!$I$203,),0))*IFERROR(INDEX(AV$10:AV$11,Предпосылки!$I$203,),0),AV107/(1+IFERROR(INDEX(AV$10:AV$11,Предпосылки!$I$204,),0))*IFERROR(INDEX(AV$10:AV$11,Предпосылки!$I$204,),0),AV130/(1+IFERROR(INDEX(AV$10:AV$11,Предпосылки!$I$205,),0))*IFERROR(INDEX(AV$10:AV$11,Предпосылки!$I$205,),0),AV153/(1+IFERROR(INDEX(AV$10:AV$11,Предпосылки!$I$206,),0))*IFERROR(INDEX(AV$10:AV$11,Предпосылки!$I$206,),0),AV176/(1+IFERROR(INDEX(AV$10:AV$11,Предпосылки!$I$207,),0))*IFERROR(INDEX(AV$10:AV$11,Предпосылки!$I$207,),0),AV199/(1+IFERROR(INDEX(AV$10:AV$11,Предпосылки!$I$208,),0))*IFERROR(INDEX(AV$10:AV$11,Предпосылки!$I$208,),0),AV222/(1+IFERROR(INDEX(AV$10:AV$11,Предпосылки!$I$209,),0))*IFERROR(INDEX(AV$10:AV$11,Предпосылки!$I$209,),0),AV245/(1+IFERROR(INDEX(AV$10:AV$11,Предпосылки!$I$210,),0))*IFERROR(INDEX(AV$10:AV$11,Предпосылки!$I$210,),0),AV268/(1+IFERROR(INDEX(AV$10:AV$11,Предпосылки!$I$211,),0))*IFERROR(INDEX(AV$10:AV$11,Предпосылки!$I$211,),0),AV291/(1+IFERROR(INDEX(AV$10:AV$11,Предпосылки!$I$212,),0))*IFERROR(INDEX(AV$10:AV$11,Предпосылки!$I$212,),0),AV314/(1+IFERROR(INDEX(AV$10:AV$11,Предпосылки!$I$213,),0))*IFERROR(INDEX(AV$10:AV$11,Предпосылки!$I$213,),0),AV337/(1+IFERROR(INDEX(AV$10:AV$11,Предпосылки!$I$214,),0))*IFERROR(INDEX(AV$10:AV$11,Предпосылки!$I$214,),0),AV360/(1+IFERROR(INDEX(AV$10:AV$11,Предпосылки!$I$215,),0))*IFERROR(INDEX(AV$10:AV$11,Предпосылки!$I$215,),0),AV383/(1+IFERROR(INDEX(AV$10:AV$11,Предпосылки!$I$216,),0))*IFERROR(INDEX(AV$10:AV$11,Предпосылки!$I$216,),0),AV406/(1+IFERROR(INDEX(AV$10:AV$11,Предпосылки!$I$217,),0))*IFERROR(INDEX(AV$10:AV$11,Предпосылки!$I$217,),0),AV429/(1+IFERROR(INDEX(AV$10:AV$11,Предпосылки!$I$218,),0))*IFERROR(INDEX(AV$10:AV$11,Предпосылки!$I$218,),0),AV452/(1+IFERROR(INDEX(AV$10:AV$11,Предпосылки!$I$219,),0))*IFERROR(INDEX(AV$10:AV$11,Предпосылки!$I$219,),0),AV475/(1+IFERROR(INDEX(AV$10:AV$11,Предпосылки!$I$220,),0))*IFERROR(INDEX(AV$10:AV$11,Предпосылки!$I$220,),0))</f>
        <v>0</v>
      </c>
      <c s="125">
        <f>SUM(AW38/(1+IFERROR(INDEX(AW$10:AW$11,Предпосылки!$I$201,),0))*IFERROR(INDEX(AW$10:AW$11,Предпосылки!$I$201,),0),AW61/(1+IFERROR(INDEX(AW$10:AW$11,Предпосылки!$I$202,),0))*IFERROR(INDEX(AW$10:AW$11,Предпосылки!$I$202,),0),AW84/(1+IFERROR(INDEX(AW$10:AW$11,Предпосылки!$I$203,),0))*IFERROR(INDEX(AW$10:AW$11,Предпосылки!$I$203,),0),AW107/(1+IFERROR(INDEX(AW$10:AW$11,Предпосылки!$I$204,),0))*IFERROR(INDEX(AW$10:AW$11,Предпосылки!$I$204,),0),AW130/(1+IFERROR(INDEX(AW$10:AW$11,Предпосылки!$I$205,),0))*IFERROR(INDEX(AW$10:AW$11,Предпосылки!$I$205,),0),AW153/(1+IFERROR(INDEX(AW$10:AW$11,Предпосылки!$I$206,),0))*IFERROR(INDEX(AW$10:AW$11,Предпосылки!$I$206,),0),AW176/(1+IFERROR(INDEX(AW$10:AW$11,Предпосылки!$I$207,),0))*IFERROR(INDEX(AW$10:AW$11,Предпосылки!$I$207,),0),AW199/(1+IFERROR(INDEX(AW$10:AW$11,Предпосылки!$I$208,),0))*IFERROR(INDEX(AW$10:AW$11,Предпосылки!$I$208,),0),AW222/(1+IFERROR(INDEX(AW$10:AW$11,Предпосылки!$I$209,),0))*IFERROR(INDEX(AW$10:AW$11,Предпосылки!$I$209,),0),AW245/(1+IFERROR(INDEX(AW$10:AW$11,Предпосылки!$I$210,),0))*IFERROR(INDEX(AW$10:AW$11,Предпосылки!$I$210,),0),AW268/(1+IFERROR(INDEX(AW$10:AW$11,Предпосылки!$I$211,),0))*IFERROR(INDEX(AW$10:AW$11,Предпосылки!$I$211,),0),AW291/(1+IFERROR(INDEX(AW$10:AW$11,Предпосылки!$I$212,),0))*IFERROR(INDEX(AW$10:AW$11,Предпосылки!$I$212,),0),AW314/(1+IFERROR(INDEX(AW$10:AW$11,Предпосылки!$I$213,),0))*IFERROR(INDEX(AW$10:AW$11,Предпосылки!$I$213,),0),AW337/(1+IFERROR(INDEX(AW$10:AW$11,Предпосылки!$I$214,),0))*IFERROR(INDEX(AW$10:AW$11,Предпосылки!$I$214,),0),AW360/(1+IFERROR(INDEX(AW$10:AW$11,Предпосылки!$I$215,),0))*IFERROR(INDEX(AW$10:AW$11,Предпосылки!$I$215,),0),AW383/(1+IFERROR(INDEX(AW$10:AW$11,Предпосылки!$I$216,),0))*IFERROR(INDEX(AW$10:AW$11,Предпосылки!$I$216,),0),AW406/(1+IFERROR(INDEX(AW$10:AW$11,Предпосылки!$I$217,),0))*IFERROR(INDEX(AW$10:AW$11,Предпосылки!$I$217,),0),AW429/(1+IFERROR(INDEX(AW$10:AW$11,Предпосылки!$I$218,),0))*IFERROR(INDEX(AW$10:AW$11,Предпосылки!$I$218,),0),AW452/(1+IFERROR(INDEX(AW$10:AW$11,Предпосылки!$I$219,),0))*IFERROR(INDEX(AW$10:AW$11,Предпосылки!$I$219,),0),AW475/(1+IFERROR(INDEX(AW$10:AW$11,Предпосылки!$I$220,),0))*IFERROR(INDEX(AW$10:AW$11,Предпосылки!$I$220,),0))</f>
        <v>0</v>
      </c>
      <c s="125">
        <f>SUM(AX38/(1+IFERROR(INDEX(AX$10:AX$11,Предпосылки!$I$201,),0))*IFERROR(INDEX(AX$10:AX$11,Предпосылки!$I$201,),0),AX61/(1+IFERROR(INDEX(AX$10:AX$11,Предпосылки!$I$202,),0))*IFERROR(INDEX(AX$10:AX$11,Предпосылки!$I$202,),0),AX84/(1+IFERROR(INDEX(AX$10:AX$11,Предпосылки!$I$203,),0))*IFERROR(INDEX(AX$10:AX$11,Предпосылки!$I$203,),0),AX107/(1+IFERROR(INDEX(AX$10:AX$11,Предпосылки!$I$204,),0))*IFERROR(INDEX(AX$10:AX$11,Предпосылки!$I$204,),0),AX130/(1+IFERROR(INDEX(AX$10:AX$11,Предпосылки!$I$205,),0))*IFERROR(INDEX(AX$10:AX$11,Предпосылки!$I$205,),0),AX153/(1+IFERROR(INDEX(AX$10:AX$11,Предпосылки!$I$206,),0))*IFERROR(INDEX(AX$10:AX$11,Предпосылки!$I$206,),0),AX176/(1+IFERROR(INDEX(AX$10:AX$11,Предпосылки!$I$207,),0))*IFERROR(INDEX(AX$10:AX$11,Предпосылки!$I$207,),0),AX199/(1+IFERROR(INDEX(AX$10:AX$11,Предпосылки!$I$208,),0))*IFERROR(INDEX(AX$10:AX$11,Предпосылки!$I$208,),0),AX222/(1+IFERROR(INDEX(AX$10:AX$11,Предпосылки!$I$209,),0))*IFERROR(INDEX(AX$10:AX$11,Предпосылки!$I$209,),0),AX245/(1+IFERROR(INDEX(AX$10:AX$11,Предпосылки!$I$210,),0))*IFERROR(INDEX(AX$10:AX$11,Предпосылки!$I$210,),0),AX268/(1+IFERROR(INDEX(AX$10:AX$11,Предпосылки!$I$211,),0))*IFERROR(INDEX(AX$10:AX$11,Предпосылки!$I$211,),0),AX291/(1+IFERROR(INDEX(AX$10:AX$11,Предпосылки!$I$212,),0))*IFERROR(INDEX(AX$10:AX$11,Предпосылки!$I$212,),0),AX314/(1+IFERROR(INDEX(AX$10:AX$11,Предпосылки!$I$213,),0))*IFERROR(INDEX(AX$10:AX$11,Предпосылки!$I$213,),0),AX337/(1+IFERROR(INDEX(AX$10:AX$11,Предпосылки!$I$214,),0))*IFERROR(INDEX(AX$10:AX$11,Предпосылки!$I$214,),0),AX360/(1+IFERROR(INDEX(AX$10:AX$11,Предпосылки!$I$215,),0))*IFERROR(INDEX(AX$10:AX$11,Предпосылки!$I$215,),0),AX383/(1+IFERROR(INDEX(AX$10:AX$11,Предпосылки!$I$216,),0))*IFERROR(INDEX(AX$10:AX$11,Предпосылки!$I$216,),0),AX406/(1+IFERROR(INDEX(AX$10:AX$11,Предпосылки!$I$217,),0))*IFERROR(INDEX(AX$10:AX$11,Предпосылки!$I$217,),0),AX429/(1+IFERROR(INDEX(AX$10:AX$11,Предпосылки!$I$218,),0))*IFERROR(INDEX(AX$10:AX$11,Предпосылки!$I$218,),0),AX452/(1+IFERROR(INDEX(AX$10:AX$11,Предпосылки!$I$219,),0))*IFERROR(INDEX(AX$10:AX$11,Предпосылки!$I$219,),0),AX475/(1+IFERROR(INDEX(AX$10:AX$11,Предпосылки!$I$220,),0))*IFERROR(INDEX(AX$10:AX$11,Предпосылки!$I$220,),0))</f>
        <v>0</v>
      </c>
      <c s="125">
        <f>SUM(AY38/(1+IFERROR(INDEX(AY$10:AY$11,Предпосылки!$I$201,),0))*IFERROR(INDEX(AY$10:AY$11,Предпосылки!$I$201,),0),AY61/(1+IFERROR(INDEX(AY$10:AY$11,Предпосылки!$I$202,),0))*IFERROR(INDEX(AY$10:AY$11,Предпосылки!$I$202,),0),AY84/(1+IFERROR(INDEX(AY$10:AY$11,Предпосылки!$I$203,),0))*IFERROR(INDEX(AY$10:AY$11,Предпосылки!$I$203,),0),AY107/(1+IFERROR(INDEX(AY$10:AY$11,Предпосылки!$I$204,),0))*IFERROR(INDEX(AY$10:AY$11,Предпосылки!$I$204,),0),AY130/(1+IFERROR(INDEX(AY$10:AY$11,Предпосылки!$I$205,),0))*IFERROR(INDEX(AY$10:AY$11,Предпосылки!$I$205,),0),AY153/(1+IFERROR(INDEX(AY$10:AY$11,Предпосылки!$I$206,),0))*IFERROR(INDEX(AY$10:AY$11,Предпосылки!$I$206,),0),AY176/(1+IFERROR(INDEX(AY$10:AY$11,Предпосылки!$I$207,),0))*IFERROR(INDEX(AY$10:AY$11,Предпосылки!$I$207,),0),AY199/(1+IFERROR(INDEX(AY$10:AY$11,Предпосылки!$I$208,),0))*IFERROR(INDEX(AY$10:AY$11,Предпосылки!$I$208,),0),AY222/(1+IFERROR(INDEX(AY$10:AY$11,Предпосылки!$I$209,),0))*IFERROR(INDEX(AY$10:AY$11,Предпосылки!$I$209,),0),AY245/(1+IFERROR(INDEX(AY$10:AY$11,Предпосылки!$I$210,),0))*IFERROR(INDEX(AY$10:AY$11,Предпосылки!$I$210,),0),AY268/(1+IFERROR(INDEX(AY$10:AY$11,Предпосылки!$I$211,),0))*IFERROR(INDEX(AY$10:AY$11,Предпосылки!$I$211,),0),AY291/(1+IFERROR(INDEX(AY$10:AY$11,Предпосылки!$I$212,),0))*IFERROR(INDEX(AY$10:AY$11,Предпосылки!$I$212,),0),AY314/(1+IFERROR(INDEX(AY$10:AY$11,Предпосылки!$I$213,),0))*IFERROR(INDEX(AY$10:AY$11,Предпосылки!$I$213,),0),AY337/(1+IFERROR(INDEX(AY$10:AY$11,Предпосылки!$I$214,),0))*IFERROR(INDEX(AY$10:AY$11,Предпосылки!$I$214,),0),AY360/(1+IFERROR(INDEX(AY$10:AY$11,Предпосылки!$I$215,),0))*IFERROR(INDEX(AY$10:AY$11,Предпосылки!$I$215,),0),AY383/(1+IFERROR(INDEX(AY$10:AY$11,Предпосылки!$I$216,),0))*IFERROR(INDEX(AY$10:AY$11,Предпосылки!$I$216,),0),AY406/(1+IFERROR(INDEX(AY$10:AY$11,Предпосылки!$I$217,),0))*IFERROR(INDEX(AY$10:AY$11,Предпосылки!$I$217,),0),AY429/(1+IFERROR(INDEX(AY$10:AY$11,Предпосылки!$I$218,),0))*IFERROR(INDEX(AY$10:AY$11,Предпосылки!$I$218,),0),AY452/(1+IFERROR(INDEX(AY$10:AY$11,Предпосылки!$I$219,),0))*IFERROR(INDEX(AY$10:AY$11,Предпосылки!$I$219,),0),AY475/(1+IFERROR(INDEX(AY$10:AY$11,Предпосылки!$I$220,),0))*IFERROR(INDEX(AY$10:AY$11,Предпосылки!$I$220,),0))</f>
        <v>0</v>
      </c>
      <c s="125">
        <f>SUM(AZ38/(1+IFERROR(INDEX(AZ$10:AZ$11,Предпосылки!$I$201,),0))*IFERROR(INDEX(AZ$10:AZ$11,Предпосылки!$I$201,),0),AZ61/(1+IFERROR(INDEX(AZ$10:AZ$11,Предпосылки!$I$202,),0))*IFERROR(INDEX(AZ$10:AZ$11,Предпосылки!$I$202,),0),AZ84/(1+IFERROR(INDEX(AZ$10:AZ$11,Предпосылки!$I$203,),0))*IFERROR(INDEX(AZ$10:AZ$11,Предпосылки!$I$203,),0),AZ107/(1+IFERROR(INDEX(AZ$10:AZ$11,Предпосылки!$I$204,),0))*IFERROR(INDEX(AZ$10:AZ$11,Предпосылки!$I$204,),0),AZ130/(1+IFERROR(INDEX(AZ$10:AZ$11,Предпосылки!$I$205,),0))*IFERROR(INDEX(AZ$10:AZ$11,Предпосылки!$I$205,),0),AZ153/(1+IFERROR(INDEX(AZ$10:AZ$11,Предпосылки!$I$206,),0))*IFERROR(INDEX(AZ$10:AZ$11,Предпосылки!$I$206,),0),AZ176/(1+IFERROR(INDEX(AZ$10:AZ$11,Предпосылки!$I$207,),0))*IFERROR(INDEX(AZ$10:AZ$11,Предпосылки!$I$207,),0),AZ199/(1+IFERROR(INDEX(AZ$10:AZ$11,Предпосылки!$I$208,),0))*IFERROR(INDEX(AZ$10:AZ$11,Предпосылки!$I$208,),0),AZ222/(1+IFERROR(INDEX(AZ$10:AZ$11,Предпосылки!$I$209,),0))*IFERROR(INDEX(AZ$10:AZ$11,Предпосылки!$I$209,),0),AZ245/(1+IFERROR(INDEX(AZ$10:AZ$11,Предпосылки!$I$210,),0))*IFERROR(INDEX(AZ$10:AZ$11,Предпосылки!$I$210,),0),AZ268/(1+IFERROR(INDEX(AZ$10:AZ$11,Предпосылки!$I$211,),0))*IFERROR(INDEX(AZ$10:AZ$11,Предпосылки!$I$211,),0),AZ291/(1+IFERROR(INDEX(AZ$10:AZ$11,Предпосылки!$I$212,),0))*IFERROR(INDEX(AZ$10:AZ$11,Предпосылки!$I$212,),0),AZ314/(1+IFERROR(INDEX(AZ$10:AZ$11,Предпосылки!$I$213,),0))*IFERROR(INDEX(AZ$10:AZ$11,Предпосылки!$I$213,),0),AZ337/(1+IFERROR(INDEX(AZ$10:AZ$11,Предпосылки!$I$214,),0))*IFERROR(INDEX(AZ$10:AZ$11,Предпосылки!$I$214,),0),AZ360/(1+IFERROR(INDEX(AZ$10:AZ$11,Предпосылки!$I$215,),0))*IFERROR(INDEX(AZ$10:AZ$11,Предпосылки!$I$215,),0),AZ383/(1+IFERROR(INDEX(AZ$10:AZ$11,Предпосылки!$I$216,),0))*IFERROR(INDEX(AZ$10:AZ$11,Предпосылки!$I$216,),0),AZ406/(1+IFERROR(INDEX(AZ$10:AZ$11,Предпосылки!$I$217,),0))*IFERROR(INDEX(AZ$10:AZ$11,Предпосылки!$I$217,),0),AZ429/(1+IFERROR(INDEX(AZ$10:AZ$11,Предпосылки!$I$218,),0))*IFERROR(INDEX(AZ$10:AZ$11,Предпосылки!$I$218,),0),AZ452/(1+IFERROR(INDEX(AZ$10:AZ$11,Предпосылки!$I$219,),0))*IFERROR(INDEX(AZ$10:AZ$11,Предпосылки!$I$219,),0),AZ475/(1+IFERROR(INDEX(AZ$10:AZ$11,Предпосылки!$I$220,),0))*IFERROR(INDEX(AZ$10:AZ$11,Предпосылки!$I$220,),0))</f>
        <v>0</v>
      </c>
      <c s="125">
        <f>SUM(BA38/(1+IFERROR(INDEX(BA$10:BA$11,Предпосылки!$I$201,),0))*IFERROR(INDEX(BA$10:BA$11,Предпосылки!$I$201,),0),BA61/(1+IFERROR(INDEX(BA$10:BA$11,Предпосылки!$I$202,),0))*IFERROR(INDEX(BA$10:BA$11,Предпосылки!$I$202,),0),BA84/(1+IFERROR(INDEX(BA$10:BA$11,Предпосылки!$I$203,),0))*IFERROR(INDEX(BA$10:BA$11,Предпосылки!$I$203,),0),BA107/(1+IFERROR(INDEX(BA$10:BA$11,Предпосылки!$I$204,),0))*IFERROR(INDEX(BA$10:BA$11,Предпосылки!$I$204,),0),BA130/(1+IFERROR(INDEX(BA$10:BA$11,Предпосылки!$I$205,),0))*IFERROR(INDEX(BA$10:BA$11,Предпосылки!$I$205,),0),BA153/(1+IFERROR(INDEX(BA$10:BA$11,Предпосылки!$I$206,),0))*IFERROR(INDEX(BA$10:BA$11,Предпосылки!$I$206,),0),BA176/(1+IFERROR(INDEX(BA$10:BA$11,Предпосылки!$I$207,),0))*IFERROR(INDEX(BA$10:BA$11,Предпосылки!$I$207,),0),BA199/(1+IFERROR(INDEX(BA$10:BA$11,Предпосылки!$I$208,),0))*IFERROR(INDEX(BA$10:BA$11,Предпосылки!$I$208,),0),BA222/(1+IFERROR(INDEX(BA$10:BA$11,Предпосылки!$I$209,),0))*IFERROR(INDEX(BA$10:BA$11,Предпосылки!$I$209,),0),BA245/(1+IFERROR(INDEX(BA$10:BA$11,Предпосылки!$I$210,),0))*IFERROR(INDEX(BA$10:BA$11,Предпосылки!$I$210,),0),BA268/(1+IFERROR(INDEX(BA$10:BA$11,Предпосылки!$I$211,),0))*IFERROR(INDEX(BA$10:BA$11,Предпосылки!$I$211,),0),BA291/(1+IFERROR(INDEX(BA$10:BA$11,Предпосылки!$I$212,),0))*IFERROR(INDEX(BA$10:BA$11,Предпосылки!$I$212,),0),BA314/(1+IFERROR(INDEX(BA$10:BA$11,Предпосылки!$I$213,),0))*IFERROR(INDEX(BA$10:BA$11,Предпосылки!$I$213,),0),BA337/(1+IFERROR(INDEX(BA$10:BA$11,Предпосылки!$I$214,),0))*IFERROR(INDEX(BA$10:BA$11,Предпосылки!$I$214,),0),BA360/(1+IFERROR(INDEX(BA$10:BA$11,Предпосылки!$I$215,),0))*IFERROR(INDEX(BA$10:BA$11,Предпосылки!$I$215,),0),BA383/(1+IFERROR(INDEX(BA$10:BA$11,Предпосылки!$I$216,),0))*IFERROR(INDEX(BA$10:BA$11,Предпосылки!$I$216,),0),BA406/(1+IFERROR(INDEX(BA$10:BA$11,Предпосылки!$I$217,),0))*IFERROR(INDEX(BA$10:BA$11,Предпосылки!$I$217,),0),BA429/(1+IFERROR(INDEX(BA$10:BA$11,Предпосылки!$I$218,),0))*IFERROR(INDEX(BA$10:BA$11,Предпосылки!$I$218,),0),BA452/(1+IFERROR(INDEX(BA$10:BA$11,Предпосылки!$I$219,),0))*IFERROR(INDEX(BA$10:BA$11,Предпосылки!$I$219,),0),BA475/(1+IFERROR(INDEX(BA$10:BA$11,Предпосылки!$I$220,),0))*IFERROR(INDEX(BA$10:BA$11,Предпосылки!$I$220,),0))</f>
        <v>0</v>
      </c>
      <c s="125">
        <f>SUM(BB38/(1+IFERROR(INDEX(BB$10:BB$11,Предпосылки!$I$201,),0))*IFERROR(INDEX(BB$10:BB$11,Предпосылки!$I$201,),0),BB61/(1+IFERROR(INDEX(BB$10:BB$11,Предпосылки!$I$202,),0))*IFERROR(INDEX(BB$10:BB$11,Предпосылки!$I$202,),0),BB84/(1+IFERROR(INDEX(BB$10:BB$11,Предпосылки!$I$203,),0))*IFERROR(INDEX(BB$10:BB$11,Предпосылки!$I$203,),0),BB107/(1+IFERROR(INDEX(BB$10:BB$11,Предпосылки!$I$204,),0))*IFERROR(INDEX(BB$10:BB$11,Предпосылки!$I$204,),0),BB130/(1+IFERROR(INDEX(BB$10:BB$11,Предпосылки!$I$205,),0))*IFERROR(INDEX(BB$10:BB$11,Предпосылки!$I$205,),0),BB153/(1+IFERROR(INDEX(BB$10:BB$11,Предпосылки!$I$206,),0))*IFERROR(INDEX(BB$10:BB$11,Предпосылки!$I$206,),0),BB176/(1+IFERROR(INDEX(BB$10:BB$11,Предпосылки!$I$207,),0))*IFERROR(INDEX(BB$10:BB$11,Предпосылки!$I$207,),0),BB199/(1+IFERROR(INDEX(BB$10:BB$11,Предпосылки!$I$208,),0))*IFERROR(INDEX(BB$10:BB$11,Предпосылки!$I$208,),0),BB222/(1+IFERROR(INDEX(BB$10:BB$11,Предпосылки!$I$209,),0))*IFERROR(INDEX(BB$10:BB$11,Предпосылки!$I$209,),0),BB245/(1+IFERROR(INDEX(BB$10:BB$11,Предпосылки!$I$210,),0))*IFERROR(INDEX(BB$10:BB$11,Предпосылки!$I$210,),0),BB268/(1+IFERROR(INDEX(BB$10:BB$11,Предпосылки!$I$211,),0))*IFERROR(INDEX(BB$10:BB$11,Предпосылки!$I$211,),0),BB291/(1+IFERROR(INDEX(BB$10:BB$11,Предпосылки!$I$212,),0))*IFERROR(INDEX(BB$10:BB$11,Предпосылки!$I$212,),0),BB314/(1+IFERROR(INDEX(BB$10:BB$11,Предпосылки!$I$213,),0))*IFERROR(INDEX(BB$10:BB$11,Предпосылки!$I$213,),0),BB337/(1+IFERROR(INDEX(BB$10:BB$11,Предпосылки!$I$214,),0))*IFERROR(INDEX(BB$10:BB$11,Предпосылки!$I$214,),0),BB360/(1+IFERROR(INDEX(BB$10:BB$11,Предпосылки!$I$215,),0))*IFERROR(INDEX(BB$10:BB$11,Предпосылки!$I$215,),0),BB383/(1+IFERROR(INDEX(BB$10:BB$11,Предпосылки!$I$216,),0))*IFERROR(INDEX(BB$10:BB$11,Предпосылки!$I$216,),0),BB406/(1+IFERROR(INDEX(BB$10:BB$11,Предпосылки!$I$217,),0))*IFERROR(INDEX(BB$10:BB$11,Предпосылки!$I$217,),0),BB429/(1+IFERROR(INDEX(BB$10:BB$11,Предпосылки!$I$218,),0))*IFERROR(INDEX(BB$10:BB$11,Предпосылки!$I$218,),0),BB452/(1+IFERROR(INDEX(BB$10:BB$11,Предпосылки!$I$219,),0))*IFERROR(INDEX(BB$10:BB$11,Предпосылки!$I$219,),0),BB475/(1+IFERROR(INDEX(BB$10:BB$11,Предпосылки!$I$220,),0))*IFERROR(INDEX(BB$10:BB$11,Предпосылки!$I$220,),0))</f>
        <v>0</v>
      </c>
      <c s="125">
        <f>SUM(BC38/(1+IFERROR(INDEX(BC$10:BC$11,Предпосылки!$I$201,),0))*IFERROR(INDEX(BC$10:BC$11,Предпосылки!$I$201,),0),BC61/(1+IFERROR(INDEX(BC$10:BC$11,Предпосылки!$I$202,),0))*IFERROR(INDEX(BC$10:BC$11,Предпосылки!$I$202,),0),BC84/(1+IFERROR(INDEX(BC$10:BC$11,Предпосылки!$I$203,),0))*IFERROR(INDEX(BC$10:BC$11,Предпосылки!$I$203,),0),BC107/(1+IFERROR(INDEX(BC$10:BC$11,Предпосылки!$I$204,),0))*IFERROR(INDEX(BC$10:BC$11,Предпосылки!$I$204,),0),BC130/(1+IFERROR(INDEX(BC$10:BC$11,Предпосылки!$I$205,),0))*IFERROR(INDEX(BC$10:BC$11,Предпосылки!$I$205,),0),BC153/(1+IFERROR(INDEX(BC$10:BC$11,Предпосылки!$I$206,),0))*IFERROR(INDEX(BC$10:BC$11,Предпосылки!$I$206,),0),BC176/(1+IFERROR(INDEX(BC$10:BC$11,Предпосылки!$I$207,),0))*IFERROR(INDEX(BC$10:BC$11,Предпосылки!$I$207,),0),BC199/(1+IFERROR(INDEX(BC$10:BC$11,Предпосылки!$I$208,),0))*IFERROR(INDEX(BC$10:BC$11,Предпосылки!$I$208,),0),BC222/(1+IFERROR(INDEX(BC$10:BC$11,Предпосылки!$I$209,),0))*IFERROR(INDEX(BC$10:BC$11,Предпосылки!$I$209,),0),BC245/(1+IFERROR(INDEX(BC$10:BC$11,Предпосылки!$I$210,),0))*IFERROR(INDEX(BC$10:BC$11,Предпосылки!$I$210,),0),BC268/(1+IFERROR(INDEX(BC$10:BC$11,Предпосылки!$I$211,),0))*IFERROR(INDEX(BC$10:BC$11,Предпосылки!$I$211,),0),BC291/(1+IFERROR(INDEX(BC$10:BC$11,Предпосылки!$I$212,),0))*IFERROR(INDEX(BC$10:BC$11,Предпосылки!$I$212,),0),BC314/(1+IFERROR(INDEX(BC$10:BC$11,Предпосылки!$I$213,),0))*IFERROR(INDEX(BC$10:BC$11,Предпосылки!$I$213,),0),BC337/(1+IFERROR(INDEX(BC$10:BC$11,Предпосылки!$I$214,),0))*IFERROR(INDEX(BC$10:BC$11,Предпосылки!$I$214,),0),BC360/(1+IFERROR(INDEX(BC$10:BC$11,Предпосылки!$I$215,),0))*IFERROR(INDEX(BC$10:BC$11,Предпосылки!$I$215,),0),BC383/(1+IFERROR(INDEX(BC$10:BC$11,Предпосылки!$I$216,),0))*IFERROR(INDEX(BC$10:BC$11,Предпосылки!$I$216,),0),BC406/(1+IFERROR(INDEX(BC$10:BC$11,Предпосылки!$I$217,),0))*IFERROR(INDEX(BC$10:BC$11,Предпосылки!$I$217,),0),BC429/(1+IFERROR(INDEX(BC$10:BC$11,Предпосылки!$I$218,),0))*IFERROR(INDEX(BC$10:BC$11,Предпосылки!$I$218,),0),BC452/(1+IFERROR(INDEX(BC$10:BC$11,Предпосылки!$I$219,),0))*IFERROR(INDEX(BC$10:BC$11,Предпосылки!$I$219,),0),BC475/(1+IFERROR(INDEX(BC$10:BC$11,Предпосылки!$I$220,),0))*IFERROR(INDEX(BC$10:BC$11,Предпосылки!$I$220,),0))</f>
        <v>0</v>
      </c>
      <c s="125">
        <f>SUM(BD38/(1+IFERROR(INDEX(BD$10:BD$11,Предпосылки!$I$201,),0))*IFERROR(INDEX(BD$10:BD$11,Предпосылки!$I$201,),0),BD61/(1+IFERROR(INDEX(BD$10:BD$11,Предпосылки!$I$202,),0))*IFERROR(INDEX(BD$10:BD$11,Предпосылки!$I$202,),0),BD84/(1+IFERROR(INDEX(BD$10:BD$11,Предпосылки!$I$203,),0))*IFERROR(INDEX(BD$10:BD$11,Предпосылки!$I$203,),0),BD107/(1+IFERROR(INDEX(BD$10:BD$11,Предпосылки!$I$204,),0))*IFERROR(INDEX(BD$10:BD$11,Предпосылки!$I$204,),0),BD130/(1+IFERROR(INDEX(BD$10:BD$11,Предпосылки!$I$205,),0))*IFERROR(INDEX(BD$10:BD$11,Предпосылки!$I$205,),0),BD153/(1+IFERROR(INDEX(BD$10:BD$11,Предпосылки!$I$206,),0))*IFERROR(INDEX(BD$10:BD$11,Предпосылки!$I$206,),0),BD176/(1+IFERROR(INDEX(BD$10:BD$11,Предпосылки!$I$207,),0))*IFERROR(INDEX(BD$10:BD$11,Предпосылки!$I$207,),0),BD199/(1+IFERROR(INDEX(BD$10:BD$11,Предпосылки!$I$208,),0))*IFERROR(INDEX(BD$10:BD$11,Предпосылки!$I$208,),0),BD222/(1+IFERROR(INDEX(BD$10:BD$11,Предпосылки!$I$209,),0))*IFERROR(INDEX(BD$10:BD$11,Предпосылки!$I$209,),0),BD245/(1+IFERROR(INDEX(BD$10:BD$11,Предпосылки!$I$210,),0))*IFERROR(INDEX(BD$10:BD$11,Предпосылки!$I$210,),0),BD268/(1+IFERROR(INDEX(BD$10:BD$11,Предпосылки!$I$211,),0))*IFERROR(INDEX(BD$10:BD$11,Предпосылки!$I$211,),0),BD291/(1+IFERROR(INDEX(BD$10:BD$11,Предпосылки!$I$212,),0))*IFERROR(INDEX(BD$10:BD$11,Предпосылки!$I$212,),0),BD314/(1+IFERROR(INDEX(BD$10:BD$11,Предпосылки!$I$213,),0))*IFERROR(INDEX(BD$10:BD$11,Предпосылки!$I$213,),0),BD337/(1+IFERROR(INDEX(BD$10:BD$11,Предпосылки!$I$214,),0))*IFERROR(INDEX(BD$10:BD$11,Предпосылки!$I$214,),0),BD360/(1+IFERROR(INDEX(BD$10:BD$11,Предпосылки!$I$215,),0))*IFERROR(INDEX(BD$10:BD$11,Предпосылки!$I$215,),0),BD383/(1+IFERROR(INDEX(BD$10:BD$11,Предпосылки!$I$216,),0))*IFERROR(INDEX(BD$10:BD$11,Предпосылки!$I$216,),0),BD406/(1+IFERROR(INDEX(BD$10:BD$11,Предпосылки!$I$217,),0))*IFERROR(INDEX(BD$10:BD$11,Предпосылки!$I$217,),0),BD429/(1+IFERROR(INDEX(BD$10:BD$11,Предпосылки!$I$218,),0))*IFERROR(INDEX(BD$10:BD$11,Предпосылки!$I$218,),0),BD452/(1+IFERROR(INDEX(BD$10:BD$11,Предпосылки!$I$219,),0))*IFERROR(INDEX(BD$10:BD$11,Предпосылки!$I$219,),0),BD475/(1+IFERROR(INDEX(BD$10:BD$11,Предпосылки!$I$220,),0))*IFERROR(INDEX(BD$10:BD$11,Предпосылки!$I$220,),0))</f>
        <v>0</v>
      </c>
      <c s="125">
        <f>SUM(BE38/(1+IFERROR(INDEX(BE$10:BE$11,Предпосылки!$I$201,),0))*IFERROR(INDEX(BE$10:BE$11,Предпосылки!$I$201,),0),BE61/(1+IFERROR(INDEX(BE$10:BE$11,Предпосылки!$I$202,),0))*IFERROR(INDEX(BE$10:BE$11,Предпосылки!$I$202,),0),BE84/(1+IFERROR(INDEX(BE$10:BE$11,Предпосылки!$I$203,),0))*IFERROR(INDEX(BE$10:BE$11,Предпосылки!$I$203,),0),BE107/(1+IFERROR(INDEX(BE$10:BE$11,Предпосылки!$I$204,),0))*IFERROR(INDEX(BE$10:BE$11,Предпосылки!$I$204,),0),BE130/(1+IFERROR(INDEX(BE$10:BE$11,Предпосылки!$I$205,),0))*IFERROR(INDEX(BE$10:BE$11,Предпосылки!$I$205,),0),BE153/(1+IFERROR(INDEX(BE$10:BE$11,Предпосылки!$I$206,),0))*IFERROR(INDEX(BE$10:BE$11,Предпосылки!$I$206,),0),BE176/(1+IFERROR(INDEX(BE$10:BE$11,Предпосылки!$I$207,),0))*IFERROR(INDEX(BE$10:BE$11,Предпосылки!$I$207,),0),BE199/(1+IFERROR(INDEX(BE$10:BE$11,Предпосылки!$I$208,),0))*IFERROR(INDEX(BE$10:BE$11,Предпосылки!$I$208,),0),BE222/(1+IFERROR(INDEX(BE$10:BE$11,Предпосылки!$I$209,),0))*IFERROR(INDEX(BE$10:BE$11,Предпосылки!$I$209,),0),BE245/(1+IFERROR(INDEX(BE$10:BE$11,Предпосылки!$I$210,),0))*IFERROR(INDEX(BE$10:BE$11,Предпосылки!$I$210,),0),BE268/(1+IFERROR(INDEX(BE$10:BE$11,Предпосылки!$I$211,),0))*IFERROR(INDEX(BE$10:BE$11,Предпосылки!$I$211,),0),BE291/(1+IFERROR(INDEX(BE$10:BE$11,Предпосылки!$I$212,),0))*IFERROR(INDEX(BE$10:BE$11,Предпосылки!$I$212,),0),BE314/(1+IFERROR(INDEX(BE$10:BE$11,Предпосылки!$I$213,),0))*IFERROR(INDEX(BE$10:BE$11,Предпосылки!$I$213,),0),BE337/(1+IFERROR(INDEX(BE$10:BE$11,Предпосылки!$I$214,),0))*IFERROR(INDEX(BE$10:BE$11,Предпосылки!$I$214,),0),BE360/(1+IFERROR(INDEX(BE$10:BE$11,Предпосылки!$I$215,),0))*IFERROR(INDEX(BE$10:BE$11,Предпосылки!$I$215,),0),BE383/(1+IFERROR(INDEX(BE$10:BE$11,Предпосылки!$I$216,),0))*IFERROR(INDEX(BE$10:BE$11,Предпосылки!$I$216,),0),BE406/(1+IFERROR(INDEX(BE$10:BE$11,Предпосылки!$I$217,),0))*IFERROR(INDEX(BE$10:BE$11,Предпосылки!$I$217,),0),BE429/(1+IFERROR(INDEX(BE$10:BE$11,Предпосылки!$I$218,),0))*IFERROR(INDEX(BE$10:BE$11,Предпосылки!$I$218,),0),BE452/(1+IFERROR(INDEX(BE$10:BE$11,Предпосылки!$I$219,),0))*IFERROR(INDEX(BE$10:BE$11,Предпосылки!$I$219,),0),BE475/(1+IFERROR(INDEX(BE$10:BE$11,Предпосылки!$I$220,),0))*IFERROR(INDEX(BE$10:BE$11,Предпосылки!$I$220,),0))</f>
        <v>0</v>
      </c>
      <c s="125">
        <f>SUM(BF38/(1+IFERROR(INDEX(BF$10:BF$11,Предпосылки!$I$201,),0))*IFERROR(INDEX(BF$10:BF$11,Предпосылки!$I$201,),0),BF61/(1+IFERROR(INDEX(BF$10:BF$11,Предпосылки!$I$202,),0))*IFERROR(INDEX(BF$10:BF$11,Предпосылки!$I$202,),0),BF84/(1+IFERROR(INDEX(BF$10:BF$11,Предпосылки!$I$203,),0))*IFERROR(INDEX(BF$10:BF$11,Предпосылки!$I$203,),0),BF107/(1+IFERROR(INDEX(BF$10:BF$11,Предпосылки!$I$204,),0))*IFERROR(INDEX(BF$10:BF$11,Предпосылки!$I$204,),0),BF130/(1+IFERROR(INDEX(BF$10:BF$11,Предпосылки!$I$205,),0))*IFERROR(INDEX(BF$10:BF$11,Предпосылки!$I$205,),0),BF153/(1+IFERROR(INDEX(BF$10:BF$11,Предпосылки!$I$206,),0))*IFERROR(INDEX(BF$10:BF$11,Предпосылки!$I$206,),0),BF176/(1+IFERROR(INDEX(BF$10:BF$11,Предпосылки!$I$207,),0))*IFERROR(INDEX(BF$10:BF$11,Предпосылки!$I$207,),0),BF199/(1+IFERROR(INDEX(BF$10:BF$11,Предпосылки!$I$208,),0))*IFERROR(INDEX(BF$10:BF$11,Предпосылки!$I$208,),0),BF222/(1+IFERROR(INDEX(BF$10:BF$11,Предпосылки!$I$209,),0))*IFERROR(INDEX(BF$10:BF$11,Предпосылки!$I$209,),0),BF245/(1+IFERROR(INDEX(BF$10:BF$11,Предпосылки!$I$210,),0))*IFERROR(INDEX(BF$10:BF$11,Предпосылки!$I$210,),0),BF268/(1+IFERROR(INDEX(BF$10:BF$11,Предпосылки!$I$211,),0))*IFERROR(INDEX(BF$10:BF$11,Предпосылки!$I$211,),0),BF291/(1+IFERROR(INDEX(BF$10:BF$11,Предпосылки!$I$212,),0))*IFERROR(INDEX(BF$10:BF$11,Предпосылки!$I$212,),0),BF314/(1+IFERROR(INDEX(BF$10:BF$11,Предпосылки!$I$213,),0))*IFERROR(INDEX(BF$10:BF$11,Предпосылки!$I$213,),0),BF337/(1+IFERROR(INDEX(BF$10:BF$11,Предпосылки!$I$214,),0))*IFERROR(INDEX(BF$10:BF$11,Предпосылки!$I$214,),0),BF360/(1+IFERROR(INDEX(BF$10:BF$11,Предпосылки!$I$215,),0))*IFERROR(INDEX(BF$10:BF$11,Предпосылки!$I$215,),0),BF383/(1+IFERROR(INDEX(BF$10:BF$11,Предпосылки!$I$216,),0))*IFERROR(INDEX(BF$10:BF$11,Предпосылки!$I$216,),0),BF406/(1+IFERROR(INDEX(BF$10:BF$11,Предпосылки!$I$217,),0))*IFERROR(INDEX(BF$10:BF$11,Предпосылки!$I$217,),0),BF429/(1+IFERROR(INDEX(BF$10:BF$11,Предпосылки!$I$218,),0))*IFERROR(INDEX(BF$10:BF$11,Предпосылки!$I$218,),0),BF452/(1+IFERROR(INDEX(BF$10:BF$11,Предпосылки!$I$219,),0))*IFERROR(INDEX(BF$10:BF$11,Предпосылки!$I$219,),0),BF475/(1+IFERROR(INDEX(BF$10:BF$11,Предпосылки!$I$220,),0))*IFERROR(INDEX(BF$10:BF$11,Предпосылки!$I$220,),0))</f>
        <v>0</v>
      </c>
      <c s="125">
        <f>SUM(BG38/(1+IFERROR(INDEX(BG$10:BG$11,Предпосылки!$I$201,),0))*IFERROR(INDEX(BG$10:BG$11,Предпосылки!$I$201,),0),BG61/(1+IFERROR(INDEX(BG$10:BG$11,Предпосылки!$I$202,),0))*IFERROR(INDEX(BG$10:BG$11,Предпосылки!$I$202,),0),BG84/(1+IFERROR(INDEX(BG$10:BG$11,Предпосылки!$I$203,),0))*IFERROR(INDEX(BG$10:BG$11,Предпосылки!$I$203,),0),BG107/(1+IFERROR(INDEX(BG$10:BG$11,Предпосылки!$I$204,),0))*IFERROR(INDEX(BG$10:BG$11,Предпосылки!$I$204,),0),BG130/(1+IFERROR(INDEX(BG$10:BG$11,Предпосылки!$I$205,),0))*IFERROR(INDEX(BG$10:BG$11,Предпосылки!$I$205,),0),BG153/(1+IFERROR(INDEX(BG$10:BG$11,Предпосылки!$I$206,),0))*IFERROR(INDEX(BG$10:BG$11,Предпосылки!$I$206,),0),BG176/(1+IFERROR(INDEX(BG$10:BG$11,Предпосылки!$I$207,),0))*IFERROR(INDEX(BG$10:BG$11,Предпосылки!$I$207,),0),BG199/(1+IFERROR(INDEX(BG$10:BG$11,Предпосылки!$I$208,),0))*IFERROR(INDEX(BG$10:BG$11,Предпосылки!$I$208,),0),BG222/(1+IFERROR(INDEX(BG$10:BG$11,Предпосылки!$I$209,),0))*IFERROR(INDEX(BG$10:BG$11,Предпосылки!$I$209,),0),BG245/(1+IFERROR(INDEX(BG$10:BG$11,Предпосылки!$I$210,),0))*IFERROR(INDEX(BG$10:BG$11,Предпосылки!$I$210,),0),BG268/(1+IFERROR(INDEX(BG$10:BG$11,Предпосылки!$I$211,),0))*IFERROR(INDEX(BG$10:BG$11,Предпосылки!$I$211,),0),BG291/(1+IFERROR(INDEX(BG$10:BG$11,Предпосылки!$I$212,),0))*IFERROR(INDEX(BG$10:BG$11,Предпосылки!$I$212,),0),BG314/(1+IFERROR(INDEX(BG$10:BG$11,Предпосылки!$I$213,),0))*IFERROR(INDEX(BG$10:BG$11,Предпосылки!$I$213,),0),BG337/(1+IFERROR(INDEX(BG$10:BG$11,Предпосылки!$I$214,),0))*IFERROR(INDEX(BG$10:BG$11,Предпосылки!$I$214,),0),BG360/(1+IFERROR(INDEX(BG$10:BG$11,Предпосылки!$I$215,),0))*IFERROR(INDEX(BG$10:BG$11,Предпосылки!$I$215,),0),BG383/(1+IFERROR(INDEX(BG$10:BG$11,Предпосылки!$I$216,),0))*IFERROR(INDEX(BG$10:BG$11,Предпосылки!$I$216,),0),BG406/(1+IFERROR(INDEX(BG$10:BG$11,Предпосылки!$I$217,),0))*IFERROR(INDEX(BG$10:BG$11,Предпосылки!$I$217,),0),BG429/(1+IFERROR(INDEX(BG$10:BG$11,Предпосылки!$I$218,),0))*IFERROR(INDEX(BG$10:BG$11,Предпосылки!$I$218,),0),BG452/(1+IFERROR(INDEX(BG$10:BG$11,Предпосылки!$I$219,),0))*IFERROR(INDEX(BG$10:BG$11,Предпосылки!$I$219,),0),BG475/(1+IFERROR(INDEX(BG$10:BG$11,Предпосылки!$I$220,),0))*IFERROR(INDEX(BG$10:BG$11,Предпосылки!$I$220,),0))</f>
        <v>0</v>
      </c>
      <c s="125">
        <f>SUM(BH38/(1+IFERROR(INDEX(BH$10:BH$11,Предпосылки!$I$201,),0))*IFERROR(INDEX(BH$10:BH$11,Предпосылки!$I$201,),0),BH61/(1+IFERROR(INDEX(BH$10:BH$11,Предпосылки!$I$202,),0))*IFERROR(INDEX(BH$10:BH$11,Предпосылки!$I$202,),0),BH84/(1+IFERROR(INDEX(BH$10:BH$11,Предпосылки!$I$203,),0))*IFERROR(INDEX(BH$10:BH$11,Предпосылки!$I$203,),0),BH107/(1+IFERROR(INDEX(BH$10:BH$11,Предпосылки!$I$204,),0))*IFERROR(INDEX(BH$10:BH$11,Предпосылки!$I$204,),0),BH130/(1+IFERROR(INDEX(BH$10:BH$11,Предпосылки!$I$205,),0))*IFERROR(INDEX(BH$10:BH$11,Предпосылки!$I$205,),0),BH153/(1+IFERROR(INDEX(BH$10:BH$11,Предпосылки!$I$206,),0))*IFERROR(INDEX(BH$10:BH$11,Предпосылки!$I$206,),0),BH176/(1+IFERROR(INDEX(BH$10:BH$11,Предпосылки!$I$207,),0))*IFERROR(INDEX(BH$10:BH$11,Предпосылки!$I$207,),0),BH199/(1+IFERROR(INDEX(BH$10:BH$11,Предпосылки!$I$208,),0))*IFERROR(INDEX(BH$10:BH$11,Предпосылки!$I$208,),0),BH222/(1+IFERROR(INDEX(BH$10:BH$11,Предпосылки!$I$209,),0))*IFERROR(INDEX(BH$10:BH$11,Предпосылки!$I$209,),0),BH245/(1+IFERROR(INDEX(BH$10:BH$11,Предпосылки!$I$210,),0))*IFERROR(INDEX(BH$10:BH$11,Предпосылки!$I$210,),0),BH268/(1+IFERROR(INDEX(BH$10:BH$11,Предпосылки!$I$211,),0))*IFERROR(INDEX(BH$10:BH$11,Предпосылки!$I$211,),0),BH291/(1+IFERROR(INDEX(BH$10:BH$11,Предпосылки!$I$212,),0))*IFERROR(INDEX(BH$10:BH$11,Предпосылки!$I$212,),0),BH314/(1+IFERROR(INDEX(BH$10:BH$11,Предпосылки!$I$213,),0))*IFERROR(INDEX(BH$10:BH$11,Предпосылки!$I$213,),0),BH337/(1+IFERROR(INDEX(BH$10:BH$11,Предпосылки!$I$214,),0))*IFERROR(INDEX(BH$10:BH$11,Предпосылки!$I$214,),0),BH360/(1+IFERROR(INDEX(BH$10:BH$11,Предпосылки!$I$215,),0))*IFERROR(INDEX(BH$10:BH$11,Предпосылки!$I$215,),0),BH383/(1+IFERROR(INDEX(BH$10:BH$11,Предпосылки!$I$216,),0))*IFERROR(INDEX(BH$10:BH$11,Предпосылки!$I$216,),0),BH406/(1+IFERROR(INDEX(BH$10:BH$11,Предпосылки!$I$217,),0))*IFERROR(INDEX(BH$10:BH$11,Предпосылки!$I$217,),0),BH429/(1+IFERROR(INDEX(BH$10:BH$11,Предпосылки!$I$218,),0))*IFERROR(INDEX(BH$10:BH$11,Предпосылки!$I$218,),0),BH452/(1+IFERROR(INDEX(BH$10:BH$11,Предпосылки!$I$219,),0))*IFERROR(INDEX(BH$10:BH$11,Предпосылки!$I$219,),0),BH475/(1+IFERROR(INDEX(BH$10:BH$11,Предпосылки!$I$220,),0))*IFERROR(INDEX(BH$10:BH$11,Предпосылки!$I$220,),0))</f>
        <v>0</v>
      </c>
      <c s="125">
        <f>SUM(BI38/(1+IFERROR(INDEX(BI$10:BI$11,Предпосылки!$I$201,),0))*IFERROR(INDEX(BI$10:BI$11,Предпосылки!$I$201,),0),BI61/(1+IFERROR(INDEX(BI$10:BI$11,Предпосылки!$I$202,),0))*IFERROR(INDEX(BI$10:BI$11,Предпосылки!$I$202,),0),BI84/(1+IFERROR(INDEX(BI$10:BI$11,Предпосылки!$I$203,),0))*IFERROR(INDEX(BI$10:BI$11,Предпосылки!$I$203,),0),BI107/(1+IFERROR(INDEX(BI$10:BI$11,Предпосылки!$I$204,),0))*IFERROR(INDEX(BI$10:BI$11,Предпосылки!$I$204,),0),BI130/(1+IFERROR(INDEX(BI$10:BI$11,Предпосылки!$I$205,),0))*IFERROR(INDEX(BI$10:BI$11,Предпосылки!$I$205,),0),BI153/(1+IFERROR(INDEX(BI$10:BI$11,Предпосылки!$I$206,),0))*IFERROR(INDEX(BI$10:BI$11,Предпосылки!$I$206,),0),BI176/(1+IFERROR(INDEX(BI$10:BI$11,Предпосылки!$I$207,),0))*IFERROR(INDEX(BI$10:BI$11,Предпосылки!$I$207,),0),BI199/(1+IFERROR(INDEX(BI$10:BI$11,Предпосылки!$I$208,),0))*IFERROR(INDEX(BI$10:BI$11,Предпосылки!$I$208,),0),BI222/(1+IFERROR(INDEX(BI$10:BI$11,Предпосылки!$I$209,),0))*IFERROR(INDEX(BI$10:BI$11,Предпосылки!$I$209,),0),BI245/(1+IFERROR(INDEX(BI$10:BI$11,Предпосылки!$I$210,),0))*IFERROR(INDEX(BI$10:BI$11,Предпосылки!$I$210,),0),BI268/(1+IFERROR(INDEX(BI$10:BI$11,Предпосылки!$I$211,),0))*IFERROR(INDEX(BI$10:BI$11,Предпосылки!$I$211,),0),BI291/(1+IFERROR(INDEX(BI$10:BI$11,Предпосылки!$I$212,),0))*IFERROR(INDEX(BI$10:BI$11,Предпосылки!$I$212,),0),BI314/(1+IFERROR(INDEX(BI$10:BI$11,Предпосылки!$I$213,),0))*IFERROR(INDEX(BI$10:BI$11,Предпосылки!$I$213,),0),BI337/(1+IFERROR(INDEX(BI$10:BI$11,Предпосылки!$I$214,),0))*IFERROR(INDEX(BI$10:BI$11,Предпосылки!$I$214,),0),BI360/(1+IFERROR(INDEX(BI$10:BI$11,Предпосылки!$I$215,),0))*IFERROR(INDEX(BI$10:BI$11,Предпосылки!$I$215,),0),BI383/(1+IFERROR(INDEX(BI$10:BI$11,Предпосылки!$I$216,),0))*IFERROR(INDEX(BI$10:BI$11,Предпосылки!$I$216,),0),BI406/(1+IFERROR(INDEX(BI$10:BI$11,Предпосылки!$I$217,),0))*IFERROR(INDEX(BI$10:BI$11,Предпосылки!$I$217,),0),BI429/(1+IFERROR(INDEX(BI$10:BI$11,Предпосылки!$I$218,),0))*IFERROR(INDEX(BI$10:BI$11,Предпосылки!$I$218,),0),BI452/(1+IFERROR(INDEX(BI$10:BI$11,Предпосылки!$I$219,),0))*IFERROR(INDEX(BI$10:BI$11,Предпосылки!$I$219,),0),BI475/(1+IFERROR(INDEX(BI$10:BI$11,Предпосылки!$I$220,),0))*IFERROR(INDEX(BI$10:BI$11,Предпосылки!$I$220,),0))</f>
        <v>0</v>
      </c>
      <c s="125">
        <f>SUM(BJ38/(1+IFERROR(INDEX(BJ$10:BJ$11,Предпосылки!$I$201,),0))*IFERROR(INDEX(BJ$10:BJ$11,Предпосылки!$I$201,),0),BJ61/(1+IFERROR(INDEX(BJ$10:BJ$11,Предпосылки!$I$202,),0))*IFERROR(INDEX(BJ$10:BJ$11,Предпосылки!$I$202,),0),BJ84/(1+IFERROR(INDEX(BJ$10:BJ$11,Предпосылки!$I$203,),0))*IFERROR(INDEX(BJ$10:BJ$11,Предпосылки!$I$203,),0),BJ107/(1+IFERROR(INDEX(BJ$10:BJ$11,Предпосылки!$I$204,),0))*IFERROR(INDEX(BJ$10:BJ$11,Предпосылки!$I$204,),0),BJ130/(1+IFERROR(INDEX(BJ$10:BJ$11,Предпосылки!$I$205,),0))*IFERROR(INDEX(BJ$10:BJ$11,Предпосылки!$I$205,),0),BJ153/(1+IFERROR(INDEX(BJ$10:BJ$11,Предпосылки!$I$206,),0))*IFERROR(INDEX(BJ$10:BJ$11,Предпосылки!$I$206,),0),BJ176/(1+IFERROR(INDEX(BJ$10:BJ$11,Предпосылки!$I$207,),0))*IFERROR(INDEX(BJ$10:BJ$11,Предпосылки!$I$207,),0),BJ199/(1+IFERROR(INDEX(BJ$10:BJ$11,Предпосылки!$I$208,),0))*IFERROR(INDEX(BJ$10:BJ$11,Предпосылки!$I$208,),0),BJ222/(1+IFERROR(INDEX(BJ$10:BJ$11,Предпосылки!$I$209,),0))*IFERROR(INDEX(BJ$10:BJ$11,Предпосылки!$I$209,),0),BJ245/(1+IFERROR(INDEX(BJ$10:BJ$11,Предпосылки!$I$210,),0))*IFERROR(INDEX(BJ$10:BJ$11,Предпосылки!$I$210,),0),BJ268/(1+IFERROR(INDEX(BJ$10:BJ$11,Предпосылки!$I$211,),0))*IFERROR(INDEX(BJ$10:BJ$11,Предпосылки!$I$211,),0),BJ291/(1+IFERROR(INDEX(BJ$10:BJ$11,Предпосылки!$I$212,),0))*IFERROR(INDEX(BJ$10:BJ$11,Предпосылки!$I$212,),0),BJ314/(1+IFERROR(INDEX(BJ$10:BJ$11,Предпосылки!$I$213,),0))*IFERROR(INDEX(BJ$10:BJ$11,Предпосылки!$I$213,),0),BJ337/(1+IFERROR(INDEX(BJ$10:BJ$11,Предпосылки!$I$214,),0))*IFERROR(INDEX(BJ$10:BJ$11,Предпосылки!$I$214,),0),BJ360/(1+IFERROR(INDEX(BJ$10:BJ$11,Предпосылки!$I$215,),0))*IFERROR(INDEX(BJ$10:BJ$11,Предпосылки!$I$215,),0),BJ383/(1+IFERROR(INDEX(BJ$10:BJ$11,Предпосылки!$I$216,),0))*IFERROR(INDEX(BJ$10:BJ$11,Предпосылки!$I$216,),0),BJ406/(1+IFERROR(INDEX(BJ$10:BJ$11,Предпосылки!$I$217,),0))*IFERROR(INDEX(BJ$10:BJ$11,Предпосылки!$I$217,),0),BJ429/(1+IFERROR(INDEX(BJ$10:BJ$11,Предпосылки!$I$218,),0))*IFERROR(INDEX(BJ$10:BJ$11,Предпосылки!$I$218,),0),BJ452/(1+IFERROR(INDEX(BJ$10:BJ$11,Предпосылки!$I$219,),0))*IFERROR(INDEX(BJ$10:BJ$11,Предпосылки!$I$219,),0),BJ475/(1+IFERROR(INDEX(BJ$10:BJ$11,Предпосылки!$I$220,),0))*IFERROR(INDEX(BJ$10:BJ$11,Предпосылки!$I$220,),0))</f>
        <v>0</v>
      </c>
      <c s="125">
        <f>SUM(BK38/(1+IFERROR(INDEX(BK$10:BK$11,Предпосылки!$I$201,),0))*IFERROR(INDEX(BK$10:BK$11,Предпосылки!$I$201,),0),BK61/(1+IFERROR(INDEX(BK$10:BK$11,Предпосылки!$I$202,),0))*IFERROR(INDEX(BK$10:BK$11,Предпосылки!$I$202,),0),BK84/(1+IFERROR(INDEX(BK$10:BK$11,Предпосылки!$I$203,),0))*IFERROR(INDEX(BK$10:BK$11,Предпосылки!$I$203,),0),BK107/(1+IFERROR(INDEX(BK$10:BK$11,Предпосылки!$I$204,),0))*IFERROR(INDEX(BK$10:BK$11,Предпосылки!$I$204,),0),BK130/(1+IFERROR(INDEX(BK$10:BK$11,Предпосылки!$I$205,),0))*IFERROR(INDEX(BK$10:BK$11,Предпосылки!$I$205,),0),BK153/(1+IFERROR(INDEX(BK$10:BK$11,Предпосылки!$I$206,),0))*IFERROR(INDEX(BK$10:BK$11,Предпосылки!$I$206,),0),BK176/(1+IFERROR(INDEX(BK$10:BK$11,Предпосылки!$I$207,),0))*IFERROR(INDEX(BK$10:BK$11,Предпосылки!$I$207,),0),BK199/(1+IFERROR(INDEX(BK$10:BK$11,Предпосылки!$I$208,),0))*IFERROR(INDEX(BK$10:BK$11,Предпосылки!$I$208,),0),BK222/(1+IFERROR(INDEX(BK$10:BK$11,Предпосылки!$I$209,),0))*IFERROR(INDEX(BK$10:BK$11,Предпосылки!$I$209,),0),BK245/(1+IFERROR(INDEX(BK$10:BK$11,Предпосылки!$I$210,),0))*IFERROR(INDEX(BK$10:BK$11,Предпосылки!$I$210,),0),BK268/(1+IFERROR(INDEX(BK$10:BK$11,Предпосылки!$I$211,),0))*IFERROR(INDEX(BK$10:BK$11,Предпосылки!$I$211,),0),BK291/(1+IFERROR(INDEX(BK$10:BK$11,Предпосылки!$I$212,),0))*IFERROR(INDEX(BK$10:BK$11,Предпосылки!$I$212,),0),BK314/(1+IFERROR(INDEX(BK$10:BK$11,Предпосылки!$I$213,),0))*IFERROR(INDEX(BK$10:BK$11,Предпосылки!$I$213,),0),BK337/(1+IFERROR(INDEX(BK$10:BK$11,Предпосылки!$I$214,),0))*IFERROR(INDEX(BK$10:BK$11,Предпосылки!$I$214,),0),BK360/(1+IFERROR(INDEX(BK$10:BK$11,Предпосылки!$I$215,),0))*IFERROR(INDEX(BK$10:BK$11,Предпосылки!$I$215,),0),BK383/(1+IFERROR(INDEX(BK$10:BK$11,Предпосылки!$I$216,),0))*IFERROR(INDEX(BK$10:BK$11,Предпосылки!$I$216,),0),BK406/(1+IFERROR(INDEX(BK$10:BK$11,Предпосылки!$I$217,),0))*IFERROR(INDEX(BK$10:BK$11,Предпосылки!$I$217,),0),BK429/(1+IFERROR(INDEX(BK$10:BK$11,Предпосылки!$I$218,),0))*IFERROR(INDEX(BK$10:BK$11,Предпосылки!$I$218,),0),BK452/(1+IFERROR(INDEX(BK$10:BK$11,Предпосылки!$I$219,),0))*IFERROR(INDEX(BK$10:BK$11,Предпосылки!$I$219,),0),BK475/(1+IFERROR(INDEX(BK$10:BK$11,Предпосылки!$I$220,),0))*IFERROR(INDEX(BK$10:BK$11,Предпосылки!$I$220,),0))</f>
        <v>0</v>
      </c>
      <c s="125">
        <f>SUM(BL38/(1+IFERROR(INDEX(BL$10:BL$11,Предпосылки!$I$201,),0))*IFERROR(INDEX(BL$10:BL$11,Предпосылки!$I$201,),0),BL61/(1+IFERROR(INDEX(BL$10:BL$11,Предпосылки!$I$202,),0))*IFERROR(INDEX(BL$10:BL$11,Предпосылки!$I$202,),0),BL84/(1+IFERROR(INDEX(BL$10:BL$11,Предпосылки!$I$203,),0))*IFERROR(INDEX(BL$10:BL$11,Предпосылки!$I$203,),0),BL107/(1+IFERROR(INDEX(BL$10:BL$11,Предпосылки!$I$204,),0))*IFERROR(INDEX(BL$10:BL$11,Предпосылки!$I$204,),0),BL130/(1+IFERROR(INDEX(BL$10:BL$11,Предпосылки!$I$205,),0))*IFERROR(INDEX(BL$10:BL$11,Предпосылки!$I$205,),0),BL153/(1+IFERROR(INDEX(BL$10:BL$11,Предпосылки!$I$206,),0))*IFERROR(INDEX(BL$10:BL$11,Предпосылки!$I$206,),0),BL176/(1+IFERROR(INDEX(BL$10:BL$11,Предпосылки!$I$207,),0))*IFERROR(INDEX(BL$10:BL$11,Предпосылки!$I$207,),0),BL199/(1+IFERROR(INDEX(BL$10:BL$11,Предпосылки!$I$208,),0))*IFERROR(INDEX(BL$10:BL$11,Предпосылки!$I$208,),0),BL222/(1+IFERROR(INDEX(BL$10:BL$11,Предпосылки!$I$209,),0))*IFERROR(INDEX(BL$10:BL$11,Предпосылки!$I$209,),0),BL245/(1+IFERROR(INDEX(BL$10:BL$11,Предпосылки!$I$210,),0))*IFERROR(INDEX(BL$10:BL$11,Предпосылки!$I$210,),0),BL268/(1+IFERROR(INDEX(BL$10:BL$11,Предпосылки!$I$211,),0))*IFERROR(INDEX(BL$10:BL$11,Предпосылки!$I$211,),0),BL291/(1+IFERROR(INDEX(BL$10:BL$11,Предпосылки!$I$212,),0))*IFERROR(INDEX(BL$10:BL$11,Предпосылки!$I$212,),0),BL314/(1+IFERROR(INDEX(BL$10:BL$11,Предпосылки!$I$213,),0))*IFERROR(INDEX(BL$10:BL$11,Предпосылки!$I$213,),0),BL337/(1+IFERROR(INDEX(BL$10:BL$11,Предпосылки!$I$214,),0))*IFERROR(INDEX(BL$10:BL$11,Предпосылки!$I$214,),0),BL360/(1+IFERROR(INDEX(BL$10:BL$11,Предпосылки!$I$215,),0))*IFERROR(INDEX(BL$10:BL$11,Предпосылки!$I$215,),0),BL383/(1+IFERROR(INDEX(BL$10:BL$11,Предпосылки!$I$216,),0))*IFERROR(INDEX(BL$10:BL$11,Предпосылки!$I$216,),0),BL406/(1+IFERROR(INDEX(BL$10:BL$11,Предпосылки!$I$217,),0))*IFERROR(INDEX(BL$10:BL$11,Предпосылки!$I$217,),0),BL429/(1+IFERROR(INDEX(BL$10:BL$11,Предпосылки!$I$218,),0))*IFERROR(INDEX(BL$10:BL$11,Предпосылки!$I$218,),0),BL452/(1+IFERROR(INDEX(BL$10:BL$11,Предпосылки!$I$219,),0))*IFERROR(INDEX(BL$10:BL$11,Предпосылки!$I$219,),0),BL475/(1+IFERROR(INDEX(BL$10:BL$11,Предпосылки!$I$220,),0))*IFERROR(INDEX(BL$10:BL$11,Предпосылки!$I$220,),0))</f>
        <v>0</v>
      </c>
      <c s="125">
        <f>SUM(BM38/(1+IFERROR(INDEX(BM$10:BM$11,Предпосылки!$I$201,),0))*IFERROR(INDEX(BM$10:BM$11,Предпосылки!$I$201,),0),BM61/(1+IFERROR(INDEX(BM$10:BM$11,Предпосылки!$I$202,),0))*IFERROR(INDEX(BM$10:BM$11,Предпосылки!$I$202,),0),BM84/(1+IFERROR(INDEX(BM$10:BM$11,Предпосылки!$I$203,),0))*IFERROR(INDEX(BM$10:BM$11,Предпосылки!$I$203,),0),BM107/(1+IFERROR(INDEX(BM$10:BM$11,Предпосылки!$I$204,),0))*IFERROR(INDEX(BM$10:BM$11,Предпосылки!$I$204,),0),BM130/(1+IFERROR(INDEX(BM$10:BM$11,Предпосылки!$I$205,),0))*IFERROR(INDEX(BM$10:BM$11,Предпосылки!$I$205,),0),BM153/(1+IFERROR(INDEX(BM$10:BM$11,Предпосылки!$I$206,),0))*IFERROR(INDEX(BM$10:BM$11,Предпосылки!$I$206,),0),BM176/(1+IFERROR(INDEX(BM$10:BM$11,Предпосылки!$I$207,),0))*IFERROR(INDEX(BM$10:BM$11,Предпосылки!$I$207,),0),BM199/(1+IFERROR(INDEX(BM$10:BM$11,Предпосылки!$I$208,),0))*IFERROR(INDEX(BM$10:BM$11,Предпосылки!$I$208,),0),BM222/(1+IFERROR(INDEX(BM$10:BM$11,Предпосылки!$I$209,),0))*IFERROR(INDEX(BM$10:BM$11,Предпосылки!$I$209,),0),BM245/(1+IFERROR(INDEX(BM$10:BM$11,Предпосылки!$I$210,),0))*IFERROR(INDEX(BM$10:BM$11,Предпосылки!$I$210,),0),BM268/(1+IFERROR(INDEX(BM$10:BM$11,Предпосылки!$I$211,),0))*IFERROR(INDEX(BM$10:BM$11,Предпосылки!$I$211,),0),BM291/(1+IFERROR(INDEX(BM$10:BM$11,Предпосылки!$I$212,),0))*IFERROR(INDEX(BM$10:BM$11,Предпосылки!$I$212,),0),BM314/(1+IFERROR(INDEX(BM$10:BM$11,Предпосылки!$I$213,),0))*IFERROR(INDEX(BM$10:BM$11,Предпосылки!$I$213,),0),BM337/(1+IFERROR(INDEX(BM$10:BM$11,Предпосылки!$I$214,),0))*IFERROR(INDEX(BM$10:BM$11,Предпосылки!$I$214,),0),BM360/(1+IFERROR(INDEX(BM$10:BM$11,Предпосылки!$I$215,),0))*IFERROR(INDEX(BM$10:BM$11,Предпосылки!$I$215,),0),BM383/(1+IFERROR(INDEX(BM$10:BM$11,Предпосылки!$I$216,),0))*IFERROR(INDEX(BM$10:BM$11,Предпосылки!$I$216,),0),BM406/(1+IFERROR(INDEX(BM$10:BM$11,Предпосылки!$I$217,),0))*IFERROR(INDEX(BM$10:BM$11,Предпосылки!$I$217,),0),BM429/(1+IFERROR(INDEX(BM$10:BM$11,Предпосылки!$I$218,),0))*IFERROR(INDEX(BM$10:BM$11,Предпосылки!$I$218,),0),BM452/(1+IFERROR(INDEX(BM$10:BM$11,Предпосылки!$I$219,),0))*IFERROR(INDEX(BM$10:BM$11,Предпосылки!$I$219,),0),BM475/(1+IFERROR(INDEX(BM$10:BM$11,Предпосылки!$I$220,),0))*IFERROR(INDEX(BM$10:BM$11,Предпосылки!$I$220,),0))</f>
        <v>0</v>
      </c>
    </row>
    <row r="570" spans="2:65" ht="15" customHeight="1">
      <c r="B570" s="12" t="str">
        <f t="shared" si="255"/>
        <v>Продукт 17</v>
      </c>
      <c s="124" t="str">
        <f t="shared" si="254"/>
        <v>тыс. руб.</v>
      </c>
      <c s="276">
        <f t="shared" si="256"/>
        <v>0</v>
      </c>
      <c s="125">
        <f>SUM(E39/(1+IFERROR(INDEX(E$10:E$11,Предпосылки!$I217,),0))*IFERROR(INDEX(E$10:E$11,Предпосылки!$I217,),0),E62/(1+IFERROR(INDEX(E$10:E$11,Предпосылки!$I218,),0))*IFERROR(INDEX(E$10:E$11,Предпосылки!$I218,),0),E85/(1+IFERROR(INDEX(E$10:E$11,Предпосылки!$I219,),0))*IFERROR(INDEX(E$10:E$11,Предпосылки!$I219,),0),E108/(1+IFERROR(INDEX(E$10:E$11,Предпосылки!$I220,),0))*IFERROR(INDEX(E$10:E$11,Предпосылки!$I220,),0),E131/(1+IFERROR(INDEX(E$10:E$11,Предпосылки!$I221,),0))*IFERROR(INDEX(E$10:E$11,Предпосылки!$I221,),0),E154/(1+IFERROR(INDEX(E$10:E$11,Предпосылки!$I222,),0))*IFERROR(INDEX(E$10:E$11,Предпосылки!$I222,),0),E177/(1+IFERROR(INDEX(E$10:E$11,Предпосылки!$I223,),0))*IFERROR(INDEX(E$10:E$11,Предпосылки!$I223,),0),E200/(1+IFERROR(INDEX(E$10:E$11,Предпосылки!$I224,),0))*IFERROR(INDEX(E$10:E$11,Предпосылки!$I224,),0),E223/(1+IFERROR(INDEX(E$10:E$11,Предпосылки!$I225,),0))*IFERROR(INDEX(E$10:E$11,Предпосылки!$I225,),0),E246/(1+IFERROR(INDEX(E$10:E$11,Предпосылки!$I226,),0))*IFERROR(INDEX(E$10:E$11,Предпосылки!$I226,),0),E269/(1+IFERROR(INDEX(E$10:E$11,Предпосылки!$I227,),0))*IFERROR(INDEX(E$10:E$11,Предпосылки!$I227,),0),E292/(1+IFERROR(INDEX(E$10:E$11,Предпосылки!$I228,),0))*IFERROR(INDEX(E$10:E$11,Предпосылки!$I228,),0),E315/(1+IFERROR(INDEX(E$10:E$11,Предпосылки!$I229,),0))*IFERROR(INDEX(E$10:E$11,Предпосылки!$I229,),0),E338/(1+IFERROR(INDEX(E$10:E$11,Предпосылки!$I230,),0))*IFERROR(INDEX(E$10:E$11,Предпосылки!$I230,),0),E361/(1+IFERROR(INDEX(E$10:E$11,Предпосылки!$I231,),0))*IFERROR(INDEX(E$10:E$11,Предпосылки!$I231,),0),E384/(1+IFERROR(INDEX(E$10:E$11,Предпосылки!$I232,),0))*IFERROR(INDEX(E$10:E$11,Предпосылки!$I232,),0),E407/(1+IFERROR(INDEX(E$10:E$11,Предпосылки!$I233,),0))*IFERROR(INDEX(E$10:E$11,Предпосылки!$I233,),0),E430/(1+IFERROR(INDEX(E$10:E$11,Предпосылки!$I234,),0))*IFERROR(INDEX(E$10:E$11,Предпосылки!$I234,),0),E453/(1+IFERROR(INDEX(E$10:E$11,Предпосылки!$I235,),0))*IFERROR(INDEX(E$10:E$11,Предпосылки!$I235,),0),E476/(1+IFERROR(INDEX(E$10:E$11,Предпосылки!$I236,),0))*IFERROR(INDEX(E$10:E$11,Предпосылки!$I236,),0))</f>
        <v>0</v>
      </c>
      <c s="125">
        <f>SUM(F39/(1+IFERROR(INDEX(F$10:F$11,Предпосылки!$I$201,),0))*IFERROR(INDEX(F$10:F$11,Предпосылки!$I$201,),0),F62/(1+IFERROR(INDEX(F$10:F$11,Предпосылки!$I$202,),0))*IFERROR(INDEX(F$10:F$11,Предпосылки!$I$202,),0),F85/(1+IFERROR(INDEX(F$10:F$11,Предпосылки!$I$203,),0))*IFERROR(INDEX(F$10:F$11,Предпосылки!$I$203,),0),F108/(1+IFERROR(INDEX(F$10:F$11,Предпосылки!$I$204,),0))*IFERROR(INDEX(F$10:F$11,Предпосылки!$I$204,),0),F131/(1+IFERROR(INDEX(F$10:F$11,Предпосылки!$I$205,),0))*IFERROR(INDEX(F$10:F$11,Предпосылки!$I$205,),0),F154/(1+IFERROR(INDEX(F$10:F$11,Предпосылки!$I$206,),0))*IFERROR(INDEX(F$10:F$11,Предпосылки!$I$206,),0),F177/(1+IFERROR(INDEX(F$10:F$11,Предпосылки!$I$207,),0))*IFERROR(INDEX(F$10:F$11,Предпосылки!$I$207,),0),F200/(1+IFERROR(INDEX(F$10:F$11,Предпосылки!$I$208,),0))*IFERROR(INDEX(F$10:F$11,Предпосылки!$I$208,),0),F223/(1+IFERROR(INDEX(F$10:F$11,Предпосылки!$I$209,),0))*IFERROR(INDEX(F$10:F$11,Предпосылки!$I$209,),0),F246/(1+IFERROR(INDEX(F$10:F$11,Предпосылки!$I$210,),0))*IFERROR(INDEX(F$10:F$11,Предпосылки!$I$210,),0),F269/(1+IFERROR(INDEX(F$10:F$11,Предпосылки!$I$211,),0))*IFERROR(INDEX(F$10:F$11,Предпосылки!$I$211,),0),F292/(1+IFERROR(INDEX(F$10:F$11,Предпосылки!$I$212,),0))*IFERROR(INDEX(F$10:F$11,Предпосылки!$I$212,),0),F315/(1+IFERROR(INDEX(F$10:F$11,Предпосылки!$I$213,),0))*IFERROR(INDEX(F$10:F$11,Предпосылки!$I$213,),0),F338/(1+IFERROR(INDEX(F$10:F$11,Предпосылки!$I$214,),0))*IFERROR(INDEX(F$10:F$11,Предпосылки!$I$214,),0),F361/(1+IFERROR(INDEX(F$10:F$11,Предпосылки!$I$215,),0))*IFERROR(INDEX(F$10:F$11,Предпосылки!$I$215,),0),F384/(1+IFERROR(INDEX(F$10:F$11,Предпосылки!$I$216,),0))*IFERROR(INDEX(F$10:F$11,Предпосылки!$I$216,),0),F407/(1+IFERROR(INDEX(F$10:F$11,Предпосылки!$I$217,),0))*IFERROR(INDEX(F$10:F$11,Предпосылки!$I$217,),0),F430/(1+IFERROR(INDEX(F$10:F$11,Предпосылки!$I$218,),0))*IFERROR(INDEX(F$10:F$11,Предпосылки!$I$218,),0),F453/(1+IFERROR(INDEX(F$10:F$11,Предпосылки!$I$219,),0))*IFERROR(INDEX(F$10:F$11,Предпосылки!$I$219,),0),F476/(1+IFERROR(INDEX(F$10:F$11,Предпосылки!$I$220,),0))*IFERROR(INDEX(F$10:F$11,Предпосылки!$I$220,),0))</f>
        <v>0</v>
      </c>
      <c s="125">
        <f>SUM(G39/(1+IFERROR(INDEX(G$10:G$11,Предпосылки!$I$201,),0))*IFERROR(INDEX(G$10:G$11,Предпосылки!$I$201,),0),G62/(1+IFERROR(INDEX(G$10:G$11,Предпосылки!$I$202,),0))*IFERROR(INDEX(G$10:G$11,Предпосылки!$I$202,),0),G85/(1+IFERROR(INDEX(G$10:G$11,Предпосылки!$I$203,),0))*IFERROR(INDEX(G$10:G$11,Предпосылки!$I$203,),0),G108/(1+IFERROR(INDEX(G$10:G$11,Предпосылки!$I$204,),0))*IFERROR(INDEX(G$10:G$11,Предпосылки!$I$204,),0),G131/(1+IFERROR(INDEX(G$10:G$11,Предпосылки!$I$205,),0))*IFERROR(INDEX(G$10:G$11,Предпосылки!$I$205,),0),G154/(1+IFERROR(INDEX(G$10:G$11,Предпосылки!$I$206,),0))*IFERROR(INDEX(G$10:G$11,Предпосылки!$I$206,),0),G177/(1+IFERROR(INDEX(G$10:G$11,Предпосылки!$I$207,),0))*IFERROR(INDEX(G$10:G$11,Предпосылки!$I$207,),0),G200/(1+IFERROR(INDEX(G$10:G$11,Предпосылки!$I$208,),0))*IFERROR(INDEX(G$10:G$11,Предпосылки!$I$208,),0),G223/(1+IFERROR(INDEX(G$10:G$11,Предпосылки!$I$209,),0))*IFERROR(INDEX(G$10:G$11,Предпосылки!$I$209,),0),G246/(1+IFERROR(INDEX(G$10:G$11,Предпосылки!$I$210,),0))*IFERROR(INDEX(G$10:G$11,Предпосылки!$I$210,),0),G269/(1+IFERROR(INDEX(G$10:G$11,Предпосылки!$I$211,),0))*IFERROR(INDEX(G$10:G$11,Предпосылки!$I$211,),0),G292/(1+IFERROR(INDEX(G$10:G$11,Предпосылки!$I$212,),0))*IFERROR(INDEX(G$10:G$11,Предпосылки!$I$212,),0),G315/(1+IFERROR(INDEX(G$10:G$11,Предпосылки!$I$213,),0))*IFERROR(INDEX(G$10:G$11,Предпосылки!$I$213,),0),G338/(1+IFERROR(INDEX(G$10:G$11,Предпосылки!$I$214,),0))*IFERROR(INDEX(G$10:G$11,Предпосылки!$I$214,),0),G361/(1+IFERROR(INDEX(G$10:G$11,Предпосылки!$I$215,),0))*IFERROR(INDEX(G$10:G$11,Предпосылки!$I$215,),0),G384/(1+IFERROR(INDEX(G$10:G$11,Предпосылки!$I$216,),0))*IFERROR(INDEX(G$10:G$11,Предпосылки!$I$216,),0),G407/(1+IFERROR(INDEX(G$10:G$11,Предпосылки!$I$217,),0))*IFERROR(INDEX(G$10:G$11,Предпосылки!$I$217,),0),G430/(1+IFERROR(INDEX(G$10:G$11,Предпосылки!$I$218,),0))*IFERROR(INDEX(G$10:G$11,Предпосылки!$I$218,),0),G453/(1+IFERROR(INDEX(G$10:G$11,Предпосылки!$I$219,),0))*IFERROR(INDEX(G$10:G$11,Предпосылки!$I$219,),0),G476/(1+IFERROR(INDEX(G$10:G$11,Предпосылки!$I$220,),0))*IFERROR(INDEX(G$10:G$11,Предпосылки!$I$220,),0))</f>
        <v>0</v>
      </c>
      <c s="125">
        <f>SUM(H39/(1+IFERROR(INDEX(H$10:H$11,Предпосылки!$I$201,),0))*IFERROR(INDEX(H$10:H$11,Предпосылки!$I$201,),0),H62/(1+IFERROR(INDEX(H$10:H$11,Предпосылки!$I$202,),0))*IFERROR(INDEX(H$10:H$11,Предпосылки!$I$202,),0),H85/(1+IFERROR(INDEX(H$10:H$11,Предпосылки!$I$203,),0))*IFERROR(INDEX(H$10:H$11,Предпосылки!$I$203,),0),H108/(1+IFERROR(INDEX(H$10:H$11,Предпосылки!$I$204,),0))*IFERROR(INDEX(H$10:H$11,Предпосылки!$I$204,),0),H131/(1+IFERROR(INDEX(H$10:H$11,Предпосылки!$I$205,),0))*IFERROR(INDEX(H$10:H$11,Предпосылки!$I$205,),0),H154/(1+IFERROR(INDEX(H$10:H$11,Предпосылки!$I$206,),0))*IFERROR(INDEX(H$10:H$11,Предпосылки!$I$206,),0),H177/(1+IFERROR(INDEX(H$10:H$11,Предпосылки!$I$207,),0))*IFERROR(INDEX(H$10:H$11,Предпосылки!$I$207,),0),H200/(1+IFERROR(INDEX(H$10:H$11,Предпосылки!$I$208,),0))*IFERROR(INDEX(H$10:H$11,Предпосылки!$I$208,),0),H223/(1+IFERROR(INDEX(H$10:H$11,Предпосылки!$I$209,),0))*IFERROR(INDEX(H$10:H$11,Предпосылки!$I$209,),0),H246/(1+IFERROR(INDEX(H$10:H$11,Предпосылки!$I$210,),0))*IFERROR(INDEX(H$10:H$11,Предпосылки!$I$210,),0),H269/(1+IFERROR(INDEX(H$10:H$11,Предпосылки!$I$211,),0))*IFERROR(INDEX(H$10:H$11,Предпосылки!$I$211,),0),H292/(1+IFERROR(INDEX(H$10:H$11,Предпосылки!$I$212,),0))*IFERROR(INDEX(H$10:H$11,Предпосылки!$I$212,),0),H315/(1+IFERROR(INDEX(H$10:H$11,Предпосылки!$I$213,),0))*IFERROR(INDEX(H$10:H$11,Предпосылки!$I$213,),0),H338/(1+IFERROR(INDEX(H$10:H$11,Предпосылки!$I$214,),0))*IFERROR(INDEX(H$10:H$11,Предпосылки!$I$214,),0),H361/(1+IFERROR(INDEX(H$10:H$11,Предпосылки!$I$215,),0))*IFERROR(INDEX(H$10:H$11,Предпосылки!$I$215,),0),H384/(1+IFERROR(INDEX(H$10:H$11,Предпосылки!$I$216,),0))*IFERROR(INDEX(H$10:H$11,Предпосылки!$I$216,),0),H407/(1+IFERROR(INDEX(H$10:H$11,Предпосылки!$I$217,),0))*IFERROR(INDEX(H$10:H$11,Предпосылки!$I$217,),0),H430/(1+IFERROR(INDEX(H$10:H$11,Предпосылки!$I$218,),0))*IFERROR(INDEX(H$10:H$11,Предпосылки!$I$218,),0),H453/(1+IFERROR(INDEX(H$10:H$11,Предпосылки!$I$219,),0))*IFERROR(INDEX(H$10:H$11,Предпосылки!$I$219,),0),H476/(1+IFERROR(INDEX(H$10:H$11,Предпосылки!$I$220,),0))*IFERROR(INDEX(H$10:H$11,Предпосылки!$I$220,),0))</f>
        <v>0</v>
      </c>
      <c s="125">
        <f>SUM(I39/(1+IFERROR(INDEX(I$10:I$11,Предпосылки!$I$201,),0))*IFERROR(INDEX(I$10:I$11,Предпосылки!$I$201,),0),I62/(1+IFERROR(INDEX(I$10:I$11,Предпосылки!$I$202,),0))*IFERROR(INDEX(I$10:I$11,Предпосылки!$I$202,),0),I85/(1+IFERROR(INDEX(I$10:I$11,Предпосылки!$I$203,),0))*IFERROR(INDEX(I$10:I$11,Предпосылки!$I$203,),0),I108/(1+IFERROR(INDEX(I$10:I$11,Предпосылки!$I$204,),0))*IFERROR(INDEX(I$10:I$11,Предпосылки!$I$204,),0),I131/(1+IFERROR(INDEX(I$10:I$11,Предпосылки!$I$205,),0))*IFERROR(INDEX(I$10:I$11,Предпосылки!$I$205,),0),I154/(1+IFERROR(INDEX(I$10:I$11,Предпосылки!$I$206,),0))*IFERROR(INDEX(I$10:I$11,Предпосылки!$I$206,),0),I177/(1+IFERROR(INDEX(I$10:I$11,Предпосылки!$I$207,),0))*IFERROR(INDEX(I$10:I$11,Предпосылки!$I$207,),0),I200/(1+IFERROR(INDEX(I$10:I$11,Предпосылки!$I$208,),0))*IFERROR(INDEX(I$10:I$11,Предпосылки!$I$208,),0),I223/(1+IFERROR(INDEX(I$10:I$11,Предпосылки!$I$209,),0))*IFERROR(INDEX(I$10:I$11,Предпосылки!$I$209,),0),I246/(1+IFERROR(INDEX(I$10:I$11,Предпосылки!$I$210,),0))*IFERROR(INDEX(I$10:I$11,Предпосылки!$I$210,),0),I269/(1+IFERROR(INDEX(I$10:I$11,Предпосылки!$I$211,),0))*IFERROR(INDEX(I$10:I$11,Предпосылки!$I$211,),0),I292/(1+IFERROR(INDEX(I$10:I$11,Предпосылки!$I$212,),0))*IFERROR(INDEX(I$10:I$11,Предпосылки!$I$212,),0),I315/(1+IFERROR(INDEX(I$10:I$11,Предпосылки!$I$213,),0))*IFERROR(INDEX(I$10:I$11,Предпосылки!$I$213,),0),I338/(1+IFERROR(INDEX(I$10:I$11,Предпосылки!$I$214,),0))*IFERROR(INDEX(I$10:I$11,Предпосылки!$I$214,),0),I361/(1+IFERROR(INDEX(I$10:I$11,Предпосылки!$I$215,),0))*IFERROR(INDEX(I$10:I$11,Предпосылки!$I$215,),0),I384/(1+IFERROR(INDEX(I$10:I$11,Предпосылки!$I$216,),0))*IFERROR(INDEX(I$10:I$11,Предпосылки!$I$216,),0),I407/(1+IFERROR(INDEX(I$10:I$11,Предпосылки!$I$217,),0))*IFERROR(INDEX(I$10:I$11,Предпосылки!$I$217,),0),I430/(1+IFERROR(INDEX(I$10:I$11,Предпосылки!$I$218,),0))*IFERROR(INDEX(I$10:I$11,Предпосылки!$I$218,),0),I453/(1+IFERROR(INDEX(I$10:I$11,Предпосылки!$I$219,),0))*IFERROR(INDEX(I$10:I$11,Предпосылки!$I$219,),0),I476/(1+IFERROR(INDEX(I$10:I$11,Предпосылки!$I$220,),0))*IFERROR(INDEX(I$10:I$11,Предпосылки!$I$220,),0))</f>
        <v>0</v>
      </c>
      <c s="125">
        <f>SUM(J39/(1+IFERROR(INDEX(J$10:J$11,Предпосылки!$I$201,),0))*IFERROR(INDEX(J$10:J$11,Предпосылки!$I$201,),0),J62/(1+IFERROR(INDEX(J$10:J$11,Предпосылки!$I$202,),0))*IFERROR(INDEX(J$10:J$11,Предпосылки!$I$202,),0),J85/(1+IFERROR(INDEX(J$10:J$11,Предпосылки!$I$203,),0))*IFERROR(INDEX(J$10:J$11,Предпосылки!$I$203,),0),J108/(1+IFERROR(INDEX(J$10:J$11,Предпосылки!$I$204,),0))*IFERROR(INDEX(J$10:J$11,Предпосылки!$I$204,),0),J131/(1+IFERROR(INDEX(J$10:J$11,Предпосылки!$I$205,),0))*IFERROR(INDEX(J$10:J$11,Предпосылки!$I$205,),0),J154/(1+IFERROR(INDEX(J$10:J$11,Предпосылки!$I$206,),0))*IFERROR(INDEX(J$10:J$11,Предпосылки!$I$206,),0),J177/(1+IFERROR(INDEX(J$10:J$11,Предпосылки!$I$207,),0))*IFERROR(INDEX(J$10:J$11,Предпосылки!$I$207,),0),J200/(1+IFERROR(INDEX(J$10:J$11,Предпосылки!$I$208,),0))*IFERROR(INDEX(J$10:J$11,Предпосылки!$I$208,),0),J223/(1+IFERROR(INDEX(J$10:J$11,Предпосылки!$I$209,),0))*IFERROR(INDEX(J$10:J$11,Предпосылки!$I$209,),0),J246/(1+IFERROR(INDEX(J$10:J$11,Предпосылки!$I$210,),0))*IFERROR(INDEX(J$10:J$11,Предпосылки!$I$210,),0),J269/(1+IFERROR(INDEX(J$10:J$11,Предпосылки!$I$211,),0))*IFERROR(INDEX(J$10:J$11,Предпосылки!$I$211,),0),J292/(1+IFERROR(INDEX(J$10:J$11,Предпосылки!$I$212,),0))*IFERROR(INDEX(J$10:J$11,Предпосылки!$I$212,),0),J315/(1+IFERROR(INDEX(J$10:J$11,Предпосылки!$I$213,),0))*IFERROR(INDEX(J$10:J$11,Предпосылки!$I$213,),0),J338/(1+IFERROR(INDEX(J$10:J$11,Предпосылки!$I$214,),0))*IFERROR(INDEX(J$10:J$11,Предпосылки!$I$214,),0),J361/(1+IFERROR(INDEX(J$10:J$11,Предпосылки!$I$215,),0))*IFERROR(INDEX(J$10:J$11,Предпосылки!$I$215,),0),J384/(1+IFERROR(INDEX(J$10:J$11,Предпосылки!$I$216,),0))*IFERROR(INDEX(J$10:J$11,Предпосылки!$I$216,),0),J407/(1+IFERROR(INDEX(J$10:J$11,Предпосылки!$I$217,),0))*IFERROR(INDEX(J$10:J$11,Предпосылки!$I$217,),0),J430/(1+IFERROR(INDEX(J$10:J$11,Предпосылки!$I$218,),0))*IFERROR(INDEX(J$10:J$11,Предпосылки!$I$218,),0),J453/(1+IFERROR(INDEX(J$10:J$11,Предпосылки!$I$219,),0))*IFERROR(INDEX(J$10:J$11,Предпосылки!$I$219,),0),J476/(1+IFERROR(INDEX(J$10:J$11,Предпосылки!$I$220,),0))*IFERROR(INDEX(J$10:J$11,Предпосылки!$I$220,),0))</f>
        <v>0</v>
      </c>
      <c s="125">
        <f>SUM(K39/(1+IFERROR(INDEX(K$10:K$11,Предпосылки!$I$201,),0))*IFERROR(INDEX(K$10:K$11,Предпосылки!$I$201,),0),K62/(1+IFERROR(INDEX(K$10:K$11,Предпосылки!$I$202,),0))*IFERROR(INDEX(K$10:K$11,Предпосылки!$I$202,),0),K85/(1+IFERROR(INDEX(K$10:K$11,Предпосылки!$I$203,),0))*IFERROR(INDEX(K$10:K$11,Предпосылки!$I$203,),0),K108/(1+IFERROR(INDEX(K$10:K$11,Предпосылки!$I$204,),0))*IFERROR(INDEX(K$10:K$11,Предпосылки!$I$204,),0),K131/(1+IFERROR(INDEX(K$10:K$11,Предпосылки!$I$205,),0))*IFERROR(INDEX(K$10:K$11,Предпосылки!$I$205,),0),K154/(1+IFERROR(INDEX(K$10:K$11,Предпосылки!$I$206,),0))*IFERROR(INDEX(K$10:K$11,Предпосылки!$I$206,),0),K177/(1+IFERROR(INDEX(K$10:K$11,Предпосылки!$I$207,),0))*IFERROR(INDEX(K$10:K$11,Предпосылки!$I$207,),0),K200/(1+IFERROR(INDEX(K$10:K$11,Предпосылки!$I$208,),0))*IFERROR(INDEX(K$10:K$11,Предпосылки!$I$208,),0),K223/(1+IFERROR(INDEX(K$10:K$11,Предпосылки!$I$209,),0))*IFERROR(INDEX(K$10:K$11,Предпосылки!$I$209,),0),K246/(1+IFERROR(INDEX(K$10:K$11,Предпосылки!$I$210,),0))*IFERROR(INDEX(K$10:K$11,Предпосылки!$I$210,),0),K269/(1+IFERROR(INDEX(K$10:K$11,Предпосылки!$I$211,),0))*IFERROR(INDEX(K$10:K$11,Предпосылки!$I$211,),0),K292/(1+IFERROR(INDEX(K$10:K$11,Предпосылки!$I$212,),0))*IFERROR(INDEX(K$10:K$11,Предпосылки!$I$212,),0),K315/(1+IFERROR(INDEX(K$10:K$11,Предпосылки!$I$213,),0))*IFERROR(INDEX(K$10:K$11,Предпосылки!$I$213,),0),K338/(1+IFERROR(INDEX(K$10:K$11,Предпосылки!$I$214,),0))*IFERROR(INDEX(K$10:K$11,Предпосылки!$I$214,),0),K361/(1+IFERROR(INDEX(K$10:K$11,Предпосылки!$I$215,),0))*IFERROR(INDEX(K$10:K$11,Предпосылки!$I$215,),0),K384/(1+IFERROR(INDEX(K$10:K$11,Предпосылки!$I$216,),0))*IFERROR(INDEX(K$10:K$11,Предпосылки!$I$216,),0),K407/(1+IFERROR(INDEX(K$10:K$11,Предпосылки!$I$217,),0))*IFERROR(INDEX(K$10:K$11,Предпосылки!$I$217,),0),K430/(1+IFERROR(INDEX(K$10:K$11,Предпосылки!$I$218,),0))*IFERROR(INDEX(K$10:K$11,Предпосылки!$I$218,),0),K453/(1+IFERROR(INDEX(K$10:K$11,Предпосылки!$I$219,),0))*IFERROR(INDEX(K$10:K$11,Предпосылки!$I$219,),0),K476/(1+IFERROR(INDEX(K$10:K$11,Предпосылки!$I$220,),0))*IFERROR(INDEX(K$10:K$11,Предпосылки!$I$220,),0))</f>
        <v>0</v>
      </c>
      <c s="125">
        <f>SUM(L39/(1+IFERROR(INDEX(L$10:L$11,Предпосылки!$I$201,),0))*IFERROR(INDEX(L$10:L$11,Предпосылки!$I$201,),0),L62/(1+IFERROR(INDEX(L$10:L$11,Предпосылки!$I$202,),0))*IFERROR(INDEX(L$10:L$11,Предпосылки!$I$202,),0),L85/(1+IFERROR(INDEX(L$10:L$11,Предпосылки!$I$203,),0))*IFERROR(INDEX(L$10:L$11,Предпосылки!$I$203,),0),L108/(1+IFERROR(INDEX(L$10:L$11,Предпосылки!$I$204,),0))*IFERROR(INDEX(L$10:L$11,Предпосылки!$I$204,),0),L131/(1+IFERROR(INDEX(L$10:L$11,Предпосылки!$I$205,),0))*IFERROR(INDEX(L$10:L$11,Предпосылки!$I$205,),0),L154/(1+IFERROR(INDEX(L$10:L$11,Предпосылки!$I$206,),0))*IFERROR(INDEX(L$10:L$11,Предпосылки!$I$206,),0),L177/(1+IFERROR(INDEX(L$10:L$11,Предпосылки!$I$207,),0))*IFERROR(INDEX(L$10:L$11,Предпосылки!$I$207,),0),L200/(1+IFERROR(INDEX(L$10:L$11,Предпосылки!$I$208,),0))*IFERROR(INDEX(L$10:L$11,Предпосылки!$I$208,),0),L223/(1+IFERROR(INDEX(L$10:L$11,Предпосылки!$I$209,),0))*IFERROR(INDEX(L$10:L$11,Предпосылки!$I$209,),0),L246/(1+IFERROR(INDEX(L$10:L$11,Предпосылки!$I$210,),0))*IFERROR(INDEX(L$10:L$11,Предпосылки!$I$210,),0),L269/(1+IFERROR(INDEX(L$10:L$11,Предпосылки!$I$211,),0))*IFERROR(INDEX(L$10:L$11,Предпосылки!$I$211,),0),L292/(1+IFERROR(INDEX(L$10:L$11,Предпосылки!$I$212,),0))*IFERROR(INDEX(L$10:L$11,Предпосылки!$I$212,),0),L315/(1+IFERROR(INDEX(L$10:L$11,Предпосылки!$I$213,),0))*IFERROR(INDEX(L$10:L$11,Предпосылки!$I$213,),0),L338/(1+IFERROR(INDEX(L$10:L$11,Предпосылки!$I$214,),0))*IFERROR(INDEX(L$10:L$11,Предпосылки!$I$214,),0),L361/(1+IFERROR(INDEX(L$10:L$11,Предпосылки!$I$215,),0))*IFERROR(INDEX(L$10:L$11,Предпосылки!$I$215,),0),L384/(1+IFERROR(INDEX(L$10:L$11,Предпосылки!$I$216,),0))*IFERROR(INDEX(L$10:L$11,Предпосылки!$I$216,),0),L407/(1+IFERROR(INDEX(L$10:L$11,Предпосылки!$I$217,),0))*IFERROR(INDEX(L$10:L$11,Предпосылки!$I$217,),0),L430/(1+IFERROR(INDEX(L$10:L$11,Предпосылки!$I$218,),0))*IFERROR(INDEX(L$10:L$11,Предпосылки!$I$218,),0),L453/(1+IFERROR(INDEX(L$10:L$11,Предпосылки!$I$219,),0))*IFERROR(INDEX(L$10:L$11,Предпосылки!$I$219,),0),L476/(1+IFERROR(INDEX(L$10:L$11,Предпосылки!$I$220,),0))*IFERROR(INDEX(L$10:L$11,Предпосылки!$I$220,),0))</f>
        <v>0</v>
      </c>
      <c s="125">
        <f>SUM(M39/(1+IFERROR(INDEX(M$10:M$11,Предпосылки!$I$201,),0))*IFERROR(INDEX(M$10:M$11,Предпосылки!$I$201,),0),M62/(1+IFERROR(INDEX(M$10:M$11,Предпосылки!$I$202,),0))*IFERROR(INDEX(M$10:M$11,Предпосылки!$I$202,),0),M85/(1+IFERROR(INDEX(M$10:M$11,Предпосылки!$I$203,),0))*IFERROR(INDEX(M$10:M$11,Предпосылки!$I$203,),0),M108/(1+IFERROR(INDEX(M$10:M$11,Предпосылки!$I$204,),0))*IFERROR(INDEX(M$10:M$11,Предпосылки!$I$204,),0),M131/(1+IFERROR(INDEX(M$10:M$11,Предпосылки!$I$205,),0))*IFERROR(INDEX(M$10:M$11,Предпосылки!$I$205,),0),M154/(1+IFERROR(INDEX(M$10:M$11,Предпосылки!$I$206,),0))*IFERROR(INDEX(M$10:M$11,Предпосылки!$I$206,),0),M177/(1+IFERROR(INDEX(M$10:M$11,Предпосылки!$I$207,),0))*IFERROR(INDEX(M$10:M$11,Предпосылки!$I$207,),0),M200/(1+IFERROR(INDEX(M$10:M$11,Предпосылки!$I$208,),0))*IFERROR(INDEX(M$10:M$11,Предпосылки!$I$208,),0),M223/(1+IFERROR(INDEX(M$10:M$11,Предпосылки!$I$209,),0))*IFERROR(INDEX(M$10:M$11,Предпосылки!$I$209,),0),M246/(1+IFERROR(INDEX(M$10:M$11,Предпосылки!$I$210,),0))*IFERROR(INDEX(M$10:M$11,Предпосылки!$I$210,),0),M269/(1+IFERROR(INDEX(M$10:M$11,Предпосылки!$I$211,),0))*IFERROR(INDEX(M$10:M$11,Предпосылки!$I$211,),0),M292/(1+IFERROR(INDEX(M$10:M$11,Предпосылки!$I$212,),0))*IFERROR(INDEX(M$10:M$11,Предпосылки!$I$212,),0),M315/(1+IFERROR(INDEX(M$10:M$11,Предпосылки!$I$213,),0))*IFERROR(INDEX(M$10:M$11,Предпосылки!$I$213,),0),M338/(1+IFERROR(INDEX(M$10:M$11,Предпосылки!$I$214,),0))*IFERROR(INDEX(M$10:M$11,Предпосылки!$I$214,),0),M361/(1+IFERROR(INDEX(M$10:M$11,Предпосылки!$I$215,),0))*IFERROR(INDEX(M$10:M$11,Предпосылки!$I$215,),0),M384/(1+IFERROR(INDEX(M$10:M$11,Предпосылки!$I$216,),0))*IFERROR(INDEX(M$10:M$11,Предпосылки!$I$216,),0),M407/(1+IFERROR(INDEX(M$10:M$11,Предпосылки!$I$217,),0))*IFERROR(INDEX(M$10:M$11,Предпосылки!$I$217,),0),M430/(1+IFERROR(INDEX(M$10:M$11,Предпосылки!$I$218,),0))*IFERROR(INDEX(M$10:M$11,Предпосылки!$I$218,),0),M453/(1+IFERROR(INDEX(M$10:M$11,Предпосылки!$I$219,),0))*IFERROR(INDEX(M$10:M$11,Предпосылки!$I$219,),0),M476/(1+IFERROR(INDEX(M$10:M$11,Предпосылки!$I$220,),0))*IFERROR(INDEX(M$10:M$11,Предпосылки!$I$220,),0))</f>
        <v>0</v>
      </c>
      <c s="125">
        <f>SUM(N39/(1+IFERROR(INDEX(N$10:N$11,Предпосылки!$I$201,),0))*IFERROR(INDEX(N$10:N$11,Предпосылки!$I$201,),0),N62/(1+IFERROR(INDEX(N$10:N$11,Предпосылки!$I$202,),0))*IFERROR(INDEX(N$10:N$11,Предпосылки!$I$202,),0),N85/(1+IFERROR(INDEX(N$10:N$11,Предпосылки!$I$203,),0))*IFERROR(INDEX(N$10:N$11,Предпосылки!$I$203,),0),N108/(1+IFERROR(INDEX(N$10:N$11,Предпосылки!$I$204,),0))*IFERROR(INDEX(N$10:N$11,Предпосылки!$I$204,),0),N131/(1+IFERROR(INDEX(N$10:N$11,Предпосылки!$I$205,),0))*IFERROR(INDEX(N$10:N$11,Предпосылки!$I$205,),0),N154/(1+IFERROR(INDEX(N$10:N$11,Предпосылки!$I$206,),0))*IFERROR(INDEX(N$10:N$11,Предпосылки!$I$206,),0),N177/(1+IFERROR(INDEX(N$10:N$11,Предпосылки!$I$207,),0))*IFERROR(INDEX(N$10:N$11,Предпосылки!$I$207,),0),N200/(1+IFERROR(INDEX(N$10:N$11,Предпосылки!$I$208,),0))*IFERROR(INDEX(N$10:N$11,Предпосылки!$I$208,),0),N223/(1+IFERROR(INDEX(N$10:N$11,Предпосылки!$I$209,),0))*IFERROR(INDEX(N$10:N$11,Предпосылки!$I$209,),0),N246/(1+IFERROR(INDEX(N$10:N$11,Предпосылки!$I$210,),0))*IFERROR(INDEX(N$10:N$11,Предпосылки!$I$210,),0),N269/(1+IFERROR(INDEX(N$10:N$11,Предпосылки!$I$211,),0))*IFERROR(INDEX(N$10:N$11,Предпосылки!$I$211,),0),N292/(1+IFERROR(INDEX(N$10:N$11,Предпосылки!$I$212,),0))*IFERROR(INDEX(N$10:N$11,Предпосылки!$I$212,),0),N315/(1+IFERROR(INDEX(N$10:N$11,Предпосылки!$I$213,),0))*IFERROR(INDEX(N$10:N$11,Предпосылки!$I$213,),0),N338/(1+IFERROR(INDEX(N$10:N$11,Предпосылки!$I$214,),0))*IFERROR(INDEX(N$10:N$11,Предпосылки!$I$214,),0),N361/(1+IFERROR(INDEX(N$10:N$11,Предпосылки!$I$215,),0))*IFERROR(INDEX(N$10:N$11,Предпосылки!$I$215,),0),N384/(1+IFERROR(INDEX(N$10:N$11,Предпосылки!$I$216,),0))*IFERROR(INDEX(N$10:N$11,Предпосылки!$I$216,),0),N407/(1+IFERROR(INDEX(N$10:N$11,Предпосылки!$I$217,),0))*IFERROR(INDEX(N$10:N$11,Предпосылки!$I$217,),0),N430/(1+IFERROR(INDEX(N$10:N$11,Предпосылки!$I$218,),0))*IFERROR(INDEX(N$10:N$11,Предпосылки!$I$218,),0),N453/(1+IFERROR(INDEX(N$10:N$11,Предпосылки!$I$219,),0))*IFERROR(INDEX(N$10:N$11,Предпосылки!$I$219,),0),N476/(1+IFERROR(INDEX(N$10:N$11,Предпосылки!$I$220,),0))*IFERROR(INDEX(N$10:N$11,Предпосылки!$I$220,),0))</f>
        <v>0</v>
      </c>
      <c s="125">
        <f>SUM(O39/(1+IFERROR(INDEX(O$10:O$11,Предпосылки!$I$201,),0))*IFERROR(INDEX(O$10:O$11,Предпосылки!$I$201,),0),O62/(1+IFERROR(INDEX(O$10:O$11,Предпосылки!$I$202,),0))*IFERROR(INDEX(O$10:O$11,Предпосылки!$I$202,),0),O85/(1+IFERROR(INDEX(O$10:O$11,Предпосылки!$I$203,),0))*IFERROR(INDEX(O$10:O$11,Предпосылки!$I$203,),0),O108/(1+IFERROR(INDEX(O$10:O$11,Предпосылки!$I$204,),0))*IFERROR(INDEX(O$10:O$11,Предпосылки!$I$204,),0),O131/(1+IFERROR(INDEX(O$10:O$11,Предпосылки!$I$205,),0))*IFERROR(INDEX(O$10:O$11,Предпосылки!$I$205,),0),O154/(1+IFERROR(INDEX(O$10:O$11,Предпосылки!$I$206,),0))*IFERROR(INDEX(O$10:O$11,Предпосылки!$I$206,),0),O177/(1+IFERROR(INDEX(O$10:O$11,Предпосылки!$I$207,),0))*IFERROR(INDEX(O$10:O$11,Предпосылки!$I$207,),0),O200/(1+IFERROR(INDEX(O$10:O$11,Предпосылки!$I$208,),0))*IFERROR(INDEX(O$10:O$11,Предпосылки!$I$208,),0),O223/(1+IFERROR(INDEX(O$10:O$11,Предпосылки!$I$209,),0))*IFERROR(INDEX(O$10:O$11,Предпосылки!$I$209,),0),O246/(1+IFERROR(INDEX(O$10:O$11,Предпосылки!$I$210,),0))*IFERROR(INDEX(O$10:O$11,Предпосылки!$I$210,),0),O269/(1+IFERROR(INDEX(O$10:O$11,Предпосылки!$I$211,),0))*IFERROR(INDEX(O$10:O$11,Предпосылки!$I$211,),0),O292/(1+IFERROR(INDEX(O$10:O$11,Предпосылки!$I$212,),0))*IFERROR(INDEX(O$10:O$11,Предпосылки!$I$212,),0),O315/(1+IFERROR(INDEX(O$10:O$11,Предпосылки!$I$213,),0))*IFERROR(INDEX(O$10:O$11,Предпосылки!$I$213,),0),O338/(1+IFERROR(INDEX(O$10:O$11,Предпосылки!$I$214,),0))*IFERROR(INDEX(O$10:O$11,Предпосылки!$I$214,),0),O361/(1+IFERROR(INDEX(O$10:O$11,Предпосылки!$I$215,),0))*IFERROR(INDEX(O$10:O$11,Предпосылки!$I$215,),0),O384/(1+IFERROR(INDEX(O$10:O$11,Предпосылки!$I$216,),0))*IFERROR(INDEX(O$10:O$11,Предпосылки!$I$216,),0),O407/(1+IFERROR(INDEX(O$10:O$11,Предпосылки!$I$217,),0))*IFERROR(INDEX(O$10:O$11,Предпосылки!$I$217,),0),O430/(1+IFERROR(INDEX(O$10:O$11,Предпосылки!$I$218,),0))*IFERROR(INDEX(O$10:O$11,Предпосылки!$I$218,),0),O453/(1+IFERROR(INDEX(O$10:O$11,Предпосылки!$I$219,),0))*IFERROR(INDEX(O$10:O$11,Предпосылки!$I$219,),0),O476/(1+IFERROR(INDEX(O$10:O$11,Предпосылки!$I$220,),0))*IFERROR(INDEX(O$10:O$11,Предпосылки!$I$220,),0))</f>
        <v>0</v>
      </c>
      <c s="125">
        <f>SUM(P39/(1+IFERROR(INDEX(P$10:P$11,Предпосылки!$I$201,),0))*IFERROR(INDEX(P$10:P$11,Предпосылки!$I$201,),0),P62/(1+IFERROR(INDEX(P$10:P$11,Предпосылки!$I$202,),0))*IFERROR(INDEX(P$10:P$11,Предпосылки!$I$202,),0),P85/(1+IFERROR(INDEX(P$10:P$11,Предпосылки!$I$203,),0))*IFERROR(INDEX(P$10:P$11,Предпосылки!$I$203,),0),P108/(1+IFERROR(INDEX(P$10:P$11,Предпосылки!$I$204,),0))*IFERROR(INDEX(P$10:P$11,Предпосылки!$I$204,),0),P131/(1+IFERROR(INDEX(P$10:P$11,Предпосылки!$I$205,),0))*IFERROR(INDEX(P$10:P$11,Предпосылки!$I$205,),0),P154/(1+IFERROR(INDEX(P$10:P$11,Предпосылки!$I$206,),0))*IFERROR(INDEX(P$10:P$11,Предпосылки!$I$206,),0),P177/(1+IFERROR(INDEX(P$10:P$11,Предпосылки!$I$207,),0))*IFERROR(INDEX(P$10:P$11,Предпосылки!$I$207,),0),P200/(1+IFERROR(INDEX(P$10:P$11,Предпосылки!$I$208,),0))*IFERROR(INDEX(P$10:P$11,Предпосылки!$I$208,),0),P223/(1+IFERROR(INDEX(P$10:P$11,Предпосылки!$I$209,),0))*IFERROR(INDEX(P$10:P$11,Предпосылки!$I$209,),0),P246/(1+IFERROR(INDEX(P$10:P$11,Предпосылки!$I$210,),0))*IFERROR(INDEX(P$10:P$11,Предпосылки!$I$210,),0),P269/(1+IFERROR(INDEX(P$10:P$11,Предпосылки!$I$211,),0))*IFERROR(INDEX(P$10:P$11,Предпосылки!$I$211,),0),P292/(1+IFERROR(INDEX(P$10:P$11,Предпосылки!$I$212,),0))*IFERROR(INDEX(P$10:P$11,Предпосылки!$I$212,),0),P315/(1+IFERROR(INDEX(P$10:P$11,Предпосылки!$I$213,),0))*IFERROR(INDEX(P$10:P$11,Предпосылки!$I$213,),0),P338/(1+IFERROR(INDEX(P$10:P$11,Предпосылки!$I$214,),0))*IFERROR(INDEX(P$10:P$11,Предпосылки!$I$214,),0),P361/(1+IFERROR(INDEX(P$10:P$11,Предпосылки!$I$215,),0))*IFERROR(INDEX(P$10:P$11,Предпосылки!$I$215,),0),P384/(1+IFERROR(INDEX(P$10:P$11,Предпосылки!$I$216,),0))*IFERROR(INDEX(P$10:P$11,Предпосылки!$I$216,),0),P407/(1+IFERROR(INDEX(P$10:P$11,Предпосылки!$I$217,),0))*IFERROR(INDEX(P$10:P$11,Предпосылки!$I$217,),0),P430/(1+IFERROR(INDEX(P$10:P$11,Предпосылки!$I$218,),0))*IFERROR(INDEX(P$10:P$11,Предпосылки!$I$218,),0),P453/(1+IFERROR(INDEX(P$10:P$11,Предпосылки!$I$219,),0))*IFERROR(INDEX(P$10:P$11,Предпосылки!$I$219,),0),P476/(1+IFERROR(INDEX(P$10:P$11,Предпосылки!$I$220,),0))*IFERROR(INDEX(P$10:P$11,Предпосылки!$I$220,),0))</f>
        <v>0</v>
      </c>
      <c s="125">
        <f>SUM(Q39/(1+IFERROR(INDEX(Q$10:Q$11,Предпосылки!$I$201,),0))*IFERROR(INDEX(Q$10:Q$11,Предпосылки!$I$201,),0),Q62/(1+IFERROR(INDEX(Q$10:Q$11,Предпосылки!$I$202,),0))*IFERROR(INDEX(Q$10:Q$11,Предпосылки!$I$202,),0),Q85/(1+IFERROR(INDEX(Q$10:Q$11,Предпосылки!$I$203,),0))*IFERROR(INDEX(Q$10:Q$11,Предпосылки!$I$203,),0),Q108/(1+IFERROR(INDEX(Q$10:Q$11,Предпосылки!$I$204,),0))*IFERROR(INDEX(Q$10:Q$11,Предпосылки!$I$204,),0),Q131/(1+IFERROR(INDEX(Q$10:Q$11,Предпосылки!$I$205,),0))*IFERROR(INDEX(Q$10:Q$11,Предпосылки!$I$205,),0),Q154/(1+IFERROR(INDEX(Q$10:Q$11,Предпосылки!$I$206,),0))*IFERROR(INDEX(Q$10:Q$11,Предпосылки!$I$206,),0),Q177/(1+IFERROR(INDEX(Q$10:Q$11,Предпосылки!$I$207,),0))*IFERROR(INDEX(Q$10:Q$11,Предпосылки!$I$207,),0),Q200/(1+IFERROR(INDEX(Q$10:Q$11,Предпосылки!$I$208,),0))*IFERROR(INDEX(Q$10:Q$11,Предпосылки!$I$208,),0),Q223/(1+IFERROR(INDEX(Q$10:Q$11,Предпосылки!$I$209,),0))*IFERROR(INDEX(Q$10:Q$11,Предпосылки!$I$209,),0),Q246/(1+IFERROR(INDEX(Q$10:Q$11,Предпосылки!$I$210,),0))*IFERROR(INDEX(Q$10:Q$11,Предпосылки!$I$210,),0),Q269/(1+IFERROR(INDEX(Q$10:Q$11,Предпосылки!$I$211,),0))*IFERROR(INDEX(Q$10:Q$11,Предпосылки!$I$211,),0),Q292/(1+IFERROR(INDEX(Q$10:Q$11,Предпосылки!$I$212,),0))*IFERROR(INDEX(Q$10:Q$11,Предпосылки!$I$212,),0),Q315/(1+IFERROR(INDEX(Q$10:Q$11,Предпосылки!$I$213,),0))*IFERROR(INDEX(Q$10:Q$11,Предпосылки!$I$213,),0),Q338/(1+IFERROR(INDEX(Q$10:Q$11,Предпосылки!$I$214,),0))*IFERROR(INDEX(Q$10:Q$11,Предпосылки!$I$214,),0),Q361/(1+IFERROR(INDEX(Q$10:Q$11,Предпосылки!$I$215,),0))*IFERROR(INDEX(Q$10:Q$11,Предпосылки!$I$215,),0),Q384/(1+IFERROR(INDEX(Q$10:Q$11,Предпосылки!$I$216,),0))*IFERROR(INDEX(Q$10:Q$11,Предпосылки!$I$216,),0),Q407/(1+IFERROR(INDEX(Q$10:Q$11,Предпосылки!$I$217,),0))*IFERROR(INDEX(Q$10:Q$11,Предпосылки!$I$217,),0),Q430/(1+IFERROR(INDEX(Q$10:Q$11,Предпосылки!$I$218,),0))*IFERROR(INDEX(Q$10:Q$11,Предпосылки!$I$218,),0),Q453/(1+IFERROR(INDEX(Q$10:Q$11,Предпосылки!$I$219,),0))*IFERROR(INDEX(Q$10:Q$11,Предпосылки!$I$219,),0),Q476/(1+IFERROR(INDEX(Q$10:Q$11,Предпосылки!$I$220,),0))*IFERROR(INDEX(Q$10:Q$11,Предпосылки!$I$220,),0))</f>
        <v>0</v>
      </c>
      <c s="125">
        <f>SUM(R39/(1+IFERROR(INDEX(R$10:R$11,Предпосылки!$I$201,),0))*IFERROR(INDEX(R$10:R$11,Предпосылки!$I$201,),0),R62/(1+IFERROR(INDEX(R$10:R$11,Предпосылки!$I$202,),0))*IFERROR(INDEX(R$10:R$11,Предпосылки!$I$202,),0),R85/(1+IFERROR(INDEX(R$10:R$11,Предпосылки!$I$203,),0))*IFERROR(INDEX(R$10:R$11,Предпосылки!$I$203,),0),R108/(1+IFERROR(INDEX(R$10:R$11,Предпосылки!$I$204,),0))*IFERROR(INDEX(R$10:R$11,Предпосылки!$I$204,),0),R131/(1+IFERROR(INDEX(R$10:R$11,Предпосылки!$I$205,),0))*IFERROR(INDEX(R$10:R$11,Предпосылки!$I$205,),0),R154/(1+IFERROR(INDEX(R$10:R$11,Предпосылки!$I$206,),0))*IFERROR(INDEX(R$10:R$11,Предпосылки!$I$206,),0),R177/(1+IFERROR(INDEX(R$10:R$11,Предпосылки!$I$207,),0))*IFERROR(INDEX(R$10:R$11,Предпосылки!$I$207,),0),R200/(1+IFERROR(INDEX(R$10:R$11,Предпосылки!$I$208,),0))*IFERROR(INDEX(R$10:R$11,Предпосылки!$I$208,),0),R223/(1+IFERROR(INDEX(R$10:R$11,Предпосылки!$I$209,),0))*IFERROR(INDEX(R$10:R$11,Предпосылки!$I$209,),0),R246/(1+IFERROR(INDEX(R$10:R$11,Предпосылки!$I$210,),0))*IFERROR(INDEX(R$10:R$11,Предпосылки!$I$210,),0),R269/(1+IFERROR(INDEX(R$10:R$11,Предпосылки!$I$211,),0))*IFERROR(INDEX(R$10:R$11,Предпосылки!$I$211,),0),R292/(1+IFERROR(INDEX(R$10:R$11,Предпосылки!$I$212,),0))*IFERROR(INDEX(R$10:R$11,Предпосылки!$I$212,),0),R315/(1+IFERROR(INDEX(R$10:R$11,Предпосылки!$I$213,),0))*IFERROR(INDEX(R$10:R$11,Предпосылки!$I$213,),0),R338/(1+IFERROR(INDEX(R$10:R$11,Предпосылки!$I$214,),0))*IFERROR(INDEX(R$10:R$11,Предпосылки!$I$214,),0),R361/(1+IFERROR(INDEX(R$10:R$11,Предпосылки!$I$215,),0))*IFERROR(INDEX(R$10:R$11,Предпосылки!$I$215,),0),R384/(1+IFERROR(INDEX(R$10:R$11,Предпосылки!$I$216,),0))*IFERROR(INDEX(R$10:R$11,Предпосылки!$I$216,),0),R407/(1+IFERROR(INDEX(R$10:R$11,Предпосылки!$I$217,),0))*IFERROR(INDEX(R$10:R$11,Предпосылки!$I$217,),0),R430/(1+IFERROR(INDEX(R$10:R$11,Предпосылки!$I$218,),0))*IFERROR(INDEX(R$10:R$11,Предпосылки!$I$218,),0),R453/(1+IFERROR(INDEX(R$10:R$11,Предпосылки!$I$219,),0))*IFERROR(INDEX(R$10:R$11,Предпосылки!$I$219,),0),R476/(1+IFERROR(INDEX(R$10:R$11,Предпосылки!$I$220,),0))*IFERROR(INDEX(R$10:R$11,Предпосылки!$I$220,),0))</f>
        <v>0</v>
      </c>
      <c s="125">
        <f>SUM(S39/(1+IFERROR(INDEX(S$10:S$11,Предпосылки!$I$201,),0))*IFERROR(INDEX(S$10:S$11,Предпосылки!$I$201,),0),S62/(1+IFERROR(INDEX(S$10:S$11,Предпосылки!$I$202,),0))*IFERROR(INDEX(S$10:S$11,Предпосылки!$I$202,),0),S85/(1+IFERROR(INDEX(S$10:S$11,Предпосылки!$I$203,),0))*IFERROR(INDEX(S$10:S$11,Предпосылки!$I$203,),0),S108/(1+IFERROR(INDEX(S$10:S$11,Предпосылки!$I$204,),0))*IFERROR(INDEX(S$10:S$11,Предпосылки!$I$204,),0),S131/(1+IFERROR(INDEX(S$10:S$11,Предпосылки!$I$205,),0))*IFERROR(INDEX(S$10:S$11,Предпосылки!$I$205,),0),S154/(1+IFERROR(INDEX(S$10:S$11,Предпосылки!$I$206,),0))*IFERROR(INDEX(S$10:S$11,Предпосылки!$I$206,),0),S177/(1+IFERROR(INDEX(S$10:S$11,Предпосылки!$I$207,),0))*IFERROR(INDEX(S$10:S$11,Предпосылки!$I$207,),0),S200/(1+IFERROR(INDEX(S$10:S$11,Предпосылки!$I$208,),0))*IFERROR(INDEX(S$10:S$11,Предпосылки!$I$208,),0),S223/(1+IFERROR(INDEX(S$10:S$11,Предпосылки!$I$209,),0))*IFERROR(INDEX(S$10:S$11,Предпосылки!$I$209,),0),S246/(1+IFERROR(INDEX(S$10:S$11,Предпосылки!$I$210,),0))*IFERROR(INDEX(S$10:S$11,Предпосылки!$I$210,),0),S269/(1+IFERROR(INDEX(S$10:S$11,Предпосылки!$I$211,),0))*IFERROR(INDEX(S$10:S$11,Предпосылки!$I$211,),0),S292/(1+IFERROR(INDEX(S$10:S$11,Предпосылки!$I$212,),0))*IFERROR(INDEX(S$10:S$11,Предпосылки!$I$212,),0),S315/(1+IFERROR(INDEX(S$10:S$11,Предпосылки!$I$213,),0))*IFERROR(INDEX(S$10:S$11,Предпосылки!$I$213,),0),S338/(1+IFERROR(INDEX(S$10:S$11,Предпосылки!$I$214,),0))*IFERROR(INDEX(S$10:S$11,Предпосылки!$I$214,),0),S361/(1+IFERROR(INDEX(S$10:S$11,Предпосылки!$I$215,),0))*IFERROR(INDEX(S$10:S$11,Предпосылки!$I$215,),0),S384/(1+IFERROR(INDEX(S$10:S$11,Предпосылки!$I$216,),0))*IFERROR(INDEX(S$10:S$11,Предпосылки!$I$216,),0),S407/(1+IFERROR(INDEX(S$10:S$11,Предпосылки!$I$217,),0))*IFERROR(INDEX(S$10:S$11,Предпосылки!$I$217,),0),S430/(1+IFERROR(INDEX(S$10:S$11,Предпосылки!$I$218,),0))*IFERROR(INDEX(S$10:S$11,Предпосылки!$I$218,),0),S453/(1+IFERROR(INDEX(S$10:S$11,Предпосылки!$I$219,),0))*IFERROR(INDEX(S$10:S$11,Предпосылки!$I$219,),0),S476/(1+IFERROR(INDEX(S$10:S$11,Предпосылки!$I$220,),0))*IFERROR(INDEX(S$10:S$11,Предпосылки!$I$220,),0))</f>
        <v>0</v>
      </c>
      <c s="125">
        <f>SUM(T39/(1+IFERROR(INDEX(T$10:T$11,Предпосылки!$I$201,),0))*IFERROR(INDEX(T$10:T$11,Предпосылки!$I$201,),0),T62/(1+IFERROR(INDEX(T$10:T$11,Предпосылки!$I$202,),0))*IFERROR(INDEX(T$10:T$11,Предпосылки!$I$202,),0),T85/(1+IFERROR(INDEX(T$10:T$11,Предпосылки!$I$203,),0))*IFERROR(INDEX(T$10:T$11,Предпосылки!$I$203,),0),T108/(1+IFERROR(INDEX(T$10:T$11,Предпосылки!$I$204,),0))*IFERROR(INDEX(T$10:T$11,Предпосылки!$I$204,),0),T131/(1+IFERROR(INDEX(T$10:T$11,Предпосылки!$I$205,),0))*IFERROR(INDEX(T$10:T$11,Предпосылки!$I$205,),0),T154/(1+IFERROR(INDEX(T$10:T$11,Предпосылки!$I$206,),0))*IFERROR(INDEX(T$10:T$11,Предпосылки!$I$206,),0),T177/(1+IFERROR(INDEX(T$10:T$11,Предпосылки!$I$207,),0))*IFERROR(INDEX(T$10:T$11,Предпосылки!$I$207,),0),T200/(1+IFERROR(INDEX(T$10:T$11,Предпосылки!$I$208,),0))*IFERROR(INDEX(T$10:T$11,Предпосылки!$I$208,),0),T223/(1+IFERROR(INDEX(T$10:T$11,Предпосылки!$I$209,),0))*IFERROR(INDEX(T$10:T$11,Предпосылки!$I$209,),0),T246/(1+IFERROR(INDEX(T$10:T$11,Предпосылки!$I$210,),0))*IFERROR(INDEX(T$10:T$11,Предпосылки!$I$210,),0),T269/(1+IFERROR(INDEX(T$10:T$11,Предпосылки!$I$211,),0))*IFERROR(INDEX(T$10:T$11,Предпосылки!$I$211,),0),T292/(1+IFERROR(INDEX(T$10:T$11,Предпосылки!$I$212,),0))*IFERROR(INDEX(T$10:T$11,Предпосылки!$I$212,),0),T315/(1+IFERROR(INDEX(T$10:T$11,Предпосылки!$I$213,),0))*IFERROR(INDEX(T$10:T$11,Предпосылки!$I$213,),0),T338/(1+IFERROR(INDEX(T$10:T$11,Предпосылки!$I$214,),0))*IFERROR(INDEX(T$10:T$11,Предпосылки!$I$214,),0),T361/(1+IFERROR(INDEX(T$10:T$11,Предпосылки!$I$215,),0))*IFERROR(INDEX(T$10:T$11,Предпосылки!$I$215,),0),T384/(1+IFERROR(INDEX(T$10:T$11,Предпосылки!$I$216,),0))*IFERROR(INDEX(T$10:T$11,Предпосылки!$I$216,),0),T407/(1+IFERROR(INDEX(T$10:T$11,Предпосылки!$I$217,),0))*IFERROR(INDEX(T$10:T$11,Предпосылки!$I$217,),0),T430/(1+IFERROR(INDEX(T$10:T$11,Предпосылки!$I$218,),0))*IFERROR(INDEX(T$10:T$11,Предпосылки!$I$218,),0),T453/(1+IFERROR(INDEX(T$10:T$11,Предпосылки!$I$219,),0))*IFERROR(INDEX(T$10:T$11,Предпосылки!$I$219,),0),T476/(1+IFERROR(INDEX(T$10:T$11,Предпосылки!$I$220,),0))*IFERROR(INDEX(T$10:T$11,Предпосылки!$I$220,),0))</f>
        <v>0</v>
      </c>
      <c s="125">
        <f>SUM(U39/(1+IFERROR(INDEX(U$10:U$11,Предпосылки!$I$201,),0))*IFERROR(INDEX(U$10:U$11,Предпосылки!$I$201,),0),U62/(1+IFERROR(INDEX(U$10:U$11,Предпосылки!$I$202,),0))*IFERROR(INDEX(U$10:U$11,Предпосылки!$I$202,),0),U85/(1+IFERROR(INDEX(U$10:U$11,Предпосылки!$I$203,),0))*IFERROR(INDEX(U$10:U$11,Предпосылки!$I$203,),0),U108/(1+IFERROR(INDEX(U$10:U$11,Предпосылки!$I$204,),0))*IFERROR(INDEX(U$10:U$11,Предпосылки!$I$204,),0),U131/(1+IFERROR(INDEX(U$10:U$11,Предпосылки!$I$205,),0))*IFERROR(INDEX(U$10:U$11,Предпосылки!$I$205,),0),U154/(1+IFERROR(INDEX(U$10:U$11,Предпосылки!$I$206,),0))*IFERROR(INDEX(U$10:U$11,Предпосылки!$I$206,),0),U177/(1+IFERROR(INDEX(U$10:U$11,Предпосылки!$I$207,),0))*IFERROR(INDEX(U$10:U$11,Предпосылки!$I$207,),0),U200/(1+IFERROR(INDEX(U$10:U$11,Предпосылки!$I$208,),0))*IFERROR(INDEX(U$10:U$11,Предпосылки!$I$208,),0),U223/(1+IFERROR(INDEX(U$10:U$11,Предпосылки!$I$209,),0))*IFERROR(INDEX(U$10:U$11,Предпосылки!$I$209,),0),U246/(1+IFERROR(INDEX(U$10:U$11,Предпосылки!$I$210,),0))*IFERROR(INDEX(U$10:U$11,Предпосылки!$I$210,),0),U269/(1+IFERROR(INDEX(U$10:U$11,Предпосылки!$I$211,),0))*IFERROR(INDEX(U$10:U$11,Предпосылки!$I$211,),0),U292/(1+IFERROR(INDEX(U$10:U$11,Предпосылки!$I$212,),0))*IFERROR(INDEX(U$10:U$11,Предпосылки!$I$212,),0),U315/(1+IFERROR(INDEX(U$10:U$11,Предпосылки!$I$213,),0))*IFERROR(INDEX(U$10:U$11,Предпосылки!$I$213,),0),U338/(1+IFERROR(INDEX(U$10:U$11,Предпосылки!$I$214,),0))*IFERROR(INDEX(U$10:U$11,Предпосылки!$I$214,),0),U361/(1+IFERROR(INDEX(U$10:U$11,Предпосылки!$I$215,),0))*IFERROR(INDEX(U$10:U$11,Предпосылки!$I$215,),0),U384/(1+IFERROR(INDEX(U$10:U$11,Предпосылки!$I$216,),0))*IFERROR(INDEX(U$10:U$11,Предпосылки!$I$216,),0),U407/(1+IFERROR(INDEX(U$10:U$11,Предпосылки!$I$217,),0))*IFERROR(INDEX(U$10:U$11,Предпосылки!$I$217,),0),U430/(1+IFERROR(INDEX(U$10:U$11,Предпосылки!$I$218,),0))*IFERROR(INDEX(U$10:U$11,Предпосылки!$I$218,),0),U453/(1+IFERROR(INDEX(U$10:U$11,Предпосылки!$I$219,),0))*IFERROR(INDEX(U$10:U$11,Предпосылки!$I$219,),0),U476/(1+IFERROR(INDEX(U$10:U$11,Предпосылки!$I$220,),0))*IFERROR(INDEX(U$10:U$11,Предпосылки!$I$220,),0))</f>
        <v>0</v>
      </c>
      <c s="125">
        <f>SUM(V39/(1+IFERROR(INDEX(V$10:V$11,Предпосылки!$I$201,),0))*IFERROR(INDEX(V$10:V$11,Предпосылки!$I$201,),0),V62/(1+IFERROR(INDEX(V$10:V$11,Предпосылки!$I$202,),0))*IFERROR(INDEX(V$10:V$11,Предпосылки!$I$202,),0),V85/(1+IFERROR(INDEX(V$10:V$11,Предпосылки!$I$203,),0))*IFERROR(INDEX(V$10:V$11,Предпосылки!$I$203,),0),V108/(1+IFERROR(INDEX(V$10:V$11,Предпосылки!$I$204,),0))*IFERROR(INDEX(V$10:V$11,Предпосылки!$I$204,),0),V131/(1+IFERROR(INDEX(V$10:V$11,Предпосылки!$I$205,),0))*IFERROR(INDEX(V$10:V$11,Предпосылки!$I$205,),0),V154/(1+IFERROR(INDEX(V$10:V$11,Предпосылки!$I$206,),0))*IFERROR(INDEX(V$10:V$11,Предпосылки!$I$206,),0),V177/(1+IFERROR(INDEX(V$10:V$11,Предпосылки!$I$207,),0))*IFERROR(INDEX(V$10:V$11,Предпосылки!$I$207,),0),V200/(1+IFERROR(INDEX(V$10:V$11,Предпосылки!$I$208,),0))*IFERROR(INDEX(V$10:V$11,Предпосылки!$I$208,),0),V223/(1+IFERROR(INDEX(V$10:V$11,Предпосылки!$I$209,),0))*IFERROR(INDEX(V$10:V$11,Предпосылки!$I$209,),0),V246/(1+IFERROR(INDEX(V$10:V$11,Предпосылки!$I$210,),0))*IFERROR(INDEX(V$10:V$11,Предпосылки!$I$210,),0),V269/(1+IFERROR(INDEX(V$10:V$11,Предпосылки!$I$211,),0))*IFERROR(INDEX(V$10:V$11,Предпосылки!$I$211,),0),V292/(1+IFERROR(INDEX(V$10:V$11,Предпосылки!$I$212,),0))*IFERROR(INDEX(V$10:V$11,Предпосылки!$I$212,),0),V315/(1+IFERROR(INDEX(V$10:V$11,Предпосылки!$I$213,),0))*IFERROR(INDEX(V$10:V$11,Предпосылки!$I$213,),0),V338/(1+IFERROR(INDEX(V$10:V$11,Предпосылки!$I$214,),0))*IFERROR(INDEX(V$10:V$11,Предпосылки!$I$214,),0),V361/(1+IFERROR(INDEX(V$10:V$11,Предпосылки!$I$215,),0))*IFERROR(INDEX(V$10:V$11,Предпосылки!$I$215,),0),V384/(1+IFERROR(INDEX(V$10:V$11,Предпосылки!$I$216,),0))*IFERROR(INDEX(V$10:V$11,Предпосылки!$I$216,),0),V407/(1+IFERROR(INDEX(V$10:V$11,Предпосылки!$I$217,),0))*IFERROR(INDEX(V$10:V$11,Предпосылки!$I$217,),0),V430/(1+IFERROR(INDEX(V$10:V$11,Предпосылки!$I$218,),0))*IFERROR(INDEX(V$10:V$11,Предпосылки!$I$218,),0),V453/(1+IFERROR(INDEX(V$10:V$11,Предпосылки!$I$219,),0))*IFERROR(INDEX(V$10:V$11,Предпосылки!$I$219,),0),V476/(1+IFERROR(INDEX(V$10:V$11,Предпосылки!$I$220,),0))*IFERROR(INDEX(V$10:V$11,Предпосылки!$I$220,),0))</f>
        <v>0</v>
      </c>
      <c s="125">
        <f>SUM(W39/(1+IFERROR(INDEX(W$10:W$11,Предпосылки!$I$201,),0))*IFERROR(INDEX(W$10:W$11,Предпосылки!$I$201,),0),W62/(1+IFERROR(INDEX(W$10:W$11,Предпосылки!$I$202,),0))*IFERROR(INDEX(W$10:W$11,Предпосылки!$I$202,),0),W85/(1+IFERROR(INDEX(W$10:W$11,Предпосылки!$I$203,),0))*IFERROR(INDEX(W$10:W$11,Предпосылки!$I$203,),0),W108/(1+IFERROR(INDEX(W$10:W$11,Предпосылки!$I$204,),0))*IFERROR(INDEX(W$10:W$11,Предпосылки!$I$204,),0),W131/(1+IFERROR(INDEX(W$10:W$11,Предпосылки!$I$205,),0))*IFERROR(INDEX(W$10:W$11,Предпосылки!$I$205,),0),W154/(1+IFERROR(INDEX(W$10:W$11,Предпосылки!$I$206,),0))*IFERROR(INDEX(W$10:W$11,Предпосылки!$I$206,),0),W177/(1+IFERROR(INDEX(W$10:W$11,Предпосылки!$I$207,),0))*IFERROR(INDEX(W$10:W$11,Предпосылки!$I$207,),0),W200/(1+IFERROR(INDEX(W$10:W$11,Предпосылки!$I$208,),0))*IFERROR(INDEX(W$10:W$11,Предпосылки!$I$208,),0),W223/(1+IFERROR(INDEX(W$10:W$11,Предпосылки!$I$209,),0))*IFERROR(INDEX(W$10:W$11,Предпосылки!$I$209,),0),W246/(1+IFERROR(INDEX(W$10:W$11,Предпосылки!$I$210,),0))*IFERROR(INDEX(W$10:W$11,Предпосылки!$I$210,),0),W269/(1+IFERROR(INDEX(W$10:W$11,Предпосылки!$I$211,),0))*IFERROR(INDEX(W$10:W$11,Предпосылки!$I$211,),0),W292/(1+IFERROR(INDEX(W$10:W$11,Предпосылки!$I$212,),0))*IFERROR(INDEX(W$10:W$11,Предпосылки!$I$212,),0),W315/(1+IFERROR(INDEX(W$10:W$11,Предпосылки!$I$213,),0))*IFERROR(INDEX(W$10:W$11,Предпосылки!$I$213,),0),W338/(1+IFERROR(INDEX(W$10:W$11,Предпосылки!$I$214,),0))*IFERROR(INDEX(W$10:W$11,Предпосылки!$I$214,),0),W361/(1+IFERROR(INDEX(W$10:W$11,Предпосылки!$I$215,),0))*IFERROR(INDEX(W$10:W$11,Предпосылки!$I$215,),0),W384/(1+IFERROR(INDEX(W$10:W$11,Предпосылки!$I$216,),0))*IFERROR(INDEX(W$10:W$11,Предпосылки!$I$216,),0),W407/(1+IFERROR(INDEX(W$10:W$11,Предпосылки!$I$217,),0))*IFERROR(INDEX(W$10:W$11,Предпосылки!$I$217,),0),W430/(1+IFERROR(INDEX(W$10:W$11,Предпосылки!$I$218,),0))*IFERROR(INDEX(W$10:W$11,Предпосылки!$I$218,),0),W453/(1+IFERROR(INDEX(W$10:W$11,Предпосылки!$I$219,),0))*IFERROR(INDEX(W$10:W$11,Предпосылки!$I$219,),0),W476/(1+IFERROR(INDEX(W$10:W$11,Предпосылки!$I$220,),0))*IFERROR(INDEX(W$10:W$11,Предпосылки!$I$220,),0))</f>
        <v>0</v>
      </c>
      <c s="125">
        <f>SUM(X39/(1+IFERROR(INDEX(X$10:X$11,Предпосылки!$I$201,),0))*IFERROR(INDEX(X$10:X$11,Предпосылки!$I$201,),0),X62/(1+IFERROR(INDEX(X$10:X$11,Предпосылки!$I$202,),0))*IFERROR(INDEX(X$10:X$11,Предпосылки!$I$202,),0),X85/(1+IFERROR(INDEX(X$10:X$11,Предпосылки!$I$203,),0))*IFERROR(INDEX(X$10:X$11,Предпосылки!$I$203,),0),X108/(1+IFERROR(INDEX(X$10:X$11,Предпосылки!$I$204,),0))*IFERROR(INDEX(X$10:X$11,Предпосылки!$I$204,),0),X131/(1+IFERROR(INDEX(X$10:X$11,Предпосылки!$I$205,),0))*IFERROR(INDEX(X$10:X$11,Предпосылки!$I$205,),0),X154/(1+IFERROR(INDEX(X$10:X$11,Предпосылки!$I$206,),0))*IFERROR(INDEX(X$10:X$11,Предпосылки!$I$206,),0),X177/(1+IFERROR(INDEX(X$10:X$11,Предпосылки!$I$207,),0))*IFERROR(INDEX(X$10:X$11,Предпосылки!$I$207,),0),X200/(1+IFERROR(INDEX(X$10:X$11,Предпосылки!$I$208,),0))*IFERROR(INDEX(X$10:X$11,Предпосылки!$I$208,),0),X223/(1+IFERROR(INDEX(X$10:X$11,Предпосылки!$I$209,),0))*IFERROR(INDEX(X$10:X$11,Предпосылки!$I$209,),0),X246/(1+IFERROR(INDEX(X$10:X$11,Предпосылки!$I$210,),0))*IFERROR(INDEX(X$10:X$11,Предпосылки!$I$210,),0),X269/(1+IFERROR(INDEX(X$10:X$11,Предпосылки!$I$211,),0))*IFERROR(INDEX(X$10:X$11,Предпосылки!$I$211,),0),X292/(1+IFERROR(INDEX(X$10:X$11,Предпосылки!$I$212,),0))*IFERROR(INDEX(X$10:X$11,Предпосылки!$I$212,),0),X315/(1+IFERROR(INDEX(X$10:X$11,Предпосылки!$I$213,),0))*IFERROR(INDEX(X$10:X$11,Предпосылки!$I$213,),0),X338/(1+IFERROR(INDEX(X$10:X$11,Предпосылки!$I$214,),0))*IFERROR(INDEX(X$10:X$11,Предпосылки!$I$214,),0),X361/(1+IFERROR(INDEX(X$10:X$11,Предпосылки!$I$215,),0))*IFERROR(INDEX(X$10:X$11,Предпосылки!$I$215,),0),X384/(1+IFERROR(INDEX(X$10:X$11,Предпосылки!$I$216,),0))*IFERROR(INDEX(X$10:X$11,Предпосылки!$I$216,),0),X407/(1+IFERROR(INDEX(X$10:X$11,Предпосылки!$I$217,),0))*IFERROR(INDEX(X$10:X$11,Предпосылки!$I$217,),0),X430/(1+IFERROR(INDEX(X$10:X$11,Предпосылки!$I$218,),0))*IFERROR(INDEX(X$10:X$11,Предпосылки!$I$218,),0),X453/(1+IFERROR(INDEX(X$10:X$11,Предпосылки!$I$219,),0))*IFERROR(INDEX(X$10:X$11,Предпосылки!$I$219,),0),X476/(1+IFERROR(INDEX(X$10:X$11,Предпосылки!$I$220,),0))*IFERROR(INDEX(X$10:X$11,Предпосылки!$I$220,),0))</f>
        <v>0</v>
      </c>
      <c s="125">
        <f>SUM(Y39/(1+IFERROR(INDEX(Y$10:Y$11,Предпосылки!$I$201,),0))*IFERROR(INDEX(Y$10:Y$11,Предпосылки!$I$201,),0),Y62/(1+IFERROR(INDEX(Y$10:Y$11,Предпосылки!$I$202,),0))*IFERROR(INDEX(Y$10:Y$11,Предпосылки!$I$202,),0),Y85/(1+IFERROR(INDEX(Y$10:Y$11,Предпосылки!$I$203,),0))*IFERROR(INDEX(Y$10:Y$11,Предпосылки!$I$203,),0),Y108/(1+IFERROR(INDEX(Y$10:Y$11,Предпосылки!$I$204,),0))*IFERROR(INDEX(Y$10:Y$11,Предпосылки!$I$204,),0),Y131/(1+IFERROR(INDEX(Y$10:Y$11,Предпосылки!$I$205,),0))*IFERROR(INDEX(Y$10:Y$11,Предпосылки!$I$205,),0),Y154/(1+IFERROR(INDEX(Y$10:Y$11,Предпосылки!$I$206,),0))*IFERROR(INDEX(Y$10:Y$11,Предпосылки!$I$206,),0),Y177/(1+IFERROR(INDEX(Y$10:Y$11,Предпосылки!$I$207,),0))*IFERROR(INDEX(Y$10:Y$11,Предпосылки!$I$207,),0),Y200/(1+IFERROR(INDEX(Y$10:Y$11,Предпосылки!$I$208,),0))*IFERROR(INDEX(Y$10:Y$11,Предпосылки!$I$208,),0),Y223/(1+IFERROR(INDEX(Y$10:Y$11,Предпосылки!$I$209,),0))*IFERROR(INDEX(Y$10:Y$11,Предпосылки!$I$209,),0),Y246/(1+IFERROR(INDEX(Y$10:Y$11,Предпосылки!$I$210,),0))*IFERROR(INDEX(Y$10:Y$11,Предпосылки!$I$210,),0),Y269/(1+IFERROR(INDEX(Y$10:Y$11,Предпосылки!$I$211,),0))*IFERROR(INDEX(Y$10:Y$11,Предпосылки!$I$211,),0),Y292/(1+IFERROR(INDEX(Y$10:Y$11,Предпосылки!$I$212,),0))*IFERROR(INDEX(Y$10:Y$11,Предпосылки!$I$212,),0),Y315/(1+IFERROR(INDEX(Y$10:Y$11,Предпосылки!$I$213,),0))*IFERROR(INDEX(Y$10:Y$11,Предпосылки!$I$213,),0),Y338/(1+IFERROR(INDEX(Y$10:Y$11,Предпосылки!$I$214,),0))*IFERROR(INDEX(Y$10:Y$11,Предпосылки!$I$214,),0),Y361/(1+IFERROR(INDEX(Y$10:Y$11,Предпосылки!$I$215,),0))*IFERROR(INDEX(Y$10:Y$11,Предпосылки!$I$215,),0),Y384/(1+IFERROR(INDEX(Y$10:Y$11,Предпосылки!$I$216,),0))*IFERROR(INDEX(Y$10:Y$11,Предпосылки!$I$216,),0),Y407/(1+IFERROR(INDEX(Y$10:Y$11,Предпосылки!$I$217,),0))*IFERROR(INDEX(Y$10:Y$11,Предпосылки!$I$217,),0),Y430/(1+IFERROR(INDEX(Y$10:Y$11,Предпосылки!$I$218,),0))*IFERROR(INDEX(Y$10:Y$11,Предпосылки!$I$218,),0),Y453/(1+IFERROR(INDEX(Y$10:Y$11,Предпосылки!$I$219,),0))*IFERROR(INDEX(Y$10:Y$11,Предпосылки!$I$219,),0),Y476/(1+IFERROR(INDEX(Y$10:Y$11,Предпосылки!$I$220,),0))*IFERROR(INDEX(Y$10:Y$11,Предпосылки!$I$220,),0))</f>
        <v>0</v>
      </c>
      <c s="125">
        <f>SUM(Z39/(1+IFERROR(INDEX(Z$10:Z$11,Предпосылки!$I$201,),0))*IFERROR(INDEX(Z$10:Z$11,Предпосылки!$I$201,),0),Z62/(1+IFERROR(INDEX(Z$10:Z$11,Предпосылки!$I$202,),0))*IFERROR(INDEX(Z$10:Z$11,Предпосылки!$I$202,),0),Z85/(1+IFERROR(INDEX(Z$10:Z$11,Предпосылки!$I$203,),0))*IFERROR(INDEX(Z$10:Z$11,Предпосылки!$I$203,),0),Z108/(1+IFERROR(INDEX(Z$10:Z$11,Предпосылки!$I$204,),0))*IFERROR(INDEX(Z$10:Z$11,Предпосылки!$I$204,),0),Z131/(1+IFERROR(INDEX(Z$10:Z$11,Предпосылки!$I$205,),0))*IFERROR(INDEX(Z$10:Z$11,Предпосылки!$I$205,),0),Z154/(1+IFERROR(INDEX(Z$10:Z$11,Предпосылки!$I$206,),0))*IFERROR(INDEX(Z$10:Z$11,Предпосылки!$I$206,),0),Z177/(1+IFERROR(INDEX(Z$10:Z$11,Предпосылки!$I$207,),0))*IFERROR(INDEX(Z$10:Z$11,Предпосылки!$I$207,),0),Z200/(1+IFERROR(INDEX(Z$10:Z$11,Предпосылки!$I$208,),0))*IFERROR(INDEX(Z$10:Z$11,Предпосылки!$I$208,),0),Z223/(1+IFERROR(INDEX(Z$10:Z$11,Предпосылки!$I$209,),0))*IFERROR(INDEX(Z$10:Z$11,Предпосылки!$I$209,),0),Z246/(1+IFERROR(INDEX(Z$10:Z$11,Предпосылки!$I$210,),0))*IFERROR(INDEX(Z$10:Z$11,Предпосылки!$I$210,),0),Z269/(1+IFERROR(INDEX(Z$10:Z$11,Предпосылки!$I$211,),0))*IFERROR(INDEX(Z$10:Z$11,Предпосылки!$I$211,),0),Z292/(1+IFERROR(INDEX(Z$10:Z$11,Предпосылки!$I$212,),0))*IFERROR(INDEX(Z$10:Z$11,Предпосылки!$I$212,),0),Z315/(1+IFERROR(INDEX(Z$10:Z$11,Предпосылки!$I$213,),0))*IFERROR(INDEX(Z$10:Z$11,Предпосылки!$I$213,),0),Z338/(1+IFERROR(INDEX(Z$10:Z$11,Предпосылки!$I$214,),0))*IFERROR(INDEX(Z$10:Z$11,Предпосылки!$I$214,),0),Z361/(1+IFERROR(INDEX(Z$10:Z$11,Предпосылки!$I$215,),0))*IFERROR(INDEX(Z$10:Z$11,Предпосылки!$I$215,),0),Z384/(1+IFERROR(INDEX(Z$10:Z$11,Предпосылки!$I$216,),0))*IFERROR(INDEX(Z$10:Z$11,Предпосылки!$I$216,),0),Z407/(1+IFERROR(INDEX(Z$10:Z$11,Предпосылки!$I$217,),0))*IFERROR(INDEX(Z$10:Z$11,Предпосылки!$I$217,),0),Z430/(1+IFERROR(INDEX(Z$10:Z$11,Предпосылки!$I$218,),0))*IFERROR(INDEX(Z$10:Z$11,Предпосылки!$I$218,),0),Z453/(1+IFERROR(INDEX(Z$10:Z$11,Предпосылки!$I$219,),0))*IFERROR(INDEX(Z$10:Z$11,Предпосылки!$I$219,),0),Z476/(1+IFERROR(INDEX(Z$10:Z$11,Предпосылки!$I$220,),0))*IFERROR(INDEX(Z$10:Z$11,Предпосылки!$I$220,),0))</f>
        <v>0</v>
      </c>
      <c s="125">
        <f>SUM(AA39/(1+IFERROR(INDEX(AA$10:AA$11,Предпосылки!$I$201,),0))*IFERROR(INDEX(AA$10:AA$11,Предпосылки!$I$201,),0),AA62/(1+IFERROR(INDEX(AA$10:AA$11,Предпосылки!$I$202,),0))*IFERROR(INDEX(AA$10:AA$11,Предпосылки!$I$202,),0),AA85/(1+IFERROR(INDEX(AA$10:AA$11,Предпосылки!$I$203,),0))*IFERROR(INDEX(AA$10:AA$11,Предпосылки!$I$203,),0),AA108/(1+IFERROR(INDEX(AA$10:AA$11,Предпосылки!$I$204,),0))*IFERROR(INDEX(AA$10:AA$11,Предпосылки!$I$204,),0),AA131/(1+IFERROR(INDEX(AA$10:AA$11,Предпосылки!$I$205,),0))*IFERROR(INDEX(AA$10:AA$11,Предпосылки!$I$205,),0),AA154/(1+IFERROR(INDEX(AA$10:AA$11,Предпосылки!$I$206,),0))*IFERROR(INDEX(AA$10:AA$11,Предпосылки!$I$206,),0),AA177/(1+IFERROR(INDEX(AA$10:AA$11,Предпосылки!$I$207,),0))*IFERROR(INDEX(AA$10:AA$11,Предпосылки!$I$207,),0),AA200/(1+IFERROR(INDEX(AA$10:AA$11,Предпосылки!$I$208,),0))*IFERROR(INDEX(AA$10:AA$11,Предпосылки!$I$208,),0),AA223/(1+IFERROR(INDEX(AA$10:AA$11,Предпосылки!$I$209,),0))*IFERROR(INDEX(AA$10:AA$11,Предпосылки!$I$209,),0),AA246/(1+IFERROR(INDEX(AA$10:AA$11,Предпосылки!$I$210,),0))*IFERROR(INDEX(AA$10:AA$11,Предпосылки!$I$210,),0),AA269/(1+IFERROR(INDEX(AA$10:AA$11,Предпосылки!$I$211,),0))*IFERROR(INDEX(AA$10:AA$11,Предпосылки!$I$211,),0),AA292/(1+IFERROR(INDEX(AA$10:AA$11,Предпосылки!$I$212,),0))*IFERROR(INDEX(AA$10:AA$11,Предпосылки!$I$212,),0),AA315/(1+IFERROR(INDEX(AA$10:AA$11,Предпосылки!$I$213,),0))*IFERROR(INDEX(AA$10:AA$11,Предпосылки!$I$213,),0),AA338/(1+IFERROR(INDEX(AA$10:AA$11,Предпосылки!$I$214,),0))*IFERROR(INDEX(AA$10:AA$11,Предпосылки!$I$214,),0),AA361/(1+IFERROR(INDEX(AA$10:AA$11,Предпосылки!$I$215,),0))*IFERROR(INDEX(AA$10:AA$11,Предпосылки!$I$215,),0),AA384/(1+IFERROR(INDEX(AA$10:AA$11,Предпосылки!$I$216,),0))*IFERROR(INDEX(AA$10:AA$11,Предпосылки!$I$216,),0),AA407/(1+IFERROR(INDEX(AA$10:AA$11,Предпосылки!$I$217,),0))*IFERROR(INDEX(AA$10:AA$11,Предпосылки!$I$217,),0),AA430/(1+IFERROR(INDEX(AA$10:AA$11,Предпосылки!$I$218,),0))*IFERROR(INDEX(AA$10:AA$11,Предпосылки!$I$218,),0),AA453/(1+IFERROR(INDEX(AA$10:AA$11,Предпосылки!$I$219,),0))*IFERROR(INDEX(AA$10:AA$11,Предпосылки!$I$219,),0),AA476/(1+IFERROR(INDEX(AA$10:AA$11,Предпосылки!$I$220,),0))*IFERROR(INDEX(AA$10:AA$11,Предпосылки!$I$220,),0))</f>
        <v>0</v>
      </c>
      <c s="125">
        <f>SUM(AB39/(1+IFERROR(INDEX(AB$10:AB$11,Предпосылки!$I$201,),0))*IFERROR(INDEX(AB$10:AB$11,Предпосылки!$I$201,),0),AB62/(1+IFERROR(INDEX(AB$10:AB$11,Предпосылки!$I$202,),0))*IFERROR(INDEX(AB$10:AB$11,Предпосылки!$I$202,),0),AB85/(1+IFERROR(INDEX(AB$10:AB$11,Предпосылки!$I$203,),0))*IFERROR(INDEX(AB$10:AB$11,Предпосылки!$I$203,),0),AB108/(1+IFERROR(INDEX(AB$10:AB$11,Предпосылки!$I$204,),0))*IFERROR(INDEX(AB$10:AB$11,Предпосылки!$I$204,),0),AB131/(1+IFERROR(INDEX(AB$10:AB$11,Предпосылки!$I$205,),0))*IFERROR(INDEX(AB$10:AB$11,Предпосылки!$I$205,),0),AB154/(1+IFERROR(INDEX(AB$10:AB$11,Предпосылки!$I$206,),0))*IFERROR(INDEX(AB$10:AB$11,Предпосылки!$I$206,),0),AB177/(1+IFERROR(INDEX(AB$10:AB$11,Предпосылки!$I$207,),0))*IFERROR(INDEX(AB$10:AB$11,Предпосылки!$I$207,),0),AB200/(1+IFERROR(INDEX(AB$10:AB$11,Предпосылки!$I$208,),0))*IFERROR(INDEX(AB$10:AB$11,Предпосылки!$I$208,),0),AB223/(1+IFERROR(INDEX(AB$10:AB$11,Предпосылки!$I$209,),0))*IFERROR(INDEX(AB$10:AB$11,Предпосылки!$I$209,),0),AB246/(1+IFERROR(INDEX(AB$10:AB$11,Предпосылки!$I$210,),0))*IFERROR(INDEX(AB$10:AB$11,Предпосылки!$I$210,),0),AB269/(1+IFERROR(INDEX(AB$10:AB$11,Предпосылки!$I$211,),0))*IFERROR(INDEX(AB$10:AB$11,Предпосылки!$I$211,),0),AB292/(1+IFERROR(INDEX(AB$10:AB$11,Предпосылки!$I$212,),0))*IFERROR(INDEX(AB$10:AB$11,Предпосылки!$I$212,),0),AB315/(1+IFERROR(INDEX(AB$10:AB$11,Предпосылки!$I$213,),0))*IFERROR(INDEX(AB$10:AB$11,Предпосылки!$I$213,),0),AB338/(1+IFERROR(INDEX(AB$10:AB$11,Предпосылки!$I$214,),0))*IFERROR(INDEX(AB$10:AB$11,Предпосылки!$I$214,),0),AB361/(1+IFERROR(INDEX(AB$10:AB$11,Предпосылки!$I$215,),0))*IFERROR(INDEX(AB$10:AB$11,Предпосылки!$I$215,),0),AB384/(1+IFERROR(INDEX(AB$10:AB$11,Предпосылки!$I$216,),0))*IFERROR(INDEX(AB$10:AB$11,Предпосылки!$I$216,),0),AB407/(1+IFERROR(INDEX(AB$10:AB$11,Предпосылки!$I$217,),0))*IFERROR(INDEX(AB$10:AB$11,Предпосылки!$I$217,),0),AB430/(1+IFERROR(INDEX(AB$10:AB$11,Предпосылки!$I$218,),0))*IFERROR(INDEX(AB$10:AB$11,Предпосылки!$I$218,),0),AB453/(1+IFERROR(INDEX(AB$10:AB$11,Предпосылки!$I$219,),0))*IFERROR(INDEX(AB$10:AB$11,Предпосылки!$I$219,),0),AB476/(1+IFERROR(INDEX(AB$10:AB$11,Предпосылки!$I$220,),0))*IFERROR(INDEX(AB$10:AB$11,Предпосылки!$I$220,),0))</f>
        <v>0</v>
      </c>
      <c s="125">
        <f>SUM(AC39/(1+IFERROR(INDEX(AC$10:AC$11,Предпосылки!$I$201,),0))*IFERROR(INDEX(AC$10:AC$11,Предпосылки!$I$201,),0),AC62/(1+IFERROR(INDEX(AC$10:AC$11,Предпосылки!$I$202,),0))*IFERROR(INDEX(AC$10:AC$11,Предпосылки!$I$202,),0),AC85/(1+IFERROR(INDEX(AC$10:AC$11,Предпосылки!$I$203,),0))*IFERROR(INDEX(AC$10:AC$11,Предпосылки!$I$203,),0),AC108/(1+IFERROR(INDEX(AC$10:AC$11,Предпосылки!$I$204,),0))*IFERROR(INDEX(AC$10:AC$11,Предпосылки!$I$204,),0),AC131/(1+IFERROR(INDEX(AC$10:AC$11,Предпосылки!$I$205,),0))*IFERROR(INDEX(AC$10:AC$11,Предпосылки!$I$205,),0),AC154/(1+IFERROR(INDEX(AC$10:AC$11,Предпосылки!$I$206,),0))*IFERROR(INDEX(AC$10:AC$11,Предпосылки!$I$206,),0),AC177/(1+IFERROR(INDEX(AC$10:AC$11,Предпосылки!$I$207,),0))*IFERROR(INDEX(AC$10:AC$11,Предпосылки!$I$207,),0),AC200/(1+IFERROR(INDEX(AC$10:AC$11,Предпосылки!$I$208,),0))*IFERROR(INDEX(AC$10:AC$11,Предпосылки!$I$208,),0),AC223/(1+IFERROR(INDEX(AC$10:AC$11,Предпосылки!$I$209,),0))*IFERROR(INDEX(AC$10:AC$11,Предпосылки!$I$209,),0),AC246/(1+IFERROR(INDEX(AC$10:AC$11,Предпосылки!$I$210,),0))*IFERROR(INDEX(AC$10:AC$11,Предпосылки!$I$210,),0),AC269/(1+IFERROR(INDEX(AC$10:AC$11,Предпосылки!$I$211,),0))*IFERROR(INDEX(AC$10:AC$11,Предпосылки!$I$211,),0),AC292/(1+IFERROR(INDEX(AC$10:AC$11,Предпосылки!$I$212,),0))*IFERROR(INDEX(AC$10:AC$11,Предпосылки!$I$212,),0),AC315/(1+IFERROR(INDEX(AC$10:AC$11,Предпосылки!$I$213,),0))*IFERROR(INDEX(AC$10:AC$11,Предпосылки!$I$213,),0),AC338/(1+IFERROR(INDEX(AC$10:AC$11,Предпосылки!$I$214,),0))*IFERROR(INDEX(AC$10:AC$11,Предпосылки!$I$214,),0),AC361/(1+IFERROR(INDEX(AC$10:AC$11,Предпосылки!$I$215,),0))*IFERROR(INDEX(AC$10:AC$11,Предпосылки!$I$215,),0),AC384/(1+IFERROR(INDEX(AC$10:AC$11,Предпосылки!$I$216,),0))*IFERROR(INDEX(AC$10:AC$11,Предпосылки!$I$216,),0),AC407/(1+IFERROR(INDEX(AC$10:AC$11,Предпосылки!$I$217,),0))*IFERROR(INDEX(AC$10:AC$11,Предпосылки!$I$217,),0),AC430/(1+IFERROR(INDEX(AC$10:AC$11,Предпосылки!$I$218,),0))*IFERROR(INDEX(AC$10:AC$11,Предпосылки!$I$218,),0),AC453/(1+IFERROR(INDEX(AC$10:AC$11,Предпосылки!$I$219,),0))*IFERROR(INDEX(AC$10:AC$11,Предпосылки!$I$219,),0),AC476/(1+IFERROR(INDEX(AC$10:AC$11,Предпосылки!$I$220,),0))*IFERROR(INDEX(AC$10:AC$11,Предпосылки!$I$220,),0))</f>
        <v>0</v>
      </c>
      <c s="125">
        <f>SUM(AD39/(1+IFERROR(INDEX(AD$10:AD$11,Предпосылки!$I$201,),0))*IFERROR(INDEX(AD$10:AD$11,Предпосылки!$I$201,),0),AD62/(1+IFERROR(INDEX(AD$10:AD$11,Предпосылки!$I$202,),0))*IFERROR(INDEX(AD$10:AD$11,Предпосылки!$I$202,),0),AD85/(1+IFERROR(INDEX(AD$10:AD$11,Предпосылки!$I$203,),0))*IFERROR(INDEX(AD$10:AD$11,Предпосылки!$I$203,),0),AD108/(1+IFERROR(INDEX(AD$10:AD$11,Предпосылки!$I$204,),0))*IFERROR(INDEX(AD$10:AD$11,Предпосылки!$I$204,),0),AD131/(1+IFERROR(INDEX(AD$10:AD$11,Предпосылки!$I$205,),0))*IFERROR(INDEX(AD$10:AD$11,Предпосылки!$I$205,),0),AD154/(1+IFERROR(INDEX(AD$10:AD$11,Предпосылки!$I$206,),0))*IFERROR(INDEX(AD$10:AD$11,Предпосылки!$I$206,),0),AD177/(1+IFERROR(INDEX(AD$10:AD$11,Предпосылки!$I$207,),0))*IFERROR(INDEX(AD$10:AD$11,Предпосылки!$I$207,),0),AD200/(1+IFERROR(INDEX(AD$10:AD$11,Предпосылки!$I$208,),0))*IFERROR(INDEX(AD$10:AD$11,Предпосылки!$I$208,),0),AD223/(1+IFERROR(INDEX(AD$10:AD$11,Предпосылки!$I$209,),0))*IFERROR(INDEX(AD$10:AD$11,Предпосылки!$I$209,),0),AD246/(1+IFERROR(INDEX(AD$10:AD$11,Предпосылки!$I$210,),0))*IFERROR(INDEX(AD$10:AD$11,Предпосылки!$I$210,),0),AD269/(1+IFERROR(INDEX(AD$10:AD$11,Предпосылки!$I$211,),0))*IFERROR(INDEX(AD$10:AD$11,Предпосылки!$I$211,),0),AD292/(1+IFERROR(INDEX(AD$10:AD$11,Предпосылки!$I$212,),0))*IFERROR(INDEX(AD$10:AD$11,Предпосылки!$I$212,),0),AD315/(1+IFERROR(INDEX(AD$10:AD$11,Предпосылки!$I$213,),0))*IFERROR(INDEX(AD$10:AD$11,Предпосылки!$I$213,),0),AD338/(1+IFERROR(INDEX(AD$10:AD$11,Предпосылки!$I$214,),0))*IFERROR(INDEX(AD$10:AD$11,Предпосылки!$I$214,),0),AD361/(1+IFERROR(INDEX(AD$10:AD$11,Предпосылки!$I$215,),0))*IFERROR(INDEX(AD$10:AD$11,Предпосылки!$I$215,),0),AD384/(1+IFERROR(INDEX(AD$10:AD$11,Предпосылки!$I$216,),0))*IFERROR(INDEX(AD$10:AD$11,Предпосылки!$I$216,),0),AD407/(1+IFERROR(INDEX(AD$10:AD$11,Предпосылки!$I$217,),0))*IFERROR(INDEX(AD$10:AD$11,Предпосылки!$I$217,),0),AD430/(1+IFERROR(INDEX(AD$10:AD$11,Предпосылки!$I$218,),0))*IFERROR(INDEX(AD$10:AD$11,Предпосылки!$I$218,),0),AD453/(1+IFERROR(INDEX(AD$10:AD$11,Предпосылки!$I$219,),0))*IFERROR(INDEX(AD$10:AD$11,Предпосылки!$I$219,),0),AD476/(1+IFERROR(INDEX(AD$10:AD$11,Предпосылки!$I$220,),0))*IFERROR(INDEX(AD$10:AD$11,Предпосылки!$I$220,),0))</f>
        <v>0</v>
      </c>
      <c s="125">
        <f>SUM(AE39/(1+IFERROR(INDEX(AE$10:AE$11,Предпосылки!$I$201,),0))*IFERROR(INDEX(AE$10:AE$11,Предпосылки!$I$201,),0),AE62/(1+IFERROR(INDEX(AE$10:AE$11,Предпосылки!$I$202,),0))*IFERROR(INDEX(AE$10:AE$11,Предпосылки!$I$202,),0),AE85/(1+IFERROR(INDEX(AE$10:AE$11,Предпосылки!$I$203,),0))*IFERROR(INDEX(AE$10:AE$11,Предпосылки!$I$203,),0),AE108/(1+IFERROR(INDEX(AE$10:AE$11,Предпосылки!$I$204,),0))*IFERROR(INDEX(AE$10:AE$11,Предпосылки!$I$204,),0),AE131/(1+IFERROR(INDEX(AE$10:AE$11,Предпосылки!$I$205,),0))*IFERROR(INDEX(AE$10:AE$11,Предпосылки!$I$205,),0),AE154/(1+IFERROR(INDEX(AE$10:AE$11,Предпосылки!$I$206,),0))*IFERROR(INDEX(AE$10:AE$11,Предпосылки!$I$206,),0),AE177/(1+IFERROR(INDEX(AE$10:AE$11,Предпосылки!$I$207,),0))*IFERROR(INDEX(AE$10:AE$11,Предпосылки!$I$207,),0),AE200/(1+IFERROR(INDEX(AE$10:AE$11,Предпосылки!$I$208,),0))*IFERROR(INDEX(AE$10:AE$11,Предпосылки!$I$208,),0),AE223/(1+IFERROR(INDEX(AE$10:AE$11,Предпосылки!$I$209,),0))*IFERROR(INDEX(AE$10:AE$11,Предпосылки!$I$209,),0),AE246/(1+IFERROR(INDEX(AE$10:AE$11,Предпосылки!$I$210,),0))*IFERROR(INDEX(AE$10:AE$11,Предпосылки!$I$210,),0),AE269/(1+IFERROR(INDEX(AE$10:AE$11,Предпосылки!$I$211,),0))*IFERROR(INDEX(AE$10:AE$11,Предпосылки!$I$211,),0),AE292/(1+IFERROR(INDEX(AE$10:AE$11,Предпосылки!$I$212,),0))*IFERROR(INDEX(AE$10:AE$11,Предпосылки!$I$212,),0),AE315/(1+IFERROR(INDEX(AE$10:AE$11,Предпосылки!$I$213,),0))*IFERROR(INDEX(AE$10:AE$11,Предпосылки!$I$213,),0),AE338/(1+IFERROR(INDEX(AE$10:AE$11,Предпосылки!$I$214,),0))*IFERROR(INDEX(AE$10:AE$11,Предпосылки!$I$214,),0),AE361/(1+IFERROR(INDEX(AE$10:AE$11,Предпосылки!$I$215,),0))*IFERROR(INDEX(AE$10:AE$11,Предпосылки!$I$215,),0),AE384/(1+IFERROR(INDEX(AE$10:AE$11,Предпосылки!$I$216,),0))*IFERROR(INDEX(AE$10:AE$11,Предпосылки!$I$216,),0),AE407/(1+IFERROR(INDEX(AE$10:AE$11,Предпосылки!$I$217,),0))*IFERROR(INDEX(AE$10:AE$11,Предпосылки!$I$217,),0),AE430/(1+IFERROR(INDEX(AE$10:AE$11,Предпосылки!$I$218,),0))*IFERROR(INDEX(AE$10:AE$11,Предпосылки!$I$218,),0),AE453/(1+IFERROR(INDEX(AE$10:AE$11,Предпосылки!$I$219,),0))*IFERROR(INDEX(AE$10:AE$11,Предпосылки!$I$219,),0),AE476/(1+IFERROR(INDEX(AE$10:AE$11,Предпосылки!$I$220,),0))*IFERROR(INDEX(AE$10:AE$11,Предпосылки!$I$220,),0))</f>
        <v>0</v>
      </c>
      <c s="125">
        <f>SUM(AF39/(1+IFERROR(INDEX(AF$10:AF$11,Предпосылки!$I$201,),0))*IFERROR(INDEX(AF$10:AF$11,Предпосылки!$I$201,),0),AF62/(1+IFERROR(INDEX(AF$10:AF$11,Предпосылки!$I$202,),0))*IFERROR(INDEX(AF$10:AF$11,Предпосылки!$I$202,),0),AF85/(1+IFERROR(INDEX(AF$10:AF$11,Предпосылки!$I$203,),0))*IFERROR(INDEX(AF$10:AF$11,Предпосылки!$I$203,),0),AF108/(1+IFERROR(INDEX(AF$10:AF$11,Предпосылки!$I$204,),0))*IFERROR(INDEX(AF$10:AF$11,Предпосылки!$I$204,),0),AF131/(1+IFERROR(INDEX(AF$10:AF$11,Предпосылки!$I$205,),0))*IFERROR(INDEX(AF$10:AF$11,Предпосылки!$I$205,),0),AF154/(1+IFERROR(INDEX(AF$10:AF$11,Предпосылки!$I$206,),0))*IFERROR(INDEX(AF$10:AF$11,Предпосылки!$I$206,),0),AF177/(1+IFERROR(INDEX(AF$10:AF$11,Предпосылки!$I$207,),0))*IFERROR(INDEX(AF$10:AF$11,Предпосылки!$I$207,),0),AF200/(1+IFERROR(INDEX(AF$10:AF$11,Предпосылки!$I$208,),0))*IFERROR(INDEX(AF$10:AF$11,Предпосылки!$I$208,),0),AF223/(1+IFERROR(INDEX(AF$10:AF$11,Предпосылки!$I$209,),0))*IFERROR(INDEX(AF$10:AF$11,Предпосылки!$I$209,),0),AF246/(1+IFERROR(INDEX(AF$10:AF$11,Предпосылки!$I$210,),0))*IFERROR(INDEX(AF$10:AF$11,Предпосылки!$I$210,),0),AF269/(1+IFERROR(INDEX(AF$10:AF$11,Предпосылки!$I$211,),0))*IFERROR(INDEX(AF$10:AF$11,Предпосылки!$I$211,),0),AF292/(1+IFERROR(INDEX(AF$10:AF$11,Предпосылки!$I$212,),0))*IFERROR(INDEX(AF$10:AF$11,Предпосылки!$I$212,),0),AF315/(1+IFERROR(INDEX(AF$10:AF$11,Предпосылки!$I$213,),0))*IFERROR(INDEX(AF$10:AF$11,Предпосылки!$I$213,),0),AF338/(1+IFERROR(INDEX(AF$10:AF$11,Предпосылки!$I$214,),0))*IFERROR(INDEX(AF$10:AF$11,Предпосылки!$I$214,),0),AF361/(1+IFERROR(INDEX(AF$10:AF$11,Предпосылки!$I$215,),0))*IFERROR(INDEX(AF$10:AF$11,Предпосылки!$I$215,),0),AF384/(1+IFERROR(INDEX(AF$10:AF$11,Предпосылки!$I$216,),0))*IFERROR(INDEX(AF$10:AF$11,Предпосылки!$I$216,),0),AF407/(1+IFERROR(INDEX(AF$10:AF$11,Предпосылки!$I$217,),0))*IFERROR(INDEX(AF$10:AF$11,Предпосылки!$I$217,),0),AF430/(1+IFERROR(INDEX(AF$10:AF$11,Предпосылки!$I$218,),0))*IFERROR(INDEX(AF$10:AF$11,Предпосылки!$I$218,),0),AF453/(1+IFERROR(INDEX(AF$10:AF$11,Предпосылки!$I$219,),0))*IFERROR(INDEX(AF$10:AF$11,Предпосылки!$I$219,),0),AF476/(1+IFERROR(INDEX(AF$10:AF$11,Предпосылки!$I$220,),0))*IFERROR(INDEX(AF$10:AF$11,Предпосылки!$I$220,),0))</f>
        <v>0</v>
      </c>
      <c s="125">
        <f>SUM(AG39/(1+IFERROR(INDEX(AG$10:AG$11,Предпосылки!$I$201,),0))*IFERROR(INDEX(AG$10:AG$11,Предпосылки!$I$201,),0),AG62/(1+IFERROR(INDEX(AG$10:AG$11,Предпосылки!$I$202,),0))*IFERROR(INDEX(AG$10:AG$11,Предпосылки!$I$202,),0),AG85/(1+IFERROR(INDEX(AG$10:AG$11,Предпосылки!$I$203,),0))*IFERROR(INDEX(AG$10:AG$11,Предпосылки!$I$203,),0),AG108/(1+IFERROR(INDEX(AG$10:AG$11,Предпосылки!$I$204,),0))*IFERROR(INDEX(AG$10:AG$11,Предпосылки!$I$204,),0),AG131/(1+IFERROR(INDEX(AG$10:AG$11,Предпосылки!$I$205,),0))*IFERROR(INDEX(AG$10:AG$11,Предпосылки!$I$205,),0),AG154/(1+IFERROR(INDEX(AG$10:AG$11,Предпосылки!$I$206,),0))*IFERROR(INDEX(AG$10:AG$11,Предпосылки!$I$206,),0),AG177/(1+IFERROR(INDEX(AG$10:AG$11,Предпосылки!$I$207,),0))*IFERROR(INDEX(AG$10:AG$11,Предпосылки!$I$207,),0),AG200/(1+IFERROR(INDEX(AG$10:AG$11,Предпосылки!$I$208,),0))*IFERROR(INDEX(AG$10:AG$11,Предпосылки!$I$208,),0),AG223/(1+IFERROR(INDEX(AG$10:AG$11,Предпосылки!$I$209,),0))*IFERROR(INDEX(AG$10:AG$11,Предпосылки!$I$209,),0),AG246/(1+IFERROR(INDEX(AG$10:AG$11,Предпосылки!$I$210,),0))*IFERROR(INDEX(AG$10:AG$11,Предпосылки!$I$210,),0),AG269/(1+IFERROR(INDEX(AG$10:AG$11,Предпосылки!$I$211,),0))*IFERROR(INDEX(AG$10:AG$11,Предпосылки!$I$211,),0),AG292/(1+IFERROR(INDEX(AG$10:AG$11,Предпосылки!$I$212,),0))*IFERROR(INDEX(AG$10:AG$11,Предпосылки!$I$212,),0),AG315/(1+IFERROR(INDEX(AG$10:AG$11,Предпосылки!$I$213,),0))*IFERROR(INDEX(AG$10:AG$11,Предпосылки!$I$213,),0),AG338/(1+IFERROR(INDEX(AG$10:AG$11,Предпосылки!$I$214,),0))*IFERROR(INDEX(AG$10:AG$11,Предпосылки!$I$214,),0),AG361/(1+IFERROR(INDEX(AG$10:AG$11,Предпосылки!$I$215,),0))*IFERROR(INDEX(AG$10:AG$11,Предпосылки!$I$215,),0),AG384/(1+IFERROR(INDEX(AG$10:AG$11,Предпосылки!$I$216,),0))*IFERROR(INDEX(AG$10:AG$11,Предпосылки!$I$216,),0),AG407/(1+IFERROR(INDEX(AG$10:AG$11,Предпосылки!$I$217,),0))*IFERROR(INDEX(AG$10:AG$11,Предпосылки!$I$217,),0),AG430/(1+IFERROR(INDEX(AG$10:AG$11,Предпосылки!$I$218,),0))*IFERROR(INDEX(AG$10:AG$11,Предпосылки!$I$218,),0),AG453/(1+IFERROR(INDEX(AG$10:AG$11,Предпосылки!$I$219,),0))*IFERROR(INDEX(AG$10:AG$11,Предпосылки!$I$219,),0),AG476/(1+IFERROR(INDEX(AG$10:AG$11,Предпосылки!$I$220,),0))*IFERROR(INDEX(AG$10:AG$11,Предпосылки!$I$220,),0))</f>
        <v>0</v>
      </c>
      <c s="125">
        <f>SUM(AH39/(1+IFERROR(INDEX(AH$10:AH$11,Предпосылки!$I$201,),0))*IFERROR(INDEX(AH$10:AH$11,Предпосылки!$I$201,),0),AH62/(1+IFERROR(INDEX(AH$10:AH$11,Предпосылки!$I$202,),0))*IFERROR(INDEX(AH$10:AH$11,Предпосылки!$I$202,),0),AH85/(1+IFERROR(INDEX(AH$10:AH$11,Предпосылки!$I$203,),0))*IFERROR(INDEX(AH$10:AH$11,Предпосылки!$I$203,),0),AH108/(1+IFERROR(INDEX(AH$10:AH$11,Предпосылки!$I$204,),0))*IFERROR(INDEX(AH$10:AH$11,Предпосылки!$I$204,),0),AH131/(1+IFERROR(INDEX(AH$10:AH$11,Предпосылки!$I$205,),0))*IFERROR(INDEX(AH$10:AH$11,Предпосылки!$I$205,),0),AH154/(1+IFERROR(INDEX(AH$10:AH$11,Предпосылки!$I$206,),0))*IFERROR(INDEX(AH$10:AH$11,Предпосылки!$I$206,),0),AH177/(1+IFERROR(INDEX(AH$10:AH$11,Предпосылки!$I$207,),0))*IFERROR(INDEX(AH$10:AH$11,Предпосылки!$I$207,),0),AH200/(1+IFERROR(INDEX(AH$10:AH$11,Предпосылки!$I$208,),0))*IFERROR(INDEX(AH$10:AH$11,Предпосылки!$I$208,),0),AH223/(1+IFERROR(INDEX(AH$10:AH$11,Предпосылки!$I$209,),0))*IFERROR(INDEX(AH$10:AH$11,Предпосылки!$I$209,),0),AH246/(1+IFERROR(INDEX(AH$10:AH$11,Предпосылки!$I$210,),0))*IFERROR(INDEX(AH$10:AH$11,Предпосылки!$I$210,),0),AH269/(1+IFERROR(INDEX(AH$10:AH$11,Предпосылки!$I$211,),0))*IFERROR(INDEX(AH$10:AH$11,Предпосылки!$I$211,),0),AH292/(1+IFERROR(INDEX(AH$10:AH$11,Предпосылки!$I$212,),0))*IFERROR(INDEX(AH$10:AH$11,Предпосылки!$I$212,),0),AH315/(1+IFERROR(INDEX(AH$10:AH$11,Предпосылки!$I$213,),0))*IFERROR(INDEX(AH$10:AH$11,Предпосылки!$I$213,),0),AH338/(1+IFERROR(INDEX(AH$10:AH$11,Предпосылки!$I$214,),0))*IFERROR(INDEX(AH$10:AH$11,Предпосылки!$I$214,),0),AH361/(1+IFERROR(INDEX(AH$10:AH$11,Предпосылки!$I$215,),0))*IFERROR(INDEX(AH$10:AH$11,Предпосылки!$I$215,),0),AH384/(1+IFERROR(INDEX(AH$10:AH$11,Предпосылки!$I$216,),0))*IFERROR(INDEX(AH$10:AH$11,Предпосылки!$I$216,),0),AH407/(1+IFERROR(INDEX(AH$10:AH$11,Предпосылки!$I$217,),0))*IFERROR(INDEX(AH$10:AH$11,Предпосылки!$I$217,),0),AH430/(1+IFERROR(INDEX(AH$10:AH$11,Предпосылки!$I$218,),0))*IFERROR(INDEX(AH$10:AH$11,Предпосылки!$I$218,),0),AH453/(1+IFERROR(INDEX(AH$10:AH$11,Предпосылки!$I$219,),0))*IFERROR(INDEX(AH$10:AH$11,Предпосылки!$I$219,),0),AH476/(1+IFERROR(INDEX(AH$10:AH$11,Предпосылки!$I$220,),0))*IFERROR(INDEX(AH$10:AH$11,Предпосылки!$I$220,),0))</f>
        <v>0</v>
      </c>
      <c s="125">
        <f>SUM(AI39/(1+IFERROR(INDEX(AI$10:AI$11,Предпосылки!$I$201,),0))*IFERROR(INDEX(AI$10:AI$11,Предпосылки!$I$201,),0),AI62/(1+IFERROR(INDEX(AI$10:AI$11,Предпосылки!$I$202,),0))*IFERROR(INDEX(AI$10:AI$11,Предпосылки!$I$202,),0),AI85/(1+IFERROR(INDEX(AI$10:AI$11,Предпосылки!$I$203,),0))*IFERROR(INDEX(AI$10:AI$11,Предпосылки!$I$203,),0),AI108/(1+IFERROR(INDEX(AI$10:AI$11,Предпосылки!$I$204,),0))*IFERROR(INDEX(AI$10:AI$11,Предпосылки!$I$204,),0),AI131/(1+IFERROR(INDEX(AI$10:AI$11,Предпосылки!$I$205,),0))*IFERROR(INDEX(AI$10:AI$11,Предпосылки!$I$205,),0),AI154/(1+IFERROR(INDEX(AI$10:AI$11,Предпосылки!$I$206,),0))*IFERROR(INDEX(AI$10:AI$11,Предпосылки!$I$206,),0),AI177/(1+IFERROR(INDEX(AI$10:AI$11,Предпосылки!$I$207,),0))*IFERROR(INDEX(AI$10:AI$11,Предпосылки!$I$207,),0),AI200/(1+IFERROR(INDEX(AI$10:AI$11,Предпосылки!$I$208,),0))*IFERROR(INDEX(AI$10:AI$11,Предпосылки!$I$208,),0),AI223/(1+IFERROR(INDEX(AI$10:AI$11,Предпосылки!$I$209,),0))*IFERROR(INDEX(AI$10:AI$11,Предпосылки!$I$209,),0),AI246/(1+IFERROR(INDEX(AI$10:AI$11,Предпосылки!$I$210,),0))*IFERROR(INDEX(AI$10:AI$11,Предпосылки!$I$210,),0),AI269/(1+IFERROR(INDEX(AI$10:AI$11,Предпосылки!$I$211,),0))*IFERROR(INDEX(AI$10:AI$11,Предпосылки!$I$211,),0),AI292/(1+IFERROR(INDEX(AI$10:AI$11,Предпосылки!$I$212,),0))*IFERROR(INDEX(AI$10:AI$11,Предпосылки!$I$212,),0),AI315/(1+IFERROR(INDEX(AI$10:AI$11,Предпосылки!$I$213,),0))*IFERROR(INDEX(AI$10:AI$11,Предпосылки!$I$213,),0),AI338/(1+IFERROR(INDEX(AI$10:AI$11,Предпосылки!$I$214,),0))*IFERROR(INDEX(AI$10:AI$11,Предпосылки!$I$214,),0),AI361/(1+IFERROR(INDEX(AI$10:AI$11,Предпосылки!$I$215,),0))*IFERROR(INDEX(AI$10:AI$11,Предпосылки!$I$215,),0),AI384/(1+IFERROR(INDEX(AI$10:AI$11,Предпосылки!$I$216,),0))*IFERROR(INDEX(AI$10:AI$11,Предпосылки!$I$216,),0),AI407/(1+IFERROR(INDEX(AI$10:AI$11,Предпосылки!$I$217,),0))*IFERROR(INDEX(AI$10:AI$11,Предпосылки!$I$217,),0),AI430/(1+IFERROR(INDEX(AI$10:AI$11,Предпосылки!$I$218,),0))*IFERROR(INDEX(AI$10:AI$11,Предпосылки!$I$218,),0),AI453/(1+IFERROR(INDEX(AI$10:AI$11,Предпосылки!$I$219,),0))*IFERROR(INDEX(AI$10:AI$11,Предпосылки!$I$219,),0),AI476/(1+IFERROR(INDEX(AI$10:AI$11,Предпосылки!$I$220,),0))*IFERROR(INDEX(AI$10:AI$11,Предпосылки!$I$220,),0))</f>
        <v>0</v>
      </c>
      <c s="125">
        <f>SUM(AJ39/(1+IFERROR(INDEX(AJ$10:AJ$11,Предпосылки!$I$201,),0))*IFERROR(INDEX(AJ$10:AJ$11,Предпосылки!$I$201,),0),AJ62/(1+IFERROR(INDEX(AJ$10:AJ$11,Предпосылки!$I$202,),0))*IFERROR(INDEX(AJ$10:AJ$11,Предпосылки!$I$202,),0),AJ85/(1+IFERROR(INDEX(AJ$10:AJ$11,Предпосылки!$I$203,),0))*IFERROR(INDEX(AJ$10:AJ$11,Предпосылки!$I$203,),0),AJ108/(1+IFERROR(INDEX(AJ$10:AJ$11,Предпосылки!$I$204,),0))*IFERROR(INDEX(AJ$10:AJ$11,Предпосылки!$I$204,),0),AJ131/(1+IFERROR(INDEX(AJ$10:AJ$11,Предпосылки!$I$205,),0))*IFERROR(INDEX(AJ$10:AJ$11,Предпосылки!$I$205,),0),AJ154/(1+IFERROR(INDEX(AJ$10:AJ$11,Предпосылки!$I$206,),0))*IFERROR(INDEX(AJ$10:AJ$11,Предпосылки!$I$206,),0),AJ177/(1+IFERROR(INDEX(AJ$10:AJ$11,Предпосылки!$I$207,),0))*IFERROR(INDEX(AJ$10:AJ$11,Предпосылки!$I$207,),0),AJ200/(1+IFERROR(INDEX(AJ$10:AJ$11,Предпосылки!$I$208,),0))*IFERROR(INDEX(AJ$10:AJ$11,Предпосылки!$I$208,),0),AJ223/(1+IFERROR(INDEX(AJ$10:AJ$11,Предпосылки!$I$209,),0))*IFERROR(INDEX(AJ$10:AJ$11,Предпосылки!$I$209,),0),AJ246/(1+IFERROR(INDEX(AJ$10:AJ$11,Предпосылки!$I$210,),0))*IFERROR(INDEX(AJ$10:AJ$11,Предпосылки!$I$210,),0),AJ269/(1+IFERROR(INDEX(AJ$10:AJ$11,Предпосылки!$I$211,),0))*IFERROR(INDEX(AJ$10:AJ$11,Предпосылки!$I$211,),0),AJ292/(1+IFERROR(INDEX(AJ$10:AJ$11,Предпосылки!$I$212,),0))*IFERROR(INDEX(AJ$10:AJ$11,Предпосылки!$I$212,),0),AJ315/(1+IFERROR(INDEX(AJ$10:AJ$11,Предпосылки!$I$213,),0))*IFERROR(INDEX(AJ$10:AJ$11,Предпосылки!$I$213,),0),AJ338/(1+IFERROR(INDEX(AJ$10:AJ$11,Предпосылки!$I$214,),0))*IFERROR(INDEX(AJ$10:AJ$11,Предпосылки!$I$214,),0),AJ361/(1+IFERROR(INDEX(AJ$10:AJ$11,Предпосылки!$I$215,),0))*IFERROR(INDEX(AJ$10:AJ$11,Предпосылки!$I$215,),0),AJ384/(1+IFERROR(INDEX(AJ$10:AJ$11,Предпосылки!$I$216,),0))*IFERROR(INDEX(AJ$10:AJ$11,Предпосылки!$I$216,),0),AJ407/(1+IFERROR(INDEX(AJ$10:AJ$11,Предпосылки!$I$217,),0))*IFERROR(INDEX(AJ$10:AJ$11,Предпосылки!$I$217,),0),AJ430/(1+IFERROR(INDEX(AJ$10:AJ$11,Предпосылки!$I$218,),0))*IFERROR(INDEX(AJ$10:AJ$11,Предпосылки!$I$218,),0),AJ453/(1+IFERROR(INDEX(AJ$10:AJ$11,Предпосылки!$I$219,),0))*IFERROR(INDEX(AJ$10:AJ$11,Предпосылки!$I$219,),0),AJ476/(1+IFERROR(INDEX(AJ$10:AJ$11,Предпосылки!$I$220,),0))*IFERROR(INDEX(AJ$10:AJ$11,Предпосылки!$I$220,),0))</f>
        <v>0</v>
      </c>
      <c s="125">
        <f>SUM(AK39/(1+IFERROR(INDEX(AK$10:AK$11,Предпосылки!$I$201,),0))*IFERROR(INDEX(AK$10:AK$11,Предпосылки!$I$201,),0),AK62/(1+IFERROR(INDEX(AK$10:AK$11,Предпосылки!$I$202,),0))*IFERROR(INDEX(AK$10:AK$11,Предпосылки!$I$202,),0),AK85/(1+IFERROR(INDEX(AK$10:AK$11,Предпосылки!$I$203,),0))*IFERROR(INDEX(AK$10:AK$11,Предпосылки!$I$203,),0),AK108/(1+IFERROR(INDEX(AK$10:AK$11,Предпосылки!$I$204,),0))*IFERROR(INDEX(AK$10:AK$11,Предпосылки!$I$204,),0),AK131/(1+IFERROR(INDEX(AK$10:AK$11,Предпосылки!$I$205,),0))*IFERROR(INDEX(AK$10:AK$11,Предпосылки!$I$205,),0),AK154/(1+IFERROR(INDEX(AK$10:AK$11,Предпосылки!$I$206,),0))*IFERROR(INDEX(AK$10:AK$11,Предпосылки!$I$206,),0),AK177/(1+IFERROR(INDEX(AK$10:AK$11,Предпосылки!$I$207,),0))*IFERROR(INDEX(AK$10:AK$11,Предпосылки!$I$207,),0),AK200/(1+IFERROR(INDEX(AK$10:AK$11,Предпосылки!$I$208,),0))*IFERROR(INDEX(AK$10:AK$11,Предпосылки!$I$208,),0),AK223/(1+IFERROR(INDEX(AK$10:AK$11,Предпосылки!$I$209,),0))*IFERROR(INDEX(AK$10:AK$11,Предпосылки!$I$209,),0),AK246/(1+IFERROR(INDEX(AK$10:AK$11,Предпосылки!$I$210,),0))*IFERROR(INDEX(AK$10:AK$11,Предпосылки!$I$210,),0),AK269/(1+IFERROR(INDEX(AK$10:AK$11,Предпосылки!$I$211,),0))*IFERROR(INDEX(AK$10:AK$11,Предпосылки!$I$211,),0),AK292/(1+IFERROR(INDEX(AK$10:AK$11,Предпосылки!$I$212,),0))*IFERROR(INDEX(AK$10:AK$11,Предпосылки!$I$212,),0),AK315/(1+IFERROR(INDEX(AK$10:AK$11,Предпосылки!$I$213,),0))*IFERROR(INDEX(AK$10:AK$11,Предпосылки!$I$213,),0),AK338/(1+IFERROR(INDEX(AK$10:AK$11,Предпосылки!$I$214,),0))*IFERROR(INDEX(AK$10:AK$11,Предпосылки!$I$214,),0),AK361/(1+IFERROR(INDEX(AK$10:AK$11,Предпосылки!$I$215,),0))*IFERROR(INDEX(AK$10:AK$11,Предпосылки!$I$215,),0),AK384/(1+IFERROR(INDEX(AK$10:AK$11,Предпосылки!$I$216,),0))*IFERROR(INDEX(AK$10:AK$11,Предпосылки!$I$216,),0),AK407/(1+IFERROR(INDEX(AK$10:AK$11,Предпосылки!$I$217,),0))*IFERROR(INDEX(AK$10:AK$11,Предпосылки!$I$217,),0),AK430/(1+IFERROR(INDEX(AK$10:AK$11,Предпосылки!$I$218,),0))*IFERROR(INDEX(AK$10:AK$11,Предпосылки!$I$218,),0),AK453/(1+IFERROR(INDEX(AK$10:AK$11,Предпосылки!$I$219,),0))*IFERROR(INDEX(AK$10:AK$11,Предпосылки!$I$219,),0),AK476/(1+IFERROR(INDEX(AK$10:AK$11,Предпосылки!$I$220,),0))*IFERROR(INDEX(AK$10:AK$11,Предпосылки!$I$220,),0))</f>
        <v>0</v>
      </c>
      <c s="125">
        <f>SUM(AL39/(1+IFERROR(INDEX(AL$10:AL$11,Предпосылки!$I$201,),0))*IFERROR(INDEX(AL$10:AL$11,Предпосылки!$I$201,),0),AL62/(1+IFERROR(INDEX(AL$10:AL$11,Предпосылки!$I$202,),0))*IFERROR(INDEX(AL$10:AL$11,Предпосылки!$I$202,),0),AL85/(1+IFERROR(INDEX(AL$10:AL$11,Предпосылки!$I$203,),0))*IFERROR(INDEX(AL$10:AL$11,Предпосылки!$I$203,),0),AL108/(1+IFERROR(INDEX(AL$10:AL$11,Предпосылки!$I$204,),0))*IFERROR(INDEX(AL$10:AL$11,Предпосылки!$I$204,),0),AL131/(1+IFERROR(INDEX(AL$10:AL$11,Предпосылки!$I$205,),0))*IFERROR(INDEX(AL$10:AL$11,Предпосылки!$I$205,),0),AL154/(1+IFERROR(INDEX(AL$10:AL$11,Предпосылки!$I$206,),0))*IFERROR(INDEX(AL$10:AL$11,Предпосылки!$I$206,),0),AL177/(1+IFERROR(INDEX(AL$10:AL$11,Предпосылки!$I$207,),0))*IFERROR(INDEX(AL$10:AL$11,Предпосылки!$I$207,),0),AL200/(1+IFERROR(INDEX(AL$10:AL$11,Предпосылки!$I$208,),0))*IFERROR(INDEX(AL$10:AL$11,Предпосылки!$I$208,),0),AL223/(1+IFERROR(INDEX(AL$10:AL$11,Предпосылки!$I$209,),0))*IFERROR(INDEX(AL$10:AL$11,Предпосылки!$I$209,),0),AL246/(1+IFERROR(INDEX(AL$10:AL$11,Предпосылки!$I$210,),0))*IFERROR(INDEX(AL$10:AL$11,Предпосылки!$I$210,),0),AL269/(1+IFERROR(INDEX(AL$10:AL$11,Предпосылки!$I$211,),0))*IFERROR(INDEX(AL$10:AL$11,Предпосылки!$I$211,),0),AL292/(1+IFERROR(INDEX(AL$10:AL$11,Предпосылки!$I$212,),0))*IFERROR(INDEX(AL$10:AL$11,Предпосылки!$I$212,),0),AL315/(1+IFERROR(INDEX(AL$10:AL$11,Предпосылки!$I$213,),0))*IFERROR(INDEX(AL$10:AL$11,Предпосылки!$I$213,),0),AL338/(1+IFERROR(INDEX(AL$10:AL$11,Предпосылки!$I$214,),0))*IFERROR(INDEX(AL$10:AL$11,Предпосылки!$I$214,),0),AL361/(1+IFERROR(INDEX(AL$10:AL$11,Предпосылки!$I$215,),0))*IFERROR(INDEX(AL$10:AL$11,Предпосылки!$I$215,),0),AL384/(1+IFERROR(INDEX(AL$10:AL$11,Предпосылки!$I$216,),0))*IFERROR(INDEX(AL$10:AL$11,Предпосылки!$I$216,),0),AL407/(1+IFERROR(INDEX(AL$10:AL$11,Предпосылки!$I$217,),0))*IFERROR(INDEX(AL$10:AL$11,Предпосылки!$I$217,),0),AL430/(1+IFERROR(INDEX(AL$10:AL$11,Предпосылки!$I$218,),0))*IFERROR(INDEX(AL$10:AL$11,Предпосылки!$I$218,),0),AL453/(1+IFERROR(INDEX(AL$10:AL$11,Предпосылки!$I$219,),0))*IFERROR(INDEX(AL$10:AL$11,Предпосылки!$I$219,),0),AL476/(1+IFERROR(INDEX(AL$10:AL$11,Предпосылки!$I$220,),0))*IFERROR(INDEX(AL$10:AL$11,Предпосылки!$I$220,),0))</f>
        <v>0</v>
      </c>
      <c s="125">
        <f>SUM(AM39/(1+IFERROR(INDEX(AM$10:AM$11,Предпосылки!$I$201,),0))*IFERROR(INDEX(AM$10:AM$11,Предпосылки!$I$201,),0),AM62/(1+IFERROR(INDEX(AM$10:AM$11,Предпосылки!$I$202,),0))*IFERROR(INDEX(AM$10:AM$11,Предпосылки!$I$202,),0),AM85/(1+IFERROR(INDEX(AM$10:AM$11,Предпосылки!$I$203,),0))*IFERROR(INDEX(AM$10:AM$11,Предпосылки!$I$203,),0),AM108/(1+IFERROR(INDEX(AM$10:AM$11,Предпосылки!$I$204,),0))*IFERROR(INDEX(AM$10:AM$11,Предпосылки!$I$204,),0),AM131/(1+IFERROR(INDEX(AM$10:AM$11,Предпосылки!$I$205,),0))*IFERROR(INDEX(AM$10:AM$11,Предпосылки!$I$205,),0),AM154/(1+IFERROR(INDEX(AM$10:AM$11,Предпосылки!$I$206,),0))*IFERROR(INDEX(AM$10:AM$11,Предпосылки!$I$206,),0),AM177/(1+IFERROR(INDEX(AM$10:AM$11,Предпосылки!$I$207,),0))*IFERROR(INDEX(AM$10:AM$11,Предпосылки!$I$207,),0),AM200/(1+IFERROR(INDEX(AM$10:AM$11,Предпосылки!$I$208,),0))*IFERROR(INDEX(AM$10:AM$11,Предпосылки!$I$208,),0),AM223/(1+IFERROR(INDEX(AM$10:AM$11,Предпосылки!$I$209,),0))*IFERROR(INDEX(AM$10:AM$11,Предпосылки!$I$209,),0),AM246/(1+IFERROR(INDEX(AM$10:AM$11,Предпосылки!$I$210,),0))*IFERROR(INDEX(AM$10:AM$11,Предпосылки!$I$210,),0),AM269/(1+IFERROR(INDEX(AM$10:AM$11,Предпосылки!$I$211,),0))*IFERROR(INDEX(AM$10:AM$11,Предпосылки!$I$211,),0),AM292/(1+IFERROR(INDEX(AM$10:AM$11,Предпосылки!$I$212,),0))*IFERROR(INDEX(AM$10:AM$11,Предпосылки!$I$212,),0),AM315/(1+IFERROR(INDEX(AM$10:AM$11,Предпосылки!$I$213,),0))*IFERROR(INDEX(AM$10:AM$11,Предпосылки!$I$213,),0),AM338/(1+IFERROR(INDEX(AM$10:AM$11,Предпосылки!$I$214,),0))*IFERROR(INDEX(AM$10:AM$11,Предпосылки!$I$214,),0),AM361/(1+IFERROR(INDEX(AM$10:AM$11,Предпосылки!$I$215,),0))*IFERROR(INDEX(AM$10:AM$11,Предпосылки!$I$215,),0),AM384/(1+IFERROR(INDEX(AM$10:AM$11,Предпосылки!$I$216,),0))*IFERROR(INDEX(AM$10:AM$11,Предпосылки!$I$216,),0),AM407/(1+IFERROR(INDEX(AM$10:AM$11,Предпосылки!$I$217,),0))*IFERROR(INDEX(AM$10:AM$11,Предпосылки!$I$217,),0),AM430/(1+IFERROR(INDEX(AM$10:AM$11,Предпосылки!$I$218,),0))*IFERROR(INDEX(AM$10:AM$11,Предпосылки!$I$218,),0),AM453/(1+IFERROR(INDEX(AM$10:AM$11,Предпосылки!$I$219,),0))*IFERROR(INDEX(AM$10:AM$11,Предпосылки!$I$219,),0),AM476/(1+IFERROR(INDEX(AM$10:AM$11,Предпосылки!$I$220,),0))*IFERROR(INDEX(AM$10:AM$11,Предпосылки!$I$220,),0))</f>
        <v>0</v>
      </c>
      <c s="125">
        <f>SUM(AN39/(1+IFERROR(INDEX(AN$10:AN$11,Предпосылки!$I$201,),0))*IFERROR(INDEX(AN$10:AN$11,Предпосылки!$I$201,),0),AN62/(1+IFERROR(INDEX(AN$10:AN$11,Предпосылки!$I$202,),0))*IFERROR(INDEX(AN$10:AN$11,Предпосылки!$I$202,),0),AN85/(1+IFERROR(INDEX(AN$10:AN$11,Предпосылки!$I$203,),0))*IFERROR(INDEX(AN$10:AN$11,Предпосылки!$I$203,),0),AN108/(1+IFERROR(INDEX(AN$10:AN$11,Предпосылки!$I$204,),0))*IFERROR(INDEX(AN$10:AN$11,Предпосылки!$I$204,),0),AN131/(1+IFERROR(INDEX(AN$10:AN$11,Предпосылки!$I$205,),0))*IFERROR(INDEX(AN$10:AN$11,Предпосылки!$I$205,),0),AN154/(1+IFERROR(INDEX(AN$10:AN$11,Предпосылки!$I$206,),0))*IFERROR(INDEX(AN$10:AN$11,Предпосылки!$I$206,),0),AN177/(1+IFERROR(INDEX(AN$10:AN$11,Предпосылки!$I$207,),0))*IFERROR(INDEX(AN$10:AN$11,Предпосылки!$I$207,),0),AN200/(1+IFERROR(INDEX(AN$10:AN$11,Предпосылки!$I$208,),0))*IFERROR(INDEX(AN$10:AN$11,Предпосылки!$I$208,),0),AN223/(1+IFERROR(INDEX(AN$10:AN$11,Предпосылки!$I$209,),0))*IFERROR(INDEX(AN$10:AN$11,Предпосылки!$I$209,),0),AN246/(1+IFERROR(INDEX(AN$10:AN$11,Предпосылки!$I$210,),0))*IFERROR(INDEX(AN$10:AN$11,Предпосылки!$I$210,),0),AN269/(1+IFERROR(INDEX(AN$10:AN$11,Предпосылки!$I$211,),0))*IFERROR(INDEX(AN$10:AN$11,Предпосылки!$I$211,),0),AN292/(1+IFERROR(INDEX(AN$10:AN$11,Предпосылки!$I$212,),0))*IFERROR(INDEX(AN$10:AN$11,Предпосылки!$I$212,),0),AN315/(1+IFERROR(INDEX(AN$10:AN$11,Предпосылки!$I$213,),0))*IFERROR(INDEX(AN$10:AN$11,Предпосылки!$I$213,),0),AN338/(1+IFERROR(INDEX(AN$10:AN$11,Предпосылки!$I$214,),0))*IFERROR(INDEX(AN$10:AN$11,Предпосылки!$I$214,),0),AN361/(1+IFERROR(INDEX(AN$10:AN$11,Предпосылки!$I$215,),0))*IFERROR(INDEX(AN$10:AN$11,Предпосылки!$I$215,),0),AN384/(1+IFERROR(INDEX(AN$10:AN$11,Предпосылки!$I$216,),0))*IFERROR(INDEX(AN$10:AN$11,Предпосылки!$I$216,),0),AN407/(1+IFERROR(INDEX(AN$10:AN$11,Предпосылки!$I$217,),0))*IFERROR(INDEX(AN$10:AN$11,Предпосылки!$I$217,),0),AN430/(1+IFERROR(INDEX(AN$10:AN$11,Предпосылки!$I$218,),0))*IFERROR(INDEX(AN$10:AN$11,Предпосылки!$I$218,),0),AN453/(1+IFERROR(INDEX(AN$10:AN$11,Предпосылки!$I$219,),0))*IFERROR(INDEX(AN$10:AN$11,Предпосылки!$I$219,),0),AN476/(1+IFERROR(INDEX(AN$10:AN$11,Предпосылки!$I$220,),0))*IFERROR(INDEX(AN$10:AN$11,Предпосылки!$I$220,),0))</f>
        <v>0</v>
      </c>
      <c s="125">
        <f>SUM(AO39/(1+IFERROR(INDEX(AO$10:AO$11,Предпосылки!$I$201,),0))*IFERROR(INDEX(AO$10:AO$11,Предпосылки!$I$201,),0),AO62/(1+IFERROR(INDEX(AO$10:AO$11,Предпосылки!$I$202,),0))*IFERROR(INDEX(AO$10:AO$11,Предпосылки!$I$202,),0),AO85/(1+IFERROR(INDEX(AO$10:AO$11,Предпосылки!$I$203,),0))*IFERROR(INDEX(AO$10:AO$11,Предпосылки!$I$203,),0),AO108/(1+IFERROR(INDEX(AO$10:AO$11,Предпосылки!$I$204,),0))*IFERROR(INDEX(AO$10:AO$11,Предпосылки!$I$204,),0),AO131/(1+IFERROR(INDEX(AO$10:AO$11,Предпосылки!$I$205,),0))*IFERROR(INDEX(AO$10:AO$11,Предпосылки!$I$205,),0),AO154/(1+IFERROR(INDEX(AO$10:AO$11,Предпосылки!$I$206,),0))*IFERROR(INDEX(AO$10:AO$11,Предпосылки!$I$206,),0),AO177/(1+IFERROR(INDEX(AO$10:AO$11,Предпосылки!$I$207,),0))*IFERROR(INDEX(AO$10:AO$11,Предпосылки!$I$207,),0),AO200/(1+IFERROR(INDEX(AO$10:AO$11,Предпосылки!$I$208,),0))*IFERROR(INDEX(AO$10:AO$11,Предпосылки!$I$208,),0),AO223/(1+IFERROR(INDEX(AO$10:AO$11,Предпосылки!$I$209,),0))*IFERROR(INDEX(AO$10:AO$11,Предпосылки!$I$209,),0),AO246/(1+IFERROR(INDEX(AO$10:AO$11,Предпосылки!$I$210,),0))*IFERROR(INDEX(AO$10:AO$11,Предпосылки!$I$210,),0),AO269/(1+IFERROR(INDEX(AO$10:AO$11,Предпосылки!$I$211,),0))*IFERROR(INDEX(AO$10:AO$11,Предпосылки!$I$211,),0),AO292/(1+IFERROR(INDEX(AO$10:AO$11,Предпосылки!$I$212,),0))*IFERROR(INDEX(AO$10:AO$11,Предпосылки!$I$212,),0),AO315/(1+IFERROR(INDEX(AO$10:AO$11,Предпосылки!$I$213,),0))*IFERROR(INDEX(AO$10:AO$11,Предпосылки!$I$213,),0),AO338/(1+IFERROR(INDEX(AO$10:AO$11,Предпосылки!$I$214,),0))*IFERROR(INDEX(AO$10:AO$11,Предпосылки!$I$214,),0),AO361/(1+IFERROR(INDEX(AO$10:AO$11,Предпосылки!$I$215,),0))*IFERROR(INDEX(AO$10:AO$11,Предпосылки!$I$215,),0),AO384/(1+IFERROR(INDEX(AO$10:AO$11,Предпосылки!$I$216,),0))*IFERROR(INDEX(AO$10:AO$11,Предпосылки!$I$216,),0),AO407/(1+IFERROR(INDEX(AO$10:AO$11,Предпосылки!$I$217,),0))*IFERROR(INDEX(AO$10:AO$11,Предпосылки!$I$217,),0),AO430/(1+IFERROR(INDEX(AO$10:AO$11,Предпосылки!$I$218,),0))*IFERROR(INDEX(AO$10:AO$11,Предпосылки!$I$218,),0),AO453/(1+IFERROR(INDEX(AO$10:AO$11,Предпосылки!$I$219,),0))*IFERROR(INDEX(AO$10:AO$11,Предпосылки!$I$219,),0),AO476/(1+IFERROR(INDEX(AO$10:AO$11,Предпосылки!$I$220,),0))*IFERROR(INDEX(AO$10:AO$11,Предпосылки!$I$220,),0))</f>
        <v>0</v>
      </c>
      <c s="125">
        <f>SUM(AP39/(1+IFERROR(INDEX(AP$10:AP$11,Предпосылки!$I$201,),0))*IFERROR(INDEX(AP$10:AP$11,Предпосылки!$I$201,),0),AP62/(1+IFERROR(INDEX(AP$10:AP$11,Предпосылки!$I$202,),0))*IFERROR(INDEX(AP$10:AP$11,Предпосылки!$I$202,),0),AP85/(1+IFERROR(INDEX(AP$10:AP$11,Предпосылки!$I$203,),0))*IFERROR(INDEX(AP$10:AP$11,Предпосылки!$I$203,),0),AP108/(1+IFERROR(INDEX(AP$10:AP$11,Предпосылки!$I$204,),0))*IFERROR(INDEX(AP$10:AP$11,Предпосылки!$I$204,),0),AP131/(1+IFERROR(INDEX(AP$10:AP$11,Предпосылки!$I$205,),0))*IFERROR(INDEX(AP$10:AP$11,Предпосылки!$I$205,),0),AP154/(1+IFERROR(INDEX(AP$10:AP$11,Предпосылки!$I$206,),0))*IFERROR(INDEX(AP$10:AP$11,Предпосылки!$I$206,),0),AP177/(1+IFERROR(INDEX(AP$10:AP$11,Предпосылки!$I$207,),0))*IFERROR(INDEX(AP$10:AP$11,Предпосылки!$I$207,),0),AP200/(1+IFERROR(INDEX(AP$10:AP$11,Предпосылки!$I$208,),0))*IFERROR(INDEX(AP$10:AP$11,Предпосылки!$I$208,),0),AP223/(1+IFERROR(INDEX(AP$10:AP$11,Предпосылки!$I$209,),0))*IFERROR(INDEX(AP$10:AP$11,Предпосылки!$I$209,),0),AP246/(1+IFERROR(INDEX(AP$10:AP$11,Предпосылки!$I$210,),0))*IFERROR(INDEX(AP$10:AP$11,Предпосылки!$I$210,),0),AP269/(1+IFERROR(INDEX(AP$10:AP$11,Предпосылки!$I$211,),0))*IFERROR(INDEX(AP$10:AP$11,Предпосылки!$I$211,),0),AP292/(1+IFERROR(INDEX(AP$10:AP$11,Предпосылки!$I$212,),0))*IFERROR(INDEX(AP$10:AP$11,Предпосылки!$I$212,),0),AP315/(1+IFERROR(INDEX(AP$10:AP$11,Предпосылки!$I$213,),0))*IFERROR(INDEX(AP$10:AP$11,Предпосылки!$I$213,),0),AP338/(1+IFERROR(INDEX(AP$10:AP$11,Предпосылки!$I$214,),0))*IFERROR(INDEX(AP$10:AP$11,Предпосылки!$I$214,),0),AP361/(1+IFERROR(INDEX(AP$10:AP$11,Предпосылки!$I$215,),0))*IFERROR(INDEX(AP$10:AP$11,Предпосылки!$I$215,),0),AP384/(1+IFERROR(INDEX(AP$10:AP$11,Предпосылки!$I$216,),0))*IFERROR(INDEX(AP$10:AP$11,Предпосылки!$I$216,),0),AP407/(1+IFERROR(INDEX(AP$10:AP$11,Предпосылки!$I$217,),0))*IFERROR(INDEX(AP$10:AP$11,Предпосылки!$I$217,),0),AP430/(1+IFERROR(INDEX(AP$10:AP$11,Предпосылки!$I$218,),0))*IFERROR(INDEX(AP$10:AP$11,Предпосылки!$I$218,),0),AP453/(1+IFERROR(INDEX(AP$10:AP$11,Предпосылки!$I$219,),0))*IFERROR(INDEX(AP$10:AP$11,Предпосылки!$I$219,),0),AP476/(1+IFERROR(INDEX(AP$10:AP$11,Предпосылки!$I$220,),0))*IFERROR(INDEX(AP$10:AP$11,Предпосылки!$I$220,),0))</f>
        <v>0</v>
      </c>
      <c s="125">
        <f>SUM(AQ39/(1+IFERROR(INDEX(AQ$10:AQ$11,Предпосылки!$I$201,),0))*IFERROR(INDEX(AQ$10:AQ$11,Предпосылки!$I$201,),0),AQ62/(1+IFERROR(INDEX(AQ$10:AQ$11,Предпосылки!$I$202,),0))*IFERROR(INDEX(AQ$10:AQ$11,Предпосылки!$I$202,),0),AQ85/(1+IFERROR(INDEX(AQ$10:AQ$11,Предпосылки!$I$203,),0))*IFERROR(INDEX(AQ$10:AQ$11,Предпосылки!$I$203,),0),AQ108/(1+IFERROR(INDEX(AQ$10:AQ$11,Предпосылки!$I$204,),0))*IFERROR(INDEX(AQ$10:AQ$11,Предпосылки!$I$204,),0),AQ131/(1+IFERROR(INDEX(AQ$10:AQ$11,Предпосылки!$I$205,),0))*IFERROR(INDEX(AQ$10:AQ$11,Предпосылки!$I$205,),0),AQ154/(1+IFERROR(INDEX(AQ$10:AQ$11,Предпосылки!$I$206,),0))*IFERROR(INDEX(AQ$10:AQ$11,Предпосылки!$I$206,),0),AQ177/(1+IFERROR(INDEX(AQ$10:AQ$11,Предпосылки!$I$207,),0))*IFERROR(INDEX(AQ$10:AQ$11,Предпосылки!$I$207,),0),AQ200/(1+IFERROR(INDEX(AQ$10:AQ$11,Предпосылки!$I$208,),0))*IFERROR(INDEX(AQ$10:AQ$11,Предпосылки!$I$208,),0),AQ223/(1+IFERROR(INDEX(AQ$10:AQ$11,Предпосылки!$I$209,),0))*IFERROR(INDEX(AQ$10:AQ$11,Предпосылки!$I$209,),0),AQ246/(1+IFERROR(INDEX(AQ$10:AQ$11,Предпосылки!$I$210,),0))*IFERROR(INDEX(AQ$10:AQ$11,Предпосылки!$I$210,),0),AQ269/(1+IFERROR(INDEX(AQ$10:AQ$11,Предпосылки!$I$211,),0))*IFERROR(INDEX(AQ$10:AQ$11,Предпосылки!$I$211,),0),AQ292/(1+IFERROR(INDEX(AQ$10:AQ$11,Предпосылки!$I$212,),0))*IFERROR(INDEX(AQ$10:AQ$11,Предпосылки!$I$212,),0),AQ315/(1+IFERROR(INDEX(AQ$10:AQ$11,Предпосылки!$I$213,),0))*IFERROR(INDEX(AQ$10:AQ$11,Предпосылки!$I$213,),0),AQ338/(1+IFERROR(INDEX(AQ$10:AQ$11,Предпосылки!$I$214,),0))*IFERROR(INDEX(AQ$10:AQ$11,Предпосылки!$I$214,),0),AQ361/(1+IFERROR(INDEX(AQ$10:AQ$11,Предпосылки!$I$215,),0))*IFERROR(INDEX(AQ$10:AQ$11,Предпосылки!$I$215,),0),AQ384/(1+IFERROR(INDEX(AQ$10:AQ$11,Предпосылки!$I$216,),0))*IFERROR(INDEX(AQ$10:AQ$11,Предпосылки!$I$216,),0),AQ407/(1+IFERROR(INDEX(AQ$10:AQ$11,Предпосылки!$I$217,),0))*IFERROR(INDEX(AQ$10:AQ$11,Предпосылки!$I$217,),0),AQ430/(1+IFERROR(INDEX(AQ$10:AQ$11,Предпосылки!$I$218,),0))*IFERROR(INDEX(AQ$10:AQ$11,Предпосылки!$I$218,),0),AQ453/(1+IFERROR(INDEX(AQ$10:AQ$11,Предпосылки!$I$219,),0))*IFERROR(INDEX(AQ$10:AQ$11,Предпосылки!$I$219,),0),AQ476/(1+IFERROR(INDEX(AQ$10:AQ$11,Предпосылки!$I$220,),0))*IFERROR(INDEX(AQ$10:AQ$11,Предпосылки!$I$220,),0))</f>
        <v>0</v>
      </c>
      <c s="125">
        <f>SUM(AR39/(1+IFERROR(INDEX(AR$10:AR$11,Предпосылки!$I$201,),0))*IFERROR(INDEX(AR$10:AR$11,Предпосылки!$I$201,),0),AR62/(1+IFERROR(INDEX(AR$10:AR$11,Предпосылки!$I$202,),0))*IFERROR(INDEX(AR$10:AR$11,Предпосылки!$I$202,),0),AR85/(1+IFERROR(INDEX(AR$10:AR$11,Предпосылки!$I$203,),0))*IFERROR(INDEX(AR$10:AR$11,Предпосылки!$I$203,),0),AR108/(1+IFERROR(INDEX(AR$10:AR$11,Предпосылки!$I$204,),0))*IFERROR(INDEX(AR$10:AR$11,Предпосылки!$I$204,),0),AR131/(1+IFERROR(INDEX(AR$10:AR$11,Предпосылки!$I$205,),0))*IFERROR(INDEX(AR$10:AR$11,Предпосылки!$I$205,),0),AR154/(1+IFERROR(INDEX(AR$10:AR$11,Предпосылки!$I$206,),0))*IFERROR(INDEX(AR$10:AR$11,Предпосылки!$I$206,),0),AR177/(1+IFERROR(INDEX(AR$10:AR$11,Предпосылки!$I$207,),0))*IFERROR(INDEX(AR$10:AR$11,Предпосылки!$I$207,),0),AR200/(1+IFERROR(INDEX(AR$10:AR$11,Предпосылки!$I$208,),0))*IFERROR(INDEX(AR$10:AR$11,Предпосылки!$I$208,),0),AR223/(1+IFERROR(INDEX(AR$10:AR$11,Предпосылки!$I$209,),0))*IFERROR(INDEX(AR$10:AR$11,Предпосылки!$I$209,),0),AR246/(1+IFERROR(INDEX(AR$10:AR$11,Предпосылки!$I$210,),0))*IFERROR(INDEX(AR$10:AR$11,Предпосылки!$I$210,),0),AR269/(1+IFERROR(INDEX(AR$10:AR$11,Предпосылки!$I$211,),0))*IFERROR(INDEX(AR$10:AR$11,Предпосылки!$I$211,),0),AR292/(1+IFERROR(INDEX(AR$10:AR$11,Предпосылки!$I$212,),0))*IFERROR(INDEX(AR$10:AR$11,Предпосылки!$I$212,),0),AR315/(1+IFERROR(INDEX(AR$10:AR$11,Предпосылки!$I$213,),0))*IFERROR(INDEX(AR$10:AR$11,Предпосылки!$I$213,),0),AR338/(1+IFERROR(INDEX(AR$10:AR$11,Предпосылки!$I$214,),0))*IFERROR(INDEX(AR$10:AR$11,Предпосылки!$I$214,),0),AR361/(1+IFERROR(INDEX(AR$10:AR$11,Предпосылки!$I$215,),0))*IFERROR(INDEX(AR$10:AR$11,Предпосылки!$I$215,),0),AR384/(1+IFERROR(INDEX(AR$10:AR$11,Предпосылки!$I$216,),0))*IFERROR(INDEX(AR$10:AR$11,Предпосылки!$I$216,),0),AR407/(1+IFERROR(INDEX(AR$10:AR$11,Предпосылки!$I$217,),0))*IFERROR(INDEX(AR$10:AR$11,Предпосылки!$I$217,),0),AR430/(1+IFERROR(INDEX(AR$10:AR$11,Предпосылки!$I$218,),0))*IFERROR(INDEX(AR$10:AR$11,Предпосылки!$I$218,),0),AR453/(1+IFERROR(INDEX(AR$10:AR$11,Предпосылки!$I$219,),0))*IFERROR(INDEX(AR$10:AR$11,Предпосылки!$I$219,),0),AR476/(1+IFERROR(INDEX(AR$10:AR$11,Предпосылки!$I$220,),0))*IFERROR(INDEX(AR$10:AR$11,Предпосылки!$I$220,),0))</f>
        <v>0</v>
      </c>
      <c s="125">
        <f>SUM(AS39/(1+IFERROR(INDEX(AS$10:AS$11,Предпосылки!$I$201,),0))*IFERROR(INDEX(AS$10:AS$11,Предпосылки!$I$201,),0),AS62/(1+IFERROR(INDEX(AS$10:AS$11,Предпосылки!$I$202,),0))*IFERROR(INDEX(AS$10:AS$11,Предпосылки!$I$202,),0),AS85/(1+IFERROR(INDEX(AS$10:AS$11,Предпосылки!$I$203,),0))*IFERROR(INDEX(AS$10:AS$11,Предпосылки!$I$203,),0),AS108/(1+IFERROR(INDEX(AS$10:AS$11,Предпосылки!$I$204,),0))*IFERROR(INDEX(AS$10:AS$11,Предпосылки!$I$204,),0),AS131/(1+IFERROR(INDEX(AS$10:AS$11,Предпосылки!$I$205,),0))*IFERROR(INDEX(AS$10:AS$11,Предпосылки!$I$205,),0),AS154/(1+IFERROR(INDEX(AS$10:AS$11,Предпосылки!$I$206,),0))*IFERROR(INDEX(AS$10:AS$11,Предпосылки!$I$206,),0),AS177/(1+IFERROR(INDEX(AS$10:AS$11,Предпосылки!$I$207,),0))*IFERROR(INDEX(AS$10:AS$11,Предпосылки!$I$207,),0),AS200/(1+IFERROR(INDEX(AS$10:AS$11,Предпосылки!$I$208,),0))*IFERROR(INDEX(AS$10:AS$11,Предпосылки!$I$208,),0),AS223/(1+IFERROR(INDEX(AS$10:AS$11,Предпосылки!$I$209,),0))*IFERROR(INDEX(AS$10:AS$11,Предпосылки!$I$209,),0),AS246/(1+IFERROR(INDEX(AS$10:AS$11,Предпосылки!$I$210,),0))*IFERROR(INDEX(AS$10:AS$11,Предпосылки!$I$210,),0),AS269/(1+IFERROR(INDEX(AS$10:AS$11,Предпосылки!$I$211,),0))*IFERROR(INDEX(AS$10:AS$11,Предпосылки!$I$211,),0),AS292/(1+IFERROR(INDEX(AS$10:AS$11,Предпосылки!$I$212,),0))*IFERROR(INDEX(AS$10:AS$11,Предпосылки!$I$212,),0),AS315/(1+IFERROR(INDEX(AS$10:AS$11,Предпосылки!$I$213,),0))*IFERROR(INDEX(AS$10:AS$11,Предпосылки!$I$213,),0),AS338/(1+IFERROR(INDEX(AS$10:AS$11,Предпосылки!$I$214,),0))*IFERROR(INDEX(AS$10:AS$11,Предпосылки!$I$214,),0),AS361/(1+IFERROR(INDEX(AS$10:AS$11,Предпосылки!$I$215,),0))*IFERROR(INDEX(AS$10:AS$11,Предпосылки!$I$215,),0),AS384/(1+IFERROR(INDEX(AS$10:AS$11,Предпосылки!$I$216,),0))*IFERROR(INDEX(AS$10:AS$11,Предпосылки!$I$216,),0),AS407/(1+IFERROR(INDEX(AS$10:AS$11,Предпосылки!$I$217,),0))*IFERROR(INDEX(AS$10:AS$11,Предпосылки!$I$217,),0),AS430/(1+IFERROR(INDEX(AS$10:AS$11,Предпосылки!$I$218,),0))*IFERROR(INDEX(AS$10:AS$11,Предпосылки!$I$218,),0),AS453/(1+IFERROR(INDEX(AS$10:AS$11,Предпосылки!$I$219,),0))*IFERROR(INDEX(AS$10:AS$11,Предпосылки!$I$219,),0),AS476/(1+IFERROR(INDEX(AS$10:AS$11,Предпосылки!$I$220,),0))*IFERROR(INDEX(AS$10:AS$11,Предпосылки!$I$220,),0))</f>
        <v>0</v>
      </c>
      <c s="125">
        <f>SUM(AT39/(1+IFERROR(INDEX(AT$10:AT$11,Предпосылки!$I$201,),0))*IFERROR(INDEX(AT$10:AT$11,Предпосылки!$I$201,),0),AT62/(1+IFERROR(INDEX(AT$10:AT$11,Предпосылки!$I$202,),0))*IFERROR(INDEX(AT$10:AT$11,Предпосылки!$I$202,),0),AT85/(1+IFERROR(INDEX(AT$10:AT$11,Предпосылки!$I$203,),0))*IFERROR(INDEX(AT$10:AT$11,Предпосылки!$I$203,),0),AT108/(1+IFERROR(INDEX(AT$10:AT$11,Предпосылки!$I$204,),0))*IFERROR(INDEX(AT$10:AT$11,Предпосылки!$I$204,),0),AT131/(1+IFERROR(INDEX(AT$10:AT$11,Предпосылки!$I$205,),0))*IFERROR(INDEX(AT$10:AT$11,Предпосылки!$I$205,),0),AT154/(1+IFERROR(INDEX(AT$10:AT$11,Предпосылки!$I$206,),0))*IFERROR(INDEX(AT$10:AT$11,Предпосылки!$I$206,),0),AT177/(1+IFERROR(INDEX(AT$10:AT$11,Предпосылки!$I$207,),0))*IFERROR(INDEX(AT$10:AT$11,Предпосылки!$I$207,),0),AT200/(1+IFERROR(INDEX(AT$10:AT$11,Предпосылки!$I$208,),0))*IFERROR(INDEX(AT$10:AT$11,Предпосылки!$I$208,),0),AT223/(1+IFERROR(INDEX(AT$10:AT$11,Предпосылки!$I$209,),0))*IFERROR(INDEX(AT$10:AT$11,Предпосылки!$I$209,),0),AT246/(1+IFERROR(INDEX(AT$10:AT$11,Предпосылки!$I$210,),0))*IFERROR(INDEX(AT$10:AT$11,Предпосылки!$I$210,),0),AT269/(1+IFERROR(INDEX(AT$10:AT$11,Предпосылки!$I$211,),0))*IFERROR(INDEX(AT$10:AT$11,Предпосылки!$I$211,),0),AT292/(1+IFERROR(INDEX(AT$10:AT$11,Предпосылки!$I$212,),0))*IFERROR(INDEX(AT$10:AT$11,Предпосылки!$I$212,),0),AT315/(1+IFERROR(INDEX(AT$10:AT$11,Предпосылки!$I$213,),0))*IFERROR(INDEX(AT$10:AT$11,Предпосылки!$I$213,),0),AT338/(1+IFERROR(INDEX(AT$10:AT$11,Предпосылки!$I$214,),0))*IFERROR(INDEX(AT$10:AT$11,Предпосылки!$I$214,),0),AT361/(1+IFERROR(INDEX(AT$10:AT$11,Предпосылки!$I$215,),0))*IFERROR(INDEX(AT$10:AT$11,Предпосылки!$I$215,),0),AT384/(1+IFERROR(INDEX(AT$10:AT$11,Предпосылки!$I$216,),0))*IFERROR(INDEX(AT$10:AT$11,Предпосылки!$I$216,),0),AT407/(1+IFERROR(INDEX(AT$10:AT$11,Предпосылки!$I$217,),0))*IFERROR(INDEX(AT$10:AT$11,Предпосылки!$I$217,),0),AT430/(1+IFERROR(INDEX(AT$10:AT$11,Предпосылки!$I$218,),0))*IFERROR(INDEX(AT$10:AT$11,Предпосылки!$I$218,),0),AT453/(1+IFERROR(INDEX(AT$10:AT$11,Предпосылки!$I$219,),0))*IFERROR(INDEX(AT$10:AT$11,Предпосылки!$I$219,),0),AT476/(1+IFERROR(INDEX(AT$10:AT$11,Предпосылки!$I$220,),0))*IFERROR(INDEX(AT$10:AT$11,Предпосылки!$I$220,),0))</f>
        <v>0</v>
      </c>
      <c s="125">
        <f>SUM(AU39/(1+IFERROR(INDEX(AU$10:AU$11,Предпосылки!$I$201,),0))*IFERROR(INDEX(AU$10:AU$11,Предпосылки!$I$201,),0),AU62/(1+IFERROR(INDEX(AU$10:AU$11,Предпосылки!$I$202,),0))*IFERROR(INDEX(AU$10:AU$11,Предпосылки!$I$202,),0),AU85/(1+IFERROR(INDEX(AU$10:AU$11,Предпосылки!$I$203,),0))*IFERROR(INDEX(AU$10:AU$11,Предпосылки!$I$203,),0),AU108/(1+IFERROR(INDEX(AU$10:AU$11,Предпосылки!$I$204,),0))*IFERROR(INDEX(AU$10:AU$11,Предпосылки!$I$204,),0),AU131/(1+IFERROR(INDEX(AU$10:AU$11,Предпосылки!$I$205,),0))*IFERROR(INDEX(AU$10:AU$11,Предпосылки!$I$205,),0),AU154/(1+IFERROR(INDEX(AU$10:AU$11,Предпосылки!$I$206,),0))*IFERROR(INDEX(AU$10:AU$11,Предпосылки!$I$206,),0),AU177/(1+IFERROR(INDEX(AU$10:AU$11,Предпосылки!$I$207,),0))*IFERROR(INDEX(AU$10:AU$11,Предпосылки!$I$207,),0),AU200/(1+IFERROR(INDEX(AU$10:AU$11,Предпосылки!$I$208,),0))*IFERROR(INDEX(AU$10:AU$11,Предпосылки!$I$208,),0),AU223/(1+IFERROR(INDEX(AU$10:AU$11,Предпосылки!$I$209,),0))*IFERROR(INDEX(AU$10:AU$11,Предпосылки!$I$209,),0),AU246/(1+IFERROR(INDEX(AU$10:AU$11,Предпосылки!$I$210,),0))*IFERROR(INDEX(AU$10:AU$11,Предпосылки!$I$210,),0),AU269/(1+IFERROR(INDEX(AU$10:AU$11,Предпосылки!$I$211,),0))*IFERROR(INDEX(AU$10:AU$11,Предпосылки!$I$211,),0),AU292/(1+IFERROR(INDEX(AU$10:AU$11,Предпосылки!$I$212,),0))*IFERROR(INDEX(AU$10:AU$11,Предпосылки!$I$212,),0),AU315/(1+IFERROR(INDEX(AU$10:AU$11,Предпосылки!$I$213,),0))*IFERROR(INDEX(AU$10:AU$11,Предпосылки!$I$213,),0),AU338/(1+IFERROR(INDEX(AU$10:AU$11,Предпосылки!$I$214,),0))*IFERROR(INDEX(AU$10:AU$11,Предпосылки!$I$214,),0),AU361/(1+IFERROR(INDEX(AU$10:AU$11,Предпосылки!$I$215,),0))*IFERROR(INDEX(AU$10:AU$11,Предпосылки!$I$215,),0),AU384/(1+IFERROR(INDEX(AU$10:AU$11,Предпосылки!$I$216,),0))*IFERROR(INDEX(AU$10:AU$11,Предпосылки!$I$216,),0),AU407/(1+IFERROR(INDEX(AU$10:AU$11,Предпосылки!$I$217,),0))*IFERROR(INDEX(AU$10:AU$11,Предпосылки!$I$217,),0),AU430/(1+IFERROR(INDEX(AU$10:AU$11,Предпосылки!$I$218,),0))*IFERROR(INDEX(AU$10:AU$11,Предпосылки!$I$218,),0),AU453/(1+IFERROR(INDEX(AU$10:AU$11,Предпосылки!$I$219,),0))*IFERROR(INDEX(AU$10:AU$11,Предпосылки!$I$219,),0),AU476/(1+IFERROR(INDEX(AU$10:AU$11,Предпосылки!$I$220,),0))*IFERROR(INDEX(AU$10:AU$11,Предпосылки!$I$220,),0))</f>
        <v>0</v>
      </c>
      <c s="125">
        <f>SUM(AV39/(1+IFERROR(INDEX(AV$10:AV$11,Предпосылки!$I$201,),0))*IFERROR(INDEX(AV$10:AV$11,Предпосылки!$I$201,),0),AV62/(1+IFERROR(INDEX(AV$10:AV$11,Предпосылки!$I$202,),0))*IFERROR(INDEX(AV$10:AV$11,Предпосылки!$I$202,),0),AV85/(1+IFERROR(INDEX(AV$10:AV$11,Предпосылки!$I$203,),0))*IFERROR(INDEX(AV$10:AV$11,Предпосылки!$I$203,),0),AV108/(1+IFERROR(INDEX(AV$10:AV$11,Предпосылки!$I$204,),0))*IFERROR(INDEX(AV$10:AV$11,Предпосылки!$I$204,),0),AV131/(1+IFERROR(INDEX(AV$10:AV$11,Предпосылки!$I$205,),0))*IFERROR(INDEX(AV$10:AV$11,Предпосылки!$I$205,),0),AV154/(1+IFERROR(INDEX(AV$10:AV$11,Предпосылки!$I$206,),0))*IFERROR(INDEX(AV$10:AV$11,Предпосылки!$I$206,),0),AV177/(1+IFERROR(INDEX(AV$10:AV$11,Предпосылки!$I$207,),0))*IFERROR(INDEX(AV$10:AV$11,Предпосылки!$I$207,),0),AV200/(1+IFERROR(INDEX(AV$10:AV$11,Предпосылки!$I$208,),0))*IFERROR(INDEX(AV$10:AV$11,Предпосылки!$I$208,),0),AV223/(1+IFERROR(INDEX(AV$10:AV$11,Предпосылки!$I$209,),0))*IFERROR(INDEX(AV$10:AV$11,Предпосылки!$I$209,),0),AV246/(1+IFERROR(INDEX(AV$10:AV$11,Предпосылки!$I$210,),0))*IFERROR(INDEX(AV$10:AV$11,Предпосылки!$I$210,),0),AV269/(1+IFERROR(INDEX(AV$10:AV$11,Предпосылки!$I$211,),0))*IFERROR(INDEX(AV$10:AV$11,Предпосылки!$I$211,),0),AV292/(1+IFERROR(INDEX(AV$10:AV$11,Предпосылки!$I$212,),0))*IFERROR(INDEX(AV$10:AV$11,Предпосылки!$I$212,),0),AV315/(1+IFERROR(INDEX(AV$10:AV$11,Предпосылки!$I$213,),0))*IFERROR(INDEX(AV$10:AV$11,Предпосылки!$I$213,),0),AV338/(1+IFERROR(INDEX(AV$10:AV$11,Предпосылки!$I$214,),0))*IFERROR(INDEX(AV$10:AV$11,Предпосылки!$I$214,),0),AV361/(1+IFERROR(INDEX(AV$10:AV$11,Предпосылки!$I$215,),0))*IFERROR(INDEX(AV$10:AV$11,Предпосылки!$I$215,),0),AV384/(1+IFERROR(INDEX(AV$10:AV$11,Предпосылки!$I$216,),0))*IFERROR(INDEX(AV$10:AV$11,Предпосылки!$I$216,),0),AV407/(1+IFERROR(INDEX(AV$10:AV$11,Предпосылки!$I$217,),0))*IFERROR(INDEX(AV$10:AV$11,Предпосылки!$I$217,),0),AV430/(1+IFERROR(INDEX(AV$10:AV$11,Предпосылки!$I$218,),0))*IFERROR(INDEX(AV$10:AV$11,Предпосылки!$I$218,),0),AV453/(1+IFERROR(INDEX(AV$10:AV$11,Предпосылки!$I$219,),0))*IFERROR(INDEX(AV$10:AV$11,Предпосылки!$I$219,),0),AV476/(1+IFERROR(INDEX(AV$10:AV$11,Предпосылки!$I$220,),0))*IFERROR(INDEX(AV$10:AV$11,Предпосылки!$I$220,),0))</f>
        <v>0</v>
      </c>
      <c s="125">
        <f>SUM(AW39/(1+IFERROR(INDEX(AW$10:AW$11,Предпосылки!$I$201,),0))*IFERROR(INDEX(AW$10:AW$11,Предпосылки!$I$201,),0),AW62/(1+IFERROR(INDEX(AW$10:AW$11,Предпосылки!$I$202,),0))*IFERROR(INDEX(AW$10:AW$11,Предпосылки!$I$202,),0),AW85/(1+IFERROR(INDEX(AW$10:AW$11,Предпосылки!$I$203,),0))*IFERROR(INDEX(AW$10:AW$11,Предпосылки!$I$203,),0),AW108/(1+IFERROR(INDEX(AW$10:AW$11,Предпосылки!$I$204,),0))*IFERROR(INDEX(AW$10:AW$11,Предпосылки!$I$204,),0),AW131/(1+IFERROR(INDEX(AW$10:AW$11,Предпосылки!$I$205,),0))*IFERROR(INDEX(AW$10:AW$11,Предпосылки!$I$205,),0),AW154/(1+IFERROR(INDEX(AW$10:AW$11,Предпосылки!$I$206,),0))*IFERROR(INDEX(AW$10:AW$11,Предпосылки!$I$206,),0),AW177/(1+IFERROR(INDEX(AW$10:AW$11,Предпосылки!$I$207,),0))*IFERROR(INDEX(AW$10:AW$11,Предпосылки!$I$207,),0),AW200/(1+IFERROR(INDEX(AW$10:AW$11,Предпосылки!$I$208,),0))*IFERROR(INDEX(AW$10:AW$11,Предпосылки!$I$208,),0),AW223/(1+IFERROR(INDEX(AW$10:AW$11,Предпосылки!$I$209,),0))*IFERROR(INDEX(AW$10:AW$11,Предпосылки!$I$209,),0),AW246/(1+IFERROR(INDEX(AW$10:AW$11,Предпосылки!$I$210,),0))*IFERROR(INDEX(AW$10:AW$11,Предпосылки!$I$210,),0),AW269/(1+IFERROR(INDEX(AW$10:AW$11,Предпосылки!$I$211,),0))*IFERROR(INDEX(AW$10:AW$11,Предпосылки!$I$211,),0),AW292/(1+IFERROR(INDEX(AW$10:AW$11,Предпосылки!$I$212,),0))*IFERROR(INDEX(AW$10:AW$11,Предпосылки!$I$212,),0),AW315/(1+IFERROR(INDEX(AW$10:AW$11,Предпосылки!$I$213,),0))*IFERROR(INDEX(AW$10:AW$11,Предпосылки!$I$213,),0),AW338/(1+IFERROR(INDEX(AW$10:AW$11,Предпосылки!$I$214,),0))*IFERROR(INDEX(AW$10:AW$11,Предпосылки!$I$214,),0),AW361/(1+IFERROR(INDEX(AW$10:AW$11,Предпосылки!$I$215,),0))*IFERROR(INDEX(AW$10:AW$11,Предпосылки!$I$215,),0),AW384/(1+IFERROR(INDEX(AW$10:AW$11,Предпосылки!$I$216,),0))*IFERROR(INDEX(AW$10:AW$11,Предпосылки!$I$216,),0),AW407/(1+IFERROR(INDEX(AW$10:AW$11,Предпосылки!$I$217,),0))*IFERROR(INDEX(AW$10:AW$11,Предпосылки!$I$217,),0),AW430/(1+IFERROR(INDEX(AW$10:AW$11,Предпосылки!$I$218,),0))*IFERROR(INDEX(AW$10:AW$11,Предпосылки!$I$218,),0),AW453/(1+IFERROR(INDEX(AW$10:AW$11,Предпосылки!$I$219,),0))*IFERROR(INDEX(AW$10:AW$11,Предпосылки!$I$219,),0),AW476/(1+IFERROR(INDEX(AW$10:AW$11,Предпосылки!$I$220,),0))*IFERROR(INDEX(AW$10:AW$11,Предпосылки!$I$220,),0))</f>
        <v>0</v>
      </c>
      <c s="125">
        <f>SUM(AX39/(1+IFERROR(INDEX(AX$10:AX$11,Предпосылки!$I$201,),0))*IFERROR(INDEX(AX$10:AX$11,Предпосылки!$I$201,),0),AX62/(1+IFERROR(INDEX(AX$10:AX$11,Предпосылки!$I$202,),0))*IFERROR(INDEX(AX$10:AX$11,Предпосылки!$I$202,),0),AX85/(1+IFERROR(INDEX(AX$10:AX$11,Предпосылки!$I$203,),0))*IFERROR(INDEX(AX$10:AX$11,Предпосылки!$I$203,),0),AX108/(1+IFERROR(INDEX(AX$10:AX$11,Предпосылки!$I$204,),0))*IFERROR(INDEX(AX$10:AX$11,Предпосылки!$I$204,),0),AX131/(1+IFERROR(INDEX(AX$10:AX$11,Предпосылки!$I$205,),0))*IFERROR(INDEX(AX$10:AX$11,Предпосылки!$I$205,),0),AX154/(1+IFERROR(INDEX(AX$10:AX$11,Предпосылки!$I$206,),0))*IFERROR(INDEX(AX$10:AX$11,Предпосылки!$I$206,),0),AX177/(1+IFERROR(INDEX(AX$10:AX$11,Предпосылки!$I$207,),0))*IFERROR(INDEX(AX$10:AX$11,Предпосылки!$I$207,),0),AX200/(1+IFERROR(INDEX(AX$10:AX$11,Предпосылки!$I$208,),0))*IFERROR(INDEX(AX$10:AX$11,Предпосылки!$I$208,),0),AX223/(1+IFERROR(INDEX(AX$10:AX$11,Предпосылки!$I$209,),0))*IFERROR(INDEX(AX$10:AX$11,Предпосылки!$I$209,),0),AX246/(1+IFERROR(INDEX(AX$10:AX$11,Предпосылки!$I$210,),0))*IFERROR(INDEX(AX$10:AX$11,Предпосылки!$I$210,),0),AX269/(1+IFERROR(INDEX(AX$10:AX$11,Предпосылки!$I$211,),0))*IFERROR(INDEX(AX$10:AX$11,Предпосылки!$I$211,),0),AX292/(1+IFERROR(INDEX(AX$10:AX$11,Предпосылки!$I$212,),0))*IFERROR(INDEX(AX$10:AX$11,Предпосылки!$I$212,),0),AX315/(1+IFERROR(INDEX(AX$10:AX$11,Предпосылки!$I$213,),0))*IFERROR(INDEX(AX$10:AX$11,Предпосылки!$I$213,),0),AX338/(1+IFERROR(INDEX(AX$10:AX$11,Предпосылки!$I$214,),0))*IFERROR(INDEX(AX$10:AX$11,Предпосылки!$I$214,),0),AX361/(1+IFERROR(INDEX(AX$10:AX$11,Предпосылки!$I$215,),0))*IFERROR(INDEX(AX$10:AX$11,Предпосылки!$I$215,),0),AX384/(1+IFERROR(INDEX(AX$10:AX$11,Предпосылки!$I$216,),0))*IFERROR(INDEX(AX$10:AX$11,Предпосылки!$I$216,),0),AX407/(1+IFERROR(INDEX(AX$10:AX$11,Предпосылки!$I$217,),0))*IFERROR(INDEX(AX$10:AX$11,Предпосылки!$I$217,),0),AX430/(1+IFERROR(INDEX(AX$10:AX$11,Предпосылки!$I$218,),0))*IFERROR(INDEX(AX$10:AX$11,Предпосылки!$I$218,),0),AX453/(1+IFERROR(INDEX(AX$10:AX$11,Предпосылки!$I$219,),0))*IFERROR(INDEX(AX$10:AX$11,Предпосылки!$I$219,),0),AX476/(1+IFERROR(INDEX(AX$10:AX$11,Предпосылки!$I$220,),0))*IFERROR(INDEX(AX$10:AX$11,Предпосылки!$I$220,),0))</f>
        <v>0</v>
      </c>
      <c s="125">
        <f>SUM(AY39/(1+IFERROR(INDEX(AY$10:AY$11,Предпосылки!$I$201,),0))*IFERROR(INDEX(AY$10:AY$11,Предпосылки!$I$201,),0),AY62/(1+IFERROR(INDEX(AY$10:AY$11,Предпосылки!$I$202,),0))*IFERROR(INDEX(AY$10:AY$11,Предпосылки!$I$202,),0),AY85/(1+IFERROR(INDEX(AY$10:AY$11,Предпосылки!$I$203,),0))*IFERROR(INDEX(AY$10:AY$11,Предпосылки!$I$203,),0),AY108/(1+IFERROR(INDEX(AY$10:AY$11,Предпосылки!$I$204,),0))*IFERROR(INDEX(AY$10:AY$11,Предпосылки!$I$204,),0),AY131/(1+IFERROR(INDEX(AY$10:AY$11,Предпосылки!$I$205,),0))*IFERROR(INDEX(AY$10:AY$11,Предпосылки!$I$205,),0),AY154/(1+IFERROR(INDEX(AY$10:AY$11,Предпосылки!$I$206,),0))*IFERROR(INDEX(AY$10:AY$11,Предпосылки!$I$206,),0),AY177/(1+IFERROR(INDEX(AY$10:AY$11,Предпосылки!$I$207,),0))*IFERROR(INDEX(AY$10:AY$11,Предпосылки!$I$207,),0),AY200/(1+IFERROR(INDEX(AY$10:AY$11,Предпосылки!$I$208,),0))*IFERROR(INDEX(AY$10:AY$11,Предпосылки!$I$208,),0),AY223/(1+IFERROR(INDEX(AY$10:AY$11,Предпосылки!$I$209,),0))*IFERROR(INDEX(AY$10:AY$11,Предпосылки!$I$209,),0),AY246/(1+IFERROR(INDEX(AY$10:AY$11,Предпосылки!$I$210,),0))*IFERROR(INDEX(AY$10:AY$11,Предпосылки!$I$210,),0),AY269/(1+IFERROR(INDEX(AY$10:AY$11,Предпосылки!$I$211,),0))*IFERROR(INDEX(AY$10:AY$11,Предпосылки!$I$211,),0),AY292/(1+IFERROR(INDEX(AY$10:AY$11,Предпосылки!$I$212,),0))*IFERROR(INDEX(AY$10:AY$11,Предпосылки!$I$212,),0),AY315/(1+IFERROR(INDEX(AY$10:AY$11,Предпосылки!$I$213,),0))*IFERROR(INDEX(AY$10:AY$11,Предпосылки!$I$213,),0),AY338/(1+IFERROR(INDEX(AY$10:AY$11,Предпосылки!$I$214,),0))*IFERROR(INDEX(AY$10:AY$11,Предпосылки!$I$214,),0),AY361/(1+IFERROR(INDEX(AY$10:AY$11,Предпосылки!$I$215,),0))*IFERROR(INDEX(AY$10:AY$11,Предпосылки!$I$215,),0),AY384/(1+IFERROR(INDEX(AY$10:AY$11,Предпосылки!$I$216,),0))*IFERROR(INDEX(AY$10:AY$11,Предпосылки!$I$216,),0),AY407/(1+IFERROR(INDEX(AY$10:AY$11,Предпосылки!$I$217,),0))*IFERROR(INDEX(AY$10:AY$11,Предпосылки!$I$217,),0),AY430/(1+IFERROR(INDEX(AY$10:AY$11,Предпосылки!$I$218,),0))*IFERROR(INDEX(AY$10:AY$11,Предпосылки!$I$218,),0),AY453/(1+IFERROR(INDEX(AY$10:AY$11,Предпосылки!$I$219,),0))*IFERROR(INDEX(AY$10:AY$11,Предпосылки!$I$219,),0),AY476/(1+IFERROR(INDEX(AY$10:AY$11,Предпосылки!$I$220,),0))*IFERROR(INDEX(AY$10:AY$11,Предпосылки!$I$220,),0))</f>
        <v>0</v>
      </c>
      <c s="125">
        <f>SUM(AZ39/(1+IFERROR(INDEX(AZ$10:AZ$11,Предпосылки!$I$201,),0))*IFERROR(INDEX(AZ$10:AZ$11,Предпосылки!$I$201,),0),AZ62/(1+IFERROR(INDEX(AZ$10:AZ$11,Предпосылки!$I$202,),0))*IFERROR(INDEX(AZ$10:AZ$11,Предпосылки!$I$202,),0),AZ85/(1+IFERROR(INDEX(AZ$10:AZ$11,Предпосылки!$I$203,),0))*IFERROR(INDEX(AZ$10:AZ$11,Предпосылки!$I$203,),0),AZ108/(1+IFERROR(INDEX(AZ$10:AZ$11,Предпосылки!$I$204,),0))*IFERROR(INDEX(AZ$10:AZ$11,Предпосылки!$I$204,),0),AZ131/(1+IFERROR(INDEX(AZ$10:AZ$11,Предпосылки!$I$205,),0))*IFERROR(INDEX(AZ$10:AZ$11,Предпосылки!$I$205,),0),AZ154/(1+IFERROR(INDEX(AZ$10:AZ$11,Предпосылки!$I$206,),0))*IFERROR(INDEX(AZ$10:AZ$11,Предпосылки!$I$206,),0),AZ177/(1+IFERROR(INDEX(AZ$10:AZ$11,Предпосылки!$I$207,),0))*IFERROR(INDEX(AZ$10:AZ$11,Предпосылки!$I$207,),0),AZ200/(1+IFERROR(INDEX(AZ$10:AZ$11,Предпосылки!$I$208,),0))*IFERROR(INDEX(AZ$10:AZ$11,Предпосылки!$I$208,),0),AZ223/(1+IFERROR(INDEX(AZ$10:AZ$11,Предпосылки!$I$209,),0))*IFERROR(INDEX(AZ$10:AZ$11,Предпосылки!$I$209,),0),AZ246/(1+IFERROR(INDEX(AZ$10:AZ$11,Предпосылки!$I$210,),0))*IFERROR(INDEX(AZ$10:AZ$11,Предпосылки!$I$210,),0),AZ269/(1+IFERROR(INDEX(AZ$10:AZ$11,Предпосылки!$I$211,),0))*IFERROR(INDEX(AZ$10:AZ$11,Предпосылки!$I$211,),0),AZ292/(1+IFERROR(INDEX(AZ$10:AZ$11,Предпосылки!$I$212,),0))*IFERROR(INDEX(AZ$10:AZ$11,Предпосылки!$I$212,),0),AZ315/(1+IFERROR(INDEX(AZ$10:AZ$11,Предпосылки!$I$213,),0))*IFERROR(INDEX(AZ$10:AZ$11,Предпосылки!$I$213,),0),AZ338/(1+IFERROR(INDEX(AZ$10:AZ$11,Предпосылки!$I$214,),0))*IFERROR(INDEX(AZ$10:AZ$11,Предпосылки!$I$214,),0),AZ361/(1+IFERROR(INDEX(AZ$10:AZ$11,Предпосылки!$I$215,),0))*IFERROR(INDEX(AZ$10:AZ$11,Предпосылки!$I$215,),0),AZ384/(1+IFERROR(INDEX(AZ$10:AZ$11,Предпосылки!$I$216,),0))*IFERROR(INDEX(AZ$10:AZ$11,Предпосылки!$I$216,),0),AZ407/(1+IFERROR(INDEX(AZ$10:AZ$11,Предпосылки!$I$217,),0))*IFERROR(INDEX(AZ$10:AZ$11,Предпосылки!$I$217,),0),AZ430/(1+IFERROR(INDEX(AZ$10:AZ$11,Предпосылки!$I$218,),0))*IFERROR(INDEX(AZ$10:AZ$11,Предпосылки!$I$218,),0),AZ453/(1+IFERROR(INDEX(AZ$10:AZ$11,Предпосылки!$I$219,),0))*IFERROR(INDEX(AZ$10:AZ$11,Предпосылки!$I$219,),0),AZ476/(1+IFERROR(INDEX(AZ$10:AZ$11,Предпосылки!$I$220,),0))*IFERROR(INDEX(AZ$10:AZ$11,Предпосылки!$I$220,),0))</f>
        <v>0</v>
      </c>
      <c s="125">
        <f>SUM(BA39/(1+IFERROR(INDEX(BA$10:BA$11,Предпосылки!$I$201,),0))*IFERROR(INDEX(BA$10:BA$11,Предпосылки!$I$201,),0),BA62/(1+IFERROR(INDEX(BA$10:BA$11,Предпосылки!$I$202,),0))*IFERROR(INDEX(BA$10:BA$11,Предпосылки!$I$202,),0),BA85/(1+IFERROR(INDEX(BA$10:BA$11,Предпосылки!$I$203,),0))*IFERROR(INDEX(BA$10:BA$11,Предпосылки!$I$203,),0),BA108/(1+IFERROR(INDEX(BA$10:BA$11,Предпосылки!$I$204,),0))*IFERROR(INDEX(BA$10:BA$11,Предпосылки!$I$204,),0),BA131/(1+IFERROR(INDEX(BA$10:BA$11,Предпосылки!$I$205,),0))*IFERROR(INDEX(BA$10:BA$11,Предпосылки!$I$205,),0),BA154/(1+IFERROR(INDEX(BA$10:BA$11,Предпосылки!$I$206,),0))*IFERROR(INDEX(BA$10:BA$11,Предпосылки!$I$206,),0),BA177/(1+IFERROR(INDEX(BA$10:BA$11,Предпосылки!$I$207,),0))*IFERROR(INDEX(BA$10:BA$11,Предпосылки!$I$207,),0),BA200/(1+IFERROR(INDEX(BA$10:BA$11,Предпосылки!$I$208,),0))*IFERROR(INDEX(BA$10:BA$11,Предпосылки!$I$208,),0),BA223/(1+IFERROR(INDEX(BA$10:BA$11,Предпосылки!$I$209,),0))*IFERROR(INDEX(BA$10:BA$11,Предпосылки!$I$209,),0),BA246/(1+IFERROR(INDEX(BA$10:BA$11,Предпосылки!$I$210,),0))*IFERROR(INDEX(BA$10:BA$11,Предпосылки!$I$210,),0),BA269/(1+IFERROR(INDEX(BA$10:BA$11,Предпосылки!$I$211,),0))*IFERROR(INDEX(BA$10:BA$11,Предпосылки!$I$211,),0),BA292/(1+IFERROR(INDEX(BA$10:BA$11,Предпосылки!$I$212,),0))*IFERROR(INDEX(BA$10:BA$11,Предпосылки!$I$212,),0),BA315/(1+IFERROR(INDEX(BA$10:BA$11,Предпосылки!$I$213,),0))*IFERROR(INDEX(BA$10:BA$11,Предпосылки!$I$213,),0),BA338/(1+IFERROR(INDEX(BA$10:BA$11,Предпосылки!$I$214,),0))*IFERROR(INDEX(BA$10:BA$11,Предпосылки!$I$214,),0),BA361/(1+IFERROR(INDEX(BA$10:BA$11,Предпосылки!$I$215,),0))*IFERROR(INDEX(BA$10:BA$11,Предпосылки!$I$215,),0),BA384/(1+IFERROR(INDEX(BA$10:BA$11,Предпосылки!$I$216,),0))*IFERROR(INDEX(BA$10:BA$11,Предпосылки!$I$216,),0),BA407/(1+IFERROR(INDEX(BA$10:BA$11,Предпосылки!$I$217,),0))*IFERROR(INDEX(BA$10:BA$11,Предпосылки!$I$217,),0),BA430/(1+IFERROR(INDEX(BA$10:BA$11,Предпосылки!$I$218,),0))*IFERROR(INDEX(BA$10:BA$11,Предпосылки!$I$218,),0),BA453/(1+IFERROR(INDEX(BA$10:BA$11,Предпосылки!$I$219,),0))*IFERROR(INDEX(BA$10:BA$11,Предпосылки!$I$219,),0),BA476/(1+IFERROR(INDEX(BA$10:BA$11,Предпосылки!$I$220,),0))*IFERROR(INDEX(BA$10:BA$11,Предпосылки!$I$220,),0))</f>
        <v>0</v>
      </c>
      <c s="125">
        <f>SUM(BB39/(1+IFERROR(INDEX(BB$10:BB$11,Предпосылки!$I$201,),0))*IFERROR(INDEX(BB$10:BB$11,Предпосылки!$I$201,),0),BB62/(1+IFERROR(INDEX(BB$10:BB$11,Предпосылки!$I$202,),0))*IFERROR(INDEX(BB$10:BB$11,Предпосылки!$I$202,),0),BB85/(1+IFERROR(INDEX(BB$10:BB$11,Предпосылки!$I$203,),0))*IFERROR(INDEX(BB$10:BB$11,Предпосылки!$I$203,),0),BB108/(1+IFERROR(INDEX(BB$10:BB$11,Предпосылки!$I$204,),0))*IFERROR(INDEX(BB$10:BB$11,Предпосылки!$I$204,),0),BB131/(1+IFERROR(INDEX(BB$10:BB$11,Предпосылки!$I$205,),0))*IFERROR(INDEX(BB$10:BB$11,Предпосылки!$I$205,),0),BB154/(1+IFERROR(INDEX(BB$10:BB$11,Предпосылки!$I$206,),0))*IFERROR(INDEX(BB$10:BB$11,Предпосылки!$I$206,),0),BB177/(1+IFERROR(INDEX(BB$10:BB$11,Предпосылки!$I$207,),0))*IFERROR(INDEX(BB$10:BB$11,Предпосылки!$I$207,),0),BB200/(1+IFERROR(INDEX(BB$10:BB$11,Предпосылки!$I$208,),0))*IFERROR(INDEX(BB$10:BB$11,Предпосылки!$I$208,),0),BB223/(1+IFERROR(INDEX(BB$10:BB$11,Предпосылки!$I$209,),0))*IFERROR(INDEX(BB$10:BB$11,Предпосылки!$I$209,),0),BB246/(1+IFERROR(INDEX(BB$10:BB$11,Предпосылки!$I$210,),0))*IFERROR(INDEX(BB$10:BB$11,Предпосылки!$I$210,),0),BB269/(1+IFERROR(INDEX(BB$10:BB$11,Предпосылки!$I$211,),0))*IFERROR(INDEX(BB$10:BB$11,Предпосылки!$I$211,),0),BB292/(1+IFERROR(INDEX(BB$10:BB$11,Предпосылки!$I$212,),0))*IFERROR(INDEX(BB$10:BB$11,Предпосылки!$I$212,),0),BB315/(1+IFERROR(INDEX(BB$10:BB$11,Предпосылки!$I$213,),0))*IFERROR(INDEX(BB$10:BB$11,Предпосылки!$I$213,),0),BB338/(1+IFERROR(INDEX(BB$10:BB$11,Предпосылки!$I$214,),0))*IFERROR(INDEX(BB$10:BB$11,Предпосылки!$I$214,),0),BB361/(1+IFERROR(INDEX(BB$10:BB$11,Предпосылки!$I$215,),0))*IFERROR(INDEX(BB$10:BB$11,Предпосылки!$I$215,),0),BB384/(1+IFERROR(INDEX(BB$10:BB$11,Предпосылки!$I$216,),0))*IFERROR(INDEX(BB$10:BB$11,Предпосылки!$I$216,),0),BB407/(1+IFERROR(INDEX(BB$10:BB$11,Предпосылки!$I$217,),0))*IFERROR(INDEX(BB$10:BB$11,Предпосылки!$I$217,),0),BB430/(1+IFERROR(INDEX(BB$10:BB$11,Предпосылки!$I$218,),0))*IFERROR(INDEX(BB$10:BB$11,Предпосылки!$I$218,),0),BB453/(1+IFERROR(INDEX(BB$10:BB$11,Предпосылки!$I$219,),0))*IFERROR(INDEX(BB$10:BB$11,Предпосылки!$I$219,),0),BB476/(1+IFERROR(INDEX(BB$10:BB$11,Предпосылки!$I$220,),0))*IFERROR(INDEX(BB$10:BB$11,Предпосылки!$I$220,),0))</f>
        <v>0</v>
      </c>
      <c s="125">
        <f>SUM(BC39/(1+IFERROR(INDEX(BC$10:BC$11,Предпосылки!$I$201,),0))*IFERROR(INDEX(BC$10:BC$11,Предпосылки!$I$201,),0),BC62/(1+IFERROR(INDEX(BC$10:BC$11,Предпосылки!$I$202,),0))*IFERROR(INDEX(BC$10:BC$11,Предпосылки!$I$202,),0),BC85/(1+IFERROR(INDEX(BC$10:BC$11,Предпосылки!$I$203,),0))*IFERROR(INDEX(BC$10:BC$11,Предпосылки!$I$203,),0),BC108/(1+IFERROR(INDEX(BC$10:BC$11,Предпосылки!$I$204,),0))*IFERROR(INDEX(BC$10:BC$11,Предпосылки!$I$204,),0),BC131/(1+IFERROR(INDEX(BC$10:BC$11,Предпосылки!$I$205,),0))*IFERROR(INDEX(BC$10:BC$11,Предпосылки!$I$205,),0),BC154/(1+IFERROR(INDEX(BC$10:BC$11,Предпосылки!$I$206,),0))*IFERROR(INDEX(BC$10:BC$11,Предпосылки!$I$206,),0),BC177/(1+IFERROR(INDEX(BC$10:BC$11,Предпосылки!$I$207,),0))*IFERROR(INDEX(BC$10:BC$11,Предпосылки!$I$207,),0),BC200/(1+IFERROR(INDEX(BC$10:BC$11,Предпосылки!$I$208,),0))*IFERROR(INDEX(BC$10:BC$11,Предпосылки!$I$208,),0),BC223/(1+IFERROR(INDEX(BC$10:BC$11,Предпосылки!$I$209,),0))*IFERROR(INDEX(BC$10:BC$11,Предпосылки!$I$209,),0),BC246/(1+IFERROR(INDEX(BC$10:BC$11,Предпосылки!$I$210,),0))*IFERROR(INDEX(BC$10:BC$11,Предпосылки!$I$210,),0),BC269/(1+IFERROR(INDEX(BC$10:BC$11,Предпосылки!$I$211,),0))*IFERROR(INDEX(BC$10:BC$11,Предпосылки!$I$211,),0),BC292/(1+IFERROR(INDEX(BC$10:BC$11,Предпосылки!$I$212,),0))*IFERROR(INDEX(BC$10:BC$11,Предпосылки!$I$212,),0),BC315/(1+IFERROR(INDEX(BC$10:BC$11,Предпосылки!$I$213,),0))*IFERROR(INDEX(BC$10:BC$11,Предпосылки!$I$213,),0),BC338/(1+IFERROR(INDEX(BC$10:BC$11,Предпосылки!$I$214,),0))*IFERROR(INDEX(BC$10:BC$11,Предпосылки!$I$214,),0),BC361/(1+IFERROR(INDEX(BC$10:BC$11,Предпосылки!$I$215,),0))*IFERROR(INDEX(BC$10:BC$11,Предпосылки!$I$215,),0),BC384/(1+IFERROR(INDEX(BC$10:BC$11,Предпосылки!$I$216,),0))*IFERROR(INDEX(BC$10:BC$11,Предпосылки!$I$216,),0),BC407/(1+IFERROR(INDEX(BC$10:BC$11,Предпосылки!$I$217,),0))*IFERROR(INDEX(BC$10:BC$11,Предпосылки!$I$217,),0),BC430/(1+IFERROR(INDEX(BC$10:BC$11,Предпосылки!$I$218,),0))*IFERROR(INDEX(BC$10:BC$11,Предпосылки!$I$218,),0),BC453/(1+IFERROR(INDEX(BC$10:BC$11,Предпосылки!$I$219,),0))*IFERROR(INDEX(BC$10:BC$11,Предпосылки!$I$219,),0),BC476/(1+IFERROR(INDEX(BC$10:BC$11,Предпосылки!$I$220,),0))*IFERROR(INDEX(BC$10:BC$11,Предпосылки!$I$220,),0))</f>
        <v>0</v>
      </c>
      <c s="125">
        <f>SUM(BD39/(1+IFERROR(INDEX(BD$10:BD$11,Предпосылки!$I$201,),0))*IFERROR(INDEX(BD$10:BD$11,Предпосылки!$I$201,),0),BD62/(1+IFERROR(INDEX(BD$10:BD$11,Предпосылки!$I$202,),0))*IFERROR(INDEX(BD$10:BD$11,Предпосылки!$I$202,),0),BD85/(1+IFERROR(INDEX(BD$10:BD$11,Предпосылки!$I$203,),0))*IFERROR(INDEX(BD$10:BD$11,Предпосылки!$I$203,),0),BD108/(1+IFERROR(INDEX(BD$10:BD$11,Предпосылки!$I$204,),0))*IFERROR(INDEX(BD$10:BD$11,Предпосылки!$I$204,),0),BD131/(1+IFERROR(INDEX(BD$10:BD$11,Предпосылки!$I$205,),0))*IFERROR(INDEX(BD$10:BD$11,Предпосылки!$I$205,),0),BD154/(1+IFERROR(INDEX(BD$10:BD$11,Предпосылки!$I$206,),0))*IFERROR(INDEX(BD$10:BD$11,Предпосылки!$I$206,),0),BD177/(1+IFERROR(INDEX(BD$10:BD$11,Предпосылки!$I$207,),0))*IFERROR(INDEX(BD$10:BD$11,Предпосылки!$I$207,),0),BD200/(1+IFERROR(INDEX(BD$10:BD$11,Предпосылки!$I$208,),0))*IFERROR(INDEX(BD$10:BD$11,Предпосылки!$I$208,),0),BD223/(1+IFERROR(INDEX(BD$10:BD$11,Предпосылки!$I$209,),0))*IFERROR(INDEX(BD$10:BD$11,Предпосылки!$I$209,),0),BD246/(1+IFERROR(INDEX(BD$10:BD$11,Предпосылки!$I$210,),0))*IFERROR(INDEX(BD$10:BD$11,Предпосылки!$I$210,),0),BD269/(1+IFERROR(INDEX(BD$10:BD$11,Предпосылки!$I$211,),0))*IFERROR(INDEX(BD$10:BD$11,Предпосылки!$I$211,),0),BD292/(1+IFERROR(INDEX(BD$10:BD$11,Предпосылки!$I$212,),0))*IFERROR(INDEX(BD$10:BD$11,Предпосылки!$I$212,),0),BD315/(1+IFERROR(INDEX(BD$10:BD$11,Предпосылки!$I$213,),0))*IFERROR(INDEX(BD$10:BD$11,Предпосылки!$I$213,),0),BD338/(1+IFERROR(INDEX(BD$10:BD$11,Предпосылки!$I$214,),0))*IFERROR(INDEX(BD$10:BD$11,Предпосылки!$I$214,),0),BD361/(1+IFERROR(INDEX(BD$10:BD$11,Предпосылки!$I$215,),0))*IFERROR(INDEX(BD$10:BD$11,Предпосылки!$I$215,),0),BD384/(1+IFERROR(INDEX(BD$10:BD$11,Предпосылки!$I$216,),0))*IFERROR(INDEX(BD$10:BD$11,Предпосылки!$I$216,),0),BD407/(1+IFERROR(INDEX(BD$10:BD$11,Предпосылки!$I$217,),0))*IFERROR(INDEX(BD$10:BD$11,Предпосылки!$I$217,),0),BD430/(1+IFERROR(INDEX(BD$10:BD$11,Предпосылки!$I$218,),0))*IFERROR(INDEX(BD$10:BD$11,Предпосылки!$I$218,),0),BD453/(1+IFERROR(INDEX(BD$10:BD$11,Предпосылки!$I$219,),0))*IFERROR(INDEX(BD$10:BD$11,Предпосылки!$I$219,),0),BD476/(1+IFERROR(INDEX(BD$10:BD$11,Предпосылки!$I$220,),0))*IFERROR(INDEX(BD$10:BD$11,Предпосылки!$I$220,),0))</f>
        <v>0</v>
      </c>
      <c s="125">
        <f>SUM(BE39/(1+IFERROR(INDEX(BE$10:BE$11,Предпосылки!$I$201,),0))*IFERROR(INDEX(BE$10:BE$11,Предпосылки!$I$201,),0),BE62/(1+IFERROR(INDEX(BE$10:BE$11,Предпосылки!$I$202,),0))*IFERROR(INDEX(BE$10:BE$11,Предпосылки!$I$202,),0),BE85/(1+IFERROR(INDEX(BE$10:BE$11,Предпосылки!$I$203,),0))*IFERROR(INDEX(BE$10:BE$11,Предпосылки!$I$203,),0),BE108/(1+IFERROR(INDEX(BE$10:BE$11,Предпосылки!$I$204,),0))*IFERROR(INDEX(BE$10:BE$11,Предпосылки!$I$204,),0),BE131/(1+IFERROR(INDEX(BE$10:BE$11,Предпосылки!$I$205,),0))*IFERROR(INDEX(BE$10:BE$11,Предпосылки!$I$205,),0),BE154/(1+IFERROR(INDEX(BE$10:BE$11,Предпосылки!$I$206,),0))*IFERROR(INDEX(BE$10:BE$11,Предпосылки!$I$206,),0),BE177/(1+IFERROR(INDEX(BE$10:BE$11,Предпосылки!$I$207,),0))*IFERROR(INDEX(BE$10:BE$11,Предпосылки!$I$207,),0),BE200/(1+IFERROR(INDEX(BE$10:BE$11,Предпосылки!$I$208,),0))*IFERROR(INDEX(BE$10:BE$11,Предпосылки!$I$208,),0),BE223/(1+IFERROR(INDEX(BE$10:BE$11,Предпосылки!$I$209,),0))*IFERROR(INDEX(BE$10:BE$11,Предпосылки!$I$209,),0),BE246/(1+IFERROR(INDEX(BE$10:BE$11,Предпосылки!$I$210,),0))*IFERROR(INDEX(BE$10:BE$11,Предпосылки!$I$210,),0),BE269/(1+IFERROR(INDEX(BE$10:BE$11,Предпосылки!$I$211,),0))*IFERROR(INDEX(BE$10:BE$11,Предпосылки!$I$211,),0),BE292/(1+IFERROR(INDEX(BE$10:BE$11,Предпосылки!$I$212,),0))*IFERROR(INDEX(BE$10:BE$11,Предпосылки!$I$212,),0),BE315/(1+IFERROR(INDEX(BE$10:BE$11,Предпосылки!$I$213,),0))*IFERROR(INDEX(BE$10:BE$11,Предпосылки!$I$213,),0),BE338/(1+IFERROR(INDEX(BE$10:BE$11,Предпосылки!$I$214,),0))*IFERROR(INDEX(BE$10:BE$11,Предпосылки!$I$214,),0),BE361/(1+IFERROR(INDEX(BE$10:BE$11,Предпосылки!$I$215,),0))*IFERROR(INDEX(BE$10:BE$11,Предпосылки!$I$215,),0),BE384/(1+IFERROR(INDEX(BE$10:BE$11,Предпосылки!$I$216,),0))*IFERROR(INDEX(BE$10:BE$11,Предпосылки!$I$216,),0),BE407/(1+IFERROR(INDEX(BE$10:BE$11,Предпосылки!$I$217,),0))*IFERROR(INDEX(BE$10:BE$11,Предпосылки!$I$217,),0),BE430/(1+IFERROR(INDEX(BE$10:BE$11,Предпосылки!$I$218,),0))*IFERROR(INDEX(BE$10:BE$11,Предпосылки!$I$218,),0),BE453/(1+IFERROR(INDEX(BE$10:BE$11,Предпосылки!$I$219,),0))*IFERROR(INDEX(BE$10:BE$11,Предпосылки!$I$219,),0),BE476/(1+IFERROR(INDEX(BE$10:BE$11,Предпосылки!$I$220,),0))*IFERROR(INDEX(BE$10:BE$11,Предпосылки!$I$220,),0))</f>
        <v>0</v>
      </c>
      <c s="125">
        <f>SUM(BF39/(1+IFERROR(INDEX(BF$10:BF$11,Предпосылки!$I$201,),0))*IFERROR(INDEX(BF$10:BF$11,Предпосылки!$I$201,),0),BF62/(1+IFERROR(INDEX(BF$10:BF$11,Предпосылки!$I$202,),0))*IFERROR(INDEX(BF$10:BF$11,Предпосылки!$I$202,),0),BF85/(1+IFERROR(INDEX(BF$10:BF$11,Предпосылки!$I$203,),0))*IFERROR(INDEX(BF$10:BF$11,Предпосылки!$I$203,),0),BF108/(1+IFERROR(INDEX(BF$10:BF$11,Предпосылки!$I$204,),0))*IFERROR(INDEX(BF$10:BF$11,Предпосылки!$I$204,),0),BF131/(1+IFERROR(INDEX(BF$10:BF$11,Предпосылки!$I$205,),0))*IFERROR(INDEX(BF$10:BF$11,Предпосылки!$I$205,),0),BF154/(1+IFERROR(INDEX(BF$10:BF$11,Предпосылки!$I$206,),0))*IFERROR(INDEX(BF$10:BF$11,Предпосылки!$I$206,),0),BF177/(1+IFERROR(INDEX(BF$10:BF$11,Предпосылки!$I$207,),0))*IFERROR(INDEX(BF$10:BF$11,Предпосылки!$I$207,),0),BF200/(1+IFERROR(INDEX(BF$10:BF$11,Предпосылки!$I$208,),0))*IFERROR(INDEX(BF$10:BF$11,Предпосылки!$I$208,),0),BF223/(1+IFERROR(INDEX(BF$10:BF$11,Предпосылки!$I$209,),0))*IFERROR(INDEX(BF$10:BF$11,Предпосылки!$I$209,),0),BF246/(1+IFERROR(INDEX(BF$10:BF$11,Предпосылки!$I$210,),0))*IFERROR(INDEX(BF$10:BF$11,Предпосылки!$I$210,),0),BF269/(1+IFERROR(INDEX(BF$10:BF$11,Предпосылки!$I$211,),0))*IFERROR(INDEX(BF$10:BF$11,Предпосылки!$I$211,),0),BF292/(1+IFERROR(INDEX(BF$10:BF$11,Предпосылки!$I$212,),0))*IFERROR(INDEX(BF$10:BF$11,Предпосылки!$I$212,),0),BF315/(1+IFERROR(INDEX(BF$10:BF$11,Предпосылки!$I$213,),0))*IFERROR(INDEX(BF$10:BF$11,Предпосылки!$I$213,),0),BF338/(1+IFERROR(INDEX(BF$10:BF$11,Предпосылки!$I$214,),0))*IFERROR(INDEX(BF$10:BF$11,Предпосылки!$I$214,),0),BF361/(1+IFERROR(INDEX(BF$10:BF$11,Предпосылки!$I$215,),0))*IFERROR(INDEX(BF$10:BF$11,Предпосылки!$I$215,),0),BF384/(1+IFERROR(INDEX(BF$10:BF$11,Предпосылки!$I$216,),0))*IFERROR(INDEX(BF$10:BF$11,Предпосылки!$I$216,),0),BF407/(1+IFERROR(INDEX(BF$10:BF$11,Предпосылки!$I$217,),0))*IFERROR(INDEX(BF$10:BF$11,Предпосылки!$I$217,),0),BF430/(1+IFERROR(INDEX(BF$10:BF$11,Предпосылки!$I$218,),0))*IFERROR(INDEX(BF$10:BF$11,Предпосылки!$I$218,),0),BF453/(1+IFERROR(INDEX(BF$10:BF$11,Предпосылки!$I$219,),0))*IFERROR(INDEX(BF$10:BF$11,Предпосылки!$I$219,),0),BF476/(1+IFERROR(INDEX(BF$10:BF$11,Предпосылки!$I$220,),0))*IFERROR(INDEX(BF$10:BF$11,Предпосылки!$I$220,),0))</f>
        <v>0</v>
      </c>
      <c s="125">
        <f>SUM(BG39/(1+IFERROR(INDEX(BG$10:BG$11,Предпосылки!$I$201,),0))*IFERROR(INDEX(BG$10:BG$11,Предпосылки!$I$201,),0),BG62/(1+IFERROR(INDEX(BG$10:BG$11,Предпосылки!$I$202,),0))*IFERROR(INDEX(BG$10:BG$11,Предпосылки!$I$202,),0),BG85/(1+IFERROR(INDEX(BG$10:BG$11,Предпосылки!$I$203,),0))*IFERROR(INDEX(BG$10:BG$11,Предпосылки!$I$203,),0),BG108/(1+IFERROR(INDEX(BG$10:BG$11,Предпосылки!$I$204,),0))*IFERROR(INDEX(BG$10:BG$11,Предпосылки!$I$204,),0),BG131/(1+IFERROR(INDEX(BG$10:BG$11,Предпосылки!$I$205,),0))*IFERROR(INDEX(BG$10:BG$11,Предпосылки!$I$205,),0),BG154/(1+IFERROR(INDEX(BG$10:BG$11,Предпосылки!$I$206,),0))*IFERROR(INDEX(BG$10:BG$11,Предпосылки!$I$206,),0),BG177/(1+IFERROR(INDEX(BG$10:BG$11,Предпосылки!$I$207,),0))*IFERROR(INDEX(BG$10:BG$11,Предпосылки!$I$207,),0),BG200/(1+IFERROR(INDEX(BG$10:BG$11,Предпосылки!$I$208,),0))*IFERROR(INDEX(BG$10:BG$11,Предпосылки!$I$208,),0),BG223/(1+IFERROR(INDEX(BG$10:BG$11,Предпосылки!$I$209,),0))*IFERROR(INDEX(BG$10:BG$11,Предпосылки!$I$209,),0),BG246/(1+IFERROR(INDEX(BG$10:BG$11,Предпосылки!$I$210,),0))*IFERROR(INDEX(BG$10:BG$11,Предпосылки!$I$210,),0),BG269/(1+IFERROR(INDEX(BG$10:BG$11,Предпосылки!$I$211,),0))*IFERROR(INDEX(BG$10:BG$11,Предпосылки!$I$211,),0),BG292/(1+IFERROR(INDEX(BG$10:BG$11,Предпосылки!$I$212,),0))*IFERROR(INDEX(BG$10:BG$11,Предпосылки!$I$212,),0),BG315/(1+IFERROR(INDEX(BG$10:BG$11,Предпосылки!$I$213,),0))*IFERROR(INDEX(BG$10:BG$11,Предпосылки!$I$213,),0),BG338/(1+IFERROR(INDEX(BG$10:BG$11,Предпосылки!$I$214,),0))*IFERROR(INDEX(BG$10:BG$11,Предпосылки!$I$214,),0),BG361/(1+IFERROR(INDEX(BG$10:BG$11,Предпосылки!$I$215,),0))*IFERROR(INDEX(BG$10:BG$11,Предпосылки!$I$215,),0),BG384/(1+IFERROR(INDEX(BG$10:BG$11,Предпосылки!$I$216,),0))*IFERROR(INDEX(BG$10:BG$11,Предпосылки!$I$216,),0),BG407/(1+IFERROR(INDEX(BG$10:BG$11,Предпосылки!$I$217,),0))*IFERROR(INDEX(BG$10:BG$11,Предпосылки!$I$217,),0),BG430/(1+IFERROR(INDEX(BG$10:BG$11,Предпосылки!$I$218,),0))*IFERROR(INDEX(BG$10:BG$11,Предпосылки!$I$218,),0),BG453/(1+IFERROR(INDEX(BG$10:BG$11,Предпосылки!$I$219,),0))*IFERROR(INDEX(BG$10:BG$11,Предпосылки!$I$219,),0),BG476/(1+IFERROR(INDEX(BG$10:BG$11,Предпосылки!$I$220,),0))*IFERROR(INDEX(BG$10:BG$11,Предпосылки!$I$220,),0))</f>
        <v>0</v>
      </c>
      <c s="125">
        <f>SUM(BH39/(1+IFERROR(INDEX(BH$10:BH$11,Предпосылки!$I$201,),0))*IFERROR(INDEX(BH$10:BH$11,Предпосылки!$I$201,),0),BH62/(1+IFERROR(INDEX(BH$10:BH$11,Предпосылки!$I$202,),0))*IFERROR(INDEX(BH$10:BH$11,Предпосылки!$I$202,),0),BH85/(1+IFERROR(INDEX(BH$10:BH$11,Предпосылки!$I$203,),0))*IFERROR(INDEX(BH$10:BH$11,Предпосылки!$I$203,),0),BH108/(1+IFERROR(INDEX(BH$10:BH$11,Предпосылки!$I$204,),0))*IFERROR(INDEX(BH$10:BH$11,Предпосылки!$I$204,),0),BH131/(1+IFERROR(INDEX(BH$10:BH$11,Предпосылки!$I$205,),0))*IFERROR(INDEX(BH$10:BH$11,Предпосылки!$I$205,),0),BH154/(1+IFERROR(INDEX(BH$10:BH$11,Предпосылки!$I$206,),0))*IFERROR(INDEX(BH$10:BH$11,Предпосылки!$I$206,),0),BH177/(1+IFERROR(INDEX(BH$10:BH$11,Предпосылки!$I$207,),0))*IFERROR(INDEX(BH$10:BH$11,Предпосылки!$I$207,),0),BH200/(1+IFERROR(INDEX(BH$10:BH$11,Предпосылки!$I$208,),0))*IFERROR(INDEX(BH$10:BH$11,Предпосылки!$I$208,),0),BH223/(1+IFERROR(INDEX(BH$10:BH$11,Предпосылки!$I$209,),0))*IFERROR(INDEX(BH$10:BH$11,Предпосылки!$I$209,),0),BH246/(1+IFERROR(INDEX(BH$10:BH$11,Предпосылки!$I$210,),0))*IFERROR(INDEX(BH$10:BH$11,Предпосылки!$I$210,),0),BH269/(1+IFERROR(INDEX(BH$10:BH$11,Предпосылки!$I$211,),0))*IFERROR(INDEX(BH$10:BH$11,Предпосылки!$I$211,),0),BH292/(1+IFERROR(INDEX(BH$10:BH$11,Предпосылки!$I$212,),0))*IFERROR(INDEX(BH$10:BH$11,Предпосылки!$I$212,),0),BH315/(1+IFERROR(INDEX(BH$10:BH$11,Предпосылки!$I$213,),0))*IFERROR(INDEX(BH$10:BH$11,Предпосылки!$I$213,),0),BH338/(1+IFERROR(INDEX(BH$10:BH$11,Предпосылки!$I$214,),0))*IFERROR(INDEX(BH$10:BH$11,Предпосылки!$I$214,),0),BH361/(1+IFERROR(INDEX(BH$10:BH$11,Предпосылки!$I$215,),0))*IFERROR(INDEX(BH$10:BH$11,Предпосылки!$I$215,),0),BH384/(1+IFERROR(INDEX(BH$10:BH$11,Предпосылки!$I$216,),0))*IFERROR(INDEX(BH$10:BH$11,Предпосылки!$I$216,),0),BH407/(1+IFERROR(INDEX(BH$10:BH$11,Предпосылки!$I$217,),0))*IFERROR(INDEX(BH$10:BH$11,Предпосылки!$I$217,),0),BH430/(1+IFERROR(INDEX(BH$10:BH$11,Предпосылки!$I$218,),0))*IFERROR(INDEX(BH$10:BH$11,Предпосылки!$I$218,),0),BH453/(1+IFERROR(INDEX(BH$10:BH$11,Предпосылки!$I$219,),0))*IFERROR(INDEX(BH$10:BH$11,Предпосылки!$I$219,),0),BH476/(1+IFERROR(INDEX(BH$10:BH$11,Предпосылки!$I$220,),0))*IFERROR(INDEX(BH$10:BH$11,Предпосылки!$I$220,),0))</f>
        <v>0</v>
      </c>
      <c s="125">
        <f>SUM(BI39/(1+IFERROR(INDEX(BI$10:BI$11,Предпосылки!$I$201,),0))*IFERROR(INDEX(BI$10:BI$11,Предпосылки!$I$201,),0),BI62/(1+IFERROR(INDEX(BI$10:BI$11,Предпосылки!$I$202,),0))*IFERROR(INDEX(BI$10:BI$11,Предпосылки!$I$202,),0),BI85/(1+IFERROR(INDEX(BI$10:BI$11,Предпосылки!$I$203,),0))*IFERROR(INDEX(BI$10:BI$11,Предпосылки!$I$203,),0),BI108/(1+IFERROR(INDEX(BI$10:BI$11,Предпосылки!$I$204,),0))*IFERROR(INDEX(BI$10:BI$11,Предпосылки!$I$204,),0),BI131/(1+IFERROR(INDEX(BI$10:BI$11,Предпосылки!$I$205,),0))*IFERROR(INDEX(BI$10:BI$11,Предпосылки!$I$205,),0),BI154/(1+IFERROR(INDEX(BI$10:BI$11,Предпосылки!$I$206,),0))*IFERROR(INDEX(BI$10:BI$11,Предпосылки!$I$206,),0),BI177/(1+IFERROR(INDEX(BI$10:BI$11,Предпосылки!$I$207,),0))*IFERROR(INDEX(BI$10:BI$11,Предпосылки!$I$207,),0),BI200/(1+IFERROR(INDEX(BI$10:BI$11,Предпосылки!$I$208,),0))*IFERROR(INDEX(BI$10:BI$11,Предпосылки!$I$208,),0),BI223/(1+IFERROR(INDEX(BI$10:BI$11,Предпосылки!$I$209,),0))*IFERROR(INDEX(BI$10:BI$11,Предпосылки!$I$209,),0),BI246/(1+IFERROR(INDEX(BI$10:BI$11,Предпосылки!$I$210,),0))*IFERROR(INDEX(BI$10:BI$11,Предпосылки!$I$210,),0),BI269/(1+IFERROR(INDEX(BI$10:BI$11,Предпосылки!$I$211,),0))*IFERROR(INDEX(BI$10:BI$11,Предпосылки!$I$211,),0),BI292/(1+IFERROR(INDEX(BI$10:BI$11,Предпосылки!$I$212,),0))*IFERROR(INDEX(BI$10:BI$11,Предпосылки!$I$212,),0),BI315/(1+IFERROR(INDEX(BI$10:BI$11,Предпосылки!$I$213,),0))*IFERROR(INDEX(BI$10:BI$11,Предпосылки!$I$213,),0),BI338/(1+IFERROR(INDEX(BI$10:BI$11,Предпосылки!$I$214,),0))*IFERROR(INDEX(BI$10:BI$11,Предпосылки!$I$214,),0),BI361/(1+IFERROR(INDEX(BI$10:BI$11,Предпосылки!$I$215,),0))*IFERROR(INDEX(BI$10:BI$11,Предпосылки!$I$215,),0),BI384/(1+IFERROR(INDEX(BI$10:BI$11,Предпосылки!$I$216,),0))*IFERROR(INDEX(BI$10:BI$11,Предпосылки!$I$216,),0),BI407/(1+IFERROR(INDEX(BI$10:BI$11,Предпосылки!$I$217,),0))*IFERROR(INDEX(BI$10:BI$11,Предпосылки!$I$217,),0),BI430/(1+IFERROR(INDEX(BI$10:BI$11,Предпосылки!$I$218,),0))*IFERROR(INDEX(BI$10:BI$11,Предпосылки!$I$218,),0),BI453/(1+IFERROR(INDEX(BI$10:BI$11,Предпосылки!$I$219,),0))*IFERROR(INDEX(BI$10:BI$11,Предпосылки!$I$219,),0),BI476/(1+IFERROR(INDEX(BI$10:BI$11,Предпосылки!$I$220,),0))*IFERROR(INDEX(BI$10:BI$11,Предпосылки!$I$220,),0))</f>
        <v>0</v>
      </c>
      <c s="125">
        <f>SUM(BJ39/(1+IFERROR(INDEX(BJ$10:BJ$11,Предпосылки!$I$201,),0))*IFERROR(INDEX(BJ$10:BJ$11,Предпосылки!$I$201,),0),BJ62/(1+IFERROR(INDEX(BJ$10:BJ$11,Предпосылки!$I$202,),0))*IFERROR(INDEX(BJ$10:BJ$11,Предпосылки!$I$202,),0),BJ85/(1+IFERROR(INDEX(BJ$10:BJ$11,Предпосылки!$I$203,),0))*IFERROR(INDEX(BJ$10:BJ$11,Предпосылки!$I$203,),0),BJ108/(1+IFERROR(INDEX(BJ$10:BJ$11,Предпосылки!$I$204,),0))*IFERROR(INDEX(BJ$10:BJ$11,Предпосылки!$I$204,),0),BJ131/(1+IFERROR(INDEX(BJ$10:BJ$11,Предпосылки!$I$205,),0))*IFERROR(INDEX(BJ$10:BJ$11,Предпосылки!$I$205,),0),BJ154/(1+IFERROR(INDEX(BJ$10:BJ$11,Предпосылки!$I$206,),0))*IFERROR(INDEX(BJ$10:BJ$11,Предпосылки!$I$206,),0),BJ177/(1+IFERROR(INDEX(BJ$10:BJ$11,Предпосылки!$I$207,),0))*IFERROR(INDEX(BJ$10:BJ$11,Предпосылки!$I$207,),0),BJ200/(1+IFERROR(INDEX(BJ$10:BJ$11,Предпосылки!$I$208,),0))*IFERROR(INDEX(BJ$10:BJ$11,Предпосылки!$I$208,),0),BJ223/(1+IFERROR(INDEX(BJ$10:BJ$11,Предпосылки!$I$209,),0))*IFERROR(INDEX(BJ$10:BJ$11,Предпосылки!$I$209,),0),BJ246/(1+IFERROR(INDEX(BJ$10:BJ$11,Предпосылки!$I$210,),0))*IFERROR(INDEX(BJ$10:BJ$11,Предпосылки!$I$210,),0),BJ269/(1+IFERROR(INDEX(BJ$10:BJ$11,Предпосылки!$I$211,),0))*IFERROR(INDEX(BJ$10:BJ$11,Предпосылки!$I$211,),0),BJ292/(1+IFERROR(INDEX(BJ$10:BJ$11,Предпосылки!$I$212,),0))*IFERROR(INDEX(BJ$10:BJ$11,Предпосылки!$I$212,),0),BJ315/(1+IFERROR(INDEX(BJ$10:BJ$11,Предпосылки!$I$213,),0))*IFERROR(INDEX(BJ$10:BJ$11,Предпосылки!$I$213,),0),BJ338/(1+IFERROR(INDEX(BJ$10:BJ$11,Предпосылки!$I$214,),0))*IFERROR(INDEX(BJ$10:BJ$11,Предпосылки!$I$214,),0),BJ361/(1+IFERROR(INDEX(BJ$10:BJ$11,Предпосылки!$I$215,),0))*IFERROR(INDEX(BJ$10:BJ$11,Предпосылки!$I$215,),0),BJ384/(1+IFERROR(INDEX(BJ$10:BJ$11,Предпосылки!$I$216,),0))*IFERROR(INDEX(BJ$10:BJ$11,Предпосылки!$I$216,),0),BJ407/(1+IFERROR(INDEX(BJ$10:BJ$11,Предпосылки!$I$217,),0))*IFERROR(INDEX(BJ$10:BJ$11,Предпосылки!$I$217,),0),BJ430/(1+IFERROR(INDEX(BJ$10:BJ$11,Предпосылки!$I$218,),0))*IFERROR(INDEX(BJ$10:BJ$11,Предпосылки!$I$218,),0),BJ453/(1+IFERROR(INDEX(BJ$10:BJ$11,Предпосылки!$I$219,),0))*IFERROR(INDEX(BJ$10:BJ$11,Предпосылки!$I$219,),0),BJ476/(1+IFERROR(INDEX(BJ$10:BJ$11,Предпосылки!$I$220,),0))*IFERROR(INDEX(BJ$10:BJ$11,Предпосылки!$I$220,),0))</f>
        <v>0</v>
      </c>
      <c s="125">
        <f>SUM(BK39/(1+IFERROR(INDEX(BK$10:BK$11,Предпосылки!$I$201,),0))*IFERROR(INDEX(BK$10:BK$11,Предпосылки!$I$201,),0),BK62/(1+IFERROR(INDEX(BK$10:BK$11,Предпосылки!$I$202,),0))*IFERROR(INDEX(BK$10:BK$11,Предпосылки!$I$202,),0),BK85/(1+IFERROR(INDEX(BK$10:BK$11,Предпосылки!$I$203,),0))*IFERROR(INDEX(BK$10:BK$11,Предпосылки!$I$203,),0),BK108/(1+IFERROR(INDEX(BK$10:BK$11,Предпосылки!$I$204,),0))*IFERROR(INDEX(BK$10:BK$11,Предпосылки!$I$204,),0),BK131/(1+IFERROR(INDEX(BK$10:BK$11,Предпосылки!$I$205,),0))*IFERROR(INDEX(BK$10:BK$11,Предпосылки!$I$205,),0),BK154/(1+IFERROR(INDEX(BK$10:BK$11,Предпосылки!$I$206,),0))*IFERROR(INDEX(BK$10:BK$11,Предпосылки!$I$206,),0),BK177/(1+IFERROR(INDEX(BK$10:BK$11,Предпосылки!$I$207,),0))*IFERROR(INDEX(BK$10:BK$11,Предпосылки!$I$207,),0),BK200/(1+IFERROR(INDEX(BK$10:BK$11,Предпосылки!$I$208,),0))*IFERROR(INDEX(BK$10:BK$11,Предпосылки!$I$208,),0),BK223/(1+IFERROR(INDEX(BK$10:BK$11,Предпосылки!$I$209,),0))*IFERROR(INDEX(BK$10:BK$11,Предпосылки!$I$209,),0),BK246/(1+IFERROR(INDEX(BK$10:BK$11,Предпосылки!$I$210,),0))*IFERROR(INDEX(BK$10:BK$11,Предпосылки!$I$210,),0),BK269/(1+IFERROR(INDEX(BK$10:BK$11,Предпосылки!$I$211,),0))*IFERROR(INDEX(BK$10:BK$11,Предпосылки!$I$211,),0),BK292/(1+IFERROR(INDEX(BK$10:BK$11,Предпосылки!$I$212,),0))*IFERROR(INDEX(BK$10:BK$11,Предпосылки!$I$212,),0),BK315/(1+IFERROR(INDEX(BK$10:BK$11,Предпосылки!$I$213,),0))*IFERROR(INDEX(BK$10:BK$11,Предпосылки!$I$213,),0),BK338/(1+IFERROR(INDEX(BK$10:BK$11,Предпосылки!$I$214,),0))*IFERROR(INDEX(BK$10:BK$11,Предпосылки!$I$214,),0),BK361/(1+IFERROR(INDEX(BK$10:BK$11,Предпосылки!$I$215,),0))*IFERROR(INDEX(BK$10:BK$11,Предпосылки!$I$215,),0),BK384/(1+IFERROR(INDEX(BK$10:BK$11,Предпосылки!$I$216,),0))*IFERROR(INDEX(BK$10:BK$11,Предпосылки!$I$216,),0),BK407/(1+IFERROR(INDEX(BK$10:BK$11,Предпосылки!$I$217,),0))*IFERROR(INDEX(BK$10:BK$11,Предпосылки!$I$217,),0),BK430/(1+IFERROR(INDEX(BK$10:BK$11,Предпосылки!$I$218,),0))*IFERROR(INDEX(BK$10:BK$11,Предпосылки!$I$218,),0),BK453/(1+IFERROR(INDEX(BK$10:BK$11,Предпосылки!$I$219,),0))*IFERROR(INDEX(BK$10:BK$11,Предпосылки!$I$219,),0),BK476/(1+IFERROR(INDEX(BK$10:BK$11,Предпосылки!$I$220,),0))*IFERROR(INDEX(BK$10:BK$11,Предпосылки!$I$220,),0))</f>
        <v>0</v>
      </c>
      <c s="125">
        <f>SUM(BL39/(1+IFERROR(INDEX(BL$10:BL$11,Предпосылки!$I$201,),0))*IFERROR(INDEX(BL$10:BL$11,Предпосылки!$I$201,),0),BL62/(1+IFERROR(INDEX(BL$10:BL$11,Предпосылки!$I$202,),0))*IFERROR(INDEX(BL$10:BL$11,Предпосылки!$I$202,),0),BL85/(1+IFERROR(INDEX(BL$10:BL$11,Предпосылки!$I$203,),0))*IFERROR(INDEX(BL$10:BL$11,Предпосылки!$I$203,),0),BL108/(1+IFERROR(INDEX(BL$10:BL$11,Предпосылки!$I$204,),0))*IFERROR(INDEX(BL$10:BL$11,Предпосылки!$I$204,),0),BL131/(1+IFERROR(INDEX(BL$10:BL$11,Предпосылки!$I$205,),0))*IFERROR(INDEX(BL$10:BL$11,Предпосылки!$I$205,),0),BL154/(1+IFERROR(INDEX(BL$10:BL$11,Предпосылки!$I$206,),0))*IFERROR(INDEX(BL$10:BL$11,Предпосылки!$I$206,),0),BL177/(1+IFERROR(INDEX(BL$10:BL$11,Предпосылки!$I$207,),0))*IFERROR(INDEX(BL$10:BL$11,Предпосылки!$I$207,),0),BL200/(1+IFERROR(INDEX(BL$10:BL$11,Предпосылки!$I$208,),0))*IFERROR(INDEX(BL$10:BL$11,Предпосылки!$I$208,),0),BL223/(1+IFERROR(INDEX(BL$10:BL$11,Предпосылки!$I$209,),0))*IFERROR(INDEX(BL$10:BL$11,Предпосылки!$I$209,),0),BL246/(1+IFERROR(INDEX(BL$10:BL$11,Предпосылки!$I$210,),0))*IFERROR(INDEX(BL$10:BL$11,Предпосылки!$I$210,),0),BL269/(1+IFERROR(INDEX(BL$10:BL$11,Предпосылки!$I$211,),0))*IFERROR(INDEX(BL$10:BL$11,Предпосылки!$I$211,),0),BL292/(1+IFERROR(INDEX(BL$10:BL$11,Предпосылки!$I$212,),0))*IFERROR(INDEX(BL$10:BL$11,Предпосылки!$I$212,),0),BL315/(1+IFERROR(INDEX(BL$10:BL$11,Предпосылки!$I$213,),0))*IFERROR(INDEX(BL$10:BL$11,Предпосылки!$I$213,),0),BL338/(1+IFERROR(INDEX(BL$10:BL$11,Предпосылки!$I$214,),0))*IFERROR(INDEX(BL$10:BL$11,Предпосылки!$I$214,),0),BL361/(1+IFERROR(INDEX(BL$10:BL$11,Предпосылки!$I$215,),0))*IFERROR(INDEX(BL$10:BL$11,Предпосылки!$I$215,),0),BL384/(1+IFERROR(INDEX(BL$10:BL$11,Предпосылки!$I$216,),0))*IFERROR(INDEX(BL$10:BL$11,Предпосылки!$I$216,),0),BL407/(1+IFERROR(INDEX(BL$10:BL$11,Предпосылки!$I$217,),0))*IFERROR(INDEX(BL$10:BL$11,Предпосылки!$I$217,),0),BL430/(1+IFERROR(INDEX(BL$10:BL$11,Предпосылки!$I$218,),0))*IFERROR(INDEX(BL$10:BL$11,Предпосылки!$I$218,),0),BL453/(1+IFERROR(INDEX(BL$10:BL$11,Предпосылки!$I$219,),0))*IFERROR(INDEX(BL$10:BL$11,Предпосылки!$I$219,),0),BL476/(1+IFERROR(INDEX(BL$10:BL$11,Предпосылки!$I$220,),0))*IFERROR(INDEX(BL$10:BL$11,Предпосылки!$I$220,),0))</f>
        <v>0</v>
      </c>
      <c s="125">
        <f>SUM(BM39/(1+IFERROR(INDEX(BM$10:BM$11,Предпосылки!$I$201,),0))*IFERROR(INDEX(BM$10:BM$11,Предпосылки!$I$201,),0),BM62/(1+IFERROR(INDEX(BM$10:BM$11,Предпосылки!$I$202,),0))*IFERROR(INDEX(BM$10:BM$11,Предпосылки!$I$202,),0),BM85/(1+IFERROR(INDEX(BM$10:BM$11,Предпосылки!$I$203,),0))*IFERROR(INDEX(BM$10:BM$11,Предпосылки!$I$203,),0),BM108/(1+IFERROR(INDEX(BM$10:BM$11,Предпосылки!$I$204,),0))*IFERROR(INDEX(BM$10:BM$11,Предпосылки!$I$204,),0),BM131/(1+IFERROR(INDEX(BM$10:BM$11,Предпосылки!$I$205,),0))*IFERROR(INDEX(BM$10:BM$11,Предпосылки!$I$205,),0),BM154/(1+IFERROR(INDEX(BM$10:BM$11,Предпосылки!$I$206,),0))*IFERROR(INDEX(BM$10:BM$11,Предпосылки!$I$206,),0),BM177/(1+IFERROR(INDEX(BM$10:BM$11,Предпосылки!$I$207,),0))*IFERROR(INDEX(BM$10:BM$11,Предпосылки!$I$207,),0),BM200/(1+IFERROR(INDEX(BM$10:BM$11,Предпосылки!$I$208,),0))*IFERROR(INDEX(BM$10:BM$11,Предпосылки!$I$208,),0),BM223/(1+IFERROR(INDEX(BM$10:BM$11,Предпосылки!$I$209,),0))*IFERROR(INDEX(BM$10:BM$11,Предпосылки!$I$209,),0),BM246/(1+IFERROR(INDEX(BM$10:BM$11,Предпосылки!$I$210,),0))*IFERROR(INDEX(BM$10:BM$11,Предпосылки!$I$210,),0),BM269/(1+IFERROR(INDEX(BM$10:BM$11,Предпосылки!$I$211,),0))*IFERROR(INDEX(BM$10:BM$11,Предпосылки!$I$211,),0),BM292/(1+IFERROR(INDEX(BM$10:BM$11,Предпосылки!$I$212,),0))*IFERROR(INDEX(BM$10:BM$11,Предпосылки!$I$212,),0),BM315/(1+IFERROR(INDEX(BM$10:BM$11,Предпосылки!$I$213,),0))*IFERROR(INDEX(BM$10:BM$11,Предпосылки!$I$213,),0),BM338/(1+IFERROR(INDEX(BM$10:BM$11,Предпосылки!$I$214,),0))*IFERROR(INDEX(BM$10:BM$11,Предпосылки!$I$214,),0),BM361/(1+IFERROR(INDEX(BM$10:BM$11,Предпосылки!$I$215,),0))*IFERROR(INDEX(BM$10:BM$11,Предпосылки!$I$215,),0),BM384/(1+IFERROR(INDEX(BM$10:BM$11,Предпосылки!$I$216,),0))*IFERROR(INDEX(BM$10:BM$11,Предпосылки!$I$216,),0),BM407/(1+IFERROR(INDEX(BM$10:BM$11,Предпосылки!$I$217,),0))*IFERROR(INDEX(BM$10:BM$11,Предпосылки!$I$217,),0),BM430/(1+IFERROR(INDEX(BM$10:BM$11,Предпосылки!$I$218,),0))*IFERROR(INDEX(BM$10:BM$11,Предпосылки!$I$218,),0),BM453/(1+IFERROR(INDEX(BM$10:BM$11,Предпосылки!$I$219,),0))*IFERROR(INDEX(BM$10:BM$11,Предпосылки!$I$219,),0),BM476/(1+IFERROR(INDEX(BM$10:BM$11,Предпосылки!$I$220,),0))*IFERROR(INDEX(BM$10:BM$11,Предпосылки!$I$220,),0))</f>
        <v>0</v>
      </c>
    </row>
    <row r="571" spans="2:65" ht="15" customHeight="1">
      <c r="B571" s="12" t="str">
        <f t="shared" si="255"/>
        <v>Продукт 18</v>
      </c>
      <c s="124" t="str">
        <f t="shared" si="254"/>
        <v>тыс. руб.</v>
      </c>
      <c s="276">
        <f t="shared" si="256"/>
        <v>0</v>
      </c>
      <c s="125">
        <f>SUM(E40/(1+IFERROR(INDEX(E$10:E$11,Предпосылки!$I218,),0))*IFERROR(INDEX(E$10:E$11,Предпосылки!$I218,),0),E63/(1+IFERROR(INDEX(E$10:E$11,Предпосылки!$I219,),0))*IFERROR(INDEX(E$10:E$11,Предпосылки!$I219,),0),E86/(1+IFERROR(INDEX(E$10:E$11,Предпосылки!$I220,),0))*IFERROR(INDEX(E$10:E$11,Предпосылки!$I220,),0),E109/(1+IFERROR(INDEX(E$10:E$11,Предпосылки!$I221,),0))*IFERROR(INDEX(E$10:E$11,Предпосылки!$I221,),0),E132/(1+IFERROR(INDEX(E$10:E$11,Предпосылки!$I222,),0))*IFERROR(INDEX(E$10:E$11,Предпосылки!$I222,),0),E155/(1+IFERROR(INDEX(E$10:E$11,Предпосылки!$I223,),0))*IFERROR(INDEX(E$10:E$11,Предпосылки!$I223,),0),E178/(1+IFERROR(INDEX(E$10:E$11,Предпосылки!$I224,),0))*IFERROR(INDEX(E$10:E$11,Предпосылки!$I224,),0),E201/(1+IFERROR(INDEX(E$10:E$11,Предпосылки!$I225,),0))*IFERROR(INDEX(E$10:E$11,Предпосылки!$I225,),0),E224/(1+IFERROR(INDEX(E$10:E$11,Предпосылки!$I226,),0))*IFERROR(INDEX(E$10:E$11,Предпосылки!$I226,),0),E247/(1+IFERROR(INDEX(E$10:E$11,Предпосылки!$I227,),0))*IFERROR(INDEX(E$10:E$11,Предпосылки!$I227,),0),E270/(1+IFERROR(INDEX(E$10:E$11,Предпосылки!$I228,),0))*IFERROR(INDEX(E$10:E$11,Предпосылки!$I228,),0),E293/(1+IFERROR(INDEX(E$10:E$11,Предпосылки!$I229,),0))*IFERROR(INDEX(E$10:E$11,Предпосылки!$I229,),0),E316/(1+IFERROR(INDEX(E$10:E$11,Предпосылки!$I230,),0))*IFERROR(INDEX(E$10:E$11,Предпосылки!$I230,),0),E339/(1+IFERROR(INDEX(E$10:E$11,Предпосылки!$I231,),0))*IFERROR(INDEX(E$10:E$11,Предпосылки!$I231,),0),E362/(1+IFERROR(INDEX(E$10:E$11,Предпосылки!$I232,),0))*IFERROR(INDEX(E$10:E$11,Предпосылки!$I232,),0),E385/(1+IFERROR(INDEX(E$10:E$11,Предпосылки!$I233,),0))*IFERROR(INDEX(E$10:E$11,Предпосылки!$I233,),0),E408/(1+IFERROR(INDEX(E$10:E$11,Предпосылки!$I234,),0))*IFERROR(INDEX(E$10:E$11,Предпосылки!$I234,),0),E431/(1+IFERROR(INDEX(E$10:E$11,Предпосылки!$I235,),0))*IFERROR(INDEX(E$10:E$11,Предпосылки!$I235,),0),E454/(1+IFERROR(INDEX(E$10:E$11,Предпосылки!$I236,),0))*IFERROR(INDEX(E$10:E$11,Предпосылки!$I236,),0),E477/(1+IFERROR(INDEX(E$10:E$11,Предпосылки!$I237,),0))*IFERROR(INDEX(E$10:E$11,Предпосылки!$I237,),0))</f>
        <v>0</v>
      </c>
      <c s="125">
        <f>SUM(F40/(1+IFERROR(INDEX(F$10:F$11,Предпосылки!$I$201,),0))*IFERROR(INDEX(F$10:F$11,Предпосылки!$I$201,),0),F63/(1+IFERROR(INDEX(F$10:F$11,Предпосылки!$I$202,),0))*IFERROR(INDEX(F$10:F$11,Предпосылки!$I$202,),0),F86/(1+IFERROR(INDEX(F$10:F$11,Предпосылки!$I$203,),0))*IFERROR(INDEX(F$10:F$11,Предпосылки!$I$203,),0),F109/(1+IFERROR(INDEX(F$10:F$11,Предпосылки!$I$204,),0))*IFERROR(INDEX(F$10:F$11,Предпосылки!$I$204,),0),F132/(1+IFERROR(INDEX(F$10:F$11,Предпосылки!$I$205,),0))*IFERROR(INDEX(F$10:F$11,Предпосылки!$I$205,),0),F155/(1+IFERROR(INDEX(F$10:F$11,Предпосылки!$I$206,),0))*IFERROR(INDEX(F$10:F$11,Предпосылки!$I$206,),0),F178/(1+IFERROR(INDEX(F$10:F$11,Предпосылки!$I$207,),0))*IFERROR(INDEX(F$10:F$11,Предпосылки!$I$207,),0),F201/(1+IFERROR(INDEX(F$10:F$11,Предпосылки!$I$208,),0))*IFERROR(INDEX(F$10:F$11,Предпосылки!$I$208,),0),F224/(1+IFERROR(INDEX(F$10:F$11,Предпосылки!$I$209,),0))*IFERROR(INDEX(F$10:F$11,Предпосылки!$I$209,),0),F247/(1+IFERROR(INDEX(F$10:F$11,Предпосылки!$I$210,),0))*IFERROR(INDEX(F$10:F$11,Предпосылки!$I$210,),0),F270/(1+IFERROR(INDEX(F$10:F$11,Предпосылки!$I$211,),0))*IFERROR(INDEX(F$10:F$11,Предпосылки!$I$211,),0),F293/(1+IFERROR(INDEX(F$10:F$11,Предпосылки!$I$212,),0))*IFERROR(INDEX(F$10:F$11,Предпосылки!$I$212,),0),F316/(1+IFERROR(INDEX(F$10:F$11,Предпосылки!$I$213,),0))*IFERROR(INDEX(F$10:F$11,Предпосылки!$I$213,),0),F339/(1+IFERROR(INDEX(F$10:F$11,Предпосылки!$I$214,),0))*IFERROR(INDEX(F$10:F$11,Предпосылки!$I$214,),0),F362/(1+IFERROR(INDEX(F$10:F$11,Предпосылки!$I$215,),0))*IFERROR(INDEX(F$10:F$11,Предпосылки!$I$215,),0),F385/(1+IFERROR(INDEX(F$10:F$11,Предпосылки!$I$216,),0))*IFERROR(INDEX(F$10:F$11,Предпосылки!$I$216,),0),F408/(1+IFERROR(INDEX(F$10:F$11,Предпосылки!$I$217,),0))*IFERROR(INDEX(F$10:F$11,Предпосылки!$I$217,),0),F431/(1+IFERROR(INDEX(F$10:F$11,Предпосылки!$I$218,),0))*IFERROR(INDEX(F$10:F$11,Предпосылки!$I$218,),0),F454/(1+IFERROR(INDEX(F$10:F$11,Предпосылки!$I$219,),0))*IFERROR(INDEX(F$10:F$11,Предпосылки!$I$219,),0),F477/(1+IFERROR(INDEX(F$10:F$11,Предпосылки!$I$220,),0))*IFERROR(INDEX(F$10:F$11,Предпосылки!$I$220,),0))</f>
        <v>0</v>
      </c>
      <c s="125">
        <f>SUM(G40/(1+IFERROR(INDEX(G$10:G$11,Предпосылки!$I$201,),0))*IFERROR(INDEX(G$10:G$11,Предпосылки!$I$201,),0),G63/(1+IFERROR(INDEX(G$10:G$11,Предпосылки!$I$202,),0))*IFERROR(INDEX(G$10:G$11,Предпосылки!$I$202,),0),G86/(1+IFERROR(INDEX(G$10:G$11,Предпосылки!$I$203,),0))*IFERROR(INDEX(G$10:G$11,Предпосылки!$I$203,),0),G109/(1+IFERROR(INDEX(G$10:G$11,Предпосылки!$I$204,),0))*IFERROR(INDEX(G$10:G$11,Предпосылки!$I$204,),0),G132/(1+IFERROR(INDEX(G$10:G$11,Предпосылки!$I$205,),0))*IFERROR(INDEX(G$10:G$11,Предпосылки!$I$205,),0),G155/(1+IFERROR(INDEX(G$10:G$11,Предпосылки!$I$206,),0))*IFERROR(INDEX(G$10:G$11,Предпосылки!$I$206,),0),G178/(1+IFERROR(INDEX(G$10:G$11,Предпосылки!$I$207,),0))*IFERROR(INDEX(G$10:G$11,Предпосылки!$I$207,),0),G201/(1+IFERROR(INDEX(G$10:G$11,Предпосылки!$I$208,),0))*IFERROR(INDEX(G$10:G$11,Предпосылки!$I$208,),0),G224/(1+IFERROR(INDEX(G$10:G$11,Предпосылки!$I$209,),0))*IFERROR(INDEX(G$10:G$11,Предпосылки!$I$209,),0),G247/(1+IFERROR(INDEX(G$10:G$11,Предпосылки!$I$210,),0))*IFERROR(INDEX(G$10:G$11,Предпосылки!$I$210,),0),G270/(1+IFERROR(INDEX(G$10:G$11,Предпосылки!$I$211,),0))*IFERROR(INDEX(G$10:G$11,Предпосылки!$I$211,),0),G293/(1+IFERROR(INDEX(G$10:G$11,Предпосылки!$I$212,),0))*IFERROR(INDEX(G$10:G$11,Предпосылки!$I$212,),0),G316/(1+IFERROR(INDEX(G$10:G$11,Предпосылки!$I$213,),0))*IFERROR(INDEX(G$10:G$11,Предпосылки!$I$213,),0),G339/(1+IFERROR(INDEX(G$10:G$11,Предпосылки!$I$214,),0))*IFERROR(INDEX(G$10:G$11,Предпосылки!$I$214,),0),G362/(1+IFERROR(INDEX(G$10:G$11,Предпосылки!$I$215,),0))*IFERROR(INDEX(G$10:G$11,Предпосылки!$I$215,),0),G385/(1+IFERROR(INDEX(G$10:G$11,Предпосылки!$I$216,),0))*IFERROR(INDEX(G$10:G$11,Предпосылки!$I$216,),0),G408/(1+IFERROR(INDEX(G$10:G$11,Предпосылки!$I$217,),0))*IFERROR(INDEX(G$10:G$11,Предпосылки!$I$217,),0),G431/(1+IFERROR(INDEX(G$10:G$11,Предпосылки!$I$218,),0))*IFERROR(INDEX(G$10:G$11,Предпосылки!$I$218,),0),G454/(1+IFERROR(INDEX(G$10:G$11,Предпосылки!$I$219,),0))*IFERROR(INDEX(G$10:G$11,Предпосылки!$I$219,),0),G477/(1+IFERROR(INDEX(G$10:G$11,Предпосылки!$I$220,),0))*IFERROR(INDEX(G$10:G$11,Предпосылки!$I$220,),0))</f>
        <v>0</v>
      </c>
      <c s="125">
        <f>SUM(H40/(1+IFERROR(INDEX(H$10:H$11,Предпосылки!$I$201,),0))*IFERROR(INDEX(H$10:H$11,Предпосылки!$I$201,),0),H63/(1+IFERROR(INDEX(H$10:H$11,Предпосылки!$I$202,),0))*IFERROR(INDEX(H$10:H$11,Предпосылки!$I$202,),0),H86/(1+IFERROR(INDEX(H$10:H$11,Предпосылки!$I$203,),0))*IFERROR(INDEX(H$10:H$11,Предпосылки!$I$203,),0),H109/(1+IFERROR(INDEX(H$10:H$11,Предпосылки!$I$204,),0))*IFERROR(INDEX(H$10:H$11,Предпосылки!$I$204,),0),H132/(1+IFERROR(INDEX(H$10:H$11,Предпосылки!$I$205,),0))*IFERROR(INDEX(H$10:H$11,Предпосылки!$I$205,),0),H155/(1+IFERROR(INDEX(H$10:H$11,Предпосылки!$I$206,),0))*IFERROR(INDEX(H$10:H$11,Предпосылки!$I$206,),0),H178/(1+IFERROR(INDEX(H$10:H$11,Предпосылки!$I$207,),0))*IFERROR(INDEX(H$10:H$11,Предпосылки!$I$207,),0),H201/(1+IFERROR(INDEX(H$10:H$11,Предпосылки!$I$208,),0))*IFERROR(INDEX(H$10:H$11,Предпосылки!$I$208,),0),H224/(1+IFERROR(INDEX(H$10:H$11,Предпосылки!$I$209,),0))*IFERROR(INDEX(H$10:H$11,Предпосылки!$I$209,),0),H247/(1+IFERROR(INDEX(H$10:H$11,Предпосылки!$I$210,),0))*IFERROR(INDEX(H$10:H$11,Предпосылки!$I$210,),0),H270/(1+IFERROR(INDEX(H$10:H$11,Предпосылки!$I$211,),0))*IFERROR(INDEX(H$10:H$11,Предпосылки!$I$211,),0),H293/(1+IFERROR(INDEX(H$10:H$11,Предпосылки!$I$212,),0))*IFERROR(INDEX(H$10:H$11,Предпосылки!$I$212,),0),H316/(1+IFERROR(INDEX(H$10:H$11,Предпосылки!$I$213,),0))*IFERROR(INDEX(H$10:H$11,Предпосылки!$I$213,),0),H339/(1+IFERROR(INDEX(H$10:H$11,Предпосылки!$I$214,),0))*IFERROR(INDEX(H$10:H$11,Предпосылки!$I$214,),0),H362/(1+IFERROR(INDEX(H$10:H$11,Предпосылки!$I$215,),0))*IFERROR(INDEX(H$10:H$11,Предпосылки!$I$215,),0),H385/(1+IFERROR(INDEX(H$10:H$11,Предпосылки!$I$216,),0))*IFERROR(INDEX(H$10:H$11,Предпосылки!$I$216,),0),H408/(1+IFERROR(INDEX(H$10:H$11,Предпосылки!$I$217,),0))*IFERROR(INDEX(H$10:H$11,Предпосылки!$I$217,),0),H431/(1+IFERROR(INDEX(H$10:H$11,Предпосылки!$I$218,),0))*IFERROR(INDEX(H$10:H$11,Предпосылки!$I$218,),0),H454/(1+IFERROR(INDEX(H$10:H$11,Предпосылки!$I$219,),0))*IFERROR(INDEX(H$10:H$11,Предпосылки!$I$219,),0),H477/(1+IFERROR(INDEX(H$10:H$11,Предпосылки!$I$220,),0))*IFERROR(INDEX(H$10:H$11,Предпосылки!$I$220,),0))</f>
        <v>0</v>
      </c>
      <c s="125">
        <f>SUM(I40/(1+IFERROR(INDEX(I$10:I$11,Предпосылки!$I$201,),0))*IFERROR(INDEX(I$10:I$11,Предпосылки!$I$201,),0),I63/(1+IFERROR(INDEX(I$10:I$11,Предпосылки!$I$202,),0))*IFERROR(INDEX(I$10:I$11,Предпосылки!$I$202,),0),I86/(1+IFERROR(INDEX(I$10:I$11,Предпосылки!$I$203,),0))*IFERROR(INDEX(I$10:I$11,Предпосылки!$I$203,),0),I109/(1+IFERROR(INDEX(I$10:I$11,Предпосылки!$I$204,),0))*IFERROR(INDEX(I$10:I$11,Предпосылки!$I$204,),0),I132/(1+IFERROR(INDEX(I$10:I$11,Предпосылки!$I$205,),0))*IFERROR(INDEX(I$10:I$11,Предпосылки!$I$205,),0),I155/(1+IFERROR(INDEX(I$10:I$11,Предпосылки!$I$206,),0))*IFERROR(INDEX(I$10:I$11,Предпосылки!$I$206,),0),I178/(1+IFERROR(INDEX(I$10:I$11,Предпосылки!$I$207,),0))*IFERROR(INDEX(I$10:I$11,Предпосылки!$I$207,),0),I201/(1+IFERROR(INDEX(I$10:I$11,Предпосылки!$I$208,),0))*IFERROR(INDEX(I$10:I$11,Предпосылки!$I$208,),0),I224/(1+IFERROR(INDEX(I$10:I$11,Предпосылки!$I$209,),0))*IFERROR(INDEX(I$10:I$11,Предпосылки!$I$209,),0),I247/(1+IFERROR(INDEX(I$10:I$11,Предпосылки!$I$210,),0))*IFERROR(INDEX(I$10:I$11,Предпосылки!$I$210,),0),I270/(1+IFERROR(INDEX(I$10:I$11,Предпосылки!$I$211,),0))*IFERROR(INDEX(I$10:I$11,Предпосылки!$I$211,),0),I293/(1+IFERROR(INDEX(I$10:I$11,Предпосылки!$I$212,),0))*IFERROR(INDEX(I$10:I$11,Предпосылки!$I$212,),0),I316/(1+IFERROR(INDEX(I$10:I$11,Предпосылки!$I$213,),0))*IFERROR(INDEX(I$10:I$11,Предпосылки!$I$213,),0),I339/(1+IFERROR(INDEX(I$10:I$11,Предпосылки!$I$214,),0))*IFERROR(INDEX(I$10:I$11,Предпосылки!$I$214,),0),I362/(1+IFERROR(INDEX(I$10:I$11,Предпосылки!$I$215,),0))*IFERROR(INDEX(I$10:I$11,Предпосылки!$I$215,),0),I385/(1+IFERROR(INDEX(I$10:I$11,Предпосылки!$I$216,),0))*IFERROR(INDEX(I$10:I$11,Предпосылки!$I$216,),0),I408/(1+IFERROR(INDEX(I$10:I$11,Предпосылки!$I$217,),0))*IFERROR(INDEX(I$10:I$11,Предпосылки!$I$217,),0),I431/(1+IFERROR(INDEX(I$10:I$11,Предпосылки!$I$218,),0))*IFERROR(INDEX(I$10:I$11,Предпосылки!$I$218,),0),I454/(1+IFERROR(INDEX(I$10:I$11,Предпосылки!$I$219,),0))*IFERROR(INDEX(I$10:I$11,Предпосылки!$I$219,),0),I477/(1+IFERROR(INDEX(I$10:I$11,Предпосылки!$I$220,),0))*IFERROR(INDEX(I$10:I$11,Предпосылки!$I$220,),0))</f>
        <v>0</v>
      </c>
      <c s="125">
        <f>SUM(J40/(1+IFERROR(INDEX(J$10:J$11,Предпосылки!$I$201,),0))*IFERROR(INDEX(J$10:J$11,Предпосылки!$I$201,),0),J63/(1+IFERROR(INDEX(J$10:J$11,Предпосылки!$I$202,),0))*IFERROR(INDEX(J$10:J$11,Предпосылки!$I$202,),0),J86/(1+IFERROR(INDEX(J$10:J$11,Предпосылки!$I$203,),0))*IFERROR(INDEX(J$10:J$11,Предпосылки!$I$203,),0),J109/(1+IFERROR(INDEX(J$10:J$11,Предпосылки!$I$204,),0))*IFERROR(INDEX(J$10:J$11,Предпосылки!$I$204,),0),J132/(1+IFERROR(INDEX(J$10:J$11,Предпосылки!$I$205,),0))*IFERROR(INDEX(J$10:J$11,Предпосылки!$I$205,),0),J155/(1+IFERROR(INDEX(J$10:J$11,Предпосылки!$I$206,),0))*IFERROR(INDEX(J$10:J$11,Предпосылки!$I$206,),0),J178/(1+IFERROR(INDEX(J$10:J$11,Предпосылки!$I$207,),0))*IFERROR(INDEX(J$10:J$11,Предпосылки!$I$207,),0),J201/(1+IFERROR(INDEX(J$10:J$11,Предпосылки!$I$208,),0))*IFERROR(INDEX(J$10:J$11,Предпосылки!$I$208,),0),J224/(1+IFERROR(INDEX(J$10:J$11,Предпосылки!$I$209,),0))*IFERROR(INDEX(J$10:J$11,Предпосылки!$I$209,),0),J247/(1+IFERROR(INDEX(J$10:J$11,Предпосылки!$I$210,),0))*IFERROR(INDEX(J$10:J$11,Предпосылки!$I$210,),0),J270/(1+IFERROR(INDEX(J$10:J$11,Предпосылки!$I$211,),0))*IFERROR(INDEX(J$10:J$11,Предпосылки!$I$211,),0),J293/(1+IFERROR(INDEX(J$10:J$11,Предпосылки!$I$212,),0))*IFERROR(INDEX(J$10:J$11,Предпосылки!$I$212,),0),J316/(1+IFERROR(INDEX(J$10:J$11,Предпосылки!$I$213,),0))*IFERROR(INDEX(J$10:J$11,Предпосылки!$I$213,),0),J339/(1+IFERROR(INDEX(J$10:J$11,Предпосылки!$I$214,),0))*IFERROR(INDEX(J$10:J$11,Предпосылки!$I$214,),0),J362/(1+IFERROR(INDEX(J$10:J$11,Предпосылки!$I$215,),0))*IFERROR(INDEX(J$10:J$11,Предпосылки!$I$215,),0),J385/(1+IFERROR(INDEX(J$10:J$11,Предпосылки!$I$216,),0))*IFERROR(INDEX(J$10:J$11,Предпосылки!$I$216,),0),J408/(1+IFERROR(INDEX(J$10:J$11,Предпосылки!$I$217,),0))*IFERROR(INDEX(J$10:J$11,Предпосылки!$I$217,),0),J431/(1+IFERROR(INDEX(J$10:J$11,Предпосылки!$I$218,),0))*IFERROR(INDEX(J$10:J$11,Предпосылки!$I$218,),0),J454/(1+IFERROR(INDEX(J$10:J$11,Предпосылки!$I$219,),0))*IFERROR(INDEX(J$10:J$11,Предпосылки!$I$219,),0),J477/(1+IFERROR(INDEX(J$10:J$11,Предпосылки!$I$220,),0))*IFERROR(INDEX(J$10:J$11,Предпосылки!$I$220,),0))</f>
        <v>0</v>
      </c>
      <c s="125">
        <f>SUM(K40/(1+IFERROR(INDEX(K$10:K$11,Предпосылки!$I$201,),0))*IFERROR(INDEX(K$10:K$11,Предпосылки!$I$201,),0),K63/(1+IFERROR(INDEX(K$10:K$11,Предпосылки!$I$202,),0))*IFERROR(INDEX(K$10:K$11,Предпосылки!$I$202,),0),K86/(1+IFERROR(INDEX(K$10:K$11,Предпосылки!$I$203,),0))*IFERROR(INDEX(K$10:K$11,Предпосылки!$I$203,),0),K109/(1+IFERROR(INDEX(K$10:K$11,Предпосылки!$I$204,),0))*IFERROR(INDEX(K$10:K$11,Предпосылки!$I$204,),0),K132/(1+IFERROR(INDEX(K$10:K$11,Предпосылки!$I$205,),0))*IFERROR(INDEX(K$10:K$11,Предпосылки!$I$205,),0),K155/(1+IFERROR(INDEX(K$10:K$11,Предпосылки!$I$206,),0))*IFERROR(INDEX(K$10:K$11,Предпосылки!$I$206,),0),K178/(1+IFERROR(INDEX(K$10:K$11,Предпосылки!$I$207,),0))*IFERROR(INDEX(K$10:K$11,Предпосылки!$I$207,),0),K201/(1+IFERROR(INDEX(K$10:K$11,Предпосылки!$I$208,),0))*IFERROR(INDEX(K$10:K$11,Предпосылки!$I$208,),0),K224/(1+IFERROR(INDEX(K$10:K$11,Предпосылки!$I$209,),0))*IFERROR(INDEX(K$10:K$11,Предпосылки!$I$209,),0),K247/(1+IFERROR(INDEX(K$10:K$11,Предпосылки!$I$210,),0))*IFERROR(INDEX(K$10:K$11,Предпосылки!$I$210,),0),K270/(1+IFERROR(INDEX(K$10:K$11,Предпосылки!$I$211,),0))*IFERROR(INDEX(K$10:K$11,Предпосылки!$I$211,),0),K293/(1+IFERROR(INDEX(K$10:K$11,Предпосылки!$I$212,),0))*IFERROR(INDEX(K$10:K$11,Предпосылки!$I$212,),0),K316/(1+IFERROR(INDEX(K$10:K$11,Предпосылки!$I$213,),0))*IFERROR(INDEX(K$10:K$11,Предпосылки!$I$213,),0),K339/(1+IFERROR(INDEX(K$10:K$11,Предпосылки!$I$214,),0))*IFERROR(INDEX(K$10:K$11,Предпосылки!$I$214,),0),K362/(1+IFERROR(INDEX(K$10:K$11,Предпосылки!$I$215,),0))*IFERROR(INDEX(K$10:K$11,Предпосылки!$I$215,),0),K385/(1+IFERROR(INDEX(K$10:K$11,Предпосылки!$I$216,),0))*IFERROR(INDEX(K$10:K$11,Предпосылки!$I$216,),0),K408/(1+IFERROR(INDEX(K$10:K$11,Предпосылки!$I$217,),0))*IFERROR(INDEX(K$10:K$11,Предпосылки!$I$217,),0),K431/(1+IFERROR(INDEX(K$10:K$11,Предпосылки!$I$218,),0))*IFERROR(INDEX(K$10:K$11,Предпосылки!$I$218,),0),K454/(1+IFERROR(INDEX(K$10:K$11,Предпосылки!$I$219,),0))*IFERROR(INDEX(K$10:K$11,Предпосылки!$I$219,),0),K477/(1+IFERROR(INDEX(K$10:K$11,Предпосылки!$I$220,),0))*IFERROR(INDEX(K$10:K$11,Предпосылки!$I$220,),0))</f>
        <v>0</v>
      </c>
      <c s="125">
        <f>SUM(L40/(1+IFERROR(INDEX(L$10:L$11,Предпосылки!$I$201,),0))*IFERROR(INDEX(L$10:L$11,Предпосылки!$I$201,),0),L63/(1+IFERROR(INDEX(L$10:L$11,Предпосылки!$I$202,),0))*IFERROR(INDEX(L$10:L$11,Предпосылки!$I$202,),0),L86/(1+IFERROR(INDEX(L$10:L$11,Предпосылки!$I$203,),0))*IFERROR(INDEX(L$10:L$11,Предпосылки!$I$203,),0),L109/(1+IFERROR(INDEX(L$10:L$11,Предпосылки!$I$204,),0))*IFERROR(INDEX(L$10:L$11,Предпосылки!$I$204,),0),L132/(1+IFERROR(INDEX(L$10:L$11,Предпосылки!$I$205,),0))*IFERROR(INDEX(L$10:L$11,Предпосылки!$I$205,),0),L155/(1+IFERROR(INDEX(L$10:L$11,Предпосылки!$I$206,),0))*IFERROR(INDEX(L$10:L$11,Предпосылки!$I$206,),0),L178/(1+IFERROR(INDEX(L$10:L$11,Предпосылки!$I$207,),0))*IFERROR(INDEX(L$10:L$11,Предпосылки!$I$207,),0),L201/(1+IFERROR(INDEX(L$10:L$11,Предпосылки!$I$208,),0))*IFERROR(INDEX(L$10:L$11,Предпосылки!$I$208,),0),L224/(1+IFERROR(INDEX(L$10:L$11,Предпосылки!$I$209,),0))*IFERROR(INDEX(L$10:L$11,Предпосылки!$I$209,),0),L247/(1+IFERROR(INDEX(L$10:L$11,Предпосылки!$I$210,),0))*IFERROR(INDEX(L$10:L$11,Предпосылки!$I$210,),0),L270/(1+IFERROR(INDEX(L$10:L$11,Предпосылки!$I$211,),0))*IFERROR(INDEX(L$10:L$11,Предпосылки!$I$211,),0),L293/(1+IFERROR(INDEX(L$10:L$11,Предпосылки!$I$212,),0))*IFERROR(INDEX(L$10:L$11,Предпосылки!$I$212,),0),L316/(1+IFERROR(INDEX(L$10:L$11,Предпосылки!$I$213,),0))*IFERROR(INDEX(L$10:L$11,Предпосылки!$I$213,),0),L339/(1+IFERROR(INDEX(L$10:L$11,Предпосылки!$I$214,),0))*IFERROR(INDEX(L$10:L$11,Предпосылки!$I$214,),0),L362/(1+IFERROR(INDEX(L$10:L$11,Предпосылки!$I$215,),0))*IFERROR(INDEX(L$10:L$11,Предпосылки!$I$215,),0),L385/(1+IFERROR(INDEX(L$10:L$11,Предпосылки!$I$216,),0))*IFERROR(INDEX(L$10:L$11,Предпосылки!$I$216,),0),L408/(1+IFERROR(INDEX(L$10:L$11,Предпосылки!$I$217,),0))*IFERROR(INDEX(L$10:L$11,Предпосылки!$I$217,),0),L431/(1+IFERROR(INDEX(L$10:L$11,Предпосылки!$I$218,),0))*IFERROR(INDEX(L$10:L$11,Предпосылки!$I$218,),0),L454/(1+IFERROR(INDEX(L$10:L$11,Предпосылки!$I$219,),0))*IFERROR(INDEX(L$10:L$11,Предпосылки!$I$219,),0),L477/(1+IFERROR(INDEX(L$10:L$11,Предпосылки!$I$220,),0))*IFERROR(INDEX(L$10:L$11,Предпосылки!$I$220,),0))</f>
        <v>0</v>
      </c>
      <c s="125">
        <f>SUM(M40/(1+IFERROR(INDEX(M$10:M$11,Предпосылки!$I$201,),0))*IFERROR(INDEX(M$10:M$11,Предпосылки!$I$201,),0),M63/(1+IFERROR(INDEX(M$10:M$11,Предпосылки!$I$202,),0))*IFERROR(INDEX(M$10:M$11,Предпосылки!$I$202,),0),M86/(1+IFERROR(INDEX(M$10:M$11,Предпосылки!$I$203,),0))*IFERROR(INDEX(M$10:M$11,Предпосылки!$I$203,),0),M109/(1+IFERROR(INDEX(M$10:M$11,Предпосылки!$I$204,),0))*IFERROR(INDEX(M$10:M$11,Предпосылки!$I$204,),0),M132/(1+IFERROR(INDEX(M$10:M$11,Предпосылки!$I$205,),0))*IFERROR(INDEX(M$10:M$11,Предпосылки!$I$205,),0),M155/(1+IFERROR(INDEX(M$10:M$11,Предпосылки!$I$206,),0))*IFERROR(INDEX(M$10:M$11,Предпосылки!$I$206,),0),M178/(1+IFERROR(INDEX(M$10:M$11,Предпосылки!$I$207,),0))*IFERROR(INDEX(M$10:M$11,Предпосылки!$I$207,),0),M201/(1+IFERROR(INDEX(M$10:M$11,Предпосылки!$I$208,),0))*IFERROR(INDEX(M$10:M$11,Предпосылки!$I$208,),0),M224/(1+IFERROR(INDEX(M$10:M$11,Предпосылки!$I$209,),0))*IFERROR(INDEX(M$10:M$11,Предпосылки!$I$209,),0),M247/(1+IFERROR(INDEX(M$10:M$11,Предпосылки!$I$210,),0))*IFERROR(INDEX(M$10:M$11,Предпосылки!$I$210,),0),M270/(1+IFERROR(INDEX(M$10:M$11,Предпосылки!$I$211,),0))*IFERROR(INDEX(M$10:M$11,Предпосылки!$I$211,),0),M293/(1+IFERROR(INDEX(M$10:M$11,Предпосылки!$I$212,),0))*IFERROR(INDEX(M$10:M$11,Предпосылки!$I$212,),0),M316/(1+IFERROR(INDEX(M$10:M$11,Предпосылки!$I$213,),0))*IFERROR(INDEX(M$10:M$11,Предпосылки!$I$213,),0),M339/(1+IFERROR(INDEX(M$10:M$11,Предпосылки!$I$214,),0))*IFERROR(INDEX(M$10:M$11,Предпосылки!$I$214,),0),M362/(1+IFERROR(INDEX(M$10:M$11,Предпосылки!$I$215,),0))*IFERROR(INDEX(M$10:M$11,Предпосылки!$I$215,),0),M385/(1+IFERROR(INDEX(M$10:M$11,Предпосылки!$I$216,),0))*IFERROR(INDEX(M$10:M$11,Предпосылки!$I$216,),0),M408/(1+IFERROR(INDEX(M$10:M$11,Предпосылки!$I$217,),0))*IFERROR(INDEX(M$10:M$11,Предпосылки!$I$217,),0),M431/(1+IFERROR(INDEX(M$10:M$11,Предпосылки!$I$218,),0))*IFERROR(INDEX(M$10:M$11,Предпосылки!$I$218,),0),M454/(1+IFERROR(INDEX(M$10:M$11,Предпосылки!$I$219,),0))*IFERROR(INDEX(M$10:M$11,Предпосылки!$I$219,),0),M477/(1+IFERROR(INDEX(M$10:M$11,Предпосылки!$I$220,),0))*IFERROR(INDEX(M$10:M$11,Предпосылки!$I$220,),0))</f>
        <v>0</v>
      </c>
      <c s="125">
        <f>SUM(N40/(1+IFERROR(INDEX(N$10:N$11,Предпосылки!$I$201,),0))*IFERROR(INDEX(N$10:N$11,Предпосылки!$I$201,),0),N63/(1+IFERROR(INDEX(N$10:N$11,Предпосылки!$I$202,),0))*IFERROR(INDEX(N$10:N$11,Предпосылки!$I$202,),0),N86/(1+IFERROR(INDEX(N$10:N$11,Предпосылки!$I$203,),0))*IFERROR(INDEX(N$10:N$11,Предпосылки!$I$203,),0),N109/(1+IFERROR(INDEX(N$10:N$11,Предпосылки!$I$204,),0))*IFERROR(INDEX(N$10:N$11,Предпосылки!$I$204,),0),N132/(1+IFERROR(INDEX(N$10:N$11,Предпосылки!$I$205,),0))*IFERROR(INDEX(N$10:N$11,Предпосылки!$I$205,),0),N155/(1+IFERROR(INDEX(N$10:N$11,Предпосылки!$I$206,),0))*IFERROR(INDEX(N$10:N$11,Предпосылки!$I$206,),0),N178/(1+IFERROR(INDEX(N$10:N$11,Предпосылки!$I$207,),0))*IFERROR(INDEX(N$10:N$11,Предпосылки!$I$207,),0),N201/(1+IFERROR(INDEX(N$10:N$11,Предпосылки!$I$208,),0))*IFERROR(INDEX(N$10:N$11,Предпосылки!$I$208,),0),N224/(1+IFERROR(INDEX(N$10:N$11,Предпосылки!$I$209,),0))*IFERROR(INDEX(N$10:N$11,Предпосылки!$I$209,),0),N247/(1+IFERROR(INDEX(N$10:N$11,Предпосылки!$I$210,),0))*IFERROR(INDEX(N$10:N$11,Предпосылки!$I$210,),0),N270/(1+IFERROR(INDEX(N$10:N$11,Предпосылки!$I$211,),0))*IFERROR(INDEX(N$10:N$11,Предпосылки!$I$211,),0),N293/(1+IFERROR(INDEX(N$10:N$11,Предпосылки!$I$212,),0))*IFERROR(INDEX(N$10:N$11,Предпосылки!$I$212,),0),N316/(1+IFERROR(INDEX(N$10:N$11,Предпосылки!$I$213,),0))*IFERROR(INDEX(N$10:N$11,Предпосылки!$I$213,),0),N339/(1+IFERROR(INDEX(N$10:N$11,Предпосылки!$I$214,),0))*IFERROR(INDEX(N$10:N$11,Предпосылки!$I$214,),0),N362/(1+IFERROR(INDEX(N$10:N$11,Предпосылки!$I$215,),0))*IFERROR(INDEX(N$10:N$11,Предпосылки!$I$215,),0),N385/(1+IFERROR(INDEX(N$10:N$11,Предпосылки!$I$216,),0))*IFERROR(INDEX(N$10:N$11,Предпосылки!$I$216,),0),N408/(1+IFERROR(INDEX(N$10:N$11,Предпосылки!$I$217,),0))*IFERROR(INDEX(N$10:N$11,Предпосылки!$I$217,),0),N431/(1+IFERROR(INDEX(N$10:N$11,Предпосылки!$I$218,),0))*IFERROR(INDEX(N$10:N$11,Предпосылки!$I$218,),0),N454/(1+IFERROR(INDEX(N$10:N$11,Предпосылки!$I$219,),0))*IFERROR(INDEX(N$10:N$11,Предпосылки!$I$219,),0),N477/(1+IFERROR(INDEX(N$10:N$11,Предпосылки!$I$220,),0))*IFERROR(INDEX(N$10:N$11,Предпосылки!$I$220,),0))</f>
        <v>0</v>
      </c>
      <c s="125">
        <f>SUM(O40/(1+IFERROR(INDEX(O$10:O$11,Предпосылки!$I$201,),0))*IFERROR(INDEX(O$10:O$11,Предпосылки!$I$201,),0),O63/(1+IFERROR(INDEX(O$10:O$11,Предпосылки!$I$202,),0))*IFERROR(INDEX(O$10:O$11,Предпосылки!$I$202,),0),O86/(1+IFERROR(INDEX(O$10:O$11,Предпосылки!$I$203,),0))*IFERROR(INDEX(O$10:O$11,Предпосылки!$I$203,),0),O109/(1+IFERROR(INDEX(O$10:O$11,Предпосылки!$I$204,),0))*IFERROR(INDEX(O$10:O$11,Предпосылки!$I$204,),0),O132/(1+IFERROR(INDEX(O$10:O$11,Предпосылки!$I$205,),0))*IFERROR(INDEX(O$10:O$11,Предпосылки!$I$205,),0),O155/(1+IFERROR(INDEX(O$10:O$11,Предпосылки!$I$206,),0))*IFERROR(INDEX(O$10:O$11,Предпосылки!$I$206,),0),O178/(1+IFERROR(INDEX(O$10:O$11,Предпосылки!$I$207,),0))*IFERROR(INDEX(O$10:O$11,Предпосылки!$I$207,),0),O201/(1+IFERROR(INDEX(O$10:O$11,Предпосылки!$I$208,),0))*IFERROR(INDEX(O$10:O$11,Предпосылки!$I$208,),0),O224/(1+IFERROR(INDEX(O$10:O$11,Предпосылки!$I$209,),0))*IFERROR(INDEX(O$10:O$11,Предпосылки!$I$209,),0),O247/(1+IFERROR(INDEX(O$10:O$11,Предпосылки!$I$210,),0))*IFERROR(INDEX(O$10:O$11,Предпосылки!$I$210,),0),O270/(1+IFERROR(INDEX(O$10:O$11,Предпосылки!$I$211,),0))*IFERROR(INDEX(O$10:O$11,Предпосылки!$I$211,),0),O293/(1+IFERROR(INDEX(O$10:O$11,Предпосылки!$I$212,),0))*IFERROR(INDEX(O$10:O$11,Предпосылки!$I$212,),0),O316/(1+IFERROR(INDEX(O$10:O$11,Предпосылки!$I$213,),0))*IFERROR(INDEX(O$10:O$11,Предпосылки!$I$213,),0),O339/(1+IFERROR(INDEX(O$10:O$11,Предпосылки!$I$214,),0))*IFERROR(INDEX(O$10:O$11,Предпосылки!$I$214,),0),O362/(1+IFERROR(INDEX(O$10:O$11,Предпосылки!$I$215,),0))*IFERROR(INDEX(O$10:O$11,Предпосылки!$I$215,),0),O385/(1+IFERROR(INDEX(O$10:O$11,Предпосылки!$I$216,),0))*IFERROR(INDEX(O$10:O$11,Предпосылки!$I$216,),0),O408/(1+IFERROR(INDEX(O$10:O$11,Предпосылки!$I$217,),0))*IFERROR(INDEX(O$10:O$11,Предпосылки!$I$217,),0),O431/(1+IFERROR(INDEX(O$10:O$11,Предпосылки!$I$218,),0))*IFERROR(INDEX(O$10:O$11,Предпосылки!$I$218,),0),O454/(1+IFERROR(INDEX(O$10:O$11,Предпосылки!$I$219,),0))*IFERROR(INDEX(O$10:O$11,Предпосылки!$I$219,),0),O477/(1+IFERROR(INDEX(O$10:O$11,Предпосылки!$I$220,),0))*IFERROR(INDEX(O$10:O$11,Предпосылки!$I$220,),0))</f>
        <v>0</v>
      </c>
      <c s="125">
        <f>SUM(P40/(1+IFERROR(INDEX(P$10:P$11,Предпосылки!$I$201,),0))*IFERROR(INDEX(P$10:P$11,Предпосылки!$I$201,),0),P63/(1+IFERROR(INDEX(P$10:P$11,Предпосылки!$I$202,),0))*IFERROR(INDEX(P$10:P$11,Предпосылки!$I$202,),0),P86/(1+IFERROR(INDEX(P$10:P$11,Предпосылки!$I$203,),0))*IFERROR(INDEX(P$10:P$11,Предпосылки!$I$203,),0),P109/(1+IFERROR(INDEX(P$10:P$11,Предпосылки!$I$204,),0))*IFERROR(INDEX(P$10:P$11,Предпосылки!$I$204,),0),P132/(1+IFERROR(INDEX(P$10:P$11,Предпосылки!$I$205,),0))*IFERROR(INDEX(P$10:P$11,Предпосылки!$I$205,),0),P155/(1+IFERROR(INDEX(P$10:P$11,Предпосылки!$I$206,),0))*IFERROR(INDEX(P$10:P$11,Предпосылки!$I$206,),0),P178/(1+IFERROR(INDEX(P$10:P$11,Предпосылки!$I$207,),0))*IFERROR(INDEX(P$10:P$11,Предпосылки!$I$207,),0),P201/(1+IFERROR(INDEX(P$10:P$11,Предпосылки!$I$208,),0))*IFERROR(INDEX(P$10:P$11,Предпосылки!$I$208,),0),P224/(1+IFERROR(INDEX(P$10:P$11,Предпосылки!$I$209,),0))*IFERROR(INDEX(P$10:P$11,Предпосылки!$I$209,),0),P247/(1+IFERROR(INDEX(P$10:P$11,Предпосылки!$I$210,),0))*IFERROR(INDEX(P$10:P$11,Предпосылки!$I$210,),0),P270/(1+IFERROR(INDEX(P$10:P$11,Предпосылки!$I$211,),0))*IFERROR(INDEX(P$10:P$11,Предпосылки!$I$211,),0),P293/(1+IFERROR(INDEX(P$10:P$11,Предпосылки!$I$212,),0))*IFERROR(INDEX(P$10:P$11,Предпосылки!$I$212,),0),P316/(1+IFERROR(INDEX(P$10:P$11,Предпосылки!$I$213,),0))*IFERROR(INDEX(P$10:P$11,Предпосылки!$I$213,),0),P339/(1+IFERROR(INDEX(P$10:P$11,Предпосылки!$I$214,),0))*IFERROR(INDEX(P$10:P$11,Предпосылки!$I$214,),0),P362/(1+IFERROR(INDEX(P$10:P$11,Предпосылки!$I$215,),0))*IFERROR(INDEX(P$10:P$11,Предпосылки!$I$215,),0),P385/(1+IFERROR(INDEX(P$10:P$11,Предпосылки!$I$216,),0))*IFERROR(INDEX(P$10:P$11,Предпосылки!$I$216,),0),P408/(1+IFERROR(INDEX(P$10:P$11,Предпосылки!$I$217,),0))*IFERROR(INDEX(P$10:P$11,Предпосылки!$I$217,),0),P431/(1+IFERROR(INDEX(P$10:P$11,Предпосылки!$I$218,),0))*IFERROR(INDEX(P$10:P$11,Предпосылки!$I$218,),0),P454/(1+IFERROR(INDEX(P$10:P$11,Предпосылки!$I$219,),0))*IFERROR(INDEX(P$10:P$11,Предпосылки!$I$219,),0),P477/(1+IFERROR(INDEX(P$10:P$11,Предпосылки!$I$220,),0))*IFERROR(INDEX(P$10:P$11,Предпосылки!$I$220,),0))</f>
        <v>0</v>
      </c>
      <c s="125">
        <f>SUM(Q40/(1+IFERROR(INDEX(Q$10:Q$11,Предпосылки!$I$201,),0))*IFERROR(INDEX(Q$10:Q$11,Предпосылки!$I$201,),0),Q63/(1+IFERROR(INDEX(Q$10:Q$11,Предпосылки!$I$202,),0))*IFERROR(INDEX(Q$10:Q$11,Предпосылки!$I$202,),0),Q86/(1+IFERROR(INDEX(Q$10:Q$11,Предпосылки!$I$203,),0))*IFERROR(INDEX(Q$10:Q$11,Предпосылки!$I$203,),0),Q109/(1+IFERROR(INDEX(Q$10:Q$11,Предпосылки!$I$204,),0))*IFERROR(INDEX(Q$10:Q$11,Предпосылки!$I$204,),0),Q132/(1+IFERROR(INDEX(Q$10:Q$11,Предпосылки!$I$205,),0))*IFERROR(INDEX(Q$10:Q$11,Предпосылки!$I$205,),0),Q155/(1+IFERROR(INDEX(Q$10:Q$11,Предпосылки!$I$206,),0))*IFERROR(INDEX(Q$10:Q$11,Предпосылки!$I$206,),0),Q178/(1+IFERROR(INDEX(Q$10:Q$11,Предпосылки!$I$207,),0))*IFERROR(INDEX(Q$10:Q$11,Предпосылки!$I$207,),0),Q201/(1+IFERROR(INDEX(Q$10:Q$11,Предпосылки!$I$208,),0))*IFERROR(INDEX(Q$10:Q$11,Предпосылки!$I$208,),0),Q224/(1+IFERROR(INDEX(Q$10:Q$11,Предпосылки!$I$209,),0))*IFERROR(INDEX(Q$10:Q$11,Предпосылки!$I$209,),0),Q247/(1+IFERROR(INDEX(Q$10:Q$11,Предпосылки!$I$210,),0))*IFERROR(INDEX(Q$10:Q$11,Предпосылки!$I$210,),0),Q270/(1+IFERROR(INDEX(Q$10:Q$11,Предпосылки!$I$211,),0))*IFERROR(INDEX(Q$10:Q$11,Предпосылки!$I$211,),0),Q293/(1+IFERROR(INDEX(Q$10:Q$11,Предпосылки!$I$212,),0))*IFERROR(INDEX(Q$10:Q$11,Предпосылки!$I$212,),0),Q316/(1+IFERROR(INDEX(Q$10:Q$11,Предпосылки!$I$213,),0))*IFERROR(INDEX(Q$10:Q$11,Предпосылки!$I$213,),0),Q339/(1+IFERROR(INDEX(Q$10:Q$11,Предпосылки!$I$214,),0))*IFERROR(INDEX(Q$10:Q$11,Предпосылки!$I$214,),0),Q362/(1+IFERROR(INDEX(Q$10:Q$11,Предпосылки!$I$215,),0))*IFERROR(INDEX(Q$10:Q$11,Предпосылки!$I$215,),0),Q385/(1+IFERROR(INDEX(Q$10:Q$11,Предпосылки!$I$216,),0))*IFERROR(INDEX(Q$10:Q$11,Предпосылки!$I$216,),0),Q408/(1+IFERROR(INDEX(Q$10:Q$11,Предпосылки!$I$217,),0))*IFERROR(INDEX(Q$10:Q$11,Предпосылки!$I$217,),0),Q431/(1+IFERROR(INDEX(Q$10:Q$11,Предпосылки!$I$218,),0))*IFERROR(INDEX(Q$10:Q$11,Предпосылки!$I$218,),0),Q454/(1+IFERROR(INDEX(Q$10:Q$11,Предпосылки!$I$219,),0))*IFERROR(INDEX(Q$10:Q$11,Предпосылки!$I$219,),0),Q477/(1+IFERROR(INDEX(Q$10:Q$11,Предпосылки!$I$220,),0))*IFERROR(INDEX(Q$10:Q$11,Предпосылки!$I$220,),0))</f>
        <v>0</v>
      </c>
      <c s="125">
        <f>SUM(R40/(1+IFERROR(INDEX(R$10:R$11,Предпосылки!$I$201,),0))*IFERROR(INDEX(R$10:R$11,Предпосылки!$I$201,),0),R63/(1+IFERROR(INDEX(R$10:R$11,Предпосылки!$I$202,),0))*IFERROR(INDEX(R$10:R$11,Предпосылки!$I$202,),0),R86/(1+IFERROR(INDEX(R$10:R$11,Предпосылки!$I$203,),0))*IFERROR(INDEX(R$10:R$11,Предпосылки!$I$203,),0),R109/(1+IFERROR(INDEX(R$10:R$11,Предпосылки!$I$204,),0))*IFERROR(INDEX(R$10:R$11,Предпосылки!$I$204,),0),R132/(1+IFERROR(INDEX(R$10:R$11,Предпосылки!$I$205,),0))*IFERROR(INDEX(R$10:R$11,Предпосылки!$I$205,),0),R155/(1+IFERROR(INDEX(R$10:R$11,Предпосылки!$I$206,),0))*IFERROR(INDEX(R$10:R$11,Предпосылки!$I$206,),0),R178/(1+IFERROR(INDEX(R$10:R$11,Предпосылки!$I$207,),0))*IFERROR(INDEX(R$10:R$11,Предпосылки!$I$207,),0),R201/(1+IFERROR(INDEX(R$10:R$11,Предпосылки!$I$208,),0))*IFERROR(INDEX(R$10:R$11,Предпосылки!$I$208,),0),R224/(1+IFERROR(INDEX(R$10:R$11,Предпосылки!$I$209,),0))*IFERROR(INDEX(R$10:R$11,Предпосылки!$I$209,),0),R247/(1+IFERROR(INDEX(R$10:R$11,Предпосылки!$I$210,),0))*IFERROR(INDEX(R$10:R$11,Предпосылки!$I$210,),0),R270/(1+IFERROR(INDEX(R$10:R$11,Предпосылки!$I$211,),0))*IFERROR(INDEX(R$10:R$11,Предпосылки!$I$211,),0),R293/(1+IFERROR(INDEX(R$10:R$11,Предпосылки!$I$212,),0))*IFERROR(INDEX(R$10:R$11,Предпосылки!$I$212,),0),R316/(1+IFERROR(INDEX(R$10:R$11,Предпосылки!$I$213,),0))*IFERROR(INDEX(R$10:R$11,Предпосылки!$I$213,),0),R339/(1+IFERROR(INDEX(R$10:R$11,Предпосылки!$I$214,),0))*IFERROR(INDEX(R$10:R$11,Предпосылки!$I$214,),0),R362/(1+IFERROR(INDEX(R$10:R$11,Предпосылки!$I$215,),0))*IFERROR(INDEX(R$10:R$11,Предпосылки!$I$215,),0),R385/(1+IFERROR(INDEX(R$10:R$11,Предпосылки!$I$216,),0))*IFERROR(INDEX(R$10:R$11,Предпосылки!$I$216,),0),R408/(1+IFERROR(INDEX(R$10:R$11,Предпосылки!$I$217,),0))*IFERROR(INDEX(R$10:R$11,Предпосылки!$I$217,),0),R431/(1+IFERROR(INDEX(R$10:R$11,Предпосылки!$I$218,),0))*IFERROR(INDEX(R$10:R$11,Предпосылки!$I$218,),0),R454/(1+IFERROR(INDEX(R$10:R$11,Предпосылки!$I$219,),0))*IFERROR(INDEX(R$10:R$11,Предпосылки!$I$219,),0),R477/(1+IFERROR(INDEX(R$10:R$11,Предпосылки!$I$220,),0))*IFERROR(INDEX(R$10:R$11,Предпосылки!$I$220,),0))</f>
        <v>0</v>
      </c>
      <c s="125">
        <f>SUM(S40/(1+IFERROR(INDEX(S$10:S$11,Предпосылки!$I$201,),0))*IFERROR(INDEX(S$10:S$11,Предпосылки!$I$201,),0),S63/(1+IFERROR(INDEX(S$10:S$11,Предпосылки!$I$202,),0))*IFERROR(INDEX(S$10:S$11,Предпосылки!$I$202,),0),S86/(1+IFERROR(INDEX(S$10:S$11,Предпосылки!$I$203,),0))*IFERROR(INDEX(S$10:S$11,Предпосылки!$I$203,),0),S109/(1+IFERROR(INDEX(S$10:S$11,Предпосылки!$I$204,),0))*IFERROR(INDEX(S$10:S$11,Предпосылки!$I$204,),0),S132/(1+IFERROR(INDEX(S$10:S$11,Предпосылки!$I$205,),0))*IFERROR(INDEX(S$10:S$11,Предпосылки!$I$205,),0),S155/(1+IFERROR(INDEX(S$10:S$11,Предпосылки!$I$206,),0))*IFERROR(INDEX(S$10:S$11,Предпосылки!$I$206,),0),S178/(1+IFERROR(INDEX(S$10:S$11,Предпосылки!$I$207,),0))*IFERROR(INDEX(S$10:S$11,Предпосылки!$I$207,),0),S201/(1+IFERROR(INDEX(S$10:S$11,Предпосылки!$I$208,),0))*IFERROR(INDEX(S$10:S$11,Предпосылки!$I$208,),0),S224/(1+IFERROR(INDEX(S$10:S$11,Предпосылки!$I$209,),0))*IFERROR(INDEX(S$10:S$11,Предпосылки!$I$209,),0),S247/(1+IFERROR(INDEX(S$10:S$11,Предпосылки!$I$210,),0))*IFERROR(INDEX(S$10:S$11,Предпосылки!$I$210,),0),S270/(1+IFERROR(INDEX(S$10:S$11,Предпосылки!$I$211,),0))*IFERROR(INDEX(S$10:S$11,Предпосылки!$I$211,),0),S293/(1+IFERROR(INDEX(S$10:S$11,Предпосылки!$I$212,),0))*IFERROR(INDEX(S$10:S$11,Предпосылки!$I$212,),0),S316/(1+IFERROR(INDEX(S$10:S$11,Предпосылки!$I$213,),0))*IFERROR(INDEX(S$10:S$11,Предпосылки!$I$213,),0),S339/(1+IFERROR(INDEX(S$10:S$11,Предпосылки!$I$214,),0))*IFERROR(INDEX(S$10:S$11,Предпосылки!$I$214,),0),S362/(1+IFERROR(INDEX(S$10:S$11,Предпосылки!$I$215,),0))*IFERROR(INDEX(S$10:S$11,Предпосылки!$I$215,),0),S385/(1+IFERROR(INDEX(S$10:S$11,Предпосылки!$I$216,),0))*IFERROR(INDEX(S$10:S$11,Предпосылки!$I$216,),0),S408/(1+IFERROR(INDEX(S$10:S$11,Предпосылки!$I$217,),0))*IFERROR(INDEX(S$10:S$11,Предпосылки!$I$217,),0),S431/(1+IFERROR(INDEX(S$10:S$11,Предпосылки!$I$218,),0))*IFERROR(INDEX(S$10:S$11,Предпосылки!$I$218,),0),S454/(1+IFERROR(INDEX(S$10:S$11,Предпосылки!$I$219,),0))*IFERROR(INDEX(S$10:S$11,Предпосылки!$I$219,),0),S477/(1+IFERROR(INDEX(S$10:S$11,Предпосылки!$I$220,),0))*IFERROR(INDEX(S$10:S$11,Предпосылки!$I$220,),0))</f>
        <v>0</v>
      </c>
      <c s="125">
        <f>SUM(T40/(1+IFERROR(INDEX(T$10:T$11,Предпосылки!$I$201,),0))*IFERROR(INDEX(T$10:T$11,Предпосылки!$I$201,),0),T63/(1+IFERROR(INDEX(T$10:T$11,Предпосылки!$I$202,),0))*IFERROR(INDEX(T$10:T$11,Предпосылки!$I$202,),0),T86/(1+IFERROR(INDEX(T$10:T$11,Предпосылки!$I$203,),0))*IFERROR(INDEX(T$10:T$11,Предпосылки!$I$203,),0),T109/(1+IFERROR(INDEX(T$10:T$11,Предпосылки!$I$204,),0))*IFERROR(INDEX(T$10:T$11,Предпосылки!$I$204,),0),T132/(1+IFERROR(INDEX(T$10:T$11,Предпосылки!$I$205,),0))*IFERROR(INDEX(T$10:T$11,Предпосылки!$I$205,),0),T155/(1+IFERROR(INDEX(T$10:T$11,Предпосылки!$I$206,),0))*IFERROR(INDEX(T$10:T$11,Предпосылки!$I$206,),0),T178/(1+IFERROR(INDEX(T$10:T$11,Предпосылки!$I$207,),0))*IFERROR(INDEX(T$10:T$11,Предпосылки!$I$207,),0),T201/(1+IFERROR(INDEX(T$10:T$11,Предпосылки!$I$208,),0))*IFERROR(INDEX(T$10:T$11,Предпосылки!$I$208,),0),T224/(1+IFERROR(INDEX(T$10:T$11,Предпосылки!$I$209,),0))*IFERROR(INDEX(T$10:T$11,Предпосылки!$I$209,),0),T247/(1+IFERROR(INDEX(T$10:T$11,Предпосылки!$I$210,),0))*IFERROR(INDEX(T$10:T$11,Предпосылки!$I$210,),0),T270/(1+IFERROR(INDEX(T$10:T$11,Предпосылки!$I$211,),0))*IFERROR(INDEX(T$10:T$11,Предпосылки!$I$211,),0),T293/(1+IFERROR(INDEX(T$10:T$11,Предпосылки!$I$212,),0))*IFERROR(INDEX(T$10:T$11,Предпосылки!$I$212,),0),T316/(1+IFERROR(INDEX(T$10:T$11,Предпосылки!$I$213,),0))*IFERROR(INDEX(T$10:T$11,Предпосылки!$I$213,),0),T339/(1+IFERROR(INDEX(T$10:T$11,Предпосылки!$I$214,),0))*IFERROR(INDEX(T$10:T$11,Предпосылки!$I$214,),0),T362/(1+IFERROR(INDEX(T$10:T$11,Предпосылки!$I$215,),0))*IFERROR(INDEX(T$10:T$11,Предпосылки!$I$215,),0),T385/(1+IFERROR(INDEX(T$10:T$11,Предпосылки!$I$216,),0))*IFERROR(INDEX(T$10:T$11,Предпосылки!$I$216,),0),T408/(1+IFERROR(INDEX(T$10:T$11,Предпосылки!$I$217,),0))*IFERROR(INDEX(T$10:T$11,Предпосылки!$I$217,),0),T431/(1+IFERROR(INDEX(T$10:T$11,Предпосылки!$I$218,),0))*IFERROR(INDEX(T$10:T$11,Предпосылки!$I$218,),0),T454/(1+IFERROR(INDEX(T$10:T$11,Предпосылки!$I$219,),0))*IFERROR(INDEX(T$10:T$11,Предпосылки!$I$219,),0),T477/(1+IFERROR(INDEX(T$10:T$11,Предпосылки!$I$220,),0))*IFERROR(INDEX(T$10:T$11,Предпосылки!$I$220,),0))</f>
        <v>0</v>
      </c>
      <c s="125">
        <f>SUM(U40/(1+IFERROR(INDEX(U$10:U$11,Предпосылки!$I$201,),0))*IFERROR(INDEX(U$10:U$11,Предпосылки!$I$201,),0),U63/(1+IFERROR(INDEX(U$10:U$11,Предпосылки!$I$202,),0))*IFERROR(INDEX(U$10:U$11,Предпосылки!$I$202,),0),U86/(1+IFERROR(INDEX(U$10:U$11,Предпосылки!$I$203,),0))*IFERROR(INDEX(U$10:U$11,Предпосылки!$I$203,),0),U109/(1+IFERROR(INDEX(U$10:U$11,Предпосылки!$I$204,),0))*IFERROR(INDEX(U$10:U$11,Предпосылки!$I$204,),0),U132/(1+IFERROR(INDEX(U$10:U$11,Предпосылки!$I$205,),0))*IFERROR(INDEX(U$10:U$11,Предпосылки!$I$205,),0),U155/(1+IFERROR(INDEX(U$10:U$11,Предпосылки!$I$206,),0))*IFERROR(INDEX(U$10:U$11,Предпосылки!$I$206,),0),U178/(1+IFERROR(INDEX(U$10:U$11,Предпосылки!$I$207,),0))*IFERROR(INDEX(U$10:U$11,Предпосылки!$I$207,),0),U201/(1+IFERROR(INDEX(U$10:U$11,Предпосылки!$I$208,),0))*IFERROR(INDEX(U$10:U$11,Предпосылки!$I$208,),0),U224/(1+IFERROR(INDEX(U$10:U$11,Предпосылки!$I$209,),0))*IFERROR(INDEX(U$10:U$11,Предпосылки!$I$209,),0),U247/(1+IFERROR(INDEX(U$10:U$11,Предпосылки!$I$210,),0))*IFERROR(INDEX(U$10:U$11,Предпосылки!$I$210,),0),U270/(1+IFERROR(INDEX(U$10:U$11,Предпосылки!$I$211,),0))*IFERROR(INDEX(U$10:U$11,Предпосылки!$I$211,),0),U293/(1+IFERROR(INDEX(U$10:U$11,Предпосылки!$I$212,),0))*IFERROR(INDEX(U$10:U$11,Предпосылки!$I$212,),0),U316/(1+IFERROR(INDEX(U$10:U$11,Предпосылки!$I$213,),0))*IFERROR(INDEX(U$10:U$11,Предпосылки!$I$213,),0),U339/(1+IFERROR(INDEX(U$10:U$11,Предпосылки!$I$214,),0))*IFERROR(INDEX(U$10:U$11,Предпосылки!$I$214,),0),U362/(1+IFERROR(INDEX(U$10:U$11,Предпосылки!$I$215,),0))*IFERROR(INDEX(U$10:U$11,Предпосылки!$I$215,),0),U385/(1+IFERROR(INDEX(U$10:U$11,Предпосылки!$I$216,),0))*IFERROR(INDEX(U$10:U$11,Предпосылки!$I$216,),0),U408/(1+IFERROR(INDEX(U$10:U$11,Предпосылки!$I$217,),0))*IFERROR(INDEX(U$10:U$11,Предпосылки!$I$217,),0),U431/(1+IFERROR(INDEX(U$10:U$11,Предпосылки!$I$218,),0))*IFERROR(INDEX(U$10:U$11,Предпосылки!$I$218,),0),U454/(1+IFERROR(INDEX(U$10:U$11,Предпосылки!$I$219,),0))*IFERROR(INDEX(U$10:U$11,Предпосылки!$I$219,),0),U477/(1+IFERROR(INDEX(U$10:U$11,Предпосылки!$I$220,),0))*IFERROR(INDEX(U$10:U$11,Предпосылки!$I$220,),0))</f>
        <v>0</v>
      </c>
      <c s="125">
        <f>SUM(V40/(1+IFERROR(INDEX(V$10:V$11,Предпосылки!$I$201,),0))*IFERROR(INDEX(V$10:V$11,Предпосылки!$I$201,),0),V63/(1+IFERROR(INDEX(V$10:V$11,Предпосылки!$I$202,),0))*IFERROR(INDEX(V$10:V$11,Предпосылки!$I$202,),0),V86/(1+IFERROR(INDEX(V$10:V$11,Предпосылки!$I$203,),0))*IFERROR(INDEX(V$10:V$11,Предпосылки!$I$203,),0),V109/(1+IFERROR(INDEX(V$10:V$11,Предпосылки!$I$204,),0))*IFERROR(INDEX(V$10:V$11,Предпосылки!$I$204,),0),V132/(1+IFERROR(INDEX(V$10:V$11,Предпосылки!$I$205,),0))*IFERROR(INDEX(V$10:V$11,Предпосылки!$I$205,),0),V155/(1+IFERROR(INDEX(V$10:V$11,Предпосылки!$I$206,),0))*IFERROR(INDEX(V$10:V$11,Предпосылки!$I$206,),0),V178/(1+IFERROR(INDEX(V$10:V$11,Предпосылки!$I$207,),0))*IFERROR(INDEX(V$10:V$11,Предпосылки!$I$207,),0),V201/(1+IFERROR(INDEX(V$10:V$11,Предпосылки!$I$208,),0))*IFERROR(INDEX(V$10:V$11,Предпосылки!$I$208,),0),V224/(1+IFERROR(INDEX(V$10:V$11,Предпосылки!$I$209,),0))*IFERROR(INDEX(V$10:V$11,Предпосылки!$I$209,),0),V247/(1+IFERROR(INDEX(V$10:V$11,Предпосылки!$I$210,),0))*IFERROR(INDEX(V$10:V$11,Предпосылки!$I$210,),0),V270/(1+IFERROR(INDEX(V$10:V$11,Предпосылки!$I$211,),0))*IFERROR(INDEX(V$10:V$11,Предпосылки!$I$211,),0),V293/(1+IFERROR(INDEX(V$10:V$11,Предпосылки!$I$212,),0))*IFERROR(INDEX(V$10:V$11,Предпосылки!$I$212,),0),V316/(1+IFERROR(INDEX(V$10:V$11,Предпосылки!$I$213,),0))*IFERROR(INDEX(V$10:V$11,Предпосылки!$I$213,),0),V339/(1+IFERROR(INDEX(V$10:V$11,Предпосылки!$I$214,),0))*IFERROR(INDEX(V$10:V$11,Предпосылки!$I$214,),0),V362/(1+IFERROR(INDEX(V$10:V$11,Предпосылки!$I$215,),0))*IFERROR(INDEX(V$10:V$11,Предпосылки!$I$215,),0),V385/(1+IFERROR(INDEX(V$10:V$11,Предпосылки!$I$216,),0))*IFERROR(INDEX(V$10:V$11,Предпосылки!$I$216,),0),V408/(1+IFERROR(INDEX(V$10:V$11,Предпосылки!$I$217,),0))*IFERROR(INDEX(V$10:V$11,Предпосылки!$I$217,),0),V431/(1+IFERROR(INDEX(V$10:V$11,Предпосылки!$I$218,),0))*IFERROR(INDEX(V$10:V$11,Предпосылки!$I$218,),0),V454/(1+IFERROR(INDEX(V$10:V$11,Предпосылки!$I$219,),0))*IFERROR(INDEX(V$10:V$11,Предпосылки!$I$219,),0),V477/(1+IFERROR(INDEX(V$10:V$11,Предпосылки!$I$220,),0))*IFERROR(INDEX(V$10:V$11,Предпосылки!$I$220,),0))</f>
        <v>0</v>
      </c>
      <c s="125">
        <f>SUM(W40/(1+IFERROR(INDEX(W$10:W$11,Предпосылки!$I$201,),0))*IFERROR(INDEX(W$10:W$11,Предпосылки!$I$201,),0),W63/(1+IFERROR(INDEX(W$10:W$11,Предпосылки!$I$202,),0))*IFERROR(INDEX(W$10:W$11,Предпосылки!$I$202,),0),W86/(1+IFERROR(INDEX(W$10:W$11,Предпосылки!$I$203,),0))*IFERROR(INDEX(W$10:W$11,Предпосылки!$I$203,),0),W109/(1+IFERROR(INDEX(W$10:W$11,Предпосылки!$I$204,),0))*IFERROR(INDEX(W$10:W$11,Предпосылки!$I$204,),0),W132/(1+IFERROR(INDEX(W$10:W$11,Предпосылки!$I$205,),0))*IFERROR(INDEX(W$10:W$11,Предпосылки!$I$205,),0),W155/(1+IFERROR(INDEX(W$10:W$11,Предпосылки!$I$206,),0))*IFERROR(INDEX(W$10:W$11,Предпосылки!$I$206,),0),W178/(1+IFERROR(INDEX(W$10:W$11,Предпосылки!$I$207,),0))*IFERROR(INDEX(W$10:W$11,Предпосылки!$I$207,),0),W201/(1+IFERROR(INDEX(W$10:W$11,Предпосылки!$I$208,),0))*IFERROR(INDEX(W$10:W$11,Предпосылки!$I$208,),0),W224/(1+IFERROR(INDEX(W$10:W$11,Предпосылки!$I$209,),0))*IFERROR(INDEX(W$10:W$11,Предпосылки!$I$209,),0),W247/(1+IFERROR(INDEX(W$10:W$11,Предпосылки!$I$210,),0))*IFERROR(INDEX(W$10:W$11,Предпосылки!$I$210,),0),W270/(1+IFERROR(INDEX(W$10:W$11,Предпосылки!$I$211,),0))*IFERROR(INDEX(W$10:W$11,Предпосылки!$I$211,),0),W293/(1+IFERROR(INDEX(W$10:W$11,Предпосылки!$I$212,),0))*IFERROR(INDEX(W$10:W$11,Предпосылки!$I$212,),0),W316/(1+IFERROR(INDEX(W$10:W$11,Предпосылки!$I$213,),0))*IFERROR(INDEX(W$10:W$11,Предпосылки!$I$213,),0),W339/(1+IFERROR(INDEX(W$10:W$11,Предпосылки!$I$214,),0))*IFERROR(INDEX(W$10:W$11,Предпосылки!$I$214,),0),W362/(1+IFERROR(INDEX(W$10:W$11,Предпосылки!$I$215,),0))*IFERROR(INDEX(W$10:W$11,Предпосылки!$I$215,),0),W385/(1+IFERROR(INDEX(W$10:W$11,Предпосылки!$I$216,),0))*IFERROR(INDEX(W$10:W$11,Предпосылки!$I$216,),0),W408/(1+IFERROR(INDEX(W$10:W$11,Предпосылки!$I$217,),0))*IFERROR(INDEX(W$10:W$11,Предпосылки!$I$217,),0),W431/(1+IFERROR(INDEX(W$10:W$11,Предпосылки!$I$218,),0))*IFERROR(INDEX(W$10:W$11,Предпосылки!$I$218,),0),W454/(1+IFERROR(INDEX(W$10:W$11,Предпосылки!$I$219,),0))*IFERROR(INDEX(W$10:W$11,Предпосылки!$I$219,),0),W477/(1+IFERROR(INDEX(W$10:W$11,Предпосылки!$I$220,),0))*IFERROR(INDEX(W$10:W$11,Предпосылки!$I$220,),0))</f>
        <v>0</v>
      </c>
      <c s="125">
        <f>SUM(X40/(1+IFERROR(INDEX(X$10:X$11,Предпосылки!$I$201,),0))*IFERROR(INDEX(X$10:X$11,Предпосылки!$I$201,),0),X63/(1+IFERROR(INDEX(X$10:X$11,Предпосылки!$I$202,),0))*IFERROR(INDEX(X$10:X$11,Предпосылки!$I$202,),0),X86/(1+IFERROR(INDEX(X$10:X$11,Предпосылки!$I$203,),0))*IFERROR(INDEX(X$10:X$11,Предпосылки!$I$203,),0),X109/(1+IFERROR(INDEX(X$10:X$11,Предпосылки!$I$204,),0))*IFERROR(INDEX(X$10:X$11,Предпосылки!$I$204,),0),X132/(1+IFERROR(INDEX(X$10:X$11,Предпосылки!$I$205,),0))*IFERROR(INDEX(X$10:X$11,Предпосылки!$I$205,),0),X155/(1+IFERROR(INDEX(X$10:X$11,Предпосылки!$I$206,),0))*IFERROR(INDEX(X$10:X$11,Предпосылки!$I$206,),0),X178/(1+IFERROR(INDEX(X$10:X$11,Предпосылки!$I$207,),0))*IFERROR(INDEX(X$10:X$11,Предпосылки!$I$207,),0),X201/(1+IFERROR(INDEX(X$10:X$11,Предпосылки!$I$208,),0))*IFERROR(INDEX(X$10:X$11,Предпосылки!$I$208,),0),X224/(1+IFERROR(INDEX(X$10:X$11,Предпосылки!$I$209,),0))*IFERROR(INDEX(X$10:X$11,Предпосылки!$I$209,),0),X247/(1+IFERROR(INDEX(X$10:X$11,Предпосылки!$I$210,),0))*IFERROR(INDEX(X$10:X$11,Предпосылки!$I$210,),0),X270/(1+IFERROR(INDEX(X$10:X$11,Предпосылки!$I$211,),0))*IFERROR(INDEX(X$10:X$11,Предпосылки!$I$211,),0),X293/(1+IFERROR(INDEX(X$10:X$11,Предпосылки!$I$212,),0))*IFERROR(INDEX(X$10:X$11,Предпосылки!$I$212,),0),X316/(1+IFERROR(INDEX(X$10:X$11,Предпосылки!$I$213,),0))*IFERROR(INDEX(X$10:X$11,Предпосылки!$I$213,),0),X339/(1+IFERROR(INDEX(X$10:X$11,Предпосылки!$I$214,),0))*IFERROR(INDEX(X$10:X$11,Предпосылки!$I$214,),0),X362/(1+IFERROR(INDEX(X$10:X$11,Предпосылки!$I$215,),0))*IFERROR(INDEX(X$10:X$11,Предпосылки!$I$215,),0),X385/(1+IFERROR(INDEX(X$10:X$11,Предпосылки!$I$216,),0))*IFERROR(INDEX(X$10:X$11,Предпосылки!$I$216,),0),X408/(1+IFERROR(INDEX(X$10:X$11,Предпосылки!$I$217,),0))*IFERROR(INDEX(X$10:X$11,Предпосылки!$I$217,),0),X431/(1+IFERROR(INDEX(X$10:X$11,Предпосылки!$I$218,),0))*IFERROR(INDEX(X$10:X$11,Предпосылки!$I$218,),0),X454/(1+IFERROR(INDEX(X$10:X$11,Предпосылки!$I$219,),0))*IFERROR(INDEX(X$10:X$11,Предпосылки!$I$219,),0),X477/(1+IFERROR(INDEX(X$10:X$11,Предпосылки!$I$220,),0))*IFERROR(INDEX(X$10:X$11,Предпосылки!$I$220,),0))</f>
        <v>0</v>
      </c>
      <c s="125">
        <f>SUM(Y40/(1+IFERROR(INDEX(Y$10:Y$11,Предпосылки!$I$201,),0))*IFERROR(INDEX(Y$10:Y$11,Предпосылки!$I$201,),0),Y63/(1+IFERROR(INDEX(Y$10:Y$11,Предпосылки!$I$202,),0))*IFERROR(INDEX(Y$10:Y$11,Предпосылки!$I$202,),0),Y86/(1+IFERROR(INDEX(Y$10:Y$11,Предпосылки!$I$203,),0))*IFERROR(INDEX(Y$10:Y$11,Предпосылки!$I$203,),0),Y109/(1+IFERROR(INDEX(Y$10:Y$11,Предпосылки!$I$204,),0))*IFERROR(INDEX(Y$10:Y$11,Предпосылки!$I$204,),0),Y132/(1+IFERROR(INDEX(Y$10:Y$11,Предпосылки!$I$205,),0))*IFERROR(INDEX(Y$10:Y$11,Предпосылки!$I$205,),0),Y155/(1+IFERROR(INDEX(Y$10:Y$11,Предпосылки!$I$206,),0))*IFERROR(INDEX(Y$10:Y$11,Предпосылки!$I$206,),0),Y178/(1+IFERROR(INDEX(Y$10:Y$11,Предпосылки!$I$207,),0))*IFERROR(INDEX(Y$10:Y$11,Предпосылки!$I$207,),0),Y201/(1+IFERROR(INDEX(Y$10:Y$11,Предпосылки!$I$208,),0))*IFERROR(INDEX(Y$10:Y$11,Предпосылки!$I$208,),0),Y224/(1+IFERROR(INDEX(Y$10:Y$11,Предпосылки!$I$209,),0))*IFERROR(INDEX(Y$10:Y$11,Предпосылки!$I$209,),0),Y247/(1+IFERROR(INDEX(Y$10:Y$11,Предпосылки!$I$210,),0))*IFERROR(INDEX(Y$10:Y$11,Предпосылки!$I$210,),0),Y270/(1+IFERROR(INDEX(Y$10:Y$11,Предпосылки!$I$211,),0))*IFERROR(INDEX(Y$10:Y$11,Предпосылки!$I$211,),0),Y293/(1+IFERROR(INDEX(Y$10:Y$11,Предпосылки!$I$212,),0))*IFERROR(INDEX(Y$10:Y$11,Предпосылки!$I$212,),0),Y316/(1+IFERROR(INDEX(Y$10:Y$11,Предпосылки!$I$213,),0))*IFERROR(INDEX(Y$10:Y$11,Предпосылки!$I$213,),0),Y339/(1+IFERROR(INDEX(Y$10:Y$11,Предпосылки!$I$214,),0))*IFERROR(INDEX(Y$10:Y$11,Предпосылки!$I$214,),0),Y362/(1+IFERROR(INDEX(Y$10:Y$11,Предпосылки!$I$215,),0))*IFERROR(INDEX(Y$10:Y$11,Предпосылки!$I$215,),0),Y385/(1+IFERROR(INDEX(Y$10:Y$11,Предпосылки!$I$216,),0))*IFERROR(INDEX(Y$10:Y$11,Предпосылки!$I$216,),0),Y408/(1+IFERROR(INDEX(Y$10:Y$11,Предпосылки!$I$217,),0))*IFERROR(INDEX(Y$10:Y$11,Предпосылки!$I$217,),0),Y431/(1+IFERROR(INDEX(Y$10:Y$11,Предпосылки!$I$218,),0))*IFERROR(INDEX(Y$10:Y$11,Предпосылки!$I$218,),0),Y454/(1+IFERROR(INDEX(Y$10:Y$11,Предпосылки!$I$219,),0))*IFERROR(INDEX(Y$10:Y$11,Предпосылки!$I$219,),0),Y477/(1+IFERROR(INDEX(Y$10:Y$11,Предпосылки!$I$220,),0))*IFERROR(INDEX(Y$10:Y$11,Предпосылки!$I$220,),0))</f>
        <v>0</v>
      </c>
      <c s="125">
        <f>SUM(Z40/(1+IFERROR(INDEX(Z$10:Z$11,Предпосылки!$I$201,),0))*IFERROR(INDEX(Z$10:Z$11,Предпосылки!$I$201,),0),Z63/(1+IFERROR(INDEX(Z$10:Z$11,Предпосылки!$I$202,),0))*IFERROR(INDEX(Z$10:Z$11,Предпосылки!$I$202,),0),Z86/(1+IFERROR(INDEX(Z$10:Z$11,Предпосылки!$I$203,),0))*IFERROR(INDEX(Z$10:Z$11,Предпосылки!$I$203,),0),Z109/(1+IFERROR(INDEX(Z$10:Z$11,Предпосылки!$I$204,),0))*IFERROR(INDEX(Z$10:Z$11,Предпосылки!$I$204,),0),Z132/(1+IFERROR(INDEX(Z$10:Z$11,Предпосылки!$I$205,),0))*IFERROR(INDEX(Z$10:Z$11,Предпосылки!$I$205,),0),Z155/(1+IFERROR(INDEX(Z$10:Z$11,Предпосылки!$I$206,),0))*IFERROR(INDEX(Z$10:Z$11,Предпосылки!$I$206,),0),Z178/(1+IFERROR(INDEX(Z$10:Z$11,Предпосылки!$I$207,),0))*IFERROR(INDEX(Z$10:Z$11,Предпосылки!$I$207,),0),Z201/(1+IFERROR(INDEX(Z$10:Z$11,Предпосылки!$I$208,),0))*IFERROR(INDEX(Z$10:Z$11,Предпосылки!$I$208,),0),Z224/(1+IFERROR(INDEX(Z$10:Z$11,Предпосылки!$I$209,),0))*IFERROR(INDEX(Z$10:Z$11,Предпосылки!$I$209,),0),Z247/(1+IFERROR(INDEX(Z$10:Z$11,Предпосылки!$I$210,),0))*IFERROR(INDEX(Z$10:Z$11,Предпосылки!$I$210,),0),Z270/(1+IFERROR(INDEX(Z$10:Z$11,Предпосылки!$I$211,),0))*IFERROR(INDEX(Z$10:Z$11,Предпосылки!$I$211,),0),Z293/(1+IFERROR(INDEX(Z$10:Z$11,Предпосылки!$I$212,),0))*IFERROR(INDEX(Z$10:Z$11,Предпосылки!$I$212,),0),Z316/(1+IFERROR(INDEX(Z$10:Z$11,Предпосылки!$I$213,),0))*IFERROR(INDEX(Z$10:Z$11,Предпосылки!$I$213,),0),Z339/(1+IFERROR(INDEX(Z$10:Z$11,Предпосылки!$I$214,),0))*IFERROR(INDEX(Z$10:Z$11,Предпосылки!$I$214,),0),Z362/(1+IFERROR(INDEX(Z$10:Z$11,Предпосылки!$I$215,),0))*IFERROR(INDEX(Z$10:Z$11,Предпосылки!$I$215,),0),Z385/(1+IFERROR(INDEX(Z$10:Z$11,Предпосылки!$I$216,),0))*IFERROR(INDEX(Z$10:Z$11,Предпосылки!$I$216,),0),Z408/(1+IFERROR(INDEX(Z$10:Z$11,Предпосылки!$I$217,),0))*IFERROR(INDEX(Z$10:Z$11,Предпосылки!$I$217,),0),Z431/(1+IFERROR(INDEX(Z$10:Z$11,Предпосылки!$I$218,),0))*IFERROR(INDEX(Z$10:Z$11,Предпосылки!$I$218,),0),Z454/(1+IFERROR(INDEX(Z$10:Z$11,Предпосылки!$I$219,),0))*IFERROR(INDEX(Z$10:Z$11,Предпосылки!$I$219,),0),Z477/(1+IFERROR(INDEX(Z$10:Z$11,Предпосылки!$I$220,),0))*IFERROR(INDEX(Z$10:Z$11,Предпосылки!$I$220,),0))</f>
        <v>0</v>
      </c>
      <c s="125">
        <f>SUM(AA40/(1+IFERROR(INDEX(AA$10:AA$11,Предпосылки!$I$201,),0))*IFERROR(INDEX(AA$10:AA$11,Предпосылки!$I$201,),0),AA63/(1+IFERROR(INDEX(AA$10:AA$11,Предпосылки!$I$202,),0))*IFERROR(INDEX(AA$10:AA$11,Предпосылки!$I$202,),0),AA86/(1+IFERROR(INDEX(AA$10:AA$11,Предпосылки!$I$203,),0))*IFERROR(INDEX(AA$10:AA$11,Предпосылки!$I$203,),0),AA109/(1+IFERROR(INDEX(AA$10:AA$11,Предпосылки!$I$204,),0))*IFERROR(INDEX(AA$10:AA$11,Предпосылки!$I$204,),0),AA132/(1+IFERROR(INDEX(AA$10:AA$11,Предпосылки!$I$205,),0))*IFERROR(INDEX(AA$10:AA$11,Предпосылки!$I$205,),0),AA155/(1+IFERROR(INDEX(AA$10:AA$11,Предпосылки!$I$206,),0))*IFERROR(INDEX(AA$10:AA$11,Предпосылки!$I$206,),0),AA178/(1+IFERROR(INDEX(AA$10:AA$11,Предпосылки!$I$207,),0))*IFERROR(INDEX(AA$10:AA$11,Предпосылки!$I$207,),0),AA201/(1+IFERROR(INDEX(AA$10:AA$11,Предпосылки!$I$208,),0))*IFERROR(INDEX(AA$10:AA$11,Предпосылки!$I$208,),0),AA224/(1+IFERROR(INDEX(AA$10:AA$11,Предпосылки!$I$209,),0))*IFERROR(INDEX(AA$10:AA$11,Предпосылки!$I$209,),0),AA247/(1+IFERROR(INDEX(AA$10:AA$11,Предпосылки!$I$210,),0))*IFERROR(INDEX(AA$10:AA$11,Предпосылки!$I$210,),0),AA270/(1+IFERROR(INDEX(AA$10:AA$11,Предпосылки!$I$211,),0))*IFERROR(INDEX(AA$10:AA$11,Предпосылки!$I$211,),0),AA293/(1+IFERROR(INDEX(AA$10:AA$11,Предпосылки!$I$212,),0))*IFERROR(INDEX(AA$10:AA$11,Предпосылки!$I$212,),0),AA316/(1+IFERROR(INDEX(AA$10:AA$11,Предпосылки!$I$213,),0))*IFERROR(INDEX(AA$10:AA$11,Предпосылки!$I$213,),0),AA339/(1+IFERROR(INDEX(AA$10:AA$11,Предпосылки!$I$214,),0))*IFERROR(INDEX(AA$10:AA$11,Предпосылки!$I$214,),0),AA362/(1+IFERROR(INDEX(AA$10:AA$11,Предпосылки!$I$215,),0))*IFERROR(INDEX(AA$10:AA$11,Предпосылки!$I$215,),0),AA385/(1+IFERROR(INDEX(AA$10:AA$11,Предпосылки!$I$216,),0))*IFERROR(INDEX(AA$10:AA$11,Предпосылки!$I$216,),0),AA408/(1+IFERROR(INDEX(AA$10:AA$11,Предпосылки!$I$217,),0))*IFERROR(INDEX(AA$10:AA$11,Предпосылки!$I$217,),0),AA431/(1+IFERROR(INDEX(AA$10:AA$11,Предпосылки!$I$218,),0))*IFERROR(INDEX(AA$10:AA$11,Предпосылки!$I$218,),0),AA454/(1+IFERROR(INDEX(AA$10:AA$11,Предпосылки!$I$219,),0))*IFERROR(INDEX(AA$10:AA$11,Предпосылки!$I$219,),0),AA477/(1+IFERROR(INDEX(AA$10:AA$11,Предпосылки!$I$220,),0))*IFERROR(INDEX(AA$10:AA$11,Предпосылки!$I$220,),0))</f>
        <v>0</v>
      </c>
      <c s="125">
        <f>SUM(AB40/(1+IFERROR(INDEX(AB$10:AB$11,Предпосылки!$I$201,),0))*IFERROR(INDEX(AB$10:AB$11,Предпосылки!$I$201,),0),AB63/(1+IFERROR(INDEX(AB$10:AB$11,Предпосылки!$I$202,),0))*IFERROR(INDEX(AB$10:AB$11,Предпосылки!$I$202,),0),AB86/(1+IFERROR(INDEX(AB$10:AB$11,Предпосылки!$I$203,),0))*IFERROR(INDEX(AB$10:AB$11,Предпосылки!$I$203,),0),AB109/(1+IFERROR(INDEX(AB$10:AB$11,Предпосылки!$I$204,),0))*IFERROR(INDEX(AB$10:AB$11,Предпосылки!$I$204,),0),AB132/(1+IFERROR(INDEX(AB$10:AB$11,Предпосылки!$I$205,),0))*IFERROR(INDEX(AB$10:AB$11,Предпосылки!$I$205,),0),AB155/(1+IFERROR(INDEX(AB$10:AB$11,Предпосылки!$I$206,),0))*IFERROR(INDEX(AB$10:AB$11,Предпосылки!$I$206,),0),AB178/(1+IFERROR(INDEX(AB$10:AB$11,Предпосылки!$I$207,),0))*IFERROR(INDEX(AB$10:AB$11,Предпосылки!$I$207,),0),AB201/(1+IFERROR(INDEX(AB$10:AB$11,Предпосылки!$I$208,),0))*IFERROR(INDEX(AB$10:AB$11,Предпосылки!$I$208,),0),AB224/(1+IFERROR(INDEX(AB$10:AB$11,Предпосылки!$I$209,),0))*IFERROR(INDEX(AB$10:AB$11,Предпосылки!$I$209,),0),AB247/(1+IFERROR(INDEX(AB$10:AB$11,Предпосылки!$I$210,),0))*IFERROR(INDEX(AB$10:AB$11,Предпосылки!$I$210,),0),AB270/(1+IFERROR(INDEX(AB$10:AB$11,Предпосылки!$I$211,),0))*IFERROR(INDEX(AB$10:AB$11,Предпосылки!$I$211,),0),AB293/(1+IFERROR(INDEX(AB$10:AB$11,Предпосылки!$I$212,),0))*IFERROR(INDEX(AB$10:AB$11,Предпосылки!$I$212,),0),AB316/(1+IFERROR(INDEX(AB$10:AB$11,Предпосылки!$I$213,),0))*IFERROR(INDEX(AB$10:AB$11,Предпосылки!$I$213,),0),AB339/(1+IFERROR(INDEX(AB$10:AB$11,Предпосылки!$I$214,),0))*IFERROR(INDEX(AB$10:AB$11,Предпосылки!$I$214,),0),AB362/(1+IFERROR(INDEX(AB$10:AB$11,Предпосылки!$I$215,),0))*IFERROR(INDEX(AB$10:AB$11,Предпосылки!$I$215,),0),AB385/(1+IFERROR(INDEX(AB$10:AB$11,Предпосылки!$I$216,),0))*IFERROR(INDEX(AB$10:AB$11,Предпосылки!$I$216,),0),AB408/(1+IFERROR(INDEX(AB$10:AB$11,Предпосылки!$I$217,),0))*IFERROR(INDEX(AB$10:AB$11,Предпосылки!$I$217,),0),AB431/(1+IFERROR(INDEX(AB$10:AB$11,Предпосылки!$I$218,),0))*IFERROR(INDEX(AB$10:AB$11,Предпосылки!$I$218,),0),AB454/(1+IFERROR(INDEX(AB$10:AB$11,Предпосылки!$I$219,),0))*IFERROR(INDEX(AB$10:AB$11,Предпосылки!$I$219,),0),AB477/(1+IFERROR(INDEX(AB$10:AB$11,Предпосылки!$I$220,),0))*IFERROR(INDEX(AB$10:AB$11,Предпосылки!$I$220,),0))</f>
        <v>0</v>
      </c>
      <c s="125">
        <f>SUM(AC40/(1+IFERROR(INDEX(AC$10:AC$11,Предпосылки!$I$201,),0))*IFERROR(INDEX(AC$10:AC$11,Предпосылки!$I$201,),0),AC63/(1+IFERROR(INDEX(AC$10:AC$11,Предпосылки!$I$202,),0))*IFERROR(INDEX(AC$10:AC$11,Предпосылки!$I$202,),0),AC86/(1+IFERROR(INDEX(AC$10:AC$11,Предпосылки!$I$203,),0))*IFERROR(INDEX(AC$10:AC$11,Предпосылки!$I$203,),0),AC109/(1+IFERROR(INDEX(AC$10:AC$11,Предпосылки!$I$204,),0))*IFERROR(INDEX(AC$10:AC$11,Предпосылки!$I$204,),0),AC132/(1+IFERROR(INDEX(AC$10:AC$11,Предпосылки!$I$205,),0))*IFERROR(INDEX(AC$10:AC$11,Предпосылки!$I$205,),0),AC155/(1+IFERROR(INDEX(AC$10:AC$11,Предпосылки!$I$206,),0))*IFERROR(INDEX(AC$10:AC$11,Предпосылки!$I$206,),0),AC178/(1+IFERROR(INDEX(AC$10:AC$11,Предпосылки!$I$207,),0))*IFERROR(INDEX(AC$10:AC$11,Предпосылки!$I$207,),0),AC201/(1+IFERROR(INDEX(AC$10:AC$11,Предпосылки!$I$208,),0))*IFERROR(INDEX(AC$10:AC$11,Предпосылки!$I$208,),0),AC224/(1+IFERROR(INDEX(AC$10:AC$11,Предпосылки!$I$209,),0))*IFERROR(INDEX(AC$10:AC$11,Предпосылки!$I$209,),0),AC247/(1+IFERROR(INDEX(AC$10:AC$11,Предпосылки!$I$210,),0))*IFERROR(INDEX(AC$10:AC$11,Предпосылки!$I$210,),0),AC270/(1+IFERROR(INDEX(AC$10:AC$11,Предпосылки!$I$211,),0))*IFERROR(INDEX(AC$10:AC$11,Предпосылки!$I$211,),0),AC293/(1+IFERROR(INDEX(AC$10:AC$11,Предпосылки!$I$212,),0))*IFERROR(INDEX(AC$10:AC$11,Предпосылки!$I$212,),0),AC316/(1+IFERROR(INDEX(AC$10:AC$11,Предпосылки!$I$213,),0))*IFERROR(INDEX(AC$10:AC$11,Предпосылки!$I$213,),0),AC339/(1+IFERROR(INDEX(AC$10:AC$11,Предпосылки!$I$214,),0))*IFERROR(INDEX(AC$10:AC$11,Предпосылки!$I$214,),0),AC362/(1+IFERROR(INDEX(AC$10:AC$11,Предпосылки!$I$215,),0))*IFERROR(INDEX(AC$10:AC$11,Предпосылки!$I$215,),0),AC385/(1+IFERROR(INDEX(AC$10:AC$11,Предпосылки!$I$216,),0))*IFERROR(INDEX(AC$10:AC$11,Предпосылки!$I$216,),0),AC408/(1+IFERROR(INDEX(AC$10:AC$11,Предпосылки!$I$217,),0))*IFERROR(INDEX(AC$10:AC$11,Предпосылки!$I$217,),0),AC431/(1+IFERROR(INDEX(AC$10:AC$11,Предпосылки!$I$218,),0))*IFERROR(INDEX(AC$10:AC$11,Предпосылки!$I$218,),0),AC454/(1+IFERROR(INDEX(AC$10:AC$11,Предпосылки!$I$219,),0))*IFERROR(INDEX(AC$10:AC$11,Предпосылки!$I$219,),0),AC477/(1+IFERROR(INDEX(AC$10:AC$11,Предпосылки!$I$220,),0))*IFERROR(INDEX(AC$10:AC$11,Предпосылки!$I$220,),0))</f>
        <v>0</v>
      </c>
      <c s="125">
        <f>SUM(AD40/(1+IFERROR(INDEX(AD$10:AD$11,Предпосылки!$I$201,),0))*IFERROR(INDEX(AD$10:AD$11,Предпосылки!$I$201,),0),AD63/(1+IFERROR(INDEX(AD$10:AD$11,Предпосылки!$I$202,),0))*IFERROR(INDEX(AD$10:AD$11,Предпосылки!$I$202,),0),AD86/(1+IFERROR(INDEX(AD$10:AD$11,Предпосылки!$I$203,),0))*IFERROR(INDEX(AD$10:AD$11,Предпосылки!$I$203,),0),AD109/(1+IFERROR(INDEX(AD$10:AD$11,Предпосылки!$I$204,),0))*IFERROR(INDEX(AD$10:AD$11,Предпосылки!$I$204,),0),AD132/(1+IFERROR(INDEX(AD$10:AD$11,Предпосылки!$I$205,),0))*IFERROR(INDEX(AD$10:AD$11,Предпосылки!$I$205,),0),AD155/(1+IFERROR(INDEX(AD$10:AD$11,Предпосылки!$I$206,),0))*IFERROR(INDEX(AD$10:AD$11,Предпосылки!$I$206,),0),AD178/(1+IFERROR(INDEX(AD$10:AD$11,Предпосылки!$I$207,),0))*IFERROR(INDEX(AD$10:AD$11,Предпосылки!$I$207,),0),AD201/(1+IFERROR(INDEX(AD$10:AD$11,Предпосылки!$I$208,),0))*IFERROR(INDEX(AD$10:AD$11,Предпосылки!$I$208,),0),AD224/(1+IFERROR(INDEX(AD$10:AD$11,Предпосылки!$I$209,),0))*IFERROR(INDEX(AD$10:AD$11,Предпосылки!$I$209,),0),AD247/(1+IFERROR(INDEX(AD$10:AD$11,Предпосылки!$I$210,),0))*IFERROR(INDEX(AD$10:AD$11,Предпосылки!$I$210,),0),AD270/(1+IFERROR(INDEX(AD$10:AD$11,Предпосылки!$I$211,),0))*IFERROR(INDEX(AD$10:AD$11,Предпосылки!$I$211,),0),AD293/(1+IFERROR(INDEX(AD$10:AD$11,Предпосылки!$I$212,),0))*IFERROR(INDEX(AD$10:AD$11,Предпосылки!$I$212,),0),AD316/(1+IFERROR(INDEX(AD$10:AD$11,Предпосылки!$I$213,),0))*IFERROR(INDEX(AD$10:AD$11,Предпосылки!$I$213,),0),AD339/(1+IFERROR(INDEX(AD$10:AD$11,Предпосылки!$I$214,),0))*IFERROR(INDEX(AD$10:AD$11,Предпосылки!$I$214,),0),AD362/(1+IFERROR(INDEX(AD$10:AD$11,Предпосылки!$I$215,),0))*IFERROR(INDEX(AD$10:AD$11,Предпосылки!$I$215,),0),AD385/(1+IFERROR(INDEX(AD$10:AD$11,Предпосылки!$I$216,),0))*IFERROR(INDEX(AD$10:AD$11,Предпосылки!$I$216,),0),AD408/(1+IFERROR(INDEX(AD$10:AD$11,Предпосылки!$I$217,),0))*IFERROR(INDEX(AD$10:AD$11,Предпосылки!$I$217,),0),AD431/(1+IFERROR(INDEX(AD$10:AD$11,Предпосылки!$I$218,),0))*IFERROR(INDEX(AD$10:AD$11,Предпосылки!$I$218,),0),AD454/(1+IFERROR(INDEX(AD$10:AD$11,Предпосылки!$I$219,),0))*IFERROR(INDEX(AD$10:AD$11,Предпосылки!$I$219,),0),AD477/(1+IFERROR(INDEX(AD$10:AD$11,Предпосылки!$I$220,),0))*IFERROR(INDEX(AD$10:AD$11,Предпосылки!$I$220,),0))</f>
        <v>0</v>
      </c>
      <c s="125">
        <f>SUM(AE40/(1+IFERROR(INDEX(AE$10:AE$11,Предпосылки!$I$201,),0))*IFERROR(INDEX(AE$10:AE$11,Предпосылки!$I$201,),0),AE63/(1+IFERROR(INDEX(AE$10:AE$11,Предпосылки!$I$202,),0))*IFERROR(INDEX(AE$10:AE$11,Предпосылки!$I$202,),0),AE86/(1+IFERROR(INDEX(AE$10:AE$11,Предпосылки!$I$203,),0))*IFERROR(INDEX(AE$10:AE$11,Предпосылки!$I$203,),0),AE109/(1+IFERROR(INDEX(AE$10:AE$11,Предпосылки!$I$204,),0))*IFERROR(INDEX(AE$10:AE$11,Предпосылки!$I$204,),0),AE132/(1+IFERROR(INDEX(AE$10:AE$11,Предпосылки!$I$205,),0))*IFERROR(INDEX(AE$10:AE$11,Предпосылки!$I$205,),0),AE155/(1+IFERROR(INDEX(AE$10:AE$11,Предпосылки!$I$206,),0))*IFERROR(INDEX(AE$10:AE$11,Предпосылки!$I$206,),0),AE178/(1+IFERROR(INDEX(AE$10:AE$11,Предпосылки!$I$207,),0))*IFERROR(INDEX(AE$10:AE$11,Предпосылки!$I$207,),0),AE201/(1+IFERROR(INDEX(AE$10:AE$11,Предпосылки!$I$208,),0))*IFERROR(INDEX(AE$10:AE$11,Предпосылки!$I$208,),0),AE224/(1+IFERROR(INDEX(AE$10:AE$11,Предпосылки!$I$209,),0))*IFERROR(INDEX(AE$10:AE$11,Предпосылки!$I$209,),0),AE247/(1+IFERROR(INDEX(AE$10:AE$11,Предпосылки!$I$210,),0))*IFERROR(INDEX(AE$10:AE$11,Предпосылки!$I$210,),0),AE270/(1+IFERROR(INDEX(AE$10:AE$11,Предпосылки!$I$211,),0))*IFERROR(INDEX(AE$10:AE$11,Предпосылки!$I$211,),0),AE293/(1+IFERROR(INDEX(AE$10:AE$11,Предпосылки!$I$212,),0))*IFERROR(INDEX(AE$10:AE$11,Предпосылки!$I$212,),0),AE316/(1+IFERROR(INDEX(AE$10:AE$11,Предпосылки!$I$213,),0))*IFERROR(INDEX(AE$10:AE$11,Предпосылки!$I$213,),0),AE339/(1+IFERROR(INDEX(AE$10:AE$11,Предпосылки!$I$214,),0))*IFERROR(INDEX(AE$10:AE$11,Предпосылки!$I$214,),0),AE362/(1+IFERROR(INDEX(AE$10:AE$11,Предпосылки!$I$215,),0))*IFERROR(INDEX(AE$10:AE$11,Предпосылки!$I$215,),0),AE385/(1+IFERROR(INDEX(AE$10:AE$11,Предпосылки!$I$216,),0))*IFERROR(INDEX(AE$10:AE$11,Предпосылки!$I$216,),0),AE408/(1+IFERROR(INDEX(AE$10:AE$11,Предпосылки!$I$217,),0))*IFERROR(INDEX(AE$10:AE$11,Предпосылки!$I$217,),0),AE431/(1+IFERROR(INDEX(AE$10:AE$11,Предпосылки!$I$218,),0))*IFERROR(INDEX(AE$10:AE$11,Предпосылки!$I$218,),0),AE454/(1+IFERROR(INDEX(AE$10:AE$11,Предпосылки!$I$219,),0))*IFERROR(INDEX(AE$10:AE$11,Предпосылки!$I$219,),0),AE477/(1+IFERROR(INDEX(AE$10:AE$11,Предпосылки!$I$220,),0))*IFERROR(INDEX(AE$10:AE$11,Предпосылки!$I$220,),0))</f>
        <v>0</v>
      </c>
      <c s="125">
        <f>SUM(AF40/(1+IFERROR(INDEX(AF$10:AF$11,Предпосылки!$I$201,),0))*IFERROR(INDEX(AF$10:AF$11,Предпосылки!$I$201,),0),AF63/(1+IFERROR(INDEX(AF$10:AF$11,Предпосылки!$I$202,),0))*IFERROR(INDEX(AF$10:AF$11,Предпосылки!$I$202,),0),AF86/(1+IFERROR(INDEX(AF$10:AF$11,Предпосылки!$I$203,),0))*IFERROR(INDEX(AF$10:AF$11,Предпосылки!$I$203,),0),AF109/(1+IFERROR(INDEX(AF$10:AF$11,Предпосылки!$I$204,),0))*IFERROR(INDEX(AF$10:AF$11,Предпосылки!$I$204,),0),AF132/(1+IFERROR(INDEX(AF$10:AF$11,Предпосылки!$I$205,),0))*IFERROR(INDEX(AF$10:AF$11,Предпосылки!$I$205,),0),AF155/(1+IFERROR(INDEX(AF$10:AF$11,Предпосылки!$I$206,),0))*IFERROR(INDEX(AF$10:AF$11,Предпосылки!$I$206,),0),AF178/(1+IFERROR(INDEX(AF$10:AF$11,Предпосылки!$I$207,),0))*IFERROR(INDEX(AF$10:AF$11,Предпосылки!$I$207,),0),AF201/(1+IFERROR(INDEX(AF$10:AF$11,Предпосылки!$I$208,),0))*IFERROR(INDEX(AF$10:AF$11,Предпосылки!$I$208,),0),AF224/(1+IFERROR(INDEX(AF$10:AF$11,Предпосылки!$I$209,),0))*IFERROR(INDEX(AF$10:AF$11,Предпосылки!$I$209,),0),AF247/(1+IFERROR(INDEX(AF$10:AF$11,Предпосылки!$I$210,),0))*IFERROR(INDEX(AF$10:AF$11,Предпосылки!$I$210,),0),AF270/(1+IFERROR(INDEX(AF$10:AF$11,Предпосылки!$I$211,),0))*IFERROR(INDEX(AF$10:AF$11,Предпосылки!$I$211,),0),AF293/(1+IFERROR(INDEX(AF$10:AF$11,Предпосылки!$I$212,),0))*IFERROR(INDEX(AF$10:AF$11,Предпосылки!$I$212,),0),AF316/(1+IFERROR(INDEX(AF$10:AF$11,Предпосылки!$I$213,),0))*IFERROR(INDEX(AF$10:AF$11,Предпосылки!$I$213,),0),AF339/(1+IFERROR(INDEX(AF$10:AF$11,Предпосылки!$I$214,),0))*IFERROR(INDEX(AF$10:AF$11,Предпосылки!$I$214,),0),AF362/(1+IFERROR(INDEX(AF$10:AF$11,Предпосылки!$I$215,),0))*IFERROR(INDEX(AF$10:AF$11,Предпосылки!$I$215,),0),AF385/(1+IFERROR(INDEX(AF$10:AF$11,Предпосылки!$I$216,),0))*IFERROR(INDEX(AF$10:AF$11,Предпосылки!$I$216,),0),AF408/(1+IFERROR(INDEX(AF$10:AF$11,Предпосылки!$I$217,),0))*IFERROR(INDEX(AF$10:AF$11,Предпосылки!$I$217,),0),AF431/(1+IFERROR(INDEX(AF$10:AF$11,Предпосылки!$I$218,),0))*IFERROR(INDEX(AF$10:AF$11,Предпосылки!$I$218,),0),AF454/(1+IFERROR(INDEX(AF$10:AF$11,Предпосылки!$I$219,),0))*IFERROR(INDEX(AF$10:AF$11,Предпосылки!$I$219,),0),AF477/(1+IFERROR(INDEX(AF$10:AF$11,Предпосылки!$I$220,),0))*IFERROR(INDEX(AF$10:AF$11,Предпосылки!$I$220,),0))</f>
        <v>0</v>
      </c>
      <c s="125">
        <f>SUM(AG40/(1+IFERROR(INDEX(AG$10:AG$11,Предпосылки!$I$201,),0))*IFERROR(INDEX(AG$10:AG$11,Предпосылки!$I$201,),0),AG63/(1+IFERROR(INDEX(AG$10:AG$11,Предпосылки!$I$202,),0))*IFERROR(INDEX(AG$10:AG$11,Предпосылки!$I$202,),0),AG86/(1+IFERROR(INDEX(AG$10:AG$11,Предпосылки!$I$203,),0))*IFERROR(INDEX(AG$10:AG$11,Предпосылки!$I$203,),0),AG109/(1+IFERROR(INDEX(AG$10:AG$11,Предпосылки!$I$204,),0))*IFERROR(INDEX(AG$10:AG$11,Предпосылки!$I$204,),0),AG132/(1+IFERROR(INDEX(AG$10:AG$11,Предпосылки!$I$205,),0))*IFERROR(INDEX(AG$10:AG$11,Предпосылки!$I$205,),0),AG155/(1+IFERROR(INDEX(AG$10:AG$11,Предпосылки!$I$206,),0))*IFERROR(INDEX(AG$10:AG$11,Предпосылки!$I$206,),0),AG178/(1+IFERROR(INDEX(AG$10:AG$11,Предпосылки!$I$207,),0))*IFERROR(INDEX(AG$10:AG$11,Предпосылки!$I$207,),0),AG201/(1+IFERROR(INDEX(AG$10:AG$11,Предпосылки!$I$208,),0))*IFERROR(INDEX(AG$10:AG$11,Предпосылки!$I$208,),0),AG224/(1+IFERROR(INDEX(AG$10:AG$11,Предпосылки!$I$209,),0))*IFERROR(INDEX(AG$10:AG$11,Предпосылки!$I$209,),0),AG247/(1+IFERROR(INDEX(AG$10:AG$11,Предпосылки!$I$210,),0))*IFERROR(INDEX(AG$10:AG$11,Предпосылки!$I$210,),0),AG270/(1+IFERROR(INDEX(AG$10:AG$11,Предпосылки!$I$211,),0))*IFERROR(INDEX(AG$10:AG$11,Предпосылки!$I$211,),0),AG293/(1+IFERROR(INDEX(AG$10:AG$11,Предпосылки!$I$212,),0))*IFERROR(INDEX(AG$10:AG$11,Предпосылки!$I$212,),0),AG316/(1+IFERROR(INDEX(AG$10:AG$11,Предпосылки!$I$213,),0))*IFERROR(INDEX(AG$10:AG$11,Предпосылки!$I$213,),0),AG339/(1+IFERROR(INDEX(AG$10:AG$11,Предпосылки!$I$214,),0))*IFERROR(INDEX(AG$10:AG$11,Предпосылки!$I$214,),0),AG362/(1+IFERROR(INDEX(AG$10:AG$11,Предпосылки!$I$215,),0))*IFERROR(INDEX(AG$10:AG$11,Предпосылки!$I$215,),0),AG385/(1+IFERROR(INDEX(AG$10:AG$11,Предпосылки!$I$216,),0))*IFERROR(INDEX(AG$10:AG$11,Предпосылки!$I$216,),0),AG408/(1+IFERROR(INDEX(AG$10:AG$11,Предпосылки!$I$217,),0))*IFERROR(INDEX(AG$10:AG$11,Предпосылки!$I$217,),0),AG431/(1+IFERROR(INDEX(AG$10:AG$11,Предпосылки!$I$218,),0))*IFERROR(INDEX(AG$10:AG$11,Предпосылки!$I$218,),0),AG454/(1+IFERROR(INDEX(AG$10:AG$11,Предпосылки!$I$219,),0))*IFERROR(INDEX(AG$10:AG$11,Предпосылки!$I$219,),0),AG477/(1+IFERROR(INDEX(AG$10:AG$11,Предпосылки!$I$220,),0))*IFERROR(INDEX(AG$10:AG$11,Предпосылки!$I$220,),0))</f>
        <v>0</v>
      </c>
      <c s="125">
        <f>SUM(AH40/(1+IFERROR(INDEX(AH$10:AH$11,Предпосылки!$I$201,),0))*IFERROR(INDEX(AH$10:AH$11,Предпосылки!$I$201,),0),AH63/(1+IFERROR(INDEX(AH$10:AH$11,Предпосылки!$I$202,),0))*IFERROR(INDEX(AH$10:AH$11,Предпосылки!$I$202,),0),AH86/(1+IFERROR(INDEX(AH$10:AH$11,Предпосылки!$I$203,),0))*IFERROR(INDEX(AH$10:AH$11,Предпосылки!$I$203,),0),AH109/(1+IFERROR(INDEX(AH$10:AH$11,Предпосылки!$I$204,),0))*IFERROR(INDEX(AH$10:AH$11,Предпосылки!$I$204,),0),AH132/(1+IFERROR(INDEX(AH$10:AH$11,Предпосылки!$I$205,),0))*IFERROR(INDEX(AH$10:AH$11,Предпосылки!$I$205,),0),AH155/(1+IFERROR(INDEX(AH$10:AH$11,Предпосылки!$I$206,),0))*IFERROR(INDEX(AH$10:AH$11,Предпосылки!$I$206,),0),AH178/(1+IFERROR(INDEX(AH$10:AH$11,Предпосылки!$I$207,),0))*IFERROR(INDEX(AH$10:AH$11,Предпосылки!$I$207,),0),AH201/(1+IFERROR(INDEX(AH$10:AH$11,Предпосылки!$I$208,),0))*IFERROR(INDEX(AH$10:AH$11,Предпосылки!$I$208,),0),AH224/(1+IFERROR(INDEX(AH$10:AH$11,Предпосылки!$I$209,),0))*IFERROR(INDEX(AH$10:AH$11,Предпосылки!$I$209,),0),AH247/(1+IFERROR(INDEX(AH$10:AH$11,Предпосылки!$I$210,),0))*IFERROR(INDEX(AH$10:AH$11,Предпосылки!$I$210,),0),AH270/(1+IFERROR(INDEX(AH$10:AH$11,Предпосылки!$I$211,),0))*IFERROR(INDEX(AH$10:AH$11,Предпосылки!$I$211,),0),AH293/(1+IFERROR(INDEX(AH$10:AH$11,Предпосылки!$I$212,),0))*IFERROR(INDEX(AH$10:AH$11,Предпосылки!$I$212,),0),AH316/(1+IFERROR(INDEX(AH$10:AH$11,Предпосылки!$I$213,),0))*IFERROR(INDEX(AH$10:AH$11,Предпосылки!$I$213,),0),AH339/(1+IFERROR(INDEX(AH$10:AH$11,Предпосылки!$I$214,),0))*IFERROR(INDEX(AH$10:AH$11,Предпосылки!$I$214,),0),AH362/(1+IFERROR(INDEX(AH$10:AH$11,Предпосылки!$I$215,),0))*IFERROR(INDEX(AH$10:AH$11,Предпосылки!$I$215,),0),AH385/(1+IFERROR(INDEX(AH$10:AH$11,Предпосылки!$I$216,),0))*IFERROR(INDEX(AH$10:AH$11,Предпосылки!$I$216,),0),AH408/(1+IFERROR(INDEX(AH$10:AH$11,Предпосылки!$I$217,),0))*IFERROR(INDEX(AH$10:AH$11,Предпосылки!$I$217,),0),AH431/(1+IFERROR(INDEX(AH$10:AH$11,Предпосылки!$I$218,),0))*IFERROR(INDEX(AH$10:AH$11,Предпосылки!$I$218,),0),AH454/(1+IFERROR(INDEX(AH$10:AH$11,Предпосылки!$I$219,),0))*IFERROR(INDEX(AH$10:AH$11,Предпосылки!$I$219,),0),AH477/(1+IFERROR(INDEX(AH$10:AH$11,Предпосылки!$I$220,),0))*IFERROR(INDEX(AH$10:AH$11,Предпосылки!$I$220,),0))</f>
        <v>0</v>
      </c>
      <c s="125">
        <f>SUM(AI40/(1+IFERROR(INDEX(AI$10:AI$11,Предпосылки!$I$201,),0))*IFERROR(INDEX(AI$10:AI$11,Предпосылки!$I$201,),0),AI63/(1+IFERROR(INDEX(AI$10:AI$11,Предпосылки!$I$202,),0))*IFERROR(INDEX(AI$10:AI$11,Предпосылки!$I$202,),0),AI86/(1+IFERROR(INDEX(AI$10:AI$11,Предпосылки!$I$203,),0))*IFERROR(INDEX(AI$10:AI$11,Предпосылки!$I$203,),0),AI109/(1+IFERROR(INDEX(AI$10:AI$11,Предпосылки!$I$204,),0))*IFERROR(INDEX(AI$10:AI$11,Предпосылки!$I$204,),0),AI132/(1+IFERROR(INDEX(AI$10:AI$11,Предпосылки!$I$205,),0))*IFERROR(INDEX(AI$10:AI$11,Предпосылки!$I$205,),0),AI155/(1+IFERROR(INDEX(AI$10:AI$11,Предпосылки!$I$206,),0))*IFERROR(INDEX(AI$10:AI$11,Предпосылки!$I$206,),0),AI178/(1+IFERROR(INDEX(AI$10:AI$11,Предпосылки!$I$207,),0))*IFERROR(INDEX(AI$10:AI$11,Предпосылки!$I$207,),0),AI201/(1+IFERROR(INDEX(AI$10:AI$11,Предпосылки!$I$208,),0))*IFERROR(INDEX(AI$10:AI$11,Предпосылки!$I$208,),0),AI224/(1+IFERROR(INDEX(AI$10:AI$11,Предпосылки!$I$209,),0))*IFERROR(INDEX(AI$10:AI$11,Предпосылки!$I$209,),0),AI247/(1+IFERROR(INDEX(AI$10:AI$11,Предпосылки!$I$210,),0))*IFERROR(INDEX(AI$10:AI$11,Предпосылки!$I$210,),0),AI270/(1+IFERROR(INDEX(AI$10:AI$11,Предпосылки!$I$211,),0))*IFERROR(INDEX(AI$10:AI$11,Предпосылки!$I$211,),0),AI293/(1+IFERROR(INDEX(AI$10:AI$11,Предпосылки!$I$212,),0))*IFERROR(INDEX(AI$10:AI$11,Предпосылки!$I$212,),0),AI316/(1+IFERROR(INDEX(AI$10:AI$11,Предпосылки!$I$213,),0))*IFERROR(INDEX(AI$10:AI$11,Предпосылки!$I$213,),0),AI339/(1+IFERROR(INDEX(AI$10:AI$11,Предпосылки!$I$214,),0))*IFERROR(INDEX(AI$10:AI$11,Предпосылки!$I$214,),0),AI362/(1+IFERROR(INDEX(AI$10:AI$11,Предпосылки!$I$215,),0))*IFERROR(INDEX(AI$10:AI$11,Предпосылки!$I$215,),0),AI385/(1+IFERROR(INDEX(AI$10:AI$11,Предпосылки!$I$216,),0))*IFERROR(INDEX(AI$10:AI$11,Предпосылки!$I$216,),0),AI408/(1+IFERROR(INDEX(AI$10:AI$11,Предпосылки!$I$217,),0))*IFERROR(INDEX(AI$10:AI$11,Предпосылки!$I$217,),0),AI431/(1+IFERROR(INDEX(AI$10:AI$11,Предпосылки!$I$218,),0))*IFERROR(INDEX(AI$10:AI$11,Предпосылки!$I$218,),0),AI454/(1+IFERROR(INDEX(AI$10:AI$11,Предпосылки!$I$219,),0))*IFERROR(INDEX(AI$10:AI$11,Предпосылки!$I$219,),0),AI477/(1+IFERROR(INDEX(AI$10:AI$11,Предпосылки!$I$220,),0))*IFERROR(INDEX(AI$10:AI$11,Предпосылки!$I$220,),0))</f>
        <v>0</v>
      </c>
      <c s="125">
        <f>SUM(AJ40/(1+IFERROR(INDEX(AJ$10:AJ$11,Предпосылки!$I$201,),0))*IFERROR(INDEX(AJ$10:AJ$11,Предпосылки!$I$201,),0),AJ63/(1+IFERROR(INDEX(AJ$10:AJ$11,Предпосылки!$I$202,),0))*IFERROR(INDEX(AJ$10:AJ$11,Предпосылки!$I$202,),0),AJ86/(1+IFERROR(INDEX(AJ$10:AJ$11,Предпосылки!$I$203,),0))*IFERROR(INDEX(AJ$10:AJ$11,Предпосылки!$I$203,),0),AJ109/(1+IFERROR(INDEX(AJ$10:AJ$11,Предпосылки!$I$204,),0))*IFERROR(INDEX(AJ$10:AJ$11,Предпосылки!$I$204,),0),AJ132/(1+IFERROR(INDEX(AJ$10:AJ$11,Предпосылки!$I$205,),0))*IFERROR(INDEX(AJ$10:AJ$11,Предпосылки!$I$205,),0),AJ155/(1+IFERROR(INDEX(AJ$10:AJ$11,Предпосылки!$I$206,),0))*IFERROR(INDEX(AJ$10:AJ$11,Предпосылки!$I$206,),0),AJ178/(1+IFERROR(INDEX(AJ$10:AJ$11,Предпосылки!$I$207,),0))*IFERROR(INDEX(AJ$10:AJ$11,Предпосылки!$I$207,),0),AJ201/(1+IFERROR(INDEX(AJ$10:AJ$11,Предпосылки!$I$208,),0))*IFERROR(INDEX(AJ$10:AJ$11,Предпосылки!$I$208,),0),AJ224/(1+IFERROR(INDEX(AJ$10:AJ$11,Предпосылки!$I$209,),0))*IFERROR(INDEX(AJ$10:AJ$11,Предпосылки!$I$209,),0),AJ247/(1+IFERROR(INDEX(AJ$10:AJ$11,Предпосылки!$I$210,),0))*IFERROR(INDEX(AJ$10:AJ$11,Предпосылки!$I$210,),0),AJ270/(1+IFERROR(INDEX(AJ$10:AJ$11,Предпосылки!$I$211,),0))*IFERROR(INDEX(AJ$10:AJ$11,Предпосылки!$I$211,),0),AJ293/(1+IFERROR(INDEX(AJ$10:AJ$11,Предпосылки!$I$212,),0))*IFERROR(INDEX(AJ$10:AJ$11,Предпосылки!$I$212,),0),AJ316/(1+IFERROR(INDEX(AJ$10:AJ$11,Предпосылки!$I$213,),0))*IFERROR(INDEX(AJ$10:AJ$11,Предпосылки!$I$213,),0),AJ339/(1+IFERROR(INDEX(AJ$10:AJ$11,Предпосылки!$I$214,),0))*IFERROR(INDEX(AJ$10:AJ$11,Предпосылки!$I$214,),0),AJ362/(1+IFERROR(INDEX(AJ$10:AJ$11,Предпосылки!$I$215,),0))*IFERROR(INDEX(AJ$10:AJ$11,Предпосылки!$I$215,),0),AJ385/(1+IFERROR(INDEX(AJ$10:AJ$11,Предпосылки!$I$216,),0))*IFERROR(INDEX(AJ$10:AJ$11,Предпосылки!$I$216,),0),AJ408/(1+IFERROR(INDEX(AJ$10:AJ$11,Предпосылки!$I$217,),0))*IFERROR(INDEX(AJ$10:AJ$11,Предпосылки!$I$217,),0),AJ431/(1+IFERROR(INDEX(AJ$10:AJ$11,Предпосылки!$I$218,),0))*IFERROR(INDEX(AJ$10:AJ$11,Предпосылки!$I$218,),0),AJ454/(1+IFERROR(INDEX(AJ$10:AJ$11,Предпосылки!$I$219,),0))*IFERROR(INDEX(AJ$10:AJ$11,Предпосылки!$I$219,),0),AJ477/(1+IFERROR(INDEX(AJ$10:AJ$11,Предпосылки!$I$220,),0))*IFERROR(INDEX(AJ$10:AJ$11,Предпосылки!$I$220,),0))</f>
        <v>0</v>
      </c>
      <c s="125">
        <f>SUM(AK40/(1+IFERROR(INDEX(AK$10:AK$11,Предпосылки!$I$201,),0))*IFERROR(INDEX(AK$10:AK$11,Предпосылки!$I$201,),0),AK63/(1+IFERROR(INDEX(AK$10:AK$11,Предпосылки!$I$202,),0))*IFERROR(INDEX(AK$10:AK$11,Предпосылки!$I$202,),0),AK86/(1+IFERROR(INDEX(AK$10:AK$11,Предпосылки!$I$203,),0))*IFERROR(INDEX(AK$10:AK$11,Предпосылки!$I$203,),0),AK109/(1+IFERROR(INDEX(AK$10:AK$11,Предпосылки!$I$204,),0))*IFERROR(INDEX(AK$10:AK$11,Предпосылки!$I$204,),0),AK132/(1+IFERROR(INDEX(AK$10:AK$11,Предпосылки!$I$205,),0))*IFERROR(INDEX(AK$10:AK$11,Предпосылки!$I$205,),0),AK155/(1+IFERROR(INDEX(AK$10:AK$11,Предпосылки!$I$206,),0))*IFERROR(INDEX(AK$10:AK$11,Предпосылки!$I$206,),0),AK178/(1+IFERROR(INDEX(AK$10:AK$11,Предпосылки!$I$207,),0))*IFERROR(INDEX(AK$10:AK$11,Предпосылки!$I$207,),0),AK201/(1+IFERROR(INDEX(AK$10:AK$11,Предпосылки!$I$208,),0))*IFERROR(INDEX(AK$10:AK$11,Предпосылки!$I$208,),0),AK224/(1+IFERROR(INDEX(AK$10:AK$11,Предпосылки!$I$209,),0))*IFERROR(INDEX(AK$10:AK$11,Предпосылки!$I$209,),0),AK247/(1+IFERROR(INDEX(AK$10:AK$11,Предпосылки!$I$210,),0))*IFERROR(INDEX(AK$10:AK$11,Предпосылки!$I$210,),0),AK270/(1+IFERROR(INDEX(AK$10:AK$11,Предпосылки!$I$211,),0))*IFERROR(INDEX(AK$10:AK$11,Предпосылки!$I$211,),0),AK293/(1+IFERROR(INDEX(AK$10:AK$11,Предпосылки!$I$212,),0))*IFERROR(INDEX(AK$10:AK$11,Предпосылки!$I$212,),0),AK316/(1+IFERROR(INDEX(AK$10:AK$11,Предпосылки!$I$213,),0))*IFERROR(INDEX(AK$10:AK$11,Предпосылки!$I$213,),0),AK339/(1+IFERROR(INDEX(AK$10:AK$11,Предпосылки!$I$214,),0))*IFERROR(INDEX(AK$10:AK$11,Предпосылки!$I$214,),0),AK362/(1+IFERROR(INDEX(AK$10:AK$11,Предпосылки!$I$215,),0))*IFERROR(INDEX(AK$10:AK$11,Предпосылки!$I$215,),0),AK385/(1+IFERROR(INDEX(AK$10:AK$11,Предпосылки!$I$216,),0))*IFERROR(INDEX(AK$10:AK$11,Предпосылки!$I$216,),0),AK408/(1+IFERROR(INDEX(AK$10:AK$11,Предпосылки!$I$217,),0))*IFERROR(INDEX(AK$10:AK$11,Предпосылки!$I$217,),0),AK431/(1+IFERROR(INDEX(AK$10:AK$11,Предпосылки!$I$218,),0))*IFERROR(INDEX(AK$10:AK$11,Предпосылки!$I$218,),0),AK454/(1+IFERROR(INDEX(AK$10:AK$11,Предпосылки!$I$219,),0))*IFERROR(INDEX(AK$10:AK$11,Предпосылки!$I$219,),0),AK477/(1+IFERROR(INDEX(AK$10:AK$11,Предпосылки!$I$220,),0))*IFERROR(INDEX(AK$10:AK$11,Предпосылки!$I$220,),0))</f>
        <v>0</v>
      </c>
      <c s="125">
        <f>SUM(AL40/(1+IFERROR(INDEX(AL$10:AL$11,Предпосылки!$I$201,),0))*IFERROR(INDEX(AL$10:AL$11,Предпосылки!$I$201,),0),AL63/(1+IFERROR(INDEX(AL$10:AL$11,Предпосылки!$I$202,),0))*IFERROR(INDEX(AL$10:AL$11,Предпосылки!$I$202,),0),AL86/(1+IFERROR(INDEX(AL$10:AL$11,Предпосылки!$I$203,),0))*IFERROR(INDEX(AL$10:AL$11,Предпосылки!$I$203,),0),AL109/(1+IFERROR(INDEX(AL$10:AL$11,Предпосылки!$I$204,),0))*IFERROR(INDEX(AL$10:AL$11,Предпосылки!$I$204,),0),AL132/(1+IFERROR(INDEX(AL$10:AL$11,Предпосылки!$I$205,),0))*IFERROR(INDEX(AL$10:AL$11,Предпосылки!$I$205,),0),AL155/(1+IFERROR(INDEX(AL$10:AL$11,Предпосылки!$I$206,),0))*IFERROR(INDEX(AL$10:AL$11,Предпосылки!$I$206,),0),AL178/(1+IFERROR(INDEX(AL$10:AL$11,Предпосылки!$I$207,),0))*IFERROR(INDEX(AL$10:AL$11,Предпосылки!$I$207,),0),AL201/(1+IFERROR(INDEX(AL$10:AL$11,Предпосылки!$I$208,),0))*IFERROR(INDEX(AL$10:AL$11,Предпосылки!$I$208,),0),AL224/(1+IFERROR(INDEX(AL$10:AL$11,Предпосылки!$I$209,),0))*IFERROR(INDEX(AL$10:AL$11,Предпосылки!$I$209,),0),AL247/(1+IFERROR(INDEX(AL$10:AL$11,Предпосылки!$I$210,),0))*IFERROR(INDEX(AL$10:AL$11,Предпосылки!$I$210,),0),AL270/(1+IFERROR(INDEX(AL$10:AL$11,Предпосылки!$I$211,),0))*IFERROR(INDEX(AL$10:AL$11,Предпосылки!$I$211,),0),AL293/(1+IFERROR(INDEX(AL$10:AL$11,Предпосылки!$I$212,),0))*IFERROR(INDEX(AL$10:AL$11,Предпосылки!$I$212,),0),AL316/(1+IFERROR(INDEX(AL$10:AL$11,Предпосылки!$I$213,),0))*IFERROR(INDEX(AL$10:AL$11,Предпосылки!$I$213,),0),AL339/(1+IFERROR(INDEX(AL$10:AL$11,Предпосылки!$I$214,),0))*IFERROR(INDEX(AL$10:AL$11,Предпосылки!$I$214,),0),AL362/(1+IFERROR(INDEX(AL$10:AL$11,Предпосылки!$I$215,),0))*IFERROR(INDEX(AL$10:AL$11,Предпосылки!$I$215,),0),AL385/(1+IFERROR(INDEX(AL$10:AL$11,Предпосылки!$I$216,),0))*IFERROR(INDEX(AL$10:AL$11,Предпосылки!$I$216,),0),AL408/(1+IFERROR(INDEX(AL$10:AL$11,Предпосылки!$I$217,),0))*IFERROR(INDEX(AL$10:AL$11,Предпосылки!$I$217,),0),AL431/(1+IFERROR(INDEX(AL$10:AL$11,Предпосылки!$I$218,),0))*IFERROR(INDEX(AL$10:AL$11,Предпосылки!$I$218,),0),AL454/(1+IFERROR(INDEX(AL$10:AL$11,Предпосылки!$I$219,),0))*IFERROR(INDEX(AL$10:AL$11,Предпосылки!$I$219,),0),AL477/(1+IFERROR(INDEX(AL$10:AL$11,Предпосылки!$I$220,),0))*IFERROR(INDEX(AL$10:AL$11,Предпосылки!$I$220,),0))</f>
        <v>0</v>
      </c>
      <c s="125">
        <f>SUM(AM40/(1+IFERROR(INDEX(AM$10:AM$11,Предпосылки!$I$201,),0))*IFERROR(INDEX(AM$10:AM$11,Предпосылки!$I$201,),0),AM63/(1+IFERROR(INDEX(AM$10:AM$11,Предпосылки!$I$202,),0))*IFERROR(INDEX(AM$10:AM$11,Предпосылки!$I$202,),0),AM86/(1+IFERROR(INDEX(AM$10:AM$11,Предпосылки!$I$203,),0))*IFERROR(INDEX(AM$10:AM$11,Предпосылки!$I$203,),0),AM109/(1+IFERROR(INDEX(AM$10:AM$11,Предпосылки!$I$204,),0))*IFERROR(INDEX(AM$10:AM$11,Предпосылки!$I$204,),0),AM132/(1+IFERROR(INDEX(AM$10:AM$11,Предпосылки!$I$205,),0))*IFERROR(INDEX(AM$10:AM$11,Предпосылки!$I$205,),0),AM155/(1+IFERROR(INDEX(AM$10:AM$11,Предпосылки!$I$206,),0))*IFERROR(INDEX(AM$10:AM$11,Предпосылки!$I$206,),0),AM178/(1+IFERROR(INDEX(AM$10:AM$11,Предпосылки!$I$207,),0))*IFERROR(INDEX(AM$10:AM$11,Предпосылки!$I$207,),0),AM201/(1+IFERROR(INDEX(AM$10:AM$11,Предпосылки!$I$208,),0))*IFERROR(INDEX(AM$10:AM$11,Предпосылки!$I$208,),0),AM224/(1+IFERROR(INDEX(AM$10:AM$11,Предпосылки!$I$209,),0))*IFERROR(INDEX(AM$10:AM$11,Предпосылки!$I$209,),0),AM247/(1+IFERROR(INDEX(AM$10:AM$11,Предпосылки!$I$210,),0))*IFERROR(INDEX(AM$10:AM$11,Предпосылки!$I$210,),0),AM270/(1+IFERROR(INDEX(AM$10:AM$11,Предпосылки!$I$211,),0))*IFERROR(INDEX(AM$10:AM$11,Предпосылки!$I$211,),0),AM293/(1+IFERROR(INDEX(AM$10:AM$11,Предпосылки!$I$212,),0))*IFERROR(INDEX(AM$10:AM$11,Предпосылки!$I$212,),0),AM316/(1+IFERROR(INDEX(AM$10:AM$11,Предпосылки!$I$213,),0))*IFERROR(INDEX(AM$10:AM$11,Предпосылки!$I$213,),0),AM339/(1+IFERROR(INDEX(AM$10:AM$11,Предпосылки!$I$214,),0))*IFERROR(INDEX(AM$10:AM$11,Предпосылки!$I$214,),0),AM362/(1+IFERROR(INDEX(AM$10:AM$11,Предпосылки!$I$215,),0))*IFERROR(INDEX(AM$10:AM$11,Предпосылки!$I$215,),0),AM385/(1+IFERROR(INDEX(AM$10:AM$11,Предпосылки!$I$216,),0))*IFERROR(INDEX(AM$10:AM$11,Предпосылки!$I$216,),0),AM408/(1+IFERROR(INDEX(AM$10:AM$11,Предпосылки!$I$217,),0))*IFERROR(INDEX(AM$10:AM$11,Предпосылки!$I$217,),0),AM431/(1+IFERROR(INDEX(AM$10:AM$11,Предпосылки!$I$218,),0))*IFERROR(INDEX(AM$10:AM$11,Предпосылки!$I$218,),0),AM454/(1+IFERROR(INDEX(AM$10:AM$11,Предпосылки!$I$219,),0))*IFERROR(INDEX(AM$10:AM$11,Предпосылки!$I$219,),0),AM477/(1+IFERROR(INDEX(AM$10:AM$11,Предпосылки!$I$220,),0))*IFERROR(INDEX(AM$10:AM$11,Предпосылки!$I$220,),0))</f>
        <v>0</v>
      </c>
      <c s="125">
        <f>SUM(AN40/(1+IFERROR(INDEX(AN$10:AN$11,Предпосылки!$I$201,),0))*IFERROR(INDEX(AN$10:AN$11,Предпосылки!$I$201,),0),AN63/(1+IFERROR(INDEX(AN$10:AN$11,Предпосылки!$I$202,),0))*IFERROR(INDEX(AN$10:AN$11,Предпосылки!$I$202,),0),AN86/(1+IFERROR(INDEX(AN$10:AN$11,Предпосылки!$I$203,),0))*IFERROR(INDEX(AN$10:AN$11,Предпосылки!$I$203,),0),AN109/(1+IFERROR(INDEX(AN$10:AN$11,Предпосылки!$I$204,),0))*IFERROR(INDEX(AN$10:AN$11,Предпосылки!$I$204,),0),AN132/(1+IFERROR(INDEX(AN$10:AN$11,Предпосылки!$I$205,),0))*IFERROR(INDEX(AN$10:AN$11,Предпосылки!$I$205,),0),AN155/(1+IFERROR(INDEX(AN$10:AN$11,Предпосылки!$I$206,),0))*IFERROR(INDEX(AN$10:AN$11,Предпосылки!$I$206,),0),AN178/(1+IFERROR(INDEX(AN$10:AN$11,Предпосылки!$I$207,),0))*IFERROR(INDEX(AN$10:AN$11,Предпосылки!$I$207,),0),AN201/(1+IFERROR(INDEX(AN$10:AN$11,Предпосылки!$I$208,),0))*IFERROR(INDEX(AN$10:AN$11,Предпосылки!$I$208,),0),AN224/(1+IFERROR(INDEX(AN$10:AN$11,Предпосылки!$I$209,),0))*IFERROR(INDEX(AN$10:AN$11,Предпосылки!$I$209,),0),AN247/(1+IFERROR(INDEX(AN$10:AN$11,Предпосылки!$I$210,),0))*IFERROR(INDEX(AN$10:AN$11,Предпосылки!$I$210,),0),AN270/(1+IFERROR(INDEX(AN$10:AN$11,Предпосылки!$I$211,),0))*IFERROR(INDEX(AN$10:AN$11,Предпосылки!$I$211,),0),AN293/(1+IFERROR(INDEX(AN$10:AN$11,Предпосылки!$I$212,),0))*IFERROR(INDEX(AN$10:AN$11,Предпосылки!$I$212,),0),AN316/(1+IFERROR(INDEX(AN$10:AN$11,Предпосылки!$I$213,),0))*IFERROR(INDEX(AN$10:AN$11,Предпосылки!$I$213,),0),AN339/(1+IFERROR(INDEX(AN$10:AN$11,Предпосылки!$I$214,),0))*IFERROR(INDEX(AN$10:AN$11,Предпосылки!$I$214,),0),AN362/(1+IFERROR(INDEX(AN$10:AN$11,Предпосылки!$I$215,),0))*IFERROR(INDEX(AN$10:AN$11,Предпосылки!$I$215,),0),AN385/(1+IFERROR(INDEX(AN$10:AN$11,Предпосылки!$I$216,),0))*IFERROR(INDEX(AN$10:AN$11,Предпосылки!$I$216,),0),AN408/(1+IFERROR(INDEX(AN$10:AN$11,Предпосылки!$I$217,),0))*IFERROR(INDEX(AN$10:AN$11,Предпосылки!$I$217,),0),AN431/(1+IFERROR(INDEX(AN$10:AN$11,Предпосылки!$I$218,),0))*IFERROR(INDEX(AN$10:AN$11,Предпосылки!$I$218,),0),AN454/(1+IFERROR(INDEX(AN$10:AN$11,Предпосылки!$I$219,),0))*IFERROR(INDEX(AN$10:AN$11,Предпосылки!$I$219,),0),AN477/(1+IFERROR(INDEX(AN$10:AN$11,Предпосылки!$I$220,),0))*IFERROR(INDEX(AN$10:AN$11,Предпосылки!$I$220,),0))</f>
        <v>0</v>
      </c>
      <c s="125">
        <f>SUM(AO40/(1+IFERROR(INDEX(AO$10:AO$11,Предпосылки!$I$201,),0))*IFERROR(INDEX(AO$10:AO$11,Предпосылки!$I$201,),0),AO63/(1+IFERROR(INDEX(AO$10:AO$11,Предпосылки!$I$202,),0))*IFERROR(INDEX(AO$10:AO$11,Предпосылки!$I$202,),0),AO86/(1+IFERROR(INDEX(AO$10:AO$11,Предпосылки!$I$203,),0))*IFERROR(INDEX(AO$10:AO$11,Предпосылки!$I$203,),0),AO109/(1+IFERROR(INDEX(AO$10:AO$11,Предпосылки!$I$204,),0))*IFERROR(INDEX(AO$10:AO$11,Предпосылки!$I$204,),0),AO132/(1+IFERROR(INDEX(AO$10:AO$11,Предпосылки!$I$205,),0))*IFERROR(INDEX(AO$10:AO$11,Предпосылки!$I$205,),0),AO155/(1+IFERROR(INDEX(AO$10:AO$11,Предпосылки!$I$206,),0))*IFERROR(INDEX(AO$10:AO$11,Предпосылки!$I$206,),0),AO178/(1+IFERROR(INDEX(AO$10:AO$11,Предпосылки!$I$207,),0))*IFERROR(INDEX(AO$10:AO$11,Предпосылки!$I$207,),0),AO201/(1+IFERROR(INDEX(AO$10:AO$11,Предпосылки!$I$208,),0))*IFERROR(INDEX(AO$10:AO$11,Предпосылки!$I$208,),0),AO224/(1+IFERROR(INDEX(AO$10:AO$11,Предпосылки!$I$209,),0))*IFERROR(INDEX(AO$10:AO$11,Предпосылки!$I$209,),0),AO247/(1+IFERROR(INDEX(AO$10:AO$11,Предпосылки!$I$210,),0))*IFERROR(INDEX(AO$10:AO$11,Предпосылки!$I$210,),0),AO270/(1+IFERROR(INDEX(AO$10:AO$11,Предпосылки!$I$211,),0))*IFERROR(INDEX(AO$10:AO$11,Предпосылки!$I$211,),0),AO293/(1+IFERROR(INDEX(AO$10:AO$11,Предпосылки!$I$212,),0))*IFERROR(INDEX(AO$10:AO$11,Предпосылки!$I$212,),0),AO316/(1+IFERROR(INDEX(AO$10:AO$11,Предпосылки!$I$213,),0))*IFERROR(INDEX(AO$10:AO$11,Предпосылки!$I$213,),0),AO339/(1+IFERROR(INDEX(AO$10:AO$11,Предпосылки!$I$214,),0))*IFERROR(INDEX(AO$10:AO$11,Предпосылки!$I$214,),0),AO362/(1+IFERROR(INDEX(AO$10:AO$11,Предпосылки!$I$215,),0))*IFERROR(INDEX(AO$10:AO$11,Предпосылки!$I$215,),0),AO385/(1+IFERROR(INDEX(AO$10:AO$11,Предпосылки!$I$216,),0))*IFERROR(INDEX(AO$10:AO$11,Предпосылки!$I$216,),0),AO408/(1+IFERROR(INDEX(AO$10:AO$11,Предпосылки!$I$217,),0))*IFERROR(INDEX(AO$10:AO$11,Предпосылки!$I$217,),0),AO431/(1+IFERROR(INDEX(AO$10:AO$11,Предпосылки!$I$218,),0))*IFERROR(INDEX(AO$10:AO$11,Предпосылки!$I$218,),0),AO454/(1+IFERROR(INDEX(AO$10:AO$11,Предпосылки!$I$219,),0))*IFERROR(INDEX(AO$10:AO$11,Предпосылки!$I$219,),0),AO477/(1+IFERROR(INDEX(AO$10:AO$11,Предпосылки!$I$220,),0))*IFERROR(INDEX(AO$10:AO$11,Предпосылки!$I$220,),0))</f>
        <v>0</v>
      </c>
      <c s="125">
        <f>SUM(AP40/(1+IFERROR(INDEX(AP$10:AP$11,Предпосылки!$I$201,),0))*IFERROR(INDEX(AP$10:AP$11,Предпосылки!$I$201,),0),AP63/(1+IFERROR(INDEX(AP$10:AP$11,Предпосылки!$I$202,),0))*IFERROR(INDEX(AP$10:AP$11,Предпосылки!$I$202,),0),AP86/(1+IFERROR(INDEX(AP$10:AP$11,Предпосылки!$I$203,),0))*IFERROR(INDEX(AP$10:AP$11,Предпосылки!$I$203,),0),AP109/(1+IFERROR(INDEX(AP$10:AP$11,Предпосылки!$I$204,),0))*IFERROR(INDEX(AP$10:AP$11,Предпосылки!$I$204,),0),AP132/(1+IFERROR(INDEX(AP$10:AP$11,Предпосылки!$I$205,),0))*IFERROR(INDEX(AP$10:AP$11,Предпосылки!$I$205,),0),AP155/(1+IFERROR(INDEX(AP$10:AP$11,Предпосылки!$I$206,),0))*IFERROR(INDEX(AP$10:AP$11,Предпосылки!$I$206,),0),AP178/(1+IFERROR(INDEX(AP$10:AP$11,Предпосылки!$I$207,),0))*IFERROR(INDEX(AP$10:AP$11,Предпосылки!$I$207,),0),AP201/(1+IFERROR(INDEX(AP$10:AP$11,Предпосылки!$I$208,),0))*IFERROR(INDEX(AP$10:AP$11,Предпосылки!$I$208,),0),AP224/(1+IFERROR(INDEX(AP$10:AP$11,Предпосылки!$I$209,),0))*IFERROR(INDEX(AP$10:AP$11,Предпосылки!$I$209,),0),AP247/(1+IFERROR(INDEX(AP$10:AP$11,Предпосылки!$I$210,),0))*IFERROR(INDEX(AP$10:AP$11,Предпосылки!$I$210,),0),AP270/(1+IFERROR(INDEX(AP$10:AP$11,Предпосылки!$I$211,),0))*IFERROR(INDEX(AP$10:AP$11,Предпосылки!$I$211,),0),AP293/(1+IFERROR(INDEX(AP$10:AP$11,Предпосылки!$I$212,),0))*IFERROR(INDEX(AP$10:AP$11,Предпосылки!$I$212,),0),AP316/(1+IFERROR(INDEX(AP$10:AP$11,Предпосылки!$I$213,),0))*IFERROR(INDEX(AP$10:AP$11,Предпосылки!$I$213,),0),AP339/(1+IFERROR(INDEX(AP$10:AP$11,Предпосылки!$I$214,),0))*IFERROR(INDEX(AP$10:AP$11,Предпосылки!$I$214,),0),AP362/(1+IFERROR(INDEX(AP$10:AP$11,Предпосылки!$I$215,),0))*IFERROR(INDEX(AP$10:AP$11,Предпосылки!$I$215,),0),AP385/(1+IFERROR(INDEX(AP$10:AP$11,Предпосылки!$I$216,),0))*IFERROR(INDEX(AP$10:AP$11,Предпосылки!$I$216,),0),AP408/(1+IFERROR(INDEX(AP$10:AP$11,Предпосылки!$I$217,),0))*IFERROR(INDEX(AP$10:AP$11,Предпосылки!$I$217,),0),AP431/(1+IFERROR(INDEX(AP$10:AP$11,Предпосылки!$I$218,),0))*IFERROR(INDEX(AP$10:AP$11,Предпосылки!$I$218,),0),AP454/(1+IFERROR(INDEX(AP$10:AP$11,Предпосылки!$I$219,),0))*IFERROR(INDEX(AP$10:AP$11,Предпосылки!$I$219,),0),AP477/(1+IFERROR(INDEX(AP$10:AP$11,Предпосылки!$I$220,),0))*IFERROR(INDEX(AP$10:AP$11,Предпосылки!$I$220,),0))</f>
        <v>0</v>
      </c>
      <c s="125">
        <f>SUM(AQ40/(1+IFERROR(INDEX(AQ$10:AQ$11,Предпосылки!$I$201,),0))*IFERROR(INDEX(AQ$10:AQ$11,Предпосылки!$I$201,),0),AQ63/(1+IFERROR(INDEX(AQ$10:AQ$11,Предпосылки!$I$202,),0))*IFERROR(INDEX(AQ$10:AQ$11,Предпосылки!$I$202,),0),AQ86/(1+IFERROR(INDEX(AQ$10:AQ$11,Предпосылки!$I$203,),0))*IFERROR(INDEX(AQ$10:AQ$11,Предпосылки!$I$203,),0),AQ109/(1+IFERROR(INDEX(AQ$10:AQ$11,Предпосылки!$I$204,),0))*IFERROR(INDEX(AQ$10:AQ$11,Предпосылки!$I$204,),0),AQ132/(1+IFERROR(INDEX(AQ$10:AQ$11,Предпосылки!$I$205,),0))*IFERROR(INDEX(AQ$10:AQ$11,Предпосылки!$I$205,),0),AQ155/(1+IFERROR(INDEX(AQ$10:AQ$11,Предпосылки!$I$206,),0))*IFERROR(INDEX(AQ$10:AQ$11,Предпосылки!$I$206,),0),AQ178/(1+IFERROR(INDEX(AQ$10:AQ$11,Предпосылки!$I$207,),0))*IFERROR(INDEX(AQ$10:AQ$11,Предпосылки!$I$207,),0),AQ201/(1+IFERROR(INDEX(AQ$10:AQ$11,Предпосылки!$I$208,),0))*IFERROR(INDEX(AQ$10:AQ$11,Предпосылки!$I$208,),0),AQ224/(1+IFERROR(INDEX(AQ$10:AQ$11,Предпосылки!$I$209,),0))*IFERROR(INDEX(AQ$10:AQ$11,Предпосылки!$I$209,),0),AQ247/(1+IFERROR(INDEX(AQ$10:AQ$11,Предпосылки!$I$210,),0))*IFERROR(INDEX(AQ$10:AQ$11,Предпосылки!$I$210,),0),AQ270/(1+IFERROR(INDEX(AQ$10:AQ$11,Предпосылки!$I$211,),0))*IFERROR(INDEX(AQ$10:AQ$11,Предпосылки!$I$211,),0),AQ293/(1+IFERROR(INDEX(AQ$10:AQ$11,Предпосылки!$I$212,),0))*IFERROR(INDEX(AQ$10:AQ$11,Предпосылки!$I$212,),0),AQ316/(1+IFERROR(INDEX(AQ$10:AQ$11,Предпосылки!$I$213,),0))*IFERROR(INDEX(AQ$10:AQ$11,Предпосылки!$I$213,),0),AQ339/(1+IFERROR(INDEX(AQ$10:AQ$11,Предпосылки!$I$214,),0))*IFERROR(INDEX(AQ$10:AQ$11,Предпосылки!$I$214,),0),AQ362/(1+IFERROR(INDEX(AQ$10:AQ$11,Предпосылки!$I$215,),0))*IFERROR(INDEX(AQ$10:AQ$11,Предпосылки!$I$215,),0),AQ385/(1+IFERROR(INDEX(AQ$10:AQ$11,Предпосылки!$I$216,),0))*IFERROR(INDEX(AQ$10:AQ$11,Предпосылки!$I$216,),0),AQ408/(1+IFERROR(INDEX(AQ$10:AQ$11,Предпосылки!$I$217,),0))*IFERROR(INDEX(AQ$10:AQ$11,Предпосылки!$I$217,),0),AQ431/(1+IFERROR(INDEX(AQ$10:AQ$11,Предпосылки!$I$218,),0))*IFERROR(INDEX(AQ$10:AQ$11,Предпосылки!$I$218,),0),AQ454/(1+IFERROR(INDEX(AQ$10:AQ$11,Предпосылки!$I$219,),0))*IFERROR(INDEX(AQ$10:AQ$11,Предпосылки!$I$219,),0),AQ477/(1+IFERROR(INDEX(AQ$10:AQ$11,Предпосылки!$I$220,),0))*IFERROR(INDEX(AQ$10:AQ$11,Предпосылки!$I$220,),0))</f>
        <v>0</v>
      </c>
      <c s="125">
        <f>SUM(AR40/(1+IFERROR(INDEX(AR$10:AR$11,Предпосылки!$I$201,),0))*IFERROR(INDEX(AR$10:AR$11,Предпосылки!$I$201,),0),AR63/(1+IFERROR(INDEX(AR$10:AR$11,Предпосылки!$I$202,),0))*IFERROR(INDEX(AR$10:AR$11,Предпосылки!$I$202,),0),AR86/(1+IFERROR(INDEX(AR$10:AR$11,Предпосылки!$I$203,),0))*IFERROR(INDEX(AR$10:AR$11,Предпосылки!$I$203,),0),AR109/(1+IFERROR(INDEX(AR$10:AR$11,Предпосылки!$I$204,),0))*IFERROR(INDEX(AR$10:AR$11,Предпосылки!$I$204,),0),AR132/(1+IFERROR(INDEX(AR$10:AR$11,Предпосылки!$I$205,),0))*IFERROR(INDEX(AR$10:AR$11,Предпосылки!$I$205,),0),AR155/(1+IFERROR(INDEX(AR$10:AR$11,Предпосылки!$I$206,),0))*IFERROR(INDEX(AR$10:AR$11,Предпосылки!$I$206,),0),AR178/(1+IFERROR(INDEX(AR$10:AR$11,Предпосылки!$I$207,),0))*IFERROR(INDEX(AR$10:AR$11,Предпосылки!$I$207,),0),AR201/(1+IFERROR(INDEX(AR$10:AR$11,Предпосылки!$I$208,),0))*IFERROR(INDEX(AR$10:AR$11,Предпосылки!$I$208,),0),AR224/(1+IFERROR(INDEX(AR$10:AR$11,Предпосылки!$I$209,),0))*IFERROR(INDEX(AR$10:AR$11,Предпосылки!$I$209,),0),AR247/(1+IFERROR(INDEX(AR$10:AR$11,Предпосылки!$I$210,),0))*IFERROR(INDEX(AR$10:AR$11,Предпосылки!$I$210,),0),AR270/(1+IFERROR(INDEX(AR$10:AR$11,Предпосылки!$I$211,),0))*IFERROR(INDEX(AR$10:AR$11,Предпосылки!$I$211,),0),AR293/(1+IFERROR(INDEX(AR$10:AR$11,Предпосылки!$I$212,),0))*IFERROR(INDEX(AR$10:AR$11,Предпосылки!$I$212,),0),AR316/(1+IFERROR(INDEX(AR$10:AR$11,Предпосылки!$I$213,),0))*IFERROR(INDEX(AR$10:AR$11,Предпосылки!$I$213,),0),AR339/(1+IFERROR(INDEX(AR$10:AR$11,Предпосылки!$I$214,),0))*IFERROR(INDEX(AR$10:AR$11,Предпосылки!$I$214,),0),AR362/(1+IFERROR(INDEX(AR$10:AR$11,Предпосылки!$I$215,),0))*IFERROR(INDEX(AR$10:AR$11,Предпосылки!$I$215,),0),AR385/(1+IFERROR(INDEX(AR$10:AR$11,Предпосылки!$I$216,),0))*IFERROR(INDEX(AR$10:AR$11,Предпосылки!$I$216,),0),AR408/(1+IFERROR(INDEX(AR$10:AR$11,Предпосылки!$I$217,),0))*IFERROR(INDEX(AR$10:AR$11,Предпосылки!$I$217,),0),AR431/(1+IFERROR(INDEX(AR$10:AR$11,Предпосылки!$I$218,),0))*IFERROR(INDEX(AR$10:AR$11,Предпосылки!$I$218,),0),AR454/(1+IFERROR(INDEX(AR$10:AR$11,Предпосылки!$I$219,),0))*IFERROR(INDEX(AR$10:AR$11,Предпосылки!$I$219,),0),AR477/(1+IFERROR(INDEX(AR$10:AR$11,Предпосылки!$I$220,),0))*IFERROR(INDEX(AR$10:AR$11,Предпосылки!$I$220,),0))</f>
        <v>0</v>
      </c>
      <c s="125">
        <f>SUM(AS40/(1+IFERROR(INDEX(AS$10:AS$11,Предпосылки!$I$201,),0))*IFERROR(INDEX(AS$10:AS$11,Предпосылки!$I$201,),0),AS63/(1+IFERROR(INDEX(AS$10:AS$11,Предпосылки!$I$202,),0))*IFERROR(INDEX(AS$10:AS$11,Предпосылки!$I$202,),0),AS86/(1+IFERROR(INDEX(AS$10:AS$11,Предпосылки!$I$203,),0))*IFERROR(INDEX(AS$10:AS$11,Предпосылки!$I$203,),0),AS109/(1+IFERROR(INDEX(AS$10:AS$11,Предпосылки!$I$204,),0))*IFERROR(INDEX(AS$10:AS$11,Предпосылки!$I$204,),0),AS132/(1+IFERROR(INDEX(AS$10:AS$11,Предпосылки!$I$205,),0))*IFERROR(INDEX(AS$10:AS$11,Предпосылки!$I$205,),0),AS155/(1+IFERROR(INDEX(AS$10:AS$11,Предпосылки!$I$206,),0))*IFERROR(INDEX(AS$10:AS$11,Предпосылки!$I$206,),0),AS178/(1+IFERROR(INDEX(AS$10:AS$11,Предпосылки!$I$207,),0))*IFERROR(INDEX(AS$10:AS$11,Предпосылки!$I$207,),0),AS201/(1+IFERROR(INDEX(AS$10:AS$11,Предпосылки!$I$208,),0))*IFERROR(INDEX(AS$10:AS$11,Предпосылки!$I$208,),0),AS224/(1+IFERROR(INDEX(AS$10:AS$11,Предпосылки!$I$209,),0))*IFERROR(INDEX(AS$10:AS$11,Предпосылки!$I$209,),0),AS247/(1+IFERROR(INDEX(AS$10:AS$11,Предпосылки!$I$210,),0))*IFERROR(INDEX(AS$10:AS$11,Предпосылки!$I$210,),0),AS270/(1+IFERROR(INDEX(AS$10:AS$11,Предпосылки!$I$211,),0))*IFERROR(INDEX(AS$10:AS$11,Предпосылки!$I$211,),0),AS293/(1+IFERROR(INDEX(AS$10:AS$11,Предпосылки!$I$212,),0))*IFERROR(INDEX(AS$10:AS$11,Предпосылки!$I$212,),0),AS316/(1+IFERROR(INDEX(AS$10:AS$11,Предпосылки!$I$213,),0))*IFERROR(INDEX(AS$10:AS$11,Предпосылки!$I$213,),0),AS339/(1+IFERROR(INDEX(AS$10:AS$11,Предпосылки!$I$214,),0))*IFERROR(INDEX(AS$10:AS$11,Предпосылки!$I$214,),0),AS362/(1+IFERROR(INDEX(AS$10:AS$11,Предпосылки!$I$215,),0))*IFERROR(INDEX(AS$10:AS$11,Предпосылки!$I$215,),0),AS385/(1+IFERROR(INDEX(AS$10:AS$11,Предпосылки!$I$216,),0))*IFERROR(INDEX(AS$10:AS$11,Предпосылки!$I$216,),0),AS408/(1+IFERROR(INDEX(AS$10:AS$11,Предпосылки!$I$217,),0))*IFERROR(INDEX(AS$10:AS$11,Предпосылки!$I$217,),0),AS431/(1+IFERROR(INDEX(AS$10:AS$11,Предпосылки!$I$218,),0))*IFERROR(INDEX(AS$10:AS$11,Предпосылки!$I$218,),0),AS454/(1+IFERROR(INDEX(AS$10:AS$11,Предпосылки!$I$219,),0))*IFERROR(INDEX(AS$10:AS$11,Предпосылки!$I$219,),0),AS477/(1+IFERROR(INDEX(AS$10:AS$11,Предпосылки!$I$220,),0))*IFERROR(INDEX(AS$10:AS$11,Предпосылки!$I$220,),0))</f>
        <v>0</v>
      </c>
      <c s="125">
        <f>SUM(AT40/(1+IFERROR(INDEX(AT$10:AT$11,Предпосылки!$I$201,),0))*IFERROR(INDEX(AT$10:AT$11,Предпосылки!$I$201,),0),AT63/(1+IFERROR(INDEX(AT$10:AT$11,Предпосылки!$I$202,),0))*IFERROR(INDEX(AT$10:AT$11,Предпосылки!$I$202,),0),AT86/(1+IFERROR(INDEX(AT$10:AT$11,Предпосылки!$I$203,),0))*IFERROR(INDEX(AT$10:AT$11,Предпосылки!$I$203,),0),AT109/(1+IFERROR(INDEX(AT$10:AT$11,Предпосылки!$I$204,),0))*IFERROR(INDEX(AT$10:AT$11,Предпосылки!$I$204,),0),AT132/(1+IFERROR(INDEX(AT$10:AT$11,Предпосылки!$I$205,),0))*IFERROR(INDEX(AT$10:AT$11,Предпосылки!$I$205,),0),AT155/(1+IFERROR(INDEX(AT$10:AT$11,Предпосылки!$I$206,),0))*IFERROR(INDEX(AT$10:AT$11,Предпосылки!$I$206,),0),AT178/(1+IFERROR(INDEX(AT$10:AT$11,Предпосылки!$I$207,),0))*IFERROR(INDEX(AT$10:AT$11,Предпосылки!$I$207,),0),AT201/(1+IFERROR(INDEX(AT$10:AT$11,Предпосылки!$I$208,),0))*IFERROR(INDEX(AT$10:AT$11,Предпосылки!$I$208,),0),AT224/(1+IFERROR(INDEX(AT$10:AT$11,Предпосылки!$I$209,),0))*IFERROR(INDEX(AT$10:AT$11,Предпосылки!$I$209,),0),AT247/(1+IFERROR(INDEX(AT$10:AT$11,Предпосылки!$I$210,),0))*IFERROR(INDEX(AT$10:AT$11,Предпосылки!$I$210,),0),AT270/(1+IFERROR(INDEX(AT$10:AT$11,Предпосылки!$I$211,),0))*IFERROR(INDEX(AT$10:AT$11,Предпосылки!$I$211,),0),AT293/(1+IFERROR(INDEX(AT$10:AT$11,Предпосылки!$I$212,),0))*IFERROR(INDEX(AT$10:AT$11,Предпосылки!$I$212,),0),AT316/(1+IFERROR(INDEX(AT$10:AT$11,Предпосылки!$I$213,),0))*IFERROR(INDEX(AT$10:AT$11,Предпосылки!$I$213,),0),AT339/(1+IFERROR(INDEX(AT$10:AT$11,Предпосылки!$I$214,),0))*IFERROR(INDEX(AT$10:AT$11,Предпосылки!$I$214,),0),AT362/(1+IFERROR(INDEX(AT$10:AT$11,Предпосылки!$I$215,),0))*IFERROR(INDEX(AT$10:AT$11,Предпосылки!$I$215,),0),AT385/(1+IFERROR(INDEX(AT$10:AT$11,Предпосылки!$I$216,),0))*IFERROR(INDEX(AT$10:AT$11,Предпосылки!$I$216,),0),AT408/(1+IFERROR(INDEX(AT$10:AT$11,Предпосылки!$I$217,),0))*IFERROR(INDEX(AT$10:AT$11,Предпосылки!$I$217,),0),AT431/(1+IFERROR(INDEX(AT$10:AT$11,Предпосылки!$I$218,),0))*IFERROR(INDEX(AT$10:AT$11,Предпосылки!$I$218,),0),AT454/(1+IFERROR(INDEX(AT$10:AT$11,Предпосылки!$I$219,),0))*IFERROR(INDEX(AT$10:AT$11,Предпосылки!$I$219,),0),AT477/(1+IFERROR(INDEX(AT$10:AT$11,Предпосылки!$I$220,),0))*IFERROR(INDEX(AT$10:AT$11,Предпосылки!$I$220,),0))</f>
        <v>0</v>
      </c>
      <c s="125">
        <f>SUM(AU40/(1+IFERROR(INDEX(AU$10:AU$11,Предпосылки!$I$201,),0))*IFERROR(INDEX(AU$10:AU$11,Предпосылки!$I$201,),0),AU63/(1+IFERROR(INDEX(AU$10:AU$11,Предпосылки!$I$202,),0))*IFERROR(INDEX(AU$10:AU$11,Предпосылки!$I$202,),0),AU86/(1+IFERROR(INDEX(AU$10:AU$11,Предпосылки!$I$203,),0))*IFERROR(INDEX(AU$10:AU$11,Предпосылки!$I$203,),0),AU109/(1+IFERROR(INDEX(AU$10:AU$11,Предпосылки!$I$204,),0))*IFERROR(INDEX(AU$10:AU$11,Предпосылки!$I$204,),0),AU132/(1+IFERROR(INDEX(AU$10:AU$11,Предпосылки!$I$205,),0))*IFERROR(INDEX(AU$10:AU$11,Предпосылки!$I$205,),0),AU155/(1+IFERROR(INDEX(AU$10:AU$11,Предпосылки!$I$206,),0))*IFERROR(INDEX(AU$10:AU$11,Предпосылки!$I$206,),0),AU178/(1+IFERROR(INDEX(AU$10:AU$11,Предпосылки!$I$207,),0))*IFERROR(INDEX(AU$10:AU$11,Предпосылки!$I$207,),0),AU201/(1+IFERROR(INDEX(AU$10:AU$11,Предпосылки!$I$208,),0))*IFERROR(INDEX(AU$10:AU$11,Предпосылки!$I$208,),0),AU224/(1+IFERROR(INDEX(AU$10:AU$11,Предпосылки!$I$209,),0))*IFERROR(INDEX(AU$10:AU$11,Предпосылки!$I$209,),0),AU247/(1+IFERROR(INDEX(AU$10:AU$11,Предпосылки!$I$210,),0))*IFERROR(INDEX(AU$10:AU$11,Предпосылки!$I$210,),0),AU270/(1+IFERROR(INDEX(AU$10:AU$11,Предпосылки!$I$211,),0))*IFERROR(INDEX(AU$10:AU$11,Предпосылки!$I$211,),0),AU293/(1+IFERROR(INDEX(AU$10:AU$11,Предпосылки!$I$212,),0))*IFERROR(INDEX(AU$10:AU$11,Предпосылки!$I$212,),0),AU316/(1+IFERROR(INDEX(AU$10:AU$11,Предпосылки!$I$213,),0))*IFERROR(INDEX(AU$10:AU$11,Предпосылки!$I$213,),0),AU339/(1+IFERROR(INDEX(AU$10:AU$11,Предпосылки!$I$214,),0))*IFERROR(INDEX(AU$10:AU$11,Предпосылки!$I$214,),0),AU362/(1+IFERROR(INDEX(AU$10:AU$11,Предпосылки!$I$215,),0))*IFERROR(INDEX(AU$10:AU$11,Предпосылки!$I$215,),0),AU385/(1+IFERROR(INDEX(AU$10:AU$11,Предпосылки!$I$216,),0))*IFERROR(INDEX(AU$10:AU$11,Предпосылки!$I$216,),0),AU408/(1+IFERROR(INDEX(AU$10:AU$11,Предпосылки!$I$217,),0))*IFERROR(INDEX(AU$10:AU$11,Предпосылки!$I$217,),0),AU431/(1+IFERROR(INDEX(AU$10:AU$11,Предпосылки!$I$218,),0))*IFERROR(INDEX(AU$10:AU$11,Предпосылки!$I$218,),0),AU454/(1+IFERROR(INDEX(AU$10:AU$11,Предпосылки!$I$219,),0))*IFERROR(INDEX(AU$10:AU$11,Предпосылки!$I$219,),0),AU477/(1+IFERROR(INDEX(AU$10:AU$11,Предпосылки!$I$220,),0))*IFERROR(INDEX(AU$10:AU$11,Предпосылки!$I$220,),0))</f>
        <v>0</v>
      </c>
      <c s="125">
        <f>SUM(AV40/(1+IFERROR(INDEX(AV$10:AV$11,Предпосылки!$I$201,),0))*IFERROR(INDEX(AV$10:AV$11,Предпосылки!$I$201,),0),AV63/(1+IFERROR(INDEX(AV$10:AV$11,Предпосылки!$I$202,),0))*IFERROR(INDEX(AV$10:AV$11,Предпосылки!$I$202,),0),AV86/(1+IFERROR(INDEX(AV$10:AV$11,Предпосылки!$I$203,),0))*IFERROR(INDEX(AV$10:AV$11,Предпосылки!$I$203,),0),AV109/(1+IFERROR(INDEX(AV$10:AV$11,Предпосылки!$I$204,),0))*IFERROR(INDEX(AV$10:AV$11,Предпосылки!$I$204,),0),AV132/(1+IFERROR(INDEX(AV$10:AV$11,Предпосылки!$I$205,),0))*IFERROR(INDEX(AV$10:AV$11,Предпосылки!$I$205,),0),AV155/(1+IFERROR(INDEX(AV$10:AV$11,Предпосылки!$I$206,),0))*IFERROR(INDEX(AV$10:AV$11,Предпосылки!$I$206,),0),AV178/(1+IFERROR(INDEX(AV$10:AV$11,Предпосылки!$I$207,),0))*IFERROR(INDEX(AV$10:AV$11,Предпосылки!$I$207,),0),AV201/(1+IFERROR(INDEX(AV$10:AV$11,Предпосылки!$I$208,),0))*IFERROR(INDEX(AV$10:AV$11,Предпосылки!$I$208,),0),AV224/(1+IFERROR(INDEX(AV$10:AV$11,Предпосылки!$I$209,),0))*IFERROR(INDEX(AV$10:AV$11,Предпосылки!$I$209,),0),AV247/(1+IFERROR(INDEX(AV$10:AV$11,Предпосылки!$I$210,),0))*IFERROR(INDEX(AV$10:AV$11,Предпосылки!$I$210,),0),AV270/(1+IFERROR(INDEX(AV$10:AV$11,Предпосылки!$I$211,),0))*IFERROR(INDEX(AV$10:AV$11,Предпосылки!$I$211,),0),AV293/(1+IFERROR(INDEX(AV$10:AV$11,Предпосылки!$I$212,),0))*IFERROR(INDEX(AV$10:AV$11,Предпосылки!$I$212,),0),AV316/(1+IFERROR(INDEX(AV$10:AV$11,Предпосылки!$I$213,),0))*IFERROR(INDEX(AV$10:AV$11,Предпосылки!$I$213,),0),AV339/(1+IFERROR(INDEX(AV$10:AV$11,Предпосылки!$I$214,),0))*IFERROR(INDEX(AV$10:AV$11,Предпосылки!$I$214,),0),AV362/(1+IFERROR(INDEX(AV$10:AV$11,Предпосылки!$I$215,),0))*IFERROR(INDEX(AV$10:AV$11,Предпосылки!$I$215,),0),AV385/(1+IFERROR(INDEX(AV$10:AV$11,Предпосылки!$I$216,),0))*IFERROR(INDEX(AV$10:AV$11,Предпосылки!$I$216,),0),AV408/(1+IFERROR(INDEX(AV$10:AV$11,Предпосылки!$I$217,),0))*IFERROR(INDEX(AV$10:AV$11,Предпосылки!$I$217,),0),AV431/(1+IFERROR(INDEX(AV$10:AV$11,Предпосылки!$I$218,),0))*IFERROR(INDEX(AV$10:AV$11,Предпосылки!$I$218,),0),AV454/(1+IFERROR(INDEX(AV$10:AV$11,Предпосылки!$I$219,),0))*IFERROR(INDEX(AV$10:AV$11,Предпосылки!$I$219,),0),AV477/(1+IFERROR(INDEX(AV$10:AV$11,Предпосылки!$I$220,),0))*IFERROR(INDEX(AV$10:AV$11,Предпосылки!$I$220,),0))</f>
        <v>0</v>
      </c>
      <c s="125">
        <f>SUM(AW40/(1+IFERROR(INDEX(AW$10:AW$11,Предпосылки!$I$201,),0))*IFERROR(INDEX(AW$10:AW$11,Предпосылки!$I$201,),0),AW63/(1+IFERROR(INDEX(AW$10:AW$11,Предпосылки!$I$202,),0))*IFERROR(INDEX(AW$10:AW$11,Предпосылки!$I$202,),0),AW86/(1+IFERROR(INDEX(AW$10:AW$11,Предпосылки!$I$203,),0))*IFERROR(INDEX(AW$10:AW$11,Предпосылки!$I$203,),0),AW109/(1+IFERROR(INDEX(AW$10:AW$11,Предпосылки!$I$204,),0))*IFERROR(INDEX(AW$10:AW$11,Предпосылки!$I$204,),0),AW132/(1+IFERROR(INDEX(AW$10:AW$11,Предпосылки!$I$205,),0))*IFERROR(INDEX(AW$10:AW$11,Предпосылки!$I$205,),0),AW155/(1+IFERROR(INDEX(AW$10:AW$11,Предпосылки!$I$206,),0))*IFERROR(INDEX(AW$10:AW$11,Предпосылки!$I$206,),0),AW178/(1+IFERROR(INDEX(AW$10:AW$11,Предпосылки!$I$207,),0))*IFERROR(INDEX(AW$10:AW$11,Предпосылки!$I$207,),0),AW201/(1+IFERROR(INDEX(AW$10:AW$11,Предпосылки!$I$208,),0))*IFERROR(INDEX(AW$10:AW$11,Предпосылки!$I$208,),0),AW224/(1+IFERROR(INDEX(AW$10:AW$11,Предпосылки!$I$209,),0))*IFERROR(INDEX(AW$10:AW$11,Предпосылки!$I$209,),0),AW247/(1+IFERROR(INDEX(AW$10:AW$11,Предпосылки!$I$210,),0))*IFERROR(INDEX(AW$10:AW$11,Предпосылки!$I$210,),0),AW270/(1+IFERROR(INDEX(AW$10:AW$11,Предпосылки!$I$211,),0))*IFERROR(INDEX(AW$10:AW$11,Предпосылки!$I$211,),0),AW293/(1+IFERROR(INDEX(AW$10:AW$11,Предпосылки!$I$212,),0))*IFERROR(INDEX(AW$10:AW$11,Предпосылки!$I$212,),0),AW316/(1+IFERROR(INDEX(AW$10:AW$11,Предпосылки!$I$213,),0))*IFERROR(INDEX(AW$10:AW$11,Предпосылки!$I$213,),0),AW339/(1+IFERROR(INDEX(AW$10:AW$11,Предпосылки!$I$214,),0))*IFERROR(INDEX(AW$10:AW$11,Предпосылки!$I$214,),0),AW362/(1+IFERROR(INDEX(AW$10:AW$11,Предпосылки!$I$215,),0))*IFERROR(INDEX(AW$10:AW$11,Предпосылки!$I$215,),0),AW385/(1+IFERROR(INDEX(AW$10:AW$11,Предпосылки!$I$216,),0))*IFERROR(INDEX(AW$10:AW$11,Предпосылки!$I$216,),0),AW408/(1+IFERROR(INDEX(AW$10:AW$11,Предпосылки!$I$217,),0))*IFERROR(INDEX(AW$10:AW$11,Предпосылки!$I$217,),0),AW431/(1+IFERROR(INDEX(AW$10:AW$11,Предпосылки!$I$218,),0))*IFERROR(INDEX(AW$10:AW$11,Предпосылки!$I$218,),0),AW454/(1+IFERROR(INDEX(AW$10:AW$11,Предпосылки!$I$219,),0))*IFERROR(INDEX(AW$10:AW$11,Предпосылки!$I$219,),0),AW477/(1+IFERROR(INDEX(AW$10:AW$11,Предпосылки!$I$220,),0))*IFERROR(INDEX(AW$10:AW$11,Предпосылки!$I$220,),0))</f>
        <v>0</v>
      </c>
      <c s="125">
        <f>SUM(AX40/(1+IFERROR(INDEX(AX$10:AX$11,Предпосылки!$I$201,),0))*IFERROR(INDEX(AX$10:AX$11,Предпосылки!$I$201,),0),AX63/(1+IFERROR(INDEX(AX$10:AX$11,Предпосылки!$I$202,),0))*IFERROR(INDEX(AX$10:AX$11,Предпосылки!$I$202,),0),AX86/(1+IFERROR(INDEX(AX$10:AX$11,Предпосылки!$I$203,),0))*IFERROR(INDEX(AX$10:AX$11,Предпосылки!$I$203,),0),AX109/(1+IFERROR(INDEX(AX$10:AX$11,Предпосылки!$I$204,),0))*IFERROR(INDEX(AX$10:AX$11,Предпосылки!$I$204,),0),AX132/(1+IFERROR(INDEX(AX$10:AX$11,Предпосылки!$I$205,),0))*IFERROR(INDEX(AX$10:AX$11,Предпосылки!$I$205,),0),AX155/(1+IFERROR(INDEX(AX$10:AX$11,Предпосылки!$I$206,),0))*IFERROR(INDEX(AX$10:AX$11,Предпосылки!$I$206,),0),AX178/(1+IFERROR(INDEX(AX$10:AX$11,Предпосылки!$I$207,),0))*IFERROR(INDEX(AX$10:AX$11,Предпосылки!$I$207,),0),AX201/(1+IFERROR(INDEX(AX$10:AX$11,Предпосылки!$I$208,),0))*IFERROR(INDEX(AX$10:AX$11,Предпосылки!$I$208,),0),AX224/(1+IFERROR(INDEX(AX$10:AX$11,Предпосылки!$I$209,),0))*IFERROR(INDEX(AX$10:AX$11,Предпосылки!$I$209,),0),AX247/(1+IFERROR(INDEX(AX$10:AX$11,Предпосылки!$I$210,),0))*IFERROR(INDEX(AX$10:AX$11,Предпосылки!$I$210,),0),AX270/(1+IFERROR(INDEX(AX$10:AX$11,Предпосылки!$I$211,),0))*IFERROR(INDEX(AX$10:AX$11,Предпосылки!$I$211,),0),AX293/(1+IFERROR(INDEX(AX$10:AX$11,Предпосылки!$I$212,),0))*IFERROR(INDEX(AX$10:AX$11,Предпосылки!$I$212,),0),AX316/(1+IFERROR(INDEX(AX$10:AX$11,Предпосылки!$I$213,),0))*IFERROR(INDEX(AX$10:AX$11,Предпосылки!$I$213,),0),AX339/(1+IFERROR(INDEX(AX$10:AX$11,Предпосылки!$I$214,),0))*IFERROR(INDEX(AX$10:AX$11,Предпосылки!$I$214,),0),AX362/(1+IFERROR(INDEX(AX$10:AX$11,Предпосылки!$I$215,),0))*IFERROR(INDEX(AX$10:AX$11,Предпосылки!$I$215,),0),AX385/(1+IFERROR(INDEX(AX$10:AX$11,Предпосылки!$I$216,),0))*IFERROR(INDEX(AX$10:AX$11,Предпосылки!$I$216,),0),AX408/(1+IFERROR(INDEX(AX$10:AX$11,Предпосылки!$I$217,),0))*IFERROR(INDEX(AX$10:AX$11,Предпосылки!$I$217,),0),AX431/(1+IFERROR(INDEX(AX$10:AX$11,Предпосылки!$I$218,),0))*IFERROR(INDEX(AX$10:AX$11,Предпосылки!$I$218,),0),AX454/(1+IFERROR(INDEX(AX$10:AX$11,Предпосылки!$I$219,),0))*IFERROR(INDEX(AX$10:AX$11,Предпосылки!$I$219,),0),AX477/(1+IFERROR(INDEX(AX$10:AX$11,Предпосылки!$I$220,),0))*IFERROR(INDEX(AX$10:AX$11,Предпосылки!$I$220,),0))</f>
        <v>0</v>
      </c>
      <c s="125">
        <f>SUM(AY40/(1+IFERROR(INDEX(AY$10:AY$11,Предпосылки!$I$201,),0))*IFERROR(INDEX(AY$10:AY$11,Предпосылки!$I$201,),0),AY63/(1+IFERROR(INDEX(AY$10:AY$11,Предпосылки!$I$202,),0))*IFERROR(INDEX(AY$10:AY$11,Предпосылки!$I$202,),0),AY86/(1+IFERROR(INDEX(AY$10:AY$11,Предпосылки!$I$203,),0))*IFERROR(INDEX(AY$10:AY$11,Предпосылки!$I$203,),0),AY109/(1+IFERROR(INDEX(AY$10:AY$11,Предпосылки!$I$204,),0))*IFERROR(INDEX(AY$10:AY$11,Предпосылки!$I$204,),0),AY132/(1+IFERROR(INDEX(AY$10:AY$11,Предпосылки!$I$205,),0))*IFERROR(INDEX(AY$10:AY$11,Предпосылки!$I$205,),0),AY155/(1+IFERROR(INDEX(AY$10:AY$11,Предпосылки!$I$206,),0))*IFERROR(INDEX(AY$10:AY$11,Предпосылки!$I$206,),0),AY178/(1+IFERROR(INDEX(AY$10:AY$11,Предпосылки!$I$207,),0))*IFERROR(INDEX(AY$10:AY$11,Предпосылки!$I$207,),0),AY201/(1+IFERROR(INDEX(AY$10:AY$11,Предпосылки!$I$208,),0))*IFERROR(INDEX(AY$10:AY$11,Предпосылки!$I$208,),0),AY224/(1+IFERROR(INDEX(AY$10:AY$11,Предпосылки!$I$209,),0))*IFERROR(INDEX(AY$10:AY$11,Предпосылки!$I$209,),0),AY247/(1+IFERROR(INDEX(AY$10:AY$11,Предпосылки!$I$210,),0))*IFERROR(INDEX(AY$10:AY$11,Предпосылки!$I$210,),0),AY270/(1+IFERROR(INDEX(AY$10:AY$11,Предпосылки!$I$211,),0))*IFERROR(INDEX(AY$10:AY$11,Предпосылки!$I$211,),0),AY293/(1+IFERROR(INDEX(AY$10:AY$11,Предпосылки!$I$212,),0))*IFERROR(INDEX(AY$10:AY$11,Предпосылки!$I$212,),0),AY316/(1+IFERROR(INDEX(AY$10:AY$11,Предпосылки!$I$213,),0))*IFERROR(INDEX(AY$10:AY$11,Предпосылки!$I$213,),0),AY339/(1+IFERROR(INDEX(AY$10:AY$11,Предпосылки!$I$214,),0))*IFERROR(INDEX(AY$10:AY$11,Предпосылки!$I$214,),0),AY362/(1+IFERROR(INDEX(AY$10:AY$11,Предпосылки!$I$215,),0))*IFERROR(INDEX(AY$10:AY$11,Предпосылки!$I$215,),0),AY385/(1+IFERROR(INDEX(AY$10:AY$11,Предпосылки!$I$216,),0))*IFERROR(INDEX(AY$10:AY$11,Предпосылки!$I$216,),0),AY408/(1+IFERROR(INDEX(AY$10:AY$11,Предпосылки!$I$217,),0))*IFERROR(INDEX(AY$10:AY$11,Предпосылки!$I$217,),0),AY431/(1+IFERROR(INDEX(AY$10:AY$11,Предпосылки!$I$218,),0))*IFERROR(INDEX(AY$10:AY$11,Предпосылки!$I$218,),0),AY454/(1+IFERROR(INDEX(AY$10:AY$11,Предпосылки!$I$219,),0))*IFERROR(INDEX(AY$10:AY$11,Предпосылки!$I$219,),0),AY477/(1+IFERROR(INDEX(AY$10:AY$11,Предпосылки!$I$220,),0))*IFERROR(INDEX(AY$10:AY$11,Предпосылки!$I$220,),0))</f>
        <v>0</v>
      </c>
      <c s="125">
        <f>SUM(AZ40/(1+IFERROR(INDEX(AZ$10:AZ$11,Предпосылки!$I$201,),0))*IFERROR(INDEX(AZ$10:AZ$11,Предпосылки!$I$201,),0),AZ63/(1+IFERROR(INDEX(AZ$10:AZ$11,Предпосылки!$I$202,),0))*IFERROR(INDEX(AZ$10:AZ$11,Предпосылки!$I$202,),0),AZ86/(1+IFERROR(INDEX(AZ$10:AZ$11,Предпосылки!$I$203,),0))*IFERROR(INDEX(AZ$10:AZ$11,Предпосылки!$I$203,),0),AZ109/(1+IFERROR(INDEX(AZ$10:AZ$11,Предпосылки!$I$204,),0))*IFERROR(INDEX(AZ$10:AZ$11,Предпосылки!$I$204,),0),AZ132/(1+IFERROR(INDEX(AZ$10:AZ$11,Предпосылки!$I$205,),0))*IFERROR(INDEX(AZ$10:AZ$11,Предпосылки!$I$205,),0),AZ155/(1+IFERROR(INDEX(AZ$10:AZ$11,Предпосылки!$I$206,),0))*IFERROR(INDEX(AZ$10:AZ$11,Предпосылки!$I$206,),0),AZ178/(1+IFERROR(INDEX(AZ$10:AZ$11,Предпосылки!$I$207,),0))*IFERROR(INDEX(AZ$10:AZ$11,Предпосылки!$I$207,),0),AZ201/(1+IFERROR(INDEX(AZ$10:AZ$11,Предпосылки!$I$208,),0))*IFERROR(INDEX(AZ$10:AZ$11,Предпосылки!$I$208,),0),AZ224/(1+IFERROR(INDEX(AZ$10:AZ$11,Предпосылки!$I$209,),0))*IFERROR(INDEX(AZ$10:AZ$11,Предпосылки!$I$209,),0),AZ247/(1+IFERROR(INDEX(AZ$10:AZ$11,Предпосылки!$I$210,),0))*IFERROR(INDEX(AZ$10:AZ$11,Предпосылки!$I$210,),0),AZ270/(1+IFERROR(INDEX(AZ$10:AZ$11,Предпосылки!$I$211,),0))*IFERROR(INDEX(AZ$10:AZ$11,Предпосылки!$I$211,),0),AZ293/(1+IFERROR(INDEX(AZ$10:AZ$11,Предпосылки!$I$212,),0))*IFERROR(INDEX(AZ$10:AZ$11,Предпосылки!$I$212,),0),AZ316/(1+IFERROR(INDEX(AZ$10:AZ$11,Предпосылки!$I$213,),0))*IFERROR(INDEX(AZ$10:AZ$11,Предпосылки!$I$213,),0),AZ339/(1+IFERROR(INDEX(AZ$10:AZ$11,Предпосылки!$I$214,),0))*IFERROR(INDEX(AZ$10:AZ$11,Предпосылки!$I$214,),0),AZ362/(1+IFERROR(INDEX(AZ$10:AZ$11,Предпосылки!$I$215,),0))*IFERROR(INDEX(AZ$10:AZ$11,Предпосылки!$I$215,),0),AZ385/(1+IFERROR(INDEX(AZ$10:AZ$11,Предпосылки!$I$216,),0))*IFERROR(INDEX(AZ$10:AZ$11,Предпосылки!$I$216,),0),AZ408/(1+IFERROR(INDEX(AZ$10:AZ$11,Предпосылки!$I$217,),0))*IFERROR(INDEX(AZ$10:AZ$11,Предпосылки!$I$217,),0),AZ431/(1+IFERROR(INDEX(AZ$10:AZ$11,Предпосылки!$I$218,),0))*IFERROR(INDEX(AZ$10:AZ$11,Предпосылки!$I$218,),0),AZ454/(1+IFERROR(INDEX(AZ$10:AZ$11,Предпосылки!$I$219,),0))*IFERROR(INDEX(AZ$10:AZ$11,Предпосылки!$I$219,),0),AZ477/(1+IFERROR(INDEX(AZ$10:AZ$11,Предпосылки!$I$220,),0))*IFERROR(INDEX(AZ$10:AZ$11,Предпосылки!$I$220,),0))</f>
        <v>0</v>
      </c>
      <c s="125">
        <f>SUM(BA40/(1+IFERROR(INDEX(BA$10:BA$11,Предпосылки!$I$201,),0))*IFERROR(INDEX(BA$10:BA$11,Предпосылки!$I$201,),0),BA63/(1+IFERROR(INDEX(BA$10:BA$11,Предпосылки!$I$202,),0))*IFERROR(INDEX(BA$10:BA$11,Предпосылки!$I$202,),0),BA86/(1+IFERROR(INDEX(BA$10:BA$11,Предпосылки!$I$203,),0))*IFERROR(INDEX(BA$10:BA$11,Предпосылки!$I$203,),0),BA109/(1+IFERROR(INDEX(BA$10:BA$11,Предпосылки!$I$204,),0))*IFERROR(INDEX(BA$10:BA$11,Предпосылки!$I$204,),0),BA132/(1+IFERROR(INDEX(BA$10:BA$11,Предпосылки!$I$205,),0))*IFERROR(INDEX(BA$10:BA$11,Предпосылки!$I$205,),0),BA155/(1+IFERROR(INDEX(BA$10:BA$11,Предпосылки!$I$206,),0))*IFERROR(INDEX(BA$10:BA$11,Предпосылки!$I$206,),0),BA178/(1+IFERROR(INDEX(BA$10:BA$11,Предпосылки!$I$207,),0))*IFERROR(INDEX(BA$10:BA$11,Предпосылки!$I$207,),0),BA201/(1+IFERROR(INDEX(BA$10:BA$11,Предпосылки!$I$208,),0))*IFERROR(INDEX(BA$10:BA$11,Предпосылки!$I$208,),0),BA224/(1+IFERROR(INDEX(BA$10:BA$11,Предпосылки!$I$209,),0))*IFERROR(INDEX(BA$10:BA$11,Предпосылки!$I$209,),0),BA247/(1+IFERROR(INDEX(BA$10:BA$11,Предпосылки!$I$210,),0))*IFERROR(INDEX(BA$10:BA$11,Предпосылки!$I$210,),0),BA270/(1+IFERROR(INDEX(BA$10:BA$11,Предпосылки!$I$211,),0))*IFERROR(INDEX(BA$10:BA$11,Предпосылки!$I$211,),0),BA293/(1+IFERROR(INDEX(BA$10:BA$11,Предпосылки!$I$212,),0))*IFERROR(INDEX(BA$10:BA$11,Предпосылки!$I$212,),0),BA316/(1+IFERROR(INDEX(BA$10:BA$11,Предпосылки!$I$213,),0))*IFERROR(INDEX(BA$10:BA$11,Предпосылки!$I$213,),0),BA339/(1+IFERROR(INDEX(BA$10:BA$11,Предпосылки!$I$214,),0))*IFERROR(INDEX(BA$10:BA$11,Предпосылки!$I$214,),0),BA362/(1+IFERROR(INDEX(BA$10:BA$11,Предпосылки!$I$215,),0))*IFERROR(INDEX(BA$10:BA$11,Предпосылки!$I$215,),0),BA385/(1+IFERROR(INDEX(BA$10:BA$11,Предпосылки!$I$216,),0))*IFERROR(INDEX(BA$10:BA$11,Предпосылки!$I$216,),0),BA408/(1+IFERROR(INDEX(BA$10:BA$11,Предпосылки!$I$217,),0))*IFERROR(INDEX(BA$10:BA$11,Предпосылки!$I$217,),0),BA431/(1+IFERROR(INDEX(BA$10:BA$11,Предпосылки!$I$218,),0))*IFERROR(INDEX(BA$10:BA$11,Предпосылки!$I$218,),0),BA454/(1+IFERROR(INDEX(BA$10:BA$11,Предпосылки!$I$219,),0))*IFERROR(INDEX(BA$10:BA$11,Предпосылки!$I$219,),0),BA477/(1+IFERROR(INDEX(BA$10:BA$11,Предпосылки!$I$220,),0))*IFERROR(INDEX(BA$10:BA$11,Предпосылки!$I$220,),0))</f>
        <v>0</v>
      </c>
      <c s="125">
        <f>SUM(BB40/(1+IFERROR(INDEX(BB$10:BB$11,Предпосылки!$I$201,),0))*IFERROR(INDEX(BB$10:BB$11,Предпосылки!$I$201,),0),BB63/(1+IFERROR(INDEX(BB$10:BB$11,Предпосылки!$I$202,),0))*IFERROR(INDEX(BB$10:BB$11,Предпосылки!$I$202,),0),BB86/(1+IFERROR(INDEX(BB$10:BB$11,Предпосылки!$I$203,),0))*IFERROR(INDEX(BB$10:BB$11,Предпосылки!$I$203,),0),BB109/(1+IFERROR(INDEX(BB$10:BB$11,Предпосылки!$I$204,),0))*IFERROR(INDEX(BB$10:BB$11,Предпосылки!$I$204,),0),BB132/(1+IFERROR(INDEX(BB$10:BB$11,Предпосылки!$I$205,),0))*IFERROR(INDEX(BB$10:BB$11,Предпосылки!$I$205,),0),BB155/(1+IFERROR(INDEX(BB$10:BB$11,Предпосылки!$I$206,),0))*IFERROR(INDEX(BB$10:BB$11,Предпосылки!$I$206,),0),BB178/(1+IFERROR(INDEX(BB$10:BB$11,Предпосылки!$I$207,),0))*IFERROR(INDEX(BB$10:BB$11,Предпосылки!$I$207,),0),BB201/(1+IFERROR(INDEX(BB$10:BB$11,Предпосылки!$I$208,),0))*IFERROR(INDEX(BB$10:BB$11,Предпосылки!$I$208,),0),BB224/(1+IFERROR(INDEX(BB$10:BB$11,Предпосылки!$I$209,),0))*IFERROR(INDEX(BB$10:BB$11,Предпосылки!$I$209,),0),BB247/(1+IFERROR(INDEX(BB$10:BB$11,Предпосылки!$I$210,),0))*IFERROR(INDEX(BB$10:BB$11,Предпосылки!$I$210,),0),BB270/(1+IFERROR(INDEX(BB$10:BB$11,Предпосылки!$I$211,),0))*IFERROR(INDEX(BB$10:BB$11,Предпосылки!$I$211,),0),BB293/(1+IFERROR(INDEX(BB$10:BB$11,Предпосылки!$I$212,),0))*IFERROR(INDEX(BB$10:BB$11,Предпосылки!$I$212,),0),BB316/(1+IFERROR(INDEX(BB$10:BB$11,Предпосылки!$I$213,),0))*IFERROR(INDEX(BB$10:BB$11,Предпосылки!$I$213,),0),BB339/(1+IFERROR(INDEX(BB$10:BB$11,Предпосылки!$I$214,),0))*IFERROR(INDEX(BB$10:BB$11,Предпосылки!$I$214,),0),BB362/(1+IFERROR(INDEX(BB$10:BB$11,Предпосылки!$I$215,),0))*IFERROR(INDEX(BB$10:BB$11,Предпосылки!$I$215,),0),BB385/(1+IFERROR(INDEX(BB$10:BB$11,Предпосылки!$I$216,),0))*IFERROR(INDEX(BB$10:BB$11,Предпосылки!$I$216,),0),BB408/(1+IFERROR(INDEX(BB$10:BB$11,Предпосылки!$I$217,),0))*IFERROR(INDEX(BB$10:BB$11,Предпосылки!$I$217,),0),BB431/(1+IFERROR(INDEX(BB$10:BB$11,Предпосылки!$I$218,),0))*IFERROR(INDEX(BB$10:BB$11,Предпосылки!$I$218,),0),BB454/(1+IFERROR(INDEX(BB$10:BB$11,Предпосылки!$I$219,),0))*IFERROR(INDEX(BB$10:BB$11,Предпосылки!$I$219,),0),BB477/(1+IFERROR(INDEX(BB$10:BB$11,Предпосылки!$I$220,),0))*IFERROR(INDEX(BB$10:BB$11,Предпосылки!$I$220,),0))</f>
        <v>0</v>
      </c>
      <c s="125">
        <f>SUM(BC40/(1+IFERROR(INDEX(BC$10:BC$11,Предпосылки!$I$201,),0))*IFERROR(INDEX(BC$10:BC$11,Предпосылки!$I$201,),0),BC63/(1+IFERROR(INDEX(BC$10:BC$11,Предпосылки!$I$202,),0))*IFERROR(INDEX(BC$10:BC$11,Предпосылки!$I$202,),0),BC86/(1+IFERROR(INDEX(BC$10:BC$11,Предпосылки!$I$203,),0))*IFERROR(INDEX(BC$10:BC$11,Предпосылки!$I$203,),0),BC109/(1+IFERROR(INDEX(BC$10:BC$11,Предпосылки!$I$204,),0))*IFERROR(INDEX(BC$10:BC$11,Предпосылки!$I$204,),0),BC132/(1+IFERROR(INDEX(BC$10:BC$11,Предпосылки!$I$205,),0))*IFERROR(INDEX(BC$10:BC$11,Предпосылки!$I$205,),0),BC155/(1+IFERROR(INDEX(BC$10:BC$11,Предпосылки!$I$206,),0))*IFERROR(INDEX(BC$10:BC$11,Предпосылки!$I$206,),0),BC178/(1+IFERROR(INDEX(BC$10:BC$11,Предпосылки!$I$207,),0))*IFERROR(INDEX(BC$10:BC$11,Предпосылки!$I$207,),0),BC201/(1+IFERROR(INDEX(BC$10:BC$11,Предпосылки!$I$208,),0))*IFERROR(INDEX(BC$10:BC$11,Предпосылки!$I$208,),0),BC224/(1+IFERROR(INDEX(BC$10:BC$11,Предпосылки!$I$209,),0))*IFERROR(INDEX(BC$10:BC$11,Предпосылки!$I$209,),0),BC247/(1+IFERROR(INDEX(BC$10:BC$11,Предпосылки!$I$210,),0))*IFERROR(INDEX(BC$10:BC$11,Предпосылки!$I$210,),0),BC270/(1+IFERROR(INDEX(BC$10:BC$11,Предпосылки!$I$211,),0))*IFERROR(INDEX(BC$10:BC$11,Предпосылки!$I$211,),0),BC293/(1+IFERROR(INDEX(BC$10:BC$11,Предпосылки!$I$212,),0))*IFERROR(INDEX(BC$10:BC$11,Предпосылки!$I$212,),0),BC316/(1+IFERROR(INDEX(BC$10:BC$11,Предпосылки!$I$213,),0))*IFERROR(INDEX(BC$10:BC$11,Предпосылки!$I$213,),0),BC339/(1+IFERROR(INDEX(BC$10:BC$11,Предпосылки!$I$214,),0))*IFERROR(INDEX(BC$10:BC$11,Предпосылки!$I$214,),0),BC362/(1+IFERROR(INDEX(BC$10:BC$11,Предпосылки!$I$215,),0))*IFERROR(INDEX(BC$10:BC$11,Предпосылки!$I$215,),0),BC385/(1+IFERROR(INDEX(BC$10:BC$11,Предпосылки!$I$216,),0))*IFERROR(INDEX(BC$10:BC$11,Предпосылки!$I$216,),0),BC408/(1+IFERROR(INDEX(BC$10:BC$11,Предпосылки!$I$217,),0))*IFERROR(INDEX(BC$10:BC$11,Предпосылки!$I$217,),0),BC431/(1+IFERROR(INDEX(BC$10:BC$11,Предпосылки!$I$218,),0))*IFERROR(INDEX(BC$10:BC$11,Предпосылки!$I$218,),0),BC454/(1+IFERROR(INDEX(BC$10:BC$11,Предпосылки!$I$219,),0))*IFERROR(INDEX(BC$10:BC$11,Предпосылки!$I$219,),0),BC477/(1+IFERROR(INDEX(BC$10:BC$11,Предпосылки!$I$220,),0))*IFERROR(INDEX(BC$10:BC$11,Предпосылки!$I$220,),0))</f>
        <v>0</v>
      </c>
      <c s="125">
        <f>SUM(BD40/(1+IFERROR(INDEX(BD$10:BD$11,Предпосылки!$I$201,),0))*IFERROR(INDEX(BD$10:BD$11,Предпосылки!$I$201,),0),BD63/(1+IFERROR(INDEX(BD$10:BD$11,Предпосылки!$I$202,),0))*IFERROR(INDEX(BD$10:BD$11,Предпосылки!$I$202,),0),BD86/(1+IFERROR(INDEX(BD$10:BD$11,Предпосылки!$I$203,),0))*IFERROR(INDEX(BD$10:BD$11,Предпосылки!$I$203,),0),BD109/(1+IFERROR(INDEX(BD$10:BD$11,Предпосылки!$I$204,),0))*IFERROR(INDEX(BD$10:BD$11,Предпосылки!$I$204,),0),BD132/(1+IFERROR(INDEX(BD$10:BD$11,Предпосылки!$I$205,),0))*IFERROR(INDEX(BD$10:BD$11,Предпосылки!$I$205,),0),BD155/(1+IFERROR(INDEX(BD$10:BD$11,Предпосылки!$I$206,),0))*IFERROR(INDEX(BD$10:BD$11,Предпосылки!$I$206,),0),BD178/(1+IFERROR(INDEX(BD$10:BD$11,Предпосылки!$I$207,),0))*IFERROR(INDEX(BD$10:BD$11,Предпосылки!$I$207,),0),BD201/(1+IFERROR(INDEX(BD$10:BD$11,Предпосылки!$I$208,),0))*IFERROR(INDEX(BD$10:BD$11,Предпосылки!$I$208,),0),BD224/(1+IFERROR(INDEX(BD$10:BD$11,Предпосылки!$I$209,),0))*IFERROR(INDEX(BD$10:BD$11,Предпосылки!$I$209,),0),BD247/(1+IFERROR(INDEX(BD$10:BD$11,Предпосылки!$I$210,),0))*IFERROR(INDEX(BD$10:BD$11,Предпосылки!$I$210,),0),BD270/(1+IFERROR(INDEX(BD$10:BD$11,Предпосылки!$I$211,),0))*IFERROR(INDEX(BD$10:BD$11,Предпосылки!$I$211,),0),BD293/(1+IFERROR(INDEX(BD$10:BD$11,Предпосылки!$I$212,),0))*IFERROR(INDEX(BD$10:BD$11,Предпосылки!$I$212,),0),BD316/(1+IFERROR(INDEX(BD$10:BD$11,Предпосылки!$I$213,),0))*IFERROR(INDEX(BD$10:BD$11,Предпосылки!$I$213,),0),BD339/(1+IFERROR(INDEX(BD$10:BD$11,Предпосылки!$I$214,),0))*IFERROR(INDEX(BD$10:BD$11,Предпосылки!$I$214,),0),BD362/(1+IFERROR(INDEX(BD$10:BD$11,Предпосылки!$I$215,),0))*IFERROR(INDEX(BD$10:BD$11,Предпосылки!$I$215,),0),BD385/(1+IFERROR(INDEX(BD$10:BD$11,Предпосылки!$I$216,),0))*IFERROR(INDEX(BD$10:BD$11,Предпосылки!$I$216,),0),BD408/(1+IFERROR(INDEX(BD$10:BD$11,Предпосылки!$I$217,),0))*IFERROR(INDEX(BD$10:BD$11,Предпосылки!$I$217,),0),BD431/(1+IFERROR(INDEX(BD$10:BD$11,Предпосылки!$I$218,),0))*IFERROR(INDEX(BD$10:BD$11,Предпосылки!$I$218,),0),BD454/(1+IFERROR(INDEX(BD$10:BD$11,Предпосылки!$I$219,),0))*IFERROR(INDEX(BD$10:BD$11,Предпосылки!$I$219,),0),BD477/(1+IFERROR(INDEX(BD$10:BD$11,Предпосылки!$I$220,),0))*IFERROR(INDEX(BD$10:BD$11,Предпосылки!$I$220,),0))</f>
        <v>0</v>
      </c>
      <c s="125">
        <f>SUM(BE40/(1+IFERROR(INDEX(BE$10:BE$11,Предпосылки!$I$201,),0))*IFERROR(INDEX(BE$10:BE$11,Предпосылки!$I$201,),0),BE63/(1+IFERROR(INDEX(BE$10:BE$11,Предпосылки!$I$202,),0))*IFERROR(INDEX(BE$10:BE$11,Предпосылки!$I$202,),0),BE86/(1+IFERROR(INDEX(BE$10:BE$11,Предпосылки!$I$203,),0))*IFERROR(INDEX(BE$10:BE$11,Предпосылки!$I$203,),0),BE109/(1+IFERROR(INDEX(BE$10:BE$11,Предпосылки!$I$204,),0))*IFERROR(INDEX(BE$10:BE$11,Предпосылки!$I$204,),0),BE132/(1+IFERROR(INDEX(BE$10:BE$11,Предпосылки!$I$205,),0))*IFERROR(INDEX(BE$10:BE$11,Предпосылки!$I$205,),0),BE155/(1+IFERROR(INDEX(BE$10:BE$11,Предпосылки!$I$206,),0))*IFERROR(INDEX(BE$10:BE$11,Предпосылки!$I$206,),0),BE178/(1+IFERROR(INDEX(BE$10:BE$11,Предпосылки!$I$207,),0))*IFERROR(INDEX(BE$10:BE$11,Предпосылки!$I$207,),0),BE201/(1+IFERROR(INDEX(BE$10:BE$11,Предпосылки!$I$208,),0))*IFERROR(INDEX(BE$10:BE$11,Предпосылки!$I$208,),0),BE224/(1+IFERROR(INDEX(BE$10:BE$11,Предпосылки!$I$209,),0))*IFERROR(INDEX(BE$10:BE$11,Предпосылки!$I$209,),0),BE247/(1+IFERROR(INDEX(BE$10:BE$11,Предпосылки!$I$210,),0))*IFERROR(INDEX(BE$10:BE$11,Предпосылки!$I$210,),0),BE270/(1+IFERROR(INDEX(BE$10:BE$11,Предпосылки!$I$211,),0))*IFERROR(INDEX(BE$10:BE$11,Предпосылки!$I$211,),0),BE293/(1+IFERROR(INDEX(BE$10:BE$11,Предпосылки!$I$212,),0))*IFERROR(INDEX(BE$10:BE$11,Предпосылки!$I$212,),0),BE316/(1+IFERROR(INDEX(BE$10:BE$11,Предпосылки!$I$213,),0))*IFERROR(INDEX(BE$10:BE$11,Предпосылки!$I$213,),0),BE339/(1+IFERROR(INDEX(BE$10:BE$11,Предпосылки!$I$214,),0))*IFERROR(INDEX(BE$10:BE$11,Предпосылки!$I$214,),0),BE362/(1+IFERROR(INDEX(BE$10:BE$11,Предпосылки!$I$215,),0))*IFERROR(INDEX(BE$10:BE$11,Предпосылки!$I$215,),0),BE385/(1+IFERROR(INDEX(BE$10:BE$11,Предпосылки!$I$216,),0))*IFERROR(INDEX(BE$10:BE$11,Предпосылки!$I$216,),0),BE408/(1+IFERROR(INDEX(BE$10:BE$11,Предпосылки!$I$217,),0))*IFERROR(INDEX(BE$10:BE$11,Предпосылки!$I$217,),0),BE431/(1+IFERROR(INDEX(BE$10:BE$11,Предпосылки!$I$218,),0))*IFERROR(INDEX(BE$10:BE$11,Предпосылки!$I$218,),0),BE454/(1+IFERROR(INDEX(BE$10:BE$11,Предпосылки!$I$219,),0))*IFERROR(INDEX(BE$10:BE$11,Предпосылки!$I$219,),0),BE477/(1+IFERROR(INDEX(BE$10:BE$11,Предпосылки!$I$220,),0))*IFERROR(INDEX(BE$10:BE$11,Предпосылки!$I$220,),0))</f>
        <v>0</v>
      </c>
      <c s="125">
        <f>SUM(BF40/(1+IFERROR(INDEX(BF$10:BF$11,Предпосылки!$I$201,),0))*IFERROR(INDEX(BF$10:BF$11,Предпосылки!$I$201,),0),BF63/(1+IFERROR(INDEX(BF$10:BF$11,Предпосылки!$I$202,),0))*IFERROR(INDEX(BF$10:BF$11,Предпосылки!$I$202,),0),BF86/(1+IFERROR(INDEX(BF$10:BF$11,Предпосылки!$I$203,),0))*IFERROR(INDEX(BF$10:BF$11,Предпосылки!$I$203,),0),BF109/(1+IFERROR(INDEX(BF$10:BF$11,Предпосылки!$I$204,),0))*IFERROR(INDEX(BF$10:BF$11,Предпосылки!$I$204,),0),BF132/(1+IFERROR(INDEX(BF$10:BF$11,Предпосылки!$I$205,),0))*IFERROR(INDEX(BF$10:BF$11,Предпосылки!$I$205,),0),BF155/(1+IFERROR(INDEX(BF$10:BF$11,Предпосылки!$I$206,),0))*IFERROR(INDEX(BF$10:BF$11,Предпосылки!$I$206,),0),BF178/(1+IFERROR(INDEX(BF$10:BF$11,Предпосылки!$I$207,),0))*IFERROR(INDEX(BF$10:BF$11,Предпосылки!$I$207,),0),BF201/(1+IFERROR(INDEX(BF$10:BF$11,Предпосылки!$I$208,),0))*IFERROR(INDEX(BF$10:BF$11,Предпосылки!$I$208,),0),BF224/(1+IFERROR(INDEX(BF$10:BF$11,Предпосылки!$I$209,),0))*IFERROR(INDEX(BF$10:BF$11,Предпосылки!$I$209,),0),BF247/(1+IFERROR(INDEX(BF$10:BF$11,Предпосылки!$I$210,),0))*IFERROR(INDEX(BF$10:BF$11,Предпосылки!$I$210,),0),BF270/(1+IFERROR(INDEX(BF$10:BF$11,Предпосылки!$I$211,),0))*IFERROR(INDEX(BF$10:BF$11,Предпосылки!$I$211,),0),BF293/(1+IFERROR(INDEX(BF$10:BF$11,Предпосылки!$I$212,),0))*IFERROR(INDEX(BF$10:BF$11,Предпосылки!$I$212,),0),BF316/(1+IFERROR(INDEX(BF$10:BF$11,Предпосылки!$I$213,),0))*IFERROR(INDEX(BF$10:BF$11,Предпосылки!$I$213,),0),BF339/(1+IFERROR(INDEX(BF$10:BF$11,Предпосылки!$I$214,),0))*IFERROR(INDEX(BF$10:BF$11,Предпосылки!$I$214,),0),BF362/(1+IFERROR(INDEX(BF$10:BF$11,Предпосылки!$I$215,),0))*IFERROR(INDEX(BF$10:BF$11,Предпосылки!$I$215,),0),BF385/(1+IFERROR(INDEX(BF$10:BF$11,Предпосылки!$I$216,),0))*IFERROR(INDEX(BF$10:BF$11,Предпосылки!$I$216,),0),BF408/(1+IFERROR(INDEX(BF$10:BF$11,Предпосылки!$I$217,),0))*IFERROR(INDEX(BF$10:BF$11,Предпосылки!$I$217,),0),BF431/(1+IFERROR(INDEX(BF$10:BF$11,Предпосылки!$I$218,),0))*IFERROR(INDEX(BF$10:BF$11,Предпосылки!$I$218,),0),BF454/(1+IFERROR(INDEX(BF$10:BF$11,Предпосылки!$I$219,),0))*IFERROR(INDEX(BF$10:BF$11,Предпосылки!$I$219,),0),BF477/(1+IFERROR(INDEX(BF$10:BF$11,Предпосылки!$I$220,),0))*IFERROR(INDEX(BF$10:BF$11,Предпосылки!$I$220,),0))</f>
        <v>0</v>
      </c>
      <c s="125">
        <f>SUM(BG40/(1+IFERROR(INDEX(BG$10:BG$11,Предпосылки!$I$201,),0))*IFERROR(INDEX(BG$10:BG$11,Предпосылки!$I$201,),0),BG63/(1+IFERROR(INDEX(BG$10:BG$11,Предпосылки!$I$202,),0))*IFERROR(INDEX(BG$10:BG$11,Предпосылки!$I$202,),0),BG86/(1+IFERROR(INDEX(BG$10:BG$11,Предпосылки!$I$203,),0))*IFERROR(INDEX(BG$10:BG$11,Предпосылки!$I$203,),0),BG109/(1+IFERROR(INDEX(BG$10:BG$11,Предпосылки!$I$204,),0))*IFERROR(INDEX(BG$10:BG$11,Предпосылки!$I$204,),0),BG132/(1+IFERROR(INDEX(BG$10:BG$11,Предпосылки!$I$205,),0))*IFERROR(INDEX(BG$10:BG$11,Предпосылки!$I$205,),0),BG155/(1+IFERROR(INDEX(BG$10:BG$11,Предпосылки!$I$206,),0))*IFERROR(INDEX(BG$10:BG$11,Предпосылки!$I$206,),0),BG178/(1+IFERROR(INDEX(BG$10:BG$11,Предпосылки!$I$207,),0))*IFERROR(INDEX(BG$10:BG$11,Предпосылки!$I$207,),0),BG201/(1+IFERROR(INDEX(BG$10:BG$11,Предпосылки!$I$208,),0))*IFERROR(INDEX(BG$10:BG$11,Предпосылки!$I$208,),0),BG224/(1+IFERROR(INDEX(BG$10:BG$11,Предпосылки!$I$209,),0))*IFERROR(INDEX(BG$10:BG$11,Предпосылки!$I$209,),0),BG247/(1+IFERROR(INDEX(BG$10:BG$11,Предпосылки!$I$210,),0))*IFERROR(INDEX(BG$10:BG$11,Предпосылки!$I$210,),0),BG270/(1+IFERROR(INDEX(BG$10:BG$11,Предпосылки!$I$211,),0))*IFERROR(INDEX(BG$10:BG$11,Предпосылки!$I$211,),0),BG293/(1+IFERROR(INDEX(BG$10:BG$11,Предпосылки!$I$212,),0))*IFERROR(INDEX(BG$10:BG$11,Предпосылки!$I$212,),0),BG316/(1+IFERROR(INDEX(BG$10:BG$11,Предпосылки!$I$213,),0))*IFERROR(INDEX(BG$10:BG$11,Предпосылки!$I$213,),0),BG339/(1+IFERROR(INDEX(BG$10:BG$11,Предпосылки!$I$214,),0))*IFERROR(INDEX(BG$10:BG$11,Предпосылки!$I$214,),0),BG362/(1+IFERROR(INDEX(BG$10:BG$11,Предпосылки!$I$215,),0))*IFERROR(INDEX(BG$10:BG$11,Предпосылки!$I$215,),0),BG385/(1+IFERROR(INDEX(BG$10:BG$11,Предпосылки!$I$216,),0))*IFERROR(INDEX(BG$10:BG$11,Предпосылки!$I$216,),0),BG408/(1+IFERROR(INDEX(BG$10:BG$11,Предпосылки!$I$217,),0))*IFERROR(INDEX(BG$10:BG$11,Предпосылки!$I$217,),0),BG431/(1+IFERROR(INDEX(BG$10:BG$11,Предпосылки!$I$218,),0))*IFERROR(INDEX(BG$10:BG$11,Предпосылки!$I$218,),0),BG454/(1+IFERROR(INDEX(BG$10:BG$11,Предпосылки!$I$219,),0))*IFERROR(INDEX(BG$10:BG$11,Предпосылки!$I$219,),0),BG477/(1+IFERROR(INDEX(BG$10:BG$11,Предпосылки!$I$220,),0))*IFERROR(INDEX(BG$10:BG$11,Предпосылки!$I$220,),0))</f>
        <v>0</v>
      </c>
      <c s="125">
        <f>SUM(BH40/(1+IFERROR(INDEX(BH$10:BH$11,Предпосылки!$I$201,),0))*IFERROR(INDEX(BH$10:BH$11,Предпосылки!$I$201,),0),BH63/(1+IFERROR(INDEX(BH$10:BH$11,Предпосылки!$I$202,),0))*IFERROR(INDEX(BH$10:BH$11,Предпосылки!$I$202,),0),BH86/(1+IFERROR(INDEX(BH$10:BH$11,Предпосылки!$I$203,),0))*IFERROR(INDEX(BH$10:BH$11,Предпосылки!$I$203,),0),BH109/(1+IFERROR(INDEX(BH$10:BH$11,Предпосылки!$I$204,),0))*IFERROR(INDEX(BH$10:BH$11,Предпосылки!$I$204,),0),BH132/(1+IFERROR(INDEX(BH$10:BH$11,Предпосылки!$I$205,),0))*IFERROR(INDEX(BH$10:BH$11,Предпосылки!$I$205,),0),BH155/(1+IFERROR(INDEX(BH$10:BH$11,Предпосылки!$I$206,),0))*IFERROR(INDEX(BH$10:BH$11,Предпосылки!$I$206,),0),BH178/(1+IFERROR(INDEX(BH$10:BH$11,Предпосылки!$I$207,),0))*IFERROR(INDEX(BH$10:BH$11,Предпосылки!$I$207,),0),BH201/(1+IFERROR(INDEX(BH$10:BH$11,Предпосылки!$I$208,),0))*IFERROR(INDEX(BH$10:BH$11,Предпосылки!$I$208,),0),BH224/(1+IFERROR(INDEX(BH$10:BH$11,Предпосылки!$I$209,),0))*IFERROR(INDEX(BH$10:BH$11,Предпосылки!$I$209,),0),BH247/(1+IFERROR(INDEX(BH$10:BH$11,Предпосылки!$I$210,),0))*IFERROR(INDEX(BH$10:BH$11,Предпосылки!$I$210,),0),BH270/(1+IFERROR(INDEX(BH$10:BH$11,Предпосылки!$I$211,),0))*IFERROR(INDEX(BH$10:BH$11,Предпосылки!$I$211,),0),BH293/(1+IFERROR(INDEX(BH$10:BH$11,Предпосылки!$I$212,),0))*IFERROR(INDEX(BH$10:BH$11,Предпосылки!$I$212,),0),BH316/(1+IFERROR(INDEX(BH$10:BH$11,Предпосылки!$I$213,),0))*IFERROR(INDEX(BH$10:BH$11,Предпосылки!$I$213,),0),BH339/(1+IFERROR(INDEX(BH$10:BH$11,Предпосылки!$I$214,),0))*IFERROR(INDEX(BH$10:BH$11,Предпосылки!$I$214,),0),BH362/(1+IFERROR(INDEX(BH$10:BH$11,Предпосылки!$I$215,),0))*IFERROR(INDEX(BH$10:BH$11,Предпосылки!$I$215,),0),BH385/(1+IFERROR(INDEX(BH$10:BH$11,Предпосылки!$I$216,),0))*IFERROR(INDEX(BH$10:BH$11,Предпосылки!$I$216,),0),BH408/(1+IFERROR(INDEX(BH$10:BH$11,Предпосылки!$I$217,),0))*IFERROR(INDEX(BH$10:BH$11,Предпосылки!$I$217,),0),BH431/(1+IFERROR(INDEX(BH$10:BH$11,Предпосылки!$I$218,),0))*IFERROR(INDEX(BH$10:BH$11,Предпосылки!$I$218,),0),BH454/(1+IFERROR(INDEX(BH$10:BH$11,Предпосылки!$I$219,),0))*IFERROR(INDEX(BH$10:BH$11,Предпосылки!$I$219,),0),BH477/(1+IFERROR(INDEX(BH$10:BH$11,Предпосылки!$I$220,),0))*IFERROR(INDEX(BH$10:BH$11,Предпосылки!$I$220,),0))</f>
        <v>0</v>
      </c>
      <c s="125">
        <f>SUM(BI40/(1+IFERROR(INDEX(BI$10:BI$11,Предпосылки!$I$201,),0))*IFERROR(INDEX(BI$10:BI$11,Предпосылки!$I$201,),0),BI63/(1+IFERROR(INDEX(BI$10:BI$11,Предпосылки!$I$202,),0))*IFERROR(INDEX(BI$10:BI$11,Предпосылки!$I$202,),0),BI86/(1+IFERROR(INDEX(BI$10:BI$11,Предпосылки!$I$203,),0))*IFERROR(INDEX(BI$10:BI$11,Предпосылки!$I$203,),0),BI109/(1+IFERROR(INDEX(BI$10:BI$11,Предпосылки!$I$204,),0))*IFERROR(INDEX(BI$10:BI$11,Предпосылки!$I$204,),0),BI132/(1+IFERROR(INDEX(BI$10:BI$11,Предпосылки!$I$205,),0))*IFERROR(INDEX(BI$10:BI$11,Предпосылки!$I$205,),0),BI155/(1+IFERROR(INDEX(BI$10:BI$11,Предпосылки!$I$206,),0))*IFERROR(INDEX(BI$10:BI$11,Предпосылки!$I$206,),0),BI178/(1+IFERROR(INDEX(BI$10:BI$11,Предпосылки!$I$207,),0))*IFERROR(INDEX(BI$10:BI$11,Предпосылки!$I$207,),0),BI201/(1+IFERROR(INDEX(BI$10:BI$11,Предпосылки!$I$208,),0))*IFERROR(INDEX(BI$10:BI$11,Предпосылки!$I$208,),0),BI224/(1+IFERROR(INDEX(BI$10:BI$11,Предпосылки!$I$209,),0))*IFERROR(INDEX(BI$10:BI$11,Предпосылки!$I$209,),0),BI247/(1+IFERROR(INDEX(BI$10:BI$11,Предпосылки!$I$210,),0))*IFERROR(INDEX(BI$10:BI$11,Предпосылки!$I$210,),0),BI270/(1+IFERROR(INDEX(BI$10:BI$11,Предпосылки!$I$211,),0))*IFERROR(INDEX(BI$10:BI$11,Предпосылки!$I$211,),0),BI293/(1+IFERROR(INDEX(BI$10:BI$11,Предпосылки!$I$212,),0))*IFERROR(INDEX(BI$10:BI$11,Предпосылки!$I$212,),0),BI316/(1+IFERROR(INDEX(BI$10:BI$11,Предпосылки!$I$213,),0))*IFERROR(INDEX(BI$10:BI$11,Предпосылки!$I$213,),0),BI339/(1+IFERROR(INDEX(BI$10:BI$11,Предпосылки!$I$214,),0))*IFERROR(INDEX(BI$10:BI$11,Предпосылки!$I$214,),0),BI362/(1+IFERROR(INDEX(BI$10:BI$11,Предпосылки!$I$215,),0))*IFERROR(INDEX(BI$10:BI$11,Предпосылки!$I$215,),0),BI385/(1+IFERROR(INDEX(BI$10:BI$11,Предпосылки!$I$216,),0))*IFERROR(INDEX(BI$10:BI$11,Предпосылки!$I$216,),0),BI408/(1+IFERROR(INDEX(BI$10:BI$11,Предпосылки!$I$217,),0))*IFERROR(INDEX(BI$10:BI$11,Предпосылки!$I$217,),0),BI431/(1+IFERROR(INDEX(BI$10:BI$11,Предпосылки!$I$218,),0))*IFERROR(INDEX(BI$10:BI$11,Предпосылки!$I$218,),0),BI454/(1+IFERROR(INDEX(BI$10:BI$11,Предпосылки!$I$219,),0))*IFERROR(INDEX(BI$10:BI$11,Предпосылки!$I$219,),0),BI477/(1+IFERROR(INDEX(BI$10:BI$11,Предпосылки!$I$220,),0))*IFERROR(INDEX(BI$10:BI$11,Предпосылки!$I$220,),0))</f>
        <v>0</v>
      </c>
      <c s="125">
        <f>SUM(BJ40/(1+IFERROR(INDEX(BJ$10:BJ$11,Предпосылки!$I$201,),0))*IFERROR(INDEX(BJ$10:BJ$11,Предпосылки!$I$201,),0),BJ63/(1+IFERROR(INDEX(BJ$10:BJ$11,Предпосылки!$I$202,),0))*IFERROR(INDEX(BJ$10:BJ$11,Предпосылки!$I$202,),0),BJ86/(1+IFERROR(INDEX(BJ$10:BJ$11,Предпосылки!$I$203,),0))*IFERROR(INDEX(BJ$10:BJ$11,Предпосылки!$I$203,),0),BJ109/(1+IFERROR(INDEX(BJ$10:BJ$11,Предпосылки!$I$204,),0))*IFERROR(INDEX(BJ$10:BJ$11,Предпосылки!$I$204,),0),BJ132/(1+IFERROR(INDEX(BJ$10:BJ$11,Предпосылки!$I$205,),0))*IFERROR(INDEX(BJ$10:BJ$11,Предпосылки!$I$205,),0),BJ155/(1+IFERROR(INDEX(BJ$10:BJ$11,Предпосылки!$I$206,),0))*IFERROR(INDEX(BJ$10:BJ$11,Предпосылки!$I$206,),0),BJ178/(1+IFERROR(INDEX(BJ$10:BJ$11,Предпосылки!$I$207,),0))*IFERROR(INDEX(BJ$10:BJ$11,Предпосылки!$I$207,),0),BJ201/(1+IFERROR(INDEX(BJ$10:BJ$11,Предпосылки!$I$208,),0))*IFERROR(INDEX(BJ$10:BJ$11,Предпосылки!$I$208,),0),BJ224/(1+IFERROR(INDEX(BJ$10:BJ$11,Предпосылки!$I$209,),0))*IFERROR(INDEX(BJ$10:BJ$11,Предпосылки!$I$209,),0),BJ247/(1+IFERROR(INDEX(BJ$10:BJ$11,Предпосылки!$I$210,),0))*IFERROR(INDEX(BJ$10:BJ$11,Предпосылки!$I$210,),0),BJ270/(1+IFERROR(INDEX(BJ$10:BJ$11,Предпосылки!$I$211,),0))*IFERROR(INDEX(BJ$10:BJ$11,Предпосылки!$I$211,),0),BJ293/(1+IFERROR(INDEX(BJ$10:BJ$11,Предпосылки!$I$212,),0))*IFERROR(INDEX(BJ$10:BJ$11,Предпосылки!$I$212,),0),BJ316/(1+IFERROR(INDEX(BJ$10:BJ$11,Предпосылки!$I$213,),0))*IFERROR(INDEX(BJ$10:BJ$11,Предпосылки!$I$213,),0),BJ339/(1+IFERROR(INDEX(BJ$10:BJ$11,Предпосылки!$I$214,),0))*IFERROR(INDEX(BJ$10:BJ$11,Предпосылки!$I$214,),0),BJ362/(1+IFERROR(INDEX(BJ$10:BJ$11,Предпосылки!$I$215,),0))*IFERROR(INDEX(BJ$10:BJ$11,Предпосылки!$I$215,),0),BJ385/(1+IFERROR(INDEX(BJ$10:BJ$11,Предпосылки!$I$216,),0))*IFERROR(INDEX(BJ$10:BJ$11,Предпосылки!$I$216,),0),BJ408/(1+IFERROR(INDEX(BJ$10:BJ$11,Предпосылки!$I$217,),0))*IFERROR(INDEX(BJ$10:BJ$11,Предпосылки!$I$217,),0),BJ431/(1+IFERROR(INDEX(BJ$10:BJ$11,Предпосылки!$I$218,),0))*IFERROR(INDEX(BJ$10:BJ$11,Предпосылки!$I$218,),0),BJ454/(1+IFERROR(INDEX(BJ$10:BJ$11,Предпосылки!$I$219,),0))*IFERROR(INDEX(BJ$10:BJ$11,Предпосылки!$I$219,),0),BJ477/(1+IFERROR(INDEX(BJ$10:BJ$11,Предпосылки!$I$220,),0))*IFERROR(INDEX(BJ$10:BJ$11,Предпосылки!$I$220,),0))</f>
        <v>0</v>
      </c>
      <c s="125">
        <f>SUM(BK40/(1+IFERROR(INDEX(BK$10:BK$11,Предпосылки!$I$201,),0))*IFERROR(INDEX(BK$10:BK$11,Предпосылки!$I$201,),0),BK63/(1+IFERROR(INDEX(BK$10:BK$11,Предпосылки!$I$202,),0))*IFERROR(INDEX(BK$10:BK$11,Предпосылки!$I$202,),0),BK86/(1+IFERROR(INDEX(BK$10:BK$11,Предпосылки!$I$203,),0))*IFERROR(INDEX(BK$10:BK$11,Предпосылки!$I$203,),0),BK109/(1+IFERROR(INDEX(BK$10:BK$11,Предпосылки!$I$204,),0))*IFERROR(INDEX(BK$10:BK$11,Предпосылки!$I$204,),0),BK132/(1+IFERROR(INDEX(BK$10:BK$11,Предпосылки!$I$205,),0))*IFERROR(INDEX(BK$10:BK$11,Предпосылки!$I$205,),0),BK155/(1+IFERROR(INDEX(BK$10:BK$11,Предпосылки!$I$206,),0))*IFERROR(INDEX(BK$10:BK$11,Предпосылки!$I$206,),0),BK178/(1+IFERROR(INDEX(BK$10:BK$11,Предпосылки!$I$207,),0))*IFERROR(INDEX(BK$10:BK$11,Предпосылки!$I$207,),0),BK201/(1+IFERROR(INDEX(BK$10:BK$11,Предпосылки!$I$208,),0))*IFERROR(INDEX(BK$10:BK$11,Предпосылки!$I$208,),0),BK224/(1+IFERROR(INDEX(BK$10:BK$11,Предпосылки!$I$209,),0))*IFERROR(INDEX(BK$10:BK$11,Предпосылки!$I$209,),0),BK247/(1+IFERROR(INDEX(BK$10:BK$11,Предпосылки!$I$210,),0))*IFERROR(INDEX(BK$10:BK$11,Предпосылки!$I$210,),0),BK270/(1+IFERROR(INDEX(BK$10:BK$11,Предпосылки!$I$211,),0))*IFERROR(INDEX(BK$10:BK$11,Предпосылки!$I$211,),0),BK293/(1+IFERROR(INDEX(BK$10:BK$11,Предпосылки!$I$212,),0))*IFERROR(INDEX(BK$10:BK$11,Предпосылки!$I$212,),0),BK316/(1+IFERROR(INDEX(BK$10:BK$11,Предпосылки!$I$213,),0))*IFERROR(INDEX(BK$10:BK$11,Предпосылки!$I$213,),0),BK339/(1+IFERROR(INDEX(BK$10:BK$11,Предпосылки!$I$214,),0))*IFERROR(INDEX(BK$10:BK$11,Предпосылки!$I$214,),0),BK362/(1+IFERROR(INDEX(BK$10:BK$11,Предпосылки!$I$215,),0))*IFERROR(INDEX(BK$10:BK$11,Предпосылки!$I$215,),0),BK385/(1+IFERROR(INDEX(BK$10:BK$11,Предпосылки!$I$216,),0))*IFERROR(INDEX(BK$10:BK$11,Предпосылки!$I$216,),0),BK408/(1+IFERROR(INDEX(BK$10:BK$11,Предпосылки!$I$217,),0))*IFERROR(INDEX(BK$10:BK$11,Предпосылки!$I$217,),0),BK431/(1+IFERROR(INDEX(BK$10:BK$11,Предпосылки!$I$218,),0))*IFERROR(INDEX(BK$10:BK$11,Предпосылки!$I$218,),0),BK454/(1+IFERROR(INDEX(BK$10:BK$11,Предпосылки!$I$219,),0))*IFERROR(INDEX(BK$10:BK$11,Предпосылки!$I$219,),0),BK477/(1+IFERROR(INDEX(BK$10:BK$11,Предпосылки!$I$220,),0))*IFERROR(INDEX(BK$10:BK$11,Предпосылки!$I$220,),0))</f>
        <v>0</v>
      </c>
      <c s="125">
        <f>SUM(BL40/(1+IFERROR(INDEX(BL$10:BL$11,Предпосылки!$I$201,),0))*IFERROR(INDEX(BL$10:BL$11,Предпосылки!$I$201,),0),BL63/(1+IFERROR(INDEX(BL$10:BL$11,Предпосылки!$I$202,),0))*IFERROR(INDEX(BL$10:BL$11,Предпосылки!$I$202,),0),BL86/(1+IFERROR(INDEX(BL$10:BL$11,Предпосылки!$I$203,),0))*IFERROR(INDEX(BL$10:BL$11,Предпосылки!$I$203,),0),BL109/(1+IFERROR(INDEX(BL$10:BL$11,Предпосылки!$I$204,),0))*IFERROR(INDEX(BL$10:BL$11,Предпосылки!$I$204,),0),BL132/(1+IFERROR(INDEX(BL$10:BL$11,Предпосылки!$I$205,),0))*IFERROR(INDEX(BL$10:BL$11,Предпосылки!$I$205,),0),BL155/(1+IFERROR(INDEX(BL$10:BL$11,Предпосылки!$I$206,),0))*IFERROR(INDEX(BL$10:BL$11,Предпосылки!$I$206,),0),BL178/(1+IFERROR(INDEX(BL$10:BL$11,Предпосылки!$I$207,),0))*IFERROR(INDEX(BL$10:BL$11,Предпосылки!$I$207,),0),BL201/(1+IFERROR(INDEX(BL$10:BL$11,Предпосылки!$I$208,),0))*IFERROR(INDEX(BL$10:BL$11,Предпосылки!$I$208,),0),BL224/(1+IFERROR(INDEX(BL$10:BL$11,Предпосылки!$I$209,),0))*IFERROR(INDEX(BL$10:BL$11,Предпосылки!$I$209,),0),BL247/(1+IFERROR(INDEX(BL$10:BL$11,Предпосылки!$I$210,),0))*IFERROR(INDEX(BL$10:BL$11,Предпосылки!$I$210,),0),BL270/(1+IFERROR(INDEX(BL$10:BL$11,Предпосылки!$I$211,),0))*IFERROR(INDEX(BL$10:BL$11,Предпосылки!$I$211,),0),BL293/(1+IFERROR(INDEX(BL$10:BL$11,Предпосылки!$I$212,),0))*IFERROR(INDEX(BL$10:BL$11,Предпосылки!$I$212,),0),BL316/(1+IFERROR(INDEX(BL$10:BL$11,Предпосылки!$I$213,),0))*IFERROR(INDEX(BL$10:BL$11,Предпосылки!$I$213,),0),BL339/(1+IFERROR(INDEX(BL$10:BL$11,Предпосылки!$I$214,),0))*IFERROR(INDEX(BL$10:BL$11,Предпосылки!$I$214,),0),BL362/(1+IFERROR(INDEX(BL$10:BL$11,Предпосылки!$I$215,),0))*IFERROR(INDEX(BL$10:BL$11,Предпосылки!$I$215,),0),BL385/(1+IFERROR(INDEX(BL$10:BL$11,Предпосылки!$I$216,),0))*IFERROR(INDEX(BL$10:BL$11,Предпосылки!$I$216,),0),BL408/(1+IFERROR(INDEX(BL$10:BL$11,Предпосылки!$I$217,),0))*IFERROR(INDEX(BL$10:BL$11,Предпосылки!$I$217,),0),BL431/(1+IFERROR(INDEX(BL$10:BL$11,Предпосылки!$I$218,),0))*IFERROR(INDEX(BL$10:BL$11,Предпосылки!$I$218,),0),BL454/(1+IFERROR(INDEX(BL$10:BL$11,Предпосылки!$I$219,),0))*IFERROR(INDEX(BL$10:BL$11,Предпосылки!$I$219,),0),BL477/(1+IFERROR(INDEX(BL$10:BL$11,Предпосылки!$I$220,),0))*IFERROR(INDEX(BL$10:BL$11,Предпосылки!$I$220,),0))</f>
        <v>0</v>
      </c>
      <c s="125">
        <f>SUM(BM40/(1+IFERROR(INDEX(BM$10:BM$11,Предпосылки!$I$201,),0))*IFERROR(INDEX(BM$10:BM$11,Предпосылки!$I$201,),0),BM63/(1+IFERROR(INDEX(BM$10:BM$11,Предпосылки!$I$202,),0))*IFERROR(INDEX(BM$10:BM$11,Предпосылки!$I$202,),0),BM86/(1+IFERROR(INDEX(BM$10:BM$11,Предпосылки!$I$203,),0))*IFERROR(INDEX(BM$10:BM$11,Предпосылки!$I$203,),0),BM109/(1+IFERROR(INDEX(BM$10:BM$11,Предпосылки!$I$204,),0))*IFERROR(INDEX(BM$10:BM$11,Предпосылки!$I$204,),0),BM132/(1+IFERROR(INDEX(BM$10:BM$11,Предпосылки!$I$205,),0))*IFERROR(INDEX(BM$10:BM$11,Предпосылки!$I$205,),0),BM155/(1+IFERROR(INDEX(BM$10:BM$11,Предпосылки!$I$206,),0))*IFERROR(INDEX(BM$10:BM$11,Предпосылки!$I$206,),0),BM178/(1+IFERROR(INDEX(BM$10:BM$11,Предпосылки!$I$207,),0))*IFERROR(INDEX(BM$10:BM$11,Предпосылки!$I$207,),0),BM201/(1+IFERROR(INDEX(BM$10:BM$11,Предпосылки!$I$208,),0))*IFERROR(INDEX(BM$10:BM$11,Предпосылки!$I$208,),0),BM224/(1+IFERROR(INDEX(BM$10:BM$11,Предпосылки!$I$209,),0))*IFERROR(INDEX(BM$10:BM$11,Предпосылки!$I$209,),0),BM247/(1+IFERROR(INDEX(BM$10:BM$11,Предпосылки!$I$210,),0))*IFERROR(INDEX(BM$10:BM$11,Предпосылки!$I$210,),0),BM270/(1+IFERROR(INDEX(BM$10:BM$11,Предпосылки!$I$211,),0))*IFERROR(INDEX(BM$10:BM$11,Предпосылки!$I$211,),0),BM293/(1+IFERROR(INDEX(BM$10:BM$11,Предпосылки!$I$212,),0))*IFERROR(INDEX(BM$10:BM$11,Предпосылки!$I$212,),0),BM316/(1+IFERROR(INDEX(BM$10:BM$11,Предпосылки!$I$213,),0))*IFERROR(INDEX(BM$10:BM$11,Предпосылки!$I$213,),0),BM339/(1+IFERROR(INDEX(BM$10:BM$11,Предпосылки!$I$214,),0))*IFERROR(INDEX(BM$10:BM$11,Предпосылки!$I$214,),0),BM362/(1+IFERROR(INDEX(BM$10:BM$11,Предпосылки!$I$215,),0))*IFERROR(INDEX(BM$10:BM$11,Предпосылки!$I$215,),0),BM385/(1+IFERROR(INDEX(BM$10:BM$11,Предпосылки!$I$216,),0))*IFERROR(INDEX(BM$10:BM$11,Предпосылки!$I$216,),0),BM408/(1+IFERROR(INDEX(BM$10:BM$11,Предпосылки!$I$217,),0))*IFERROR(INDEX(BM$10:BM$11,Предпосылки!$I$217,),0),BM431/(1+IFERROR(INDEX(BM$10:BM$11,Предпосылки!$I$218,),0))*IFERROR(INDEX(BM$10:BM$11,Предпосылки!$I$218,),0),BM454/(1+IFERROR(INDEX(BM$10:BM$11,Предпосылки!$I$219,),0))*IFERROR(INDEX(BM$10:BM$11,Предпосылки!$I$219,),0),BM477/(1+IFERROR(INDEX(BM$10:BM$11,Предпосылки!$I$220,),0))*IFERROR(INDEX(BM$10:BM$11,Предпосылки!$I$220,),0))</f>
        <v>0</v>
      </c>
    </row>
    <row r="572" spans="2:65" ht="15" customHeight="1">
      <c r="B572" s="12" t="str">
        <f t="shared" si="255"/>
        <v>Продукт 19</v>
      </c>
      <c s="124" t="str">
        <f t="shared" si="254"/>
        <v>тыс. руб.</v>
      </c>
      <c s="276">
        <f t="shared" si="256"/>
        <v>0</v>
      </c>
      <c s="125">
        <f>SUM(E41/(1+IFERROR(INDEX(E$10:E$11,Предпосылки!$I219,),0))*IFERROR(INDEX(E$10:E$11,Предпосылки!$I219,),0),E64/(1+IFERROR(INDEX(E$10:E$11,Предпосылки!$I220,),0))*IFERROR(INDEX(E$10:E$11,Предпосылки!$I220,),0),E87/(1+IFERROR(INDEX(E$10:E$11,Предпосылки!$I221,),0))*IFERROR(INDEX(E$10:E$11,Предпосылки!$I221,),0),E110/(1+IFERROR(INDEX(E$10:E$11,Предпосылки!$I222,),0))*IFERROR(INDEX(E$10:E$11,Предпосылки!$I222,),0),E133/(1+IFERROR(INDEX(E$10:E$11,Предпосылки!$I223,),0))*IFERROR(INDEX(E$10:E$11,Предпосылки!$I223,),0),E156/(1+IFERROR(INDEX(E$10:E$11,Предпосылки!$I224,),0))*IFERROR(INDEX(E$10:E$11,Предпосылки!$I224,),0),E179/(1+IFERROR(INDEX(E$10:E$11,Предпосылки!$I225,),0))*IFERROR(INDEX(E$10:E$11,Предпосылки!$I225,),0),E202/(1+IFERROR(INDEX(E$10:E$11,Предпосылки!$I226,),0))*IFERROR(INDEX(E$10:E$11,Предпосылки!$I226,),0),E225/(1+IFERROR(INDEX(E$10:E$11,Предпосылки!$I227,),0))*IFERROR(INDEX(E$10:E$11,Предпосылки!$I227,),0),E248/(1+IFERROR(INDEX(E$10:E$11,Предпосылки!$I228,),0))*IFERROR(INDEX(E$10:E$11,Предпосылки!$I228,),0),E271/(1+IFERROR(INDEX(E$10:E$11,Предпосылки!$I229,),0))*IFERROR(INDEX(E$10:E$11,Предпосылки!$I229,),0),E294/(1+IFERROR(INDEX(E$10:E$11,Предпосылки!$I230,),0))*IFERROR(INDEX(E$10:E$11,Предпосылки!$I230,),0),E317/(1+IFERROR(INDEX(E$10:E$11,Предпосылки!$I231,),0))*IFERROR(INDEX(E$10:E$11,Предпосылки!$I231,),0),E340/(1+IFERROR(INDEX(E$10:E$11,Предпосылки!$I232,),0))*IFERROR(INDEX(E$10:E$11,Предпосылки!$I232,),0),E363/(1+IFERROR(INDEX(E$10:E$11,Предпосылки!$I233,),0))*IFERROR(INDEX(E$10:E$11,Предпосылки!$I233,),0),E386/(1+IFERROR(INDEX(E$10:E$11,Предпосылки!$I234,),0))*IFERROR(INDEX(E$10:E$11,Предпосылки!$I234,),0),E409/(1+IFERROR(INDEX(E$10:E$11,Предпосылки!$I235,),0))*IFERROR(INDEX(E$10:E$11,Предпосылки!$I235,),0),E432/(1+IFERROR(INDEX(E$10:E$11,Предпосылки!$I236,),0))*IFERROR(INDEX(E$10:E$11,Предпосылки!$I236,),0),E455/(1+IFERROR(INDEX(E$10:E$11,Предпосылки!$I237,),0))*IFERROR(INDEX(E$10:E$11,Предпосылки!$I237,),0),E478/(1+IFERROR(INDEX(E$10:E$11,Предпосылки!$I238,),0))*IFERROR(INDEX(E$10:E$11,Предпосылки!$I238,),0))</f>
        <v>0</v>
      </c>
      <c s="125">
        <f>SUM(F41/(1+IFERROR(INDEX(F$10:F$11,Предпосылки!$I$201,),0))*IFERROR(INDEX(F$10:F$11,Предпосылки!$I$201,),0),F64/(1+IFERROR(INDEX(F$10:F$11,Предпосылки!$I$202,),0))*IFERROR(INDEX(F$10:F$11,Предпосылки!$I$202,),0),F87/(1+IFERROR(INDEX(F$10:F$11,Предпосылки!$I$203,),0))*IFERROR(INDEX(F$10:F$11,Предпосылки!$I$203,),0),F110/(1+IFERROR(INDEX(F$10:F$11,Предпосылки!$I$204,),0))*IFERROR(INDEX(F$10:F$11,Предпосылки!$I$204,),0),F133/(1+IFERROR(INDEX(F$10:F$11,Предпосылки!$I$205,),0))*IFERROR(INDEX(F$10:F$11,Предпосылки!$I$205,),0),F156/(1+IFERROR(INDEX(F$10:F$11,Предпосылки!$I$206,),0))*IFERROR(INDEX(F$10:F$11,Предпосылки!$I$206,),0),F179/(1+IFERROR(INDEX(F$10:F$11,Предпосылки!$I$207,),0))*IFERROR(INDEX(F$10:F$11,Предпосылки!$I$207,),0),F202/(1+IFERROR(INDEX(F$10:F$11,Предпосылки!$I$208,),0))*IFERROR(INDEX(F$10:F$11,Предпосылки!$I$208,),0),F225/(1+IFERROR(INDEX(F$10:F$11,Предпосылки!$I$209,),0))*IFERROR(INDEX(F$10:F$11,Предпосылки!$I$209,),0),F248/(1+IFERROR(INDEX(F$10:F$11,Предпосылки!$I$210,),0))*IFERROR(INDEX(F$10:F$11,Предпосылки!$I$210,),0),F271/(1+IFERROR(INDEX(F$10:F$11,Предпосылки!$I$211,),0))*IFERROR(INDEX(F$10:F$11,Предпосылки!$I$211,),0),F294/(1+IFERROR(INDEX(F$10:F$11,Предпосылки!$I$212,),0))*IFERROR(INDEX(F$10:F$11,Предпосылки!$I$212,),0),F317/(1+IFERROR(INDEX(F$10:F$11,Предпосылки!$I$213,),0))*IFERROR(INDEX(F$10:F$11,Предпосылки!$I$213,),0),F340/(1+IFERROR(INDEX(F$10:F$11,Предпосылки!$I$214,),0))*IFERROR(INDEX(F$10:F$11,Предпосылки!$I$214,),0),F363/(1+IFERROR(INDEX(F$10:F$11,Предпосылки!$I$215,),0))*IFERROR(INDEX(F$10:F$11,Предпосылки!$I$215,),0),F386/(1+IFERROR(INDEX(F$10:F$11,Предпосылки!$I$216,),0))*IFERROR(INDEX(F$10:F$11,Предпосылки!$I$216,),0),F409/(1+IFERROR(INDEX(F$10:F$11,Предпосылки!$I$217,),0))*IFERROR(INDEX(F$10:F$11,Предпосылки!$I$217,),0),F432/(1+IFERROR(INDEX(F$10:F$11,Предпосылки!$I$218,),0))*IFERROR(INDEX(F$10:F$11,Предпосылки!$I$218,),0),F455/(1+IFERROR(INDEX(F$10:F$11,Предпосылки!$I$219,),0))*IFERROR(INDEX(F$10:F$11,Предпосылки!$I$219,),0),F478/(1+IFERROR(INDEX(F$10:F$11,Предпосылки!$I$220,),0))*IFERROR(INDEX(F$10:F$11,Предпосылки!$I$220,),0))</f>
        <v>0</v>
      </c>
      <c s="125">
        <f>SUM(G41/(1+IFERROR(INDEX(G$10:G$11,Предпосылки!$I$201,),0))*IFERROR(INDEX(G$10:G$11,Предпосылки!$I$201,),0),G64/(1+IFERROR(INDEX(G$10:G$11,Предпосылки!$I$202,),0))*IFERROR(INDEX(G$10:G$11,Предпосылки!$I$202,),0),G87/(1+IFERROR(INDEX(G$10:G$11,Предпосылки!$I$203,),0))*IFERROR(INDEX(G$10:G$11,Предпосылки!$I$203,),0),G110/(1+IFERROR(INDEX(G$10:G$11,Предпосылки!$I$204,),0))*IFERROR(INDEX(G$10:G$11,Предпосылки!$I$204,),0),G133/(1+IFERROR(INDEX(G$10:G$11,Предпосылки!$I$205,),0))*IFERROR(INDEX(G$10:G$11,Предпосылки!$I$205,),0),G156/(1+IFERROR(INDEX(G$10:G$11,Предпосылки!$I$206,),0))*IFERROR(INDEX(G$10:G$11,Предпосылки!$I$206,),0),G179/(1+IFERROR(INDEX(G$10:G$11,Предпосылки!$I$207,),0))*IFERROR(INDEX(G$10:G$11,Предпосылки!$I$207,),0),G202/(1+IFERROR(INDEX(G$10:G$11,Предпосылки!$I$208,),0))*IFERROR(INDEX(G$10:G$11,Предпосылки!$I$208,),0),G225/(1+IFERROR(INDEX(G$10:G$11,Предпосылки!$I$209,),0))*IFERROR(INDEX(G$10:G$11,Предпосылки!$I$209,),0),G248/(1+IFERROR(INDEX(G$10:G$11,Предпосылки!$I$210,),0))*IFERROR(INDEX(G$10:G$11,Предпосылки!$I$210,),0),G271/(1+IFERROR(INDEX(G$10:G$11,Предпосылки!$I$211,),0))*IFERROR(INDEX(G$10:G$11,Предпосылки!$I$211,),0),G294/(1+IFERROR(INDEX(G$10:G$11,Предпосылки!$I$212,),0))*IFERROR(INDEX(G$10:G$11,Предпосылки!$I$212,),0),G317/(1+IFERROR(INDEX(G$10:G$11,Предпосылки!$I$213,),0))*IFERROR(INDEX(G$10:G$11,Предпосылки!$I$213,),0),G340/(1+IFERROR(INDEX(G$10:G$11,Предпосылки!$I$214,),0))*IFERROR(INDEX(G$10:G$11,Предпосылки!$I$214,),0),G363/(1+IFERROR(INDEX(G$10:G$11,Предпосылки!$I$215,),0))*IFERROR(INDEX(G$10:G$11,Предпосылки!$I$215,),0),G386/(1+IFERROR(INDEX(G$10:G$11,Предпосылки!$I$216,),0))*IFERROR(INDEX(G$10:G$11,Предпосылки!$I$216,),0),G409/(1+IFERROR(INDEX(G$10:G$11,Предпосылки!$I$217,),0))*IFERROR(INDEX(G$10:G$11,Предпосылки!$I$217,),0),G432/(1+IFERROR(INDEX(G$10:G$11,Предпосылки!$I$218,),0))*IFERROR(INDEX(G$10:G$11,Предпосылки!$I$218,),0),G455/(1+IFERROR(INDEX(G$10:G$11,Предпосылки!$I$219,),0))*IFERROR(INDEX(G$10:G$11,Предпосылки!$I$219,),0),G478/(1+IFERROR(INDEX(G$10:G$11,Предпосылки!$I$220,),0))*IFERROR(INDEX(G$10:G$11,Предпосылки!$I$220,),0))</f>
        <v>0</v>
      </c>
      <c s="125">
        <f>SUM(H41/(1+IFERROR(INDEX(H$10:H$11,Предпосылки!$I$201,),0))*IFERROR(INDEX(H$10:H$11,Предпосылки!$I$201,),0),H64/(1+IFERROR(INDEX(H$10:H$11,Предпосылки!$I$202,),0))*IFERROR(INDEX(H$10:H$11,Предпосылки!$I$202,),0),H87/(1+IFERROR(INDEX(H$10:H$11,Предпосылки!$I$203,),0))*IFERROR(INDEX(H$10:H$11,Предпосылки!$I$203,),0),H110/(1+IFERROR(INDEX(H$10:H$11,Предпосылки!$I$204,),0))*IFERROR(INDEX(H$10:H$11,Предпосылки!$I$204,),0),H133/(1+IFERROR(INDEX(H$10:H$11,Предпосылки!$I$205,),0))*IFERROR(INDEX(H$10:H$11,Предпосылки!$I$205,),0),H156/(1+IFERROR(INDEX(H$10:H$11,Предпосылки!$I$206,),0))*IFERROR(INDEX(H$10:H$11,Предпосылки!$I$206,),0),H179/(1+IFERROR(INDEX(H$10:H$11,Предпосылки!$I$207,),0))*IFERROR(INDEX(H$10:H$11,Предпосылки!$I$207,),0),H202/(1+IFERROR(INDEX(H$10:H$11,Предпосылки!$I$208,),0))*IFERROR(INDEX(H$10:H$11,Предпосылки!$I$208,),0),H225/(1+IFERROR(INDEX(H$10:H$11,Предпосылки!$I$209,),0))*IFERROR(INDEX(H$10:H$11,Предпосылки!$I$209,),0),H248/(1+IFERROR(INDEX(H$10:H$11,Предпосылки!$I$210,),0))*IFERROR(INDEX(H$10:H$11,Предпосылки!$I$210,),0),H271/(1+IFERROR(INDEX(H$10:H$11,Предпосылки!$I$211,),0))*IFERROR(INDEX(H$10:H$11,Предпосылки!$I$211,),0),H294/(1+IFERROR(INDEX(H$10:H$11,Предпосылки!$I$212,),0))*IFERROR(INDEX(H$10:H$11,Предпосылки!$I$212,),0),H317/(1+IFERROR(INDEX(H$10:H$11,Предпосылки!$I$213,),0))*IFERROR(INDEX(H$10:H$11,Предпосылки!$I$213,),0),H340/(1+IFERROR(INDEX(H$10:H$11,Предпосылки!$I$214,),0))*IFERROR(INDEX(H$10:H$11,Предпосылки!$I$214,),0),H363/(1+IFERROR(INDEX(H$10:H$11,Предпосылки!$I$215,),0))*IFERROR(INDEX(H$10:H$11,Предпосылки!$I$215,),0),H386/(1+IFERROR(INDEX(H$10:H$11,Предпосылки!$I$216,),0))*IFERROR(INDEX(H$10:H$11,Предпосылки!$I$216,),0),H409/(1+IFERROR(INDEX(H$10:H$11,Предпосылки!$I$217,),0))*IFERROR(INDEX(H$10:H$11,Предпосылки!$I$217,),0),H432/(1+IFERROR(INDEX(H$10:H$11,Предпосылки!$I$218,),0))*IFERROR(INDEX(H$10:H$11,Предпосылки!$I$218,),0),H455/(1+IFERROR(INDEX(H$10:H$11,Предпосылки!$I$219,),0))*IFERROR(INDEX(H$10:H$11,Предпосылки!$I$219,),0),H478/(1+IFERROR(INDEX(H$10:H$11,Предпосылки!$I$220,),0))*IFERROR(INDEX(H$10:H$11,Предпосылки!$I$220,),0))</f>
        <v>0</v>
      </c>
      <c s="125">
        <f>SUM(I41/(1+IFERROR(INDEX(I$10:I$11,Предпосылки!$I$201,),0))*IFERROR(INDEX(I$10:I$11,Предпосылки!$I$201,),0),I64/(1+IFERROR(INDEX(I$10:I$11,Предпосылки!$I$202,),0))*IFERROR(INDEX(I$10:I$11,Предпосылки!$I$202,),0),I87/(1+IFERROR(INDEX(I$10:I$11,Предпосылки!$I$203,),0))*IFERROR(INDEX(I$10:I$11,Предпосылки!$I$203,),0),I110/(1+IFERROR(INDEX(I$10:I$11,Предпосылки!$I$204,),0))*IFERROR(INDEX(I$10:I$11,Предпосылки!$I$204,),0),I133/(1+IFERROR(INDEX(I$10:I$11,Предпосылки!$I$205,),0))*IFERROR(INDEX(I$10:I$11,Предпосылки!$I$205,),0),I156/(1+IFERROR(INDEX(I$10:I$11,Предпосылки!$I$206,),0))*IFERROR(INDEX(I$10:I$11,Предпосылки!$I$206,),0),I179/(1+IFERROR(INDEX(I$10:I$11,Предпосылки!$I$207,),0))*IFERROR(INDEX(I$10:I$11,Предпосылки!$I$207,),0),I202/(1+IFERROR(INDEX(I$10:I$11,Предпосылки!$I$208,),0))*IFERROR(INDEX(I$10:I$11,Предпосылки!$I$208,),0),I225/(1+IFERROR(INDEX(I$10:I$11,Предпосылки!$I$209,),0))*IFERROR(INDEX(I$10:I$11,Предпосылки!$I$209,),0),I248/(1+IFERROR(INDEX(I$10:I$11,Предпосылки!$I$210,),0))*IFERROR(INDEX(I$10:I$11,Предпосылки!$I$210,),0),I271/(1+IFERROR(INDEX(I$10:I$11,Предпосылки!$I$211,),0))*IFERROR(INDEX(I$10:I$11,Предпосылки!$I$211,),0),I294/(1+IFERROR(INDEX(I$10:I$11,Предпосылки!$I$212,),0))*IFERROR(INDEX(I$10:I$11,Предпосылки!$I$212,),0),I317/(1+IFERROR(INDEX(I$10:I$11,Предпосылки!$I$213,),0))*IFERROR(INDEX(I$10:I$11,Предпосылки!$I$213,),0),I340/(1+IFERROR(INDEX(I$10:I$11,Предпосылки!$I$214,),0))*IFERROR(INDEX(I$10:I$11,Предпосылки!$I$214,),0),I363/(1+IFERROR(INDEX(I$10:I$11,Предпосылки!$I$215,),0))*IFERROR(INDEX(I$10:I$11,Предпосылки!$I$215,),0),I386/(1+IFERROR(INDEX(I$10:I$11,Предпосылки!$I$216,),0))*IFERROR(INDEX(I$10:I$11,Предпосылки!$I$216,),0),I409/(1+IFERROR(INDEX(I$10:I$11,Предпосылки!$I$217,),0))*IFERROR(INDEX(I$10:I$11,Предпосылки!$I$217,),0),I432/(1+IFERROR(INDEX(I$10:I$11,Предпосылки!$I$218,),0))*IFERROR(INDEX(I$10:I$11,Предпосылки!$I$218,),0),I455/(1+IFERROR(INDEX(I$10:I$11,Предпосылки!$I$219,),0))*IFERROR(INDEX(I$10:I$11,Предпосылки!$I$219,),0),I478/(1+IFERROR(INDEX(I$10:I$11,Предпосылки!$I$220,),0))*IFERROR(INDEX(I$10:I$11,Предпосылки!$I$220,),0))</f>
        <v>0</v>
      </c>
      <c s="125">
        <f>SUM(J41/(1+IFERROR(INDEX(J$10:J$11,Предпосылки!$I$201,),0))*IFERROR(INDEX(J$10:J$11,Предпосылки!$I$201,),0),J64/(1+IFERROR(INDEX(J$10:J$11,Предпосылки!$I$202,),0))*IFERROR(INDEX(J$10:J$11,Предпосылки!$I$202,),0),J87/(1+IFERROR(INDEX(J$10:J$11,Предпосылки!$I$203,),0))*IFERROR(INDEX(J$10:J$11,Предпосылки!$I$203,),0),J110/(1+IFERROR(INDEX(J$10:J$11,Предпосылки!$I$204,),0))*IFERROR(INDEX(J$10:J$11,Предпосылки!$I$204,),0),J133/(1+IFERROR(INDEX(J$10:J$11,Предпосылки!$I$205,),0))*IFERROR(INDEX(J$10:J$11,Предпосылки!$I$205,),0),J156/(1+IFERROR(INDEX(J$10:J$11,Предпосылки!$I$206,),0))*IFERROR(INDEX(J$10:J$11,Предпосылки!$I$206,),0),J179/(1+IFERROR(INDEX(J$10:J$11,Предпосылки!$I$207,),0))*IFERROR(INDEX(J$10:J$11,Предпосылки!$I$207,),0),J202/(1+IFERROR(INDEX(J$10:J$11,Предпосылки!$I$208,),0))*IFERROR(INDEX(J$10:J$11,Предпосылки!$I$208,),0),J225/(1+IFERROR(INDEX(J$10:J$11,Предпосылки!$I$209,),0))*IFERROR(INDEX(J$10:J$11,Предпосылки!$I$209,),0),J248/(1+IFERROR(INDEX(J$10:J$11,Предпосылки!$I$210,),0))*IFERROR(INDEX(J$10:J$11,Предпосылки!$I$210,),0),J271/(1+IFERROR(INDEX(J$10:J$11,Предпосылки!$I$211,),0))*IFERROR(INDEX(J$10:J$11,Предпосылки!$I$211,),0),J294/(1+IFERROR(INDEX(J$10:J$11,Предпосылки!$I$212,),0))*IFERROR(INDEX(J$10:J$11,Предпосылки!$I$212,),0),J317/(1+IFERROR(INDEX(J$10:J$11,Предпосылки!$I$213,),0))*IFERROR(INDEX(J$10:J$11,Предпосылки!$I$213,),0),J340/(1+IFERROR(INDEX(J$10:J$11,Предпосылки!$I$214,),0))*IFERROR(INDEX(J$10:J$11,Предпосылки!$I$214,),0),J363/(1+IFERROR(INDEX(J$10:J$11,Предпосылки!$I$215,),0))*IFERROR(INDEX(J$10:J$11,Предпосылки!$I$215,),0),J386/(1+IFERROR(INDEX(J$10:J$11,Предпосылки!$I$216,),0))*IFERROR(INDEX(J$10:J$11,Предпосылки!$I$216,),0),J409/(1+IFERROR(INDEX(J$10:J$11,Предпосылки!$I$217,),0))*IFERROR(INDEX(J$10:J$11,Предпосылки!$I$217,),0),J432/(1+IFERROR(INDEX(J$10:J$11,Предпосылки!$I$218,),0))*IFERROR(INDEX(J$10:J$11,Предпосылки!$I$218,),0),J455/(1+IFERROR(INDEX(J$10:J$11,Предпосылки!$I$219,),0))*IFERROR(INDEX(J$10:J$11,Предпосылки!$I$219,),0),J478/(1+IFERROR(INDEX(J$10:J$11,Предпосылки!$I$220,),0))*IFERROR(INDEX(J$10:J$11,Предпосылки!$I$220,),0))</f>
        <v>0</v>
      </c>
      <c s="125">
        <f>SUM(K41/(1+IFERROR(INDEX(K$10:K$11,Предпосылки!$I$201,),0))*IFERROR(INDEX(K$10:K$11,Предпосылки!$I$201,),0),K64/(1+IFERROR(INDEX(K$10:K$11,Предпосылки!$I$202,),0))*IFERROR(INDEX(K$10:K$11,Предпосылки!$I$202,),0),K87/(1+IFERROR(INDEX(K$10:K$11,Предпосылки!$I$203,),0))*IFERROR(INDEX(K$10:K$11,Предпосылки!$I$203,),0),K110/(1+IFERROR(INDEX(K$10:K$11,Предпосылки!$I$204,),0))*IFERROR(INDEX(K$10:K$11,Предпосылки!$I$204,),0),K133/(1+IFERROR(INDEX(K$10:K$11,Предпосылки!$I$205,),0))*IFERROR(INDEX(K$10:K$11,Предпосылки!$I$205,),0),K156/(1+IFERROR(INDEX(K$10:K$11,Предпосылки!$I$206,),0))*IFERROR(INDEX(K$10:K$11,Предпосылки!$I$206,),0),K179/(1+IFERROR(INDEX(K$10:K$11,Предпосылки!$I$207,),0))*IFERROR(INDEX(K$10:K$11,Предпосылки!$I$207,),0),K202/(1+IFERROR(INDEX(K$10:K$11,Предпосылки!$I$208,),0))*IFERROR(INDEX(K$10:K$11,Предпосылки!$I$208,),0),K225/(1+IFERROR(INDEX(K$10:K$11,Предпосылки!$I$209,),0))*IFERROR(INDEX(K$10:K$11,Предпосылки!$I$209,),0),K248/(1+IFERROR(INDEX(K$10:K$11,Предпосылки!$I$210,),0))*IFERROR(INDEX(K$10:K$11,Предпосылки!$I$210,),0),K271/(1+IFERROR(INDEX(K$10:K$11,Предпосылки!$I$211,),0))*IFERROR(INDEX(K$10:K$11,Предпосылки!$I$211,),0),K294/(1+IFERROR(INDEX(K$10:K$11,Предпосылки!$I$212,),0))*IFERROR(INDEX(K$10:K$11,Предпосылки!$I$212,),0),K317/(1+IFERROR(INDEX(K$10:K$11,Предпосылки!$I$213,),0))*IFERROR(INDEX(K$10:K$11,Предпосылки!$I$213,),0),K340/(1+IFERROR(INDEX(K$10:K$11,Предпосылки!$I$214,),0))*IFERROR(INDEX(K$10:K$11,Предпосылки!$I$214,),0),K363/(1+IFERROR(INDEX(K$10:K$11,Предпосылки!$I$215,),0))*IFERROR(INDEX(K$10:K$11,Предпосылки!$I$215,),0),K386/(1+IFERROR(INDEX(K$10:K$11,Предпосылки!$I$216,),0))*IFERROR(INDEX(K$10:K$11,Предпосылки!$I$216,),0),K409/(1+IFERROR(INDEX(K$10:K$11,Предпосылки!$I$217,),0))*IFERROR(INDEX(K$10:K$11,Предпосылки!$I$217,),0),K432/(1+IFERROR(INDEX(K$10:K$11,Предпосылки!$I$218,),0))*IFERROR(INDEX(K$10:K$11,Предпосылки!$I$218,),0),K455/(1+IFERROR(INDEX(K$10:K$11,Предпосылки!$I$219,),0))*IFERROR(INDEX(K$10:K$11,Предпосылки!$I$219,),0),K478/(1+IFERROR(INDEX(K$10:K$11,Предпосылки!$I$220,),0))*IFERROR(INDEX(K$10:K$11,Предпосылки!$I$220,),0))</f>
        <v>0</v>
      </c>
      <c s="125">
        <f>SUM(L41/(1+IFERROR(INDEX(L$10:L$11,Предпосылки!$I$201,),0))*IFERROR(INDEX(L$10:L$11,Предпосылки!$I$201,),0),L64/(1+IFERROR(INDEX(L$10:L$11,Предпосылки!$I$202,),0))*IFERROR(INDEX(L$10:L$11,Предпосылки!$I$202,),0),L87/(1+IFERROR(INDEX(L$10:L$11,Предпосылки!$I$203,),0))*IFERROR(INDEX(L$10:L$11,Предпосылки!$I$203,),0),L110/(1+IFERROR(INDEX(L$10:L$11,Предпосылки!$I$204,),0))*IFERROR(INDEX(L$10:L$11,Предпосылки!$I$204,),0),L133/(1+IFERROR(INDEX(L$10:L$11,Предпосылки!$I$205,),0))*IFERROR(INDEX(L$10:L$11,Предпосылки!$I$205,),0),L156/(1+IFERROR(INDEX(L$10:L$11,Предпосылки!$I$206,),0))*IFERROR(INDEX(L$10:L$11,Предпосылки!$I$206,),0),L179/(1+IFERROR(INDEX(L$10:L$11,Предпосылки!$I$207,),0))*IFERROR(INDEX(L$10:L$11,Предпосылки!$I$207,),0),L202/(1+IFERROR(INDEX(L$10:L$11,Предпосылки!$I$208,),0))*IFERROR(INDEX(L$10:L$11,Предпосылки!$I$208,),0),L225/(1+IFERROR(INDEX(L$10:L$11,Предпосылки!$I$209,),0))*IFERROR(INDEX(L$10:L$11,Предпосылки!$I$209,),0),L248/(1+IFERROR(INDEX(L$10:L$11,Предпосылки!$I$210,),0))*IFERROR(INDEX(L$10:L$11,Предпосылки!$I$210,),0),L271/(1+IFERROR(INDEX(L$10:L$11,Предпосылки!$I$211,),0))*IFERROR(INDEX(L$10:L$11,Предпосылки!$I$211,),0),L294/(1+IFERROR(INDEX(L$10:L$11,Предпосылки!$I$212,),0))*IFERROR(INDEX(L$10:L$11,Предпосылки!$I$212,),0),L317/(1+IFERROR(INDEX(L$10:L$11,Предпосылки!$I$213,),0))*IFERROR(INDEX(L$10:L$11,Предпосылки!$I$213,),0),L340/(1+IFERROR(INDEX(L$10:L$11,Предпосылки!$I$214,),0))*IFERROR(INDEX(L$10:L$11,Предпосылки!$I$214,),0),L363/(1+IFERROR(INDEX(L$10:L$11,Предпосылки!$I$215,),0))*IFERROR(INDEX(L$10:L$11,Предпосылки!$I$215,),0),L386/(1+IFERROR(INDEX(L$10:L$11,Предпосылки!$I$216,),0))*IFERROR(INDEX(L$10:L$11,Предпосылки!$I$216,),0),L409/(1+IFERROR(INDEX(L$10:L$11,Предпосылки!$I$217,),0))*IFERROR(INDEX(L$10:L$11,Предпосылки!$I$217,),0),L432/(1+IFERROR(INDEX(L$10:L$11,Предпосылки!$I$218,),0))*IFERROR(INDEX(L$10:L$11,Предпосылки!$I$218,),0),L455/(1+IFERROR(INDEX(L$10:L$11,Предпосылки!$I$219,),0))*IFERROR(INDEX(L$10:L$11,Предпосылки!$I$219,),0),L478/(1+IFERROR(INDEX(L$10:L$11,Предпосылки!$I$220,),0))*IFERROR(INDEX(L$10:L$11,Предпосылки!$I$220,),0))</f>
        <v>0</v>
      </c>
      <c s="125">
        <f>SUM(M41/(1+IFERROR(INDEX(M$10:M$11,Предпосылки!$I$201,),0))*IFERROR(INDEX(M$10:M$11,Предпосылки!$I$201,),0),M64/(1+IFERROR(INDEX(M$10:M$11,Предпосылки!$I$202,),0))*IFERROR(INDEX(M$10:M$11,Предпосылки!$I$202,),0),M87/(1+IFERROR(INDEX(M$10:M$11,Предпосылки!$I$203,),0))*IFERROR(INDEX(M$10:M$11,Предпосылки!$I$203,),0),M110/(1+IFERROR(INDEX(M$10:M$11,Предпосылки!$I$204,),0))*IFERROR(INDEX(M$10:M$11,Предпосылки!$I$204,),0),M133/(1+IFERROR(INDEX(M$10:M$11,Предпосылки!$I$205,),0))*IFERROR(INDEX(M$10:M$11,Предпосылки!$I$205,),0),M156/(1+IFERROR(INDEX(M$10:M$11,Предпосылки!$I$206,),0))*IFERROR(INDEX(M$10:M$11,Предпосылки!$I$206,),0),M179/(1+IFERROR(INDEX(M$10:M$11,Предпосылки!$I$207,),0))*IFERROR(INDEX(M$10:M$11,Предпосылки!$I$207,),0),M202/(1+IFERROR(INDEX(M$10:M$11,Предпосылки!$I$208,),0))*IFERROR(INDEX(M$10:M$11,Предпосылки!$I$208,),0),M225/(1+IFERROR(INDEX(M$10:M$11,Предпосылки!$I$209,),0))*IFERROR(INDEX(M$10:M$11,Предпосылки!$I$209,),0),M248/(1+IFERROR(INDEX(M$10:M$11,Предпосылки!$I$210,),0))*IFERROR(INDEX(M$10:M$11,Предпосылки!$I$210,),0),M271/(1+IFERROR(INDEX(M$10:M$11,Предпосылки!$I$211,),0))*IFERROR(INDEX(M$10:M$11,Предпосылки!$I$211,),0),M294/(1+IFERROR(INDEX(M$10:M$11,Предпосылки!$I$212,),0))*IFERROR(INDEX(M$10:M$11,Предпосылки!$I$212,),0),M317/(1+IFERROR(INDEX(M$10:M$11,Предпосылки!$I$213,),0))*IFERROR(INDEX(M$10:M$11,Предпосылки!$I$213,),0),M340/(1+IFERROR(INDEX(M$10:M$11,Предпосылки!$I$214,),0))*IFERROR(INDEX(M$10:M$11,Предпосылки!$I$214,),0),M363/(1+IFERROR(INDEX(M$10:M$11,Предпосылки!$I$215,),0))*IFERROR(INDEX(M$10:M$11,Предпосылки!$I$215,),0),M386/(1+IFERROR(INDEX(M$10:M$11,Предпосылки!$I$216,),0))*IFERROR(INDEX(M$10:M$11,Предпосылки!$I$216,),0),M409/(1+IFERROR(INDEX(M$10:M$11,Предпосылки!$I$217,),0))*IFERROR(INDEX(M$10:M$11,Предпосылки!$I$217,),0),M432/(1+IFERROR(INDEX(M$10:M$11,Предпосылки!$I$218,),0))*IFERROR(INDEX(M$10:M$11,Предпосылки!$I$218,),0),M455/(1+IFERROR(INDEX(M$10:M$11,Предпосылки!$I$219,),0))*IFERROR(INDEX(M$10:M$11,Предпосылки!$I$219,),0),M478/(1+IFERROR(INDEX(M$10:M$11,Предпосылки!$I$220,),0))*IFERROR(INDEX(M$10:M$11,Предпосылки!$I$220,),0))</f>
        <v>0</v>
      </c>
      <c s="125">
        <f>SUM(N41/(1+IFERROR(INDEX(N$10:N$11,Предпосылки!$I$201,),0))*IFERROR(INDEX(N$10:N$11,Предпосылки!$I$201,),0),N64/(1+IFERROR(INDEX(N$10:N$11,Предпосылки!$I$202,),0))*IFERROR(INDEX(N$10:N$11,Предпосылки!$I$202,),0),N87/(1+IFERROR(INDEX(N$10:N$11,Предпосылки!$I$203,),0))*IFERROR(INDEX(N$10:N$11,Предпосылки!$I$203,),0),N110/(1+IFERROR(INDEX(N$10:N$11,Предпосылки!$I$204,),0))*IFERROR(INDEX(N$10:N$11,Предпосылки!$I$204,),0),N133/(1+IFERROR(INDEX(N$10:N$11,Предпосылки!$I$205,),0))*IFERROR(INDEX(N$10:N$11,Предпосылки!$I$205,),0),N156/(1+IFERROR(INDEX(N$10:N$11,Предпосылки!$I$206,),0))*IFERROR(INDEX(N$10:N$11,Предпосылки!$I$206,),0),N179/(1+IFERROR(INDEX(N$10:N$11,Предпосылки!$I$207,),0))*IFERROR(INDEX(N$10:N$11,Предпосылки!$I$207,),0),N202/(1+IFERROR(INDEX(N$10:N$11,Предпосылки!$I$208,),0))*IFERROR(INDEX(N$10:N$11,Предпосылки!$I$208,),0),N225/(1+IFERROR(INDEX(N$10:N$11,Предпосылки!$I$209,),0))*IFERROR(INDEX(N$10:N$11,Предпосылки!$I$209,),0),N248/(1+IFERROR(INDEX(N$10:N$11,Предпосылки!$I$210,),0))*IFERROR(INDEX(N$10:N$11,Предпосылки!$I$210,),0),N271/(1+IFERROR(INDEX(N$10:N$11,Предпосылки!$I$211,),0))*IFERROR(INDEX(N$10:N$11,Предпосылки!$I$211,),0),N294/(1+IFERROR(INDEX(N$10:N$11,Предпосылки!$I$212,),0))*IFERROR(INDEX(N$10:N$11,Предпосылки!$I$212,),0),N317/(1+IFERROR(INDEX(N$10:N$11,Предпосылки!$I$213,),0))*IFERROR(INDEX(N$10:N$11,Предпосылки!$I$213,),0),N340/(1+IFERROR(INDEX(N$10:N$11,Предпосылки!$I$214,),0))*IFERROR(INDEX(N$10:N$11,Предпосылки!$I$214,),0),N363/(1+IFERROR(INDEX(N$10:N$11,Предпосылки!$I$215,),0))*IFERROR(INDEX(N$10:N$11,Предпосылки!$I$215,),0),N386/(1+IFERROR(INDEX(N$10:N$11,Предпосылки!$I$216,),0))*IFERROR(INDEX(N$10:N$11,Предпосылки!$I$216,),0),N409/(1+IFERROR(INDEX(N$10:N$11,Предпосылки!$I$217,),0))*IFERROR(INDEX(N$10:N$11,Предпосылки!$I$217,),0),N432/(1+IFERROR(INDEX(N$10:N$11,Предпосылки!$I$218,),0))*IFERROR(INDEX(N$10:N$11,Предпосылки!$I$218,),0),N455/(1+IFERROR(INDEX(N$10:N$11,Предпосылки!$I$219,),0))*IFERROR(INDEX(N$10:N$11,Предпосылки!$I$219,),0),N478/(1+IFERROR(INDEX(N$10:N$11,Предпосылки!$I$220,),0))*IFERROR(INDEX(N$10:N$11,Предпосылки!$I$220,),0))</f>
        <v>0</v>
      </c>
      <c s="125">
        <f>SUM(O41/(1+IFERROR(INDEX(O$10:O$11,Предпосылки!$I$201,),0))*IFERROR(INDEX(O$10:O$11,Предпосылки!$I$201,),0),O64/(1+IFERROR(INDEX(O$10:O$11,Предпосылки!$I$202,),0))*IFERROR(INDEX(O$10:O$11,Предпосылки!$I$202,),0),O87/(1+IFERROR(INDEX(O$10:O$11,Предпосылки!$I$203,),0))*IFERROR(INDEX(O$10:O$11,Предпосылки!$I$203,),0),O110/(1+IFERROR(INDEX(O$10:O$11,Предпосылки!$I$204,),0))*IFERROR(INDEX(O$10:O$11,Предпосылки!$I$204,),0),O133/(1+IFERROR(INDEX(O$10:O$11,Предпосылки!$I$205,),0))*IFERROR(INDEX(O$10:O$11,Предпосылки!$I$205,),0),O156/(1+IFERROR(INDEX(O$10:O$11,Предпосылки!$I$206,),0))*IFERROR(INDEX(O$10:O$11,Предпосылки!$I$206,),0),O179/(1+IFERROR(INDEX(O$10:O$11,Предпосылки!$I$207,),0))*IFERROR(INDEX(O$10:O$11,Предпосылки!$I$207,),0),O202/(1+IFERROR(INDEX(O$10:O$11,Предпосылки!$I$208,),0))*IFERROR(INDEX(O$10:O$11,Предпосылки!$I$208,),0),O225/(1+IFERROR(INDEX(O$10:O$11,Предпосылки!$I$209,),0))*IFERROR(INDEX(O$10:O$11,Предпосылки!$I$209,),0),O248/(1+IFERROR(INDEX(O$10:O$11,Предпосылки!$I$210,),0))*IFERROR(INDEX(O$10:O$11,Предпосылки!$I$210,),0),O271/(1+IFERROR(INDEX(O$10:O$11,Предпосылки!$I$211,),0))*IFERROR(INDEX(O$10:O$11,Предпосылки!$I$211,),0),O294/(1+IFERROR(INDEX(O$10:O$11,Предпосылки!$I$212,),0))*IFERROR(INDEX(O$10:O$11,Предпосылки!$I$212,),0),O317/(1+IFERROR(INDEX(O$10:O$11,Предпосылки!$I$213,),0))*IFERROR(INDEX(O$10:O$11,Предпосылки!$I$213,),0),O340/(1+IFERROR(INDEX(O$10:O$11,Предпосылки!$I$214,),0))*IFERROR(INDEX(O$10:O$11,Предпосылки!$I$214,),0),O363/(1+IFERROR(INDEX(O$10:O$11,Предпосылки!$I$215,),0))*IFERROR(INDEX(O$10:O$11,Предпосылки!$I$215,),0),O386/(1+IFERROR(INDEX(O$10:O$11,Предпосылки!$I$216,),0))*IFERROR(INDEX(O$10:O$11,Предпосылки!$I$216,),0),O409/(1+IFERROR(INDEX(O$10:O$11,Предпосылки!$I$217,),0))*IFERROR(INDEX(O$10:O$11,Предпосылки!$I$217,),0),O432/(1+IFERROR(INDEX(O$10:O$11,Предпосылки!$I$218,),0))*IFERROR(INDEX(O$10:O$11,Предпосылки!$I$218,),0),O455/(1+IFERROR(INDEX(O$10:O$11,Предпосылки!$I$219,),0))*IFERROR(INDEX(O$10:O$11,Предпосылки!$I$219,),0),O478/(1+IFERROR(INDEX(O$10:O$11,Предпосылки!$I$220,),0))*IFERROR(INDEX(O$10:O$11,Предпосылки!$I$220,),0))</f>
        <v>0</v>
      </c>
      <c s="125">
        <f>SUM(P41/(1+IFERROR(INDEX(P$10:P$11,Предпосылки!$I$201,),0))*IFERROR(INDEX(P$10:P$11,Предпосылки!$I$201,),0),P64/(1+IFERROR(INDEX(P$10:P$11,Предпосылки!$I$202,),0))*IFERROR(INDEX(P$10:P$11,Предпосылки!$I$202,),0),P87/(1+IFERROR(INDEX(P$10:P$11,Предпосылки!$I$203,),0))*IFERROR(INDEX(P$10:P$11,Предпосылки!$I$203,),0),P110/(1+IFERROR(INDEX(P$10:P$11,Предпосылки!$I$204,),0))*IFERROR(INDEX(P$10:P$11,Предпосылки!$I$204,),0),P133/(1+IFERROR(INDEX(P$10:P$11,Предпосылки!$I$205,),0))*IFERROR(INDEX(P$10:P$11,Предпосылки!$I$205,),0),P156/(1+IFERROR(INDEX(P$10:P$11,Предпосылки!$I$206,),0))*IFERROR(INDEX(P$10:P$11,Предпосылки!$I$206,),0),P179/(1+IFERROR(INDEX(P$10:P$11,Предпосылки!$I$207,),0))*IFERROR(INDEX(P$10:P$11,Предпосылки!$I$207,),0),P202/(1+IFERROR(INDEX(P$10:P$11,Предпосылки!$I$208,),0))*IFERROR(INDEX(P$10:P$11,Предпосылки!$I$208,),0),P225/(1+IFERROR(INDEX(P$10:P$11,Предпосылки!$I$209,),0))*IFERROR(INDEX(P$10:P$11,Предпосылки!$I$209,),0),P248/(1+IFERROR(INDEX(P$10:P$11,Предпосылки!$I$210,),0))*IFERROR(INDEX(P$10:P$11,Предпосылки!$I$210,),0),P271/(1+IFERROR(INDEX(P$10:P$11,Предпосылки!$I$211,),0))*IFERROR(INDEX(P$10:P$11,Предпосылки!$I$211,),0),P294/(1+IFERROR(INDEX(P$10:P$11,Предпосылки!$I$212,),0))*IFERROR(INDEX(P$10:P$11,Предпосылки!$I$212,),0),P317/(1+IFERROR(INDEX(P$10:P$11,Предпосылки!$I$213,),0))*IFERROR(INDEX(P$10:P$11,Предпосылки!$I$213,),0),P340/(1+IFERROR(INDEX(P$10:P$11,Предпосылки!$I$214,),0))*IFERROR(INDEX(P$10:P$11,Предпосылки!$I$214,),0),P363/(1+IFERROR(INDEX(P$10:P$11,Предпосылки!$I$215,),0))*IFERROR(INDEX(P$10:P$11,Предпосылки!$I$215,),0),P386/(1+IFERROR(INDEX(P$10:P$11,Предпосылки!$I$216,),0))*IFERROR(INDEX(P$10:P$11,Предпосылки!$I$216,),0),P409/(1+IFERROR(INDEX(P$10:P$11,Предпосылки!$I$217,),0))*IFERROR(INDEX(P$10:P$11,Предпосылки!$I$217,),0),P432/(1+IFERROR(INDEX(P$10:P$11,Предпосылки!$I$218,),0))*IFERROR(INDEX(P$10:P$11,Предпосылки!$I$218,),0),P455/(1+IFERROR(INDEX(P$10:P$11,Предпосылки!$I$219,),0))*IFERROR(INDEX(P$10:P$11,Предпосылки!$I$219,),0),P478/(1+IFERROR(INDEX(P$10:P$11,Предпосылки!$I$220,),0))*IFERROR(INDEX(P$10:P$11,Предпосылки!$I$220,),0))</f>
        <v>0</v>
      </c>
      <c s="125">
        <f>SUM(Q41/(1+IFERROR(INDEX(Q$10:Q$11,Предпосылки!$I$201,),0))*IFERROR(INDEX(Q$10:Q$11,Предпосылки!$I$201,),0),Q64/(1+IFERROR(INDEX(Q$10:Q$11,Предпосылки!$I$202,),0))*IFERROR(INDEX(Q$10:Q$11,Предпосылки!$I$202,),0),Q87/(1+IFERROR(INDEX(Q$10:Q$11,Предпосылки!$I$203,),0))*IFERROR(INDEX(Q$10:Q$11,Предпосылки!$I$203,),0),Q110/(1+IFERROR(INDEX(Q$10:Q$11,Предпосылки!$I$204,),0))*IFERROR(INDEX(Q$10:Q$11,Предпосылки!$I$204,),0),Q133/(1+IFERROR(INDEX(Q$10:Q$11,Предпосылки!$I$205,),0))*IFERROR(INDEX(Q$10:Q$11,Предпосылки!$I$205,),0),Q156/(1+IFERROR(INDEX(Q$10:Q$11,Предпосылки!$I$206,),0))*IFERROR(INDEX(Q$10:Q$11,Предпосылки!$I$206,),0),Q179/(1+IFERROR(INDEX(Q$10:Q$11,Предпосылки!$I$207,),0))*IFERROR(INDEX(Q$10:Q$11,Предпосылки!$I$207,),0),Q202/(1+IFERROR(INDEX(Q$10:Q$11,Предпосылки!$I$208,),0))*IFERROR(INDEX(Q$10:Q$11,Предпосылки!$I$208,),0),Q225/(1+IFERROR(INDEX(Q$10:Q$11,Предпосылки!$I$209,),0))*IFERROR(INDEX(Q$10:Q$11,Предпосылки!$I$209,),0),Q248/(1+IFERROR(INDEX(Q$10:Q$11,Предпосылки!$I$210,),0))*IFERROR(INDEX(Q$10:Q$11,Предпосылки!$I$210,),0),Q271/(1+IFERROR(INDEX(Q$10:Q$11,Предпосылки!$I$211,),0))*IFERROR(INDEX(Q$10:Q$11,Предпосылки!$I$211,),0),Q294/(1+IFERROR(INDEX(Q$10:Q$11,Предпосылки!$I$212,),0))*IFERROR(INDEX(Q$10:Q$11,Предпосылки!$I$212,),0),Q317/(1+IFERROR(INDEX(Q$10:Q$11,Предпосылки!$I$213,),0))*IFERROR(INDEX(Q$10:Q$11,Предпосылки!$I$213,),0),Q340/(1+IFERROR(INDEX(Q$10:Q$11,Предпосылки!$I$214,),0))*IFERROR(INDEX(Q$10:Q$11,Предпосылки!$I$214,),0),Q363/(1+IFERROR(INDEX(Q$10:Q$11,Предпосылки!$I$215,),0))*IFERROR(INDEX(Q$10:Q$11,Предпосылки!$I$215,),0),Q386/(1+IFERROR(INDEX(Q$10:Q$11,Предпосылки!$I$216,),0))*IFERROR(INDEX(Q$10:Q$11,Предпосылки!$I$216,),0),Q409/(1+IFERROR(INDEX(Q$10:Q$11,Предпосылки!$I$217,),0))*IFERROR(INDEX(Q$10:Q$11,Предпосылки!$I$217,),0),Q432/(1+IFERROR(INDEX(Q$10:Q$11,Предпосылки!$I$218,),0))*IFERROR(INDEX(Q$10:Q$11,Предпосылки!$I$218,),0),Q455/(1+IFERROR(INDEX(Q$10:Q$11,Предпосылки!$I$219,),0))*IFERROR(INDEX(Q$10:Q$11,Предпосылки!$I$219,),0),Q478/(1+IFERROR(INDEX(Q$10:Q$11,Предпосылки!$I$220,),0))*IFERROR(INDEX(Q$10:Q$11,Предпосылки!$I$220,),0))</f>
        <v>0</v>
      </c>
      <c s="125">
        <f>SUM(R41/(1+IFERROR(INDEX(R$10:R$11,Предпосылки!$I$201,),0))*IFERROR(INDEX(R$10:R$11,Предпосылки!$I$201,),0),R64/(1+IFERROR(INDEX(R$10:R$11,Предпосылки!$I$202,),0))*IFERROR(INDEX(R$10:R$11,Предпосылки!$I$202,),0),R87/(1+IFERROR(INDEX(R$10:R$11,Предпосылки!$I$203,),0))*IFERROR(INDEX(R$10:R$11,Предпосылки!$I$203,),0),R110/(1+IFERROR(INDEX(R$10:R$11,Предпосылки!$I$204,),0))*IFERROR(INDEX(R$10:R$11,Предпосылки!$I$204,),0),R133/(1+IFERROR(INDEX(R$10:R$11,Предпосылки!$I$205,),0))*IFERROR(INDEX(R$10:R$11,Предпосылки!$I$205,),0),R156/(1+IFERROR(INDEX(R$10:R$11,Предпосылки!$I$206,),0))*IFERROR(INDEX(R$10:R$11,Предпосылки!$I$206,),0),R179/(1+IFERROR(INDEX(R$10:R$11,Предпосылки!$I$207,),0))*IFERROR(INDEX(R$10:R$11,Предпосылки!$I$207,),0),R202/(1+IFERROR(INDEX(R$10:R$11,Предпосылки!$I$208,),0))*IFERROR(INDEX(R$10:R$11,Предпосылки!$I$208,),0),R225/(1+IFERROR(INDEX(R$10:R$11,Предпосылки!$I$209,),0))*IFERROR(INDEX(R$10:R$11,Предпосылки!$I$209,),0),R248/(1+IFERROR(INDEX(R$10:R$11,Предпосылки!$I$210,),0))*IFERROR(INDEX(R$10:R$11,Предпосылки!$I$210,),0),R271/(1+IFERROR(INDEX(R$10:R$11,Предпосылки!$I$211,),0))*IFERROR(INDEX(R$10:R$11,Предпосылки!$I$211,),0),R294/(1+IFERROR(INDEX(R$10:R$11,Предпосылки!$I$212,),0))*IFERROR(INDEX(R$10:R$11,Предпосылки!$I$212,),0),R317/(1+IFERROR(INDEX(R$10:R$11,Предпосылки!$I$213,),0))*IFERROR(INDEX(R$10:R$11,Предпосылки!$I$213,),0),R340/(1+IFERROR(INDEX(R$10:R$11,Предпосылки!$I$214,),0))*IFERROR(INDEX(R$10:R$11,Предпосылки!$I$214,),0),R363/(1+IFERROR(INDEX(R$10:R$11,Предпосылки!$I$215,),0))*IFERROR(INDEX(R$10:R$11,Предпосылки!$I$215,),0),R386/(1+IFERROR(INDEX(R$10:R$11,Предпосылки!$I$216,),0))*IFERROR(INDEX(R$10:R$11,Предпосылки!$I$216,),0),R409/(1+IFERROR(INDEX(R$10:R$11,Предпосылки!$I$217,),0))*IFERROR(INDEX(R$10:R$11,Предпосылки!$I$217,),0),R432/(1+IFERROR(INDEX(R$10:R$11,Предпосылки!$I$218,),0))*IFERROR(INDEX(R$10:R$11,Предпосылки!$I$218,),0),R455/(1+IFERROR(INDEX(R$10:R$11,Предпосылки!$I$219,),0))*IFERROR(INDEX(R$10:R$11,Предпосылки!$I$219,),0),R478/(1+IFERROR(INDEX(R$10:R$11,Предпосылки!$I$220,),0))*IFERROR(INDEX(R$10:R$11,Предпосылки!$I$220,),0))</f>
        <v>0</v>
      </c>
      <c s="125">
        <f>SUM(S41/(1+IFERROR(INDEX(S$10:S$11,Предпосылки!$I$201,),0))*IFERROR(INDEX(S$10:S$11,Предпосылки!$I$201,),0),S64/(1+IFERROR(INDEX(S$10:S$11,Предпосылки!$I$202,),0))*IFERROR(INDEX(S$10:S$11,Предпосылки!$I$202,),0),S87/(1+IFERROR(INDEX(S$10:S$11,Предпосылки!$I$203,),0))*IFERROR(INDEX(S$10:S$11,Предпосылки!$I$203,),0),S110/(1+IFERROR(INDEX(S$10:S$11,Предпосылки!$I$204,),0))*IFERROR(INDEX(S$10:S$11,Предпосылки!$I$204,),0),S133/(1+IFERROR(INDEX(S$10:S$11,Предпосылки!$I$205,),0))*IFERROR(INDEX(S$10:S$11,Предпосылки!$I$205,),0),S156/(1+IFERROR(INDEX(S$10:S$11,Предпосылки!$I$206,),0))*IFERROR(INDEX(S$10:S$11,Предпосылки!$I$206,),0),S179/(1+IFERROR(INDEX(S$10:S$11,Предпосылки!$I$207,),0))*IFERROR(INDEX(S$10:S$11,Предпосылки!$I$207,),0),S202/(1+IFERROR(INDEX(S$10:S$11,Предпосылки!$I$208,),0))*IFERROR(INDEX(S$10:S$11,Предпосылки!$I$208,),0),S225/(1+IFERROR(INDEX(S$10:S$11,Предпосылки!$I$209,),0))*IFERROR(INDEX(S$10:S$11,Предпосылки!$I$209,),0),S248/(1+IFERROR(INDEX(S$10:S$11,Предпосылки!$I$210,),0))*IFERROR(INDEX(S$10:S$11,Предпосылки!$I$210,),0),S271/(1+IFERROR(INDEX(S$10:S$11,Предпосылки!$I$211,),0))*IFERROR(INDEX(S$10:S$11,Предпосылки!$I$211,),0),S294/(1+IFERROR(INDEX(S$10:S$11,Предпосылки!$I$212,),0))*IFERROR(INDEX(S$10:S$11,Предпосылки!$I$212,),0),S317/(1+IFERROR(INDEX(S$10:S$11,Предпосылки!$I$213,),0))*IFERROR(INDEX(S$10:S$11,Предпосылки!$I$213,),0),S340/(1+IFERROR(INDEX(S$10:S$11,Предпосылки!$I$214,),0))*IFERROR(INDEX(S$10:S$11,Предпосылки!$I$214,),0),S363/(1+IFERROR(INDEX(S$10:S$11,Предпосылки!$I$215,),0))*IFERROR(INDEX(S$10:S$11,Предпосылки!$I$215,),0),S386/(1+IFERROR(INDEX(S$10:S$11,Предпосылки!$I$216,),0))*IFERROR(INDEX(S$10:S$11,Предпосылки!$I$216,),0),S409/(1+IFERROR(INDEX(S$10:S$11,Предпосылки!$I$217,),0))*IFERROR(INDEX(S$10:S$11,Предпосылки!$I$217,),0),S432/(1+IFERROR(INDEX(S$10:S$11,Предпосылки!$I$218,),0))*IFERROR(INDEX(S$10:S$11,Предпосылки!$I$218,),0),S455/(1+IFERROR(INDEX(S$10:S$11,Предпосылки!$I$219,),0))*IFERROR(INDEX(S$10:S$11,Предпосылки!$I$219,),0),S478/(1+IFERROR(INDEX(S$10:S$11,Предпосылки!$I$220,),0))*IFERROR(INDEX(S$10:S$11,Предпосылки!$I$220,),0))</f>
        <v>0</v>
      </c>
      <c s="125">
        <f>SUM(T41/(1+IFERROR(INDEX(T$10:T$11,Предпосылки!$I$201,),0))*IFERROR(INDEX(T$10:T$11,Предпосылки!$I$201,),0),T64/(1+IFERROR(INDEX(T$10:T$11,Предпосылки!$I$202,),0))*IFERROR(INDEX(T$10:T$11,Предпосылки!$I$202,),0),T87/(1+IFERROR(INDEX(T$10:T$11,Предпосылки!$I$203,),0))*IFERROR(INDEX(T$10:T$11,Предпосылки!$I$203,),0),T110/(1+IFERROR(INDEX(T$10:T$11,Предпосылки!$I$204,),0))*IFERROR(INDEX(T$10:T$11,Предпосылки!$I$204,),0),T133/(1+IFERROR(INDEX(T$10:T$11,Предпосылки!$I$205,),0))*IFERROR(INDEX(T$10:T$11,Предпосылки!$I$205,),0),T156/(1+IFERROR(INDEX(T$10:T$11,Предпосылки!$I$206,),0))*IFERROR(INDEX(T$10:T$11,Предпосылки!$I$206,),0),T179/(1+IFERROR(INDEX(T$10:T$11,Предпосылки!$I$207,),0))*IFERROR(INDEX(T$10:T$11,Предпосылки!$I$207,),0),T202/(1+IFERROR(INDEX(T$10:T$11,Предпосылки!$I$208,),0))*IFERROR(INDEX(T$10:T$11,Предпосылки!$I$208,),0),T225/(1+IFERROR(INDEX(T$10:T$11,Предпосылки!$I$209,),0))*IFERROR(INDEX(T$10:T$11,Предпосылки!$I$209,),0),T248/(1+IFERROR(INDEX(T$10:T$11,Предпосылки!$I$210,),0))*IFERROR(INDEX(T$10:T$11,Предпосылки!$I$210,),0),T271/(1+IFERROR(INDEX(T$10:T$11,Предпосылки!$I$211,),0))*IFERROR(INDEX(T$10:T$11,Предпосылки!$I$211,),0),T294/(1+IFERROR(INDEX(T$10:T$11,Предпосылки!$I$212,),0))*IFERROR(INDEX(T$10:T$11,Предпосылки!$I$212,),0),T317/(1+IFERROR(INDEX(T$10:T$11,Предпосылки!$I$213,),0))*IFERROR(INDEX(T$10:T$11,Предпосылки!$I$213,),0),T340/(1+IFERROR(INDEX(T$10:T$11,Предпосылки!$I$214,),0))*IFERROR(INDEX(T$10:T$11,Предпосылки!$I$214,),0),T363/(1+IFERROR(INDEX(T$10:T$11,Предпосылки!$I$215,),0))*IFERROR(INDEX(T$10:T$11,Предпосылки!$I$215,),0),T386/(1+IFERROR(INDEX(T$10:T$11,Предпосылки!$I$216,),0))*IFERROR(INDEX(T$10:T$11,Предпосылки!$I$216,),0),T409/(1+IFERROR(INDEX(T$10:T$11,Предпосылки!$I$217,),0))*IFERROR(INDEX(T$10:T$11,Предпосылки!$I$217,),0),T432/(1+IFERROR(INDEX(T$10:T$11,Предпосылки!$I$218,),0))*IFERROR(INDEX(T$10:T$11,Предпосылки!$I$218,),0),T455/(1+IFERROR(INDEX(T$10:T$11,Предпосылки!$I$219,),0))*IFERROR(INDEX(T$10:T$11,Предпосылки!$I$219,),0),T478/(1+IFERROR(INDEX(T$10:T$11,Предпосылки!$I$220,),0))*IFERROR(INDEX(T$10:T$11,Предпосылки!$I$220,),0))</f>
        <v>0</v>
      </c>
      <c s="125">
        <f>SUM(U41/(1+IFERROR(INDEX(U$10:U$11,Предпосылки!$I$201,),0))*IFERROR(INDEX(U$10:U$11,Предпосылки!$I$201,),0),U64/(1+IFERROR(INDEX(U$10:U$11,Предпосылки!$I$202,),0))*IFERROR(INDEX(U$10:U$11,Предпосылки!$I$202,),0),U87/(1+IFERROR(INDEX(U$10:U$11,Предпосылки!$I$203,),0))*IFERROR(INDEX(U$10:U$11,Предпосылки!$I$203,),0),U110/(1+IFERROR(INDEX(U$10:U$11,Предпосылки!$I$204,),0))*IFERROR(INDEX(U$10:U$11,Предпосылки!$I$204,),0),U133/(1+IFERROR(INDEX(U$10:U$11,Предпосылки!$I$205,),0))*IFERROR(INDEX(U$10:U$11,Предпосылки!$I$205,),0),U156/(1+IFERROR(INDEX(U$10:U$11,Предпосылки!$I$206,),0))*IFERROR(INDEX(U$10:U$11,Предпосылки!$I$206,),0),U179/(1+IFERROR(INDEX(U$10:U$11,Предпосылки!$I$207,),0))*IFERROR(INDEX(U$10:U$11,Предпосылки!$I$207,),0),U202/(1+IFERROR(INDEX(U$10:U$11,Предпосылки!$I$208,),0))*IFERROR(INDEX(U$10:U$11,Предпосылки!$I$208,),0),U225/(1+IFERROR(INDEX(U$10:U$11,Предпосылки!$I$209,),0))*IFERROR(INDEX(U$10:U$11,Предпосылки!$I$209,),0),U248/(1+IFERROR(INDEX(U$10:U$11,Предпосылки!$I$210,),0))*IFERROR(INDEX(U$10:U$11,Предпосылки!$I$210,),0),U271/(1+IFERROR(INDEX(U$10:U$11,Предпосылки!$I$211,),0))*IFERROR(INDEX(U$10:U$11,Предпосылки!$I$211,),0),U294/(1+IFERROR(INDEX(U$10:U$11,Предпосылки!$I$212,),0))*IFERROR(INDEX(U$10:U$11,Предпосылки!$I$212,),0),U317/(1+IFERROR(INDEX(U$10:U$11,Предпосылки!$I$213,),0))*IFERROR(INDEX(U$10:U$11,Предпосылки!$I$213,),0),U340/(1+IFERROR(INDEX(U$10:U$11,Предпосылки!$I$214,),0))*IFERROR(INDEX(U$10:U$11,Предпосылки!$I$214,),0),U363/(1+IFERROR(INDEX(U$10:U$11,Предпосылки!$I$215,),0))*IFERROR(INDEX(U$10:U$11,Предпосылки!$I$215,),0),U386/(1+IFERROR(INDEX(U$10:U$11,Предпосылки!$I$216,),0))*IFERROR(INDEX(U$10:U$11,Предпосылки!$I$216,),0),U409/(1+IFERROR(INDEX(U$10:U$11,Предпосылки!$I$217,),0))*IFERROR(INDEX(U$10:U$11,Предпосылки!$I$217,),0),U432/(1+IFERROR(INDEX(U$10:U$11,Предпосылки!$I$218,),0))*IFERROR(INDEX(U$10:U$11,Предпосылки!$I$218,),0),U455/(1+IFERROR(INDEX(U$10:U$11,Предпосылки!$I$219,),0))*IFERROR(INDEX(U$10:U$11,Предпосылки!$I$219,),0),U478/(1+IFERROR(INDEX(U$10:U$11,Предпосылки!$I$220,),0))*IFERROR(INDEX(U$10:U$11,Предпосылки!$I$220,),0))</f>
        <v>0</v>
      </c>
      <c s="125">
        <f>SUM(V41/(1+IFERROR(INDEX(V$10:V$11,Предпосылки!$I$201,),0))*IFERROR(INDEX(V$10:V$11,Предпосылки!$I$201,),0),V64/(1+IFERROR(INDEX(V$10:V$11,Предпосылки!$I$202,),0))*IFERROR(INDEX(V$10:V$11,Предпосылки!$I$202,),0),V87/(1+IFERROR(INDEX(V$10:V$11,Предпосылки!$I$203,),0))*IFERROR(INDEX(V$10:V$11,Предпосылки!$I$203,),0),V110/(1+IFERROR(INDEX(V$10:V$11,Предпосылки!$I$204,),0))*IFERROR(INDEX(V$10:V$11,Предпосылки!$I$204,),0),V133/(1+IFERROR(INDEX(V$10:V$11,Предпосылки!$I$205,),0))*IFERROR(INDEX(V$10:V$11,Предпосылки!$I$205,),0),V156/(1+IFERROR(INDEX(V$10:V$11,Предпосылки!$I$206,),0))*IFERROR(INDEX(V$10:V$11,Предпосылки!$I$206,),0),V179/(1+IFERROR(INDEX(V$10:V$11,Предпосылки!$I$207,),0))*IFERROR(INDEX(V$10:V$11,Предпосылки!$I$207,),0),V202/(1+IFERROR(INDEX(V$10:V$11,Предпосылки!$I$208,),0))*IFERROR(INDEX(V$10:V$11,Предпосылки!$I$208,),0),V225/(1+IFERROR(INDEX(V$10:V$11,Предпосылки!$I$209,),0))*IFERROR(INDEX(V$10:V$11,Предпосылки!$I$209,),0),V248/(1+IFERROR(INDEX(V$10:V$11,Предпосылки!$I$210,),0))*IFERROR(INDEX(V$10:V$11,Предпосылки!$I$210,),0),V271/(1+IFERROR(INDEX(V$10:V$11,Предпосылки!$I$211,),0))*IFERROR(INDEX(V$10:V$11,Предпосылки!$I$211,),0),V294/(1+IFERROR(INDEX(V$10:V$11,Предпосылки!$I$212,),0))*IFERROR(INDEX(V$10:V$11,Предпосылки!$I$212,),0),V317/(1+IFERROR(INDEX(V$10:V$11,Предпосылки!$I$213,),0))*IFERROR(INDEX(V$10:V$11,Предпосылки!$I$213,),0),V340/(1+IFERROR(INDEX(V$10:V$11,Предпосылки!$I$214,),0))*IFERROR(INDEX(V$10:V$11,Предпосылки!$I$214,),0),V363/(1+IFERROR(INDEX(V$10:V$11,Предпосылки!$I$215,),0))*IFERROR(INDEX(V$10:V$11,Предпосылки!$I$215,),0),V386/(1+IFERROR(INDEX(V$10:V$11,Предпосылки!$I$216,),0))*IFERROR(INDEX(V$10:V$11,Предпосылки!$I$216,),0),V409/(1+IFERROR(INDEX(V$10:V$11,Предпосылки!$I$217,),0))*IFERROR(INDEX(V$10:V$11,Предпосылки!$I$217,),0),V432/(1+IFERROR(INDEX(V$10:V$11,Предпосылки!$I$218,),0))*IFERROR(INDEX(V$10:V$11,Предпосылки!$I$218,),0),V455/(1+IFERROR(INDEX(V$10:V$11,Предпосылки!$I$219,),0))*IFERROR(INDEX(V$10:V$11,Предпосылки!$I$219,),0),V478/(1+IFERROR(INDEX(V$10:V$11,Предпосылки!$I$220,),0))*IFERROR(INDEX(V$10:V$11,Предпосылки!$I$220,),0))</f>
        <v>0</v>
      </c>
      <c s="125">
        <f>SUM(W41/(1+IFERROR(INDEX(W$10:W$11,Предпосылки!$I$201,),0))*IFERROR(INDEX(W$10:W$11,Предпосылки!$I$201,),0),W64/(1+IFERROR(INDEX(W$10:W$11,Предпосылки!$I$202,),0))*IFERROR(INDEX(W$10:W$11,Предпосылки!$I$202,),0),W87/(1+IFERROR(INDEX(W$10:W$11,Предпосылки!$I$203,),0))*IFERROR(INDEX(W$10:W$11,Предпосылки!$I$203,),0),W110/(1+IFERROR(INDEX(W$10:W$11,Предпосылки!$I$204,),0))*IFERROR(INDEX(W$10:W$11,Предпосылки!$I$204,),0),W133/(1+IFERROR(INDEX(W$10:W$11,Предпосылки!$I$205,),0))*IFERROR(INDEX(W$10:W$11,Предпосылки!$I$205,),0),W156/(1+IFERROR(INDEX(W$10:W$11,Предпосылки!$I$206,),0))*IFERROR(INDEX(W$10:W$11,Предпосылки!$I$206,),0),W179/(1+IFERROR(INDEX(W$10:W$11,Предпосылки!$I$207,),0))*IFERROR(INDEX(W$10:W$11,Предпосылки!$I$207,),0),W202/(1+IFERROR(INDEX(W$10:W$11,Предпосылки!$I$208,),0))*IFERROR(INDEX(W$10:W$11,Предпосылки!$I$208,),0),W225/(1+IFERROR(INDEX(W$10:W$11,Предпосылки!$I$209,),0))*IFERROR(INDEX(W$10:W$11,Предпосылки!$I$209,),0),W248/(1+IFERROR(INDEX(W$10:W$11,Предпосылки!$I$210,),0))*IFERROR(INDEX(W$10:W$11,Предпосылки!$I$210,),0),W271/(1+IFERROR(INDEX(W$10:W$11,Предпосылки!$I$211,),0))*IFERROR(INDEX(W$10:W$11,Предпосылки!$I$211,),0),W294/(1+IFERROR(INDEX(W$10:W$11,Предпосылки!$I$212,),0))*IFERROR(INDEX(W$10:W$11,Предпосылки!$I$212,),0),W317/(1+IFERROR(INDEX(W$10:W$11,Предпосылки!$I$213,),0))*IFERROR(INDEX(W$10:W$11,Предпосылки!$I$213,),0),W340/(1+IFERROR(INDEX(W$10:W$11,Предпосылки!$I$214,),0))*IFERROR(INDEX(W$10:W$11,Предпосылки!$I$214,),0),W363/(1+IFERROR(INDEX(W$10:W$11,Предпосылки!$I$215,),0))*IFERROR(INDEX(W$10:W$11,Предпосылки!$I$215,),0),W386/(1+IFERROR(INDEX(W$10:W$11,Предпосылки!$I$216,),0))*IFERROR(INDEX(W$10:W$11,Предпосылки!$I$216,),0),W409/(1+IFERROR(INDEX(W$10:W$11,Предпосылки!$I$217,),0))*IFERROR(INDEX(W$10:W$11,Предпосылки!$I$217,),0),W432/(1+IFERROR(INDEX(W$10:W$11,Предпосылки!$I$218,),0))*IFERROR(INDEX(W$10:W$11,Предпосылки!$I$218,),0),W455/(1+IFERROR(INDEX(W$10:W$11,Предпосылки!$I$219,),0))*IFERROR(INDEX(W$10:W$11,Предпосылки!$I$219,),0),W478/(1+IFERROR(INDEX(W$10:W$11,Предпосылки!$I$220,),0))*IFERROR(INDEX(W$10:W$11,Предпосылки!$I$220,),0))</f>
        <v>0</v>
      </c>
      <c s="125">
        <f>SUM(X41/(1+IFERROR(INDEX(X$10:X$11,Предпосылки!$I$201,),0))*IFERROR(INDEX(X$10:X$11,Предпосылки!$I$201,),0),X64/(1+IFERROR(INDEX(X$10:X$11,Предпосылки!$I$202,),0))*IFERROR(INDEX(X$10:X$11,Предпосылки!$I$202,),0),X87/(1+IFERROR(INDEX(X$10:X$11,Предпосылки!$I$203,),0))*IFERROR(INDEX(X$10:X$11,Предпосылки!$I$203,),0),X110/(1+IFERROR(INDEX(X$10:X$11,Предпосылки!$I$204,),0))*IFERROR(INDEX(X$10:X$11,Предпосылки!$I$204,),0),X133/(1+IFERROR(INDEX(X$10:X$11,Предпосылки!$I$205,),0))*IFERROR(INDEX(X$10:X$11,Предпосылки!$I$205,),0),X156/(1+IFERROR(INDEX(X$10:X$11,Предпосылки!$I$206,),0))*IFERROR(INDEX(X$10:X$11,Предпосылки!$I$206,),0),X179/(1+IFERROR(INDEX(X$10:X$11,Предпосылки!$I$207,),0))*IFERROR(INDEX(X$10:X$11,Предпосылки!$I$207,),0),X202/(1+IFERROR(INDEX(X$10:X$11,Предпосылки!$I$208,),0))*IFERROR(INDEX(X$10:X$11,Предпосылки!$I$208,),0),X225/(1+IFERROR(INDEX(X$10:X$11,Предпосылки!$I$209,),0))*IFERROR(INDEX(X$10:X$11,Предпосылки!$I$209,),0),X248/(1+IFERROR(INDEX(X$10:X$11,Предпосылки!$I$210,),0))*IFERROR(INDEX(X$10:X$11,Предпосылки!$I$210,),0),X271/(1+IFERROR(INDEX(X$10:X$11,Предпосылки!$I$211,),0))*IFERROR(INDEX(X$10:X$11,Предпосылки!$I$211,),0),X294/(1+IFERROR(INDEX(X$10:X$11,Предпосылки!$I$212,),0))*IFERROR(INDEX(X$10:X$11,Предпосылки!$I$212,),0),X317/(1+IFERROR(INDEX(X$10:X$11,Предпосылки!$I$213,),0))*IFERROR(INDEX(X$10:X$11,Предпосылки!$I$213,),0),X340/(1+IFERROR(INDEX(X$10:X$11,Предпосылки!$I$214,),0))*IFERROR(INDEX(X$10:X$11,Предпосылки!$I$214,),0),X363/(1+IFERROR(INDEX(X$10:X$11,Предпосылки!$I$215,),0))*IFERROR(INDEX(X$10:X$11,Предпосылки!$I$215,),0),X386/(1+IFERROR(INDEX(X$10:X$11,Предпосылки!$I$216,),0))*IFERROR(INDEX(X$10:X$11,Предпосылки!$I$216,),0),X409/(1+IFERROR(INDEX(X$10:X$11,Предпосылки!$I$217,),0))*IFERROR(INDEX(X$10:X$11,Предпосылки!$I$217,),0),X432/(1+IFERROR(INDEX(X$10:X$11,Предпосылки!$I$218,),0))*IFERROR(INDEX(X$10:X$11,Предпосылки!$I$218,),0),X455/(1+IFERROR(INDEX(X$10:X$11,Предпосылки!$I$219,),0))*IFERROR(INDEX(X$10:X$11,Предпосылки!$I$219,),0),X478/(1+IFERROR(INDEX(X$10:X$11,Предпосылки!$I$220,),0))*IFERROR(INDEX(X$10:X$11,Предпосылки!$I$220,),0))</f>
        <v>0</v>
      </c>
      <c s="125">
        <f>SUM(Y41/(1+IFERROR(INDEX(Y$10:Y$11,Предпосылки!$I$201,),0))*IFERROR(INDEX(Y$10:Y$11,Предпосылки!$I$201,),0),Y64/(1+IFERROR(INDEX(Y$10:Y$11,Предпосылки!$I$202,),0))*IFERROR(INDEX(Y$10:Y$11,Предпосылки!$I$202,),0),Y87/(1+IFERROR(INDEX(Y$10:Y$11,Предпосылки!$I$203,),0))*IFERROR(INDEX(Y$10:Y$11,Предпосылки!$I$203,),0),Y110/(1+IFERROR(INDEX(Y$10:Y$11,Предпосылки!$I$204,),0))*IFERROR(INDEX(Y$10:Y$11,Предпосылки!$I$204,),0),Y133/(1+IFERROR(INDEX(Y$10:Y$11,Предпосылки!$I$205,),0))*IFERROR(INDEX(Y$10:Y$11,Предпосылки!$I$205,),0),Y156/(1+IFERROR(INDEX(Y$10:Y$11,Предпосылки!$I$206,),0))*IFERROR(INDEX(Y$10:Y$11,Предпосылки!$I$206,),0),Y179/(1+IFERROR(INDEX(Y$10:Y$11,Предпосылки!$I$207,),0))*IFERROR(INDEX(Y$10:Y$11,Предпосылки!$I$207,),0),Y202/(1+IFERROR(INDEX(Y$10:Y$11,Предпосылки!$I$208,),0))*IFERROR(INDEX(Y$10:Y$11,Предпосылки!$I$208,),0),Y225/(1+IFERROR(INDEX(Y$10:Y$11,Предпосылки!$I$209,),0))*IFERROR(INDEX(Y$10:Y$11,Предпосылки!$I$209,),0),Y248/(1+IFERROR(INDEX(Y$10:Y$11,Предпосылки!$I$210,),0))*IFERROR(INDEX(Y$10:Y$11,Предпосылки!$I$210,),0),Y271/(1+IFERROR(INDEX(Y$10:Y$11,Предпосылки!$I$211,),0))*IFERROR(INDEX(Y$10:Y$11,Предпосылки!$I$211,),0),Y294/(1+IFERROR(INDEX(Y$10:Y$11,Предпосылки!$I$212,),0))*IFERROR(INDEX(Y$10:Y$11,Предпосылки!$I$212,),0),Y317/(1+IFERROR(INDEX(Y$10:Y$11,Предпосылки!$I$213,),0))*IFERROR(INDEX(Y$10:Y$11,Предпосылки!$I$213,),0),Y340/(1+IFERROR(INDEX(Y$10:Y$11,Предпосылки!$I$214,),0))*IFERROR(INDEX(Y$10:Y$11,Предпосылки!$I$214,),0),Y363/(1+IFERROR(INDEX(Y$10:Y$11,Предпосылки!$I$215,),0))*IFERROR(INDEX(Y$10:Y$11,Предпосылки!$I$215,),0),Y386/(1+IFERROR(INDEX(Y$10:Y$11,Предпосылки!$I$216,),0))*IFERROR(INDEX(Y$10:Y$11,Предпосылки!$I$216,),0),Y409/(1+IFERROR(INDEX(Y$10:Y$11,Предпосылки!$I$217,),0))*IFERROR(INDEX(Y$10:Y$11,Предпосылки!$I$217,),0),Y432/(1+IFERROR(INDEX(Y$10:Y$11,Предпосылки!$I$218,),0))*IFERROR(INDEX(Y$10:Y$11,Предпосылки!$I$218,),0),Y455/(1+IFERROR(INDEX(Y$10:Y$11,Предпосылки!$I$219,),0))*IFERROR(INDEX(Y$10:Y$11,Предпосылки!$I$219,),0),Y478/(1+IFERROR(INDEX(Y$10:Y$11,Предпосылки!$I$220,),0))*IFERROR(INDEX(Y$10:Y$11,Предпосылки!$I$220,),0))</f>
        <v>0</v>
      </c>
      <c s="125">
        <f>SUM(Z41/(1+IFERROR(INDEX(Z$10:Z$11,Предпосылки!$I$201,),0))*IFERROR(INDEX(Z$10:Z$11,Предпосылки!$I$201,),0),Z64/(1+IFERROR(INDEX(Z$10:Z$11,Предпосылки!$I$202,),0))*IFERROR(INDEX(Z$10:Z$11,Предпосылки!$I$202,),0),Z87/(1+IFERROR(INDEX(Z$10:Z$11,Предпосылки!$I$203,),0))*IFERROR(INDEX(Z$10:Z$11,Предпосылки!$I$203,),0),Z110/(1+IFERROR(INDEX(Z$10:Z$11,Предпосылки!$I$204,),0))*IFERROR(INDEX(Z$10:Z$11,Предпосылки!$I$204,),0),Z133/(1+IFERROR(INDEX(Z$10:Z$11,Предпосылки!$I$205,),0))*IFERROR(INDEX(Z$10:Z$11,Предпосылки!$I$205,),0),Z156/(1+IFERROR(INDEX(Z$10:Z$11,Предпосылки!$I$206,),0))*IFERROR(INDEX(Z$10:Z$11,Предпосылки!$I$206,),0),Z179/(1+IFERROR(INDEX(Z$10:Z$11,Предпосылки!$I$207,),0))*IFERROR(INDEX(Z$10:Z$11,Предпосылки!$I$207,),0),Z202/(1+IFERROR(INDEX(Z$10:Z$11,Предпосылки!$I$208,),0))*IFERROR(INDEX(Z$10:Z$11,Предпосылки!$I$208,),0),Z225/(1+IFERROR(INDEX(Z$10:Z$11,Предпосылки!$I$209,),0))*IFERROR(INDEX(Z$10:Z$11,Предпосылки!$I$209,),0),Z248/(1+IFERROR(INDEX(Z$10:Z$11,Предпосылки!$I$210,),0))*IFERROR(INDEX(Z$10:Z$11,Предпосылки!$I$210,),0),Z271/(1+IFERROR(INDEX(Z$10:Z$11,Предпосылки!$I$211,),0))*IFERROR(INDEX(Z$10:Z$11,Предпосылки!$I$211,),0),Z294/(1+IFERROR(INDEX(Z$10:Z$11,Предпосылки!$I$212,),0))*IFERROR(INDEX(Z$10:Z$11,Предпосылки!$I$212,),0),Z317/(1+IFERROR(INDEX(Z$10:Z$11,Предпосылки!$I$213,),0))*IFERROR(INDEX(Z$10:Z$11,Предпосылки!$I$213,),0),Z340/(1+IFERROR(INDEX(Z$10:Z$11,Предпосылки!$I$214,),0))*IFERROR(INDEX(Z$10:Z$11,Предпосылки!$I$214,),0),Z363/(1+IFERROR(INDEX(Z$10:Z$11,Предпосылки!$I$215,),0))*IFERROR(INDEX(Z$10:Z$11,Предпосылки!$I$215,),0),Z386/(1+IFERROR(INDEX(Z$10:Z$11,Предпосылки!$I$216,),0))*IFERROR(INDEX(Z$10:Z$11,Предпосылки!$I$216,),0),Z409/(1+IFERROR(INDEX(Z$10:Z$11,Предпосылки!$I$217,),0))*IFERROR(INDEX(Z$10:Z$11,Предпосылки!$I$217,),0),Z432/(1+IFERROR(INDEX(Z$10:Z$11,Предпосылки!$I$218,),0))*IFERROR(INDEX(Z$10:Z$11,Предпосылки!$I$218,),0),Z455/(1+IFERROR(INDEX(Z$10:Z$11,Предпосылки!$I$219,),0))*IFERROR(INDEX(Z$10:Z$11,Предпосылки!$I$219,),0),Z478/(1+IFERROR(INDEX(Z$10:Z$11,Предпосылки!$I$220,),0))*IFERROR(INDEX(Z$10:Z$11,Предпосылки!$I$220,),0))</f>
        <v>0</v>
      </c>
      <c s="125">
        <f>SUM(AA41/(1+IFERROR(INDEX(AA$10:AA$11,Предпосылки!$I$201,),0))*IFERROR(INDEX(AA$10:AA$11,Предпосылки!$I$201,),0),AA64/(1+IFERROR(INDEX(AA$10:AA$11,Предпосылки!$I$202,),0))*IFERROR(INDEX(AA$10:AA$11,Предпосылки!$I$202,),0),AA87/(1+IFERROR(INDEX(AA$10:AA$11,Предпосылки!$I$203,),0))*IFERROR(INDEX(AA$10:AA$11,Предпосылки!$I$203,),0),AA110/(1+IFERROR(INDEX(AA$10:AA$11,Предпосылки!$I$204,),0))*IFERROR(INDEX(AA$10:AA$11,Предпосылки!$I$204,),0),AA133/(1+IFERROR(INDEX(AA$10:AA$11,Предпосылки!$I$205,),0))*IFERROR(INDEX(AA$10:AA$11,Предпосылки!$I$205,),0),AA156/(1+IFERROR(INDEX(AA$10:AA$11,Предпосылки!$I$206,),0))*IFERROR(INDEX(AA$10:AA$11,Предпосылки!$I$206,),0),AA179/(1+IFERROR(INDEX(AA$10:AA$11,Предпосылки!$I$207,),0))*IFERROR(INDEX(AA$10:AA$11,Предпосылки!$I$207,),0),AA202/(1+IFERROR(INDEX(AA$10:AA$11,Предпосылки!$I$208,),0))*IFERROR(INDEX(AA$10:AA$11,Предпосылки!$I$208,),0),AA225/(1+IFERROR(INDEX(AA$10:AA$11,Предпосылки!$I$209,),0))*IFERROR(INDEX(AA$10:AA$11,Предпосылки!$I$209,),0),AA248/(1+IFERROR(INDEX(AA$10:AA$11,Предпосылки!$I$210,),0))*IFERROR(INDEX(AA$10:AA$11,Предпосылки!$I$210,),0),AA271/(1+IFERROR(INDEX(AA$10:AA$11,Предпосылки!$I$211,),0))*IFERROR(INDEX(AA$10:AA$11,Предпосылки!$I$211,),0),AA294/(1+IFERROR(INDEX(AA$10:AA$11,Предпосылки!$I$212,),0))*IFERROR(INDEX(AA$10:AA$11,Предпосылки!$I$212,),0),AA317/(1+IFERROR(INDEX(AA$10:AA$11,Предпосылки!$I$213,),0))*IFERROR(INDEX(AA$10:AA$11,Предпосылки!$I$213,),0),AA340/(1+IFERROR(INDEX(AA$10:AA$11,Предпосылки!$I$214,),0))*IFERROR(INDEX(AA$10:AA$11,Предпосылки!$I$214,),0),AA363/(1+IFERROR(INDEX(AA$10:AA$11,Предпосылки!$I$215,),0))*IFERROR(INDEX(AA$10:AA$11,Предпосылки!$I$215,),0),AA386/(1+IFERROR(INDEX(AA$10:AA$11,Предпосылки!$I$216,),0))*IFERROR(INDEX(AA$10:AA$11,Предпосылки!$I$216,),0),AA409/(1+IFERROR(INDEX(AA$10:AA$11,Предпосылки!$I$217,),0))*IFERROR(INDEX(AA$10:AA$11,Предпосылки!$I$217,),0),AA432/(1+IFERROR(INDEX(AA$10:AA$11,Предпосылки!$I$218,),0))*IFERROR(INDEX(AA$10:AA$11,Предпосылки!$I$218,),0),AA455/(1+IFERROR(INDEX(AA$10:AA$11,Предпосылки!$I$219,),0))*IFERROR(INDEX(AA$10:AA$11,Предпосылки!$I$219,),0),AA478/(1+IFERROR(INDEX(AA$10:AA$11,Предпосылки!$I$220,),0))*IFERROR(INDEX(AA$10:AA$11,Предпосылки!$I$220,),0))</f>
        <v>0</v>
      </c>
      <c s="125">
        <f>SUM(AB41/(1+IFERROR(INDEX(AB$10:AB$11,Предпосылки!$I$201,),0))*IFERROR(INDEX(AB$10:AB$11,Предпосылки!$I$201,),0),AB64/(1+IFERROR(INDEX(AB$10:AB$11,Предпосылки!$I$202,),0))*IFERROR(INDEX(AB$10:AB$11,Предпосылки!$I$202,),0),AB87/(1+IFERROR(INDEX(AB$10:AB$11,Предпосылки!$I$203,),0))*IFERROR(INDEX(AB$10:AB$11,Предпосылки!$I$203,),0),AB110/(1+IFERROR(INDEX(AB$10:AB$11,Предпосылки!$I$204,),0))*IFERROR(INDEX(AB$10:AB$11,Предпосылки!$I$204,),0),AB133/(1+IFERROR(INDEX(AB$10:AB$11,Предпосылки!$I$205,),0))*IFERROR(INDEX(AB$10:AB$11,Предпосылки!$I$205,),0),AB156/(1+IFERROR(INDEX(AB$10:AB$11,Предпосылки!$I$206,),0))*IFERROR(INDEX(AB$10:AB$11,Предпосылки!$I$206,),0),AB179/(1+IFERROR(INDEX(AB$10:AB$11,Предпосылки!$I$207,),0))*IFERROR(INDEX(AB$10:AB$11,Предпосылки!$I$207,),0),AB202/(1+IFERROR(INDEX(AB$10:AB$11,Предпосылки!$I$208,),0))*IFERROR(INDEX(AB$10:AB$11,Предпосылки!$I$208,),0),AB225/(1+IFERROR(INDEX(AB$10:AB$11,Предпосылки!$I$209,),0))*IFERROR(INDEX(AB$10:AB$11,Предпосылки!$I$209,),0),AB248/(1+IFERROR(INDEX(AB$10:AB$11,Предпосылки!$I$210,),0))*IFERROR(INDEX(AB$10:AB$11,Предпосылки!$I$210,),0),AB271/(1+IFERROR(INDEX(AB$10:AB$11,Предпосылки!$I$211,),0))*IFERROR(INDEX(AB$10:AB$11,Предпосылки!$I$211,),0),AB294/(1+IFERROR(INDEX(AB$10:AB$11,Предпосылки!$I$212,),0))*IFERROR(INDEX(AB$10:AB$11,Предпосылки!$I$212,),0),AB317/(1+IFERROR(INDEX(AB$10:AB$11,Предпосылки!$I$213,),0))*IFERROR(INDEX(AB$10:AB$11,Предпосылки!$I$213,),0),AB340/(1+IFERROR(INDEX(AB$10:AB$11,Предпосылки!$I$214,),0))*IFERROR(INDEX(AB$10:AB$11,Предпосылки!$I$214,),0),AB363/(1+IFERROR(INDEX(AB$10:AB$11,Предпосылки!$I$215,),0))*IFERROR(INDEX(AB$10:AB$11,Предпосылки!$I$215,),0),AB386/(1+IFERROR(INDEX(AB$10:AB$11,Предпосылки!$I$216,),0))*IFERROR(INDEX(AB$10:AB$11,Предпосылки!$I$216,),0),AB409/(1+IFERROR(INDEX(AB$10:AB$11,Предпосылки!$I$217,),0))*IFERROR(INDEX(AB$10:AB$11,Предпосылки!$I$217,),0),AB432/(1+IFERROR(INDEX(AB$10:AB$11,Предпосылки!$I$218,),0))*IFERROR(INDEX(AB$10:AB$11,Предпосылки!$I$218,),0),AB455/(1+IFERROR(INDEX(AB$10:AB$11,Предпосылки!$I$219,),0))*IFERROR(INDEX(AB$10:AB$11,Предпосылки!$I$219,),0),AB478/(1+IFERROR(INDEX(AB$10:AB$11,Предпосылки!$I$220,),0))*IFERROR(INDEX(AB$10:AB$11,Предпосылки!$I$220,),0))</f>
        <v>0</v>
      </c>
      <c s="125">
        <f>SUM(AC41/(1+IFERROR(INDEX(AC$10:AC$11,Предпосылки!$I$201,),0))*IFERROR(INDEX(AC$10:AC$11,Предпосылки!$I$201,),0),AC64/(1+IFERROR(INDEX(AC$10:AC$11,Предпосылки!$I$202,),0))*IFERROR(INDEX(AC$10:AC$11,Предпосылки!$I$202,),0),AC87/(1+IFERROR(INDEX(AC$10:AC$11,Предпосылки!$I$203,),0))*IFERROR(INDEX(AC$10:AC$11,Предпосылки!$I$203,),0),AC110/(1+IFERROR(INDEX(AC$10:AC$11,Предпосылки!$I$204,),0))*IFERROR(INDEX(AC$10:AC$11,Предпосылки!$I$204,),0),AC133/(1+IFERROR(INDEX(AC$10:AC$11,Предпосылки!$I$205,),0))*IFERROR(INDEX(AC$10:AC$11,Предпосылки!$I$205,),0),AC156/(1+IFERROR(INDEX(AC$10:AC$11,Предпосылки!$I$206,),0))*IFERROR(INDEX(AC$10:AC$11,Предпосылки!$I$206,),0),AC179/(1+IFERROR(INDEX(AC$10:AC$11,Предпосылки!$I$207,),0))*IFERROR(INDEX(AC$10:AC$11,Предпосылки!$I$207,),0),AC202/(1+IFERROR(INDEX(AC$10:AC$11,Предпосылки!$I$208,),0))*IFERROR(INDEX(AC$10:AC$11,Предпосылки!$I$208,),0),AC225/(1+IFERROR(INDEX(AC$10:AC$11,Предпосылки!$I$209,),0))*IFERROR(INDEX(AC$10:AC$11,Предпосылки!$I$209,),0),AC248/(1+IFERROR(INDEX(AC$10:AC$11,Предпосылки!$I$210,),0))*IFERROR(INDEX(AC$10:AC$11,Предпосылки!$I$210,),0),AC271/(1+IFERROR(INDEX(AC$10:AC$11,Предпосылки!$I$211,),0))*IFERROR(INDEX(AC$10:AC$11,Предпосылки!$I$211,),0),AC294/(1+IFERROR(INDEX(AC$10:AC$11,Предпосылки!$I$212,),0))*IFERROR(INDEX(AC$10:AC$11,Предпосылки!$I$212,),0),AC317/(1+IFERROR(INDEX(AC$10:AC$11,Предпосылки!$I$213,),0))*IFERROR(INDEX(AC$10:AC$11,Предпосылки!$I$213,),0),AC340/(1+IFERROR(INDEX(AC$10:AC$11,Предпосылки!$I$214,),0))*IFERROR(INDEX(AC$10:AC$11,Предпосылки!$I$214,),0),AC363/(1+IFERROR(INDEX(AC$10:AC$11,Предпосылки!$I$215,),0))*IFERROR(INDEX(AC$10:AC$11,Предпосылки!$I$215,),0),AC386/(1+IFERROR(INDEX(AC$10:AC$11,Предпосылки!$I$216,),0))*IFERROR(INDEX(AC$10:AC$11,Предпосылки!$I$216,),0),AC409/(1+IFERROR(INDEX(AC$10:AC$11,Предпосылки!$I$217,),0))*IFERROR(INDEX(AC$10:AC$11,Предпосылки!$I$217,),0),AC432/(1+IFERROR(INDEX(AC$10:AC$11,Предпосылки!$I$218,),0))*IFERROR(INDEX(AC$10:AC$11,Предпосылки!$I$218,),0),AC455/(1+IFERROR(INDEX(AC$10:AC$11,Предпосылки!$I$219,),0))*IFERROR(INDEX(AC$10:AC$11,Предпосылки!$I$219,),0),AC478/(1+IFERROR(INDEX(AC$10:AC$11,Предпосылки!$I$220,),0))*IFERROR(INDEX(AC$10:AC$11,Предпосылки!$I$220,),0))</f>
        <v>0</v>
      </c>
      <c s="125">
        <f>SUM(AD41/(1+IFERROR(INDEX(AD$10:AD$11,Предпосылки!$I$201,),0))*IFERROR(INDEX(AD$10:AD$11,Предпосылки!$I$201,),0),AD64/(1+IFERROR(INDEX(AD$10:AD$11,Предпосылки!$I$202,),0))*IFERROR(INDEX(AD$10:AD$11,Предпосылки!$I$202,),0),AD87/(1+IFERROR(INDEX(AD$10:AD$11,Предпосылки!$I$203,),0))*IFERROR(INDEX(AD$10:AD$11,Предпосылки!$I$203,),0),AD110/(1+IFERROR(INDEX(AD$10:AD$11,Предпосылки!$I$204,),0))*IFERROR(INDEX(AD$10:AD$11,Предпосылки!$I$204,),0),AD133/(1+IFERROR(INDEX(AD$10:AD$11,Предпосылки!$I$205,),0))*IFERROR(INDEX(AD$10:AD$11,Предпосылки!$I$205,),0),AD156/(1+IFERROR(INDEX(AD$10:AD$11,Предпосылки!$I$206,),0))*IFERROR(INDEX(AD$10:AD$11,Предпосылки!$I$206,),0),AD179/(1+IFERROR(INDEX(AD$10:AD$11,Предпосылки!$I$207,),0))*IFERROR(INDEX(AD$10:AD$11,Предпосылки!$I$207,),0),AD202/(1+IFERROR(INDEX(AD$10:AD$11,Предпосылки!$I$208,),0))*IFERROR(INDEX(AD$10:AD$11,Предпосылки!$I$208,),0),AD225/(1+IFERROR(INDEX(AD$10:AD$11,Предпосылки!$I$209,),0))*IFERROR(INDEX(AD$10:AD$11,Предпосылки!$I$209,),0),AD248/(1+IFERROR(INDEX(AD$10:AD$11,Предпосылки!$I$210,),0))*IFERROR(INDEX(AD$10:AD$11,Предпосылки!$I$210,),0),AD271/(1+IFERROR(INDEX(AD$10:AD$11,Предпосылки!$I$211,),0))*IFERROR(INDEX(AD$10:AD$11,Предпосылки!$I$211,),0),AD294/(1+IFERROR(INDEX(AD$10:AD$11,Предпосылки!$I$212,),0))*IFERROR(INDEX(AD$10:AD$11,Предпосылки!$I$212,),0),AD317/(1+IFERROR(INDEX(AD$10:AD$11,Предпосылки!$I$213,),0))*IFERROR(INDEX(AD$10:AD$11,Предпосылки!$I$213,),0),AD340/(1+IFERROR(INDEX(AD$10:AD$11,Предпосылки!$I$214,),0))*IFERROR(INDEX(AD$10:AD$11,Предпосылки!$I$214,),0),AD363/(1+IFERROR(INDEX(AD$10:AD$11,Предпосылки!$I$215,),0))*IFERROR(INDEX(AD$10:AD$11,Предпосылки!$I$215,),0),AD386/(1+IFERROR(INDEX(AD$10:AD$11,Предпосылки!$I$216,),0))*IFERROR(INDEX(AD$10:AD$11,Предпосылки!$I$216,),0),AD409/(1+IFERROR(INDEX(AD$10:AD$11,Предпосылки!$I$217,),0))*IFERROR(INDEX(AD$10:AD$11,Предпосылки!$I$217,),0),AD432/(1+IFERROR(INDEX(AD$10:AD$11,Предпосылки!$I$218,),0))*IFERROR(INDEX(AD$10:AD$11,Предпосылки!$I$218,),0),AD455/(1+IFERROR(INDEX(AD$10:AD$11,Предпосылки!$I$219,),0))*IFERROR(INDEX(AD$10:AD$11,Предпосылки!$I$219,),0),AD478/(1+IFERROR(INDEX(AD$10:AD$11,Предпосылки!$I$220,),0))*IFERROR(INDEX(AD$10:AD$11,Предпосылки!$I$220,),0))</f>
        <v>0</v>
      </c>
      <c s="125">
        <f>SUM(AE41/(1+IFERROR(INDEX(AE$10:AE$11,Предпосылки!$I$201,),0))*IFERROR(INDEX(AE$10:AE$11,Предпосылки!$I$201,),0),AE64/(1+IFERROR(INDEX(AE$10:AE$11,Предпосылки!$I$202,),0))*IFERROR(INDEX(AE$10:AE$11,Предпосылки!$I$202,),0),AE87/(1+IFERROR(INDEX(AE$10:AE$11,Предпосылки!$I$203,),0))*IFERROR(INDEX(AE$10:AE$11,Предпосылки!$I$203,),0),AE110/(1+IFERROR(INDEX(AE$10:AE$11,Предпосылки!$I$204,),0))*IFERROR(INDEX(AE$10:AE$11,Предпосылки!$I$204,),0),AE133/(1+IFERROR(INDEX(AE$10:AE$11,Предпосылки!$I$205,),0))*IFERROR(INDEX(AE$10:AE$11,Предпосылки!$I$205,),0),AE156/(1+IFERROR(INDEX(AE$10:AE$11,Предпосылки!$I$206,),0))*IFERROR(INDEX(AE$10:AE$11,Предпосылки!$I$206,),0),AE179/(1+IFERROR(INDEX(AE$10:AE$11,Предпосылки!$I$207,),0))*IFERROR(INDEX(AE$10:AE$11,Предпосылки!$I$207,),0),AE202/(1+IFERROR(INDEX(AE$10:AE$11,Предпосылки!$I$208,),0))*IFERROR(INDEX(AE$10:AE$11,Предпосылки!$I$208,),0),AE225/(1+IFERROR(INDEX(AE$10:AE$11,Предпосылки!$I$209,),0))*IFERROR(INDEX(AE$10:AE$11,Предпосылки!$I$209,),0),AE248/(1+IFERROR(INDEX(AE$10:AE$11,Предпосылки!$I$210,),0))*IFERROR(INDEX(AE$10:AE$11,Предпосылки!$I$210,),0),AE271/(1+IFERROR(INDEX(AE$10:AE$11,Предпосылки!$I$211,),0))*IFERROR(INDEX(AE$10:AE$11,Предпосылки!$I$211,),0),AE294/(1+IFERROR(INDEX(AE$10:AE$11,Предпосылки!$I$212,),0))*IFERROR(INDEX(AE$10:AE$11,Предпосылки!$I$212,),0),AE317/(1+IFERROR(INDEX(AE$10:AE$11,Предпосылки!$I$213,),0))*IFERROR(INDEX(AE$10:AE$11,Предпосылки!$I$213,),0),AE340/(1+IFERROR(INDEX(AE$10:AE$11,Предпосылки!$I$214,),0))*IFERROR(INDEX(AE$10:AE$11,Предпосылки!$I$214,),0),AE363/(1+IFERROR(INDEX(AE$10:AE$11,Предпосылки!$I$215,),0))*IFERROR(INDEX(AE$10:AE$11,Предпосылки!$I$215,),0),AE386/(1+IFERROR(INDEX(AE$10:AE$11,Предпосылки!$I$216,),0))*IFERROR(INDEX(AE$10:AE$11,Предпосылки!$I$216,),0),AE409/(1+IFERROR(INDEX(AE$10:AE$11,Предпосылки!$I$217,),0))*IFERROR(INDEX(AE$10:AE$11,Предпосылки!$I$217,),0),AE432/(1+IFERROR(INDEX(AE$10:AE$11,Предпосылки!$I$218,),0))*IFERROR(INDEX(AE$10:AE$11,Предпосылки!$I$218,),0),AE455/(1+IFERROR(INDEX(AE$10:AE$11,Предпосылки!$I$219,),0))*IFERROR(INDEX(AE$10:AE$11,Предпосылки!$I$219,),0),AE478/(1+IFERROR(INDEX(AE$10:AE$11,Предпосылки!$I$220,),0))*IFERROR(INDEX(AE$10:AE$11,Предпосылки!$I$220,),0))</f>
        <v>0</v>
      </c>
      <c s="125">
        <f>SUM(AF41/(1+IFERROR(INDEX(AF$10:AF$11,Предпосылки!$I$201,),0))*IFERROR(INDEX(AF$10:AF$11,Предпосылки!$I$201,),0),AF64/(1+IFERROR(INDEX(AF$10:AF$11,Предпосылки!$I$202,),0))*IFERROR(INDEX(AF$10:AF$11,Предпосылки!$I$202,),0),AF87/(1+IFERROR(INDEX(AF$10:AF$11,Предпосылки!$I$203,),0))*IFERROR(INDEX(AF$10:AF$11,Предпосылки!$I$203,),0),AF110/(1+IFERROR(INDEX(AF$10:AF$11,Предпосылки!$I$204,),0))*IFERROR(INDEX(AF$10:AF$11,Предпосылки!$I$204,),0),AF133/(1+IFERROR(INDEX(AF$10:AF$11,Предпосылки!$I$205,),0))*IFERROR(INDEX(AF$10:AF$11,Предпосылки!$I$205,),0),AF156/(1+IFERROR(INDEX(AF$10:AF$11,Предпосылки!$I$206,),0))*IFERROR(INDEX(AF$10:AF$11,Предпосылки!$I$206,),0),AF179/(1+IFERROR(INDEX(AF$10:AF$11,Предпосылки!$I$207,),0))*IFERROR(INDEX(AF$10:AF$11,Предпосылки!$I$207,),0),AF202/(1+IFERROR(INDEX(AF$10:AF$11,Предпосылки!$I$208,),0))*IFERROR(INDEX(AF$10:AF$11,Предпосылки!$I$208,),0),AF225/(1+IFERROR(INDEX(AF$10:AF$11,Предпосылки!$I$209,),0))*IFERROR(INDEX(AF$10:AF$11,Предпосылки!$I$209,),0),AF248/(1+IFERROR(INDEX(AF$10:AF$11,Предпосылки!$I$210,),0))*IFERROR(INDEX(AF$10:AF$11,Предпосылки!$I$210,),0),AF271/(1+IFERROR(INDEX(AF$10:AF$11,Предпосылки!$I$211,),0))*IFERROR(INDEX(AF$10:AF$11,Предпосылки!$I$211,),0),AF294/(1+IFERROR(INDEX(AF$10:AF$11,Предпосылки!$I$212,),0))*IFERROR(INDEX(AF$10:AF$11,Предпосылки!$I$212,),0),AF317/(1+IFERROR(INDEX(AF$10:AF$11,Предпосылки!$I$213,),0))*IFERROR(INDEX(AF$10:AF$11,Предпосылки!$I$213,),0),AF340/(1+IFERROR(INDEX(AF$10:AF$11,Предпосылки!$I$214,),0))*IFERROR(INDEX(AF$10:AF$11,Предпосылки!$I$214,),0),AF363/(1+IFERROR(INDEX(AF$10:AF$11,Предпосылки!$I$215,),0))*IFERROR(INDEX(AF$10:AF$11,Предпосылки!$I$215,),0),AF386/(1+IFERROR(INDEX(AF$10:AF$11,Предпосылки!$I$216,),0))*IFERROR(INDEX(AF$10:AF$11,Предпосылки!$I$216,),0),AF409/(1+IFERROR(INDEX(AF$10:AF$11,Предпосылки!$I$217,),0))*IFERROR(INDEX(AF$10:AF$11,Предпосылки!$I$217,),0),AF432/(1+IFERROR(INDEX(AF$10:AF$11,Предпосылки!$I$218,),0))*IFERROR(INDEX(AF$10:AF$11,Предпосылки!$I$218,),0),AF455/(1+IFERROR(INDEX(AF$10:AF$11,Предпосылки!$I$219,),0))*IFERROR(INDEX(AF$10:AF$11,Предпосылки!$I$219,),0),AF478/(1+IFERROR(INDEX(AF$10:AF$11,Предпосылки!$I$220,),0))*IFERROR(INDEX(AF$10:AF$11,Предпосылки!$I$220,),0))</f>
        <v>0</v>
      </c>
      <c s="125">
        <f>SUM(AG41/(1+IFERROR(INDEX(AG$10:AG$11,Предпосылки!$I$201,),0))*IFERROR(INDEX(AG$10:AG$11,Предпосылки!$I$201,),0),AG64/(1+IFERROR(INDEX(AG$10:AG$11,Предпосылки!$I$202,),0))*IFERROR(INDEX(AG$10:AG$11,Предпосылки!$I$202,),0),AG87/(1+IFERROR(INDEX(AG$10:AG$11,Предпосылки!$I$203,),0))*IFERROR(INDEX(AG$10:AG$11,Предпосылки!$I$203,),0),AG110/(1+IFERROR(INDEX(AG$10:AG$11,Предпосылки!$I$204,),0))*IFERROR(INDEX(AG$10:AG$11,Предпосылки!$I$204,),0),AG133/(1+IFERROR(INDEX(AG$10:AG$11,Предпосылки!$I$205,),0))*IFERROR(INDEX(AG$10:AG$11,Предпосылки!$I$205,),0),AG156/(1+IFERROR(INDEX(AG$10:AG$11,Предпосылки!$I$206,),0))*IFERROR(INDEX(AG$10:AG$11,Предпосылки!$I$206,),0),AG179/(1+IFERROR(INDEX(AG$10:AG$11,Предпосылки!$I$207,),0))*IFERROR(INDEX(AG$10:AG$11,Предпосылки!$I$207,),0),AG202/(1+IFERROR(INDEX(AG$10:AG$11,Предпосылки!$I$208,),0))*IFERROR(INDEX(AG$10:AG$11,Предпосылки!$I$208,),0),AG225/(1+IFERROR(INDEX(AG$10:AG$11,Предпосылки!$I$209,),0))*IFERROR(INDEX(AG$10:AG$11,Предпосылки!$I$209,),0),AG248/(1+IFERROR(INDEX(AG$10:AG$11,Предпосылки!$I$210,),0))*IFERROR(INDEX(AG$10:AG$11,Предпосылки!$I$210,),0),AG271/(1+IFERROR(INDEX(AG$10:AG$11,Предпосылки!$I$211,),0))*IFERROR(INDEX(AG$10:AG$11,Предпосылки!$I$211,),0),AG294/(1+IFERROR(INDEX(AG$10:AG$11,Предпосылки!$I$212,),0))*IFERROR(INDEX(AG$10:AG$11,Предпосылки!$I$212,),0),AG317/(1+IFERROR(INDEX(AG$10:AG$11,Предпосылки!$I$213,),0))*IFERROR(INDEX(AG$10:AG$11,Предпосылки!$I$213,),0),AG340/(1+IFERROR(INDEX(AG$10:AG$11,Предпосылки!$I$214,),0))*IFERROR(INDEX(AG$10:AG$11,Предпосылки!$I$214,),0),AG363/(1+IFERROR(INDEX(AG$10:AG$11,Предпосылки!$I$215,),0))*IFERROR(INDEX(AG$10:AG$11,Предпосылки!$I$215,),0),AG386/(1+IFERROR(INDEX(AG$10:AG$11,Предпосылки!$I$216,),0))*IFERROR(INDEX(AG$10:AG$11,Предпосылки!$I$216,),0),AG409/(1+IFERROR(INDEX(AG$10:AG$11,Предпосылки!$I$217,),0))*IFERROR(INDEX(AG$10:AG$11,Предпосылки!$I$217,),0),AG432/(1+IFERROR(INDEX(AG$10:AG$11,Предпосылки!$I$218,),0))*IFERROR(INDEX(AG$10:AG$11,Предпосылки!$I$218,),0),AG455/(1+IFERROR(INDEX(AG$10:AG$11,Предпосылки!$I$219,),0))*IFERROR(INDEX(AG$10:AG$11,Предпосылки!$I$219,),0),AG478/(1+IFERROR(INDEX(AG$10:AG$11,Предпосылки!$I$220,),0))*IFERROR(INDEX(AG$10:AG$11,Предпосылки!$I$220,),0))</f>
        <v>0</v>
      </c>
      <c s="125">
        <f>SUM(AH41/(1+IFERROR(INDEX(AH$10:AH$11,Предпосылки!$I$201,),0))*IFERROR(INDEX(AH$10:AH$11,Предпосылки!$I$201,),0),AH64/(1+IFERROR(INDEX(AH$10:AH$11,Предпосылки!$I$202,),0))*IFERROR(INDEX(AH$10:AH$11,Предпосылки!$I$202,),0),AH87/(1+IFERROR(INDEX(AH$10:AH$11,Предпосылки!$I$203,),0))*IFERROR(INDEX(AH$10:AH$11,Предпосылки!$I$203,),0),AH110/(1+IFERROR(INDEX(AH$10:AH$11,Предпосылки!$I$204,),0))*IFERROR(INDEX(AH$10:AH$11,Предпосылки!$I$204,),0),AH133/(1+IFERROR(INDEX(AH$10:AH$11,Предпосылки!$I$205,),0))*IFERROR(INDEX(AH$10:AH$11,Предпосылки!$I$205,),0),AH156/(1+IFERROR(INDEX(AH$10:AH$11,Предпосылки!$I$206,),0))*IFERROR(INDEX(AH$10:AH$11,Предпосылки!$I$206,),0),AH179/(1+IFERROR(INDEX(AH$10:AH$11,Предпосылки!$I$207,),0))*IFERROR(INDEX(AH$10:AH$11,Предпосылки!$I$207,),0),AH202/(1+IFERROR(INDEX(AH$10:AH$11,Предпосылки!$I$208,),0))*IFERROR(INDEX(AH$10:AH$11,Предпосылки!$I$208,),0),AH225/(1+IFERROR(INDEX(AH$10:AH$11,Предпосылки!$I$209,),0))*IFERROR(INDEX(AH$10:AH$11,Предпосылки!$I$209,),0),AH248/(1+IFERROR(INDEX(AH$10:AH$11,Предпосылки!$I$210,),0))*IFERROR(INDEX(AH$10:AH$11,Предпосылки!$I$210,),0),AH271/(1+IFERROR(INDEX(AH$10:AH$11,Предпосылки!$I$211,),0))*IFERROR(INDEX(AH$10:AH$11,Предпосылки!$I$211,),0),AH294/(1+IFERROR(INDEX(AH$10:AH$11,Предпосылки!$I$212,),0))*IFERROR(INDEX(AH$10:AH$11,Предпосылки!$I$212,),0),AH317/(1+IFERROR(INDEX(AH$10:AH$11,Предпосылки!$I$213,),0))*IFERROR(INDEX(AH$10:AH$11,Предпосылки!$I$213,),0),AH340/(1+IFERROR(INDEX(AH$10:AH$11,Предпосылки!$I$214,),0))*IFERROR(INDEX(AH$10:AH$11,Предпосылки!$I$214,),0),AH363/(1+IFERROR(INDEX(AH$10:AH$11,Предпосылки!$I$215,),0))*IFERROR(INDEX(AH$10:AH$11,Предпосылки!$I$215,),0),AH386/(1+IFERROR(INDEX(AH$10:AH$11,Предпосылки!$I$216,),0))*IFERROR(INDEX(AH$10:AH$11,Предпосылки!$I$216,),0),AH409/(1+IFERROR(INDEX(AH$10:AH$11,Предпосылки!$I$217,),0))*IFERROR(INDEX(AH$10:AH$11,Предпосылки!$I$217,),0),AH432/(1+IFERROR(INDEX(AH$10:AH$11,Предпосылки!$I$218,),0))*IFERROR(INDEX(AH$10:AH$11,Предпосылки!$I$218,),0),AH455/(1+IFERROR(INDEX(AH$10:AH$11,Предпосылки!$I$219,),0))*IFERROR(INDEX(AH$10:AH$11,Предпосылки!$I$219,),0),AH478/(1+IFERROR(INDEX(AH$10:AH$11,Предпосылки!$I$220,),0))*IFERROR(INDEX(AH$10:AH$11,Предпосылки!$I$220,),0))</f>
        <v>0</v>
      </c>
      <c s="125">
        <f>SUM(AI41/(1+IFERROR(INDEX(AI$10:AI$11,Предпосылки!$I$201,),0))*IFERROR(INDEX(AI$10:AI$11,Предпосылки!$I$201,),0),AI64/(1+IFERROR(INDEX(AI$10:AI$11,Предпосылки!$I$202,),0))*IFERROR(INDEX(AI$10:AI$11,Предпосылки!$I$202,),0),AI87/(1+IFERROR(INDEX(AI$10:AI$11,Предпосылки!$I$203,),0))*IFERROR(INDEX(AI$10:AI$11,Предпосылки!$I$203,),0),AI110/(1+IFERROR(INDEX(AI$10:AI$11,Предпосылки!$I$204,),0))*IFERROR(INDEX(AI$10:AI$11,Предпосылки!$I$204,),0),AI133/(1+IFERROR(INDEX(AI$10:AI$11,Предпосылки!$I$205,),0))*IFERROR(INDEX(AI$10:AI$11,Предпосылки!$I$205,),0),AI156/(1+IFERROR(INDEX(AI$10:AI$11,Предпосылки!$I$206,),0))*IFERROR(INDEX(AI$10:AI$11,Предпосылки!$I$206,),0),AI179/(1+IFERROR(INDEX(AI$10:AI$11,Предпосылки!$I$207,),0))*IFERROR(INDEX(AI$10:AI$11,Предпосылки!$I$207,),0),AI202/(1+IFERROR(INDEX(AI$10:AI$11,Предпосылки!$I$208,),0))*IFERROR(INDEX(AI$10:AI$11,Предпосылки!$I$208,),0),AI225/(1+IFERROR(INDEX(AI$10:AI$11,Предпосылки!$I$209,),0))*IFERROR(INDEX(AI$10:AI$11,Предпосылки!$I$209,),0),AI248/(1+IFERROR(INDEX(AI$10:AI$11,Предпосылки!$I$210,),0))*IFERROR(INDEX(AI$10:AI$11,Предпосылки!$I$210,),0),AI271/(1+IFERROR(INDEX(AI$10:AI$11,Предпосылки!$I$211,),0))*IFERROR(INDEX(AI$10:AI$11,Предпосылки!$I$211,),0),AI294/(1+IFERROR(INDEX(AI$10:AI$11,Предпосылки!$I$212,),0))*IFERROR(INDEX(AI$10:AI$11,Предпосылки!$I$212,),0),AI317/(1+IFERROR(INDEX(AI$10:AI$11,Предпосылки!$I$213,),0))*IFERROR(INDEX(AI$10:AI$11,Предпосылки!$I$213,),0),AI340/(1+IFERROR(INDEX(AI$10:AI$11,Предпосылки!$I$214,),0))*IFERROR(INDEX(AI$10:AI$11,Предпосылки!$I$214,),0),AI363/(1+IFERROR(INDEX(AI$10:AI$11,Предпосылки!$I$215,),0))*IFERROR(INDEX(AI$10:AI$11,Предпосылки!$I$215,),0),AI386/(1+IFERROR(INDEX(AI$10:AI$11,Предпосылки!$I$216,),0))*IFERROR(INDEX(AI$10:AI$11,Предпосылки!$I$216,),0),AI409/(1+IFERROR(INDEX(AI$10:AI$11,Предпосылки!$I$217,),0))*IFERROR(INDEX(AI$10:AI$11,Предпосылки!$I$217,),0),AI432/(1+IFERROR(INDEX(AI$10:AI$11,Предпосылки!$I$218,),0))*IFERROR(INDEX(AI$10:AI$11,Предпосылки!$I$218,),0),AI455/(1+IFERROR(INDEX(AI$10:AI$11,Предпосылки!$I$219,),0))*IFERROR(INDEX(AI$10:AI$11,Предпосылки!$I$219,),0),AI478/(1+IFERROR(INDEX(AI$10:AI$11,Предпосылки!$I$220,),0))*IFERROR(INDEX(AI$10:AI$11,Предпосылки!$I$220,),0))</f>
        <v>0</v>
      </c>
      <c s="125">
        <f>SUM(AJ41/(1+IFERROR(INDEX(AJ$10:AJ$11,Предпосылки!$I$201,),0))*IFERROR(INDEX(AJ$10:AJ$11,Предпосылки!$I$201,),0),AJ64/(1+IFERROR(INDEX(AJ$10:AJ$11,Предпосылки!$I$202,),0))*IFERROR(INDEX(AJ$10:AJ$11,Предпосылки!$I$202,),0),AJ87/(1+IFERROR(INDEX(AJ$10:AJ$11,Предпосылки!$I$203,),0))*IFERROR(INDEX(AJ$10:AJ$11,Предпосылки!$I$203,),0),AJ110/(1+IFERROR(INDEX(AJ$10:AJ$11,Предпосылки!$I$204,),0))*IFERROR(INDEX(AJ$10:AJ$11,Предпосылки!$I$204,),0),AJ133/(1+IFERROR(INDEX(AJ$10:AJ$11,Предпосылки!$I$205,),0))*IFERROR(INDEX(AJ$10:AJ$11,Предпосылки!$I$205,),0),AJ156/(1+IFERROR(INDEX(AJ$10:AJ$11,Предпосылки!$I$206,),0))*IFERROR(INDEX(AJ$10:AJ$11,Предпосылки!$I$206,),0),AJ179/(1+IFERROR(INDEX(AJ$10:AJ$11,Предпосылки!$I$207,),0))*IFERROR(INDEX(AJ$10:AJ$11,Предпосылки!$I$207,),0),AJ202/(1+IFERROR(INDEX(AJ$10:AJ$11,Предпосылки!$I$208,),0))*IFERROR(INDEX(AJ$10:AJ$11,Предпосылки!$I$208,),0),AJ225/(1+IFERROR(INDEX(AJ$10:AJ$11,Предпосылки!$I$209,),0))*IFERROR(INDEX(AJ$10:AJ$11,Предпосылки!$I$209,),0),AJ248/(1+IFERROR(INDEX(AJ$10:AJ$11,Предпосылки!$I$210,),0))*IFERROR(INDEX(AJ$10:AJ$11,Предпосылки!$I$210,),0),AJ271/(1+IFERROR(INDEX(AJ$10:AJ$11,Предпосылки!$I$211,),0))*IFERROR(INDEX(AJ$10:AJ$11,Предпосылки!$I$211,),0),AJ294/(1+IFERROR(INDEX(AJ$10:AJ$11,Предпосылки!$I$212,),0))*IFERROR(INDEX(AJ$10:AJ$11,Предпосылки!$I$212,),0),AJ317/(1+IFERROR(INDEX(AJ$10:AJ$11,Предпосылки!$I$213,),0))*IFERROR(INDEX(AJ$10:AJ$11,Предпосылки!$I$213,),0),AJ340/(1+IFERROR(INDEX(AJ$10:AJ$11,Предпосылки!$I$214,),0))*IFERROR(INDEX(AJ$10:AJ$11,Предпосылки!$I$214,),0),AJ363/(1+IFERROR(INDEX(AJ$10:AJ$11,Предпосылки!$I$215,),0))*IFERROR(INDEX(AJ$10:AJ$11,Предпосылки!$I$215,),0),AJ386/(1+IFERROR(INDEX(AJ$10:AJ$11,Предпосылки!$I$216,),0))*IFERROR(INDEX(AJ$10:AJ$11,Предпосылки!$I$216,),0),AJ409/(1+IFERROR(INDEX(AJ$10:AJ$11,Предпосылки!$I$217,),0))*IFERROR(INDEX(AJ$10:AJ$11,Предпосылки!$I$217,),0),AJ432/(1+IFERROR(INDEX(AJ$10:AJ$11,Предпосылки!$I$218,),0))*IFERROR(INDEX(AJ$10:AJ$11,Предпосылки!$I$218,),0),AJ455/(1+IFERROR(INDEX(AJ$10:AJ$11,Предпосылки!$I$219,),0))*IFERROR(INDEX(AJ$10:AJ$11,Предпосылки!$I$219,),0),AJ478/(1+IFERROR(INDEX(AJ$10:AJ$11,Предпосылки!$I$220,),0))*IFERROR(INDEX(AJ$10:AJ$11,Предпосылки!$I$220,),0))</f>
        <v>0</v>
      </c>
      <c s="125">
        <f>SUM(AK41/(1+IFERROR(INDEX(AK$10:AK$11,Предпосылки!$I$201,),0))*IFERROR(INDEX(AK$10:AK$11,Предпосылки!$I$201,),0),AK64/(1+IFERROR(INDEX(AK$10:AK$11,Предпосылки!$I$202,),0))*IFERROR(INDEX(AK$10:AK$11,Предпосылки!$I$202,),0),AK87/(1+IFERROR(INDEX(AK$10:AK$11,Предпосылки!$I$203,),0))*IFERROR(INDEX(AK$10:AK$11,Предпосылки!$I$203,),0),AK110/(1+IFERROR(INDEX(AK$10:AK$11,Предпосылки!$I$204,),0))*IFERROR(INDEX(AK$10:AK$11,Предпосылки!$I$204,),0),AK133/(1+IFERROR(INDEX(AK$10:AK$11,Предпосылки!$I$205,),0))*IFERROR(INDEX(AK$10:AK$11,Предпосылки!$I$205,),0),AK156/(1+IFERROR(INDEX(AK$10:AK$11,Предпосылки!$I$206,),0))*IFERROR(INDEX(AK$10:AK$11,Предпосылки!$I$206,),0),AK179/(1+IFERROR(INDEX(AK$10:AK$11,Предпосылки!$I$207,),0))*IFERROR(INDEX(AK$10:AK$11,Предпосылки!$I$207,),0),AK202/(1+IFERROR(INDEX(AK$10:AK$11,Предпосылки!$I$208,),0))*IFERROR(INDEX(AK$10:AK$11,Предпосылки!$I$208,),0),AK225/(1+IFERROR(INDEX(AK$10:AK$11,Предпосылки!$I$209,),0))*IFERROR(INDEX(AK$10:AK$11,Предпосылки!$I$209,),0),AK248/(1+IFERROR(INDEX(AK$10:AK$11,Предпосылки!$I$210,),0))*IFERROR(INDEX(AK$10:AK$11,Предпосылки!$I$210,),0),AK271/(1+IFERROR(INDEX(AK$10:AK$11,Предпосылки!$I$211,),0))*IFERROR(INDEX(AK$10:AK$11,Предпосылки!$I$211,),0),AK294/(1+IFERROR(INDEX(AK$10:AK$11,Предпосылки!$I$212,),0))*IFERROR(INDEX(AK$10:AK$11,Предпосылки!$I$212,),0),AK317/(1+IFERROR(INDEX(AK$10:AK$11,Предпосылки!$I$213,),0))*IFERROR(INDEX(AK$10:AK$11,Предпосылки!$I$213,),0),AK340/(1+IFERROR(INDEX(AK$10:AK$11,Предпосылки!$I$214,),0))*IFERROR(INDEX(AK$10:AK$11,Предпосылки!$I$214,),0),AK363/(1+IFERROR(INDEX(AK$10:AK$11,Предпосылки!$I$215,),0))*IFERROR(INDEX(AK$10:AK$11,Предпосылки!$I$215,),0),AK386/(1+IFERROR(INDEX(AK$10:AK$11,Предпосылки!$I$216,),0))*IFERROR(INDEX(AK$10:AK$11,Предпосылки!$I$216,),0),AK409/(1+IFERROR(INDEX(AK$10:AK$11,Предпосылки!$I$217,),0))*IFERROR(INDEX(AK$10:AK$11,Предпосылки!$I$217,),0),AK432/(1+IFERROR(INDEX(AK$10:AK$11,Предпосылки!$I$218,),0))*IFERROR(INDEX(AK$10:AK$11,Предпосылки!$I$218,),0),AK455/(1+IFERROR(INDEX(AK$10:AK$11,Предпосылки!$I$219,),0))*IFERROR(INDEX(AK$10:AK$11,Предпосылки!$I$219,),0),AK478/(1+IFERROR(INDEX(AK$10:AK$11,Предпосылки!$I$220,),0))*IFERROR(INDEX(AK$10:AK$11,Предпосылки!$I$220,),0))</f>
        <v>0</v>
      </c>
      <c s="125">
        <f>SUM(AL41/(1+IFERROR(INDEX(AL$10:AL$11,Предпосылки!$I$201,),0))*IFERROR(INDEX(AL$10:AL$11,Предпосылки!$I$201,),0),AL64/(1+IFERROR(INDEX(AL$10:AL$11,Предпосылки!$I$202,),0))*IFERROR(INDEX(AL$10:AL$11,Предпосылки!$I$202,),0),AL87/(1+IFERROR(INDEX(AL$10:AL$11,Предпосылки!$I$203,),0))*IFERROR(INDEX(AL$10:AL$11,Предпосылки!$I$203,),0),AL110/(1+IFERROR(INDEX(AL$10:AL$11,Предпосылки!$I$204,),0))*IFERROR(INDEX(AL$10:AL$11,Предпосылки!$I$204,),0),AL133/(1+IFERROR(INDEX(AL$10:AL$11,Предпосылки!$I$205,),0))*IFERROR(INDEX(AL$10:AL$11,Предпосылки!$I$205,),0),AL156/(1+IFERROR(INDEX(AL$10:AL$11,Предпосылки!$I$206,),0))*IFERROR(INDEX(AL$10:AL$11,Предпосылки!$I$206,),0),AL179/(1+IFERROR(INDEX(AL$10:AL$11,Предпосылки!$I$207,),0))*IFERROR(INDEX(AL$10:AL$11,Предпосылки!$I$207,),0),AL202/(1+IFERROR(INDEX(AL$10:AL$11,Предпосылки!$I$208,),0))*IFERROR(INDEX(AL$10:AL$11,Предпосылки!$I$208,),0),AL225/(1+IFERROR(INDEX(AL$10:AL$11,Предпосылки!$I$209,),0))*IFERROR(INDEX(AL$10:AL$11,Предпосылки!$I$209,),0),AL248/(1+IFERROR(INDEX(AL$10:AL$11,Предпосылки!$I$210,),0))*IFERROR(INDEX(AL$10:AL$11,Предпосылки!$I$210,),0),AL271/(1+IFERROR(INDEX(AL$10:AL$11,Предпосылки!$I$211,),0))*IFERROR(INDEX(AL$10:AL$11,Предпосылки!$I$211,),0),AL294/(1+IFERROR(INDEX(AL$10:AL$11,Предпосылки!$I$212,),0))*IFERROR(INDEX(AL$10:AL$11,Предпосылки!$I$212,),0),AL317/(1+IFERROR(INDEX(AL$10:AL$11,Предпосылки!$I$213,),0))*IFERROR(INDEX(AL$10:AL$11,Предпосылки!$I$213,),0),AL340/(1+IFERROR(INDEX(AL$10:AL$11,Предпосылки!$I$214,),0))*IFERROR(INDEX(AL$10:AL$11,Предпосылки!$I$214,),0),AL363/(1+IFERROR(INDEX(AL$10:AL$11,Предпосылки!$I$215,),0))*IFERROR(INDEX(AL$10:AL$11,Предпосылки!$I$215,),0),AL386/(1+IFERROR(INDEX(AL$10:AL$11,Предпосылки!$I$216,),0))*IFERROR(INDEX(AL$10:AL$11,Предпосылки!$I$216,),0),AL409/(1+IFERROR(INDEX(AL$10:AL$11,Предпосылки!$I$217,),0))*IFERROR(INDEX(AL$10:AL$11,Предпосылки!$I$217,),0),AL432/(1+IFERROR(INDEX(AL$10:AL$11,Предпосылки!$I$218,),0))*IFERROR(INDEX(AL$10:AL$11,Предпосылки!$I$218,),0),AL455/(1+IFERROR(INDEX(AL$10:AL$11,Предпосылки!$I$219,),0))*IFERROR(INDEX(AL$10:AL$11,Предпосылки!$I$219,),0),AL478/(1+IFERROR(INDEX(AL$10:AL$11,Предпосылки!$I$220,),0))*IFERROR(INDEX(AL$10:AL$11,Предпосылки!$I$220,),0))</f>
        <v>0</v>
      </c>
      <c s="125">
        <f>SUM(AM41/(1+IFERROR(INDEX(AM$10:AM$11,Предпосылки!$I$201,),0))*IFERROR(INDEX(AM$10:AM$11,Предпосылки!$I$201,),0),AM64/(1+IFERROR(INDEX(AM$10:AM$11,Предпосылки!$I$202,),0))*IFERROR(INDEX(AM$10:AM$11,Предпосылки!$I$202,),0),AM87/(1+IFERROR(INDEX(AM$10:AM$11,Предпосылки!$I$203,),0))*IFERROR(INDEX(AM$10:AM$11,Предпосылки!$I$203,),0),AM110/(1+IFERROR(INDEX(AM$10:AM$11,Предпосылки!$I$204,),0))*IFERROR(INDEX(AM$10:AM$11,Предпосылки!$I$204,),0),AM133/(1+IFERROR(INDEX(AM$10:AM$11,Предпосылки!$I$205,),0))*IFERROR(INDEX(AM$10:AM$11,Предпосылки!$I$205,),0),AM156/(1+IFERROR(INDEX(AM$10:AM$11,Предпосылки!$I$206,),0))*IFERROR(INDEX(AM$10:AM$11,Предпосылки!$I$206,),0),AM179/(1+IFERROR(INDEX(AM$10:AM$11,Предпосылки!$I$207,),0))*IFERROR(INDEX(AM$10:AM$11,Предпосылки!$I$207,),0),AM202/(1+IFERROR(INDEX(AM$10:AM$11,Предпосылки!$I$208,),0))*IFERROR(INDEX(AM$10:AM$11,Предпосылки!$I$208,),0),AM225/(1+IFERROR(INDEX(AM$10:AM$11,Предпосылки!$I$209,),0))*IFERROR(INDEX(AM$10:AM$11,Предпосылки!$I$209,),0),AM248/(1+IFERROR(INDEX(AM$10:AM$11,Предпосылки!$I$210,),0))*IFERROR(INDEX(AM$10:AM$11,Предпосылки!$I$210,),0),AM271/(1+IFERROR(INDEX(AM$10:AM$11,Предпосылки!$I$211,),0))*IFERROR(INDEX(AM$10:AM$11,Предпосылки!$I$211,),0),AM294/(1+IFERROR(INDEX(AM$10:AM$11,Предпосылки!$I$212,),0))*IFERROR(INDEX(AM$10:AM$11,Предпосылки!$I$212,),0),AM317/(1+IFERROR(INDEX(AM$10:AM$11,Предпосылки!$I$213,),0))*IFERROR(INDEX(AM$10:AM$11,Предпосылки!$I$213,),0),AM340/(1+IFERROR(INDEX(AM$10:AM$11,Предпосылки!$I$214,),0))*IFERROR(INDEX(AM$10:AM$11,Предпосылки!$I$214,),0),AM363/(1+IFERROR(INDEX(AM$10:AM$11,Предпосылки!$I$215,),0))*IFERROR(INDEX(AM$10:AM$11,Предпосылки!$I$215,),0),AM386/(1+IFERROR(INDEX(AM$10:AM$11,Предпосылки!$I$216,),0))*IFERROR(INDEX(AM$10:AM$11,Предпосылки!$I$216,),0),AM409/(1+IFERROR(INDEX(AM$10:AM$11,Предпосылки!$I$217,),0))*IFERROR(INDEX(AM$10:AM$11,Предпосылки!$I$217,),0),AM432/(1+IFERROR(INDEX(AM$10:AM$11,Предпосылки!$I$218,),0))*IFERROR(INDEX(AM$10:AM$11,Предпосылки!$I$218,),0),AM455/(1+IFERROR(INDEX(AM$10:AM$11,Предпосылки!$I$219,),0))*IFERROR(INDEX(AM$10:AM$11,Предпосылки!$I$219,),0),AM478/(1+IFERROR(INDEX(AM$10:AM$11,Предпосылки!$I$220,),0))*IFERROR(INDEX(AM$10:AM$11,Предпосылки!$I$220,),0))</f>
        <v>0</v>
      </c>
      <c s="125">
        <f>SUM(AN41/(1+IFERROR(INDEX(AN$10:AN$11,Предпосылки!$I$201,),0))*IFERROR(INDEX(AN$10:AN$11,Предпосылки!$I$201,),0),AN64/(1+IFERROR(INDEX(AN$10:AN$11,Предпосылки!$I$202,),0))*IFERROR(INDEX(AN$10:AN$11,Предпосылки!$I$202,),0),AN87/(1+IFERROR(INDEX(AN$10:AN$11,Предпосылки!$I$203,),0))*IFERROR(INDEX(AN$10:AN$11,Предпосылки!$I$203,),0),AN110/(1+IFERROR(INDEX(AN$10:AN$11,Предпосылки!$I$204,),0))*IFERROR(INDEX(AN$10:AN$11,Предпосылки!$I$204,),0),AN133/(1+IFERROR(INDEX(AN$10:AN$11,Предпосылки!$I$205,),0))*IFERROR(INDEX(AN$10:AN$11,Предпосылки!$I$205,),0),AN156/(1+IFERROR(INDEX(AN$10:AN$11,Предпосылки!$I$206,),0))*IFERROR(INDEX(AN$10:AN$11,Предпосылки!$I$206,),0),AN179/(1+IFERROR(INDEX(AN$10:AN$11,Предпосылки!$I$207,),0))*IFERROR(INDEX(AN$10:AN$11,Предпосылки!$I$207,),0),AN202/(1+IFERROR(INDEX(AN$10:AN$11,Предпосылки!$I$208,),0))*IFERROR(INDEX(AN$10:AN$11,Предпосылки!$I$208,),0),AN225/(1+IFERROR(INDEX(AN$10:AN$11,Предпосылки!$I$209,),0))*IFERROR(INDEX(AN$10:AN$11,Предпосылки!$I$209,),0),AN248/(1+IFERROR(INDEX(AN$10:AN$11,Предпосылки!$I$210,),0))*IFERROR(INDEX(AN$10:AN$11,Предпосылки!$I$210,),0),AN271/(1+IFERROR(INDEX(AN$10:AN$11,Предпосылки!$I$211,),0))*IFERROR(INDEX(AN$10:AN$11,Предпосылки!$I$211,),0),AN294/(1+IFERROR(INDEX(AN$10:AN$11,Предпосылки!$I$212,),0))*IFERROR(INDEX(AN$10:AN$11,Предпосылки!$I$212,),0),AN317/(1+IFERROR(INDEX(AN$10:AN$11,Предпосылки!$I$213,),0))*IFERROR(INDEX(AN$10:AN$11,Предпосылки!$I$213,),0),AN340/(1+IFERROR(INDEX(AN$10:AN$11,Предпосылки!$I$214,),0))*IFERROR(INDEX(AN$10:AN$11,Предпосылки!$I$214,),0),AN363/(1+IFERROR(INDEX(AN$10:AN$11,Предпосылки!$I$215,),0))*IFERROR(INDEX(AN$10:AN$11,Предпосылки!$I$215,),0),AN386/(1+IFERROR(INDEX(AN$10:AN$11,Предпосылки!$I$216,),0))*IFERROR(INDEX(AN$10:AN$11,Предпосылки!$I$216,),0),AN409/(1+IFERROR(INDEX(AN$10:AN$11,Предпосылки!$I$217,),0))*IFERROR(INDEX(AN$10:AN$11,Предпосылки!$I$217,),0),AN432/(1+IFERROR(INDEX(AN$10:AN$11,Предпосылки!$I$218,),0))*IFERROR(INDEX(AN$10:AN$11,Предпосылки!$I$218,),0),AN455/(1+IFERROR(INDEX(AN$10:AN$11,Предпосылки!$I$219,),0))*IFERROR(INDEX(AN$10:AN$11,Предпосылки!$I$219,),0),AN478/(1+IFERROR(INDEX(AN$10:AN$11,Предпосылки!$I$220,),0))*IFERROR(INDEX(AN$10:AN$11,Предпосылки!$I$220,),0))</f>
        <v>0</v>
      </c>
      <c s="125">
        <f>SUM(AO41/(1+IFERROR(INDEX(AO$10:AO$11,Предпосылки!$I$201,),0))*IFERROR(INDEX(AO$10:AO$11,Предпосылки!$I$201,),0),AO64/(1+IFERROR(INDEX(AO$10:AO$11,Предпосылки!$I$202,),0))*IFERROR(INDEX(AO$10:AO$11,Предпосылки!$I$202,),0),AO87/(1+IFERROR(INDEX(AO$10:AO$11,Предпосылки!$I$203,),0))*IFERROR(INDEX(AO$10:AO$11,Предпосылки!$I$203,),0),AO110/(1+IFERROR(INDEX(AO$10:AO$11,Предпосылки!$I$204,),0))*IFERROR(INDEX(AO$10:AO$11,Предпосылки!$I$204,),0),AO133/(1+IFERROR(INDEX(AO$10:AO$11,Предпосылки!$I$205,),0))*IFERROR(INDEX(AO$10:AO$11,Предпосылки!$I$205,),0),AO156/(1+IFERROR(INDEX(AO$10:AO$11,Предпосылки!$I$206,),0))*IFERROR(INDEX(AO$10:AO$11,Предпосылки!$I$206,),0),AO179/(1+IFERROR(INDEX(AO$10:AO$11,Предпосылки!$I$207,),0))*IFERROR(INDEX(AO$10:AO$11,Предпосылки!$I$207,),0),AO202/(1+IFERROR(INDEX(AO$10:AO$11,Предпосылки!$I$208,),0))*IFERROR(INDEX(AO$10:AO$11,Предпосылки!$I$208,),0),AO225/(1+IFERROR(INDEX(AO$10:AO$11,Предпосылки!$I$209,),0))*IFERROR(INDEX(AO$10:AO$11,Предпосылки!$I$209,),0),AO248/(1+IFERROR(INDEX(AO$10:AO$11,Предпосылки!$I$210,),0))*IFERROR(INDEX(AO$10:AO$11,Предпосылки!$I$210,),0),AO271/(1+IFERROR(INDEX(AO$10:AO$11,Предпосылки!$I$211,),0))*IFERROR(INDEX(AO$10:AO$11,Предпосылки!$I$211,),0),AO294/(1+IFERROR(INDEX(AO$10:AO$11,Предпосылки!$I$212,),0))*IFERROR(INDEX(AO$10:AO$11,Предпосылки!$I$212,),0),AO317/(1+IFERROR(INDEX(AO$10:AO$11,Предпосылки!$I$213,),0))*IFERROR(INDEX(AO$10:AO$11,Предпосылки!$I$213,),0),AO340/(1+IFERROR(INDEX(AO$10:AO$11,Предпосылки!$I$214,),0))*IFERROR(INDEX(AO$10:AO$11,Предпосылки!$I$214,),0),AO363/(1+IFERROR(INDEX(AO$10:AO$11,Предпосылки!$I$215,),0))*IFERROR(INDEX(AO$10:AO$11,Предпосылки!$I$215,),0),AO386/(1+IFERROR(INDEX(AO$10:AO$11,Предпосылки!$I$216,),0))*IFERROR(INDEX(AO$10:AO$11,Предпосылки!$I$216,),0),AO409/(1+IFERROR(INDEX(AO$10:AO$11,Предпосылки!$I$217,),0))*IFERROR(INDEX(AO$10:AO$11,Предпосылки!$I$217,),0),AO432/(1+IFERROR(INDEX(AO$10:AO$11,Предпосылки!$I$218,),0))*IFERROR(INDEX(AO$10:AO$11,Предпосылки!$I$218,),0),AO455/(1+IFERROR(INDEX(AO$10:AO$11,Предпосылки!$I$219,),0))*IFERROR(INDEX(AO$10:AO$11,Предпосылки!$I$219,),0),AO478/(1+IFERROR(INDEX(AO$10:AO$11,Предпосылки!$I$220,),0))*IFERROR(INDEX(AO$10:AO$11,Предпосылки!$I$220,),0))</f>
        <v>0</v>
      </c>
      <c s="125">
        <f>SUM(AP41/(1+IFERROR(INDEX(AP$10:AP$11,Предпосылки!$I$201,),0))*IFERROR(INDEX(AP$10:AP$11,Предпосылки!$I$201,),0),AP64/(1+IFERROR(INDEX(AP$10:AP$11,Предпосылки!$I$202,),0))*IFERROR(INDEX(AP$10:AP$11,Предпосылки!$I$202,),0),AP87/(1+IFERROR(INDEX(AP$10:AP$11,Предпосылки!$I$203,),0))*IFERROR(INDEX(AP$10:AP$11,Предпосылки!$I$203,),0),AP110/(1+IFERROR(INDEX(AP$10:AP$11,Предпосылки!$I$204,),0))*IFERROR(INDEX(AP$10:AP$11,Предпосылки!$I$204,),0),AP133/(1+IFERROR(INDEX(AP$10:AP$11,Предпосылки!$I$205,),0))*IFERROR(INDEX(AP$10:AP$11,Предпосылки!$I$205,),0),AP156/(1+IFERROR(INDEX(AP$10:AP$11,Предпосылки!$I$206,),0))*IFERROR(INDEX(AP$10:AP$11,Предпосылки!$I$206,),0),AP179/(1+IFERROR(INDEX(AP$10:AP$11,Предпосылки!$I$207,),0))*IFERROR(INDEX(AP$10:AP$11,Предпосылки!$I$207,),0),AP202/(1+IFERROR(INDEX(AP$10:AP$11,Предпосылки!$I$208,),0))*IFERROR(INDEX(AP$10:AP$11,Предпосылки!$I$208,),0),AP225/(1+IFERROR(INDEX(AP$10:AP$11,Предпосылки!$I$209,),0))*IFERROR(INDEX(AP$10:AP$11,Предпосылки!$I$209,),0),AP248/(1+IFERROR(INDEX(AP$10:AP$11,Предпосылки!$I$210,),0))*IFERROR(INDEX(AP$10:AP$11,Предпосылки!$I$210,),0),AP271/(1+IFERROR(INDEX(AP$10:AP$11,Предпосылки!$I$211,),0))*IFERROR(INDEX(AP$10:AP$11,Предпосылки!$I$211,),0),AP294/(1+IFERROR(INDEX(AP$10:AP$11,Предпосылки!$I$212,),0))*IFERROR(INDEX(AP$10:AP$11,Предпосылки!$I$212,),0),AP317/(1+IFERROR(INDEX(AP$10:AP$11,Предпосылки!$I$213,),0))*IFERROR(INDEX(AP$10:AP$11,Предпосылки!$I$213,),0),AP340/(1+IFERROR(INDEX(AP$10:AP$11,Предпосылки!$I$214,),0))*IFERROR(INDEX(AP$10:AP$11,Предпосылки!$I$214,),0),AP363/(1+IFERROR(INDEX(AP$10:AP$11,Предпосылки!$I$215,),0))*IFERROR(INDEX(AP$10:AP$11,Предпосылки!$I$215,),0),AP386/(1+IFERROR(INDEX(AP$10:AP$11,Предпосылки!$I$216,),0))*IFERROR(INDEX(AP$10:AP$11,Предпосылки!$I$216,),0),AP409/(1+IFERROR(INDEX(AP$10:AP$11,Предпосылки!$I$217,),0))*IFERROR(INDEX(AP$10:AP$11,Предпосылки!$I$217,),0),AP432/(1+IFERROR(INDEX(AP$10:AP$11,Предпосылки!$I$218,),0))*IFERROR(INDEX(AP$10:AP$11,Предпосылки!$I$218,),0),AP455/(1+IFERROR(INDEX(AP$10:AP$11,Предпосылки!$I$219,),0))*IFERROR(INDEX(AP$10:AP$11,Предпосылки!$I$219,),0),AP478/(1+IFERROR(INDEX(AP$10:AP$11,Предпосылки!$I$220,),0))*IFERROR(INDEX(AP$10:AP$11,Предпосылки!$I$220,),0))</f>
        <v>0</v>
      </c>
      <c s="125">
        <f>SUM(AQ41/(1+IFERROR(INDEX(AQ$10:AQ$11,Предпосылки!$I$201,),0))*IFERROR(INDEX(AQ$10:AQ$11,Предпосылки!$I$201,),0),AQ64/(1+IFERROR(INDEX(AQ$10:AQ$11,Предпосылки!$I$202,),0))*IFERROR(INDEX(AQ$10:AQ$11,Предпосылки!$I$202,),0),AQ87/(1+IFERROR(INDEX(AQ$10:AQ$11,Предпосылки!$I$203,),0))*IFERROR(INDEX(AQ$10:AQ$11,Предпосылки!$I$203,),0),AQ110/(1+IFERROR(INDEX(AQ$10:AQ$11,Предпосылки!$I$204,),0))*IFERROR(INDEX(AQ$10:AQ$11,Предпосылки!$I$204,),0),AQ133/(1+IFERROR(INDEX(AQ$10:AQ$11,Предпосылки!$I$205,),0))*IFERROR(INDEX(AQ$10:AQ$11,Предпосылки!$I$205,),0),AQ156/(1+IFERROR(INDEX(AQ$10:AQ$11,Предпосылки!$I$206,),0))*IFERROR(INDEX(AQ$10:AQ$11,Предпосылки!$I$206,),0),AQ179/(1+IFERROR(INDEX(AQ$10:AQ$11,Предпосылки!$I$207,),0))*IFERROR(INDEX(AQ$10:AQ$11,Предпосылки!$I$207,),0),AQ202/(1+IFERROR(INDEX(AQ$10:AQ$11,Предпосылки!$I$208,),0))*IFERROR(INDEX(AQ$10:AQ$11,Предпосылки!$I$208,),0),AQ225/(1+IFERROR(INDEX(AQ$10:AQ$11,Предпосылки!$I$209,),0))*IFERROR(INDEX(AQ$10:AQ$11,Предпосылки!$I$209,),0),AQ248/(1+IFERROR(INDEX(AQ$10:AQ$11,Предпосылки!$I$210,),0))*IFERROR(INDEX(AQ$10:AQ$11,Предпосылки!$I$210,),0),AQ271/(1+IFERROR(INDEX(AQ$10:AQ$11,Предпосылки!$I$211,),0))*IFERROR(INDEX(AQ$10:AQ$11,Предпосылки!$I$211,),0),AQ294/(1+IFERROR(INDEX(AQ$10:AQ$11,Предпосылки!$I$212,),0))*IFERROR(INDEX(AQ$10:AQ$11,Предпосылки!$I$212,),0),AQ317/(1+IFERROR(INDEX(AQ$10:AQ$11,Предпосылки!$I$213,),0))*IFERROR(INDEX(AQ$10:AQ$11,Предпосылки!$I$213,),0),AQ340/(1+IFERROR(INDEX(AQ$10:AQ$11,Предпосылки!$I$214,),0))*IFERROR(INDEX(AQ$10:AQ$11,Предпосылки!$I$214,),0),AQ363/(1+IFERROR(INDEX(AQ$10:AQ$11,Предпосылки!$I$215,),0))*IFERROR(INDEX(AQ$10:AQ$11,Предпосылки!$I$215,),0),AQ386/(1+IFERROR(INDEX(AQ$10:AQ$11,Предпосылки!$I$216,),0))*IFERROR(INDEX(AQ$10:AQ$11,Предпосылки!$I$216,),0),AQ409/(1+IFERROR(INDEX(AQ$10:AQ$11,Предпосылки!$I$217,),0))*IFERROR(INDEX(AQ$10:AQ$11,Предпосылки!$I$217,),0),AQ432/(1+IFERROR(INDEX(AQ$10:AQ$11,Предпосылки!$I$218,),0))*IFERROR(INDEX(AQ$10:AQ$11,Предпосылки!$I$218,),0),AQ455/(1+IFERROR(INDEX(AQ$10:AQ$11,Предпосылки!$I$219,),0))*IFERROR(INDEX(AQ$10:AQ$11,Предпосылки!$I$219,),0),AQ478/(1+IFERROR(INDEX(AQ$10:AQ$11,Предпосылки!$I$220,),0))*IFERROR(INDEX(AQ$10:AQ$11,Предпосылки!$I$220,),0))</f>
        <v>0</v>
      </c>
      <c s="125">
        <f>SUM(AR41/(1+IFERROR(INDEX(AR$10:AR$11,Предпосылки!$I$201,),0))*IFERROR(INDEX(AR$10:AR$11,Предпосылки!$I$201,),0),AR64/(1+IFERROR(INDEX(AR$10:AR$11,Предпосылки!$I$202,),0))*IFERROR(INDEX(AR$10:AR$11,Предпосылки!$I$202,),0),AR87/(1+IFERROR(INDEX(AR$10:AR$11,Предпосылки!$I$203,),0))*IFERROR(INDEX(AR$10:AR$11,Предпосылки!$I$203,),0),AR110/(1+IFERROR(INDEX(AR$10:AR$11,Предпосылки!$I$204,),0))*IFERROR(INDEX(AR$10:AR$11,Предпосылки!$I$204,),0),AR133/(1+IFERROR(INDEX(AR$10:AR$11,Предпосылки!$I$205,),0))*IFERROR(INDEX(AR$10:AR$11,Предпосылки!$I$205,),0),AR156/(1+IFERROR(INDEX(AR$10:AR$11,Предпосылки!$I$206,),0))*IFERROR(INDEX(AR$10:AR$11,Предпосылки!$I$206,),0),AR179/(1+IFERROR(INDEX(AR$10:AR$11,Предпосылки!$I$207,),0))*IFERROR(INDEX(AR$10:AR$11,Предпосылки!$I$207,),0),AR202/(1+IFERROR(INDEX(AR$10:AR$11,Предпосылки!$I$208,),0))*IFERROR(INDEX(AR$10:AR$11,Предпосылки!$I$208,),0),AR225/(1+IFERROR(INDEX(AR$10:AR$11,Предпосылки!$I$209,),0))*IFERROR(INDEX(AR$10:AR$11,Предпосылки!$I$209,),0),AR248/(1+IFERROR(INDEX(AR$10:AR$11,Предпосылки!$I$210,),0))*IFERROR(INDEX(AR$10:AR$11,Предпосылки!$I$210,),0),AR271/(1+IFERROR(INDEX(AR$10:AR$11,Предпосылки!$I$211,),0))*IFERROR(INDEX(AR$10:AR$11,Предпосылки!$I$211,),0),AR294/(1+IFERROR(INDEX(AR$10:AR$11,Предпосылки!$I$212,),0))*IFERROR(INDEX(AR$10:AR$11,Предпосылки!$I$212,),0),AR317/(1+IFERROR(INDEX(AR$10:AR$11,Предпосылки!$I$213,),0))*IFERROR(INDEX(AR$10:AR$11,Предпосылки!$I$213,),0),AR340/(1+IFERROR(INDEX(AR$10:AR$11,Предпосылки!$I$214,),0))*IFERROR(INDEX(AR$10:AR$11,Предпосылки!$I$214,),0),AR363/(1+IFERROR(INDEX(AR$10:AR$11,Предпосылки!$I$215,),0))*IFERROR(INDEX(AR$10:AR$11,Предпосылки!$I$215,),0),AR386/(1+IFERROR(INDEX(AR$10:AR$11,Предпосылки!$I$216,),0))*IFERROR(INDEX(AR$10:AR$11,Предпосылки!$I$216,),0),AR409/(1+IFERROR(INDEX(AR$10:AR$11,Предпосылки!$I$217,),0))*IFERROR(INDEX(AR$10:AR$11,Предпосылки!$I$217,),0),AR432/(1+IFERROR(INDEX(AR$10:AR$11,Предпосылки!$I$218,),0))*IFERROR(INDEX(AR$10:AR$11,Предпосылки!$I$218,),0),AR455/(1+IFERROR(INDEX(AR$10:AR$11,Предпосылки!$I$219,),0))*IFERROR(INDEX(AR$10:AR$11,Предпосылки!$I$219,),0),AR478/(1+IFERROR(INDEX(AR$10:AR$11,Предпосылки!$I$220,),0))*IFERROR(INDEX(AR$10:AR$11,Предпосылки!$I$220,),0))</f>
        <v>0</v>
      </c>
      <c s="125">
        <f>SUM(AS41/(1+IFERROR(INDEX(AS$10:AS$11,Предпосылки!$I$201,),0))*IFERROR(INDEX(AS$10:AS$11,Предпосылки!$I$201,),0),AS64/(1+IFERROR(INDEX(AS$10:AS$11,Предпосылки!$I$202,),0))*IFERROR(INDEX(AS$10:AS$11,Предпосылки!$I$202,),0),AS87/(1+IFERROR(INDEX(AS$10:AS$11,Предпосылки!$I$203,),0))*IFERROR(INDEX(AS$10:AS$11,Предпосылки!$I$203,),0),AS110/(1+IFERROR(INDEX(AS$10:AS$11,Предпосылки!$I$204,),0))*IFERROR(INDEX(AS$10:AS$11,Предпосылки!$I$204,),0),AS133/(1+IFERROR(INDEX(AS$10:AS$11,Предпосылки!$I$205,),0))*IFERROR(INDEX(AS$10:AS$11,Предпосылки!$I$205,),0),AS156/(1+IFERROR(INDEX(AS$10:AS$11,Предпосылки!$I$206,),0))*IFERROR(INDEX(AS$10:AS$11,Предпосылки!$I$206,),0),AS179/(1+IFERROR(INDEX(AS$10:AS$11,Предпосылки!$I$207,),0))*IFERROR(INDEX(AS$10:AS$11,Предпосылки!$I$207,),0),AS202/(1+IFERROR(INDEX(AS$10:AS$11,Предпосылки!$I$208,),0))*IFERROR(INDEX(AS$10:AS$11,Предпосылки!$I$208,),0),AS225/(1+IFERROR(INDEX(AS$10:AS$11,Предпосылки!$I$209,),0))*IFERROR(INDEX(AS$10:AS$11,Предпосылки!$I$209,),0),AS248/(1+IFERROR(INDEX(AS$10:AS$11,Предпосылки!$I$210,),0))*IFERROR(INDEX(AS$10:AS$11,Предпосылки!$I$210,),0),AS271/(1+IFERROR(INDEX(AS$10:AS$11,Предпосылки!$I$211,),0))*IFERROR(INDEX(AS$10:AS$11,Предпосылки!$I$211,),0),AS294/(1+IFERROR(INDEX(AS$10:AS$11,Предпосылки!$I$212,),0))*IFERROR(INDEX(AS$10:AS$11,Предпосылки!$I$212,),0),AS317/(1+IFERROR(INDEX(AS$10:AS$11,Предпосылки!$I$213,),0))*IFERROR(INDEX(AS$10:AS$11,Предпосылки!$I$213,),0),AS340/(1+IFERROR(INDEX(AS$10:AS$11,Предпосылки!$I$214,),0))*IFERROR(INDEX(AS$10:AS$11,Предпосылки!$I$214,),0),AS363/(1+IFERROR(INDEX(AS$10:AS$11,Предпосылки!$I$215,),0))*IFERROR(INDEX(AS$10:AS$11,Предпосылки!$I$215,),0),AS386/(1+IFERROR(INDEX(AS$10:AS$11,Предпосылки!$I$216,),0))*IFERROR(INDEX(AS$10:AS$11,Предпосылки!$I$216,),0),AS409/(1+IFERROR(INDEX(AS$10:AS$11,Предпосылки!$I$217,),0))*IFERROR(INDEX(AS$10:AS$11,Предпосылки!$I$217,),0),AS432/(1+IFERROR(INDEX(AS$10:AS$11,Предпосылки!$I$218,),0))*IFERROR(INDEX(AS$10:AS$11,Предпосылки!$I$218,),0),AS455/(1+IFERROR(INDEX(AS$10:AS$11,Предпосылки!$I$219,),0))*IFERROR(INDEX(AS$10:AS$11,Предпосылки!$I$219,),0),AS478/(1+IFERROR(INDEX(AS$10:AS$11,Предпосылки!$I$220,),0))*IFERROR(INDEX(AS$10:AS$11,Предпосылки!$I$220,),0))</f>
        <v>0</v>
      </c>
      <c s="125">
        <f>SUM(AT41/(1+IFERROR(INDEX(AT$10:AT$11,Предпосылки!$I$201,),0))*IFERROR(INDEX(AT$10:AT$11,Предпосылки!$I$201,),0),AT64/(1+IFERROR(INDEX(AT$10:AT$11,Предпосылки!$I$202,),0))*IFERROR(INDEX(AT$10:AT$11,Предпосылки!$I$202,),0),AT87/(1+IFERROR(INDEX(AT$10:AT$11,Предпосылки!$I$203,),0))*IFERROR(INDEX(AT$10:AT$11,Предпосылки!$I$203,),0),AT110/(1+IFERROR(INDEX(AT$10:AT$11,Предпосылки!$I$204,),0))*IFERROR(INDEX(AT$10:AT$11,Предпосылки!$I$204,),0),AT133/(1+IFERROR(INDEX(AT$10:AT$11,Предпосылки!$I$205,),0))*IFERROR(INDEX(AT$10:AT$11,Предпосылки!$I$205,),0),AT156/(1+IFERROR(INDEX(AT$10:AT$11,Предпосылки!$I$206,),0))*IFERROR(INDEX(AT$10:AT$11,Предпосылки!$I$206,),0),AT179/(1+IFERROR(INDEX(AT$10:AT$11,Предпосылки!$I$207,),0))*IFERROR(INDEX(AT$10:AT$11,Предпосылки!$I$207,),0),AT202/(1+IFERROR(INDEX(AT$10:AT$11,Предпосылки!$I$208,),0))*IFERROR(INDEX(AT$10:AT$11,Предпосылки!$I$208,),0),AT225/(1+IFERROR(INDEX(AT$10:AT$11,Предпосылки!$I$209,),0))*IFERROR(INDEX(AT$10:AT$11,Предпосылки!$I$209,),0),AT248/(1+IFERROR(INDEX(AT$10:AT$11,Предпосылки!$I$210,),0))*IFERROR(INDEX(AT$10:AT$11,Предпосылки!$I$210,),0),AT271/(1+IFERROR(INDEX(AT$10:AT$11,Предпосылки!$I$211,),0))*IFERROR(INDEX(AT$10:AT$11,Предпосылки!$I$211,),0),AT294/(1+IFERROR(INDEX(AT$10:AT$11,Предпосылки!$I$212,),0))*IFERROR(INDEX(AT$10:AT$11,Предпосылки!$I$212,),0),AT317/(1+IFERROR(INDEX(AT$10:AT$11,Предпосылки!$I$213,),0))*IFERROR(INDEX(AT$10:AT$11,Предпосылки!$I$213,),0),AT340/(1+IFERROR(INDEX(AT$10:AT$11,Предпосылки!$I$214,),0))*IFERROR(INDEX(AT$10:AT$11,Предпосылки!$I$214,),0),AT363/(1+IFERROR(INDEX(AT$10:AT$11,Предпосылки!$I$215,),0))*IFERROR(INDEX(AT$10:AT$11,Предпосылки!$I$215,),0),AT386/(1+IFERROR(INDEX(AT$10:AT$11,Предпосылки!$I$216,),0))*IFERROR(INDEX(AT$10:AT$11,Предпосылки!$I$216,),0),AT409/(1+IFERROR(INDEX(AT$10:AT$11,Предпосылки!$I$217,),0))*IFERROR(INDEX(AT$10:AT$11,Предпосылки!$I$217,),0),AT432/(1+IFERROR(INDEX(AT$10:AT$11,Предпосылки!$I$218,),0))*IFERROR(INDEX(AT$10:AT$11,Предпосылки!$I$218,),0),AT455/(1+IFERROR(INDEX(AT$10:AT$11,Предпосылки!$I$219,),0))*IFERROR(INDEX(AT$10:AT$11,Предпосылки!$I$219,),0),AT478/(1+IFERROR(INDEX(AT$10:AT$11,Предпосылки!$I$220,),0))*IFERROR(INDEX(AT$10:AT$11,Предпосылки!$I$220,),0))</f>
        <v>0</v>
      </c>
      <c s="125">
        <f>SUM(AU41/(1+IFERROR(INDEX(AU$10:AU$11,Предпосылки!$I$201,),0))*IFERROR(INDEX(AU$10:AU$11,Предпосылки!$I$201,),0),AU64/(1+IFERROR(INDEX(AU$10:AU$11,Предпосылки!$I$202,),0))*IFERROR(INDEX(AU$10:AU$11,Предпосылки!$I$202,),0),AU87/(1+IFERROR(INDEX(AU$10:AU$11,Предпосылки!$I$203,),0))*IFERROR(INDEX(AU$10:AU$11,Предпосылки!$I$203,),0),AU110/(1+IFERROR(INDEX(AU$10:AU$11,Предпосылки!$I$204,),0))*IFERROR(INDEX(AU$10:AU$11,Предпосылки!$I$204,),0),AU133/(1+IFERROR(INDEX(AU$10:AU$11,Предпосылки!$I$205,),0))*IFERROR(INDEX(AU$10:AU$11,Предпосылки!$I$205,),0),AU156/(1+IFERROR(INDEX(AU$10:AU$11,Предпосылки!$I$206,),0))*IFERROR(INDEX(AU$10:AU$11,Предпосылки!$I$206,),0),AU179/(1+IFERROR(INDEX(AU$10:AU$11,Предпосылки!$I$207,),0))*IFERROR(INDEX(AU$10:AU$11,Предпосылки!$I$207,),0),AU202/(1+IFERROR(INDEX(AU$10:AU$11,Предпосылки!$I$208,),0))*IFERROR(INDEX(AU$10:AU$11,Предпосылки!$I$208,),0),AU225/(1+IFERROR(INDEX(AU$10:AU$11,Предпосылки!$I$209,),0))*IFERROR(INDEX(AU$10:AU$11,Предпосылки!$I$209,),0),AU248/(1+IFERROR(INDEX(AU$10:AU$11,Предпосылки!$I$210,),0))*IFERROR(INDEX(AU$10:AU$11,Предпосылки!$I$210,),0),AU271/(1+IFERROR(INDEX(AU$10:AU$11,Предпосылки!$I$211,),0))*IFERROR(INDEX(AU$10:AU$11,Предпосылки!$I$211,),0),AU294/(1+IFERROR(INDEX(AU$10:AU$11,Предпосылки!$I$212,),0))*IFERROR(INDEX(AU$10:AU$11,Предпосылки!$I$212,),0),AU317/(1+IFERROR(INDEX(AU$10:AU$11,Предпосылки!$I$213,),0))*IFERROR(INDEX(AU$10:AU$11,Предпосылки!$I$213,),0),AU340/(1+IFERROR(INDEX(AU$10:AU$11,Предпосылки!$I$214,),0))*IFERROR(INDEX(AU$10:AU$11,Предпосылки!$I$214,),0),AU363/(1+IFERROR(INDEX(AU$10:AU$11,Предпосылки!$I$215,),0))*IFERROR(INDEX(AU$10:AU$11,Предпосылки!$I$215,),0),AU386/(1+IFERROR(INDEX(AU$10:AU$11,Предпосылки!$I$216,),0))*IFERROR(INDEX(AU$10:AU$11,Предпосылки!$I$216,),0),AU409/(1+IFERROR(INDEX(AU$10:AU$11,Предпосылки!$I$217,),0))*IFERROR(INDEX(AU$10:AU$11,Предпосылки!$I$217,),0),AU432/(1+IFERROR(INDEX(AU$10:AU$11,Предпосылки!$I$218,),0))*IFERROR(INDEX(AU$10:AU$11,Предпосылки!$I$218,),0),AU455/(1+IFERROR(INDEX(AU$10:AU$11,Предпосылки!$I$219,),0))*IFERROR(INDEX(AU$10:AU$11,Предпосылки!$I$219,),0),AU478/(1+IFERROR(INDEX(AU$10:AU$11,Предпосылки!$I$220,),0))*IFERROR(INDEX(AU$10:AU$11,Предпосылки!$I$220,),0))</f>
        <v>0</v>
      </c>
      <c s="125">
        <f>SUM(AV41/(1+IFERROR(INDEX(AV$10:AV$11,Предпосылки!$I$201,),0))*IFERROR(INDEX(AV$10:AV$11,Предпосылки!$I$201,),0),AV64/(1+IFERROR(INDEX(AV$10:AV$11,Предпосылки!$I$202,),0))*IFERROR(INDEX(AV$10:AV$11,Предпосылки!$I$202,),0),AV87/(1+IFERROR(INDEX(AV$10:AV$11,Предпосылки!$I$203,),0))*IFERROR(INDEX(AV$10:AV$11,Предпосылки!$I$203,),0),AV110/(1+IFERROR(INDEX(AV$10:AV$11,Предпосылки!$I$204,),0))*IFERROR(INDEX(AV$10:AV$11,Предпосылки!$I$204,),0),AV133/(1+IFERROR(INDEX(AV$10:AV$11,Предпосылки!$I$205,),0))*IFERROR(INDEX(AV$10:AV$11,Предпосылки!$I$205,),0),AV156/(1+IFERROR(INDEX(AV$10:AV$11,Предпосылки!$I$206,),0))*IFERROR(INDEX(AV$10:AV$11,Предпосылки!$I$206,),0),AV179/(1+IFERROR(INDEX(AV$10:AV$11,Предпосылки!$I$207,),0))*IFERROR(INDEX(AV$10:AV$11,Предпосылки!$I$207,),0),AV202/(1+IFERROR(INDEX(AV$10:AV$11,Предпосылки!$I$208,),0))*IFERROR(INDEX(AV$10:AV$11,Предпосылки!$I$208,),0),AV225/(1+IFERROR(INDEX(AV$10:AV$11,Предпосылки!$I$209,),0))*IFERROR(INDEX(AV$10:AV$11,Предпосылки!$I$209,),0),AV248/(1+IFERROR(INDEX(AV$10:AV$11,Предпосылки!$I$210,),0))*IFERROR(INDEX(AV$10:AV$11,Предпосылки!$I$210,),0),AV271/(1+IFERROR(INDEX(AV$10:AV$11,Предпосылки!$I$211,),0))*IFERROR(INDEX(AV$10:AV$11,Предпосылки!$I$211,),0),AV294/(1+IFERROR(INDEX(AV$10:AV$11,Предпосылки!$I$212,),0))*IFERROR(INDEX(AV$10:AV$11,Предпосылки!$I$212,),0),AV317/(1+IFERROR(INDEX(AV$10:AV$11,Предпосылки!$I$213,),0))*IFERROR(INDEX(AV$10:AV$11,Предпосылки!$I$213,),0),AV340/(1+IFERROR(INDEX(AV$10:AV$11,Предпосылки!$I$214,),0))*IFERROR(INDEX(AV$10:AV$11,Предпосылки!$I$214,),0),AV363/(1+IFERROR(INDEX(AV$10:AV$11,Предпосылки!$I$215,),0))*IFERROR(INDEX(AV$10:AV$11,Предпосылки!$I$215,),0),AV386/(1+IFERROR(INDEX(AV$10:AV$11,Предпосылки!$I$216,),0))*IFERROR(INDEX(AV$10:AV$11,Предпосылки!$I$216,),0),AV409/(1+IFERROR(INDEX(AV$10:AV$11,Предпосылки!$I$217,),0))*IFERROR(INDEX(AV$10:AV$11,Предпосылки!$I$217,),0),AV432/(1+IFERROR(INDEX(AV$10:AV$11,Предпосылки!$I$218,),0))*IFERROR(INDEX(AV$10:AV$11,Предпосылки!$I$218,),0),AV455/(1+IFERROR(INDEX(AV$10:AV$11,Предпосылки!$I$219,),0))*IFERROR(INDEX(AV$10:AV$11,Предпосылки!$I$219,),0),AV478/(1+IFERROR(INDEX(AV$10:AV$11,Предпосылки!$I$220,),0))*IFERROR(INDEX(AV$10:AV$11,Предпосылки!$I$220,),0))</f>
        <v>0</v>
      </c>
      <c s="125">
        <f>SUM(AW41/(1+IFERROR(INDEX(AW$10:AW$11,Предпосылки!$I$201,),0))*IFERROR(INDEX(AW$10:AW$11,Предпосылки!$I$201,),0),AW64/(1+IFERROR(INDEX(AW$10:AW$11,Предпосылки!$I$202,),0))*IFERROR(INDEX(AW$10:AW$11,Предпосылки!$I$202,),0),AW87/(1+IFERROR(INDEX(AW$10:AW$11,Предпосылки!$I$203,),0))*IFERROR(INDEX(AW$10:AW$11,Предпосылки!$I$203,),0),AW110/(1+IFERROR(INDEX(AW$10:AW$11,Предпосылки!$I$204,),0))*IFERROR(INDEX(AW$10:AW$11,Предпосылки!$I$204,),0),AW133/(1+IFERROR(INDEX(AW$10:AW$11,Предпосылки!$I$205,),0))*IFERROR(INDEX(AW$10:AW$11,Предпосылки!$I$205,),0),AW156/(1+IFERROR(INDEX(AW$10:AW$11,Предпосылки!$I$206,),0))*IFERROR(INDEX(AW$10:AW$11,Предпосылки!$I$206,),0),AW179/(1+IFERROR(INDEX(AW$10:AW$11,Предпосылки!$I$207,),0))*IFERROR(INDEX(AW$10:AW$11,Предпосылки!$I$207,),0),AW202/(1+IFERROR(INDEX(AW$10:AW$11,Предпосылки!$I$208,),0))*IFERROR(INDEX(AW$10:AW$11,Предпосылки!$I$208,),0),AW225/(1+IFERROR(INDEX(AW$10:AW$11,Предпосылки!$I$209,),0))*IFERROR(INDEX(AW$10:AW$11,Предпосылки!$I$209,),0),AW248/(1+IFERROR(INDEX(AW$10:AW$11,Предпосылки!$I$210,),0))*IFERROR(INDEX(AW$10:AW$11,Предпосылки!$I$210,),0),AW271/(1+IFERROR(INDEX(AW$10:AW$11,Предпосылки!$I$211,),0))*IFERROR(INDEX(AW$10:AW$11,Предпосылки!$I$211,),0),AW294/(1+IFERROR(INDEX(AW$10:AW$11,Предпосылки!$I$212,),0))*IFERROR(INDEX(AW$10:AW$11,Предпосылки!$I$212,),0),AW317/(1+IFERROR(INDEX(AW$10:AW$11,Предпосылки!$I$213,),0))*IFERROR(INDEX(AW$10:AW$11,Предпосылки!$I$213,),0),AW340/(1+IFERROR(INDEX(AW$10:AW$11,Предпосылки!$I$214,),0))*IFERROR(INDEX(AW$10:AW$11,Предпосылки!$I$214,),0),AW363/(1+IFERROR(INDEX(AW$10:AW$11,Предпосылки!$I$215,),0))*IFERROR(INDEX(AW$10:AW$11,Предпосылки!$I$215,),0),AW386/(1+IFERROR(INDEX(AW$10:AW$11,Предпосылки!$I$216,),0))*IFERROR(INDEX(AW$10:AW$11,Предпосылки!$I$216,),0),AW409/(1+IFERROR(INDEX(AW$10:AW$11,Предпосылки!$I$217,),0))*IFERROR(INDEX(AW$10:AW$11,Предпосылки!$I$217,),0),AW432/(1+IFERROR(INDEX(AW$10:AW$11,Предпосылки!$I$218,),0))*IFERROR(INDEX(AW$10:AW$11,Предпосылки!$I$218,),0),AW455/(1+IFERROR(INDEX(AW$10:AW$11,Предпосылки!$I$219,),0))*IFERROR(INDEX(AW$10:AW$11,Предпосылки!$I$219,),0),AW478/(1+IFERROR(INDEX(AW$10:AW$11,Предпосылки!$I$220,),0))*IFERROR(INDEX(AW$10:AW$11,Предпосылки!$I$220,),0))</f>
        <v>0</v>
      </c>
      <c s="125">
        <f>SUM(AX41/(1+IFERROR(INDEX(AX$10:AX$11,Предпосылки!$I$201,),0))*IFERROR(INDEX(AX$10:AX$11,Предпосылки!$I$201,),0),AX64/(1+IFERROR(INDEX(AX$10:AX$11,Предпосылки!$I$202,),0))*IFERROR(INDEX(AX$10:AX$11,Предпосылки!$I$202,),0),AX87/(1+IFERROR(INDEX(AX$10:AX$11,Предпосылки!$I$203,),0))*IFERROR(INDEX(AX$10:AX$11,Предпосылки!$I$203,),0),AX110/(1+IFERROR(INDEX(AX$10:AX$11,Предпосылки!$I$204,),0))*IFERROR(INDEX(AX$10:AX$11,Предпосылки!$I$204,),0),AX133/(1+IFERROR(INDEX(AX$10:AX$11,Предпосылки!$I$205,),0))*IFERROR(INDEX(AX$10:AX$11,Предпосылки!$I$205,),0),AX156/(1+IFERROR(INDEX(AX$10:AX$11,Предпосылки!$I$206,),0))*IFERROR(INDEX(AX$10:AX$11,Предпосылки!$I$206,),0),AX179/(1+IFERROR(INDEX(AX$10:AX$11,Предпосылки!$I$207,),0))*IFERROR(INDEX(AX$10:AX$11,Предпосылки!$I$207,),0),AX202/(1+IFERROR(INDEX(AX$10:AX$11,Предпосылки!$I$208,),0))*IFERROR(INDEX(AX$10:AX$11,Предпосылки!$I$208,),0),AX225/(1+IFERROR(INDEX(AX$10:AX$11,Предпосылки!$I$209,),0))*IFERROR(INDEX(AX$10:AX$11,Предпосылки!$I$209,),0),AX248/(1+IFERROR(INDEX(AX$10:AX$11,Предпосылки!$I$210,),0))*IFERROR(INDEX(AX$10:AX$11,Предпосылки!$I$210,),0),AX271/(1+IFERROR(INDEX(AX$10:AX$11,Предпосылки!$I$211,),0))*IFERROR(INDEX(AX$10:AX$11,Предпосылки!$I$211,),0),AX294/(1+IFERROR(INDEX(AX$10:AX$11,Предпосылки!$I$212,),0))*IFERROR(INDEX(AX$10:AX$11,Предпосылки!$I$212,),0),AX317/(1+IFERROR(INDEX(AX$10:AX$11,Предпосылки!$I$213,),0))*IFERROR(INDEX(AX$10:AX$11,Предпосылки!$I$213,),0),AX340/(1+IFERROR(INDEX(AX$10:AX$11,Предпосылки!$I$214,),0))*IFERROR(INDEX(AX$10:AX$11,Предпосылки!$I$214,),0),AX363/(1+IFERROR(INDEX(AX$10:AX$11,Предпосылки!$I$215,),0))*IFERROR(INDEX(AX$10:AX$11,Предпосылки!$I$215,),0),AX386/(1+IFERROR(INDEX(AX$10:AX$11,Предпосылки!$I$216,),0))*IFERROR(INDEX(AX$10:AX$11,Предпосылки!$I$216,),0),AX409/(1+IFERROR(INDEX(AX$10:AX$11,Предпосылки!$I$217,),0))*IFERROR(INDEX(AX$10:AX$11,Предпосылки!$I$217,),0),AX432/(1+IFERROR(INDEX(AX$10:AX$11,Предпосылки!$I$218,),0))*IFERROR(INDEX(AX$10:AX$11,Предпосылки!$I$218,),0),AX455/(1+IFERROR(INDEX(AX$10:AX$11,Предпосылки!$I$219,),0))*IFERROR(INDEX(AX$10:AX$11,Предпосылки!$I$219,),0),AX478/(1+IFERROR(INDEX(AX$10:AX$11,Предпосылки!$I$220,),0))*IFERROR(INDEX(AX$10:AX$11,Предпосылки!$I$220,),0))</f>
        <v>0</v>
      </c>
      <c s="125">
        <f>SUM(AY41/(1+IFERROR(INDEX(AY$10:AY$11,Предпосылки!$I$201,),0))*IFERROR(INDEX(AY$10:AY$11,Предпосылки!$I$201,),0),AY64/(1+IFERROR(INDEX(AY$10:AY$11,Предпосылки!$I$202,),0))*IFERROR(INDEX(AY$10:AY$11,Предпосылки!$I$202,),0),AY87/(1+IFERROR(INDEX(AY$10:AY$11,Предпосылки!$I$203,),0))*IFERROR(INDEX(AY$10:AY$11,Предпосылки!$I$203,),0),AY110/(1+IFERROR(INDEX(AY$10:AY$11,Предпосылки!$I$204,),0))*IFERROR(INDEX(AY$10:AY$11,Предпосылки!$I$204,),0),AY133/(1+IFERROR(INDEX(AY$10:AY$11,Предпосылки!$I$205,),0))*IFERROR(INDEX(AY$10:AY$11,Предпосылки!$I$205,),0),AY156/(1+IFERROR(INDEX(AY$10:AY$11,Предпосылки!$I$206,),0))*IFERROR(INDEX(AY$10:AY$11,Предпосылки!$I$206,),0),AY179/(1+IFERROR(INDEX(AY$10:AY$11,Предпосылки!$I$207,),0))*IFERROR(INDEX(AY$10:AY$11,Предпосылки!$I$207,),0),AY202/(1+IFERROR(INDEX(AY$10:AY$11,Предпосылки!$I$208,),0))*IFERROR(INDEX(AY$10:AY$11,Предпосылки!$I$208,),0),AY225/(1+IFERROR(INDEX(AY$10:AY$11,Предпосылки!$I$209,),0))*IFERROR(INDEX(AY$10:AY$11,Предпосылки!$I$209,),0),AY248/(1+IFERROR(INDEX(AY$10:AY$11,Предпосылки!$I$210,),0))*IFERROR(INDEX(AY$10:AY$11,Предпосылки!$I$210,),0),AY271/(1+IFERROR(INDEX(AY$10:AY$11,Предпосылки!$I$211,),0))*IFERROR(INDEX(AY$10:AY$11,Предпосылки!$I$211,),0),AY294/(1+IFERROR(INDEX(AY$10:AY$11,Предпосылки!$I$212,),0))*IFERROR(INDEX(AY$10:AY$11,Предпосылки!$I$212,),0),AY317/(1+IFERROR(INDEX(AY$10:AY$11,Предпосылки!$I$213,),0))*IFERROR(INDEX(AY$10:AY$11,Предпосылки!$I$213,),0),AY340/(1+IFERROR(INDEX(AY$10:AY$11,Предпосылки!$I$214,),0))*IFERROR(INDEX(AY$10:AY$11,Предпосылки!$I$214,),0),AY363/(1+IFERROR(INDEX(AY$10:AY$11,Предпосылки!$I$215,),0))*IFERROR(INDEX(AY$10:AY$11,Предпосылки!$I$215,),0),AY386/(1+IFERROR(INDEX(AY$10:AY$11,Предпосылки!$I$216,),0))*IFERROR(INDEX(AY$10:AY$11,Предпосылки!$I$216,),0),AY409/(1+IFERROR(INDEX(AY$10:AY$11,Предпосылки!$I$217,),0))*IFERROR(INDEX(AY$10:AY$11,Предпосылки!$I$217,),0),AY432/(1+IFERROR(INDEX(AY$10:AY$11,Предпосылки!$I$218,),0))*IFERROR(INDEX(AY$10:AY$11,Предпосылки!$I$218,),0),AY455/(1+IFERROR(INDEX(AY$10:AY$11,Предпосылки!$I$219,),0))*IFERROR(INDEX(AY$10:AY$11,Предпосылки!$I$219,),0),AY478/(1+IFERROR(INDEX(AY$10:AY$11,Предпосылки!$I$220,),0))*IFERROR(INDEX(AY$10:AY$11,Предпосылки!$I$220,),0))</f>
        <v>0</v>
      </c>
      <c s="125">
        <f>SUM(AZ41/(1+IFERROR(INDEX(AZ$10:AZ$11,Предпосылки!$I$201,),0))*IFERROR(INDEX(AZ$10:AZ$11,Предпосылки!$I$201,),0),AZ64/(1+IFERROR(INDEX(AZ$10:AZ$11,Предпосылки!$I$202,),0))*IFERROR(INDEX(AZ$10:AZ$11,Предпосылки!$I$202,),0),AZ87/(1+IFERROR(INDEX(AZ$10:AZ$11,Предпосылки!$I$203,),0))*IFERROR(INDEX(AZ$10:AZ$11,Предпосылки!$I$203,),0),AZ110/(1+IFERROR(INDEX(AZ$10:AZ$11,Предпосылки!$I$204,),0))*IFERROR(INDEX(AZ$10:AZ$11,Предпосылки!$I$204,),0),AZ133/(1+IFERROR(INDEX(AZ$10:AZ$11,Предпосылки!$I$205,),0))*IFERROR(INDEX(AZ$10:AZ$11,Предпосылки!$I$205,),0),AZ156/(1+IFERROR(INDEX(AZ$10:AZ$11,Предпосылки!$I$206,),0))*IFERROR(INDEX(AZ$10:AZ$11,Предпосылки!$I$206,),0),AZ179/(1+IFERROR(INDEX(AZ$10:AZ$11,Предпосылки!$I$207,),0))*IFERROR(INDEX(AZ$10:AZ$11,Предпосылки!$I$207,),0),AZ202/(1+IFERROR(INDEX(AZ$10:AZ$11,Предпосылки!$I$208,),0))*IFERROR(INDEX(AZ$10:AZ$11,Предпосылки!$I$208,),0),AZ225/(1+IFERROR(INDEX(AZ$10:AZ$11,Предпосылки!$I$209,),0))*IFERROR(INDEX(AZ$10:AZ$11,Предпосылки!$I$209,),0),AZ248/(1+IFERROR(INDEX(AZ$10:AZ$11,Предпосылки!$I$210,),0))*IFERROR(INDEX(AZ$10:AZ$11,Предпосылки!$I$210,),0),AZ271/(1+IFERROR(INDEX(AZ$10:AZ$11,Предпосылки!$I$211,),0))*IFERROR(INDEX(AZ$10:AZ$11,Предпосылки!$I$211,),0),AZ294/(1+IFERROR(INDEX(AZ$10:AZ$11,Предпосылки!$I$212,),0))*IFERROR(INDEX(AZ$10:AZ$11,Предпосылки!$I$212,),0),AZ317/(1+IFERROR(INDEX(AZ$10:AZ$11,Предпосылки!$I$213,),0))*IFERROR(INDEX(AZ$10:AZ$11,Предпосылки!$I$213,),0),AZ340/(1+IFERROR(INDEX(AZ$10:AZ$11,Предпосылки!$I$214,),0))*IFERROR(INDEX(AZ$10:AZ$11,Предпосылки!$I$214,),0),AZ363/(1+IFERROR(INDEX(AZ$10:AZ$11,Предпосылки!$I$215,),0))*IFERROR(INDEX(AZ$10:AZ$11,Предпосылки!$I$215,),0),AZ386/(1+IFERROR(INDEX(AZ$10:AZ$11,Предпосылки!$I$216,),0))*IFERROR(INDEX(AZ$10:AZ$11,Предпосылки!$I$216,),0),AZ409/(1+IFERROR(INDEX(AZ$10:AZ$11,Предпосылки!$I$217,),0))*IFERROR(INDEX(AZ$10:AZ$11,Предпосылки!$I$217,),0),AZ432/(1+IFERROR(INDEX(AZ$10:AZ$11,Предпосылки!$I$218,),0))*IFERROR(INDEX(AZ$10:AZ$11,Предпосылки!$I$218,),0),AZ455/(1+IFERROR(INDEX(AZ$10:AZ$11,Предпосылки!$I$219,),0))*IFERROR(INDEX(AZ$10:AZ$11,Предпосылки!$I$219,),0),AZ478/(1+IFERROR(INDEX(AZ$10:AZ$11,Предпосылки!$I$220,),0))*IFERROR(INDEX(AZ$10:AZ$11,Предпосылки!$I$220,),0))</f>
        <v>0</v>
      </c>
      <c s="125">
        <f>SUM(BA41/(1+IFERROR(INDEX(BA$10:BA$11,Предпосылки!$I$201,),0))*IFERROR(INDEX(BA$10:BA$11,Предпосылки!$I$201,),0),BA64/(1+IFERROR(INDEX(BA$10:BA$11,Предпосылки!$I$202,),0))*IFERROR(INDEX(BA$10:BA$11,Предпосылки!$I$202,),0),BA87/(1+IFERROR(INDEX(BA$10:BA$11,Предпосылки!$I$203,),0))*IFERROR(INDEX(BA$10:BA$11,Предпосылки!$I$203,),0),BA110/(1+IFERROR(INDEX(BA$10:BA$11,Предпосылки!$I$204,),0))*IFERROR(INDEX(BA$10:BA$11,Предпосылки!$I$204,),0),BA133/(1+IFERROR(INDEX(BA$10:BA$11,Предпосылки!$I$205,),0))*IFERROR(INDEX(BA$10:BA$11,Предпосылки!$I$205,),0),BA156/(1+IFERROR(INDEX(BA$10:BA$11,Предпосылки!$I$206,),0))*IFERROR(INDEX(BA$10:BA$11,Предпосылки!$I$206,),0),BA179/(1+IFERROR(INDEX(BA$10:BA$11,Предпосылки!$I$207,),0))*IFERROR(INDEX(BA$10:BA$11,Предпосылки!$I$207,),0),BA202/(1+IFERROR(INDEX(BA$10:BA$11,Предпосылки!$I$208,),0))*IFERROR(INDEX(BA$10:BA$11,Предпосылки!$I$208,),0),BA225/(1+IFERROR(INDEX(BA$10:BA$11,Предпосылки!$I$209,),0))*IFERROR(INDEX(BA$10:BA$11,Предпосылки!$I$209,),0),BA248/(1+IFERROR(INDEX(BA$10:BA$11,Предпосылки!$I$210,),0))*IFERROR(INDEX(BA$10:BA$11,Предпосылки!$I$210,),0),BA271/(1+IFERROR(INDEX(BA$10:BA$11,Предпосылки!$I$211,),0))*IFERROR(INDEX(BA$10:BA$11,Предпосылки!$I$211,),0),BA294/(1+IFERROR(INDEX(BA$10:BA$11,Предпосылки!$I$212,),0))*IFERROR(INDEX(BA$10:BA$11,Предпосылки!$I$212,),0),BA317/(1+IFERROR(INDEX(BA$10:BA$11,Предпосылки!$I$213,),0))*IFERROR(INDEX(BA$10:BA$11,Предпосылки!$I$213,),0),BA340/(1+IFERROR(INDEX(BA$10:BA$11,Предпосылки!$I$214,),0))*IFERROR(INDEX(BA$10:BA$11,Предпосылки!$I$214,),0),BA363/(1+IFERROR(INDEX(BA$10:BA$11,Предпосылки!$I$215,),0))*IFERROR(INDEX(BA$10:BA$11,Предпосылки!$I$215,),0),BA386/(1+IFERROR(INDEX(BA$10:BA$11,Предпосылки!$I$216,),0))*IFERROR(INDEX(BA$10:BA$11,Предпосылки!$I$216,),0),BA409/(1+IFERROR(INDEX(BA$10:BA$11,Предпосылки!$I$217,),0))*IFERROR(INDEX(BA$10:BA$11,Предпосылки!$I$217,),0),BA432/(1+IFERROR(INDEX(BA$10:BA$11,Предпосылки!$I$218,),0))*IFERROR(INDEX(BA$10:BA$11,Предпосылки!$I$218,),0),BA455/(1+IFERROR(INDEX(BA$10:BA$11,Предпосылки!$I$219,),0))*IFERROR(INDEX(BA$10:BA$11,Предпосылки!$I$219,),0),BA478/(1+IFERROR(INDEX(BA$10:BA$11,Предпосылки!$I$220,),0))*IFERROR(INDEX(BA$10:BA$11,Предпосылки!$I$220,),0))</f>
        <v>0</v>
      </c>
      <c s="125">
        <f>SUM(BB41/(1+IFERROR(INDEX(BB$10:BB$11,Предпосылки!$I$201,),0))*IFERROR(INDEX(BB$10:BB$11,Предпосылки!$I$201,),0),BB64/(1+IFERROR(INDEX(BB$10:BB$11,Предпосылки!$I$202,),0))*IFERROR(INDEX(BB$10:BB$11,Предпосылки!$I$202,),0),BB87/(1+IFERROR(INDEX(BB$10:BB$11,Предпосылки!$I$203,),0))*IFERROR(INDEX(BB$10:BB$11,Предпосылки!$I$203,),0),BB110/(1+IFERROR(INDEX(BB$10:BB$11,Предпосылки!$I$204,),0))*IFERROR(INDEX(BB$10:BB$11,Предпосылки!$I$204,),0),BB133/(1+IFERROR(INDEX(BB$10:BB$11,Предпосылки!$I$205,),0))*IFERROR(INDEX(BB$10:BB$11,Предпосылки!$I$205,),0),BB156/(1+IFERROR(INDEX(BB$10:BB$11,Предпосылки!$I$206,),0))*IFERROR(INDEX(BB$10:BB$11,Предпосылки!$I$206,),0),BB179/(1+IFERROR(INDEX(BB$10:BB$11,Предпосылки!$I$207,),0))*IFERROR(INDEX(BB$10:BB$11,Предпосылки!$I$207,),0),BB202/(1+IFERROR(INDEX(BB$10:BB$11,Предпосылки!$I$208,),0))*IFERROR(INDEX(BB$10:BB$11,Предпосылки!$I$208,),0),BB225/(1+IFERROR(INDEX(BB$10:BB$11,Предпосылки!$I$209,),0))*IFERROR(INDEX(BB$10:BB$11,Предпосылки!$I$209,),0),BB248/(1+IFERROR(INDEX(BB$10:BB$11,Предпосылки!$I$210,),0))*IFERROR(INDEX(BB$10:BB$11,Предпосылки!$I$210,),0),BB271/(1+IFERROR(INDEX(BB$10:BB$11,Предпосылки!$I$211,),0))*IFERROR(INDEX(BB$10:BB$11,Предпосылки!$I$211,),0),BB294/(1+IFERROR(INDEX(BB$10:BB$11,Предпосылки!$I$212,),0))*IFERROR(INDEX(BB$10:BB$11,Предпосылки!$I$212,),0),BB317/(1+IFERROR(INDEX(BB$10:BB$11,Предпосылки!$I$213,),0))*IFERROR(INDEX(BB$10:BB$11,Предпосылки!$I$213,),0),BB340/(1+IFERROR(INDEX(BB$10:BB$11,Предпосылки!$I$214,),0))*IFERROR(INDEX(BB$10:BB$11,Предпосылки!$I$214,),0),BB363/(1+IFERROR(INDEX(BB$10:BB$11,Предпосылки!$I$215,),0))*IFERROR(INDEX(BB$10:BB$11,Предпосылки!$I$215,),0),BB386/(1+IFERROR(INDEX(BB$10:BB$11,Предпосылки!$I$216,),0))*IFERROR(INDEX(BB$10:BB$11,Предпосылки!$I$216,),0),BB409/(1+IFERROR(INDEX(BB$10:BB$11,Предпосылки!$I$217,),0))*IFERROR(INDEX(BB$10:BB$11,Предпосылки!$I$217,),0),BB432/(1+IFERROR(INDEX(BB$10:BB$11,Предпосылки!$I$218,),0))*IFERROR(INDEX(BB$10:BB$11,Предпосылки!$I$218,),0),BB455/(1+IFERROR(INDEX(BB$10:BB$11,Предпосылки!$I$219,),0))*IFERROR(INDEX(BB$10:BB$11,Предпосылки!$I$219,),0),BB478/(1+IFERROR(INDEX(BB$10:BB$11,Предпосылки!$I$220,),0))*IFERROR(INDEX(BB$10:BB$11,Предпосылки!$I$220,),0))</f>
        <v>0</v>
      </c>
      <c s="125">
        <f>SUM(BC41/(1+IFERROR(INDEX(BC$10:BC$11,Предпосылки!$I$201,),0))*IFERROR(INDEX(BC$10:BC$11,Предпосылки!$I$201,),0),BC64/(1+IFERROR(INDEX(BC$10:BC$11,Предпосылки!$I$202,),0))*IFERROR(INDEX(BC$10:BC$11,Предпосылки!$I$202,),0),BC87/(1+IFERROR(INDEX(BC$10:BC$11,Предпосылки!$I$203,),0))*IFERROR(INDEX(BC$10:BC$11,Предпосылки!$I$203,),0),BC110/(1+IFERROR(INDEX(BC$10:BC$11,Предпосылки!$I$204,),0))*IFERROR(INDEX(BC$10:BC$11,Предпосылки!$I$204,),0),BC133/(1+IFERROR(INDEX(BC$10:BC$11,Предпосылки!$I$205,),0))*IFERROR(INDEX(BC$10:BC$11,Предпосылки!$I$205,),0),BC156/(1+IFERROR(INDEX(BC$10:BC$11,Предпосылки!$I$206,),0))*IFERROR(INDEX(BC$10:BC$11,Предпосылки!$I$206,),0),BC179/(1+IFERROR(INDEX(BC$10:BC$11,Предпосылки!$I$207,),0))*IFERROR(INDEX(BC$10:BC$11,Предпосылки!$I$207,),0),BC202/(1+IFERROR(INDEX(BC$10:BC$11,Предпосылки!$I$208,),0))*IFERROR(INDEX(BC$10:BC$11,Предпосылки!$I$208,),0),BC225/(1+IFERROR(INDEX(BC$10:BC$11,Предпосылки!$I$209,),0))*IFERROR(INDEX(BC$10:BC$11,Предпосылки!$I$209,),0),BC248/(1+IFERROR(INDEX(BC$10:BC$11,Предпосылки!$I$210,),0))*IFERROR(INDEX(BC$10:BC$11,Предпосылки!$I$210,),0),BC271/(1+IFERROR(INDEX(BC$10:BC$11,Предпосылки!$I$211,),0))*IFERROR(INDEX(BC$10:BC$11,Предпосылки!$I$211,),0),BC294/(1+IFERROR(INDEX(BC$10:BC$11,Предпосылки!$I$212,),0))*IFERROR(INDEX(BC$10:BC$11,Предпосылки!$I$212,),0),BC317/(1+IFERROR(INDEX(BC$10:BC$11,Предпосылки!$I$213,),0))*IFERROR(INDEX(BC$10:BC$11,Предпосылки!$I$213,),0),BC340/(1+IFERROR(INDEX(BC$10:BC$11,Предпосылки!$I$214,),0))*IFERROR(INDEX(BC$10:BC$11,Предпосылки!$I$214,),0),BC363/(1+IFERROR(INDEX(BC$10:BC$11,Предпосылки!$I$215,),0))*IFERROR(INDEX(BC$10:BC$11,Предпосылки!$I$215,),0),BC386/(1+IFERROR(INDEX(BC$10:BC$11,Предпосылки!$I$216,),0))*IFERROR(INDEX(BC$10:BC$11,Предпосылки!$I$216,),0),BC409/(1+IFERROR(INDEX(BC$10:BC$11,Предпосылки!$I$217,),0))*IFERROR(INDEX(BC$10:BC$11,Предпосылки!$I$217,),0),BC432/(1+IFERROR(INDEX(BC$10:BC$11,Предпосылки!$I$218,),0))*IFERROR(INDEX(BC$10:BC$11,Предпосылки!$I$218,),0),BC455/(1+IFERROR(INDEX(BC$10:BC$11,Предпосылки!$I$219,),0))*IFERROR(INDEX(BC$10:BC$11,Предпосылки!$I$219,),0),BC478/(1+IFERROR(INDEX(BC$10:BC$11,Предпосылки!$I$220,),0))*IFERROR(INDEX(BC$10:BC$11,Предпосылки!$I$220,),0))</f>
        <v>0</v>
      </c>
      <c s="125">
        <f>SUM(BD41/(1+IFERROR(INDEX(BD$10:BD$11,Предпосылки!$I$201,),0))*IFERROR(INDEX(BD$10:BD$11,Предпосылки!$I$201,),0),BD64/(1+IFERROR(INDEX(BD$10:BD$11,Предпосылки!$I$202,),0))*IFERROR(INDEX(BD$10:BD$11,Предпосылки!$I$202,),0),BD87/(1+IFERROR(INDEX(BD$10:BD$11,Предпосылки!$I$203,),0))*IFERROR(INDEX(BD$10:BD$11,Предпосылки!$I$203,),0),BD110/(1+IFERROR(INDEX(BD$10:BD$11,Предпосылки!$I$204,),0))*IFERROR(INDEX(BD$10:BD$11,Предпосылки!$I$204,),0),BD133/(1+IFERROR(INDEX(BD$10:BD$11,Предпосылки!$I$205,),0))*IFERROR(INDEX(BD$10:BD$11,Предпосылки!$I$205,),0),BD156/(1+IFERROR(INDEX(BD$10:BD$11,Предпосылки!$I$206,),0))*IFERROR(INDEX(BD$10:BD$11,Предпосылки!$I$206,),0),BD179/(1+IFERROR(INDEX(BD$10:BD$11,Предпосылки!$I$207,),0))*IFERROR(INDEX(BD$10:BD$11,Предпосылки!$I$207,),0),BD202/(1+IFERROR(INDEX(BD$10:BD$11,Предпосылки!$I$208,),0))*IFERROR(INDEX(BD$10:BD$11,Предпосылки!$I$208,),0),BD225/(1+IFERROR(INDEX(BD$10:BD$11,Предпосылки!$I$209,),0))*IFERROR(INDEX(BD$10:BD$11,Предпосылки!$I$209,),0),BD248/(1+IFERROR(INDEX(BD$10:BD$11,Предпосылки!$I$210,),0))*IFERROR(INDEX(BD$10:BD$11,Предпосылки!$I$210,),0),BD271/(1+IFERROR(INDEX(BD$10:BD$11,Предпосылки!$I$211,),0))*IFERROR(INDEX(BD$10:BD$11,Предпосылки!$I$211,),0),BD294/(1+IFERROR(INDEX(BD$10:BD$11,Предпосылки!$I$212,),0))*IFERROR(INDEX(BD$10:BD$11,Предпосылки!$I$212,),0),BD317/(1+IFERROR(INDEX(BD$10:BD$11,Предпосылки!$I$213,),0))*IFERROR(INDEX(BD$10:BD$11,Предпосылки!$I$213,),0),BD340/(1+IFERROR(INDEX(BD$10:BD$11,Предпосылки!$I$214,),0))*IFERROR(INDEX(BD$10:BD$11,Предпосылки!$I$214,),0),BD363/(1+IFERROR(INDEX(BD$10:BD$11,Предпосылки!$I$215,),0))*IFERROR(INDEX(BD$10:BD$11,Предпосылки!$I$215,),0),BD386/(1+IFERROR(INDEX(BD$10:BD$11,Предпосылки!$I$216,),0))*IFERROR(INDEX(BD$10:BD$11,Предпосылки!$I$216,),0),BD409/(1+IFERROR(INDEX(BD$10:BD$11,Предпосылки!$I$217,),0))*IFERROR(INDEX(BD$10:BD$11,Предпосылки!$I$217,),0),BD432/(1+IFERROR(INDEX(BD$10:BD$11,Предпосылки!$I$218,),0))*IFERROR(INDEX(BD$10:BD$11,Предпосылки!$I$218,),0),BD455/(1+IFERROR(INDEX(BD$10:BD$11,Предпосылки!$I$219,),0))*IFERROR(INDEX(BD$10:BD$11,Предпосылки!$I$219,),0),BD478/(1+IFERROR(INDEX(BD$10:BD$11,Предпосылки!$I$220,),0))*IFERROR(INDEX(BD$10:BD$11,Предпосылки!$I$220,),0))</f>
        <v>0</v>
      </c>
      <c s="125">
        <f>SUM(BE41/(1+IFERROR(INDEX(BE$10:BE$11,Предпосылки!$I$201,),0))*IFERROR(INDEX(BE$10:BE$11,Предпосылки!$I$201,),0),BE64/(1+IFERROR(INDEX(BE$10:BE$11,Предпосылки!$I$202,),0))*IFERROR(INDEX(BE$10:BE$11,Предпосылки!$I$202,),0),BE87/(1+IFERROR(INDEX(BE$10:BE$11,Предпосылки!$I$203,),0))*IFERROR(INDEX(BE$10:BE$11,Предпосылки!$I$203,),0),BE110/(1+IFERROR(INDEX(BE$10:BE$11,Предпосылки!$I$204,),0))*IFERROR(INDEX(BE$10:BE$11,Предпосылки!$I$204,),0),BE133/(1+IFERROR(INDEX(BE$10:BE$11,Предпосылки!$I$205,),0))*IFERROR(INDEX(BE$10:BE$11,Предпосылки!$I$205,),0),BE156/(1+IFERROR(INDEX(BE$10:BE$11,Предпосылки!$I$206,),0))*IFERROR(INDEX(BE$10:BE$11,Предпосылки!$I$206,),0),BE179/(1+IFERROR(INDEX(BE$10:BE$11,Предпосылки!$I$207,),0))*IFERROR(INDEX(BE$10:BE$11,Предпосылки!$I$207,),0),BE202/(1+IFERROR(INDEX(BE$10:BE$11,Предпосылки!$I$208,),0))*IFERROR(INDEX(BE$10:BE$11,Предпосылки!$I$208,),0),BE225/(1+IFERROR(INDEX(BE$10:BE$11,Предпосылки!$I$209,),0))*IFERROR(INDEX(BE$10:BE$11,Предпосылки!$I$209,),0),BE248/(1+IFERROR(INDEX(BE$10:BE$11,Предпосылки!$I$210,),0))*IFERROR(INDEX(BE$10:BE$11,Предпосылки!$I$210,),0),BE271/(1+IFERROR(INDEX(BE$10:BE$11,Предпосылки!$I$211,),0))*IFERROR(INDEX(BE$10:BE$11,Предпосылки!$I$211,),0),BE294/(1+IFERROR(INDEX(BE$10:BE$11,Предпосылки!$I$212,),0))*IFERROR(INDEX(BE$10:BE$11,Предпосылки!$I$212,),0),BE317/(1+IFERROR(INDEX(BE$10:BE$11,Предпосылки!$I$213,),0))*IFERROR(INDEX(BE$10:BE$11,Предпосылки!$I$213,),0),BE340/(1+IFERROR(INDEX(BE$10:BE$11,Предпосылки!$I$214,),0))*IFERROR(INDEX(BE$10:BE$11,Предпосылки!$I$214,),0),BE363/(1+IFERROR(INDEX(BE$10:BE$11,Предпосылки!$I$215,),0))*IFERROR(INDEX(BE$10:BE$11,Предпосылки!$I$215,),0),BE386/(1+IFERROR(INDEX(BE$10:BE$11,Предпосылки!$I$216,),0))*IFERROR(INDEX(BE$10:BE$11,Предпосылки!$I$216,),0),BE409/(1+IFERROR(INDEX(BE$10:BE$11,Предпосылки!$I$217,),0))*IFERROR(INDEX(BE$10:BE$11,Предпосылки!$I$217,),0),BE432/(1+IFERROR(INDEX(BE$10:BE$11,Предпосылки!$I$218,),0))*IFERROR(INDEX(BE$10:BE$11,Предпосылки!$I$218,),0),BE455/(1+IFERROR(INDEX(BE$10:BE$11,Предпосылки!$I$219,),0))*IFERROR(INDEX(BE$10:BE$11,Предпосылки!$I$219,),0),BE478/(1+IFERROR(INDEX(BE$10:BE$11,Предпосылки!$I$220,),0))*IFERROR(INDEX(BE$10:BE$11,Предпосылки!$I$220,),0))</f>
        <v>0</v>
      </c>
      <c s="125">
        <f>SUM(BF41/(1+IFERROR(INDEX(BF$10:BF$11,Предпосылки!$I$201,),0))*IFERROR(INDEX(BF$10:BF$11,Предпосылки!$I$201,),0),BF64/(1+IFERROR(INDEX(BF$10:BF$11,Предпосылки!$I$202,),0))*IFERROR(INDEX(BF$10:BF$11,Предпосылки!$I$202,),0),BF87/(1+IFERROR(INDEX(BF$10:BF$11,Предпосылки!$I$203,),0))*IFERROR(INDEX(BF$10:BF$11,Предпосылки!$I$203,),0),BF110/(1+IFERROR(INDEX(BF$10:BF$11,Предпосылки!$I$204,),0))*IFERROR(INDEX(BF$10:BF$11,Предпосылки!$I$204,),0),BF133/(1+IFERROR(INDEX(BF$10:BF$11,Предпосылки!$I$205,),0))*IFERROR(INDEX(BF$10:BF$11,Предпосылки!$I$205,),0),BF156/(1+IFERROR(INDEX(BF$10:BF$11,Предпосылки!$I$206,),0))*IFERROR(INDEX(BF$10:BF$11,Предпосылки!$I$206,),0),BF179/(1+IFERROR(INDEX(BF$10:BF$11,Предпосылки!$I$207,),0))*IFERROR(INDEX(BF$10:BF$11,Предпосылки!$I$207,),0),BF202/(1+IFERROR(INDEX(BF$10:BF$11,Предпосылки!$I$208,),0))*IFERROR(INDEX(BF$10:BF$11,Предпосылки!$I$208,),0),BF225/(1+IFERROR(INDEX(BF$10:BF$11,Предпосылки!$I$209,),0))*IFERROR(INDEX(BF$10:BF$11,Предпосылки!$I$209,),0),BF248/(1+IFERROR(INDEX(BF$10:BF$11,Предпосылки!$I$210,),0))*IFERROR(INDEX(BF$10:BF$11,Предпосылки!$I$210,),0),BF271/(1+IFERROR(INDEX(BF$10:BF$11,Предпосылки!$I$211,),0))*IFERROR(INDEX(BF$10:BF$11,Предпосылки!$I$211,),0),BF294/(1+IFERROR(INDEX(BF$10:BF$11,Предпосылки!$I$212,),0))*IFERROR(INDEX(BF$10:BF$11,Предпосылки!$I$212,),0),BF317/(1+IFERROR(INDEX(BF$10:BF$11,Предпосылки!$I$213,),0))*IFERROR(INDEX(BF$10:BF$11,Предпосылки!$I$213,),0),BF340/(1+IFERROR(INDEX(BF$10:BF$11,Предпосылки!$I$214,),0))*IFERROR(INDEX(BF$10:BF$11,Предпосылки!$I$214,),0),BF363/(1+IFERROR(INDEX(BF$10:BF$11,Предпосылки!$I$215,),0))*IFERROR(INDEX(BF$10:BF$11,Предпосылки!$I$215,),0),BF386/(1+IFERROR(INDEX(BF$10:BF$11,Предпосылки!$I$216,),0))*IFERROR(INDEX(BF$10:BF$11,Предпосылки!$I$216,),0),BF409/(1+IFERROR(INDEX(BF$10:BF$11,Предпосылки!$I$217,),0))*IFERROR(INDEX(BF$10:BF$11,Предпосылки!$I$217,),0),BF432/(1+IFERROR(INDEX(BF$10:BF$11,Предпосылки!$I$218,),0))*IFERROR(INDEX(BF$10:BF$11,Предпосылки!$I$218,),0),BF455/(1+IFERROR(INDEX(BF$10:BF$11,Предпосылки!$I$219,),0))*IFERROR(INDEX(BF$10:BF$11,Предпосылки!$I$219,),0),BF478/(1+IFERROR(INDEX(BF$10:BF$11,Предпосылки!$I$220,),0))*IFERROR(INDEX(BF$10:BF$11,Предпосылки!$I$220,),0))</f>
        <v>0</v>
      </c>
      <c s="125">
        <f>SUM(BG41/(1+IFERROR(INDEX(BG$10:BG$11,Предпосылки!$I$201,),0))*IFERROR(INDEX(BG$10:BG$11,Предпосылки!$I$201,),0),BG64/(1+IFERROR(INDEX(BG$10:BG$11,Предпосылки!$I$202,),0))*IFERROR(INDEX(BG$10:BG$11,Предпосылки!$I$202,),0),BG87/(1+IFERROR(INDEX(BG$10:BG$11,Предпосылки!$I$203,),0))*IFERROR(INDEX(BG$10:BG$11,Предпосылки!$I$203,),0),BG110/(1+IFERROR(INDEX(BG$10:BG$11,Предпосылки!$I$204,),0))*IFERROR(INDEX(BG$10:BG$11,Предпосылки!$I$204,),0),BG133/(1+IFERROR(INDEX(BG$10:BG$11,Предпосылки!$I$205,),0))*IFERROR(INDEX(BG$10:BG$11,Предпосылки!$I$205,),0),BG156/(1+IFERROR(INDEX(BG$10:BG$11,Предпосылки!$I$206,),0))*IFERROR(INDEX(BG$10:BG$11,Предпосылки!$I$206,),0),BG179/(1+IFERROR(INDEX(BG$10:BG$11,Предпосылки!$I$207,),0))*IFERROR(INDEX(BG$10:BG$11,Предпосылки!$I$207,),0),BG202/(1+IFERROR(INDEX(BG$10:BG$11,Предпосылки!$I$208,),0))*IFERROR(INDEX(BG$10:BG$11,Предпосылки!$I$208,),0),BG225/(1+IFERROR(INDEX(BG$10:BG$11,Предпосылки!$I$209,),0))*IFERROR(INDEX(BG$10:BG$11,Предпосылки!$I$209,),0),BG248/(1+IFERROR(INDEX(BG$10:BG$11,Предпосылки!$I$210,),0))*IFERROR(INDEX(BG$10:BG$11,Предпосылки!$I$210,),0),BG271/(1+IFERROR(INDEX(BG$10:BG$11,Предпосылки!$I$211,),0))*IFERROR(INDEX(BG$10:BG$11,Предпосылки!$I$211,),0),BG294/(1+IFERROR(INDEX(BG$10:BG$11,Предпосылки!$I$212,),0))*IFERROR(INDEX(BG$10:BG$11,Предпосылки!$I$212,),0),BG317/(1+IFERROR(INDEX(BG$10:BG$11,Предпосылки!$I$213,),0))*IFERROR(INDEX(BG$10:BG$11,Предпосылки!$I$213,),0),BG340/(1+IFERROR(INDEX(BG$10:BG$11,Предпосылки!$I$214,),0))*IFERROR(INDEX(BG$10:BG$11,Предпосылки!$I$214,),0),BG363/(1+IFERROR(INDEX(BG$10:BG$11,Предпосылки!$I$215,),0))*IFERROR(INDEX(BG$10:BG$11,Предпосылки!$I$215,),0),BG386/(1+IFERROR(INDEX(BG$10:BG$11,Предпосылки!$I$216,),0))*IFERROR(INDEX(BG$10:BG$11,Предпосылки!$I$216,),0),BG409/(1+IFERROR(INDEX(BG$10:BG$11,Предпосылки!$I$217,),0))*IFERROR(INDEX(BG$10:BG$11,Предпосылки!$I$217,),0),BG432/(1+IFERROR(INDEX(BG$10:BG$11,Предпосылки!$I$218,),0))*IFERROR(INDEX(BG$10:BG$11,Предпосылки!$I$218,),0),BG455/(1+IFERROR(INDEX(BG$10:BG$11,Предпосылки!$I$219,),0))*IFERROR(INDEX(BG$10:BG$11,Предпосылки!$I$219,),0),BG478/(1+IFERROR(INDEX(BG$10:BG$11,Предпосылки!$I$220,),0))*IFERROR(INDEX(BG$10:BG$11,Предпосылки!$I$220,),0))</f>
        <v>0</v>
      </c>
      <c s="125">
        <f>SUM(BH41/(1+IFERROR(INDEX(BH$10:BH$11,Предпосылки!$I$201,),0))*IFERROR(INDEX(BH$10:BH$11,Предпосылки!$I$201,),0),BH64/(1+IFERROR(INDEX(BH$10:BH$11,Предпосылки!$I$202,),0))*IFERROR(INDEX(BH$10:BH$11,Предпосылки!$I$202,),0),BH87/(1+IFERROR(INDEX(BH$10:BH$11,Предпосылки!$I$203,),0))*IFERROR(INDEX(BH$10:BH$11,Предпосылки!$I$203,),0),BH110/(1+IFERROR(INDEX(BH$10:BH$11,Предпосылки!$I$204,),0))*IFERROR(INDEX(BH$10:BH$11,Предпосылки!$I$204,),0),BH133/(1+IFERROR(INDEX(BH$10:BH$11,Предпосылки!$I$205,),0))*IFERROR(INDEX(BH$10:BH$11,Предпосылки!$I$205,),0),BH156/(1+IFERROR(INDEX(BH$10:BH$11,Предпосылки!$I$206,),0))*IFERROR(INDEX(BH$10:BH$11,Предпосылки!$I$206,),0),BH179/(1+IFERROR(INDEX(BH$10:BH$11,Предпосылки!$I$207,),0))*IFERROR(INDEX(BH$10:BH$11,Предпосылки!$I$207,),0),BH202/(1+IFERROR(INDEX(BH$10:BH$11,Предпосылки!$I$208,),0))*IFERROR(INDEX(BH$10:BH$11,Предпосылки!$I$208,),0),BH225/(1+IFERROR(INDEX(BH$10:BH$11,Предпосылки!$I$209,),0))*IFERROR(INDEX(BH$10:BH$11,Предпосылки!$I$209,),0),BH248/(1+IFERROR(INDEX(BH$10:BH$11,Предпосылки!$I$210,),0))*IFERROR(INDEX(BH$10:BH$11,Предпосылки!$I$210,),0),BH271/(1+IFERROR(INDEX(BH$10:BH$11,Предпосылки!$I$211,),0))*IFERROR(INDEX(BH$10:BH$11,Предпосылки!$I$211,),0),BH294/(1+IFERROR(INDEX(BH$10:BH$11,Предпосылки!$I$212,),0))*IFERROR(INDEX(BH$10:BH$11,Предпосылки!$I$212,),0),BH317/(1+IFERROR(INDEX(BH$10:BH$11,Предпосылки!$I$213,),0))*IFERROR(INDEX(BH$10:BH$11,Предпосылки!$I$213,),0),BH340/(1+IFERROR(INDEX(BH$10:BH$11,Предпосылки!$I$214,),0))*IFERROR(INDEX(BH$10:BH$11,Предпосылки!$I$214,),0),BH363/(1+IFERROR(INDEX(BH$10:BH$11,Предпосылки!$I$215,),0))*IFERROR(INDEX(BH$10:BH$11,Предпосылки!$I$215,),0),BH386/(1+IFERROR(INDEX(BH$10:BH$11,Предпосылки!$I$216,),0))*IFERROR(INDEX(BH$10:BH$11,Предпосылки!$I$216,),0),BH409/(1+IFERROR(INDEX(BH$10:BH$11,Предпосылки!$I$217,),0))*IFERROR(INDEX(BH$10:BH$11,Предпосылки!$I$217,),0),BH432/(1+IFERROR(INDEX(BH$10:BH$11,Предпосылки!$I$218,),0))*IFERROR(INDEX(BH$10:BH$11,Предпосылки!$I$218,),0),BH455/(1+IFERROR(INDEX(BH$10:BH$11,Предпосылки!$I$219,),0))*IFERROR(INDEX(BH$10:BH$11,Предпосылки!$I$219,),0),BH478/(1+IFERROR(INDEX(BH$10:BH$11,Предпосылки!$I$220,),0))*IFERROR(INDEX(BH$10:BH$11,Предпосылки!$I$220,),0))</f>
        <v>0</v>
      </c>
      <c s="125">
        <f>SUM(BI41/(1+IFERROR(INDEX(BI$10:BI$11,Предпосылки!$I$201,),0))*IFERROR(INDEX(BI$10:BI$11,Предпосылки!$I$201,),0),BI64/(1+IFERROR(INDEX(BI$10:BI$11,Предпосылки!$I$202,),0))*IFERROR(INDEX(BI$10:BI$11,Предпосылки!$I$202,),0),BI87/(1+IFERROR(INDEX(BI$10:BI$11,Предпосылки!$I$203,),0))*IFERROR(INDEX(BI$10:BI$11,Предпосылки!$I$203,),0),BI110/(1+IFERROR(INDEX(BI$10:BI$11,Предпосылки!$I$204,),0))*IFERROR(INDEX(BI$10:BI$11,Предпосылки!$I$204,),0),BI133/(1+IFERROR(INDEX(BI$10:BI$11,Предпосылки!$I$205,),0))*IFERROR(INDEX(BI$10:BI$11,Предпосылки!$I$205,),0),BI156/(1+IFERROR(INDEX(BI$10:BI$11,Предпосылки!$I$206,),0))*IFERROR(INDEX(BI$10:BI$11,Предпосылки!$I$206,),0),BI179/(1+IFERROR(INDEX(BI$10:BI$11,Предпосылки!$I$207,),0))*IFERROR(INDEX(BI$10:BI$11,Предпосылки!$I$207,),0),BI202/(1+IFERROR(INDEX(BI$10:BI$11,Предпосылки!$I$208,),0))*IFERROR(INDEX(BI$10:BI$11,Предпосылки!$I$208,),0),BI225/(1+IFERROR(INDEX(BI$10:BI$11,Предпосылки!$I$209,),0))*IFERROR(INDEX(BI$10:BI$11,Предпосылки!$I$209,),0),BI248/(1+IFERROR(INDEX(BI$10:BI$11,Предпосылки!$I$210,),0))*IFERROR(INDEX(BI$10:BI$11,Предпосылки!$I$210,),0),BI271/(1+IFERROR(INDEX(BI$10:BI$11,Предпосылки!$I$211,),0))*IFERROR(INDEX(BI$10:BI$11,Предпосылки!$I$211,),0),BI294/(1+IFERROR(INDEX(BI$10:BI$11,Предпосылки!$I$212,),0))*IFERROR(INDEX(BI$10:BI$11,Предпосылки!$I$212,),0),BI317/(1+IFERROR(INDEX(BI$10:BI$11,Предпосылки!$I$213,),0))*IFERROR(INDEX(BI$10:BI$11,Предпосылки!$I$213,),0),BI340/(1+IFERROR(INDEX(BI$10:BI$11,Предпосылки!$I$214,),0))*IFERROR(INDEX(BI$10:BI$11,Предпосылки!$I$214,),0),BI363/(1+IFERROR(INDEX(BI$10:BI$11,Предпосылки!$I$215,),0))*IFERROR(INDEX(BI$10:BI$11,Предпосылки!$I$215,),0),BI386/(1+IFERROR(INDEX(BI$10:BI$11,Предпосылки!$I$216,),0))*IFERROR(INDEX(BI$10:BI$11,Предпосылки!$I$216,),0),BI409/(1+IFERROR(INDEX(BI$10:BI$11,Предпосылки!$I$217,),0))*IFERROR(INDEX(BI$10:BI$11,Предпосылки!$I$217,),0),BI432/(1+IFERROR(INDEX(BI$10:BI$11,Предпосылки!$I$218,),0))*IFERROR(INDEX(BI$10:BI$11,Предпосылки!$I$218,),0),BI455/(1+IFERROR(INDEX(BI$10:BI$11,Предпосылки!$I$219,),0))*IFERROR(INDEX(BI$10:BI$11,Предпосылки!$I$219,),0),BI478/(1+IFERROR(INDEX(BI$10:BI$11,Предпосылки!$I$220,),0))*IFERROR(INDEX(BI$10:BI$11,Предпосылки!$I$220,),0))</f>
        <v>0</v>
      </c>
      <c s="125">
        <f>SUM(BJ41/(1+IFERROR(INDEX(BJ$10:BJ$11,Предпосылки!$I$201,),0))*IFERROR(INDEX(BJ$10:BJ$11,Предпосылки!$I$201,),0),BJ64/(1+IFERROR(INDEX(BJ$10:BJ$11,Предпосылки!$I$202,),0))*IFERROR(INDEX(BJ$10:BJ$11,Предпосылки!$I$202,),0),BJ87/(1+IFERROR(INDEX(BJ$10:BJ$11,Предпосылки!$I$203,),0))*IFERROR(INDEX(BJ$10:BJ$11,Предпосылки!$I$203,),0),BJ110/(1+IFERROR(INDEX(BJ$10:BJ$11,Предпосылки!$I$204,),0))*IFERROR(INDEX(BJ$10:BJ$11,Предпосылки!$I$204,),0),BJ133/(1+IFERROR(INDEX(BJ$10:BJ$11,Предпосылки!$I$205,),0))*IFERROR(INDEX(BJ$10:BJ$11,Предпосылки!$I$205,),0),BJ156/(1+IFERROR(INDEX(BJ$10:BJ$11,Предпосылки!$I$206,),0))*IFERROR(INDEX(BJ$10:BJ$11,Предпосылки!$I$206,),0),BJ179/(1+IFERROR(INDEX(BJ$10:BJ$11,Предпосылки!$I$207,),0))*IFERROR(INDEX(BJ$10:BJ$11,Предпосылки!$I$207,),0),BJ202/(1+IFERROR(INDEX(BJ$10:BJ$11,Предпосылки!$I$208,),0))*IFERROR(INDEX(BJ$10:BJ$11,Предпосылки!$I$208,),0),BJ225/(1+IFERROR(INDEX(BJ$10:BJ$11,Предпосылки!$I$209,),0))*IFERROR(INDEX(BJ$10:BJ$11,Предпосылки!$I$209,),0),BJ248/(1+IFERROR(INDEX(BJ$10:BJ$11,Предпосылки!$I$210,),0))*IFERROR(INDEX(BJ$10:BJ$11,Предпосылки!$I$210,),0),BJ271/(1+IFERROR(INDEX(BJ$10:BJ$11,Предпосылки!$I$211,),0))*IFERROR(INDEX(BJ$10:BJ$11,Предпосылки!$I$211,),0),BJ294/(1+IFERROR(INDEX(BJ$10:BJ$11,Предпосылки!$I$212,),0))*IFERROR(INDEX(BJ$10:BJ$11,Предпосылки!$I$212,),0),BJ317/(1+IFERROR(INDEX(BJ$10:BJ$11,Предпосылки!$I$213,),0))*IFERROR(INDEX(BJ$10:BJ$11,Предпосылки!$I$213,),0),BJ340/(1+IFERROR(INDEX(BJ$10:BJ$11,Предпосылки!$I$214,),0))*IFERROR(INDEX(BJ$10:BJ$11,Предпосылки!$I$214,),0),BJ363/(1+IFERROR(INDEX(BJ$10:BJ$11,Предпосылки!$I$215,),0))*IFERROR(INDEX(BJ$10:BJ$11,Предпосылки!$I$215,),0),BJ386/(1+IFERROR(INDEX(BJ$10:BJ$11,Предпосылки!$I$216,),0))*IFERROR(INDEX(BJ$10:BJ$11,Предпосылки!$I$216,),0),BJ409/(1+IFERROR(INDEX(BJ$10:BJ$11,Предпосылки!$I$217,),0))*IFERROR(INDEX(BJ$10:BJ$11,Предпосылки!$I$217,),0),BJ432/(1+IFERROR(INDEX(BJ$10:BJ$11,Предпосылки!$I$218,),0))*IFERROR(INDEX(BJ$10:BJ$11,Предпосылки!$I$218,),0),BJ455/(1+IFERROR(INDEX(BJ$10:BJ$11,Предпосылки!$I$219,),0))*IFERROR(INDEX(BJ$10:BJ$11,Предпосылки!$I$219,),0),BJ478/(1+IFERROR(INDEX(BJ$10:BJ$11,Предпосылки!$I$220,),0))*IFERROR(INDEX(BJ$10:BJ$11,Предпосылки!$I$220,),0))</f>
        <v>0</v>
      </c>
      <c s="125">
        <f>SUM(BK41/(1+IFERROR(INDEX(BK$10:BK$11,Предпосылки!$I$201,),0))*IFERROR(INDEX(BK$10:BK$11,Предпосылки!$I$201,),0),BK64/(1+IFERROR(INDEX(BK$10:BK$11,Предпосылки!$I$202,),0))*IFERROR(INDEX(BK$10:BK$11,Предпосылки!$I$202,),0),BK87/(1+IFERROR(INDEX(BK$10:BK$11,Предпосылки!$I$203,),0))*IFERROR(INDEX(BK$10:BK$11,Предпосылки!$I$203,),0),BK110/(1+IFERROR(INDEX(BK$10:BK$11,Предпосылки!$I$204,),0))*IFERROR(INDEX(BK$10:BK$11,Предпосылки!$I$204,),0),BK133/(1+IFERROR(INDEX(BK$10:BK$11,Предпосылки!$I$205,),0))*IFERROR(INDEX(BK$10:BK$11,Предпосылки!$I$205,),0),BK156/(1+IFERROR(INDEX(BK$10:BK$11,Предпосылки!$I$206,),0))*IFERROR(INDEX(BK$10:BK$11,Предпосылки!$I$206,),0),BK179/(1+IFERROR(INDEX(BK$10:BK$11,Предпосылки!$I$207,),0))*IFERROR(INDEX(BK$10:BK$11,Предпосылки!$I$207,),0),BK202/(1+IFERROR(INDEX(BK$10:BK$11,Предпосылки!$I$208,),0))*IFERROR(INDEX(BK$10:BK$11,Предпосылки!$I$208,),0),BK225/(1+IFERROR(INDEX(BK$10:BK$11,Предпосылки!$I$209,),0))*IFERROR(INDEX(BK$10:BK$11,Предпосылки!$I$209,),0),BK248/(1+IFERROR(INDEX(BK$10:BK$11,Предпосылки!$I$210,),0))*IFERROR(INDEX(BK$10:BK$11,Предпосылки!$I$210,),0),BK271/(1+IFERROR(INDEX(BK$10:BK$11,Предпосылки!$I$211,),0))*IFERROR(INDEX(BK$10:BK$11,Предпосылки!$I$211,),0),BK294/(1+IFERROR(INDEX(BK$10:BK$11,Предпосылки!$I$212,),0))*IFERROR(INDEX(BK$10:BK$11,Предпосылки!$I$212,),0),BK317/(1+IFERROR(INDEX(BK$10:BK$11,Предпосылки!$I$213,),0))*IFERROR(INDEX(BK$10:BK$11,Предпосылки!$I$213,),0),BK340/(1+IFERROR(INDEX(BK$10:BK$11,Предпосылки!$I$214,),0))*IFERROR(INDEX(BK$10:BK$11,Предпосылки!$I$214,),0),BK363/(1+IFERROR(INDEX(BK$10:BK$11,Предпосылки!$I$215,),0))*IFERROR(INDEX(BK$10:BK$11,Предпосылки!$I$215,),0),BK386/(1+IFERROR(INDEX(BK$10:BK$11,Предпосылки!$I$216,),0))*IFERROR(INDEX(BK$10:BK$11,Предпосылки!$I$216,),0),BK409/(1+IFERROR(INDEX(BK$10:BK$11,Предпосылки!$I$217,),0))*IFERROR(INDEX(BK$10:BK$11,Предпосылки!$I$217,),0),BK432/(1+IFERROR(INDEX(BK$10:BK$11,Предпосылки!$I$218,),0))*IFERROR(INDEX(BK$10:BK$11,Предпосылки!$I$218,),0),BK455/(1+IFERROR(INDEX(BK$10:BK$11,Предпосылки!$I$219,),0))*IFERROR(INDEX(BK$10:BK$11,Предпосылки!$I$219,),0),BK478/(1+IFERROR(INDEX(BK$10:BK$11,Предпосылки!$I$220,),0))*IFERROR(INDEX(BK$10:BK$11,Предпосылки!$I$220,),0))</f>
        <v>0</v>
      </c>
      <c s="125">
        <f>SUM(BL41/(1+IFERROR(INDEX(BL$10:BL$11,Предпосылки!$I$201,),0))*IFERROR(INDEX(BL$10:BL$11,Предпосылки!$I$201,),0),BL64/(1+IFERROR(INDEX(BL$10:BL$11,Предпосылки!$I$202,),0))*IFERROR(INDEX(BL$10:BL$11,Предпосылки!$I$202,),0),BL87/(1+IFERROR(INDEX(BL$10:BL$11,Предпосылки!$I$203,),0))*IFERROR(INDEX(BL$10:BL$11,Предпосылки!$I$203,),0),BL110/(1+IFERROR(INDEX(BL$10:BL$11,Предпосылки!$I$204,),0))*IFERROR(INDEX(BL$10:BL$11,Предпосылки!$I$204,),0),BL133/(1+IFERROR(INDEX(BL$10:BL$11,Предпосылки!$I$205,),0))*IFERROR(INDEX(BL$10:BL$11,Предпосылки!$I$205,),0),BL156/(1+IFERROR(INDEX(BL$10:BL$11,Предпосылки!$I$206,),0))*IFERROR(INDEX(BL$10:BL$11,Предпосылки!$I$206,),0),BL179/(1+IFERROR(INDEX(BL$10:BL$11,Предпосылки!$I$207,),0))*IFERROR(INDEX(BL$10:BL$11,Предпосылки!$I$207,),0),BL202/(1+IFERROR(INDEX(BL$10:BL$11,Предпосылки!$I$208,),0))*IFERROR(INDEX(BL$10:BL$11,Предпосылки!$I$208,),0),BL225/(1+IFERROR(INDEX(BL$10:BL$11,Предпосылки!$I$209,),0))*IFERROR(INDEX(BL$10:BL$11,Предпосылки!$I$209,),0),BL248/(1+IFERROR(INDEX(BL$10:BL$11,Предпосылки!$I$210,),0))*IFERROR(INDEX(BL$10:BL$11,Предпосылки!$I$210,),0),BL271/(1+IFERROR(INDEX(BL$10:BL$11,Предпосылки!$I$211,),0))*IFERROR(INDEX(BL$10:BL$11,Предпосылки!$I$211,),0),BL294/(1+IFERROR(INDEX(BL$10:BL$11,Предпосылки!$I$212,),0))*IFERROR(INDEX(BL$10:BL$11,Предпосылки!$I$212,),0),BL317/(1+IFERROR(INDEX(BL$10:BL$11,Предпосылки!$I$213,),0))*IFERROR(INDEX(BL$10:BL$11,Предпосылки!$I$213,),0),BL340/(1+IFERROR(INDEX(BL$10:BL$11,Предпосылки!$I$214,),0))*IFERROR(INDEX(BL$10:BL$11,Предпосылки!$I$214,),0),BL363/(1+IFERROR(INDEX(BL$10:BL$11,Предпосылки!$I$215,),0))*IFERROR(INDEX(BL$10:BL$11,Предпосылки!$I$215,),0),BL386/(1+IFERROR(INDEX(BL$10:BL$11,Предпосылки!$I$216,),0))*IFERROR(INDEX(BL$10:BL$11,Предпосылки!$I$216,),0),BL409/(1+IFERROR(INDEX(BL$10:BL$11,Предпосылки!$I$217,),0))*IFERROR(INDEX(BL$10:BL$11,Предпосылки!$I$217,),0),BL432/(1+IFERROR(INDEX(BL$10:BL$11,Предпосылки!$I$218,),0))*IFERROR(INDEX(BL$10:BL$11,Предпосылки!$I$218,),0),BL455/(1+IFERROR(INDEX(BL$10:BL$11,Предпосылки!$I$219,),0))*IFERROR(INDEX(BL$10:BL$11,Предпосылки!$I$219,),0),BL478/(1+IFERROR(INDEX(BL$10:BL$11,Предпосылки!$I$220,),0))*IFERROR(INDEX(BL$10:BL$11,Предпосылки!$I$220,),0))</f>
        <v>0</v>
      </c>
      <c s="125">
        <f>SUM(BM41/(1+IFERROR(INDEX(BM$10:BM$11,Предпосылки!$I$201,),0))*IFERROR(INDEX(BM$10:BM$11,Предпосылки!$I$201,),0),BM64/(1+IFERROR(INDEX(BM$10:BM$11,Предпосылки!$I$202,),0))*IFERROR(INDEX(BM$10:BM$11,Предпосылки!$I$202,),0),BM87/(1+IFERROR(INDEX(BM$10:BM$11,Предпосылки!$I$203,),0))*IFERROR(INDEX(BM$10:BM$11,Предпосылки!$I$203,),0),BM110/(1+IFERROR(INDEX(BM$10:BM$11,Предпосылки!$I$204,),0))*IFERROR(INDEX(BM$10:BM$11,Предпосылки!$I$204,),0),BM133/(1+IFERROR(INDEX(BM$10:BM$11,Предпосылки!$I$205,),0))*IFERROR(INDEX(BM$10:BM$11,Предпосылки!$I$205,),0),BM156/(1+IFERROR(INDEX(BM$10:BM$11,Предпосылки!$I$206,),0))*IFERROR(INDEX(BM$10:BM$11,Предпосылки!$I$206,),0),BM179/(1+IFERROR(INDEX(BM$10:BM$11,Предпосылки!$I$207,),0))*IFERROR(INDEX(BM$10:BM$11,Предпосылки!$I$207,),0),BM202/(1+IFERROR(INDEX(BM$10:BM$11,Предпосылки!$I$208,),0))*IFERROR(INDEX(BM$10:BM$11,Предпосылки!$I$208,),0),BM225/(1+IFERROR(INDEX(BM$10:BM$11,Предпосылки!$I$209,),0))*IFERROR(INDEX(BM$10:BM$11,Предпосылки!$I$209,),0),BM248/(1+IFERROR(INDEX(BM$10:BM$11,Предпосылки!$I$210,),0))*IFERROR(INDEX(BM$10:BM$11,Предпосылки!$I$210,),0),BM271/(1+IFERROR(INDEX(BM$10:BM$11,Предпосылки!$I$211,),0))*IFERROR(INDEX(BM$10:BM$11,Предпосылки!$I$211,),0),BM294/(1+IFERROR(INDEX(BM$10:BM$11,Предпосылки!$I$212,),0))*IFERROR(INDEX(BM$10:BM$11,Предпосылки!$I$212,),0),BM317/(1+IFERROR(INDEX(BM$10:BM$11,Предпосылки!$I$213,),0))*IFERROR(INDEX(BM$10:BM$11,Предпосылки!$I$213,),0),BM340/(1+IFERROR(INDEX(BM$10:BM$11,Предпосылки!$I$214,),0))*IFERROR(INDEX(BM$10:BM$11,Предпосылки!$I$214,),0),BM363/(1+IFERROR(INDEX(BM$10:BM$11,Предпосылки!$I$215,),0))*IFERROR(INDEX(BM$10:BM$11,Предпосылки!$I$215,),0),BM386/(1+IFERROR(INDEX(BM$10:BM$11,Предпосылки!$I$216,),0))*IFERROR(INDEX(BM$10:BM$11,Предпосылки!$I$216,),0),BM409/(1+IFERROR(INDEX(BM$10:BM$11,Предпосылки!$I$217,),0))*IFERROR(INDEX(BM$10:BM$11,Предпосылки!$I$217,),0),BM432/(1+IFERROR(INDEX(BM$10:BM$11,Предпосылки!$I$218,),0))*IFERROR(INDEX(BM$10:BM$11,Предпосылки!$I$218,),0),BM455/(1+IFERROR(INDEX(BM$10:BM$11,Предпосылки!$I$219,),0))*IFERROR(INDEX(BM$10:BM$11,Предпосылки!$I$219,),0),BM478/(1+IFERROR(INDEX(BM$10:BM$11,Предпосылки!$I$220,),0))*IFERROR(INDEX(BM$10:BM$11,Предпосылки!$I$220,),0))</f>
        <v>0</v>
      </c>
    </row>
    <row r="573" spans="2:65" ht="15" customHeight="1">
      <c r="B573" s="12" t="str">
        <f t="shared" si="255"/>
        <v>Продукт 20</v>
      </c>
      <c s="124" t="str">
        <f t="shared" si="254"/>
        <v>тыс. руб.</v>
      </c>
      <c s="276">
        <f t="shared" si="256"/>
        <v>0</v>
      </c>
      <c s="125">
        <f>SUM(E42/(1+IFERROR(INDEX(E$10:E$11,Предпосылки!$I220,),0))*IFERROR(INDEX(E$10:E$11,Предпосылки!$I220,),0),E65/(1+IFERROR(INDEX(E$10:E$11,Предпосылки!$I221,),0))*IFERROR(INDEX(E$10:E$11,Предпосылки!$I221,),0),E88/(1+IFERROR(INDEX(E$10:E$11,Предпосылки!$I222,),0))*IFERROR(INDEX(E$10:E$11,Предпосылки!$I222,),0),E111/(1+IFERROR(INDEX(E$10:E$11,Предпосылки!$I223,),0))*IFERROR(INDEX(E$10:E$11,Предпосылки!$I223,),0),E134/(1+IFERROR(INDEX(E$10:E$11,Предпосылки!$I224,),0))*IFERROR(INDEX(E$10:E$11,Предпосылки!$I224,),0),E157/(1+IFERROR(INDEX(E$10:E$11,Предпосылки!$I225,),0))*IFERROR(INDEX(E$10:E$11,Предпосылки!$I225,),0),E180/(1+IFERROR(INDEX(E$10:E$11,Предпосылки!$I226,),0))*IFERROR(INDEX(E$10:E$11,Предпосылки!$I226,),0),E203/(1+IFERROR(INDEX(E$10:E$11,Предпосылки!$I227,),0))*IFERROR(INDEX(E$10:E$11,Предпосылки!$I227,),0),E226/(1+IFERROR(INDEX(E$10:E$11,Предпосылки!$I228,),0))*IFERROR(INDEX(E$10:E$11,Предпосылки!$I228,),0),E249/(1+IFERROR(INDEX(E$10:E$11,Предпосылки!$I229,),0))*IFERROR(INDEX(E$10:E$11,Предпосылки!$I229,),0),E272/(1+IFERROR(INDEX(E$10:E$11,Предпосылки!$I230,),0))*IFERROR(INDEX(E$10:E$11,Предпосылки!$I230,),0),E295/(1+IFERROR(INDEX(E$10:E$11,Предпосылки!$I231,),0))*IFERROR(INDEX(E$10:E$11,Предпосылки!$I231,),0),E318/(1+IFERROR(INDEX(E$10:E$11,Предпосылки!$I232,),0))*IFERROR(INDEX(E$10:E$11,Предпосылки!$I232,),0),E341/(1+IFERROR(INDEX(E$10:E$11,Предпосылки!$I233,),0))*IFERROR(INDEX(E$10:E$11,Предпосылки!$I233,),0),E364/(1+IFERROR(INDEX(E$10:E$11,Предпосылки!$I234,),0))*IFERROR(INDEX(E$10:E$11,Предпосылки!$I234,),0),E387/(1+IFERROR(INDEX(E$10:E$11,Предпосылки!$I235,),0))*IFERROR(INDEX(E$10:E$11,Предпосылки!$I235,),0),E410/(1+IFERROR(INDEX(E$10:E$11,Предпосылки!$I236,),0))*IFERROR(INDEX(E$10:E$11,Предпосылки!$I236,),0),E433/(1+IFERROR(INDEX(E$10:E$11,Предпосылки!$I237,),0))*IFERROR(INDEX(E$10:E$11,Предпосылки!$I237,),0),E456/(1+IFERROR(INDEX(E$10:E$11,Предпосылки!$I238,),0))*IFERROR(INDEX(E$10:E$11,Предпосылки!$I238,),0),E479/(1+IFERROR(INDEX(E$10:E$11,Предпосылки!$I239,),0))*IFERROR(INDEX(E$10:E$11,Предпосылки!$I239,),0))</f>
        <v>0</v>
      </c>
      <c s="125">
        <f>SUM(F42/(1+IFERROR(INDEX(F$10:F$11,Предпосылки!$I$201,),0))*IFERROR(INDEX(F$10:F$11,Предпосылки!$I$201,),0),F65/(1+IFERROR(INDEX(F$10:F$11,Предпосылки!$I$202,),0))*IFERROR(INDEX(F$10:F$11,Предпосылки!$I$202,),0),F88/(1+IFERROR(INDEX(F$10:F$11,Предпосылки!$I$203,),0))*IFERROR(INDEX(F$10:F$11,Предпосылки!$I$203,),0),F111/(1+IFERROR(INDEX(F$10:F$11,Предпосылки!$I$204,),0))*IFERROR(INDEX(F$10:F$11,Предпосылки!$I$204,),0),F134/(1+IFERROR(INDEX(F$10:F$11,Предпосылки!$I$205,),0))*IFERROR(INDEX(F$10:F$11,Предпосылки!$I$205,),0),F157/(1+IFERROR(INDEX(F$10:F$11,Предпосылки!$I$206,),0))*IFERROR(INDEX(F$10:F$11,Предпосылки!$I$206,),0),F180/(1+IFERROR(INDEX(F$10:F$11,Предпосылки!$I$207,),0))*IFERROR(INDEX(F$10:F$11,Предпосылки!$I$207,),0),F203/(1+IFERROR(INDEX(F$10:F$11,Предпосылки!$I$208,),0))*IFERROR(INDEX(F$10:F$11,Предпосылки!$I$208,),0),F226/(1+IFERROR(INDEX(F$10:F$11,Предпосылки!$I$209,),0))*IFERROR(INDEX(F$10:F$11,Предпосылки!$I$209,),0),F249/(1+IFERROR(INDEX(F$10:F$11,Предпосылки!$I$210,),0))*IFERROR(INDEX(F$10:F$11,Предпосылки!$I$210,),0),F272/(1+IFERROR(INDEX(F$10:F$11,Предпосылки!$I$211,),0))*IFERROR(INDEX(F$10:F$11,Предпосылки!$I$211,),0),F295/(1+IFERROR(INDEX(F$10:F$11,Предпосылки!$I$212,),0))*IFERROR(INDEX(F$10:F$11,Предпосылки!$I$212,),0),F318/(1+IFERROR(INDEX(F$10:F$11,Предпосылки!$I$213,),0))*IFERROR(INDEX(F$10:F$11,Предпосылки!$I$213,),0),F341/(1+IFERROR(INDEX(F$10:F$11,Предпосылки!$I$214,),0))*IFERROR(INDEX(F$10:F$11,Предпосылки!$I$214,),0),F364/(1+IFERROR(INDEX(F$10:F$11,Предпосылки!$I$215,),0))*IFERROR(INDEX(F$10:F$11,Предпосылки!$I$215,),0),F387/(1+IFERROR(INDEX(F$10:F$11,Предпосылки!$I$216,),0))*IFERROR(INDEX(F$10:F$11,Предпосылки!$I$216,),0),F410/(1+IFERROR(INDEX(F$10:F$11,Предпосылки!$I$217,),0))*IFERROR(INDEX(F$10:F$11,Предпосылки!$I$217,),0),F433/(1+IFERROR(INDEX(F$10:F$11,Предпосылки!$I$218,),0))*IFERROR(INDEX(F$10:F$11,Предпосылки!$I$218,),0),F456/(1+IFERROR(INDEX(F$10:F$11,Предпосылки!$I$219,),0))*IFERROR(INDEX(F$10:F$11,Предпосылки!$I$219,),0),F479/(1+IFERROR(INDEX(F$10:F$11,Предпосылки!$I$220,),0))*IFERROR(INDEX(F$10:F$11,Предпосылки!$I$220,),0))</f>
        <v>0</v>
      </c>
      <c s="125">
        <f>SUM(G42/(1+IFERROR(INDEX(G$10:G$11,Предпосылки!$I$201,),0))*IFERROR(INDEX(G$10:G$11,Предпосылки!$I$201,),0),G65/(1+IFERROR(INDEX(G$10:G$11,Предпосылки!$I$202,),0))*IFERROR(INDEX(G$10:G$11,Предпосылки!$I$202,),0),G88/(1+IFERROR(INDEX(G$10:G$11,Предпосылки!$I$203,),0))*IFERROR(INDEX(G$10:G$11,Предпосылки!$I$203,),0),G111/(1+IFERROR(INDEX(G$10:G$11,Предпосылки!$I$204,),0))*IFERROR(INDEX(G$10:G$11,Предпосылки!$I$204,),0),G134/(1+IFERROR(INDEX(G$10:G$11,Предпосылки!$I$205,),0))*IFERROR(INDEX(G$10:G$11,Предпосылки!$I$205,),0),G157/(1+IFERROR(INDEX(G$10:G$11,Предпосылки!$I$206,),0))*IFERROR(INDEX(G$10:G$11,Предпосылки!$I$206,),0),G180/(1+IFERROR(INDEX(G$10:G$11,Предпосылки!$I$207,),0))*IFERROR(INDEX(G$10:G$11,Предпосылки!$I$207,),0),G203/(1+IFERROR(INDEX(G$10:G$11,Предпосылки!$I$208,),0))*IFERROR(INDEX(G$10:G$11,Предпосылки!$I$208,),0),G226/(1+IFERROR(INDEX(G$10:G$11,Предпосылки!$I$209,),0))*IFERROR(INDEX(G$10:G$11,Предпосылки!$I$209,),0),G249/(1+IFERROR(INDEX(G$10:G$11,Предпосылки!$I$210,),0))*IFERROR(INDEX(G$10:G$11,Предпосылки!$I$210,),0),G272/(1+IFERROR(INDEX(G$10:G$11,Предпосылки!$I$211,),0))*IFERROR(INDEX(G$10:G$11,Предпосылки!$I$211,),0),G295/(1+IFERROR(INDEX(G$10:G$11,Предпосылки!$I$212,),0))*IFERROR(INDEX(G$10:G$11,Предпосылки!$I$212,),0),G318/(1+IFERROR(INDEX(G$10:G$11,Предпосылки!$I$213,),0))*IFERROR(INDEX(G$10:G$11,Предпосылки!$I$213,),0),G341/(1+IFERROR(INDEX(G$10:G$11,Предпосылки!$I$214,),0))*IFERROR(INDEX(G$10:G$11,Предпосылки!$I$214,),0),G364/(1+IFERROR(INDEX(G$10:G$11,Предпосылки!$I$215,),0))*IFERROR(INDEX(G$10:G$11,Предпосылки!$I$215,),0),G387/(1+IFERROR(INDEX(G$10:G$11,Предпосылки!$I$216,),0))*IFERROR(INDEX(G$10:G$11,Предпосылки!$I$216,),0),G410/(1+IFERROR(INDEX(G$10:G$11,Предпосылки!$I$217,),0))*IFERROR(INDEX(G$10:G$11,Предпосылки!$I$217,),0),G433/(1+IFERROR(INDEX(G$10:G$11,Предпосылки!$I$218,),0))*IFERROR(INDEX(G$10:G$11,Предпосылки!$I$218,),0),G456/(1+IFERROR(INDEX(G$10:G$11,Предпосылки!$I$219,),0))*IFERROR(INDEX(G$10:G$11,Предпосылки!$I$219,),0),G479/(1+IFERROR(INDEX(G$10:G$11,Предпосылки!$I$220,),0))*IFERROR(INDEX(G$10:G$11,Предпосылки!$I$220,),0))</f>
        <v>0</v>
      </c>
      <c s="125">
        <f>SUM(H42/(1+IFERROR(INDEX(H$10:H$11,Предпосылки!$I$201,),0))*IFERROR(INDEX(H$10:H$11,Предпосылки!$I$201,),0),H65/(1+IFERROR(INDEX(H$10:H$11,Предпосылки!$I$202,),0))*IFERROR(INDEX(H$10:H$11,Предпосылки!$I$202,),0),H88/(1+IFERROR(INDEX(H$10:H$11,Предпосылки!$I$203,),0))*IFERROR(INDEX(H$10:H$11,Предпосылки!$I$203,),0),H111/(1+IFERROR(INDEX(H$10:H$11,Предпосылки!$I$204,),0))*IFERROR(INDEX(H$10:H$11,Предпосылки!$I$204,),0),H134/(1+IFERROR(INDEX(H$10:H$11,Предпосылки!$I$205,),0))*IFERROR(INDEX(H$10:H$11,Предпосылки!$I$205,),0),H157/(1+IFERROR(INDEX(H$10:H$11,Предпосылки!$I$206,),0))*IFERROR(INDEX(H$10:H$11,Предпосылки!$I$206,),0),H180/(1+IFERROR(INDEX(H$10:H$11,Предпосылки!$I$207,),0))*IFERROR(INDEX(H$10:H$11,Предпосылки!$I$207,),0),H203/(1+IFERROR(INDEX(H$10:H$11,Предпосылки!$I$208,),0))*IFERROR(INDEX(H$10:H$11,Предпосылки!$I$208,),0),H226/(1+IFERROR(INDEX(H$10:H$11,Предпосылки!$I$209,),0))*IFERROR(INDEX(H$10:H$11,Предпосылки!$I$209,),0),H249/(1+IFERROR(INDEX(H$10:H$11,Предпосылки!$I$210,),0))*IFERROR(INDEX(H$10:H$11,Предпосылки!$I$210,),0),H272/(1+IFERROR(INDEX(H$10:H$11,Предпосылки!$I$211,),0))*IFERROR(INDEX(H$10:H$11,Предпосылки!$I$211,),0),H295/(1+IFERROR(INDEX(H$10:H$11,Предпосылки!$I$212,),0))*IFERROR(INDEX(H$10:H$11,Предпосылки!$I$212,),0),H318/(1+IFERROR(INDEX(H$10:H$11,Предпосылки!$I$213,),0))*IFERROR(INDEX(H$10:H$11,Предпосылки!$I$213,),0),H341/(1+IFERROR(INDEX(H$10:H$11,Предпосылки!$I$214,),0))*IFERROR(INDEX(H$10:H$11,Предпосылки!$I$214,),0),H364/(1+IFERROR(INDEX(H$10:H$11,Предпосылки!$I$215,),0))*IFERROR(INDEX(H$10:H$11,Предпосылки!$I$215,),0),H387/(1+IFERROR(INDEX(H$10:H$11,Предпосылки!$I$216,),0))*IFERROR(INDEX(H$10:H$11,Предпосылки!$I$216,),0),H410/(1+IFERROR(INDEX(H$10:H$11,Предпосылки!$I$217,),0))*IFERROR(INDEX(H$10:H$11,Предпосылки!$I$217,),0),H433/(1+IFERROR(INDEX(H$10:H$11,Предпосылки!$I$218,),0))*IFERROR(INDEX(H$10:H$11,Предпосылки!$I$218,),0),H456/(1+IFERROR(INDEX(H$10:H$11,Предпосылки!$I$219,),0))*IFERROR(INDEX(H$10:H$11,Предпосылки!$I$219,),0),H479/(1+IFERROR(INDEX(H$10:H$11,Предпосылки!$I$220,),0))*IFERROR(INDEX(H$10:H$11,Предпосылки!$I$220,),0))</f>
        <v>0</v>
      </c>
      <c s="125">
        <f>SUM(I42/(1+IFERROR(INDEX(I$10:I$11,Предпосылки!$I$201,),0))*IFERROR(INDEX(I$10:I$11,Предпосылки!$I$201,),0),I65/(1+IFERROR(INDEX(I$10:I$11,Предпосылки!$I$202,),0))*IFERROR(INDEX(I$10:I$11,Предпосылки!$I$202,),0),I88/(1+IFERROR(INDEX(I$10:I$11,Предпосылки!$I$203,),0))*IFERROR(INDEX(I$10:I$11,Предпосылки!$I$203,),0),I111/(1+IFERROR(INDEX(I$10:I$11,Предпосылки!$I$204,),0))*IFERROR(INDEX(I$10:I$11,Предпосылки!$I$204,),0),I134/(1+IFERROR(INDEX(I$10:I$11,Предпосылки!$I$205,),0))*IFERROR(INDEX(I$10:I$11,Предпосылки!$I$205,),0),I157/(1+IFERROR(INDEX(I$10:I$11,Предпосылки!$I$206,),0))*IFERROR(INDEX(I$10:I$11,Предпосылки!$I$206,),0),I180/(1+IFERROR(INDEX(I$10:I$11,Предпосылки!$I$207,),0))*IFERROR(INDEX(I$10:I$11,Предпосылки!$I$207,),0),I203/(1+IFERROR(INDEX(I$10:I$11,Предпосылки!$I$208,),0))*IFERROR(INDEX(I$10:I$11,Предпосылки!$I$208,),0),I226/(1+IFERROR(INDEX(I$10:I$11,Предпосылки!$I$209,),0))*IFERROR(INDEX(I$10:I$11,Предпосылки!$I$209,),0),I249/(1+IFERROR(INDEX(I$10:I$11,Предпосылки!$I$210,),0))*IFERROR(INDEX(I$10:I$11,Предпосылки!$I$210,),0),I272/(1+IFERROR(INDEX(I$10:I$11,Предпосылки!$I$211,),0))*IFERROR(INDEX(I$10:I$11,Предпосылки!$I$211,),0),I295/(1+IFERROR(INDEX(I$10:I$11,Предпосылки!$I$212,),0))*IFERROR(INDEX(I$10:I$11,Предпосылки!$I$212,),0),I318/(1+IFERROR(INDEX(I$10:I$11,Предпосылки!$I$213,),0))*IFERROR(INDEX(I$10:I$11,Предпосылки!$I$213,),0),I341/(1+IFERROR(INDEX(I$10:I$11,Предпосылки!$I$214,),0))*IFERROR(INDEX(I$10:I$11,Предпосылки!$I$214,),0),I364/(1+IFERROR(INDEX(I$10:I$11,Предпосылки!$I$215,),0))*IFERROR(INDEX(I$10:I$11,Предпосылки!$I$215,),0),I387/(1+IFERROR(INDEX(I$10:I$11,Предпосылки!$I$216,),0))*IFERROR(INDEX(I$10:I$11,Предпосылки!$I$216,),0),I410/(1+IFERROR(INDEX(I$10:I$11,Предпосылки!$I$217,),0))*IFERROR(INDEX(I$10:I$11,Предпосылки!$I$217,),0),I433/(1+IFERROR(INDEX(I$10:I$11,Предпосылки!$I$218,),0))*IFERROR(INDEX(I$10:I$11,Предпосылки!$I$218,),0),I456/(1+IFERROR(INDEX(I$10:I$11,Предпосылки!$I$219,),0))*IFERROR(INDEX(I$10:I$11,Предпосылки!$I$219,),0),I479/(1+IFERROR(INDEX(I$10:I$11,Предпосылки!$I$220,),0))*IFERROR(INDEX(I$10:I$11,Предпосылки!$I$220,),0))</f>
        <v>0</v>
      </c>
      <c s="125">
        <f>SUM(J42/(1+IFERROR(INDEX(J$10:J$11,Предпосылки!$I$201,),0))*IFERROR(INDEX(J$10:J$11,Предпосылки!$I$201,),0),J65/(1+IFERROR(INDEX(J$10:J$11,Предпосылки!$I$202,),0))*IFERROR(INDEX(J$10:J$11,Предпосылки!$I$202,),0),J88/(1+IFERROR(INDEX(J$10:J$11,Предпосылки!$I$203,),0))*IFERROR(INDEX(J$10:J$11,Предпосылки!$I$203,),0),J111/(1+IFERROR(INDEX(J$10:J$11,Предпосылки!$I$204,),0))*IFERROR(INDEX(J$10:J$11,Предпосылки!$I$204,),0),J134/(1+IFERROR(INDEX(J$10:J$11,Предпосылки!$I$205,),0))*IFERROR(INDEX(J$10:J$11,Предпосылки!$I$205,),0),J157/(1+IFERROR(INDEX(J$10:J$11,Предпосылки!$I$206,),0))*IFERROR(INDEX(J$10:J$11,Предпосылки!$I$206,),0),J180/(1+IFERROR(INDEX(J$10:J$11,Предпосылки!$I$207,),0))*IFERROR(INDEX(J$10:J$11,Предпосылки!$I$207,),0),J203/(1+IFERROR(INDEX(J$10:J$11,Предпосылки!$I$208,),0))*IFERROR(INDEX(J$10:J$11,Предпосылки!$I$208,),0),J226/(1+IFERROR(INDEX(J$10:J$11,Предпосылки!$I$209,),0))*IFERROR(INDEX(J$10:J$11,Предпосылки!$I$209,),0),J249/(1+IFERROR(INDEX(J$10:J$11,Предпосылки!$I$210,),0))*IFERROR(INDEX(J$10:J$11,Предпосылки!$I$210,),0),J272/(1+IFERROR(INDEX(J$10:J$11,Предпосылки!$I$211,),0))*IFERROR(INDEX(J$10:J$11,Предпосылки!$I$211,),0),J295/(1+IFERROR(INDEX(J$10:J$11,Предпосылки!$I$212,),0))*IFERROR(INDEX(J$10:J$11,Предпосылки!$I$212,),0),J318/(1+IFERROR(INDEX(J$10:J$11,Предпосылки!$I$213,),0))*IFERROR(INDEX(J$10:J$11,Предпосылки!$I$213,),0),J341/(1+IFERROR(INDEX(J$10:J$11,Предпосылки!$I$214,),0))*IFERROR(INDEX(J$10:J$11,Предпосылки!$I$214,),0),J364/(1+IFERROR(INDEX(J$10:J$11,Предпосылки!$I$215,),0))*IFERROR(INDEX(J$10:J$11,Предпосылки!$I$215,),0),J387/(1+IFERROR(INDEX(J$10:J$11,Предпосылки!$I$216,),0))*IFERROR(INDEX(J$10:J$11,Предпосылки!$I$216,),0),J410/(1+IFERROR(INDEX(J$10:J$11,Предпосылки!$I$217,),0))*IFERROR(INDEX(J$10:J$11,Предпосылки!$I$217,),0),J433/(1+IFERROR(INDEX(J$10:J$11,Предпосылки!$I$218,),0))*IFERROR(INDEX(J$10:J$11,Предпосылки!$I$218,),0),J456/(1+IFERROR(INDEX(J$10:J$11,Предпосылки!$I$219,),0))*IFERROR(INDEX(J$10:J$11,Предпосылки!$I$219,),0),J479/(1+IFERROR(INDEX(J$10:J$11,Предпосылки!$I$220,),0))*IFERROR(INDEX(J$10:J$11,Предпосылки!$I$220,),0))</f>
        <v>0</v>
      </c>
      <c s="125">
        <f>SUM(K42/(1+IFERROR(INDEX(K$10:K$11,Предпосылки!$I$201,),0))*IFERROR(INDEX(K$10:K$11,Предпосылки!$I$201,),0),K65/(1+IFERROR(INDEX(K$10:K$11,Предпосылки!$I$202,),0))*IFERROR(INDEX(K$10:K$11,Предпосылки!$I$202,),0),K88/(1+IFERROR(INDEX(K$10:K$11,Предпосылки!$I$203,),0))*IFERROR(INDEX(K$10:K$11,Предпосылки!$I$203,),0),K111/(1+IFERROR(INDEX(K$10:K$11,Предпосылки!$I$204,),0))*IFERROR(INDEX(K$10:K$11,Предпосылки!$I$204,),0),K134/(1+IFERROR(INDEX(K$10:K$11,Предпосылки!$I$205,),0))*IFERROR(INDEX(K$10:K$11,Предпосылки!$I$205,),0),K157/(1+IFERROR(INDEX(K$10:K$11,Предпосылки!$I$206,),0))*IFERROR(INDEX(K$10:K$11,Предпосылки!$I$206,),0),K180/(1+IFERROR(INDEX(K$10:K$11,Предпосылки!$I$207,),0))*IFERROR(INDEX(K$10:K$11,Предпосылки!$I$207,),0),K203/(1+IFERROR(INDEX(K$10:K$11,Предпосылки!$I$208,),0))*IFERROR(INDEX(K$10:K$11,Предпосылки!$I$208,),0),K226/(1+IFERROR(INDEX(K$10:K$11,Предпосылки!$I$209,),0))*IFERROR(INDEX(K$10:K$11,Предпосылки!$I$209,),0),K249/(1+IFERROR(INDEX(K$10:K$11,Предпосылки!$I$210,),0))*IFERROR(INDEX(K$10:K$11,Предпосылки!$I$210,),0),K272/(1+IFERROR(INDEX(K$10:K$11,Предпосылки!$I$211,),0))*IFERROR(INDEX(K$10:K$11,Предпосылки!$I$211,),0),K295/(1+IFERROR(INDEX(K$10:K$11,Предпосылки!$I$212,),0))*IFERROR(INDEX(K$10:K$11,Предпосылки!$I$212,),0),K318/(1+IFERROR(INDEX(K$10:K$11,Предпосылки!$I$213,),0))*IFERROR(INDEX(K$10:K$11,Предпосылки!$I$213,),0),K341/(1+IFERROR(INDEX(K$10:K$11,Предпосылки!$I$214,),0))*IFERROR(INDEX(K$10:K$11,Предпосылки!$I$214,),0),K364/(1+IFERROR(INDEX(K$10:K$11,Предпосылки!$I$215,),0))*IFERROR(INDEX(K$10:K$11,Предпосылки!$I$215,),0),K387/(1+IFERROR(INDEX(K$10:K$11,Предпосылки!$I$216,),0))*IFERROR(INDEX(K$10:K$11,Предпосылки!$I$216,),0),K410/(1+IFERROR(INDEX(K$10:K$11,Предпосылки!$I$217,),0))*IFERROR(INDEX(K$10:K$11,Предпосылки!$I$217,),0),K433/(1+IFERROR(INDEX(K$10:K$11,Предпосылки!$I$218,),0))*IFERROR(INDEX(K$10:K$11,Предпосылки!$I$218,),0),K456/(1+IFERROR(INDEX(K$10:K$11,Предпосылки!$I$219,),0))*IFERROR(INDEX(K$10:K$11,Предпосылки!$I$219,),0),K479/(1+IFERROR(INDEX(K$10:K$11,Предпосылки!$I$220,),0))*IFERROR(INDEX(K$10:K$11,Предпосылки!$I$220,),0))</f>
        <v>0</v>
      </c>
      <c s="125">
        <f>SUM(L42/(1+IFERROR(INDEX(L$10:L$11,Предпосылки!$I$201,),0))*IFERROR(INDEX(L$10:L$11,Предпосылки!$I$201,),0),L65/(1+IFERROR(INDEX(L$10:L$11,Предпосылки!$I$202,),0))*IFERROR(INDEX(L$10:L$11,Предпосылки!$I$202,),0),L88/(1+IFERROR(INDEX(L$10:L$11,Предпосылки!$I$203,),0))*IFERROR(INDEX(L$10:L$11,Предпосылки!$I$203,),0),L111/(1+IFERROR(INDEX(L$10:L$11,Предпосылки!$I$204,),0))*IFERROR(INDEX(L$10:L$11,Предпосылки!$I$204,),0),L134/(1+IFERROR(INDEX(L$10:L$11,Предпосылки!$I$205,),0))*IFERROR(INDEX(L$10:L$11,Предпосылки!$I$205,),0),L157/(1+IFERROR(INDEX(L$10:L$11,Предпосылки!$I$206,),0))*IFERROR(INDEX(L$10:L$11,Предпосылки!$I$206,),0),L180/(1+IFERROR(INDEX(L$10:L$11,Предпосылки!$I$207,),0))*IFERROR(INDEX(L$10:L$11,Предпосылки!$I$207,),0),L203/(1+IFERROR(INDEX(L$10:L$11,Предпосылки!$I$208,),0))*IFERROR(INDEX(L$10:L$11,Предпосылки!$I$208,),0),L226/(1+IFERROR(INDEX(L$10:L$11,Предпосылки!$I$209,),0))*IFERROR(INDEX(L$10:L$11,Предпосылки!$I$209,),0),L249/(1+IFERROR(INDEX(L$10:L$11,Предпосылки!$I$210,),0))*IFERROR(INDEX(L$10:L$11,Предпосылки!$I$210,),0),L272/(1+IFERROR(INDEX(L$10:L$11,Предпосылки!$I$211,),0))*IFERROR(INDEX(L$10:L$11,Предпосылки!$I$211,),0),L295/(1+IFERROR(INDEX(L$10:L$11,Предпосылки!$I$212,),0))*IFERROR(INDEX(L$10:L$11,Предпосылки!$I$212,),0),L318/(1+IFERROR(INDEX(L$10:L$11,Предпосылки!$I$213,),0))*IFERROR(INDEX(L$10:L$11,Предпосылки!$I$213,),0),L341/(1+IFERROR(INDEX(L$10:L$11,Предпосылки!$I$214,),0))*IFERROR(INDEX(L$10:L$11,Предпосылки!$I$214,),0),L364/(1+IFERROR(INDEX(L$10:L$11,Предпосылки!$I$215,),0))*IFERROR(INDEX(L$10:L$11,Предпосылки!$I$215,),0),L387/(1+IFERROR(INDEX(L$10:L$11,Предпосылки!$I$216,),0))*IFERROR(INDEX(L$10:L$11,Предпосылки!$I$216,),0),L410/(1+IFERROR(INDEX(L$10:L$11,Предпосылки!$I$217,),0))*IFERROR(INDEX(L$10:L$11,Предпосылки!$I$217,),0),L433/(1+IFERROR(INDEX(L$10:L$11,Предпосылки!$I$218,),0))*IFERROR(INDEX(L$10:L$11,Предпосылки!$I$218,),0),L456/(1+IFERROR(INDEX(L$10:L$11,Предпосылки!$I$219,),0))*IFERROR(INDEX(L$10:L$11,Предпосылки!$I$219,),0),L479/(1+IFERROR(INDEX(L$10:L$11,Предпосылки!$I$220,),0))*IFERROR(INDEX(L$10:L$11,Предпосылки!$I$220,),0))</f>
        <v>0</v>
      </c>
      <c s="125">
        <f>SUM(M42/(1+IFERROR(INDEX(M$10:M$11,Предпосылки!$I$201,),0))*IFERROR(INDEX(M$10:M$11,Предпосылки!$I$201,),0),M65/(1+IFERROR(INDEX(M$10:M$11,Предпосылки!$I$202,),0))*IFERROR(INDEX(M$10:M$11,Предпосылки!$I$202,),0),M88/(1+IFERROR(INDEX(M$10:M$11,Предпосылки!$I$203,),0))*IFERROR(INDEX(M$10:M$11,Предпосылки!$I$203,),0),M111/(1+IFERROR(INDEX(M$10:M$11,Предпосылки!$I$204,),0))*IFERROR(INDEX(M$10:M$11,Предпосылки!$I$204,),0),M134/(1+IFERROR(INDEX(M$10:M$11,Предпосылки!$I$205,),0))*IFERROR(INDEX(M$10:M$11,Предпосылки!$I$205,),0),M157/(1+IFERROR(INDEX(M$10:M$11,Предпосылки!$I$206,),0))*IFERROR(INDEX(M$10:M$11,Предпосылки!$I$206,),0),M180/(1+IFERROR(INDEX(M$10:M$11,Предпосылки!$I$207,),0))*IFERROR(INDEX(M$10:M$11,Предпосылки!$I$207,),0),M203/(1+IFERROR(INDEX(M$10:M$11,Предпосылки!$I$208,),0))*IFERROR(INDEX(M$10:M$11,Предпосылки!$I$208,),0),M226/(1+IFERROR(INDEX(M$10:M$11,Предпосылки!$I$209,),0))*IFERROR(INDEX(M$10:M$11,Предпосылки!$I$209,),0),M249/(1+IFERROR(INDEX(M$10:M$11,Предпосылки!$I$210,),0))*IFERROR(INDEX(M$10:M$11,Предпосылки!$I$210,),0),M272/(1+IFERROR(INDEX(M$10:M$11,Предпосылки!$I$211,),0))*IFERROR(INDEX(M$10:M$11,Предпосылки!$I$211,),0),M295/(1+IFERROR(INDEX(M$10:M$11,Предпосылки!$I$212,),0))*IFERROR(INDEX(M$10:M$11,Предпосылки!$I$212,),0),M318/(1+IFERROR(INDEX(M$10:M$11,Предпосылки!$I$213,),0))*IFERROR(INDEX(M$10:M$11,Предпосылки!$I$213,),0),M341/(1+IFERROR(INDEX(M$10:M$11,Предпосылки!$I$214,),0))*IFERROR(INDEX(M$10:M$11,Предпосылки!$I$214,),0),M364/(1+IFERROR(INDEX(M$10:M$11,Предпосылки!$I$215,),0))*IFERROR(INDEX(M$10:M$11,Предпосылки!$I$215,),0),M387/(1+IFERROR(INDEX(M$10:M$11,Предпосылки!$I$216,),0))*IFERROR(INDEX(M$10:M$11,Предпосылки!$I$216,),0),M410/(1+IFERROR(INDEX(M$10:M$11,Предпосылки!$I$217,),0))*IFERROR(INDEX(M$10:M$11,Предпосылки!$I$217,),0),M433/(1+IFERROR(INDEX(M$10:M$11,Предпосылки!$I$218,),0))*IFERROR(INDEX(M$10:M$11,Предпосылки!$I$218,),0),M456/(1+IFERROR(INDEX(M$10:M$11,Предпосылки!$I$219,),0))*IFERROR(INDEX(M$10:M$11,Предпосылки!$I$219,),0),M479/(1+IFERROR(INDEX(M$10:M$11,Предпосылки!$I$220,),0))*IFERROR(INDEX(M$10:M$11,Предпосылки!$I$220,),0))</f>
        <v>0</v>
      </c>
      <c s="125">
        <f>SUM(N42/(1+IFERROR(INDEX(N$10:N$11,Предпосылки!$I$201,),0))*IFERROR(INDEX(N$10:N$11,Предпосылки!$I$201,),0),N65/(1+IFERROR(INDEX(N$10:N$11,Предпосылки!$I$202,),0))*IFERROR(INDEX(N$10:N$11,Предпосылки!$I$202,),0),N88/(1+IFERROR(INDEX(N$10:N$11,Предпосылки!$I$203,),0))*IFERROR(INDEX(N$10:N$11,Предпосылки!$I$203,),0),N111/(1+IFERROR(INDEX(N$10:N$11,Предпосылки!$I$204,),0))*IFERROR(INDEX(N$10:N$11,Предпосылки!$I$204,),0),N134/(1+IFERROR(INDEX(N$10:N$11,Предпосылки!$I$205,),0))*IFERROR(INDEX(N$10:N$11,Предпосылки!$I$205,),0),N157/(1+IFERROR(INDEX(N$10:N$11,Предпосылки!$I$206,),0))*IFERROR(INDEX(N$10:N$11,Предпосылки!$I$206,),0),N180/(1+IFERROR(INDEX(N$10:N$11,Предпосылки!$I$207,),0))*IFERROR(INDEX(N$10:N$11,Предпосылки!$I$207,),0),N203/(1+IFERROR(INDEX(N$10:N$11,Предпосылки!$I$208,),0))*IFERROR(INDEX(N$10:N$11,Предпосылки!$I$208,),0),N226/(1+IFERROR(INDEX(N$10:N$11,Предпосылки!$I$209,),0))*IFERROR(INDEX(N$10:N$11,Предпосылки!$I$209,),0),N249/(1+IFERROR(INDEX(N$10:N$11,Предпосылки!$I$210,),0))*IFERROR(INDEX(N$10:N$11,Предпосылки!$I$210,),0),N272/(1+IFERROR(INDEX(N$10:N$11,Предпосылки!$I$211,),0))*IFERROR(INDEX(N$10:N$11,Предпосылки!$I$211,),0),N295/(1+IFERROR(INDEX(N$10:N$11,Предпосылки!$I$212,),0))*IFERROR(INDEX(N$10:N$11,Предпосылки!$I$212,),0),N318/(1+IFERROR(INDEX(N$10:N$11,Предпосылки!$I$213,),0))*IFERROR(INDEX(N$10:N$11,Предпосылки!$I$213,),0),N341/(1+IFERROR(INDEX(N$10:N$11,Предпосылки!$I$214,),0))*IFERROR(INDEX(N$10:N$11,Предпосылки!$I$214,),0),N364/(1+IFERROR(INDEX(N$10:N$11,Предпосылки!$I$215,),0))*IFERROR(INDEX(N$10:N$11,Предпосылки!$I$215,),0),N387/(1+IFERROR(INDEX(N$10:N$11,Предпосылки!$I$216,),0))*IFERROR(INDEX(N$10:N$11,Предпосылки!$I$216,),0),N410/(1+IFERROR(INDEX(N$10:N$11,Предпосылки!$I$217,),0))*IFERROR(INDEX(N$10:N$11,Предпосылки!$I$217,),0),N433/(1+IFERROR(INDEX(N$10:N$11,Предпосылки!$I$218,),0))*IFERROR(INDEX(N$10:N$11,Предпосылки!$I$218,),0),N456/(1+IFERROR(INDEX(N$10:N$11,Предпосылки!$I$219,),0))*IFERROR(INDEX(N$10:N$11,Предпосылки!$I$219,),0),N479/(1+IFERROR(INDEX(N$10:N$11,Предпосылки!$I$220,),0))*IFERROR(INDEX(N$10:N$11,Предпосылки!$I$220,),0))</f>
        <v>0</v>
      </c>
      <c s="125">
        <f>SUM(O42/(1+IFERROR(INDEX(O$10:O$11,Предпосылки!$I$201,),0))*IFERROR(INDEX(O$10:O$11,Предпосылки!$I$201,),0),O65/(1+IFERROR(INDEX(O$10:O$11,Предпосылки!$I$202,),0))*IFERROR(INDEX(O$10:O$11,Предпосылки!$I$202,),0),O88/(1+IFERROR(INDEX(O$10:O$11,Предпосылки!$I$203,),0))*IFERROR(INDEX(O$10:O$11,Предпосылки!$I$203,),0),O111/(1+IFERROR(INDEX(O$10:O$11,Предпосылки!$I$204,),0))*IFERROR(INDEX(O$10:O$11,Предпосылки!$I$204,),0),O134/(1+IFERROR(INDEX(O$10:O$11,Предпосылки!$I$205,),0))*IFERROR(INDEX(O$10:O$11,Предпосылки!$I$205,),0),O157/(1+IFERROR(INDEX(O$10:O$11,Предпосылки!$I$206,),0))*IFERROR(INDEX(O$10:O$11,Предпосылки!$I$206,),0),O180/(1+IFERROR(INDEX(O$10:O$11,Предпосылки!$I$207,),0))*IFERROR(INDEX(O$10:O$11,Предпосылки!$I$207,),0),O203/(1+IFERROR(INDEX(O$10:O$11,Предпосылки!$I$208,),0))*IFERROR(INDEX(O$10:O$11,Предпосылки!$I$208,),0),O226/(1+IFERROR(INDEX(O$10:O$11,Предпосылки!$I$209,),0))*IFERROR(INDEX(O$10:O$11,Предпосылки!$I$209,),0),O249/(1+IFERROR(INDEX(O$10:O$11,Предпосылки!$I$210,),0))*IFERROR(INDEX(O$10:O$11,Предпосылки!$I$210,),0),O272/(1+IFERROR(INDEX(O$10:O$11,Предпосылки!$I$211,),0))*IFERROR(INDEX(O$10:O$11,Предпосылки!$I$211,),0),O295/(1+IFERROR(INDEX(O$10:O$11,Предпосылки!$I$212,),0))*IFERROR(INDEX(O$10:O$11,Предпосылки!$I$212,),0),O318/(1+IFERROR(INDEX(O$10:O$11,Предпосылки!$I$213,),0))*IFERROR(INDEX(O$10:O$11,Предпосылки!$I$213,),0),O341/(1+IFERROR(INDEX(O$10:O$11,Предпосылки!$I$214,),0))*IFERROR(INDEX(O$10:O$11,Предпосылки!$I$214,),0),O364/(1+IFERROR(INDEX(O$10:O$11,Предпосылки!$I$215,),0))*IFERROR(INDEX(O$10:O$11,Предпосылки!$I$215,),0),O387/(1+IFERROR(INDEX(O$10:O$11,Предпосылки!$I$216,),0))*IFERROR(INDEX(O$10:O$11,Предпосылки!$I$216,),0),O410/(1+IFERROR(INDEX(O$10:O$11,Предпосылки!$I$217,),0))*IFERROR(INDEX(O$10:O$11,Предпосылки!$I$217,),0),O433/(1+IFERROR(INDEX(O$10:O$11,Предпосылки!$I$218,),0))*IFERROR(INDEX(O$10:O$11,Предпосылки!$I$218,),0),O456/(1+IFERROR(INDEX(O$10:O$11,Предпосылки!$I$219,),0))*IFERROR(INDEX(O$10:O$11,Предпосылки!$I$219,),0),O479/(1+IFERROR(INDEX(O$10:O$11,Предпосылки!$I$220,),0))*IFERROR(INDEX(O$10:O$11,Предпосылки!$I$220,),0))</f>
        <v>0</v>
      </c>
      <c s="125">
        <f>SUM(P42/(1+IFERROR(INDEX(P$10:P$11,Предпосылки!$I$201,),0))*IFERROR(INDEX(P$10:P$11,Предпосылки!$I$201,),0),P65/(1+IFERROR(INDEX(P$10:P$11,Предпосылки!$I$202,),0))*IFERROR(INDEX(P$10:P$11,Предпосылки!$I$202,),0),P88/(1+IFERROR(INDEX(P$10:P$11,Предпосылки!$I$203,),0))*IFERROR(INDEX(P$10:P$11,Предпосылки!$I$203,),0),P111/(1+IFERROR(INDEX(P$10:P$11,Предпосылки!$I$204,),0))*IFERROR(INDEX(P$10:P$11,Предпосылки!$I$204,),0),P134/(1+IFERROR(INDEX(P$10:P$11,Предпосылки!$I$205,),0))*IFERROR(INDEX(P$10:P$11,Предпосылки!$I$205,),0),P157/(1+IFERROR(INDEX(P$10:P$11,Предпосылки!$I$206,),0))*IFERROR(INDEX(P$10:P$11,Предпосылки!$I$206,),0),P180/(1+IFERROR(INDEX(P$10:P$11,Предпосылки!$I$207,),0))*IFERROR(INDEX(P$10:P$11,Предпосылки!$I$207,),0),P203/(1+IFERROR(INDEX(P$10:P$11,Предпосылки!$I$208,),0))*IFERROR(INDEX(P$10:P$11,Предпосылки!$I$208,),0),P226/(1+IFERROR(INDEX(P$10:P$11,Предпосылки!$I$209,),0))*IFERROR(INDEX(P$10:P$11,Предпосылки!$I$209,),0),P249/(1+IFERROR(INDEX(P$10:P$11,Предпосылки!$I$210,),0))*IFERROR(INDEX(P$10:P$11,Предпосылки!$I$210,),0),P272/(1+IFERROR(INDEX(P$10:P$11,Предпосылки!$I$211,),0))*IFERROR(INDEX(P$10:P$11,Предпосылки!$I$211,),0),P295/(1+IFERROR(INDEX(P$10:P$11,Предпосылки!$I$212,),0))*IFERROR(INDEX(P$10:P$11,Предпосылки!$I$212,),0),P318/(1+IFERROR(INDEX(P$10:P$11,Предпосылки!$I$213,),0))*IFERROR(INDEX(P$10:P$11,Предпосылки!$I$213,),0),P341/(1+IFERROR(INDEX(P$10:P$11,Предпосылки!$I$214,),0))*IFERROR(INDEX(P$10:P$11,Предпосылки!$I$214,),0),P364/(1+IFERROR(INDEX(P$10:P$11,Предпосылки!$I$215,),0))*IFERROR(INDEX(P$10:P$11,Предпосылки!$I$215,),0),P387/(1+IFERROR(INDEX(P$10:P$11,Предпосылки!$I$216,),0))*IFERROR(INDEX(P$10:P$11,Предпосылки!$I$216,),0),P410/(1+IFERROR(INDEX(P$10:P$11,Предпосылки!$I$217,),0))*IFERROR(INDEX(P$10:P$11,Предпосылки!$I$217,),0),P433/(1+IFERROR(INDEX(P$10:P$11,Предпосылки!$I$218,),0))*IFERROR(INDEX(P$10:P$11,Предпосылки!$I$218,),0),P456/(1+IFERROR(INDEX(P$10:P$11,Предпосылки!$I$219,),0))*IFERROR(INDEX(P$10:P$11,Предпосылки!$I$219,),0),P479/(1+IFERROR(INDEX(P$10:P$11,Предпосылки!$I$220,),0))*IFERROR(INDEX(P$10:P$11,Предпосылки!$I$220,),0))</f>
        <v>0</v>
      </c>
      <c s="125">
        <f>SUM(Q42/(1+IFERROR(INDEX(Q$10:Q$11,Предпосылки!$I$201,),0))*IFERROR(INDEX(Q$10:Q$11,Предпосылки!$I$201,),0),Q65/(1+IFERROR(INDEX(Q$10:Q$11,Предпосылки!$I$202,),0))*IFERROR(INDEX(Q$10:Q$11,Предпосылки!$I$202,),0),Q88/(1+IFERROR(INDEX(Q$10:Q$11,Предпосылки!$I$203,),0))*IFERROR(INDEX(Q$10:Q$11,Предпосылки!$I$203,),0),Q111/(1+IFERROR(INDEX(Q$10:Q$11,Предпосылки!$I$204,),0))*IFERROR(INDEX(Q$10:Q$11,Предпосылки!$I$204,),0),Q134/(1+IFERROR(INDEX(Q$10:Q$11,Предпосылки!$I$205,),0))*IFERROR(INDEX(Q$10:Q$11,Предпосылки!$I$205,),0),Q157/(1+IFERROR(INDEX(Q$10:Q$11,Предпосылки!$I$206,),0))*IFERROR(INDEX(Q$10:Q$11,Предпосылки!$I$206,),0),Q180/(1+IFERROR(INDEX(Q$10:Q$11,Предпосылки!$I$207,),0))*IFERROR(INDEX(Q$10:Q$11,Предпосылки!$I$207,),0),Q203/(1+IFERROR(INDEX(Q$10:Q$11,Предпосылки!$I$208,),0))*IFERROR(INDEX(Q$10:Q$11,Предпосылки!$I$208,),0),Q226/(1+IFERROR(INDEX(Q$10:Q$11,Предпосылки!$I$209,),0))*IFERROR(INDEX(Q$10:Q$11,Предпосылки!$I$209,),0),Q249/(1+IFERROR(INDEX(Q$10:Q$11,Предпосылки!$I$210,),0))*IFERROR(INDEX(Q$10:Q$11,Предпосылки!$I$210,),0),Q272/(1+IFERROR(INDEX(Q$10:Q$11,Предпосылки!$I$211,),0))*IFERROR(INDEX(Q$10:Q$11,Предпосылки!$I$211,),0),Q295/(1+IFERROR(INDEX(Q$10:Q$11,Предпосылки!$I$212,),0))*IFERROR(INDEX(Q$10:Q$11,Предпосылки!$I$212,),0),Q318/(1+IFERROR(INDEX(Q$10:Q$11,Предпосылки!$I$213,),0))*IFERROR(INDEX(Q$10:Q$11,Предпосылки!$I$213,),0),Q341/(1+IFERROR(INDEX(Q$10:Q$11,Предпосылки!$I$214,),0))*IFERROR(INDEX(Q$10:Q$11,Предпосылки!$I$214,),0),Q364/(1+IFERROR(INDEX(Q$10:Q$11,Предпосылки!$I$215,),0))*IFERROR(INDEX(Q$10:Q$11,Предпосылки!$I$215,),0),Q387/(1+IFERROR(INDEX(Q$10:Q$11,Предпосылки!$I$216,),0))*IFERROR(INDEX(Q$10:Q$11,Предпосылки!$I$216,),0),Q410/(1+IFERROR(INDEX(Q$10:Q$11,Предпосылки!$I$217,),0))*IFERROR(INDEX(Q$10:Q$11,Предпосылки!$I$217,),0),Q433/(1+IFERROR(INDEX(Q$10:Q$11,Предпосылки!$I$218,),0))*IFERROR(INDEX(Q$10:Q$11,Предпосылки!$I$218,),0),Q456/(1+IFERROR(INDEX(Q$10:Q$11,Предпосылки!$I$219,),0))*IFERROR(INDEX(Q$10:Q$11,Предпосылки!$I$219,),0),Q479/(1+IFERROR(INDEX(Q$10:Q$11,Предпосылки!$I$220,),0))*IFERROR(INDEX(Q$10:Q$11,Предпосылки!$I$220,),0))</f>
        <v>0</v>
      </c>
      <c s="125">
        <f>SUM(R42/(1+IFERROR(INDEX(R$10:R$11,Предпосылки!$I$201,),0))*IFERROR(INDEX(R$10:R$11,Предпосылки!$I$201,),0),R65/(1+IFERROR(INDEX(R$10:R$11,Предпосылки!$I$202,),0))*IFERROR(INDEX(R$10:R$11,Предпосылки!$I$202,),0),R88/(1+IFERROR(INDEX(R$10:R$11,Предпосылки!$I$203,),0))*IFERROR(INDEX(R$10:R$11,Предпосылки!$I$203,),0),R111/(1+IFERROR(INDEX(R$10:R$11,Предпосылки!$I$204,),0))*IFERROR(INDEX(R$10:R$11,Предпосылки!$I$204,),0),R134/(1+IFERROR(INDEX(R$10:R$11,Предпосылки!$I$205,),0))*IFERROR(INDEX(R$10:R$11,Предпосылки!$I$205,),0),R157/(1+IFERROR(INDEX(R$10:R$11,Предпосылки!$I$206,),0))*IFERROR(INDEX(R$10:R$11,Предпосылки!$I$206,),0),R180/(1+IFERROR(INDEX(R$10:R$11,Предпосылки!$I$207,),0))*IFERROR(INDEX(R$10:R$11,Предпосылки!$I$207,),0),R203/(1+IFERROR(INDEX(R$10:R$11,Предпосылки!$I$208,),0))*IFERROR(INDEX(R$10:R$11,Предпосылки!$I$208,),0),R226/(1+IFERROR(INDEX(R$10:R$11,Предпосылки!$I$209,),0))*IFERROR(INDEX(R$10:R$11,Предпосылки!$I$209,),0),R249/(1+IFERROR(INDEX(R$10:R$11,Предпосылки!$I$210,),0))*IFERROR(INDEX(R$10:R$11,Предпосылки!$I$210,),0),R272/(1+IFERROR(INDEX(R$10:R$11,Предпосылки!$I$211,),0))*IFERROR(INDEX(R$10:R$11,Предпосылки!$I$211,),0),R295/(1+IFERROR(INDEX(R$10:R$11,Предпосылки!$I$212,),0))*IFERROR(INDEX(R$10:R$11,Предпосылки!$I$212,),0),R318/(1+IFERROR(INDEX(R$10:R$11,Предпосылки!$I$213,),0))*IFERROR(INDEX(R$10:R$11,Предпосылки!$I$213,),0),R341/(1+IFERROR(INDEX(R$10:R$11,Предпосылки!$I$214,),0))*IFERROR(INDEX(R$10:R$11,Предпосылки!$I$214,),0),R364/(1+IFERROR(INDEX(R$10:R$11,Предпосылки!$I$215,),0))*IFERROR(INDEX(R$10:R$11,Предпосылки!$I$215,),0),R387/(1+IFERROR(INDEX(R$10:R$11,Предпосылки!$I$216,),0))*IFERROR(INDEX(R$10:R$11,Предпосылки!$I$216,),0),R410/(1+IFERROR(INDEX(R$10:R$11,Предпосылки!$I$217,),0))*IFERROR(INDEX(R$10:R$11,Предпосылки!$I$217,),0),R433/(1+IFERROR(INDEX(R$10:R$11,Предпосылки!$I$218,),0))*IFERROR(INDEX(R$10:R$11,Предпосылки!$I$218,),0),R456/(1+IFERROR(INDEX(R$10:R$11,Предпосылки!$I$219,),0))*IFERROR(INDEX(R$10:R$11,Предпосылки!$I$219,),0),R479/(1+IFERROR(INDEX(R$10:R$11,Предпосылки!$I$220,),0))*IFERROR(INDEX(R$10:R$11,Предпосылки!$I$220,),0))</f>
        <v>0</v>
      </c>
      <c s="125">
        <f>SUM(S42/(1+IFERROR(INDEX(S$10:S$11,Предпосылки!$I$201,),0))*IFERROR(INDEX(S$10:S$11,Предпосылки!$I$201,),0),S65/(1+IFERROR(INDEX(S$10:S$11,Предпосылки!$I$202,),0))*IFERROR(INDEX(S$10:S$11,Предпосылки!$I$202,),0),S88/(1+IFERROR(INDEX(S$10:S$11,Предпосылки!$I$203,),0))*IFERROR(INDEX(S$10:S$11,Предпосылки!$I$203,),0),S111/(1+IFERROR(INDEX(S$10:S$11,Предпосылки!$I$204,),0))*IFERROR(INDEX(S$10:S$11,Предпосылки!$I$204,),0),S134/(1+IFERROR(INDEX(S$10:S$11,Предпосылки!$I$205,),0))*IFERROR(INDEX(S$10:S$11,Предпосылки!$I$205,),0),S157/(1+IFERROR(INDEX(S$10:S$11,Предпосылки!$I$206,),0))*IFERROR(INDEX(S$10:S$11,Предпосылки!$I$206,),0),S180/(1+IFERROR(INDEX(S$10:S$11,Предпосылки!$I$207,),0))*IFERROR(INDEX(S$10:S$11,Предпосылки!$I$207,),0),S203/(1+IFERROR(INDEX(S$10:S$11,Предпосылки!$I$208,),0))*IFERROR(INDEX(S$10:S$11,Предпосылки!$I$208,),0),S226/(1+IFERROR(INDEX(S$10:S$11,Предпосылки!$I$209,),0))*IFERROR(INDEX(S$10:S$11,Предпосылки!$I$209,),0),S249/(1+IFERROR(INDEX(S$10:S$11,Предпосылки!$I$210,),0))*IFERROR(INDEX(S$10:S$11,Предпосылки!$I$210,),0),S272/(1+IFERROR(INDEX(S$10:S$11,Предпосылки!$I$211,),0))*IFERROR(INDEX(S$10:S$11,Предпосылки!$I$211,),0),S295/(1+IFERROR(INDEX(S$10:S$11,Предпосылки!$I$212,),0))*IFERROR(INDEX(S$10:S$11,Предпосылки!$I$212,),0),S318/(1+IFERROR(INDEX(S$10:S$11,Предпосылки!$I$213,),0))*IFERROR(INDEX(S$10:S$11,Предпосылки!$I$213,),0),S341/(1+IFERROR(INDEX(S$10:S$11,Предпосылки!$I$214,),0))*IFERROR(INDEX(S$10:S$11,Предпосылки!$I$214,),0),S364/(1+IFERROR(INDEX(S$10:S$11,Предпосылки!$I$215,),0))*IFERROR(INDEX(S$10:S$11,Предпосылки!$I$215,),0),S387/(1+IFERROR(INDEX(S$10:S$11,Предпосылки!$I$216,),0))*IFERROR(INDEX(S$10:S$11,Предпосылки!$I$216,),0),S410/(1+IFERROR(INDEX(S$10:S$11,Предпосылки!$I$217,),0))*IFERROR(INDEX(S$10:S$11,Предпосылки!$I$217,),0),S433/(1+IFERROR(INDEX(S$10:S$11,Предпосылки!$I$218,),0))*IFERROR(INDEX(S$10:S$11,Предпосылки!$I$218,),0),S456/(1+IFERROR(INDEX(S$10:S$11,Предпосылки!$I$219,),0))*IFERROR(INDEX(S$10:S$11,Предпосылки!$I$219,),0),S479/(1+IFERROR(INDEX(S$10:S$11,Предпосылки!$I$220,),0))*IFERROR(INDEX(S$10:S$11,Предпосылки!$I$220,),0))</f>
        <v>0</v>
      </c>
      <c s="125">
        <f>SUM(T42/(1+IFERROR(INDEX(T$10:T$11,Предпосылки!$I$201,),0))*IFERROR(INDEX(T$10:T$11,Предпосылки!$I$201,),0),T65/(1+IFERROR(INDEX(T$10:T$11,Предпосылки!$I$202,),0))*IFERROR(INDEX(T$10:T$11,Предпосылки!$I$202,),0),T88/(1+IFERROR(INDEX(T$10:T$11,Предпосылки!$I$203,),0))*IFERROR(INDEX(T$10:T$11,Предпосылки!$I$203,),0),T111/(1+IFERROR(INDEX(T$10:T$11,Предпосылки!$I$204,),0))*IFERROR(INDEX(T$10:T$11,Предпосылки!$I$204,),0),T134/(1+IFERROR(INDEX(T$10:T$11,Предпосылки!$I$205,),0))*IFERROR(INDEX(T$10:T$11,Предпосылки!$I$205,),0),T157/(1+IFERROR(INDEX(T$10:T$11,Предпосылки!$I$206,),0))*IFERROR(INDEX(T$10:T$11,Предпосылки!$I$206,),0),T180/(1+IFERROR(INDEX(T$10:T$11,Предпосылки!$I$207,),0))*IFERROR(INDEX(T$10:T$11,Предпосылки!$I$207,),0),T203/(1+IFERROR(INDEX(T$10:T$11,Предпосылки!$I$208,),0))*IFERROR(INDEX(T$10:T$11,Предпосылки!$I$208,),0),T226/(1+IFERROR(INDEX(T$10:T$11,Предпосылки!$I$209,),0))*IFERROR(INDEX(T$10:T$11,Предпосылки!$I$209,),0),T249/(1+IFERROR(INDEX(T$10:T$11,Предпосылки!$I$210,),0))*IFERROR(INDEX(T$10:T$11,Предпосылки!$I$210,),0),T272/(1+IFERROR(INDEX(T$10:T$11,Предпосылки!$I$211,),0))*IFERROR(INDEX(T$10:T$11,Предпосылки!$I$211,),0),T295/(1+IFERROR(INDEX(T$10:T$11,Предпосылки!$I$212,),0))*IFERROR(INDEX(T$10:T$11,Предпосылки!$I$212,),0),T318/(1+IFERROR(INDEX(T$10:T$11,Предпосылки!$I$213,),0))*IFERROR(INDEX(T$10:T$11,Предпосылки!$I$213,),0),T341/(1+IFERROR(INDEX(T$10:T$11,Предпосылки!$I$214,),0))*IFERROR(INDEX(T$10:T$11,Предпосылки!$I$214,),0),T364/(1+IFERROR(INDEX(T$10:T$11,Предпосылки!$I$215,),0))*IFERROR(INDEX(T$10:T$11,Предпосылки!$I$215,),0),T387/(1+IFERROR(INDEX(T$10:T$11,Предпосылки!$I$216,),0))*IFERROR(INDEX(T$10:T$11,Предпосылки!$I$216,),0),T410/(1+IFERROR(INDEX(T$10:T$11,Предпосылки!$I$217,),0))*IFERROR(INDEX(T$10:T$11,Предпосылки!$I$217,),0),T433/(1+IFERROR(INDEX(T$10:T$11,Предпосылки!$I$218,),0))*IFERROR(INDEX(T$10:T$11,Предпосылки!$I$218,),0),T456/(1+IFERROR(INDEX(T$10:T$11,Предпосылки!$I$219,),0))*IFERROR(INDEX(T$10:T$11,Предпосылки!$I$219,),0),T479/(1+IFERROR(INDEX(T$10:T$11,Предпосылки!$I$220,),0))*IFERROR(INDEX(T$10:T$11,Предпосылки!$I$220,),0))</f>
        <v>0</v>
      </c>
      <c s="125">
        <f>SUM(U42/(1+IFERROR(INDEX(U$10:U$11,Предпосылки!$I$201,),0))*IFERROR(INDEX(U$10:U$11,Предпосылки!$I$201,),0),U65/(1+IFERROR(INDEX(U$10:U$11,Предпосылки!$I$202,),0))*IFERROR(INDEX(U$10:U$11,Предпосылки!$I$202,),0),U88/(1+IFERROR(INDEX(U$10:U$11,Предпосылки!$I$203,),0))*IFERROR(INDEX(U$10:U$11,Предпосылки!$I$203,),0),U111/(1+IFERROR(INDEX(U$10:U$11,Предпосылки!$I$204,),0))*IFERROR(INDEX(U$10:U$11,Предпосылки!$I$204,),0),U134/(1+IFERROR(INDEX(U$10:U$11,Предпосылки!$I$205,),0))*IFERROR(INDEX(U$10:U$11,Предпосылки!$I$205,),0),U157/(1+IFERROR(INDEX(U$10:U$11,Предпосылки!$I$206,),0))*IFERROR(INDEX(U$10:U$11,Предпосылки!$I$206,),0),U180/(1+IFERROR(INDEX(U$10:U$11,Предпосылки!$I$207,),0))*IFERROR(INDEX(U$10:U$11,Предпосылки!$I$207,),0),U203/(1+IFERROR(INDEX(U$10:U$11,Предпосылки!$I$208,),0))*IFERROR(INDEX(U$10:U$11,Предпосылки!$I$208,),0),U226/(1+IFERROR(INDEX(U$10:U$11,Предпосылки!$I$209,),0))*IFERROR(INDEX(U$10:U$11,Предпосылки!$I$209,),0),U249/(1+IFERROR(INDEX(U$10:U$11,Предпосылки!$I$210,),0))*IFERROR(INDEX(U$10:U$11,Предпосылки!$I$210,),0),U272/(1+IFERROR(INDEX(U$10:U$11,Предпосылки!$I$211,),0))*IFERROR(INDEX(U$10:U$11,Предпосылки!$I$211,),0),U295/(1+IFERROR(INDEX(U$10:U$11,Предпосылки!$I$212,),0))*IFERROR(INDEX(U$10:U$11,Предпосылки!$I$212,),0),U318/(1+IFERROR(INDEX(U$10:U$11,Предпосылки!$I$213,),0))*IFERROR(INDEX(U$10:U$11,Предпосылки!$I$213,),0),U341/(1+IFERROR(INDEX(U$10:U$11,Предпосылки!$I$214,),0))*IFERROR(INDEX(U$10:U$11,Предпосылки!$I$214,),0),U364/(1+IFERROR(INDEX(U$10:U$11,Предпосылки!$I$215,),0))*IFERROR(INDEX(U$10:U$11,Предпосылки!$I$215,),0),U387/(1+IFERROR(INDEX(U$10:U$11,Предпосылки!$I$216,),0))*IFERROR(INDEX(U$10:U$11,Предпосылки!$I$216,),0),U410/(1+IFERROR(INDEX(U$10:U$11,Предпосылки!$I$217,),0))*IFERROR(INDEX(U$10:U$11,Предпосылки!$I$217,),0),U433/(1+IFERROR(INDEX(U$10:U$11,Предпосылки!$I$218,),0))*IFERROR(INDEX(U$10:U$11,Предпосылки!$I$218,),0),U456/(1+IFERROR(INDEX(U$10:U$11,Предпосылки!$I$219,),0))*IFERROR(INDEX(U$10:U$11,Предпосылки!$I$219,),0),U479/(1+IFERROR(INDEX(U$10:U$11,Предпосылки!$I$220,),0))*IFERROR(INDEX(U$10:U$11,Предпосылки!$I$220,),0))</f>
        <v>0</v>
      </c>
      <c s="125">
        <f>SUM(V42/(1+IFERROR(INDEX(V$10:V$11,Предпосылки!$I$201,),0))*IFERROR(INDEX(V$10:V$11,Предпосылки!$I$201,),0),V65/(1+IFERROR(INDEX(V$10:V$11,Предпосылки!$I$202,),0))*IFERROR(INDEX(V$10:V$11,Предпосылки!$I$202,),0),V88/(1+IFERROR(INDEX(V$10:V$11,Предпосылки!$I$203,),0))*IFERROR(INDEX(V$10:V$11,Предпосылки!$I$203,),0),V111/(1+IFERROR(INDEX(V$10:V$11,Предпосылки!$I$204,),0))*IFERROR(INDEX(V$10:V$11,Предпосылки!$I$204,),0),V134/(1+IFERROR(INDEX(V$10:V$11,Предпосылки!$I$205,),0))*IFERROR(INDEX(V$10:V$11,Предпосылки!$I$205,),0),V157/(1+IFERROR(INDEX(V$10:V$11,Предпосылки!$I$206,),0))*IFERROR(INDEX(V$10:V$11,Предпосылки!$I$206,),0),V180/(1+IFERROR(INDEX(V$10:V$11,Предпосылки!$I$207,),0))*IFERROR(INDEX(V$10:V$11,Предпосылки!$I$207,),0),V203/(1+IFERROR(INDEX(V$10:V$11,Предпосылки!$I$208,),0))*IFERROR(INDEX(V$10:V$11,Предпосылки!$I$208,),0),V226/(1+IFERROR(INDEX(V$10:V$11,Предпосылки!$I$209,),0))*IFERROR(INDEX(V$10:V$11,Предпосылки!$I$209,),0),V249/(1+IFERROR(INDEX(V$10:V$11,Предпосылки!$I$210,),0))*IFERROR(INDEX(V$10:V$11,Предпосылки!$I$210,),0),V272/(1+IFERROR(INDEX(V$10:V$11,Предпосылки!$I$211,),0))*IFERROR(INDEX(V$10:V$11,Предпосылки!$I$211,),0),V295/(1+IFERROR(INDEX(V$10:V$11,Предпосылки!$I$212,),0))*IFERROR(INDEX(V$10:V$11,Предпосылки!$I$212,),0),V318/(1+IFERROR(INDEX(V$10:V$11,Предпосылки!$I$213,),0))*IFERROR(INDEX(V$10:V$11,Предпосылки!$I$213,),0),V341/(1+IFERROR(INDEX(V$10:V$11,Предпосылки!$I$214,),0))*IFERROR(INDEX(V$10:V$11,Предпосылки!$I$214,),0),V364/(1+IFERROR(INDEX(V$10:V$11,Предпосылки!$I$215,),0))*IFERROR(INDEX(V$10:V$11,Предпосылки!$I$215,),0),V387/(1+IFERROR(INDEX(V$10:V$11,Предпосылки!$I$216,),0))*IFERROR(INDEX(V$10:V$11,Предпосылки!$I$216,),0),V410/(1+IFERROR(INDEX(V$10:V$11,Предпосылки!$I$217,),0))*IFERROR(INDEX(V$10:V$11,Предпосылки!$I$217,),0),V433/(1+IFERROR(INDEX(V$10:V$11,Предпосылки!$I$218,),0))*IFERROR(INDEX(V$10:V$11,Предпосылки!$I$218,),0),V456/(1+IFERROR(INDEX(V$10:V$11,Предпосылки!$I$219,),0))*IFERROR(INDEX(V$10:V$11,Предпосылки!$I$219,),0),V479/(1+IFERROR(INDEX(V$10:V$11,Предпосылки!$I$220,),0))*IFERROR(INDEX(V$10:V$11,Предпосылки!$I$220,),0))</f>
        <v>0</v>
      </c>
      <c s="125">
        <f>SUM(W42/(1+IFERROR(INDEX(W$10:W$11,Предпосылки!$I$201,),0))*IFERROR(INDEX(W$10:W$11,Предпосылки!$I$201,),0),W65/(1+IFERROR(INDEX(W$10:W$11,Предпосылки!$I$202,),0))*IFERROR(INDEX(W$10:W$11,Предпосылки!$I$202,),0),W88/(1+IFERROR(INDEX(W$10:W$11,Предпосылки!$I$203,),0))*IFERROR(INDEX(W$10:W$11,Предпосылки!$I$203,),0),W111/(1+IFERROR(INDEX(W$10:W$11,Предпосылки!$I$204,),0))*IFERROR(INDEX(W$10:W$11,Предпосылки!$I$204,),0),W134/(1+IFERROR(INDEX(W$10:W$11,Предпосылки!$I$205,),0))*IFERROR(INDEX(W$10:W$11,Предпосылки!$I$205,),0),W157/(1+IFERROR(INDEX(W$10:W$11,Предпосылки!$I$206,),0))*IFERROR(INDEX(W$10:W$11,Предпосылки!$I$206,),0),W180/(1+IFERROR(INDEX(W$10:W$11,Предпосылки!$I$207,),0))*IFERROR(INDEX(W$10:W$11,Предпосылки!$I$207,),0),W203/(1+IFERROR(INDEX(W$10:W$11,Предпосылки!$I$208,),0))*IFERROR(INDEX(W$10:W$11,Предпосылки!$I$208,),0),W226/(1+IFERROR(INDEX(W$10:W$11,Предпосылки!$I$209,),0))*IFERROR(INDEX(W$10:W$11,Предпосылки!$I$209,),0),W249/(1+IFERROR(INDEX(W$10:W$11,Предпосылки!$I$210,),0))*IFERROR(INDEX(W$10:W$11,Предпосылки!$I$210,),0),W272/(1+IFERROR(INDEX(W$10:W$11,Предпосылки!$I$211,),0))*IFERROR(INDEX(W$10:W$11,Предпосылки!$I$211,),0),W295/(1+IFERROR(INDEX(W$10:W$11,Предпосылки!$I$212,),0))*IFERROR(INDEX(W$10:W$11,Предпосылки!$I$212,),0),W318/(1+IFERROR(INDEX(W$10:W$11,Предпосылки!$I$213,),0))*IFERROR(INDEX(W$10:W$11,Предпосылки!$I$213,),0),W341/(1+IFERROR(INDEX(W$10:W$11,Предпосылки!$I$214,),0))*IFERROR(INDEX(W$10:W$11,Предпосылки!$I$214,),0),W364/(1+IFERROR(INDEX(W$10:W$11,Предпосылки!$I$215,),0))*IFERROR(INDEX(W$10:W$11,Предпосылки!$I$215,),0),W387/(1+IFERROR(INDEX(W$10:W$11,Предпосылки!$I$216,),0))*IFERROR(INDEX(W$10:W$11,Предпосылки!$I$216,),0),W410/(1+IFERROR(INDEX(W$10:W$11,Предпосылки!$I$217,),0))*IFERROR(INDEX(W$10:W$11,Предпосылки!$I$217,),0),W433/(1+IFERROR(INDEX(W$10:W$11,Предпосылки!$I$218,),0))*IFERROR(INDEX(W$10:W$11,Предпосылки!$I$218,),0),W456/(1+IFERROR(INDEX(W$10:W$11,Предпосылки!$I$219,),0))*IFERROR(INDEX(W$10:W$11,Предпосылки!$I$219,),0),W479/(1+IFERROR(INDEX(W$10:W$11,Предпосылки!$I$220,),0))*IFERROR(INDEX(W$10:W$11,Предпосылки!$I$220,),0))</f>
        <v>0</v>
      </c>
      <c s="125">
        <f>SUM(X42/(1+IFERROR(INDEX(X$10:X$11,Предпосылки!$I$201,),0))*IFERROR(INDEX(X$10:X$11,Предпосылки!$I$201,),0),X65/(1+IFERROR(INDEX(X$10:X$11,Предпосылки!$I$202,),0))*IFERROR(INDEX(X$10:X$11,Предпосылки!$I$202,),0),X88/(1+IFERROR(INDEX(X$10:X$11,Предпосылки!$I$203,),0))*IFERROR(INDEX(X$10:X$11,Предпосылки!$I$203,),0),X111/(1+IFERROR(INDEX(X$10:X$11,Предпосылки!$I$204,),0))*IFERROR(INDEX(X$10:X$11,Предпосылки!$I$204,),0),X134/(1+IFERROR(INDEX(X$10:X$11,Предпосылки!$I$205,),0))*IFERROR(INDEX(X$10:X$11,Предпосылки!$I$205,),0),X157/(1+IFERROR(INDEX(X$10:X$11,Предпосылки!$I$206,),0))*IFERROR(INDEX(X$10:X$11,Предпосылки!$I$206,),0),X180/(1+IFERROR(INDEX(X$10:X$11,Предпосылки!$I$207,),0))*IFERROR(INDEX(X$10:X$11,Предпосылки!$I$207,),0),X203/(1+IFERROR(INDEX(X$10:X$11,Предпосылки!$I$208,),0))*IFERROR(INDEX(X$10:X$11,Предпосылки!$I$208,),0),X226/(1+IFERROR(INDEX(X$10:X$11,Предпосылки!$I$209,),0))*IFERROR(INDEX(X$10:X$11,Предпосылки!$I$209,),0),X249/(1+IFERROR(INDEX(X$10:X$11,Предпосылки!$I$210,),0))*IFERROR(INDEX(X$10:X$11,Предпосылки!$I$210,),0),X272/(1+IFERROR(INDEX(X$10:X$11,Предпосылки!$I$211,),0))*IFERROR(INDEX(X$10:X$11,Предпосылки!$I$211,),0),X295/(1+IFERROR(INDEX(X$10:X$11,Предпосылки!$I$212,),0))*IFERROR(INDEX(X$10:X$11,Предпосылки!$I$212,),0),X318/(1+IFERROR(INDEX(X$10:X$11,Предпосылки!$I$213,),0))*IFERROR(INDEX(X$10:X$11,Предпосылки!$I$213,),0),X341/(1+IFERROR(INDEX(X$10:X$11,Предпосылки!$I$214,),0))*IFERROR(INDEX(X$10:X$11,Предпосылки!$I$214,),0),X364/(1+IFERROR(INDEX(X$10:X$11,Предпосылки!$I$215,),0))*IFERROR(INDEX(X$10:X$11,Предпосылки!$I$215,),0),X387/(1+IFERROR(INDEX(X$10:X$11,Предпосылки!$I$216,),0))*IFERROR(INDEX(X$10:X$11,Предпосылки!$I$216,),0),X410/(1+IFERROR(INDEX(X$10:X$11,Предпосылки!$I$217,),0))*IFERROR(INDEX(X$10:X$11,Предпосылки!$I$217,),0),X433/(1+IFERROR(INDEX(X$10:X$11,Предпосылки!$I$218,),0))*IFERROR(INDEX(X$10:X$11,Предпосылки!$I$218,),0),X456/(1+IFERROR(INDEX(X$10:X$11,Предпосылки!$I$219,),0))*IFERROR(INDEX(X$10:X$11,Предпосылки!$I$219,),0),X479/(1+IFERROR(INDEX(X$10:X$11,Предпосылки!$I$220,),0))*IFERROR(INDEX(X$10:X$11,Предпосылки!$I$220,),0))</f>
        <v>0</v>
      </c>
      <c s="125">
        <f>SUM(Y42/(1+IFERROR(INDEX(Y$10:Y$11,Предпосылки!$I$201,),0))*IFERROR(INDEX(Y$10:Y$11,Предпосылки!$I$201,),0),Y65/(1+IFERROR(INDEX(Y$10:Y$11,Предпосылки!$I$202,),0))*IFERROR(INDEX(Y$10:Y$11,Предпосылки!$I$202,),0),Y88/(1+IFERROR(INDEX(Y$10:Y$11,Предпосылки!$I$203,),0))*IFERROR(INDEX(Y$10:Y$11,Предпосылки!$I$203,),0),Y111/(1+IFERROR(INDEX(Y$10:Y$11,Предпосылки!$I$204,),0))*IFERROR(INDEX(Y$10:Y$11,Предпосылки!$I$204,),0),Y134/(1+IFERROR(INDEX(Y$10:Y$11,Предпосылки!$I$205,),0))*IFERROR(INDEX(Y$10:Y$11,Предпосылки!$I$205,),0),Y157/(1+IFERROR(INDEX(Y$10:Y$11,Предпосылки!$I$206,),0))*IFERROR(INDEX(Y$10:Y$11,Предпосылки!$I$206,),0),Y180/(1+IFERROR(INDEX(Y$10:Y$11,Предпосылки!$I$207,),0))*IFERROR(INDEX(Y$10:Y$11,Предпосылки!$I$207,),0),Y203/(1+IFERROR(INDEX(Y$10:Y$11,Предпосылки!$I$208,),0))*IFERROR(INDEX(Y$10:Y$11,Предпосылки!$I$208,),0),Y226/(1+IFERROR(INDEX(Y$10:Y$11,Предпосылки!$I$209,),0))*IFERROR(INDEX(Y$10:Y$11,Предпосылки!$I$209,),0),Y249/(1+IFERROR(INDEX(Y$10:Y$11,Предпосылки!$I$210,),0))*IFERROR(INDEX(Y$10:Y$11,Предпосылки!$I$210,),0),Y272/(1+IFERROR(INDEX(Y$10:Y$11,Предпосылки!$I$211,),0))*IFERROR(INDEX(Y$10:Y$11,Предпосылки!$I$211,),0),Y295/(1+IFERROR(INDEX(Y$10:Y$11,Предпосылки!$I$212,),0))*IFERROR(INDEX(Y$10:Y$11,Предпосылки!$I$212,),0),Y318/(1+IFERROR(INDEX(Y$10:Y$11,Предпосылки!$I$213,),0))*IFERROR(INDEX(Y$10:Y$11,Предпосылки!$I$213,),0),Y341/(1+IFERROR(INDEX(Y$10:Y$11,Предпосылки!$I$214,),0))*IFERROR(INDEX(Y$10:Y$11,Предпосылки!$I$214,),0),Y364/(1+IFERROR(INDEX(Y$10:Y$11,Предпосылки!$I$215,),0))*IFERROR(INDEX(Y$10:Y$11,Предпосылки!$I$215,),0),Y387/(1+IFERROR(INDEX(Y$10:Y$11,Предпосылки!$I$216,),0))*IFERROR(INDEX(Y$10:Y$11,Предпосылки!$I$216,),0),Y410/(1+IFERROR(INDEX(Y$10:Y$11,Предпосылки!$I$217,),0))*IFERROR(INDEX(Y$10:Y$11,Предпосылки!$I$217,),0),Y433/(1+IFERROR(INDEX(Y$10:Y$11,Предпосылки!$I$218,),0))*IFERROR(INDEX(Y$10:Y$11,Предпосылки!$I$218,),0),Y456/(1+IFERROR(INDEX(Y$10:Y$11,Предпосылки!$I$219,),0))*IFERROR(INDEX(Y$10:Y$11,Предпосылки!$I$219,),0),Y479/(1+IFERROR(INDEX(Y$10:Y$11,Предпосылки!$I$220,),0))*IFERROR(INDEX(Y$10:Y$11,Предпосылки!$I$220,),0))</f>
        <v>0</v>
      </c>
      <c s="125">
        <f>SUM(Z42/(1+IFERROR(INDEX(Z$10:Z$11,Предпосылки!$I$201,),0))*IFERROR(INDEX(Z$10:Z$11,Предпосылки!$I$201,),0),Z65/(1+IFERROR(INDEX(Z$10:Z$11,Предпосылки!$I$202,),0))*IFERROR(INDEX(Z$10:Z$11,Предпосылки!$I$202,),0),Z88/(1+IFERROR(INDEX(Z$10:Z$11,Предпосылки!$I$203,),0))*IFERROR(INDEX(Z$10:Z$11,Предпосылки!$I$203,),0),Z111/(1+IFERROR(INDEX(Z$10:Z$11,Предпосылки!$I$204,),0))*IFERROR(INDEX(Z$10:Z$11,Предпосылки!$I$204,),0),Z134/(1+IFERROR(INDEX(Z$10:Z$11,Предпосылки!$I$205,),0))*IFERROR(INDEX(Z$10:Z$11,Предпосылки!$I$205,),0),Z157/(1+IFERROR(INDEX(Z$10:Z$11,Предпосылки!$I$206,),0))*IFERROR(INDEX(Z$10:Z$11,Предпосылки!$I$206,),0),Z180/(1+IFERROR(INDEX(Z$10:Z$11,Предпосылки!$I$207,),0))*IFERROR(INDEX(Z$10:Z$11,Предпосылки!$I$207,),0),Z203/(1+IFERROR(INDEX(Z$10:Z$11,Предпосылки!$I$208,),0))*IFERROR(INDEX(Z$10:Z$11,Предпосылки!$I$208,),0),Z226/(1+IFERROR(INDEX(Z$10:Z$11,Предпосылки!$I$209,),0))*IFERROR(INDEX(Z$10:Z$11,Предпосылки!$I$209,),0),Z249/(1+IFERROR(INDEX(Z$10:Z$11,Предпосылки!$I$210,),0))*IFERROR(INDEX(Z$10:Z$11,Предпосылки!$I$210,),0),Z272/(1+IFERROR(INDEX(Z$10:Z$11,Предпосылки!$I$211,),0))*IFERROR(INDEX(Z$10:Z$11,Предпосылки!$I$211,),0),Z295/(1+IFERROR(INDEX(Z$10:Z$11,Предпосылки!$I$212,),0))*IFERROR(INDEX(Z$10:Z$11,Предпосылки!$I$212,),0),Z318/(1+IFERROR(INDEX(Z$10:Z$11,Предпосылки!$I$213,),0))*IFERROR(INDEX(Z$10:Z$11,Предпосылки!$I$213,),0),Z341/(1+IFERROR(INDEX(Z$10:Z$11,Предпосылки!$I$214,),0))*IFERROR(INDEX(Z$10:Z$11,Предпосылки!$I$214,),0),Z364/(1+IFERROR(INDEX(Z$10:Z$11,Предпосылки!$I$215,),0))*IFERROR(INDEX(Z$10:Z$11,Предпосылки!$I$215,),0),Z387/(1+IFERROR(INDEX(Z$10:Z$11,Предпосылки!$I$216,),0))*IFERROR(INDEX(Z$10:Z$11,Предпосылки!$I$216,),0),Z410/(1+IFERROR(INDEX(Z$10:Z$11,Предпосылки!$I$217,),0))*IFERROR(INDEX(Z$10:Z$11,Предпосылки!$I$217,),0),Z433/(1+IFERROR(INDEX(Z$10:Z$11,Предпосылки!$I$218,),0))*IFERROR(INDEX(Z$10:Z$11,Предпосылки!$I$218,),0),Z456/(1+IFERROR(INDEX(Z$10:Z$11,Предпосылки!$I$219,),0))*IFERROR(INDEX(Z$10:Z$11,Предпосылки!$I$219,),0),Z479/(1+IFERROR(INDEX(Z$10:Z$11,Предпосылки!$I$220,),0))*IFERROR(INDEX(Z$10:Z$11,Предпосылки!$I$220,),0))</f>
        <v>0</v>
      </c>
      <c s="125">
        <f>SUM(AA42/(1+IFERROR(INDEX(AA$10:AA$11,Предпосылки!$I$201,),0))*IFERROR(INDEX(AA$10:AA$11,Предпосылки!$I$201,),0),AA65/(1+IFERROR(INDEX(AA$10:AA$11,Предпосылки!$I$202,),0))*IFERROR(INDEX(AA$10:AA$11,Предпосылки!$I$202,),0),AA88/(1+IFERROR(INDEX(AA$10:AA$11,Предпосылки!$I$203,),0))*IFERROR(INDEX(AA$10:AA$11,Предпосылки!$I$203,),0),AA111/(1+IFERROR(INDEX(AA$10:AA$11,Предпосылки!$I$204,),0))*IFERROR(INDEX(AA$10:AA$11,Предпосылки!$I$204,),0),AA134/(1+IFERROR(INDEX(AA$10:AA$11,Предпосылки!$I$205,),0))*IFERROR(INDEX(AA$10:AA$11,Предпосылки!$I$205,),0),AA157/(1+IFERROR(INDEX(AA$10:AA$11,Предпосылки!$I$206,),0))*IFERROR(INDEX(AA$10:AA$11,Предпосылки!$I$206,),0),AA180/(1+IFERROR(INDEX(AA$10:AA$11,Предпосылки!$I$207,),0))*IFERROR(INDEX(AA$10:AA$11,Предпосылки!$I$207,),0),AA203/(1+IFERROR(INDEX(AA$10:AA$11,Предпосылки!$I$208,),0))*IFERROR(INDEX(AA$10:AA$11,Предпосылки!$I$208,),0),AA226/(1+IFERROR(INDEX(AA$10:AA$11,Предпосылки!$I$209,),0))*IFERROR(INDEX(AA$10:AA$11,Предпосылки!$I$209,),0),AA249/(1+IFERROR(INDEX(AA$10:AA$11,Предпосылки!$I$210,),0))*IFERROR(INDEX(AA$10:AA$11,Предпосылки!$I$210,),0),AA272/(1+IFERROR(INDEX(AA$10:AA$11,Предпосылки!$I$211,),0))*IFERROR(INDEX(AA$10:AA$11,Предпосылки!$I$211,),0),AA295/(1+IFERROR(INDEX(AA$10:AA$11,Предпосылки!$I$212,),0))*IFERROR(INDEX(AA$10:AA$11,Предпосылки!$I$212,),0),AA318/(1+IFERROR(INDEX(AA$10:AA$11,Предпосылки!$I$213,),0))*IFERROR(INDEX(AA$10:AA$11,Предпосылки!$I$213,),0),AA341/(1+IFERROR(INDEX(AA$10:AA$11,Предпосылки!$I$214,),0))*IFERROR(INDEX(AA$10:AA$11,Предпосылки!$I$214,),0),AA364/(1+IFERROR(INDEX(AA$10:AA$11,Предпосылки!$I$215,),0))*IFERROR(INDEX(AA$10:AA$11,Предпосылки!$I$215,),0),AA387/(1+IFERROR(INDEX(AA$10:AA$11,Предпосылки!$I$216,),0))*IFERROR(INDEX(AA$10:AA$11,Предпосылки!$I$216,),0),AA410/(1+IFERROR(INDEX(AA$10:AA$11,Предпосылки!$I$217,),0))*IFERROR(INDEX(AA$10:AA$11,Предпосылки!$I$217,),0),AA433/(1+IFERROR(INDEX(AA$10:AA$11,Предпосылки!$I$218,),0))*IFERROR(INDEX(AA$10:AA$11,Предпосылки!$I$218,),0),AA456/(1+IFERROR(INDEX(AA$10:AA$11,Предпосылки!$I$219,),0))*IFERROR(INDEX(AA$10:AA$11,Предпосылки!$I$219,),0),AA479/(1+IFERROR(INDEX(AA$10:AA$11,Предпосылки!$I$220,),0))*IFERROR(INDEX(AA$10:AA$11,Предпосылки!$I$220,),0))</f>
        <v>0</v>
      </c>
      <c s="125">
        <f>SUM(AB42/(1+IFERROR(INDEX(AB$10:AB$11,Предпосылки!$I$201,),0))*IFERROR(INDEX(AB$10:AB$11,Предпосылки!$I$201,),0),AB65/(1+IFERROR(INDEX(AB$10:AB$11,Предпосылки!$I$202,),0))*IFERROR(INDEX(AB$10:AB$11,Предпосылки!$I$202,),0),AB88/(1+IFERROR(INDEX(AB$10:AB$11,Предпосылки!$I$203,),0))*IFERROR(INDEX(AB$10:AB$11,Предпосылки!$I$203,),0),AB111/(1+IFERROR(INDEX(AB$10:AB$11,Предпосылки!$I$204,),0))*IFERROR(INDEX(AB$10:AB$11,Предпосылки!$I$204,),0),AB134/(1+IFERROR(INDEX(AB$10:AB$11,Предпосылки!$I$205,),0))*IFERROR(INDEX(AB$10:AB$11,Предпосылки!$I$205,),0),AB157/(1+IFERROR(INDEX(AB$10:AB$11,Предпосылки!$I$206,),0))*IFERROR(INDEX(AB$10:AB$11,Предпосылки!$I$206,),0),AB180/(1+IFERROR(INDEX(AB$10:AB$11,Предпосылки!$I$207,),0))*IFERROR(INDEX(AB$10:AB$11,Предпосылки!$I$207,),0),AB203/(1+IFERROR(INDEX(AB$10:AB$11,Предпосылки!$I$208,),0))*IFERROR(INDEX(AB$10:AB$11,Предпосылки!$I$208,),0),AB226/(1+IFERROR(INDEX(AB$10:AB$11,Предпосылки!$I$209,),0))*IFERROR(INDEX(AB$10:AB$11,Предпосылки!$I$209,),0),AB249/(1+IFERROR(INDEX(AB$10:AB$11,Предпосылки!$I$210,),0))*IFERROR(INDEX(AB$10:AB$11,Предпосылки!$I$210,),0),AB272/(1+IFERROR(INDEX(AB$10:AB$11,Предпосылки!$I$211,),0))*IFERROR(INDEX(AB$10:AB$11,Предпосылки!$I$211,),0),AB295/(1+IFERROR(INDEX(AB$10:AB$11,Предпосылки!$I$212,),0))*IFERROR(INDEX(AB$10:AB$11,Предпосылки!$I$212,),0),AB318/(1+IFERROR(INDEX(AB$10:AB$11,Предпосылки!$I$213,),0))*IFERROR(INDEX(AB$10:AB$11,Предпосылки!$I$213,),0),AB341/(1+IFERROR(INDEX(AB$10:AB$11,Предпосылки!$I$214,),0))*IFERROR(INDEX(AB$10:AB$11,Предпосылки!$I$214,),0),AB364/(1+IFERROR(INDEX(AB$10:AB$11,Предпосылки!$I$215,),0))*IFERROR(INDEX(AB$10:AB$11,Предпосылки!$I$215,),0),AB387/(1+IFERROR(INDEX(AB$10:AB$11,Предпосылки!$I$216,),0))*IFERROR(INDEX(AB$10:AB$11,Предпосылки!$I$216,),0),AB410/(1+IFERROR(INDEX(AB$10:AB$11,Предпосылки!$I$217,),0))*IFERROR(INDEX(AB$10:AB$11,Предпосылки!$I$217,),0),AB433/(1+IFERROR(INDEX(AB$10:AB$11,Предпосылки!$I$218,),0))*IFERROR(INDEX(AB$10:AB$11,Предпосылки!$I$218,),0),AB456/(1+IFERROR(INDEX(AB$10:AB$11,Предпосылки!$I$219,),0))*IFERROR(INDEX(AB$10:AB$11,Предпосылки!$I$219,),0),AB479/(1+IFERROR(INDEX(AB$10:AB$11,Предпосылки!$I$220,),0))*IFERROR(INDEX(AB$10:AB$11,Предпосылки!$I$220,),0))</f>
        <v>0</v>
      </c>
      <c s="125">
        <f>SUM(AC42/(1+IFERROR(INDEX(AC$10:AC$11,Предпосылки!$I$201,),0))*IFERROR(INDEX(AC$10:AC$11,Предпосылки!$I$201,),0),AC65/(1+IFERROR(INDEX(AC$10:AC$11,Предпосылки!$I$202,),0))*IFERROR(INDEX(AC$10:AC$11,Предпосылки!$I$202,),0),AC88/(1+IFERROR(INDEX(AC$10:AC$11,Предпосылки!$I$203,),0))*IFERROR(INDEX(AC$10:AC$11,Предпосылки!$I$203,),0),AC111/(1+IFERROR(INDEX(AC$10:AC$11,Предпосылки!$I$204,),0))*IFERROR(INDEX(AC$10:AC$11,Предпосылки!$I$204,),0),AC134/(1+IFERROR(INDEX(AC$10:AC$11,Предпосылки!$I$205,),0))*IFERROR(INDEX(AC$10:AC$11,Предпосылки!$I$205,),0),AC157/(1+IFERROR(INDEX(AC$10:AC$11,Предпосылки!$I$206,),0))*IFERROR(INDEX(AC$10:AC$11,Предпосылки!$I$206,),0),AC180/(1+IFERROR(INDEX(AC$10:AC$11,Предпосылки!$I$207,),0))*IFERROR(INDEX(AC$10:AC$11,Предпосылки!$I$207,),0),AC203/(1+IFERROR(INDEX(AC$10:AC$11,Предпосылки!$I$208,),0))*IFERROR(INDEX(AC$10:AC$11,Предпосылки!$I$208,),0),AC226/(1+IFERROR(INDEX(AC$10:AC$11,Предпосылки!$I$209,),0))*IFERROR(INDEX(AC$10:AC$11,Предпосылки!$I$209,),0),AC249/(1+IFERROR(INDEX(AC$10:AC$11,Предпосылки!$I$210,),0))*IFERROR(INDEX(AC$10:AC$11,Предпосылки!$I$210,),0),AC272/(1+IFERROR(INDEX(AC$10:AC$11,Предпосылки!$I$211,),0))*IFERROR(INDEX(AC$10:AC$11,Предпосылки!$I$211,),0),AC295/(1+IFERROR(INDEX(AC$10:AC$11,Предпосылки!$I$212,),0))*IFERROR(INDEX(AC$10:AC$11,Предпосылки!$I$212,),0),AC318/(1+IFERROR(INDEX(AC$10:AC$11,Предпосылки!$I$213,),0))*IFERROR(INDEX(AC$10:AC$11,Предпосылки!$I$213,),0),AC341/(1+IFERROR(INDEX(AC$10:AC$11,Предпосылки!$I$214,),0))*IFERROR(INDEX(AC$10:AC$11,Предпосылки!$I$214,),0),AC364/(1+IFERROR(INDEX(AC$10:AC$11,Предпосылки!$I$215,),0))*IFERROR(INDEX(AC$10:AC$11,Предпосылки!$I$215,),0),AC387/(1+IFERROR(INDEX(AC$10:AC$11,Предпосылки!$I$216,),0))*IFERROR(INDEX(AC$10:AC$11,Предпосылки!$I$216,),0),AC410/(1+IFERROR(INDEX(AC$10:AC$11,Предпосылки!$I$217,),0))*IFERROR(INDEX(AC$10:AC$11,Предпосылки!$I$217,),0),AC433/(1+IFERROR(INDEX(AC$10:AC$11,Предпосылки!$I$218,),0))*IFERROR(INDEX(AC$10:AC$11,Предпосылки!$I$218,),0),AC456/(1+IFERROR(INDEX(AC$10:AC$11,Предпосылки!$I$219,),0))*IFERROR(INDEX(AC$10:AC$11,Предпосылки!$I$219,),0),AC479/(1+IFERROR(INDEX(AC$10:AC$11,Предпосылки!$I$220,),0))*IFERROR(INDEX(AC$10:AC$11,Предпосылки!$I$220,),0))</f>
        <v>0</v>
      </c>
      <c s="125">
        <f>SUM(AD42/(1+IFERROR(INDEX(AD$10:AD$11,Предпосылки!$I$201,),0))*IFERROR(INDEX(AD$10:AD$11,Предпосылки!$I$201,),0),AD65/(1+IFERROR(INDEX(AD$10:AD$11,Предпосылки!$I$202,),0))*IFERROR(INDEX(AD$10:AD$11,Предпосылки!$I$202,),0),AD88/(1+IFERROR(INDEX(AD$10:AD$11,Предпосылки!$I$203,),0))*IFERROR(INDEX(AD$10:AD$11,Предпосылки!$I$203,),0),AD111/(1+IFERROR(INDEX(AD$10:AD$11,Предпосылки!$I$204,),0))*IFERROR(INDEX(AD$10:AD$11,Предпосылки!$I$204,),0),AD134/(1+IFERROR(INDEX(AD$10:AD$11,Предпосылки!$I$205,),0))*IFERROR(INDEX(AD$10:AD$11,Предпосылки!$I$205,),0),AD157/(1+IFERROR(INDEX(AD$10:AD$11,Предпосылки!$I$206,),0))*IFERROR(INDEX(AD$10:AD$11,Предпосылки!$I$206,),0),AD180/(1+IFERROR(INDEX(AD$10:AD$11,Предпосылки!$I$207,),0))*IFERROR(INDEX(AD$10:AD$11,Предпосылки!$I$207,),0),AD203/(1+IFERROR(INDEX(AD$10:AD$11,Предпосылки!$I$208,),0))*IFERROR(INDEX(AD$10:AD$11,Предпосылки!$I$208,),0),AD226/(1+IFERROR(INDEX(AD$10:AD$11,Предпосылки!$I$209,),0))*IFERROR(INDEX(AD$10:AD$11,Предпосылки!$I$209,),0),AD249/(1+IFERROR(INDEX(AD$10:AD$11,Предпосылки!$I$210,),0))*IFERROR(INDEX(AD$10:AD$11,Предпосылки!$I$210,),0),AD272/(1+IFERROR(INDEX(AD$10:AD$11,Предпосылки!$I$211,),0))*IFERROR(INDEX(AD$10:AD$11,Предпосылки!$I$211,),0),AD295/(1+IFERROR(INDEX(AD$10:AD$11,Предпосылки!$I$212,),0))*IFERROR(INDEX(AD$10:AD$11,Предпосылки!$I$212,),0),AD318/(1+IFERROR(INDEX(AD$10:AD$11,Предпосылки!$I$213,),0))*IFERROR(INDEX(AD$10:AD$11,Предпосылки!$I$213,),0),AD341/(1+IFERROR(INDEX(AD$10:AD$11,Предпосылки!$I$214,),0))*IFERROR(INDEX(AD$10:AD$11,Предпосылки!$I$214,),0),AD364/(1+IFERROR(INDEX(AD$10:AD$11,Предпосылки!$I$215,),0))*IFERROR(INDEX(AD$10:AD$11,Предпосылки!$I$215,),0),AD387/(1+IFERROR(INDEX(AD$10:AD$11,Предпосылки!$I$216,),0))*IFERROR(INDEX(AD$10:AD$11,Предпосылки!$I$216,),0),AD410/(1+IFERROR(INDEX(AD$10:AD$11,Предпосылки!$I$217,),0))*IFERROR(INDEX(AD$10:AD$11,Предпосылки!$I$217,),0),AD433/(1+IFERROR(INDEX(AD$10:AD$11,Предпосылки!$I$218,),0))*IFERROR(INDEX(AD$10:AD$11,Предпосылки!$I$218,),0),AD456/(1+IFERROR(INDEX(AD$10:AD$11,Предпосылки!$I$219,),0))*IFERROR(INDEX(AD$10:AD$11,Предпосылки!$I$219,),0),AD479/(1+IFERROR(INDEX(AD$10:AD$11,Предпосылки!$I$220,),0))*IFERROR(INDEX(AD$10:AD$11,Предпосылки!$I$220,),0))</f>
        <v>0</v>
      </c>
      <c s="125">
        <f>SUM(AE42/(1+IFERROR(INDEX(AE$10:AE$11,Предпосылки!$I$201,),0))*IFERROR(INDEX(AE$10:AE$11,Предпосылки!$I$201,),0),AE65/(1+IFERROR(INDEX(AE$10:AE$11,Предпосылки!$I$202,),0))*IFERROR(INDEX(AE$10:AE$11,Предпосылки!$I$202,),0),AE88/(1+IFERROR(INDEX(AE$10:AE$11,Предпосылки!$I$203,),0))*IFERROR(INDEX(AE$10:AE$11,Предпосылки!$I$203,),0),AE111/(1+IFERROR(INDEX(AE$10:AE$11,Предпосылки!$I$204,),0))*IFERROR(INDEX(AE$10:AE$11,Предпосылки!$I$204,),0),AE134/(1+IFERROR(INDEX(AE$10:AE$11,Предпосылки!$I$205,),0))*IFERROR(INDEX(AE$10:AE$11,Предпосылки!$I$205,),0),AE157/(1+IFERROR(INDEX(AE$10:AE$11,Предпосылки!$I$206,),0))*IFERROR(INDEX(AE$10:AE$11,Предпосылки!$I$206,),0),AE180/(1+IFERROR(INDEX(AE$10:AE$11,Предпосылки!$I$207,),0))*IFERROR(INDEX(AE$10:AE$11,Предпосылки!$I$207,),0),AE203/(1+IFERROR(INDEX(AE$10:AE$11,Предпосылки!$I$208,),0))*IFERROR(INDEX(AE$10:AE$11,Предпосылки!$I$208,),0),AE226/(1+IFERROR(INDEX(AE$10:AE$11,Предпосылки!$I$209,),0))*IFERROR(INDEX(AE$10:AE$11,Предпосылки!$I$209,),0),AE249/(1+IFERROR(INDEX(AE$10:AE$11,Предпосылки!$I$210,),0))*IFERROR(INDEX(AE$10:AE$11,Предпосылки!$I$210,),0),AE272/(1+IFERROR(INDEX(AE$10:AE$11,Предпосылки!$I$211,),0))*IFERROR(INDEX(AE$10:AE$11,Предпосылки!$I$211,),0),AE295/(1+IFERROR(INDEX(AE$10:AE$11,Предпосылки!$I$212,),0))*IFERROR(INDEX(AE$10:AE$11,Предпосылки!$I$212,),0),AE318/(1+IFERROR(INDEX(AE$10:AE$11,Предпосылки!$I$213,),0))*IFERROR(INDEX(AE$10:AE$11,Предпосылки!$I$213,),0),AE341/(1+IFERROR(INDEX(AE$10:AE$11,Предпосылки!$I$214,),0))*IFERROR(INDEX(AE$10:AE$11,Предпосылки!$I$214,),0),AE364/(1+IFERROR(INDEX(AE$10:AE$11,Предпосылки!$I$215,),0))*IFERROR(INDEX(AE$10:AE$11,Предпосылки!$I$215,),0),AE387/(1+IFERROR(INDEX(AE$10:AE$11,Предпосылки!$I$216,),0))*IFERROR(INDEX(AE$10:AE$11,Предпосылки!$I$216,),0),AE410/(1+IFERROR(INDEX(AE$10:AE$11,Предпосылки!$I$217,),0))*IFERROR(INDEX(AE$10:AE$11,Предпосылки!$I$217,),0),AE433/(1+IFERROR(INDEX(AE$10:AE$11,Предпосылки!$I$218,),0))*IFERROR(INDEX(AE$10:AE$11,Предпосылки!$I$218,),0),AE456/(1+IFERROR(INDEX(AE$10:AE$11,Предпосылки!$I$219,),0))*IFERROR(INDEX(AE$10:AE$11,Предпосылки!$I$219,),0),AE479/(1+IFERROR(INDEX(AE$10:AE$11,Предпосылки!$I$220,),0))*IFERROR(INDEX(AE$10:AE$11,Предпосылки!$I$220,),0))</f>
        <v>0</v>
      </c>
      <c s="125">
        <f>SUM(AF42/(1+IFERROR(INDEX(AF$10:AF$11,Предпосылки!$I$201,),0))*IFERROR(INDEX(AF$10:AF$11,Предпосылки!$I$201,),0),AF65/(1+IFERROR(INDEX(AF$10:AF$11,Предпосылки!$I$202,),0))*IFERROR(INDEX(AF$10:AF$11,Предпосылки!$I$202,),0),AF88/(1+IFERROR(INDEX(AF$10:AF$11,Предпосылки!$I$203,),0))*IFERROR(INDEX(AF$10:AF$11,Предпосылки!$I$203,),0),AF111/(1+IFERROR(INDEX(AF$10:AF$11,Предпосылки!$I$204,),0))*IFERROR(INDEX(AF$10:AF$11,Предпосылки!$I$204,),0),AF134/(1+IFERROR(INDEX(AF$10:AF$11,Предпосылки!$I$205,),0))*IFERROR(INDEX(AF$10:AF$11,Предпосылки!$I$205,),0),AF157/(1+IFERROR(INDEX(AF$10:AF$11,Предпосылки!$I$206,),0))*IFERROR(INDEX(AF$10:AF$11,Предпосылки!$I$206,),0),AF180/(1+IFERROR(INDEX(AF$10:AF$11,Предпосылки!$I$207,),0))*IFERROR(INDEX(AF$10:AF$11,Предпосылки!$I$207,),0),AF203/(1+IFERROR(INDEX(AF$10:AF$11,Предпосылки!$I$208,),0))*IFERROR(INDEX(AF$10:AF$11,Предпосылки!$I$208,),0),AF226/(1+IFERROR(INDEX(AF$10:AF$11,Предпосылки!$I$209,),0))*IFERROR(INDEX(AF$10:AF$11,Предпосылки!$I$209,),0),AF249/(1+IFERROR(INDEX(AF$10:AF$11,Предпосылки!$I$210,),0))*IFERROR(INDEX(AF$10:AF$11,Предпосылки!$I$210,),0),AF272/(1+IFERROR(INDEX(AF$10:AF$11,Предпосылки!$I$211,),0))*IFERROR(INDEX(AF$10:AF$11,Предпосылки!$I$211,),0),AF295/(1+IFERROR(INDEX(AF$10:AF$11,Предпосылки!$I$212,),0))*IFERROR(INDEX(AF$10:AF$11,Предпосылки!$I$212,),0),AF318/(1+IFERROR(INDEX(AF$10:AF$11,Предпосылки!$I$213,),0))*IFERROR(INDEX(AF$10:AF$11,Предпосылки!$I$213,),0),AF341/(1+IFERROR(INDEX(AF$10:AF$11,Предпосылки!$I$214,),0))*IFERROR(INDEX(AF$10:AF$11,Предпосылки!$I$214,),0),AF364/(1+IFERROR(INDEX(AF$10:AF$11,Предпосылки!$I$215,),0))*IFERROR(INDEX(AF$10:AF$11,Предпосылки!$I$215,),0),AF387/(1+IFERROR(INDEX(AF$10:AF$11,Предпосылки!$I$216,),0))*IFERROR(INDEX(AF$10:AF$11,Предпосылки!$I$216,),0),AF410/(1+IFERROR(INDEX(AF$10:AF$11,Предпосылки!$I$217,),0))*IFERROR(INDEX(AF$10:AF$11,Предпосылки!$I$217,),0),AF433/(1+IFERROR(INDEX(AF$10:AF$11,Предпосылки!$I$218,),0))*IFERROR(INDEX(AF$10:AF$11,Предпосылки!$I$218,),0),AF456/(1+IFERROR(INDEX(AF$10:AF$11,Предпосылки!$I$219,),0))*IFERROR(INDEX(AF$10:AF$11,Предпосылки!$I$219,),0),AF479/(1+IFERROR(INDEX(AF$10:AF$11,Предпосылки!$I$220,),0))*IFERROR(INDEX(AF$10:AF$11,Предпосылки!$I$220,),0))</f>
        <v>0</v>
      </c>
      <c s="125">
        <f>SUM(AG42/(1+IFERROR(INDEX(AG$10:AG$11,Предпосылки!$I$201,),0))*IFERROR(INDEX(AG$10:AG$11,Предпосылки!$I$201,),0),AG65/(1+IFERROR(INDEX(AG$10:AG$11,Предпосылки!$I$202,),0))*IFERROR(INDEX(AG$10:AG$11,Предпосылки!$I$202,),0),AG88/(1+IFERROR(INDEX(AG$10:AG$11,Предпосылки!$I$203,),0))*IFERROR(INDEX(AG$10:AG$11,Предпосылки!$I$203,),0),AG111/(1+IFERROR(INDEX(AG$10:AG$11,Предпосылки!$I$204,),0))*IFERROR(INDEX(AG$10:AG$11,Предпосылки!$I$204,),0),AG134/(1+IFERROR(INDEX(AG$10:AG$11,Предпосылки!$I$205,),0))*IFERROR(INDEX(AG$10:AG$11,Предпосылки!$I$205,),0),AG157/(1+IFERROR(INDEX(AG$10:AG$11,Предпосылки!$I$206,),0))*IFERROR(INDEX(AG$10:AG$11,Предпосылки!$I$206,),0),AG180/(1+IFERROR(INDEX(AG$10:AG$11,Предпосылки!$I$207,),0))*IFERROR(INDEX(AG$10:AG$11,Предпосылки!$I$207,),0),AG203/(1+IFERROR(INDEX(AG$10:AG$11,Предпосылки!$I$208,),0))*IFERROR(INDEX(AG$10:AG$11,Предпосылки!$I$208,),0),AG226/(1+IFERROR(INDEX(AG$10:AG$11,Предпосылки!$I$209,),0))*IFERROR(INDEX(AG$10:AG$11,Предпосылки!$I$209,),0),AG249/(1+IFERROR(INDEX(AG$10:AG$11,Предпосылки!$I$210,),0))*IFERROR(INDEX(AG$10:AG$11,Предпосылки!$I$210,),0),AG272/(1+IFERROR(INDEX(AG$10:AG$11,Предпосылки!$I$211,),0))*IFERROR(INDEX(AG$10:AG$11,Предпосылки!$I$211,),0),AG295/(1+IFERROR(INDEX(AG$10:AG$11,Предпосылки!$I$212,),0))*IFERROR(INDEX(AG$10:AG$11,Предпосылки!$I$212,),0),AG318/(1+IFERROR(INDEX(AG$10:AG$11,Предпосылки!$I$213,),0))*IFERROR(INDEX(AG$10:AG$11,Предпосылки!$I$213,),0),AG341/(1+IFERROR(INDEX(AG$10:AG$11,Предпосылки!$I$214,),0))*IFERROR(INDEX(AG$10:AG$11,Предпосылки!$I$214,),0),AG364/(1+IFERROR(INDEX(AG$10:AG$11,Предпосылки!$I$215,),0))*IFERROR(INDEX(AG$10:AG$11,Предпосылки!$I$215,),0),AG387/(1+IFERROR(INDEX(AG$10:AG$11,Предпосылки!$I$216,),0))*IFERROR(INDEX(AG$10:AG$11,Предпосылки!$I$216,),0),AG410/(1+IFERROR(INDEX(AG$10:AG$11,Предпосылки!$I$217,),0))*IFERROR(INDEX(AG$10:AG$11,Предпосылки!$I$217,),0),AG433/(1+IFERROR(INDEX(AG$10:AG$11,Предпосылки!$I$218,),0))*IFERROR(INDEX(AG$10:AG$11,Предпосылки!$I$218,),0),AG456/(1+IFERROR(INDEX(AG$10:AG$11,Предпосылки!$I$219,),0))*IFERROR(INDEX(AG$10:AG$11,Предпосылки!$I$219,),0),AG479/(1+IFERROR(INDEX(AG$10:AG$11,Предпосылки!$I$220,),0))*IFERROR(INDEX(AG$10:AG$11,Предпосылки!$I$220,),0))</f>
        <v>0</v>
      </c>
      <c s="125">
        <f>SUM(AH42/(1+IFERROR(INDEX(AH$10:AH$11,Предпосылки!$I$201,),0))*IFERROR(INDEX(AH$10:AH$11,Предпосылки!$I$201,),0),AH65/(1+IFERROR(INDEX(AH$10:AH$11,Предпосылки!$I$202,),0))*IFERROR(INDEX(AH$10:AH$11,Предпосылки!$I$202,),0),AH88/(1+IFERROR(INDEX(AH$10:AH$11,Предпосылки!$I$203,),0))*IFERROR(INDEX(AH$10:AH$11,Предпосылки!$I$203,),0),AH111/(1+IFERROR(INDEX(AH$10:AH$11,Предпосылки!$I$204,),0))*IFERROR(INDEX(AH$10:AH$11,Предпосылки!$I$204,),0),AH134/(1+IFERROR(INDEX(AH$10:AH$11,Предпосылки!$I$205,),0))*IFERROR(INDEX(AH$10:AH$11,Предпосылки!$I$205,),0),AH157/(1+IFERROR(INDEX(AH$10:AH$11,Предпосылки!$I$206,),0))*IFERROR(INDEX(AH$10:AH$11,Предпосылки!$I$206,),0),AH180/(1+IFERROR(INDEX(AH$10:AH$11,Предпосылки!$I$207,),0))*IFERROR(INDEX(AH$10:AH$11,Предпосылки!$I$207,),0),AH203/(1+IFERROR(INDEX(AH$10:AH$11,Предпосылки!$I$208,),0))*IFERROR(INDEX(AH$10:AH$11,Предпосылки!$I$208,),0),AH226/(1+IFERROR(INDEX(AH$10:AH$11,Предпосылки!$I$209,),0))*IFERROR(INDEX(AH$10:AH$11,Предпосылки!$I$209,),0),AH249/(1+IFERROR(INDEX(AH$10:AH$11,Предпосылки!$I$210,),0))*IFERROR(INDEX(AH$10:AH$11,Предпосылки!$I$210,),0),AH272/(1+IFERROR(INDEX(AH$10:AH$11,Предпосылки!$I$211,),0))*IFERROR(INDEX(AH$10:AH$11,Предпосылки!$I$211,),0),AH295/(1+IFERROR(INDEX(AH$10:AH$11,Предпосылки!$I$212,),0))*IFERROR(INDEX(AH$10:AH$11,Предпосылки!$I$212,),0),AH318/(1+IFERROR(INDEX(AH$10:AH$11,Предпосылки!$I$213,),0))*IFERROR(INDEX(AH$10:AH$11,Предпосылки!$I$213,),0),AH341/(1+IFERROR(INDEX(AH$10:AH$11,Предпосылки!$I$214,),0))*IFERROR(INDEX(AH$10:AH$11,Предпосылки!$I$214,),0),AH364/(1+IFERROR(INDEX(AH$10:AH$11,Предпосылки!$I$215,),0))*IFERROR(INDEX(AH$10:AH$11,Предпосылки!$I$215,),0),AH387/(1+IFERROR(INDEX(AH$10:AH$11,Предпосылки!$I$216,),0))*IFERROR(INDEX(AH$10:AH$11,Предпосылки!$I$216,),0),AH410/(1+IFERROR(INDEX(AH$10:AH$11,Предпосылки!$I$217,),0))*IFERROR(INDEX(AH$10:AH$11,Предпосылки!$I$217,),0),AH433/(1+IFERROR(INDEX(AH$10:AH$11,Предпосылки!$I$218,),0))*IFERROR(INDEX(AH$10:AH$11,Предпосылки!$I$218,),0),AH456/(1+IFERROR(INDEX(AH$10:AH$11,Предпосылки!$I$219,),0))*IFERROR(INDEX(AH$10:AH$11,Предпосылки!$I$219,),0),AH479/(1+IFERROR(INDEX(AH$10:AH$11,Предпосылки!$I$220,),0))*IFERROR(INDEX(AH$10:AH$11,Предпосылки!$I$220,),0))</f>
        <v>0</v>
      </c>
      <c s="125">
        <f>SUM(AI42/(1+IFERROR(INDEX(AI$10:AI$11,Предпосылки!$I$201,),0))*IFERROR(INDEX(AI$10:AI$11,Предпосылки!$I$201,),0),AI65/(1+IFERROR(INDEX(AI$10:AI$11,Предпосылки!$I$202,),0))*IFERROR(INDEX(AI$10:AI$11,Предпосылки!$I$202,),0),AI88/(1+IFERROR(INDEX(AI$10:AI$11,Предпосылки!$I$203,),0))*IFERROR(INDEX(AI$10:AI$11,Предпосылки!$I$203,),0),AI111/(1+IFERROR(INDEX(AI$10:AI$11,Предпосылки!$I$204,),0))*IFERROR(INDEX(AI$10:AI$11,Предпосылки!$I$204,),0),AI134/(1+IFERROR(INDEX(AI$10:AI$11,Предпосылки!$I$205,),0))*IFERROR(INDEX(AI$10:AI$11,Предпосылки!$I$205,),0),AI157/(1+IFERROR(INDEX(AI$10:AI$11,Предпосылки!$I$206,),0))*IFERROR(INDEX(AI$10:AI$11,Предпосылки!$I$206,),0),AI180/(1+IFERROR(INDEX(AI$10:AI$11,Предпосылки!$I$207,),0))*IFERROR(INDEX(AI$10:AI$11,Предпосылки!$I$207,),0),AI203/(1+IFERROR(INDEX(AI$10:AI$11,Предпосылки!$I$208,),0))*IFERROR(INDEX(AI$10:AI$11,Предпосылки!$I$208,),0),AI226/(1+IFERROR(INDEX(AI$10:AI$11,Предпосылки!$I$209,),0))*IFERROR(INDEX(AI$10:AI$11,Предпосылки!$I$209,),0),AI249/(1+IFERROR(INDEX(AI$10:AI$11,Предпосылки!$I$210,),0))*IFERROR(INDEX(AI$10:AI$11,Предпосылки!$I$210,),0),AI272/(1+IFERROR(INDEX(AI$10:AI$11,Предпосылки!$I$211,),0))*IFERROR(INDEX(AI$10:AI$11,Предпосылки!$I$211,),0),AI295/(1+IFERROR(INDEX(AI$10:AI$11,Предпосылки!$I$212,),0))*IFERROR(INDEX(AI$10:AI$11,Предпосылки!$I$212,),0),AI318/(1+IFERROR(INDEX(AI$10:AI$11,Предпосылки!$I$213,),0))*IFERROR(INDEX(AI$10:AI$11,Предпосылки!$I$213,),0),AI341/(1+IFERROR(INDEX(AI$10:AI$11,Предпосылки!$I$214,),0))*IFERROR(INDEX(AI$10:AI$11,Предпосылки!$I$214,),0),AI364/(1+IFERROR(INDEX(AI$10:AI$11,Предпосылки!$I$215,),0))*IFERROR(INDEX(AI$10:AI$11,Предпосылки!$I$215,),0),AI387/(1+IFERROR(INDEX(AI$10:AI$11,Предпосылки!$I$216,),0))*IFERROR(INDEX(AI$10:AI$11,Предпосылки!$I$216,),0),AI410/(1+IFERROR(INDEX(AI$10:AI$11,Предпосылки!$I$217,),0))*IFERROR(INDEX(AI$10:AI$11,Предпосылки!$I$217,),0),AI433/(1+IFERROR(INDEX(AI$10:AI$11,Предпосылки!$I$218,),0))*IFERROR(INDEX(AI$10:AI$11,Предпосылки!$I$218,),0),AI456/(1+IFERROR(INDEX(AI$10:AI$11,Предпосылки!$I$219,),0))*IFERROR(INDEX(AI$10:AI$11,Предпосылки!$I$219,),0),AI479/(1+IFERROR(INDEX(AI$10:AI$11,Предпосылки!$I$220,),0))*IFERROR(INDEX(AI$10:AI$11,Предпосылки!$I$220,),0))</f>
        <v>0</v>
      </c>
      <c s="125">
        <f>SUM(AJ42/(1+IFERROR(INDEX(AJ$10:AJ$11,Предпосылки!$I$201,),0))*IFERROR(INDEX(AJ$10:AJ$11,Предпосылки!$I$201,),0),AJ65/(1+IFERROR(INDEX(AJ$10:AJ$11,Предпосылки!$I$202,),0))*IFERROR(INDEX(AJ$10:AJ$11,Предпосылки!$I$202,),0),AJ88/(1+IFERROR(INDEX(AJ$10:AJ$11,Предпосылки!$I$203,),0))*IFERROR(INDEX(AJ$10:AJ$11,Предпосылки!$I$203,),0),AJ111/(1+IFERROR(INDEX(AJ$10:AJ$11,Предпосылки!$I$204,),0))*IFERROR(INDEX(AJ$10:AJ$11,Предпосылки!$I$204,),0),AJ134/(1+IFERROR(INDEX(AJ$10:AJ$11,Предпосылки!$I$205,),0))*IFERROR(INDEX(AJ$10:AJ$11,Предпосылки!$I$205,),0),AJ157/(1+IFERROR(INDEX(AJ$10:AJ$11,Предпосылки!$I$206,),0))*IFERROR(INDEX(AJ$10:AJ$11,Предпосылки!$I$206,),0),AJ180/(1+IFERROR(INDEX(AJ$10:AJ$11,Предпосылки!$I$207,),0))*IFERROR(INDEX(AJ$10:AJ$11,Предпосылки!$I$207,),0),AJ203/(1+IFERROR(INDEX(AJ$10:AJ$11,Предпосылки!$I$208,),0))*IFERROR(INDEX(AJ$10:AJ$11,Предпосылки!$I$208,),0),AJ226/(1+IFERROR(INDEX(AJ$10:AJ$11,Предпосылки!$I$209,),0))*IFERROR(INDEX(AJ$10:AJ$11,Предпосылки!$I$209,),0),AJ249/(1+IFERROR(INDEX(AJ$10:AJ$11,Предпосылки!$I$210,),0))*IFERROR(INDEX(AJ$10:AJ$11,Предпосылки!$I$210,),0),AJ272/(1+IFERROR(INDEX(AJ$10:AJ$11,Предпосылки!$I$211,),0))*IFERROR(INDEX(AJ$10:AJ$11,Предпосылки!$I$211,),0),AJ295/(1+IFERROR(INDEX(AJ$10:AJ$11,Предпосылки!$I$212,),0))*IFERROR(INDEX(AJ$10:AJ$11,Предпосылки!$I$212,),0),AJ318/(1+IFERROR(INDEX(AJ$10:AJ$11,Предпосылки!$I$213,),0))*IFERROR(INDEX(AJ$10:AJ$11,Предпосылки!$I$213,),0),AJ341/(1+IFERROR(INDEX(AJ$10:AJ$11,Предпосылки!$I$214,),0))*IFERROR(INDEX(AJ$10:AJ$11,Предпосылки!$I$214,),0),AJ364/(1+IFERROR(INDEX(AJ$10:AJ$11,Предпосылки!$I$215,),0))*IFERROR(INDEX(AJ$10:AJ$11,Предпосылки!$I$215,),0),AJ387/(1+IFERROR(INDEX(AJ$10:AJ$11,Предпосылки!$I$216,),0))*IFERROR(INDEX(AJ$10:AJ$11,Предпосылки!$I$216,),0),AJ410/(1+IFERROR(INDEX(AJ$10:AJ$11,Предпосылки!$I$217,),0))*IFERROR(INDEX(AJ$10:AJ$11,Предпосылки!$I$217,),0),AJ433/(1+IFERROR(INDEX(AJ$10:AJ$11,Предпосылки!$I$218,),0))*IFERROR(INDEX(AJ$10:AJ$11,Предпосылки!$I$218,),0),AJ456/(1+IFERROR(INDEX(AJ$10:AJ$11,Предпосылки!$I$219,),0))*IFERROR(INDEX(AJ$10:AJ$11,Предпосылки!$I$219,),0),AJ479/(1+IFERROR(INDEX(AJ$10:AJ$11,Предпосылки!$I$220,),0))*IFERROR(INDEX(AJ$10:AJ$11,Предпосылки!$I$220,),0))</f>
        <v>0</v>
      </c>
      <c s="125">
        <f>SUM(AK42/(1+IFERROR(INDEX(AK$10:AK$11,Предпосылки!$I$201,),0))*IFERROR(INDEX(AK$10:AK$11,Предпосылки!$I$201,),0),AK65/(1+IFERROR(INDEX(AK$10:AK$11,Предпосылки!$I$202,),0))*IFERROR(INDEX(AK$10:AK$11,Предпосылки!$I$202,),0),AK88/(1+IFERROR(INDEX(AK$10:AK$11,Предпосылки!$I$203,),0))*IFERROR(INDEX(AK$10:AK$11,Предпосылки!$I$203,),0),AK111/(1+IFERROR(INDEX(AK$10:AK$11,Предпосылки!$I$204,),0))*IFERROR(INDEX(AK$10:AK$11,Предпосылки!$I$204,),0),AK134/(1+IFERROR(INDEX(AK$10:AK$11,Предпосылки!$I$205,),0))*IFERROR(INDEX(AK$10:AK$11,Предпосылки!$I$205,),0),AK157/(1+IFERROR(INDEX(AK$10:AK$11,Предпосылки!$I$206,),0))*IFERROR(INDEX(AK$10:AK$11,Предпосылки!$I$206,),0),AK180/(1+IFERROR(INDEX(AK$10:AK$11,Предпосылки!$I$207,),0))*IFERROR(INDEX(AK$10:AK$11,Предпосылки!$I$207,),0),AK203/(1+IFERROR(INDEX(AK$10:AK$11,Предпосылки!$I$208,),0))*IFERROR(INDEX(AK$10:AK$11,Предпосылки!$I$208,),0),AK226/(1+IFERROR(INDEX(AK$10:AK$11,Предпосылки!$I$209,),0))*IFERROR(INDEX(AK$10:AK$11,Предпосылки!$I$209,),0),AK249/(1+IFERROR(INDEX(AK$10:AK$11,Предпосылки!$I$210,),0))*IFERROR(INDEX(AK$10:AK$11,Предпосылки!$I$210,),0),AK272/(1+IFERROR(INDEX(AK$10:AK$11,Предпосылки!$I$211,),0))*IFERROR(INDEX(AK$10:AK$11,Предпосылки!$I$211,),0),AK295/(1+IFERROR(INDEX(AK$10:AK$11,Предпосылки!$I$212,),0))*IFERROR(INDEX(AK$10:AK$11,Предпосылки!$I$212,),0),AK318/(1+IFERROR(INDEX(AK$10:AK$11,Предпосылки!$I$213,),0))*IFERROR(INDEX(AK$10:AK$11,Предпосылки!$I$213,),0),AK341/(1+IFERROR(INDEX(AK$10:AK$11,Предпосылки!$I$214,),0))*IFERROR(INDEX(AK$10:AK$11,Предпосылки!$I$214,),0),AK364/(1+IFERROR(INDEX(AK$10:AK$11,Предпосылки!$I$215,),0))*IFERROR(INDEX(AK$10:AK$11,Предпосылки!$I$215,),0),AK387/(1+IFERROR(INDEX(AK$10:AK$11,Предпосылки!$I$216,),0))*IFERROR(INDEX(AK$10:AK$11,Предпосылки!$I$216,),0),AK410/(1+IFERROR(INDEX(AK$10:AK$11,Предпосылки!$I$217,),0))*IFERROR(INDEX(AK$10:AK$11,Предпосылки!$I$217,),0),AK433/(1+IFERROR(INDEX(AK$10:AK$11,Предпосылки!$I$218,),0))*IFERROR(INDEX(AK$10:AK$11,Предпосылки!$I$218,),0),AK456/(1+IFERROR(INDEX(AK$10:AK$11,Предпосылки!$I$219,),0))*IFERROR(INDEX(AK$10:AK$11,Предпосылки!$I$219,),0),AK479/(1+IFERROR(INDEX(AK$10:AK$11,Предпосылки!$I$220,),0))*IFERROR(INDEX(AK$10:AK$11,Предпосылки!$I$220,),0))</f>
        <v>0</v>
      </c>
      <c s="125">
        <f>SUM(AL42/(1+IFERROR(INDEX(AL$10:AL$11,Предпосылки!$I$201,),0))*IFERROR(INDEX(AL$10:AL$11,Предпосылки!$I$201,),0),AL65/(1+IFERROR(INDEX(AL$10:AL$11,Предпосылки!$I$202,),0))*IFERROR(INDEX(AL$10:AL$11,Предпосылки!$I$202,),0),AL88/(1+IFERROR(INDEX(AL$10:AL$11,Предпосылки!$I$203,),0))*IFERROR(INDEX(AL$10:AL$11,Предпосылки!$I$203,),0),AL111/(1+IFERROR(INDEX(AL$10:AL$11,Предпосылки!$I$204,),0))*IFERROR(INDEX(AL$10:AL$11,Предпосылки!$I$204,),0),AL134/(1+IFERROR(INDEX(AL$10:AL$11,Предпосылки!$I$205,),0))*IFERROR(INDEX(AL$10:AL$11,Предпосылки!$I$205,),0),AL157/(1+IFERROR(INDEX(AL$10:AL$11,Предпосылки!$I$206,),0))*IFERROR(INDEX(AL$10:AL$11,Предпосылки!$I$206,),0),AL180/(1+IFERROR(INDEX(AL$10:AL$11,Предпосылки!$I$207,),0))*IFERROR(INDEX(AL$10:AL$11,Предпосылки!$I$207,),0),AL203/(1+IFERROR(INDEX(AL$10:AL$11,Предпосылки!$I$208,),0))*IFERROR(INDEX(AL$10:AL$11,Предпосылки!$I$208,),0),AL226/(1+IFERROR(INDEX(AL$10:AL$11,Предпосылки!$I$209,),0))*IFERROR(INDEX(AL$10:AL$11,Предпосылки!$I$209,),0),AL249/(1+IFERROR(INDEX(AL$10:AL$11,Предпосылки!$I$210,),0))*IFERROR(INDEX(AL$10:AL$11,Предпосылки!$I$210,),0),AL272/(1+IFERROR(INDEX(AL$10:AL$11,Предпосылки!$I$211,),0))*IFERROR(INDEX(AL$10:AL$11,Предпосылки!$I$211,),0),AL295/(1+IFERROR(INDEX(AL$10:AL$11,Предпосылки!$I$212,),0))*IFERROR(INDEX(AL$10:AL$11,Предпосылки!$I$212,),0),AL318/(1+IFERROR(INDEX(AL$10:AL$11,Предпосылки!$I$213,),0))*IFERROR(INDEX(AL$10:AL$11,Предпосылки!$I$213,),0),AL341/(1+IFERROR(INDEX(AL$10:AL$11,Предпосылки!$I$214,),0))*IFERROR(INDEX(AL$10:AL$11,Предпосылки!$I$214,),0),AL364/(1+IFERROR(INDEX(AL$10:AL$11,Предпосылки!$I$215,),0))*IFERROR(INDEX(AL$10:AL$11,Предпосылки!$I$215,),0),AL387/(1+IFERROR(INDEX(AL$10:AL$11,Предпосылки!$I$216,),0))*IFERROR(INDEX(AL$10:AL$11,Предпосылки!$I$216,),0),AL410/(1+IFERROR(INDEX(AL$10:AL$11,Предпосылки!$I$217,),0))*IFERROR(INDEX(AL$10:AL$11,Предпосылки!$I$217,),0),AL433/(1+IFERROR(INDEX(AL$10:AL$11,Предпосылки!$I$218,),0))*IFERROR(INDEX(AL$10:AL$11,Предпосылки!$I$218,),0),AL456/(1+IFERROR(INDEX(AL$10:AL$11,Предпосылки!$I$219,),0))*IFERROR(INDEX(AL$10:AL$11,Предпосылки!$I$219,),0),AL479/(1+IFERROR(INDEX(AL$10:AL$11,Предпосылки!$I$220,),0))*IFERROR(INDEX(AL$10:AL$11,Предпосылки!$I$220,),0))</f>
        <v>0</v>
      </c>
      <c s="125">
        <f>SUM(AM42/(1+IFERROR(INDEX(AM$10:AM$11,Предпосылки!$I$201,),0))*IFERROR(INDEX(AM$10:AM$11,Предпосылки!$I$201,),0),AM65/(1+IFERROR(INDEX(AM$10:AM$11,Предпосылки!$I$202,),0))*IFERROR(INDEX(AM$10:AM$11,Предпосылки!$I$202,),0),AM88/(1+IFERROR(INDEX(AM$10:AM$11,Предпосылки!$I$203,),0))*IFERROR(INDEX(AM$10:AM$11,Предпосылки!$I$203,),0),AM111/(1+IFERROR(INDEX(AM$10:AM$11,Предпосылки!$I$204,),0))*IFERROR(INDEX(AM$10:AM$11,Предпосылки!$I$204,),0),AM134/(1+IFERROR(INDEX(AM$10:AM$11,Предпосылки!$I$205,),0))*IFERROR(INDEX(AM$10:AM$11,Предпосылки!$I$205,),0),AM157/(1+IFERROR(INDEX(AM$10:AM$11,Предпосылки!$I$206,),0))*IFERROR(INDEX(AM$10:AM$11,Предпосылки!$I$206,),0),AM180/(1+IFERROR(INDEX(AM$10:AM$11,Предпосылки!$I$207,),0))*IFERROR(INDEX(AM$10:AM$11,Предпосылки!$I$207,),0),AM203/(1+IFERROR(INDEX(AM$10:AM$11,Предпосылки!$I$208,),0))*IFERROR(INDEX(AM$10:AM$11,Предпосылки!$I$208,),0),AM226/(1+IFERROR(INDEX(AM$10:AM$11,Предпосылки!$I$209,),0))*IFERROR(INDEX(AM$10:AM$11,Предпосылки!$I$209,),0),AM249/(1+IFERROR(INDEX(AM$10:AM$11,Предпосылки!$I$210,),0))*IFERROR(INDEX(AM$10:AM$11,Предпосылки!$I$210,),0),AM272/(1+IFERROR(INDEX(AM$10:AM$11,Предпосылки!$I$211,),0))*IFERROR(INDEX(AM$10:AM$11,Предпосылки!$I$211,),0),AM295/(1+IFERROR(INDEX(AM$10:AM$11,Предпосылки!$I$212,),0))*IFERROR(INDEX(AM$10:AM$11,Предпосылки!$I$212,),0),AM318/(1+IFERROR(INDEX(AM$10:AM$11,Предпосылки!$I$213,),0))*IFERROR(INDEX(AM$10:AM$11,Предпосылки!$I$213,),0),AM341/(1+IFERROR(INDEX(AM$10:AM$11,Предпосылки!$I$214,),0))*IFERROR(INDEX(AM$10:AM$11,Предпосылки!$I$214,),0),AM364/(1+IFERROR(INDEX(AM$10:AM$11,Предпосылки!$I$215,),0))*IFERROR(INDEX(AM$10:AM$11,Предпосылки!$I$215,),0),AM387/(1+IFERROR(INDEX(AM$10:AM$11,Предпосылки!$I$216,),0))*IFERROR(INDEX(AM$10:AM$11,Предпосылки!$I$216,),0),AM410/(1+IFERROR(INDEX(AM$10:AM$11,Предпосылки!$I$217,),0))*IFERROR(INDEX(AM$10:AM$11,Предпосылки!$I$217,),0),AM433/(1+IFERROR(INDEX(AM$10:AM$11,Предпосылки!$I$218,),0))*IFERROR(INDEX(AM$10:AM$11,Предпосылки!$I$218,),0),AM456/(1+IFERROR(INDEX(AM$10:AM$11,Предпосылки!$I$219,),0))*IFERROR(INDEX(AM$10:AM$11,Предпосылки!$I$219,),0),AM479/(1+IFERROR(INDEX(AM$10:AM$11,Предпосылки!$I$220,),0))*IFERROR(INDEX(AM$10:AM$11,Предпосылки!$I$220,),0))</f>
        <v>0</v>
      </c>
      <c s="125">
        <f>SUM(AN42/(1+IFERROR(INDEX(AN$10:AN$11,Предпосылки!$I$201,),0))*IFERROR(INDEX(AN$10:AN$11,Предпосылки!$I$201,),0),AN65/(1+IFERROR(INDEX(AN$10:AN$11,Предпосылки!$I$202,),0))*IFERROR(INDEX(AN$10:AN$11,Предпосылки!$I$202,),0),AN88/(1+IFERROR(INDEX(AN$10:AN$11,Предпосылки!$I$203,),0))*IFERROR(INDEX(AN$10:AN$11,Предпосылки!$I$203,),0),AN111/(1+IFERROR(INDEX(AN$10:AN$11,Предпосылки!$I$204,),0))*IFERROR(INDEX(AN$10:AN$11,Предпосылки!$I$204,),0),AN134/(1+IFERROR(INDEX(AN$10:AN$11,Предпосылки!$I$205,),0))*IFERROR(INDEX(AN$10:AN$11,Предпосылки!$I$205,),0),AN157/(1+IFERROR(INDEX(AN$10:AN$11,Предпосылки!$I$206,),0))*IFERROR(INDEX(AN$10:AN$11,Предпосылки!$I$206,),0),AN180/(1+IFERROR(INDEX(AN$10:AN$11,Предпосылки!$I$207,),0))*IFERROR(INDEX(AN$10:AN$11,Предпосылки!$I$207,),0),AN203/(1+IFERROR(INDEX(AN$10:AN$11,Предпосылки!$I$208,),0))*IFERROR(INDEX(AN$10:AN$11,Предпосылки!$I$208,),0),AN226/(1+IFERROR(INDEX(AN$10:AN$11,Предпосылки!$I$209,),0))*IFERROR(INDEX(AN$10:AN$11,Предпосылки!$I$209,),0),AN249/(1+IFERROR(INDEX(AN$10:AN$11,Предпосылки!$I$210,),0))*IFERROR(INDEX(AN$10:AN$11,Предпосылки!$I$210,),0),AN272/(1+IFERROR(INDEX(AN$10:AN$11,Предпосылки!$I$211,),0))*IFERROR(INDEX(AN$10:AN$11,Предпосылки!$I$211,),0),AN295/(1+IFERROR(INDEX(AN$10:AN$11,Предпосылки!$I$212,),0))*IFERROR(INDEX(AN$10:AN$11,Предпосылки!$I$212,),0),AN318/(1+IFERROR(INDEX(AN$10:AN$11,Предпосылки!$I$213,),0))*IFERROR(INDEX(AN$10:AN$11,Предпосылки!$I$213,),0),AN341/(1+IFERROR(INDEX(AN$10:AN$11,Предпосылки!$I$214,),0))*IFERROR(INDEX(AN$10:AN$11,Предпосылки!$I$214,),0),AN364/(1+IFERROR(INDEX(AN$10:AN$11,Предпосылки!$I$215,),0))*IFERROR(INDEX(AN$10:AN$11,Предпосылки!$I$215,),0),AN387/(1+IFERROR(INDEX(AN$10:AN$11,Предпосылки!$I$216,),0))*IFERROR(INDEX(AN$10:AN$11,Предпосылки!$I$216,),0),AN410/(1+IFERROR(INDEX(AN$10:AN$11,Предпосылки!$I$217,),0))*IFERROR(INDEX(AN$10:AN$11,Предпосылки!$I$217,),0),AN433/(1+IFERROR(INDEX(AN$10:AN$11,Предпосылки!$I$218,),0))*IFERROR(INDEX(AN$10:AN$11,Предпосылки!$I$218,),0),AN456/(1+IFERROR(INDEX(AN$10:AN$11,Предпосылки!$I$219,),0))*IFERROR(INDEX(AN$10:AN$11,Предпосылки!$I$219,),0),AN479/(1+IFERROR(INDEX(AN$10:AN$11,Предпосылки!$I$220,),0))*IFERROR(INDEX(AN$10:AN$11,Предпосылки!$I$220,),0))</f>
        <v>0</v>
      </c>
      <c s="125">
        <f>SUM(AO42/(1+IFERROR(INDEX(AO$10:AO$11,Предпосылки!$I$201,),0))*IFERROR(INDEX(AO$10:AO$11,Предпосылки!$I$201,),0),AO65/(1+IFERROR(INDEX(AO$10:AO$11,Предпосылки!$I$202,),0))*IFERROR(INDEX(AO$10:AO$11,Предпосылки!$I$202,),0),AO88/(1+IFERROR(INDEX(AO$10:AO$11,Предпосылки!$I$203,),0))*IFERROR(INDEX(AO$10:AO$11,Предпосылки!$I$203,),0),AO111/(1+IFERROR(INDEX(AO$10:AO$11,Предпосылки!$I$204,),0))*IFERROR(INDEX(AO$10:AO$11,Предпосылки!$I$204,),0),AO134/(1+IFERROR(INDEX(AO$10:AO$11,Предпосылки!$I$205,),0))*IFERROR(INDEX(AO$10:AO$11,Предпосылки!$I$205,),0),AO157/(1+IFERROR(INDEX(AO$10:AO$11,Предпосылки!$I$206,),0))*IFERROR(INDEX(AO$10:AO$11,Предпосылки!$I$206,),0),AO180/(1+IFERROR(INDEX(AO$10:AO$11,Предпосылки!$I$207,),0))*IFERROR(INDEX(AO$10:AO$11,Предпосылки!$I$207,),0),AO203/(1+IFERROR(INDEX(AO$10:AO$11,Предпосылки!$I$208,),0))*IFERROR(INDEX(AO$10:AO$11,Предпосылки!$I$208,),0),AO226/(1+IFERROR(INDEX(AO$10:AO$11,Предпосылки!$I$209,),0))*IFERROR(INDEX(AO$10:AO$11,Предпосылки!$I$209,),0),AO249/(1+IFERROR(INDEX(AO$10:AO$11,Предпосылки!$I$210,),0))*IFERROR(INDEX(AO$10:AO$11,Предпосылки!$I$210,),0),AO272/(1+IFERROR(INDEX(AO$10:AO$11,Предпосылки!$I$211,),0))*IFERROR(INDEX(AO$10:AO$11,Предпосылки!$I$211,),0),AO295/(1+IFERROR(INDEX(AO$10:AO$11,Предпосылки!$I$212,),0))*IFERROR(INDEX(AO$10:AO$11,Предпосылки!$I$212,),0),AO318/(1+IFERROR(INDEX(AO$10:AO$11,Предпосылки!$I$213,),0))*IFERROR(INDEX(AO$10:AO$11,Предпосылки!$I$213,),0),AO341/(1+IFERROR(INDEX(AO$10:AO$11,Предпосылки!$I$214,),0))*IFERROR(INDEX(AO$10:AO$11,Предпосылки!$I$214,),0),AO364/(1+IFERROR(INDEX(AO$10:AO$11,Предпосылки!$I$215,),0))*IFERROR(INDEX(AO$10:AO$11,Предпосылки!$I$215,),0),AO387/(1+IFERROR(INDEX(AO$10:AO$11,Предпосылки!$I$216,),0))*IFERROR(INDEX(AO$10:AO$11,Предпосылки!$I$216,),0),AO410/(1+IFERROR(INDEX(AO$10:AO$11,Предпосылки!$I$217,),0))*IFERROR(INDEX(AO$10:AO$11,Предпосылки!$I$217,),0),AO433/(1+IFERROR(INDEX(AO$10:AO$11,Предпосылки!$I$218,),0))*IFERROR(INDEX(AO$10:AO$11,Предпосылки!$I$218,),0),AO456/(1+IFERROR(INDEX(AO$10:AO$11,Предпосылки!$I$219,),0))*IFERROR(INDEX(AO$10:AO$11,Предпосылки!$I$219,),0),AO479/(1+IFERROR(INDEX(AO$10:AO$11,Предпосылки!$I$220,),0))*IFERROR(INDEX(AO$10:AO$11,Предпосылки!$I$220,),0))</f>
        <v>0</v>
      </c>
      <c s="125">
        <f>SUM(AP42/(1+IFERROR(INDEX(AP$10:AP$11,Предпосылки!$I$201,),0))*IFERROR(INDEX(AP$10:AP$11,Предпосылки!$I$201,),0),AP65/(1+IFERROR(INDEX(AP$10:AP$11,Предпосылки!$I$202,),0))*IFERROR(INDEX(AP$10:AP$11,Предпосылки!$I$202,),0),AP88/(1+IFERROR(INDEX(AP$10:AP$11,Предпосылки!$I$203,),0))*IFERROR(INDEX(AP$10:AP$11,Предпосылки!$I$203,),0),AP111/(1+IFERROR(INDEX(AP$10:AP$11,Предпосылки!$I$204,),0))*IFERROR(INDEX(AP$10:AP$11,Предпосылки!$I$204,),0),AP134/(1+IFERROR(INDEX(AP$10:AP$11,Предпосылки!$I$205,),0))*IFERROR(INDEX(AP$10:AP$11,Предпосылки!$I$205,),0),AP157/(1+IFERROR(INDEX(AP$10:AP$11,Предпосылки!$I$206,),0))*IFERROR(INDEX(AP$10:AP$11,Предпосылки!$I$206,),0),AP180/(1+IFERROR(INDEX(AP$10:AP$11,Предпосылки!$I$207,),0))*IFERROR(INDEX(AP$10:AP$11,Предпосылки!$I$207,),0),AP203/(1+IFERROR(INDEX(AP$10:AP$11,Предпосылки!$I$208,),0))*IFERROR(INDEX(AP$10:AP$11,Предпосылки!$I$208,),0),AP226/(1+IFERROR(INDEX(AP$10:AP$11,Предпосылки!$I$209,),0))*IFERROR(INDEX(AP$10:AP$11,Предпосылки!$I$209,),0),AP249/(1+IFERROR(INDEX(AP$10:AP$11,Предпосылки!$I$210,),0))*IFERROR(INDEX(AP$10:AP$11,Предпосылки!$I$210,),0),AP272/(1+IFERROR(INDEX(AP$10:AP$11,Предпосылки!$I$211,),0))*IFERROR(INDEX(AP$10:AP$11,Предпосылки!$I$211,),0),AP295/(1+IFERROR(INDEX(AP$10:AP$11,Предпосылки!$I$212,),0))*IFERROR(INDEX(AP$10:AP$11,Предпосылки!$I$212,),0),AP318/(1+IFERROR(INDEX(AP$10:AP$11,Предпосылки!$I$213,),0))*IFERROR(INDEX(AP$10:AP$11,Предпосылки!$I$213,),0),AP341/(1+IFERROR(INDEX(AP$10:AP$11,Предпосылки!$I$214,),0))*IFERROR(INDEX(AP$10:AP$11,Предпосылки!$I$214,),0),AP364/(1+IFERROR(INDEX(AP$10:AP$11,Предпосылки!$I$215,),0))*IFERROR(INDEX(AP$10:AP$11,Предпосылки!$I$215,),0),AP387/(1+IFERROR(INDEX(AP$10:AP$11,Предпосылки!$I$216,),0))*IFERROR(INDEX(AP$10:AP$11,Предпосылки!$I$216,),0),AP410/(1+IFERROR(INDEX(AP$10:AP$11,Предпосылки!$I$217,),0))*IFERROR(INDEX(AP$10:AP$11,Предпосылки!$I$217,),0),AP433/(1+IFERROR(INDEX(AP$10:AP$11,Предпосылки!$I$218,),0))*IFERROR(INDEX(AP$10:AP$11,Предпосылки!$I$218,),0),AP456/(1+IFERROR(INDEX(AP$10:AP$11,Предпосылки!$I$219,),0))*IFERROR(INDEX(AP$10:AP$11,Предпосылки!$I$219,),0),AP479/(1+IFERROR(INDEX(AP$10:AP$11,Предпосылки!$I$220,),0))*IFERROR(INDEX(AP$10:AP$11,Предпосылки!$I$220,),0))</f>
        <v>0</v>
      </c>
      <c s="125">
        <f>SUM(AQ42/(1+IFERROR(INDEX(AQ$10:AQ$11,Предпосылки!$I$201,),0))*IFERROR(INDEX(AQ$10:AQ$11,Предпосылки!$I$201,),0),AQ65/(1+IFERROR(INDEX(AQ$10:AQ$11,Предпосылки!$I$202,),0))*IFERROR(INDEX(AQ$10:AQ$11,Предпосылки!$I$202,),0),AQ88/(1+IFERROR(INDEX(AQ$10:AQ$11,Предпосылки!$I$203,),0))*IFERROR(INDEX(AQ$10:AQ$11,Предпосылки!$I$203,),0),AQ111/(1+IFERROR(INDEX(AQ$10:AQ$11,Предпосылки!$I$204,),0))*IFERROR(INDEX(AQ$10:AQ$11,Предпосылки!$I$204,),0),AQ134/(1+IFERROR(INDEX(AQ$10:AQ$11,Предпосылки!$I$205,),0))*IFERROR(INDEX(AQ$10:AQ$11,Предпосылки!$I$205,),0),AQ157/(1+IFERROR(INDEX(AQ$10:AQ$11,Предпосылки!$I$206,),0))*IFERROR(INDEX(AQ$10:AQ$11,Предпосылки!$I$206,),0),AQ180/(1+IFERROR(INDEX(AQ$10:AQ$11,Предпосылки!$I$207,),0))*IFERROR(INDEX(AQ$10:AQ$11,Предпосылки!$I$207,),0),AQ203/(1+IFERROR(INDEX(AQ$10:AQ$11,Предпосылки!$I$208,),0))*IFERROR(INDEX(AQ$10:AQ$11,Предпосылки!$I$208,),0),AQ226/(1+IFERROR(INDEX(AQ$10:AQ$11,Предпосылки!$I$209,),0))*IFERROR(INDEX(AQ$10:AQ$11,Предпосылки!$I$209,),0),AQ249/(1+IFERROR(INDEX(AQ$10:AQ$11,Предпосылки!$I$210,),0))*IFERROR(INDEX(AQ$10:AQ$11,Предпосылки!$I$210,),0),AQ272/(1+IFERROR(INDEX(AQ$10:AQ$11,Предпосылки!$I$211,),0))*IFERROR(INDEX(AQ$10:AQ$11,Предпосылки!$I$211,),0),AQ295/(1+IFERROR(INDEX(AQ$10:AQ$11,Предпосылки!$I$212,),0))*IFERROR(INDEX(AQ$10:AQ$11,Предпосылки!$I$212,),0),AQ318/(1+IFERROR(INDEX(AQ$10:AQ$11,Предпосылки!$I$213,),0))*IFERROR(INDEX(AQ$10:AQ$11,Предпосылки!$I$213,),0),AQ341/(1+IFERROR(INDEX(AQ$10:AQ$11,Предпосылки!$I$214,),0))*IFERROR(INDEX(AQ$10:AQ$11,Предпосылки!$I$214,),0),AQ364/(1+IFERROR(INDEX(AQ$10:AQ$11,Предпосылки!$I$215,),0))*IFERROR(INDEX(AQ$10:AQ$11,Предпосылки!$I$215,),0),AQ387/(1+IFERROR(INDEX(AQ$10:AQ$11,Предпосылки!$I$216,),0))*IFERROR(INDEX(AQ$10:AQ$11,Предпосылки!$I$216,),0),AQ410/(1+IFERROR(INDEX(AQ$10:AQ$11,Предпосылки!$I$217,),0))*IFERROR(INDEX(AQ$10:AQ$11,Предпосылки!$I$217,),0),AQ433/(1+IFERROR(INDEX(AQ$10:AQ$11,Предпосылки!$I$218,),0))*IFERROR(INDEX(AQ$10:AQ$11,Предпосылки!$I$218,),0),AQ456/(1+IFERROR(INDEX(AQ$10:AQ$11,Предпосылки!$I$219,),0))*IFERROR(INDEX(AQ$10:AQ$11,Предпосылки!$I$219,),0),AQ479/(1+IFERROR(INDEX(AQ$10:AQ$11,Предпосылки!$I$220,),0))*IFERROR(INDEX(AQ$10:AQ$11,Предпосылки!$I$220,),0))</f>
        <v>0</v>
      </c>
      <c s="125">
        <f>SUM(AR42/(1+IFERROR(INDEX(AR$10:AR$11,Предпосылки!$I$201,),0))*IFERROR(INDEX(AR$10:AR$11,Предпосылки!$I$201,),0),AR65/(1+IFERROR(INDEX(AR$10:AR$11,Предпосылки!$I$202,),0))*IFERROR(INDEX(AR$10:AR$11,Предпосылки!$I$202,),0),AR88/(1+IFERROR(INDEX(AR$10:AR$11,Предпосылки!$I$203,),0))*IFERROR(INDEX(AR$10:AR$11,Предпосылки!$I$203,),0),AR111/(1+IFERROR(INDEX(AR$10:AR$11,Предпосылки!$I$204,),0))*IFERROR(INDEX(AR$10:AR$11,Предпосылки!$I$204,),0),AR134/(1+IFERROR(INDEX(AR$10:AR$11,Предпосылки!$I$205,),0))*IFERROR(INDEX(AR$10:AR$11,Предпосылки!$I$205,),0),AR157/(1+IFERROR(INDEX(AR$10:AR$11,Предпосылки!$I$206,),0))*IFERROR(INDEX(AR$10:AR$11,Предпосылки!$I$206,),0),AR180/(1+IFERROR(INDEX(AR$10:AR$11,Предпосылки!$I$207,),0))*IFERROR(INDEX(AR$10:AR$11,Предпосылки!$I$207,),0),AR203/(1+IFERROR(INDEX(AR$10:AR$11,Предпосылки!$I$208,),0))*IFERROR(INDEX(AR$10:AR$11,Предпосылки!$I$208,),0),AR226/(1+IFERROR(INDEX(AR$10:AR$11,Предпосылки!$I$209,),0))*IFERROR(INDEX(AR$10:AR$11,Предпосылки!$I$209,),0),AR249/(1+IFERROR(INDEX(AR$10:AR$11,Предпосылки!$I$210,),0))*IFERROR(INDEX(AR$10:AR$11,Предпосылки!$I$210,),0),AR272/(1+IFERROR(INDEX(AR$10:AR$11,Предпосылки!$I$211,),0))*IFERROR(INDEX(AR$10:AR$11,Предпосылки!$I$211,),0),AR295/(1+IFERROR(INDEX(AR$10:AR$11,Предпосылки!$I$212,),0))*IFERROR(INDEX(AR$10:AR$11,Предпосылки!$I$212,),0),AR318/(1+IFERROR(INDEX(AR$10:AR$11,Предпосылки!$I$213,),0))*IFERROR(INDEX(AR$10:AR$11,Предпосылки!$I$213,),0),AR341/(1+IFERROR(INDEX(AR$10:AR$11,Предпосылки!$I$214,),0))*IFERROR(INDEX(AR$10:AR$11,Предпосылки!$I$214,),0),AR364/(1+IFERROR(INDEX(AR$10:AR$11,Предпосылки!$I$215,),0))*IFERROR(INDEX(AR$10:AR$11,Предпосылки!$I$215,),0),AR387/(1+IFERROR(INDEX(AR$10:AR$11,Предпосылки!$I$216,),0))*IFERROR(INDEX(AR$10:AR$11,Предпосылки!$I$216,),0),AR410/(1+IFERROR(INDEX(AR$10:AR$11,Предпосылки!$I$217,),0))*IFERROR(INDEX(AR$10:AR$11,Предпосылки!$I$217,),0),AR433/(1+IFERROR(INDEX(AR$10:AR$11,Предпосылки!$I$218,),0))*IFERROR(INDEX(AR$10:AR$11,Предпосылки!$I$218,),0),AR456/(1+IFERROR(INDEX(AR$10:AR$11,Предпосылки!$I$219,),0))*IFERROR(INDEX(AR$10:AR$11,Предпосылки!$I$219,),0),AR479/(1+IFERROR(INDEX(AR$10:AR$11,Предпосылки!$I$220,),0))*IFERROR(INDEX(AR$10:AR$11,Предпосылки!$I$220,),0))</f>
        <v>0</v>
      </c>
      <c s="125">
        <f>SUM(AS42/(1+IFERROR(INDEX(AS$10:AS$11,Предпосылки!$I$201,),0))*IFERROR(INDEX(AS$10:AS$11,Предпосылки!$I$201,),0),AS65/(1+IFERROR(INDEX(AS$10:AS$11,Предпосылки!$I$202,),0))*IFERROR(INDEX(AS$10:AS$11,Предпосылки!$I$202,),0),AS88/(1+IFERROR(INDEX(AS$10:AS$11,Предпосылки!$I$203,),0))*IFERROR(INDEX(AS$10:AS$11,Предпосылки!$I$203,),0),AS111/(1+IFERROR(INDEX(AS$10:AS$11,Предпосылки!$I$204,),0))*IFERROR(INDEX(AS$10:AS$11,Предпосылки!$I$204,),0),AS134/(1+IFERROR(INDEX(AS$10:AS$11,Предпосылки!$I$205,),0))*IFERROR(INDEX(AS$10:AS$11,Предпосылки!$I$205,),0),AS157/(1+IFERROR(INDEX(AS$10:AS$11,Предпосылки!$I$206,),0))*IFERROR(INDEX(AS$10:AS$11,Предпосылки!$I$206,),0),AS180/(1+IFERROR(INDEX(AS$10:AS$11,Предпосылки!$I$207,),0))*IFERROR(INDEX(AS$10:AS$11,Предпосылки!$I$207,),0),AS203/(1+IFERROR(INDEX(AS$10:AS$11,Предпосылки!$I$208,),0))*IFERROR(INDEX(AS$10:AS$11,Предпосылки!$I$208,),0),AS226/(1+IFERROR(INDEX(AS$10:AS$11,Предпосылки!$I$209,),0))*IFERROR(INDEX(AS$10:AS$11,Предпосылки!$I$209,),0),AS249/(1+IFERROR(INDEX(AS$10:AS$11,Предпосылки!$I$210,),0))*IFERROR(INDEX(AS$10:AS$11,Предпосылки!$I$210,),0),AS272/(1+IFERROR(INDEX(AS$10:AS$11,Предпосылки!$I$211,),0))*IFERROR(INDEX(AS$10:AS$11,Предпосылки!$I$211,),0),AS295/(1+IFERROR(INDEX(AS$10:AS$11,Предпосылки!$I$212,),0))*IFERROR(INDEX(AS$10:AS$11,Предпосылки!$I$212,),0),AS318/(1+IFERROR(INDEX(AS$10:AS$11,Предпосылки!$I$213,),0))*IFERROR(INDEX(AS$10:AS$11,Предпосылки!$I$213,),0),AS341/(1+IFERROR(INDEX(AS$10:AS$11,Предпосылки!$I$214,),0))*IFERROR(INDEX(AS$10:AS$11,Предпосылки!$I$214,),0),AS364/(1+IFERROR(INDEX(AS$10:AS$11,Предпосылки!$I$215,),0))*IFERROR(INDEX(AS$10:AS$11,Предпосылки!$I$215,),0),AS387/(1+IFERROR(INDEX(AS$10:AS$11,Предпосылки!$I$216,),0))*IFERROR(INDEX(AS$10:AS$11,Предпосылки!$I$216,),0),AS410/(1+IFERROR(INDEX(AS$10:AS$11,Предпосылки!$I$217,),0))*IFERROR(INDEX(AS$10:AS$11,Предпосылки!$I$217,),0),AS433/(1+IFERROR(INDEX(AS$10:AS$11,Предпосылки!$I$218,),0))*IFERROR(INDEX(AS$10:AS$11,Предпосылки!$I$218,),0),AS456/(1+IFERROR(INDEX(AS$10:AS$11,Предпосылки!$I$219,),0))*IFERROR(INDEX(AS$10:AS$11,Предпосылки!$I$219,),0),AS479/(1+IFERROR(INDEX(AS$10:AS$11,Предпосылки!$I$220,),0))*IFERROR(INDEX(AS$10:AS$11,Предпосылки!$I$220,),0))</f>
        <v>0</v>
      </c>
      <c s="125">
        <f>SUM(AT42/(1+IFERROR(INDEX(AT$10:AT$11,Предпосылки!$I$201,),0))*IFERROR(INDEX(AT$10:AT$11,Предпосылки!$I$201,),0),AT65/(1+IFERROR(INDEX(AT$10:AT$11,Предпосылки!$I$202,),0))*IFERROR(INDEX(AT$10:AT$11,Предпосылки!$I$202,),0),AT88/(1+IFERROR(INDEX(AT$10:AT$11,Предпосылки!$I$203,),0))*IFERROR(INDEX(AT$10:AT$11,Предпосылки!$I$203,),0),AT111/(1+IFERROR(INDEX(AT$10:AT$11,Предпосылки!$I$204,),0))*IFERROR(INDEX(AT$10:AT$11,Предпосылки!$I$204,),0),AT134/(1+IFERROR(INDEX(AT$10:AT$11,Предпосылки!$I$205,),0))*IFERROR(INDEX(AT$10:AT$11,Предпосылки!$I$205,),0),AT157/(1+IFERROR(INDEX(AT$10:AT$11,Предпосылки!$I$206,),0))*IFERROR(INDEX(AT$10:AT$11,Предпосылки!$I$206,),0),AT180/(1+IFERROR(INDEX(AT$10:AT$11,Предпосылки!$I$207,),0))*IFERROR(INDEX(AT$10:AT$11,Предпосылки!$I$207,),0),AT203/(1+IFERROR(INDEX(AT$10:AT$11,Предпосылки!$I$208,),0))*IFERROR(INDEX(AT$10:AT$11,Предпосылки!$I$208,),0),AT226/(1+IFERROR(INDEX(AT$10:AT$11,Предпосылки!$I$209,),0))*IFERROR(INDEX(AT$10:AT$11,Предпосылки!$I$209,),0),AT249/(1+IFERROR(INDEX(AT$10:AT$11,Предпосылки!$I$210,),0))*IFERROR(INDEX(AT$10:AT$11,Предпосылки!$I$210,),0),AT272/(1+IFERROR(INDEX(AT$10:AT$11,Предпосылки!$I$211,),0))*IFERROR(INDEX(AT$10:AT$11,Предпосылки!$I$211,),0),AT295/(1+IFERROR(INDEX(AT$10:AT$11,Предпосылки!$I$212,),0))*IFERROR(INDEX(AT$10:AT$11,Предпосылки!$I$212,),0),AT318/(1+IFERROR(INDEX(AT$10:AT$11,Предпосылки!$I$213,),0))*IFERROR(INDEX(AT$10:AT$11,Предпосылки!$I$213,),0),AT341/(1+IFERROR(INDEX(AT$10:AT$11,Предпосылки!$I$214,),0))*IFERROR(INDEX(AT$10:AT$11,Предпосылки!$I$214,),0),AT364/(1+IFERROR(INDEX(AT$10:AT$11,Предпосылки!$I$215,),0))*IFERROR(INDEX(AT$10:AT$11,Предпосылки!$I$215,),0),AT387/(1+IFERROR(INDEX(AT$10:AT$11,Предпосылки!$I$216,),0))*IFERROR(INDEX(AT$10:AT$11,Предпосылки!$I$216,),0),AT410/(1+IFERROR(INDEX(AT$10:AT$11,Предпосылки!$I$217,),0))*IFERROR(INDEX(AT$10:AT$11,Предпосылки!$I$217,),0),AT433/(1+IFERROR(INDEX(AT$10:AT$11,Предпосылки!$I$218,),0))*IFERROR(INDEX(AT$10:AT$11,Предпосылки!$I$218,),0),AT456/(1+IFERROR(INDEX(AT$10:AT$11,Предпосылки!$I$219,),0))*IFERROR(INDEX(AT$10:AT$11,Предпосылки!$I$219,),0),AT479/(1+IFERROR(INDEX(AT$10:AT$11,Предпосылки!$I$220,),0))*IFERROR(INDEX(AT$10:AT$11,Предпосылки!$I$220,),0))</f>
        <v>0</v>
      </c>
      <c s="125">
        <f>SUM(AU42/(1+IFERROR(INDEX(AU$10:AU$11,Предпосылки!$I$201,),0))*IFERROR(INDEX(AU$10:AU$11,Предпосылки!$I$201,),0),AU65/(1+IFERROR(INDEX(AU$10:AU$11,Предпосылки!$I$202,),0))*IFERROR(INDEX(AU$10:AU$11,Предпосылки!$I$202,),0),AU88/(1+IFERROR(INDEX(AU$10:AU$11,Предпосылки!$I$203,),0))*IFERROR(INDEX(AU$10:AU$11,Предпосылки!$I$203,),0),AU111/(1+IFERROR(INDEX(AU$10:AU$11,Предпосылки!$I$204,),0))*IFERROR(INDEX(AU$10:AU$11,Предпосылки!$I$204,),0),AU134/(1+IFERROR(INDEX(AU$10:AU$11,Предпосылки!$I$205,),0))*IFERROR(INDEX(AU$10:AU$11,Предпосылки!$I$205,),0),AU157/(1+IFERROR(INDEX(AU$10:AU$11,Предпосылки!$I$206,),0))*IFERROR(INDEX(AU$10:AU$11,Предпосылки!$I$206,),0),AU180/(1+IFERROR(INDEX(AU$10:AU$11,Предпосылки!$I$207,),0))*IFERROR(INDEX(AU$10:AU$11,Предпосылки!$I$207,),0),AU203/(1+IFERROR(INDEX(AU$10:AU$11,Предпосылки!$I$208,),0))*IFERROR(INDEX(AU$10:AU$11,Предпосылки!$I$208,),0),AU226/(1+IFERROR(INDEX(AU$10:AU$11,Предпосылки!$I$209,),0))*IFERROR(INDEX(AU$10:AU$11,Предпосылки!$I$209,),0),AU249/(1+IFERROR(INDEX(AU$10:AU$11,Предпосылки!$I$210,),0))*IFERROR(INDEX(AU$10:AU$11,Предпосылки!$I$210,),0),AU272/(1+IFERROR(INDEX(AU$10:AU$11,Предпосылки!$I$211,),0))*IFERROR(INDEX(AU$10:AU$11,Предпосылки!$I$211,),0),AU295/(1+IFERROR(INDEX(AU$10:AU$11,Предпосылки!$I$212,),0))*IFERROR(INDEX(AU$10:AU$11,Предпосылки!$I$212,),0),AU318/(1+IFERROR(INDEX(AU$10:AU$11,Предпосылки!$I$213,),0))*IFERROR(INDEX(AU$10:AU$11,Предпосылки!$I$213,),0),AU341/(1+IFERROR(INDEX(AU$10:AU$11,Предпосылки!$I$214,),0))*IFERROR(INDEX(AU$10:AU$11,Предпосылки!$I$214,),0),AU364/(1+IFERROR(INDEX(AU$10:AU$11,Предпосылки!$I$215,),0))*IFERROR(INDEX(AU$10:AU$11,Предпосылки!$I$215,),0),AU387/(1+IFERROR(INDEX(AU$10:AU$11,Предпосылки!$I$216,),0))*IFERROR(INDEX(AU$10:AU$11,Предпосылки!$I$216,),0),AU410/(1+IFERROR(INDEX(AU$10:AU$11,Предпосылки!$I$217,),0))*IFERROR(INDEX(AU$10:AU$11,Предпосылки!$I$217,),0),AU433/(1+IFERROR(INDEX(AU$10:AU$11,Предпосылки!$I$218,),0))*IFERROR(INDEX(AU$10:AU$11,Предпосылки!$I$218,),0),AU456/(1+IFERROR(INDEX(AU$10:AU$11,Предпосылки!$I$219,),0))*IFERROR(INDEX(AU$10:AU$11,Предпосылки!$I$219,),0),AU479/(1+IFERROR(INDEX(AU$10:AU$11,Предпосылки!$I$220,),0))*IFERROR(INDEX(AU$10:AU$11,Предпосылки!$I$220,),0))</f>
        <v>0</v>
      </c>
      <c s="125">
        <f>SUM(AV42/(1+IFERROR(INDEX(AV$10:AV$11,Предпосылки!$I$201,),0))*IFERROR(INDEX(AV$10:AV$11,Предпосылки!$I$201,),0),AV65/(1+IFERROR(INDEX(AV$10:AV$11,Предпосылки!$I$202,),0))*IFERROR(INDEX(AV$10:AV$11,Предпосылки!$I$202,),0),AV88/(1+IFERROR(INDEX(AV$10:AV$11,Предпосылки!$I$203,),0))*IFERROR(INDEX(AV$10:AV$11,Предпосылки!$I$203,),0),AV111/(1+IFERROR(INDEX(AV$10:AV$11,Предпосылки!$I$204,),0))*IFERROR(INDEX(AV$10:AV$11,Предпосылки!$I$204,),0),AV134/(1+IFERROR(INDEX(AV$10:AV$11,Предпосылки!$I$205,),0))*IFERROR(INDEX(AV$10:AV$11,Предпосылки!$I$205,),0),AV157/(1+IFERROR(INDEX(AV$10:AV$11,Предпосылки!$I$206,),0))*IFERROR(INDEX(AV$10:AV$11,Предпосылки!$I$206,),0),AV180/(1+IFERROR(INDEX(AV$10:AV$11,Предпосылки!$I$207,),0))*IFERROR(INDEX(AV$10:AV$11,Предпосылки!$I$207,),0),AV203/(1+IFERROR(INDEX(AV$10:AV$11,Предпосылки!$I$208,),0))*IFERROR(INDEX(AV$10:AV$11,Предпосылки!$I$208,),0),AV226/(1+IFERROR(INDEX(AV$10:AV$11,Предпосылки!$I$209,),0))*IFERROR(INDEX(AV$10:AV$11,Предпосылки!$I$209,),0),AV249/(1+IFERROR(INDEX(AV$10:AV$11,Предпосылки!$I$210,),0))*IFERROR(INDEX(AV$10:AV$11,Предпосылки!$I$210,),0),AV272/(1+IFERROR(INDEX(AV$10:AV$11,Предпосылки!$I$211,),0))*IFERROR(INDEX(AV$10:AV$11,Предпосылки!$I$211,),0),AV295/(1+IFERROR(INDEX(AV$10:AV$11,Предпосылки!$I$212,),0))*IFERROR(INDEX(AV$10:AV$11,Предпосылки!$I$212,),0),AV318/(1+IFERROR(INDEX(AV$10:AV$11,Предпосылки!$I$213,),0))*IFERROR(INDEX(AV$10:AV$11,Предпосылки!$I$213,),0),AV341/(1+IFERROR(INDEX(AV$10:AV$11,Предпосылки!$I$214,),0))*IFERROR(INDEX(AV$10:AV$11,Предпосылки!$I$214,),0),AV364/(1+IFERROR(INDEX(AV$10:AV$11,Предпосылки!$I$215,),0))*IFERROR(INDEX(AV$10:AV$11,Предпосылки!$I$215,),0),AV387/(1+IFERROR(INDEX(AV$10:AV$11,Предпосылки!$I$216,),0))*IFERROR(INDEX(AV$10:AV$11,Предпосылки!$I$216,),0),AV410/(1+IFERROR(INDEX(AV$10:AV$11,Предпосылки!$I$217,),0))*IFERROR(INDEX(AV$10:AV$11,Предпосылки!$I$217,),0),AV433/(1+IFERROR(INDEX(AV$10:AV$11,Предпосылки!$I$218,),0))*IFERROR(INDEX(AV$10:AV$11,Предпосылки!$I$218,),0),AV456/(1+IFERROR(INDEX(AV$10:AV$11,Предпосылки!$I$219,),0))*IFERROR(INDEX(AV$10:AV$11,Предпосылки!$I$219,),0),AV479/(1+IFERROR(INDEX(AV$10:AV$11,Предпосылки!$I$220,),0))*IFERROR(INDEX(AV$10:AV$11,Предпосылки!$I$220,),0))</f>
        <v>0</v>
      </c>
      <c s="125">
        <f>SUM(AW42/(1+IFERROR(INDEX(AW$10:AW$11,Предпосылки!$I$201,),0))*IFERROR(INDEX(AW$10:AW$11,Предпосылки!$I$201,),0),AW65/(1+IFERROR(INDEX(AW$10:AW$11,Предпосылки!$I$202,),0))*IFERROR(INDEX(AW$10:AW$11,Предпосылки!$I$202,),0),AW88/(1+IFERROR(INDEX(AW$10:AW$11,Предпосылки!$I$203,),0))*IFERROR(INDEX(AW$10:AW$11,Предпосылки!$I$203,),0),AW111/(1+IFERROR(INDEX(AW$10:AW$11,Предпосылки!$I$204,),0))*IFERROR(INDEX(AW$10:AW$11,Предпосылки!$I$204,),0),AW134/(1+IFERROR(INDEX(AW$10:AW$11,Предпосылки!$I$205,),0))*IFERROR(INDEX(AW$10:AW$11,Предпосылки!$I$205,),0),AW157/(1+IFERROR(INDEX(AW$10:AW$11,Предпосылки!$I$206,),0))*IFERROR(INDEX(AW$10:AW$11,Предпосылки!$I$206,),0),AW180/(1+IFERROR(INDEX(AW$10:AW$11,Предпосылки!$I$207,),0))*IFERROR(INDEX(AW$10:AW$11,Предпосылки!$I$207,),0),AW203/(1+IFERROR(INDEX(AW$10:AW$11,Предпосылки!$I$208,),0))*IFERROR(INDEX(AW$10:AW$11,Предпосылки!$I$208,),0),AW226/(1+IFERROR(INDEX(AW$10:AW$11,Предпосылки!$I$209,),0))*IFERROR(INDEX(AW$10:AW$11,Предпосылки!$I$209,),0),AW249/(1+IFERROR(INDEX(AW$10:AW$11,Предпосылки!$I$210,),0))*IFERROR(INDEX(AW$10:AW$11,Предпосылки!$I$210,),0),AW272/(1+IFERROR(INDEX(AW$10:AW$11,Предпосылки!$I$211,),0))*IFERROR(INDEX(AW$10:AW$11,Предпосылки!$I$211,),0),AW295/(1+IFERROR(INDEX(AW$10:AW$11,Предпосылки!$I$212,),0))*IFERROR(INDEX(AW$10:AW$11,Предпосылки!$I$212,),0),AW318/(1+IFERROR(INDEX(AW$10:AW$11,Предпосылки!$I$213,),0))*IFERROR(INDEX(AW$10:AW$11,Предпосылки!$I$213,),0),AW341/(1+IFERROR(INDEX(AW$10:AW$11,Предпосылки!$I$214,),0))*IFERROR(INDEX(AW$10:AW$11,Предпосылки!$I$214,),0),AW364/(1+IFERROR(INDEX(AW$10:AW$11,Предпосылки!$I$215,),0))*IFERROR(INDEX(AW$10:AW$11,Предпосылки!$I$215,),0),AW387/(1+IFERROR(INDEX(AW$10:AW$11,Предпосылки!$I$216,),0))*IFERROR(INDEX(AW$10:AW$11,Предпосылки!$I$216,),0),AW410/(1+IFERROR(INDEX(AW$10:AW$11,Предпосылки!$I$217,),0))*IFERROR(INDEX(AW$10:AW$11,Предпосылки!$I$217,),0),AW433/(1+IFERROR(INDEX(AW$10:AW$11,Предпосылки!$I$218,),0))*IFERROR(INDEX(AW$10:AW$11,Предпосылки!$I$218,),0),AW456/(1+IFERROR(INDEX(AW$10:AW$11,Предпосылки!$I$219,),0))*IFERROR(INDEX(AW$10:AW$11,Предпосылки!$I$219,),0),AW479/(1+IFERROR(INDEX(AW$10:AW$11,Предпосылки!$I$220,),0))*IFERROR(INDEX(AW$10:AW$11,Предпосылки!$I$220,),0))</f>
        <v>0</v>
      </c>
      <c s="125">
        <f>SUM(AX42/(1+IFERROR(INDEX(AX$10:AX$11,Предпосылки!$I$201,),0))*IFERROR(INDEX(AX$10:AX$11,Предпосылки!$I$201,),0),AX65/(1+IFERROR(INDEX(AX$10:AX$11,Предпосылки!$I$202,),0))*IFERROR(INDEX(AX$10:AX$11,Предпосылки!$I$202,),0),AX88/(1+IFERROR(INDEX(AX$10:AX$11,Предпосылки!$I$203,),0))*IFERROR(INDEX(AX$10:AX$11,Предпосылки!$I$203,),0),AX111/(1+IFERROR(INDEX(AX$10:AX$11,Предпосылки!$I$204,),0))*IFERROR(INDEX(AX$10:AX$11,Предпосылки!$I$204,),0),AX134/(1+IFERROR(INDEX(AX$10:AX$11,Предпосылки!$I$205,),0))*IFERROR(INDEX(AX$10:AX$11,Предпосылки!$I$205,),0),AX157/(1+IFERROR(INDEX(AX$10:AX$11,Предпосылки!$I$206,),0))*IFERROR(INDEX(AX$10:AX$11,Предпосылки!$I$206,),0),AX180/(1+IFERROR(INDEX(AX$10:AX$11,Предпосылки!$I$207,),0))*IFERROR(INDEX(AX$10:AX$11,Предпосылки!$I$207,),0),AX203/(1+IFERROR(INDEX(AX$10:AX$11,Предпосылки!$I$208,),0))*IFERROR(INDEX(AX$10:AX$11,Предпосылки!$I$208,),0),AX226/(1+IFERROR(INDEX(AX$10:AX$11,Предпосылки!$I$209,),0))*IFERROR(INDEX(AX$10:AX$11,Предпосылки!$I$209,),0),AX249/(1+IFERROR(INDEX(AX$10:AX$11,Предпосылки!$I$210,),0))*IFERROR(INDEX(AX$10:AX$11,Предпосылки!$I$210,),0),AX272/(1+IFERROR(INDEX(AX$10:AX$11,Предпосылки!$I$211,),0))*IFERROR(INDEX(AX$10:AX$11,Предпосылки!$I$211,),0),AX295/(1+IFERROR(INDEX(AX$10:AX$11,Предпосылки!$I$212,),0))*IFERROR(INDEX(AX$10:AX$11,Предпосылки!$I$212,),0),AX318/(1+IFERROR(INDEX(AX$10:AX$11,Предпосылки!$I$213,),0))*IFERROR(INDEX(AX$10:AX$11,Предпосылки!$I$213,),0),AX341/(1+IFERROR(INDEX(AX$10:AX$11,Предпосылки!$I$214,),0))*IFERROR(INDEX(AX$10:AX$11,Предпосылки!$I$214,),0),AX364/(1+IFERROR(INDEX(AX$10:AX$11,Предпосылки!$I$215,),0))*IFERROR(INDEX(AX$10:AX$11,Предпосылки!$I$215,),0),AX387/(1+IFERROR(INDEX(AX$10:AX$11,Предпосылки!$I$216,),0))*IFERROR(INDEX(AX$10:AX$11,Предпосылки!$I$216,),0),AX410/(1+IFERROR(INDEX(AX$10:AX$11,Предпосылки!$I$217,),0))*IFERROR(INDEX(AX$10:AX$11,Предпосылки!$I$217,),0),AX433/(1+IFERROR(INDEX(AX$10:AX$11,Предпосылки!$I$218,),0))*IFERROR(INDEX(AX$10:AX$11,Предпосылки!$I$218,),0),AX456/(1+IFERROR(INDEX(AX$10:AX$11,Предпосылки!$I$219,),0))*IFERROR(INDEX(AX$10:AX$11,Предпосылки!$I$219,),0),AX479/(1+IFERROR(INDEX(AX$10:AX$11,Предпосылки!$I$220,),0))*IFERROR(INDEX(AX$10:AX$11,Предпосылки!$I$220,),0))</f>
        <v>0</v>
      </c>
      <c s="125">
        <f>SUM(AY42/(1+IFERROR(INDEX(AY$10:AY$11,Предпосылки!$I$201,),0))*IFERROR(INDEX(AY$10:AY$11,Предпосылки!$I$201,),0),AY65/(1+IFERROR(INDEX(AY$10:AY$11,Предпосылки!$I$202,),0))*IFERROR(INDEX(AY$10:AY$11,Предпосылки!$I$202,),0),AY88/(1+IFERROR(INDEX(AY$10:AY$11,Предпосылки!$I$203,),0))*IFERROR(INDEX(AY$10:AY$11,Предпосылки!$I$203,),0),AY111/(1+IFERROR(INDEX(AY$10:AY$11,Предпосылки!$I$204,),0))*IFERROR(INDEX(AY$10:AY$11,Предпосылки!$I$204,),0),AY134/(1+IFERROR(INDEX(AY$10:AY$11,Предпосылки!$I$205,),0))*IFERROR(INDEX(AY$10:AY$11,Предпосылки!$I$205,),0),AY157/(1+IFERROR(INDEX(AY$10:AY$11,Предпосылки!$I$206,),0))*IFERROR(INDEX(AY$10:AY$11,Предпосылки!$I$206,),0),AY180/(1+IFERROR(INDEX(AY$10:AY$11,Предпосылки!$I$207,),0))*IFERROR(INDEX(AY$10:AY$11,Предпосылки!$I$207,),0),AY203/(1+IFERROR(INDEX(AY$10:AY$11,Предпосылки!$I$208,),0))*IFERROR(INDEX(AY$10:AY$11,Предпосылки!$I$208,),0),AY226/(1+IFERROR(INDEX(AY$10:AY$11,Предпосылки!$I$209,),0))*IFERROR(INDEX(AY$10:AY$11,Предпосылки!$I$209,),0),AY249/(1+IFERROR(INDEX(AY$10:AY$11,Предпосылки!$I$210,),0))*IFERROR(INDEX(AY$10:AY$11,Предпосылки!$I$210,),0),AY272/(1+IFERROR(INDEX(AY$10:AY$11,Предпосылки!$I$211,),0))*IFERROR(INDEX(AY$10:AY$11,Предпосылки!$I$211,),0),AY295/(1+IFERROR(INDEX(AY$10:AY$11,Предпосылки!$I$212,),0))*IFERROR(INDEX(AY$10:AY$11,Предпосылки!$I$212,),0),AY318/(1+IFERROR(INDEX(AY$10:AY$11,Предпосылки!$I$213,),0))*IFERROR(INDEX(AY$10:AY$11,Предпосылки!$I$213,),0),AY341/(1+IFERROR(INDEX(AY$10:AY$11,Предпосылки!$I$214,),0))*IFERROR(INDEX(AY$10:AY$11,Предпосылки!$I$214,),0),AY364/(1+IFERROR(INDEX(AY$10:AY$11,Предпосылки!$I$215,),0))*IFERROR(INDEX(AY$10:AY$11,Предпосылки!$I$215,),0),AY387/(1+IFERROR(INDEX(AY$10:AY$11,Предпосылки!$I$216,),0))*IFERROR(INDEX(AY$10:AY$11,Предпосылки!$I$216,),0),AY410/(1+IFERROR(INDEX(AY$10:AY$11,Предпосылки!$I$217,),0))*IFERROR(INDEX(AY$10:AY$11,Предпосылки!$I$217,),0),AY433/(1+IFERROR(INDEX(AY$10:AY$11,Предпосылки!$I$218,),0))*IFERROR(INDEX(AY$10:AY$11,Предпосылки!$I$218,),0),AY456/(1+IFERROR(INDEX(AY$10:AY$11,Предпосылки!$I$219,),0))*IFERROR(INDEX(AY$10:AY$11,Предпосылки!$I$219,),0),AY479/(1+IFERROR(INDEX(AY$10:AY$11,Предпосылки!$I$220,),0))*IFERROR(INDEX(AY$10:AY$11,Предпосылки!$I$220,),0))</f>
        <v>0</v>
      </c>
      <c s="125">
        <f>SUM(AZ42/(1+IFERROR(INDEX(AZ$10:AZ$11,Предпосылки!$I$201,),0))*IFERROR(INDEX(AZ$10:AZ$11,Предпосылки!$I$201,),0),AZ65/(1+IFERROR(INDEX(AZ$10:AZ$11,Предпосылки!$I$202,),0))*IFERROR(INDEX(AZ$10:AZ$11,Предпосылки!$I$202,),0),AZ88/(1+IFERROR(INDEX(AZ$10:AZ$11,Предпосылки!$I$203,),0))*IFERROR(INDEX(AZ$10:AZ$11,Предпосылки!$I$203,),0),AZ111/(1+IFERROR(INDEX(AZ$10:AZ$11,Предпосылки!$I$204,),0))*IFERROR(INDEX(AZ$10:AZ$11,Предпосылки!$I$204,),0),AZ134/(1+IFERROR(INDEX(AZ$10:AZ$11,Предпосылки!$I$205,),0))*IFERROR(INDEX(AZ$10:AZ$11,Предпосылки!$I$205,),0),AZ157/(1+IFERROR(INDEX(AZ$10:AZ$11,Предпосылки!$I$206,),0))*IFERROR(INDEX(AZ$10:AZ$11,Предпосылки!$I$206,),0),AZ180/(1+IFERROR(INDEX(AZ$10:AZ$11,Предпосылки!$I$207,),0))*IFERROR(INDEX(AZ$10:AZ$11,Предпосылки!$I$207,),0),AZ203/(1+IFERROR(INDEX(AZ$10:AZ$11,Предпосылки!$I$208,),0))*IFERROR(INDEX(AZ$10:AZ$11,Предпосылки!$I$208,),0),AZ226/(1+IFERROR(INDEX(AZ$10:AZ$11,Предпосылки!$I$209,),0))*IFERROR(INDEX(AZ$10:AZ$11,Предпосылки!$I$209,),0),AZ249/(1+IFERROR(INDEX(AZ$10:AZ$11,Предпосылки!$I$210,),0))*IFERROR(INDEX(AZ$10:AZ$11,Предпосылки!$I$210,),0),AZ272/(1+IFERROR(INDEX(AZ$10:AZ$11,Предпосылки!$I$211,),0))*IFERROR(INDEX(AZ$10:AZ$11,Предпосылки!$I$211,),0),AZ295/(1+IFERROR(INDEX(AZ$10:AZ$11,Предпосылки!$I$212,),0))*IFERROR(INDEX(AZ$10:AZ$11,Предпосылки!$I$212,),0),AZ318/(1+IFERROR(INDEX(AZ$10:AZ$11,Предпосылки!$I$213,),0))*IFERROR(INDEX(AZ$10:AZ$11,Предпосылки!$I$213,),0),AZ341/(1+IFERROR(INDEX(AZ$10:AZ$11,Предпосылки!$I$214,),0))*IFERROR(INDEX(AZ$10:AZ$11,Предпосылки!$I$214,),0),AZ364/(1+IFERROR(INDEX(AZ$10:AZ$11,Предпосылки!$I$215,),0))*IFERROR(INDEX(AZ$10:AZ$11,Предпосылки!$I$215,),0),AZ387/(1+IFERROR(INDEX(AZ$10:AZ$11,Предпосылки!$I$216,),0))*IFERROR(INDEX(AZ$10:AZ$11,Предпосылки!$I$216,),0),AZ410/(1+IFERROR(INDEX(AZ$10:AZ$11,Предпосылки!$I$217,),0))*IFERROR(INDEX(AZ$10:AZ$11,Предпосылки!$I$217,),0),AZ433/(1+IFERROR(INDEX(AZ$10:AZ$11,Предпосылки!$I$218,),0))*IFERROR(INDEX(AZ$10:AZ$11,Предпосылки!$I$218,),0),AZ456/(1+IFERROR(INDEX(AZ$10:AZ$11,Предпосылки!$I$219,),0))*IFERROR(INDEX(AZ$10:AZ$11,Предпосылки!$I$219,),0),AZ479/(1+IFERROR(INDEX(AZ$10:AZ$11,Предпосылки!$I$220,),0))*IFERROR(INDEX(AZ$10:AZ$11,Предпосылки!$I$220,),0))</f>
        <v>0</v>
      </c>
      <c s="125">
        <f>SUM(BA42/(1+IFERROR(INDEX(BA$10:BA$11,Предпосылки!$I$201,),0))*IFERROR(INDEX(BA$10:BA$11,Предпосылки!$I$201,),0),BA65/(1+IFERROR(INDEX(BA$10:BA$11,Предпосылки!$I$202,),0))*IFERROR(INDEX(BA$10:BA$11,Предпосылки!$I$202,),0),BA88/(1+IFERROR(INDEX(BA$10:BA$11,Предпосылки!$I$203,),0))*IFERROR(INDEX(BA$10:BA$11,Предпосылки!$I$203,),0),BA111/(1+IFERROR(INDEX(BA$10:BA$11,Предпосылки!$I$204,),0))*IFERROR(INDEX(BA$10:BA$11,Предпосылки!$I$204,),0),BA134/(1+IFERROR(INDEX(BA$10:BA$11,Предпосылки!$I$205,),0))*IFERROR(INDEX(BA$10:BA$11,Предпосылки!$I$205,),0),BA157/(1+IFERROR(INDEX(BA$10:BA$11,Предпосылки!$I$206,),0))*IFERROR(INDEX(BA$10:BA$11,Предпосылки!$I$206,),0),BA180/(1+IFERROR(INDEX(BA$10:BA$11,Предпосылки!$I$207,),0))*IFERROR(INDEX(BA$10:BA$11,Предпосылки!$I$207,),0),BA203/(1+IFERROR(INDEX(BA$10:BA$11,Предпосылки!$I$208,),0))*IFERROR(INDEX(BA$10:BA$11,Предпосылки!$I$208,),0),BA226/(1+IFERROR(INDEX(BA$10:BA$11,Предпосылки!$I$209,),0))*IFERROR(INDEX(BA$10:BA$11,Предпосылки!$I$209,),0),BA249/(1+IFERROR(INDEX(BA$10:BA$11,Предпосылки!$I$210,),0))*IFERROR(INDEX(BA$10:BA$11,Предпосылки!$I$210,),0),BA272/(1+IFERROR(INDEX(BA$10:BA$11,Предпосылки!$I$211,),0))*IFERROR(INDEX(BA$10:BA$11,Предпосылки!$I$211,),0),BA295/(1+IFERROR(INDEX(BA$10:BA$11,Предпосылки!$I$212,),0))*IFERROR(INDEX(BA$10:BA$11,Предпосылки!$I$212,),0),BA318/(1+IFERROR(INDEX(BA$10:BA$11,Предпосылки!$I$213,),0))*IFERROR(INDEX(BA$10:BA$11,Предпосылки!$I$213,),0),BA341/(1+IFERROR(INDEX(BA$10:BA$11,Предпосылки!$I$214,),0))*IFERROR(INDEX(BA$10:BA$11,Предпосылки!$I$214,),0),BA364/(1+IFERROR(INDEX(BA$10:BA$11,Предпосылки!$I$215,),0))*IFERROR(INDEX(BA$10:BA$11,Предпосылки!$I$215,),0),BA387/(1+IFERROR(INDEX(BA$10:BA$11,Предпосылки!$I$216,),0))*IFERROR(INDEX(BA$10:BA$11,Предпосылки!$I$216,),0),BA410/(1+IFERROR(INDEX(BA$10:BA$11,Предпосылки!$I$217,),0))*IFERROR(INDEX(BA$10:BA$11,Предпосылки!$I$217,),0),BA433/(1+IFERROR(INDEX(BA$10:BA$11,Предпосылки!$I$218,),0))*IFERROR(INDEX(BA$10:BA$11,Предпосылки!$I$218,),0),BA456/(1+IFERROR(INDEX(BA$10:BA$11,Предпосылки!$I$219,),0))*IFERROR(INDEX(BA$10:BA$11,Предпосылки!$I$219,),0),BA479/(1+IFERROR(INDEX(BA$10:BA$11,Предпосылки!$I$220,),0))*IFERROR(INDEX(BA$10:BA$11,Предпосылки!$I$220,),0))</f>
        <v>0</v>
      </c>
      <c s="125">
        <f>SUM(BB42/(1+IFERROR(INDEX(BB$10:BB$11,Предпосылки!$I$201,),0))*IFERROR(INDEX(BB$10:BB$11,Предпосылки!$I$201,),0),BB65/(1+IFERROR(INDEX(BB$10:BB$11,Предпосылки!$I$202,),0))*IFERROR(INDEX(BB$10:BB$11,Предпосылки!$I$202,),0),BB88/(1+IFERROR(INDEX(BB$10:BB$11,Предпосылки!$I$203,),0))*IFERROR(INDEX(BB$10:BB$11,Предпосылки!$I$203,),0),BB111/(1+IFERROR(INDEX(BB$10:BB$11,Предпосылки!$I$204,),0))*IFERROR(INDEX(BB$10:BB$11,Предпосылки!$I$204,),0),BB134/(1+IFERROR(INDEX(BB$10:BB$11,Предпосылки!$I$205,),0))*IFERROR(INDEX(BB$10:BB$11,Предпосылки!$I$205,),0),BB157/(1+IFERROR(INDEX(BB$10:BB$11,Предпосылки!$I$206,),0))*IFERROR(INDEX(BB$10:BB$11,Предпосылки!$I$206,),0),BB180/(1+IFERROR(INDEX(BB$10:BB$11,Предпосылки!$I$207,),0))*IFERROR(INDEX(BB$10:BB$11,Предпосылки!$I$207,),0),BB203/(1+IFERROR(INDEX(BB$10:BB$11,Предпосылки!$I$208,),0))*IFERROR(INDEX(BB$10:BB$11,Предпосылки!$I$208,),0),BB226/(1+IFERROR(INDEX(BB$10:BB$11,Предпосылки!$I$209,),0))*IFERROR(INDEX(BB$10:BB$11,Предпосылки!$I$209,),0),BB249/(1+IFERROR(INDEX(BB$10:BB$11,Предпосылки!$I$210,),0))*IFERROR(INDEX(BB$10:BB$11,Предпосылки!$I$210,),0),BB272/(1+IFERROR(INDEX(BB$10:BB$11,Предпосылки!$I$211,),0))*IFERROR(INDEX(BB$10:BB$11,Предпосылки!$I$211,),0),BB295/(1+IFERROR(INDEX(BB$10:BB$11,Предпосылки!$I$212,),0))*IFERROR(INDEX(BB$10:BB$11,Предпосылки!$I$212,),0),BB318/(1+IFERROR(INDEX(BB$10:BB$11,Предпосылки!$I$213,),0))*IFERROR(INDEX(BB$10:BB$11,Предпосылки!$I$213,),0),BB341/(1+IFERROR(INDEX(BB$10:BB$11,Предпосылки!$I$214,),0))*IFERROR(INDEX(BB$10:BB$11,Предпосылки!$I$214,),0),BB364/(1+IFERROR(INDEX(BB$10:BB$11,Предпосылки!$I$215,),0))*IFERROR(INDEX(BB$10:BB$11,Предпосылки!$I$215,),0),BB387/(1+IFERROR(INDEX(BB$10:BB$11,Предпосылки!$I$216,),0))*IFERROR(INDEX(BB$10:BB$11,Предпосылки!$I$216,),0),BB410/(1+IFERROR(INDEX(BB$10:BB$11,Предпосылки!$I$217,),0))*IFERROR(INDEX(BB$10:BB$11,Предпосылки!$I$217,),0),BB433/(1+IFERROR(INDEX(BB$10:BB$11,Предпосылки!$I$218,),0))*IFERROR(INDEX(BB$10:BB$11,Предпосылки!$I$218,),0),BB456/(1+IFERROR(INDEX(BB$10:BB$11,Предпосылки!$I$219,),0))*IFERROR(INDEX(BB$10:BB$11,Предпосылки!$I$219,),0),BB479/(1+IFERROR(INDEX(BB$10:BB$11,Предпосылки!$I$220,),0))*IFERROR(INDEX(BB$10:BB$11,Предпосылки!$I$220,),0))</f>
        <v>0</v>
      </c>
      <c s="125">
        <f>SUM(BC42/(1+IFERROR(INDEX(BC$10:BC$11,Предпосылки!$I$201,),0))*IFERROR(INDEX(BC$10:BC$11,Предпосылки!$I$201,),0),BC65/(1+IFERROR(INDEX(BC$10:BC$11,Предпосылки!$I$202,),0))*IFERROR(INDEX(BC$10:BC$11,Предпосылки!$I$202,),0),BC88/(1+IFERROR(INDEX(BC$10:BC$11,Предпосылки!$I$203,),0))*IFERROR(INDEX(BC$10:BC$11,Предпосылки!$I$203,),0),BC111/(1+IFERROR(INDEX(BC$10:BC$11,Предпосылки!$I$204,),0))*IFERROR(INDEX(BC$10:BC$11,Предпосылки!$I$204,),0),BC134/(1+IFERROR(INDEX(BC$10:BC$11,Предпосылки!$I$205,),0))*IFERROR(INDEX(BC$10:BC$11,Предпосылки!$I$205,),0),BC157/(1+IFERROR(INDEX(BC$10:BC$11,Предпосылки!$I$206,),0))*IFERROR(INDEX(BC$10:BC$11,Предпосылки!$I$206,),0),BC180/(1+IFERROR(INDEX(BC$10:BC$11,Предпосылки!$I$207,),0))*IFERROR(INDEX(BC$10:BC$11,Предпосылки!$I$207,),0),BC203/(1+IFERROR(INDEX(BC$10:BC$11,Предпосылки!$I$208,),0))*IFERROR(INDEX(BC$10:BC$11,Предпосылки!$I$208,),0),BC226/(1+IFERROR(INDEX(BC$10:BC$11,Предпосылки!$I$209,),0))*IFERROR(INDEX(BC$10:BC$11,Предпосылки!$I$209,),0),BC249/(1+IFERROR(INDEX(BC$10:BC$11,Предпосылки!$I$210,),0))*IFERROR(INDEX(BC$10:BC$11,Предпосылки!$I$210,),0),BC272/(1+IFERROR(INDEX(BC$10:BC$11,Предпосылки!$I$211,),0))*IFERROR(INDEX(BC$10:BC$11,Предпосылки!$I$211,),0),BC295/(1+IFERROR(INDEX(BC$10:BC$11,Предпосылки!$I$212,),0))*IFERROR(INDEX(BC$10:BC$11,Предпосылки!$I$212,),0),BC318/(1+IFERROR(INDEX(BC$10:BC$11,Предпосылки!$I$213,),0))*IFERROR(INDEX(BC$10:BC$11,Предпосылки!$I$213,),0),BC341/(1+IFERROR(INDEX(BC$10:BC$11,Предпосылки!$I$214,),0))*IFERROR(INDEX(BC$10:BC$11,Предпосылки!$I$214,),0),BC364/(1+IFERROR(INDEX(BC$10:BC$11,Предпосылки!$I$215,),0))*IFERROR(INDEX(BC$10:BC$11,Предпосылки!$I$215,),0),BC387/(1+IFERROR(INDEX(BC$10:BC$11,Предпосылки!$I$216,),0))*IFERROR(INDEX(BC$10:BC$11,Предпосылки!$I$216,),0),BC410/(1+IFERROR(INDEX(BC$10:BC$11,Предпосылки!$I$217,),0))*IFERROR(INDEX(BC$10:BC$11,Предпосылки!$I$217,),0),BC433/(1+IFERROR(INDEX(BC$10:BC$11,Предпосылки!$I$218,),0))*IFERROR(INDEX(BC$10:BC$11,Предпосылки!$I$218,),0),BC456/(1+IFERROR(INDEX(BC$10:BC$11,Предпосылки!$I$219,),0))*IFERROR(INDEX(BC$10:BC$11,Предпосылки!$I$219,),0),BC479/(1+IFERROR(INDEX(BC$10:BC$11,Предпосылки!$I$220,),0))*IFERROR(INDEX(BC$10:BC$11,Предпосылки!$I$220,),0))</f>
        <v>0</v>
      </c>
      <c s="125">
        <f>SUM(BD42/(1+IFERROR(INDEX(BD$10:BD$11,Предпосылки!$I$201,),0))*IFERROR(INDEX(BD$10:BD$11,Предпосылки!$I$201,),0),BD65/(1+IFERROR(INDEX(BD$10:BD$11,Предпосылки!$I$202,),0))*IFERROR(INDEX(BD$10:BD$11,Предпосылки!$I$202,),0),BD88/(1+IFERROR(INDEX(BD$10:BD$11,Предпосылки!$I$203,),0))*IFERROR(INDEX(BD$10:BD$11,Предпосылки!$I$203,),0),BD111/(1+IFERROR(INDEX(BD$10:BD$11,Предпосылки!$I$204,),0))*IFERROR(INDEX(BD$10:BD$11,Предпосылки!$I$204,),0),BD134/(1+IFERROR(INDEX(BD$10:BD$11,Предпосылки!$I$205,),0))*IFERROR(INDEX(BD$10:BD$11,Предпосылки!$I$205,),0),BD157/(1+IFERROR(INDEX(BD$10:BD$11,Предпосылки!$I$206,),0))*IFERROR(INDEX(BD$10:BD$11,Предпосылки!$I$206,),0),BD180/(1+IFERROR(INDEX(BD$10:BD$11,Предпосылки!$I$207,),0))*IFERROR(INDEX(BD$10:BD$11,Предпосылки!$I$207,),0),BD203/(1+IFERROR(INDEX(BD$10:BD$11,Предпосылки!$I$208,),0))*IFERROR(INDEX(BD$10:BD$11,Предпосылки!$I$208,),0),BD226/(1+IFERROR(INDEX(BD$10:BD$11,Предпосылки!$I$209,),0))*IFERROR(INDEX(BD$10:BD$11,Предпосылки!$I$209,),0),BD249/(1+IFERROR(INDEX(BD$10:BD$11,Предпосылки!$I$210,),0))*IFERROR(INDEX(BD$10:BD$11,Предпосылки!$I$210,),0),BD272/(1+IFERROR(INDEX(BD$10:BD$11,Предпосылки!$I$211,),0))*IFERROR(INDEX(BD$10:BD$11,Предпосылки!$I$211,),0),BD295/(1+IFERROR(INDEX(BD$10:BD$11,Предпосылки!$I$212,),0))*IFERROR(INDEX(BD$10:BD$11,Предпосылки!$I$212,),0),BD318/(1+IFERROR(INDEX(BD$10:BD$11,Предпосылки!$I$213,),0))*IFERROR(INDEX(BD$10:BD$11,Предпосылки!$I$213,),0),BD341/(1+IFERROR(INDEX(BD$10:BD$11,Предпосылки!$I$214,),0))*IFERROR(INDEX(BD$10:BD$11,Предпосылки!$I$214,),0),BD364/(1+IFERROR(INDEX(BD$10:BD$11,Предпосылки!$I$215,),0))*IFERROR(INDEX(BD$10:BD$11,Предпосылки!$I$215,),0),BD387/(1+IFERROR(INDEX(BD$10:BD$11,Предпосылки!$I$216,),0))*IFERROR(INDEX(BD$10:BD$11,Предпосылки!$I$216,),0),BD410/(1+IFERROR(INDEX(BD$10:BD$11,Предпосылки!$I$217,),0))*IFERROR(INDEX(BD$10:BD$11,Предпосылки!$I$217,),0),BD433/(1+IFERROR(INDEX(BD$10:BD$11,Предпосылки!$I$218,),0))*IFERROR(INDEX(BD$10:BD$11,Предпосылки!$I$218,),0),BD456/(1+IFERROR(INDEX(BD$10:BD$11,Предпосылки!$I$219,),0))*IFERROR(INDEX(BD$10:BD$11,Предпосылки!$I$219,),0),BD479/(1+IFERROR(INDEX(BD$10:BD$11,Предпосылки!$I$220,),0))*IFERROR(INDEX(BD$10:BD$11,Предпосылки!$I$220,),0))</f>
        <v>0</v>
      </c>
      <c s="125">
        <f>SUM(BE42/(1+IFERROR(INDEX(BE$10:BE$11,Предпосылки!$I$201,),0))*IFERROR(INDEX(BE$10:BE$11,Предпосылки!$I$201,),0),BE65/(1+IFERROR(INDEX(BE$10:BE$11,Предпосылки!$I$202,),0))*IFERROR(INDEX(BE$10:BE$11,Предпосылки!$I$202,),0),BE88/(1+IFERROR(INDEX(BE$10:BE$11,Предпосылки!$I$203,),0))*IFERROR(INDEX(BE$10:BE$11,Предпосылки!$I$203,),0),BE111/(1+IFERROR(INDEX(BE$10:BE$11,Предпосылки!$I$204,),0))*IFERROR(INDEX(BE$10:BE$11,Предпосылки!$I$204,),0),BE134/(1+IFERROR(INDEX(BE$10:BE$11,Предпосылки!$I$205,),0))*IFERROR(INDEX(BE$10:BE$11,Предпосылки!$I$205,),0),BE157/(1+IFERROR(INDEX(BE$10:BE$11,Предпосылки!$I$206,),0))*IFERROR(INDEX(BE$10:BE$11,Предпосылки!$I$206,),0),BE180/(1+IFERROR(INDEX(BE$10:BE$11,Предпосылки!$I$207,),0))*IFERROR(INDEX(BE$10:BE$11,Предпосылки!$I$207,),0),BE203/(1+IFERROR(INDEX(BE$10:BE$11,Предпосылки!$I$208,),0))*IFERROR(INDEX(BE$10:BE$11,Предпосылки!$I$208,),0),BE226/(1+IFERROR(INDEX(BE$10:BE$11,Предпосылки!$I$209,),0))*IFERROR(INDEX(BE$10:BE$11,Предпосылки!$I$209,),0),BE249/(1+IFERROR(INDEX(BE$10:BE$11,Предпосылки!$I$210,),0))*IFERROR(INDEX(BE$10:BE$11,Предпосылки!$I$210,),0),BE272/(1+IFERROR(INDEX(BE$10:BE$11,Предпосылки!$I$211,),0))*IFERROR(INDEX(BE$10:BE$11,Предпосылки!$I$211,),0),BE295/(1+IFERROR(INDEX(BE$10:BE$11,Предпосылки!$I$212,),0))*IFERROR(INDEX(BE$10:BE$11,Предпосылки!$I$212,),0),BE318/(1+IFERROR(INDEX(BE$10:BE$11,Предпосылки!$I$213,),0))*IFERROR(INDEX(BE$10:BE$11,Предпосылки!$I$213,),0),BE341/(1+IFERROR(INDEX(BE$10:BE$11,Предпосылки!$I$214,),0))*IFERROR(INDEX(BE$10:BE$11,Предпосылки!$I$214,),0),BE364/(1+IFERROR(INDEX(BE$10:BE$11,Предпосылки!$I$215,),0))*IFERROR(INDEX(BE$10:BE$11,Предпосылки!$I$215,),0),BE387/(1+IFERROR(INDEX(BE$10:BE$11,Предпосылки!$I$216,),0))*IFERROR(INDEX(BE$10:BE$11,Предпосылки!$I$216,),0),BE410/(1+IFERROR(INDEX(BE$10:BE$11,Предпосылки!$I$217,),0))*IFERROR(INDEX(BE$10:BE$11,Предпосылки!$I$217,),0),BE433/(1+IFERROR(INDEX(BE$10:BE$11,Предпосылки!$I$218,),0))*IFERROR(INDEX(BE$10:BE$11,Предпосылки!$I$218,),0),BE456/(1+IFERROR(INDEX(BE$10:BE$11,Предпосылки!$I$219,),0))*IFERROR(INDEX(BE$10:BE$11,Предпосылки!$I$219,),0),BE479/(1+IFERROR(INDEX(BE$10:BE$11,Предпосылки!$I$220,),0))*IFERROR(INDEX(BE$10:BE$11,Предпосылки!$I$220,),0))</f>
        <v>0</v>
      </c>
      <c s="125">
        <f>SUM(BF42/(1+IFERROR(INDEX(BF$10:BF$11,Предпосылки!$I$201,),0))*IFERROR(INDEX(BF$10:BF$11,Предпосылки!$I$201,),0),BF65/(1+IFERROR(INDEX(BF$10:BF$11,Предпосылки!$I$202,),0))*IFERROR(INDEX(BF$10:BF$11,Предпосылки!$I$202,),0),BF88/(1+IFERROR(INDEX(BF$10:BF$11,Предпосылки!$I$203,),0))*IFERROR(INDEX(BF$10:BF$11,Предпосылки!$I$203,),0),BF111/(1+IFERROR(INDEX(BF$10:BF$11,Предпосылки!$I$204,),0))*IFERROR(INDEX(BF$10:BF$11,Предпосылки!$I$204,),0),BF134/(1+IFERROR(INDEX(BF$10:BF$11,Предпосылки!$I$205,),0))*IFERROR(INDEX(BF$10:BF$11,Предпосылки!$I$205,),0),BF157/(1+IFERROR(INDEX(BF$10:BF$11,Предпосылки!$I$206,),0))*IFERROR(INDEX(BF$10:BF$11,Предпосылки!$I$206,),0),BF180/(1+IFERROR(INDEX(BF$10:BF$11,Предпосылки!$I$207,),0))*IFERROR(INDEX(BF$10:BF$11,Предпосылки!$I$207,),0),BF203/(1+IFERROR(INDEX(BF$10:BF$11,Предпосылки!$I$208,),0))*IFERROR(INDEX(BF$10:BF$11,Предпосылки!$I$208,),0),BF226/(1+IFERROR(INDEX(BF$10:BF$11,Предпосылки!$I$209,),0))*IFERROR(INDEX(BF$10:BF$11,Предпосылки!$I$209,),0),BF249/(1+IFERROR(INDEX(BF$10:BF$11,Предпосылки!$I$210,),0))*IFERROR(INDEX(BF$10:BF$11,Предпосылки!$I$210,),0),BF272/(1+IFERROR(INDEX(BF$10:BF$11,Предпосылки!$I$211,),0))*IFERROR(INDEX(BF$10:BF$11,Предпосылки!$I$211,),0),BF295/(1+IFERROR(INDEX(BF$10:BF$11,Предпосылки!$I$212,),0))*IFERROR(INDEX(BF$10:BF$11,Предпосылки!$I$212,),0),BF318/(1+IFERROR(INDEX(BF$10:BF$11,Предпосылки!$I$213,),0))*IFERROR(INDEX(BF$10:BF$11,Предпосылки!$I$213,),0),BF341/(1+IFERROR(INDEX(BF$10:BF$11,Предпосылки!$I$214,),0))*IFERROR(INDEX(BF$10:BF$11,Предпосылки!$I$214,),0),BF364/(1+IFERROR(INDEX(BF$10:BF$11,Предпосылки!$I$215,),0))*IFERROR(INDEX(BF$10:BF$11,Предпосылки!$I$215,),0),BF387/(1+IFERROR(INDEX(BF$10:BF$11,Предпосылки!$I$216,),0))*IFERROR(INDEX(BF$10:BF$11,Предпосылки!$I$216,),0),BF410/(1+IFERROR(INDEX(BF$10:BF$11,Предпосылки!$I$217,),0))*IFERROR(INDEX(BF$10:BF$11,Предпосылки!$I$217,),0),BF433/(1+IFERROR(INDEX(BF$10:BF$11,Предпосылки!$I$218,),0))*IFERROR(INDEX(BF$10:BF$11,Предпосылки!$I$218,),0),BF456/(1+IFERROR(INDEX(BF$10:BF$11,Предпосылки!$I$219,),0))*IFERROR(INDEX(BF$10:BF$11,Предпосылки!$I$219,),0),BF479/(1+IFERROR(INDEX(BF$10:BF$11,Предпосылки!$I$220,),0))*IFERROR(INDEX(BF$10:BF$11,Предпосылки!$I$220,),0))</f>
        <v>0</v>
      </c>
      <c s="125">
        <f>SUM(BG42/(1+IFERROR(INDEX(BG$10:BG$11,Предпосылки!$I$201,),0))*IFERROR(INDEX(BG$10:BG$11,Предпосылки!$I$201,),0),BG65/(1+IFERROR(INDEX(BG$10:BG$11,Предпосылки!$I$202,),0))*IFERROR(INDEX(BG$10:BG$11,Предпосылки!$I$202,),0),BG88/(1+IFERROR(INDEX(BG$10:BG$11,Предпосылки!$I$203,),0))*IFERROR(INDEX(BG$10:BG$11,Предпосылки!$I$203,),0),BG111/(1+IFERROR(INDEX(BG$10:BG$11,Предпосылки!$I$204,),0))*IFERROR(INDEX(BG$10:BG$11,Предпосылки!$I$204,),0),BG134/(1+IFERROR(INDEX(BG$10:BG$11,Предпосылки!$I$205,),0))*IFERROR(INDEX(BG$10:BG$11,Предпосылки!$I$205,),0),BG157/(1+IFERROR(INDEX(BG$10:BG$11,Предпосылки!$I$206,),0))*IFERROR(INDEX(BG$10:BG$11,Предпосылки!$I$206,),0),BG180/(1+IFERROR(INDEX(BG$10:BG$11,Предпосылки!$I$207,),0))*IFERROR(INDEX(BG$10:BG$11,Предпосылки!$I$207,),0),BG203/(1+IFERROR(INDEX(BG$10:BG$11,Предпосылки!$I$208,),0))*IFERROR(INDEX(BG$10:BG$11,Предпосылки!$I$208,),0),BG226/(1+IFERROR(INDEX(BG$10:BG$11,Предпосылки!$I$209,),0))*IFERROR(INDEX(BG$10:BG$11,Предпосылки!$I$209,),0),BG249/(1+IFERROR(INDEX(BG$10:BG$11,Предпосылки!$I$210,),0))*IFERROR(INDEX(BG$10:BG$11,Предпосылки!$I$210,),0),BG272/(1+IFERROR(INDEX(BG$10:BG$11,Предпосылки!$I$211,),0))*IFERROR(INDEX(BG$10:BG$11,Предпосылки!$I$211,),0),BG295/(1+IFERROR(INDEX(BG$10:BG$11,Предпосылки!$I$212,),0))*IFERROR(INDEX(BG$10:BG$11,Предпосылки!$I$212,),0),BG318/(1+IFERROR(INDEX(BG$10:BG$11,Предпосылки!$I$213,),0))*IFERROR(INDEX(BG$10:BG$11,Предпосылки!$I$213,),0),BG341/(1+IFERROR(INDEX(BG$10:BG$11,Предпосылки!$I$214,),0))*IFERROR(INDEX(BG$10:BG$11,Предпосылки!$I$214,),0),BG364/(1+IFERROR(INDEX(BG$10:BG$11,Предпосылки!$I$215,),0))*IFERROR(INDEX(BG$10:BG$11,Предпосылки!$I$215,),0),BG387/(1+IFERROR(INDEX(BG$10:BG$11,Предпосылки!$I$216,),0))*IFERROR(INDEX(BG$10:BG$11,Предпосылки!$I$216,),0),BG410/(1+IFERROR(INDEX(BG$10:BG$11,Предпосылки!$I$217,),0))*IFERROR(INDEX(BG$10:BG$11,Предпосылки!$I$217,),0),BG433/(1+IFERROR(INDEX(BG$10:BG$11,Предпосылки!$I$218,),0))*IFERROR(INDEX(BG$10:BG$11,Предпосылки!$I$218,),0),BG456/(1+IFERROR(INDEX(BG$10:BG$11,Предпосылки!$I$219,),0))*IFERROR(INDEX(BG$10:BG$11,Предпосылки!$I$219,),0),BG479/(1+IFERROR(INDEX(BG$10:BG$11,Предпосылки!$I$220,),0))*IFERROR(INDEX(BG$10:BG$11,Предпосылки!$I$220,),0))</f>
        <v>0</v>
      </c>
      <c s="125">
        <f>SUM(BH42/(1+IFERROR(INDEX(BH$10:BH$11,Предпосылки!$I$201,),0))*IFERROR(INDEX(BH$10:BH$11,Предпосылки!$I$201,),0),BH65/(1+IFERROR(INDEX(BH$10:BH$11,Предпосылки!$I$202,),0))*IFERROR(INDEX(BH$10:BH$11,Предпосылки!$I$202,),0),BH88/(1+IFERROR(INDEX(BH$10:BH$11,Предпосылки!$I$203,),0))*IFERROR(INDEX(BH$10:BH$11,Предпосылки!$I$203,),0),BH111/(1+IFERROR(INDEX(BH$10:BH$11,Предпосылки!$I$204,),0))*IFERROR(INDEX(BH$10:BH$11,Предпосылки!$I$204,),0),BH134/(1+IFERROR(INDEX(BH$10:BH$11,Предпосылки!$I$205,),0))*IFERROR(INDEX(BH$10:BH$11,Предпосылки!$I$205,),0),BH157/(1+IFERROR(INDEX(BH$10:BH$11,Предпосылки!$I$206,),0))*IFERROR(INDEX(BH$10:BH$11,Предпосылки!$I$206,),0),BH180/(1+IFERROR(INDEX(BH$10:BH$11,Предпосылки!$I$207,),0))*IFERROR(INDEX(BH$10:BH$11,Предпосылки!$I$207,),0),BH203/(1+IFERROR(INDEX(BH$10:BH$11,Предпосылки!$I$208,),0))*IFERROR(INDEX(BH$10:BH$11,Предпосылки!$I$208,),0),BH226/(1+IFERROR(INDEX(BH$10:BH$11,Предпосылки!$I$209,),0))*IFERROR(INDEX(BH$10:BH$11,Предпосылки!$I$209,),0),BH249/(1+IFERROR(INDEX(BH$10:BH$11,Предпосылки!$I$210,),0))*IFERROR(INDEX(BH$10:BH$11,Предпосылки!$I$210,),0),BH272/(1+IFERROR(INDEX(BH$10:BH$11,Предпосылки!$I$211,),0))*IFERROR(INDEX(BH$10:BH$11,Предпосылки!$I$211,),0),BH295/(1+IFERROR(INDEX(BH$10:BH$11,Предпосылки!$I$212,),0))*IFERROR(INDEX(BH$10:BH$11,Предпосылки!$I$212,),0),BH318/(1+IFERROR(INDEX(BH$10:BH$11,Предпосылки!$I$213,),0))*IFERROR(INDEX(BH$10:BH$11,Предпосылки!$I$213,),0),BH341/(1+IFERROR(INDEX(BH$10:BH$11,Предпосылки!$I$214,),0))*IFERROR(INDEX(BH$10:BH$11,Предпосылки!$I$214,),0),BH364/(1+IFERROR(INDEX(BH$10:BH$11,Предпосылки!$I$215,),0))*IFERROR(INDEX(BH$10:BH$11,Предпосылки!$I$215,),0),BH387/(1+IFERROR(INDEX(BH$10:BH$11,Предпосылки!$I$216,),0))*IFERROR(INDEX(BH$10:BH$11,Предпосылки!$I$216,),0),BH410/(1+IFERROR(INDEX(BH$10:BH$11,Предпосылки!$I$217,),0))*IFERROR(INDEX(BH$10:BH$11,Предпосылки!$I$217,),0),BH433/(1+IFERROR(INDEX(BH$10:BH$11,Предпосылки!$I$218,),0))*IFERROR(INDEX(BH$10:BH$11,Предпосылки!$I$218,),0),BH456/(1+IFERROR(INDEX(BH$10:BH$11,Предпосылки!$I$219,),0))*IFERROR(INDEX(BH$10:BH$11,Предпосылки!$I$219,),0),BH479/(1+IFERROR(INDEX(BH$10:BH$11,Предпосылки!$I$220,),0))*IFERROR(INDEX(BH$10:BH$11,Предпосылки!$I$220,),0))</f>
        <v>0</v>
      </c>
      <c s="125">
        <f>SUM(BI42/(1+IFERROR(INDEX(BI$10:BI$11,Предпосылки!$I$201,),0))*IFERROR(INDEX(BI$10:BI$11,Предпосылки!$I$201,),0),BI65/(1+IFERROR(INDEX(BI$10:BI$11,Предпосылки!$I$202,),0))*IFERROR(INDEX(BI$10:BI$11,Предпосылки!$I$202,),0),BI88/(1+IFERROR(INDEX(BI$10:BI$11,Предпосылки!$I$203,),0))*IFERROR(INDEX(BI$10:BI$11,Предпосылки!$I$203,),0),BI111/(1+IFERROR(INDEX(BI$10:BI$11,Предпосылки!$I$204,),0))*IFERROR(INDEX(BI$10:BI$11,Предпосылки!$I$204,),0),BI134/(1+IFERROR(INDEX(BI$10:BI$11,Предпосылки!$I$205,),0))*IFERROR(INDEX(BI$10:BI$11,Предпосылки!$I$205,),0),BI157/(1+IFERROR(INDEX(BI$10:BI$11,Предпосылки!$I$206,),0))*IFERROR(INDEX(BI$10:BI$11,Предпосылки!$I$206,),0),BI180/(1+IFERROR(INDEX(BI$10:BI$11,Предпосылки!$I$207,),0))*IFERROR(INDEX(BI$10:BI$11,Предпосылки!$I$207,),0),BI203/(1+IFERROR(INDEX(BI$10:BI$11,Предпосылки!$I$208,),0))*IFERROR(INDEX(BI$10:BI$11,Предпосылки!$I$208,),0),BI226/(1+IFERROR(INDEX(BI$10:BI$11,Предпосылки!$I$209,),0))*IFERROR(INDEX(BI$10:BI$11,Предпосылки!$I$209,),0),BI249/(1+IFERROR(INDEX(BI$10:BI$11,Предпосылки!$I$210,),0))*IFERROR(INDEX(BI$10:BI$11,Предпосылки!$I$210,),0),BI272/(1+IFERROR(INDEX(BI$10:BI$11,Предпосылки!$I$211,),0))*IFERROR(INDEX(BI$10:BI$11,Предпосылки!$I$211,),0),BI295/(1+IFERROR(INDEX(BI$10:BI$11,Предпосылки!$I$212,),0))*IFERROR(INDEX(BI$10:BI$11,Предпосылки!$I$212,),0),BI318/(1+IFERROR(INDEX(BI$10:BI$11,Предпосылки!$I$213,),0))*IFERROR(INDEX(BI$10:BI$11,Предпосылки!$I$213,),0),BI341/(1+IFERROR(INDEX(BI$10:BI$11,Предпосылки!$I$214,),0))*IFERROR(INDEX(BI$10:BI$11,Предпосылки!$I$214,),0),BI364/(1+IFERROR(INDEX(BI$10:BI$11,Предпосылки!$I$215,),0))*IFERROR(INDEX(BI$10:BI$11,Предпосылки!$I$215,),0),BI387/(1+IFERROR(INDEX(BI$10:BI$11,Предпосылки!$I$216,),0))*IFERROR(INDEX(BI$10:BI$11,Предпосылки!$I$216,),0),BI410/(1+IFERROR(INDEX(BI$10:BI$11,Предпосылки!$I$217,),0))*IFERROR(INDEX(BI$10:BI$11,Предпосылки!$I$217,),0),BI433/(1+IFERROR(INDEX(BI$10:BI$11,Предпосылки!$I$218,),0))*IFERROR(INDEX(BI$10:BI$11,Предпосылки!$I$218,),0),BI456/(1+IFERROR(INDEX(BI$10:BI$11,Предпосылки!$I$219,),0))*IFERROR(INDEX(BI$10:BI$11,Предпосылки!$I$219,),0),BI479/(1+IFERROR(INDEX(BI$10:BI$11,Предпосылки!$I$220,),0))*IFERROR(INDEX(BI$10:BI$11,Предпосылки!$I$220,),0))</f>
        <v>0</v>
      </c>
      <c s="125">
        <f>SUM(BJ42/(1+IFERROR(INDEX(BJ$10:BJ$11,Предпосылки!$I$201,),0))*IFERROR(INDEX(BJ$10:BJ$11,Предпосылки!$I$201,),0),BJ65/(1+IFERROR(INDEX(BJ$10:BJ$11,Предпосылки!$I$202,),0))*IFERROR(INDEX(BJ$10:BJ$11,Предпосылки!$I$202,),0),BJ88/(1+IFERROR(INDEX(BJ$10:BJ$11,Предпосылки!$I$203,),0))*IFERROR(INDEX(BJ$10:BJ$11,Предпосылки!$I$203,),0),BJ111/(1+IFERROR(INDEX(BJ$10:BJ$11,Предпосылки!$I$204,),0))*IFERROR(INDEX(BJ$10:BJ$11,Предпосылки!$I$204,),0),BJ134/(1+IFERROR(INDEX(BJ$10:BJ$11,Предпосылки!$I$205,),0))*IFERROR(INDEX(BJ$10:BJ$11,Предпосылки!$I$205,),0),BJ157/(1+IFERROR(INDEX(BJ$10:BJ$11,Предпосылки!$I$206,),0))*IFERROR(INDEX(BJ$10:BJ$11,Предпосылки!$I$206,),0),BJ180/(1+IFERROR(INDEX(BJ$10:BJ$11,Предпосылки!$I$207,),0))*IFERROR(INDEX(BJ$10:BJ$11,Предпосылки!$I$207,),0),BJ203/(1+IFERROR(INDEX(BJ$10:BJ$11,Предпосылки!$I$208,),0))*IFERROR(INDEX(BJ$10:BJ$11,Предпосылки!$I$208,),0),BJ226/(1+IFERROR(INDEX(BJ$10:BJ$11,Предпосылки!$I$209,),0))*IFERROR(INDEX(BJ$10:BJ$11,Предпосылки!$I$209,),0),BJ249/(1+IFERROR(INDEX(BJ$10:BJ$11,Предпосылки!$I$210,),0))*IFERROR(INDEX(BJ$10:BJ$11,Предпосылки!$I$210,),0),BJ272/(1+IFERROR(INDEX(BJ$10:BJ$11,Предпосылки!$I$211,),0))*IFERROR(INDEX(BJ$10:BJ$11,Предпосылки!$I$211,),0),BJ295/(1+IFERROR(INDEX(BJ$10:BJ$11,Предпосылки!$I$212,),0))*IFERROR(INDEX(BJ$10:BJ$11,Предпосылки!$I$212,),0),BJ318/(1+IFERROR(INDEX(BJ$10:BJ$11,Предпосылки!$I$213,),0))*IFERROR(INDEX(BJ$10:BJ$11,Предпосылки!$I$213,),0),BJ341/(1+IFERROR(INDEX(BJ$10:BJ$11,Предпосылки!$I$214,),0))*IFERROR(INDEX(BJ$10:BJ$11,Предпосылки!$I$214,),0),BJ364/(1+IFERROR(INDEX(BJ$10:BJ$11,Предпосылки!$I$215,),0))*IFERROR(INDEX(BJ$10:BJ$11,Предпосылки!$I$215,),0),BJ387/(1+IFERROR(INDEX(BJ$10:BJ$11,Предпосылки!$I$216,),0))*IFERROR(INDEX(BJ$10:BJ$11,Предпосылки!$I$216,),0),BJ410/(1+IFERROR(INDEX(BJ$10:BJ$11,Предпосылки!$I$217,),0))*IFERROR(INDEX(BJ$10:BJ$11,Предпосылки!$I$217,),0),BJ433/(1+IFERROR(INDEX(BJ$10:BJ$11,Предпосылки!$I$218,),0))*IFERROR(INDEX(BJ$10:BJ$11,Предпосылки!$I$218,),0),BJ456/(1+IFERROR(INDEX(BJ$10:BJ$11,Предпосылки!$I$219,),0))*IFERROR(INDEX(BJ$10:BJ$11,Предпосылки!$I$219,),0),BJ479/(1+IFERROR(INDEX(BJ$10:BJ$11,Предпосылки!$I$220,),0))*IFERROR(INDEX(BJ$10:BJ$11,Предпосылки!$I$220,),0))</f>
        <v>0</v>
      </c>
      <c s="125">
        <f>SUM(BK42/(1+IFERROR(INDEX(BK$10:BK$11,Предпосылки!$I$201,),0))*IFERROR(INDEX(BK$10:BK$11,Предпосылки!$I$201,),0),BK65/(1+IFERROR(INDEX(BK$10:BK$11,Предпосылки!$I$202,),0))*IFERROR(INDEX(BK$10:BK$11,Предпосылки!$I$202,),0),BK88/(1+IFERROR(INDEX(BK$10:BK$11,Предпосылки!$I$203,),0))*IFERROR(INDEX(BK$10:BK$11,Предпосылки!$I$203,),0),BK111/(1+IFERROR(INDEX(BK$10:BK$11,Предпосылки!$I$204,),0))*IFERROR(INDEX(BK$10:BK$11,Предпосылки!$I$204,),0),BK134/(1+IFERROR(INDEX(BK$10:BK$11,Предпосылки!$I$205,),0))*IFERROR(INDEX(BK$10:BK$11,Предпосылки!$I$205,),0),BK157/(1+IFERROR(INDEX(BK$10:BK$11,Предпосылки!$I$206,),0))*IFERROR(INDEX(BK$10:BK$11,Предпосылки!$I$206,),0),BK180/(1+IFERROR(INDEX(BK$10:BK$11,Предпосылки!$I$207,),0))*IFERROR(INDEX(BK$10:BK$11,Предпосылки!$I$207,),0),BK203/(1+IFERROR(INDEX(BK$10:BK$11,Предпосылки!$I$208,),0))*IFERROR(INDEX(BK$10:BK$11,Предпосылки!$I$208,),0),BK226/(1+IFERROR(INDEX(BK$10:BK$11,Предпосылки!$I$209,),0))*IFERROR(INDEX(BK$10:BK$11,Предпосылки!$I$209,),0),BK249/(1+IFERROR(INDEX(BK$10:BK$11,Предпосылки!$I$210,),0))*IFERROR(INDEX(BK$10:BK$11,Предпосылки!$I$210,),0),BK272/(1+IFERROR(INDEX(BK$10:BK$11,Предпосылки!$I$211,),0))*IFERROR(INDEX(BK$10:BK$11,Предпосылки!$I$211,),0),BK295/(1+IFERROR(INDEX(BK$10:BK$11,Предпосылки!$I$212,),0))*IFERROR(INDEX(BK$10:BK$11,Предпосылки!$I$212,),0),BK318/(1+IFERROR(INDEX(BK$10:BK$11,Предпосылки!$I$213,),0))*IFERROR(INDEX(BK$10:BK$11,Предпосылки!$I$213,),0),BK341/(1+IFERROR(INDEX(BK$10:BK$11,Предпосылки!$I$214,),0))*IFERROR(INDEX(BK$10:BK$11,Предпосылки!$I$214,),0),BK364/(1+IFERROR(INDEX(BK$10:BK$11,Предпосылки!$I$215,),0))*IFERROR(INDEX(BK$10:BK$11,Предпосылки!$I$215,),0),BK387/(1+IFERROR(INDEX(BK$10:BK$11,Предпосылки!$I$216,),0))*IFERROR(INDEX(BK$10:BK$11,Предпосылки!$I$216,),0),BK410/(1+IFERROR(INDEX(BK$10:BK$11,Предпосылки!$I$217,),0))*IFERROR(INDEX(BK$10:BK$11,Предпосылки!$I$217,),0),BK433/(1+IFERROR(INDEX(BK$10:BK$11,Предпосылки!$I$218,),0))*IFERROR(INDEX(BK$10:BK$11,Предпосылки!$I$218,),0),BK456/(1+IFERROR(INDEX(BK$10:BK$11,Предпосылки!$I$219,),0))*IFERROR(INDEX(BK$10:BK$11,Предпосылки!$I$219,),0),BK479/(1+IFERROR(INDEX(BK$10:BK$11,Предпосылки!$I$220,),0))*IFERROR(INDEX(BK$10:BK$11,Предпосылки!$I$220,),0))</f>
        <v>0</v>
      </c>
      <c s="125">
        <f>SUM(BL42/(1+IFERROR(INDEX(BL$10:BL$11,Предпосылки!$I$201,),0))*IFERROR(INDEX(BL$10:BL$11,Предпосылки!$I$201,),0),BL65/(1+IFERROR(INDEX(BL$10:BL$11,Предпосылки!$I$202,),0))*IFERROR(INDEX(BL$10:BL$11,Предпосылки!$I$202,),0),BL88/(1+IFERROR(INDEX(BL$10:BL$11,Предпосылки!$I$203,),0))*IFERROR(INDEX(BL$10:BL$11,Предпосылки!$I$203,),0),BL111/(1+IFERROR(INDEX(BL$10:BL$11,Предпосылки!$I$204,),0))*IFERROR(INDEX(BL$10:BL$11,Предпосылки!$I$204,),0),BL134/(1+IFERROR(INDEX(BL$10:BL$11,Предпосылки!$I$205,),0))*IFERROR(INDEX(BL$10:BL$11,Предпосылки!$I$205,),0),BL157/(1+IFERROR(INDEX(BL$10:BL$11,Предпосылки!$I$206,),0))*IFERROR(INDEX(BL$10:BL$11,Предпосылки!$I$206,),0),BL180/(1+IFERROR(INDEX(BL$10:BL$11,Предпосылки!$I$207,),0))*IFERROR(INDEX(BL$10:BL$11,Предпосылки!$I$207,),0),BL203/(1+IFERROR(INDEX(BL$10:BL$11,Предпосылки!$I$208,),0))*IFERROR(INDEX(BL$10:BL$11,Предпосылки!$I$208,),0),BL226/(1+IFERROR(INDEX(BL$10:BL$11,Предпосылки!$I$209,),0))*IFERROR(INDEX(BL$10:BL$11,Предпосылки!$I$209,),0),BL249/(1+IFERROR(INDEX(BL$10:BL$11,Предпосылки!$I$210,),0))*IFERROR(INDEX(BL$10:BL$11,Предпосылки!$I$210,),0),BL272/(1+IFERROR(INDEX(BL$10:BL$11,Предпосылки!$I$211,),0))*IFERROR(INDEX(BL$10:BL$11,Предпосылки!$I$211,),0),BL295/(1+IFERROR(INDEX(BL$10:BL$11,Предпосылки!$I$212,),0))*IFERROR(INDEX(BL$10:BL$11,Предпосылки!$I$212,),0),BL318/(1+IFERROR(INDEX(BL$10:BL$11,Предпосылки!$I$213,),0))*IFERROR(INDEX(BL$10:BL$11,Предпосылки!$I$213,),0),BL341/(1+IFERROR(INDEX(BL$10:BL$11,Предпосылки!$I$214,),0))*IFERROR(INDEX(BL$10:BL$11,Предпосылки!$I$214,),0),BL364/(1+IFERROR(INDEX(BL$10:BL$11,Предпосылки!$I$215,),0))*IFERROR(INDEX(BL$10:BL$11,Предпосылки!$I$215,),0),BL387/(1+IFERROR(INDEX(BL$10:BL$11,Предпосылки!$I$216,),0))*IFERROR(INDEX(BL$10:BL$11,Предпосылки!$I$216,),0),BL410/(1+IFERROR(INDEX(BL$10:BL$11,Предпосылки!$I$217,),0))*IFERROR(INDEX(BL$10:BL$11,Предпосылки!$I$217,),0),BL433/(1+IFERROR(INDEX(BL$10:BL$11,Предпосылки!$I$218,),0))*IFERROR(INDEX(BL$10:BL$11,Предпосылки!$I$218,),0),BL456/(1+IFERROR(INDEX(BL$10:BL$11,Предпосылки!$I$219,),0))*IFERROR(INDEX(BL$10:BL$11,Предпосылки!$I$219,),0),BL479/(1+IFERROR(INDEX(BL$10:BL$11,Предпосылки!$I$220,),0))*IFERROR(INDEX(BL$10:BL$11,Предпосылки!$I$220,),0))</f>
        <v>0</v>
      </c>
      <c s="125">
        <f>SUM(BM42/(1+IFERROR(INDEX(BM$10:BM$11,Предпосылки!$I$201,),0))*IFERROR(INDEX(BM$10:BM$11,Предпосылки!$I$201,),0),BM65/(1+IFERROR(INDEX(BM$10:BM$11,Предпосылки!$I$202,),0))*IFERROR(INDEX(BM$10:BM$11,Предпосылки!$I$202,),0),BM88/(1+IFERROR(INDEX(BM$10:BM$11,Предпосылки!$I$203,),0))*IFERROR(INDEX(BM$10:BM$11,Предпосылки!$I$203,),0),BM111/(1+IFERROR(INDEX(BM$10:BM$11,Предпосылки!$I$204,),0))*IFERROR(INDEX(BM$10:BM$11,Предпосылки!$I$204,),0),BM134/(1+IFERROR(INDEX(BM$10:BM$11,Предпосылки!$I$205,),0))*IFERROR(INDEX(BM$10:BM$11,Предпосылки!$I$205,),0),BM157/(1+IFERROR(INDEX(BM$10:BM$11,Предпосылки!$I$206,),0))*IFERROR(INDEX(BM$10:BM$11,Предпосылки!$I$206,),0),BM180/(1+IFERROR(INDEX(BM$10:BM$11,Предпосылки!$I$207,),0))*IFERROR(INDEX(BM$10:BM$11,Предпосылки!$I$207,),0),BM203/(1+IFERROR(INDEX(BM$10:BM$11,Предпосылки!$I$208,),0))*IFERROR(INDEX(BM$10:BM$11,Предпосылки!$I$208,),0),BM226/(1+IFERROR(INDEX(BM$10:BM$11,Предпосылки!$I$209,),0))*IFERROR(INDEX(BM$10:BM$11,Предпосылки!$I$209,),0),BM249/(1+IFERROR(INDEX(BM$10:BM$11,Предпосылки!$I$210,),0))*IFERROR(INDEX(BM$10:BM$11,Предпосылки!$I$210,),0),BM272/(1+IFERROR(INDEX(BM$10:BM$11,Предпосылки!$I$211,),0))*IFERROR(INDEX(BM$10:BM$11,Предпосылки!$I$211,),0),BM295/(1+IFERROR(INDEX(BM$10:BM$11,Предпосылки!$I$212,),0))*IFERROR(INDEX(BM$10:BM$11,Предпосылки!$I$212,),0),BM318/(1+IFERROR(INDEX(BM$10:BM$11,Предпосылки!$I$213,),0))*IFERROR(INDEX(BM$10:BM$11,Предпосылки!$I$213,),0),BM341/(1+IFERROR(INDEX(BM$10:BM$11,Предпосылки!$I$214,),0))*IFERROR(INDEX(BM$10:BM$11,Предпосылки!$I$214,),0),BM364/(1+IFERROR(INDEX(BM$10:BM$11,Предпосылки!$I$215,),0))*IFERROR(INDEX(BM$10:BM$11,Предпосылки!$I$215,),0),BM387/(1+IFERROR(INDEX(BM$10:BM$11,Предпосылки!$I$216,),0))*IFERROR(INDEX(BM$10:BM$11,Предпосылки!$I$216,),0),BM410/(1+IFERROR(INDEX(BM$10:BM$11,Предпосылки!$I$217,),0))*IFERROR(INDEX(BM$10:BM$11,Предпосылки!$I$217,),0),BM433/(1+IFERROR(INDEX(BM$10:BM$11,Предпосылки!$I$218,),0))*IFERROR(INDEX(BM$10:BM$11,Предпосылки!$I$218,),0),BM456/(1+IFERROR(INDEX(BM$10:BM$11,Предпосылки!$I$219,),0))*IFERROR(INDEX(BM$10:BM$11,Предпосылки!$I$219,),0),BM479/(1+IFERROR(INDEX(BM$10:BM$11,Предпосылки!$I$220,),0))*IFERROR(INDEX(BM$10:BM$11,Предпосылки!$I$220,),0))</f>
        <v>0</v>
      </c>
    </row>
    <row r="574" spans="2:65" ht="15" customHeight="1">
      <c r="B574" s="289" t="s">
        <v>454</v>
      </c>
      <c s="290" t="str">
        <f>Единица_измерения</f>
        <v>тыс. руб.</v>
      </c>
      <c s="291">
        <f>SUM(D554:D573)</f>
        <v>0</v>
      </c>
      <c s="276">
        <f>SUM(E554:E573)</f>
        <v>0</v>
      </c>
      <c s="276">
        <f t="shared" si="257" ref="F574:AG574">SUM(F554:F573)</f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7"/>
        <v>0</v>
      </c>
      <c s="276">
        <f t="shared" si="258" ref="AH574:BM574">SUM(AH554:AH573)</f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  <c s="276">
        <f t="shared" si="258"/>
        <v>0</v>
      </c>
    </row>
    <row r="575" ht="15" customHeight="1"/>
    <row r="576" spans="2:2" ht="15" customHeight="1">
      <c r="B576" s="24" t="s">
        <v>862</v>
      </c>
    </row>
    <row r="577" spans="2:69" ht="14.45">
      <c r="B577" s="25" t="s">
        <v>859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78" spans="2:65" ht="15" customHeight="1">
      <c r="B578" s="12" t="str">
        <f t="shared" si="259" ref="B578:B597">B531</f>
        <v>Операционные затраты 1</v>
      </c>
      <c s="124" t="str">
        <f t="shared" si="260" ref="C578:C598">Единица_измерения</f>
        <v>тыс. руб.</v>
      </c>
      <c s="276">
        <f>SUM(E578:BM578)</f>
        <v>0</v>
      </c>
      <c s="125">
        <f t="shared" si="261" ref="E578:AG578">E484-E531</f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1"/>
        <v>0</v>
      </c>
      <c s="125">
        <f t="shared" si="262" ref="AH578:BM578">AH484-AH531</f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  <c s="125">
        <f t="shared" si="262"/>
        <v>0</v>
      </c>
    </row>
    <row r="579" spans="2:65" ht="15" customHeight="1">
      <c r="B579" s="12" t="str">
        <f t="shared" si="259"/>
        <v>Операционные затраты 2</v>
      </c>
      <c s="124" t="str">
        <f t="shared" si="260"/>
        <v>тыс. руб.</v>
      </c>
      <c s="276">
        <f t="shared" si="263" ref="D579:D597">SUM(E579:BM579)</f>
        <v>0</v>
      </c>
      <c s="125">
        <f t="shared" si="264" ref="E579:AG579">E485-E532</f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4"/>
        <v>0</v>
      </c>
      <c s="125">
        <f t="shared" si="265" ref="AH579:BM579">AH485-AH532</f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  <c s="125">
        <f t="shared" si="265"/>
        <v>0</v>
      </c>
    </row>
    <row r="580" spans="2:65" ht="15" customHeight="1">
      <c r="B580" s="12" t="str">
        <f t="shared" si="259"/>
        <v>Операционные затраты 3</v>
      </c>
      <c s="124" t="str">
        <f t="shared" si="260"/>
        <v>тыс. руб.</v>
      </c>
      <c s="276">
        <f t="shared" si="263"/>
        <v>0</v>
      </c>
      <c s="125">
        <f t="shared" si="266" ref="E580:AG580">E486-E533</f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6"/>
        <v>0</v>
      </c>
      <c s="125">
        <f t="shared" si="267" ref="AH580:BM580">AH486-AH533</f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  <c s="125">
        <f t="shared" si="267"/>
        <v>0</v>
      </c>
    </row>
    <row r="581" spans="2:65" ht="15" customHeight="1">
      <c r="B581" s="12" t="str">
        <f t="shared" si="259"/>
        <v>Операционные затраты 4</v>
      </c>
      <c s="124" t="str">
        <f t="shared" si="260"/>
        <v>тыс. руб.</v>
      </c>
      <c s="276">
        <f t="shared" si="263"/>
        <v>0</v>
      </c>
      <c s="125">
        <f t="shared" si="268" ref="E581:AG581">E487-E534</f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8"/>
        <v>0</v>
      </c>
      <c s="125">
        <f t="shared" si="269" ref="AH581:BM581">AH487-AH534</f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  <c s="125">
        <f t="shared" si="269"/>
        <v>0</v>
      </c>
    </row>
    <row r="582" spans="2:65" ht="15" customHeight="1">
      <c r="B582" s="12" t="str">
        <f t="shared" si="259"/>
        <v>Операционные затраты 5</v>
      </c>
      <c s="124" t="str">
        <f t="shared" si="260"/>
        <v>тыс. руб.</v>
      </c>
      <c s="276">
        <f t="shared" si="263"/>
        <v>0</v>
      </c>
      <c s="125">
        <f t="shared" si="270" ref="E582:AG582">E488-E535</f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0"/>
        <v>0</v>
      </c>
      <c s="125">
        <f t="shared" si="271" ref="AH582:BM582">AH488-AH535</f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  <c s="125">
        <f t="shared" si="271"/>
        <v>0</v>
      </c>
    </row>
    <row r="583" spans="2:65" ht="15" customHeight="1">
      <c r="B583" s="12" t="str">
        <f t="shared" si="259"/>
        <v>Операционные затраты 6</v>
      </c>
      <c s="124" t="str">
        <f t="shared" si="260"/>
        <v>тыс. руб.</v>
      </c>
      <c s="276">
        <f t="shared" si="263"/>
        <v>0</v>
      </c>
      <c s="125">
        <f t="shared" si="272" ref="E583:AG583">E489-E536</f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2"/>
        <v>0</v>
      </c>
      <c s="125">
        <f t="shared" si="273" ref="AH583:BM583">AH489-AH536</f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</row>
    <row r="584" spans="2:65" ht="15" customHeight="1">
      <c r="B584" s="12" t="str">
        <f t="shared" si="259"/>
        <v>Операционные затраты 7</v>
      </c>
      <c s="124" t="str">
        <f t="shared" si="260"/>
        <v>тыс. руб.</v>
      </c>
      <c s="276">
        <f t="shared" si="263"/>
        <v>0</v>
      </c>
      <c s="125">
        <f t="shared" si="274" ref="E584:AG584">E490-E537</f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4"/>
        <v>0</v>
      </c>
      <c s="125">
        <f t="shared" si="275" ref="AH584:BM584">AH490-AH537</f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</row>
    <row r="585" spans="2:65" ht="15" customHeight="1">
      <c r="B585" s="12" t="str">
        <f t="shared" si="259"/>
        <v>Операционные затраты 8</v>
      </c>
      <c s="124" t="str">
        <f t="shared" si="260"/>
        <v>тыс. руб.</v>
      </c>
      <c s="276">
        <f t="shared" si="263"/>
        <v>0</v>
      </c>
      <c s="125">
        <f t="shared" si="276" ref="E585:AG585">E491-E538</f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6"/>
        <v>0</v>
      </c>
      <c s="125">
        <f t="shared" si="277" ref="AH585:BM585">AH491-AH538</f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</row>
    <row r="586" spans="2:65" ht="15" customHeight="1">
      <c r="B586" s="12" t="str">
        <f t="shared" si="259"/>
        <v>Операционные затраты 9</v>
      </c>
      <c s="124" t="str">
        <f t="shared" si="260"/>
        <v>тыс. руб.</v>
      </c>
      <c s="276">
        <f t="shared" si="263"/>
        <v>0</v>
      </c>
      <c s="125">
        <f t="shared" si="278" ref="E586:AA586">E492-E539</f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8"/>
        <v>0</v>
      </c>
      <c s="125">
        <f t="shared" si="279" ref="AB586:AG586">AB492-AB539</f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80" ref="AH586:BM586">AH492-AH539</f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  <c s="125">
        <f t="shared" si="280"/>
        <v>0</v>
      </c>
    </row>
    <row r="587" spans="2:65" ht="15" customHeight="1">
      <c r="B587" s="12" t="str">
        <f t="shared" si="259"/>
        <v>Операционные затраты 10</v>
      </c>
      <c s="124" t="str">
        <f t="shared" si="260"/>
        <v>тыс. руб.</v>
      </c>
      <c s="276">
        <f t="shared" si="263"/>
        <v>0</v>
      </c>
      <c s="125">
        <f t="shared" si="281" ref="E587:AA587">E493-E540</f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2" ref="AB587:AG594">AB493-AB540</f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3" ref="AH587:BM587">AH493-AH540</f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</row>
    <row r="588" spans="2:65" ht="15" customHeight="1">
      <c r="B588" s="12" t="str">
        <f t="shared" si="259"/>
        <v>Операционные затраты 11</v>
      </c>
      <c s="124" t="str">
        <f t="shared" si="260"/>
        <v>тыс. руб.</v>
      </c>
      <c s="276">
        <f t="shared" si="263"/>
        <v>0</v>
      </c>
      <c s="125">
        <f t="shared" si="284" ref="E588:AA588">E494-E541</f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4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5" ref="AH588:BM588">AH494-AH541</f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</row>
    <row r="589" spans="2:65" ht="15" customHeight="1">
      <c r="B589" s="12" t="str">
        <f t="shared" si="259"/>
        <v>Операционные затраты 12</v>
      </c>
      <c s="124" t="str">
        <f t="shared" si="260"/>
        <v>тыс. руб.</v>
      </c>
      <c s="276">
        <f t="shared" si="263"/>
        <v>0</v>
      </c>
      <c s="125">
        <f t="shared" si="286" ref="E589:AA589">E495-E542</f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6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7" ref="AH589:BM589">AH495-AH542</f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</row>
    <row r="590" spans="2:65" ht="15" customHeight="1">
      <c r="B590" s="12" t="str">
        <f t="shared" si="259"/>
        <v>Операционные затраты 13</v>
      </c>
      <c s="124" t="str">
        <f t="shared" si="260"/>
        <v>тыс. руб.</v>
      </c>
      <c s="276">
        <f t="shared" si="263"/>
        <v>0</v>
      </c>
      <c s="125">
        <f t="shared" si="288" ref="E590:AA590">E496-E543</f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9" ref="AH590:BM590">AH496-AH543</f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</row>
    <row r="591" spans="2:65" ht="15" customHeight="1">
      <c r="B591" s="12" t="str">
        <f t="shared" si="259"/>
        <v>Операционные затраты 14</v>
      </c>
      <c s="124" t="str">
        <f t="shared" si="260"/>
        <v>тыс. руб.</v>
      </c>
      <c s="276">
        <f t="shared" si="263"/>
        <v>0</v>
      </c>
      <c s="125">
        <f t="shared" si="290" ref="E591:AA591">E497-E544</f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91" ref="AH591:BM591">AH497-AH544</f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</row>
    <row r="592" spans="2:65" ht="15" customHeight="1">
      <c r="B592" s="12" t="str">
        <f t="shared" si="259"/>
        <v>Операционные затраты 15</v>
      </c>
      <c s="124" t="str">
        <f t="shared" si="260"/>
        <v>тыс. руб.</v>
      </c>
      <c s="276">
        <f t="shared" si="263"/>
        <v>0</v>
      </c>
      <c s="125">
        <f t="shared" si="292" ref="E592:AA592">E498-E545</f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9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93" ref="AH592:BM592">AH498-AH545</f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</row>
    <row r="593" spans="2:65" ht="15" customHeight="1">
      <c r="B593" s="12" t="str">
        <f t="shared" si="259"/>
        <v>Операционные затраты 16</v>
      </c>
      <c s="124" t="str">
        <f t="shared" si="260"/>
        <v>тыс. руб.</v>
      </c>
      <c s="276">
        <f t="shared" si="263"/>
        <v>0</v>
      </c>
      <c s="125">
        <f t="shared" si="294" ref="E593:AA593">E499-E546</f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95" ref="AH593:BM593">AH499-AH546</f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</row>
    <row r="594" spans="2:65" ht="15" customHeight="1">
      <c r="B594" s="12" t="str">
        <f t="shared" si="259"/>
        <v>Операционные затраты 17</v>
      </c>
      <c s="124" t="str">
        <f t="shared" si="260"/>
        <v>тыс. руб.</v>
      </c>
      <c s="276">
        <f t="shared" si="263"/>
        <v>0</v>
      </c>
      <c s="125">
        <f t="shared" si="296" ref="E594:AA594">E500-E547</f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82"/>
        <v>0</v>
      </c>
      <c s="125">
        <f t="shared" si="297" ref="AH594:BM594">AH500-AH547</f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</row>
    <row r="595" spans="2:65" ht="15" customHeight="1">
      <c r="B595" s="12" t="str">
        <f t="shared" si="259"/>
        <v>Операционные затраты 18</v>
      </c>
      <c s="124" t="str">
        <f t="shared" si="260"/>
        <v>тыс. руб.</v>
      </c>
      <c s="276">
        <f t="shared" si="263"/>
        <v>0</v>
      </c>
      <c s="125">
        <f t="shared" si="298" ref="E595:AA595">E501-E548</f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9" ref="AB595:AG595">AB501-AB548</f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300" ref="AH595:BM595">AH501-AH548</f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</row>
    <row r="596" spans="2:65" ht="15" customHeight="1">
      <c r="B596" s="12" t="str">
        <f t="shared" si="259"/>
        <v>Операционные затраты 19</v>
      </c>
      <c s="124" t="str">
        <f t="shared" si="260"/>
        <v>тыс. руб.</v>
      </c>
      <c s="276">
        <f t="shared" si="263"/>
        <v>0</v>
      </c>
      <c s="125">
        <f t="shared" si="301" ref="E596:AA596">E502-E549</f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2" ref="AB596:AG597">AB502-AB549</f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3" ref="AH596:BM596">AH502-AH549</f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</row>
    <row r="597" spans="2:65" ht="15" customHeight="1">
      <c r="B597" s="12" t="str">
        <f t="shared" si="259"/>
        <v>Операционные затраты 20</v>
      </c>
      <c s="124" t="str">
        <f t="shared" si="260"/>
        <v>тыс. руб.</v>
      </c>
      <c s="276">
        <f t="shared" si="263"/>
        <v>0</v>
      </c>
      <c s="125">
        <f t="shared" si="304" ref="E597:AA597">E503-E550</f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5" ref="AH597:BM597">AH503-AH550</f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</row>
    <row r="598" spans="2:65" ht="15" customHeight="1">
      <c r="B598" s="289" t="s">
        <v>454</v>
      </c>
      <c s="290" t="str">
        <f t="shared" si="260"/>
        <v>тыс. руб.</v>
      </c>
      <c s="291">
        <f>SUM(D578:D597)</f>
        <v>0</v>
      </c>
      <c s="276">
        <f>SUM(E578:E597)</f>
        <v>0</v>
      </c>
      <c s="276">
        <f t="shared" si="306" ref="F598:AG598">SUM(F578:F597)</f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6"/>
        <v>0</v>
      </c>
      <c s="276">
        <f t="shared" si="307" ref="AH598:BM598">SUM(AH578:AH597)</f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  <c s="276">
        <f t="shared" si="307"/>
        <v>0</v>
      </c>
    </row>
    <row r="599" ht="15" customHeight="1"/>
    <row r="600" spans="2:2" ht="21">
      <c r="B600" s="23" t="s">
        <v>164</v>
      </c>
    </row>
    <row r="601" spans="2:2" ht="15" customHeight="1">
      <c r="B601" s="24" t="s">
        <v>863</v>
      </c>
    </row>
    <row r="602" spans="2:65" ht="15" customHeight="1">
      <c r="B602" s="12" t="s">
        <v>847</v>
      </c>
      <c s="124" t="s">
        <v>817</v>
      </c>
      <c s="124"/>
      <c s="126">
        <f>POWER(1+LOOKUP(YEAR(E$8),Предпосылки!$C$468:$R$468,Предпосылки!$C$471:$R$471),(E$8+1-E$7)/IF(MOD(YEAR(E$8),4),365,366))</f>
        <v>1.0156492190185731</v>
      </c>
      <c s="126">
        <f>POWER(1+LOOKUP(YEAR(F$8),Предпосылки!$C$468:$R$468,Предпосылки!$C$471:$R$471),(F$8+1-F$7)/IF(MOD(YEAR(F$8),4),365,366))</f>
        <v>1.0158244678502373</v>
      </c>
      <c s="126">
        <f>POWER(1+LOOKUP(YEAR(G$8),Предпосылки!$C$468:$R$468,Предпосылки!$C$471:$R$471),(G$8+1-G$7)/IF(MOD(YEAR(G$8),4),365,366))</f>
        <v>1.0159997469208388</v>
      </c>
      <c s="126">
        <f>POWER(1+LOOKUP(YEAR(H$8),Предпосылки!$C$468:$R$468,Предпосылки!$C$471:$R$471),(H$8+1-H$7)/IF(MOD(YEAR(H$8),4),365,366))</f>
        <v>1.0159997469208388</v>
      </c>
      <c s="126">
        <f>POWER(1+LOOKUP(YEAR(I$8),Предпосылки!$C$468:$R$468,Предпосылки!$C$471:$R$471),(I$8+1-I$7)/IF(MOD(YEAR(I$8),4),365,366))</f>
        <v>1.0109125912605132</v>
      </c>
      <c s="126">
        <f>POWER(1+LOOKUP(YEAR(J$8),Предпосылки!$C$468:$R$468,Предпосылки!$C$471:$R$471),(J$8+1-J$7)/IF(MOD(YEAR(J$8),4),365,366))</f>
        <v>1.0110345088135473</v>
      </c>
      <c s="126">
        <f>POWER(1+LOOKUP(YEAR(K$8),Предпосылки!$C$468:$R$468,Предпосылки!$C$471:$R$471),(K$8+1-K$7)/IF(MOD(YEAR(K$8),4),365,366))</f>
        <v>1.0111564410700187</v>
      </c>
      <c s="126">
        <f>POWER(1+LOOKUP(YEAR(L$8),Предпосылки!$C$468:$R$468,Предпосылки!$C$471:$R$471),(L$8+1-L$7)/IF(MOD(YEAR(L$8),4),365,366))</f>
        <v>1.0111564410700187</v>
      </c>
      <c s="126">
        <f>POWER(1+LOOKUP(YEAR(M$8),Предпосылки!$C$468:$R$468,Предпосылки!$C$471:$R$471),(M$8+1-M$7)/IF(MOD(YEAR(M$8),4),365,366))</f>
        <v>1.0097177746622019</v>
      </c>
      <c s="126">
        <f>POWER(1+LOOKUP(YEAR(N$8),Предпосылки!$C$468:$R$468,Предпосылки!$C$471:$R$471),(N$8+1-N$7)/IF(MOD(YEAR(N$8),4),365,366))</f>
        <v>1.009826278714177</v>
      </c>
      <c s="126">
        <f>POWER(1+LOOKUP(YEAR(O$8),Предпосылки!$C$468:$R$468,Предпосылки!$C$471:$R$471),(O$8+1-O$7)/IF(MOD(YEAR(O$8),4),365,366))</f>
        <v>1.0099347944259736</v>
      </c>
      <c s="126">
        <f>POWER(1+LOOKUP(YEAR(P$8),Предпосылки!$C$468:$R$468,Предпосылки!$C$471:$R$471),(P$8+1-P$7)/IF(MOD(YEAR(P$8),4),365,366))</f>
        <v>1.0099347944259736</v>
      </c>
      <c s="126">
        <f>POWER(1+LOOKUP(YEAR(Q$8),Предпосылки!$C$468:$R$468,Предпосылки!$C$471:$R$471),(Q$8+1-Q$7)/IF(MOD(YEAR(Q$8),4),365,366))</f>
        <v>1.0097992998416958</v>
      </c>
      <c s="126">
        <f>POWER(1+LOOKUP(YEAR(R$8),Предпосылки!$C$468:$R$468,Предпосылки!$C$471:$R$471),(R$8+1-R$7)/IF(MOD(YEAR(R$8),4),365,366))</f>
        <v>1.0097992998416958</v>
      </c>
      <c s="126">
        <f>POWER(1+LOOKUP(YEAR(S$8),Предпосылки!$C$468:$R$468,Предпосылки!$C$471:$R$471),(S$8+1-S$7)/IF(MOD(YEAR(S$8),4),365,366))</f>
        <v>1.0099075161553681</v>
      </c>
      <c s="126">
        <f>POWER(1+LOOKUP(YEAR(T$8),Предпосылки!$C$468:$R$468,Предпосылки!$C$471:$R$471),(T$8+1-T$7)/IF(MOD(YEAR(T$8),4),365,366))</f>
        <v>1.0099075161553681</v>
      </c>
      <c s="126">
        <f>POWER(1+LOOKUP(YEAR(U$8),Предпосылки!$C$468:$R$468,Предпосылки!$C$471:$R$471),(U$8+1-U$7)/IF(MOD(YEAR(U$8),4),365,366))</f>
        <v>1.0097177746622019</v>
      </c>
      <c s="126">
        <f>POWER(1+LOOKUP(YEAR(V$8),Предпосылки!$C$468:$R$468,Предпосылки!$C$471:$R$471),(V$8+1-V$7)/IF(MOD(YEAR(V$8),4),365,366))</f>
        <v>1.009826278714177</v>
      </c>
      <c s="126">
        <f>POWER(1+LOOKUP(YEAR(W$8),Предпосылки!$C$468:$R$468,Предпосылки!$C$471:$R$471),(W$8+1-W$7)/IF(MOD(YEAR(W$8),4),365,366))</f>
        <v>1.0099347944259736</v>
      </c>
      <c s="126">
        <f>POWER(1+LOOKUP(YEAR(X$8),Предпосылки!$C$468:$R$468,Предпосылки!$C$471:$R$471),(X$8+1-X$7)/IF(MOD(YEAR(X$8),4),365,366))</f>
        <v>1.0099347944259736</v>
      </c>
      <c s="126">
        <f>POWER(1+LOOKUP(YEAR(Y$8),Предпосылки!$C$468:$R$468,Предпосылки!$C$471:$R$471),(Y$8+1-Y$7)/IF(MOD(YEAR(Y$8),4),365,366))</f>
        <v>1.0097177746622019</v>
      </c>
      <c s="126">
        <f>POWER(1+LOOKUP(YEAR(Z$8),Предпосылки!$C$468:$R$468,Предпосылки!$C$471:$R$471),(Z$8+1-Z$7)/IF(MOD(YEAR(Z$8),4),365,366))</f>
        <v>1.009826278714177</v>
      </c>
      <c s="126">
        <f>POWER(1+LOOKUP(YEAR(AA$8),Предпосылки!$C$468:$R$468,Предпосылки!$C$471:$R$471),(AA$8+1-AA$7)/IF(MOD(YEAR(AA$8),4),365,366))</f>
        <v>1.0099347944259736</v>
      </c>
      <c s="126">
        <f>POWER(1+LOOKUP(YEAR(AB$8),Предпосылки!$C$468:$R$468,Предпосылки!$C$471:$R$471),(AB$8+1-AB$7)/IF(MOD(YEAR(AB$8),4),365,366))</f>
        <v>1.0099347944259736</v>
      </c>
      <c s="126">
        <f>POWER(1+LOOKUP(YEAR(AC$8),Предпосылки!$C$468:$R$468,Предпосылки!$C$471:$R$471),(AC$8+1-AC$7)/IF(MOD(YEAR(AC$8),4),365,366))</f>
        <v>1.0097177746622019</v>
      </c>
      <c s="126">
        <f>POWER(1+LOOKUP(YEAR(AD$8),Предпосылки!$C$468:$R$468,Предпосылки!$C$471:$R$471),(AD$8+1-AD$7)/IF(MOD(YEAR(AD$8),4),365,366))</f>
        <v>1.009826278714177</v>
      </c>
      <c s="126">
        <f>POWER(1+LOOKUP(YEAR(AE$8),Предпосылки!$C$468:$R$468,Предпосылки!$C$471:$R$471),(AE$8+1-AE$7)/IF(MOD(YEAR(AE$8),4),365,366))</f>
        <v>1.0099347944259736</v>
      </c>
      <c s="126">
        <f>POWER(1+LOOKUP(YEAR(AF$8),Предпосылки!$C$468:$R$468,Предпосылки!$C$471:$R$471),(AF$8+1-AF$7)/IF(MOD(YEAR(AF$8),4),365,366))</f>
        <v>1.0099347944259736</v>
      </c>
      <c s="126">
        <f>POWER(1+LOOKUP(YEAR(AG$8),Предпосылки!$C$468:$R$468,Предпосылки!$C$471:$R$471),(AG$8+1-AG$7)/IF(MOD(YEAR(AG$8),4),365,366))</f>
        <v>1.0097992998416958</v>
      </c>
      <c s="126">
        <f>POWER(1+LOOKUP(YEAR(AH$8),Предпосылки!$C$468:$R$468,Предпосылки!$C$471:$R$471),(AH$8+1-AH$7)/IF(MOD(YEAR(AH$8),4),365,366))</f>
        <v>1.0097992998416958</v>
      </c>
      <c s="126">
        <f>POWER(1+LOOKUP(YEAR(AI$8),Предпосылки!$C$468:$R$468,Предпосылки!$C$471:$R$471),(AI$8+1-AI$7)/IF(MOD(YEAR(AI$8),4),365,366))</f>
        <v>1.0099075161553681</v>
      </c>
      <c s="126">
        <f>POWER(1+LOOKUP(YEAR(AJ$8),Предпосылки!$C$468:$R$468,Предпосылки!$C$471:$R$471),(AJ$8+1-AJ$7)/IF(MOD(YEAR(AJ$8),4),365,366))</f>
        <v>1.0099075161553681</v>
      </c>
      <c s="126">
        <f>POWER(1+LOOKUP(YEAR(AK$8),Предпосылки!$C$468:$R$468,Предпосылки!$C$471:$R$471),(AK$8+1-AK$7)/IF(MOD(YEAR(AK$8),4),365,366))</f>
        <v>1.0097177746622019</v>
      </c>
      <c s="126">
        <f>POWER(1+LOOKUP(YEAR(AL$8),Предпосылки!$C$468:$R$468,Предпосылки!$C$471:$R$471),(AL$8+1-AL$7)/IF(MOD(YEAR(AL$8),4),365,366))</f>
        <v>1.009826278714177</v>
      </c>
      <c s="126">
        <f>POWER(1+LOOKUP(YEAR(AM$8),Предпосылки!$C$468:$R$468,Предпосылки!$C$471:$R$471),(AM$8+1-AM$7)/IF(MOD(YEAR(AM$8),4),365,366))</f>
        <v>1.0099347944259736</v>
      </c>
      <c s="126">
        <f>POWER(1+LOOKUP(YEAR(AN$8),Предпосылки!$C$468:$R$468,Предпосылки!$C$471:$R$471),(AN$8+1-AN$7)/IF(MOD(YEAR(AN$8),4),365,366))</f>
        <v>1.0099347944259736</v>
      </c>
      <c s="126">
        <f>POWER(1+LOOKUP(YEAR(AO$8),Предпосылки!$C$468:$R$468,Предпосылки!$C$471:$R$471),(AO$8+1-AO$7)/IF(MOD(YEAR(AO$8),4),365,366))</f>
        <v>1.0097177746622019</v>
      </c>
      <c s="126">
        <f>POWER(1+LOOKUP(YEAR(AP$8),Предпосылки!$C$468:$R$468,Предпосылки!$C$471:$R$471),(AP$8+1-AP$7)/IF(MOD(YEAR(AP$8),4),365,366))</f>
        <v>1.009826278714177</v>
      </c>
      <c s="126">
        <f>POWER(1+LOOKUP(YEAR(AQ$8),Предпосылки!$C$468:$R$468,Предпосылки!$C$471:$R$471),(AQ$8+1-AQ$7)/IF(MOD(YEAR(AQ$8),4),365,366))</f>
        <v>1.0099347944259736</v>
      </c>
      <c s="126">
        <f>POWER(1+LOOKUP(YEAR(AR$8),Предпосылки!$C$468:$R$468,Предпосылки!$C$471:$R$471),(AR$8+1-AR$7)/IF(MOD(YEAR(AR$8),4),365,366))</f>
        <v>1.0099347944259736</v>
      </c>
      <c s="126">
        <f>POWER(1+LOOKUP(YEAR(AS$8),Предпосылки!$C$468:$R$468,Предпосылки!$C$471:$R$471),(AS$8+1-AS$7)/IF(MOD(YEAR(AS$8),4),365,366))</f>
        <v>1.0097177746622019</v>
      </c>
      <c s="126">
        <f>POWER(1+LOOKUP(YEAR(AT$8),Предпосылки!$C$468:$R$468,Предпосылки!$C$471:$R$471),(AT$8+1-AT$7)/IF(MOD(YEAR(AT$8),4),365,366))</f>
        <v>1.009826278714177</v>
      </c>
      <c s="126">
        <f>POWER(1+LOOKUP(YEAR(AU$8),Предпосылки!$C$468:$R$468,Предпосылки!$C$471:$R$471),(AU$8+1-AU$7)/IF(MOD(YEAR(AU$8),4),365,366))</f>
        <v>1.0099347944259736</v>
      </c>
      <c s="126">
        <f>POWER(1+LOOKUP(YEAR(AV$8),Предпосылки!$C$468:$R$468,Предпосылки!$C$471:$R$471),(AV$8+1-AV$7)/IF(MOD(YEAR(AV$8),4),365,366))</f>
        <v>1.0099347944259736</v>
      </c>
      <c s="126">
        <f>POWER(1+LOOKUP(YEAR(AW$8),Предпосылки!$C$468:$R$468,Предпосылки!$C$471:$R$471),(AW$8+1-AW$7)/IF(MOD(YEAR(AW$8),4),365,366))</f>
        <v>1.0097992998416958</v>
      </c>
      <c s="126">
        <f>POWER(1+LOOKUP(YEAR(AX$8),Предпосылки!$C$468:$R$468,Предпосылки!$C$471:$R$471),(AX$8+1-AX$7)/IF(MOD(YEAR(AX$8),4),365,366))</f>
        <v>1.0097992998416958</v>
      </c>
      <c s="126">
        <f>POWER(1+LOOKUP(YEAR(AY$8),Предпосылки!$C$468:$R$468,Предпосылки!$C$471:$R$471),(AY$8+1-AY$7)/IF(MOD(YEAR(AY$8),4),365,366))</f>
        <v>1.0099075161553681</v>
      </c>
      <c s="126">
        <f>POWER(1+LOOKUP(YEAR(AZ$8),Предпосылки!$C$468:$R$468,Предпосылки!$C$471:$R$471),(AZ$8+1-AZ$7)/IF(MOD(YEAR(AZ$8),4),365,366))</f>
        <v>1.0099075161553681</v>
      </c>
      <c s="126">
        <f>POWER(1+LOOKUP(YEAR(BA$8),Предпосылки!$C$468:$R$468,Предпосылки!$C$471:$R$471),(BA$8+1-BA$7)/IF(MOD(YEAR(BA$8),4),365,366))</f>
        <v>1.0097177746622019</v>
      </c>
      <c s="126">
        <f>POWER(1+LOOKUP(YEAR(BB$8),Предпосылки!$C$468:$R$468,Предпосылки!$C$471:$R$471),(BB$8+1-BB$7)/IF(MOD(YEAR(BB$8),4),365,366))</f>
        <v>1.009826278714177</v>
      </c>
      <c s="126">
        <f>POWER(1+LOOKUP(YEAR(BC$8),Предпосылки!$C$468:$R$468,Предпосылки!$C$471:$R$471),(BC$8+1-BC$7)/IF(MOD(YEAR(BC$8),4),365,366))</f>
        <v>1.0099347944259736</v>
      </c>
      <c s="126">
        <f>POWER(1+LOOKUP(YEAR(BD$8),Предпосылки!$C$468:$R$468,Предпосылки!$C$471:$R$471),(BD$8+1-BD$7)/IF(MOD(YEAR(BD$8),4),365,366))</f>
        <v>1.0099347944259736</v>
      </c>
      <c s="126">
        <f>POWER(1+LOOKUP(YEAR(BE$8),Предпосылки!$C$468:$R$468,Предпосылки!$C$471:$R$471),(BE$8+1-BE$7)/IF(MOD(YEAR(BE$8),4),365,366))</f>
        <v>1.0097177746622019</v>
      </c>
      <c s="126">
        <f>POWER(1+LOOKUP(YEAR(BF$8),Предпосылки!$C$468:$R$468,Предпосылки!$C$471:$R$471),(BF$8+1-BF$7)/IF(MOD(YEAR(BF$8),4),365,366))</f>
        <v>1.009826278714177</v>
      </c>
      <c s="126">
        <f>POWER(1+LOOKUP(YEAR(BG$8),Предпосылки!$C$468:$R$468,Предпосылки!$C$471:$R$471),(BG$8+1-BG$7)/IF(MOD(YEAR(BG$8),4),365,366))</f>
        <v>1.0099347944259736</v>
      </c>
      <c s="126">
        <f>POWER(1+LOOKUP(YEAR(BH$8),Предпосылки!$C$468:$R$468,Предпосылки!$C$471:$R$471),(BH$8+1-BH$7)/IF(MOD(YEAR(BH$8),4),365,366))</f>
        <v>1.0099347944259736</v>
      </c>
      <c s="126">
        <f>POWER(1+LOOKUP(YEAR(BI$8),Предпосылки!$C$468:$R$468,Предпосылки!$C$471:$R$471),(BI$8+1-BI$7)/IF(MOD(YEAR(BI$8),4),365,366))</f>
        <v>1.0097177746622019</v>
      </c>
      <c s="126">
        <f>POWER(1+LOOKUP(YEAR(BJ$8),Предпосылки!$C$468:$R$468,Предпосылки!$C$471:$R$471),(BJ$8+1-BJ$7)/IF(MOD(YEAR(BJ$8),4),365,366))</f>
        <v>1.009826278714177</v>
      </c>
      <c s="126">
        <f>POWER(1+LOOKUP(YEAR(BK$8),Предпосылки!$C$468:$R$468,Предпосылки!$C$471:$R$471),(BK$8+1-BK$7)/IF(MOD(YEAR(BK$8),4),365,366))</f>
        <v>1.0099347944259736</v>
      </c>
      <c s="126">
        <f>POWER(1+LOOKUP(YEAR(BL$8),Предпосылки!$C$468:$R$468,Предпосылки!$C$471:$R$471),(BL$8+1-BL$7)/IF(MOD(YEAR(BL$8),4),365,366))</f>
        <v>1.0099347944259736</v>
      </c>
      <c s="126">
        <f>POWER(1+LOOKUP(YEAR(BM$8),Предпосылки!$C$468:$R$468,Предпосылки!$C$471:$R$471),(BM$8+1-BM$7)/IF(MOD(YEAR(BM$8),4),365,366))</f>
        <v>1.0097992998416958</v>
      </c>
    </row>
    <row r="603" spans="2:65" ht="15" customHeight="1">
      <c r="B603" s="289" t="s">
        <v>848</v>
      </c>
      <c s="290" t="s">
        <v>817</v>
      </c>
      <c s="282">
        <v>1</v>
      </c>
      <c s="282">
        <f>D603*E602</f>
        <v>1.0156492190185731</v>
      </c>
      <c s="282">
        <f t="shared" si="308" ref="F603">E603*F602</f>
        <v>1.0317213274320511</v>
      </c>
      <c s="282">
        <f t="shared" si="309" ref="G603">F603*G602</f>
        <v>1.0482286075637959</v>
      </c>
      <c s="282">
        <f t="shared" si="310" ref="H603">G603*H602</f>
        <v>1.0649999999999999</v>
      </c>
      <c s="282">
        <f t="shared" si="311" ref="I603">H603*I602</f>
        <v>1.0766219096924465</v>
      </c>
      <c s="282">
        <f t="shared" si="312" ref="J603">I603*J602</f>
        <v>1.0885019036438059</v>
      </c>
      <c s="282">
        <f t="shared" si="313" ref="K603">J603*K602</f>
        <v>1.1006457109864112</v>
      </c>
      <c s="282">
        <f t="shared" si="314" ref="L603">K603*L602</f>
        <v>1.1129249999999999</v>
      </c>
      <c s="282">
        <f t="shared" si="315" ref="M603">L603*M602</f>
        <v>1.1237401543659311</v>
      </c>
      <c s="282">
        <f t="shared" si="316" ref="N603">M603*N602</f>
        <v>1.134782338325043</v>
      </c>
      <c s="282">
        <f t="shared" si="317" ref="O603">N603*O602</f>
        <v>1.146056167574528</v>
      </c>
      <c s="282">
        <f t="shared" si="318" ref="P603">O603*P602</f>
        <v>1.1574420000000001</v>
      </c>
      <c s="282">
        <f t="shared" si="319" ref="Q603">P603*Q602</f>
        <v>1.1687841212073722</v>
      </c>
      <c s="282">
        <f t="shared" si="320" ref="R603">Q603*R602</f>
        <v>1.1802373872612961</v>
      </c>
      <c s="282">
        <f t="shared" si="321" ref="S603">R603*S602</f>
        <v>1.1919306082427568</v>
      </c>
      <c s="282">
        <f t="shared" si="322" ref="T603">S603*T602</f>
        <v>1.2037396799999995</v>
      </c>
      <c s="282">
        <f t="shared" si="323" ref="U603">T603*U602</f>
        <v>1.2154373509621905</v>
      </c>
      <c s="282">
        <f t="shared" si="324" ref="V603">U603*V602</f>
        <v>1.227380577132366</v>
      </c>
      <c s="282">
        <f t="shared" si="325" ref="W603">V603*W602</f>
        <v>1.2395743508486088</v>
      </c>
      <c s="282">
        <f t="shared" si="326" ref="X603">W603*X602</f>
        <v>1.2518892671999993</v>
      </c>
      <c s="282">
        <f t="shared" si="327" ref="Y603">X603*Y602</f>
        <v>1.2640548450006779</v>
      </c>
      <c s="282">
        <f t="shared" si="328" ref="Z603">Y603*Z602</f>
        <v>1.2764758002176604</v>
      </c>
      <c s="282">
        <f t="shared" si="329" ref="AA603">Z603*AA602</f>
        <v>1.289157324882553</v>
      </c>
      <c s="282">
        <f t="shared" si="330" ref="AB603">AA603*AB602</f>
        <v>1.3019648378879991</v>
      </c>
      <c s="282">
        <f t="shared" si="331" ref="AC603">AB603*AC602</f>
        <v>1.314617038800705</v>
      </c>
      <c s="282">
        <f t="shared" si="332" ref="AD603">AC603*AD602</f>
        <v>1.3275348322263667</v>
      </c>
      <c s="282">
        <f t="shared" si="333" ref="AE603">AD603*AE602</f>
        <v>1.340723617877855</v>
      </c>
      <c s="282">
        <f t="shared" si="334" ref="AF603">AE603*AF602</f>
        <v>1.354043431403519</v>
      </c>
      <c s="282">
        <f t="shared" si="335" ref="AG603">AF603*AG602</f>
        <v>1.3673121089865208</v>
      </c>
      <c s="282">
        <f t="shared" si="336" ref="AH603">AG603*AH602</f>
        <v>1.3807108103196613</v>
      </c>
      <c s="282">
        <f t="shared" si="337" ref="AI603">AH603*AI602</f>
        <v>1.3943902249787947</v>
      </c>
      <c s="282">
        <f t="shared" si="338" ref="AJ603">AI603*AJ602</f>
        <v>1.4082051686596595</v>
      </c>
      <c s="282">
        <f t="shared" si="339" ref="AK603">AJ603*AK602</f>
        <v>1.4218897891668421</v>
      </c>
      <c s="282">
        <f t="shared" si="340" ref="AL603">AK603*AL602</f>
        <v>1.4358616745360377</v>
      </c>
      <c s="282">
        <f t="shared" si="341" ref="AM603">AL603*AM602</f>
        <v>1.4501266650966875</v>
      </c>
      <c s="282">
        <f t="shared" si="342" ref="AN603">AM603*AN602</f>
        <v>1.4645333754060457</v>
      </c>
      <c s="282">
        <f t="shared" si="343" ref="AO603">AN603*AO602</f>
        <v>1.4787653807335155</v>
      </c>
      <c s="282">
        <f t="shared" si="344" ref="AP603">AO603*AP602</f>
        <v>1.493296141517479</v>
      </c>
      <c s="282">
        <f t="shared" si="345" ref="AQ603">AP603*AQ602</f>
        <v>1.5081317317005547</v>
      </c>
      <c s="282">
        <f t="shared" si="346" ref="AR603">AQ603*AR602</f>
        <v>1.5231147104222873</v>
      </c>
      <c s="282">
        <f t="shared" si="347" ref="AS603">AR603*AS602</f>
        <v>1.5379159959628561</v>
      </c>
      <c s="282">
        <f t="shared" si="348" ref="AT603">AS603*AT602</f>
        <v>1.5530279871781782</v>
      </c>
      <c s="282">
        <f t="shared" si="349" ref="AU603">AT603*AU602</f>
        <v>1.568457000968577</v>
      </c>
      <c s="282">
        <f t="shared" si="350" ref="AV603">AU603*AV602</f>
        <v>1.5840392988391787</v>
      </c>
      <c s="282">
        <f t="shared" si="351" ref="AW603">AV603*AW602</f>
        <v>1.5995617748895334</v>
      </c>
      <c s="282">
        <f t="shared" si="352" ref="AX603">AW603*AX602</f>
        <v>1.615236360336991</v>
      </c>
      <c s="282">
        <f t="shared" si="353" ref="AY603">AX603*AY602</f>
        <v>1.6312393406717678</v>
      </c>
      <c s="282">
        <f t="shared" si="354" ref="AZ603">AY603*AZ602</f>
        <v>1.6474008707927454</v>
      </c>
      <c s="282">
        <f t="shared" si="355" ref="BA603">AZ603*BA602</f>
        <v>1.6634099412334244</v>
      </c>
      <c s="282">
        <f t="shared" si="356" ref="BB603">BA603*BB602</f>
        <v>1.6797550709319169</v>
      </c>
      <c s="282">
        <f t="shared" si="357" ref="BC603">BB603*BC602</f>
        <v>1.6964430922476121</v>
      </c>
      <c s="282">
        <f t="shared" si="358" ref="BD603">BC603*BD602</f>
        <v>1.7132969056244551</v>
      </c>
      <c s="282">
        <f t="shared" si="359" ref="BE603">BD603*BE602</f>
        <v>1.7299463388827614</v>
      </c>
      <c s="282">
        <f t="shared" si="360" ref="BF603">BE603*BF602</f>
        <v>1.7469452737691935</v>
      </c>
      <c s="282">
        <f t="shared" si="361" ref="BG603">BF603*BG602</f>
        <v>1.7643008159375166</v>
      </c>
      <c s="282">
        <f t="shared" si="362" ref="BH603">BG603*BH602</f>
        <v>1.7818287818494334</v>
      </c>
      <c s="282">
        <f t="shared" si="363" ref="BI603">BH603*BI602</f>
        <v>1.799144192438072</v>
      </c>
      <c s="282">
        <f t="shared" si="364" ref="BJ603">BI603*BJ602</f>
        <v>1.8168230847199613</v>
      </c>
      <c s="282">
        <f t="shared" si="365" ref="BK603">BJ603*BK602</f>
        <v>1.8348728485750172</v>
      </c>
      <c s="282">
        <f t="shared" si="366" ref="BL603">BK603*BL602</f>
        <v>1.8531019331234104</v>
      </c>
      <c s="282">
        <f t="shared" si="367" ref="BM603">BL603*BM602</f>
        <v>1.8712610346033129</v>
      </c>
    </row>
    <row r="604" ht="15" customHeight="1"/>
    <row r="605" spans="2:2" ht="15" customHeight="1">
      <c r="B605" s="24" t="s">
        <v>512</v>
      </c>
    </row>
    <row r="606" spans="2:31" ht="14.45">
      <c r="B606" s="25" t="s">
        <v>106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07" spans="2:4 66:66" ht="15" customHeight="1">
      <c r="B607" s="12" t="str">
        <f>Предпосылки!B310</f>
        <v>Комиссионное вознаграждение за банк. гарантию</v>
      </c>
      <c s="124" t="str">
        <f t="shared" si="368" ref="C607:C631">Единица_измерения</f>
        <v>тыс. руб.</v>
      </c>
      <c s="125">
        <f>Предпосылки!D310</f>
        <v>0</v>
      </c>
      <c r="BN607" s="86"/>
    </row>
    <row r="608" spans="2:4 66:66" ht="15" customHeight="1">
      <c r="B608" s="12" t="str">
        <f>Предпосылки!B311</f>
        <v>-</v>
      </c>
      <c s="124" t="str">
        <f t="shared" si="368"/>
        <v>тыс. руб.</v>
      </c>
      <c s="125">
        <f>Предпосылки!D311</f>
        <v>0</v>
      </c>
      <c r="BN608" s="86"/>
    </row>
    <row r="609" spans="2:4 66:66" ht="15" customHeight="1">
      <c r="B609" s="12" t="str">
        <f>Предпосылки!B312</f>
        <v>-</v>
      </c>
      <c s="124" t="str">
        <f t="shared" si="368"/>
        <v>тыс. руб.</v>
      </c>
      <c s="125">
        <f>Предпосылки!D312</f>
        <v>0</v>
      </c>
      <c r="BN609" s="86"/>
    </row>
    <row r="610" spans="2:4 66:66" ht="15" customHeight="1">
      <c r="B610" s="12" t="str">
        <f>Предпосылки!B313</f>
        <v>-</v>
      </c>
      <c s="124" t="str">
        <f t="shared" si="368"/>
        <v>тыс. руб.</v>
      </c>
      <c s="125">
        <f>Предпосылки!D313</f>
        <v>0</v>
      </c>
      <c r="BN610" s="86"/>
    </row>
    <row r="611" spans="2:4 66:66" ht="15" customHeight="1">
      <c r="B611" s="12" t="str">
        <f>Предпосылки!B314</f>
        <v>-</v>
      </c>
      <c s="124" t="str">
        <f t="shared" si="368"/>
        <v>тыс. руб.</v>
      </c>
      <c s="125">
        <f>Предпосылки!D314</f>
        <v>0</v>
      </c>
      <c r="BN611" s="86"/>
    </row>
    <row r="612" spans="2:4 66:66" ht="15" customHeight="1">
      <c r="B612" s="12" t="str">
        <f>Предпосылки!B315</f>
        <v>-</v>
      </c>
      <c s="124" t="str">
        <f t="shared" si="368"/>
        <v>тыс. руб.</v>
      </c>
      <c s="125">
        <f>Предпосылки!D315</f>
        <v>0</v>
      </c>
      <c r="BN612" s="86"/>
    </row>
    <row r="613" spans="2:4 66:66" ht="15" customHeight="1">
      <c r="B613" s="12" t="str">
        <f>Предпосылки!B316</f>
        <v>-</v>
      </c>
      <c s="124" t="str">
        <f t="shared" si="368"/>
        <v>тыс. руб.</v>
      </c>
      <c s="125">
        <f>Предпосылки!D316</f>
        <v>0</v>
      </c>
      <c r="BN613" s="86"/>
    </row>
    <row r="614" spans="2:4 66:66" ht="15" customHeight="1">
      <c r="B614" s="12" t="str">
        <f>Предпосылки!B317</f>
        <v>-</v>
      </c>
      <c s="124" t="str">
        <f t="shared" si="368"/>
        <v>тыс. руб.</v>
      </c>
      <c s="125">
        <f>Предпосылки!D317</f>
        <v>0</v>
      </c>
      <c r="BN614" s="86"/>
    </row>
    <row r="615" spans="2:4 66:66" ht="15" customHeight="1">
      <c r="B615" s="12" t="str">
        <f>Предпосылки!B318</f>
        <v>-</v>
      </c>
      <c s="124" t="str">
        <f t="shared" si="368"/>
        <v>тыс. руб.</v>
      </c>
      <c s="125">
        <f>Предпосылки!D318</f>
        <v>0</v>
      </c>
      <c r="BN615" s="86"/>
    </row>
    <row r="616" spans="2:4 66:66" ht="15" customHeight="1">
      <c r="B616" s="12" t="str">
        <f>Предпосылки!B319</f>
        <v>-</v>
      </c>
      <c s="124" t="str">
        <f t="shared" si="368"/>
        <v>тыс. руб.</v>
      </c>
      <c s="125">
        <f>Предпосылки!D319</f>
        <v>0</v>
      </c>
      <c r="BN616" s="86"/>
    </row>
    <row r="617" spans="2:4 66:66" ht="15" customHeight="1">
      <c r="B617" s="12" t="str">
        <f>Предпосылки!B320</f>
        <v>-</v>
      </c>
      <c s="124" t="str">
        <f t="shared" si="368"/>
        <v>тыс. руб.</v>
      </c>
      <c s="125">
        <f>Предпосылки!D320</f>
        <v>0</v>
      </c>
      <c r="BN617" s="86"/>
    </row>
    <row r="618" spans="2:4 66:66" ht="15" customHeight="1">
      <c r="B618" s="12" t="str">
        <f>Предпосылки!B321</f>
        <v>-</v>
      </c>
      <c s="124" t="str">
        <f t="shared" si="368"/>
        <v>тыс. руб.</v>
      </c>
      <c s="125">
        <f>Предпосылки!D321</f>
        <v>0</v>
      </c>
      <c r="BN618" s="86"/>
    </row>
    <row r="619" spans="2:4 66:66" ht="15" customHeight="1">
      <c r="B619" s="12" t="str">
        <f>Предпосылки!B322</f>
        <v>-</v>
      </c>
      <c s="124" t="str">
        <f t="shared" si="368"/>
        <v>тыс. руб.</v>
      </c>
      <c s="125">
        <f>Предпосылки!D322</f>
        <v>0</v>
      </c>
      <c r="BN619" s="86"/>
    </row>
    <row r="620" spans="2:4 66:66" ht="15" customHeight="1">
      <c r="B620" s="12" t="str">
        <f>Предпосылки!B323</f>
        <v>-</v>
      </c>
      <c s="124" t="str">
        <f t="shared" si="368"/>
        <v>тыс. руб.</v>
      </c>
      <c s="125">
        <f>Предпосылки!D323</f>
        <v>0</v>
      </c>
      <c r="BN620" s="86"/>
    </row>
    <row r="621" spans="2:4 66:66" ht="15" customHeight="1">
      <c r="B621" s="12" t="str">
        <f>Предпосылки!B324</f>
        <v>-</v>
      </c>
      <c s="124" t="str">
        <f t="shared" si="368"/>
        <v>тыс. руб.</v>
      </c>
      <c s="125">
        <f>Предпосылки!D324</f>
        <v>0</v>
      </c>
      <c r="BN621" s="86"/>
    </row>
    <row r="622" spans="2:4 66:66" ht="15" customHeight="1">
      <c r="B622" s="12" t="str">
        <f>Предпосылки!B325</f>
        <v>-</v>
      </c>
      <c s="124" t="str">
        <f t="shared" si="368"/>
        <v>тыс. руб.</v>
      </c>
      <c s="125">
        <f>Предпосылки!D325</f>
        <v>0</v>
      </c>
      <c r="BN622" s="86"/>
    </row>
    <row r="623" spans="2:4 66:66" ht="15" customHeight="1">
      <c r="B623" s="12" t="str">
        <f>Предпосылки!B326</f>
        <v>-</v>
      </c>
      <c s="124" t="str">
        <f t="shared" si="368"/>
        <v>тыс. руб.</v>
      </c>
      <c s="125">
        <f>Предпосылки!D326</f>
        <v>0</v>
      </c>
      <c r="BN623" s="86"/>
    </row>
    <row r="624" spans="2:4 66:66" ht="15" customHeight="1">
      <c r="B624" s="12" t="str">
        <f>Предпосылки!B327</f>
        <v>-</v>
      </c>
      <c s="124" t="str">
        <f t="shared" si="368"/>
        <v>тыс. руб.</v>
      </c>
      <c s="125">
        <f>Предпосылки!D327</f>
        <v>0</v>
      </c>
      <c r="BN624" s="86"/>
    </row>
    <row r="625" spans="2:4 66:66" ht="15" customHeight="1">
      <c r="B625" s="12" t="str">
        <f>Предпосылки!B328</f>
        <v>-</v>
      </c>
      <c s="124" t="str">
        <f t="shared" si="368"/>
        <v>тыс. руб.</v>
      </c>
      <c s="125">
        <f>Предпосылки!D328</f>
        <v>0</v>
      </c>
      <c r="BN625" s="86"/>
    </row>
    <row r="626" spans="2:4 66:66" ht="15" customHeight="1">
      <c r="B626" s="12" t="str">
        <f>Предпосылки!B329</f>
        <v>-</v>
      </c>
      <c s="124" t="str">
        <f t="shared" si="368"/>
        <v>тыс. руб.</v>
      </c>
      <c s="125">
        <f>Предпосылки!D329</f>
        <v>0</v>
      </c>
      <c r="BN626" s="86"/>
    </row>
    <row r="627" spans="2:4 66:66" ht="15" customHeight="1">
      <c r="B627" s="12" t="str">
        <f>Предпосылки!B330</f>
        <v>-</v>
      </c>
      <c s="124" t="str">
        <f t="shared" si="368"/>
        <v>тыс. руб.</v>
      </c>
      <c s="125">
        <f>Предпосылки!D330</f>
        <v>0</v>
      </c>
      <c r="BN627" s="86"/>
    </row>
    <row r="628" spans="2:4 66:66" ht="15" customHeight="1">
      <c r="B628" s="12" t="str">
        <f>Предпосылки!B331</f>
        <v>-</v>
      </c>
      <c s="124" t="str">
        <f t="shared" si="368"/>
        <v>тыс. руб.</v>
      </c>
      <c s="125">
        <f>Предпосылки!D331</f>
        <v>0</v>
      </c>
      <c r="BN628" s="86"/>
    </row>
    <row r="629" spans="2:4 66:66" ht="15" customHeight="1">
      <c r="B629" s="12" t="str">
        <f>Предпосылки!B332</f>
        <v>-</v>
      </c>
      <c s="124" t="str">
        <f t="shared" si="368"/>
        <v>тыс. руб.</v>
      </c>
      <c s="125">
        <f>Предпосылки!D332</f>
        <v>0</v>
      </c>
      <c r="BN629" s="86"/>
    </row>
    <row r="630" spans="2:4 66:66" ht="15" customHeight="1">
      <c r="B630" s="12" t="str">
        <f>Предпосылки!B333</f>
        <v>-</v>
      </c>
      <c s="124" t="str">
        <f t="shared" si="368"/>
        <v>тыс. руб.</v>
      </c>
      <c s="125">
        <f>Предпосылки!D333</f>
        <v>0</v>
      </c>
      <c r="BN630" s="86"/>
    </row>
    <row r="631" spans="2:4 66:66" ht="15" customHeight="1">
      <c r="B631" s="12" t="str">
        <f>Предпосылки!B334</f>
        <v>-</v>
      </c>
      <c s="124" t="str">
        <f t="shared" si="368"/>
        <v>тыс. руб.</v>
      </c>
      <c s="125">
        <f>Предпосылки!D334</f>
        <v>0</v>
      </c>
      <c r="BN631" s="86"/>
    </row>
    <row r="632" spans="2:4 66:66" ht="15" customHeight="1">
      <c r="B632" s="289" t="s">
        <v>454</v>
      </c>
      <c s="290" t="str">
        <f>Единица_измерения</f>
        <v>тыс. руб.</v>
      </c>
      <c s="291">
        <f>SUM(D607:D631)</f>
        <v>0</v>
      </c>
      <c r="BN632" s="86"/>
    </row>
    <row r="633" ht="15" customHeight="1"/>
    <row r="634" spans="2:31" ht="14.45">
      <c r="B634" s="25" t="s">
        <v>819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35" spans="2:65" ht="15" customHeight="1">
      <c r="B635" s="12" t="str">
        <f>B607</f>
        <v>Комиссионное вознаграждение за банк. гарантию</v>
      </c>
      <c s="124" t="str">
        <f t="shared" si="369" ref="C635:C659">Единица_измерения</f>
        <v>тыс. руб.</v>
      </c>
      <c s="276">
        <f ca="1">SUM(E635:BM635)</f>
        <v>0</v>
      </c>
      <c s="125">
        <f>Предпосылки!E310*IF(Предпосылки!$G278="нет",1,E$603)*IFERROR(LOOKUP(Предпосылки!$I278,$C$13:$C$15,E$13:E$15),1)</f>
        <v>0</v>
      </c>
      <c s="125">
        <f ca="1">Предпосылки!F310*IF(Предпосылки!$G278="нет",1,F$603)*IFERROR(LOOKUP(Предпосылки!$I278,$C$13:$C$15,F$13:F$15),1)</f>
        <v>0</v>
      </c>
      <c s="125">
        <f ca="1">Предпосылки!G310*IF(Предпосылки!$G278="нет",1,G$603)*IFERROR(LOOKUP(Предпосылки!$I278,$C$13:$C$15,G$13:G$15),1)</f>
        <v>0</v>
      </c>
      <c s="125">
        <f ca="1">Предпосылки!H310*IF(Предпосылки!$G278="нет",1,H$603)*IFERROR(LOOKUP(Предпосылки!$I278,$C$13:$C$15,H$13:H$15),1)</f>
        <v>0</v>
      </c>
      <c s="125">
        <f ca="1">Предпосылки!I310*IF(Предпосылки!$G278="нет",1,I$603)*IFERROR(LOOKUP(Предпосылки!$I278,$C$13:$C$15,I$13:I$15),1)</f>
        <v>0</v>
      </c>
      <c s="125">
        <f ca="1">Предпосылки!J310*IF(Предпосылки!$G278="нет",1,J$603)*IFERROR(LOOKUP(Предпосылки!$I278,$C$13:$C$15,J$13:J$15),1)</f>
        <v>0</v>
      </c>
      <c s="125">
        <f ca="1">Предпосылки!K310*IF(Предпосылки!$G278="нет",1,K$603)*IFERROR(LOOKUP(Предпосылки!$I278,$C$13:$C$15,K$13:K$15),1)</f>
        <v>0</v>
      </c>
      <c s="125">
        <f ca="1">Предпосылки!L310*IF(Предпосылки!$G278="нет",1,L$603)*IFERROR(LOOKUP(Предпосылки!$I278,$C$13:$C$15,L$13:L$15),1)</f>
        <v>0</v>
      </c>
      <c s="125">
        <f ca="1">Предпосылки!M310*IF(Предпосылки!$G278="нет",1,M$603)*IFERROR(LOOKUP(Предпосылки!$I278,$C$13:$C$15,M$13:M$15),1)</f>
        <v>0</v>
      </c>
      <c s="125">
        <f ca="1">Предпосылки!N310*IF(Предпосылки!$G278="нет",1,N$603)*IFERROR(LOOKUP(Предпосылки!$I278,$C$13:$C$15,N$13:N$15),1)</f>
        <v>0</v>
      </c>
      <c s="125">
        <f ca="1">Предпосылки!O310*IF(Предпосылки!$G278="нет",1,O$603)*IFERROR(LOOKUP(Предпосылки!$I278,$C$13:$C$15,O$13:O$15),1)</f>
        <v>0</v>
      </c>
      <c s="125">
        <f ca="1">Предпосылки!P310*IF(Предпосылки!$G278="нет",1,P$603)*IFERROR(LOOKUP(Предпосылки!$I278,$C$13:$C$15,P$13:P$15),1)</f>
        <v>0</v>
      </c>
      <c s="125">
        <f ca="1">Предпосылки!Q310*IF(Предпосылки!$G278="нет",1,Q$603)*IFERROR(LOOKUP(Предпосылки!$I278,$C$13:$C$15,Q$13:Q$15),1)</f>
        <v>0</v>
      </c>
      <c s="125">
        <f ca="1">Предпосылки!R310*IF(Предпосылки!$G278="нет",1,R$603)*IFERROR(LOOKUP(Предпосылки!$I278,$C$13:$C$15,R$13:R$15),1)</f>
        <v>0</v>
      </c>
      <c s="125">
        <f ca="1">Предпосылки!S310*IF(Предпосылки!$G278="нет",1,S$603)*IFERROR(LOOKUP(Предпосылки!$I278,$C$13:$C$15,S$13:S$15),1)</f>
        <v>0</v>
      </c>
      <c s="125">
        <f ca="1">Предпосылки!T310*IF(Предпосылки!$G278="нет",1,T$603)*IFERROR(LOOKUP(Предпосылки!$I278,$C$13:$C$15,T$13:T$15),1)</f>
        <v>0</v>
      </c>
      <c s="125">
        <f ca="1">Предпосылки!U310*IF(Предпосылки!$G278="нет",1,U$603)*IFERROR(LOOKUP(Предпосылки!$I278,$C$13:$C$15,U$13:U$15),1)</f>
        <v>0</v>
      </c>
      <c s="125">
        <f ca="1">Предпосылки!V310*IF(Предпосылки!$G278="нет",1,V$603)*IFERROR(LOOKUP(Предпосылки!$I278,$C$13:$C$15,V$13:V$15),1)</f>
        <v>0</v>
      </c>
      <c s="125">
        <f ca="1">Предпосылки!W310*IF(Предпосылки!$G278="нет",1,W$603)*IFERROR(LOOKUP(Предпосылки!$I278,$C$13:$C$15,W$13:W$15),1)</f>
        <v>0</v>
      </c>
      <c s="125">
        <f ca="1">Предпосылки!X310*IF(Предпосылки!$G278="нет",1,X$603)*IFERROR(LOOKUP(Предпосылки!$I278,$C$13:$C$15,X$13:X$15),1)</f>
        <v>0</v>
      </c>
      <c s="125">
        <f ca="1">Предпосылки!Y310*IF(Предпосылки!$G278="нет",1,Y$603)*IFERROR(LOOKUP(Предпосылки!$I278,$C$13:$C$15,Y$13:Y$15),1)</f>
        <v>0</v>
      </c>
      <c s="125">
        <f ca="1">Предпосылки!Z310*IF(Предпосылки!$G278="нет",1,Z$603)*IFERROR(LOOKUP(Предпосылки!$I278,$C$13:$C$15,Z$13:Z$15),1)</f>
        <v>0</v>
      </c>
      <c s="125">
        <f ca="1">Предпосылки!AA310*IF(Предпосылки!$G278="нет",1,AA$603)*IFERROR(LOOKUP(Предпосылки!$I278,$C$13:$C$15,AA$13:AA$15),1)</f>
        <v>0</v>
      </c>
      <c s="125">
        <f ca="1">Предпосылки!AB310*IF(Предпосылки!$G278="нет",1,AB$603)*IFERROR(LOOKUP(Предпосылки!$I278,$C$13:$C$15,AB$13:AB$15),1)</f>
        <v>0</v>
      </c>
      <c s="125">
        <f ca="1">Предпосылки!AC310*IF(Предпосылки!$G278="нет",1,AC$603)*IFERROR(LOOKUP(Предпосылки!$I278,$C$13:$C$15,AC$13:AC$15),1)</f>
        <v>0</v>
      </c>
      <c s="125">
        <f ca="1">Предпосылки!AD310*IF(Предпосылки!$G278="нет",1,AD$603)*IFERROR(LOOKUP(Предпосылки!$I278,$C$13:$C$15,AD$13:AD$15),1)</f>
        <v>0</v>
      </c>
      <c s="125">
        <f ca="1">Предпосылки!AE310*IF(Предпосылки!$G278="нет",1,AE$603)*IFERROR(LOOKUP(Предпосылки!$I278,$C$13:$C$15,AE$13:AE$15),1)</f>
        <v>0</v>
      </c>
      <c s="125">
        <f ca="1">Предпосылки!AF310*IF(Предпосылки!$G278="нет",1,AF$603)*IFERROR(LOOKUP(Предпосылки!$I278,$C$13:$C$15,AF$13:AF$15),1)</f>
        <v>0</v>
      </c>
      <c s="125">
        <f ca="1">Предпосылки!AG310*IF(Предпосылки!$G278="нет",1,AG$603)*IFERROR(LOOKUP(Предпосылки!$I278,$C$13:$C$15,AG$13:AG$15),1)</f>
        <v>0</v>
      </c>
      <c s="125">
        <f ca="1">Предпосылки!AH310*IF(Предпосылки!$G278="нет",1,AH$603)*IFERROR(LOOKUP(Предпосылки!$I278,$C$13:$C$15,AH$13:AH$15),1)</f>
        <v>0</v>
      </c>
      <c s="125">
        <f ca="1">Предпосылки!AI310*IF(Предпосылки!$G278="нет",1,AI$603)*IFERROR(LOOKUP(Предпосылки!$I278,$C$13:$C$15,AI$13:AI$15),1)</f>
        <v>0</v>
      </c>
      <c s="125">
        <f ca="1">Предпосылки!AJ310*IF(Предпосылки!$G278="нет",1,AJ$603)*IFERROR(LOOKUP(Предпосылки!$I278,$C$13:$C$15,AJ$13:AJ$15),1)</f>
        <v>0</v>
      </c>
      <c s="125">
        <f ca="1">Предпосылки!AK310*IF(Предпосылки!$G278="нет",1,AK$603)*IFERROR(LOOKUP(Предпосылки!$I278,$C$13:$C$15,AK$13:AK$15),1)</f>
        <v>0</v>
      </c>
      <c s="125">
        <f ca="1">Предпосылки!AL310*IF(Предпосылки!$G278="нет",1,AL$603)*IFERROR(LOOKUP(Предпосылки!$I278,$C$13:$C$15,AL$13:AL$15),1)</f>
        <v>0</v>
      </c>
      <c s="125">
        <f ca="1">Предпосылки!AM310*IF(Предпосылки!$G278="нет",1,AM$603)*IFERROR(LOOKUP(Предпосылки!$I278,$C$13:$C$15,AM$13:AM$15),1)</f>
        <v>0</v>
      </c>
      <c s="125">
        <f ca="1">Предпосылки!AN310*IF(Предпосылки!$G278="нет",1,AN$603)*IFERROR(LOOKUP(Предпосылки!$I278,$C$13:$C$15,AN$13:AN$15),1)</f>
        <v>0</v>
      </c>
      <c s="125">
        <f ca="1">Предпосылки!AO310*IF(Предпосылки!$G278="нет",1,AO$603)*IFERROR(LOOKUP(Предпосылки!$I278,$C$13:$C$15,AO$13:AO$15),1)</f>
        <v>0</v>
      </c>
      <c s="125">
        <f ca="1">Предпосылки!AP310*IF(Предпосылки!$G278="нет",1,AP$603)*IFERROR(LOOKUP(Предпосылки!$I278,$C$13:$C$15,AP$13:AP$15),1)</f>
        <v>0</v>
      </c>
      <c s="125">
        <f ca="1">Предпосылки!AQ310*IF(Предпосылки!$G278="нет",1,AQ$603)*IFERROR(LOOKUP(Предпосылки!$I278,$C$13:$C$15,AQ$13:AQ$15),1)</f>
        <v>0</v>
      </c>
      <c s="125">
        <f ca="1">Предпосылки!AR310*IF(Предпосылки!$G278="нет",1,AR$603)*IFERROR(LOOKUP(Предпосылки!$I278,$C$13:$C$15,AR$13:AR$15),1)</f>
        <v>0</v>
      </c>
      <c s="125">
        <f ca="1">Предпосылки!AS310*IF(Предпосылки!$G278="нет",1,AS$603)*IFERROR(LOOKUP(Предпосылки!$I278,$C$13:$C$15,AS$13:AS$15),1)</f>
        <v>0</v>
      </c>
      <c s="125">
        <f ca="1">Предпосылки!AT310*IF(Предпосылки!$G278="нет",1,AT$603)*IFERROR(LOOKUP(Предпосылки!$I278,$C$13:$C$15,AT$13:AT$15),1)</f>
        <v>0</v>
      </c>
      <c s="125">
        <f ca="1">Предпосылки!AU310*IF(Предпосылки!$G278="нет",1,AU$603)*IFERROR(LOOKUP(Предпосылки!$I278,$C$13:$C$15,AU$13:AU$15),1)</f>
        <v>0</v>
      </c>
      <c s="125">
        <f ca="1">Предпосылки!AV310*IF(Предпосылки!$G278="нет",1,AV$603)*IFERROR(LOOKUP(Предпосылки!$I278,$C$13:$C$15,AV$13:AV$15),1)</f>
        <v>0</v>
      </c>
      <c s="125">
        <f ca="1">Предпосылки!AW310*IF(Предпосылки!$G278="нет",1,AW$603)*IFERROR(LOOKUP(Предпосылки!$I278,$C$13:$C$15,AW$13:AW$15),1)</f>
        <v>0</v>
      </c>
      <c s="125">
        <f ca="1">Предпосылки!AX310*IF(Предпосылки!$G278="нет",1,AX$603)*IFERROR(LOOKUP(Предпосылки!$I278,$C$13:$C$15,AX$13:AX$15),1)</f>
        <v>0</v>
      </c>
      <c s="125">
        <f ca="1">Предпосылки!AY310*IF(Предпосылки!$G278="нет",1,AY$603)*IFERROR(LOOKUP(Предпосылки!$I278,$C$13:$C$15,AY$13:AY$15),1)</f>
        <v>0</v>
      </c>
      <c s="125">
        <f ca="1">Предпосылки!AZ310*IF(Предпосылки!$G278="нет",1,AZ$603)*IFERROR(LOOKUP(Предпосылки!$I278,$C$13:$C$15,AZ$13:AZ$15),1)</f>
        <v>0</v>
      </c>
      <c s="125">
        <f ca="1">Предпосылки!BA310*IF(Предпосылки!$G278="нет",1,BA$603)*IFERROR(LOOKUP(Предпосылки!$I278,$C$13:$C$15,BA$13:BA$15),1)</f>
        <v>0</v>
      </c>
      <c s="125">
        <f ca="1">Предпосылки!BB310*IF(Предпосылки!$G278="нет",1,BB$603)*IFERROR(LOOKUP(Предпосылки!$I278,$C$13:$C$15,BB$13:BB$15),1)</f>
        <v>0</v>
      </c>
      <c s="125">
        <f ca="1">Предпосылки!BC310*IF(Предпосылки!$G278="нет",1,BC$603)*IFERROR(LOOKUP(Предпосылки!$I278,$C$13:$C$15,BC$13:BC$15),1)</f>
        <v>0</v>
      </c>
      <c s="125">
        <f ca="1">Предпосылки!BD310*IF(Предпосылки!$G278="нет",1,BD$603)*IFERROR(LOOKUP(Предпосылки!$I278,$C$13:$C$15,BD$13:BD$15),1)</f>
        <v>0</v>
      </c>
      <c s="125">
        <f ca="1">Предпосылки!BE310*IF(Предпосылки!$G278="нет",1,BE$603)*IFERROR(LOOKUP(Предпосылки!$I278,$C$13:$C$15,BE$13:BE$15),1)</f>
        <v>0</v>
      </c>
      <c s="125">
        <f ca="1">Предпосылки!BF310*IF(Предпосылки!$G278="нет",1,BF$603)*IFERROR(LOOKUP(Предпосылки!$I278,$C$13:$C$15,BF$13:BF$15),1)</f>
        <v>0</v>
      </c>
      <c s="125">
        <f ca="1">Предпосылки!BG310*IF(Предпосылки!$G278="нет",1,BG$603)*IFERROR(LOOKUP(Предпосылки!$I278,$C$13:$C$15,BG$13:BG$15),1)</f>
        <v>0</v>
      </c>
      <c s="125">
        <f ca="1">Предпосылки!BH310*IF(Предпосылки!$G278="нет",1,BH$603)*IFERROR(LOOKUP(Предпосылки!$I278,$C$13:$C$15,BH$13:BH$15),1)</f>
        <v>0</v>
      </c>
      <c s="125">
        <f ca="1">Предпосылки!BI310*IF(Предпосылки!$G278="нет",1,BI$603)*IFERROR(LOOKUP(Предпосылки!$I278,$C$13:$C$15,BI$13:BI$15),1)</f>
        <v>0</v>
      </c>
      <c s="125">
        <f ca="1">Предпосылки!BJ310*IF(Предпосылки!$G278="нет",1,BJ$603)*IFERROR(LOOKUP(Предпосылки!$I278,$C$13:$C$15,BJ$13:BJ$15),1)</f>
        <v>0</v>
      </c>
      <c s="125">
        <f ca="1">Предпосылки!BK310*IF(Предпосылки!$G278="нет",1,BK$603)*IFERROR(LOOKUP(Предпосылки!$I278,$C$13:$C$15,BK$13:BK$15),1)</f>
        <v>0</v>
      </c>
      <c s="125">
        <f ca="1">Предпосылки!BL310*IF(Предпосылки!$G278="нет",1,BL$603)*IFERROR(LOOKUP(Предпосылки!$I278,$C$13:$C$15,BL$13:BL$15),1)</f>
        <v>0</v>
      </c>
      <c s="125">
        <f ca="1">Предпосылки!BM310*IF(Предпосылки!$G278="нет",1,BM$603)*IFERROR(LOOKUP(Предпосылки!$I278,$C$13:$C$15,BM$13:BM$15),1)</f>
        <v>0</v>
      </c>
    </row>
    <row r="636" spans="2:65" ht="15" customHeight="1">
      <c r="B636" s="12" t="str">
        <f t="shared" si="370" ref="B636:B659">B608</f>
        <v>-</v>
      </c>
      <c s="124" t="str">
        <f t="shared" si="369"/>
        <v>тыс. руб.</v>
      </c>
      <c s="276">
        <f t="shared" si="371" ref="D636:D659">SUM(E636:BM636)</f>
        <v>0</v>
      </c>
      <c s="125">
        <f>Предпосылки!E311*IF(Предпосылки!$G279="нет",1,E$603)*IFERROR(LOOKUP(Предпосылки!$I279,$C$13:$C$15,E$13:E$15),1)</f>
        <v>0</v>
      </c>
      <c s="125">
        <f>Предпосылки!F311*IF(Предпосылки!$G279="нет",1,F$603)*IFERROR(LOOKUP(Предпосылки!$I279,$C$13:$C$15,F$13:F$15),1)</f>
        <v>0</v>
      </c>
      <c s="125">
        <f>Предпосылки!G311*IF(Предпосылки!$G279="нет",1,G$603)*IFERROR(LOOKUP(Предпосылки!$I279,$C$13:$C$15,G$13:G$15),1)</f>
        <v>0</v>
      </c>
      <c s="125">
        <f>Предпосылки!H311*IF(Предпосылки!$G279="нет",1,H$603)*IFERROR(LOOKUP(Предпосылки!$I279,$C$13:$C$15,H$13:H$15),1)</f>
        <v>0</v>
      </c>
      <c s="125">
        <f>Предпосылки!I311*IF(Предпосылки!$G279="нет",1,I$603)*IFERROR(LOOKUP(Предпосылки!$I279,$C$13:$C$15,I$13:I$15),1)</f>
        <v>0</v>
      </c>
      <c s="125">
        <f>Предпосылки!J311*IF(Предпосылки!$G279="нет",1,J$603)*IFERROR(LOOKUP(Предпосылки!$I279,$C$13:$C$15,J$13:J$15),1)</f>
        <v>0</v>
      </c>
      <c s="125">
        <f>Предпосылки!K311*IF(Предпосылки!$G279="нет",1,K$603)*IFERROR(LOOKUP(Предпосылки!$I279,$C$13:$C$15,K$13:K$15),1)</f>
        <v>0</v>
      </c>
      <c s="125">
        <f>Предпосылки!L311*IF(Предпосылки!$G279="нет",1,L$603)*IFERROR(LOOKUP(Предпосылки!$I279,$C$13:$C$15,L$13:L$15),1)</f>
        <v>0</v>
      </c>
      <c s="125">
        <f>Предпосылки!M311*IF(Предпосылки!$G279="нет",1,M$603)*IFERROR(LOOKUP(Предпосылки!$I279,$C$13:$C$15,M$13:M$15),1)</f>
        <v>0</v>
      </c>
      <c s="125">
        <f>Предпосылки!N311*IF(Предпосылки!$G279="нет",1,N$603)*IFERROR(LOOKUP(Предпосылки!$I279,$C$13:$C$15,N$13:N$15),1)</f>
        <v>0</v>
      </c>
      <c s="125">
        <f>Предпосылки!O311*IF(Предпосылки!$G279="нет",1,O$603)*IFERROR(LOOKUP(Предпосылки!$I279,$C$13:$C$15,O$13:O$15),1)</f>
        <v>0</v>
      </c>
      <c s="125">
        <f>Предпосылки!P311*IF(Предпосылки!$G279="нет",1,P$603)*IFERROR(LOOKUP(Предпосылки!$I279,$C$13:$C$15,P$13:P$15),1)</f>
        <v>0</v>
      </c>
      <c s="125">
        <f>Предпосылки!Q311*IF(Предпосылки!$G279="нет",1,Q$603)*IFERROR(LOOKUP(Предпосылки!$I279,$C$13:$C$15,Q$13:Q$15),1)</f>
        <v>0</v>
      </c>
      <c s="125">
        <f>Предпосылки!R311*IF(Предпосылки!$G279="нет",1,R$603)*IFERROR(LOOKUP(Предпосылки!$I279,$C$13:$C$15,R$13:R$15),1)</f>
        <v>0</v>
      </c>
      <c s="125">
        <f>Предпосылки!S311*IF(Предпосылки!$G279="нет",1,S$603)*IFERROR(LOOKUP(Предпосылки!$I279,$C$13:$C$15,S$13:S$15),1)</f>
        <v>0</v>
      </c>
      <c s="125">
        <f>Предпосылки!T311*IF(Предпосылки!$G279="нет",1,T$603)*IFERROR(LOOKUP(Предпосылки!$I279,$C$13:$C$15,T$13:T$15),1)</f>
        <v>0</v>
      </c>
      <c s="125">
        <f>Предпосылки!U311*IF(Предпосылки!$G279="нет",1,U$603)*IFERROR(LOOKUP(Предпосылки!$I279,$C$13:$C$15,U$13:U$15),1)</f>
        <v>0</v>
      </c>
      <c s="125">
        <f>Предпосылки!V311*IF(Предпосылки!$G279="нет",1,V$603)*IFERROR(LOOKUP(Предпосылки!$I279,$C$13:$C$15,V$13:V$15),1)</f>
        <v>0</v>
      </c>
      <c s="125">
        <f>Предпосылки!W311*IF(Предпосылки!$G279="нет",1,W$603)*IFERROR(LOOKUP(Предпосылки!$I279,$C$13:$C$15,W$13:W$15),1)</f>
        <v>0</v>
      </c>
      <c s="125">
        <f>Предпосылки!X311*IF(Предпосылки!$G279="нет",1,X$603)*IFERROR(LOOKUP(Предпосылки!$I279,$C$13:$C$15,X$13:X$15),1)</f>
        <v>0</v>
      </c>
      <c s="125">
        <f>Предпосылки!Y311*IF(Предпосылки!$G279="нет",1,Y$603)*IFERROR(LOOKUP(Предпосылки!$I279,$C$13:$C$15,Y$13:Y$15),1)</f>
        <v>0</v>
      </c>
      <c s="125">
        <f>Предпосылки!Z311*IF(Предпосылки!$G279="нет",1,Z$603)*IFERROR(LOOKUP(Предпосылки!$I279,$C$13:$C$15,Z$13:Z$15),1)</f>
        <v>0</v>
      </c>
      <c s="125">
        <f>Предпосылки!AA311*IF(Предпосылки!$G279="нет",1,AA$603)*IFERROR(LOOKUP(Предпосылки!$I279,$C$13:$C$15,AA$13:AA$15),1)</f>
        <v>0</v>
      </c>
      <c s="125">
        <f>Предпосылки!AB311*IF(Предпосылки!$G279="нет",1,AB$603)*IFERROR(LOOKUP(Предпосылки!$I279,$C$13:$C$15,AB$13:AB$15),1)</f>
        <v>0</v>
      </c>
      <c s="125">
        <f>Предпосылки!AC311*IF(Предпосылки!$G279="нет",1,AC$603)*IFERROR(LOOKUP(Предпосылки!$I279,$C$13:$C$15,AC$13:AC$15),1)</f>
        <v>0</v>
      </c>
      <c s="125">
        <f>Предпосылки!AD311*IF(Предпосылки!$G279="нет",1,AD$603)*IFERROR(LOOKUP(Предпосылки!$I279,$C$13:$C$15,AD$13:AD$15),1)</f>
        <v>0</v>
      </c>
      <c s="125">
        <f>Предпосылки!AE311*IF(Предпосылки!$G279="нет",1,AE$603)*IFERROR(LOOKUP(Предпосылки!$I279,$C$13:$C$15,AE$13:AE$15),1)</f>
        <v>0</v>
      </c>
      <c s="125">
        <f>Предпосылки!AF311*IF(Предпосылки!$G279="нет",1,AF$603)*IFERROR(LOOKUP(Предпосылки!$I279,$C$13:$C$15,AF$13:AF$15),1)</f>
        <v>0</v>
      </c>
      <c s="125">
        <f>Предпосылки!AG311*IF(Предпосылки!$G279="нет",1,AG$603)*IFERROR(LOOKUP(Предпосылки!$I279,$C$13:$C$15,AG$13:AG$15),1)</f>
        <v>0</v>
      </c>
      <c s="125">
        <f>Предпосылки!AH311*IF(Предпосылки!$G279="нет",1,AH$603)*IFERROR(LOOKUP(Предпосылки!$I279,$C$13:$C$15,AH$13:AH$15),1)</f>
        <v>0</v>
      </c>
      <c s="125">
        <f>Предпосылки!AI311*IF(Предпосылки!$G279="нет",1,AI$603)*IFERROR(LOOKUP(Предпосылки!$I279,$C$13:$C$15,AI$13:AI$15),1)</f>
        <v>0</v>
      </c>
      <c s="125">
        <f>Предпосылки!AJ311*IF(Предпосылки!$G279="нет",1,AJ$603)*IFERROR(LOOKUP(Предпосылки!$I279,$C$13:$C$15,AJ$13:AJ$15),1)</f>
        <v>0</v>
      </c>
      <c s="125">
        <f>Предпосылки!AK311*IF(Предпосылки!$G279="нет",1,AK$603)*IFERROR(LOOKUP(Предпосылки!$I279,$C$13:$C$15,AK$13:AK$15),1)</f>
        <v>0</v>
      </c>
      <c s="125">
        <f>Предпосылки!AL311*IF(Предпосылки!$G279="нет",1,AL$603)*IFERROR(LOOKUP(Предпосылки!$I279,$C$13:$C$15,AL$13:AL$15),1)</f>
        <v>0</v>
      </c>
      <c s="125">
        <f>Предпосылки!AM311*IF(Предпосылки!$G279="нет",1,AM$603)*IFERROR(LOOKUP(Предпосылки!$I279,$C$13:$C$15,AM$13:AM$15),1)</f>
        <v>0</v>
      </c>
      <c s="125">
        <f>Предпосылки!AN311*IF(Предпосылки!$G279="нет",1,AN$603)*IFERROR(LOOKUP(Предпосылки!$I279,$C$13:$C$15,AN$13:AN$15),1)</f>
        <v>0</v>
      </c>
      <c s="125">
        <f>Предпосылки!AO311*IF(Предпосылки!$G279="нет",1,AO$603)*IFERROR(LOOKUP(Предпосылки!$I279,$C$13:$C$15,AO$13:AO$15),1)</f>
        <v>0</v>
      </c>
      <c s="125">
        <f>Предпосылки!AP311*IF(Предпосылки!$G279="нет",1,AP$603)*IFERROR(LOOKUP(Предпосылки!$I279,$C$13:$C$15,AP$13:AP$15),1)</f>
        <v>0</v>
      </c>
      <c s="125">
        <f>Предпосылки!AQ311*IF(Предпосылки!$G279="нет",1,AQ$603)*IFERROR(LOOKUP(Предпосылки!$I279,$C$13:$C$15,AQ$13:AQ$15),1)</f>
        <v>0</v>
      </c>
      <c s="125">
        <f>Предпосылки!AR311*IF(Предпосылки!$G279="нет",1,AR$603)*IFERROR(LOOKUP(Предпосылки!$I279,$C$13:$C$15,AR$13:AR$15),1)</f>
        <v>0</v>
      </c>
      <c s="125">
        <f>Предпосылки!AS311*IF(Предпосылки!$G279="нет",1,AS$603)*IFERROR(LOOKUP(Предпосылки!$I279,$C$13:$C$15,AS$13:AS$15),1)</f>
        <v>0</v>
      </c>
      <c s="125">
        <f>Предпосылки!AT311*IF(Предпосылки!$G279="нет",1,AT$603)*IFERROR(LOOKUP(Предпосылки!$I279,$C$13:$C$15,AT$13:AT$15),1)</f>
        <v>0</v>
      </c>
      <c s="125">
        <f>Предпосылки!AU311*IF(Предпосылки!$G279="нет",1,AU$603)*IFERROR(LOOKUP(Предпосылки!$I279,$C$13:$C$15,AU$13:AU$15),1)</f>
        <v>0</v>
      </c>
      <c s="125">
        <f>Предпосылки!AV311*IF(Предпосылки!$G279="нет",1,AV$603)*IFERROR(LOOKUP(Предпосылки!$I279,$C$13:$C$15,AV$13:AV$15),1)</f>
        <v>0</v>
      </c>
      <c s="125">
        <f>Предпосылки!AW311*IF(Предпосылки!$G279="нет",1,AW$603)*IFERROR(LOOKUP(Предпосылки!$I279,$C$13:$C$15,AW$13:AW$15),1)</f>
        <v>0</v>
      </c>
      <c s="125">
        <f>Предпосылки!AX311*IF(Предпосылки!$G279="нет",1,AX$603)*IFERROR(LOOKUP(Предпосылки!$I279,$C$13:$C$15,AX$13:AX$15),1)</f>
        <v>0</v>
      </c>
      <c s="125">
        <f>Предпосылки!AY311*IF(Предпосылки!$G279="нет",1,AY$603)*IFERROR(LOOKUP(Предпосылки!$I279,$C$13:$C$15,AY$13:AY$15),1)</f>
        <v>0</v>
      </c>
      <c s="125">
        <f>Предпосылки!AZ311*IF(Предпосылки!$G279="нет",1,AZ$603)*IFERROR(LOOKUP(Предпосылки!$I279,$C$13:$C$15,AZ$13:AZ$15),1)</f>
        <v>0</v>
      </c>
      <c s="125">
        <f>Предпосылки!BA311*IF(Предпосылки!$G279="нет",1,BA$603)*IFERROR(LOOKUP(Предпосылки!$I279,$C$13:$C$15,BA$13:BA$15),1)</f>
        <v>0</v>
      </c>
      <c s="125">
        <f>Предпосылки!BB311*IF(Предпосылки!$G279="нет",1,BB$603)*IFERROR(LOOKUP(Предпосылки!$I279,$C$13:$C$15,BB$13:BB$15),1)</f>
        <v>0</v>
      </c>
      <c s="125">
        <f>Предпосылки!BC311*IF(Предпосылки!$G279="нет",1,BC$603)*IFERROR(LOOKUP(Предпосылки!$I279,$C$13:$C$15,BC$13:BC$15),1)</f>
        <v>0</v>
      </c>
      <c s="125">
        <f>Предпосылки!BD311*IF(Предпосылки!$G279="нет",1,BD$603)*IFERROR(LOOKUP(Предпосылки!$I279,$C$13:$C$15,BD$13:BD$15),1)</f>
        <v>0</v>
      </c>
      <c s="125">
        <f>Предпосылки!BE311*IF(Предпосылки!$G279="нет",1,BE$603)*IFERROR(LOOKUP(Предпосылки!$I279,$C$13:$C$15,BE$13:BE$15),1)</f>
        <v>0</v>
      </c>
      <c s="125">
        <f>Предпосылки!BF311*IF(Предпосылки!$G279="нет",1,BF$603)*IFERROR(LOOKUP(Предпосылки!$I279,$C$13:$C$15,BF$13:BF$15),1)</f>
        <v>0</v>
      </c>
      <c s="125">
        <f>Предпосылки!BG311*IF(Предпосылки!$G279="нет",1,BG$603)*IFERROR(LOOKUP(Предпосылки!$I279,$C$13:$C$15,BG$13:BG$15),1)</f>
        <v>0</v>
      </c>
      <c s="125">
        <f>Предпосылки!BH311*IF(Предпосылки!$G279="нет",1,BH$603)*IFERROR(LOOKUP(Предпосылки!$I279,$C$13:$C$15,BH$13:BH$15),1)</f>
        <v>0</v>
      </c>
      <c s="125">
        <f>Предпосылки!BI311*IF(Предпосылки!$G279="нет",1,BI$603)*IFERROR(LOOKUP(Предпосылки!$I279,$C$13:$C$15,BI$13:BI$15),1)</f>
        <v>0</v>
      </c>
      <c s="125">
        <f>Предпосылки!BJ311*IF(Предпосылки!$G279="нет",1,BJ$603)*IFERROR(LOOKUP(Предпосылки!$I279,$C$13:$C$15,BJ$13:BJ$15),1)</f>
        <v>0</v>
      </c>
      <c s="125">
        <f>Предпосылки!BK311*IF(Предпосылки!$G279="нет",1,BK$603)*IFERROR(LOOKUP(Предпосылки!$I279,$C$13:$C$15,BK$13:BK$15),1)</f>
        <v>0</v>
      </c>
      <c s="125">
        <f>Предпосылки!BL311*IF(Предпосылки!$G279="нет",1,BL$603)*IFERROR(LOOKUP(Предпосылки!$I279,$C$13:$C$15,BL$13:BL$15),1)</f>
        <v>0</v>
      </c>
      <c s="125">
        <f>Предпосылки!BM311*IF(Предпосылки!$G279="нет",1,BM$603)*IFERROR(LOOKUP(Предпосылки!$I279,$C$13:$C$15,BM$13:BM$15),1)</f>
        <v>0</v>
      </c>
    </row>
    <row r="637" spans="2:65" ht="15" customHeight="1">
      <c r="B637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Предпосылки!E312*IF(Предпосылки!$G280="нет",1,E$603)*IFERROR(LOOKUP(Предпосылки!$I280,$C$13:$C$15,E$13:E$15),1)</f>
        <v>0</v>
      </c>
      <c s="125">
        <f>Предпосылки!F312*IF(Предпосылки!$G280="нет",1,F$603)*IFERROR(LOOKUP(Предпосылки!$I280,$C$13:$C$15,F$13:F$15),1)</f>
        <v>0</v>
      </c>
      <c s="125">
        <f>Предпосылки!G312*IF(Предпосылки!$G280="нет",1,G$603)*IFERROR(LOOKUP(Предпосылки!$I280,$C$13:$C$15,G$13:G$15),1)</f>
        <v>0</v>
      </c>
      <c s="125">
        <f>Предпосылки!H312*IF(Предпосылки!$G280="нет",1,H$603)*IFERROR(LOOKUP(Предпосылки!$I280,$C$13:$C$15,H$13:H$15),1)</f>
        <v>0</v>
      </c>
      <c s="125">
        <f>Предпосылки!I312*IF(Предпосылки!$G280="нет",1,I$603)*IFERROR(LOOKUP(Предпосылки!$I280,$C$13:$C$15,I$13:I$15),1)</f>
        <v>0</v>
      </c>
      <c s="125">
        <f>Предпосылки!J312*IF(Предпосылки!$G280="нет",1,J$603)*IFERROR(LOOKUP(Предпосылки!$I280,$C$13:$C$15,J$13:J$15),1)</f>
        <v>0</v>
      </c>
      <c s="125">
        <f>Предпосылки!K312*IF(Предпосылки!$G280="нет",1,K$603)*IFERROR(LOOKUP(Предпосылки!$I280,$C$13:$C$15,K$13:K$15),1)</f>
        <v>0</v>
      </c>
      <c s="125">
        <f>Предпосылки!L312*IF(Предпосылки!$G280="нет",1,L$603)*IFERROR(LOOKUP(Предпосылки!$I280,$C$13:$C$15,L$13:L$15),1)</f>
        <v>0</v>
      </c>
      <c s="125">
        <f>Предпосылки!M312*IF(Предпосылки!$G280="нет",1,M$603)*IFERROR(LOOKUP(Предпосылки!$I280,$C$13:$C$15,M$13:M$15),1)</f>
        <v>0</v>
      </c>
      <c s="125">
        <f>Предпосылки!N312*IF(Предпосылки!$G280="нет",1,N$603)*IFERROR(LOOKUP(Предпосылки!$I280,$C$13:$C$15,N$13:N$15),1)</f>
        <v>0</v>
      </c>
      <c s="125">
        <f>Предпосылки!O312*IF(Предпосылки!$G280="нет",1,O$603)*IFERROR(LOOKUP(Предпосылки!$I280,$C$13:$C$15,O$13:O$15),1)</f>
        <v>0</v>
      </c>
      <c s="125">
        <f>Предпосылки!P312*IF(Предпосылки!$G280="нет",1,P$603)*IFERROR(LOOKUP(Предпосылки!$I280,$C$13:$C$15,P$13:P$15),1)</f>
        <v>0</v>
      </c>
      <c s="125">
        <f>Предпосылки!Q312*IF(Предпосылки!$G280="нет",1,Q$603)*IFERROR(LOOKUP(Предпосылки!$I280,$C$13:$C$15,Q$13:Q$15),1)</f>
        <v>0</v>
      </c>
      <c s="125">
        <f>Предпосылки!R312*IF(Предпосылки!$G280="нет",1,R$603)*IFERROR(LOOKUP(Предпосылки!$I280,$C$13:$C$15,R$13:R$15),1)</f>
        <v>0</v>
      </c>
      <c s="125">
        <f>Предпосылки!S312*IF(Предпосылки!$G280="нет",1,S$603)*IFERROR(LOOKUP(Предпосылки!$I280,$C$13:$C$15,S$13:S$15),1)</f>
        <v>0</v>
      </c>
      <c s="125">
        <f>Предпосылки!T312*IF(Предпосылки!$G280="нет",1,T$603)*IFERROR(LOOKUP(Предпосылки!$I280,$C$13:$C$15,T$13:T$15),1)</f>
        <v>0</v>
      </c>
      <c s="125">
        <f>Предпосылки!U312*IF(Предпосылки!$G280="нет",1,U$603)*IFERROR(LOOKUP(Предпосылки!$I280,$C$13:$C$15,U$13:U$15),1)</f>
        <v>0</v>
      </c>
      <c s="125">
        <f>Предпосылки!V312*IF(Предпосылки!$G280="нет",1,V$603)*IFERROR(LOOKUP(Предпосылки!$I280,$C$13:$C$15,V$13:V$15),1)</f>
        <v>0</v>
      </c>
      <c s="125">
        <f>Предпосылки!W312*IF(Предпосылки!$G280="нет",1,W$603)*IFERROR(LOOKUP(Предпосылки!$I280,$C$13:$C$15,W$13:W$15),1)</f>
        <v>0</v>
      </c>
      <c s="125">
        <f>Предпосылки!X312*IF(Предпосылки!$G280="нет",1,X$603)*IFERROR(LOOKUP(Предпосылки!$I280,$C$13:$C$15,X$13:X$15),1)</f>
        <v>0</v>
      </c>
      <c s="125">
        <f>Предпосылки!Y312*IF(Предпосылки!$G280="нет",1,Y$603)*IFERROR(LOOKUP(Предпосылки!$I280,$C$13:$C$15,Y$13:Y$15),1)</f>
        <v>0</v>
      </c>
      <c s="125">
        <f>Предпосылки!Z312*IF(Предпосылки!$G280="нет",1,Z$603)*IFERROR(LOOKUP(Предпосылки!$I280,$C$13:$C$15,Z$13:Z$15),1)</f>
        <v>0</v>
      </c>
      <c s="125">
        <f>Предпосылки!AA312*IF(Предпосылки!$G280="нет",1,AA$603)*IFERROR(LOOKUP(Предпосылки!$I280,$C$13:$C$15,AA$13:AA$15),1)</f>
        <v>0</v>
      </c>
      <c s="125">
        <f>Предпосылки!AB312*IF(Предпосылки!$G280="нет",1,AB$603)*IFERROR(LOOKUP(Предпосылки!$I280,$C$13:$C$15,AB$13:AB$15),1)</f>
        <v>0</v>
      </c>
      <c s="125">
        <f>Предпосылки!AC312*IF(Предпосылки!$G280="нет",1,AC$603)*IFERROR(LOOKUP(Предпосылки!$I280,$C$13:$C$15,AC$13:AC$15),1)</f>
        <v>0</v>
      </c>
      <c s="125">
        <f>Предпосылки!AD312*IF(Предпосылки!$G280="нет",1,AD$603)*IFERROR(LOOKUP(Предпосылки!$I280,$C$13:$C$15,AD$13:AD$15),1)</f>
        <v>0</v>
      </c>
      <c s="125">
        <f>Предпосылки!AE312*IF(Предпосылки!$G280="нет",1,AE$603)*IFERROR(LOOKUP(Предпосылки!$I280,$C$13:$C$15,AE$13:AE$15),1)</f>
        <v>0</v>
      </c>
      <c s="125">
        <f>Предпосылки!AF312*IF(Предпосылки!$G280="нет",1,AF$603)*IFERROR(LOOKUP(Предпосылки!$I280,$C$13:$C$15,AF$13:AF$15),1)</f>
        <v>0</v>
      </c>
      <c s="125">
        <f>Предпосылки!AG312*IF(Предпосылки!$G280="нет",1,AG$603)*IFERROR(LOOKUP(Предпосылки!$I280,$C$13:$C$15,AG$13:AG$15),1)</f>
        <v>0</v>
      </c>
      <c s="125">
        <f>Предпосылки!AH312*IF(Предпосылки!$G280="нет",1,AH$603)*IFERROR(LOOKUP(Предпосылки!$I280,$C$13:$C$15,AH$13:AH$15),1)</f>
        <v>0</v>
      </c>
      <c s="125">
        <f>Предпосылки!AI312*IF(Предпосылки!$G280="нет",1,AI$603)*IFERROR(LOOKUP(Предпосылки!$I280,$C$13:$C$15,AI$13:AI$15),1)</f>
        <v>0</v>
      </c>
      <c s="125">
        <f>Предпосылки!AJ312*IF(Предпосылки!$G280="нет",1,AJ$603)*IFERROR(LOOKUP(Предпосылки!$I280,$C$13:$C$15,AJ$13:AJ$15),1)</f>
        <v>0</v>
      </c>
      <c s="125">
        <f>Предпосылки!AK312*IF(Предпосылки!$G280="нет",1,AK$603)*IFERROR(LOOKUP(Предпосылки!$I280,$C$13:$C$15,AK$13:AK$15),1)</f>
        <v>0</v>
      </c>
      <c s="125">
        <f>Предпосылки!AL312*IF(Предпосылки!$G280="нет",1,AL$603)*IFERROR(LOOKUP(Предпосылки!$I280,$C$13:$C$15,AL$13:AL$15),1)</f>
        <v>0</v>
      </c>
      <c s="125">
        <f>Предпосылки!AM312*IF(Предпосылки!$G280="нет",1,AM$603)*IFERROR(LOOKUP(Предпосылки!$I280,$C$13:$C$15,AM$13:AM$15),1)</f>
        <v>0</v>
      </c>
      <c s="125">
        <f>Предпосылки!AN312*IF(Предпосылки!$G280="нет",1,AN$603)*IFERROR(LOOKUP(Предпосылки!$I280,$C$13:$C$15,AN$13:AN$15),1)</f>
        <v>0</v>
      </c>
      <c s="125">
        <f>Предпосылки!AO312*IF(Предпосылки!$G280="нет",1,AO$603)*IFERROR(LOOKUP(Предпосылки!$I280,$C$13:$C$15,AO$13:AO$15),1)</f>
        <v>0</v>
      </c>
      <c s="125">
        <f>Предпосылки!AP312*IF(Предпосылки!$G280="нет",1,AP$603)*IFERROR(LOOKUP(Предпосылки!$I280,$C$13:$C$15,AP$13:AP$15),1)</f>
        <v>0</v>
      </c>
      <c s="125">
        <f>Предпосылки!AQ312*IF(Предпосылки!$G280="нет",1,AQ$603)*IFERROR(LOOKUP(Предпосылки!$I280,$C$13:$C$15,AQ$13:AQ$15),1)</f>
        <v>0</v>
      </c>
      <c s="125">
        <f>Предпосылки!AR312*IF(Предпосылки!$G280="нет",1,AR$603)*IFERROR(LOOKUP(Предпосылки!$I280,$C$13:$C$15,AR$13:AR$15),1)</f>
        <v>0</v>
      </c>
      <c s="125">
        <f>Предпосылки!AS312*IF(Предпосылки!$G280="нет",1,AS$603)*IFERROR(LOOKUP(Предпосылки!$I280,$C$13:$C$15,AS$13:AS$15),1)</f>
        <v>0</v>
      </c>
      <c s="125">
        <f>Предпосылки!AT312*IF(Предпосылки!$G280="нет",1,AT$603)*IFERROR(LOOKUP(Предпосылки!$I280,$C$13:$C$15,AT$13:AT$15),1)</f>
        <v>0</v>
      </c>
      <c s="125">
        <f>Предпосылки!AU312*IF(Предпосылки!$G280="нет",1,AU$603)*IFERROR(LOOKUP(Предпосылки!$I280,$C$13:$C$15,AU$13:AU$15),1)</f>
        <v>0</v>
      </c>
      <c s="125">
        <f>Предпосылки!AV312*IF(Предпосылки!$G280="нет",1,AV$603)*IFERROR(LOOKUP(Предпосылки!$I280,$C$13:$C$15,AV$13:AV$15),1)</f>
        <v>0</v>
      </c>
      <c s="125">
        <f>Предпосылки!AW312*IF(Предпосылки!$G280="нет",1,AW$603)*IFERROR(LOOKUP(Предпосылки!$I280,$C$13:$C$15,AW$13:AW$15),1)</f>
        <v>0</v>
      </c>
      <c s="125">
        <f>Предпосылки!AX312*IF(Предпосылки!$G280="нет",1,AX$603)*IFERROR(LOOKUP(Предпосылки!$I280,$C$13:$C$15,AX$13:AX$15),1)</f>
        <v>0</v>
      </c>
      <c s="125">
        <f>Предпосылки!AY312*IF(Предпосылки!$G280="нет",1,AY$603)*IFERROR(LOOKUP(Предпосылки!$I280,$C$13:$C$15,AY$13:AY$15),1)</f>
        <v>0</v>
      </c>
      <c s="125">
        <f>Предпосылки!AZ312*IF(Предпосылки!$G280="нет",1,AZ$603)*IFERROR(LOOKUP(Предпосылки!$I280,$C$13:$C$15,AZ$13:AZ$15),1)</f>
        <v>0</v>
      </c>
      <c s="125">
        <f>Предпосылки!BA312*IF(Предпосылки!$G280="нет",1,BA$603)*IFERROR(LOOKUP(Предпосылки!$I280,$C$13:$C$15,BA$13:BA$15),1)</f>
        <v>0</v>
      </c>
      <c s="125">
        <f>Предпосылки!BB312*IF(Предпосылки!$G280="нет",1,BB$603)*IFERROR(LOOKUP(Предпосылки!$I280,$C$13:$C$15,BB$13:BB$15),1)</f>
        <v>0</v>
      </c>
      <c s="125">
        <f>Предпосылки!BC312*IF(Предпосылки!$G280="нет",1,BC$603)*IFERROR(LOOKUP(Предпосылки!$I280,$C$13:$C$15,BC$13:BC$15),1)</f>
        <v>0</v>
      </c>
      <c s="125">
        <f>Предпосылки!BD312*IF(Предпосылки!$G280="нет",1,BD$603)*IFERROR(LOOKUP(Предпосылки!$I280,$C$13:$C$15,BD$13:BD$15),1)</f>
        <v>0</v>
      </c>
      <c s="125">
        <f>Предпосылки!BE312*IF(Предпосылки!$G280="нет",1,BE$603)*IFERROR(LOOKUP(Предпосылки!$I280,$C$13:$C$15,BE$13:BE$15),1)</f>
        <v>0</v>
      </c>
      <c s="125">
        <f>Предпосылки!BF312*IF(Предпосылки!$G280="нет",1,BF$603)*IFERROR(LOOKUP(Предпосылки!$I280,$C$13:$C$15,BF$13:BF$15),1)</f>
        <v>0</v>
      </c>
      <c s="125">
        <f>Предпосылки!BG312*IF(Предпосылки!$G280="нет",1,BG$603)*IFERROR(LOOKUP(Предпосылки!$I280,$C$13:$C$15,BG$13:BG$15),1)</f>
        <v>0</v>
      </c>
      <c s="125">
        <f>Предпосылки!BH312*IF(Предпосылки!$G280="нет",1,BH$603)*IFERROR(LOOKUP(Предпосылки!$I280,$C$13:$C$15,BH$13:BH$15),1)</f>
        <v>0</v>
      </c>
      <c s="125">
        <f>Предпосылки!BI312*IF(Предпосылки!$G280="нет",1,BI$603)*IFERROR(LOOKUP(Предпосылки!$I280,$C$13:$C$15,BI$13:BI$15),1)</f>
        <v>0</v>
      </c>
      <c s="125">
        <f>Предпосылки!BJ312*IF(Предпосылки!$G280="нет",1,BJ$603)*IFERROR(LOOKUP(Предпосылки!$I280,$C$13:$C$15,BJ$13:BJ$15),1)</f>
        <v>0</v>
      </c>
      <c s="125">
        <f>Предпосылки!BK312*IF(Предпосылки!$G280="нет",1,BK$603)*IFERROR(LOOKUP(Предпосылки!$I280,$C$13:$C$15,BK$13:BK$15),1)</f>
        <v>0</v>
      </c>
      <c s="125">
        <f>Предпосылки!BL312*IF(Предпосылки!$G280="нет",1,BL$603)*IFERROR(LOOKUP(Предпосылки!$I280,$C$13:$C$15,BL$13:BL$15),1)</f>
        <v>0</v>
      </c>
      <c s="125">
        <f>Предпосылки!BM312*IF(Предпосылки!$G280="нет",1,BM$603)*IFERROR(LOOKUP(Предпосылки!$I280,$C$13:$C$15,BM$13:BM$15),1)</f>
        <v>0</v>
      </c>
    </row>
    <row r="638" spans="2:65" ht="15" customHeight="1">
      <c r="B638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Предпосылки!E313*IF(Предпосылки!$G281="нет",1,E$603)*IFERROR(LOOKUP(Предпосылки!$I281,$C$13:$C$15,E$13:E$15),1)</f>
        <v>0</v>
      </c>
      <c s="125">
        <f>Предпосылки!F313*IF(Предпосылки!$G281="нет",1,F$603)*IFERROR(LOOKUP(Предпосылки!$I281,$C$13:$C$15,F$13:F$15),1)</f>
        <v>0</v>
      </c>
      <c s="125">
        <f>Предпосылки!G313*IF(Предпосылки!$G281="нет",1,G$603)*IFERROR(LOOKUP(Предпосылки!$I281,$C$13:$C$15,G$13:G$15),1)</f>
        <v>0</v>
      </c>
      <c s="125">
        <f>Предпосылки!H313*IF(Предпосылки!$G281="нет",1,H$603)*IFERROR(LOOKUP(Предпосылки!$I281,$C$13:$C$15,H$13:H$15),1)</f>
        <v>0</v>
      </c>
      <c s="125">
        <f>Предпосылки!I313*IF(Предпосылки!$G281="нет",1,I$603)*IFERROR(LOOKUP(Предпосылки!$I281,$C$13:$C$15,I$13:I$15),1)</f>
        <v>0</v>
      </c>
      <c s="125">
        <f>Предпосылки!J313*IF(Предпосылки!$G281="нет",1,J$603)*IFERROR(LOOKUP(Предпосылки!$I281,$C$13:$C$15,J$13:J$15),1)</f>
        <v>0</v>
      </c>
      <c s="125">
        <f>Предпосылки!K313*IF(Предпосылки!$G281="нет",1,K$603)*IFERROR(LOOKUP(Предпосылки!$I281,$C$13:$C$15,K$13:K$15),1)</f>
        <v>0</v>
      </c>
      <c s="125">
        <f>Предпосылки!L313*IF(Предпосылки!$G281="нет",1,L$603)*IFERROR(LOOKUP(Предпосылки!$I281,$C$13:$C$15,L$13:L$15),1)</f>
        <v>0</v>
      </c>
      <c s="125">
        <f>Предпосылки!M313*IF(Предпосылки!$G281="нет",1,M$603)*IFERROR(LOOKUP(Предпосылки!$I281,$C$13:$C$15,M$13:M$15),1)</f>
        <v>0</v>
      </c>
      <c s="125">
        <f>Предпосылки!N313*IF(Предпосылки!$G281="нет",1,N$603)*IFERROR(LOOKUP(Предпосылки!$I281,$C$13:$C$15,N$13:N$15),1)</f>
        <v>0</v>
      </c>
      <c s="125">
        <f>Предпосылки!O313*IF(Предпосылки!$G281="нет",1,O$603)*IFERROR(LOOKUP(Предпосылки!$I281,$C$13:$C$15,O$13:O$15),1)</f>
        <v>0</v>
      </c>
      <c s="125">
        <f>Предпосылки!P313*IF(Предпосылки!$G281="нет",1,P$603)*IFERROR(LOOKUP(Предпосылки!$I281,$C$13:$C$15,P$13:P$15),1)</f>
        <v>0</v>
      </c>
      <c s="125">
        <f>Предпосылки!Q313*IF(Предпосылки!$G281="нет",1,Q$603)*IFERROR(LOOKUP(Предпосылки!$I281,$C$13:$C$15,Q$13:Q$15),1)</f>
        <v>0</v>
      </c>
      <c s="125">
        <f>Предпосылки!R313*IF(Предпосылки!$G281="нет",1,R$603)*IFERROR(LOOKUP(Предпосылки!$I281,$C$13:$C$15,R$13:R$15),1)</f>
        <v>0</v>
      </c>
      <c s="125">
        <f>Предпосылки!S313*IF(Предпосылки!$G281="нет",1,S$603)*IFERROR(LOOKUP(Предпосылки!$I281,$C$13:$C$15,S$13:S$15),1)</f>
        <v>0</v>
      </c>
      <c s="125">
        <f>Предпосылки!T313*IF(Предпосылки!$G281="нет",1,T$603)*IFERROR(LOOKUP(Предпосылки!$I281,$C$13:$C$15,T$13:T$15),1)</f>
        <v>0</v>
      </c>
      <c s="125">
        <f>Предпосылки!U313*IF(Предпосылки!$G281="нет",1,U$603)*IFERROR(LOOKUP(Предпосылки!$I281,$C$13:$C$15,U$13:U$15),1)</f>
        <v>0</v>
      </c>
      <c s="125">
        <f>Предпосылки!V313*IF(Предпосылки!$G281="нет",1,V$603)*IFERROR(LOOKUP(Предпосылки!$I281,$C$13:$C$15,V$13:V$15),1)</f>
        <v>0</v>
      </c>
      <c s="125">
        <f>Предпосылки!W313*IF(Предпосылки!$G281="нет",1,W$603)*IFERROR(LOOKUP(Предпосылки!$I281,$C$13:$C$15,W$13:W$15),1)</f>
        <v>0</v>
      </c>
      <c s="125">
        <f>Предпосылки!X313*IF(Предпосылки!$G281="нет",1,X$603)*IFERROR(LOOKUP(Предпосылки!$I281,$C$13:$C$15,X$13:X$15),1)</f>
        <v>0</v>
      </c>
      <c s="125">
        <f>Предпосылки!Y313*IF(Предпосылки!$G281="нет",1,Y$603)*IFERROR(LOOKUP(Предпосылки!$I281,$C$13:$C$15,Y$13:Y$15),1)</f>
        <v>0</v>
      </c>
      <c s="125">
        <f>Предпосылки!Z313*IF(Предпосылки!$G281="нет",1,Z$603)*IFERROR(LOOKUP(Предпосылки!$I281,$C$13:$C$15,Z$13:Z$15),1)</f>
        <v>0</v>
      </c>
      <c s="125">
        <f>Предпосылки!AA313*IF(Предпосылки!$G281="нет",1,AA$603)*IFERROR(LOOKUP(Предпосылки!$I281,$C$13:$C$15,AA$13:AA$15),1)</f>
        <v>0</v>
      </c>
      <c s="125">
        <f>Предпосылки!AB313*IF(Предпосылки!$G281="нет",1,AB$603)*IFERROR(LOOKUP(Предпосылки!$I281,$C$13:$C$15,AB$13:AB$15),1)</f>
        <v>0</v>
      </c>
      <c s="125">
        <f>Предпосылки!AC313*IF(Предпосылки!$G281="нет",1,AC$603)*IFERROR(LOOKUP(Предпосылки!$I281,$C$13:$C$15,AC$13:AC$15),1)</f>
        <v>0</v>
      </c>
      <c s="125">
        <f>Предпосылки!AD313*IF(Предпосылки!$G281="нет",1,AD$603)*IFERROR(LOOKUP(Предпосылки!$I281,$C$13:$C$15,AD$13:AD$15),1)</f>
        <v>0</v>
      </c>
      <c s="125">
        <f>Предпосылки!AE313*IF(Предпосылки!$G281="нет",1,AE$603)*IFERROR(LOOKUP(Предпосылки!$I281,$C$13:$C$15,AE$13:AE$15),1)</f>
        <v>0</v>
      </c>
      <c s="125">
        <f>Предпосылки!AF313*IF(Предпосылки!$G281="нет",1,AF$603)*IFERROR(LOOKUP(Предпосылки!$I281,$C$13:$C$15,AF$13:AF$15),1)</f>
        <v>0</v>
      </c>
      <c s="125">
        <f>Предпосылки!AG313*IF(Предпосылки!$G281="нет",1,AG$603)*IFERROR(LOOKUP(Предпосылки!$I281,$C$13:$C$15,AG$13:AG$15),1)</f>
        <v>0</v>
      </c>
      <c s="125">
        <f>Предпосылки!AH313*IF(Предпосылки!$G281="нет",1,AH$603)*IFERROR(LOOKUP(Предпосылки!$I281,$C$13:$C$15,AH$13:AH$15),1)</f>
        <v>0</v>
      </c>
      <c s="125">
        <f>Предпосылки!AI313*IF(Предпосылки!$G281="нет",1,AI$603)*IFERROR(LOOKUP(Предпосылки!$I281,$C$13:$C$15,AI$13:AI$15),1)</f>
        <v>0</v>
      </c>
      <c s="125">
        <f>Предпосылки!AJ313*IF(Предпосылки!$G281="нет",1,AJ$603)*IFERROR(LOOKUP(Предпосылки!$I281,$C$13:$C$15,AJ$13:AJ$15),1)</f>
        <v>0</v>
      </c>
      <c s="125">
        <f>Предпосылки!AK313*IF(Предпосылки!$G281="нет",1,AK$603)*IFERROR(LOOKUP(Предпосылки!$I281,$C$13:$C$15,AK$13:AK$15),1)</f>
        <v>0</v>
      </c>
      <c s="125">
        <f>Предпосылки!AL313*IF(Предпосылки!$G281="нет",1,AL$603)*IFERROR(LOOKUP(Предпосылки!$I281,$C$13:$C$15,AL$13:AL$15),1)</f>
        <v>0</v>
      </c>
      <c s="125">
        <f>Предпосылки!AM313*IF(Предпосылки!$G281="нет",1,AM$603)*IFERROR(LOOKUP(Предпосылки!$I281,$C$13:$C$15,AM$13:AM$15),1)</f>
        <v>0</v>
      </c>
      <c s="125">
        <f>Предпосылки!AN313*IF(Предпосылки!$G281="нет",1,AN$603)*IFERROR(LOOKUP(Предпосылки!$I281,$C$13:$C$15,AN$13:AN$15),1)</f>
        <v>0</v>
      </c>
      <c s="125">
        <f>Предпосылки!AO313*IF(Предпосылки!$G281="нет",1,AO$603)*IFERROR(LOOKUP(Предпосылки!$I281,$C$13:$C$15,AO$13:AO$15),1)</f>
        <v>0</v>
      </c>
      <c s="125">
        <f>Предпосылки!AP313*IF(Предпосылки!$G281="нет",1,AP$603)*IFERROR(LOOKUP(Предпосылки!$I281,$C$13:$C$15,AP$13:AP$15),1)</f>
        <v>0</v>
      </c>
      <c s="125">
        <f>Предпосылки!AQ313*IF(Предпосылки!$G281="нет",1,AQ$603)*IFERROR(LOOKUP(Предпосылки!$I281,$C$13:$C$15,AQ$13:AQ$15),1)</f>
        <v>0</v>
      </c>
      <c s="125">
        <f>Предпосылки!AR313*IF(Предпосылки!$G281="нет",1,AR$603)*IFERROR(LOOKUP(Предпосылки!$I281,$C$13:$C$15,AR$13:AR$15),1)</f>
        <v>0</v>
      </c>
      <c s="125">
        <f>Предпосылки!AS313*IF(Предпосылки!$G281="нет",1,AS$603)*IFERROR(LOOKUP(Предпосылки!$I281,$C$13:$C$15,AS$13:AS$15),1)</f>
        <v>0</v>
      </c>
      <c s="125">
        <f>Предпосылки!AT313*IF(Предпосылки!$G281="нет",1,AT$603)*IFERROR(LOOKUP(Предпосылки!$I281,$C$13:$C$15,AT$13:AT$15),1)</f>
        <v>0</v>
      </c>
      <c s="125">
        <f>Предпосылки!AU313*IF(Предпосылки!$G281="нет",1,AU$603)*IFERROR(LOOKUP(Предпосылки!$I281,$C$13:$C$15,AU$13:AU$15),1)</f>
        <v>0</v>
      </c>
      <c s="125">
        <f>Предпосылки!AV313*IF(Предпосылки!$G281="нет",1,AV$603)*IFERROR(LOOKUP(Предпосылки!$I281,$C$13:$C$15,AV$13:AV$15),1)</f>
        <v>0</v>
      </c>
      <c s="125">
        <f>Предпосылки!AW313*IF(Предпосылки!$G281="нет",1,AW$603)*IFERROR(LOOKUP(Предпосылки!$I281,$C$13:$C$15,AW$13:AW$15),1)</f>
        <v>0</v>
      </c>
      <c s="125">
        <f>Предпосылки!AX313*IF(Предпосылки!$G281="нет",1,AX$603)*IFERROR(LOOKUP(Предпосылки!$I281,$C$13:$C$15,AX$13:AX$15),1)</f>
        <v>0</v>
      </c>
      <c s="125">
        <f>Предпосылки!AY313*IF(Предпосылки!$G281="нет",1,AY$603)*IFERROR(LOOKUP(Предпосылки!$I281,$C$13:$C$15,AY$13:AY$15),1)</f>
        <v>0</v>
      </c>
      <c s="125">
        <f>Предпосылки!AZ313*IF(Предпосылки!$G281="нет",1,AZ$603)*IFERROR(LOOKUP(Предпосылки!$I281,$C$13:$C$15,AZ$13:AZ$15),1)</f>
        <v>0</v>
      </c>
      <c s="125">
        <f>Предпосылки!BA313*IF(Предпосылки!$G281="нет",1,BA$603)*IFERROR(LOOKUP(Предпосылки!$I281,$C$13:$C$15,BA$13:BA$15),1)</f>
        <v>0</v>
      </c>
      <c s="125">
        <f>Предпосылки!BB313*IF(Предпосылки!$G281="нет",1,BB$603)*IFERROR(LOOKUP(Предпосылки!$I281,$C$13:$C$15,BB$13:BB$15),1)</f>
        <v>0</v>
      </c>
      <c s="125">
        <f>Предпосылки!BC313*IF(Предпосылки!$G281="нет",1,BC$603)*IFERROR(LOOKUP(Предпосылки!$I281,$C$13:$C$15,BC$13:BC$15),1)</f>
        <v>0</v>
      </c>
      <c s="125">
        <f>Предпосылки!BD313*IF(Предпосылки!$G281="нет",1,BD$603)*IFERROR(LOOKUP(Предпосылки!$I281,$C$13:$C$15,BD$13:BD$15),1)</f>
        <v>0</v>
      </c>
      <c s="125">
        <f>Предпосылки!BE313*IF(Предпосылки!$G281="нет",1,BE$603)*IFERROR(LOOKUP(Предпосылки!$I281,$C$13:$C$15,BE$13:BE$15),1)</f>
        <v>0</v>
      </c>
      <c s="125">
        <f>Предпосылки!BF313*IF(Предпосылки!$G281="нет",1,BF$603)*IFERROR(LOOKUP(Предпосылки!$I281,$C$13:$C$15,BF$13:BF$15),1)</f>
        <v>0</v>
      </c>
      <c s="125">
        <f>Предпосылки!BG313*IF(Предпосылки!$G281="нет",1,BG$603)*IFERROR(LOOKUP(Предпосылки!$I281,$C$13:$C$15,BG$13:BG$15),1)</f>
        <v>0</v>
      </c>
      <c s="125">
        <f>Предпосылки!BH313*IF(Предпосылки!$G281="нет",1,BH$603)*IFERROR(LOOKUP(Предпосылки!$I281,$C$13:$C$15,BH$13:BH$15),1)</f>
        <v>0</v>
      </c>
      <c s="125">
        <f>Предпосылки!BI313*IF(Предпосылки!$G281="нет",1,BI$603)*IFERROR(LOOKUP(Предпосылки!$I281,$C$13:$C$15,BI$13:BI$15),1)</f>
        <v>0</v>
      </c>
      <c s="125">
        <f>Предпосылки!BJ313*IF(Предпосылки!$G281="нет",1,BJ$603)*IFERROR(LOOKUP(Предпосылки!$I281,$C$13:$C$15,BJ$13:BJ$15),1)</f>
        <v>0</v>
      </c>
      <c s="125">
        <f>Предпосылки!BK313*IF(Предпосылки!$G281="нет",1,BK$603)*IFERROR(LOOKUP(Предпосылки!$I281,$C$13:$C$15,BK$13:BK$15),1)</f>
        <v>0</v>
      </c>
      <c s="125">
        <f>Предпосылки!BL313*IF(Предпосылки!$G281="нет",1,BL$603)*IFERROR(LOOKUP(Предпосылки!$I281,$C$13:$C$15,BL$13:BL$15),1)</f>
        <v>0</v>
      </c>
      <c s="125">
        <f>Предпосылки!BM313*IF(Предпосылки!$G281="нет",1,BM$603)*IFERROR(LOOKUP(Предпосылки!$I281,$C$13:$C$15,BM$13:BM$15),1)</f>
        <v>0</v>
      </c>
    </row>
    <row r="639" spans="2:65" ht="15" customHeight="1">
      <c r="B639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Предпосылки!E314*IF(Предпосылки!$G282="нет",1,E$603)*IFERROR(LOOKUP(Предпосылки!$I282,$C$13:$C$15,E$13:E$15),1)</f>
        <v>0</v>
      </c>
      <c s="125">
        <f>Предпосылки!F314*IF(Предпосылки!$G282="нет",1,F$603)*IFERROR(LOOKUP(Предпосылки!$I282,$C$13:$C$15,F$13:F$15),1)</f>
        <v>0</v>
      </c>
      <c s="125">
        <f>Предпосылки!G314*IF(Предпосылки!$G282="нет",1,G$603)*IFERROR(LOOKUP(Предпосылки!$I282,$C$13:$C$15,G$13:G$15),1)</f>
        <v>0</v>
      </c>
      <c s="125">
        <f>Предпосылки!H314*IF(Предпосылки!$G282="нет",1,H$603)*IFERROR(LOOKUP(Предпосылки!$I282,$C$13:$C$15,H$13:H$15),1)</f>
        <v>0</v>
      </c>
      <c s="125">
        <f>Предпосылки!I314*IF(Предпосылки!$G282="нет",1,I$603)*IFERROR(LOOKUP(Предпосылки!$I282,$C$13:$C$15,I$13:I$15),1)</f>
        <v>0</v>
      </c>
      <c s="125">
        <f>Предпосылки!J314*IF(Предпосылки!$G282="нет",1,J$603)*IFERROR(LOOKUP(Предпосылки!$I282,$C$13:$C$15,J$13:J$15),1)</f>
        <v>0</v>
      </c>
      <c s="125">
        <f>Предпосылки!K314*IF(Предпосылки!$G282="нет",1,K$603)*IFERROR(LOOKUP(Предпосылки!$I282,$C$13:$C$15,K$13:K$15),1)</f>
        <v>0</v>
      </c>
      <c s="125">
        <f>Предпосылки!L314*IF(Предпосылки!$G282="нет",1,L$603)*IFERROR(LOOKUP(Предпосылки!$I282,$C$13:$C$15,L$13:L$15),1)</f>
        <v>0</v>
      </c>
      <c s="125">
        <f>Предпосылки!M314*IF(Предпосылки!$G282="нет",1,M$603)*IFERROR(LOOKUP(Предпосылки!$I282,$C$13:$C$15,M$13:M$15),1)</f>
        <v>0</v>
      </c>
      <c s="125">
        <f>Предпосылки!N314*IF(Предпосылки!$G282="нет",1,N$603)*IFERROR(LOOKUP(Предпосылки!$I282,$C$13:$C$15,N$13:N$15),1)</f>
        <v>0</v>
      </c>
      <c s="125">
        <f>Предпосылки!O314*IF(Предпосылки!$G282="нет",1,O$603)*IFERROR(LOOKUP(Предпосылки!$I282,$C$13:$C$15,O$13:O$15),1)</f>
        <v>0</v>
      </c>
      <c s="125">
        <f>Предпосылки!P314*IF(Предпосылки!$G282="нет",1,P$603)*IFERROR(LOOKUP(Предпосылки!$I282,$C$13:$C$15,P$13:P$15),1)</f>
        <v>0</v>
      </c>
      <c s="125">
        <f>Предпосылки!Q314*IF(Предпосылки!$G282="нет",1,Q$603)*IFERROR(LOOKUP(Предпосылки!$I282,$C$13:$C$15,Q$13:Q$15),1)</f>
        <v>0</v>
      </c>
      <c s="125">
        <f>Предпосылки!R314*IF(Предпосылки!$G282="нет",1,R$603)*IFERROR(LOOKUP(Предпосылки!$I282,$C$13:$C$15,R$13:R$15),1)</f>
        <v>0</v>
      </c>
      <c s="125">
        <f>Предпосылки!S314*IF(Предпосылки!$G282="нет",1,S$603)*IFERROR(LOOKUP(Предпосылки!$I282,$C$13:$C$15,S$13:S$15),1)</f>
        <v>0</v>
      </c>
      <c s="125">
        <f>Предпосылки!T314*IF(Предпосылки!$G282="нет",1,T$603)*IFERROR(LOOKUP(Предпосылки!$I282,$C$13:$C$15,T$13:T$15),1)</f>
        <v>0</v>
      </c>
      <c s="125">
        <f>Предпосылки!U314*IF(Предпосылки!$G282="нет",1,U$603)*IFERROR(LOOKUP(Предпосылки!$I282,$C$13:$C$15,U$13:U$15),1)</f>
        <v>0</v>
      </c>
      <c s="125">
        <f>Предпосылки!V314*IF(Предпосылки!$G282="нет",1,V$603)*IFERROR(LOOKUP(Предпосылки!$I282,$C$13:$C$15,V$13:V$15),1)</f>
        <v>0</v>
      </c>
      <c s="125">
        <f>Предпосылки!W314*IF(Предпосылки!$G282="нет",1,W$603)*IFERROR(LOOKUP(Предпосылки!$I282,$C$13:$C$15,W$13:W$15),1)</f>
        <v>0</v>
      </c>
      <c s="125">
        <f>Предпосылки!X314*IF(Предпосылки!$G282="нет",1,X$603)*IFERROR(LOOKUP(Предпосылки!$I282,$C$13:$C$15,X$13:X$15),1)</f>
        <v>0</v>
      </c>
      <c s="125">
        <f>Предпосылки!Y314*IF(Предпосылки!$G282="нет",1,Y$603)*IFERROR(LOOKUP(Предпосылки!$I282,$C$13:$C$15,Y$13:Y$15),1)</f>
        <v>0</v>
      </c>
      <c s="125">
        <f>Предпосылки!Z314*IF(Предпосылки!$G282="нет",1,Z$603)*IFERROR(LOOKUP(Предпосылки!$I282,$C$13:$C$15,Z$13:Z$15),1)</f>
        <v>0</v>
      </c>
      <c s="125">
        <f>Предпосылки!AA314*IF(Предпосылки!$G282="нет",1,AA$603)*IFERROR(LOOKUP(Предпосылки!$I282,$C$13:$C$15,AA$13:AA$15),1)</f>
        <v>0</v>
      </c>
      <c s="125">
        <f>Предпосылки!AB314*IF(Предпосылки!$G282="нет",1,AB$603)*IFERROR(LOOKUP(Предпосылки!$I282,$C$13:$C$15,AB$13:AB$15),1)</f>
        <v>0</v>
      </c>
      <c s="125">
        <f>Предпосылки!AC314*IF(Предпосылки!$G282="нет",1,AC$603)*IFERROR(LOOKUP(Предпосылки!$I282,$C$13:$C$15,AC$13:AC$15),1)</f>
        <v>0</v>
      </c>
      <c s="125">
        <f>Предпосылки!AD314*IF(Предпосылки!$G282="нет",1,AD$603)*IFERROR(LOOKUP(Предпосылки!$I282,$C$13:$C$15,AD$13:AD$15),1)</f>
        <v>0</v>
      </c>
      <c s="125">
        <f>Предпосылки!AE314*IF(Предпосылки!$G282="нет",1,AE$603)*IFERROR(LOOKUP(Предпосылки!$I282,$C$13:$C$15,AE$13:AE$15),1)</f>
        <v>0</v>
      </c>
      <c s="125">
        <f>Предпосылки!AF314*IF(Предпосылки!$G282="нет",1,AF$603)*IFERROR(LOOKUP(Предпосылки!$I282,$C$13:$C$15,AF$13:AF$15),1)</f>
        <v>0</v>
      </c>
      <c s="125">
        <f>Предпосылки!AG314*IF(Предпосылки!$G282="нет",1,AG$603)*IFERROR(LOOKUP(Предпосылки!$I282,$C$13:$C$15,AG$13:AG$15),1)</f>
        <v>0</v>
      </c>
      <c s="125">
        <f>Предпосылки!AH314*IF(Предпосылки!$G282="нет",1,AH$603)*IFERROR(LOOKUP(Предпосылки!$I282,$C$13:$C$15,AH$13:AH$15),1)</f>
        <v>0</v>
      </c>
      <c s="125">
        <f>Предпосылки!AI314*IF(Предпосылки!$G282="нет",1,AI$603)*IFERROR(LOOKUP(Предпосылки!$I282,$C$13:$C$15,AI$13:AI$15),1)</f>
        <v>0</v>
      </c>
      <c s="125">
        <f>Предпосылки!AJ314*IF(Предпосылки!$G282="нет",1,AJ$603)*IFERROR(LOOKUP(Предпосылки!$I282,$C$13:$C$15,AJ$13:AJ$15),1)</f>
        <v>0</v>
      </c>
      <c s="125">
        <f>Предпосылки!AK314*IF(Предпосылки!$G282="нет",1,AK$603)*IFERROR(LOOKUP(Предпосылки!$I282,$C$13:$C$15,AK$13:AK$15),1)</f>
        <v>0</v>
      </c>
      <c s="125">
        <f>Предпосылки!AL314*IF(Предпосылки!$G282="нет",1,AL$603)*IFERROR(LOOKUP(Предпосылки!$I282,$C$13:$C$15,AL$13:AL$15),1)</f>
        <v>0</v>
      </c>
      <c s="125">
        <f>Предпосылки!AM314*IF(Предпосылки!$G282="нет",1,AM$603)*IFERROR(LOOKUP(Предпосылки!$I282,$C$13:$C$15,AM$13:AM$15),1)</f>
        <v>0</v>
      </c>
      <c s="125">
        <f>Предпосылки!AN314*IF(Предпосылки!$G282="нет",1,AN$603)*IFERROR(LOOKUP(Предпосылки!$I282,$C$13:$C$15,AN$13:AN$15),1)</f>
        <v>0</v>
      </c>
      <c s="125">
        <f>Предпосылки!AO314*IF(Предпосылки!$G282="нет",1,AO$603)*IFERROR(LOOKUP(Предпосылки!$I282,$C$13:$C$15,AO$13:AO$15),1)</f>
        <v>0</v>
      </c>
      <c s="125">
        <f>Предпосылки!AP314*IF(Предпосылки!$G282="нет",1,AP$603)*IFERROR(LOOKUP(Предпосылки!$I282,$C$13:$C$15,AP$13:AP$15),1)</f>
        <v>0</v>
      </c>
      <c s="125">
        <f>Предпосылки!AQ314*IF(Предпосылки!$G282="нет",1,AQ$603)*IFERROR(LOOKUP(Предпосылки!$I282,$C$13:$C$15,AQ$13:AQ$15),1)</f>
        <v>0</v>
      </c>
      <c s="125">
        <f>Предпосылки!AR314*IF(Предпосылки!$G282="нет",1,AR$603)*IFERROR(LOOKUP(Предпосылки!$I282,$C$13:$C$15,AR$13:AR$15),1)</f>
        <v>0</v>
      </c>
      <c s="125">
        <f>Предпосылки!AS314*IF(Предпосылки!$G282="нет",1,AS$603)*IFERROR(LOOKUP(Предпосылки!$I282,$C$13:$C$15,AS$13:AS$15),1)</f>
        <v>0</v>
      </c>
      <c s="125">
        <f>Предпосылки!AT314*IF(Предпосылки!$G282="нет",1,AT$603)*IFERROR(LOOKUP(Предпосылки!$I282,$C$13:$C$15,AT$13:AT$15),1)</f>
        <v>0</v>
      </c>
      <c s="125">
        <f>Предпосылки!AU314*IF(Предпосылки!$G282="нет",1,AU$603)*IFERROR(LOOKUP(Предпосылки!$I282,$C$13:$C$15,AU$13:AU$15),1)</f>
        <v>0</v>
      </c>
      <c s="125">
        <f>Предпосылки!AV314*IF(Предпосылки!$G282="нет",1,AV$603)*IFERROR(LOOKUP(Предпосылки!$I282,$C$13:$C$15,AV$13:AV$15),1)</f>
        <v>0</v>
      </c>
      <c s="125">
        <f>Предпосылки!AW314*IF(Предпосылки!$G282="нет",1,AW$603)*IFERROR(LOOKUP(Предпосылки!$I282,$C$13:$C$15,AW$13:AW$15),1)</f>
        <v>0</v>
      </c>
      <c s="125">
        <f>Предпосылки!AX314*IF(Предпосылки!$G282="нет",1,AX$603)*IFERROR(LOOKUP(Предпосылки!$I282,$C$13:$C$15,AX$13:AX$15),1)</f>
        <v>0</v>
      </c>
      <c s="125">
        <f>Предпосылки!AY314*IF(Предпосылки!$G282="нет",1,AY$603)*IFERROR(LOOKUP(Предпосылки!$I282,$C$13:$C$15,AY$13:AY$15),1)</f>
        <v>0</v>
      </c>
      <c s="125">
        <f>Предпосылки!AZ314*IF(Предпосылки!$G282="нет",1,AZ$603)*IFERROR(LOOKUP(Предпосылки!$I282,$C$13:$C$15,AZ$13:AZ$15),1)</f>
        <v>0</v>
      </c>
      <c s="125">
        <f>Предпосылки!BA314*IF(Предпосылки!$G282="нет",1,BA$603)*IFERROR(LOOKUP(Предпосылки!$I282,$C$13:$C$15,BA$13:BA$15),1)</f>
        <v>0</v>
      </c>
      <c s="125">
        <f>Предпосылки!BB314*IF(Предпосылки!$G282="нет",1,BB$603)*IFERROR(LOOKUP(Предпосылки!$I282,$C$13:$C$15,BB$13:BB$15),1)</f>
        <v>0</v>
      </c>
      <c s="125">
        <f>Предпосылки!BC314*IF(Предпосылки!$G282="нет",1,BC$603)*IFERROR(LOOKUP(Предпосылки!$I282,$C$13:$C$15,BC$13:BC$15),1)</f>
        <v>0</v>
      </c>
      <c s="125">
        <f>Предпосылки!BD314*IF(Предпосылки!$G282="нет",1,BD$603)*IFERROR(LOOKUP(Предпосылки!$I282,$C$13:$C$15,BD$13:BD$15),1)</f>
        <v>0</v>
      </c>
      <c s="125">
        <f>Предпосылки!BE314*IF(Предпосылки!$G282="нет",1,BE$603)*IFERROR(LOOKUP(Предпосылки!$I282,$C$13:$C$15,BE$13:BE$15),1)</f>
        <v>0</v>
      </c>
      <c s="125">
        <f>Предпосылки!BF314*IF(Предпосылки!$G282="нет",1,BF$603)*IFERROR(LOOKUP(Предпосылки!$I282,$C$13:$C$15,BF$13:BF$15),1)</f>
        <v>0</v>
      </c>
      <c s="125">
        <f>Предпосылки!BG314*IF(Предпосылки!$G282="нет",1,BG$603)*IFERROR(LOOKUP(Предпосылки!$I282,$C$13:$C$15,BG$13:BG$15),1)</f>
        <v>0</v>
      </c>
      <c s="125">
        <f>Предпосылки!BH314*IF(Предпосылки!$G282="нет",1,BH$603)*IFERROR(LOOKUP(Предпосылки!$I282,$C$13:$C$15,BH$13:BH$15),1)</f>
        <v>0</v>
      </c>
      <c s="125">
        <f>Предпосылки!BI314*IF(Предпосылки!$G282="нет",1,BI$603)*IFERROR(LOOKUP(Предпосылки!$I282,$C$13:$C$15,BI$13:BI$15),1)</f>
        <v>0</v>
      </c>
      <c s="125">
        <f>Предпосылки!BJ314*IF(Предпосылки!$G282="нет",1,BJ$603)*IFERROR(LOOKUP(Предпосылки!$I282,$C$13:$C$15,BJ$13:BJ$15),1)</f>
        <v>0</v>
      </c>
      <c s="125">
        <f>Предпосылки!BK314*IF(Предпосылки!$G282="нет",1,BK$603)*IFERROR(LOOKUP(Предпосылки!$I282,$C$13:$C$15,BK$13:BK$15),1)</f>
        <v>0</v>
      </c>
      <c s="125">
        <f>Предпосылки!BL314*IF(Предпосылки!$G282="нет",1,BL$603)*IFERROR(LOOKUP(Предпосылки!$I282,$C$13:$C$15,BL$13:BL$15),1)</f>
        <v>0</v>
      </c>
      <c s="125">
        <f>Предпосылки!BM314*IF(Предпосылки!$G282="нет",1,BM$603)*IFERROR(LOOKUP(Предпосылки!$I282,$C$13:$C$15,BM$13:BM$15),1)</f>
        <v>0</v>
      </c>
    </row>
    <row r="640" spans="2:65" ht="15" customHeight="1">
      <c r="B640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Предпосылки!E315*IF(Предпосылки!$G283="нет",1,E$603)*IFERROR(LOOKUP(Предпосылки!$I283,$C$13:$C$15,E$13:E$15),1)</f>
        <v>0</v>
      </c>
      <c s="125">
        <f>Предпосылки!F315*IF(Предпосылки!$G283="нет",1,F$603)*IFERROR(LOOKUP(Предпосылки!$I283,$C$13:$C$15,F$13:F$15),1)</f>
        <v>0</v>
      </c>
      <c s="125">
        <f>Предпосылки!G315*IF(Предпосылки!$G283="нет",1,G$603)*IFERROR(LOOKUP(Предпосылки!$I283,$C$13:$C$15,G$13:G$15),1)</f>
        <v>0</v>
      </c>
      <c s="125">
        <f>Предпосылки!H315*IF(Предпосылки!$G283="нет",1,H$603)*IFERROR(LOOKUP(Предпосылки!$I283,$C$13:$C$15,H$13:H$15),1)</f>
        <v>0</v>
      </c>
      <c s="125">
        <f>Предпосылки!I315*IF(Предпосылки!$G283="нет",1,I$603)*IFERROR(LOOKUP(Предпосылки!$I283,$C$13:$C$15,I$13:I$15),1)</f>
        <v>0</v>
      </c>
      <c s="125">
        <f>Предпосылки!J315*IF(Предпосылки!$G283="нет",1,J$603)*IFERROR(LOOKUP(Предпосылки!$I283,$C$13:$C$15,J$13:J$15),1)</f>
        <v>0</v>
      </c>
      <c s="125">
        <f>Предпосылки!K315*IF(Предпосылки!$G283="нет",1,K$603)*IFERROR(LOOKUP(Предпосылки!$I283,$C$13:$C$15,K$13:K$15),1)</f>
        <v>0</v>
      </c>
      <c s="125">
        <f>Предпосылки!L315*IF(Предпосылки!$G283="нет",1,L$603)*IFERROR(LOOKUP(Предпосылки!$I283,$C$13:$C$15,L$13:L$15),1)</f>
        <v>0</v>
      </c>
      <c s="125">
        <f>Предпосылки!M315*IF(Предпосылки!$G283="нет",1,M$603)*IFERROR(LOOKUP(Предпосылки!$I283,$C$13:$C$15,M$13:M$15),1)</f>
        <v>0</v>
      </c>
      <c s="125">
        <f>Предпосылки!N315*IF(Предпосылки!$G283="нет",1,N$603)*IFERROR(LOOKUP(Предпосылки!$I283,$C$13:$C$15,N$13:N$15),1)</f>
        <v>0</v>
      </c>
      <c s="125">
        <f>Предпосылки!O315*IF(Предпосылки!$G283="нет",1,O$603)*IFERROR(LOOKUP(Предпосылки!$I283,$C$13:$C$15,O$13:O$15),1)</f>
        <v>0</v>
      </c>
      <c s="125">
        <f>Предпосылки!P315*IF(Предпосылки!$G283="нет",1,P$603)*IFERROR(LOOKUP(Предпосылки!$I283,$C$13:$C$15,P$13:P$15),1)</f>
        <v>0</v>
      </c>
      <c s="125">
        <f>Предпосылки!Q315*IF(Предпосылки!$G283="нет",1,Q$603)*IFERROR(LOOKUP(Предпосылки!$I283,$C$13:$C$15,Q$13:Q$15),1)</f>
        <v>0</v>
      </c>
      <c s="125">
        <f>Предпосылки!R315*IF(Предпосылки!$G283="нет",1,R$603)*IFERROR(LOOKUP(Предпосылки!$I283,$C$13:$C$15,R$13:R$15),1)</f>
        <v>0</v>
      </c>
      <c s="125">
        <f>Предпосылки!S315*IF(Предпосылки!$G283="нет",1,S$603)*IFERROR(LOOKUP(Предпосылки!$I283,$C$13:$C$15,S$13:S$15),1)</f>
        <v>0</v>
      </c>
      <c s="125">
        <f>Предпосылки!T315*IF(Предпосылки!$G283="нет",1,T$603)*IFERROR(LOOKUP(Предпосылки!$I283,$C$13:$C$15,T$13:T$15),1)</f>
        <v>0</v>
      </c>
      <c s="125">
        <f>Предпосылки!U315*IF(Предпосылки!$G283="нет",1,U$603)*IFERROR(LOOKUP(Предпосылки!$I283,$C$13:$C$15,U$13:U$15),1)</f>
        <v>0</v>
      </c>
      <c s="125">
        <f>Предпосылки!V315*IF(Предпосылки!$G283="нет",1,V$603)*IFERROR(LOOKUP(Предпосылки!$I283,$C$13:$C$15,V$13:V$15),1)</f>
        <v>0</v>
      </c>
      <c s="125">
        <f>Предпосылки!W315*IF(Предпосылки!$G283="нет",1,W$603)*IFERROR(LOOKUP(Предпосылки!$I283,$C$13:$C$15,W$13:W$15),1)</f>
        <v>0</v>
      </c>
      <c s="125">
        <f>Предпосылки!X315*IF(Предпосылки!$G283="нет",1,X$603)*IFERROR(LOOKUP(Предпосылки!$I283,$C$13:$C$15,X$13:X$15),1)</f>
        <v>0</v>
      </c>
      <c s="125">
        <f>Предпосылки!Y315*IF(Предпосылки!$G283="нет",1,Y$603)*IFERROR(LOOKUP(Предпосылки!$I283,$C$13:$C$15,Y$13:Y$15),1)</f>
        <v>0</v>
      </c>
      <c s="125">
        <f>Предпосылки!Z315*IF(Предпосылки!$G283="нет",1,Z$603)*IFERROR(LOOKUP(Предпосылки!$I283,$C$13:$C$15,Z$13:Z$15),1)</f>
        <v>0</v>
      </c>
      <c s="125">
        <f>Предпосылки!AA315*IF(Предпосылки!$G283="нет",1,AA$603)*IFERROR(LOOKUP(Предпосылки!$I283,$C$13:$C$15,AA$13:AA$15),1)</f>
        <v>0</v>
      </c>
      <c s="125">
        <f>Предпосылки!AB315*IF(Предпосылки!$G283="нет",1,AB$603)*IFERROR(LOOKUP(Предпосылки!$I283,$C$13:$C$15,AB$13:AB$15),1)</f>
        <v>0</v>
      </c>
      <c s="125">
        <f>Предпосылки!AC315*IF(Предпосылки!$G283="нет",1,AC$603)*IFERROR(LOOKUP(Предпосылки!$I283,$C$13:$C$15,AC$13:AC$15),1)</f>
        <v>0</v>
      </c>
      <c s="125">
        <f>Предпосылки!AD315*IF(Предпосылки!$G283="нет",1,AD$603)*IFERROR(LOOKUP(Предпосылки!$I283,$C$13:$C$15,AD$13:AD$15),1)</f>
        <v>0</v>
      </c>
      <c s="125">
        <f>Предпосылки!AE315*IF(Предпосылки!$G283="нет",1,AE$603)*IFERROR(LOOKUP(Предпосылки!$I283,$C$13:$C$15,AE$13:AE$15),1)</f>
        <v>0</v>
      </c>
      <c s="125">
        <f>Предпосылки!AF315*IF(Предпосылки!$G283="нет",1,AF$603)*IFERROR(LOOKUP(Предпосылки!$I283,$C$13:$C$15,AF$13:AF$15),1)</f>
        <v>0</v>
      </c>
      <c s="125">
        <f>Предпосылки!AG315*IF(Предпосылки!$G283="нет",1,AG$603)*IFERROR(LOOKUP(Предпосылки!$I283,$C$13:$C$15,AG$13:AG$15),1)</f>
        <v>0</v>
      </c>
      <c s="125">
        <f>Предпосылки!AH315*IF(Предпосылки!$G283="нет",1,AH$603)*IFERROR(LOOKUP(Предпосылки!$I283,$C$13:$C$15,AH$13:AH$15),1)</f>
        <v>0</v>
      </c>
      <c s="125">
        <f>Предпосылки!AI315*IF(Предпосылки!$G283="нет",1,AI$603)*IFERROR(LOOKUP(Предпосылки!$I283,$C$13:$C$15,AI$13:AI$15),1)</f>
        <v>0</v>
      </c>
      <c s="125">
        <f>Предпосылки!AJ315*IF(Предпосылки!$G283="нет",1,AJ$603)*IFERROR(LOOKUP(Предпосылки!$I283,$C$13:$C$15,AJ$13:AJ$15),1)</f>
        <v>0</v>
      </c>
      <c s="125">
        <f>Предпосылки!AK315*IF(Предпосылки!$G283="нет",1,AK$603)*IFERROR(LOOKUP(Предпосылки!$I283,$C$13:$C$15,AK$13:AK$15),1)</f>
        <v>0</v>
      </c>
      <c s="125">
        <f>Предпосылки!AL315*IF(Предпосылки!$G283="нет",1,AL$603)*IFERROR(LOOKUP(Предпосылки!$I283,$C$13:$C$15,AL$13:AL$15),1)</f>
        <v>0</v>
      </c>
      <c s="125">
        <f>Предпосылки!AM315*IF(Предпосылки!$G283="нет",1,AM$603)*IFERROR(LOOKUP(Предпосылки!$I283,$C$13:$C$15,AM$13:AM$15),1)</f>
        <v>0</v>
      </c>
      <c s="125">
        <f>Предпосылки!AN315*IF(Предпосылки!$G283="нет",1,AN$603)*IFERROR(LOOKUP(Предпосылки!$I283,$C$13:$C$15,AN$13:AN$15),1)</f>
        <v>0</v>
      </c>
      <c s="125">
        <f>Предпосылки!AO315*IF(Предпосылки!$G283="нет",1,AO$603)*IFERROR(LOOKUP(Предпосылки!$I283,$C$13:$C$15,AO$13:AO$15),1)</f>
        <v>0</v>
      </c>
      <c s="125">
        <f>Предпосылки!AP315*IF(Предпосылки!$G283="нет",1,AP$603)*IFERROR(LOOKUP(Предпосылки!$I283,$C$13:$C$15,AP$13:AP$15),1)</f>
        <v>0</v>
      </c>
      <c s="125">
        <f>Предпосылки!AQ315*IF(Предпосылки!$G283="нет",1,AQ$603)*IFERROR(LOOKUP(Предпосылки!$I283,$C$13:$C$15,AQ$13:AQ$15),1)</f>
        <v>0</v>
      </c>
      <c s="125">
        <f>Предпосылки!AR315*IF(Предпосылки!$G283="нет",1,AR$603)*IFERROR(LOOKUP(Предпосылки!$I283,$C$13:$C$15,AR$13:AR$15),1)</f>
        <v>0</v>
      </c>
      <c s="125">
        <f>Предпосылки!AS315*IF(Предпосылки!$G283="нет",1,AS$603)*IFERROR(LOOKUP(Предпосылки!$I283,$C$13:$C$15,AS$13:AS$15),1)</f>
        <v>0</v>
      </c>
      <c s="125">
        <f>Предпосылки!AT315*IF(Предпосылки!$G283="нет",1,AT$603)*IFERROR(LOOKUP(Предпосылки!$I283,$C$13:$C$15,AT$13:AT$15),1)</f>
        <v>0</v>
      </c>
      <c s="125">
        <f>Предпосылки!AU315*IF(Предпосылки!$G283="нет",1,AU$603)*IFERROR(LOOKUP(Предпосылки!$I283,$C$13:$C$15,AU$13:AU$15),1)</f>
        <v>0</v>
      </c>
      <c s="125">
        <f>Предпосылки!AV315*IF(Предпосылки!$G283="нет",1,AV$603)*IFERROR(LOOKUP(Предпосылки!$I283,$C$13:$C$15,AV$13:AV$15),1)</f>
        <v>0</v>
      </c>
      <c s="125">
        <f>Предпосылки!AW315*IF(Предпосылки!$G283="нет",1,AW$603)*IFERROR(LOOKUP(Предпосылки!$I283,$C$13:$C$15,AW$13:AW$15),1)</f>
        <v>0</v>
      </c>
      <c s="125">
        <f>Предпосылки!AX315*IF(Предпосылки!$G283="нет",1,AX$603)*IFERROR(LOOKUP(Предпосылки!$I283,$C$13:$C$15,AX$13:AX$15),1)</f>
        <v>0</v>
      </c>
      <c s="125">
        <f>Предпосылки!AY315*IF(Предпосылки!$G283="нет",1,AY$603)*IFERROR(LOOKUP(Предпосылки!$I283,$C$13:$C$15,AY$13:AY$15),1)</f>
        <v>0</v>
      </c>
      <c s="125">
        <f>Предпосылки!AZ315*IF(Предпосылки!$G283="нет",1,AZ$603)*IFERROR(LOOKUP(Предпосылки!$I283,$C$13:$C$15,AZ$13:AZ$15),1)</f>
        <v>0</v>
      </c>
      <c s="125">
        <f>Предпосылки!BA315*IF(Предпосылки!$G283="нет",1,BA$603)*IFERROR(LOOKUP(Предпосылки!$I283,$C$13:$C$15,BA$13:BA$15),1)</f>
        <v>0</v>
      </c>
      <c s="125">
        <f>Предпосылки!BB315*IF(Предпосылки!$G283="нет",1,BB$603)*IFERROR(LOOKUP(Предпосылки!$I283,$C$13:$C$15,BB$13:BB$15),1)</f>
        <v>0</v>
      </c>
      <c s="125">
        <f>Предпосылки!BC315*IF(Предпосылки!$G283="нет",1,BC$603)*IFERROR(LOOKUP(Предпосылки!$I283,$C$13:$C$15,BC$13:BC$15),1)</f>
        <v>0</v>
      </c>
      <c s="125">
        <f>Предпосылки!BD315*IF(Предпосылки!$G283="нет",1,BD$603)*IFERROR(LOOKUP(Предпосылки!$I283,$C$13:$C$15,BD$13:BD$15),1)</f>
        <v>0</v>
      </c>
      <c s="125">
        <f>Предпосылки!BE315*IF(Предпосылки!$G283="нет",1,BE$603)*IFERROR(LOOKUP(Предпосылки!$I283,$C$13:$C$15,BE$13:BE$15),1)</f>
        <v>0</v>
      </c>
      <c s="125">
        <f>Предпосылки!BF315*IF(Предпосылки!$G283="нет",1,BF$603)*IFERROR(LOOKUP(Предпосылки!$I283,$C$13:$C$15,BF$13:BF$15),1)</f>
        <v>0</v>
      </c>
      <c s="125">
        <f>Предпосылки!BG315*IF(Предпосылки!$G283="нет",1,BG$603)*IFERROR(LOOKUP(Предпосылки!$I283,$C$13:$C$15,BG$13:BG$15),1)</f>
        <v>0</v>
      </c>
      <c s="125">
        <f>Предпосылки!BH315*IF(Предпосылки!$G283="нет",1,BH$603)*IFERROR(LOOKUP(Предпосылки!$I283,$C$13:$C$15,BH$13:BH$15),1)</f>
        <v>0</v>
      </c>
      <c s="125">
        <f>Предпосылки!BI315*IF(Предпосылки!$G283="нет",1,BI$603)*IFERROR(LOOKUP(Предпосылки!$I283,$C$13:$C$15,BI$13:BI$15),1)</f>
        <v>0</v>
      </c>
      <c s="125">
        <f>Предпосылки!BJ315*IF(Предпосылки!$G283="нет",1,BJ$603)*IFERROR(LOOKUP(Предпосылки!$I283,$C$13:$C$15,BJ$13:BJ$15),1)</f>
        <v>0</v>
      </c>
      <c s="125">
        <f>Предпосылки!BK315*IF(Предпосылки!$G283="нет",1,BK$603)*IFERROR(LOOKUP(Предпосылки!$I283,$C$13:$C$15,BK$13:BK$15),1)</f>
        <v>0</v>
      </c>
      <c s="125">
        <f>Предпосылки!BL315*IF(Предпосылки!$G283="нет",1,BL$603)*IFERROR(LOOKUP(Предпосылки!$I283,$C$13:$C$15,BL$13:BL$15),1)</f>
        <v>0</v>
      </c>
      <c s="125">
        <f>Предпосылки!BM315*IF(Предпосылки!$G283="нет",1,BM$603)*IFERROR(LOOKUP(Предпосылки!$I283,$C$13:$C$15,BM$13:BM$15),1)</f>
        <v>0</v>
      </c>
    </row>
    <row r="641" spans="2:65" ht="15" customHeight="1">
      <c r="B641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Предпосылки!E316*IF(Предпосылки!$G284="нет",1,E$603)*IFERROR(LOOKUP(Предпосылки!$I284,$C$13:$C$15,E$13:E$15),1)</f>
        <v>0</v>
      </c>
      <c s="125">
        <f>Предпосылки!F316*IF(Предпосылки!$G284="нет",1,F$603)*IFERROR(LOOKUP(Предпосылки!$I284,$C$13:$C$15,F$13:F$15),1)</f>
        <v>0</v>
      </c>
      <c s="125">
        <f>Предпосылки!G316*IF(Предпосылки!$G284="нет",1,G$603)*IFERROR(LOOKUP(Предпосылки!$I284,$C$13:$C$15,G$13:G$15),1)</f>
        <v>0</v>
      </c>
      <c s="125">
        <f>Предпосылки!H316*IF(Предпосылки!$G284="нет",1,H$603)*IFERROR(LOOKUP(Предпосылки!$I284,$C$13:$C$15,H$13:H$15),1)</f>
        <v>0</v>
      </c>
      <c s="125">
        <f>Предпосылки!I316*IF(Предпосылки!$G284="нет",1,I$603)*IFERROR(LOOKUP(Предпосылки!$I284,$C$13:$C$15,I$13:I$15),1)</f>
        <v>0</v>
      </c>
      <c s="125">
        <f>Предпосылки!J316*IF(Предпосылки!$G284="нет",1,J$603)*IFERROR(LOOKUP(Предпосылки!$I284,$C$13:$C$15,J$13:J$15),1)</f>
        <v>0</v>
      </c>
      <c s="125">
        <f>Предпосылки!K316*IF(Предпосылки!$G284="нет",1,K$603)*IFERROR(LOOKUP(Предпосылки!$I284,$C$13:$C$15,K$13:K$15),1)</f>
        <v>0</v>
      </c>
      <c s="125">
        <f>Предпосылки!L316*IF(Предпосылки!$G284="нет",1,L$603)*IFERROR(LOOKUP(Предпосылки!$I284,$C$13:$C$15,L$13:L$15),1)</f>
        <v>0</v>
      </c>
      <c s="125">
        <f>Предпосылки!M316*IF(Предпосылки!$G284="нет",1,M$603)*IFERROR(LOOKUP(Предпосылки!$I284,$C$13:$C$15,M$13:M$15),1)</f>
        <v>0</v>
      </c>
      <c s="125">
        <f>Предпосылки!N316*IF(Предпосылки!$G284="нет",1,N$603)*IFERROR(LOOKUP(Предпосылки!$I284,$C$13:$C$15,N$13:N$15),1)</f>
        <v>0</v>
      </c>
      <c s="125">
        <f>Предпосылки!O316*IF(Предпосылки!$G284="нет",1,O$603)*IFERROR(LOOKUP(Предпосылки!$I284,$C$13:$C$15,O$13:O$15),1)</f>
        <v>0</v>
      </c>
      <c s="125">
        <f>Предпосылки!P316*IF(Предпосылки!$G284="нет",1,P$603)*IFERROR(LOOKUP(Предпосылки!$I284,$C$13:$C$15,P$13:P$15),1)</f>
        <v>0</v>
      </c>
      <c s="125">
        <f>Предпосылки!Q316*IF(Предпосылки!$G284="нет",1,Q$603)*IFERROR(LOOKUP(Предпосылки!$I284,$C$13:$C$15,Q$13:Q$15),1)</f>
        <v>0</v>
      </c>
      <c s="125">
        <f>Предпосылки!R316*IF(Предпосылки!$G284="нет",1,R$603)*IFERROR(LOOKUP(Предпосылки!$I284,$C$13:$C$15,R$13:R$15),1)</f>
        <v>0</v>
      </c>
      <c s="125">
        <f>Предпосылки!S316*IF(Предпосылки!$G284="нет",1,S$603)*IFERROR(LOOKUP(Предпосылки!$I284,$C$13:$C$15,S$13:S$15),1)</f>
        <v>0</v>
      </c>
      <c s="125">
        <f>Предпосылки!T316*IF(Предпосылки!$G284="нет",1,T$603)*IFERROR(LOOKUP(Предпосылки!$I284,$C$13:$C$15,T$13:T$15),1)</f>
        <v>0</v>
      </c>
      <c s="125">
        <f>Предпосылки!U316*IF(Предпосылки!$G284="нет",1,U$603)*IFERROR(LOOKUP(Предпосылки!$I284,$C$13:$C$15,U$13:U$15),1)</f>
        <v>0</v>
      </c>
      <c s="125">
        <f>Предпосылки!V316*IF(Предпосылки!$G284="нет",1,V$603)*IFERROR(LOOKUP(Предпосылки!$I284,$C$13:$C$15,V$13:V$15),1)</f>
        <v>0</v>
      </c>
      <c s="125">
        <f>Предпосылки!W316*IF(Предпосылки!$G284="нет",1,W$603)*IFERROR(LOOKUP(Предпосылки!$I284,$C$13:$C$15,W$13:W$15),1)</f>
        <v>0</v>
      </c>
      <c s="125">
        <f>Предпосылки!X316*IF(Предпосылки!$G284="нет",1,X$603)*IFERROR(LOOKUP(Предпосылки!$I284,$C$13:$C$15,X$13:X$15),1)</f>
        <v>0</v>
      </c>
      <c s="125">
        <f>Предпосылки!Y316*IF(Предпосылки!$G284="нет",1,Y$603)*IFERROR(LOOKUP(Предпосылки!$I284,$C$13:$C$15,Y$13:Y$15),1)</f>
        <v>0</v>
      </c>
      <c s="125">
        <f>Предпосылки!Z316*IF(Предпосылки!$G284="нет",1,Z$603)*IFERROR(LOOKUP(Предпосылки!$I284,$C$13:$C$15,Z$13:Z$15),1)</f>
        <v>0</v>
      </c>
      <c s="125">
        <f>Предпосылки!AA316*IF(Предпосылки!$G284="нет",1,AA$603)*IFERROR(LOOKUP(Предпосылки!$I284,$C$13:$C$15,AA$13:AA$15),1)</f>
        <v>0</v>
      </c>
      <c s="125">
        <f>Предпосылки!AB316*IF(Предпосылки!$G284="нет",1,AB$603)*IFERROR(LOOKUP(Предпосылки!$I284,$C$13:$C$15,AB$13:AB$15),1)</f>
        <v>0</v>
      </c>
      <c s="125">
        <f>Предпосылки!AC316*IF(Предпосылки!$G284="нет",1,AC$603)*IFERROR(LOOKUP(Предпосылки!$I284,$C$13:$C$15,AC$13:AC$15),1)</f>
        <v>0</v>
      </c>
      <c s="125">
        <f>Предпосылки!AD316*IF(Предпосылки!$G284="нет",1,AD$603)*IFERROR(LOOKUP(Предпосылки!$I284,$C$13:$C$15,AD$13:AD$15),1)</f>
        <v>0</v>
      </c>
      <c s="125">
        <f>Предпосылки!AE316*IF(Предпосылки!$G284="нет",1,AE$603)*IFERROR(LOOKUP(Предпосылки!$I284,$C$13:$C$15,AE$13:AE$15),1)</f>
        <v>0</v>
      </c>
      <c s="125">
        <f>Предпосылки!AF316*IF(Предпосылки!$G284="нет",1,AF$603)*IFERROR(LOOKUP(Предпосылки!$I284,$C$13:$C$15,AF$13:AF$15),1)</f>
        <v>0</v>
      </c>
      <c s="125">
        <f>Предпосылки!AG316*IF(Предпосылки!$G284="нет",1,AG$603)*IFERROR(LOOKUP(Предпосылки!$I284,$C$13:$C$15,AG$13:AG$15),1)</f>
        <v>0</v>
      </c>
      <c s="125">
        <f>Предпосылки!AH316*IF(Предпосылки!$G284="нет",1,AH$603)*IFERROR(LOOKUP(Предпосылки!$I284,$C$13:$C$15,AH$13:AH$15),1)</f>
        <v>0</v>
      </c>
      <c s="125">
        <f>Предпосылки!AI316*IF(Предпосылки!$G284="нет",1,AI$603)*IFERROR(LOOKUP(Предпосылки!$I284,$C$13:$C$15,AI$13:AI$15),1)</f>
        <v>0</v>
      </c>
      <c s="125">
        <f>Предпосылки!AJ316*IF(Предпосылки!$G284="нет",1,AJ$603)*IFERROR(LOOKUP(Предпосылки!$I284,$C$13:$C$15,AJ$13:AJ$15),1)</f>
        <v>0</v>
      </c>
      <c s="125">
        <f>Предпосылки!AK316*IF(Предпосылки!$G284="нет",1,AK$603)*IFERROR(LOOKUP(Предпосылки!$I284,$C$13:$C$15,AK$13:AK$15),1)</f>
        <v>0</v>
      </c>
      <c s="125">
        <f>Предпосылки!AL316*IF(Предпосылки!$G284="нет",1,AL$603)*IFERROR(LOOKUP(Предпосылки!$I284,$C$13:$C$15,AL$13:AL$15),1)</f>
        <v>0</v>
      </c>
      <c s="125">
        <f>Предпосылки!AM316*IF(Предпосылки!$G284="нет",1,AM$603)*IFERROR(LOOKUP(Предпосылки!$I284,$C$13:$C$15,AM$13:AM$15),1)</f>
        <v>0</v>
      </c>
      <c s="125">
        <f>Предпосылки!AN316*IF(Предпосылки!$G284="нет",1,AN$603)*IFERROR(LOOKUP(Предпосылки!$I284,$C$13:$C$15,AN$13:AN$15),1)</f>
        <v>0</v>
      </c>
      <c s="125">
        <f>Предпосылки!AO316*IF(Предпосылки!$G284="нет",1,AO$603)*IFERROR(LOOKUP(Предпосылки!$I284,$C$13:$C$15,AO$13:AO$15),1)</f>
        <v>0</v>
      </c>
      <c s="125">
        <f>Предпосылки!AP316*IF(Предпосылки!$G284="нет",1,AP$603)*IFERROR(LOOKUP(Предпосылки!$I284,$C$13:$C$15,AP$13:AP$15),1)</f>
        <v>0</v>
      </c>
      <c s="125">
        <f>Предпосылки!AQ316*IF(Предпосылки!$G284="нет",1,AQ$603)*IFERROR(LOOKUP(Предпосылки!$I284,$C$13:$C$15,AQ$13:AQ$15),1)</f>
        <v>0</v>
      </c>
      <c s="125">
        <f>Предпосылки!AR316*IF(Предпосылки!$G284="нет",1,AR$603)*IFERROR(LOOKUP(Предпосылки!$I284,$C$13:$C$15,AR$13:AR$15),1)</f>
        <v>0</v>
      </c>
      <c s="125">
        <f>Предпосылки!AS316*IF(Предпосылки!$G284="нет",1,AS$603)*IFERROR(LOOKUP(Предпосылки!$I284,$C$13:$C$15,AS$13:AS$15),1)</f>
        <v>0</v>
      </c>
      <c s="125">
        <f>Предпосылки!AT316*IF(Предпосылки!$G284="нет",1,AT$603)*IFERROR(LOOKUP(Предпосылки!$I284,$C$13:$C$15,AT$13:AT$15),1)</f>
        <v>0</v>
      </c>
      <c s="125">
        <f>Предпосылки!AU316*IF(Предпосылки!$G284="нет",1,AU$603)*IFERROR(LOOKUP(Предпосылки!$I284,$C$13:$C$15,AU$13:AU$15),1)</f>
        <v>0</v>
      </c>
      <c s="125">
        <f>Предпосылки!AV316*IF(Предпосылки!$G284="нет",1,AV$603)*IFERROR(LOOKUP(Предпосылки!$I284,$C$13:$C$15,AV$13:AV$15),1)</f>
        <v>0</v>
      </c>
      <c s="125">
        <f>Предпосылки!AW316*IF(Предпосылки!$G284="нет",1,AW$603)*IFERROR(LOOKUP(Предпосылки!$I284,$C$13:$C$15,AW$13:AW$15),1)</f>
        <v>0</v>
      </c>
      <c s="125">
        <f>Предпосылки!AX316*IF(Предпосылки!$G284="нет",1,AX$603)*IFERROR(LOOKUP(Предпосылки!$I284,$C$13:$C$15,AX$13:AX$15),1)</f>
        <v>0</v>
      </c>
      <c s="125">
        <f>Предпосылки!AY316*IF(Предпосылки!$G284="нет",1,AY$603)*IFERROR(LOOKUP(Предпосылки!$I284,$C$13:$C$15,AY$13:AY$15),1)</f>
        <v>0</v>
      </c>
      <c s="125">
        <f>Предпосылки!AZ316*IF(Предпосылки!$G284="нет",1,AZ$603)*IFERROR(LOOKUP(Предпосылки!$I284,$C$13:$C$15,AZ$13:AZ$15),1)</f>
        <v>0</v>
      </c>
      <c s="125">
        <f>Предпосылки!BA316*IF(Предпосылки!$G284="нет",1,BA$603)*IFERROR(LOOKUP(Предпосылки!$I284,$C$13:$C$15,BA$13:BA$15),1)</f>
        <v>0</v>
      </c>
      <c s="125">
        <f>Предпосылки!BB316*IF(Предпосылки!$G284="нет",1,BB$603)*IFERROR(LOOKUP(Предпосылки!$I284,$C$13:$C$15,BB$13:BB$15),1)</f>
        <v>0</v>
      </c>
      <c s="125">
        <f>Предпосылки!BC316*IF(Предпосылки!$G284="нет",1,BC$603)*IFERROR(LOOKUP(Предпосылки!$I284,$C$13:$C$15,BC$13:BC$15),1)</f>
        <v>0</v>
      </c>
      <c s="125">
        <f>Предпосылки!BD316*IF(Предпосылки!$G284="нет",1,BD$603)*IFERROR(LOOKUP(Предпосылки!$I284,$C$13:$C$15,BD$13:BD$15),1)</f>
        <v>0</v>
      </c>
      <c s="125">
        <f>Предпосылки!BE316*IF(Предпосылки!$G284="нет",1,BE$603)*IFERROR(LOOKUP(Предпосылки!$I284,$C$13:$C$15,BE$13:BE$15),1)</f>
        <v>0</v>
      </c>
      <c s="125">
        <f>Предпосылки!BF316*IF(Предпосылки!$G284="нет",1,BF$603)*IFERROR(LOOKUP(Предпосылки!$I284,$C$13:$C$15,BF$13:BF$15),1)</f>
        <v>0</v>
      </c>
      <c s="125">
        <f>Предпосылки!BG316*IF(Предпосылки!$G284="нет",1,BG$603)*IFERROR(LOOKUP(Предпосылки!$I284,$C$13:$C$15,BG$13:BG$15),1)</f>
        <v>0</v>
      </c>
      <c s="125">
        <f>Предпосылки!BH316*IF(Предпосылки!$G284="нет",1,BH$603)*IFERROR(LOOKUP(Предпосылки!$I284,$C$13:$C$15,BH$13:BH$15),1)</f>
        <v>0</v>
      </c>
      <c s="125">
        <f>Предпосылки!BI316*IF(Предпосылки!$G284="нет",1,BI$603)*IFERROR(LOOKUP(Предпосылки!$I284,$C$13:$C$15,BI$13:BI$15),1)</f>
        <v>0</v>
      </c>
      <c s="125">
        <f>Предпосылки!BJ316*IF(Предпосылки!$G284="нет",1,BJ$603)*IFERROR(LOOKUP(Предпосылки!$I284,$C$13:$C$15,BJ$13:BJ$15),1)</f>
        <v>0</v>
      </c>
      <c s="125">
        <f>Предпосылки!BK316*IF(Предпосылки!$G284="нет",1,BK$603)*IFERROR(LOOKUP(Предпосылки!$I284,$C$13:$C$15,BK$13:BK$15),1)</f>
        <v>0</v>
      </c>
      <c s="125">
        <f>Предпосылки!BL316*IF(Предпосылки!$G284="нет",1,BL$603)*IFERROR(LOOKUP(Предпосылки!$I284,$C$13:$C$15,BL$13:BL$15),1)</f>
        <v>0</v>
      </c>
      <c s="125">
        <f>Предпосылки!BM316*IF(Предпосылки!$G284="нет",1,BM$603)*IFERROR(LOOKUP(Предпосылки!$I284,$C$13:$C$15,BM$13:BM$15),1)</f>
        <v>0</v>
      </c>
    </row>
    <row r="642" spans="2:65" ht="15" customHeight="1">
      <c r="B642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Предпосылки!E317*IF(Предпосылки!$G285="нет",1,E$603)*IFERROR(LOOKUP(Предпосылки!$I285,$C$13:$C$15,E$13:E$15),1)</f>
        <v>0</v>
      </c>
      <c s="125">
        <f>Предпосылки!F317*IF(Предпосылки!$G285="нет",1,F$603)*IFERROR(LOOKUP(Предпосылки!$I285,$C$13:$C$15,F$13:F$15),1)</f>
        <v>0</v>
      </c>
      <c s="125">
        <f>Предпосылки!G317*IF(Предпосылки!$G285="нет",1,G$603)*IFERROR(LOOKUP(Предпосылки!$I285,$C$13:$C$15,G$13:G$15),1)</f>
        <v>0</v>
      </c>
      <c s="125">
        <f>Предпосылки!H317*IF(Предпосылки!$G285="нет",1,H$603)*IFERROR(LOOKUP(Предпосылки!$I285,$C$13:$C$15,H$13:H$15),1)</f>
        <v>0</v>
      </c>
      <c s="125">
        <f>Предпосылки!I317*IF(Предпосылки!$G285="нет",1,I$603)*IFERROR(LOOKUP(Предпосылки!$I285,$C$13:$C$15,I$13:I$15),1)</f>
        <v>0</v>
      </c>
      <c s="125">
        <f>Предпосылки!J317*IF(Предпосылки!$G285="нет",1,J$603)*IFERROR(LOOKUP(Предпосылки!$I285,$C$13:$C$15,J$13:J$15),1)</f>
        <v>0</v>
      </c>
      <c s="125">
        <f>Предпосылки!K317*IF(Предпосылки!$G285="нет",1,K$603)*IFERROR(LOOKUP(Предпосылки!$I285,$C$13:$C$15,K$13:K$15),1)</f>
        <v>0</v>
      </c>
      <c s="125">
        <f>Предпосылки!L317*IF(Предпосылки!$G285="нет",1,L$603)*IFERROR(LOOKUP(Предпосылки!$I285,$C$13:$C$15,L$13:L$15),1)</f>
        <v>0</v>
      </c>
      <c s="125">
        <f>Предпосылки!M317*IF(Предпосылки!$G285="нет",1,M$603)*IFERROR(LOOKUP(Предпосылки!$I285,$C$13:$C$15,M$13:M$15),1)</f>
        <v>0</v>
      </c>
      <c s="125">
        <f>Предпосылки!N317*IF(Предпосылки!$G285="нет",1,N$603)*IFERROR(LOOKUP(Предпосылки!$I285,$C$13:$C$15,N$13:N$15),1)</f>
        <v>0</v>
      </c>
      <c s="125">
        <f>Предпосылки!O317*IF(Предпосылки!$G285="нет",1,O$603)*IFERROR(LOOKUP(Предпосылки!$I285,$C$13:$C$15,O$13:O$15),1)</f>
        <v>0</v>
      </c>
      <c s="125">
        <f>Предпосылки!P317*IF(Предпосылки!$G285="нет",1,P$603)*IFERROR(LOOKUP(Предпосылки!$I285,$C$13:$C$15,P$13:P$15),1)</f>
        <v>0</v>
      </c>
      <c s="125">
        <f>Предпосылки!Q317*IF(Предпосылки!$G285="нет",1,Q$603)*IFERROR(LOOKUP(Предпосылки!$I285,$C$13:$C$15,Q$13:Q$15),1)</f>
        <v>0</v>
      </c>
      <c s="125">
        <f>Предпосылки!R317*IF(Предпосылки!$G285="нет",1,R$603)*IFERROR(LOOKUP(Предпосылки!$I285,$C$13:$C$15,R$13:R$15),1)</f>
        <v>0</v>
      </c>
      <c s="125">
        <f>Предпосылки!S317*IF(Предпосылки!$G285="нет",1,S$603)*IFERROR(LOOKUP(Предпосылки!$I285,$C$13:$C$15,S$13:S$15),1)</f>
        <v>0</v>
      </c>
      <c s="125">
        <f>Предпосылки!T317*IF(Предпосылки!$G285="нет",1,T$603)*IFERROR(LOOKUP(Предпосылки!$I285,$C$13:$C$15,T$13:T$15),1)</f>
        <v>0</v>
      </c>
      <c s="125">
        <f>Предпосылки!U317*IF(Предпосылки!$G285="нет",1,U$603)*IFERROR(LOOKUP(Предпосылки!$I285,$C$13:$C$15,U$13:U$15),1)</f>
        <v>0</v>
      </c>
      <c s="125">
        <f>Предпосылки!V317*IF(Предпосылки!$G285="нет",1,V$603)*IFERROR(LOOKUP(Предпосылки!$I285,$C$13:$C$15,V$13:V$15),1)</f>
        <v>0</v>
      </c>
      <c s="125">
        <f>Предпосылки!W317*IF(Предпосылки!$G285="нет",1,W$603)*IFERROR(LOOKUP(Предпосылки!$I285,$C$13:$C$15,W$13:W$15),1)</f>
        <v>0</v>
      </c>
      <c s="125">
        <f>Предпосылки!X317*IF(Предпосылки!$G285="нет",1,X$603)*IFERROR(LOOKUP(Предпосылки!$I285,$C$13:$C$15,X$13:X$15),1)</f>
        <v>0</v>
      </c>
      <c s="125">
        <f>Предпосылки!Y317*IF(Предпосылки!$G285="нет",1,Y$603)*IFERROR(LOOKUP(Предпосылки!$I285,$C$13:$C$15,Y$13:Y$15),1)</f>
        <v>0</v>
      </c>
      <c s="125">
        <f>Предпосылки!Z317*IF(Предпосылки!$G285="нет",1,Z$603)*IFERROR(LOOKUP(Предпосылки!$I285,$C$13:$C$15,Z$13:Z$15),1)</f>
        <v>0</v>
      </c>
      <c s="125">
        <f>Предпосылки!AA317*IF(Предпосылки!$G285="нет",1,AA$603)*IFERROR(LOOKUP(Предпосылки!$I285,$C$13:$C$15,AA$13:AA$15),1)</f>
        <v>0</v>
      </c>
      <c s="125">
        <f>Предпосылки!AB317*IF(Предпосылки!$G285="нет",1,AB$603)*IFERROR(LOOKUP(Предпосылки!$I285,$C$13:$C$15,AB$13:AB$15),1)</f>
        <v>0</v>
      </c>
      <c s="125">
        <f>Предпосылки!AC317*IF(Предпосылки!$G285="нет",1,AC$603)*IFERROR(LOOKUP(Предпосылки!$I285,$C$13:$C$15,AC$13:AC$15),1)</f>
        <v>0</v>
      </c>
      <c s="125">
        <f>Предпосылки!AD317*IF(Предпосылки!$G285="нет",1,AD$603)*IFERROR(LOOKUP(Предпосылки!$I285,$C$13:$C$15,AD$13:AD$15),1)</f>
        <v>0</v>
      </c>
      <c s="125">
        <f>Предпосылки!AE317*IF(Предпосылки!$G285="нет",1,AE$603)*IFERROR(LOOKUP(Предпосылки!$I285,$C$13:$C$15,AE$13:AE$15),1)</f>
        <v>0</v>
      </c>
      <c s="125">
        <f>Предпосылки!AF317*IF(Предпосылки!$G285="нет",1,AF$603)*IFERROR(LOOKUP(Предпосылки!$I285,$C$13:$C$15,AF$13:AF$15),1)</f>
        <v>0</v>
      </c>
      <c s="125">
        <f>Предпосылки!AG317*IF(Предпосылки!$G285="нет",1,AG$603)*IFERROR(LOOKUP(Предпосылки!$I285,$C$13:$C$15,AG$13:AG$15),1)</f>
        <v>0</v>
      </c>
      <c s="125">
        <f>Предпосылки!AH317*IF(Предпосылки!$G285="нет",1,AH$603)*IFERROR(LOOKUP(Предпосылки!$I285,$C$13:$C$15,AH$13:AH$15),1)</f>
        <v>0</v>
      </c>
      <c s="125">
        <f>Предпосылки!AI317*IF(Предпосылки!$G285="нет",1,AI$603)*IFERROR(LOOKUP(Предпосылки!$I285,$C$13:$C$15,AI$13:AI$15),1)</f>
        <v>0</v>
      </c>
      <c s="125">
        <f>Предпосылки!AJ317*IF(Предпосылки!$G285="нет",1,AJ$603)*IFERROR(LOOKUP(Предпосылки!$I285,$C$13:$C$15,AJ$13:AJ$15),1)</f>
        <v>0</v>
      </c>
      <c s="125">
        <f>Предпосылки!AK317*IF(Предпосылки!$G285="нет",1,AK$603)*IFERROR(LOOKUP(Предпосылки!$I285,$C$13:$C$15,AK$13:AK$15),1)</f>
        <v>0</v>
      </c>
      <c s="125">
        <f>Предпосылки!AL317*IF(Предпосылки!$G285="нет",1,AL$603)*IFERROR(LOOKUP(Предпосылки!$I285,$C$13:$C$15,AL$13:AL$15),1)</f>
        <v>0</v>
      </c>
      <c s="125">
        <f>Предпосылки!AM317*IF(Предпосылки!$G285="нет",1,AM$603)*IFERROR(LOOKUP(Предпосылки!$I285,$C$13:$C$15,AM$13:AM$15),1)</f>
        <v>0</v>
      </c>
      <c s="125">
        <f>Предпосылки!AN317*IF(Предпосылки!$G285="нет",1,AN$603)*IFERROR(LOOKUP(Предпосылки!$I285,$C$13:$C$15,AN$13:AN$15),1)</f>
        <v>0</v>
      </c>
      <c s="125">
        <f>Предпосылки!AO317*IF(Предпосылки!$G285="нет",1,AO$603)*IFERROR(LOOKUP(Предпосылки!$I285,$C$13:$C$15,AO$13:AO$15),1)</f>
        <v>0</v>
      </c>
      <c s="125">
        <f>Предпосылки!AP317*IF(Предпосылки!$G285="нет",1,AP$603)*IFERROR(LOOKUP(Предпосылки!$I285,$C$13:$C$15,AP$13:AP$15),1)</f>
        <v>0</v>
      </c>
      <c s="125">
        <f>Предпосылки!AQ317*IF(Предпосылки!$G285="нет",1,AQ$603)*IFERROR(LOOKUP(Предпосылки!$I285,$C$13:$C$15,AQ$13:AQ$15),1)</f>
        <v>0</v>
      </c>
      <c s="125">
        <f>Предпосылки!AR317*IF(Предпосылки!$G285="нет",1,AR$603)*IFERROR(LOOKUP(Предпосылки!$I285,$C$13:$C$15,AR$13:AR$15),1)</f>
        <v>0</v>
      </c>
      <c s="125">
        <f>Предпосылки!AS317*IF(Предпосылки!$G285="нет",1,AS$603)*IFERROR(LOOKUP(Предпосылки!$I285,$C$13:$C$15,AS$13:AS$15),1)</f>
        <v>0</v>
      </c>
      <c s="125">
        <f>Предпосылки!AT317*IF(Предпосылки!$G285="нет",1,AT$603)*IFERROR(LOOKUP(Предпосылки!$I285,$C$13:$C$15,AT$13:AT$15),1)</f>
        <v>0</v>
      </c>
      <c s="125">
        <f>Предпосылки!AU317*IF(Предпосылки!$G285="нет",1,AU$603)*IFERROR(LOOKUP(Предпосылки!$I285,$C$13:$C$15,AU$13:AU$15),1)</f>
        <v>0</v>
      </c>
      <c s="125">
        <f>Предпосылки!AV317*IF(Предпосылки!$G285="нет",1,AV$603)*IFERROR(LOOKUP(Предпосылки!$I285,$C$13:$C$15,AV$13:AV$15),1)</f>
        <v>0</v>
      </c>
      <c s="125">
        <f>Предпосылки!AW317*IF(Предпосылки!$G285="нет",1,AW$603)*IFERROR(LOOKUP(Предпосылки!$I285,$C$13:$C$15,AW$13:AW$15),1)</f>
        <v>0</v>
      </c>
      <c s="125">
        <f>Предпосылки!AX317*IF(Предпосылки!$G285="нет",1,AX$603)*IFERROR(LOOKUP(Предпосылки!$I285,$C$13:$C$15,AX$13:AX$15),1)</f>
        <v>0</v>
      </c>
      <c s="125">
        <f>Предпосылки!AY317*IF(Предпосылки!$G285="нет",1,AY$603)*IFERROR(LOOKUP(Предпосылки!$I285,$C$13:$C$15,AY$13:AY$15),1)</f>
        <v>0</v>
      </c>
      <c s="125">
        <f>Предпосылки!AZ317*IF(Предпосылки!$G285="нет",1,AZ$603)*IFERROR(LOOKUP(Предпосылки!$I285,$C$13:$C$15,AZ$13:AZ$15),1)</f>
        <v>0</v>
      </c>
      <c s="125">
        <f>Предпосылки!BA317*IF(Предпосылки!$G285="нет",1,BA$603)*IFERROR(LOOKUP(Предпосылки!$I285,$C$13:$C$15,BA$13:BA$15),1)</f>
        <v>0</v>
      </c>
      <c s="125">
        <f>Предпосылки!BB317*IF(Предпосылки!$G285="нет",1,BB$603)*IFERROR(LOOKUP(Предпосылки!$I285,$C$13:$C$15,BB$13:BB$15),1)</f>
        <v>0</v>
      </c>
      <c s="125">
        <f>Предпосылки!BC317*IF(Предпосылки!$G285="нет",1,BC$603)*IFERROR(LOOKUP(Предпосылки!$I285,$C$13:$C$15,BC$13:BC$15),1)</f>
        <v>0</v>
      </c>
      <c s="125">
        <f>Предпосылки!BD317*IF(Предпосылки!$G285="нет",1,BD$603)*IFERROR(LOOKUP(Предпосылки!$I285,$C$13:$C$15,BD$13:BD$15),1)</f>
        <v>0</v>
      </c>
      <c s="125">
        <f>Предпосылки!BE317*IF(Предпосылки!$G285="нет",1,BE$603)*IFERROR(LOOKUP(Предпосылки!$I285,$C$13:$C$15,BE$13:BE$15),1)</f>
        <v>0</v>
      </c>
      <c s="125">
        <f>Предпосылки!BF317*IF(Предпосылки!$G285="нет",1,BF$603)*IFERROR(LOOKUP(Предпосылки!$I285,$C$13:$C$15,BF$13:BF$15),1)</f>
        <v>0</v>
      </c>
      <c s="125">
        <f>Предпосылки!BG317*IF(Предпосылки!$G285="нет",1,BG$603)*IFERROR(LOOKUP(Предпосылки!$I285,$C$13:$C$15,BG$13:BG$15),1)</f>
        <v>0</v>
      </c>
      <c s="125">
        <f>Предпосылки!BH317*IF(Предпосылки!$G285="нет",1,BH$603)*IFERROR(LOOKUP(Предпосылки!$I285,$C$13:$C$15,BH$13:BH$15),1)</f>
        <v>0</v>
      </c>
      <c s="125">
        <f>Предпосылки!BI317*IF(Предпосылки!$G285="нет",1,BI$603)*IFERROR(LOOKUP(Предпосылки!$I285,$C$13:$C$15,BI$13:BI$15),1)</f>
        <v>0</v>
      </c>
      <c s="125">
        <f>Предпосылки!BJ317*IF(Предпосылки!$G285="нет",1,BJ$603)*IFERROR(LOOKUP(Предпосылки!$I285,$C$13:$C$15,BJ$13:BJ$15),1)</f>
        <v>0</v>
      </c>
      <c s="125">
        <f>Предпосылки!BK317*IF(Предпосылки!$G285="нет",1,BK$603)*IFERROR(LOOKUP(Предпосылки!$I285,$C$13:$C$15,BK$13:BK$15),1)</f>
        <v>0</v>
      </c>
      <c s="125">
        <f>Предпосылки!BL317*IF(Предпосылки!$G285="нет",1,BL$603)*IFERROR(LOOKUP(Предпосылки!$I285,$C$13:$C$15,BL$13:BL$15),1)</f>
        <v>0</v>
      </c>
      <c s="125">
        <f>Предпосылки!BM317*IF(Предпосылки!$G285="нет",1,BM$603)*IFERROR(LOOKUP(Предпосылки!$I285,$C$13:$C$15,BM$13:BM$15),1)</f>
        <v>0</v>
      </c>
    </row>
    <row r="643" spans="2:65" ht="15" customHeight="1">
      <c r="B643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Предпосылки!E318*IF(Предпосылки!$G286="нет",1,E$603)*IFERROR(LOOKUP(Предпосылки!$I286,$C$13:$C$15,E$13:E$15),1)</f>
        <v>0</v>
      </c>
      <c s="125">
        <f>Предпосылки!F318*IF(Предпосылки!$G286="нет",1,F$603)*IFERROR(LOOKUP(Предпосылки!$I286,$C$13:$C$15,F$13:F$15),1)</f>
        <v>0</v>
      </c>
      <c s="125">
        <f>Предпосылки!G318*IF(Предпосылки!$G286="нет",1,G$603)*IFERROR(LOOKUP(Предпосылки!$I286,$C$13:$C$15,G$13:G$15),1)</f>
        <v>0</v>
      </c>
      <c s="125">
        <f>Предпосылки!H318*IF(Предпосылки!$G286="нет",1,H$603)*IFERROR(LOOKUP(Предпосылки!$I286,$C$13:$C$15,H$13:H$15),1)</f>
        <v>0</v>
      </c>
      <c s="125">
        <f>Предпосылки!I318*IF(Предпосылки!$G286="нет",1,I$603)*IFERROR(LOOKUP(Предпосылки!$I286,$C$13:$C$15,I$13:I$15),1)</f>
        <v>0</v>
      </c>
      <c s="125">
        <f>Предпосылки!J318*IF(Предпосылки!$G286="нет",1,J$603)*IFERROR(LOOKUP(Предпосылки!$I286,$C$13:$C$15,J$13:J$15),1)</f>
        <v>0</v>
      </c>
      <c s="125">
        <f>Предпосылки!K318*IF(Предпосылки!$G286="нет",1,K$603)*IFERROR(LOOKUP(Предпосылки!$I286,$C$13:$C$15,K$13:K$15),1)</f>
        <v>0</v>
      </c>
      <c s="125">
        <f>Предпосылки!L318*IF(Предпосылки!$G286="нет",1,L$603)*IFERROR(LOOKUP(Предпосылки!$I286,$C$13:$C$15,L$13:L$15),1)</f>
        <v>0</v>
      </c>
      <c s="125">
        <f>Предпосылки!M318*IF(Предпосылки!$G286="нет",1,M$603)*IFERROR(LOOKUP(Предпосылки!$I286,$C$13:$C$15,M$13:M$15),1)</f>
        <v>0</v>
      </c>
      <c s="125">
        <f>Предпосылки!N318*IF(Предпосылки!$G286="нет",1,N$603)*IFERROR(LOOKUP(Предпосылки!$I286,$C$13:$C$15,N$13:N$15),1)</f>
        <v>0</v>
      </c>
      <c s="125">
        <f>Предпосылки!O318*IF(Предпосылки!$G286="нет",1,O$603)*IFERROR(LOOKUP(Предпосылки!$I286,$C$13:$C$15,O$13:O$15),1)</f>
        <v>0</v>
      </c>
      <c s="125">
        <f>Предпосылки!P318*IF(Предпосылки!$G286="нет",1,P$603)*IFERROR(LOOKUP(Предпосылки!$I286,$C$13:$C$15,P$13:P$15),1)</f>
        <v>0</v>
      </c>
      <c s="125">
        <f>Предпосылки!Q318*IF(Предпосылки!$G286="нет",1,Q$603)*IFERROR(LOOKUP(Предпосылки!$I286,$C$13:$C$15,Q$13:Q$15),1)</f>
        <v>0</v>
      </c>
      <c s="125">
        <f>Предпосылки!R318*IF(Предпосылки!$G286="нет",1,R$603)*IFERROR(LOOKUP(Предпосылки!$I286,$C$13:$C$15,R$13:R$15),1)</f>
        <v>0</v>
      </c>
      <c s="125">
        <f>Предпосылки!S318*IF(Предпосылки!$G286="нет",1,S$603)*IFERROR(LOOKUP(Предпосылки!$I286,$C$13:$C$15,S$13:S$15),1)</f>
        <v>0</v>
      </c>
      <c s="125">
        <f>Предпосылки!T318*IF(Предпосылки!$G286="нет",1,T$603)*IFERROR(LOOKUP(Предпосылки!$I286,$C$13:$C$15,T$13:T$15),1)</f>
        <v>0</v>
      </c>
      <c s="125">
        <f>Предпосылки!U318*IF(Предпосылки!$G286="нет",1,U$603)*IFERROR(LOOKUP(Предпосылки!$I286,$C$13:$C$15,U$13:U$15),1)</f>
        <v>0</v>
      </c>
      <c s="125">
        <f>Предпосылки!V318*IF(Предпосылки!$G286="нет",1,V$603)*IFERROR(LOOKUP(Предпосылки!$I286,$C$13:$C$15,V$13:V$15),1)</f>
        <v>0</v>
      </c>
      <c s="125">
        <f>Предпосылки!W318*IF(Предпосылки!$G286="нет",1,W$603)*IFERROR(LOOKUP(Предпосылки!$I286,$C$13:$C$15,W$13:W$15),1)</f>
        <v>0</v>
      </c>
      <c s="125">
        <f>Предпосылки!X318*IF(Предпосылки!$G286="нет",1,X$603)*IFERROR(LOOKUP(Предпосылки!$I286,$C$13:$C$15,X$13:X$15),1)</f>
        <v>0</v>
      </c>
      <c s="125">
        <f>Предпосылки!Y318*IF(Предпосылки!$G286="нет",1,Y$603)*IFERROR(LOOKUP(Предпосылки!$I286,$C$13:$C$15,Y$13:Y$15),1)</f>
        <v>0</v>
      </c>
      <c s="125">
        <f>Предпосылки!Z318*IF(Предпосылки!$G286="нет",1,Z$603)*IFERROR(LOOKUP(Предпосылки!$I286,$C$13:$C$15,Z$13:Z$15),1)</f>
        <v>0</v>
      </c>
      <c s="125">
        <f>Предпосылки!AA318*IF(Предпосылки!$G286="нет",1,AA$603)*IFERROR(LOOKUP(Предпосылки!$I286,$C$13:$C$15,AA$13:AA$15),1)</f>
        <v>0</v>
      </c>
      <c s="125">
        <f>Предпосылки!AB318*IF(Предпосылки!$G286="нет",1,AB$603)*IFERROR(LOOKUP(Предпосылки!$I286,$C$13:$C$15,AB$13:AB$15),1)</f>
        <v>0</v>
      </c>
      <c s="125">
        <f>Предпосылки!AC318*IF(Предпосылки!$G286="нет",1,AC$603)*IFERROR(LOOKUP(Предпосылки!$I286,$C$13:$C$15,AC$13:AC$15),1)</f>
        <v>0</v>
      </c>
      <c s="125">
        <f>Предпосылки!AD318*IF(Предпосылки!$G286="нет",1,AD$603)*IFERROR(LOOKUP(Предпосылки!$I286,$C$13:$C$15,AD$13:AD$15),1)</f>
        <v>0</v>
      </c>
      <c s="125">
        <f>Предпосылки!AE318*IF(Предпосылки!$G286="нет",1,AE$603)*IFERROR(LOOKUP(Предпосылки!$I286,$C$13:$C$15,AE$13:AE$15),1)</f>
        <v>0</v>
      </c>
      <c s="125">
        <f>Предпосылки!AF318*IF(Предпосылки!$G286="нет",1,AF$603)*IFERROR(LOOKUP(Предпосылки!$I286,$C$13:$C$15,AF$13:AF$15),1)</f>
        <v>0</v>
      </c>
      <c s="125">
        <f>Предпосылки!AG318*IF(Предпосылки!$G286="нет",1,AG$603)*IFERROR(LOOKUP(Предпосылки!$I286,$C$13:$C$15,AG$13:AG$15),1)</f>
        <v>0</v>
      </c>
      <c s="125">
        <f>Предпосылки!AH318*IF(Предпосылки!$G286="нет",1,AH$603)*IFERROR(LOOKUP(Предпосылки!$I286,$C$13:$C$15,AH$13:AH$15),1)</f>
        <v>0</v>
      </c>
      <c s="125">
        <f>Предпосылки!AI318*IF(Предпосылки!$G286="нет",1,AI$603)*IFERROR(LOOKUP(Предпосылки!$I286,$C$13:$C$15,AI$13:AI$15),1)</f>
        <v>0</v>
      </c>
      <c s="125">
        <f>Предпосылки!AJ318*IF(Предпосылки!$G286="нет",1,AJ$603)*IFERROR(LOOKUP(Предпосылки!$I286,$C$13:$C$15,AJ$13:AJ$15),1)</f>
        <v>0</v>
      </c>
      <c s="125">
        <f>Предпосылки!AK318*IF(Предпосылки!$G286="нет",1,AK$603)*IFERROR(LOOKUP(Предпосылки!$I286,$C$13:$C$15,AK$13:AK$15),1)</f>
        <v>0</v>
      </c>
      <c s="125">
        <f>Предпосылки!AL318*IF(Предпосылки!$G286="нет",1,AL$603)*IFERROR(LOOKUP(Предпосылки!$I286,$C$13:$C$15,AL$13:AL$15),1)</f>
        <v>0</v>
      </c>
      <c s="125">
        <f>Предпосылки!AM318*IF(Предпосылки!$G286="нет",1,AM$603)*IFERROR(LOOKUP(Предпосылки!$I286,$C$13:$C$15,AM$13:AM$15),1)</f>
        <v>0</v>
      </c>
      <c s="125">
        <f>Предпосылки!AN318*IF(Предпосылки!$G286="нет",1,AN$603)*IFERROR(LOOKUP(Предпосылки!$I286,$C$13:$C$15,AN$13:AN$15),1)</f>
        <v>0</v>
      </c>
      <c s="125">
        <f>Предпосылки!AO318*IF(Предпосылки!$G286="нет",1,AO$603)*IFERROR(LOOKUP(Предпосылки!$I286,$C$13:$C$15,AO$13:AO$15),1)</f>
        <v>0</v>
      </c>
      <c s="125">
        <f>Предпосылки!AP318*IF(Предпосылки!$G286="нет",1,AP$603)*IFERROR(LOOKUP(Предпосылки!$I286,$C$13:$C$15,AP$13:AP$15),1)</f>
        <v>0</v>
      </c>
      <c s="125">
        <f>Предпосылки!AQ318*IF(Предпосылки!$G286="нет",1,AQ$603)*IFERROR(LOOKUP(Предпосылки!$I286,$C$13:$C$15,AQ$13:AQ$15),1)</f>
        <v>0</v>
      </c>
      <c s="125">
        <f>Предпосылки!AR318*IF(Предпосылки!$G286="нет",1,AR$603)*IFERROR(LOOKUP(Предпосылки!$I286,$C$13:$C$15,AR$13:AR$15),1)</f>
        <v>0</v>
      </c>
      <c s="125">
        <f>Предпосылки!AS318*IF(Предпосылки!$G286="нет",1,AS$603)*IFERROR(LOOKUP(Предпосылки!$I286,$C$13:$C$15,AS$13:AS$15),1)</f>
        <v>0</v>
      </c>
      <c s="125">
        <f>Предпосылки!AT318*IF(Предпосылки!$G286="нет",1,AT$603)*IFERROR(LOOKUP(Предпосылки!$I286,$C$13:$C$15,AT$13:AT$15),1)</f>
        <v>0</v>
      </c>
      <c s="125">
        <f>Предпосылки!AU318*IF(Предпосылки!$G286="нет",1,AU$603)*IFERROR(LOOKUP(Предпосылки!$I286,$C$13:$C$15,AU$13:AU$15),1)</f>
        <v>0</v>
      </c>
      <c s="125">
        <f>Предпосылки!AV318*IF(Предпосылки!$G286="нет",1,AV$603)*IFERROR(LOOKUP(Предпосылки!$I286,$C$13:$C$15,AV$13:AV$15),1)</f>
        <v>0</v>
      </c>
      <c s="125">
        <f>Предпосылки!AW318*IF(Предпосылки!$G286="нет",1,AW$603)*IFERROR(LOOKUP(Предпосылки!$I286,$C$13:$C$15,AW$13:AW$15),1)</f>
        <v>0</v>
      </c>
      <c s="125">
        <f>Предпосылки!AX318*IF(Предпосылки!$G286="нет",1,AX$603)*IFERROR(LOOKUP(Предпосылки!$I286,$C$13:$C$15,AX$13:AX$15),1)</f>
        <v>0</v>
      </c>
      <c s="125">
        <f>Предпосылки!AY318*IF(Предпосылки!$G286="нет",1,AY$603)*IFERROR(LOOKUP(Предпосылки!$I286,$C$13:$C$15,AY$13:AY$15),1)</f>
        <v>0</v>
      </c>
      <c s="125">
        <f>Предпосылки!AZ318*IF(Предпосылки!$G286="нет",1,AZ$603)*IFERROR(LOOKUP(Предпосылки!$I286,$C$13:$C$15,AZ$13:AZ$15),1)</f>
        <v>0</v>
      </c>
      <c s="125">
        <f>Предпосылки!BA318*IF(Предпосылки!$G286="нет",1,BA$603)*IFERROR(LOOKUP(Предпосылки!$I286,$C$13:$C$15,BA$13:BA$15),1)</f>
        <v>0</v>
      </c>
      <c s="125">
        <f>Предпосылки!BB318*IF(Предпосылки!$G286="нет",1,BB$603)*IFERROR(LOOKUP(Предпосылки!$I286,$C$13:$C$15,BB$13:BB$15),1)</f>
        <v>0</v>
      </c>
      <c s="125">
        <f>Предпосылки!BC318*IF(Предпосылки!$G286="нет",1,BC$603)*IFERROR(LOOKUP(Предпосылки!$I286,$C$13:$C$15,BC$13:BC$15),1)</f>
        <v>0</v>
      </c>
      <c s="125">
        <f>Предпосылки!BD318*IF(Предпосылки!$G286="нет",1,BD$603)*IFERROR(LOOKUP(Предпосылки!$I286,$C$13:$C$15,BD$13:BD$15),1)</f>
        <v>0</v>
      </c>
      <c s="125">
        <f>Предпосылки!BE318*IF(Предпосылки!$G286="нет",1,BE$603)*IFERROR(LOOKUP(Предпосылки!$I286,$C$13:$C$15,BE$13:BE$15),1)</f>
        <v>0</v>
      </c>
      <c s="125">
        <f>Предпосылки!BF318*IF(Предпосылки!$G286="нет",1,BF$603)*IFERROR(LOOKUP(Предпосылки!$I286,$C$13:$C$15,BF$13:BF$15),1)</f>
        <v>0</v>
      </c>
      <c s="125">
        <f>Предпосылки!BG318*IF(Предпосылки!$G286="нет",1,BG$603)*IFERROR(LOOKUP(Предпосылки!$I286,$C$13:$C$15,BG$13:BG$15),1)</f>
        <v>0</v>
      </c>
      <c s="125">
        <f>Предпосылки!BH318*IF(Предпосылки!$G286="нет",1,BH$603)*IFERROR(LOOKUP(Предпосылки!$I286,$C$13:$C$15,BH$13:BH$15),1)</f>
        <v>0</v>
      </c>
      <c s="125">
        <f>Предпосылки!BI318*IF(Предпосылки!$G286="нет",1,BI$603)*IFERROR(LOOKUP(Предпосылки!$I286,$C$13:$C$15,BI$13:BI$15),1)</f>
        <v>0</v>
      </c>
      <c s="125">
        <f>Предпосылки!BJ318*IF(Предпосылки!$G286="нет",1,BJ$603)*IFERROR(LOOKUP(Предпосылки!$I286,$C$13:$C$15,BJ$13:BJ$15),1)</f>
        <v>0</v>
      </c>
      <c s="125">
        <f>Предпосылки!BK318*IF(Предпосылки!$G286="нет",1,BK$603)*IFERROR(LOOKUP(Предпосылки!$I286,$C$13:$C$15,BK$13:BK$15),1)</f>
        <v>0</v>
      </c>
      <c s="125">
        <f>Предпосылки!BL318*IF(Предпосылки!$G286="нет",1,BL$603)*IFERROR(LOOKUP(Предпосылки!$I286,$C$13:$C$15,BL$13:BL$15),1)</f>
        <v>0</v>
      </c>
      <c s="125">
        <f>Предпосылки!BM318*IF(Предпосылки!$G286="нет",1,BM$603)*IFERROR(LOOKUP(Предпосылки!$I286,$C$13:$C$15,BM$13:BM$15),1)</f>
        <v>0</v>
      </c>
    </row>
    <row r="644" spans="2:65" ht="15" customHeight="1">
      <c r="B644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Предпосылки!E319*IF(Предпосылки!$G287="нет",1,E$603)*IFERROR(LOOKUP(Предпосылки!$I287,$C$13:$C$15,E$13:E$15),1)</f>
        <v>0</v>
      </c>
      <c s="125">
        <f>Предпосылки!F319*IF(Предпосылки!$G287="нет",1,F$603)*IFERROR(LOOKUP(Предпосылки!$I287,$C$13:$C$15,F$13:F$15),1)</f>
        <v>0</v>
      </c>
      <c s="125">
        <f>Предпосылки!G319*IF(Предпосылки!$G287="нет",1,G$603)*IFERROR(LOOKUP(Предпосылки!$I287,$C$13:$C$15,G$13:G$15),1)</f>
        <v>0</v>
      </c>
      <c s="125">
        <f>Предпосылки!H319*IF(Предпосылки!$G287="нет",1,H$603)*IFERROR(LOOKUP(Предпосылки!$I287,$C$13:$C$15,H$13:H$15),1)</f>
        <v>0</v>
      </c>
      <c s="125">
        <f>Предпосылки!I319*IF(Предпосылки!$G287="нет",1,I$603)*IFERROR(LOOKUP(Предпосылки!$I287,$C$13:$C$15,I$13:I$15),1)</f>
        <v>0</v>
      </c>
      <c s="125">
        <f>Предпосылки!J319*IF(Предпосылки!$G287="нет",1,J$603)*IFERROR(LOOKUP(Предпосылки!$I287,$C$13:$C$15,J$13:J$15),1)</f>
        <v>0</v>
      </c>
      <c s="125">
        <f>Предпосылки!K319*IF(Предпосылки!$G287="нет",1,K$603)*IFERROR(LOOKUP(Предпосылки!$I287,$C$13:$C$15,K$13:K$15),1)</f>
        <v>0</v>
      </c>
      <c s="125">
        <f>Предпосылки!L319*IF(Предпосылки!$G287="нет",1,L$603)*IFERROR(LOOKUP(Предпосылки!$I287,$C$13:$C$15,L$13:L$15),1)</f>
        <v>0</v>
      </c>
      <c s="125">
        <f>Предпосылки!M319*IF(Предпосылки!$G287="нет",1,M$603)*IFERROR(LOOKUP(Предпосылки!$I287,$C$13:$C$15,M$13:M$15),1)</f>
        <v>0</v>
      </c>
      <c s="125">
        <f>Предпосылки!N319*IF(Предпосылки!$G287="нет",1,N$603)*IFERROR(LOOKUP(Предпосылки!$I287,$C$13:$C$15,N$13:N$15),1)</f>
        <v>0</v>
      </c>
      <c s="125">
        <f>Предпосылки!O319*IF(Предпосылки!$G287="нет",1,O$603)*IFERROR(LOOKUP(Предпосылки!$I287,$C$13:$C$15,O$13:O$15),1)</f>
        <v>0</v>
      </c>
      <c s="125">
        <f>Предпосылки!P319*IF(Предпосылки!$G287="нет",1,P$603)*IFERROR(LOOKUP(Предпосылки!$I287,$C$13:$C$15,P$13:P$15),1)</f>
        <v>0</v>
      </c>
      <c s="125">
        <f>Предпосылки!Q319*IF(Предпосылки!$G287="нет",1,Q$603)*IFERROR(LOOKUP(Предпосылки!$I287,$C$13:$C$15,Q$13:Q$15),1)</f>
        <v>0</v>
      </c>
      <c s="125">
        <f>Предпосылки!R319*IF(Предпосылки!$G287="нет",1,R$603)*IFERROR(LOOKUP(Предпосылки!$I287,$C$13:$C$15,R$13:R$15),1)</f>
        <v>0</v>
      </c>
      <c s="125">
        <f>Предпосылки!S319*IF(Предпосылки!$G287="нет",1,S$603)*IFERROR(LOOKUP(Предпосылки!$I287,$C$13:$C$15,S$13:S$15),1)</f>
        <v>0</v>
      </c>
      <c s="125">
        <f>Предпосылки!T319*IF(Предпосылки!$G287="нет",1,T$603)*IFERROR(LOOKUP(Предпосылки!$I287,$C$13:$C$15,T$13:T$15),1)</f>
        <v>0</v>
      </c>
      <c s="125">
        <f>Предпосылки!U319*IF(Предпосылки!$G287="нет",1,U$603)*IFERROR(LOOKUP(Предпосылки!$I287,$C$13:$C$15,U$13:U$15),1)</f>
        <v>0</v>
      </c>
      <c s="125">
        <f>Предпосылки!V319*IF(Предпосылки!$G287="нет",1,V$603)*IFERROR(LOOKUP(Предпосылки!$I287,$C$13:$C$15,V$13:V$15),1)</f>
        <v>0</v>
      </c>
      <c s="125">
        <f>Предпосылки!W319*IF(Предпосылки!$G287="нет",1,W$603)*IFERROR(LOOKUP(Предпосылки!$I287,$C$13:$C$15,W$13:W$15),1)</f>
        <v>0</v>
      </c>
      <c s="125">
        <f>Предпосылки!X319*IF(Предпосылки!$G287="нет",1,X$603)*IFERROR(LOOKUP(Предпосылки!$I287,$C$13:$C$15,X$13:X$15),1)</f>
        <v>0</v>
      </c>
      <c s="125">
        <f>Предпосылки!Y319*IF(Предпосылки!$G287="нет",1,Y$603)*IFERROR(LOOKUP(Предпосылки!$I287,$C$13:$C$15,Y$13:Y$15),1)</f>
        <v>0</v>
      </c>
      <c s="125">
        <f>Предпосылки!Z319*IF(Предпосылки!$G287="нет",1,Z$603)*IFERROR(LOOKUP(Предпосылки!$I287,$C$13:$C$15,Z$13:Z$15),1)</f>
        <v>0</v>
      </c>
      <c s="125">
        <f>Предпосылки!AA319*IF(Предпосылки!$G287="нет",1,AA$603)*IFERROR(LOOKUP(Предпосылки!$I287,$C$13:$C$15,AA$13:AA$15),1)</f>
        <v>0</v>
      </c>
      <c s="125">
        <f>Предпосылки!AB319*IF(Предпосылки!$G287="нет",1,AB$603)*IFERROR(LOOKUP(Предпосылки!$I287,$C$13:$C$15,AB$13:AB$15),1)</f>
        <v>0</v>
      </c>
      <c s="125">
        <f>Предпосылки!AC319*IF(Предпосылки!$G287="нет",1,AC$603)*IFERROR(LOOKUP(Предпосылки!$I287,$C$13:$C$15,AC$13:AC$15),1)</f>
        <v>0</v>
      </c>
      <c s="125">
        <f>Предпосылки!AD319*IF(Предпосылки!$G287="нет",1,AD$603)*IFERROR(LOOKUP(Предпосылки!$I287,$C$13:$C$15,AD$13:AD$15),1)</f>
        <v>0</v>
      </c>
      <c s="125">
        <f>Предпосылки!AE319*IF(Предпосылки!$G287="нет",1,AE$603)*IFERROR(LOOKUP(Предпосылки!$I287,$C$13:$C$15,AE$13:AE$15),1)</f>
        <v>0</v>
      </c>
      <c s="125">
        <f>Предпосылки!AF319*IF(Предпосылки!$G287="нет",1,AF$603)*IFERROR(LOOKUP(Предпосылки!$I287,$C$13:$C$15,AF$13:AF$15),1)</f>
        <v>0</v>
      </c>
      <c s="125">
        <f>Предпосылки!AG319*IF(Предпосылки!$G287="нет",1,AG$603)*IFERROR(LOOKUP(Предпосылки!$I287,$C$13:$C$15,AG$13:AG$15),1)</f>
        <v>0</v>
      </c>
      <c s="125">
        <f>Предпосылки!AH319*IF(Предпосылки!$G287="нет",1,AH$603)*IFERROR(LOOKUP(Предпосылки!$I287,$C$13:$C$15,AH$13:AH$15),1)</f>
        <v>0</v>
      </c>
      <c s="125">
        <f>Предпосылки!AI319*IF(Предпосылки!$G287="нет",1,AI$603)*IFERROR(LOOKUP(Предпосылки!$I287,$C$13:$C$15,AI$13:AI$15),1)</f>
        <v>0</v>
      </c>
      <c s="125">
        <f>Предпосылки!AJ319*IF(Предпосылки!$G287="нет",1,AJ$603)*IFERROR(LOOKUP(Предпосылки!$I287,$C$13:$C$15,AJ$13:AJ$15),1)</f>
        <v>0</v>
      </c>
      <c s="125">
        <f>Предпосылки!AK319*IF(Предпосылки!$G287="нет",1,AK$603)*IFERROR(LOOKUP(Предпосылки!$I287,$C$13:$C$15,AK$13:AK$15),1)</f>
        <v>0</v>
      </c>
      <c s="125">
        <f>Предпосылки!AL319*IF(Предпосылки!$G287="нет",1,AL$603)*IFERROR(LOOKUP(Предпосылки!$I287,$C$13:$C$15,AL$13:AL$15),1)</f>
        <v>0</v>
      </c>
      <c s="125">
        <f>Предпосылки!AM319*IF(Предпосылки!$G287="нет",1,AM$603)*IFERROR(LOOKUP(Предпосылки!$I287,$C$13:$C$15,AM$13:AM$15),1)</f>
        <v>0</v>
      </c>
      <c s="125">
        <f>Предпосылки!AN319*IF(Предпосылки!$G287="нет",1,AN$603)*IFERROR(LOOKUP(Предпосылки!$I287,$C$13:$C$15,AN$13:AN$15),1)</f>
        <v>0</v>
      </c>
      <c s="125">
        <f>Предпосылки!AO319*IF(Предпосылки!$G287="нет",1,AO$603)*IFERROR(LOOKUP(Предпосылки!$I287,$C$13:$C$15,AO$13:AO$15),1)</f>
        <v>0</v>
      </c>
      <c s="125">
        <f>Предпосылки!AP319*IF(Предпосылки!$G287="нет",1,AP$603)*IFERROR(LOOKUP(Предпосылки!$I287,$C$13:$C$15,AP$13:AP$15),1)</f>
        <v>0</v>
      </c>
      <c s="125">
        <f>Предпосылки!AQ319*IF(Предпосылки!$G287="нет",1,AQ$603)*IFERROR(LOOKUP(Предпосылки!$I287,$C$13:$C$15,AQ$13:AQ$15),1)</f>
        <v>0</v>
      </c>
      <c s="125">
        <f>Предпосылки!AR319*IF(Предпосылки!$G287="нет",1,AR$603)*IFERROR(LOOKUP(Предпосылки!$I287,$C$13:$C$15,AR$13:AR$15),1)</f>
        <v>0</v>
      </c>
      <c s="125">
        <f>Предпосылки!AS319*IF(Предпосылки!$G287="нет",1,AS$603)*IFERROR(LOOKUP(Предпосылки!$I287,$C$13:$C$15,AS$13:AS$15),1)</f>
        <v>0</v>
      </c>
      <c s="125">
        <f>Предпосылки!AT319*IF(Предпосылки!$G287="нет",1,AT$603)*IFERROR(LOOKUP(Предпосылки!$I287,$C$13:$C$15,AT$13:AT$15),1)</f>
        <v>0</v>
      </c>
      <c s="125">
        <f>Предпосылки!AU319*IF(Предпосылки!$G287="нет",1,AU$603)*IFERROR(LOOKUP(Предпосылки!$I287,$C$13:$C$15,AU$13:AU$15),1)</f>
        <v>0</v>
      </c>
      <c s="125">
        <f>Предпосылки!AV319*IF(Предпосылки!$G287="нет",1,AV$603)*IFERROR(LOOKUP(Предпосылки!$I287,$C$13:$C$15,AV$13:AV$15),1)</f>
        <v>0</v>
      </c>
      <c s="125">
        <f>Предпосылки!AW319*IF(Предпосылки!$G287="нет",1,AW$603)*IFERROR(LOOKUP(Предпосылки!$I287,$C$13:$C$15,AW$13:AW$15),1)</f>
        <v>0</v>
      </c>
      <c s="125">
        <f>Предпосылки!AX319*IF(Предпосылки!$G287="нет",1,AX$603)*IFERROR(LOOKUP(Предпосылки!$I287,$C$13:$C$15,AX$13:AX$15),1)</f>
        <v>0</v>
      </c>
      <c s="125">
        <f>Предпосылки!AY319*IF(Предпосылки!$G287="нет",1,AY$603)*IFERROR(LOOKUP(Предпосылки!$I287,$C$13:$C$15,AY$13:AY$15),1)</f>
        <v>0</v>
      </c>
      <c s="125">
        <f>Предпосылки!AZ319*IF(Предпосылки!$G287="нет",1,AZ$603)*IFERROR(LOOKUP(Предпосылки!$I287,$C$13:$C$15,AZ$13:AZ$15),1)</f>
        <v>0</v>
      </c>
      <c s="125">
        <f>Предпосылки!BA319*IF(Предпосылки!$G287="нет",1,BA$603)*IFERROR(LOOKUP(Предпосылки!$I287,$C$13:$C$15,BA$13:BA$15),1)</f>
        <v>0</v>
      </c>
      <c s="125">
        <f>Предпосылки!BB319*IF(Предпосылки!$G287="нет",1,BB$603)*IFERROR(LOOKUP(Предпосылки!$I287,$C$13:$C$15,BB$13:BB$15),1)</f>
        <v>0</v>
      </c>
      <c s="125">
        <f>Предпосылки!BC319*IF(Предпосылки!$G287="нет",1,BC$603)*IFERROR(LOOKUP(Предпосылки!$I287,$C$13:$C$15,BC$13:BC$15),1)</f>
        <v>0</v>
      </c>
      <c s="125">
        <f>Предпосылки!BD319*IF(Предпосылки!$G287="нет",1,BD$603)*IFERROR(LOOKUP(Предпосылки!$I287,$C$13:$C$15,BD$13:BD$15),1)</f>
        <v>0</v>
      </c>
      <c s="125">
        <f>Предпосылки!BE319*IF(Предпосылки!$G287="нет",1,BE$603)*IFERROR(LOOKUP(Предпосылки!$I287,$C$13:$C$15,BE$13:BE$15),1)</f>
        <v>0</v>
      </c>
      <c s="125">
        <f>Предпосылки!BF319*IF(Предпосылки!$G287="нет",1,BF$603)*IFERROR(LOOKUP(Предпосылки!$I287,$C$13:$C$15,BF$13:BF$15),1)</f>
        <v>0</v>
      </c>
      <c s="125">
        <f>Предпосылки!BG319*IF(Предпосылки!$G287="нет",1,BG$603)*IFERROR(LOOKUP(Предпосылки!$I287,$C$13:$C$15,BG$13:BG$15),1)</f>
        <v>0</v>
      </c>
      <c s="125">
        <f>Предпосылки!BH319*IF(Предпосылки!$G287="нет",1,BH$603)*IFERROR(LOOKUP(Предпосылки!$I287,$C$13:$C$15,BH$13:BH$15),1)</f>
        <v>0</v>
      </c>
      <c s="125">
        <f>Предпосылки!BI319*IF(Предпосылки!$G287="нет",1,BI$603)*IFERROR(LOOKUP(Предпосылки!$I287,$C$13:$C$15,BI$13:BI$15),1)</f>
        <v>0</v>
      </c>
      <c s="125">
        <f>Предпосылки!BJ319*IF(Предпосылки!$G287="нет",1,BJ$603)*IFERROR(LOOKUP(Предпосылки!$I287,$C$13:$C$15,BJ$13:BJ$15),1)</f>
        <v>0</v>
      </c>
      <c s="125">
        <f>Предпосылки!BK319*IF(Предпосылки!$G287="нет",1,BK$603)*IFERROR(LOOKUP(Предпосылки!$I287,$C$13:$C$15,BK$13:BK$15),1)</f>
        <v>0</v>
      </c>
      <c s="125">
        <f>Предпосылки!BL319*IF(Предпосылки!$G287="нет",1,BL$603)*IFERROR(LOOKUP(Предпосылки!$I287,$C$13:$C$15,BL$13:BL$15),1)</f>
        <v>0</v>
      </c>
      <c s="125">
        <f>Предпосылки!BM319*IF(Предпосылки!$G287="нет",1,BM$603)*IFERROR(LOOKUP(Предпосылки!$I287,$C$13:$C$15,BM$13:BM$15),1)</f>
        <v>0</v>
      </c>
    </row>
    <row r="645" spans="2:65" ht="15" customHeight="1">
      <c r="B645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Предпосылки!E320*IF(Предпосылки!$G288="нет",1,E$603)*IFERROR(LOOKUP(Предпосылки!$I288,$C$13:$C$15,E$13:E$15),1)</f>
        <v>0</v>
      </c>
      <c s="125">
        <f>Предпосылки!F320*IF(Предпосылки!$G288="нет",1,F$603)*IFERROR(LOOKUP(Предпосылки!$I288,$C$13:$C$15,F$13:F$15),1)</f>
        <v>0</v>
      </c>
      <c s="125">
        <f>Предпосылки!G320*IF(Предпосылки!$G288="нет",1,G$603)*IFERROR(LOOKUP(Предпосылки!$I288,$C$13:$C$15,G$13:G$15),1)</f>
        <v>0</v>
      </c>
      <c s="125">
        <f>Предпосылки!H320*IF(Предпосылки!$G288="нет",1,H$603)*IFERROR(LOOKUP(Предпосылки!$I288,$C$13:$C$15,H$13:H$15),1)</f>
        <v>0</v>
      </c>
      <c s="125">
        <f>Предпосылки!I320*IF(Предпосылки!$G288="нет",1,I$603)*IFERROR(LOOKUP(Предпосылки!$I288,$C$13:$C$15,I$13:I$15),1)</f>
        <v>0</v>
      </c>
      <c s="125">
        <f>Предпосылки!J320*IF(Предпосылки!$G288="нет",1,J$603)*IFERROR(LOOKUP(Предпосылки!$I288,$C$13:$C$15,J$13:J$15),1)</f>
        <v>0</v>
      </c>
      <c s="125">
        <f>Предпосылки!K320*IF(Предпосылки!$G288="нет",1,K$603)*IFERROR(LOOKUP(Предпосылки!$I288,$C$13:$C$15,K$13:K$15),1)</f>
        <v>0</v>
      </c>
      <c s="125">
        <f>Предпосылки!L320*IF(Предпосылки!$G288="нет",1,L$603)*IFERROR(LOOKUP(Предпосылки!$I288,$C$13:$C$15,L$13:L$15),1)</f>
        <v>0</v>
      </c>
      <c s="125">
        <f>Предпосылки!M320*IF(Предпосылки!$G288="нет",1,M$603)*IFERROR(LOOKUP(Предпосылки!$I288,$C$13:$C$15,M$13:M$15),1)</f>
        <v>0</v>
      </c>
      <c s="125">
        <f>Предпосылки!N320*IF(Предпосылки!$G288="нет",1,N$603)*IFERROR(LOOKUP(Предпосылки!$I288,$C$13:$C$15,N$13:N$15),1)</f>
        <v>0</v>
      </c>
      <c s="125">
        <f>Предпосылки!O320*IF(Предпосылки!$G288="нет",1,O$603)*IFERROR(LOOKUP(Предпосылки!$I288,$C$13:$C$15,O$13:O$15),1)</f>
        <v>0</v>
      </c>
      <c s="125">
        <f>Предпосылки!P320*IF(Предпосылки!$G288="нет",1,P$603)*IFERROR(LOOKUP(Предпосылки!$I288,$C$13:$C$15,P$13:P$15),1)</f>
        <v>0</v>
      </c>
      <c s="125">
        <f>Предпосылки!Q320*IF(Предпосылки!$G288="нет",1,Q$603)*IFERROR(LOOKUP(Предпосылки!$I288,$C$13:$C$15,Q$13:Q$15),1)</f>
        <v>0</v>
      </c>
      <c s="125">
        <f>Предпосылки!R320*IF(Предпосылки!$G288="нет",1,R$603)*IFERROR(LOOKUP(Предпосылки!$I288,$C$13:$C$15,R$13:R$15),1)</f>
        <v>0</v>
      </c>
      <c s="125">
        <f>Предпосылки!S320*IF(Предпосылки!$G288="нет",1,S$603)*IFERROR(LOOKUP(Предпосылки!$I288,$C$13:$C$15,S$13:S$15),1)</f>
        <v>0</v>
      </c>
      <c s="125">
        <f>Предпосылки!T320*IF(Предпосылки!$G288="нет",1,T$603)*IFERROR(LOOKUP(Предпосылки!$I288,$C$13:$C$15,T$13:T$15),1)</f>
        <v>0</v>
      </c>
      <c s="125">
        <f>Предпосылки!U320*IF(Предпосылки!$G288="нет",1,U$603)*IFERROR(LOOKUP(Предпосылки!$I288,$C$13:$C$15,U$13:U$15),1)</f>
        <v>0</v>
      </c>
      <c s="125">
        <f>Предпосылки!V320*IF(Предпосылки!$G288="нет",1,V$603)*IFERROR(LOOKUP(Предпосылки!$I288,$C$13:$C$15,V$13:V$15),1)</f>
        <v>0</v>
      </c>
      <c s="125">
        <f>Предпосылки!W320*IF(Предпосылки!$G288="нет",1,W$603)*IFERROR(LOOKUP(Предпосылки!$I288,$C$13:$C$15,W$13:W$15),1)</f>
        <v>0</v>
      </c>
      <c s="125">
        <f>Предпосылки!X320*IF(Предпосылки!$G288="нет",1,X$603)*IFERROR(LOOKUP(Предпосылки!$I288,$C$13:$C$15,X$13:X$15),1)</f>
        <v>0</v>
      </c>
      <c s="125">
        <f>Предпосылки!Y320*IF(Предпосылки!$G288="нет",1,Y$603)*IFERROR(LOOKUP(Предпосылки!$I288,$C$13:$C$15,Y$13:Y$15),1)</f>
        <v>0</v>
      </c>
      <c s="125">
        <f>Предпосылки!Z320*IF(Предпосылки!$G288="нет",1,Z$603)*IFERROR(LOOKUP(Предпосылки!$I288,$C$13:$C$15,Z$13:Z$15),1)</f>
        <v>0</v>
      </c>
      <c s="125">
        <f>Предпосылки!AA320*IF(Предпосылки!$G288="нет",1,AA$603)*IFERROR(LOOKUP(Предпосылки!$I288,$C$13:$C$15,AA$13:AA$15),1)</f>
        <v>0</v>
      </c>
      <c s="125">
        <f>Предпосылки!AB320*IF(Предпосылки!$G288="нет",1,AB$603)*IFERROR(LOOKUP(Предпосылки!$I288,$C$13:$C$15,AB$13:AB$15),1)</f>
        <v>0</v>
      </c>
      <c s="125">
        <f>Предпосылки!AC320*IF(Предпосылки!$G288="нет",1,AC$603)*IFERROR(LOOKUP(Предпосылки!$I288,$C$13:$C$15,AC$13:AC$15),1)</f>
        <v>0</v>
      </c>
      <c s="125">
        <f>Предпосылки!AD320*IF(Предпосылки!$G288="нет",1,AD$603)*IFERROR(LOOKUP(Предпосылки!$I288,$C$13:$C$15,AD$13:AD$15),1)</f>
        <v>0</v>
      </c>
      <c s="125">
        <f>Предпосылки!AE320*IF(Предпосылки!$G288="нет",1,AE$603)*IFERROR(LOOKUP(Предпосылки!$I288,$C$13:$C$15,AE$13:AE$15),1)</f>
        <v>0</v>
      </c>
      <c s="125">
        <f>Предпосылки!AF320*IF(Предпосылки!$G288="нет",1,AF$603)*IFERROR(LOOKUP(Предпосылки!$I288,$C$13:$C$15,AF$13:AF$15),1)</f>
        <v>0</v>
      </c>
      <c s="125">
        <f>Предпосылки!AG320*IF(Предпосылки!$G288="нет",1,AG$603)*IFERROR(LOOKUP(Предпосылки!$I288,$C$13:$C$15,AG$13:AG$15),1)</f>
        <v>0</v>
      </c>
      <c s="125">
        <f>Предпосылки!AH320*IF(Предпосылки!$G288="нет",1,AH$603)*IFERROR(LOOKUP(Предпосылки!$I288,$C$13:$C$15,AH$13:AH$15),1)</f>
        <v>0</v>
      </c>
      <c s="125">
        <f>Предпосылки!AI320*IF(Предпосылки!$G288="нет",1,AI$603)*IFERROR(LOOKUP(Предпосылки!$I288,$C$13:$C$15,AI$13:AI$15),1)</f>
        <v>0</v>
      </c>
      <c s="125">
        <f>Предпосылки!AJ320*IF(Предпосылки!$G288="нет",1,AJ$603)*IFERROR(LOOKUP(Предпосылки!$I288,$C$13:$C$15,AJ$13:AJ$15),1)</f>
        <v>0</v>
      </c>
      <c s="125">
        <f>Предпосылки!AK320*IF(Предпосылки!$G288="нет",1,AK$603)*IFERROR(LOOKUP(Предпосылки!$I288,$C$13:$C$15,AK$13:AK$15),1)</f>
        <v>0</v>
      </c>
      <c s="125">
        <f>Предпосылки!AL320*IF(Предпосылки!$G288="нет",1,AL$603)*IFERROR(LOOKUP(Предпосылки!$I288,$C$13:$C$15,AL$13:AL$15),1)</f>
        <v>0</v>
      </c>
      <c s="125">
        <f>Предпосылки!AM320*IF(Предпосылки!$G288="нет",1,AM$603)*IFERROR(LOOKUP(Предпосылки!$I288,$C$13:$C$15,AM$13:AM$15),1)</f>
        <v>0</v>
      </c>
      <c s="125">
        <f>Предпосылки!AN320*IF(Предпосылки!$G288="нет",1,AN$603)*IFERROR(LOOKUP(Предпосылки!$I288,$C$13:$C$15,AN$13:AN$15),1)</f>
        <v>0</v>
      </c>
      <c s="125">
        <f>Предпосылки!AO320*IF(Предпосылки!$G288="нет",1,AO$603)*IFERROR(LOOKUP(Предпосылки!$I288,$C$13:$C$15,AO$13:AO$15),1)</f>
        <v>0</v>
      </c>
      <c s="125">
        <f>Предпосылки!AP320*IF(Предпосылки!$G288="нет",1,AP$603)*IFERROR(LOOKUP(Предпосылки!$I288,$C$13:$C$15,AP$13:AP$15),1)</f>
        <v>0</v>
      </c>
      <c s="125">
        <f>Предпосылки!AQ320*IF(Предпосылки!$G288="нет",1,AQ$603)*IFERROR(LOOKUP(Предпосылки!$I288,$C$13:$C$15,AQ$13:AQ$15),1)</f>
        <v>0</v>
      </c>
      <c s="125">
        <f>Предпосылки!AR320*IF(Предпосылки!$G288="нет",1,AR$603)*IFERROR(LOOKUP(Предпосылки!$I288,$C$13:$C$15,AR$13:AR$15),1)</f>
        <v>0</v>
      </c>
      <c s="125">
        <f>Предпосылки!AS320*IF(Предпосылки!$G288="нет",1,AS$603)*IFERROR(LOOKUP(Предпосылки!$I288,$C$13:$C$15,AS$13:AS$15),1)</f>
        <v>0</v>
      </c>
      <c s="125">
        <f>Предпосылки!AT320*IF(Предпосылки!$G288="нет",1,AT$603)*IFERROR(LOOKUP(Предпосылки!$I288,$C$13:$C$15,AT$13:AT$15),1)</f>
        <v>0</v>
      </c>
      <c s="125">
        <f>Предпосылки!AU320*IF(Предпосылки!$G288="нет",1,AU$603)*IFERROR(LOOKUP(Предпосылки!$I288,$C$13:$C$15,AU$13:AU$15),1)</f>
        <v>0</v>
      </c>
      <c s="125">
        <f>Предпосылки!AV320*IF(Предпосылки!$G288="нет",1,AV$603)*IFERROR(LOOKUP(Предпосылки!$I288,$C$13:$C$15,AV$13:AV$15),1)</f>
        <v>0</v>
      </c>
      <c s="125">
        <f>Предпосылки!AW320*IF(Предпосылки!$G288="нет",1,AW$603)*IFERROR(LOOKUP(Предпосылки!$I288,$C$13:$C$15,AW$13:AW$15),1)</f>
        <v>0</v>
      </c>
      <c s="125">
        <f>Предпосылки!AX320*IF(Предпосылки!$G288="нет",1,AX$603)*IFERROR(LOOKUP(Предпосылки!$I288,$C$13:$C$15,AX$13:AX$15),1)</f>
        <v>0</v>
      </c>
      <c s="125">
        <f>Предпосылки!AY320*IF(Предпосылки!$G288="нет",1,AY$603)*IFERROR(LOOKUP(Предпосылки!$I288,$C$13:$C$15,AY$13:AY$15),1)</f>
        <v>0</v>
      </c>
      <c s="125">
        <f>Предпосылки!AZ320*IF(Предпосылки!$G288="нет",1,AZ$603)*IFERROR(LOOKUP(Предпосылки!$I288,$C$13:$C$15,AZ$13:AZ$15),1)</f>
        <v>0</v>
      </c>
      <c s="125">
        <f>Предпосылки!BA320*IF(Предпосылки!$G288="нет",1,BA$603)*IFERROR(LOOKUP(Предпосылки!$I288,$C$13:$C$15,BA$13:BA$15),1)</f>
        <v>0</v>
      </c>
      <c s="125">
        <f>Предпосылки!BB320*IF(Предпосылки!$G288="нет",1,BB$603)*IFERROR(LOOKUP(Предпосылки!$I288,$C$13:$C$15,BB$13:BB$15),1)</f>
        <v>0</v>
      </c>
      <c s="125">
        <f>Предпосылки!BC320*IF(Предпосылки!$G288="нет",1,BC$603)*IFERROR(LOOKUP(Предпосылки!$I288,$C$13:$C$15,BC$13:BC$15),1)</f>
        <v>0</v>
      </c>
      <c s="125">
        <f>Предпосылки!BD320*IF(Предпосылки!$G288="нет",1,BD$603)*IFERROR(LOOKUP(Предпосылки!$I288,$C$13:$C$15,BD$13:BD$15),1)</f>
        <v>0</v>
      </c>
      <c s="125">
        <f>Предпосылки!BE320*IF(Предпосылки!$G288="нет",1,BE$603)*IFERROR(LOOKUP(Предпосылки!$I288,$C$13:$C$15,BE$13:BE$15),1)</f>
        <v>0</v>
      </c>
      <c s="125">
        <f>Предпосылки!BF320*IF(Предпосылки!$G288="нет",1,BF$603)*IFERROR(LOOKUP(Предпосылки!$I288,$C$13:$C$15,BF$13:BF$15),1)</f>
        <v>0</v>
      </c>
      <c s="125">
        <f>Предпосылки!BG320*IF(Предпосылки!$G288="нет",1,BG$603)*IFERROR(LOOKUP(Предпосылки!$I288,$C$13:$C$15,BG$13:BG$15),1)</f>
        <v>0</v>
      </c>
      <c s="125">
        <f>Предпосылки!BH320*IF(Предпосылки!$G288="нет",1,BH$603)*IFERROR(LOOKUP(Предпосылки!$I288,$C$13:$C$15,BH$13:BH$15),1)</f>
        <v>0</v>
      </c>
      <c s="125">
        <f>Предпосылки!BI320*IF(Предпосылки!$G288="нет",1,BI$603)*IFERROR(LOOKUP(Предпосылки!$I288,$C$13:$C$15,BI$13:BI$15),1)</f>
        <v>0</v>
      </c>
      <c s="125">
        <f>Предпосылки!BJ320*IF(Предпосылки!$G288="нет",1,BJ$603)*IFERROR(LOOKUP(Предпосылки!$I288,$C$13:$C$15,BJ$13:BJ$15),1)</f>
        <v>0</v>
      </c>
      <c s="125">
        <f>Предпосылки!BK320*IF(Предпосылки!$G288="нет",1,BK$603)*IFERROR(LOOKUP(Предпосылки!$I288,$C$13:$C$15,BK$13:BK$15),1)</f>
        <v>0</v>
      </c>
      <c s="125">
        <f>Предпосылки!BL320*IF(Предпосылки!$G288="нет",1,BL$603)*IFERROR(LOOKUP(Предпосылки!$I288,$C$13:$C$15,BL$13:BL$15),1)</f>
        <v>0</v>
      </c>
      <c s="125">
        <f>Предпосылки!BM320*IF(Предпосылки!$G288="нет",1,BM$603)*IFERROR(LOOKUP(Предпосылки!$I288,$C$13:$C$15,BM$13:BM$15),1)</f>
        <v>0</v>
      </c>
    </row>
    <row r="646" spans="2:65" ht="15" customHeight="1">
      <c r="B646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Предпосылки!E321*IF(Предпосылки!$G289="нет",1,E$603)*IFERROR(LOOKUP(Предпосылки!$I289,$C$13:$C$15,E$13:E$15),1)</f>
        <v>0</v>
      </c>
      <c s="125">
        <f>Предпосылки!F321*IF(Предпосылки!$G289="нет",1,F$603)*IFERROR(LOOKUP(Предпосылки!$I289,$C$13:$C$15,F$13:F$15),1)</f>
        <v>0</v>
      </c>
      <c s="125">
        <f>Предпосылки!G321*IF(Предпосылки!$G289="нет",1,G$603)*IFERROR(LOOKUP(Предпосылки!$I289,$C$13:$C$15,G$13:G$15),1)</f>
        <v>0</v>
      </c>
      <c s="125">
        <f>Предпосылки!H321*IF(Предпосылки!$G289="нет",1,H$603)*IFERROR(LOOKUP(Предпосылки!$I289,$C$13:$C$15,H$13:H$15),1)</f>
        <v>0</v>
      </c>
      <c s="125">
        <f>Предпосылки!I321*IF(Предпосылки!$G289="нет",1,I$603)*IFERROR(LOOKUP(Предпосылки!$I289,$C$13:$C$15,I$13:I$15),1)</f>
        <v>0</v>
      </c>
      <c s="125">
        <f>Предпосылки!J321*IF(Предпосылки!$G289="нет",1,J$603)*IFERROR(LOOKUP(Предпосылки!$I289,$C$13:$C$15,J$13:J$15),1)</f>
        <v>0</v>
      </c>
      <c s="125">
        <f>Предпосылки!K321*IF(Предпосылки!$G289="нет",1,K$603)*IFERROR(LOOKUP(Предпосылки!$I289,$C$13:$C$15,K$13:K$15),1)</f>
        <v>0</v>
      </c>
      <c s="125">
        <f>Предпосылки!L321*IF(Предпосылки!$G289="нет",1,L$603)*IFERROR(LOOKUP(Предпосылки!$I289,$C$13:$C$15,L$13:L$15),1)</f>
        <v>0</v>
      </c>
      <c s="125">
        <f>Предпосылки!M321*IF(Предпосылки!$G289="нет",1,M$603)*IFERROR(LOOKUP(Предпосылки!$I289,$C$13:$C$15,M$13:M$15),1)</f>
        <v>0</v>
      </c>
      <c s="125">
        <f>Предпосылки!N321*IF(Предпосылки!$G289="нет",1,N$603)*IFERROR(LOOKUP(Предпосылки!$I289,$C$13:$C$15,N$13:N$15),1)</f>
        <v>0</v>
      </c>
      <c s="125">
        <f>Предпосылки!O321*IF(Предпосылки!$G289="нет",1,O$603)*IFERROR(LOOKUP(Предпосылки!$I289,$C$13:$C$15,O$13:O$15),1)</f>
        <v>0</v>
      </c>
      <c s="125">
        <f>Предпосылки!P321*IF(Предпосылки!$G289="нет",1,P$603)*IFERROR(LOOKUP(Предпосылки!$I289,$C$13:$C$15,P$13:P$15),1)</f>
        <v>0</v>
      </c>
      <c s="125">
        <f>Предпосылки!Q321*IF(Предпосылки!$G289="нет",1,Q$603)*IFERROR(LOOKUP(Предпосылки!$I289,$C$13:$C$15,Q$13:Q$15),1)</f>
        <v>0</v>
      </c>
      <c s="125">
        <f>Предпосылки!R321*IF(Предпосылки!$G289="нет",1,R$603)*IFERROR(LOOKUP(Предпосылки!$I289,$C$13:$C$15,R$13:R$15),1)</f>
        <v>0</v>
      </c>
      <c s="125">
        <f>Предпосылки!S321*IF(Предпосылки!$G289="нет",1,S$603)*IFERROR(LOOKUP(Предпосылки!$I289,$C$13:$C$15,S$13:S$15),1)</f>
        <v>0</v>
      </c>
      <c s="125">
        <f>Предпосылки!T321*IF(Предпосылки!$G289="нет",1,T$603)*IFERROR(LOOKUP(Предпосылки!$I289,$C$13:$C$15,T$13:T$15),1)</f>
        <v>0</v>
      </c>
      <c s="125">
        <f>Предпосылки!U321*IF(Предпосылки!$G289="нет",1,U$603)*IFERROR(LOOKUP(Предпосылки!$I289,$C$13:$C$15,U$13:U$15),1)</f>
        <v>0</v>
      </c>
      <c s="125">
        <f>Предпосылки!V321*IF(Предпосылки!$G289="нет",1,V$603)*IFERROR(LOOKUP(Предпосылки!$I289,$C$13:$C$15,V$13:V$15),1)</f>
        <v>0</v>
      </c>
      <c s="125">
        <f>Предпосылки!W321*IF(Предпосылки!$G289="нет",1,W$603)*IFERROR(LOOKUP(Предпосылки!$I289,$C$13:$C$15,W$13:W$15),1)</f>
        <v>0</v>
      </c>
      <c s="125">
        <f>Предпосылки!X321*IF(Предпосылки!$G289="нет",1,X$603)*IFERROR(LOOKUP(Предпосылки!$I289,$C$13:$C$15,X$13:X$15),1)</f>
        <v>0</v>
      </c>
      <c s="125">
        <f>Предпосылки!Y321*IF(Предпосылки!$G289="нет",1,Y$603)*IFERROR(LOOKUP(Предпосылки!$I289,$C$13:$C$15,Y$13:Y$15),1)</f>
        <v>0</v>
      </c>
      <c s="125">
        <f>Предпосылки!Z321*IF(Предпосылки!$G289="нет",1,Z$603)*IFERROR(LOOKUP(Предпосылки!$I289,$C$13:$C$15,Z$13:Z$15),1)</f>
        <v>0</v>
      </c>
      <c s="125">
        <f>Предпосылки!AA321*IF(Предпосылки!$G289="нет",1,AA$603)*IFERROR(LOOKUP(Предпосылки!$I289,$C$13:$C$15,AA$13:AA$15),1)</f>
        <v>0</v>
      </c>
      <c s="125">
        <f>Предпосылки!AB321*IF(Предпосылки!$G289="нет",1,AB$603)*IFERROR(LOOKUP(Предпосылки!$I289,$C$13:$C$15,AB$13:AB$15),1)</f>
        <v>0</v>
      </c>
      <c s="125">
        <f>Предпосылки!AC321*IF(Предпосылки!$G289="нет",1,AC$603)*IFERROR(LOOKUP(Предпосылки!$I289,$C$13:$C$15,AC$13:AC$15),1)</f>
        <v>0</v>
      </c>
      <c s="125">
        <f>Предпосылки!AD321*IF(Предпосылки!$G289="нет",1,AD$603)*IFERROR(LOOKUP(Предпосылки!$I289,$C$13:$C$15,AD$13:AD$15),1)</f>
        <v>0</v>
      </c>
      <c s="125">
        <f>Предпосылки!AE321*IF(Предпосылки!$G289="нет",1,AE$603)*IFERROR(LOOKUP(Предпосылки!$I289,$C$13:$C$15,AE$13:AE$15),1)</f>
        <v>0</v>
      </c>
      <c s="125">
        <f>Предпосылки!AF321*IF(Предпосылки!$G289="нет",1,AF$603)*IFERROR(LOOKUP(Предпосылки!$I289,$C$13:$C$15,AF$13:AF$15),1)</f>
        <v>0</v>
      </c>
      <c s="125">
        <f>Предпосылки!AG321*IF(Предпосылки!$G289="нет",1,AG$603)*IFERROR(LOOKUP(Предпосылки!$I289,$C$13:$C$15,AG$13:AG$15),1)</f>
        <v>0</v>
      </c>
      <c s="125">
        <f>Предпосылки!AH321*IF(Предпосылки!$G289="нет",1,AH$603)*IFERROR(LOOKUP(Предпосылки!$I289,$C$13:$C$15,AH$13:AH$15),1)</f>
        <v>0</v>
      </c>
      <c s="125">
        <f>Предпосылки!AI321*IF(Предпосылки!$G289="нет",1,AI$603)*IFERROR(LOOKUP(Предпосылки!$I289,$C$13:$C$15,AI$13:AI$15),1)</f>
        <v>0</v>
      </c>
      <c s="125">
        <f>Предпосылки!AJ321*IF(Предпосылки!$G289="нет",1,AJ$603)*IFERROR(LOOKUP(Предпосылки!$I289,$C$13:$C$15,AJ$13:AJ$15),1)</f>
        <v>0</v>
      </c>
      <c s="125">
        <f>Предпосылки!AK321*IF(Предпосылки!$G289="нет",1,AK$603)*IFERROR(LOOKUP(Предпосылки!$I289,$C$13:$C$15,AK$13:AK$15),1)</f>
        <v>0</v>
      </c>
      <c s="125">
        <f>Предпосылки!AL321*IF(Предпосылки!$G289="нет",1,AL$603)*IFERROR(LOOKUP(Предпосылки!$I289,$C$13:$C$15,AL$13:AL$15),1)</f>
        <v>0</v>
      </c>
      <c s="125">
        <f>Предпосылки!AM321*IF(Предпосылки!$G289="нет",1,AM$603)*IFERROR(LOOKUP(Предпосылки!$I289,$C$13:$C$15,AM$13:AM$15),1)</f>
        <v>0</v>
      </c>
      <c s="125">
        <f>Предпосылки!AN321*IF(Предпосылки!$G289="нет",1,AN$603)*IFERROR(LOOKUP(Предпосылки!$I289,$C$13:$C$15,AN$13:AN$15),1)</f>
        <v>0</v>
      </c>
      <c s="125">
        <f>Предпосылки!AO321*IF(Предпосылки!$G289="нет",1,AO$603)*IFERROR(LOOKUP(Предпосылки!$I289,$C$13:$C$15,AO$13:AO$15),1)</f>
        <v>0</v>
      </c>
      <c s="125">
        <f>Предпосылки!AP321*IF(Предпосылки!$G289="нет",1,AP$603)*IFERROR(LOOKUP(Предпосылки!$I289,$C$13:$C$15,AP$13:AP$15),1)</f>
        <v>0</v>
      </c>
      <c s="125">
        <f>Предпосылки!AQ321*IF(Предпосылки!$G289="нет",1,AQ$603)*IFERROR(LOOKUP(Предпосылки!$I289,$C$13:$C$15,AQ$13:AQ$15),1)</f>
        <v>0</v>
      </c>
      <c s="125">
        <f>Предпосылки!AR321*IF(Предпосылки!$G289="нет",1,AR$603)*IFERROR(LOOKUP(Предпосылки!$I289,$C$13:$C$15,AR$13:AR$15),1)</f>
        <v>0</v>
      </c>
      <c s="125">
        <f>Предпосылки!AS321*IF(Предпосылки!$G289="нет",1,AS$603)*IFERROR(LOOKUP(Предпосылки!$I289,$C$13:$C$15,AS$13:AS$15),1)</f>
        <v>0</v>
      </c>
      <c s="125">
        <f>Предпосылки!AT321*IF(Предпосылки!$G289="нет",1,AT$603)*IFERROR(LOOKUP(Предпосылки!$I289,$C$13:$C$15,AT$13:AT$15),1)</f>
        <v>0</v>
      </c>
      <c s="125">
        <f>Предпосылки!AU321*IF(Предпосылки!$G289="нет",1,AU$603)*IFERROR(LOOKUP(Предпосылки!$I289,$C$13:$C$15,AU$13:AU$15),1)</f>
        <v>0</v>
      </c>
      <c s="125">
        <f>Предпосылки!AV321*IF(Предпосылки!$G289="нет",1,AV$603)*IFERROR(LOOKUP(Предпосылки!$I289,$C$13:$C$15,AV$13:AV$15),1)</f>
        <v>0</v>
      </c>
      <c s="125">
        <f>Предпосылки!AW321*IF(Предпосылки!$G289="нет",1,AW$603)*IFERROR(LOOKUP(Предпосылки!$I289,$C$13:$C$15,AW$13:AW$15),1)</f>
        <v>0</v>
      </c>
      <c s="125">
        <f>Предпосылки!AX321*IF(Предпосылки!$G289="нет",1,AX$603)*IFERROR(LOOKUP(Предпосылки!$I289,$C$13:$C$15,AX$13:AX$15),1)</f>
        <v>0</v>
      </c>
      <c s="125">
        <f>Предпосылки!AY321*IF(Предпосылки!$G289="нет",1,AY$603)*IFERROR(LOOKUP(Предпосылки!$I289,$C$13:$C$15,AY$13:AY$15),1)</f>
        <v>0</v>
      </c>
      <c s="125">
        <f>Предпосылки!AZ321*IF(Предпосылки!$G289="нет",1,AZ$603)*IFERROR(LOOKUP(Предпосылки!$I289,$C$13:$C$15,AZ$13:AZ$15),1)</f>
        <v>0</v>
      </c>
      <c s="125">
        <f>Предпосылки!BA321*IF(Предпосылки!$G289="нет",1,BA$603)*IFERROR(LOOKUP(Предпосылки!$I289,$C$13:$C$15,BA$13:BA$15),1)</f>
        <v>0</v>
      </c>
      <c s="125">
        <f>Предпосылки!BB321*IF(Предпосылки!$G289="нет",1,BB$603)*IFERROR(LOOKUP(Предпосылки!$I289,$C$13:$C$15,BB$13:BB$15),1)</f>
        <v>0</v>
      </c>
      <c s="125">
        <f>Предпосылки!BC321*IF(Предпосылки!$G289="нет",1,BC$603)*IFERROR(LOOKUP(Предпосылки!$I289,$C$13:$C$15,BC$13:BC$15),1)</f>
        <v>0</v>
      </c>
      <c s="125">
        <f>Предпосылки!BD321*IF(Предпосылки!$G289="нет",1,BD$603)*IFERROR(LOOKUP(Предпосылки!$I289,$C$13:$C$15,BD$13:BD$15),1)</f>
        <v>0</v>
      </c>
      <c s="125">
        <f>Предпосылки!BE321*IF(Предпосылки!$G289="нет",1,BE$603)*IFERROR(LOOKUP(Предпосылки!$I289,$C$13:$C$15,BE$13:BE$15),1)</f>
        <v>0</v>
      </c>
      <c s="125">
        <f>Предпосылки!BF321*IF(Предпосылки!$G289="нет",1,BF$603)*IFERROR(LOOKUP(Предпосылки!$I289,$C$13:$C$15,BF$13:BF$15),1)</f>
        <v>0</v>
      </c>
      <c s="125">
        <f>Предпосылки!BG321*IF(Предпосылки!$G289="нет",1,BG$603)*IFERROR(LOOKUP(Предпосылки!$I289,$C$13:$C$15,BG$13:BG$15),1)</f>
        <v>0</v>
      </c>
      <c s="125">
        <f>Предпосылки!BH321*IF(Предпосылки!$G289="нет",1,BH$603)*IFERROR(LOOKUP(Предпосылки!$I289,$C$13:$C$15,BH$13:BH$15),1)</f>
        <v>0</v>
      </c>
      <c s="125">
        <f>Предпосылки!BI321*IF(Предпосылки!$G289="нет",1,BI$603)*IFERROR(LOOKUP(Предпосылки!$I289,$C$13:$C$15,BI$13:BI$15),1)</f>
        <v>0</v>
      </c>
      <c s="125">
        <f>Предпосылки!BJ321*IF(Предпосылки!$G289="нет",1,BJ$603)*IFERROR(LOOKUP(Предпосылки!$I289,$C$13:$C$15,BJ$13:BJ$15),1)</f>
        <v>0</v>
      </c>
      <c s="125">
        <f>Предпосылки!BK321*IF(Предпосылки!$G289="нет",1,BK$603)*IFERROR(LOOKUP(Предпосылки!$I289,$C$13:$C$15,BK$13:BK$15),1)</f>
        <v>0</v>
      </c>
      <c s="125">
        <f>Предпосылки!BL321*IF(Предпосылки!$G289="нет",1,BL$603)*IFERROR(LOOKUP(Предпосылки!$I289,$C$13:$C$15,BL$13:BL$15),1)</f>
        <v>0</v>
      </c>
      <c s="125">
        <f>Предпосылки!BM321*IF(Предпосылки!$G289="нет",1,BM$603)*IFERROR(LOOKUP(Предпосылки!$I289,$C$13:$C$15,BM$13:BM$15),1)</f>
        <v>0</v>
      </c>
    </row>
    <row r="647" spans="2:65" ht="15" customHeight="1">
      <c r="B647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Предпосылки!E322*IF(Предпосылки!$G290="нет",1,E$603)*IFERROR(LOOKUP(Предпосылки!$I290,$C$13:$C$15,E$13:E$15),1)</f>
        <v>0</v>
      </c>
      <c s="125">
        <f>Предпосылки!F322*IF(Предпосылки!$G290="нет",1,F$603)*IFERROR(LOOKUP(Предпосылки!$I290,$C$13:$C$15,F$13:F$15),1)</f>
        <v>0</v>
      </c>
      <c s="125">
        <f>Предпосылки!G322*IF(Предпосылки!$G290="нет",1,G$603)*IFERROR(LOOKUP(Предпосылки!$I290,$C$13:$C$15,G$13:G$15),1)</f>
        <v>0</v>
      </c>
      <c s="125">
        <f>Предпосылки!H322*IF(Предпосылки!$G290="нет",1,H$603)*IFERROR(LOOKUP(Предпосылки!$I290,$C$13:$C$15,H$13:H$15),1)</f>
        <v>0</v>
      </c>
      <c s="125">
        <f>Предпосылки!I322*IF(Предпосылки!$G290="нет",1,I$603)*IFERROR(LOOKUP(Предпосылки!$I290,$C$13:$C$15,I$13:I$15),1)</f>
        <v>0</v>
      </c>
      <c s="125">
        <f>Предпосылки!J322*IF(Предпосылки!$G290="нет",1,J$603)*IFERROR(LOOKUP(Предпосылки!$I290,$C$13:$C$15,J$13:J$15),1)</f>
        <v>0</v>
      </c>
      <c s="125">
        <f>Предпосылки!K322*IF(Предпосылки!$G290="нет",1,K$603)*IFERROR(LOOKUP(Предпосылки!$I290,$C$13:$C$15,K$13:K$15),1)</f>
        <v>0</v>
      </c>
      <c s="125">
        <f>Предпосылки!L322*IF(Предпосылки!$G290="нет",1,L$603)*IFERROR(LOOKUP(Предпосылки!$I290,$C$13:$C$15,L$13:L$15),1)</f>
        <v>0</v>
      </c>
      <c s="125">
        <f>Предпосылки!M322*IF(Предпосылки!$G290="нет",1,M$603)*IFERROR(LOOKUP(Предпосылки!$I290,$C$13:$C$15,M$13:M$15),1)</f>
        <v>0</v>
      </c>
      <c s="125">
        <f>Предпосылки!N322*IF(Предпосылки!$G290="нет",1,N$603)*IFERROR(LOOKUP(Предпосылки!$I290,$C$13:$C$15,N$13:N$15),1)</f>
        <v>0</v>
      </c>
      <c s="125">
        <f>Предпосылки!O322*IF(Предпосылки!$G290="нет",1,O$603)*IFERROR(LOOKUP(Предпосылки!$I290,$C$13:$C$15,O$13:O$15),1)</f>
        <v>0</v>
      </c>
      <c s="125">
        <f>Предпосылки!P322*IF(Предпосылки!$G290="нет",1,P$603)*IFERROR(LOOKUP(Предпосылки!$I290,$C$13:$C$15,P$13:P$15),1)</f>
        <v>0</v>
      </c>
      <c s="125">
        <f>Предпосылки!Q322*IF(Предпосылки!$G290="нет",1,Q$603)*IFERROR(LOOKUP(Предпосылки!$I290,$C$13:$C$15,Q$13:Q$15),1)</f>
        <v>0</v>
      </c>
      <c s="125">
        <f>Предпосылки!R322*IF(Предпосылки!$G290="нет",1,R$603)*IFERROR(LOOKUP(Предпосылки!$I290,$C$13:$C$15,R$13:R$15),1)</f>
        <v>0</v>
      </c>
      <c s="125">
        <f>Предпосылки!S322*IF(Предпосылки!$G290="нет",1,S$603)*IFERROR(LOOKUP(Предпосылки!$I290,$C$13:$C$15,S$13:S$15),1)</f>
        <v>0</v>
      </c>
      <c s="125">
        <f>Предпосылки!T322*IF(Предпосылки!$G290="нет",1,T$603)*IFERROR(LOOKUP(Предпосылки!$I290,$C$13:$C$15,T$13:T$15),1)</f>
        <v>0</v>
      </c>
      <c s="125">
        <f>Предпосылки!U322*IF(Предпосылки!$G290="нет",1,U$603)*IFERROR(LOOKUP(Предпосылки!$I290,$C$13:$C$15,U$13:U$15),1)</f>
        <v>0</v>
      </c>
      <c s="125">
        <f>Предпосылки!V322*IF(Предпосылки!$G290="нет",1,V$603)*IFERROR(LOOKUP(Предпосылки!$I290,$C$13:$C$15,V$13:V$15),1)</f>
        <v>0</v>
      </c>
      <c s="125">
        <f>Предпосылки!W322*IF(Предпосылки!$G290="нет",1,W$603)*IFERROR(LOOKUP(Предпосылки!$I290,$C$13:$C$15,W$13:W$15),1)</f>
        <v>0</v>
      </c>
      <c s="125">
        <f>Предпосылки!X322*IF(Предпосылки!$G290="нет",1,X$603)*IFERROR(LOOKUP(Предпосылки!$I290,$C$13:$C$15,X$13:X$15),1)</f>
        <v>0</v>
      </c>
      <c s="125">
        <f>Предпосылки!Y322*IF(Предпосылки!$G290="нет",1,Y$603)*IFERROR(LOOKUP(Предпосылки!$I290,$C$13:$C$15,Y$13:Y$15),1)</f>
        <v>0</v>
      </c>
      <c s="125">
        <f>Предпосылки!Z322*IF(Предпосылки!$G290="нет",1,Z$603)*IFERROR(LOOKUP(Предпосылки!$I290,$C$13:$C$15,Z$13:Z$15),1)</f>
        <v>0</v>
      </c>
      <c s="125">
        <f>Предпосылки!AA322*IF(Предпосылки!$G290="нет",1,AA$603)*IFERROR(LOOKUP(Предпосылки!$I290,$C$13:$C$15,AA$13:AA$15),1)</f>
        <v>0</v>
      </c>
      <c s="125">
        <f>Предпосылки!AB322*IF(Предпосылки!$G290="нет",1,AB$603)*IFERROR(LOOKUP(Предпосылки!$I290,$C$13:$C$15,AB$13:AB$15),1)</f>
        <v>0</v>
      </c>
      <c s="125">
        <f>Предпосылки!AC322*IF(Предпосылки!$G290="нет",1,AC$603)*IFERROR(LOOKUP(Предпосылки!$I290,$C$13:$C$15,AC$13:AC$15),1)</f>
        <v>0</v>
      </c>
      <c s="125">
        <f>Предпосылки!AD322*IF(Предпосылки!$G290="нет",1,AD$603)*IFERROR(LOOKUP(Предпосылки!$I290,$C$13:$C$15,AD$13:AD$15),1)</f>
        <v>0</v>
      </c>
      <c s="125">
        <f>Предпосылки!AE322*IF(Предпосылки!$G290="нет",1,AE$603)*IFERROR(LOOKUP(Предпосылки!$I290,$C$13:$C$15,AE$13:AE$15),1)</f>
        <v>0</v>
      </c>
      <c s="125">
        <f>Предпосылки!AF322*IF(Предпосылки!$G290="нет",1,AF$603)*IFERROR(LOOKUP(Предпосылки!$I290,$C$13:$C$15,AF$13:AF$15),1)</f>
        <v>0</v>
      </c>
      <c s="125">
        <f>Предпосылки!AG322*IF(Предпосылки!$G290="нет",1,AG$603)*IFERROR(LOOKUP(Предпосылки!$I290,$C$13:$C$15,AG$13:AG$15),1)</f>
        <v>0</v>
      </c>
      <c s="125">
        <f>Предпосылки!AH322*IF(Предпосылки!$G290="нет",1,AH$603)*IFERROR(LOOKUP(Предпосылки!$I290,$C$13:$C$15,AH$13:AH$15),1)</f>
        <v>0</v>
      </c>
      <c s="125">
        <f>Предпосылки!AI322*IF(Предпосылки!$G290="нет",1,AI$603)*IFERROR(LOOKUP(Предпосылки!$I290,$C$13:$C$15,AI$13:AI$15),1)</f>
        <v>0</v>
      </c>
      <c s="125">
        <f>Предпосылки!AJ322*IF(Предпосылки!$G290="нет",1,AJ$603)*IFERROR(LOOKUP(Предпосылки!$I290,$C$13:$C$15,AJ$13:AJ$15),1)</f>
        <v>0</v>
      </c>
      <c s="125">
        <f>Предпосылки!AK322*IF(Предпосылки!$G290="нет",1,AK$603)*IFERROR(LOOKUP(Предпосылки!$I290,$C$13:$C$15,AK$13:AK$15),1)</f>
        <v>0</v>
      </c>
      <c s="125">
        <f>Предпосылки!AL322*IF(Предпосылки!$G290="нет",1,AL$603)*IFERROR(LOOKUP(Предпосылки!$I290,$C$13:$C$15,AL$13:AL$15),1)</f>
        <v>0</v>
      </c>
      <c s="125">
        <f>Предпосылки!AM322*IF(Предпосылки!$G290="нет",1,AM$603)*IFERROR(LOOKUP(Предпосылки!$I290,$C$13:$C$15,AM$13:AM$15),1)</f>
        <v>0</v>
      </c>
      <c s="125">
        <f>Предпосылки!AN322*IF(Предпосылки!$G290="нет",1,AN$603)*IFERROR(LOOKUP(Предпосылки!$I290,$C$13:$C$15,AN$13:AN$15),1)</f>
        <v>0</v>
      </c>
      <c s="125">
        <f>Предпосылки!AO322*IF(Предпосылки!$G290="нет",1,AO$603)*IFERROR(LOOKUP(Предпосылки!$I290,$C$13:$C$15,AO$13:AO$15),1)</f>
        <v>0</v>
      </c>
      <c s="125">
        <f>Предпосылки!AP322*IF(Предпосылки!$G290="нет",1,AP$603)*IFERROR(LOOKUP(Предпосылки!$I290,$C$13:$C$15,AP$13:AP$15),1)</f>
        <v>0</v>
      </c>
      <c s="125">
        <f>Предпосылки!AQ322*IF(Предпосылки!$G290="нет",1,AQ$603)*IFERROR(LOOKUP(Предпосылки!$I290,$C$13:$C$15,AQ$13:AQ$15),1)</f>
        <v>0</v>
      </c>
      <c s="125">
        <f>Предпосылки!AR322*IF(Предпосылки!$G290="нет",1,AR$603)*IFERROR(LOOKUP(Предпосылки!$I290,$C$13:$C$15,AR$13:AR$15),1)</f>
        <v>0</v>
      </c>
      <c s="125">
        <f>Предпосылки!AS322*IF(Предпосылки!$G290="нет",1,AS$603)*IFERROR(LOOKUP(Предпосылки!$I290,$C$13:$C$15,AS$13:AS$15),1)</f>
        <v>0</v>
      </c>
      <c s="125">
        <f>Предпосылки!AT322*IF(Предпосылки!$G290="нет",1,AT$603)*IFERROR(LOOKUP(Предпосылки!$I290,$C$13:$C$15,AT$13:AT$15),1)</f>
        <v>0</v>
      </c>
      <c s="125">
        <f>Предпосылки!AU322*IF(Предпосылки!$G290="нет",1,AU$603)*IFERROR(LOOKUP(Предпосылки!$I290,$C$13:$C$15,AU$13:AU$15),1)</f>
        <v>0</v>
      </c>
      <c s="125">
        <f>Предпосылки!AV322*IF(Предпосылки!$G290="нет",1,AV$603)*IFERROR(LOOKUP(Предпосылки!$I290,$C$13:$C$15,AV$13:AV$15),1)</f>
        <v>0</v>
      </c>
      <c s="125">
        <f>Предпосылки!AW322*IF(Предпосылки!$G290="нет",1,AW$603)*IFERROR(LOOKUP(Предпосылки!$I290,$C$13:$C$15,AW$13:AW$15),1)</f>
        <v>0</v>
      </c>
      <c s="125">
        <f>Предпосылки!AX322*IF(Предпосылки!$G290="нет",1,AX$603)*IFERROR(LOOKUP(Предпосылки!$I290,$C$13:$C$15,AX$13:AX$15),1)</f>
        <v>0</v>
      </c>
      <c s="125">
        <f>Предпосылки!AY322*IF(Предпосылки!$G290="нет",1,AY$603)*IFERROR(LOOKUP(Предпосылки!$I290,$C$13:$C$15,AY$13:AY$15),1)</f>
        <v>0</v>
      </c>
      <c s="125">
        <f>Предпосылки!AZ322*IF(Предпосылки!$G290="нет",1,AZ$603)*IFERROR(LOOKUP(Предпосылки!$I290,$C$13:$C$15,AZ$13:AZ$15),1)</f>
        <v>0</v>
      </c>
      <c s="125">
        <f>Предпосылки!BA322*IF(Предпосылки!$G290="нет",1,BA$603)*IFERROR(LOOKUP(Предпосылки!$I290,$C$13:$C$15,BA$13:BA$15),1)</f>
        <v>0</v>
      </c>
      <c s="125">
        <f>Предпосылки!BB322*IF(Предпосылки!$G290="нет",1,BB$603)*IFERROR(LOOKUP(Предпосылки!$I290,$C$13:$C$15,BB$13:BB$15),1)</f>
        <v>0</v>
      </c>
      <c s="125">
        <f>Предпосылки!BC322*IF(Предпосылки!$G290="нет",1,BC$603)*IFERROR(LOOKUP(Предпосылки!$I290,$C$13:$C$15,BC$13:BC$15),1)</f>
        <v>0</v>
      </c>
      <c s="125">
        <f>Предпосылки!BD322*IF(Предпосылки!$G290="нет",1,BD$603)*IFERROR(LOOKUP(Предпосылки!$I290,$C$13:$C$15,BD$13:BD$15),1)</f>
        <v>0</v>
      </c>
      <c s="125">
        <f>Предпосылки!BE322*IF(Предпосылки!$G290="нет",1,BE$603)*IFERROR(LOOKUP(Предпосылки!$I290,$C$13:$C$15,BE$13:BE$15),1)</f>
        <v>0</v>
      </c>
      <c s="125">
        <f>Предпосылки!BF322*IF(Предпосылки!$G290="нет",1,BF$603)*IFERROR(LOOKUP(Предпосылки!$I290,$C$13:$C$15,BF$13:BF$15),1)</f>
        <v>0</v>
      </c>
      <c s="125">
        <f>Предпосылки!BG322*IF(Предпосылки!$G290="нет",1,BG$603)*IFERROR(LOOKUP(Предпосылки!$I290,$C$13:$C$15,BG$13:BG$15),1)</f>
        <v>0</v>
      </c>
      <c s="125">
        <f>Предпосылки!BH322*IF(Предпосылки!$G290="нет",1,BH$603)*IFERROR(LOOKUP(Предпосылки!$I290,$C$13:$C$15,BH$13:BH$15),1)</f>
        <v>0</v>
      </c>
      <c s="125">
        <f>Предпосылки!BI322*IF(Предпосылки!$G290="нет",1,BI$603)*IFERROR(LOOKUP(Предпосылки!$I290,$C$13:$C$15,BI$13:BI$15),1)</f>
        <v>0</v>
      </c>
      <c s="125">
        <f>Предпосылки!BJ322*IF(Предпосылки!$G290="нет",1,BJ$603)*IFERROR(LOOKUP(Предпосылки!$I290,$C$13:$C$15,BJ$13:BJ$15),1)</f>
        <v>0</v>
      </c>
      <c s="125">
        <f>Предпосылки!BK322*IF(Предпосылки!$G290="нет",1,BK$603)*IFERROR(LOOKUP(Предпосылки!$I290,$C$13:$C$15,BK$13:BK$15),1)</f>
        <v>0</v>
      </c>
      <c s="125">
        <f>Предпосылки!BL322*IF(Предпосылки!$G290="нет",1,BL$603)*IFERROR(LOOKUP(Предпосылки!$I290,$C$13:$C$15,BL$13:BL$15),1)</f>
        <v>0</v>
      </c>
      <c s="125">
        <f>Предпосылки!BM322*IF(Предпосылки!$G290="нет",1,BM$603)*IFERROR(LOOKUP(Предпосылки!$I290,$C$13:$C$15,BM$13:BM$15),1)</f>
        <v>0</v>
      </c>
    </row>
    <row r="648" spans="2:65" ht="15" customHeight="1">
      <c r="B648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Предпосылки!E323*IF(Предпосылки!$G291="нет",1,E$603)*IFERROR(LOOKUP(Предпосылки!$I291,$C$13:$C$15,E$13:E$15),1)</f>
        <v>0</v>
      </c>
      <c s="125">
        <f>Предпосылки!F323*IF(Предпосылки!$G291="нет",1,F$603)*IFERROR(LOOKUP(Предпосылки!$I291,$C$13:$C$15,F$13:F$15),1)</f>
        <v>0</v>
      </c>
      <c s="125">
        <f>Предпосылки!G323*IF(Предпосылки!$G291="нет",1,G$603)*IFERROR(LOOKUP(Предпосылки!$I291,$C$13:$C$15,G$13:G$15),1)</f>
        <v>0</v>
      </c>
      <c s="125">
        <f>Предпосылки!H323*IF(Предпосылки!$G291="нет",1,H$603)*IFERROR(LOOKUP(Предпосылки!$I291,$C$13:$C$15,H$13:H$15),1)</f>
        <v>0</v>
      </c>
      <c s="125">
        <f>Предпосылки!I323*IF(Предпосылки!$G291="нет",1,I$603)*IFERROR(LOOKUP(Предпосылки!$I291,$C$13:$C$15,I$13:I$15),1)</f>
        <v>0</v>
      </c>
      <c s="125">
        <f>Предпосылки!J323*IF(Предпосылки!$G291="нет",1,J$603)*IFERROR(LOOKUP(Предпосылки!$I291,$C$13:$C$15,J$13:J$15),1)</f>
        <v>0</v>
      </c>
      <c s="125">
        <f>Предпосылки!K323*IF(Предпосылки!$G291="нет",1,K$603)*IFERROR(LOOKUP(Предпосылки!$I291,$C$13:$C$15,K$13:K$15),1)</f>
        <v>0</v>
      </c>
      <c s="125">
        <f>Предпосылки!L323*IF(Предпосылки!$G291="нет",1,L$603)*IFERROR(LOOKUP(Предпосылки!$I291,$C$13:$C$15,L$13:L$15),1)</f>
        <v>0</v>
      </c>
      <c s="125">
        <f>Предпосылки!M323*IF(Предпосылки!$G291="нет",1,M$603)*IFERROR(LOOKUP(Предпосылки!$I291,$C$13:$C$15,M$13:M$15),1)</f>
        <v>0</v>
      </c>
      <c s="125">
        <f>Предпосылки!N323*IF(Предпосылки!$G291="нет",1,N$603)*IFERROR(LOOKUP(Предпосылки!$I291,$C$13:$C$15,N$13:N$15),1)</f>
        <v>0</v>
      </c>
      <c s="125">
        <f>Предпосылки!O323*IF(Предпосылки!$G291="нет",1,O$603)*IFERROR(LOOKUP(Предпосылки!$I291,$C$13:$C$15,O$13:O$15),1)</f>
        <v>0</v>
      </c>
      <c s="125">
        <f>Предпосылки!P323*IF(Предпосылки!$G291="нет",1,P$603)*IFERROR(LOOKUP(Предпосылки!$I291,$C$13:$C$15,P$13:P$15),1)</f>
        <v>0</v>
      </c>
      <c s="125">
        <f>Предпосылки!Q323*IF(Предпосылки!$G291="нет",1,Q$603)*IFERROR(LOOKUP(Предпосылки!$I291,$C$13:$C$15,Q$13:Q$15),1)</f>
        <v>0</v>
      </c>
      <c s="125">
        <f>Предпосылки!R323*IF(Предпосылки!$G291="нет",1,R$603)*IFERROR(LOOKUP(Предпосылки!$I291,$C$13:$C$15,R$13:R$15),1)</f>
        <v>0</v>
      </c>
      <c s="125">
        <f>Предпосылки!S323*IF(Предпосылки!$G291="нет",1,S$603)*IFERROR(LOOKUP(Предпосылки!$I291,$C$13:$C$15,S$13:S$15),1)</f>
        <v>0</v>
      </c>
      <c s="125">
        <f>Предпосылки!T323*IF(Предпосылки!$G291="нет",1,T$603)*IFERROR(LOOKUP(Предпосылки!$I291,$C$13:$C$15,T$13:T$15),1)</f>
        <v>0</v>
      </c>
      <c s="125">
        <f>Предпосылки!U323*IF(Предпосылки!$G291="нет",1,U$603)*IFERROR(LOOKUP(Предпосылки!$I291,$C$13:$C$15,U$13:U$15),1)</f>
        <v>0</v>
      </c>
      <c s="125">
        <f>Предпосылки!V323*IF(Предпосылки!$G291="нет",1,V$603)*IFERROR(LOOKUP(Предпосылки!$I291,$C$13:$C$15,V$13:V$15),1)</f>
        <v>0</v>
      </c>
      <c s="125">
        <f>Предпосылки!W323*IF(Предпосылки!$G291="нет",1,W$603)*IFERROR(LOOKUP(Предпосылки!$I291,$C$13:$C$15,W$13:W$15),1)</f>
        <v>0</v>
      </c>
      <c s="125">
        <f>Предпосылки!X323*IF(Предпосылки!$G291="нет",1,X$603)*IFERROR(LOOKUP(Предпосылки!$I291,$C$13:$C$15,X$13:X$15),1)</f>
        <v>0</v>
      </c>
      <c s="125">
        <f>Предпосылки!Y323*IF(Предпосылки!$G291="нет",1,Y$603)*IFERROR(LOOKUP(Предпосылки!$I291,$C$13:$C$15,Y$13:Y$15),1)</f>
        <v>0</v>
      </c>
      <c s="125">
        <f>Предпосылки!Z323*IF(Предпосылки!$G291="нет",1,Z$603)*IFERROR(LOOKUP(Предпосылки!$I291,$C$13:$C$15,Z$13:Z$15),1)</f>
        <v>0</v>
      </c>
      <c s="125">
        <f>Предпосылки!AA323*IF(Предпосылки!$G291="нет",1,AA$603)*IFERROR(LOOKUP(Предпосылки!$I291,$C$13:$C$15,AA$13:AA$15),1)</f>
        <v>0</v>
      </c>
      <c s="125">
        <f>Предпосылки!AB323*IF(Предпосылки!$G291="нет",1,AB$603)*IFERROR(LOOKUP(Предпосылки!$I291,$C$13:$C$15,AB$13:AB$15),1)</f>
        <v>0</v>
      </c>
      <c s="125">
        <f>Предпосылки!AC323*IF(Предпосылки!$G291="нет",1,AC$603)*IFERROR(LOOKUP(Предпосылки!$I291,$C$13:$C$15,AC$13:AC$15),1)</f>
        <v>0</v>
      </c>
      <c s="125">
        <f>Предпосылки!AD323*IF(Предпосылки!$G291="нет",1,AD$603)*IFERROR(LOOKUP(Предпосылки!$I291,$C$13:$C$15,AD$13:AD$15),1)</f>
        <v>0</v>
      </c>
      <c s="125">
        <f>Предпосылки!AE323*IF(Предпосылки!$G291="нет",1,AE$603)*IFERROR(LOOKUP(Предпосылки!$I291,$C$13:$C$15,AE$13:AE$15),1)</f>
        <v>0</v>
      </c>
      <c s="125">
        <f>Предпосылки!AF323*IF(Предпосылки!$G291="нет",1,AF$603)*IFERROR(LOOKUP(Предпосылки!$I291,$C$13:$C$15,AF$13:AF$15),1)</f>
        <v>0</v>
      </c>
      <c s="125">
        <f>Предпосылки!AG323*IF(Предпосылки!$G291="нет",1,AG$603)*IFERROR(LOOKUP(Предпосылки!$I291,$C$13:$C$15,AG$13:AG$15),1)</f>
        <v>0</v>
      </c>
      <c s="125">
        <f>Предпосылки!AH323*IF(Предпосылки!$G291="нет",1,AH$603)*IFERROR(LOOKUP(Предпосылки!$I291,$C$13:$C$15,AH$13:AH$15),1)</f>
        <v>0</v>
      </c>
      <c s="125">
        <f>Предпосылки!AI323*IF(Предпосылки!$G291="нет",1,AI$603)*IFERROR(LOOKUP(Предпосылки!$I291,$C$13:$C$15,AI$13:AI$15),1)</f>
        <v>0</v>
      </c>
      <c s="125">
        <f>Предпосылки!AJ323*IF(Предпосылки!$G291="нет",1,AJ$603)*IFERROR(LOOKUP(Предпосылки!$I291,$C$13:$C$15,AJ$13:AJ$15),1)</f>
        <v>0</v>
      </c>
      <c s="125">
        <f>Предпосылки!AK323*IF(Предпосылки!$G291="нет",1,AK$603)*IFERROR(LOOKUP(Предпосылки!$I291,$C$13:$C$15,AK$13:AK$15),1)</f>
        <v>0</v>
      </c>
      <c s="125">
        <f>Предпосылки!AL323*IF(Предпосылки!$G291="нет",1,AL$603)*IFERROR(LOOKUP(Предпосылки!$I291,$C$13:$C$15,AL$13:AL$15),1)</f>
        <v>0</v>
      </c>
      <c s="125">
        <f>Предпосылки!AM323*IF(Предпосылки!$G291="нет",1,AM$603)*IFERROR(LOOKUP(Предпосылки!$I291,$C$13:$C$15,AM$13:AM$15),1)</f>
        <v>0</v>
      </c>
      <c s="125">
        <f>Предпосылки!AN323*IF(Предпосылки!$G291="нет",1,AN$603)*IFERROR(LOOKUP(Предпосылки!$I291,$C$13:$C$15,AN$13:AN$15),1)</f>
        <v>0</v>
      </c>
      <c s="125">
        <f>Предпосылки!AO323*IF(Предпосылки!$G291="нет",1,AO$603)*IFERROR(LOOKUP(Предпосылки!$I291,$C$13:$C$15,AO$13:AO$15),1)</f>
        <v>0</v>
      </c>
      <c s="125">
        <f>Предпосылки!AP323*IF(Предпосылки!$G291="нет",1,AP$603)*IFERROR(LOOKUP(Предпосылки!$I291,$C$13:$C$15,AP$13:AP$15),1)</f>
        <v>0</v>
      </c>
      <c s="125">
        <f>Предпосылки!AQ323*IF(Предпосылки!$G291="нет",1,AQ$603)*IFERROR(LOOKUP(Предпосылки!$I291,$C$13:$C$15,AQ$13:AQ$15),1)</f>
        <v>0</v>
      </c>
      <c s="125">
        <f>Предпосылки!AR323*IF(Предпосылки!$G291="нет",1,AR$603)*IFERROR(LOOKUP(Предпосылки!$I291,$C$13:$C$15,AR$13:AR$15),1)</f>
        <v>0</v>
      </c>
      <c s="125">
        <f>Предпосылки!AS323*IF(Предпосылки!$G291="нет",1,AS$603)*IFERROR(LOOKUP(Предпосылки!$I291,$C$13:$C$15,AS$13:AS$15),1)</f>
        <v>0</v>
      </c>
      <c s="125">
        <f>Предпосылки!AT323*IF(Предпосылки!$G291="нет",1,AT$603)*IFERROR(LOOKUP(Предпосылки!$I291,$C$13:$C$15,AT$13:AT$15),1)</f>
        <v>0</v>
      </c>
      <c s="125">
        <f>Предпосылки!AU323*IF(Предпосылки!$G291="нет",1,AU$603)*IFERROR(LOOKUP(Предпосылки!$I291,$C$13:$C$15,AU$13:AU$15),1)</f>
        <v>0</v>
      </c>
      <c s="125">
        <f>Предпосылки!AV323*IF(Предпосылки!$G291="нет",1,AV$603)*IFERROR(LOOKUP(Предпосылки!$I291,$C$13:$C$15,AV$13:AV$15),1)</f>
        <v>0</v>
      </c>
      <c s="125">
        <f>Предпосылки!AW323*IF(Предпосылки!$G291="нет",1,AW$603)*IFERROR(LOOKUP(Предпосылки!$I291,$C$13:$C$15,AW$13:AW$15),1)</f>
        <v>0</v>
      </c>
      <c s="125">
        <f>Предпосылки!AX323*IF(Предпосылки!$G291="нет",1,AX$603)*IFERROR(LOOKUP(Предпосылки!$I291,$C$13:$C$15,AX$13:AX$15),1)</f>
        <v>0</v>
      </c>
      <c s="125">
        <f>Предпосылки!AY323*IF(Предпосылки!$G291="нет",1,AY$603)*IFERROR(LOOKUP(Предпосылки!$I291,$C$13:$C$15,AY$13:AY$15),1)</f>
        <v>0</v>
      </c>
      <c s="125">
        <f>Предпосылки!AZ323*IF(Предпосылки!$G291="нет",1,AZ$603)*IFERROR(LOOKUP(Предпосылки!$I291,$C$13:$C$15,AZ$13:AZ$15),1)</f>
        <v>0</v>
      </c>
      <c s="125">
        <f>Предпосылки!BA323*IF(Предпосылки!$G291="нет",1,BA$603)*IFERROR(LOOKUP(Предпосылки!$I291,$C$13:$C$15,BA$13:BA$15),1)</f>
        <v>0</v>
      </c>
      <c s="125">
        <f>Предпосылки!BB323*IF(Предпосылки!$G291="нет",1,BB$603)*IFERROR(LOOKUP(Предпосылки!$I291,$C$13:$C$15,BB$13:BB$15),1)</f>
        <v>0</v>
      </c>
      <c s="125">
        <f>Предпосылки!BC323*IF(Предпосылки!$G291="нет",1,BC$603)*IFERROR(LOOKUP(Предпосылки!$I291,$C$13:$C$15,BC$13:BC$15),1)</f>
        <v>0</v>
      </c>
      <c s="125">
        <f>Предпосылки!BD323*IF(Предпосылки!$G291="нет",1,BD$603)*IFERROR(LOOKUP(Предпосылки!$I291,$C$13:$C$15,BD$13:BD$15),1)</f>
        <v>0</v>
      </c>
      <c s="125">
        <f>Предпосылки!BE323*IF(Предпосылки!$G291="нет",1,BE$603)*IFERROR(LOOKUP(Предпосылки!$I291,$C$13:$C$15,BE$13:BE$15),1)</f>
        <v>0</v>
      </c>
      <c s="125">
        <f>Предпосылки!BF323*IF(Предпосылки!$G291="нет",1,BF$603)*IFERROR(LOOKUP(Предпосылки!$I291,$C$13:$C$15,BF$13:BF$15),1)</f>
        <v>0</v>
      </c>
      <c s="125">
        <f>Предпосылки!BG323*IF(Предпосылки!$G291="нет",1,BG$603)*IFERROR(LOOKUP(Предпосылки!$I291,$C$13:$C$15,BG$13:BG$15),1)</f>
        <v>0</v>
      </c>
      <c s="125">
        <f>Предпосылки!BH323*IF(Предпосылки!$G291="нет",1,BH$603)*IFERROR(LOOKUP(Предпосылки!$I291,$C$13:$C$15,BH$13:BH$15),1)</f>
        <v>0</v>
      </c>
      <c s="125">
        <f>Предпосылки!BI323*IF(Предпосылки!$G291="нет",1,BI$603)*IFERROR(LOOKUP(Предпосылки!$I291,$C$13:$C$15,BI$13:BI$15),1)</f>
        <v>0</v>
      </c>
      <c s="125">
        <f>Предпосылки!BJ323*IF(Предпосылки!$G291="нет",1,BJ$603)*IFERROR(LOOKUP(Предпосылки!$I291,$C$13:$C$15,BJ$13:BJ$15),1)</f>
        <v>0</v>
      </c>
      <c s="125">
        <f>Предпосылки!BK323*IF(Предпосылки!$G291="нет",1,BK$603)*IFERROR(LOOKUP(Предпосылки!$I291,$C$13:$C$15,BK$13:BK$15),1)</f>
        <v>0</v>
      </c>
      <c s="125">
        <f>Предпосылки!BL323*IF(Предпосылки!$G291="нет",1,BL$603)*IFERROR(LOOKUP(Предпосылки!$I291,$C$13:$C$15,BL$13:BL$15),1)</f>
        <v>0</v>
      </c>
      <c s="125">
        <f>Предпосылки!BM323*IF(Предпосылки!$G291="нет",1,BM$603)*IFERROR(LOOKUP(Предпосылки!$I291,$C$13:$C$15,BM$13:BM$15),1)</f>
        <v>0</v>
      </c>
    </row>
    <row r="649" spans="2:65" ht="15" customHeight="1">
      <c r="B649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Предпосылки!E324*IF(Предпосылки!$G292="нет",1,E$603)*IFERROR(LOOKUP(Предпосылки!$I292,$C$13:$C$15,E$13:E$15),1)</f>
        <v>0</v>
      </c>
      <c s="125">
        <f>Предпосылки!F324*IF(Предпосылки!$G292="нет",1,F$603)*IFERROR(LOOKUP(Предпосылки!$I292,$C$13:$C$15,F$13:F$15),1)</f>
        <v>0</v>
      </c>
      <c s="125">
        <f>Предпосылки!G324*IF(Предпосылки!$G292="нет",1,G$603)*IFERROR(LOOKUP(Предпосылки!$I292,$C$13:$C$15,G$13:G$15),1)</f>
        <v>0</v>
      </c>
      <c s="125">
        <f>Предпосылки!H324*IF(Предпосылки!$G292="нет",1,H$603)*IFERROR(LOOKUP(Предпосылки!$I292,$C$13:$C$15,H$13:H$15),1)</f>
        <v>0</v>
      </c>
      <c s="125">
        <f>Предпосылки!I324*IF(Предпосылки!$G292="нет",1,I$603)*IFERROR(LOOKUP(Предпосылки!$I292,$C$13:$C$15,I$13:I$15),1)</f>
        <v>0</v>
      </c>
      <c s="125">
        <f>Предпосылки!J324*IF(Предпосылки!$G292="нет",1,J$603)*IFERROR(LOOKUP(Предпосылки!$I292,$C$13:$C$15,J$13:J$15),1)</f>
        <v>0</v>
      </c>
      <c s="125">
        <f>Предпосылки!K324*IF(Предпосылки!$G292="нет",1,K$603)*IFERROR(LOOKUP(Предпосылки!$I292,$C$13:$C$15,K$13:K$15),1)</f>
        <v>0</v>
      </c>
      <c s="125">
        <f>Предпосылки!L324*IF(Предпосылки!$G292="нет",1,L$603)*IFERROR(LOOKUP(Предпосылки!$I292,$C$13:$C$15,L$13:L$15),1)</f>
        <v>0</v>
      </c>
      <c s="125">
        <f>Предпосылки!M324*IF(Предпосылки!$G292="нет",1,M$603)*IFERROR(LOOKUP(Предпосылки!$I292,$C$13:$C$15,M$13:M$15),1)</f>
        <v>0</v>
      </c>
      <c s="125">
        <f>Предпосылки!N324*IF(Предпосылки!$G292="нет",1,N$603)*IFERROR(LOOKUP(Предпосылки!$I292,$C$13:$C$15,N$13:N$15),1)</f>
        <v>0</v>
      </c>
      <c s="125">
        <f>Предпосылки!O324*IF(Предпосылки!$G292="нет",1,O$603)*IFERROR(LOOKUP(Предпосылки!$I292,$C$13:$C$15,O$13:O$15),1)</f>
        <v>0</v>
      </c>
      <c s="125">
        <f>Предпосылки!P324*IF(Предпосылки!$G292="нет",1,P$603)*IFERROR(LOOKUP(Предпосылки!$I292,$C$13:$C$15,P$13:P$15),1)</f>
        <v>0</v>
      </c>
      <c s="125">
        <f>Предпосылки!Q324*IF(Предпосылки!$G292="нет",1,Q$603)*IFERROR(LOOKUP(Предпосылки!$I292,$C$13:$C$15,Q$13:Q$15),1)</f>
        <v>0</v>
      </c>
      <c s="125">
        <f>Предпосылки!R324*IF(Предпосылки!$G292="нет",1,R$603)*IFERROR(LOOKUP(Предпосылки!$I292,$C$13:$C$15,R$13:R$15),1)</f>
        <v>0</v>
      </c>
      <c s="125">
        <f>Предпосылки!S324*IF(Предпосылки!$G292="нет",1,S$603)*IFERROR(LOOKUP(Предпосылки!$I292,$C$13:$C$15,S$13:S$15),1)</f>
        <v>0</v>
      </c>
      <c s="125">
        <f>Предпосылки!T324*IF(Предпосылки!$G292="нет",1,T$603)*IFERROR(LOOKUP(Предпосылки!$I292,$C$13:$C$15,T$13:T$15),1)</f>
        <v>0</v>
      </c>
      <c s="125">
        <f>Предпосылки!U324*IF(Предпосылки!$G292="нет",1,U$603)*IFERROR(LOOKUP(Предпосылки!$I292,$C$13:$C$15,U$13:U$15),1)</f>
        <v>0</v>
      </c>
      <c s="125">
        <f>Предпосылки!V324*IF(Предпосылки!$G292="нет",1,V$603)*IFERROR(LOOKUP(Предпосылки!$I292,$C$13:$C$15,V$13:V$15),1)</f>
        <v>0</v>
      </c>
      <c s="125">
        <f>Предпосылки!W324*IF(Предпосылки!$G292="нет",1,W$603)*IFERROR(LOOKUP(Предпосылки!$I292,$C$13:$C$15,W$13:W$15),1)</f>
        <v>0</v>
      </c>
      <c s="125">
        <f>Предпосылки!X324*IF(Предпосылки!$G292="нет",1,X$603)*IFERROR(LOOKUP(Предпосылки!$I292,$C$13:$C$15,X$13:X$15),1)</f>
        <v>0</v>
      </c>
      <c s="125">
        <f>Предпосылки!Y324*IF(Предпосылки!$G292="нет",1,Y$603)*IFERROR(LOOKUP(Предпосылки!$I292,$C$13:$C$15,Y$13:Y$15),1)</f>
        <v>0</v>
      </c>
      <c s="125">
        <f>Предпосылки!Z324*IF(Предпосылки!$G292="нет",1,Z$603)*IFERROR(LOOKUP(Предпосылки!$I292,$C$13:$C$15,Z$13:Z$15),1)</f>
        <v>0</v>
      </c>
      <c s="125">
        <f>Предпосылки!AA324*IF(Предпосылки!$G292="нет",1,AA$603)*IFERROR(LOOKUP(Предпосылки!$I292,$C$13:$C$15,AA$13:AA$15),1)</f>
        <v>0</v>
      </c>
      <c s="125">
        <f>Предпосылки!AB324*IF(Предпосылки!$G292="нет",1,AB$603)*IFERROR(LOOKUP(Предпосылки!$I292,$C$13:$C$15,AB$13:AB$15),1)</f>
        <v>0</v>
      </c>
      <c s="125">
        <f>Предпосылки!AC324*IF(Предпосылки!$G292="нет",1,AC$603)*IFERROR(LOOKUP(Предпосылки!$I292,$C$13:$C$15,AC$13:AC$15),1)</f>
        <v>0</v>
      </c>
      <c s="125">
        <f>Предпосылки!AD324*IF(Предпосылки!$G292="нет",1,AD$603)*IFERROR(LOOKUP(Предпосылки!$I292,$C$13:$C$15,AD$13:AD$15),1)</f>
        <v>0</v>
      </c>
      <c s="125">
        <f>Предпосылки!AE324*IF(Предпосылки!$G292="нет",1,AE$603)*IFERROR(LOOKUP(Предпосылки!$I292,$C$13:$C$15,AE$13:AE$15),1)</f>
        <v>0</v>
      </c>
      <c s="125">
        <f>Предпосылки!AF324*IF(Предпосылки!$G292="нет",1,AF$603)*IFERROR(LOOKUP(Предпосылки!$I292,$C$13:$C$15,AF$13:AF$15),1)</f>
        <v>0</v>
      </c>
      <c s="125">
        <f>Предпосылки!AG324*IF(Предпосылки!$G292="нет",1,AG$603)*IFERROR(LOOKUP(Предпосылки!$I292,$C$13:$C$15,AG$13:AG$15),1)</f>
        <v>0</v>
      </c>
      <c s="125">
        <f>Предпосылки!AH324*IF(Предпосылки!$G292="нет",1,AH$603)*IFERROR(LOOKUP(Предпосылки!$I292,$C$13:$C$15,AH$13:AH$15),1)</f>
        <v>0</v>
      </c>
      <c s="125">
        <f>Предпосылки!AI324*IF(Предпосылки!$G292="нет",1,AI$603)*IFERROR(LOOKUP(Предпосылки!$I292,$C$13:$C$15,AI$13:AI$15),1)</f>
        <v>0</v>
      </c>
      <c s="125">
        <f>Предпосылки!AJ324*IF(Предпосылки!$G292="нет",1,AJ$603)*IFERROR(LOOKUP(Предпосылки!$I292,$C$13:$C$15,AJ$13:AJ$15),1)</f>
        <v>0</v>
      </c>
      <c s="125">
        <f>Предпосылки!AK324*IF(Предпосылки!$G292="нет",1,AK$603)*IFERROR(LOOKUP(Предпосылки!$I292,$C$13:$C$15,AK$13:AK$15),1)</f>
        <v>0</v>
      </c>
      <c s="125">
        <f>Предпосылки!AL324*IF(Предпосылки!$G292="нет",1,AL$603)*IFERROR(LOOKUP(Предпосылки!$I292,$C$13:$C$15,AL$13:AL$15),1)</f>
        <v>0</v>
      </c>
      <c s="125">
        <f>Предпосылки!AM324*IF(Предпосылки!$G292="нет",1,AM$603)*IFERROR(LOOKUP(Предпосылки!$I292,$C$13:$C$15,AM$13:AM$15),1)</f>
        <v>0</v>
      </c>
      <c s="125">
        <f>Предпосылки!AN324*IF(Предпосылки!$G292="нет",1,AN$603)*IFERROR(LOOKUP(Предпосылки!$I292,$C$13:$C$15,AN$13:AN$15),1)</f>
        <v>0</v>
      </c>
      <c s="125">
        <f>Предпосылки!AO324*IF(Предпосылки!$G292="нет",1,AO$603)*IFERROR(LOOKUP(Предпосылки!$I292,$C$13:$C$15,AO$13:AO$15),1)</f>
        <v>0</v>
      </c>
      <c s="125">
        <f>Предпосылки!AP324*IF(Предпосылки!$G292="нет",1,AP$603)*IFERROR(LOOKUP(Предпосылки!$I292,$C$13:$C$15,AP$13:AP$15),1)</f>
        <v>0</v>
      </c>
      <c s="125">
        <f>Предпосылки!AQ324*IF(Предпосылки!$G292="нет",1,AQ$603)*IFERROR(LOOKUP(Предпосылки!$I292,$C$13:$C$15,AQ$13:AQ$15),1)</f>
        <v>0</v>
      </c>
      <c s="125">
        <f>Предпосылки!AR324*IF(Предпосылки!$G292="нет",1,AR$603)*IFERROR(LOOKUP(Предпосылки!$I292,$C$13:$C$15,AR$13:AR$15),1)</f>
        <v>0</v>
      </c>
      <c s="125">
        <f>Предпосылки!AS324*IF(Предпосылки!$G292="нет",1,AS$603)*IFERROR(LOOKUP(Предпосылки!$I292,$C$13:$C$15,AS$13:AS$15),1)</f>
        <v>0</v>
      </c>
      <c s="125">
        <f>Предпосылки!AT324*IF(Предпосылки!$G292="нет",1,AT$603)*IFERROR(LOOKUP(Предпосылки!$I292,$C$13:$C$15,AT$13:AT$15),1)</f>
        <v>0</v>
      </c>
      <c s="125">
        <f>Предпосылки!AU324*IF(Предпосылки!$G292="нет",1,AU$603)*IFERROR(LOOKUP(Предпосылки!$I292,$C$13:$C$15,AU$13:AU$15),1)</f>
        <v>0</v>
      </c>
      <c s="125">
        <f>Предпосылки!AV324*IF(Предпосылки!$G292="нет",1,AV$603)*IFERROR(LOOKUP(Предпосылки!$I292,$C$13:$C$15,AV$13:AV$15),1)</f>
        <v>0</v>
      </c>
      <c s="125">
        <f>Предпосылки!AW324*IF(Предпосылки!$G292="нет",1,AW$603)*IFERROR(LOOKUP(Предпосылки!$I292,$C$13:$C$15,AW$13:AW$15),1)</f>
        <v>0</v>
      </c>
      <c s="125">
        <f>Предпосылки!AX324*IF(Предпосылки!$G292="нет",1,AX$603)*IFERROR(LOOKUP(Предпосылки!$I292,$C$13:$C$15,AX$13:AX$15),1)</f>
        <v>0</v>
      </c>
      <c s="125">
        <f>Предпосылки!AY324*IF(Предпосылки!$G292="нет",1,AY$603)*IFERROR(LOOKUP(Предпосылки!$I292,$C$13:$C$15,AY$13:AY$15),1)</f>
        <v>0</v>
      </c>
      <c s="125">
        <f>Предпосылки!AZ324*IF(Предпосылки!$G292="нет",1,AZ$603)*IFERROR(LOOKUP(Предпосылки!$I292,$C$13:$C$15,AZ$13:AZ$15),1)</f>
        <v>0</v>
      </c>
      <c s="125">
        <f>Предпосылки!BA324*IF(Предпосылки!$G292="нет",1,BA$603)*IFERROR(LOOKUP(Предпосылки!$I292,$C$13:$C$15,BA$13:BA$15),1)</f>
        <v>0</v>
      </c>
      <c s="125">
        <f>Предпосылки!BB324*IF(Предпосылки!$G292="нет",1,BB$603)*IFERROR(LOOKUP(Предпосылки!$I292,$C$13:$C$15,BB$13:BB$15),1)</f>
        <v>0</v>
      </c>
      <c s="125">
        <f>Предпосылки!BC324*IF(Предпосылки!$G292="нет",1,BC$603)*IFERROR(LOOKUP(Предпосылки!$I292,$C$13:$C$15,BC$13:BC$15),1)</f>
        <v>0</v>
      </c>
      <c s="125">
        <f>Предпосылки!BD324*IF(Предпосылки!$G292="нет",1,BD$603)*IFERROR(LOOKUP(Предпосылки!$I292,$C$13:$C$15,BD$13:BD$15),1)</f>
        <v>0</v>
      </c>
      <c s="125">
        <f>Предпосылки!BE324*IF(Предпосылки!$G292="нет",1,BE$603)*IFERROR(LOOKUP(Предпосылки!$I292,$C$13:$C$15,BE$13:BE$15),1)</f>
        <v>0</v>
      </c>
      <c s="125">
        <f>Предпосылки!BF324*IF(Предпосылки!$G292="нет",1,BF$603)*IFERROR(LOOKUP(Предпосылки!$I292,$C$13:$C$15,BF$13:BF$15),1)</f>
        <v>0</v>
      </c>
      <c s="125">
        <f>Предпосылки!BG324*IF(Предпосылки!$G292="нет",1,BG$603)*IFERROR(LOOKUP(Предпосылки!$I292,$C$13:$C$15,BG$13:BG$15),1)</f>
        <v>0</v>
      </c>
      <c s="125">
        <f>Предпосылки!BH324*IF(Предпосылки!$G292="нет",1,BH$603)*IFERROR(LOOKUP(Предпосылки!$I292,$C$13:$C$15,BH$13:BH$15),1)</f>
        <v>0</v>
      </c>
      <c s="125">
        <f>Предпосылки!BI324*IF(Предпосылки!$G292="нет",1,BI$603)*IFERROR(LOOKUP(Предпосылки!$I292,$C$13:$C$15,BI$13:BI$15),1)</f>
        <v>0</v>
      </c>
      <c s="125">
        <f>Предпосылки!BJ324*IF(Предпосылки!$G292="нет",1,BJ$603)*IFERROR(LOOKUP(Предпосылки!$I292,$C$13:$C$15,BJ$13:BJ$15),1)</f>
        <v>0</v>
      </c>
      <c s="125">
        <f>Предпосылки!BK324*IF(Предпосылки!$G292="нет",1,BK$603)*IFERROR(LOOKUP(Предпосылки!$I292,$C$13:$C$15,BK$13:BK$15),1)</f>
        <v>0</v>
      </c>
      <c s="125">
        <f>Предпосылки!BL324*IF(Предпосылки!$G292="нет",1,BL$603)*IFERROR(LOOKUP(Предпосылки!$I292,$C$13:$C$15,BL$13:BL$15),1)</f>
        <v>0</v>
      </c>
      <c s="125">
        <f>Предпосылки!BM324*IF(Предпосылки!$G292="нет",1,BM$603)*IFERROR(LOOKUP(Предпосылки!$I292,$C$13:$C$15,BM$13:BM$15),1)</f>
        <v>0</v>
      </c>
    </row>
    <row r="650" spans="2:65" ht="15" customHeight="1">
      <c r="B650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Предпосылки!E325*IF(Предпосылки!$G293="нет",1,E$603)*IFERROR(LOOKUP(Предпосылки!$I293,$C$13:$C$15,E$13:E$15),1)</f>
        <v>0</v>
      </c>
      <c s="125">
        <f>Предпосылки!F325*IF(Предпосылки!$G293="нет",1,F$603)*IFERROR(LOOKUP(Предпосылки!$I293,$C$13:$C$15,F$13:F$15),1)</f>
        <v>0</v>
      </c>
      <c s="125">
        <f>Предпосылки!G325*IF(Предпосылки!$G293="нет",1,G$603)*IFERROR(LOOKUP(Предпосылки!$I293,$C$13:$C$15,G$13:G$15),1)</f>
        <v>0</v>
      </c>
      <c s="125">
        <f>Предпосылки!H325*IF(Предпосылки!$G293="нет",1,H$603)*IFERROR(LOOKUP(Предпосылки!$I293,$C$13:$C$15,H$13:H$15),1)</f>
        <v>0</v>
      </c>
      <c s="125">
        <f>Предпосылки!I325*IF(Предпосылки!$G293="нет",1,I$603)*IFERROR(LOOKUP(Предпосылки!$I293,$C$13:$C$15,I$13:I$15),1)</f>
        <v>0</v>
      </c>
      <c s="125">
        <f>Предпосылки!J325*IF(Предпосылки!$G293="нет",1,J$603)*IFERROR(LOOKUP(Предпосылки!$I293,$C$13:$C$15,J$13:J$15),1)</f>
        <v>0</v>
      </c>
      <c s="125">
        <f>Предпосылки!K325*IF(Предпосылки!$G293="нет",1,K$603)*IFERROR(LOOKUP(Предпосылки!$I293,$C$13:$C$15,K$13:K$15),1)</f>
        <v>0</v>
      </c>
      <c s="125">
        <f>Предпосылки!L325*IF(Предпосылки!$G293="нет",1,L$603)*IFERROR(LOOKUP(Предпосылки!$I293,$C$13:$C$15,L$13:L$15),1)</f>
        <v>0</v>
      </c>
      <c s="125">
        <f>Предпосылки!M325*IF(Предпосылки!$G293="нет",1,M$603)*IFERROR(LOOKUP(Предпосылки!$I293,$C$13:$C$15,M$13:M$15),1)</f>
        <v>0</v>
      </c>
      <c s="125">
        <f>Предпосылки!N325*IF(Предпосылки!$G293="нет",1,N$603)*IFERROR(LOOKUP(Предпосылки!$I293,$C$13:$C$15,N$13:N$15),1)</f>
        <v>0</v>
      </c>
      <c s="125">
        <f>Предпосылки!O325*IF(Предпосылки!$G293="нет",1,O$603)*IFERROR(LOOKUP(Предпосылки!$I293,$C$13:$C$15,O$13:O$15),1)</f>
        <v>0</v>
      </c>
      <c s="125">
        <f>Предпосылки!P325*IF(Предпосылки!$G293="нет",1,P$603)*IFERROR(LOOKUP(Предпосылки!$I293,$C$13:$C$15,P$13:P$15),1)</f>
        <v>0</v>
      </c>
      <c s="125">
        <f>Предпосылки!Q325*IF(Предпосылки!$G293="нет",1,Q$603)*IFERROR(LOOKUP(Предпосылки!$I293,$C$13:$C$15,Q$13:Q$15),1)</f>
        <v>0</v>
      </c>
      <c s="125">
        <f>Предпосылки!R325*IF(Предпосылки!$G293="нет",1,R$603)*IFERROR(LOOKUP(Предпосылки!$I293,$C$13:$C$15,R$13:R$15),1)</f>
        <v>0</v>
      </c>
      <c s="125">
        <f>Предпосылки!S325*IF(Предпосылки!$G293="нет",1,S$603)*IFERROR(LOOKUP(Предпосылки!$I293,$C$13:$C$15,S$13:S$15),1)</f>
        <v>0</v>
      </c>
      <c s="125">
        <f>Предпосылки!T325*IF(Предпосылки!$G293="нет",1,T$603)*IFERROR(LOOKUP(Предпосылки!$I293,$C$13:$C$15,T$13:T$15),1)</f>
        <v>0</v>
      </c>
      <c s="125">
        <f>Предпосылки!U325*IF(Предпосылки!$G293="нет",1,U$603)*IFERROR(LOOKUP(Предпосылки!$I293,$C$13:$C$15,U$13:U$15),1)</f>
        <v>0</v>
      </c>
      <c s="125">
        <f>Предпосылки!V325*IF(Предпосылки!$G293="нет",1,V$603)*IFERROR(LOOKUP(Предпосылки!$I293,$C$13:$C$15,V$13:V$15),1)</f>
        <v>0</v>
      </c>
      <c s="125">
        <f>Предпосылки!W325*IF(Предпосылки!$G293="нет",1,W$603)*IFERROR(LOOKUP(Предпосылки!$I293,$C$13:$C$15,W$13:W$15),1)</f>
        <v>0</v>
      </c>
      <c s="125">
        <f>Предпосылки!X325*IF(Предпосылки!$G293="нет",1,X$603)*IFERROR(LOOKUP(Предпосылки!$I293,$C$13:$C$15,X$13:X$15),1)</f>
        <v>0</v>
      </c>
      <c s="125">
        <f>Предпосылки!Y325*IF(Предпосылки!$G293="нет",1,Y$603)*IFERROR(LOOKUP(Предпосылки!$I293,$C$13:$C$15,Y$13:Y$15),1)</f>
        <v>0</v>
      </c>
      <c s="125">
        <f>Предпосылки!Z325*IF(Предпосылки!$G293="нет",1,Z$603)*IFERROR(LOOKUP(Предпосылки!$I293,$C$13:$C$15,Z$13:Z$15),1)</f>
        <v>0</v>
      </c>
      <c s="125">
        <f>Предпосылки!AA325*IF(Предпосылки!$G293="нет",1,AA$603)*IFERROR(LOOKUP(Предпосылки!$I293,$C$13:$C$15,AA$13:AA$15),1)</f>
        <v>0</v>
      </c>
      <c s="125">
        <f>Предпосылки!AB325*IF(Предпосылки!$G293="нет",1,AB$603)*IFERROR(LOOKUP(Предпосылки!$I293,$C$13:$C$15,AB$13:AB$15),1)</f>
        <v>0</v>
      </c>
      <c s="125">
        <f>Предпосылки!AC325*IF(Предпосылки!$G293="нет",1,AC$603)*IFERROR(LOOKUP(Предпосылки!$I293,$C$13:$C$15,AC$13:AC$15),1)</f>
        <v>0</v>
      </c>
      <c s="125">
        <f>Предпосылки!AD325*IF(Предпосылки!$G293="нет",1,AD$603)*IFERROR(LOOKUP(Предпосылки!$I293,$C$13:$C$15,AD$13:AD$15),1)</f>
        <v>0</v>
      </c>
      <c s="125">
        <f>Предпосылки!AE325*IF(Предпосылки!$G293="нет",1,AE$603)*IFERROR(LOOKUP(Предпосылки!$I293,$C$13:$C$15,AE$13:AE$15),1)</f>
        <v>0</v>
      </c>
      <c s="125">
        <f>Предпосылки!AF325*IF(Предпосылки!$G293="нет",1,AF$603)*IFERROR(LOOKUP(Предпосылки!$I293,$C$13:$C$15,AF$13:AF$15),1)</f>
        <v>0</v>
      </c>
      <c s="125">
        <f>Предпосылки!AG325*IF(Предпосылки!$G293="нет",1,AG$603)*IFERROR(LOOKUP(Предпосылки!$I293,$C$13:$C$15,AG$13:AG$15),1)</f>
        <v>0</v>
      </c>
      <c s="125">
        <f>Предпосылки!AH325*IF(Предпосылки!$G293="нет",1,AH$603)*IFERROR(LOOKUP(Предпосылки!$I293,$C$13:$C$15,AH$13:AH$15),1)</f>
        <v>0</v>
      </c>
      <c s="125">
        <f>Предпосылки!AI325*IF(Предпосылки!$G293="нет",1,AI$603)*IFERROR(LOOKUP(Предпосылки!$I293,$C$13:$C$15,AI$13:AI$15),1)</f>
        <v>0</v>
      </c>
      <c s="125">
        <f>Предпосылки!AJ325*IF(Предпосылки!$G293="нет",1,AJ$603)*IFERROR(LOOKUP(Предпосылки!$I293,$C$13:$C$15,AJ$13:AJ$15),1)</f>
        <v>0</v>
      </c>
      <c s="125">
        <f>Предпосылки!AK325*IF(Предпосылки!$G293="нет",1,AK$603)*IFERROR(LOOKUP(Предпосылки!$I293,$C$13:$C$15,AK$13:AK$15),1)</f>
        <v>0</v>
      </c>
      <c s="125">
        <f>Предпосылки!AL325*IF(Предпосылки!$G293="нет",1,AL$603)*IFERROR(LOOKUP(Предпосылки!$I293,$C$13:$C$15,AL$13:AL$15),1)</f>
        <v>0</v>
      </c>
      <c s="125">
        <f>Предпосылки!AM325*IF(Предпосылки!$G293="нет",1,AM$603)*IFERROR(LOOKUP(Предпосылки!$I293,$C$13:$C$15,AM$13:AM$15),1)</f>
        <v>0</v>
      </c>
      <c s="125">
        <f>Предпосылки!AN325*IF(Предпосылки!$G293="нет",1,AN$603)*IFERROR(LOOKUP(Предпосылки!$I293,$C$13:$C$15,AN$13:AN$15),1)</f>
        <v>0</v>
      </c>
      <c s="125">
        <f>Предпосылки!AO325*IF(Предпосылки!$G293="нет",1,AO$603)*IFERROR(LOOKUP(Предпосылки!$I293,$C$13:$C$15,AO$13:AO$15),1)</f>
        <v>0</v>
      </c>
      <c s="125">
        <f>Предпосылки!AP325*IF(Предпосылки!$G293="нет",1,AP$603)*IFERROR(LOOKUP(Предпосылки!$I293,$C$13:$C$15,AP$13:AP$15),1)</f>
        <v>0</v>
      </c>
      <c s="125">
        <f>Предпосылки!AQ325*IF(Предпосылки!$G293="нет",1,AQ$603)*IFERROR(LOOKUP(Предпосылки!$I293,$C$13:$C$15,AQ$13:AQ$15),1)</f>
        <v>0</v>
      </c>
      <c s="125">
        <f>Предпосылки!AR325*IF(Предпосылки!$G293="нет",1,AR$603)*IFERROR(LOOKUP(Предпосылки!$I293,$C$13:$C$15,AR$13:AR$15),1)</f>
        <v>0</v>
      </c>
      <c s="125">
        <f>Предпосылки!AS325*IF(Предпосылки!$G293="нет",1,AS$603)*IFERROR(LOOKUP(Предпосылки!$I293,$C$13:$C$15,AS$13:AS$15),1)</f>
        <v>0</v>
      </c>
      <c s="125">
        <f>Предпосылки!AT325*IF(Предпосылки!$G293="нет",1,AT$603)*IFERROR(LOOKUP(Предпосылки!$I293,$C$13:$C$15,AT$13:AT$15),1)</f>
        <v>0</v>
      </c>
      <c s="125">
        <f>Предпосылки!AU325*IF(Предпосылки!$G293="нет",1,AU$603)*IFERROR(LOOKUP(Предпосылки!$I293,$C$13:$C$15,AU$13:AU$15),1)</f>
        <v>0</v>
      </c>
      <c s="125">
        <f>Предпосылки!AV325*IF(Предпосылки!$G293="нет",1,AV$603)*IFERROR(LOOKUP(Предпосылки!$I293,$C$13:$C$15,AV$13:AV$15),1)</f>
        <v>0</v>
      </c>
      <c s="125">
        <f>Предпосылки!AW325*IF(Предпосылки!$G293="нет",1,AW$603)*IFERROR(LOOKUP(Предпосылки!$I293,$C$13:$C$15,AW$13:AW$15),1)</f>
        <v>0</v>
      </c>
      <c s="125">
        <f>Предпосылки!AX325*IF(Предпосылки!$G293="нет",1,AX$603)*IFERROR(LOOKUP(Предпосылки!$I293,$C$13:$C$15,AX$13:AX$15),1)</f>
        <v>0</v>
      </c>
      <c s="125">
        <f>Предпосылки!AY325*IF(Предпосылки!$G293="нет",1,AY$603)*IFERROR(LOOKUP(Предпосылки!$I293,$C$13:$C$15,AY$13:AY$15),1)</f>
        <v>0</v>
      </c>
      <c s="125">
        <f>Предпосылки!AZ325*IF(Предпосылки!$G293="нет",1,AZ$603)*IFERROR(LOOKUP(Предпосылки!$I293,$C$13:$C$15,AZ$13:AZ$15),1)</f>
        <v>0</v>
      </c>
      <c s="125">
        <f>Предпосылки!BA325*IF(Предпосылки!$G293="нет",1,BA$603)*IFERROR(LOOKUP(Предпосылки!$I293,$C$13:$C$15,BA$13:BA$15),1)</f>
        <v>0</v>
      </c>
      <c s="125">
        <f>Предпосылки!BB325*IF(Предпосылки!$G293="нет",1,BB$603)*IFERROR(LOOKUP(Предпосылки!$I293,$C$13:$C$15,BB$13:BB$15),1)</f>
        <v>0</v>
      </c>
      <c s="125">
        <f>Предпосылки!BC325*IF(Предпосылки!$G293="нет",1,BC$603)*IFERROR(LOOKUP(Предпосылки!$I293,$C$13:$C$15,BC$13:BC$15),1)</f>
        <v>0</v>
      </c>
      <c s="125">
        <f>Предпосылки!BD325*IF(Предпосылки!$G293="нет",1,BD$603)*IFERROR(LOOKUP(Предпосылки!$I293,$C$13:$C$15,BD$13:BD$15),1)</f>
        <v>0</v>
      </c>
      <c s="125">
        <f>Предпосылки!BE325*IF(Предпосылки!$G293="нет",1,BE$603)*IFERROR(LOOKUP(Предпосылки!$I293,$C$13:$C$15,BE$13:BE$15),1)</f>
        <v>0</v>
      </c>
      <c s="125">
        <f>Предпосылки!BF325*IF(Предпосылки!$G293="нет",1,BF$603)*IFERROR(LOOKUP(Предпосылки!$I293,$C$13:$C$15,BF$13:BF$15),1)</f>
        <v>0</v>
      </c>
      <c s="125">
        <f>Предпосылки!BG325*IF(Предпосылки!$G293="нет",1,BG$603)*IFERROR(LOOKUP(Предпосылки!$I293,$C$13:$C$15,BG$13:BG$15),1)</f>
        <v>0</v>
      </c>
      <c s="125">
        <f>Предпосылки!BH325*IF(Предпосылки!$G293="нет",1,BH$603)*IFERROR(LOOKUP(Предпосылки!$I293,$C$13:$C$15,BH$13:BH$15),1)</f>
        <v>0</v>
      </c>
      <c s="125">
        <f>Предпосылки!BI325*IF(Предпосылки!$G293="нет",1,BI$603)*IFERROR(LOOKUP(Предпосылки!$I293,$C$13:$C$15,BI$13:BI$15),1)</f>
        <v>0</v>
      </c>
      <c s="125">
        <f>Предпосылки!BJ325*IF(Предпосылки!$G293="нет",1,BJ$603)*IFERROR(LOOKUP(Предпосылки!$I293,$C$13:$C$15,BJ$13:BJ$15),1)</f>
        <v>0</v>
      </c>
      <c s="125">
        <f>Предпосылки!BK325*IF(Предпосылки!$G293="нет",1,BK$603)*IFERROR(LOOKUP(Предпосылки!$I293,$C$13:$C$15,BK$13:BK$15),1)</f>
        <v>0</v>
      </c>
      <c s="125">
        <f>Предпосылки!BL325*IF(Предпосылки!$G293="нет",1,BL$603)*IFERROR(LOOKUP(Предпосылки!$I293,$C$13:$C$15,BL$13:BL$15),1)</f>
        <v>0</v>
      </c>
      <c s="125">
        <f>Предпосылки!BM325*IF(Предпосылки!$G293="нет",1,BM$603)*IFERROR(LOOKUP(Предпосылки!$I293,$C$13:$C$15,BM$13:BM$15),1)</f>
        <v>0</v>
      </c>
    </row>
    <row r="651" spans="2:65" ht="15" customHeight="1">
      <c r="B651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Предпосылки!E326*IF(Предпосылки!$G294="нет",1,E$603)*IFERROR(LOOKUP(Предпосылки!$I294,$C$13:$C$15,E$13:E$15),1)</f>
        <v>0</v>
      </c>
      <c s="125">
        <f>Предпосылки!F326*IF(Предпосылки!$G294="нет",1,F$603)*IFERROR(LOOKUP(Предпосылки!$I294,$C$13:$C$15,F$13:F$15),1)</f>
        <v>0</v>
      </c>
      <c s="125">
        <f>Предпосылки!G326*IF(Предпосылки!$G294="нет",1,G$603)*IFERROR(LOOKUP(Предпосылки!$I294,$C$13:$C$15,G$13:G$15),1)</f>
        <v>0</v>
      </c>
      <c s="125">
        <f>Предпосылки!H326*IF(Предпосылки!$G294="нет",1,H$603)*IFERROR(LOOKUP(Предпосылки!$I294,$C$13:$C$15,H$13:H$15),1)</f>
        <v>0</v>
      </c>
      <c s="125">
        <f>Предпосылки!I326*IF(Предпосылки!$G294="нет",1,I$603)*IFERROR(LOOKUP(Предпосылки!$I294,$C$13:$C$15,I$13:I$15),1)</f>
        <v>0</v>
      </c>
      <c s="125">
        <f>Предпосылки!J326*IF(Предпосылки!$G294="нет",1,J$603)*IFERROR(LOOKUP(Предпосылки!$I294,$C$13:$C$15,J$13:J$15),1)</f>
        <v>0</v>
      </c>
      <c s="125">
        <f>Предпосылки!K326*IF(Предпосылки!$G294="нет",1,K$603)*IFERROR(LOOKUP(Предпосылки!$I294,$C$13:$C$15,K$13:K$15),1)</f>
        <v>0</v>
      </c>
      <c s="125">
        <f>Предпосылки!L326*IF(Предпосылки!$G294="нет",1,L$603)*IFERROR(LOOKUP(Предпосылки!$I294,$C$13:$C$15,L$13:L$15),1)</f>
        <v>0</v>
      </c>
      <c s="125">
        <f>Предпосылки!M326*IF(Предпосылки!$G294="нет",1,M$603)*IFERROR(LOOKUP(Предпосылки!$I294,$C$13:$C$15,M$13:M$15),1)</f>
        <v>0</v>
      </c>
      <c s="125">
        <f>Предпосылки!N326*IF(Предпосылки!$G294="нет",1,N$603)*IFERROR(LOOKUP(Предпосылки!$I294,$C$13:$C$15,N$13:N$15),1)</f>
        <v>0</v>
      </c>
      <c s="125">
        <f>Предпосылки!O326*IF(Предпосылки!$G294="нет",1,O$603)*IFERROR(LOOKUP(Предпосылки!$I294,$C$13:$C$15,O$13:O$15),1)</f>
        <v>0</v>
      </c>
      <c s="125">
        <f>Предпосылки!P326*IF(Предпосылки!$G294="нет",1,P$603)*IFERROR(LOOKUP(Предпосылки!$I294,$C$13:$C$15,P$13:P$15),1)</f>
        <v>0</v>
      </c>
      <c s="125">
        <f>Предпосылки!Q326*IF(Предпосылки!$G294="нет",1,Q$603)*IFERROR(LOOKUP(Предпосылки!$I294,$C$13:$C$15,Q$13:Q$15),1)</f>
        <v>0</v>
      </c>
      <c s="125">
        <f>Предпосылки!R326*IF(Предпосылки!$G294="нет",1,R$603)*IFERROR(LOOKUP(Предпосылки!$I294,$C$13:$C$15,R$13:R$15),1)</f>
        <v>0</v>
      </c>
      <c s="125">
        <f>Предпосылки!S326*IF(Предпосылки!$G294="нет",1,S$603)*IFERROR(LOOKUP(Предпосылки!$I294,$C$13:$C$15,S$13:S$15),1)</f>
        <v>0</v>
      </c>
      <c s="125">
        <f>Предпосылки!T326*IF(Предпосылки!$G294="нет",1,T$603)*IFERROR(LOOKUP(Предпосылки!$I294,$C$13:$C$15,T$13:T$15),1)</f>
        <v>0</v>
      </c>
      <c s="125">
        <f>Предпосылки!U326*IF(Предпосылки!$G294="нет",1,U$603)*IFERROR(LOOKUP(Предпосылки!$I294,$C$13:$C$15,U$13:U$15),1)</f>
        <v>0</v>
      </c>
      <c s="125">
        <f>Предпосылки!V326*IF(Предпосылки!$G294="нет",1,V$603)*IFERROR(LOOKUP(Предпосылки!$I294,$C$13:$C$15,V$13:V$15),1)</f>
        <v>0</v>
      </c>
      <c s="125">
        <f>Предпосылки!W326*IF(Предпосылки!$G294="нет",1,W$603)*IFERROR(LOOKUP(Предпосылки!$I294,$C$13:$C$15,W$13:W$15),1)</f>
        <v>0</v>
      </c>
      <c s="125">
        <f>Предпосылки!X326*IF(Предпосылки!$G294="нет",1,X$603)*IFERROR(LOOKUP(Предпосылки!$I294,$C$13:$C$15,X$13:X$15),1)</f>
        <v>0</v>
      </c>
      <c s="125">
        <f>Предпосылки!Y326*IF(Предпосылки!$G294="нет",1,Y$603)*IFERROR(LOOKUP(Предпосылки!$I294,$C$13:$C$15,Y$13:Y$15),1)</f>
        <v>0</v>
      </c>
      <c s="125">
        <f>Предпосылки!Z326*IF(Предпосылки!$G294="нет",1,Z$603)*IFERROR(LOOKUP(Предпосылки!$I294,$C$13:$C$15,Z$13:Z$15),1)</f>
        <v>0</v>
      </c>
      <c s="125">
        <f>Предпосылки!AA326*IF(Предпосылки!$G294="нет",1,AA$603)*IFERROR(LOOKUP(Предпосылки!$I294,$C$13:$C$15,AA$13:AA$15),1)</f>
        <v>0</v>
      </c>
      <c s="125">
        <f>Предпосылки!AB326*IF(Предпосылки!$G294="нет",1,AB$603)*IFERROR(LOOKUP(Предпосылки!$I294,$C$13:$C$15,AB$13:AB$15),1)</f>
        <v>0</v>
      </c>
      <c s="125">
        <f>Предпосылки!AC326*IF(Предпосылки!$G294="нет",1,AC$603)*IFERROR(LOOKUP(Предпосылки!$I294,$C$13:$C$15,AC$13:AC$15),1)</f>
        <v>0</v>
      </c>
      <c s="125">
        <f>Предпосылки!AD326*IF(Предпосылки!$G294="нет",1,AD$603)*IFERROR(LOOKUP(Предпосылки!$I294,$C$13:$C$15,AD$13:AD$15),1)</f>
        <v>0</v>
      </c>
      <c s="125">
        <f>Предпосылки!AE326*IF(Предпосылки!$G294="нет",1,AE$603)*IFERROR(LOOKUP(Предпосылки!$I294,$C$13:$C$15,AE$13:AE$15),1)</f>
        <v>0</v>
      </c>
      <c s="125">
        <f>Предпосылки!AF326*IF(Предпосылки!$G294="нет",1,AF$603)*IFERROR(LOOKUP(Предпосылки!$I294,$C$13:$C$15,AF$13:AF$15),1)</f>
        <v>0</v>
      </c>
      <c s="125">
        <f>Предпосылки!AG326*IF(Предпосылки!$G294="нет",1,AG$603)*IFERROR(LOOKUP(Предпосылки!$I294,$C$13:$C$15,AG$13:AG$15),1)</f>
        <v>0</v>
      </c>
      <c s="125">
        <f>Предпосылки!AH326*IF(Предпосылки!$G294="нет",1,AH$603)*IFERROR(LOOKUP(Предпосылки!$I294,$C$13:$C$15,AH$13:AH$15),1)</f>
        <v>0</v>
      </c>
      <c s="125">
        <f>Предпосылки!AI326*IF(Предпосылки!$G294="нет",1,AI$603)*IFERROR(LOOKUP(Предпосылки!$I294,$C$13:$C$15,AI$13:AI$15),1)</f>
        <v>0</v>
      </c>
      <c s="125">
        <f>Предпосылки!AJ326*IF(Предпосылки!$G294="нет",1,AJ$603)*IFERROR(LOOKUP(Предпосылки!$I294,$C$13:$C$15,AJ$13:AJ$15),1)</f>
        <v>0</v>
      </c>
      <c s="125">
        <f>Предпосылки!AK326*IF(Предпосылки!$G294="нет",1,AK$603)*IFERROR(LOOKUP(Предпосылки!$I294,$C$13:$C$15,AK$13:AK$15),1)</f>
        <v>0</v>
      </c>
      <c s="125">
        <f>Предпосылки!AL326*IF(Предпосылки!$G294="нет",1,AL$603)*IFERROR(LOOKUP(Предпосылки!$I294,$C$13:$C$15,AL$13:AL$15),1)</f>
        <v>0</v>
      </c>
      <c s="125">
        <f>Предпосылки!AM326*IF(Предпосылки!$G294="нет",1,AM$603)*IFERROR(LOOKUP(Предпосылки!$I294,$C$13:$C$15,AM$13:AM$15),1)</f>
        <v>0</v>
      </c>
      <c s="125">
        <f>Предпосылки!AN326*IF(Предпосылки!$G294="нет",1,AN$603)*IFERROR(LOOKUP(Предпосылки!$I294,$C$13:$C$15,AN$13:AN$15),1)</f>
        <v>0</v>
      </c>
      <c s="125">
        <f>Предпосылки!AO326*IF(Предпосылки!$G294="нет",1,AO$603)*IFERROR(LOOKUP(Предпосылки!$I294,$C$13:$C$15,AO$13:AO$15),1)</f>
        <v>0</v>
      </c>
      <c s="125">
        <f>Предпосылки!AP326*IF(Предпосылки!$G294="нет",1,AP$603)*IFERROR(LOOKUP(Предпосылки!$I294,$C$13:$C$15,AP$13:AP$15),1)</f>
        <v>0</v>
      </c>
      <c s="125">
        <f>Предпосылки!AQ326*IF(Предпосылки!$G294="нет",1,AQ$603)*IFERROR(LOOKUP(Предпосылки!$I294,$C$13:$C$15,AQ$13:AQ$15),1)</f>
        <v>0</v>
      </c>
      <c s="125">
        <f>Предпосылки!AR326*IF(Предпосылки!$G294="нет",1,AR$603)*IFERROR(LOOKUP(Предпосылки!$I294,$C$13:$C$15,AR$13:AR$15),1)</f>
        <v>0</v>
      </c>
      <c s="125">
        <f>Предпосылки!AS326*IF(Предпосылки!$G294="нет",1,AS$603)*IFERROR(LOOKUP(Предпосылки!$I294,$C$13:$C$15,AS$13:AS$15),1)</f>
        <v>0</v>
      </c>
      <c s="125">
        <f>Предпосылки!AT326*IF(Предпосылки!$G294="нет",1,AT$603)*IFERROR(LOOKUP(Предпосылки!$I294,$C$13:$C$15,AT$13:AT$15),1)</f>
        <v>0</v>
      </c>
      <c s="125">
        <f>Предпосылки!AU326*IF(Предпосылки!$G294="нет",1,AU$603)*IFERROR(LOOKUP(Предпосылки!$I294,$C$13:$C$15,AU$13:AU$15),1)</f>
        <v>0</v>
      </c>
      <c s="125">
        <f>Предпосылки!AV326*IF(Предпосылки!$G294="нет",1,AV$603)*IFERROR(LOOKUP(Предпосылки!$I294,$C$13:$C$15,AV$13:AV$15),1)</f>
        <v>0</v>
      </c>
      <c s="125">
        <f>Предпосылки!AW326*IF(Предпосылки!$G294="нет",1,AW$603)*IFERROR(LOOKUP(Предпосылки!$I294,$C$13:$C$15,AW$13:AW$15),1)</f>
        <v>0</v>
      </c>
      <c s="125">
        <f>Предпосылки!AX326*IF(Предпосылки!$G294="нет",1,AX$603)*IFERROR(LOOKUP(Предпосылки!$I294,$C$13:$C$15,AX$13:AX$15),1)</f>
        <v>0</v>
      </c>
      <c s="125">
        <f>Предпосылки!AY326*IF(Предпосылки!$G294="нет",1,AY$603)*IFERROR(LOOKUP(Предпосылки!$I294,$C$13:$C$15,AY$13:AY$15),1)</f>
        <v>0</v>
      </c>
      <c s="125">
        <f>Предпосылки!AZ326*IF(Предпосылки!$G294="нет",1,AZ$603)*IFERROR(LOOKUP(Предпосылки!$I294,$C$13:$C$15,AZ$13:AZ$15),1)</f>
        <v>0</v>
      </c>
      <c s="125">
        <f>Предпосылки!BA326*IF(Предпосылки!$G294="нет",1,BA$603)*IFERROR(LOOKUP(Предпосылки!$I294,$C$13:$C$15,BA$13:BA$15),1)</f>
        <v>0</v>
      </c>
      <c s="125">
        <f>Предпосылки!BB326*IF(Предпосылки!$G294="нет",1,BB$603)*IFERROR(LOOKUP(Предпосылки!$I294,$C$13:$C$15,BB$13:BB$15),1)</f>
        <v>0</v>
      </c>
      <c s="125">
        <f>Предпосылки!BC326*IF(Предпосылки!$G294="нет",1,BC$603)*IFERROR(LOOKUP(Предпосылки!$I294,$C$13:$C$15,BC$13:BC$15),1)</f>
        <v>0</v>
      </c>
      <c s="125">
        <f>Предпосылки!BD326*IF(Предпосылки!$G294="нет",1,BD$603)*IFERROR(LOOKUP(Предпосылки!$I294,$C$13:$C$15,BD$13:BD$15),1)</f>
        <v>0</v>
      </c>
      <c s="125">
        <f>Предпосылки!BE326*IF(Предпосылки!$G294="нет",1,BE$603)*IFERROR(LOOKUP(Предпосылки!$I294,$C$13:$C$15,BE$13:BE$15),1)</f>
        <v>0</v>
      </c>
      <c s="125">
        <f>Предпосылки!BF326*IF(Предпосылки!$G294="нет",1,BF$603)*IFERROR(LOOKUP(Предпосылки!$I294,$C$13:$C$15,BF$13:BF$15),1)</f>
        <v>0</v>
      </c>
      <c s="125">
        <f>Предпосылки!BG326*IF(Предпосылки!$G294="нет",1,BG$603)*IFERROR(LOOKUP(Предпосылки!$I294,$C$13:$C$15,BG$13:BG$15),1)</f>
        <v>0</v>
      </c>
      <c s="125">
        <f>Предпосылки!BH326*IF(Предпосылки!$G294="нет",1,BH$603)*IFERROR(LOOKUP(Предпосылки!$I294,$C$13:$C$15,BH$13:BH$15),1)</f>
        <v>0</v>
      </c>
      <c s="125">
        <f>Предпосылки!BI326*IF(Предпосылки!$G294="нет",1,BI$603)*IFERROR(LOOKUP(Предпосылки!$I294,$C$13:$C$15,BI$13:BI$15),1)</f>
        <v>0</v>
      </c>
      <c s="125">
        <f>Предпосылки!BJ326*IF(Предпосылки!$G294="нет",1,BJ$603)*IFERROR(LOOKUP(Предпосылки!$I294,$C$13:$C$15,BJ$13:BJ$15),1)</f>
        <v>0</v>
      </c>
      <c s="125">
        <f>Предпосылки!BK326*IF(Предпосылки!$G294="нет",1,BK$603)*IFERROR(LOOKUP(Предпосылки!$I294,$C$13:$C$15,BK$13:BK$15),1)</f>
        <v>0</v>
      </c>
      <c s="125">
        <f>Предпосылки!BL326*IF(Предпосылки!$G294="нет",1,BL$603)*IFERROR(LOOKUP(Предпосылки!$I294,$C$13:$C$15,BL$13:BL$15),1)</f>
        <v>0</v>
      </c>
      <c s="125">
        <f>Предпосылки!BM326*IF(Предпосылки!$G294="нет",1,BM$603)*IFERROR(LOOKUP(Предпосылки!$I294,$C$13:$C$15,BM$13:BM$15),1)</f>
        <v>0</v>
      </c>
    </row>
    <row r="652" spans="2:65" ht="15" customHeight="1">
      <c r="B652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Предпосылки!E327*IF(Предпосылки!$G295="нет",1,E$603)*IFERROR(LOOKUP(Предпосылки!$I295,$C$13:$C$15,E$13:E$15),1)</f>
        <v>0</v>
      </c>
      <c s="125">
        <f>Предпосылки!F327*IF(Предпосылки!$G295="нет",1,F$603)*IFERROR(LOOKUP(Предпосылки!$I295,$C$13:$C$15,F$13:F$15),1)</f>
        <v>0</v>
      </c>
      <c s="125">
        <f>Предпосылки!G327*IF(Предпосылки!$G295="нет",1,G$603)*IFERROR(LOOKUP(Предпосылки!$I295,$C$13:$C$15,G$13:G$15),1)</f>
        <v>0</v>
      </c>
      <c s="125">
        <f>Предпосылки!H327*IF(Предпосылки!$G295="нет",1,H$603)*IFERROR(LOOKUP(Предпосылки!$I295,$C$13:$C$15,H$13:H$15),1)</f>
        <v>0</v>
      </c>
      <c s="125">
        <f>Предпосылки!I327*IF(Предпосылки!$G295="нет",1,I$603)*IFERROR(LOOKUP(Предпосылки!$I295,$C$13:$C$15,I$13:I$15),1)</f>
        <v>0</v>
      </c>
      <c s="125">
        <f>Предпосылки!J327*IF(Предпосылки!$G295="нет",1,J$603)*IFERROR(LOOKUP(Предпосылки!$I295,$C$13:$C$15,J$13:J$15),1)</f>
        <v>0</v>
      </c>
      <c s="125">
        <f>Предпосылки!K327*IF(Предпосылки!$G295="нет",1,K$603)*IFERROR(LOOKUP(Предпосылки!$I295,$C$13:$C$15,K$13:K$15),1)</f>
        <v>0</v>
      </c>
      <c s="125">
        <f>Предпосылки!L327*IF(Предпосылки!$G295="нет",1,L$603)*IFERROR(LOOKUP(Предпосылки!$I295,$C$13:$C$15,L$13:L$15),1)</f>
        <v>0</v>
      </c>
      <c s="125">
        <f>Предпосылки!M327*IF(Предпосылки!$G295="нет",1,M$603)*IFERROR(LOOKUP(Предпосылки!$I295,$C$13:$C$15,M$13:M$15),1)</f>
        <v>0</v>
      </c>
      <c s="125">
        <f>Предпосылки!N327*IF(Предпосылки!$G295="нет",1,N$603)*IFERROR(LOOKUP(Предпосылки!$I295,$C$13:$C$15,N$13:N$15),1)</f>
        <v>0</v>
      </c>
      <c s="125">
        <f>Предпосылки!O327*IF(Предпосылки!$G295="нет",1,O$603)*IFERROR(LOOKUP(Предпосылки!$I295,$C$13:$C$15,O$13:O$15),1)</f>
        <v>0</v>
      </c>
      <c s="125">
        <f>Предпосылки!P327*IF(Предпосылки!$G295="нет",1,P$603)*IFERROR(LOOKUP(Предпосылки!$I295,$C$13:$C$15,P$13:P$15),1)</f>
        <v>0</v>
      </c>
      <c s="125">
        <f>Предпосылки!Q327*IF(Предпосылки!$G295="нет",1,Q$603)*IFERROR(LOOKUP(Предпосылки!$I295,$C$13:$C$15,Q$13:Q$15),1)</f>
        <v>0</v>
      </c>
      <c s="125">
        <f>Предпосылки!R327*IF(Предпосылки!$G295="нет",1,R$603)*IFERROR(LOOKUP(Предпосылки!$I295,$C$13:$C$15,R$13:R$15),1)</f>
        <v>0</v>
      </c>
      <c s="125">
        <f>Предпосылки!S327*IF(Предпосылки!$G295="нет",1,S$603)*IFERROR(LOOKUP(Предпосылки!$I295,$C$13:$C$15,S$13:S$15),1)</f>
        <v>0</v>
      </c>
      <c s="125">
        <f>Предпосылки!T327*IF(Предпосылки!$G295="нет",1,T$603)*IFERROR(LOOKUP(Предпосылки!$I295,$C$13:$C$15,T$13:T$15),1)</f>
        <v>0</v>
      </c>
      <c s="125">
        <f>Предпосылки!U327*IF(Предпосылки!$G295="нет",1,U$603)*IFERROR(LOOKUP(Предпосылки!$I295,$C$13:$C$15,U$13:U$15),1)</f>
        <v>0</v>
      </c>
      <c s="125">
        <f>Предпосылки!V327*IF(Предпосылки!$G295="нет",1,V$603)*IFERROR(LOOKUP(Предпосылки!$I295,$C$13:$C$15,V$13:V$15),1)</f>
        <v>0</v>
      </c>
      <c s="125">
        <f>Предпосылки!W327*IF(Предпосылки!$G295="нет",1,W$603)*IFERROR(LOOKUP(Предпосылки!$I295,$C$13:$C$15,W$13:W$15),1)</f>
        <v>0</v>
      </c>
      <c s="125">
        <f>Предпосылки!X327*IF(Предпосылки!$G295="нет",1,X$603)*IFERROR(LOOKUP(Предпосылки!$I295,$C$13:$C$15,X$13:X$15),1)</f>
        <v>0</v>
      </c>
      <c s="125">
        <f>Предпосылки!Y327*IF(Предпосылки!$G295="нет",1,Y$603)*IFERROR(LOOKUP(Предпосылки!$I295,$C$13:$C$15,Y$13:Y$15),1)</f>
        <v>0</v>
      </c>
      <c s="125">
        <f>Предпосылки!Z327*IF(Предпосылки!$G295="нет",1,Z$603)*IFERROR(LOOKUP(Предпосылки!$I295,$C$13:$C$15,Z$13:Z$15),1)</f>
        <v>0</v>
      </c>
      <c s="125">
        <f>Предпосылки!AA327*IF(Предпосылки!$G295="нет",1,AA$603)*IFERROR(LOOKUP(Предпосылки!$I295,$C$13:$C$15,AA$13:AA$15),1)</f>
        <v>0</v>
      </c>
      <c s="125">
        <f>Предпосылки!AB327*IF(Предпосылки!$G295="нет",1,AB$603)*IFERROR(LOOKUP(Предпосылки!$I295,$C$13:$C$15,AB$13:AB$15),1)</f>
        <v>0</v>
      </c>
      <c s="125">
        <f>Предпосылки!AC327*IF(Предпосылки!$G295="нет",1,AC$603)*IFERROR(LOOKUP(Предпосылки!$I295,$C$13:$C$15,AC$13:AC$15),1)</f>
        <v>0</v>
      </c>
      <c s="125">
        <f>Предпосылки!AD327*IF(Предпосылки!$G295="нет",1,AD$603)*IFERROR(LOOKUP(Предпосылки!$I295,$C$13:$C$15,AD$13:AD$15),1)</f>
        <v>0</v>
      </c>
      <c s="125">
        <f>Предпосылки!AE327*IF(Предпосылки!$G295="нет",1,AE$603)*IFERROR(LOOKUP(Предпосылки!$I295,$C$13:$C$15,AE$13:AE$15),1)</f>
        <v>0</v>
      </c>
      <c s="125">
        <f>Предпосылки!AF327*IF(Предпосылки!$G295="нет",1,AF$603)*IFERROR(LOOKUP(Предпосылки!$I295,$C$13:$C$15,AF$13:AF$15),1)</f>
        <v>0</v>
      </c>
      <c s="125">
        <f>Предпосылки!AG327*IF(Предпосылки!$G295="нет",1,AG$603)*IFERROR(LOOKUP(Предпосылки!$I295,$C$13:$C$15,AG$13:AG$15),1)</f>
        <v>0</v>
      </c>
      <c s="125">
        <f>Предпосылки!AH327*IF(Предпосылки!$G295="нет",1,AH$603)*IFERROR(LOOKUP(Предпосылки!$I295,$C$13:$C$15,AH$13:AH$15),1)</f>
        <v>0</v>
      </c>
      <c s="125">
        <f>Предпосылки!AI327*IF(Предпосылки!$G295="нет",1,AI$603)*IFERROR(LOOKUP(Предпосылки!$I295,$C$13:$C$15,AI$13:AI$15),1)</f>
        <v>0</v>
      </c>
      <c s="125">
        <f>Предпосылки!AJ327*IF(Предпосылки!$G295="нет",1,AJ$603)*IFERROR(LOOKUP(Предпосылки!$I295,$C$13:$C$15,AJ$13:AJ$15),1)</f>
        <v>0</v>
      </c>
      <c s="125">
        <f>Предпосылки!AK327*IF(Предпосылки!$G295="нет",1,AK$603)*IFERROR(LOOKUP(Предпосылки!$I295,$C$13:$C$15,AK$13:AK$15),1)</f>
        <v>0</v>
      </c>
      <c s="125">
        <f>Предпосылки!AL327*IF(Предпосылки!$G295="нет",1,AL$603)*IFERROR(LOOKUP(Предпосылки!$I295,$C$13:$C$15,AL$13:AL$15),1)</f>
        <v>0</v>
      </c>
      <c s="125">
        <f>Предпосылки!AM327*IF(Предпосылки!$G295="нет",1,AM$603)*IFERROR(LOOKUP(Предпосылки!$I295,$C$13:$C$15,AM$13:AM$15),1)</f>
        <v>0</v>
      </c>
      <c s="125">
        <f>Предпосылки!AN327*IF(Предпосылки!$G295="нет",1,AN$603)*IFERROR(LOOKUP(Предпосылки!$I295,$C$13:$C$15,AN$13:AN$15),1)</f>
        <v>0</v>
      </c>
      <c s="125">
        <f>Предпосылки!AO327*IF(Предпосылки!$G295="нет",1,AO$603)*IFERROR(LOOKUP(Предпосылки!$I295,$C$13:$C$15,AO$13:AO$15),1)</f>
        <v>0</v>
      </c>
      <c s="125">
        <f>Предпосылки!AP327*IF(Предпосылки!$G295="нет",1,AP$603)*IFERROR(LOOKUP(Предпосылки!$I295,$C$13:$C$15,AP$13:AP$15),1)</f>
        <v>0</v>
      </c>
      <c s="125">
        <f>Предпосылки!AQ327*IF(Предпосылки!$G295="нет",1,AQ$603)*IFERROR(LOOKUP(Предпосылки!$I295,$C$13:$C$15,AQ$13:AQ$15),1)</f>
        <v>0</v>
      </c>
      <c s="125">
        <f>Предпосылки!AR327*IF(Предпосылки!$G295="нет",1,AR$603)*IFERROR(LOOKUP(Предпосылки!$I295,$C$13:$C$15,AR$13:AR$15),1)</f>
        <v>0</v>
      </c>
      <c s="125">
        <f>Предпосылки!AS327*IF(Предпосылки!$G295="нет",1,AS$603)*IFERROR(LOOKUP(Предпосылки!$I295,$C$13:$C$15,AS$13:AS$15),1)</f>
        <v>0</v>
      </c>
      <c s="125">
        <f>Предпосылки!AT327*IF(Предпосылки!$G295="нет",1,AT$603)*IFERROR(LOOKUP(Предпосылки!$I295,$C$13:$C$15,AT$13:AT$15),1)</f>
        <v>0</v>
      </c>
      <c s="125">
        <f>Предпосылки!AU327*IF(Предпосылки!$G295="нет",1,AU$603)*IFERROR(LOOKUP(Предпосылки!$I295,$C$13:$C$15,AU$13:AU$15),1)</f>
        <v>0</v>
      </c>
      <c s="125">
        <f>Предпосылки!AV327*IF(Предпосылки!$G295="нет",1,AV$603)*IFERROR(LOOKUP(Предпосылки!$I295,$C$13:$C$15,AV$13:AV$15),1)</f>
        <v>0</v>
      </c>
      <c s="125">
        <f>Предпосылки!AW327*IF(Предпосылки!$G295="нет",1,AW$603)*IFERROR(LOOKUP(Предпосылки!$I295,$C$13:$C$15,AW$13:AW$15),1)</f>
        <v>0</v>
      </c>
      <c s="125">
        <f>Предпосылки!AX327*IF(Предпосылки!$G295="нет",1,AX$603)*IFERROR(LOOKUP(Предпосылки!$I295,$C$13:$C$15,AX$13:AX$15),1)</f>
        <v>0</v>
      </c>
      <c s="125">
        <f>Предпосылки!AY327*IF(Предпосылки!$G295="нет",1,AY$603)*IFERROR(LOOKUP(Предпосылки!$I295,$C$13:$C$15,AY$13:AY$15),1)</f>
        <v>0</v>
      </c>
      <c s="125">
        <f>Предпосылки!AZ327*IF(Предпосылки!$G295="нет",1,AZ$603)*IFERROR(LOOKUP(Предпосылки!$I295,$C$13:$C$15,AZ$13:AZ$15),1)</f>
        <v>0</v>
      </c>
      <c s="125">
        <f>Предпосылки!BA327*IF(Предпосылки!$G295="нет",1,BA$603)*IFERROR(LOOKUP(Предпосылки!$I295,$C$13:$C$15,BA$13:BA$15),1)</f>
        <v>0</v>
      </c>
      <c s="125">
        <f>Предпосылки!BB327*IF(Предпосылки!$G295="нет",1,BB$603)*IFERROR(LOOKUP(Предпосылки!$I295,$C$13:$C$15,BB$13:BB$15),1)</f>
        <v>0</v>
      </c>
      <c s="125">
        <f>Предпосылки!BC327*IF(Предпосылки!$G295="нет",1,BC$603)*IFERROR(LOOKUP(Предпосылки!$I295,$C$13:$C$15,BC$13:BC$15),1)</f>
        <v>0</v>
      </c>
      <c s="125">
        <f>Предпосылки!BD327*IF(Предпосылки!$G295="нет",1,BD$603)*IFERROR(LOOKUP(Предпосылки!$I295,$C$13:$C$15,BD$13:BD$15),1)</f>
        <v>0</v>
      </c>
      <c s="125">
        <f>Предпосылки!BE327*IF(Предпосылки!$G295="нет",1,BE$603)*IFERROR(LOOKUP(Предпосылки!$I295,$C$13:$C$15,BE$13:BE$15),1)</f>
        <v>0</v>
      </c>
      <c s="125">
        <f>Предпосылки!BF327*IF(Предпосылки!$G295="нет",1,BF$603)*IFERROR(LOOKUP(Предпосылки!$I295,$C$13:$C$15,BF$13:BF$15),1)</f>
        <v>0</v>
      </c>
      <c s="125">
        <f>Предпосылки!BG327*IF(Предпосылки!$G295="нет",1,BG$603)*IFERROR(LOOKUP(Предпосылки!$I295,$C$13:$C$15,BG$13:BG$15),1)</f>
        <v>0</v>
      </c>
      <c s="125">
        <f>Предпосылки!BH327*IF(Предпосылки!$G295="нет",1,BH$603)*IFERROR(LOOKUP(Предпосылки!$I295,$C$13:$C$15,BH$13:BH$15),1)</f>
        <v>0</v>
      </c>
      <c s="125">
        <f>Предпосылки!BI327*IF(Предпосылки!$G295="нет",1,BI$603)*IFERROR(LOOKUP(Предпосылки!$I295,$C$13:$C$15,BI$13:BI$15),1)</f>
        <v>0</v>
      </c>
      <c s="125">
        <f>Предпосылки!BJ327*IF(Предпосылки!$G295="нет",1,BJ$603)*IFERROR(LOOKUP(Предпосылки!$I295,$C$13:$C$15,BJ$13:BJ$15),1)</f>
        <v>0</v>
      </c>
      <c s="125">
        <f>Предпосылки!BK327*IF(Предпосылки!$G295="нет",1,BK$603)*IFERROR(LOOKUP(Предпосылки!$I295,$C$13:$C$15,BK$13:BK$15),1)</f>
        <v>0</v>
      </c>
      <c s="125">
        <f>Предпосылки!BL327*IF(Предпосылки!$G295="нет",1,BL$603)*IFERROR(LOOKUP(Предпосылки!$I295,$C$13:$C$15,BL$13:BL$15),1)</f>
        <v>0</v>
      </c>
      <c s="125">
        <f>Предпосылки!BM327*IF(Предпосылки!$G295="нет",1,BM$603)*IFERROR(LOOKUP(Предпосылки!$I295,$C$13:$C$15,BM$13:BM$15),1)</f>
        <v>0</v>
      </c>
    </row>
    <row r="653" spans="2:65" ht="15" customHeight="1">
      <c r="B653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Предпосылки!E328*IF(Предпосылки!$G296="нет",1,E$603)*IFERROR(LOOKUP(Предпосылки!$I296,$C$13:$C$15,E$13:E$15),1)</f>
        <v>0</v>
      </c>
      <c s="125">
        <f>Предпосылки!F328*IF(Предпосылки!$G296="нет",1,F$603)*IFERROR(LOOKUP(Предпосылки!$I296,$C$13:$C$15,F$13:F$15),1)</f>
        <v>0</v>
      </c>
      <c s="125">
        <f>Предпосылки!G328*IF(Предпосылки!$G296="нет",1,G$603)*IFERROR(LOOKUP(Предпосылки!$I296,$C$13:$C$15,G$13:G$15),1)</f>
        <v>0</v>
      </c>
      <c s="125">
        <f>Предпосылки!H328*IF(Предпосылки!$G296="нет",1,H$603)*IFERROR(LOOKUP(Предпосылки!$I296,$C$13:$C$15,H$13:H$15),1)</f>
        <v>0</v>
      </c>
      <c s="125">
        <f>Предпосылки!I328*IF(Предпосылки!$G296="нет",1,I$603)*IFERROR(LOOKUP(Предпосылки!$I296,$C$13:$C$15,I$13:I$15),1)</f>
        <v>0</v>
      </c>
      <c s="125">
        <f>Предпосылки!J328*IF(Предпосылки!$G296="нет",1,J$603)*IFERROR(LOOKUP(Предпосылки!$I296,$C$13:$C$15,J$13:J$15),1)</f>
        <v>0</v>
      </c>
      <c s="125">
        <f>Предпосылки!K328*IF(Предпосылки!$G296="нет",1,K$603)*IFERROR(LOOKUP(Предпосылки!$I296,$C$13:$C$15,K$13:K$15),1)</f>
        <v>0</v>
      </c>
      <c s="125">
        <f>Предпосылки!L328*IF(Предпосылки!$G296="нет",1,L$603)*IFERROR(LOOKUP(Предпосылки!$I296,$C$13:$C$15,L$13:L$15),1)</f>
        <v>0</v>
      </c>
      <c s="125">
        <f>Предпосылки!M328*IF(Предпосылки!$G296="нет",1,M$603)*IFERROR(LOOKUP(Предпосылки!$I296,$C$13:$C$15,M$13:M$15),1)</f>
        <v>0</v>
      </c>
      <c s="125">
        <f>Предпосылки!N328*IF(Предпосылки!$G296="нет",1,N$603)*IFERROR(LOOKUP(Предпосылки!$I296,$C$13:$C$15,N$13:N$15),1)</f>
        <v>0</v>
      </c>
      <c s="125">
        <f>Предпосылки!O328*IF(Предпосылки!$G296="нет",1,O$603)*IFERROR(LOOKUP(Предпосылки!$I296,$C$13:$C$15,O$13:O$15),1)</f>
        <v>0</v>
      </c>
      <c s="125">
        <f>Предпосылки!P328*IF(Предпосылки!$G296="нет",1,P$603)*IFERROR(LOOKUP(Предпосылки!$I296,$C$13:$C$15,P$13:P$15),1)</f>
        <v>0</v>
      </c>
      <c s="125">
        <f>Предпосылки!Q328*IF(Предпосылки!$G296="нет",1,Q$603)*IFERROR(LOOKUP(Предпосылки!$I296,$C$13:$C$15,Q$13:Q$15),1)</f>
        <v>0</v>
      </c>
      <c s="125">
        <f>Предпосылки!R328*IF(Предпосылки!$G296="нет",1,R$603)*IFERROR(LOOKUP(Предпосылки!$I296,$C$13:$C$15,R$13:R$15),1)</f>
        <v>0</v>
      </c>
      <c s="125">
        <f>Предпосылки!S328*IF(Предпосылки!$G296="нет",1,S$603)*IFERROR(LOOKUP(Предпосылки!$I296,$C$13:$C$15,S$13:S$15),1)</f>
        <v>0</v>
      </c>
      <c s="125">
        <f>Предпосылки!T328*IF(Предпосылки!$G296="нет",1,T$603)*IFERROR(LOOKUP(Предпосылки!$I296,$C$13:$C$15,T$13:T$15),1)</f>
        <v>0</v>
      </c>
      <c s="125">
        <f>Предпосылки!U328*IF(Предпосылки!$G296="нет",1,U$603)*IFERROR(LOOKUP(Предпосылки!$I296,$C$13:$C$15,U$13:U$15),1)</f>
        <v>0</v>
      </c>
      <c s="125">
        <f>Предпосылки!V328*IF(Предпосылки!$G296="нет",1,V$603)*IFERROR(LOOKUP(Предпосылки!$I296,$C$13:$C$15,V$13:V$15),1)</f>
        <v>0</v>
      </c>
      <c s="125">
        <f>Предпосылки!W328*IF(Предпосылки!$G296="нет",1,W$603)*IFERROR(LOOKUP(Предпосылки!$I296,$C$13:$C$15,W$13:W$15),1)</f>
        <v>0</v>
      </c>
      <c s="125">
        <f>Предпосылки!X328*IF(Предпосылки!$G296="нет",1,X$603)*IFERROR(LOOKUP(Предпосылки!$I296,$C$13:$C$15,X$13:X$15),1)</f>
        <v>0</v>
      </c>
      <c s="125">
        <f>Предпосылки!Y328*IF(Предпосылки!$G296="нет",1,Y$603)*IFERROR(LOOKUP(Предпосылки!$I296,$C$13:$C$15,Y$13:Y$15),1)</f>
        <v>0</v>
      </c>
      <c s="125">
        <f>Предпосылки!Z328*IF(Предпосылки!$G296="нет",1,Z$603)*IFERROR(LOOKUP(Предпосылки!$I296,$C$13:$C$15,Z$13:Z$15),1)</f>
        <v>0</v>
      </c>
      <c s="125">
        <f>Предпосылки!AA328*IF(Предпосылки!$G296="нет",1,AA$603)*IFERROR(LOOKUP(Предпосылки!$I296,$C$13:$C$15,AA$13:AA$15),1)</f>
        <v>0</v>
      </c>
      <c s="125">
        <f>Предпосылки!AB328*IF(Предпосылки!$G296="нет",1,AB$603)*IFERROR(LOOKUP(Предпосылки!$I296,$C$13:$C$15,AB$13:AB$15),1)</f>
        <v>0</v>
      </c>
      <c s="125">
        <f>Предпосылки!AC328*IF(Предпосылки!$G296="нет",1,AC$603)*IFERROR(LOOKUP(Предпосылки!$I296,$C$13:$C$15,AC$13:AC$15),1)</f>
        <v>0</v>
      </c>
      <c s="125">
        <f>Предпосылки!AD328*IF(Предпосылки!$G296="нет",1,AD$603)*IFERROR(LOOKUP(Предпосылки!$I296,$C$13:$C$15,AD$13:AD$15),1)</f>
        <v>0</v>
      </c>
      <c s="125">
        <f>Предпосылки!AE328*IF(Предпосылки!$G296="нет",1,AE$603)*IFERROR(LOOKUP(Предпосылки!$I296,$C$13:$C$15,AE$13:AE$15),1)</f>
        <v>0</v>
      </c>
      <c s="125">
        <f>Предпосылки!AF328*IF(Предпосылки!$G296="нет",1,AF$603)*IFERROR(LOOKUP(Предпосылки!$I296,$C$13:$C$15,AF$13:AF$15),1)</f>
        <v>0</v>
      </c>
      <c s="125">
        <f>Предпосылки!AG328*IF(Предпосылки!$G296="нет",1,AG$603)*IFERROR(LOOKUP(Предпосылки!$I296,$C$13:$C$15,AG$13:AG$15),1)</f>
        <v>0</v>
      </c>
      <c s="125">
        <f>Предпосылки!AH328*IF(Предпосылки!$G296="нет",1,AH$603)*IFERROR(LOOKUP(Предпосылки!$I296,$C$13:$C$15,AH$13:AH$15),1)</f>
        <v>0</v>
      </c>
      <c s="125">
        <f>Предпосылки!AI328*IF(Предпосылки!$G296="нет",1,AI$603)*IFERROR(LOOKUP(Предпосылки!$I296,$C$13:$C$15,AI$13:AI$15),1)</f>
        <v>0</v>
      </c>
      <c s="125">
        <f>Предпосылки!AJ328*IF(Предпосылки!$G296="нет",1,AJ$603)*IFERROR(LOOKUP(Предпосылки!$I296,$C$13:$C$15,AJ$13:AJ$15),1)</f>
        <v>0</v>
      </c>
      <c s="125">
        <f>Предпосылки!AK328*IF(Предпосылки!$G296="нет",1,AK$603)*IFERROR(LOOKUP(Предпосылки!$I296,$C$13:$C$15,AK$13:AK$15),1)</f>
        <v>0</v>
      </c>
      <c s="125">
        <f>Предпосылки!AL328*IF(Предпосылки!$G296="нет",1,AL$603)*IFERROR(LOOKUP(Предпосылки!$I296,$C$13:$C$15,AL$13:AL$15),1)</f>
        <v>0</v>
      </c>
      <c s="125">
        <f>Предпосылки!AM328*IF(Предпосылки!$G296="нет",1,AM$603)*IFERROR(LOOKUP(Предпосылки!$I296,$C$13:$C$15,AM$13:AM$15),1)</f>
        <v>0</v>
      </c>
      <c s="125">
        <f>Предпосылки!AN328*IF(Предпосылки!$G296="нет",1,AN$603)*IFERROR(LOOKUP(Предпосылки!$I296,$C$13:$C$15,AN$13:AN$15),1)</f>
        <v>0</v>
      </c>
      <c s="125">
        <f>Предпосылки!AO328*IF(Предпосылки!$G296="нет",1,AO$603)*IFERROR(LOOKUP(Предпосылки!$I296,$C$13:$C$15,AO$13:AO$15),1)</f>
        <v>0</v>
      </c>
      <c s="125">
        <f>Предпосылки!AP328*IF(Предпосылки!$G296="нет",1,AP$603)*IFERROR(LOOKUP(Предпосылки!$I296,$C$13:$C$15,AP$13:AP$15),1)</f>
        <v>0</v>
      </c>
      <c s="125">
        <f>Предпосылки!AQ328*IF(Предпосылки!$G296="нет",1,AQ$603)*IFERROR(LOOKUP(Предпосылки!$I296,$C$13:$C$15,AQ$13:AQ$15),1)</f>
        <v>0</v>
      </c>
      <c s="125">
        <f>Предпосылки!AR328*IF(Предпосылки!$G296="нет",1,AR$603)*IFERROR(LOOKUP(Предпосылки!$I296,$C$13:$C$15,AR$13:AR$15),1)</f>
        <v>0</v>
      </c>
      <c s="125">
        <f>Предпосылки!AS328*IF(Предпосылки!$G296="нет",1,AS$603)*IFERROR(LOOKUP(Предпосылки!$I296,$C$13:$C$15,AS$13:AS$15),1)</f>
        <v>0</v>
      </c>
      <c s="125">
        <f>Предпосылки!AT328*IF(Предпосылки!$G296="нет",1,AT$603)*IFERROR(LOOKUP(Предпосылки!$I296,$C$13:$C$15,AT$13:AT$15),1)</f>
        <v>0</v>
      </c>
      <c s="125">
        <f>Предпосылки!AU328*IF(Предпосылки!$G296="нет",1,AU$603)*IFERROR(LOOKUP(Предпосылки!$I296,$C$13:$C$15,AU$13:AU$15),1)</f>
        <v>0</v>
      </c>
      <c s="125">
        <f>Предпосылки!AV328*IF(Предпосылки!$G296="нет",1,AV$603)*IFERROR(LOOKUP(Предпосылки!$I296,$C$13:$C$15,AV$13:AV$15),1)</f>
        <v>0</v>
      </c>
      <c s="125">
        <f>Предпосылки!AW328*IF(Предпосылки!$G296="нет",1,AW$603)*IFERROR(LOOKUP(Предпосылки!$I296,$C$13:$C$15,AW$13:AW$15),1)</f>
        <v>0</v>
      </c>
      <c s="125">
        <f>Предпосылки!AX328*IF(Предпосылки!$G296="нет",1,AX$603)*IFERROR(LOOKUP(Предпосылки!$I296,$C$13:$C$15,AX$13:AX$15),1)</f>
        <v>0</v>
      </c>
      <c s="125">
        <f>Предпосылки!AY328*IF(Предпосылки!$G296="нет",1,AY$603)*IFERROR(LOOKUP(Предпосылки!$I296,$C$13:$C$15,AY$13:AY$15),1)</f>
        <v>0</v>
      </c>
      <c s="125">
        <f>Предпосылки!AZ328*IF(Предпосылки!$G296="нет",1,AZ$603)*IFERROR(LOOKUP(Предпосылки!$I296,$C$13:$C$15,AZ$13:AZ$15),1)</f>
        <v>0</v>
      </c>
      <c s="125">
        <f>Предпосылки!BA328*IF(Предпосылки!$G296="нет",1,BA$603)*IFERROR(LOOKUP(Предпосылки!$I296,$C$13:$C$15,BA$13:BA$15),1)</f>
        <v>0</v>
      </c>
      <c s="125">
        <f>Предпосылки!BB328*IF(Предпосылки!$G296="нет",1,BB$603)*IFERROR(LOOKUP(Предпосылки!$I296,$C$13:$C$15,BB$13:BB$15),1)</f>
        <v>0</v>
      </c>
      <c s="125">
        <f>Предпосылки!BC328*IF(Предпосылки!$G296="нет",1,BC$603)*IFERROR(LOOKUP(Предпосылки!$I296,$C$13:$C$15,BC$13:BC$15),1)</f>
        <v>0</v>
      </c>
      <c s="125">
        <f>Предпосылки!BD328*IF(Предпосылки!$G296="нет",1,BD$603)*IFERROR(LOOKUP(Предпосылки!$I296,$C$13:$C$15,BD$13:BD$15),1)</f>
        <v>0</v>
      </c>
      <c s="125">
        <f>Предпосылки!BE328*IF(Предпосылки!$G296="нет",1,BE$603)*IFERROR(LOOKUP(Предпосылки!$I296,$C$13:$C$15,BE$13:BE$15),1)</f>
        <v>0</v>
      </c>
      <c s="125">
        <f>Предпосылки!BF328*IF(Предпосылки!$G296="нет",1,BF$603)*IFERROR(LOOKUP(Предпосылки!$I296,$C$13:$C$15,BF$13:BF$15),1)</f>
        <v>0</v>
      </c>
      <c s="125">
        <f>Предпосылки!BG328*IF(Предпосылки!$G296="нет",1,BG$603)*IFERROR(LOOKUP(Предпосылки!$I296,$C$13:$C$15,BG$13:BG$15),1)</f>
        <v>0</v>
      </c>
      <c s="125">
        <f>Предпосылки!BH328*IF(Предпосылки!$G296="нет",1,BH$603)*IFERROR(LOOKUP(Предпосылки!$I296,$C$13:$C$15,BH$13:BH$15),1)</f>
        <v>0</v>
      </c>
      <c s="125">
        <f>Предпосылки!BI328*IF(Предпосылки!$G296="нет",1,BI$603)*IFERROR(LOOKUP(Предпосылки!$I296,$C$13:$C$15,BI$13:BI$15),1)</f>
        <v>0</v>
      </c>
      <c s="125">
        <f>Предпосылки!BJ328*IF(Предпосылки!$G296="нет",1,BJ$603)*IFERROR(LOOKUP(Предпосылки!$I296,$C$13:$C$15,BJ$13:BJ$15),1)</f>
        <v>0</v>
      </c>
      <c s="125">
        <f>Предпосылки!BK328*IF(Предпосылки!$G296="нет",1,BK$603)*IFERROR(LOOKUP(Предпосылки!$I296,$C$13:$C$15,BK$13:BK$15),1)</f>
        <v>0</v>
      </c>
      <c s="125">
        <f>Предпосылки!BL328*IF(Предпосылки!$G296="нет",1,BL$603)*IFERROR(LOOKUP(Предпосылки!$I296,$C$13:$C$15,BL$13:BL$15),1)</f>
        <v>0</v>
      </c>
      <c s="125">
        <f>Предпосылки!BM328*IF(Предпосылки!$G296="нет",1,BM$603)*IFERROR(LOOKUP(Предпосылки!$I296,$C$13:$C$15,BM$13:BM$15),1)</f>
        <v>0</v>
      </c>
    </row>
    <row r="654" spans="2:65" ht="15" customHeight="1">
      <c r="B654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Предпосылки!E329*IF(Предпосылки!$G297="нет",1,E$603)*IFERROR(LOOKUP(Предпосылки!$I297,$C$13:$C$15,E$13:E$15),1)</f>
        <v>0</v>
      </c>
      <c s="125">
        <f>Предпосылки!F329*IF(Предпосылки!$G297="нет",1,F$603)*IFERROR(LOOKUP(Предпосылки!$I297,$C$13:$C$15,F$13:F$15),1)</f>
        <v>0</v>
      </c>
      <c s="125">
        <f>Предпосылки!G329*IF(Предпосылки!$G297="нет",1,G$603)*IFERROR(LOOKUP(Предпосылки!$I297,$C$13:$C$15,G$13:G$15),1)</f>
        <v>0</v>
      </c>
      <c s="125">
        <f>Предпосылки!H329*IF(Предпосылки!$G297="нет",1,H$603)*IFERROR(LOOKUP(Предпосылки!$I297,$C$13:$C$15,H$13:H$15),1)</f>
        <v>0</v>
      </c>
      <c s="125">
        <f>Предпосылки!I329*IF(Предпосылки!$G297="нет",1,I$603)*IFERROR(LOOKUP(Предпосылки!$I297,$C$13:$C$15,I$13:I$15),1)</f>
        <v>0</v>
      </c>
      <c s="125">
        <f>Предпосылки!J329*IF(Предпосылки!$G297="нет",1,J$603)*IFERROR(LOOKUP(Предпосылки!$I297,$C$13:$C$15,J$13:J$15),1)</f>
        <v>0</v>
      </c>
      <c s="125">
        <f>Предпосылки!K329*IF(Предпосылки!$G297="нет",1,K$603)*IFERROR(LOOKUP(Предпосылки!$I297,$C$13:$C$15,K$13:K$15),1)</f>
        <v>0</v>
      </c>
      <c s="125">
        <f>Предпосылки!L329*IF(Предпосылки!$G297="нет",1,L$603)*IFERROR(LOOKUP(Предпосылки!$I297,$C$13:$C$15,L$13:L$15),1)</f>
        <v>0</v>
      </c>
      <c s="125">
        <f>Предпосылки!M329*IF(Предпосылки!$G297="нет",1,M$603)*IFERROR(LOOKUP(Предпосылки!$I297,$C$13:$C$15,M$13:M$15),1)</f>
        <v>0</v>
      </c>
      <c s="125">
        <f>Предпосылки!N329*IF(Предпосылки!$G297="нет",1,N$603)*IFERROR(LOOKUP(Предпосылки!$I297,$C$13:$C$15,N$13:N$15),1)</f>
        <v>0</v>
      </c>
      <c s="125">
        <f>Предпосылки!O329*IF(Предпосылки!$G297="нет",1,O$603)*IFERROR(LOOKUP(Предпосылки!$I297,$C$13:$C$15,O$13:O$15),1)</f>
        <v>0</v>
      </c>
      <c s="125">
        <f>Предпосылки!P329*IF(Предпосылки!$G297="нет",1,P$603)*IFERROR(LOOKUP(Предпосылки!$I297,$C$13:$C$15,P$13:P$15),1)</f>
        <v>0</v>
      </c>
      <c s="125">
        <f>Предпосылки!Q329*IF(Предпосылки!$G297="нет",1,Q$603)*IFERROR(LOOKUP(Предпосылки!$I297,$C$13:$C$15,Q$13:Q$15),1)</f>
        <v>0</v>
      </c>
      <c s="125">
        <f>Предпосылки!R329*IF(Предпосылки!$G297="нет",1,R$603)*IFERROR(LOOKUP(Предпосылки!$I297,$C$13:$C$15,R$13:R$15),1)</f>
        <v>0</v>
      </c>
      <c s="125">
        <f>Предпосылки!S329*IF(Предпосылки!$G297="нет",1,S$603)*IFERROR(LOOKUP(Предпосылки!$I297,$C$13:$C$15,S$13:S$15),1)</f>
        <v>0</v>
      </c>
      <c s="125">
        <f>Предпосылки!T329*IF(Предпосылки!$G297="нет",1,T$603)*IFERROR(LOOKUP(Предпосылки!$I297,$C$13:$C$15,T$13:T$15),1)</f>
        <v>0</v>
      </c>
      <c s="125">
        <f>Предпосылки!U329*IF(Предпосылки!$G297="нет",1,U$603)*IFERROR(LOOKUP(Предпосылки!$I297,$C$13:$C$15,U$13:U$15),1)</f>
        <v>0</v>
      </c>
      <c s="125">
        <f>Предпосылки!V329*IF(Предпосылки!$G297="нет",1,V$603)*IFERROR(LOOKUP(Предпосылки!$I297,$C$13:$C$15,V$13:V$15),1)</f>
        <v>0</v>
      </c>
      <c s="125">
        <f>Предпосылки!W329*IF(Предпосылки!$G297="нет",1,W$603)*IFERROR(LOOKUP(Предпосылки!$I297,$C$13:$C$15,W$13:W$15),1)</f>
        <v>0</v>
      </c>
      <c s="125">
        <f>Предпосылки!X329*IF(Предпосылки!$G297="нет",1,X$603)*IFERROR(LOOKUP(Предпосылки!$I297,$C$13:$C$15,X$13:X$15),1)</f>
        <v>0</v>
      </c>
      <c s="125">
        <f>Предпосылки!Y329*IF(Предпосылки!$G297="нет",1,Y$603)*IFERROR(LOOKUP(Предпосылки!$I297,$C$13:$C$15,Y$13:Y$15),1)</f>
        <v>0</v>
      </c>
      <c s="125">
        <f>Предпосылки!Z329*IF(Предпосылки!$G297="нет",1,Z$603)*IFERROR(LOOKUP(Предпосылки!$I297,$C$13:$C$15,Z$13:Z$15),1)</f>
        <v>0</v>
      </c>
      <c s="125">
        <f>Предпосылки!AA329*IF(Предпосылки!$G297="нет",1,AA$603)*IFERROR(LOOKUP(Предпосылки!$I297,$C$13:$C$15,AA$13:AA$15),1)</f>
        <v>0</v>
      </c>
      <c s="125">
        <f>Предпосылки!AB329*IF(Предпосылки!$G297="нет",1,AB$603)*IFERROR(LOOKUP(Предпосылки!$I297,$C$13:$C$15,AB$13:AB$15),1)</f>
        <v>0</v>
      </c>
      <c s="125">
        <f>Предпосылки!AC329*IF(Предпосылки!$G297="нет",1,AC$603)*IFERROR(LOOKUP(Предпосылки!$I297,$C$13:$C$15,AC$13:AC$15),1)</f>
        <v>0</v>
      </c>
      <c s="125">
        <f>Предпосылки!AD329*IF(Предпосылки!$G297="нет",1,AD$603)*IFERROR(LOOKUP(Предпосылки!$I297,$C$13:$C$15,AD$13:AD$15),1)</f>
        <v>0</v>
      </c>
      <c s="125">
        <f>Предпосылки!AE329*IF(Предпосылки!$G297="нет",1,AE$603)*IFERROR(LOOKUP(Предпосылки!$I297,$C$13:$C$15,AE$13:AE$15),1)</f>
        <v>0</v>
      </c>
      <c s="125">
        <f>Предпосылки!AF329*IF(Предпосылки!$G297="нет",1,AF$603)*IFERROR(LOOKUP(Предпосылки!$I297,$C$13:$C$15,AF$13:AF$15),1)</f>
        <v>0</v>
      </c>
      <c s="125">
        <f>Предпосылки!AG329*IF(Предпосылки!$G297="нет",1,AG$603)*IFERROR(LOOKUP(Предпосылки!$I297,$C$13:$C$15,AG$13:AG$15),1)</f>
        <v>0</v>
      </c>
      <c s="125">
        <f>Предпосылки!AH329*IF(Предпосылки!$G297="нет",1,AH$603)*IFERROR(LOOKUP(Предпосылки!$I297,$C$13:$C$15,AH$13:AH$15),1)</f>
        <v>0</v>
      </c>
      <c s="125">
        <f>Предпосылки!AI329*IF(Предпосылки!$G297="нет",1,AI$603)*IFERROR(LOOKUP(Предпосылки!$I297,$C$13:$C$15,AI$13:AI$15),1)</f>
        <v>0</v>
      </c>
      <c s="125">
        <f>Предпосылки!AJ329*IF(Предпосылки!$G297="нет",1,AJ$603)*IFERROR(LOOKUP(Предпосылки!$I297,$C$13:$C$15,AJ$13:AJ$15),1)</f>
        <v>0</v>
      </c>
      <c s="125">
        <f>Предпосылки!AK329*IF(Предпосылки!$G297="нет",1,AK$603)*IFERROR(LOOKUP(Предпосылки!$I297,$C$13:$C$15,AK$13:AK$15),1)</f>
        <v>0</v>
      </c>
      <c s="125">
        <f>Предпосылки!AL329*IF(Предпосылки!$G297="нет",1,AL$603)*IFERROR(LOOKUP(Предпосылки!$I297,$C$13:$C$15,AL$13:AL$15),1)</f>
        <v>0</v>
      </c>
      <c s="125">
        <f>Предпосылки!AM329*IF(Предпосылки!$G297="нет",1,AM$603)*IFERROR(LOOKUP(Предпосылки!$I297,$C$13:$C$15,AM$13:AM$15),1)</f>
        <v>0</v>
      </c>
      <c s="125">
        <f>Предпосылки!AN329*IF(Предпосылки!$G297="нет",1,AN$603)*IFERROR(LOOKUP(Предпосылки!$I297,$C$13:$C$15,AN$13:AN$15),1)</f>
        <v>0</v>
      </c>
      <c s="125">
        <f>Предпосылки!AO329*IF(Предпосылки!$G297="нет",1,AO$603)*IFERROR(LOOKUP(Предпосылки!$I297,$C$13:$C$15,AO$13:AO$15),1)</f>
        <v>0</v>
      </c>
      <c s="125">
        <f>Предпосылки!AP329*IF(Предпосылки!$G297="нет",1,AP$603)*IFERROR(LOOKUP(Предпосылки!$I297,$C$13:$C$15,AP$13:AP$15),1)</f>
        <v>0</v>
      </c>
      <c s="125">
        <f>Предпосылки!AQ329*IF(Предпосылки!$G297="нет",1,AQ$603)*IFERROR(LOOKUP(Предпосылки!$I297,$C$13:$C$15,AQ$13:AQ$15),1)</f>
        <v>0</v>
      </c>
      <c s="125">
        <f>Предпосылки!AR329*IF(Предпосылки!$G297="нет",1,AR$603)*IFERROR(LOOKUP(Предпосылки!$I297,$C$13:$C$15,AR$13:AR$15),1)</f>
        <v>0</v>
      </c>
      <c s="125">
        <f>Предпосылки!AS329*IF(Предпосылки!$G297="нет",1,AS$603)*IFERROR(LOOKUP(Предпосылки!$I297,$C$13:$C$15,AS$13:AS$15),1)</f>
        <v>0</v>
      </c>
      <c s="125">
        <f>Предпосылки!AT329*IF(Предпосылки!$G297="нет",1,AT$603)*IFERROR(LOOKUP(Предпосылки!$I297,$C$13:$C$15,AT$13:AT$15),1)</f>
        <v>0</v>
      </c>
      <c s="125">
        <f>Предпосылки!AU329*IF(Предпосылки!$G297="нет",1,AU$603)*IFERROR(LOOKUP(Предпосылки!$I297,$C$13:$C$15,AU$13:AU$15),1)</f>
        <v>0</v>
      </c>
      <c s="125">
        <f>Предпосылки!AV329*IF(Предпосылки!$G297="нет",1,AV$603)*IFERROR(LOOKUP(Предпосылки!$I297,$C$13:$C$15,AV$13:AV$15),1)</f>
        <v>0</v>
      </c>
      <c s="125">
        <f>Предпосылки!AW329*IF(Предпосылки!$G297="нет",1,AW$603)*IFERROR(LOOKUP(Предпосылки!$I297,$C$13:$C$15,AW$13:AW$15),1)</f>
        <v>0</v>
      </c>
      <c s="125">
        <f>Предпосылки!AX329*IF(Предпосылки!$G297="нет",1,AX$603)*IFERROR(LOOKUP(Предпосылки!$I297,$C$13:$C$15,AX$13:AX$15),1)</f>
        <v>0</v>
      </c>
      <c s="125">
        <f>Предпосылки!AY329*IF(Предпосылки!$G297="нет",1,AY$603)*IFERROR(LOOKUP(Предпосылки!$I297,$C$13:$C$15,AY$13:AY$15),1)</f>
        <v>0</v>
      </c>
      <c s="125">
        <f>Предпосылки!AZ329*IF(Предпосылки!$G297="нет",1,AZ$603)*IFERROR(LOOKUP(Предпосылки!$I297,$C$13:$C$15,AZ$13:AZ$15),1)</f>
        <v>0</v>
      </c>
      <c s="125">
        <f>Предпосылки!BA329*IF(Предпосылки!$G297="нет",1,BA$603)*IFERROR(LOOKUP(Предпосылки!$I297,$C$13:$C$15,BA$13:BA$15),1)</f>
        <v>0</v>
      </c>
      <c s="125">
        <f>Предпосылки!BB329*IF(Предпосылки!$G297="нет",1,BB$603)*IFERROR(LOOKUP(Предпосылки!$I297,$C$13:$C$15,BB$13:BB$15),1)</f>
        <v>0</v>
      </c>
      <c s="125">
        <f>Предпосылки!BC329*IF(Предпосылки!$G297="нет",1,BC$603)*IFERROR(LOOKUP(Предпосылки!$I297,$C$13:$C$15,BC$13:BC$15),1)</f>
        <v>0</v>
      </c>
      <c s="125">
        <f>Предпосылки!BD329*IF(Предпосылки!$G297="нет",1,BD$603)*IFERROR(LOOKUP(Предпосылки!$I297,$C$13:$C$15,BD$13:BD$15),1)</f>
        <v>0</v>
      </c>
      <c s="125">
        <f>Предпосылки!BE329*IF(Предпосылки!$G297="нет",1,BE$603)*IFERROR(LOOKUP(Предпосылки!$I297,$C$13:$C$15,BE$13:BE$15),1)</f>
        <v>0</v>
      </c>
      <c s="125">
        <f>Предпосылки!BF329*IF(Предпосылки!$G297="нет",1,BF$603)*IFERROR(LOOKUP(Предпосылки!$I297,$C$13:$C$15,BF$13:BF$15),1)</f>
        <v>0</v>
      </c>
      <c s="125">
        <f>Предпосылки!BG329*IF(Предпосылки!$G297="нет",1,BG$603)*IFERROR(LOOKUP(Предпосылки!$I297,$C$13:$C$15,BG$13:BG$15),1)</f>
        <v>0</v>
      </c>
      <c s="125">
        <f>Предпосылки!BH329*IF(Предпосылки!$G297="нет",1,BH$603)*IFERROR(LOOKUP(Предпосылки!$I297,$C$13:$C$15,BH$13:BH$15),1)</f>
        <v>0</v>
      </c>
      <c s="125">
        <f>Предпосылки!BI329*IF(Предпосылки!$G297="нет",1,BI$603)*IFERROR(LOOKUP(Предпосылки!$I297,$C$13:$C$15,BI$13:BI$15),1)</f>
        <v>0</v>
      </c>
      <c s="125">
        <f>Предпосылки!BJ329*IF(Предпосылки!$G297="нет",1,BJ$603)*IFERROR(LOOKUP(Предпосылки!$I297,$C$13:$C$15,BJ$13:BJ$15),1)</f>
        <v>0</v>
      </c>
      <c s="125">
        <f>Предпосылки!BK329*IF(Предпосылки!$G297="нет",1,BK$603)*IFERROR(LOOKUP(Предпосылки!$I297,$C$13:$C$15,BK$13:BK$15),1)</f>
        <v>0</v>
      </c>
      <c s="125">
        <f>Предпосылки!BL329*IF(Предпосылки!$G297="нет",1,BL$603)*IFERROR(LOOKUP(Предпосылки!$I297,$C$13:$C$15,BL$13:BL$15),1)</f>
        <v>0</v>
      </c>
      <c s="125">
        <f>Предпосылки!BM329*IF(Предпосылки!$G297="нет",1,BM$603)*IFERROR(LOOKUP(Предпосылки!$I297,$C$13:$C$15,BM$13:BM$15),1)</f>
        <v>0</v>
      </c>
    </row>
    <row r="655" spans="2:65" ht="15" customHeight="1">
      <c r="B655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Предпосылки!E330*IF(Предпосылки!$G298="нет",1,E$603)*IFERROR(LOOKUP(Предпосылки!$I298,$C$13:$C$15,E$13:E$15),1)</f>
        <v>0</v>
      </c>
      <c s="125">
        <f>Предпосылки!F330*IF(Предпосылки!$G298="нет",1,F$603)*IFERROR(LOOKUP(Предпосылки!$I298,$C$13:$C$15,F$13:F$15),1)</f>
        <v>0</v>
      </c>
      <c s="125">
        <f>Предпосылки!G330*IF(Предпосылки!$G298="нет",1,G$603)*IFERROR(LOOKUP(Предпосылки!$I298,$C$13:$C$15,G$13:G$15),1)</f>
        <v>0</v>
      </c>
      <c s="125">
        <f>Предпосылки!H330*IF(Предпосылки!$G298="нет",1,H$603)*IFERROR(LOOKUP(Предпосылки!$I298,$C$13:$C$15,H$13:H$15),1)</f>
        <v>0</v>
      </c>
      <c s="125">
        <f>Предпосылки!I330*IF(Предпосылки!$G298="нет",1,I$603)*IFERROR(LOOKUP(Предпосылки!$I298,$C$13:$C$15,I$13:I$15),1)</f>
        <v>0</v>
      </c>
      <c s="125">
        <f>Предпосылки!J330*IF(Предпосылки!$G298="нет",1,J$603)*IFERROR(LOOKUP(Предпосылки!$I298,$C$13:$C$15,J$13:J$15),1)</f>
        <v>0</v>
      </c>
      <c s="125">
        <f>Предпосылки!K330*IF(Предпосылки!$G298="нет",1,K$603)*IFERROR(LOOKUP(Предпосылки!$I298,$C$13:$C$15,K$13:K$15),1)</f>
        <v>0</v>
      </c>
      <c s="125">
        <f>Предпосылки!L330*IF(Предпосылки!$G298="нет",1,L$603)*IFERROR(LOOKUP(Предпосылки!$I298,$C$13:$C$15,L$13:L$15),1)</f>
        <v>0</v>
      </c>
      <c s="125">
        <f>Предпосылки!M330*IF(Предпосылки!$G298="нет",1,M$603)*IFERROR(LOOKUP(Предпосылки!$I298,$C$13:$C$15,M$13:M$15),1)</f>
        <v>0</v>
      </c>
      <c s="125">
        <f>Предпосылки!N330*IF(Предпосылки!$G298="нет",1,N$603)*IFERROR(LOOKUP(Предпосылки!$I298,$C$13:$C$15,N$13:N$15),1)</f>
        <v>0</v>
      </c>
      <c s="125">
        <f>Предпосылки!O330*IF(Предпосылки!$G298="нет",1,O$603)*IFERROR(LOOKUP(Предпосылки!$I298,$C$13:$C$15,O$13:O$15),1)</f>
        <v>0</v>
      </c>
      <c s="125">
        <f>Предпосылки!P330*IF(Предпосылки!$G298="нет",1,P$603)*IFERROR(LOOKUP(Предпосылки!$I298,$C$13:$C$15,P$13:P$15),1)</f>
        <v>0</v>
      </c>
      <c s="125">
        <f>Предпосылки!Q330*IF(Предпосылки!$G298="нет",1,Q$603)*IFERROR(LOOKUP(Предпосылки!$I298,$C$13:$C$15,Q$13:Q$15),1)</f>
        <v>0</v>
      </c>
      <c s="125">
        <f>Предпосылки!R330*IF(Предпосылки!$G298="нет",1,R$603)*IFERROR(LOOKUP(Предпосылки!$I298,$C$13:$C$15,R$13:R$15),1)</f>
        <v>0</v>
      </c>
      <c s="125">
        <f>Предпосылки!S330*IF(Предпосылки!$G298="нет",1,S$603)*IFERROR(LOOKUP(Предпосылки!$I298,$C$13:$C$15,S$13:S$15),1)</f>
        <v>0</v>
      </c>
      <c s="125">
        <f>Предпосылки!T330*IF(Предпосылки!$G298="нет",1,T$603)*IFERROR(LOOKUP(Предпосылки!$I298,$C$13:$C$15,T$13:T$15),1)</f>
        <v>0</v>
      </c>
      <c s="125">
        <f>Предпосылки!U330*IF(Предпосылки!$G298="нет",1,U$603)*IFERROR(LOOKUP(Предпосылки!$I298,$C$13:$C$15,U$13:U$15),1)</f>
        <v>0</v>
      </c>
      <c s="125">
        <f>Предпосылки!V330*IF(Предпосылки!$G298="нет",1,V$603)*IFERROR(LOOKUP(Предпосылки!$I298,$C$13:$C$15,V$13:V$15),1)</f>
        <v>0</v>
      </c>
      <c s="125">
        <f>Предпосылки!W330*IF(Предпосылки!$G298="нет",1,W$603)*IFERROR(LOOKUP(Предпосылки!$I298,$C$13:$C$15,W$13:W$15),1)</f>
        <v>0</v>
      </c>
      <c s="125">
        <f>Предпосылки!X330*IF(Предпосылки!$G298="нет",1,X$603)*IFERROR(LOOKUP(Предпосылки!$I298,$C$13:$C$15,X$13:X$15),1)</f>
        <v>0</v>
      </c>
      <c s="125">
        <f>Предпосылки!Y330*IF(Предпосылки!$G298="нет",1,Y$603)*IFERROR(LOOKUP(Предпосылки!$I298,$C$13:$C$15,Y$13:Y$15),1)</f>
        <v>0</v>
      </c>
      <c s="125">
        <f>Предпосылки!Z330*IF(Предпосылки!$G298="нет",1,Z$603)*IFERROR(LOOKUP(Предпосылки!$I298,$C$13:$C$15,Z$13:Z$15),1)</f>
        <v>0</v>
      </c>
      <c s="125">
        <f>Предпосылки!AA330*IF(Предпосылки!$G298="нет",1,AA$603)*IFERROR(LOOKUP(Предпосылки!$I298,$C$13:$C$15,AA$13:AA$15),1)</f>
        <v>0</v>
      </c>
      <c s="125">
        <f>Предпосылки!AB330*IF(Предпосылки!$G298="нет",1,AB$603)*IFERROR(LOOKUP(Предпосылки!$I298,$C$13:$C$15,AB$13:AB$15),1)</f>
        <v>0</v>
      </c>
      <c s="125">
        <f>Предпосылки!AC330*IF(Предпосылки!$G298="нет",1,AC$603)*IFERROR(LOOKUP(Предпосылки!$I298,$C$13:$C$15,AC$13:AC$15),1)</f>
        <v>0</v>
      </c>
      <c s="125">
        <f>Предпосылки!AD330*IF(Предпосылки!$G298="нет",1,AD$603)*IFERROR(LOOKUP(Предпосылки!$I298,$C$13:$C$15,AD$13:AD$15),1)</f>
        <v>0</v>
      </c>
      <c s="125">
        <f>Предпосылки!AE330*IF(Предпосылки!$G298="нет",1,AE$603)*IFERROR(LOOKUP(Предпосылки!$I298,$C$13:$C$15,AE$13:AE$15),1)</f>
        <v>0</v>
      </c>
      <c s="125">
        <f>Предпосылки!AF330*IF(Предпосылки!$G298="нет",1,AF$603)*IFERROR(LOOKUP(Предпосылки!$I298,$C$13:$C$15,AF$13:AF$15),1)</f>
        <v>0</v>
      </c>
      <c s="125">
        <f>Предпосылки!AG330*IF(Предпосылки!$G298="нет",1,AG$603)*IFERROR(LOOKUP(Предпосылки!$I298,$C$13:$C$15,AG$13:AG$15),1)</f>
        <v>0</v>
      </c>
      <c s="125">
        <f>Предпосылки!AH330*IF(Предпосылки!$G298="нет",1,AH$603)*IFERROR(LOOKUP(Предпосылки!$I298,$C$13:$C$15,AH$13:AH$15),1)</f>
        <v>0</v>
      </c>
      <c s="125">
        <f>Предпосылки!AI330*IF(Предпосылки!$G298="нет",1,AI$603)*IFERROR(LOOKUP(Предпосылки!$I298,$C$13:$C$15,AI$13:AI$15),1)</f>
        <v>0</v>
      </c>
      <c s="125">
        <f>Предпосылки!AJ330*IF(Предпосылки!$G298="нет",1,AJ$603)*IFERROR(LOOKUP(Предпосылки!$I298,$C$13:$C$15,AJ$13:AJ$15),1)</f>
        <v>0</v>
      </c>
      <c s="125">
        <f>Предпосылки!AK330*IF(Предпосылки!$G298="нет",1,AK$603)*IFERROR(LOOKUP(Предпосылки!$I298,$C$13:$C$15,AK$13:AK$15),1)</f>
        <v>0</v>
      </c>
      <c s="125">
        <f>Предпосылки!AL330*IF(Предпосылки!$G298="нет",1,AL$603)*IFERROR(LOOKUP(Предпосылки!$I298,$C$13:$C$15,AL$13:AL$15),1)</f>
        <v>0</v>
      </c>
      <c s="125">
        <f>Предпосылки!AM330*IF(Предпосылки!$G298="нет",1,AM$603)*IFERROR(LOOKUP(Предпосылки!$I298,$C$13:$C$15,AM$13:AM$15),1)</f>
        <v>0</v>
      </c>
      <c s="125">
        <f>Предпосылки!AN330*IF(Предпосылки!$G298="нет",1,AN$603)*IFERROR(LOOKUP(Предпосылки!$I298,$C$13:$C$15,AN$13:AN$15),1)</f>
        <v>0</v>
      </c>
      <c s="125">
        <f>Предпосылки!AO330*IF(Предпосылки!$G298="нет",1,AO$603)*IFERROR(LOOKUP(Предпосылки!$I298,$C$13:$C$15,AO$13:AO$15),1)</f>
        <v>0</v>
      </c>
      <c s="125">
        <f>Предпосылки!AP330*IF(Предпосылки!$G298="нет",1,AP$603)*IFERROR(LOOKUP(Предпосылки!$I298,$C$13:$C$15,AP$13:AP$15),1)</f>
        <v>0</v>
      </c>
      <c s="125">
        <f>Предпосылки!AQ330*IF(Предпосылки!$G298="нет",1,AQ$603)*IFERROR(LOOKUP(Предпосылки!$I298,$C$13:$C$15,AQ$13:AQ$15),1)</f>
        <v>0</v>
      </c>
      <c s="125">
        <f>Предпосылки!AR330*IF(Предпосылки!$G298="нет",1,AR$603)*IFERROR(LOOKUP(Предпосылки!$I298,$C$13:$C$15,AR$13:AR$15),1)</f>
        <v>0</v>
      </c>
      <c s="125">
        <f>Предпосылки!AS330*IF(Предпосылки!$G298="нет",1,AS$603)*IFERROR(LOOKUP(Предпосылки!$I298,$C$13:$C$15,AS$13:AS$15),1)</f>
        <v>0</v>
      </c>
      <c s="125">
        <f>Предпосылки!AT330*IF(Предпосылки!$G298="нет",1,AT$603)*IFERROR(LOOKUP(Предпосылки!$I298,$C$13:$C$15,AT$13:AT$15),1)</f>
        <v>0</v>
      </c>
      <c s="125">
        <f>Предпосылки!AU330*IF(Предпосылки!$G298="нет",1,AU$603)*IFERROR(LOOKUP(Предпосылки!$I298,$C$13:$C$15,AU$13:AU$15),1)</f>
        <v>0</v>
      </c>
      <c s="125">
        <f>Предпосылки!AV330*IF(Предпосылки!$G298="нет",1,AV$603)*IFERROR(LOOKUP(Предпосылки!$I298,$C$13:$C$15,AV$13:AV$15),1)</f>
        <v>0</v>
      </c>
      <c s="125">
        <f>Предпосылки!AW330*IF(Предпосылки!$G298="нет",1,AW$603)*IFERROR(LOOKUP(Предпосылки!$I298,$C$13:$C$15,AW$13:AW$15),1)</f>
        <v>0</v>
      </c>
      <c s="125">
        <f>Предпосылки!AX330*IF(Предпосылки!$G298="нет",1,AX$603)*IFERROR(LOOKUP(Предпосылки!$I298,$C$13:$C$15,AX$13:AX$15),1)</f>
        <v>0</v>
      </c>
      <c s="125">
        <f>Предпосылки!AY330*IF(Предпосылки!$G298="нет",1,AY$603)*IFERROR(LOOKUP(Предпосылки!$I298,$C$13:$C$15,AY$13:AY$15),1)</f>
        <v>0</v>
      </c>
      <c s="125">
        <f>Предпосылки!AZ330*IF(Предпосылки!$G298="нет",1,AZ$603)*IFERROR(LOOKUP(Предпосылки!$I298,$C$13:$C$15,AZ$13:AZ$15),1)</f>
        <v>0</v>
      </c>
      <c s="125">
        <f>Предпосылки!BA330*IF(Предпосылки!$G298="нет",1,BA$603)*IFERROR(LOOKUP(Предпосылки!$I298,$C$13:$C$15,BA$13:BA$15),1)</f>
        <v>0</v>
      </c>
      <c s="125">
        <f>Предпосылки!BB330*IF(Предпосылки!$G298="нет",1,BB$603)*IFERROR(LOOKUP(Предпосылки!$I298,$C$13:$C$15,BB$13:BB$15),1)</f>
        <v>0</v>
      </c>
      <c s="125">
        <f>Предпосылки!BC330*IF(Предпосылки!$G298="нет",1,BC$603)*IFERROR(LOOKUP(Предпосылки!$I298,$C$13:$C$15,BC$13:BC$15),1)</f>
        <v>0</v>
      </c>
      <c s="125">
        <f>Предпосылки!BD330*IF(Предпосылки!$G298="нет",1,BD$603)*IFERROR(LOOKUP(Предпосылки!$I298,$C$13:$C$15,BD$13:BD$15),1)</f>
        <v>0</v>
      </c>
      <c s="125">
        <f>Предпосылки!BE330*IF(Предпосылки!$G298="нет",1,BE$603)*IFERROR(LOOKUP(Предпосылки!$I298,$C$13:$C$15,BE$13:BE$15),1)</f>
        <v>0</v>
      </c>
      <c s="125">
        <f>Предпосылки!BF330*IF(Предпосылки!$G298="нет",1,BF$603)*IFERROR(LOOKUP(Предпосылки!$I298,$C$13:$C$15,BF$13:BF$15),1)</f>
        <v>0</v>
      </c>
      <c s="125">
        <f>Предпосылки!BG330*IF(Предпосылки!$G298="нет",1,BG$603)*IFERROR(LOOKUP(Предпосылки!$I298,$C$13:$C$15,BG$13:BG$15),1)</f>
        <v>0</v>
      </c>
      <c s="125">
        <f>Предпосылки!BH330*IF(Предпосылки!$G298="нет",1,BH$603)*IFERROR(LOOKUP(Предпосылки!$I298,$C$13:$C$15,BH$13:BH$15),1)</f>
        <v>0</v>
      </c>
      <c s="125">
        <f>Предпосылки!BI330*IF(Предпосылки!$G298="нет",1,BI$603)*IFERROR(LOOKUP(Предпосылки!$I298,$C$13:$C$15,BI$13:BI$15),1)</f>
        <v>0</v>
      </c>
      <c s="125">
        <f>Предпосылки!BJ330*IF(Предпосылки!$G298="нет",1,BJ$603)*IFERROR(LOOKUP(Предпосылки!$I298,$C$13:$C$15,BJ$13:BJ$15),1)</f>
        <v>0</v>
      </c>
      <c s="125">
        <f>Предпосылки!BK330*IF(Предпосылки!$G298="нет",1,BK$603)*IFERROR(LOOKUP(Предпосылки!$I298,$C$13:$C$15,BK$13:BK$15),1)</f>
        <v>0</v>
      </c>
      <c s="125">
        <f>Предпосылки!BL330*IF(Предпосылки!$G298="нет",1,BL$603)*IFERROR(LOOKUP(Предпосылки!$I298,$C$13:$C$15,BL$13:BL$15),1)</f>
        <v>0</v>
      </c>
      <c s="125">
        <f>Предпосылки!BM330*IF(Предпосылки!$G298="нет",1,BM$603)*IFERROR(LOOKUP(Предпосылки!$I298,$C$13:$C$15,BM$13:BM$15),1)</f>
        <v>0</v>
      </c>
    </row>
    <row r="656" spans="2:65" ht="15" customHeight="1">
      <c r="B656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Предпосылки!E331*IF(Предпосылки!$G299="нет",1,E$603)*IFERROR(LOOKUP(Предпосылки!$I299,$C$13:$C$15,E$13:E$15),1)</f>
        <v>0</v>
      </c>
      <c s="125">
        <f>Предпосылки!F331*IF(Предпосылки!$G299="нет",1,F$603)*IFERROR(LOOKUP(Предпосылки!$I299,$C$13:$C$15,F$13:F$15),1)</f>
        <v>0</v>
      </c>
      <c s="125">
        <f>Предпосылки!G331*IF(Предпосылки!$G299="нет",1,G$603)*IFERROR(LOOKUP(Предпосылки!$I299,$C$13:$C$15,G$13:G$15),1)</f>
        <v>0</v>
      </c>
      <c s="125">
        <f>Предпосылки!H331*IF(Предпосылки!$G299="нет",1,H$603)*IFERROR(LOOKUP(Предпосылки!$I299,$C$13:$C$15,H$13:H$15),1)</f>
        <v>0</v>
      </c>
      <c s="125">
        <f>Предпосылки!I331*IF(Предпосылки!$G299="нет",1,I$603)*IFERROR(LOOKUP(Предпосылки!$I299,$C$13:$C$15,I$13:I$15),1)</f>
        <v>0</v>
      </c>
      <c s="125">
        <f>Предпосылки!J331*IF(Предпосылки!$G299="нет",1,J$603)*IFERROR(LOOKUP(Предпосылки!$I299,$C$13:$C$15,J$13:J$15),1)</f>
        <v>0</v>
      </c>
      <c s="125">
        <f>Предпосылки!K331*IF(Предпосылки!$G299="нет",1,K$603)*IFERROR(LOOKUP(Предпосылки!$I299,$C$13:$C$15,K$13:K$15),1)</f>
        <v>0</v>
      </c>
      <c s="125">
        <f>Предпосылки!L331*IF(Предпосылки!$G299="нет",1,L$603)*IFERROR(LOOKUP(Предпосылки!$I299,$C$13:$C$15,L$13:L$15),1)</f>
        <v>0</v>
      </c>
      <c s="125">
        <f>Предпосылки!M331*IF(Предпосылки!$G299="нет",1,M$603)*IFERROR(LOOKUP(Предпосылки!$I299,$C$13:$C$15,M$13:M$15),1)</f>
        <v>0</v>
      </c>
      <c s="125">
        <f>Предпосылки!N331*IF(Предпосылки!$G299="нет",1,N$603)*IFERROR(LOOKUP(Предпосылки!$I299,$C$13:$C$15,N$13:N$15),1)</f>
        <v>0</v>
      </c>
      <c s="125">
        <f>Предпосылки!O331*IF(Предпосылки!$G299="нет",1,O$603)*IFERROR(LOOKUP(Предпосылки!$I299,$C$13:$C$15,O$13:O$15),1)</f>
        <v>0</v>
      </c>
      <c s="125">
        <f>Предпосылки!P331*IF(Предпосылки!$G299="нет",1,P$603)*IFERROR(LOOKUP(Предпосылки!$I299,$C$13:$C$15,P$13:P$15),1)</f>
        <v>0</v>
      </c>
      <c s="125">
        <f>Предпосылки!Q331*IF(Предпосылки!$G299="нет",1,Q$603)*IFERROR(LOOKUP(Предпосылки!$I299,$C$13:$C$15,Q$13:Q$15),1)</f>
        <v>0</v>
      </c>
      <c s="125">
        <f>Предпосылки!R331*IF(Предпосылки!$G299="нет",1,R$603)*IFERROR(LOOKUP(Предпосылки!$I299,$C$13:$C$15,R$13:R$15),1)</f>
        <v>0</v>
      </c>
      <c s="125">
        <f>Предпосылки!S331*IF(Предпосылки!$G299="нет",1,S$603)*IFERROR(LOOKUP(Предпосылки!$I299,$C$13:$C$15,S$13:S$15),1)</f>
        <v>0</v>
      </c>
      <c s="125">
        <f>Предпосылки!T331*IF(Предпосылки!$G299="нет",1,T$603)*IFERROR(LOOKUP(Предпосылки!$I299,$C$13:$C$15,T$13:T$15),1)</f>
        <v>0</v>
      </c>
      <c s="125">
        <f>Предпосылки!U331*IF(Предпосылки!$G299="нет",1,U$603)*IFERROR(LOOKUP(Предпосылки!$I299,$C$13:$C$15,U$13:U$15),1)</f>
        <v>0</v>
      </c>
      <c s="125">
        <f>Предпосылки!V331*IF(Предпосылки!$G299="нет",1,V$603)*IFERROR(LOOKUP(Предпосылки!$I299,$C$13:$C$15,V$13:V$15),1)</f>
        <v>0</v>
      </c>
      <c s="125">
        <f>Предпосылки!W331*IF(Предпосылки!$G299="нет",1,W$603)*IFERROR(LOOKUP(Предпосылки!$I299,$C$13:$C$15,W$13:W$15),1)</f>
        <v>0</v>
      </c>
      <c s="125">
        <f>Предпосылки!X331*IF(Предпосылки!$G299="нет",1,X$603)*IFERROR(LOOKUP(Предпосылки!$I299,$C$13:$C$15,X$13:X$15),1)</f>
        <v>0</v>
      </c>
      <c s="125">
        <f>Предпосылки!Y331*IF(Предпосылки!$G299="нет",1,Y$603)*IFERROR(LOOKUP(Предпосылки!$I299,$C$13:$C$15,Y$13:Y$15),1)</f>
        <v>0</v>
      </c>
      <c s="125">
        <f>Предпосылки!Z331*IF(Предпосылки!$G299="нет",1,Z$603)*IFERROR(LOOKUP(Предпосылки!$I299,$C$13:$C$15,Z$13:Z$15),1)</f>
        <v>0</v>
      </c>
      <c s="125">
        <f>Предпосылки!AA331*IF(Предпосылки!$G299="нет",1,AA$603)*IFERROR(LOOKUP(Предпосылки!$I299,$C$13:$C$15,AA$13:AA$15),1)</f>
        <v>0</v>
      </c>
      <c s="125">
        <f>Предпосылки!AB331*IF(Предпосылки!$G299="нет",1,AB$603)*IFERROR(LOOKUP(Предпосылки!$I299,$C$13:$C$15,AB$13:AB$15),1)</f>
        <v>0</v>
      </c>
      <c s="125">
        <f>Предпосылки!AC331*IF(Предпосылки!$G299="нет",1,AC$603)*IFERROR(LOOKUP(Предпосылки!$I299,$C$13:$C$15,AC$13:AC$15),1)</f>
        <v>0</v>
      </c>
      <c s="125">
        <f>Предпосылки!AD331*IF(Предпосылки!$G299="нет",1,AD$603)*IFERROR(LOOKUP(Предпосылки!$I299,$C$13:$C$15,AD$13:AD$15),1)</f>
        <v>0</v>
      </c>
      <c s="125">
        <f>Предпосылки!AE331*IF(Предпосылки!$G299="нет",1,AE$603)*IFERROR(LOOKUP(Предпосылки!$I299,$C$13:$C$15,AE$13:AE$15),1)</f>
        <v>0</v>
      </c>
      <c s="125">
        <f>Предпосылки!AF331*IF(Предпосылки!$G299="нет",1,AF$603)*IFERROR(LOOKUP(Предпосылки!$I299,$C$13:$C$15,AF$13:AF$15),1)</f>
        <v>0</v>
      </c>
      <c s="125">
        <f>Предпосылки!AG331*IF(Предпосылки!$G299="нет",1,AG$603)*IFERROR(LOOKUP(Предпосылки!$I299,$C$13:$C$15,AG$13:AG$15),1)</f>
        <v>0</v>
      </c>
      <c s="125">
        <f>Предпосылки!AH331*IF(Предпосылки!$G299="нет",1,AH$603)*IFERROR(LOOKUP(Предпосылки!$I299,$C$13:$C$15,AH$13:AH$15),1)</f>
        <v>0</v>
      </c>
      <c s="125">
        <f>Предпосылки!AI331*IF(Предпосылки!$G299="нет",1,AI$603)*IFERROR(LOOKUP(Предпосылки!$I299,$C$13:$C$15,AI$13:AI$15),1)</f>
        <v>0</v>
      </c>
      <c s="125">
        <f>Предпосылки!AJ331*IF(Предпосылки!$G299="нет",1,AJ$603)*IFERROR(LOOKUP(Предпосылки!$I299,$C$13:$C$15,AJ$13:AJ$15),1)</f>
        <v>0</v>
      </c>
      <c s="125">
        <f>Предпосылки!AK331*IF(Предпосылки!$G299="нет",1,AK$603)*IFERROR(LOOKUP(Предпосылки!$I299,$C$13:$C$15,AK$13:AK$15),1)</f>
        <v>0</v>
      </c>
      <c s="125">
        <f>Предпосылки!AL331*IF(Предпосылки!$G299="нет",1,AL$603)*IFERROR(LOOKUP(Предпосылки!$I299,$C$13:$C$15,AL$13:AL$15),1)</f>
        <v>0</v>
      </c>
      <c s="125">
        <f>Предпосылки!AM331*IF(Предпосылки!$G299="нет",1,AM$603)*IFERROR(LOOKUP(Предпосылки!$I299,$C$13:$C$15,AM$13:AM$15),1)</f>
        <v>0</v>
      </c>
      <c s="125">
        <f>Предпосылки!AN331*IF(Предпосылки!$G299="нет",1,AN$603)*IFERROR(LOOKUP(Предпосылки!$I299,$C$13:$C$15,AN$13:AN$15),1)</f>
        <v>0</v>
      </c>
      <c s="125">
        <f>Предпосылки!AO331*IF(Предпосылки!$G299="нет",1,AO$603)*IFERROR(LOOKUP(Предпосылки!$I299,$C$13:$C$15,AO$13:AO$15),1)</f>
        <v>0</v>
      </c>
      <c s="125">
        <f>Предпосылки!AP331*IF(Предпосылки!$G299="нет",1,AP$603)*IFERROR(LOOKUP(Предпосылки!$I299,$C$13:$C$15,AP$13:AP$15),1)</f>
        <v>0</v>
      </c>
      <c s="125">
        <f>Предпосылки!AQ331*IF(Предпосылки!$G299="нет",1,AQ$603)*IFERROR(LOOKUP(Предпосылки!$I299,$C$13:$C$15,AQ$13:AQ$15),1)</f>
        <v>0</v>
      </c>
      <c s="125">
        <f>Предпосылки!AR331*IF(Предпосылки!$G299="нет",1,AR$603)*IFERROR(LOOKUP(Предпосылки!$I299,$C$13:$C$15,AR$13:AR$15),1)</f>
        <v>0</v>
      </c>
      <c s="125">
        <f>Предпосылки!AS331*IF(Предпосылки!$G299="нет",1,AS$603)*IFERROR(LOOKUP(Предпосылки!$I299,$C$13:$C$15,AS$13:AS$15),1)</f>
        <v>0</v>
      </c>
      <c s="125">
        <f>Предпосылки!AT331*IF(Предпосылки!$G299="нет",1,AT$603)*IFERROR(LOOKUP(Предпосылки!$I299,$C$13:$C$15,AT$13:AT$15),1)</f>
        <v>0</v>
      </c>
      <c s="125">
        <f>Предпосылки!AU331*IF(Предпосылки!$G299="нет",1,AU$603)*IFERROR(LOOKUP(Предпосылки!$I299,$C$13:$C$15,AU$13:AU$15),1)</f>
        <v>0</v>
      </c>
      <c s="125">
        <f>Предпосылки!AV331*IF(Предпосылки!$G299="нет",1,AV$603)*IFERROR(LOOKUP(Предпосылки!$I299,$C$13:$C$15,AV$13:AV$15),1)</f>
        <v>0</v>
      </c>
      <c s="125">
        <f>Предпосылки!AW331*IF(Предпосылки!$G299="нет",1,AW$603)*IFERROR(LOOKUP(Предпосылки!$I299,$C$13:$C$15,AW$13:AW$15),1)</f>
        <v>0</v>
      </c>
      <c s="125">
        <f>Предпосылки!AX331*IF(Предпосылки!$G299="нет",1,AX$603)*IFERROR(LOOKUP(Предпосылки!$I299,$C$13:$C$15,AX$13:AX$15),1)</f>
        <v>0</v>
      </c>
      <c s="125">
        <f>Предпосылки!AY331*IF(Предпосылки!$G299="нет",1,AY$603)*IFERROR(LOOKUP(Предпосылки!$I299,$C$13:$C$15,AY$13:AY$15),1)</f>
        <v>0</v>
      </c>
      <c s="125">
        <f>Предпосылки!AZ331*IF(Предпосылки!$G299="нет",1,AZ$603)*IFERROR(LOOKUP(Предпосылки!$I299,$C$13:$C$15,AZ$13:AZ$15),1)</f>
        <v>0</v>
      </c>
      <c s="125">
        <f>Предпосылки!BA331*IF(Предпосылки!$G299="нет",1,BA$603)*IFERROR(LOOKUP(Предпосылки!$I299,$C$13:$C$15,BA$13:BA$15),1)</f>
        <v>0</v>
      </c>
      <c s="125">
        <f>Предпосылки!BB331*IF(Предпосылки!$G299="нет",1,BB$603)*IFERROR(LOOKUP(Предпосылки!$I299,$C$13:$C$15,BB$13:BB$15),1)</f>
        <v>0</v>
      </c>
      <c s="125">
        <f>Предпосылки!BC331*IF(Предпосылки!$G299="нет",1,BC$603)*IFERROR(LOOKUP(Предпосылки!$I299,$C$13:$C$15,BC$13:BC$15),1)</f>
        <v>0</v>
      </c>
      <c s="125">
        <f>Предпосылки!BD331*IF(Предпосылки!$G299="нет",1,BD$603)*IFERROR(LOOKUP(Предпосылки!$I299,$C$13:$C$15,BD$13:BD$15),1)</f>
        <v>0</v>
      </c>
      <c s="125">
        <f>Предпосылки!BE331*IF(Предпосылки!$G299="нет",1,BE$603)*IFERROR(LOOKUP(Предпосылки!$I299,$C$13:$C$15,BE$13:BE$15),1)</f>
        <v>0</v>
      </c>
      <c s="125">
        <f>Предпосылки!BF331*IF(Предпосылки!$G299="нет",1,BF$603)*IFERROR(LOOKUP(Предпосылки!$I299,$C$13:$C$15,BF$13:BF$15),1)</f>
        <v>0</v>
      </c>
      <c s="125">
        <f>Предпосылки!BG331*IF(Предпосылки!$G299="нет",1,BG$603)*IFERROR(LOOKUP(Предпосылки!$I299,$C$13:$C$15,BG$13:BG$15),1)</f>
        <v>0</v>
      </c>
      <c s="125">
        <f>Предпосылки!BH331*IF(Предпосылки!$G299="нет",1,BH$603)*IFERROR(LOOKUP(Предпосылки!$I299,$C$13:$C$15,BH$13:BH$15),1)</f>
        <v>0</v>
      </c>
      <c s="125">
        <f>Предпосылки!BI331*IF(Предпосылки!$G299="нет",1,BI$603)*IFERROR(LOOKUP(Предпосылки!$I299,$C$13:$C$15,BI$13:BI$15),1)</f>
        <v>0</v>
      </c>
      <c s="125">
        <f>Предпосылки!BJ331*IF(Предпосылки!$G299="нет",1,BJ$603)*IFERROR(LOOKUP(Предпосылки!$I299,$C$13:$C$15,BJ$13:BJ$15),1)</f>
        <v>0</v>
      </c>
      <c s="125">
        <f>Предпосылки!BK331*IF(Предпосылки!$G299="нет",1,BK$603)*IFERROR(LOOKUP(Предпосылки!$I299,$C$13:$C$15,BK$13:BK$15),1)</f>
        <v>0</v>
      </c>
      <c s="125">
        <f>Предпосылки!BL331*IF(Предпосылки!$G299="нет",1,BL$603)*IFERROR(LOOKUP(Предпосылки!$I299,$C$13:$C$15,BL$13:BL$15),1)</f>
        <v>0</v>
      </c>
      <c s="125">
        <f>Предпосылки!BM331*IF(Предпосылки!$G299="нет",1,BM$603)*IFERROR(LOOKUP(Предпосылки!$I299,$C$13:$C$15,BM$13:BM$15),1)</f>
        <v>0</v>
      </c>
    </row>
    <row r="657" spans="2:65" ht="15" customHeight="1">
      <c r="B657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Предпосылки!E332*IF(Предпосылки!$G300="нет",1,E$603)*IFERROR(LOOKUP(Предпосылки!$I300,$C$13:$C$15,E$13:E$15),1)</f>
        <v>0</v>
      </c>
      <c s="125">
        <f>Предпосылки!F332*IF(Предпосылки!$G300="нет",1,F$603)*IFERROR(LOOKUP(Предпосылки!$I300,$C$13:$C$15,F$13:F$15),1)</f>
        <v>0</v>
      </c>
      <c s="125">
        <f>Предпосылки!G332*IF(Предпосылки!$G300="нет",1,G$603)*IFERROR(LOOKUP(Предпосылки!$I300,$C$13:$C$15,G$13:G$15),1)</f>
        <v>0</v>
      </c>
      <c s="125">
        <f>Предпосылки!H332*IF(Предпосылки!$G300="нет",1,H$603)*IFERROR(LOOKUP(Предпосылки!$I300,$C$13:$C$15,H$13:H$15),1)</f>
        <v>0</v>
      </c>
      <c s="125">
        <f>Предпосылки!I332*IF(Предпосылки!$G300="нет",1,I$603)*IFERROR(LOOKUP(Предпосылки!$I300,$C$13:$C$15,I$13:I$15),1)</f>
        <v>0</v>
      </c>
      <c s="125">
        <f>Предпосылки!J332*IF(Предпосылки!$G300="нет",1,J$603)*IFERROR(LOOKUP(Предпосылки!$I300,$C$13:$C$15,J$13:J$15),1)</f>
        <v>0</v>
      </c>
      <c s="125">
        <f>Предпосылки!K332*IF(Предпосылки!$G300="нет",1,K$603)*IFERROR(LOOKUP(Предпосылки!$I300,$C$13:$C$15,K$13:K$15),1)</f>
        <v>0</v>
      </c>
      <c s="125">
        <f>Предпосылки!L332*IF(Предпосылки!$G300="нет",1,L$603)*IFERROR(LOOKUP(Предпосылки!$I300,$C$13:$C$15,L$13:L$15),1)</f>
        <v>0</v>
      </c>
      <c s="125">
        <f>Предпосылки!M332*IF(Предпосылки!$G300="нет",1,M$603)*IFERROR(LOOKUP(Предпосылки!$I300,$C$13:$C$15,M$13:M$15),1)</f>
        <v>0</v>
      </c>
      <c s="125">
        <f>Предпосылки!N332*IF(Предпосылки!$G300="нет",1,N$603)*IFERROR(LOOKUP(Предпосылки!$I300,$C$13:$C$15,N$13:N$15),1)</f>
        <v>0</v>
      </c>
      <c s="125">
        <f>Предпосылки!O332*IF(Предпосылки!$G300="нет",1,O$603)*IFERROR(LOOKUP(Предпосылки!$I300,$C$13:$C$15,O$13:O$15),1)</f>
        <v>0</v>
      </c>
      <c s="125">
        <f>Предпосылки!P332*IF(Предпосылки!$G300="нет",1,P$603)*IFERROR(LOOKUP(Предпосылки!$I300,$C$13:$C$15,P$13:P$15),1)</f>
        <v>0</v>
      </c>
      <c s="125">
        <f>Предпосылки!Q332*IF(Предпосылки!$G300="нет",1,Q$603)*IFERROR(LOOKUP(Предпосылки!$I300,$C$13:$C$15,Q$13:Q$15),1)</f>
        <v>0</v>
      </c>
      <c s="125">
        <f>Предпосылки!R332*IF(Предпосылки!$G300="нет",1,R$603)*IFERROR(LOOKUP(Предпосылки!$I300,$C$13:$C$15,R$13:R$15),1)</f>
        <v>0</v>
      </c>
      <c s="125">
        <f>Предпосылки!S332*IF(Предпосылки!$G300="нет",1,S$603)*IFERROR(LOOKUP(Предпосылки!$I300,$C$13:$C$15,S$13:S$15),1)</f>
        <v>0</v>
      </c>
      <c s="125">
        <f>Предпосылки!T332*IF(Предпосылки!$G300="нет",1,T$603)*IFERROR(LOOKUP(Предпосылки!$I300,$C$13:$C$15,T$13:T$15),1)</f>
        <v>0</v>
      </c>
      <c s="125">
        <f>Предпосылки!U332*IF(Предпосылки!$G300="нет",1,U$603)*IFERROR(LOOKUP(Предпосылки!$I300,$C$13:$C$15,U$13:U$15),1)</f>
        <v>0</v>
      </c>
      <c s="125">
        <f>Предпосылки!V332*IF(Предпосылки!$G300="нет",1,V$603)*IFERROR(LOOKUP(Предпосылки!$I300,$C$13:$C$15,V$13:V$15),1)</f>
        <v>0</v>
      </c>
      <c s="125">
        <f>Предпосылки!W332*IF(Предпосылки!$G300="нет",1,W$603)*IFERROR(LOOKUP(Предпосылки!$I300,$C$13:$C$15,W$13:W$15),1)</f>
        <v>0</v>
      </c>
      <c s="125">
        <f>Предпосылки!X332*IF(Предпосылки!$G300="нет",1,X$603)*IFERROR(LOOKUP(Предпосылки!$I300,$C$13:$C$15,X$13:X$15),1)</f>
        <v>0</v>
      </c>
      <c s="125">
        <f>Предпосылки!Y332*IF(Предпосылки!$G300="нет",1,Y$603)*IFERROR(LOOKUP(Предпосылки!$I300,$C$13:$C$15,Y$13:Y$15),1)</f>
        <v>0</v>
      </c>
      <c s="125">
        <f>Предпосылки!Z332*IF(Предпосылки!$G300="нет",1,Z$603)*IFERROR(LOOKUP(Предпосылки!$I300,$C$13:$C$15,Z$13:Z$15),1)</f>
        <v>0</v>
      </c>
      <c s="125">
        <f>Предпосылки!AA332*IF(Предпосылки!$G300="нет",1,AA$603)*IFERROR(LOOKUP(Предпосылки!$I300,$C$13:$C$15,AA$13:AA$15),1)</f>
        <v>0</v>
      </c>
      <c s="125">
        <f>Предпосылки!AB332*IF(Предпосылки!$G300="нет",1,AB$603)*IFERROR(LOOKUP(Предпосылки!$I300,$C$13:$C$15,AB$13:AB$15),1)</f>
        <v>0</v>
      </c>
      <c s="125">
        <f>Предпосылки!AC332*IF(Предпосылки!$G300="нет",1,AC$603)*IFERROR(LOOKUP(Предпосылки!$I300,$C$13:$C$15,AC$13:AC$15),1)</f>
        <v>0</v>
      </c>
      <c s="125">
        <f>Предпосылки!AD332*IF(Предпосылки!$G300="нет",1,AD$603)*IFERROR(LOOKUP(Предпосылки!$I300,$C$13:$C$15,AD$13:AD$15),1)</f>
        <v>0</v>
      </c>
      <c s="125">
        <f>Предпосылки!AE332*IF(Предпосылки!$G300="нет",1,AE$603)*IFERROR(LOOKUP(Предпосылки!$I300,$C$13:$C$15,AE$13:AE$15),1)</f>
        <v>0</v>
      </c>
      <c s="125">
        <f>Предпосылки!AF332*IF(Предпосылки!$G300="нет",1,AF$603)*IFERROR(LOOKUP(Предпосылки!$I300,$C$13:$C$15,AF$13:AF$15),1)</f>
        <v>0</v>
      </c>
      <c s="125">
        <f>Предпосылки!AG332*IF(Предпосылки!$G300="нет",1,AG$603)*IFERROR(LOOKUP(Предпосылки!$I300,$C$13:$C$15,AG$13:AG$15),1)</f>
        <v>0</v>
      </c>
      <c s="125">
        <f>Предпосылки!AH332*IF(Предпосылки!$G300="нет",1,AH$603)*IFERROR(LOOKUP(Предпосылки!$I300,$C$13:$C$15,AH$13:AH$15),1)</f>
        <v>0</v>
      </c>
      <c s="125">
        <f>Предпосылки!AI332*IF(Предпосылки!$G300="нет",1,AI$603)*IFERROR(LOOKUP(Предпосылки!$I300,$C$13:$C$15,AI$13:AI$15),1)</f>
        <v>0</v>
      </c>
      <c s="125">
        <f>Предпосылки!AJ332*IF(Предпосылки!$G300="нет",1,AJ$603)*IFERROR(LOOKUP(Предпосылки!$I300,$C$13:$C$15,AJ$13:AJ$15),1)</f>
        <v>0</v>
      </c>
      <c s="125">
        <f>Предпосылки!AK332*IF(Предпосылки!$G300="нет",1,AK$603)*IFERROR(LOOKUP(Предпосылки!$I300,$C$13:$C$15,AK$13:AK$15),1)</f>
        <v>0</v>
      </c>
      <c s="125">
        <f>Предпосылки!AL332*IF(Предпосылки!$G300="нет",1,AL$603)*IFERROR(LOOKUP(Предпосылки!$I300,$C$13:$C$15,AL$13:AL$15),1)</f>
        <v>0</v>
      </c>
      <c s="125">
        <f>Предпосылки!AM332*IF(Предпосылки!$G300="нет",1,AM$603)*IFERROR(LOOKUP(Предпосылки!$I300,$C$13:$C$15,AM$13:AM$15),1)</f>
        <v>0</v>
      </c>
      <c s="125">
        <f>Предпосылки!AN332*IF(Предпосылки!$G300="нет",1,AN$603)*IFERROR(LOOKUP(Предпосылки!$I300,$C$13:$C$15,AN$13:AN$15),1)</f>
        <v>0</v>
      </c>
      <c s="125">
        <f>Предпосылки!AO332*IF(Предпосылки!$G300="нет",1,AO$603)*IFERROR(LOOKUP(Предпосылки!$I300,$C$13:$C$15,AO$13:AO$15),1)</f>
        <v>0</v>
      </c>
      <c s="125">
        <f>Предпосылки!AP332*IF(Предпосылки!$G300="нет",1,AP$603)*IFERROR(LOOKUP(Предпосылки!$I300,$C$13:$C$15,AP$13:AP$15),1)</f>
        <v>0</v>
      </c>
      <c s="125">
        <f>Предпосылки!AQ332*IF(Предпосылки!$G300="нет",1,AQ$603)*IFERROR(LOOKUP(Предпосылки!$I300,$C$13:$C$15,AQ$13:AQ$15),1)</f>
        <v>0</v>
      </c>
      <c s="125">
        <f>Предпосылки!AR332*IF(Предпосылки!$G300="нет",1,AR$603)*IFERROR(LOOKUP(Предпосылки!$I300,$C$13:$C$15,AR$13:AR$15),1)</f>
        <v>0</v>
      </c>
      <c s="125">
        <f>Предпосылки!AS332*IF(Предпосылки!$G300="нет",1,AS$603)*IFERROR(LOOKUP(Предпосылки!$I300,$C$13:$C$15,AS$13:AS$15),1)</f>
        <v>0</v>
      </c>
      <c s="125">
        <f>Предпосылки!AT332*IF(Предпосылки!$G300="нет",1,AT$603)*IFERROR(LOOKUP(Предпосылки!$I300,$C$13:$C$15,AT$13:AT$15),1)</f>
        <v>0</v>
      </c>
      <c s="125">
        <f>Предпосылки!AU332*IF(Предпосылки!$G300="нет",1,AU$603)*IFERROR(LOOKUP(Предпосылки!$I300,$C$13:$C$15,AU$13:AU$15),1)</f>
        <v>0</v>
      </c>
      <c s="125">
        <f>Предпосылки!AV332*IF(Предпосылки!$G300="нет",1,AV$603)*IFERROR(LOOKUP(Предпосылки!$I300,$C$13:$C$15,AV$13:AV$15),1)</f>
        <v>0</v>
      </c>
      <c s="125">
        <f>Предпосылки!AW332*IF(Предпосылки!$G300="нет",1,AW$603)*IFERROR(LOOKUP(Предпосылки!$I300,$C$13:$C$15,AW$13:AW$15),1)</f>
        <v>0</v>
      </c>
      <c s="125">
        <f>Предпосылки!AX332*IF(Предпосылки!$G300="нет",1,AX$603)*IFERROR(LOOKUP(Предпосылки!$I300,$C$13:$C$15,AX$13:AX$15),1)</f>
        <v>0</v>
      </c>
      <c s="125">
        <f>Предпосылки!AY332*IF(Предпосылки!$G300="нет",1,AY$603)*IFERROR(LOOKUP(Предпосылки!$I300,$C$13:$C$15,AY$13:AY$15),1)</f>
        <v>0</v>
      </c>
      <c s="125">
        <f>Предпосылки!AZ332*IF(Предпосылки!$G300="нет",1,AZ$603)*IFERROR(LOOKUP(Предпосылки!$I300,$C$13:$C$15,AZ$13:AZ$15),1)</f>
        <v>0</v>
      </c>
      <c s="125">
        <f>Предпосылки!BA332*IF(Предпосылки!$G300="нет",1,BA$603)*IFERROR(LOOKUP(Предпосылки!$I300,$C$13:$C$15,BA$13:BA$15),1)</f>
        <v>0</v>
      </c>
      <c s="125">
        <f>Предпосылки!BB332*IF(Предпосылки!$G300="нет",1,BB$603)*IFERROR(LOOKUP(Предпосылки!$I300,$C$13:$C$15,BB$13:BB$15),1)</f>
        <v>0</v>
      </c>
      <c s="125">
        <f>Предпосылки!BC332*IF(Предпосылки!$G300="нет",1,BC$603)*IFERROR(LOOKUP(Предпосылки!$I300,$C$13:$C$15,BC$13:BC$15),1)</f>
        <v>0</v>
      </c>
      <c s="125">
        <f>Предпосылки!BD332*IF(Предпосылки!$G300="нет",1,BD$603)*IFERROR(LOOKUP(Предпосылки!$I300,$C$13:$C$15,BD$13:BD$15),1)</f>
        <v>0</v>
      </c>
      <c s="125">
        <f>Предпосылки!BE332*IF(Предпосылки!$G300="нет",1,BE$603)*IFERROR(LOOKUP(Предпосылки!$I300,$C$13:$C$15,BE$13:BE$15),1)</f>
        <v>0</v>
      </c>
      <c s="125">
        <f>Предпосылки!BF332*IF(Предпосылки!$G300="нет",1,BF$603)*IFERROR(LOOKUP(Предпосылки!$I300,$C$13:$C$15,BF$13:BF$15),1)</f>
        <v>0</v>
      </c>
      <c s="125">
        <f>Предпосылки!BG332*IF(Предпосылки!$G300="нет",1,BG$603)*IFERROR(LOOKUP(Предпосылки!$I300,$C$13:$C$15,BG$13:BG$15),1)</f>
        <v>0</v>
      </c>
      <c s="125">
        <f>Предпосылки!BH332*IF(Предпосылки!$G300="нет",1,BH$603)*IFERROR(LOOKUP(Предпосылки!$I300,$C$13:$C$15,BH$13:BH$15),1)</f>
        <v>0</v>
      </c>
      <c s="125">
        <f>Предпосылки!BI332*IF(Предпосылки!$G300="нет",1,BI$603)*IFERROR(LOOKUP(Предпосылки!$I300,$C$13:$C$15,BI$13:BI$15),1)</f>
        <v>0</v>
      </c>
      <c s="125">
        <f>Предпосылки!BJ332*IF(Предпосылки!$G300="нет",1,BJ$603)*IFERROR(LOOKUP(Предпосылки!$I300,$C$13:$C$15,BJ$13:BJ$15),1)</f>
        <v>0</v>
      </c>
      <c s="125">
        <f>Предпосылки!BK332*IF(Предпосылки!$G300="нет",1,BK$603)*IFERROR(LOOKUP(Предпосылки!$I300,$C$13:$C$15,BK$13:BK$15),1)</f>
        <v>0</v>
      </c>
      <c s="125">
        <f>Предпосылки!BL332*IF(Предпосылки!$G300="нет",1,BL$603)*IFERROR(LOOKUP(Предпосылки!$I300,$C$13:$C$15,BL$13:BL$15),1)</f>
        <v>0</v>
      </c>
      <c s="125">
        <f>Предпосылки!BM332*IF(Предпосылки!$G300="нет",1,BM$603)*IFERROR(LOOKUP(Предпосылки!$I300,$C$13:$C$15,BM$13:BM$15),1)</f>
        <v>0</v>
      </c>
    </row>
    <row r="658" spans="2:65" ht="15" customHeight="1">
      <c r="B658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Предпосылки!E333*IF(Предпосылки!$G301="нет",1,E$603)*IFERROR(LOOKUP(Предпосылки!$I301,$C$13:$C$15,E$13:E$15),1)</f>
        <v>0</v>
      </c>
      <c s="125">
        <f>Предпосылки!F333*IF(Предпосылки!$G301="нет",1,F$603)*IFERROR(LOOKUP(Предпосылки!$I301,$C$13:$C$15,F$13:F$15),1)</f>
        <v>0</v>
      </c>
      <c s="125">
        <f>Предпосылки!G333*IF(Предпосылки!$G301="нет",1,G$603)*IFERROR(LOOKUP(Предпосылки!$I301,$C$13:$C$15,G$13:G$15),1)</f>
        <v>0</v>
      </c>
      <c s="125">
        <f>Предпосылки!H333*IF(Предпосылки!$G301="нет",1,H$603)*IFERROR(LOOKUP(Предпосылки!$I301,$C$13:$C$15,H$13:H$15),1)</f>
        <v>0</v>
      </c>
      <c s="125">
        <f>Предпосылки!I333*IF(Предпосылки!$G301="нет",1,I$603)*IFERROR(LOOKUP(Предпосылки!$I301,$C$13:$C$15,I$13:I$15),1)</f>
        <v>0</v>
      </c>
      <c s="125">
        <f>Предпосылки!J333*IF(Предпосылки!$G301="нет",1,J$603)*IFERROR(LOOKUP(Предпосылки!$I301,$C$13:$C$15,J$13:J$15),1)</f>
        <v>0</v>
      </c>
      <c s="125">
        <f>Предпосылки!K333*IF(Предпосылки!$G301="нет",1,K$603)*IFERROR(LOOKUP(Предпосылки!$I301,$C$13:$C$15,K$13:K$15),1)</f>
        <v>0</v>
      </c>
      <c s="125">
        <f>Предпосылки!L333*IF(Предпосылки!$G301="нет",1,L$603)*IFERROR(LOOKUP(Предпосылки!$I301,$C$13:$C$15,L$13:L$15),1)</f>
        <v>0</v>
      </c>
      <c s="125">
        <f>Предпосылки!M333*IF(Предпосылки!$G301="нет",1,M$603)*IFERROR(LOOKUP(Предпосылки!$I301,$C$13:$C$15,M$13:M$15),1)</f>
        <v>0</v>
      </c>
      <c s="125">
        <f>Предпосылки!N333*IF(Предпосылки!$G301="нет",1,N$603)*IFERROR(LOOKUP(Предпосылки!$I301,$C$13:$C$15,N$13:N$15),1)</f>
        <v>0</v>
      </c>
      <c s="125">
        <f>Предпосылки!O333*IF(Предпосылки!$G301="нет",1,O$603)*IFERROR(LOOKUP(Предпосылки!$I301,$C$13:$C$15,O$13:O$15),1)</f>
        <v>0</v>
      </c>
      <c s="125">
        <f>Предпосылки!P333*IF(Предпосылки!$G301="нет",1,P$603)*IFERROR(LOOKUP(Предпосылки!$I301,$C$13:$C$15,P$13:P$15),1)</f>
        <v>0</v>
      </c>
      <c s="125">
        <f>Предпосылки!Q333*IF(Предпосылки!$G301="нет",1,Q$603)*IFERROR(LOOKUP(Предпосылки!$I301,$C$13:$C$15,Q$13:Q$15),1)</f>
        <v>0</v>
      </c>
      <c s="125">
        <f>Предпосылки!R333*IF(Предпосылки!$G301="нет",1,R$603)*IFERROR(LOOKUP(Предпосылки!$I301,$C$13:$C$15,R$13:R$15),1)</f>
        <v>0</v>
      </c>
      <c s="125">
        <f>Предпосылки!S333*IF(Предпосылки!$G301="нет",1,S$603)*IFERROR(LOOKUP(Предпосылки!$I301,$C$13:$C$15,S$13:S$15),1)</f>
        <v>0</v>
      </c>
      <c s="125">
        <f>Предпосылки!T333*IF(Предпосылки!$G301="нет",1,T$603)*IFERROR(LOOKUP(Предпосылки!$I301,$C$13:$C$15,T$13:T$15),1)</f>
        <v>0</v>
      </c>
      <c s="125">
        <f>Предпосылки!U333*IF(Предпосылки!$G301="нет",1,U$603)*IFERROR(LOOKUP(Предпосылки!$I301,$C$13:$C$15,U$13:U$15),1)</f>
        <v>0</v>
      </c>
      <c s="125">
        <f>Предпосылки!V333*IF(Предпосылки!$G301="нет",1,V$603)*IFERROR(LOOKUP(Предпосылки!$I301,$C$13:$C$15,V$13:V$15),1)</f>
        <v>0</v>
      </c>
      <c s="125">
        <f>Предпосылки!W333*IF(Предпосылки!$G301="нет",1,W$603)*IFERROR(LOOKUP(Предпосылки!$I301,$C$13:$C$15,W$13:W$15),1)</f>
        <v>0</v>
      </c>
      <c s="125">
        <f>Предпосылки!X333*IF(Предпосылки!$G301="нет",1,X$603)*IFERROR(LOOKUP(Предпосылки!$I301,$C$13:$C$15,X$13:X$15),1)</f>
        <v>0</v>
      </c>
      <c s="125">
        <f>Предпосылки!Y333*IF(Предпосылки!$G301="нет",1,Y$603)*IFERROR(LOOKUP(Предпосылки!$I301,$C$13:$C$15,Y$13:Y$15),1)</f>
        <v>0</v>
      </c>
      <c s="125">
        <f>Предпосылки!Z333*IF(Предпосылки!$G301="нет",1,Z$603)*IFERROR(LOOKUP(Предпосылки!$I301,$C$13:$C$15,Z$13:Z$15),1)</f>
        <v>0</v>
      </c>
      <c s="125">
        <f>Предпосылки!AA333*IF(Предпосылки!$G301="нет",1,AA$603)*IFERROR(LOOKUP(Предпосылки!$I301,$C$13:$C$15,AA$13:AA$15),1)</f>
        <v>0</v>
      </c>
      <c s="125">
        <f>Предпосылки!AB333*IF(Предпосылки!$G301="нет",1,AB$603)*IFERROR(LOOKUP(Предпосылки!$I301,$C$13:$C$15,AB$13:AB$15),1)</f>
        <v>0</v>
      </c>
      <c s="125">
        <f>Предпосылки!AC333*IF(Предпосылки!$G301="нет",1,AC$603)*IFERROR(LOOKUP(Предпосылки!$I301,$C$13:$C$15,AC$13:AC$15),1)</f>
        <v>0</v>
      </c>
      <c s="125">
        <f>Предпосылки!AD333*IF(Предпосылки!$G301="нет",1,AD$603)*IFERROR(LOOKUP(Предпосылки!$I301,$C$13:$C$15,AD$13:AD$15),1)</f>
        <v>0</v>
      </c>
      <c s="125">
        <f>Предпосылки!AE333*IF(Предпосылки!$G301="нет",1,AE$603)*IFERROR(LOOKUP(Предпосылки!$I301,$C$13:$C$15,AE$13:AE$15),1)</f>
        <v>0</v>
      </c>
      <c s="125">
        <f>Предпосылки!AF333*IF(Предпосылки!$G301="нет",1,AF$603)*IFERROR(LOOKUP(Предпосылки!$I301,$C$13:$C$15,AF$13:AF$15),1)</f>
        <v>0</v>
      </c>
      <c s="125">
        <f>Предпосылки!AG333*IF(Предпосылки!$G301="нет",1,AG$603)*IFERROR(LOOKUP(Предпосылки!$I301,$C$13:$C$15,AG$13:AG$15),1)</f>
        <v>0</v>
      </c>
      <c s="125">
        <f>Предпосылки!AH333*IF(Предпосылки!$G301="нет",1,AH$603)*IFERROR(LOOKUP(Предпосылки!$I301,$C$13:$C$15,AH$13:AH$15),1)</f>
        <v>0</v>
      </c>
      <c s="125">
        <f>Предпосылки!AI333*IF(Предпосылки!$G301="нет",1,AI$603)*IFERROR(LOOKUP(Предпосылки!$I301,$C$13:$C$15,AI$13:AI$15),1)</f>
        <v>0</v>
      </c>
      <c s="125">
        <f>Предпосылки!AJ333*IF(Предпосылки!$G301="нет",1,AJ$603)*IFERROR(LOOKUP(Предпосылки!$I301,$C$13:$C$15,AJ$13:AJ$15),1)</f>
        <v>0</v>
      </c>
      <c s="125">
        <f>Предпосылки!AK333*IF(Предпосылки!$G301="нет",1,AK$603)*IFERROR(LOOKUP(Предпосылки!$I301,$C$13:$C$15,AK$13:AK$15),1)</f>
        <v>0</v>
      </c>
      <c s="125">
        <f>Предпосылки!AL333*IF(Предпосылки!$G301="нет",1,AL$603)*IFERROR(LOOKUP(Предпосылки!$I301,$C$13:$C$15,AL$13:AL$15),1)</f>
        <v>0</v>
      </c>
      <c s="125">
        <f>Предпосылки!AM333*IF(Предпосылки!$G301="нет",1,AM$603)*IFERROR(LOOKUP(Предпосылки!$I301,$C$13:$C$15,AM$13:AM$15),1)</f>
        <v>0</v>
      </c>
      <c s="125">
        <f>Предпосылки!AN333*IF(Предпосылки!$G301="нет",1,AN$603)*IFERROR(LOOKUP(Предпосылки!$I301,$C$13:$C$15,AN$13:AN$15),1)</f>
        <v>0</v>
      </c>
      <c s="125">
        <f>Предпосылки!AO333*IF(Предпосылки!$G301="нет",1,AO$603)*IFERROR(LOOKUP(Предпосылки!$I301,$C$13:$C$15,AO$13:AO$15),1)</f>
        <v>0</v>
      </c>
      <c s="125">
        <f>Предпосылки!AP333*IF(Предпосылки!$G301="нет",1,AP$603)*IFERROR(LOOKUP(Предпосылки!$I301,$C$13:$C$15,AP$13:AP$15),1)</f>
        <v>0</v>
      </c>
      <c s="125">
        <f>Предпосылки!AQ333*IF(Предпосылки!$G301="нет",1,AQ$603)*IFERROR(LOOKUP(Предпосылки!$I301,$C$13:$C$15,AQ$13:AQ$15),1)</f>
        <v>0</v>
      </c>
      <c s="125">
        <f>Предпосылки!AR333*IF(Предпосылки!$G301="нет",1,AR$603)*IFERROR(LOOKUP(Предпосылки!$I301,$C$13:$C$15,AR$13:AR$15),1)</f>
        <v>0</v>
      </c>
      <c s="125">
        <f>Предпосылки!AS333*IF(Предпосылки!$G301="нет",1,AS$603)*IFERROR(LOOKUP(Предпосылки!$I301,$C$13:$C$15,AS$13:AS$15),1)</f>
        <v>0</v>
      </c>
      <c s="125">
        <f>Предпосылки!AT333*IF(Предпосылки!$G301="нет",1,AT$603)*IFERROR(LOOKUP(Предпосылки!$I301,$C$13:$C$15,AT$13:AT$15),1)</f>
        <v>0</v>
      </c>
      <c s="125">
        <f>Предпосылки!AU333*IF(Предпосылки!$G301="нет",1,AU$603)*IFERROR(LOOKUP(Предпосылки!$I301,$C$13:$C$15,AU$13:AU$15),1)</f>
        <v>0</v>
      </c>
      <c s="125">
        <f>Предпосылки!AV333*IF(Предпосылки!$G301="нет",1,AV$603)*IFERROR(LOOKUP(Предпосылки!$I301,$C$13:$C$15,AV$13:AV$15),1)</f>
        <v>0</v>
      </c>
      <c s="125">
        <f>Предпосылки!AW333*IF(Предпосылки!$G301="нет",1,AW$603)*IFERROR(LOOKUP(Предпосылки!$I301,$C$13:$C$15,AW$13:AW$15),1)</f>
        <v>0</v>
      </c>
      <c s="125">
        <f>Предпосылки!AX333*IF(Предпосылки!$G301="нет",1,AX$603)*IFERROR(LOOKUP(Предпосылки!$I301,$C$13:$C$15,AX$13:AX$15),1)</f>
        <v>0</v>
      </c>
      <c s="125">
        <f>Предпосылки!AY333*IF(Предпосылки!$G301="нет",1,AY$603)*IFERROR(LOOKUP(Предпосылки!$I301,$C$13:$C$15,AY$13:AY$15),1)</f>
        <v>0</v>
      </c>
      <c s="125">
        <f>Предпосылки!AZ333*IF(Предпосылки!$G301="нет",1,AZ$603)*IFERROR(LOOKUP(Предпосылки!$I301,$C$13:$C$15,AZ$13:AZ$15),1)</f>
        <v>0</v>
      </c>
      <c s="125">
        <f>Предпосылки!BA333*IF(Предпосылки!$G301="нет",1,BA$603)*IFERROR(LOOKUP(Предпосылки!$I301,$C$13:$C$15,BA$13:BA$15),1)</f>
        <v>0</v>
      </c>
      <c s="125">
        <f>Предпосылки!BB333*IF(Предпосылки!$G301="нет",1,BB$603)*IFERROR(LOOKUP(Предпосылки!$I301,$C$13:$C$15,BB$13:BB$15),1)</f>
        <v>0</v>
      </c>
      <c s="125">
        <f>Предпосылки!BC333*IF(Предпосылки!$G301="нет",1,BC$603)*IFERROR(LOOKUP(Предпосылки!$I301,$C$13:$C$15,BC$13:BC$15),1)</f>
        <v>0</v>
      </c>
      <c s="125">
        <f>Предпосылки!BD333*IF(Предпосылки!$G301="нет",1,BD$603)*IFERROR(LOOKUP(Предпосылки!$I301,$C$13:$C$15,BD$13:BD$15),1)</f>
        <v>0</v>
      </c>
      <c s="125">
        <f>Предпосылки!BE333*IF(Предпосылки!$G301="нет",1,BE$603)*IFERROR(LOOKUP(Предпосылки!$I301,$C$13:$C$15,BE$13:BE$15),1)</f>
        <v>0</v>
      </c>
      <c s="125">
        <f>Предпосылки!BF333*IF(Предпосылки!$G301="нет",1,BF$603)*IFERROR(LOOKUP(Предпосылки!$I301,$C$13:$C$15,BF$13:BF$15),1)</f>
        <v>0</v>
      </c>
      <c s="125">
        <f>Предпосылки!BG333*IF(Предпосылки!$G301="нет",1,BG$603)*IFERROR(LOOKUP(Предпосылки!$I301,$C$13:$C$15,BG$13:BG$15),1)</f>
        <v>0</v>
      </c>
      <c s="125">
        <f>Предпосылки!BH333*IF(Предпосылки!$G301="нет",1,BH$603)*IFERROR(LOOKUP(Предпосылки!$I301,$C$13:$C$15,BH$13:BH$15),1)</f>
        <v>0</v>
      </c>
      <c s="125">
        <f>Предпосылки!BI333*IF(Предпосылки!$G301="нет",1,BI$603)*IFERROR(LOOKUP(Предпосылки!$I301,$C$13:$C$15,BI$13:BI$15),1)</f>
        <v>0</v>
      </c>
      <c s="125">
        <f>Предпосылки!BJ333*IF(Предпосылки!$G301="нет",1,BJ$603)*IFERROR(LOOKUP(Предпосылки!$I301,$C$13:$C$15,BJ$13:BJ$15),1)</f>
        <v>0</v>
      </c>
      <c s="125">
        <f>Предпосылки!BK333*IF(Предпосылки!$G301="нет",1,BK$603)*IFERROR(LOOKUP(Предпосылки!$I301,$C$13:$C$15,BK$13:BK$15),1)</f>
        <v>0</v>
      </c>
      <c s="125">
        <f>Предпосылки!BL333*IF(Предпосылки!$G301="нет",1,BL$603)*IFERROR(LOOKUP(Предпосылки!$I301,$C$13:$C$15,BL$13:BL$15),1)</f>
        <v>0</v>
      </c>
      <c s="125">
        <f>Предпосылки!BM333*IF(Предпосылки!$G301="нет",1,BM$603)*IFERROR(LOOKUP(Предпосылки!$I301,$C$13:$C$15,BM$13:BM$15),1)</f>
        <v>0</v>
      </c>
    </row>
    <row r="659" spans="2:65" ht="15" customHeight="1">
      <c r="B659" s="12" t="str">
        <f t="shared" si="370"/>
        <v>-</v>
      </c>
      <c s="124" t="str">
        <f t="shared" si="369"/>
        <v>тыс. руб.</v>
      </c>
      <c s="276">
        <f t="shared" si="371"/>
        <v>0</v>
      </c>
      <c s="125">
        <f>Предпосылки!E334*IF(Предпосылки!$G302="нет",1,E$603)*IFERROR(LOOKUP(Предпосылки!$I302,$C$13:$C$15,E$13:E$15),1)</f>
        <v>0</v>
      </c>
      <c s="125">
        <f>Предпосылки!F334*IF(Предпосылки!$G302="нет",1,F$603)*IFERROR(LOOKUP(Предпосылки!$I302,$C$13:$C$15,F$13:F$15),1)</f>
        <v>0</v>
      </c>
      <c s="125">
        <f>Предпосылки!G334*IF(Предпосылки!$G302="нет",1,G$603)*IFERROR(LOOKUP(Предпосылки!$I302,$C$13:$C$15,G$13:G$15),1)</f>
        <v>0</v>
      </c>
      <c s="125">
        <f>Предпосылки!H334*IF(Предпосылки!$G302="нет",1,H$603)*IFERROR(LOOKUP(Предпосылки!$I302,$C$13:$C$15,H$13:H$15),1)</f>
        <v>0</v>
      </c>
      <c s="125">
        <f>Предпосылки!I334*IF(Предпосылки!$G302="нет",1,I$603)*IFERROR(LOOKUP(Предпосылки!$I302,$C$13:$C$15,I$13:I$15),1)</f>
        <v>0</v>
      </c>
      <c s="125">
        <f>Предпосылки!J334*IF(Предпосылки!$G302="нет",1,J$603)*IFERROR(LOOKUP(Предпосылки!$I302,$C$13:$C$15,J$13:J$15),1)</f>
        <v>0</v>
      </c>
      <c s="125">
        <f>Предпосылки!K334*IF(Предпосылки!$G302="нет",1,K$603)*IFERROR(LOOKUP(Предпосылки!$I302,$C$13:$C$15,K$13:K$15),1)</f>
        <v>0</v>
      </c>
      <c s="125">
        <f>Предпосылки!L334*IF(Предпосылки!$G302="нет",1,L$603)*IFERROR(LOOKUP(Предпосылки!$I302,$C$13:$C$15,L$13:L$15),1)</f>
        <v>0</v>
      </c>
      <c s="125">
        <f>Предпосылки!M334*IF(Предпосылки!$G302="нет",1,M$603)*IFERROR(LOOKUP(Предпосылки!$I302,$C$13:$C$15,M$13:M$15),1)</f>
        <v>0</v>
      </c>
      <c s="125">
        <f>Предпосылки!N334*IF(Предпосылки!$G302="нет",1,N$603)*IFERROR(LOOKUP(Предпосылки!$I302,$C$13:$C$15,N$13:N$15),1)</f>
        <v>0</v>
      </c>
      <c s="125">
        <f>Предпосылки!O334*IF(Предпосылки!$G302="нет",1,O$603)*IFERROR(LOOKUP(Предпосылки!$I302,$C$13:$C$15,O$13:O$15),1)</f>
        <v>0</v>
      </c>
      <c s="125">
        <f>Предпосылки!P334*IF(Предпосылки!$G302="нет",1,P$603)*IFERROR(LOOKUP(Предпосылки!$I302,$C$13:$C$15,P$13:P$15),1)</f>
        <v>0</v>
      </c>
      <c s="125">
        <f>Предпосылки!Q334*IF(Предпосылки!$G302="нет",1,Q$603)*IFERROR(LOOKUP(Предпосылки!$I302,$C$13:$C$15,Q$13:Q$15),1)</f>
        <v>0</v>
      </c>
      <c s="125">
        <f>Предпосылки!R334*IF(Предпосылки!$G302="нет",1,R$603)*IFERROR(LOOKUP(Предпосылки!$I302,$C$13:$C$15,R$13:R$15),1)</f>
        <v>0</v>
      </c>
      <c s="125">
        <f>Предпосылки!S334*IF(Предпосылки!$G302="нет",1,S$603)*IFERROR(LOOKUP(Предпосылки!$I302,$C$13:$C$15,S$13:S$15),1)</f>
        <v>0</v>
      </c>
      <c s="125">
        <f>Предпосылки!T334*IF(Предпосылки!$G302="нет",1,T$603)*IFERROR(LOOKUP(Предпосылки!$I302,$C$13:$C$15,T$13:T$15),1)</f>
        <v>0</v>
      </c>
      <c s="125">
        <f>Предпосылки!U334*IF(Предпосылки!$G302="нет",1,U$603)*IFERROR(LOOKUP(Предпосылки!$I302,$C$13:$C$15,U$13:U$15),1)</f>
        <v>0</v>
      </c>
      <c s="125">
        <f>Предпосылки!V334*IF(Предпосылки!$G302="нет",1,V$603)*IFERROR(LOOKUP(Предпосылки!$I302,$C$13:$C$15,V$13:V$15),1)</f>
        <v>0</v>
      </c>
      <c s="125">
        <f>Предпосылки!W334*IF(Предпосылки!$G302="нет",1,W$603)*IFERROR(LOOKUP(Предпосылки!$I302,$C$13:$C$15,W$13:W$15),1)</f>
        <v>0</v>
      </c>
      <c s="125">
        <f>Предпосылки!X334*IF(Предпосылки!$G302="нет",1,X$603)*IFERROR(LOOKUP(Предпосылки!$I302,$C$13:$C$15,X$13:X$15),1)</f>
        <v>0</v>
      </c>
      <c s="125">
        <f>Предпосылки!Y334*IF(Предпосылки!$G302="нет",1,Y$603)*IFERROR(LOOKUP(Предпосылки!$I302,$C$13:$C$15,Y$13:Y$15),1)</f>
        <v>0</v>
      </c>
      <c s="125">
        <f>Предпосылки!Z334*IF(Предпосылки!$G302="нет",1,Z$603)*IFERROR(LOOKUP(Предпосылки!$I302,$C$13:$C$15,Z$13:Z$15),1)</f>
        <v>0</v>
      </c>
      <c s="125">
        <f>Предпосылки!AA334*IF(Предпосылки!$G302="нет",1,AA$603)*IFERROR(LOOKUP(Предпосылки!$I302,$C$13:$C$15,AA$13:AA$15),1)</f>
        <v>0</v>
      </c>
      <c s="125">
        <f>Предпосылки!AB334*IF(Предпосылки!$G302="нет",1,AB$603)*IFERROR(LOOKUP(Предпосылки!$I302,$C$13:$C$15,AB$13:AB$15),1)</f>
        <v>0</v>
      </c>
      <c s="125">
        <f>Предпосылки!AC334*IF(Предпосылки!$G302="нет",1,AC$603)*IFERROR(LOOKUP(Предпосылки!$I302,$C$13:$C$15,AC$13:AC$15),1)</f>
        <v>0</v>
      </c>
      <c s="125">
        <f>Предпосылки!AD334*IF(Предпосылки!$G302="нет",1,AD$603)*IFERROR(LOOKUP(Предпосылки!$I302,$C$13:$C$15,AD$13:AD$15),1)</f>
        <v>0</v>
      </c>
      <c s="125">
        <f>Предпосылки!AE334*IF(Предпосылки!$G302="нет",1,AE$603)*IFERROR(LOOKUP(Предпосылки!$I302,$C$13:$C$15,AE$13:AE$15),1)</f>
        <v>0</v>
      </c>
      <c s="125">
        <f>Предпосылки!AF334*IF(Предпосылки!$G302="нет",1,AF$603)*IFERROR(LOOKUP(Предпосылки!$I302,$C$13:$C$15,AF$13:AF$15),1)</f>
        <v>0</v>
      </c>
      <c s="125">
        <f>Предпосылки!AG334*IF(Предпосылки!$G302="нет",1,AG$603)*IFERROR(LOOKUP(Предпосылки!$I302,$C$13:$C$15,AG$13:AG$15),1)</f>
        <v>0</v>
      </c>
      <c s="125">
        <f>Предпосылки!AH334*IF(Предпосылки!$G302="нет",1,AH$603)*IFERROR(LOOKUP(Предпосылки!$I302,$C$13:$C$15,AH$13:AH$15),1)</f>
        <v>0</v>
      </c>
      <c s="125">
        <f>Предпосылки!AI334*IF(Предпосылки!$G302="нет",1,AI$603)*IFERROR(LOOKUP(Предпосылки!$I302,$C$13:$C$15,AI$13:AI$15),1)</f>
        <v>0</v>
      </c>
      <c s="125">
        <f>Предпосылки!AJ334*IF(Предпосылки!$G302="нет",1,AJ$603)*IFERROR(LOOKUP(Предпосылки!$I302,$C$13:$C$15,AJ$13:AJ$15),1)</f>
        <v>0</v>
      </c>
      <c s="125">
        <f>Предпосылки!AK334*IF(Предпосылки!$G302="нет",1,AK$603)*IFERROR(LOOKUP(Предпосылки!$I302,$C$13:$C$15,AK$13:AK$15),1)</f>
        <v>0</v>
      </c>
      <c s="125">
        <f>Предпосылки!AL334*IF(Предпосылки!$G302="нет",1,AL$603)*IFERROR(LOOKUP(Предпосылки!$I302,$C$13:$C$15,AL$13:AL$15),1)</f>
        <v>0</v>
      </c>
      <c s="125">
        <f>Предпосылки!AM334*IF(Предпосылки!$G302="нет",1,AM$603)*IFERROR(LOOKUP(Предпосылки!$I302,$C$13:$C$15,AM$13:AM$15),1)</f>
        <v>0</v>
      </c>
      <c s="125">
        <f>Предпосылки!AN334*IF(Предпосылки!$G302="нет",1,AN$603)*IFERROR(LOOKUP(Предпосылки!$I302,$C$13:$C$15,AN$13:AN$15),1)</f>
        <v>0</v>
      </c>
      <c s="125">
        <f>Предпосылки!AO334*IF(Предпосылки!$G302="нет",1,AO$603)*IFERROR(LOOKUP(Предпосылки!$I302,$C$13:$C$15,AO$13:AO$15),1)</f>
        <v>0</v>
      </c>
      <c s="125">
        <f>Предпосылки!AP334*IF(Предпосылки!$G302="нет",1,AP$603)*IFERROR(LOOKUP(Предпосылки!$I302,$C$13:$C$15,AP$13:AP$15),1)</f>
        <v>0</v>
      </c>
      <c s="125">
        <f>Предпосылки!AQ334*IF(Предпосылки!$G302="нет",1,AQ$603)*IFERROR(LOOKUP(Предпосылки!$I302,$C$13:$C$15,AQ$13:AQ$15),1)</f>
        <v>0</v>
      </c>
      <c s="125">
        <f>Предпосылки!AR334*IF(Предпосылки!$G302="нет",1,AR$603)*IFERROR(LOOKUP(Предпосылки!$I302,$C$13:$C$15,AR$13:AR$15),1)</f>
        <v>0</v>
      </c>
      <c s="125">
        <f>Предпосылки!AS334*IF(Предпосылки!$G302="нет",1,AS$603)*IFERROR(LOOKUP(Предпосылки!$I302,$C$13:$C$15,AS$13:AS$15),1)</f>
        <v>0</v>
      </c>
      <c s="125">
        <f>Предпосылки!AT334*IF(Предпосылки!$G302="нет",1,AT$603)*IFERROR(LOOKUP(Предпосылки!$I302,$C$13:$C$15,AT$13:AT$15),1)</f>
        <v>0</v>
      </c>
      <c s="125">
        <f>Предпосылки!AU334*IF(Предпосылки!$G302="нет",1,AU$603)*IFERROR(LOOKUP(Предпосылки!$I302,$C$13:$C$15,AU$13:AU$15),1)</f>
        <v>0</v>
      </c>
      <c s="125">
        <f>Предпосылки!AV334*IF(Предпосылки!$G302="нет",1,AV$603)*IFERROR(LOOKUP(Предпосылки!$I302,$C$13:$C$15,AV$13:AV$15),1)</f>
        <v>0</v>
      </c>
      <c s="125">
        <f>Предпосылки!AW334*IF(Предпосылки!$G302="нет",1,AW$603)*IFERROR(LOOKUP(Предпосылки!$I302,$C$13:$C$15,AW$13:AW$15),1)</f>
        <v>0</v>
      </c>
      <c s="125">
        <f>Предпосылки!AX334*IF(Предпосылки!$G302="нет",1,AX$603)*IFERROR(LOOKUP(Предпосылки!$I302,$C$13:$C$15,AX$13:AX$15),1)</f>
        <v>0</v>
      </c>
      <c s="125">
        <f>Предпосылки!AY334*IF(Предпосылки!$G302="нет",1,AY$603)*IFERROR(LOOKUP(Предпосылки!$I302,$C$13:$C$15,AY$13:AY$15),1)</f>
        <v>0</v>
      </c>
      <c s="125">
        <f>Предпосылки!AZ334*IF(Предпосылки!$G302="нет",1,AZ$603)*IFERROR(LOOKUP(Предпосылки!$I302,$C$13:$C$15,AZ$13:AZ$15),1)</f>
        <v>0</v>
      </c>
      <c s="125">
        <f>Предпосылки!BA334*IF(Предпосылки!$G302="нет",1,BA$603)*IFERROR(LOOKUP(Предпосылки!$I302,$C$13:$C$15,BA$13:BA$15),1)</f>
        <v>0</v>
      </c>
      <c s="125">
        <f>Предпосылки!BB334*IF(Предпосылки!$G302="нет",1,BB$603)*IFERROR(LOOKUP(Предпосылки!$I302,$C$13:$C$15,BB$13:BB$15),1)</f>
        <v>0</v>
      </c>
      <c s="125">
        <f>Предпосылки!BC334*IF(Предпосылки!$G302="нет",1,BC$603)*IFERROR(LOOKUP(Предпосылки!$I302,$C$13:$C$15,BC$13:BC$15),1)</f>
        <v>0</v>
      </c>
      <c s="125">
        <f>Предпосылки!BD334*IF(Предпосылки!$G302="нет",1,BD$603)*IFERROR(LOOKUP(Предпосылки!$I302,$C$13:$C$15,BD$13:BD$15),1)</f>
        <v>0</v>
      </c>
      <c s="125">
        <f>Предпосылки!BE334*IF(Предпосылки!$G302="нет",1,BE$603)*IFERROR(LOOKUP(Предпосылки!$I302,$C$13:$C$15,BE$13:BE$15),1)</f>
        <v>0</v>
      </c>
      <c s="125">
        <f>Предпосылки!BF334*IF(Предпосылки!$G302="нет",1,BF$603)*IFERROR(LOOKUP(Предпосылки!$I302,$C$13:$C$15,BF$13:BF$15),1)</f>
        <v>0</v>
      </c>
      <c s="125">
        <f>Предпосылки!BG334*IF(Предпосылки!$G302="нет",1,BG$603)*IFERROR(LOOKUP(Предпосылки!$I302,$C$13:$C$15,BG$13:BG$15),1)</f>
        <v>0</v>
      </c>
      <c s="125">
        <f>Предпосылки!BH334*IF(Предпосылки!$G302="нет",1,BH$603)*IFERROR(LOOKUP(Предпосылки!$I302,$C$13:$C$15,BH$13:BH$15),1)</f>
        <v>0</v>
      </c>
      <c s="125">
        <f>Предпосылки!BI334*IF(Предпосылки!$G302="нет",1,BI$603)*IFERROR(LOOKUP(Предпосылки!$I302,$C$13:$C$15,BI$13:BI$15),1)</f>
        <v>0</v>
      </c>
      <c s="125">
        <f>Предпосылки!BJ334*IF(Предпосылки!$G302="нет",1,BJ$603)*IFERROR(LOOKUP(Предпосылки!$I302,$C$13:$C$15,BJ$13:BJ$15),1)</f>
        <v>0</v>
      </c>
      <c s="125">
        <f>Предпосылки!BK334*IF(Предпосылки!$G302="нет",1,BK$603)*IFERROR(LOOKUP(Предпосылки!$I302,$C$13:$C$15,BK$13:BK$15),1)</f>
        <v>0</v>
      </c>
      <c s="125">
        <f>Предпосылки!BL334*IF(Предпосылки!$G302="нет",1,BL$603)*IFERROR(LOOKUP(Предпосылки!$I302,$C$13:$C$15,BL$13:BL$15),1)</f>
        <v>0</v>
      </c>
      <c s="125">
        <f>Предпосылки!BM334*IF(Предпосылки!$G302="нет",1,BM$603)*IFERROR(LOOKUP(Предпосылки!$I302,$C$13:$C$15,BM$13:BM$15),1)</f>
        <v>0</v>
      </c>
    </row>
    <row r="660" spans="2:65" ht="15" customHeight="1">
      <c r="B660" s="289" t="s">
        <v>454</v>
      </c>
      <c s="290" t="str">
        <f>Единица_измерения</f>
        <v>тыс. руб.</v>
      </c>
      <c s="291">
        <f ca="1">SUM(D635:D659)</f>
        <v>0</v>
      </c>
      <c s="276">
        <f>SUM(E635:E659)</f>
        <v>0</v>
      </c>
      <c s="276">
        <f ca="1" t="shared" si="372" ref="F660:AG660">SUM(F635:F659)</f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t="shared" ca="1" si="372"/>
        <v>0</v>
      </c>
      <c s="276">
        <f ca="1" t="shared" si="373" ref="AH660:BM660">SUM(AH635:AH659)</f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  <c s="276">
        <f t="shared" ca="1" si="373"/>
        <v>0</v>
      </c>
    </row>
    <row r="661" ht="15" customHeight="1"/>
    <row r="662" spans="2:2" ht="15" customHeight="1">
      <c r="B662" s="24" t="s">
        <v>864</v>
      </c>
    </row>
    <row r="663" spans="2:65" ht="15" customHeight="1">
      <c r="B663" s="12" t="str">
        <f>B635</f>
        <v>Комиссионное вознаграждение за банк. гарантию</v>
      </c>
      <c s="124" t="str">
        <f t="shared" si="374" ref="C663:C687">Единица_измерения</f>
        <v>тыс. руб.</v>
      </c>
      <c s="276">
        <f ca="1">SUM(E663:BM663)</f>
        <v>0</v>
      </c>
      <c s="125">
        <f>E635/(1+IFERROR(INDEX(E$10:E$11,Предпосылки!$J278,),0))*IFERROR(INDEX(E$10:E$11,Предпосылки!$J278,),0)</f>
        <v>0</v>
      </c>
      <c s="125">
        <f ca="1">F635/(1+IFERROR(INDEX(F$10:F$11,Предпосылки!$J278,),0))*IFERROR(INDEX(F$10:F$11,Предпосылки!$J278,),0)</f>
        <v>0</v>
      </c>
      <c s="125">
        <f ca="1">G635/(1+IFERROR(INDEX(G$10:G$11,Предпосылки!$J278,),0))*IFERROR(INDEX(G$10:G$11,Предпосылки!$J278,),0)</f>
        <v>0</v>
      </c>
      <c s="125">
        <f ca="1">H635/(1+IFERROR(INDEX(H$10:H$11,Предпосылки!$J278,),0))*IFERROR(INDEX(H$10:H$11,Предпосылки!$J278,),0)</f>
        <v>0</v>
      </c>
      <c s="125">
        <f ca="1">I635/(1+IFERROR(INDEX(I$10:I$11,Предпосылки!$J278,),0))*IFERROR(INDEX(I$10:I$11,Предпосылки!$J278,),0)</f>
        <v>0</v>
      </c>
      <c s="125">
        <f ca="1">J635/(1+IFERROR(INDEX(J$10:J$11,Предпосылки!$J278,),0))*IFERROR(INDEX(J$10:J$11,Предпосылки!$J278,),0)</f>
        <v>0</v>
      </c>
      <c s="125">
        <f ca="1">K635/(1+IFERROR(INDEX(K$10:K$11,Предпосылки!$J278,),0))*IFERROR(INDEX(K$10:K$11,Предпосылки!$J278,),0)</f>
        <v>0</v>
      </c>
      <c s="125">
        <f ca="1">L635/(1+IFERROR(INDEX(L$10:L$11,Предпосылки!$J278,),0))*IFERROR(INDEX(L$10:L$11,Предпосылки!$J278,),0)</f>
        <v>0</v>
      </c>
      <c s="125">
        <f ca="1">M635/(1+IFERROR(INDEX(M$10:M$11,Предпосылки!$J278,),0))*IFERROR(INDEX(M$10:M$11,Предпосылки!$J278,),0)</f>
        <v>0</v>
      </c>
      <c s="125">
        <f ca="1">N635/(1+IFERROR(INDEX(N$10:N$11,Предпосылки!$J278,),0))*IFERROR(INDEX(N$10:N$11,Предпосылки!$J278,),0)</f>
        <v>0</v>
      </c>
      <c s="125">
        <f ca="1">O635/(1+IFERROR(INDEX(O$10:O$11,Предпосылки!$J278,),0))*IFERROR(INDEX(O$10:O$11,Предпосылки!$J278,),0)</f>
        <v>0</v>
      </c>
      <c s="125">
        <f ca="1">P635/(1+IFERROR(INDEX(P$10:P$11,Предпосылки!$J278,),0))*IFERROR(INDEX(P$10:P$11,Предпосылки!$J278,),0)</f>
        <v>0</v>
      </c>
      <c s="125">
        <f ca="1">Q635/(1+IFERROR(INDEX(Q$10:Q$11,Предпосылки!$J278,),0))*IFERROR(INDEX(Q$10:Q$11,Предпосылки!$J278,),0)</f>
        <v>0</v>
      </c>
      <c s="125">
        <f ca="1">R635/(1+IFERROR(INDEX(R$10:R$11,Предпосылки!$J278,),0))*IFERROR(INDEX(R$10:R$11,Предпосылки!$J278,),0)</f>
        <v>0</v>
      </c>
      <c s="125">
        <f ca="1">S635/(1+IFERROR(INDEX(S$10:S$11,Предпосылки!$J278,),0))*IFERROR(INDEX(S$10:S$11,Предпосылки!$J278,),0)</f>
        <v>0</v>
      </c>
      <c s="125">
        <f ca="1">T635/(1+IFERROR(INDEX(T$10:T$11,Предпосылки!$J278,),0))*IFERROR(INDEX(T$10:T$11,Предпосылки!$J278,),0)</f>
        <v>0</v>
      </c>
      <c s="125">
        <f ca="1">U635/(1+IFERROR(INDEX(U$10:U$11,Предпосылки!$J278,),0))*IFERROR(INDEX(U$10:U$11,Предпосылки!$J278,),0)</f>
        <v>0</v>
      </c>
      <c s="125">
        <f ca="1">V635/(1+IFERROR(INDEX(V$10:V$11,Предпосылки!$J278,),0))*IFERROR(INDEX(V$10:V$11,Предпосылки!$J278,),0)</f>
        <v>0</v>
      </c>
      <c s="125">
        <f ca="1">W635/(1+IFERROR(INDEX(W$10:W$11,Предпосылки!$J278,),0))*IFERROR(INDEX(W$10:W$11,Предпосылки!$J278,),0)</f>
        <v>0</v>
      </c>
      <c s="125">
        <f ca="1">X635/(1+IFERROR(INDEX(X$10:X$11,Предпосылки!$J278,),0))*IFERROR(INDEX(X$10:X$11,Предпосылки!$J278,),0)</f>
        <v>0</v>
      </c>
      <c s="125">
        <f ca="1">Y635/(1+IFERROR(INDEX(Y$10:Y$11,Предпосылки!$J278,),0))*IFERROR(INDEX(Y$10:Y$11,Предпосылки!$J278,),0)</f>
        <v>0</v>
      </c>
      <c s="125">
        <f ca="1">Z635/(1+IFERROR(INDEX(Z$10:Z$11,Предпосылки!$J278,),0))*IFERROR(INDEX(Z$10:Z$11,Предпосылки!$J278,),0)</f>
        <v>0</v>
      </c>
      <c s="125">
        <f ca="1">AA635/(1+IFERROR(INDEX(AA$10:AA$11,Предпосылки!$J278,),0))*IFERROR(INDEX(AA$10:AA$11,Предпосылки!$J278,),0)</f>
        <v>0</v>
      </c>
      <c s="125">
        <f ca="1">AB635/(1+IFERROR(INDEX(AB$10:AB$11,Предпосылки!$J278,),0))*IFERROR(INDEX(AB$10:AB$11,Предпосылки!$J278,),0)</f>
        <v>0</v>
      </c>
      <c s="125">
        <f ca="1">AC635/(1+IFERROR(INDEX(AC$10:AC$11,Предпосылки!$J278,),0))*IFERROR(INDEX(AC$10:AC$11,Предпосылки!$J278,),0)</f>
        <v>0</v>
      </c>
      <c s="125">
        <f ca="1">AD635/(1+IFERROR(INDEX(AD$10:AD$11,Предпосылки!$J278,),0))*IFERROR(INDEX(AD$10:AD$11,Предпосылки!$J278,),0)</f>
        <v>0</v>
      </c>
      <c s="125">
        <f ca="1">AE635/(1+IFERROR(INDEX(AE$10:AE$11,Предпосылки!$J278,),0))*IFERROR(INDEX(AE$10:AE$11,Предпосылки!$J278,),0)</f>
        <v>0</v>
      </c>
      <c s="125">
        <f ca="1">AF635/(1+IFERROR(INDEX(AF$10:AF$11,Предпосылки!$J278,),0))*IFERROR(INDEX(AF$10:AF$11,Предпосылки!$J278,),0)</f>
        <v>0</v>
      </c>
      <c s="125">
        <f ca="1">AG635/(1+IFERROR(INDEX(AG$10:AG$11,Предпосылки!$J278,),0))*IFERROR(INDEX(AG$10:AG$11,Предпосылки!$J278,),0)</f>
        <v>0</v>
      </c>
      <c s="125">
        <f ca="1">AH635/(1+IFERROR(INDEX(AH$10:AH$11,Предпосылки!$J278,),0))*IFERROR(INDEX(AH$10:AH$11,Предпосылки!$J278,),0)</f>
        <v>0</v>
      </c>
      <c s="125">
        <f ca="1">AI635/(1+IFERROR(INDEX(AI$10:AI$11,Предпосылки!$J278,),0))*IFERROR(INDEX(AI$10:AI$11,Предпосылки!$J278,),0)</f>
        <v>0</v>
      </c>
      <c s="125">
        <f ca="1">AJ635/(1+IFERROR(INDEX(AJ$10:AJ$11,Предпосылки!$J278,),0))*IFERROR(INDEX(AJ$10:AJ$11,Предпосылки!$J278,),0)</f>
        <v>0</v>
      </c>
      <c s="125">
        <f ca="1">AK635/(1+IFERROR(INDEX(AK$10:AK$11,Предпосылки!$J278,),0))*IFERROR(INDEX(AK$10:AK$11,Предпосылки!$J278,),0)</f>
        <v>0</v>
      </c>
      <c s="125">
        <f ca="1">AL635/(1+IFERROR(INDEX(AL$10:AL$11,Предпосылки!$J278,),0))*IFERROR(INDEX(AL$10:AL$11,Предпосылки!$J278,),0)</f>
        <v>0</v>
      </c>
      <c s="125">
        <f ca="1">AM635/(1+IFERROR(INDEX(AM$10:AM$11,Предпосылки!$J278,),0))*IFERROR(INDEX(AM$10:AM$11,Предпосылки!$J278,),0)</f>
        <v>0</v>
      </c>
      <c s="125">
        <f ca="1">AN635/(1+IFERROR(INDEX(AN$10:AN$11,Предпосылки!$J278,),0))*IFERROR(INDEX(AN$10:AN$11,Предпосылки!$J278,),0)</f>
        <v>0</v>
      </c>
      <c s="125">
        <f ca="1">AO635/(1+IFERROR(INDEX(AO$10:AO$11,Предпосылки!$J278,),0))*IFERROR(INDEX(AO$10:AO$11,Предпосылки!$J278,),0)</f>
        <v>0</v>
      </c>
      <c s="125">
        <f ca="1">AP635/(1+IFERROR(INDEX(AP$10:AP$11,Предпосылки!$J278,),0))*IFERROR(INDEX(AP$10:AP$11,Предпосылки!$J278,),0)</f>
        <v>0</v>
      </c>
      <c s="125">
        <f ca="1">AQ635/(1+IFERROR(INDEX(AQ$10:AQ$11,Предпосылки!$J278,),0))*IFERROR(INDEX(AQ$10:AQ$11,Предпосылки!$J278,),0)</f>
        <v>0</v>
      </c>
      <c s="125">
        <f ca="1">AR635/(1+IFERROR(INDEX(AR$10:AR$11,Предпосылки!$J278,),0))*IFERROR(INDEX(AR$10:AR$11,Предпосылки!$J278,),0)</f>
        <v>0</v>
      </c>
      <c s="125">
        <f ca="1">AS635/(1+IFERROR(INDEX(AS$10:AS$11,Предпосылки!$J278,),0))*IFERROR(INDEX(AS$10:AS$11,Предпосылки!$J278,),0)</f>
        <v>0</v>
      </c>
      <c s="125">
        <f ca="1">AT635/(1+IFERROR(INDEX(AT$10:AT$11,Предпосылки!$J278,),0))*IFERROR(INDEX(AT$10:AT$11,Предпосылки!$J278,),0)</f>
        <v>0</v>
      </c>
      <c s="125">
        <f ca="1">AU635/(1+IFERROR(INDEX(AU$10:AU$11,Предпосылки!$J278,),0))*IFERROR(INDEX(AU$10:AU$11,Предпосылки!$J278,),0)</f>
        <v>0</v>
      </c>
      <c s="125">
        <f ca="1">AV635/(1+IFERROR(INDEX(AV$10:AV$11,Предпосылки!$J278,),0))*IFERROR(INDEX(AV$10:AV$11,Предпосылки!$J278,),0)</f>
        <v>0</v>
      </c>
      <c s="125">
        <f ca="1">AW635/(1+IFERROR(INDEX(AW$10:AW$11,Предпосылки!$J278,),0))*IFERROR(INDEX(AW$10:AW$11,Предпосылки!$J278,),0)</f>
        <v>0</v>
      </c>
      <c s="125">
        <f ca="1">AX635/(1+IFERROR(INDEX(AX$10:AX$11,Предпосылки!$J278,),0))*IFERROR(INDEX(AX$10:AX$11,Предпосылки!$J278,),0)</f>
        <v>0</v>
      </c>
      <c s="125">
        <f ca="1">AY635/(1+IFERROR(INDEX(AY$10:AY$11,Предпосылки!$J278,),0))*IFERROR(INDEX(AY$10:AY$11,Предпосылки!$J278,),0)</f>
        <v>0</v>
      </c>
      <c s="125">
        <f ca="1">AZ635/(1+IFERROR(INDEX(AZ$10:AZ$11,Предпосылки!$J278,),0))*IFERROR(INDEX(AZ$10:AZ$11,Предпосылки!$J278,),0)</f>
        <v>0</v>
      </c>
      <c s="125">
        <f ca="1">BA635/(1+IFERROR(INDEX(BA$10:BA$11,Предпосылки!$J278,),0))*IFERROR(INDEX(BA$10:BA$11,Предпосылки!$J278,),0)</f>
        <v>0</v>
      </c>
      <c s="125">
        <f ca="1">BB635/(1+IFERROR(INDEX(BB$10:BB$11,Предпосылки!$J278,),0))*IFERROR(INDEX(BB$10:BB$11,Предпосылки!$J278,),0)</f>
        <v>0</v>
      </c>
      <c s="125">
        <f ca="1">BC635/(1+IFERROR(INDEX(BC$10:BC$11,Предпосылки!$J278,),0))*IFERROR(INDEX(BC$10:BC$11,Предпосылки!$J278,),0)</f>
        <v>0</v>
      </c>
      <c s="125">
        <f ca="1">BD635/(1+IFERROR(INDEX(BD$10:BD$11,Предпосылки!$J278,),0))*IFERROR(INDEX(BD$10:BD$11,Предпосылки!$J278,),0)</f>
        <v>0</v>
      </c>
      <c s="125">
        <f ca="1">BE635/(1+IFERROR(INDEX(BE$10:BE$11,Предпосылки!$J278,),0))*IFERROR(INDEX(BE$10:BE$11,Предпосылки!$J278,),0)</f>
        <v>0</v>
      </c>
      <c s="125">
        <f ca="1">BF635/(1+IFERROR(INDEX(BF$10:BF$11,Предпосылки!$J278,),0))*IFERROR(INDEX(BF$10:BF$11,Предпосылки!$J278,),0)</f>
        <v>0</v>
      </c>
      <c s="125">
        <f ca="1">BG635/(1+IFERROR(INDEX(BG$10:BG$11,Предпосылки!$J278,),0))*IFERROR(INDEX(BG$10:BG$11,Предпосылки!$J278,),0)</f>
        <v>0</v>
      </c>
      <c s="125">
        <f ca="1">BH635/(1+IFERROR(INDEX(BH$10:BH$11,Предпосылки!$J278,),0))*IFERROR(INDEX(BH$10:BH$11,Предпосылки!$J278,),0)</f>
        <v>0</v>
      </c>
      <c s="125">
        <f ca="1">BI635/(1+IFERROR(INDEX(BI$10:BI$11,Предпосылки!$J278,),0))*IFERROR(INDEX(BI$10:BI$11,Предпосылки!$J278,),0)</f>
        <v>0</v>
      </c>
      <c s="125">
        <f ca="1">BJ635/(1+IFERROR(INDEX(BJ$10:BJ$11,Предпосылки!$J278,),0))*IFERROR(INDEX(BJ$10:BJ$11,Предпосылки!$J278,),0)</f>
        <v>0</v>
      </c>
      <c s="125">
        <f ca="1">BK635/(1+IFERROR(INDEX(BK$10:BK$11,Предпосылки!$J278,),0))*IFERROR(INDEX(BK$10:BK$11,Предпосылки!$J278,),0)</f>
        <v>0</v>
      </c>
      <c s="125">
        <f ca="1">BL635/(1+IFERROR(INDEX(BL$10:BL$11,Предпосылки!$J278,),0))*IFERROR(INDEX(BL$10:BL$11,Предпосылки!$J278,),0)</f>
        <v>0</v>
      </c>
      <c s="125">
        <f ca="1">BM635/(1+IFERROR(INDEX(BM$10:BM$11,Предпосылки!$J278,),0))*IFERROR(INDEX(BM$10:BM$11,Предпосылки!$J278,),0)</f>
        <v>0</v>
      </c>
    </row>
    <row r="664" spans="2:65" ht="15" customHeight="1">
      <c r="B664" s="12" t="str">
        <f t="shared" si="375" ref="B664:B687">B636</f>
        <v>-</v>
      </c>
      <c s="124" t="str">
        <f t="shared" si="374"/>
        <v>тыс. руб.</v>
      </c>
      <c s="276">
        <f t="shared" si="376" ref="D664:D687">SUM(E664:BM664)</f>
        <v>0</v>
      </c>
      <c s="125">
        <f>E636/(1+IFERROR(INDEX(E$10:E$11,Предпосылки!$J279,),0))*IFERROR(INDEX(E$10:E$11,Предпосылки!$J279,),0)</f>
        <v>0</v>
      </c>
      <c s="125">
        <f>F636/(1+IFERROR(INDEX(F$10:F$11,Предпосылки!$J279,),0))*IFERROR(INDEX(F$10:F$11,Предпосылки!$J279,),0)</f>
        <v>0</v>
      </c>
      <c s="125">
        <f>G636/(1+IFERROR(INDEX(G$10:G$11,Предпосылки!$J279,),0))*IFERROR(INDEX(G$10:G$11,Предпосылки!$J279,),0)</f>
        <v>0</v>
      </c>
      <c s="125">
        <f>H636/(1+IFERROR(INDEX(H$10:H$11,Предпосылки!$J279,),0))*IFERROR(INDEX(H$10:H$11,Предпосылки!$J279,),0)</f>
        <v>0</v>
      </c>
      <c s="125">
        <f>I636/(1+IFERROR(INDEX(I$10:I$11,Предпосылки!$J279,),0))*IFERROR(INDEX(I$10:I$11,Предпосылки!$J279,),0)</f>
        <v>0</v>
      </c>
      <c s="125">
        <f>J636/(1+IFERROR(INDEX(J$10:J$11,Предпосылки!$J279,),0))*IFERROR(INDEX(J$10:J$11,Предпосылки!$J279,),0)</f>
        <v>0</v>
      </c>
      <c s="125">
        <f>K636/(1+IFERROR(INDEX(K$10:K$11,Предпосылки!$J279,),0))*IFERROR(INDEX(K$10:K$11,Предпосылки!$J279,),0)</f>
        <v>0</v>
      </c>
      <c s="125">
        <f>L636/(1+IFERROR(INDEX(L$10:L$11,Предпосылки!$J279,),0))*IFERROR(INDEX(L$10:L$11,Предпосылки!$J279,),0)</f>
        <v>0</v>
      </c>
      <c s="125">
        <f>M636/(1+IFERROR(INDEX(M$10:M$11,Предпосылки!$J279,),0))*IFERROR(INDEX(M$10:M$11,Предпосылки!$J279,),0)</f>
        <v>0</v>
      </c>
      <c s="125">
        <f>N636/(1+IFERROR(INDEX(N$10:N$11,Предпосылки!$J279,),0))*IFERROR(INDEX(N$10:N$11,Предпосылки!$J279,),0)</f>
        <v>0</v>
      </c>
      <c s="125">
        <f>O636/(1+IFERROR(INDEX(O$10:O$11,Предпосылки!$J279,),0))*IFERROR(INDEX(O$10:O$11,Предпосылки!$J279,),0)</f>
        <v>0</v>
      </c>
      <c s="125">
        <f>P636/(1+IFERROR(INDEX(P$10:P$11,Предпосылки!$J279,),0))*IFERROR(INDEX(P$10:P$11,Предпосылки!$J279,),0)</f>
        <v>0</v>
      </c>
      <c s="125">
        <f>Q636/(1+IFERROR(INDEX(Q$10:Q$11,Предпосылки!$J279,),0))*IFERROR(INDEX(Q$10:Q$11,Предпосылки!$J279,),0)</f>
        <v>0</v>
      </c>
      <c s="125">
        <f>R636/(1+IFERROR(INDEX(R$10:R$11,Предпосылки!$J279,),0))*IFERROR(INDEX(R$10:R$11,Предпосылки!$J279,),0)</f>
        <v>0</v>
      </c>
      <c s="125">
        <f>S636/(1+IFERROR(INDEX(S$10:S$11,Предпосылки!$J279,),0))*IFERROR(INDEX(S$10:S$11,Предпосылки!$J279,),0)</f>
        <v>0</v>
      </c>
      <c s="125">
        <f>T636/(1+IFERROR(INDEX(T$10:T$11,Предпосылки!$J279,),0))*IFERROR(INDEX(T$10:T$11,Предпосылки!$J279,),0)</f>
        <v>0</v>
      </c>
      <c s="125">
        <f>U636/(1+IFERROR(INDEX(U$10:U$11,Предпосылки!$J279,),0))*IFERROR(INDEX(U$10:U$11,Предпосылки!$J279,),0)</f>
        <v>0</v>
      </c>
      <c s="125">
        <f>V636/(1+IFERROR(INDEX(V$10:V$11,Предпосылки!$J279,),0))*IFERROR(INDEX(V$10:V$11,Предпосылки!$J279,),0)</f>
        <v>0</v>
      </c>
      <c s="125">
        <f>W636/(1+IFERROR(INDEX(W$10:W$11,Предпосылки!$J279,),0))*IFERROR(INDEX(W$10:W$11,Предпосылки!$J279,),0)</f>
        <v>0</v>
      </c>
      <c s="125">
        <f>X636/(1+IFERROR(INDEX(X$10:X$11,Предпосылки!$J279,),0))*IFERROR(INDEX(X$10:X$11,Предпосылки!$J279,),0)</f>
        <v>0</v>
      </c>
      <c s="125">
        <f>Y636/(1+IFERROR(INDEX(Y$10:Y$11,Предпосылки!$J279,),0))*IFERROR(INDEX(Y$10:Y$11,Предпосылки!$J279,),0)</f>
        <v>0</v>
      </c>
      <c s="125">
        <f>Z636/(1+IFERROR(INDEX(Z$10:Z$11,Предпосылки!$J279,),0))*IFERROR(INDEX(Z$10:Z$11,Предпосылки!$J279,),0)</f>
        <v>0</v>
      </c>
      <c s="125">
        <f>AA636/(1+IFERROR(INDEX(AA$10:AA$11,Предпосылки!$J279,),0))*IFERROR(INDEX(AA$10:AA$11,Предпосылки!$J279,),0)</f>
        <v>0</v>
      </c>
      <c s="125">
        <f>AB636/(1+IFERROR(INDEX(AB$10:AB$11,Предпосылки!$J279,),0))*IFERROR(INDEX(AB$10:AB$11,Предпосылки!$J279,),0)</f>
        <v>0</v>
      </c>
      <c s="125">
        <f>AC636/(1+IFERROR(INDEX(AC$10:AC$11,Предпосылки!$J279,),0))*IFERROR(INDEX(AC$10:AC$11,Предпосылки!$J279,),0)</f>
        <v>0</v>
      </c>
      <c s="125">
        <f>AD636/(1+IFERROR(INDEX(AD$10:AD$11,Предпосылки!$J279,),0))*IFERROR(INDEX(AD$10:AD$11,Предпосылки!$J279,),0)</f>
        <v>0</v>
      </c>
      <c s="125">
        <f>AE636/(1+IFERROR(INDEX(AE$10:AE$11,Предпосылки!$J279,),0))*IFERROR(INDEX(AE$10:AE$11,Предпосылки!$J279,),0)</f>
        <v>0</v>
      </c>
      <c s="125">
        <f>AF636/(1+IFERROR(INDEX(AF$10:AF$11,Предпосылки!$J279,),0))*IFERROR(INDEX(AF$10:AF$11,Предпосылки!$J279,),0)</f>
        <v>0</v>
      </c>
      <c s="125">
        <f>AG636/(1+IFERROR(INDEX(AG$10:AG$11,Предпосылки!$J279,),0))*IFERROR(INDEX(AG$10:AG$11,Предпосылки!$J279,),0)</f>
        <v>0</v>
      </c>
      <c s="125">
        <f>AH636/(1+IFERROR(INDEX(AH$10:AH$11,Предпосылки!$J279,),0))*IFERROR(INDEX(AH$10:AH$11,Предпосылки!$J279,),0)</f>
        <v>0</v>
      </c>
      <c s="125">
        <f>AI636/(1+IFERROR(INDEX(AI$10:AI$11,Предпосылки!$J279,),0))*IFERROR(INDEX(AI$10:AI$11,Предпосылки!$J279,),0)</f>
        <v>0</v>
      </c>
      <c s="125">
        <f>AJ636/(1+IFERROR(INDEX(AJ$10:AJ$11,Предпосылки!$J279,),0))*IFERROR(INDEX(AJ$10:AJ$11,Предпосылки!$J279,),0)</f>
        <v>0</v>
      </c>
      <c s="125">
        <f>AK636/(1+IFERROR(INDEX(AK$10:AK$11,Предпосылки!$J279,),0))*IFERROR(INDEX(AK$10:AK$11,Предпосылки!$J279,),0)</f>
        <v>0</v>
      </c>
      <c s="125">
        <f>AL636/(1+IFERROR(INDEX(AL$10:AL$11,Предпосылки!$J279,),0))*IFERROR(INDEX(AL$10:AL$11,Предпосылки!$J279,),0)</f>
        <v>0</v>
      </c>
      <c s="125">
        <f>AM636/(1+IFERROR(INDEX(AM$10:AM$11,Предпосылки!$J279,),0))*IFERROR(INDEX(AM$10:AM$11,Предпосылки!$J279,),0)</f>
        <v>0</v>
      </c>
      <c s="125">
        <f>AN636/(1+IFERROR(INDEX(AN$10:AN$11,Предпосылки!$J279,),0))*IFERROR(INDEX(AN$10:AN$11,Предпосылки!$J279,),0)</f>
        <v>0</v>
      </c>
      <c s="125">
        <f>AO636/(1+IFERROR(INDEX(AO$10:AO$11,Предпосылки!$J279,),0))*IFERROR(INDEX(AO$10:AO$11,Предпосылки!$J279,),0)</f>
        <v>0</v>
      </c>
      <c s="125">
        <f>AP636/(1+IFERROR(INDEX(AP$10:AP$11,Предпосылки!$J279,),0))*IFERROR(INDEX(AP$10:AP$11,Предпосылки!$J279,),0)</f>
        <v>0</v>
      </c>
      <c s="125">
        <f>AQ636/(1+IFERROR(INDEX(AQ$10:AQ$11,Предпосылки!$J279,),0))*IFERROR(INDEX(AQ$10:AQ$11,Предпосылки!$J279,),0)</f>
        <v>0</v>
      </c>
      <c s="125">
        <f>AR636/(1+IFERROR(INDEX(AR$10:AR$11,Предпосылки!$J279,),0))*IFERROR(INDEX(AR$10:AR$11,Предпосылки!$J279,),0)</f>
        <v>0</v>
      </c>
      <c s="125">
        <f>AS636/(1+IFERROR(INDEX(AS$10:AS$11,Предпосылки!$J279,),0))*IFERROR(INDEX(AS$10:AS$11,Предпосылки!$J279,),0)</f>
        <v>0</v>
      </c>
      <c s="125">
        <f>AT636/(1+IFERROR(INDEX(AT$10:AT$11,Предпосылки!$J279,),0))*IFERROR(INDEX(AT$10:AT$11,Предпосылки!$J279,),0)</f>
        <v>0</v>
      </c>
      <c s="125">
        <f>AU636/(1+IFERROR(INDEX(AU$10:AU$11,Предпосылки!$J279,),0))*IFERROR(INDEX(AU$10:AU$11,Предпосылки!$J279,),0)</f>
        <v>0</v>
      </c>
      <c s="125">
        <f>AV636/(1+IFERROR(INDEX(AV$10:AV$11,Предпосылки!$J279,),0))*IFERROR(INDEX(AV$10:AV$11,Предпосылки!$J279,),0)</f>
        <v>0</v>
      </c>
      <c s="125">
        <f>AW636/(1+IFERROR(INDEX(AW$10:AW$11,Предпосылки!$J279,),0))*IFERROR(INDEX(AW$10:AW$11,Предпосылки!$J279,),0)</f>
        <v>0</v>
      </c>
      <c s="125">
        <f>AX636/(1+IFERROR(INDEX(AX$10:AX$11,Предпосылки!$J279,),0))*IFERROR(INDEX(AX$10:AX$11,Предпосылки!$J279,),0)</f>
        <v>0</v>
      </c>
      <c s="125">
        <f>AY636/(1+IFERROR(INDEX(AY$10:AY$11,Предпосылки!$J279,),0))*IFERROR(INDEX(AY$10:AY$11,Предпосылки!$J279,),0)</f>
        <v>0</v>
      </c>
      <c s="125">
        <f>AZ636/(1+IFERROR(INDEX(AZ$10:AZ$11,Предпосылки!$J279,),0))*IFERROR(INDEX(AZ$10:AZ$11,Предпосылки!$J279,),0)</f>
        <v>0</v>
      </c>
      <c s="125">
        <f>BA636/(1+IFERROR(INDEX(BA$10:BA$11,Предпосылки!$J279,),0))*IFERROR(INDEX(BA$10:BA$11,Предпосылки!$J279,),0)</f>
        <v>0</v>
      </c>
      <c s="125">
        <f>BB636/(1+IFERROR(INDEX(BB$10:BB$11,Предпосылки!$J279,),0))*IFERROR(INDEX(BB$10:BB$11,Предпосылки!$J279,),0)</f>
        <v>0</v>
      </c>
      <c s="125">
        <f>BC636/(1+IFERROR(INDEX(BC$10:BC$11,Предпосылки!$J279,),0))*IFERROR(INDEX(BC$10:BC$11,Предпосылки!$J279,),0)</f>
        <v>0</v>
      </c>
      <c s="125">
        <f>BD636/(1+IFERROR(INDEX(BD$10:BD$11,Предпосылки!$J279,),0))*IFERROR(INDEX(BD$10:BD$11,Предпосылки!$J279,),0)</f>
        <v>0</v>
      </c>
      <c s="125">
        <f>BE636/(1+IFERROR(INDEX(BE$10:BE$11,Предпосылки!$J279,),0))*IFERROR(INDEX(BE$10:BE$11,Предпосылки!$J279,),0)</f>
        <v>0</v>
      </c>
      <c s="125">
        <f>BF636/(1+IFERROR(INDEX(BF$10:BF$11,Предпосылки!$J279,),0))*IFERROR(INDEX(BF$10:BF$11,Предпосылки!$J279,),0)</f>
        <v>0</v>
      </c>
      <c s="125">
        <f>BG636/(1+IFERROR(INDEX(BG$10:BG$11,Предпосылки!$J279,),0))*IFERROR(INDEX(BG$10:BG$11,Предпосылки!$J279,),0)</f>
        <v>0</v>
      </c>
      <c s="125">
        <f>BH636/(1+IFERROR(INDEX(BH$10:BH$11,Предпосылки!$J279,),0))*IFERROR(INDEX(BH$10:BH$11,Предпосылки!$J279,),0)</f>
        <v>0</v>
      </c>
      <c s="125">
        <f>BI636/(1+IFERROR(INDEX(BI$10:BI$11,Предпосылки!$J279,),0))*IFERROR(INDEX(BI$10:BI$11,Предпосылки!$J279,),0)</f>
        <v>0</v>
      </c>
      <c s="125">
        <f>BJ636/(1+IFERROR(INDEX(BJ$10:BJ$11,Предпосылки!$J279,),0))*IFERROR(INDEX(BJ$10:BJ$11,Предпосылки!$J279,),0)</f>
        <v>0</v>
      </c>
      <c s="125">
        <f>BK636/(1+IFERROR(INDEX(BK$10:BK$11,Предпосылки!$J279,),0))*IFERROR(INDEX(BK$10:BK$11,Предпосылки!$J279,),0)</f>
        <v>0</v>
      </c>
      <c s="125">
        <f>BL636/(1+IFERROR(INDEX(BL$10:BL$11,Предпосылки!$J279,),0))*IFERROR(INDEX(BL$10:BL$11,Предпосылки!$J279,),0)</f>
        <v>0</v>
      </c>
      <c s="125">
        <f>BM636/(1+IFERROR(INDEX(BM$10:BM$11,Предпосылки!$J279,),0))*IFERROR(INDEX(BM$10:BM$11,Предпосылки!$J279,),0)</f>
        <v>0</v>
      </c>
    </row>
    <row r="665" spans="2:65" ht="15" customHeight="1">
      <c r="B665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E637/(1+IFERROR(INDEX(E$10:E$11,Предпосылки!$J280,),0))*IFERROR(INDEX(E$10:E$11,Предпосылки!$J280,),0)</f>
        <v>0</v>
      </c>
      <c s="125">
        <f>F637/(1+IFERROR(INDEX(F$10:F$11,Предпосылки!$J280,),0))*IFERROR(INDEX(F$10:F$11,Предпосылки!$J280,),0)</f>
        <v>0</v>
      </c>
      <c s="125">
        <f>G637/(1+IFERROR(INDEX(G$10:G$11,Предпосылки!$J280,),0))*IFERROR(INDEX(G$10:G$11,Предпосылки!$J280,),0)</f>
        <v>0</v>
      </c>
      <c s="125">
        <f>H637/(1+IFERROR(INDEX(H$10:H$11,Предпосылки!$J280,),0))*IFERROR(INDEX(H$10:H$11,Предпосылки!$J280,),0)</f>
        <v>0</v>
      </c>
      <c s="125">
        <f>I637/(1+IFERROR(INDEX(I$10:I$11,Предпосылки!$J280,),0))*IFERROR(INDEX(I$10:I$11,Предпосылки!$J280,),0)</f>
        <v>0</v>
      </c>
      <c s="125">
        <f>J637/(1+IFERROR(INDEX(J$10:J$11,Предпосылки!$J280,),0))*IFERROR(INDEX(J$10:J$11,Предпосылки!$J280,),0)</f>
        <v>0</v>
      </c>
      <c s="125">
        <f>K637/(1+IFERROR(INDEX(K$10:K$11,Предпосылки!$J280,),0))*IFERROR(INDEX(K$10:K$11,Предпосылки!$J280,),0)</f>
        <v>0</v>
      </c>
      <c s="125">
        <f>L637/(1+IFERROR(INDEX(L$10:L$11,Предпосылки!$J280,),0))*IFERROR(INDEX(L$10:L$11,Предпосылки!$J280,),0)</f>
        <v>0</v>
      </c>
      <c s="125">
        <f>M637/(1+IFERROR(INDEX(M$10:M$11,Предпосылки!$J280,),0))*IFERROR(INDEX(M$10:M$11,Предпосылки!$J280,),0)</f>
        <v>0</v>
      </c>
      <c s="125">
        <f>N637/(1+IFERROR(INDEX(N$10:N$11,Предпосылки!$J280,),0))*IFERROR(INDEX(N$10:N$11,Предпосылки!$J280,),0)</f>
        <v>0</v>
      </c>
      <c s="125">
        <f>O637/(1+IFERROR(INDEX(O$10:O$11,Предпосылки!$J280,),0))*IFERROR(INDEX(O$10:O$11,Предпосылки!$J280,),0)</f>
        <v>0</v>
      </c>
      <c s="125">
        <f>P637/(1+IFERROR(INDEX(P$10:P$11,Предпосылки!$J280,),0))*IFERROR(INDEX(P$10:P$11,Предпосылки!$J280,),0)</f>
        <v>0</v>
      </c>
      <c s="125">
        <f>Q637/(1+IFERROR(INDEX(Q$10:Q$11,Предпосылки!$J280,),0))*IFERROR(INDEX(Q$10:Q$11,Предпосылки!$J280,),0)</f>
        <v>0</v>
      </c>
      <c s="125">
        <f>R637/(1+IFERROR(INDEX(R$10:R$11,Предпосылки!$J280,),0))*IFERROR(INDEX(R$10:R$11,Предпосылки!$J280,),0)</f>
        <v>0</v>
      </c>
      <c s="125">
        <f>S637/(1+IFERROR(INDEX(S$10:S$11,Предпосылки!$J280,),0))*IFERROR(INDEX(S$10:S$11,Предпосылки!$J280,),0)</f>
        <v>0</v>
      </c>
      <c s="125">
        <f>T637/(1+IFERROR(INDEX(T$10:T$11,Предпосылки!$J280,),0))*IFERROR(INDEX(T$10:T$11,Предпосылки!$J280,),0)</f>
        <v>0</v>
      </c>
      <c s="125">
        <f>U637/(1+IFERROR(INDEX(U$10:U$11,Предпосылки!$J280,),0))*IFERROR(INDEX(U$10:U$11,Предпосылки!$J280,),0)</f>
        <v>0</v>
      </c>
      <c s="125">
        <f>V637/(1+IFERROR(INDEX(V$10:V$11,Предпосылки!$J280,),0))*IFERROR(INDEX(V$10:V$11,Предпосылки!$J280,),0)</f>
        <v>0</v>
      </c>
      <c s="125">
        <f>W637/(1+IFERROR(INDEX(W$10:W$11,Предпосылки!$J280,),0))*IFERROR(INDEX(W$10:W$11,Предпосылки!$J280,),0)</f>
        <v>0</v>
      </c>
      <c s="125">
        <f>X637/(1+IFERROR(INDEX(X$10:X$11,Предпосылки!$J280,),0))*IFERROR(INDEX(X$10:X$11,Предпосылки!$J280,),0)</f>
        <v>0</v>
      </c>
      <c s="125">
        <f>Y637/(1+IFERROR(INDEX(Y$10:Y$11,Предпосылки!$J280,),0))*IFERROR(INDEX(Y$10:Y$11,Предпосылки!$J280,),0)</f>
        <v>0</v>
      </c>
      <c s="125">
        <f>Z637/(1+IFERROR(INDEX(Z$10:Z$11,Предпосылки!$J280,),0))*IFERROR(INDEX(Z$10:Z$11,Предпосылки!$J280,),0)</f>
        <v>0</v>
      </c>
      <c s="125">
        <f>AA637/(1+IFERROR(INDEX(AA$10:AA$11,Предпосылки!$J280,),0))*IFERROR(INDEX(AA$10:AA$11,Предпосылки!$J280,),0)</f>
        <v>0</v>
      </c>
      <c s="125">
        <f>AB637/(1+IFERROR(INDEX(AB$10:AB$11,Предпосылки!$J280,),0))*IFERROR(INDEX(AB$10:AB$11,Предпосылки!$J280,),0)</f>
        <v>0</v>
      </c>
      <c s="125">
        <f>AC637/(1+IFERROR(INDEX(AC$10:AC$11,Предпосылки!$J280,),0))*IFERROR(INDEX(AC$10:AC$11,Предпосылки!$J280,),0)</f>
        <v>0</v>
      </c>
      <c s="125">
        <f>AD637/(1+IFERROR(INDEX(AD$10:AD$11,Предпосылки!$J280,),0))*IFERROR(INDEX(AD$10:AD$11,Предпосылки!$J280,),0)</f>
        <v>0</v>
      </c>
      <c s="125">
        <f>AE637/(1+IFERROR(INDEX(AE$10:AE$11,Предпосылки!$J280,),0))*IFERROR(INDEX(AE$10:AE$11,Предпосылки!$J280,),0)</f>
        <v>0</v>
      </c>
      <c s="125">
        <f>AF637/(1+IFERROR(INDEX(AF$10:AF$11,Предпосылки!$J280,),0))*IFERROR(INDEX(AF$10:AF$11,Предпосылки!$J280,),0)</f>
        <v>0</v>
      </c>
      <c s="125">
        <f>AG637/(1+IFERROR(INDEX(AG$10:AG$11,Предпосылки!$J280,),0))*IFERROR(INDEX(AG$10:AG$11,Предпосылки!$J280,),0)</f>
        <v>0</v>
      </c>
      <c s="125">
        <f>AH637/(1+IFERROR(INDEX(AH$10:AH$11,Предпосылки!$J280,),0))*IFERROR(INDEX(AH$10:AH$11,Предпосылки!$J280,),0)</f>
        <v>0</v>
      </c>
      <c s="125">
        <f>AI637/(1+IFERROR(INDEX(AI$10:AI$11,Предпосылки!$J280,),0))*IFERROR(INDEX(AI$10:AI$11,Предпосылки!$J280,),0)</f>
        <v>0</v>
      </c>
      <c s="125">
        <f>AJ637/(1+IFERROR(INDEX(AJ$10:AJ$11,Предпосылки!$J280,),0))*IFERROR(INDEX(AJ$10:AJ$11,Предпосылки!$J280,),0)</f>
        <v>0</v>
      </c>
      <c s="125">
        <f>AK637/(1+IFERROR(INDEX(AK$10:AK$11,Предпосылки!$J280,),0))*IFERROR(INDEX(AK$10:AK$11,Предпосылки!$J280,),0)</f>
        <v>0</v>
      </c>
      <c s="125">
        <f>AL637/(1+IFERROR(INDEX(AL$10:AL$11,Предпосылки!$J280,),0))*IFERROR(INDEX(AL$10:AL$11,Предпосылки!$J280,),0)</f>
        <v>0</v>
      </c>
      <c s="125">
        <f>AM637/(1+IFERROR(INDEX(AM$10:AM$11,Предпосылки!$J280,),0))*IFERROR(INDEX(AM$10:AM$11,Предпосылки!$J280,),0)</f>
        <v>0</v>
      </c>
      <c s="125">
        <f>AN637/(1+IFERROR(INDEX(AN$10:AN$11,Предпосылки!$J280,),0))*IFERROR(INDEX(AN$10:AN$11,Предпосылки!$J280,),0)</f>
        <v>0</v>
      </c>
      <c s="125">
        <f>AO637/(1+IFERROR(INDEX(AO$10:AO$11,Предпосылки!$J280,),0))*IFERROR(INDEX(AO$10:AO$11,Предпосылки!$J280,),0)</f>
        <v>0</v>
      </c>
      <c s="125">
        <f>AP637/(1+IFERROR(INDEX(AP$10:AP$11,Предпосылки!$J280,),0))*IFERROR(INDEX(AP$10:AP$11,Предпосылки!$J280,),0)</f>
        <v>0</v>
      </c>
      <c s="125">
        <f>AQ637/(1+IFERROR(INDEX(AQ$10:AQ$11,Предпосылки!$J280,),0))*IFERROR(INDEX(AQ$10:AQ$11,Предпосылки!$J280,),0)</f>
        <v>0</v>
      </c>
      <c s="125">
        <f>AR637/(1+IFERROR(INDEX(AR$10:AR$11,Предпосылки!$J280,),0))*IFERROR(INDEX(AR$10:AR$11,Предпосылки!$J280,),0)</f>
        <v>0</v>
      </c>
      <c s="125">
        <f>AS637/(1+IFERROR(INDEX(AS$10:AS$11,Предпосылки!$J280,),0))*IFERROR(INDEX(AS$10:AS$11,Предпосылки!$J280,),0)</f>
        <v>0</v>
      </c>
      <c s="125">
        <f>AT637/(1+IFERROR(INDEX(AT$10:AT$11,Предпосылки!$J280,),0))*IFERROR(INDEX(AT$10:AT$11,Предпосылки!$J280,),0)</f>
        <v>0</v>
      </c>
      <c s="125">
        <f>AU637/(1+IFERROR(INDEX(AU$10:AU$11,Предпосылки!$J280,),0))*IFERROR(INDEX(AU$10:AU$11,Предпосылки!$J280,),0)</f>
        <v>0</v>
      </c>
      <c s="125">
        <f>AV637/(1+IFERROR(INDEX(AV$10:AV$11,Предпосылки!$J280,),0))*IFERROR(INDEX(AV$10:AV$11,Предпосылки!$J280,),0)</f>
        <v>0</v>
      </c>
      <c s="125">
        <f>AW637/(1+IFERROR(INDEX(AW$10:AW$11,Предпосылки!$J280,),0))*IFERROR(INDEX(AW$10:AW$11,Предпосылки!$J280,),0)</f>
        <v>0</v>
      </c>
      <c s="125">
        <f>AX637/(1+IFERROR(INDEX(AX$10:AX$11,Предпосылки!$J280,),0))*IFERROR(INDEX(AX$10:AX$11,Предпосылки!$J280,),0)</f>
        <v>0</v>
      </c>
      <c s="125">
        <f>AY637/(1+IFERROR(INDEX(AY$10:AY$11,Предпосылки!$J280,),0))*IFERROR(INDEX(AY$10:AY$11,Предпосылки!$J280,),0)</f>
        <v>0</v>
      </c>
      <c s="125">
        <f>AZ637/(1+IFERROR(INDEX(AZ$10:AZ$11,Предпосылки!$J280,),0))*IFERROR(INDEX(AZ$10:AZ$11,Предпосылки!$J280,),0)</f>
        <v>0</v>
      </c>
      <c s="125">
        <f>BA637/(1+IFERROR(INDEX(BA$10:BA$11,Предпосылки!$J280,),0))*IFERROR(INDEX(BA$10:BA$11,Предпосылки!$J280,),0)</f>
        <v>0</v>
      </c>
      <c s="125">
        <f>BB637/(1+IFERROR(INDEX(BB$10:BB$11,Предпосылки!$J280,),0))*IFERROR(INDEX(BB$10:BB$11,Предпосылки!$J280,),0)</f>
        <v>0</v>
      </c>
      <c s="125">
        <f>BC637/(1+IFERROR(INDEX(BC$10:BC$11,Предпосылки!$J280,),0))*IFERROR(INDEX(BC$10:BC$11,Предпосылки!$J280,),0)</f>
        <v>0</v>
      </c>
      <c s="125">
        <f>BD637/(1+IFERROR(INDEX(BD$10:BD$11,Предпосылки!$J280,),0))*IFERROR(INDEX(BD$10:BD$11,Предпосылки!$J280,),0)</f>
        <v>0</v>
      </c>
      <c s="125">
        <f>BE637/(1+IFERROR(INDEX(BE$10:BE$11,Предпосылки!$J280,),0))*IFERROR(INDEX(BE$10:BE$11,Предпосылки!$J280,),0)</f>
        <v>0</v>
      </c>
      <c s="125">
        <f>BF637/(1+IFERROR(INDEX(BF$10:BF$11,Предпосылки!$J280,),0))*IFERROR(INDEX(BF$10:BF$11,Предпосылки!$J280,),0)</f>
        <v>0</v>
      </c>
      <c s="125">
        <f>BG637/(1+IFERROR(INDEX(BG$10:BG$11,Предпосылки!$J280,),0))*IFERROR(INDEX(BG$10:BG$11,Предпосылки!$J280,),0)</f>
        <v>0</v>
      </c>
      <c s="125">
        <f>BH637/(1+IFERROR(INDEX(BH$10:BH$11,Предпосылки!$J280,),0))*IFERROR(INDEX(BH$10:BH$11,Предпосылки!$J280,),0)</f>
        <v>0</v>
      </c>
      <c s="125">
        <f>BI637/(1+IFERROR(INDEX(BI$10:BI$11,Предпосылки!$J280,),0))*IFERROR(INDEX(BI$10:BI$11,Предпосылки!$J280,),0)</f>
        <v>0</v>
      </c>
      <c s="125">
        <f>BJ637/(1+IFERROR(INDEX(BJ$10:BJ$11,Предпосылки!$J280,),0))*IFERROR(INDEX(BJ$10:BJ$11,Предпосылки!$J280,),0)</f>
        <v>0</v>
      </c>
      <c s="125">
        <f>BK637/(1+IFERROR(INDEX(BK$10:BK$11,Предпосылки!$J280,),0))*IFERROR(INDEX(BK$10:BK$11,Предпосылки!$J280,),0)</f>
        <v>0</v>
      </c>
      <c s="125">
        <f>BL637/(1+IFERROR(INDEX(BL$10:BL$11,Предпосылки!$J280,),0))*IFERROR(INDEX(BL$10:BL$11,Предпосылки!$J280,),0)</f>
        <v>0</v>
      </c>
      <c s="125">
        <f>BM637/(1+IFERROR(INDEX(BM$10:BM$11,Предпосылки!$J280,),0))*IFERROR(INDEX(BM$10:BM$11,Предпосылки!$J280,),0)</f>
        <v>0</v>
      </c>
    </row>
    <row r="666" spans="2:65" ht="15" customHeight="1">
      <c r="B666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E638/(1+IFERROR(INDEX(E$10:E$11,Предпосылки!$J281,),0))*IFERROR(INDEX(E$10:E$11,Предпосылки!$J281,),0)</f>
        <v>0</v>
      </c>
      <c s="125">
        <f>F638/(1+IFERROR(INDEX(F$10:F$11,Предпосылки!$J281,),0))*IFERROR(INDEX(F$10:F$11,Предпосылки!$J281,),0)</f>
        <v>0</v>
      </c>
      <c s="125">
        <f>G638/(1+IFERROR(INDEX(G$10:G$11,Предпосылки!$J281,),0))*IFERROR(INDEX(G$10:G$11,Предпосылки!$J281,),0)</f>
        <v>0</v>
      </c>
      <c s="125">
        <f>H638/(1+IFERROR(INDEX(H$10:H$11,Предпосылки!$J281,),0))*IFERROR(INDEX(H$10:H$11,Предпосылки!$J281,),0)</f>
        <v>0</v>
      </c>
      <c s="125">
        <f>I638/(1+IFERROR(INDEX(I$10:I$11,Предпосылки!$J281,),0))*IFERROR(INDEX(I$10:I$11,Предпосылки!$J281,),0)</f>
        <v>0</v>
      </c>
      <c s="125">
        <f>J638/(1+IFERROR(INDEX(J$10:J$11,Предпосылки!$J281,),0))*IFERROR(INDEX(J$10:J$11,Предпосылки!$J281,),0)</f>
        <v>0</v>
      </c>
      <c s="125">
        <f>K638/(1+IFERROR(INDEX(K$10:K$11,Предпосылки!$J281,),0))*IFERROR(INDEX(K$10:K$11,Предпосылки!$J281,),0)</f>
        <v>0</v>
      </c>
      <c s="125">
        <f>L638/(1+IFERROR(INDEX(L$10:L$11,Предпосылки!$J281,),0))*IFERROR(INDEX(L$10:L$11,Предпосылки!$J281,),0)</f>
        <v>0</v>
      </c>
      <c s="125">
        <f>M638/(1+IFERROR(INDEX(M$10:M$11,Предпосылки!$J281,),0))*IFERROR(INDEX(M$10:M$11,Предпосылки!$J281,),0)</f>
        <v>0</v>
      </c>
      <c s="125">
        <f>N638/(1+IFERROR(INDEX(N$10:N$11,Предпосылки!$J281,),0))*IFERROR(INDEX(N$10:N$11,Предпосылки!$J281,),0)</f>
        <v>0</v>
      </c>
      <c s="125">
        <f>O638/(1+IFERROR(INDEX(O$10:O$11,Предпосылки!$J281,),0))*IFERROR(INDEX(O$10:O$11,Предпосылки!$J281,),0)</f>
        <v>0</v>
      </c>
      <c s="125">
        <f>P638/(1+IFERROR(INDEX(P$10:P$11,Предпосылки!$J281,),0))*IFERROR(INDEX(P$10:P$11,Предпосылки!$J281,),0)</f>
        <v>0</v>
      </c>
      <c s="125">
        <f>Q638/(1+IFERROR(INDEX(Q$10:Q$11,Предпосылки!$J281,),0))*IFERROR(INDEX(Q$10:Q$11,Предпосылки!$J281,),0)</f>
        <v>0</v>
      </c>
      <c s="125">
        <f>R638/(1+IFERROR(INDEX(R$10:R$11,Предпосылки!$J281,),0))*IFERROR(INDEX(R$10:R$11,Предпосылки!$J281,),0)</f>
        <v>0</v>
      </c>
      <c s="125">
        <f>S638/(1+IFERROR(INDEX(S$10:S$11,Предпосылки!$J281,),0))*IFERROR(INDEX(S$10:S$11,Предпосылки!$J281,),0)</f>
        <v>0</v>
      </c>
      <c s="125">
        <f>T638/(1+IFERROR(INDEX(T$10:T$11,Предпосылки!$J281,),0))*IFERROR(INDEX(T$10:T$11,Предпосылки!$J281,),0)</f>
        <v>0</v>
      </c>
      <c s="125">
        <f>U638/(1+IFERROR(INDEX(U$10:U$11,Предпосылки!$J281,),0))*IFERROR(INDEX(U$10:U$11,Предпосылки!$J281,),0)</f>
        <v>0</v>
      </c>
      <c s="125">
        <f>V638/(1+IFERROR(INDEX(V$10:V$11,Предпосылки!$J281,),0))*IFERROR(INDEX(V$10:V$11,Предпосылки!$J281,),0)</f>
        <v>0</v>
      </c>
      <c s="125">
        <f>W638/(1+IFERROR(INDEX(W$10:W$11,Предпосылки!$J281,),0))*IFERROR(INDEX(W$10:W$11,Предпосылки!$J281,),0)</f>
        <v>0</v>
      </c>
      <c s="125">
        <f>X638/(1+IFERROR(INDEX(X$10:X$11,Предпосылки!$J281,),0))*IFERROR(INDEX(X$10:X$11,Предпосылки!$J281,),0)</f>
        <v>0</v>
      </c>
      <c s="125">
        <f>Y638/(1+IFERROR(INDEX(Y$10:Y$11,Предпосылки!$J281,),0))*IFERROR(INDEX(Y$10:Y$11,Предпосылки!$J281,),0)</f>
        <v>0</v>
      </c>
      <c s="125">
        <f>Z638/(1+IFERROR(INDEX(Z$10:Z$11,Предпосылки!$J281,),0))*IFERROR(INDEX(Z$10:Z$11,Предпосылки!$J281,),0)</f>
        <v>0</v>
      </c>
      <c s="125">
        <f>AA638/(1+IFERROR(INDEX(AA$10:AA$11,Предпосылки!$J281,),0))*IFERROR(INDEX(AA$10:AA$11,Предпосылки!$J281,),0)</f>
        <v>0</v>
      </c>
      <c s="125">
        <f>AB638/(1+IFERROR(INDEX(AB$10:AB$11,Предпосылки!$J281,),0))*IFERROR(INDEX(AB$10:AB$11,Предпосылки!$J281,),0)</f>
        <v>0</v>
      </c>
      <c s="125">
        <f>AC638/(1+IFERROR(INDEX(AC$10:AC$11,Предпосылки!$J281,),0))*IFERROR(INDEX(AC$10:AC$11,Предпосылки!$J281,),0)</f>
        <v>0</v>
      </c>
      <c s="125">
        <f>AD638/(1+IFERROR(INDEX(AD$10:AD$11,Предпосылки!$J281,),0))*IFERROR(INDEX(AD$10:AD$11,Предпосылки!$J281,),0)</f>
        <v>0</v>
      </c>
      <c s="125">
        <f>AE638/(1+IFERROR(INDEX(AE$10:AE$11,Предпосылки!$J281,),0))*IFERROR(INDEX(AE$10:AE$11,Предпосылки!$J281,),0)</f>
        <v>0</v>
      </c>
      <c s="125">
        <f>AF638/(1+IFERROR(INDEX(AF$10:AF$11,Предпосылки!$J281,),0))*IFERROR(INDEX(AF$10:AF$11,Предпосылки!$J281,),0)</f>
        <v>0</v>
      </c>
      <c s="125">
        <f>AG638/(1+IFERROR(INDEX(AG$10:AG$11,Предпосылки!$J281,),0))*IFERROR(INDEX(AG$10:AG$11,Предпосылки!$J281,),0)</f>
        <v>0</v>
      </c>
      <c s="125">
        <f>AH638/(1+IFERROR(INDEX(AH$10:AH$11,Предпосылки!$J281,),0))*IFERROR(INDEX(AH$10:AH$11,Предпосылки!$J281,),0)</f>
        <v>0</v>
      </c>
      <c s="125">
        <f>AI638/(1+IFERROR(INDEX(AI$10:AI$11,Предпосылки!$J281,),0))*IFERROR(INDEX(AI$10:AI$11,Предпосылки!$J281,),0)</f>
        <v>0</v>
      </c>
      <c s="125">
        <f>AJ638/(1+IFERROR(INDEX(AJ$10:AJ$11,Предпосылки!$J281,),0))*IFERROR(INDEX(AJ$10:AJ$11,Предпосылки!$J281,),0)</f>
        <v>0</v>
      </c>
      <c s="125">
        <f>AK638/(1+IFERROR(INDEX(AK$10:AK$11,Предпосылки!$J281,),0))*IFERROR(INDEX(AK$10:AK$11,Предпосылки!$J281,),0)</f>
        <v>0</v>
      </c>
      <c s="125">
        <f>AL638/(1+IFERROR(INDEX(AL$10:AL$11,Предпосылки!$J281,),0))*IFERROR(INDEX(AL$10:AL$11,Предпосылки!$J281,),0)</f>
        <v>0</v>
      </c>
      <c s="125">
        <f>AM638/(1+IFERROR(INDEX(AM$10:AM$11,Предпосылки!$J281,),0))*IFERROR(INDEX(AM$10:AM$11,Предпосылки!$J281,),0)</f>
        <v>0</v>
      </c>
      <c s="125">
        <f>AN638/(1+IFERROR(INDEX(AN$10:AN$11,Предпосылки!$J281,),0))*IFERROR(INDEX(AN$10:AN$11,Предпосылки!$J281,),0)</f>
        <v>0</v>
      </c>
      <c s="125">
        <f>AO638/(1+IFERROR(INDEX(AO$10:AO$11,Предпосылки!$J281,),0))*IFERROR(INDEX(AO$10:AO$11,Предпосылки!$J281,),0)</f>
        <v>0</v>
      </c>
      <c s="125">
        <f>AP638/(1+IFERROR(INDEX(AP$10:AP$11,Предпосылки!$J281,),0))*IFERROR(INDEX(AP$10:AP$11,Предпосылки!$J281,),0)</f>
        <v>0</v>
      </c>
      <c s="125">
        <f>AQ638/(1+IFERROR(INDEX(AQ$10:AQ$11,Предпосылки!$J281,),0))*IFERROR(INDEX(AQ$10:AQ$11,Предпосылки!$J281,),0)</f>
        <v>0</v>
      </c>
      <c s="125">
        <f>AR638/(1+IFERROR(INDEX(AR$10:AR$11,Предпосылки!$J281,),0))*IFERROR(INDEX(AR$10:AR$11,Предпосылки!$J281,),0)</f>
        <v>0</v>
      </c>
      <c s="125">
        <f>AS638/(1+IFERROR(INDEX(AS$10:AS$11,Предпосылки!$J281,),0))*IFERROR(INDEX(AS$10:AS$11,Предпосылки!$J281,),0)</f>
        <v>0</v>
      </c>
      <c s="125">
        <f>AT638/(1+IFERROR(INDEX(AT$10:AT$11,Предпосылки!$J281,),0))*IFERROR(INDEX(AT$10:AT$11,Предпосылки!$J281,),0)</f>
        <v>0</v>
      </c>
      <c s="125">
        <f>AU638/(1+IFERROR(INDEX(AU$10:AU$11,Предпосылки!$J281,),0))*IFERROR(INDEX(AU$10:AU$11,Предпосылки!$J281,),0)</f>
        <v>0</v>
      </c>
      <c s="125">
        <f>AV638/(1+IFERROR(INDEX(AV$10:AV$11,Предпосылки!$J281,),0))*IFERROR(INDEX(AV$10:AV$11,Предпосылки!$J281,),0)</f>
        <v>0</v>
      </c>
      <c s="125">
        <f>AW638/(1+IFERROR(INDEX(AW$10:AW$11,Предпосылки!$J281,),0))*IFERROR(INDEX(AW$10:AW$11,Предпосылки!$J281,),0)</f>
        <v>0</v>
      </c>
      <c s="125">
        <f>AX638/(1+IFERROR(INDEX(AX$10:AX$11,Предпосылки!$J281,),0))*IFERROR(INDEX(AX$10:AX$11,Предпосылки!$J281,),0)</f>
        <v>0</v>
      </c>
      <c s="125">
        <f>AY638/(1+IFERROR(INDEX(AY$10:AY$11,Предпосылки!$J281,),0))*IFERROR(INDEX(AY$10:AY$11,Предпосылки!$J281,),0)</f>
        <v>0</v>
      </c>
      <c s="125">
        <f>AZ638/(1+IFERROR(INDEX(AZ$10:AZ$11,Предпосылки!$J281,),0))*IFERROR(INDEX(AZ$10:AZ$11,Предпосылки!$J281,),0)</f>
        <v>0</v>
      </c>
      <c s="125">
        <f>BA638/(1+IFERROR(INDEX(BA$10:BA$11,Предпосылки!$J281,),0))*IFERROR(INDEX(BA$10:BA$11,Предпосылки!$J281,),0)</f>
        <v>0</v>
      </c>
      <c s="125">
        <f>BB638/(1+IFERROR(INDEX(BB$10:BB$11,Предпосылки!$J281,),0))*IFERROR(INDEX(BB$10:BB$11,Предпосылки!$J281,),0)</f>
        <v>0</v>
      </c>
      <c s="125">
        <f>BC638/(1+IFERROR(INDEX(BC$10:BC$11,Предпосылки!$J281,),0))*IFERROR(INDEX(BC$10:BC$11,Предпосылки!$J281,),0)</f>
        <v>0</v>
      </c>
      <c s="125">
        <f>BD638/(1+IFERROR(INDEX(BD$10:BD$11,Предпосылки!$J281,),0))*IFERROR(INDEX(BD$10:BD$11,Предпосылки!$J281,),0)</f>
        <v>0</v>
      </c>
      <c s="125">
        <f>BE638/(1+IFERROR(INDEX(BE$10:BE$11,Предпосылки!$J281,),0))*IFERROR(INDEX(BE$10:BE$11,Предпосылки!$J281,),0)</f>
        <v>0</v>
      </c>
      <c s="125">
        <f>BF638/(1+IFERROR(INDEX(BF$10:BF$11,Предпосылки!$J281,),0))*IFERROR(INDEX(BF$10:BF$11,Предпосылки!$J281,),0)</f>
        <v>0</v>
      </c>
      <c s="125">
        <f>BG638/(1+IFERROR(INDEX(BG$10:BG$11,Предпосылки!$J281,),0))*IFERROR(INDEX(BG$10:BG$11,Предпосылки!$J281,),0)</f>
        <v>0</v>
      </c>
      <c s="125">
        <f>BH638/(1+IFERROR(INDEX(BH$10:BH$11,Предпосылки!$J281,),0))*IFERROR(INDEX(BH$10:BH$11,Предпосылки!$J281,),0)</f>
        <v>0</v>
      </c>
      <c s="125">
        <f>BI638/(1+IFERROR(INDEX(BI$10:BI$11,Предпосылки!$J281,),0))*IFERROR(INDEX(BI$10:BI$11,Предпосылки!$J281,),0)</f>
        <v>0</v>
      </c>
      <c s="125">
        <f>BJ638/(1+IFERROR(INDEX(BJ$10:BJ$11,Предпосылки!$J281,),0))*IFERROR(INDEX(BJ$10:BJ$11,Предпосылки!$J281,),0)</f>
        <v>0</v>
      </c>
      <c s="125">
        <f>BK638/(1+IFERROR(INDEX(BK$10:BK$11,Предпосылки!$J281,),0))*IFERROR(INDEX(BK$10:BK$11,Предпосылки!$J281,),0)</f>
        <v>0</v>
      </c>
      <c s="125">
        <f>BL638/(1+IFERROR(INDEX(BL$10:BL$11,Предпосылки!$J281,),0))*IFERROR(INDEX(BL$10:BL$11,Предпосылки!$J281,),0)</f>
        <v>0</v>
      </c>
      <c s="125">
        <f>BM638/(1+IFERROR(INDEX(BM$10:BM$11,Предпосылки!$J281,),0))*IFERROR(INDEX(BM$10:BM$11,Предпосылки!$J281,),0)</f>
        <v>0</v>
      </c>
    </row>
    <row r="667" spans="2:65" ht="15" customHeight="1">
      <c r="B667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E639/(1+IFERROR(INDEX(E$10:E$11,Предпосылки!$J282,),0))*IFERROR(INDEX(E$10:E$11,Предпосылки!$J282,),0)</f>
        <v>0</v>
      </c>
      <c s="125">
        <f>F639/(1+IFERROR(INDEX(F$10:F$11,Предпосылки!$J282,),0))*IFERROR(INDEX(F$10:F$11,Предпосылки!$J282,),0)</f>
        <v>0</v>
      </c>
      <c s="125">
        <f>G639/(1+IFERROR(INDEX(G$10:G$11,Предпосылки!$J282,),0))*IFERROR(INDEX(G$10:G$11,Предпосылки!$J282,),0)</f>
        <v>0</v>
      </c>
      <c s="125">
        <f>H639/(1+IFERROR(INDEX(H$10:H$11,Предпосылки!$J282,),0))*IFERROR(INDEX(H$10:H$11,Предпосылки!$J282,),0)</f>
        <v>0</v>
      </c>
      <c s="125">
        <f>I639/(1+IFERROR(INDEX(I$10:I$11,Предпосылки!$J282,),0))*IFERROR(INDEX(I$10:I$11,Предпосылки!$J282,),0)</f>
        <v>0</v>
      </c>
      <c s="125">
        <f>J639/(1+IFERROR(INDEX(J$10:J$11,Предпосылки!$J282,),0))*IFERROR(INDEX(J$10:J$11,Предпосылки!$J282,),0)</f>
        <v>0</v>
      </c>
      <c s="125">
        <f>K639/(1+IFERROR(INDEX(K$10:K$11,Предпосылки!$J282,),0))*IFERROR(INDEX(K$10:K$11,Предпосылки!$J282,),0)</f>
        <v>0</v>
      </c>
      <c s="125">
        <f>L639/(1+IFERROR(INDEX(L$10:L$11,Предпосылки!$J282,),0))*IFERROR(INDEX(L$10:L$11,Предпосылки!$J282,),0)</f>
        <v>0</v>
      </c>
      <c s="125">
        <f>M639/(1+IFERROR(INDEX(M$10:M$11,Предпосылки!$J282,),0))*IFERROR(INDEX(M$10:M$11,Предпосылки!$J282,),0)</f>
        <v>0</v>
      </c>
      <c s="125">
        <f>N639/(1+IFERROR(INDEX(N$10:N$11,Предпосылки!$J282,),0))*IFERROR(INDEX(N$10:N$11,Предпосылки!$J282,),0)</f>
        <v>0</v>
      </c>
      <c s="125">
        <f>O639/(1+IFERROR(INDEX(O$10:O$11,Предпосылки!$J282,),0))*IFERROR(INDEX(O$10:O$11,Предпосылки!$J282,),0)</f>
        <v>0</v>
      </c>
      <c s="125">
        <f>P639/(1+IFERROR(INDEX(P$10:P$11,Предпосылки!$J282,),0))*IFERROR(INDEX(P$10:P$11,Предпосылки!$J282,),0)</f>
        <v>0</v>
      </c>
      <c s="125">
        <f>Q639/(1+IFERROR(INDEX(Q$10:Q$11,Предпосылки!$J282,),0))*IFERROR(INDEX(Q$10:Q$11,Предпосылки!$J282,),0)</f>
        <v>0</v>
      </c>
      <c s="125">
        <f>R639/(1+IFERROR(INDEX(R$10:R$11,Предпосылки!$J282,),0))*IFERROR(INDEX(R$10:R$11,Предпосылки!$J282,),0)</f>
        <v>0</v>
      </c>
      <c s="125">
        <f>S639/(1+IFERROR(INDEX(S$10:S$11,Предпосылки!$J282,),0))*IFERROR(INDEX(S$10:S$11,Предпосылки!$J282,),0)</f>
        <v>0</v>
      </c>
      <c s="125">
        <f>T639/(1+IFERROR(INDEX(T$10:T$11,Предпосылки!$J282,),0))*IFERROR(INDEX(T$10:T$11,Предпосылки!$J282,),0)</f>
        <v>0</v>
      </c>
      <c s="125">
        <f>U639/(1+IFERROR(INDEX(U$10:U$11,Предпосылки!$J282,),0))*IFERROR(INDEX(U$10:U$11,Предпосылки!$J282,),0)</f>
        <v>0</v>
      </c>
      <c s="125">
        <f>V639/(1+IFERROR(INDEX(V$10:V$11,Предпосылки!$J282,),0))*IFERROR(INDEX(V$10:V$11,Предпосылки!$J282,),0)</f>
        <v>0</v>
      </c>
      <c s="125">
        <f>W639/(1+IFERROR(INDEX(W$10:W$11,Предпосылки!$J282,),0))*IFERROR(INDEX(W$10:W$11,Предпосылки!$J282,),0)</f>
        <v>0</v>
      </c>
      <c s="125">
        <f>X639/(1+IFERROR(INDEX(X$10:X$11,Предпосылки!$J282,),0))*IFERROR(INDEX(X$10:X$11,Предпосылки!$J282,),0)</f>
        <v>0</v>
      </c>
      <c s="125">
        <f>Y639/(1+IFERROR(INDEX(Y$10:Y$11,Предпосылки!$J282,),0))*IFERROR(INDEX(Y$10:Y$11,Предпосылки!$J282,),0)</f>
        <v>0</v>
      </c>
      <c s="125">
        <f>Z639/(1+IFERROR(INDEX(Z$10:Z$11,Предпосылки!$J282,),0))*IFERROR(INDEX(Z$10:Z$11,Предпосылки!$J282,),0)</f>
        <v>0</v>
      </c>
      <c s="125">
        <f>AA639/(1+IFERROR(INDEX(AA$10:AA$11,Предпосылки!$J282,),0))*IFERROR(INDEX(AA$10:AA$11,Предпосылки!$J282,),0)</f>
        <v>0</v>
      </c>
      <c s="125">
        <f>AB639/(1+IFERROR(INDEX(AB$10:AB$11,Предпосылки!$J282,),0))*IFERROR(INDEX(AB$10:AB$11,Предпосылки!$J282,),0)</f>
        <v>0</v>
      </c>
      <c s="125">
        <f>AC639/(1+IFERROR(INDEX(AC$10:AC$11,Предпосылки!$J282,),0))*IFERROR(INDEX(AC$10:AC$11,Предпосылки!$J282,),0)</f>
        <v>0</v>
      </c>
      <c s="125">
        <f>AD639/(1+IFERROR(INDEX(AD$10:AD$11,Предпосылки!$J282,),0))*IFERROR(INDEX(AD$10:AD$11,Предпосылки!$J282,),0)</f>
        <v>0</v>
      </c>
      <c s="125">
        <f>AE639/(1+IFERROR(INDEX(AE$10:AE$11,Предпосылки!$J282,),0))*IFERROR(INDEX(AE$10:AE$11,Предпосылки!$J282,),0)</f>
        <v>0</v>
      </c>
      <c s="125">
        <f>AF639/(1+IFERROR(INDEX(AF$10:AF$11,Предпосылки!$J282,),0))*IFERROR(INDEX(AF$10:AF$11,Предпосылки!$J282,),0)</f>
        <v>0</v>
      </c>
      <c s="125">
        <f>AG639/(1+IFERROR(INDEX(AG$10:AG$11,Предпосылки!$J282,),0))*IFERROR(INDEX(AG$10:AG$11,Предпосылки!$J282,),0)</f>
        <v>0</v>
      </c>
      <c s="125">
        <f>AH639/(1+IFERROR(INDEX(AH$10:AH$11,Предпосылки!$J282,),0))*IFERROR(INDEX(AH$10:AH$11,Предпосылки!$J282,),0)</f>
        <v>0</v>
      </c>
      <c s="125">
        <f>AI639/(1+IFERROR(INDEX(AI$10:AI$11,Предпосылки!$J282,),0))*IFERROR(INDEX(AI$10:AI$11,Предпосылки!$J282,),0)</f>
        <v>0</v>
      </c>
      <c s="125">
        <f>AJ639/(1+IFERROR(INDEX(AJ$10:AJ$11,Предпосылки!$J282,),0))*IFERROR(INDEX(AJ$10:AJ$11,Предпосылки!$J282,),0)</f>
        <v>0</v>
      </c>
      <c s="125">
        <f>AK639/(1+IFERROR(INDEX(AK$10:AK$11,Предпосылки!$J282,),0))*IFERROR(INDEX(AK$10:AK$11,Предпосылки!$J282,),0)</f>
        <v>0</v>
      </c>
      <c s="125">
        <f>AL639/(1+IFERROR(INDEX(AL$10:AL$11,Предпосылки!$J282,),0))*IFERROR(INDEX(AL$10:AL$11,Предпосылки!$J282,),0)</f>
        <v>0</v>
      </c>
      <c s="125">
        <f>AM639/(1+IFERROR(INDEX(AM$10:AM$11,Предпосылки!$J282,),0))*IFERROR(INDEX(AM$10:AM$11,Предпосылки!$J282,),0)</f>
        <v>0</v>
      </c>
      <c s="125">
        <f>AN639/(1+IFERROR(INDEX(AN$10:AN$11,Предпосылки!$J282,),0))*IFERROR(INDEX(AN$10:AN$11,Предпосылки!$J282,),0)</f>
        <v>0</v>
      </c>
      <c s="125">
        <f>AO639/(1+IFERROR(INDEX(AO$10:AO$11,Предпосылки!$J282,),0))*IFERROR(INDEX(AO$10:AO$11,Предпосылки!$J282,),0)</f>
        <v>0</v>
      </c>
      <c s="125">
        <f>AP639/(1+IFERROR(INDEX(AP$10:AP$11,Предпосылки!$J282,),0))*IFERROR(INDEX(AP$10:AP$11,Предпосылки!$J282,),0)</f>
        <v>0</v>
      </c>
      <c s="125">
        <f>AQ639/(1+IFERROR(INDEX(AQ$10:AQ$11,Предпосылки!$J282,),0))*IFERROR(INDEX(AQ$10:AQ$11,Предпосылки!$J282,),0)</f>
        <v>0</v>
      </c>
      <c s="125">
        <f>AR639/(1+IFERROR(INDEX(AR$10:AR$11,Предпосылки!$J282,),0))*IFERROR(INDEX(AR$10:AR$11,Предпосылки!$J282,),0)</f>
        <v>0</v>
      </c>
      <c s="125">
        <f>AS639/(1+IFERROR(INDEX(AS$10:AS$11,Предпосылки!$J282,),0))*IFERROR(INDEX(AS$10:AS$11,Предпосылки!$J282,),0)</f>
        <v>0</v>
      </c>
      <c s="125">
        <f>AT639/(1+IFERROR(INDEX(AT$10:AT$11,Предпосылки!$J282,),0))*IFERROR(INDEX(AT$10:AT$11,Предпосылки!$J282,),0)</f>
        <v>0</v>
      </c>
      <c s="125">
        <f>AU639/(1+IFERROR(INDEX(AU$10:AU$11,Предпосылки!$J282,),0))*IFERROR(INDEX(AU$10:AU$11,Предпосылки!$J282,),0)</f>
        <v>0</v>
      </c>
      <c s="125">
        <f>AV639/(1+IFERROR(INDEX(AV$10:AV$11,Предпосылки!$J282,),0))*IFERROR(INDEX(AV$10:AV$11,Предпосылки!$J282,),0)</f>
        <v>0</v>
      </c>
      <c s="125">
        <f>AW639/(1+IFERROR(INDEX(AW$10:AW$11,Предпосылки!$J282,),0))*IFERROR(INDEX(AW$10:AW$11,Предпосылки!$J282,),0)</f>
        <v>0</v>
      </c>
      <c s="125">
        <f>AX639/(1+IFERROR(INDEX(AX$10:AX$11,Предпосылки!$J282,),0))*IFERROR(INDEX(AX$10:AX$11,Предпосылки!$J282,),0)</f>
        <v>0</v>
      </c>
      <c s="125">
        <f>AY639/(1+IFERROR(INDEX(AY$10:AY$11,Предпосылки!$J282,),0))*IFERROR(INDEX(AY$10:AY$11,Предпосылки!$J282,),0)</f>
        <v>0</v>
      </c>
      <c s="125">
        <f>AZ639/(1+IFERROR(INDEX(AZ$10:AZ$11,Предпосылки!$J282,),0))*IFERROR(INDEX(AZ$10:AZ$11,Предпосылки!$J282,),0)</f>
        <v>0</v>
      </c>
      <c s="125">
        <f>BA639/(1+IFERROR(INDEX(BA$10:BA$11,Предпосылки!$J282,),0))*IFERROR(INDEX(BA$10:BA$11,Предпосылки!$J282,),0)</f>
        <v>0</v>
      </c>
      <c s="125">
        <f>BB639/(1+IFERROR(INDEX(BB$10:BB$11,Предпосылки!$J282,),0))*IFERROR(INDEX(BB$10:BB$11,Предпосылки!$J282,),0)</f>
        <v>0</v>
      </c>
      <c s="125">
        <f>BC639/(1+IFERROR(INDEX(BC$10:BC$11,Предпосылки!$J282,),0))*IFERROR(INDEX(BC$10:BC$11,Предпосылки!$J282,),0)</f>
        <v>0</v>
      </c>
      <c s="125">
        <f>BD639/(1+IFERROR(INDEX(BD$10:BD$11,Предпосылки!$J282,),0))*IFERROR(INDEX(BD$10:BD$11,Предпосылки!$J282,),0)</f>
        <v>0</v>
      </c>
      <c s="125">
        <f>BE639/(1+IFERROR(INDEX(BE$10:BE$11,Предпосылки!$J282,),0))*IFERROR(INDEX(BE$10:BE$11,Предпосылки!$J282,),0)</f>
        <v>0</v>
      </c>
      <c s="125">
        <f>BF639/(1+IFERROR(INDEX(BF$10:BF$11,Предпосылки!$J282,),0))*IFERROR(INDEX(BF$10:BF$11,Предпосылки!$J282,),0)</f>
        <v>0</v>
      </c>
      <c s="125">
        <f>BG639/(1+IFERROR(INDEX(BG$10:BG$11,Предпосылки!$J282,),0))*IFERROR(INDEX(BG$10:BG$11,Предпосылки!$J282,),0)</f>
        <v>0</v>
      </c>
      <c s="125">
        <f>BH639/(1+IFERROR(INDEX(BH$10:BH$11,Предпосылки!$J282,),0))*IFERROR(INDEX(BH$10:BH$11,Предпосылки!$J282,),0)</f>
        <v>0</v>
      </c>
      <c s="125">
        <f>BI639/(1+IFERROR(INDEX(BI$10:BI$11,Предпосылки!$J282,),0))*IFERROR(INDEX(BI$10:BI$11,Предпосылки!$J282,),0)</f>
        <v>0</v>
      </c>
      <c s="125">
        <f>BJ639/(1+IFERROR(INDEX(BJ$10:BJ$11,Предпосылки!$J282,),0))*IFERROR(INDEX(BJ$10:BJ$11,Предпосылки!$J282,),0)</f>
        <v>0</v>
      </c>
      <c s="125">
        <f>BK639/(1+IFERROR(INDEX(BK$10:BK$11,Предпосылки!$J282,),0))*IFERROR(INDEX(BK$10:BK$11,Предпосылки!$J282,),0)</f>
        <v>0</v>
      </c>
      <c s="125">
        <f>BL639/(1+IFERROR(INDEX(BL$10:BL$11,Предпосылки!$J282,),0))*IFERROR(INDEX(BL$10:BL$11,Предпосылки!$J282,),0)</f>
        <v>0</v>
      </c>
      <c s="125">
        <f>BM639/(1+IFERROR(INDEX(BM$10:BM$11,Предпосылки!$J282,),0))*IFERROR(INDEX(BM$10:BM$11,Предпосылки!$J282,),0)</f>
        <v>0</v>
      </c>
    </row>
    <row r="668" spans="2:65" ht="15" customHeight="1">
      <c r="B668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E640/(1+IFERROR(INDEX(E$10:E$11,Предпосылки!$J283,),0))*IFERROR(INDEX(E$10:E$11,Предпосылки!$J283,),0)</f>
        <v>0</v>
      </c>
      <c s="125">
        <f>F640/(1+IFERROR(INDEX(F$10:F$11,Предпосылки!$J283,),0))*IFERROR(INDEX(F$10:F$11,Предпосылки!$J283,),0)</f>
        <v>0</v>
      </c>
      <c s="125">
        <f>G640/(1+IFERROR(INDEX(G$10:G$11,Предпосылки!$J283,),0))*IFERROR(INDEX(G$10:G$11,Предпосылки!$J283,),0)</f>
        <v>0</v>
      </c>
      <c s="125">
        <f>H640/(1+IFERROR(INDEX(H$10:H$11,Предпосылки!$J283,),0))*IFERROR(INDEX(H$10:H$11,Предпосылки!$J283,),0)</f>
        <v>0</v>
      </c>
      <c s="125">
        <f>I640/(1+IFERROR(INDEX(I$10:I$11,Предпосылки!$J283,),0))*IFERROR(INDEX(I$10:I$11,Предпосылки!$J283,),0)</f>
        <v>0</v>
      </c>
      <c s="125">
        <f>J640/(1+IFERROR(INDEX(J$10:J$11,Предпосылки!$J283,),0))*IFERROR(INDEX(J$10:J$11,Предпосылки!$J283,),0)</f>
        <v>0</v>
      </c>
      <c s="125">
        <f>K640/(1+IFERROR(INDEX(K$10:K$11,Предпосылки!$J283,),0))*IFERROR(INDEX(K$10:K$11,Предпосылки!$J283,),0)</f>
        <v>0</v>
      </c>
      <c s="125">
        <f>L640/(1+IFERROR(INDEX(L$10:L$11,Предпосылки!$J283,),0))*IFERROR(INDEX(L$10:L$11,Предпосылки!$J283,),0)</f>
        <v>0</v>
      </c>
      <c s="125">
        <f>M640/(1+IFERROR(INDEX(M$10:M$11,Предпосылки!$J283,),0))*IFERROR(INDEX(M$10:M$11,Предпосылки!$J283,),0)</f>
        <v>0</v>
      </c>
      <c s="125">
        <f>N640/(1+IFERROR(INDEX(N$10:N$11,Предпосылки!$J283,),0))*IFERROR(INDEX(N$10:N$11,Предпосылки!$J283,),0)</f>
        <v>0</v>
      </c>
      <c s="125">
        <f>O640/(1+IFERROR(INDEX(O$10:O$11,Предпосылки!$J283,),0))*IFERROR(INDEX(O$10:O$11,Предпосылки!$J283,),0)</f>
        <v>0</v>
      </c>
      <c s="125">
        <f>P640/(1+IFERROR(INDEX(P$10:P$11,Предпосылки!$J283,),0))*IFERROR(INDEX(P$10:P$11,Предпосылки!$J283,),0)</f>
        <v>0</v>
      </c>
      <c s="125">
        <f>Q640/(1+IFERROR(INDEX(Q$10:Q$11,Предпосылки!$J283,),0))*IFERROR(INDEX(Q$10:Q$11,Предпосылки!$J283,),0)</f>
        <v>0</v>
      </c>
      <c s="125">
        <f>R640/(1+IFERROR(INDEX(R$10:R$11,Предпосылки!$J283,),0))*IFERROR(INDEX(R$10:R$11,Предпосылки!$J283,),0)</f>
        <v>0</v>
      </c>
      <c s="125">
        <f>S640/(1+IFERROR(INDEX(S$10:S$11,Предпосылки!$J283,),0))*IFERROR(INDEX(S$10:S$11,Предпосылки!$J283,),0)</f>
        <v>0</v>
      </c>
      <c s="125">
        <f>T640/(1+IFERROR(INDEX(T$10:T$11,Предпосылки!$J283,),0))*IFERROR(INDEX(T$10:T$11,Предпосылки!$J283,),0)</f>
        <v>0</v>
      </c>
      <c s="125">
        <f>U640/(1+IFERROR(INDEX(U$10:U$11,Предпосылки!$J283,),0))*IFERROR(INDEX(U$10:U$11,Предпосылки!$J283,),0)</f>
        <v>0</v>
      </c>
      <c s="125">
        <f>V640/(1+IFERROR(INDEX(V$10:V$11,Предпосылки!$J283,),0))*IFERROR(INDEX(V$10:V$11,Предпосылки!$J283,),0)</f>
        <v>0</v>
      </c>
      <c s="125">
        <f>W640/(1+IFERROR(INDEX(W$10:W$11,Предпосылки!$J283,),0))*IFERROR(INDEX(W$10:W$11,Предпосылки!$J283,),0)</f>
        <v>0</v>
      </c>
      <c s="125">
        <f>X640/(1+IFERROR(INDEX(X$10:X$11,Предпосылки!$J283,),0))*IFERROR(INDEX(X$10:X$11,Предпосылки!$J283,),0)</f>
        <v>0</v>
      </c>
      <c s="125">
        <f>Y640/(1+IFERROR(INDEX(Y$10:Y$11,Предпосылки!$J283,),0))*IFERROR(INDEX(Y$10:Y$11,Предпосылки!$J283,),0)</f>
        <v>0</v>
      </c>
      <c s="125">
        <f>Z640/(1+IFERROR(INDEX(Z$10:Z$11,Предпосылки!$J283,),0))*IFERROR(INDEX(Z$10:Z$11,Предпосылки!$J283,),0)</f>
        <v>0</v>
      </c>
      <c s="125">
        <f>AA640/(1+IFERROR(INDEX(AA$10:AA$11,Предпосылки!$J283,),0))*IFERROR(INDEX(AA$10:AA$11,Предпосылки!$J283,),0)</f>
        <v>0</v>
      </c>
      <c s="125">
        <f>AB640/(1+IFERROR(INDEX(AB$10:AB$11,Предпосылки!$J283,),0))*IFERROR(INDEX(AB$10:AB$11,Предпосылки!$J283,),0)</f>
        <v>0</v>
      </c>
      <c s="125">
        <f>AC640/(1+IFERROR(INDEX(AC$10:AC$11,Предпосылки!$J283,),0))*IFERROR(INDEX(AC$10:AC$11,Предпосылки!$J283,),0)</f>
        <v>0</v>
      </c>
      <c s="125">
        <f>AD640/(1+IFERROR(INDEX(AD$10:AD$11,Предпосылки!$J283,),0))*IFERROR(INDEX(AD$10:AD$11,Предпосылки!$J283,),0)</f>
        <v>0</v>
      </c>
      <c s="125">
        <f>AE640/(1+IFERROR(INDEX(AE$10:AE$11,Предпосылки!$J283,),0))*IFERROR(INDEX(AE$10:AE$11,Предпосылки!$J283,),0)</f>
        <v>0</v>
      </c>
      <c s="125">
        <f>AF640/(1+IFERROR(INDEX(AF$10:AF$11,Предпосылки!$J283,),0))*IFERROR(INDEX(AF$10:AF$11,Предпосылки!$J283,),0)</f>
        <v>0</v>
      </c>
      <c s="125">
        <f>AG640/(1+IFERROR(INDEX(AG$10:AG$11,Предпосылки!$J283,),0))*IFERROR(INDEX(AG$10:AG$11,Предпосылки!$J283,),0)</f>
        <v>0</v>
      </c>
      <c s="125">
        <f>AH640/(1+IFERROR(INDEX(AH$10:AH$11,Предпосылки!$J283,),0))*IFERROR(INDEX(AH$10:AH$11,Предпосылки!$J283,),0)</f>
        <v>0</v>
      </c>
      <c s="125">
        <f>AI640/(1+IFERROR(INDEX(AI$10:AI$11,Предпосылки!$J283,),0))*IFERROR(INDEX(AI$10:AI$11,Предпосылки!$J283,),0)</f>
        <v>0</v>
      </c>
      <c s="125">
        <f>AJ640/(1+IFERROR(INDEX(AJ$10:AJ$11,Предпосылки!$J283,),0))*IFERROR(INDEX(AJ$10:AJ$11,Предпосылки!$J283,),0)</f>
        <v>0</v>
      </c>
      <c s="125">
        <f>AK640/(1+IFERROR(INDEX(AK$10:AK$11,Предпосылки!$J283,),0))*IFERROR(INDEX(AK$10:AK$11,Предпосылки!$J283,),0)</f>
        <v>0</v>
      </c>
      <c s="125">
        <f>AL640/(1+IFERROR(INDEX(AL$10:AL$11,Предпосылки!$J283,),0))*IFERROR(INDEX(AL$10:AL$11,Предпосылки!$J283,),0)</f>
        <v>0</v>
      </c>
      <c s="125">
        <f>AM640/(1+IFERROR(INDEX(AM$10:AM$11,Предпосылки!$J283,),0))*IFERROR(INDEX(AM$10:AM$11,Предпосылки!$J283,),0)</f>
        <v>0</v>
      </c>
      <c s="125">
        <f>AN640/(1+IFERROR(INDEX(AN$10:AN$11,Предпосылки!$J283,),0))*IFERROR(INDEX(AN$10:AN$11,Предпосылки!$J283,),0)</f>
        <v>0</v>
      </c>
      <c s="125">
        <f>AO640/(1+IFERROR(INDEX(AO$10:AO$11,Предпосылки!$J283,),0))*IFERROR(INDEX(AO$10:AO$11,Предпосылки!$J283,),0)</f>
        <v>0</v>
      </c>
      <c s="125">
        <f>AP640/(1+IFERROR(INDEX(AP$10:AP$11,Предпосылки!$J283,),0))*IFERROR(INDEX(AP$10:AP$11,Предпосылки!$J283,),0)</f>
        <v>0</v>
      </c>
      <c s="125">
        <f>AQ640/(1+IFERROR(INDEX(AQ$10:AQ$11,Предпосылки!$J283,),0))*IFERROR(INDEX(AQ$10:AQ$11,Предпосылки!$J283,),0)</f>
        <v>0</v>
      </c>
      <c s="125">
        <f>AR640/(1+IFERROR(INDEX(AR$10:AR$11,Предпосылки!$J283,),0))*IFERROR(INDEX(AR$10:AR$11,Предпосылки!$J283,),0)</f>
        <v>0</v>
      </c>
      <c s="125">
        <f>AS640/(1+IFERROR(INDEX(AS$10:AS$11,Предпосылки!$J283,),0))*IFERROR(INDEX(AS$10:AS$11,Предпосылки!$J283,),0)</f>
        <v>0</v>
      </c>
      <c s="125">
        <f>AT640/(1+IFERROR(INDEX(AT$10:AT$11,Предпосылки!$J283,),0))*IFERROR(INDEX(AT$10:AT$11,Предпосылки!$J283,),0)</f>
        <v>0</v>
      </c>
      <c s="125">
        <f>AU640/(1+IFERROR(INDEX(AU$10:AU$11,Предпосылки!$J283,),0))*IFERROR(INDEX(AU$10:AU$11,Предпосылки!$J283,),0)</f>
        <v>0</v>
      </c>
      <c s="125">
        <f>AV640/(1+IFERROR(INDEX(AV$10:AV$11,Предпосылки!$J283,),0))*IFERROR(INDEX(AV$10:AV$11,Предпосылки!$J283,),0)</f>
        <v>0</v>
      </c>
      <c s="125">
        <f>AW640/(1+IFERROR(INDEX(AW$10:AW$11,Предпосылки!$J283,),0))*IFERROR(INDEX(AW$10:AW$11,Предпосылки!$J283,),0)</f>
        <v>0</v>
      </c>
      <c s="125">
        <f>AX640/(1+IFERROR(INDEX(AX$10:AX$11,Предпосылки!$J283,),0))*IFERROR(INDEX(AX$10:AX$11,Предпосылки!$J283,),0)</f>
        <v>0</v>
      </c>
      <c s="125">
        <f>AY640/(1+IFERROR(INDEX(AY$10:AY$11,Предпосылки!$J283,),0))*IFERROR(INDEX(AY$10:AY$11,Предпосылки!$J283,),0)</f>
        <v>0</v>
      </c>
      <c s="125">
        <f>AZ640/(1+IFERROR(INDEX(AZ$10:AZ$11,Предпосылки!$J283,),0))*IFERROR(INDEX(AZ$10:AZ$11,Предпосылки!$J283,),0)</f>
        <v>0</v>
      </c>
      <c s="125">
        <f>BA640/(1+IFERROR(INDEX(BA$10:BA$11,Предпосылки!$J283,),0))*IFERROR(INDEX(BA$10:BA$11,Предпосылки!$J283,),0)</f>
        <v>0</v>
      </c>
      <c s="125">
        <f>BB640/(1+IFERROR(INDEX(BB$10:BB$11,Предпосылки!$J283,),0))*IFERROR(INDEX(BB$10:BB$11,Предпосылки!$J283,),0)</f>
        <v>0</v>
      </c>
      <c s="125">
        <f>BC640/(1+IFERROR(INDEX(BC$10:BC$11,Предпосылки!$J283,),0))*IFERROR(INDEX(BC$10:BC$11,Предпосылки!$J283,),0)</f>
        <v>0</v>
      </c>
      <c s="125">
        <f>BD640/(1+IFERROR(INDEX(BD$10:BD$11,Предпосылки!$J283,),0))*IFERROR(INDEX(BD$10:BD$11,Предпосылки!$J283,),0)</f>
        <v>0</v>
      </c>
      <c s="125">
        <f>BE640/(1+IFERROR(INDEX(BE$10:BE$11,Предпосылки!$J283,),0))*IFERROR(INDEX(BE$10:BE$11,Предпосылки!$J283,),0)</f>
        <v>0</v>
      </c>
      <c s="125">
        <f>BF640/(1+IFERROR(INDEX(BF$10:BF$11,Предпосылки!$J283,),0))*IFERROR(INDEX(BF$10:BF$11,Предпосылки!$J283,),0)</f>
        <v>0</v>
      </c>
      <c s="125">
        <f>BG640/(1+IFERROR(INDEX(BG$10:BG$11,Предпосылки!$J283,),0))*IFERROR(INDEX(BG$10:BG$11,Предпосылки!$J283,),0)</f>
        <v>0</v>
      </c>
      <c s="125">
        <f>BH640/(1+IFERROR(INDEX(BH$10:BH$11,Предпосылки!$J283,),0))*IFERROR(INDEX(BH$10:BH$11,Предпосылки!$J283,),0)</f>
        <v>0</v>
      </c>
      <c s="125">
        <f>BI640/(1+IFERROR(INDEX(BI$10:BI$11,Предпосылки!$J283,),0))*IFERROR(INDEX(BI$10:BI$11,Предпосылки!$J283,),0)</f>
        <v>0</v>
      </c>
      <c s="125">
        <f>BJ640/(1+IFERROR(INDEX(BJ$10:BJ$11,Предпосылки!$J283,),0))*IFERROR(INDEX(BJ$10:BJ$11,Предпосылки!$J283,),0)</f>
        <v>0</v>
      </c>
      <c s="125">
        <f>BK640/(1+IFERROR(INDEX(BK$10:BK$11,Предпосылки!$J283,),0))*IFERROR(INDEX(BK$10:BK$11,Предпосылки!$J283,),0)</f>
        <v>0</v>
      </c>
      <c s="125">
        <f>BL640/(1+IFERROR(INDEX(BL$10:BL$11,Предпосылки!$J283,),0))*IFERROR(INDEX(BL$10:BL$11,Предпосылки!$J283,),0)</f>
        <v>0</v>
      </c>
      <c s="125">
        <f>BM640/(1+IFERROR(INDEX(BM$10:BM$11,Предпосылки!$J283,),0))*IFERROR(INDEX(BM$10:BM$11,Предпосылки!$J283,),0)</f>
        <v>0</v>
      </c>
    </row>
    <row r="669" spans="2:65" ht="15" customHeight="1">
      <c r="B669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E641/(1+IFERROR(INDEX(E$10:E$11,Предпосылки!$J284,),0))*IFERROR(INDEX(E$10:E$11,Предпосылки!$J284,),0)</f>
        <v>0</v>
      </c>
      <c s="125">
        <f>F641/(1+IFERROR(INDEX(F$10:F$11,Предпосылки!$J284,),0))*IFERROR(INDEX(F$10:F$11,Предпосылки!$J284,),0)</f>
        <v>0</v>
      </c>
      <c s="125">
        <f>G641/(1+IFERROR(INDEX(G$10:G$11,Предпосылки!$J284,),0))*IFERROR(INDEX(G$10:G$11,Предпосылки!$J284,),0)</f>
        <v>0</v>
      </c>
      <c s="125">
        <f>H641/(1+IFERROR(INDEX(H$10:H$11,Предпосылки!$J284,),0))*IFERROR(INDEX(H$10:H$11,Предпосылки!$J284,),0)</f>
        <v>0</v>
      </c>
      <c s="125">
        <f>I641/(1+IFERROR(INDEX(I$10:I$11,Предпосылки!$J284,),0))*IFERROR(INDEX(I$10:I$11,Предпосылки!$J284,),0)</f>
        <v>0</v>
      </c>
      <c s="125">
        <f>J641/(1+IFERROR(INDEX(J$10:J$11,Предпосылки!$J284,),0))*IFERROR(INDEX(J$10:J$11,Предпосылки!$J284,),0)</f>
        <v>0</v>
      </c>
      <c s="125">
        <f>K641/(1+IFERROR(INDEX(K$10:K$11,Предпосылки!$J284,),0))*IFERROR(INDEX(K$10:K$11,Предпосылки!$J284,),0)</f>
        <v>0</v>
      </c>
      <c s="125">
        <f>L641/(1+IFERROR(INDEX(L$10:L$11,Предпосылки!$J284,),0))*IFERROR(INDEX(L$10:L$11,Предпосылки!$J284,),0)</f>
        <v>0</v>
      </c>
      <c s="125">
        <f>M641/(1+IFERROR(INDEX(M$10:M$11,Предпосылки!$J284,),0))*IFERROR(INDEX(M$10:M$11,Предпосылки!$J284,),0)</f>
        <v>0</v>
      </c>
      <c s="125">
        <f>N641/(1+IFERROR(INDEX(N$10:N$11,Предпосылки!$J284,),0))*IFERROR(INDEX(N$10:N$11,Предпосылки!$J284,),0)</f>
        <v>0</v>
      </c>
      <c s="125">
        <f>O641/(1+IFERROR(INDEX(O$10:O$11,Предпосылки!$J284,),0))*IFERROR(INDEX(O$10:O$11,Предпосылки!$J284,),0)</f>
        <v>0</v>
      </c>
      <c s="125">
        <f>P641/(1+IFERROR(INDEX(P$10:P$11,Предпосылки!$J284,),0))*IFERROR(INDEX(P$10:P$11,Предпосылки!$J284,),0)</f>
        <v>0</v>
      </c>
      <c s="125">
        <f>Q641/(1+IFERROR(INDEX(Q$10:Q$11,Предпосылки!$J284,),0))*IFERROR(INDEX(Q$10:Q$11,Предпосылки!$J284,),0)</f>
        <v>0</v>
      </c>
      <c s="125">
        <f>R641/(1+IFERROR(INDEX(R$10:R$11,Предпосылки!$J284,),0))*IFERROR(INDEX(R$10:R$11,Предпосылки!$J284,),0)</f>
        <v>0</v>
      </c>
      <c s="125">
        <f>S641/(1+IFERROR(INDEX(S$10:S$11,Предпосылки!$J284,),0))*IFERROR(INDEX(S$10:S$11,Предпосылки!$J284,),0)</f>
        <v>0</v>
      </c>
      <c s="125">
        <f>T641/(1+IFERROR(INDEX(T$10:T$11,Предпосылки!$J284,),0))*IFERROR(INDEX(T$10:T$11,Предпосылки!$J284,),0)</f>
        <v>0</v>
      </c>
      <c s="125">
        <f>U641/(1+IFERROR(INDEX(U$10:U$11,Предпосылки!$J284,),0))*IFERROR(INDEX(U$10:U$11,Предпосылки!$J284,),0)</f>
        <v>0</v>
      </c>
      <c s="125">
        <f>V641/(1+IFERROR(INDEX(V$10:V$11,Предпосылки!$J284,),0))*IFERROR(INDEX(V$10:V$11,Предпосылки!$J284,),0)</f>
        <v>0</v>
      </c>
      <c s="125">
        <f>W641/(1+IFERROR(INDEX(W$10:W$11,Предпосылки!$J284,),0))*IFERROR(INDEX(W$10:W$11,Предпосылки!$J284,),0)</f>
        <v>0</v>
      </c>
      <c s="125">
        <f>X641/(1+IFERROR(INDEX(X$10:X$11,Предпосылки!$J284,),0))*IFERROR(INDEX(X$10:X$11,Предпосылки!$J284,),0)</f>
        <v>0</v>
      </c>
      <c s="125">
        <f>Y641/(1+IFERROR(INDEX(Y$10:Y$11,Предпосылки!$J284,),0))*IFERROR(INDEX(Y$10:Y$11,Предпосылки!$J284,),0)</f>
        <v>0</v>
      </c>
      <c s="125">
        <f>Z641/(1+IFERROR(INDEX(Z$10:Z$11,Предпосылки!$J284,),0))*IFERROR(INDEX(Z$10:Z$11,Предпосылки!$J284,),0)</f>
        <v>0</v>
      </c>
      <c s="125">
        <f>AA641/(1+IFERROR(INDEX(AA$10:AA$11,Предпосылки!$J284,),0))*IFERROR(INDEX(AA$10:AA$11,Предпосылки!$J284,),0)</f>
        <v>0</v>
      </c>
      <c s="125">
        <f>AB641/(1+IFERROR(INDEX(AB$10:AB$11,Предпосылки!$J284,),0))*IFERROR(INDEX(AB$10:AB$11,Предпосылки!$J284,),0)</f>
        <v>0</v>
      </c>
      <c s="125">
        <f>AC641/(1+IFERROR(INDEX(AC$10:AC$11,Предпосылки!$J284,),0))*IFERROR(INDEX(AC$10:AC$11,Предпосылки!$J284,),0)</f>
        <v>0</v>
      </c>
      <c s="125">
        <f>AD641/(1+IFERROR(INDEX(AD$10:AD$11,Предпосылки!$J284,),0))*IFERROR(INDEX(AD$10:AD$11,Предпосылки!$J284,),0)</f>
        <v>0</v>
      </c>
      <c s="125">
        <f>AE641/(1+IFERROR(INDEX(AE$10:AE$11,Предпосылки!$J284,),0))*IFERROR(INDEX(AE$10:AE$11,Предпосылки!$J284,),0)</f>
        <v>0</v>
      </c>
      <c s="125">
        <f>AF641/(1+IFERROR(INDEX(AF$10:AF$11,Предпосылки!$J284,),0))*IFERROR(INDEX(AF$10:AF$11,Предпосылки!$J284,),0)</f>
        <v>0</v>
      </c>
      <c s="125">
        <f>AG641/(1+IFERROR(INDEX(AG$10:AG$11,Предпосылки!$J284,),0))*IFERROR(INDEX(AG$10:AG$11,Предпосылки!$J284,),0)</f>
        <v>0</v>
      </c>
      <c s="125">
        <f>AH641/(1+IFERROR(INDEX(AH$10:AH$11,Предпосылки!$J284,),0))*IFERROR(INDEX(AH$10:AH$11,Предпосылки!$J284,),0)</f>
        <v>0</v>
      </c>
      <c s="125">
        <f>AI641/(1+IFERROR(INDEX(AI$10:AI$11,Предпосылки!$J284,),0))*IFERROR(INDEX(AI$10:AI$11,Предпосылки!$J284,),0)</f>
        <v>0</v>
      </c>
      <c s="125">
        <f>AJ641/(1+IFERROR(INDEX(AJ$10:AJ$11,Предпосылки!$J284,),0))*IFERROR(INDEX(AJ$10:AJ$11,Предпосылки!$J284,),0)</f>
        <v>0</v>
      </c>
      <c s="125">
        <f>AK641/(1+IFERROR(INDEX(AK$10:AK$11,Предпосылки!$J284,),0))*IFERROR(INDEX(AK$10:AK$11,Предпосылки!$J284,),0)</f>
        <v>0</v>
      </c>
      <c s="125">
        <f>AL641/(1+IFERROR(INDEX(AL$10:AL$11,Предпосылки!$J284,),0))*IFERROR(INDEX(AL$10:AL$11,Предпосылки!$J284,),0)</f>
        <v>0</v>
      </c>
      <c s="125">
        <f>AM641/(1+IFERROR(INDEX(AM$10:AM$11,Предпосылки!$J284,),0))*IFERROR(INDEX(AM$10:AM$11,Предпосылки!$J284,),0)</f>
        <v>0</v>
      </c>
      <c s="125">
        <f>AN641/(1+IFERROR(INDEX(AN$10:AN$11,Предпосылки!$J284,),0))*IFERROR(INDEX(AN$10:AN$11,Предпосылки!$J284,),0)</f>
        <v>0</v>
      </c>
      <c s="125">
        <f>AO641/(1+IFERROR(INDEX(AO$10:AO$11,Предпосылки!$J284,),0))*IFERROR(INDEX(AO$10:AO$11,Предпосылки!$J284,),0)</f>
        <v>0</v>
      </c>
      <c s="125">
        <f>AP641/(1+IFERROR(INDEX(AP$10:AP$11,Предпосылки!$J284,),0))*IFERROR(INDEX(AP$10:AP$11,Предпосылки!$J284,),0)</f>
        <v>0</v>
      </c>
      <c s="125">
        <f>AQ641/(1+IFERROR(INDEX(AQ$10:AQ$11,Предпосылки!$J284,),0))*IFERROR(INDEX(AQ$10:AQ$11,Предпосылки!$J284,),0)</f>
        <v>0</v>
      </c>
      <c s="125">
        <f>AR641/(1+IFERROR(INDEX(AR$10:AR$11,Предпосылки!$J284,),0))*IFERROR(INDEX(AR$10:AR$11,Предпосылки!$J284,),0)</f>
        <v>0</v>
      </c>
      <c s="125">
        <f>AS641/(1+IFERROR(INDEX(AS$10:AS$11,Предпосылки!$J284,),0))*IFERROR(INDEX(AS$10:AS$11,Предпосылки!$J284,),0)</f>
        <v>0</v>
      </c>
      <c s="125">
        <f>AT641/(1+IFERROR(INDEX(AT$10:AT$11,Предпосылки!$J284,),0))*IFERROR(INDEX(AT$10:AT$11,Предпосылки!$J284,),0)</f>
        <v>0</v>
      </c>
      <c s="125">
        <f>AU641/(1+IFERROR(INDEX(AU$10:AU$11,Предпосылки!$J284,),0))*IFERROR(INDEX(AU$10:AU$11,Предпосылки!$J284,),0)</f>
        <v>0</v>
      </c>
      <c s="125">
        <f>AV641/(1+IFERROR(INDEX(AV$10:AV$11,Предпосылки!$J284,),0))*IFERROR(INDEX(AV$10:AV$11,Предпосылки!$J284,),0)</f>
        <v>0</v>
      </c>
      <c s="125">
        <f>AW641/(1+IFERROR(INDEX(AW$10:AW$11,Предпосылки!$J284,),0))*IFERROR(INDEX(AW$10:AW$11,Предпосылки!$J284,),0)</f>
        <v>0</v>
      </c>
      <c s="125">
        <f>AX641/(1+IFERROR(INDEX(AX$10:AX$11,Предпосылки!$J284,),0))*IFERROR(INDEX(AX$10:AX$11,Предпосылки!$J284,),0)</f>
        <v>0</v>
      </c>
      <c s="125">
        <f>AY641/(1+IFERROR(INDEX(AY$10:AY$11,Предпосылки!$J284,),0))*IFERROR(INDEX(AY$10:AY$11,Предпосылки!$J284,),0)</f>
        <v>0</v>
      </c>
      <c s="125">
        <f>AZ641/(1+IFERROR(INDEX(AZ$10:AZ$11,Предпосылки!$J284,),0))*IFERROR(INDEX(AZ$10:AZ$11,Предпосылки!$J284,),0)</f>
        <v>0</v>
      </c>
      <c s="125">
        <f>BA641/(1+IFERROR(INDEX(BA$10:BA$11,Предпосылки!$J284,),0))*IFERROR(INDEX(BA$10:BA$11,Предпосылки!$J284,),0)</f>
        <v>0</v>
      </c>
      <c s="125">
        <f>BB641/(1+IFERROR(INDEX(BB$10:BB$11,Предпосылки!$J284,),0))*IFERROR(INDEX(BB$10:BB$11,Предпосылки!$J284,),0)</f>
        <v>0</v>
      </c>
      <c s="125">
        <f>BC641/(1+IFERROR(INDEX(BC$10:BC$11,Предпосылки!$J284,),0))*IFERROR(INDEX(BC$10:BC$11,Предпосылки!$J284,),0)</f>
        <v>0</v>
      </c>
      <c s="125">
        <f>BD641/(1+IFERROR(INDEX(BD$10:BD$11,Предпосылки!$J284,),0))*IFERROR(INDEX(BD$10:BD$11,Предпосылки!$J284,),0)</f>
        <v>0</v>
      </c>
      <c s="125">
        <f>BE641/(1+IFERROR(INDEX(BE$10:BE$11,Предпосылки!$J284,),0))*IFERROR(INDEX(BE$10:BE$11,Предпосылки!$J284,),0)</f>
        <v>0</v>
      </c>
      <c s="125">
        <f>BF641/(1+IFERROR(INDEX(BF$10:BF$11,Предпосылки!$J284,),0))*IFERROR(INDEX(BF$10:BF$11,Предпосылки!$J284,),0)</f>
        <v>0</v>
      </c>
      <c s="125">
        <f>BG641/(1+IFERROR(INDEX(BG$10:BG$11,Предпосылки!$J284,),0))*IFERROR(INDEX(BG$10:BG$11,Предпосылки!$J284,),0)</f>
        <v>0</v>
      </c>
      <c s="125">
        <f>BH641/(1+IFERROR(INDEX(BH$10:BH$11,Предпосылки!$J284,),0))*IFERROR(INDEX(BH$10:BH$11,Предпосылки!$J284,),0)</f>
        <v>0</v>
      </c>
      <c s="125">
        <f>BI641/(1+IFERROR(INDEX(BI$10:BI$11,Предпосылки!$J284,),0))*IFERROR(INDEX(BI$10:BI$11,Предпосылки!$J284,),0)</f>
        <v>0</v>
      </c>
      <c s="125">
        <f>BJ641/(1+IFERROR(INDEX(BJ$10:BJ$11,Предпосылки!$J284,),0))*IFERROR(INDEX(BJ$10:BJ$11,Предпосылки!$J284,),0)</f>
        <v>0</v>
      </c>
      <c s="125">
        <f>BK641/(1+IFERROR(INDEX(BK$10:BK$11,Предпосылки!$J284,),0))*IFERROR(INDEX(BK$10:BK$11,Предпосылки!$J284,),0)</f>
        <v>0</v>
      </c>
      <c s="125">
        <f>BL641/(1+IFERROR(INDEX(BL$10:BL$11,Предпосылки!$J284,),0))*IFERROR(INDEX(BL$10:BL$11,Предпосылки!$J284,),0)</f>
        <v>0</v>
      </c>
      <c s="125">
        <f>BM641/(1+IFERROR(INDEX(BM$10:BM$11,Предпосылки!$J284,),0))*IFERROR(INDEX(BM$10:BM$11,Предпосылки!$J284,),0)</f>
        <v>0</v>
      </c>
    </row>
    <row r="670" spans="2:65" ht="15" customHeight="1">
      <c r="B670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E642/(1+IFERROR(INDEX(E$10:E$11,Предпосылки!$J285,),0))*IFERROR(INDEX(E$10:E$11,Предпосылки!$J285,),0)</f>
        <v>0</v>
      </c>
      <c s="125">
        <f>F642/(1+IFERROR(INDEX(F$10:F$11,Предпосылки!$J285,),0))*IFERROR(INDEX(F$10:F$11,Предпосылки!$J285,),0)</f>
        <v>0</v>
      </c>
      <c s="125">
        <f>G642/(1+IFERROR(INDEX(G$10:G$11,Предпосылки!$J285,),0))*IFERROR(INDEX(G$10:G$11,Предпосылки!$J285,),0)</f>
        <v>0</v>
      </c>
      <c s="125">
        <f>H642/(1+IFERROR(INDEX(H$10:H$11,Предпосылки!$J285,),0))*IFERROR(INDEX(H$10:H$11,Предпосылки!$J285,),0)</f>
        <v>0</v>
      </c>
      <c s="125">
        <f>I642/(1+IFERROR(INDEX(I$10:I$11,Предпосылки!$J285,),0))*IFERROR(INDEX(I$10:I$11,Предпосылки!$J285,),0)</f>
        <v>0</v>
      </c>
      <c s="125">
        <f>J642/(1+IFERROR(INDEX(J$10:J$11,Предпосылки!$J285,),0))*IFERROR(INDEX(J$10:J$11,Предпосылки!$J285,),0)</f>
        <v>0</v>
      </c>
      <c s="125">
        <f>K642/(1+IFERROR(INDEX(K$10:K$11,Предпосылки!$J285,),0))*IFERROR(INDEX(K$10:K$11,Предпосылки!$J285,),0)</f>
        <v>0</v>
      </c>
      <c s="125">
        <f>L642/(1+IFERROR(INDEX(L$10:L$11,Предпосылки!$J285,),0))*IFERROR(INDEX(L$10:L$11,Предпосылки!$J285,),0)</f>
        <v>0</v>
      </c>
      <c s="125">
        <f>M642/(1+IFERROR(INDEX(M$10:M$11,Предпосылки!$J285,),0))*IFERROR(INDEX(M$10:M$11,Предпосылки!$J285,),0)</f>
        <v>0</v>
      </c>
      <c s="125">
        <f>N642/(1+IFERROR(INDEX(N$10:N$11,Предпосылки!$J285,),0))*IFERROR(INDEX(N$10:N$11,Предпосылки!$J285,),0)</f>
        <v>0</v>
      </c>
      <c s="125">
        <f>O642/(1+IFERROR(INDEX(O$10:O$11,Предпосылки!$J285,),0))*IFERROR(INDEX(O$10:O$11,Предпосылки!$J285,),0)</f>
        <v>0</v>
      </c>
      <c s="125">
        <f>P642/(1+IFERROR(INDEX(P$10:P$11,Предпосылки!$J285,),0))*IFERROR(INDEX(P$10:P$11,Предпосылки!$J285,),0)</f>
        <v>0</v>
      </c>
      <c s="125">
        <f>Q642/(1+IFERROR(INDEX(Q$10:Q$11,Предпосылки!$J285,),0))*IFERROR(INDEX(Q$10:Q$11,Предпосылки!$J285,),0)</f>
        <v>0</v>
      </c>
      <c s="125">
        <f>R642/(1+IFERROR(INDEX(R$10:R$11,Предпосылки!$J285,),0))*IFERROR(INDEX(R$10:R$11,Предпосылки!$J285,),0)</f>
        <v>0</v>
      </c>
      <c s="125">
        <f>S642/(1+IFERROR(INDEX(S$10:S$11,Предпосылки!$J285,),0))*IFERROR(INDEX(S$10:S$11,Предпосылки!$J285,),0)</f>
        <v>0</v>
      </c>
      <c s="125">
        <f>T642/(1+IFERROR(INDEX(T$10:T$11,Предпосылки!$J285,),0))*IFERROR(INDEX(T$10:T$11,Предпосылки!$J285,),0)</f>
        <v>0</v>
      </c>
      <c s="125">
        <f>U642/(1+IFERROR(INDEX(U$10:U$11,Предпосылки!$J285,),0))*IFERROR(INDEX(U$10:U$11,Предпосылки!$J285,),0)</f>
        <v>0</v>
      </c>
      <c s="125">
        <f>V642/(1+IFERROR(INDEX(V$10:V$11,Предпосылки!$J285,),0))*IFERROR(INDEX(V$10:V$11,Предпосылки!$J285,),0)</f>
        <v>0</v>
      </c>
      <c s="125">
        <f>W642/(1+IFERROR(INDEX(W$10:W$11,Предпосылки!$J285,),0))*IFERROR(INDEX(W$10:W$11,Предпосылки!$J285,),0)</f>
        <v>0</v>
      </c>
      <c s="125">
        <f>X642/(1+IFERROR(INDEX(X$10:X$11,Предпосылки!$J285,),0))*IFERROR(INDEX(X$10:X$11,Предпосылки!$J285,),0)</f>
        <v>0</v>
      </c>
      <c s="125">
        <f>Y642/(1+IFERROR(INDEX(Y$10:Y$11,Предпосылки!$J285,),0))*IFERROR(INDEX(Y$10:Y$11,Предпосылки!$J285,),0)</f>
        <v>0</v>
      </c>
      <c s="125">
        <f>Z642/(1+IFERROR(INDEX(Z$10:Z$11,Предпосылки!$J285,),0))*IFERROR(INDEX(Z$10:Z$11,Предпосылки!$J285,),0)</f>
        <v>0</v>
      </c>
      <c s="125">
        <f>AA642/(1+IFERROR(INDEX(AA$10:AA$11,Предпосылки!$J285,),0))*IFERROR(INDEX(AA$10:AA$11,Предпосылки!$J285,),0)</f>
        <v>0</v>
      </c>
      <c s="125">
        <f>AB642/(1+IFERROR(INDEX(AB$10:AB$11,Предпосылки!$J285,),0))*IFERROR(INDEX(AB$10:AB$11,Предпосылки!$J285,),0)</f>
        <v>0</v>
      </c>
      <c s="125">
        <f>AC642/(1+IFERROR(INDEX(AC$10:AC$11,Предпосылки!$J285,),0))*IFERROR(INDEX(AC$10:AC$11,Предпосылки!$J285,),0)</f>
        <v>0</v>
      </c>
      <c s="125">
        <f>AD642/(1+IFERROR(INDEX(AD$10:AD$11,Предпосылки!$J285,),0))*IFERROR(INDEX(AD$10:AD$11,Предпосылки!$J285,),0)</f>
        <v>0</v>
      </c>
      <c s="125">
        <f>AE642/(1+IFERROR(INDEX(AE$10:AE$11,Предпосылки!$J285,),0))*IFERROR(INDEX(AE$10:AE$11,Предпосылки!$J285,),0)</f>
        <v>0</v>
      </c>
      <c s="125">
        <f>AF642/(1+IFERROR(INDEX(AF$10:AF$11,Предпосылки!$J285,),0))*IFERROR(INDEX(AF$10:AF$11,Предпосылки!$J285,),0)</f>
        <v>0</v>
      </c>
      <c s="125">
        <f>AG642/(1+IFERROR(INDEX(AG$10:AG$11,Предпосылки!$J285,),0))*IFERROR(INDEX(AG$10:AG$11,Предпосылки!$J285,),0)</f>
        <v>0</v>
      </c>
      <c s="125">
        <f>AH642/(1+IFERROR(INDEX(AH$10:AH$11,Предпосылки!$J285,),0))*IFERROR(INDEX(AH$10:AH$11,Предпосылки!$J285,),0)</f>
        <v>0</v>
      </c>
      <c s="125">
        <f>AI642/(1+IFERROR(INDEX(AI$10:AI$11,Предпосылки!$J285,),0))*IFERROR(INDEX(AI$10:AI$11,Предпосылки!$J285,),0)</f>
        <v>0</v>
      </c>
      <c s="125">
        <f>AJ642/(1+IFERROR(INDEX(AJ$10:AJ$11,Предпосылки!$J285,),0))*IFERROR(INDEX(AJ$10:AJ$11,Предпосылки!$J285,),0)</f>
        <v>0</v>
      </c>
      <c s="125">
        <f>AK642/(1+IFERROR(INDEX(AK$10:AK$11,Предпосылки!$J285,),0))*IFERROR(INDEX(AK$10:AK$11,Предпосылки!$J285,),0)</f>
        <v>0</v>
      </c>
      <c s="125">
        <f>AL642/(1+IFERROR(INDEX(AL$10:AL$11,Предпосылки!$J285,),0))*IFERROR(INDEX(AL$10:AL$11,Предпосылки!$J285,),0)</f>
        <v>0</v>
      </c>
      <c s="125">
        <f>AM642/(1+IFERROR(INDEX(AM$10:AM$11,Предпосылки!$J285,),0))*IFERROR(INDEX(AM$10:AM$11,Предпосылки!$J285,),0)</f>
        <v>0</v>
      </c>
      <c s="125">
        <f>AN642/(1+IFERROR(INDEX(AN$10:AN$11,Предпосылки!$J285,),0))*IFERROR(INDEX(AN$10:AN$11,Предпосылки!$J285,),0)</f>
        <v>0</v>
      </c>
      <c s="125">
        <f>AO642/(1+IFERROR(INDEX(AO$10:AO$11,Предпосылки!$J285,),0))*IFERROR(INDEX(AO$10:AO$11,Предпосылки!$J285,),0)</f>
        <v>0</v>
      </c>
      <c s="125">
        <f>AP642/(1+IFERROR(INDEX(AP$10:AP$11,Предпосылки!$J285,),0))*IFERROR(INDEX(AP$10:AP$11,Предпосылки!$J285,),0)</f>
        <v>0</v>
      </c>
      <c s="125">
        <f>AQ642/(1+IFERROR(INDEX(AQ$10:AQ$11,Предпосылки!$J285,),0))*IFERROR(INDEX(AQ$10:AQ$11,Предпосылки!$J285,),0)</f>
        <v>0</v>
      </c>
      <c s="125">
        <f>AR642/(1+IFERROR(INDEX(AR$10:AR$11,Предпосылки!$J285,),0))*IFERROR(INDEX(AR$10:AR$11,Предпосылки!$J285,),0)</f>
        <v>0</v>
      </c>
      <c s="125">
        <f>AS642/(1+IFERROR(INDEX(AS$10:AS$11,Предпосылки!$J285,),0))*IFERROR(INDEX(AS$10:AS$11,Предпосылки!$J285,),0)</f>
        <v>0</v>
      </c>
      <c s="125">
        <f>AT642/(1+IFERROR(INDEX(AT$10:AT$11,Предпосылки!$J285,),0))*IFERROR(INDEX(AT$10:AT$11,Предпосылки!$J285,),0)</f>
        <v>0</v>
      </c>
      <c s="125">
        <f>AU642/(1+IFERROR(INDEX(AU$10:AU$11,Предпосылки!$J285,),0))*IFERROR(INDEX(AU$10:AU$11,Предпосылки!$J285,),0)</f>
        <v>0</v>
      </c>
      <c s="125">
        <f>AV642/(1+IFERROR(INDEX(AV$10:AV$11,Предпосылки!$J285,),0))*IFERROR(INDEX(AV$10:AV$11,Предпосылки!$J285,),0)</f>
        <v>0</v>
      </c>
      <c s="125">
        <f>AW642/(1+IFERROR(INDEX(AW$10:AW$11,Предпосылки!$J285,),0))*IFERROR(INDEX(AW$10:AW$11,Предпосылки!$J285,),0)</f>
        <v>0</v>
      </c>
      <c s="125">
        <f>AX642/(1+IFERROR(INDEX(AX$10:AX$11,Предпосылки!$J285,),0))*IFERROR(INDEX(AX$10:AX$11,Предпосылки!$J285,),0)</f>
        <v>0</v>
      </c>
      <c s="125">
        <f>AY642/(1+IFERROR(INDEX(AY$10:AY$11,Предпосылки!$J285,),0))*IFERROR(INDEX(AY$10:AY$11,Предпосылки!$J285,),0)</f>
        <v>0</v>
      </c>
      <c s="125">
        <f>AZ642/(1+IFERROR(INDEX(AZ$10:AZ$11,Предпосылки!$J285,),0))*IFERROR(INDEX(AZ$10:AZ$11,Предпосылки!$J285,),0)</f>
        <v>0</v>
      </c>
      <c s="125">
        <f>BA642/(1+IFERROR(INDEX(BA$10:BA$11,Предпосылки!$J285,),0))*IFERROR(INDEX(BA$10:BA$11,Предпосылки!$J285,),0)</f>
        <v>0</v>
      </c>
      <c s="125">
        <f>BB642/(1+IFERROR(INDEX(BB$10:BB$11,Предпосылки!$J285,),0))*IFERROR(INDEX(BB$10:BB$11,Предпосылки!$J285,),0)</f>
        <v>0</v>
      </c>
      <c s="125">
        <f>BC642/(1+IFERROR(INDEX(BC$10:BC$11,Предпосылки!$J285,),0))*IFERROR(INDEX(BC$10:BC$11,Предпосылки!$J285,),0)</f>
        <v>0</v>
      </c>
      <c s="125">
        <f>BD642/(1+IFERROR(INDEX(BD$10:BD$11,Предпосылки!$J285,),0))*IFERROR(INDEX(BD$10:BD$11,Предпосылки!$J285,),0)</f>
        <v>0</v>
      </c>
      <c s="125">
        <f>BE642/(1+IFERROR(INDEX(BE$10:BE$11,Предпосылки!$J285,),0))*IFERROR(INDEX(BE$10:BE$11,Предпосылки!$J285,),0)</f>
        <v>0</v>
      </c>
      <c s="125">
        <f>BF642/(1+IFERROR(INDEX(BF$10:BF$11,Предпосылки!$J285,),0))*IFERROR(INDEX(BF$10:BF$11,Предпосылки!$J285,),0)</f>
        <v>0</v>
      </c>
      <c s="125">
        <f>BG642/(1+IFERROR(INDEX(BG$10:BG$11,Предпосылки!$J285,),0))*IFERROR(INDEX(BG$10:BG$11,Предпосылки!$J285,),0)</f>
        <v>0</v>
      </c>
      <c s="125">
        <f>BH642/(1+IFERROR(INDEX(BH$10:BH$11,Предпосылки!$J285,),0))*IFERROR(INDEX(BH$10:BH$11,Предпосылки!$J285,),0)</f>
        <v>0</v>
      </c>
      <c s="125">
        <f>BI642/(1+IFERROR(INDEX(BI$10:BI$11,Предпосылки!$J285,),0))*IFERROR(INDEX(BI$10:BI$11,Предпосылки!$J285,),0)</f>
        <v>0</v>
      </c>
      <c s="125">
        <f>BJ642/(1+IFERROR(INDEX(BJ$10:BJ$11,Предпосылки!$J285,),0))*IFERROR(INDEX(BJ$10:BJ$11,Предпосылки!$J285,),0)</f>
        <v>0</v>
      </c>
      <c s="125">
        <f>BK642/(1+IFERROR(INDEX(BK$10:BK$11,Предпосылки!$J285,),0))*IFERROR(INDEX(BK$10:BK$11,Предпосылки!$J285,),0)</f>
        <v>0</v>
      </c>
      <c s="125">
        <f>BL642/(1+IFERROR(INDEX(BL$10:BL$11,Предпосылки!$J285,),0))*IFERROR(INDEX(BL$10:BL$11,Предпосылки!$J285,),0)</f>
        <v>0</v>
      </c>
      <c s="125">
        <f>BM642/(1+IFERROR(INDEX(BM$10:BM$11,Предпосылки!$J285,),0))*IFERROR(INDEX(BM$10:BM$11,Предпосылки!$J285,),0)</f>
        <v>0</v>
      </c>
    </row>
    <row r="671" spans="2:65" ht="15" customHeight="1">
      <c r="B671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E643/(1+IFERROR(INDEX(E$10:E$11,Предпосылки!$J286,),0))*IFERROR(INDEX(E$10:E$11,Предпосылки!$J286,),0)</f>
        <v>0</v>
      </c>
      <c s="125">
        <f>F643/(1+IFERROR(INDEX(F$10:F$11,Предпосылки!$J286,),0))*IFERROR(INDEX(F$10:F$11,Предпосылки!$J286,),0)</f>
        <v>0</v>
      </c>
      <c s="125">
        <f>G643/(1+IFERROR(INDEX(G$10:G$11,Предпосылки!$J286,),0))*IFERROR(INDEX(G$10:G$11,Предпосылки!$J286,),0)</f>
        <v>0</v>
      </c>
      <c s="125">
        <f>H643/(1+IFERROR(INDEX(H$10:H$11,Предпосылки!$J286,),0))*IFERROR(INDEX(H$10:H$11,Предпосылки!$J286,),0)</f>
        <v>0</v>
      </c>
      <c s="125">
        <f>I643/(1+IFERROR(INDEX(I$10:I$11,Предпосылки!$J286,),0))*IFERROR(INDEX(I$10:I$11,Предпосылки!$J286,),0)</f>
        <v>0</v>
      </c>
      <c s="125">
        <f>J643/(1+IFERROR(INDEX(J$10:J$11,Предпосылки!$J286,),0))*IFERROR(INDEX(J$10:J$11,Предпосылки!$J286,),0)</f>
        <v>0</v>
      </c>
      <c s="125">
        <f>K643/(1+IFERROR(INDEX(K$10:K$11,Предпосылки!$J286,),0))*IFERROR(INDEX(K$10:K$11,Предпосылки!$J286,),0)</f>
        <v>0</v>
      </c>
      <c s="125">
        <f>L643/(1+IFERROR(INDEX(L$10:L$11,Предпосылки!$J286,),0))*IFERROR(INDEX(L$10:L$11,Предпосылки!$J286,),0)</f>
        <v>0</v>
      </c>
      <c s="125">
        <f>M643/(1+IFERROR(INDEX(M$10:M$11,Предпосылки!$J286,),0))*IFERROR(INDEX(M$10:M$11,Предпосылки!$J286,),0)</f>
        <v>0</v>
      </c>
      <c s="125">
        <f>N643/(1+IFERROR(INDEX(N$10:N$11,Предпосылки!$J286,),0))*IFERROR(INDEX(N$10:N$11,Предпосылки!$J286,),0)</f>
        <v>0</v>
      </c>
      <c s="125">
        <f>O643/(1+IFERROR(INDEX(O$10:O$11,Предпосылки!$J286,),0))*IFERROR(INDEX(O$10:O$11,Предпосылки!$J286,),0)</f>
        <v>0</v>
      </c>
      <c s="125">
        <f>P643/(1+IFERROR(INDEX(P$10:P$11,Предпосылки!$J286,),0))*IFERROR(INDEX(P$10:P$11,Предпосылки!$J286,),0)</f>
        <v>0</v>
      </c>
      <c s="125">
        <f>Q643/(1+IFERROR(INDEX(Q$10:Q$11,Предпосылки!$J286,),0))*IFERROR(INDEX(Q$10:Q$11,Предпосылки!$J286,),0)</f>
        <v>0</v>
      </c>
      <c s="125">
        <f>R643/(1+IFERROR(INDEX(R$10:R$11,Предпосылки!$J286,),0))*IFERROR(INDEX(R$10:R$11,Предпосылки!$J286,),0)</f>
        <v>0</v>
      </c>
      <c s="125">
        <f>S643/(1+IFERROR(INDEX(S$10:S$11,Предпосылки!$J286,),0))*IFERROR(INDEX(S$10:S$11,Предпосылки!$J286,),0)</f>
        <v>0</v>
      </c>
      <c s="125">
        <f>T643/(1+IFERROR(INDEX(T$10:T$11,Предпосылки!$J286,),0))*IFERROR(INDEX(T$10:T$11,Предпосылки!$J286,),0)</f>
        <v>0</v>
      </c>
      <c s="125">
        <f>U643/(1+IFERROR(INDEX(U$10:U$11,Предпосылки!$J286,),0))*IFERROR(INDEX(U$10:U$11,Предпосылки!$J286,),0)</f>
        <v>0</v>
      </c>
      <c s="125">
        <f>V643/(1+IFERROR(INDEX(V$10:V$11,Предпосылки!$J286,),0))*IFERROR(INDEX(V$10:V$11,Предпосылки!$J286,),0)</f>
        <v>0</v>
      </c>
      <c s="125">
        <f>W643/(1+IFERROR(INDEX(W$10:W$11,Предпосылки!$J286,),0))*IFERROR(INDEX(W$10:W$11,Предпосылки!$J286,),0)</f>
        <v>0</v>
      </c>
      <c s="125">
        <f>X643/(1+IFERROR(INDEX(X$10:X$11,Предпосылки!$J286,),0))*IFERROR(INDEX(X$10:X$11,Предпосылки!$J286,),0)</f>
        <v>0</v>
      </c>
      <c s="125">
        <f>Y643/(1+IFERROR(INDEX(Y$10:Y$11,Предпосылки!$J286,),0))*IFERROR(INDEX(Y$10:Y$11,Предпосылки!$J286,),0)</f>
        <v>0</v>
      </c>
      <c s="125">
        <f>Z643/(1+IFERROR(INDEX(Z$10:Z$11,Предпосылки!$J286,),0))*IFERROR(INDEX(Z$10:Z$11,Предпосылки!$J286,),0)</f>
        <v>0</v>
      </c>
      <c s="125">
        <f>AA643/(1+IFERROR(INDEX(AA$10:AA$11,Предпосылки!$J286,),0))*IFERROR(INDEX(AA$10:AA$11,Предпосылки!$J286,),0)</f>
        <v>0</v>
      </c>
      <c s="125">
        <f>AB643/(1+IFERROR(INDEX(AB$10:AB$11,Предпосылки!$J286,),0))*IFERROR(INDEX(AB$10:AB$11,Предпосылки!$J286,),0)</f>
        <v>0</v>
      </c>
      <c s="125">
        <f>AC643/(1+IFERROR(INDEX(AC$10:AC$11,Предпосылки!$J286,),0))*IFERROR(INDEX(AC$10:AC$11,Предпосылки!$J286,),0)</f>
        <v>0</v>
      </c>
      <c s="125">
        <f>AD643/(1+IFERROR(INDEX(AD$10:AD$11,Предпосылки!$J286,),0))*IFERROR(INDEX(AD$10:AD$11,Предпосылки!$J286,),0)</f>
        <v>0</v>
      </c>
      <c s="125">
        <f>AE643/(1+IFERROR(INDEX(AE$10:AE$11,Предпосылки!$J286,),0))*IFERROR(INDEX(AE$10:AE$11,Предпосылки!$J286,),0)</f>
        <v>0</v>
      </c>
      <c s="125">
        <f>AF643/(1+IFERROR(INDEX(AF$10:AF$11,Предпосылки!$J286,),0))*IFERROR(INDEX(AF$10:AF$11,Предпосылки!$J286,),0)</f>
        <v>0</v>
      </c>
      <c s="125">
        <f>AG643/(1+IFERROR(INDEX(AG$10:AG$11,Предпосылки!$J286,),0))*IFERROR(INDEX(AG$10:AG$11,Предпосылки!$J286,),0)</f>
        <v>0</v>
      </c>
      <c s="125">
        <f>AH643/(1+IFERROR(INDEX(AH$10:AH$11,Предпосылки!$J286,),0))*IFERROR(INDEX(AH$10:AH$11,Предпосылки!$J286,),0)</f>
        <v>0</v>
      </c>
      <c s="125">
        <f>AI643/(1+IFERROR(INDEX(AI$10:AI$11,Предпосылки!$J286,),0))*IFERROR(INDEX(AI$10:AI$11,Предпосылки!$J286,),0)</f>
        <v>0</v>
      </c>
      <c s="125">
        <f>AJ643/(1+IFERROR(INDEX(AJ$10:AJ$11,Предпосылки!$J286,),0))*IFERROR(INDEX(AJ$10:AJ$11,Предпосылки!$J286,),0)</f>
        <v>0</v>
      </c>
      <c s="125">
        <f>AK643/(1+IFERROR(INDEX(AK$10:AK$11,Предпосылки!$J286,),0))*IFERROR(INDEX(AK$10:AK$11,Предпосылки!$J286,),0)</f>
        <v>0</v>
      </c>
      <c s="125">
        <f>AL643/(1+IFERROR(INDEX(AL$10:AL$11,Предпосылки!$J286,),0))*IFERROR(INDEX(AL$10:AL$11,Предпосылки!$J286,),0)</f>
        <v>0</v>
      </c>
      <c s="125">
        <f>AM643/(1+IFERROR(INDEX(AM$10:AM$11,Предпосылки!$J286,),0))*IFERROR(INDEX(AM$10:AM$11,Предпосылки!$J286,),0)</f>
        <v>0</v>
      </c>
      <c s="125">
        <f>AN643/(1+IFERROR(INDEX(AN$10:AN$11,Предпосылки!$J286,),0))*IFERROR(INDEX(AN$10:AN$11,Предпосылки!$J286,),0)</f>
        <v>0</v>
      </c>
      <c s="125">
        <f>AO643/(1+IFERROR(INDEX(AO$10:AO$11,Предпосылки!$J286,),0))*IFERROR(INDEX(AO$10:AO$11,Предпосылки!$J286,),0)</f>
        <v>0</v>
      </c>
      <c s="125">
        <f>AP643/(1+IFERROR(INDEX(AP$10:AP$11,Предпосылки!$J286,),0))*IFERROR(INDEX(AP$10:AP$11,Предпосылки!$J286,),0)</f>
        <v>0</v>
      </c>
      <c s="125">
        <f>AQ643/(1+IFERROR(INDEX(AQ$10:AQ$11,Предпосылки!$J286,),0))*IFERROR(INDEX(AQ$10:AQ$11,Предпосылки!$J286,),0)</f>
        <v>0</v>
      </c>
      <c s="125">
        <f>AR643/(1+IFERROR(INDEX(AR$10:AR$11,Предпосылки!$J286,),0))*IFERROR(INDEX(AR$10:AR$11,Предпосылки!$J286,),0)</f>
        <v>0</v>
      </c>
      <c s="125">
        <f>AS643/(1+IFERROR(INDEX(AS$10:AS$11,Предпосылки!$J286,),0))*IFERROR(INDEX(AS$10:AS$11,Предпосылки!$J286,),0)</f>
        <v>0</v>
      </c>
      <c s="125">
        <f>AT643/(1+IFERROR(INDEX(AT$10:AT$11,Предпосылки!$J286,),0))*IFERROR(INDEX(AT$10:AT$11,Предпосылки!$J286,),0)</f>
        <v>0</v>
      </c>
      <c s="125">
        <f>AU643/(1+IFERROR(INDEX(AU$10:AU$11,Предпосылки!$J286,),0))*IFERROR(INDEX(AU$10:AU$11,Предпосылки!$J286,),0)</f>
        <v>0</v>
      </c>
      <c s="125">
        <f>AV643/(1+IFERROR(INDEX(AV$10:AV$11,Предпосылки!$J286,),0))*IFERROR(INDEX(AV$10:AV$11,Предпосылки!$J286,),0)</f>
        <v>0</v>
      </c>
      <c s="125">
        <f>AW643/(1+IFERROR(INDEX(AW$10:AW$11,Предпосылки!$J286,),0))*IFERROR(INDEX(AW$10:AW$11,Предпосылки!$J286,),0)</f>
        <v>0</v>
      </c>
      <c s="125">
        <f>AX643/(1+IFERROR(INDEX(AX$10:AX$11,Предпосылки!$J286,),0))*IFERROR(INDEX(AX$10:AX$11,Предпосылки!$J286,),0)</f>
        <v>0</v>
      </c>
      <c s="125">
        <f>AY643/(1+IFERROR(INDEX(AY$10:AY$11,Предпосылки!$J286,),0))*IFERROR(INDEX(AY$10:AY$11,Предпосылки!$J286,),0)</f>
        <v>0</v>
      </c>
      <c s="125">
        <f>AZ643/(1+IFERROR(INDEX(AZ$10:AZ$11,Предпосылки!$J286,),0))*IFERROR(INDEX(AZ$10:AZ$11,Предпосылки!$J286,),0)</f>
        <v>0</v>
      </c>
      <c s="125">
        <f>BA643/(1+IFERROR(INDEX(BA$10:BA$11,Предпосылки!$J286,),0))*IFERROR(INDEX(BA$10:BA$11,Предпосылки!$J286,),0)</f>
        <v>0</v>
      </c>
      <c s="125">
        <f>BB643/(1+IFERROR(INDEX(BB$10:BB$11,Предпосылки!$J286,),0))*IFERROR(INDEX(BB$10:BB$11,Предпосылки!$J286,),0)</f>
        <v>0</v>
      </c>
      <c s="125">
        <f>BC643/(1+IFERROR(INDEX(BC$10:BC$11,Предпосылки!$J286,),0))*IFERROR(INDEX(BC$10:BC$11,Предпосылки!$J286,),0)</f>
        <v>0</v>
      </c>
      <c s="125">
        <f>BD643/(1+IFERROR(INDEX(BD$10:BD$11,Предпосылки!$J286,),0))*IFERROR(INDEX(BD$10:BD$11,Предпосылки!$J286,),0)</f>
        <v>0</v>
      </c>
      <c s="125">
        <f>BE643/(1+IFERROR(INDEX(BE$10:BE$11,Предпосылки!$J286,),0))*IFERROR(INDEX(BE$10:BE$11,Предпосылки!$J286,),0)</f>
        <v>0</v>
      </c>
      <c s="125">
        <f>BF643/(1+IFERROR(INDEX(BF$10:BF$11,Предпосылки!$J286,),0))*IFERROR(INDEX(BF$10:BF$11,Предпосылки!$J286,),0)</f>
        <v>0</v>
      </c>
      <c s="125">
        <f>BG643/(1+IFERROR(INDEX(BG$10:BG$11,Предпосылки!$J286,),0))*IFERROR(INDEX(BG$10:BG$11,Предпосылки!$J286,),0)</f>
        <v>0</v>
      </c>
      <c s="125">
        <f>BH643/(1+IFERROR(INDEX(BH$10:BH$11,Предпосылки!$J286,),0))*IFERROR(INDEX(BH$10:BH$11,Предпосылки!$J286,),0)</f>
        <v>0</v>
      </c>
      <c s="125">
        <f>BI643/(1+IFERROR(INDEX(BI$10:BI$11,Предпосылки!$J286,),0))*IFERROR(INDEX(BI$10:BI$11,Предпосылки!$J286,),0)</f>
        <v>0</v>
      </c>
      <c s="125">
        <f>BJ643/(1+IFERROR(INDEX(BJ$10:BJ$11,Предпосылки!$J286,),0))*IFERROR(INDEX(BJ$10:BJ$11,Предпосылки!$J286,),0)</f>
        <v>0</v>
      </c>
      <c s="125">
        <f>BK643/(1+IFERROR(INDEX(BK$10:BK$11,Предпосылки!$J286,),0))*IFERROR(INDEX(BK$10:BK$11,Предпосылки!$J286,),0)</f>
        <v>0</v>
      </c>
      <c s="125">
        <f>BL643/(1+IFERROR(INDEX(BL$10:BL$11,Предпосылки!$J286,),0))*IFERROR(INDEX(BL$10:BL$11,Предпосылки!$J286,),0)</f>
        <v>0</v>
      </c>
      <c s="125">
        <f>BM643/(1+IFERROR(INDEX(BM$10:BM$11,Предпосылки!$J286,),0))*IFERROR(INDEX(BM$10:BM$11,Предпосылки!$J286,),0)</f>
        <v>0</v>
      </c>
    </row>
    <row r="672" spans="2:65" ht="15" customHeight="1">
      <c r="B672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E644/(1+IFERROR(INDEX(E$10:E$11,Предпосылки!$J287,),0))*IFERROR(INDEX(E$10:E$11,Предпосылки!$J287,),0)</f>
        <v>0</v>
      </c>
      <c s="125">
        <f>F644/(1+IFERROR(INDEX(F$10:F$11,Предпосылки!$J287,),0))*IFERROR(INDEX(F$10:F$11,Предпосылки!$J287,),0)</f>
        <v>0</v>
      </c>
      <c s="125">
        <f>G644/(1+IFERROR(INDEX(G$10:G$11,Предпосылки!$J287,),0))*IFERROR(INDEX(G$10:G$11,Предпосылки!$J287,),0)</f>
        <v>0</v>
      </c>
      <c s="125">
        <f>H644/(1+IFERROR(INDEX(H$10:H$11,Предпосылки!$J287,),0))*IFERROR(INDEX(H$10:H$11,Предпосылки!$J287,),0)</f>
        <v>0</v>
      </c>
      <c s="125">
        <f>I644/(1+IFERROR(INDEX(I$10:I$11,Предпосылки!$J287,),0))*IFERROR(INDEX(I$10:I$11,Предпосылки!$J287,),0)</f>
        <v>0</v>
      </c>
      <c s="125">
        <f>J644/(1+IFERROR(INDEX(J$10:J$11,Предпосылки!$J287,),0))*IFERROR(INDEX(J$10:J$11,Предпосылки!$J287,),0)</f>
        <v>0</v>
      </c>
      <c s="125">
        <f>K644/(1+IFERROR(INDEX(K$10:K$11,Предпосылки!$J287,),0))*IFERROR(INDEX(K$10:K$11,Предпосылки!$J287,),0)</f>
        <v>0</v>
      </c>
      <c s="125">
        <f>L644/(1+IFERROR(INDEX(L$10:L$11,Предпосылки!$J287,),0))*IFERROR(INDEX(L$10:L$11,Предпосылки!$J287,),0)</f>
        <v>0</v>
      </c>
      <c s="125">
        <f>M644/(1+IFERROR(INDEX(M$10:M$11,Предпосылки!$J287,),0))*IFERROR(INDEX(M$10:M$11,Предпосылки!$J287,),0)</f>
        <v>0</v>
      </c>
      <c s="125">
        <f>N644/(1+IFERROR(INDEX(N$10:N$11,Предпосылки!$J287,),0))*IFERROR(INDEX(N$10:N$11,Предпосылки!$J287,),0)</f>
        <v>0</v>
      </c>
      <c s="125">
        <f>O644/(1+IFERROR(INDEX(O$10:O$11,Предпосылки!$J287,),0))*IFERROR(INDEX(O$10:O$11,Предпосылки!$J287,),0)</f>
        <v>0</v>
      </c>
      <c s="125">
        <f>P644/(1+IFERROR(INDEX(P$10:P$11,Предпосылки!$J287,),0))*IFERROR(INDEX(P$10:P$11,Предпосылки!$J287,),0)</f>
        <v>0</v>
      </c>
      <c s="125">
        <f>Q644/(1+IFERROR(INDEX(Q$10:Q$11,Предпосылки!$J287,),0))*IFERROR(INDEX(Q$10:Q$11,Предпосылки!$J287,),0)</f>
        <v>0</v>
      </c>
      <c s="125">
        <f>R644/(1+IFERROR(INDEX(R$10:R$11,Предпосылки!$J287,),0))*IFERROR(INDEX(R$10:R$11,Предпосылки!$J287,),0)</f>
        <v>0</v>
      </c>
      <c s="125">
        <f>S644/(1+IFERROR(INDEX(S$10:S$11,Предпосылки!$J287,),0))*IFERROR(INDEX(S$10:S$11,Предпосылки!$J287,),0)</f>
        <v>0</v>
      </c>
      <c s="125">
        <f>T644/(1+IFERROR(INDEX(T$10:T$11,Предпосылки!$J287,),0))*IFERROR(INDEX(T$10:T$11,Предпосылки!$J287,),0)</f>
        <v>0</v>
      </c>
      <c s="125">
        <f>U644/(1+IFERROR(INDEX(U$10:U$11,Предпосылки!$J287,),0))*IFERROR(INDEX(U$10:U$11,Предпосылки!$J287,),0)</f>
        <v>0</v>
      </c>
      <c s="125">
        <f>V644/(1+IFERROR(INDEX(V$10:V$11,Предпосылки!$J287,),0))*IFERROR(INDEX(V$10:V$11,Предпосылки!$J287,),0)</f>
        <v>0</v>
      </c>
      <c s="125">
        <f>W644/(1+IFERROR(INDEX(W$10:W$11,Предпосылки!$J287,),0))*IFERROR(INDEX(W$10:W$11,Предпосылки!$J287,),0)</f>
        <v>0</v>
      </c>
      <c s="125">
        <f>X644/(1+IFERROR(INDEX(X$10:X$11,Предпосылки!$J287,),0))*IFERROR(INDEX(X$10:X$11,Предпосылки!$J287,),0)</f>
        <v>0</v>
      </c>
      <c s="125">
        <f>Y644/(1+IFERROR(INDEX(Y$10:Y$11,Предпосылки!$J287,),0))*IFERROR(INDEX(Y$10:Y$11,Предпосылки!$J287,),0)</f>
        <v>0</v>
      </c>
      <c s="125">
        <f>Z644/(1+IFERROR(INDEX(Z$10:Z$11,Предпосылки!$J287,),0))*IFERROR(INDEX(Z$10:Z$11,Предпосылки!$J287,),0)</f>
        <v>0</v>
      </c>
      <c s="125">
        <f>AA644/(1+IFERROR(INDEX(AA$10:AA$11,Предпосылки!$J287,),0))*IFERROR(INDEX(AA$10:AA$11,Предпосылки!$J287,),0)</f>
        <v>0</v>
      </c>
      <c s="125">
        <f>AB644/(1+IFERROR(INDEX(AB$10:AB$11,Предпосылки!$J287,),0))*IFERROR(INDEX(AB$10:AB$11,Предпосылки!$J287,),0)</f>
        <v>0</v>
      </c>
      <c s="125">
        <f>AC644/(1+IFERROR(INDEX(AC$10:AC$11,Предпосылки!$J287,),0))*IFERROR(INDEX(AC$10:AC$11,Предпосылки!$J287,),0)</f>
        <v>0</v>
      </c>
      <c s="125">
        <f>AD644/(1+IFERROR(INDEX(AD$10:AD$11,Предпосылки!$J287,),0))*IFERROR(INDEX(AD$10:AD$11,Предпосылки!$J287,),0)</f>
        <v>0</v>
      </c>
      <c s="125">
        <f>AE644/(1+IFERROR(INDEX(AE$10:AE$11,Предпосылки!$J287,),0))*IFERROR(INDEX(AE$10:AE$11,Предпосылки!$J287,),0)</f>
        <v>0</v>
      </c>
      <c s="125">
        <f>AF644/(1+IFERROR(INDEX(AF$10:AF$11,Предпосылки!$J287,),0))*IFERROR(INDEX(AF$10:AF$11,Предпосылки!$J287,),0)</f>
        <v>0</v>
      </c>
      <c s="125">
        <f>AG644/(1+IFERROR(INDEX(AG$10:AG$11,Предпосылки!$J287,),0))*IFERROR(INDEX(AG$10:AG$11,Предпосылки!$J287,),0)</f>
        <v>0</v>
      </c>
      <c s="125">
        <f>AH644/(1+IFERROR(INDEX(AH$10:AH$11,Предпосылки!$J287,),0))*IFERROR(INDEX(AH$10:AH$11,Предпосылки!$J287,),0)</f>
        <v>0</v>
      </c>
      <c s="125">
        <f>AI644/(1+IFERROR(INDEX(AI$10:AI$11,Предпосылки!$J287,),0))*IFERROR(INDEX(AI$10:AI$11,Предпосылки!$J287,),0)</f>
        <v>0</v>
      </c>
      <c s="125">
        <f>AJ644/(1+IFERROR(INDEX(AJ$10:AJ$11,Предпосылки!$J287,),0))*IFERROR(INDEX(AJ$10:AJ$11,Предпосылки!$J287,),0)</f>
        <v>0</v>
      </c>
      <c s="125">
        <f>AK644/(1+IFERROR(INDEX(AK$10:AK$11,Предпосылки!$J287,),0))*IFERROR(INDEX(AK$10:AK$11,Предпосылки!$J287,),0)</f>
        <v>0</v>
      </c>
      <c s="125">
        <f>AL644/(1+IFERROR(INDEX(AL$10:AL$11,Предпосылки!$J287,),0))*IFERROR(INDEX(AL$10:AL$11,Предпосылки!$J287,),0)</f>
        <v>0</v>
      </c>
      <c s="125">
        <f>AM644/(1+IFERROR(INDEX(AM$10:AM$11,Предпосылки!$J287,),0))*IFERROR(INDEX(AM$10:AM$11,Предпосылки!$J287,),0)</f>
        <v>0</v>
      </c>
      <c s="125">
        <f>AN644/(1+IFERROR(INDEX(AN$10:AN$11,Предпосылки!$J287,),0))*IFERROR(INDEX(AN$10:AN$11,Предпосылки!$J287,),0)</f>
        <v>0</v>
      </c>
      <c s="125">
        <f>AO644/(1+IFERROR(INDEX(AO$10:AO$11,Предпосылки!$J287,),0))*IFERROR(INDEX(AO$10:AO$11,Предпосылки!$J287,),0)</f>
        <v>0</v>
      </c>
      <c s="125">
        <f>AP644/(1+IFERROR(INDEX(AP$10:AP$11,Предпосылки!$J287,),0))*IFERROR(INDEX(AP$10:AP$11,Предпосылки!$J287,),0)</f>
        <v>0</v>
      </c>
      <c s="125">
        <f>AQ644/(1+IFERROR(INDEX(AQ$10:AQ$11,Предпосылки!$J287,),0))*IFERROR(INDEX(AQ$10:AQ$11,Предпосылки!$J287,),0)</f>
        <v>0</v>
      </c>
      <c s="125">
        <f>AR644/(1+IFERROR(INDEX(AR$10:AR$11,Предпосылки!$J287,),0))*IFERROR(INDEX(AR$10:AR$11,Предпосылки!$J287,),0)</f>
        <v>0</v>
      </c>
      <c s="125">
        <f>AS644/(1+IFERROR(INDEX(AS$10:AS$11,Предпосылки!$J287,),0))*IFERROR(INDEX(AS$10:AS$11,Предпосылки!$J287,),0)</f>
        <v>0</v>
      </c>
      <c s="125">
        <f>AT644/(1+IFERROR(INDEX(AT$10:AT$11,Предпосылки!$J287,),0))*IFERROR(INDEX(AT$10:AT$11,Предпосылки!$J287,),0)</f>
        <v>0</v>
      </c>
      <c s="125">
        <f>AU644/(1+IFERROR(INDEX(AU$10:AU$11,Предпосылки!$J287,),0))*IFERROR(INDEX(AU$10:AU$11,Предпосылки!$J287,),0)</f>
        <v>0</v>
      </c>
      <c s="125">
        <f>AV644/(1+IFERROR(INDEX(AV$10:AV$11,Предпосылки!$J287,),0))*IFERROR(INDEX(AV$10:AV$11,Предпосылки!$J287,),0)</f>
        <v>0</v>
      </c>
      <c s="125">
        <f>AW644/(1+IFERROR(INDEX(AW$10:AW$11,Предпосылки!$J287,),0))*IFERROR(INDEX(AW$10:AW$11,Предпосылки!$J287,),0)</f>
        <v>0</v>
      </c>
      <c s="125">
        <f>AX644/(1+IFERROR(INDEX(AX$10:AX$11,Предпосылки!$J287,),0))*IFERROR(INDEX(AX$10:AX$11,Предпосылки!$J287,),0)</f>
        <v>0</v>
      </c>
      <c s="125">
        <f>AY644/(1+IFERROR(INDEX(AY$10:AY$11,Предпосылки!$J287,),0))*IFERROR(INDEX(AY$10:AY$11,Предпосылки!$J287,),0)</f>
        <v>0</v>
      </c>
      <c s="125">
        <f>AZ644/(1+IFERROR(INDEX(AZ$10:AZ$11,Предпосылки!$J287,),0))*IFERROR(INDEX(AZ$10:AZ$11,Предпосылки!$J287,),0)</f>
        <v>0</v>
      </c>
      <c s="125">
        <f>BA644/(1+IFERROR(INDEX(BA$10:BA$11,Предпосылки!$J287,),0))*IFERROR(INDEX(BA$10:BA$11,Предпосылки!$J287,),0)</f>
        <v>0</v>
      </c>
      <c s="125">
        <f>BB644/(1+IFERROR(INDEX(BB$10:BB$11,Предпосылки!$J287,),0))*IFERROR(INDEX(BB$10:BB$11,Предпосылки!$J287,),0)</f>
        <v>0</v>
      </c>
      <c s="125">
        <f>BC644/(1+IFERROR(INDEX(BC$10:BC$11,Предпосылки!$J287,),0))*IFERROR(INDEX(BC$10:BC$11,Предпосылки!$J287,),0)</f>
        <v>0</v>
      </c>
      <c s="125">
        <f>BD644/(1+IFERROR(INDEX(BD$10:BD$11,Предпосылки!$J287,),0))*IFERROR(INDEX(BD$10:BD$11,Предпосылки!$J287,),0)</f>
        <v>0</v>
      </c>
      <c s="125">
        <f>BE644/(1+IFERROR(INDEX(BE$10:BE$11,Предпосылки!$J287,),0))*IFERROR(INDEX(BE$10:BE$11,Предпосылки!$J287,),0)</f>
        <v>0</v>
      </c>
      <c s="125">
        <f>BF644/(1+IFERROR(INDEX(BF$10:BF$11,Предпосылки!$J287,),0))*IFERROR(INDEX(BF$10:BF$11,Предпосылки!$J287,),0)</f>
        <v>0</v>
      </c>
      <c s="125">
        <f>BG644/(1+IFERROR(INDEX(BG$10:BG$11,Предпосылки!$J287,),0))*IFERROR(INDEX(BG$10:BG$11,Предпосылки!$J287,),0)</f>
        <v>0</v>
      </c>
      <c s="125">
        <f>BH644/(1+IFERROR(INDEX(BH$10:BH$11,Предпосылки!$J287,),0))*IFERROR(INDEX(BH$10:BH$11,Предпосылки!$J287,),0)</f>
        <v>0</v>
      </c>
      <c s="125">
        <f>BI644/(1+IFERROR(INDEX(BI$10:BI$11,Предпосылки!$J287,),0))*IFERROR(INDEX(BI$10:BI$11,Предпосылки!$J287,),0)</f>
        <v>0</v>
      </c>
      <c s="125">
        <f>BJ644/(1+IFERROR(INDEX(BJ$10:BJ$11,Предпосылки!$J287,),0))*IFERROR(INDEX(BJ$10:BJ$11,Предпосылки!$J287,),0)</f>
        <v>0</v>
      </c>
      <c s="125">
        <f>BK644/(1+IFERROR(INDEX(BK$10:BK$11,Предпосылки!$J287,),0))*IFERROR(INDEX(BK$10:BK$11,Предпосылки!$J287,),0)</f>
        <v>0</v>
      </c>
      <c s="125">
        <f>BL644/(1+IFERROR(INDEX(BL$10:BL$11,Предпосылки!$J287,),0))*IFERROR(INDEX(BL$10:BL$11,Предпосылки!$J287,),0)</f>
        <v>0</v>
      </c>
      <c s="125">
        <f>BM644/(1+IFERROR(INDEX(BM$10:BM$11,Предпосылки!$J287,),0))*IFERROR(INDEX(BM$10:BM$11,Предпосылки!$J287,),0)</f>
        <v>0</v>
      </c>
    </row>
    <row r="673" spans="2:65" ht="15" customHeight="1">
      <c r="B673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E645/(1+IFERROR(INDEX(E$10:E$11,Предпосылки!$J288,),0))*IFERROR(INDEX(E$10:E$11,Предпосылки!$J288,),0)</f>
        <v>0</v>
      </c>
      <c s="125">
        <f>F645/(1+IFERROR(INDEX(F$10:F$11,Предпосылки!$J288,),0))*IFERROR(INDEX(F$10:F$11,Предпосылки!$J288,),0)</f>
        <v>0</v>
      </c>
      <c s="125">
        <f>G645/(1+IFERROR(INDEX(G$10:G$11,Предпосылки!$J288,),0))*IFERROR(INDEX(G$10:G$11,Предпосылки!$J288,),0)</f>
        <v>0</v>
      </c>
      <c s="125">
        <f>H645/(1+IFERROR(INDEX(H$10:H$11,Предпосылки!$J288,),0))*IFERROR(INDEX(H$10:H$11,Предпосылки!$J288,),0)</f>
        <v>0</v>
      </c>
      <c s="125">
        <f>I645/(1+IFERROR(INDEX(I$10:I$11,Предпосылки!$J288,),0))*IFERROR(INDEX(I$10:I$11,Предпосылки!$J288,),0)</f>
        <v>0</v>
      </c>
      <c s="125">
        <f>J645/(1+IFERROR(INDEX(J$10:J$11,Предпосылки!$J288,),0))*IFERROR(INDEX(J$10:J$11,Предпосылки!$J288,),0)</f>
        <v>0</v>
      </c>
      <c s="125">
        <f>K645/(1+IFERROR(INDEX(K$10:K$11,Предпосылки!$J288,),0))*IFERROR(INDEX(K$10:K$11,Предпосылки!$J288,),0)</f>
        <v>0</v>
      </c>
      <c s="125">
        <f>L645/(1+IFERROR(INDEX(L$10:L$11,Предпосылки!$J288,),0))*IFERROR(INDEX(L$10:L$11,Предпосылки!$J288,),0)</f>
        <v>0</v>
      </c>
      <c s="125">
        <f>M645/(1+IFERROR(INDEX(M$10:M$11,Предпосылки!$J288,),0))*IFERROR(INDEX(M$10:M$11,Предпосылки!$J288,),0)</f>
        <v>0</v>
      </c>
      <c s="125">
        <f>N645/(1+IFERROR(INDEX(N$10:N$11,Предпосылки!$J288,),0))*IFERROR(INDEX(N$10:N$11,Предпосылки!$J288,),0)</f>
        <v>0</v>
      </c>
      <c s="125">
        <f>O645/(1+IFERROR(INDEX(O$10:O$11,Предпосылки!$J288,),0))*IFERROR(INDEX(O$10:O$11,Предпосылки!$J288,),0)</f>
        <v>0</v>
      </c>
      <c s="125">
        <f>P645/(1+IFERROR(INDEX(P$10:P$11,Предпосылки!$J288,),0))*IFERROR(INDEX(P$10:P$11,Предпосылки!$J288,),0)</f>
        <v>0</v>
      </c>
      <c s="125">
        <f>Q645/(1+IFERROR(INDEX(Q$10:Q$11,Предпосылки!$J288,),0))*IFERROR(INDEX(Q$10:Q$11,Предпосылки!$J288,),0)</f>
        <v>0</v>
      </c>
      <c s="125">
        <f>R645/(1+IFERROR(INDEX(R$10:R$11,Предпосылки!$J288,),0))*IFERROR(INDEX(R$10:R$11,Предпосылки!$J288,),0)</f>
        <v>0</v>
      </c>
      <c s="125">
        <f>S645/(1+IFERROR(INDEX(S$10:S$11,Предпосылки!$J288,),0))*IFERROR(INDEX(S$10:S$11,Предпосылки!$J288,),0)</f>
        <v>0</v>
      </c>
      <c s="125">
        <f>T645/(1+IFERROR(INDEX(T$10:T$11,Предпосылки!$J288,),0))*IFERROR(INDEX(T$10:T$11,Предпосылки!$J288,),0)</f>
        <v>0</v>
      </c>
      <c s="125">
        <f>U645/(1+IFERROR(INDEX(U$10:U$11,Предпосылки!$J288,),0))*IFERROR(INDEX(U$10:U$11,Предпосылки!$J288,),0)</f>
        <v>0</v>
      </c>
      <c s="125">
        <f>V645/(1+IFERROR(INDEX(V$10:V$11,Предпосылки!$J288,),0))*IFERROR(INDEX(V$10:V$11,Предпосылки!$J288,),0)</f>
        <v>0</v>
      </c>
      <c s="125">
        <f>W645/(1+IFERROR(INDEX(W$10:W$11,Предпосылки!$J288,),0))*IFERROR(INDEX(W$10:W$11,Предпосылки!$J288,),0)</f>
        <v>0</v>
      </c>
      <c s="125">
        <f>X645/(1+IFERROR(INDEX(X$10:X$11,Предпосылки!$J288,),0))*IFERROR(INDEX(X$10:X$11,Предпосылки!$J288,),0)</f>
        <v>0</v>
      </c>
      <c s="125">
        <f>Y645/(1+IFERROR(INDEX(Y$10:Y$11,Предпосылки!$J288,),0))*IFERROR(INDEX(Y$10:Y$11,Предпосылки!$J288,),0)</f>
        <v>0</v>
      </c>
      <c s="125">
        <f>Z645/(1+IFERROR(INDEX(Z$10:Z$11,Предпосылки!$J288,),0))*IFERROR(INDEX(Z$10:Z$11,Предпосылки!$J288,),0)</f>
        <v>0</v>
      </c>
      <c s="125">
        <f>AA645/(1+IFERROR(INDEX(AA$10:AA$11,Предпосылки!$J288,),0))*IFERROR(INDEX(AA$10:AA$11,Предпосылки!$J288,),0)</f>
        <v>0</v>
      </c>
      <c s="125">
        <f>AB645/(1+IFERROR(INDEX(AB$10:AB$11,Предпосылки!$J288,),0))*IFERROR(INDEX(AB$10:AB$11,Предпосылки!$J288,),0)</f>
        <v>0</v>
      </c>
      <c s="125">
        <f>AC645/(1+IFERROR(INDEX(AC$10:AC$11,Предпосылки!$J288,),0))*IFERROR(INDEX(AC$10:AC$11,Предпосылки!$J288,),0)</f>
        <v>0</v>
      </c>
      <c s="125">
        <f>AD645/(1+IFERROR(INDEX(AD$10:AD$11,Предпосылки!$J288,),0))*IFERROR(INDEX(AD$10:AD$11,Предпосылки!$J288,),0)</f>
        <v>0</v>
      </c>
      <c s="125">
        <f>AE645/(1+IFERROR(INDEX(AE$10:AE$11,Предпосылки!$J288,),0))*IFERROR(INDEX(AE$10:AE$11,Предпосылки!$J288,),0)</f>
        <v>0</v>
      </c>
      <c s="125">
        <f>AF645/(1+IFERROR(INDEX(AF$10:AF$11,Предпосылки!$J288,),0))*IFERROR(INDEX(AF$10:AF$11,Предпосылки!$J288,),0)</f>
        <v>0</v>
      </c>
      <c s="125">
        <f>AG645/(1+IFERROR(INDEX(AG$10:AG$11,Предпосылки!$J288,),0))*IFERROR(INDEX(AG$10:AG$11,Предпосылки!$J288,),0)</f>
        <v>0</v>
      </c>
      <c s="125">
        <f>AH645/(1+IFERROR(INDEX(AH$10:AH$11,Предпосылки!$J288,),0))*IFERROR(INDEX(AH$10:AH$11,Предпосылки!$J288,),0)</f>
        <v>0</v>
      </c>
      <c s="125">
        <f>AI645/(1+IFERROR(INDEX(AI$10:AI$11,Предпосылки!$J288,),0))*IFERROR(INDEX(AI$10:AI$11,Предпосылки!$J288,),0)</f>
        <v>0</v>
      </c>
      <c s="125">
        <f>AJ645/(1+IFERROR(INDEX(AJ$10:AJ$11,Предпосылки!$J288,),0))*IFERROR(INDEX(AJ$10:AJ$11,Предпосылки!$J288,),0)</f>
        <v>0</v>
      </c>
      <c s="125">
        <f>AK645/(1+IFERROR(INDEX(AK$10:AK$11,Предпосылки!$J288,),0))*IFERROR(INDEX(AK$10:AK$11,Предпосылки!$J288,),0)</f>
        <v>0</v>
      </c>
      <c s="125">
        <f>AL645/(1+IFERROR(INDEX(AL$10:AL$11,Предпосылки!$J288,),0))*IFERROR(INDEX(AL$10:AL$11,Предпосылки!$J288,),0)</f>
        <v>0</v>
      </c>
      <c s="125">
        <f>AM645/(1+IFERROR(INDEX(AM$10:AM$11,Предпосылки!$J288,),0))*IFERROR(INDEX(AM$10:AM$11,Предпосылки!$J288,),0)</f>
        <v>0</v>
      </c>
      <c s="125">
        <f>AN645/(1+IFERROR(INDEX(AN$10:AN$11,Предпосылки!$J288,),0))*IFERROR(INDEX(AN$10:AN$11,Предпосылки!$J288,),0)</f>
        <v>0</v>
      </c>
      <c s="125">
        <f>AO645/(1+IFERROR(INDEX(AO$10:AO$11,Предпосылки!$J288,),0))*IFERROR(INDEX(AO$10:AO$11,Предпосылки!$J288,),0)</f>
        <v>0</v>
      </c>
      <c s="125">
        <f>AP645/(1+IFERROR(INDEX(AP$10:AP$11,Предпосылки!$J288,),0))*IFERROR(INDEX(AP$10:AP$11,Предпосылки!$J288,),0)</f>
        <v>0</v>
      </c>
      <c s="125">
        <f>AQ645/(1+IFERROR(INDEX(AQ$10:AQ$11,Предпосылки!$J288,),0))*IFERROR(INDEX(AQ$10:AQ$11,Предпосылки!$J288,),0)</f>
        <v>0</v>
      </c>
      <c s="125">
        <f>AR645/(1+IFERROR(INDEX(AR$10:AR$11,Предпосылки!$J288,),0))*IFERROR(INDEX(AR$10:AR$11,Предпосылки!$J288,),0)</f>
        <v>0</v>
      </c>
      <c s="125">
        <f>AS645/(1+IFERROR(INDEX(AS$10:AS$11,Предпосылки!$J288,),0))*IFERROR(INDEX(AS$10:AS$11,Предпосылки!$J288,),0)</f>
        <v>0</v>
      </c>
      <c s="125">
        <f>AT645/(1+IFERROR(INDEX(AT$10:AT$11,Предпосылки!$J288,),0))*IFERROR(INDEX(AT$10:AT$11,Предпосылки!$J288,),0)</f>
        <v>0</v>
      </c>
      <c s="125">
        <f>AU645/(1+IFERROR(INDEX(AU$10:AU$11,Предпосылки!$J288,),0))*IFERROR(INDEX(AU$10:AU$11,Предпосылки!$J288,),0)</f>
        <v>0</v>
      </c>
      <c s="125">
        <f>AV645/(1+IFERROR(INDEX(AV$10:AV$11,Предпосылки!$J288,),0))*IFERROR(INDEX(AV$10:AV$11,Предпосылки!$J288,),0)</f>
        <v>0</v>
      </c>
      <c s="125">
        <f>AW645/(1+IFERROR(INDEX(AW$10:AW$11,Предпосылки!$J288,),0))*IFERROR(INDEX(AW$10:AW$11,Предпосылки!$J288,),0)</f>
        <v>0</v>
      </c>
      <c s="125">
        <f>AX645/(1+IFERROR(INDEX(AX$10:AX$11,Предпосылки!$J288,),0))*IFERROR(INDEX(AX$10:AX$11,Предпосылки!$J288,),0)</f>
        <v>0</v>
      </c>
      <c s="125">
        <f>AY645/(1+IFERROR(INDEX(AY$10:AY$11,Предпосылки!$J288,),0))*IFERROR(INDEX(AY$10:AY$11,Предпосылки!$J288,),0)</f>
        <v>0</v>
      </c>
      <c s="125">
        <f>AZ645/(1+IFERROR(INDEX(AZ$10:AZ$11,Предпосылки!$J288,),0))*IFERROR(INDEX(AZ$10:AZ$11,Предпосылки!$J288,),0)</f>
        <v>0</v>
      </c>
      <c s="125">
        <f>BA645/(1+IFERROR(INDEX(BA$10:BA$11,Предпосылки!$J288,),0))*IFERROR(INDEX(BA$10:BA$11,Предпосылки!$J288,),0)</f>
        <v>0</v>
      </c>
      <c s="125">
        <f>BB645/(1+IFERROR(INDEX(BB$10:BB$11,Предпосылки!$J288,),0))*IFERROR(INDEX(BB$10:BB$11,Предпосылки!$J288,),0)</f>
        <v>0</v>
      </c>
      <c s="125">
        <f>BC645/(1+IFERROR(INDEX(BC$10:BC$11,Предпосылки!$J288,),0))*IFERROR(INDEX(BC$10:BC$11,Предпосылки!$J288,),0)</f>
        <v>0</v>
      </c>
      <c s="125">
        <f>BD645/(1+IFERROR(INDEX(BD$10:BD$11,Предпосылки!$J288,),0))*IFERROR(INDEX(BD$10:BD$11,Предпосылки!$J288,),0)</f>
        <v>0</v>
      </c>
      <c s="125">
        <f>BE645/(1+IFERROR(INDEX(BE$10:BE$11,Предпосылки!$J288,),0))*IFERROR(INDEX(BE$10:BE$11,Предпосылки!$J288,),0)</f>
        <v>0</v>
      </c>
      <c s="125">
        <f>BF645/(1+IFERROR(INDEX(BF$10:BF$11,Предпосылки!$J288,),0))*IFERROR(INDEX(BF$10:BF$11,Предпосылки!$J288,),0)</f>
        <v>0</v>
      </c>
      <c s="125">
        <f>BG645/(1+IFERROR(INDEX(BG$10:BG$11,Предпосылки!$J288,),0))*IFERROR(INDEX(BG$10:BG$11,Предпосылки!$J288,),0)</f>
        <v>0</v>
      </c>
      <c s="125">
        <f>BH645/(1+IFERROR(INDEX(BH$10:BH$11,Предпосылки!$J288,),0))*IFERROR(INDEX(BH$10:BH$11,Предпосылки!$J288,),0)</f>
        <v>0</v>
      </c>
      <c s="125">
        <f>BI645/(1+IFERROR(INDEX(BI$10:BI$11,Предпосылки!$J288,),0))*IFERROR(INDEX(BI$10:BI$11,Предпосылки!$J288,),0)</f>
        <v>0</v>
      </c>
      <c s="125">
        <f>BJ645/(1+IFERROR(INDEX(BJ$10:BJ$11,Предпосылки!$J288,),0))*IFERROR(INDEX(BJ$10:BJ$11,Предпосылки!$J288,),0)</f>
        <v>0</v>
      </c>
      <c s="125">
        <f>BK645/(1+IFERROR(INDEX(BK$10:BK$11,Предпосылки!$J288,),0))*IFERROR(INDEX(BK$10:BK$11,Предпосылки!$J288,),0)</f>
        <v>0</v>
      </c>
      <c s="125">
        <f>BL645/(1+IFERROR(INDEX(BL$10:BL$11,Предпосылки!$J288,),0))*IFERROR(INDEX(BL$10:BL$11,Предпосылки!$J288,),0)</f>
        <v>0</v>
      </c>
      <c s="125">
        <f>BM645/(1+IFERROR(INDEX(BM$10:BM$11,Предпосылки!$J288,),0))*IFERROR(INDEX(BM$10:BM$11,Предпосылки!$J288,),0)</f>
        <v>0</v>
      </c>
    </row>
    <row r="674" spans="2:65" ht="15" customHeight="1">
      <c r="B674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E646/(1+IFERROR(INDEX(E$10:E$11,Предпосылки!$J289,),0))*IFERROR(INDEX(E$10:E$11,Предпосылки!$J289,),0)</f>
        <v>0</v>
      </c>
      <c s="125">
        <f>F646/(1+IFERROR(INDEX(F$10:F$11,Предпосылки!$J289,),0))*IFERROR(INDEX(F$10:F$11,Предпосылки!$J289,),0)</f>
        <v>0</v>
      </c>
      <c s="125">
        <f>G646/(1+IFERROR(INDEX(G$10:G$11,Предпосылки!$J289,),0))*IFERROR(INDEX(G$10:G$11,Предпосылки!$J289,),0)</f>
        <v>0</v>
      </c>
      <c s="125">
        <f>H646/(1+IFERROR(INDEX(H$10:H$11,Предпосылки!$J289,),0))*IFERROR(INDEX(H$10:H$11,Предпосылки!$J289,),0)</f>
        <v>0</v>
      </c>
      <c s="125">
        <f>I646/(1+IFERROR(INDEX(I$10:I$11,Предпосылки!$J289,),0))*IFERROR(INDEX(I$10:I$11,Предпосылки!$J289,),0)</f>
        <v>0</v>
      </c>
      <c s="125">
        <f>J646/(1+IFERROR(INDEX(J$10:J$11,Предпосылки!$J289,),0))*IFERROR(INDEX(J$10:J$11,Предпосылки!$J289,),0)</f>
        <v>0</v>
      </c>
      <c s="125">
        <f>K646/(1+IFERROR(INDEX(K$10:K$11,Предпосылки!$J289,),0))*IFERROR(INDEX(K$10:K$11,Предпосылки!$J289,),0)</f>
        <v>0</v>
      </c>
      <c s="125">
        <f>L646/(1+IFERROR(INDEX(L$10:L$11,Предпосылки!$J289,),0))*IFERROR(INDEX(L$10:L$11,Предпосылки!$J289,),0)</f>
        <v>0</v>
      </c>
      <c s="125">
        <f>M646/(1+IFERROR(INDEX(M$10:M$11,Предпосылки!$J289,),0))*IFERROR(INDEX(M$10:M$11,Предпосылки!$J289,),0)</f>
        <v>0</v>
      </c>
      <c s="125">
        <f>N646/(1+IFERROR(INDEX(N$10:N$11,Предпосылки!$J289,),0))*IFERROR(INDEX(N$10:N$11,Предпосылки!$J289,),0)</f>
        <v>0</v>
      </c>
      <c s="125">
        <f>O646/(1+IFERROR(INDEX(O$10:O$11,Предпосылки!$J289,),0))*IFERROR(INDEX(O$10:O$11,Предпосылки!$J289,),0)</f>
        <v>0</v>
      </c>
      <c s="125">
        <f>P646/(1+IFERROR(INDEX(P$10:P$11,Предпосылки!$J289,),0))*IFERROR(INDEX(P$10:P$11,Предпосылки!$J289,),0)</f>
        <v>0</v>
      </c>
      <c s="125">
        <f>Q646/(1+IFERROR(INDEX(Q$10:Q$11,Предпосылки!$J289,),0))*IFERROR(INDEX(Q$10:Q$11,Предпосылки!$J289,),0)</f>
        <v>0</v>
      </c>
      <c s="125">
        <f>R646/(1+IFERROR(INDEX(R$10:R$11,Предпосылки!$J289,),0))*IFERROR(INDEX(R$10:R$11,Предпосылки!$J289,),0)</f>
        <v>0</v>
      </c>
      <c s="125">
        <f>S646/(1+IFERROR(INDEX(S$10:S$11,Предпосылки!$J289,),0))*IFERROR(INDEX(S$10:S$11,Предпосылки!$J289,),0)</f>
        <v>0</v>
      </c>
      <c s="125">
        <f>T646/(1+IFERROR(INDEX(T$10:T$11,Предпосылки!$J289,),0))*IFERROR(INDEX(T$10:T$11,Предпосылки!$J289,),0)</f>
        <v>0</v>
      </c>
      <c s="125">
        <f>U646/(1+IFERROR(INDEX(U$10:U$11,Предпосылки!$J289,),0))*IFERROR(INDEX(U$10:U$11,Предпосылки!$J289,),0)</f>
        <v>0</v>
      </c>
      <c s="125">
        <f>V646/(1+IFERROR(INDEX(V$10:V$11,Предпосылки!$J289,),0))*IFERROR(INDEX(V$10:V$11,Предпосылки!$J289,),0)</f>
        <v>0</v>
      </c>
      <c s="125">
        <f>W646/(1+IFERROR(INDEX(W$10:W$11,Предпосылки!$J289,),0))*IFERROR(INDEX(W$10:W$11,Предпосылки!$J289,),0)</f>
        <v>0</v>
      </c>
      <c s="125">
        <f>X646/(1+IFERROR(INDEX(X$10:X$11,Предпосылки!$J289,),0))*IFERROR(INDEX(X$10:X$11,Предпосылки!$J289,),0)</f>
        <v>0</v>
      </c>
      <c s="125">
        <f>Y646/(1+IFERROR(INDEX(Y$10:Y$11,Предпосылки!$J289,),0))*IFERROR(INDEX(Y$10:Y$11,Предпосылки!$J289,),0)</f>
        <v>0</v>
      </c>
      <c s="125">
        <f>Z646/(1+IFERROR(INDEX(Z$10:Z$11,Предпосылки!$J289,),0))*IFERROR(INDEX(Z$10:Z$11,Предпосылки!$J289,),0)</f>
        <v>0</v>
      </c>
      <c s="125">
        <f>AA646/(1+IFERROR(INDEX(AA$10:AA$11,Предпосылки!$J289,),0))*IFERROR(INDEX(AA$10:AA$11,Предпосылки!$J289,),0)</f>
        <v>0</v>
      </c>
      <c s="125">
        <f>AB646/(1+IFERROR(INDEX(AB$10:AB$11,Предпосылки!$J289,),0))*IFERROR(INDEX(AB$10:AB$11,Предпосылки!$J289,),0)</f>
        <v>0</v>
      </c>
      <c s="125">
        <f>AC646/(1+IFERROR(INDEX(AC$10:AC$11,Предпосылки!$J289,),0))*IFERROR(INDEX(AC$10:AC$11,Предпосылки!$J289,),0)</f>
        <v>0</v>
      </c>
      <c s="125">
        <f>AD646/(1+IFERROR(INDEX(AD$10:AD$11,Предпосылки!$J289,),0))*IFERROR(INDEX(AD$10:AD$11,Предпосылки!$J289,),0)</f>
        <v>0</v>
      </c>
      <c s="125">
        <f>AE646/(1+IFERROR(INDEX(AE$10:AE$11,Предпосылки!$J289,),0))*IFERROR(INDEX(AE$10:AE$11,Предпосылки!$J289,),0)</f>
        <v>0</v>
      </c>
      <c s="125">
        <f>AF646/(1+IFERROR(INDEX(AF$10:AF$11,Предпосылки!$J289,),0))*IFERROR(INDEX(AF$10:AF$11,Предпосылки!$J289,),0)</f>
        <v>0</v>
      </c>
      <c s="125">
        <f>AG646/(1+IFERROR(INDEX(AG$10:AG$11,Предпосылки!$J289,),0))*IFERROR(INDEX(AG$10:AG$11,Предпосылки!$J289,),0)</f>
        <v>0</v>
      </c>
      <c s="125">
        <f>AH646/(1+IFERROR(INDEX(AH$10:AH$11,Предпосылки!$J289,),0))*IFERROR(INDEX(AH$10:AH$11,Предпосылки!$J289,),0)</f>
        <v>0</v>
      </c>
      <c s="125">
        <f>AI646/(1+IFERROR(INDEX(AI$10:AI$11,Предпосылки!$J289,),0))*IFERROR(INDEX(AI$10:AI$11,Предпосылки!$J289,),0)</f>
        <v>0</v>
      </c>
      <c s="125">
        <f>AJ646/(1+IFERROR(INDEX(AJ$10:AJ$11,Предпосылки!$J289,),0))*IFERROR(INDEX(AJ$10:AJ$11,Предпосылки!$J289,),0)</f>
        <v>0</v>
      </c>
      <c s="125">
        <f>AK646/(1+IFERROR(INDEX(AK$10:AK$11,Предпосылки!$J289,),0))*IFERROR(INDEX(AK$10:AK$11,Предпосылки!$J289,),0)</f>
        <v>0</v>
      </c>
      <c s="125">
        <f>AL646/(1+IFERROR(INDEX(AL$10:AL$11,Предпосылки!$J289,),0))*IFERROR(INDEX(AL$10:AL$11,Предпосылки!$J289,),0)</f>
        <v>0</v>
      </c>
      <c s="125">
        <f>AM646/(1+IFERROR(INDEX(AM$10:AM$11,Предпосылки!$J289,),0))*IFERROR(INDEX(AM$10:AM$11,Предпосылки!$J289,),0)</f>
        <v>0</v>
      </c>
      <c s="125">
        <f>AN646/(1+IFERROR(INDEX(AN$10:AN$11,Предпосылки!$J289,),0))*IFERROR(INDEX(AN$10:AN$11,Предпосылки!$J289,),0)</f>
        <v>0</v>
      </c>
      <c s="125">
        <f>AO646/(1+IFERROR(INDEX(AO$10:AO$11,Предпосылки!$J289,),0))*IFERROR(INDEX(AO$10:AO$11,Предпосылки!$J289,),0)</f>
        <v>0</v>
      </c>
      <c s="125">
        <f>AP646/(1+IFERROR(INDEX(AP$10:AP$11,Предпосылки!$J289,),0))*IFERROR(INDEX(AP$10:AP$11,Предпосылки!$J289,),0)</f>
        <v>0</v>
      </c>
      <c s="125">
        <f>AQ646/(1+IFERROR(INDEX(AQ$10:AQ$11,Предпосылки!$J289,),0))*IFERROR(INDEX(AQ$10:AQ$11,Предпосылки!$J289,),0)</f>
        <v>0</v>
      </c>
      <c s="125">
        <f>AR646/(1+IFERROR(INDEX(AR$10:AR$11,Предпосылки!$J289,),0))*IFERROR(INDEX(AR$10:AR$11,Предпосылки!$J289,),0)</f>
        <v>0</v>
      </c>
      <c s="125">
        <f>AS646/(1+IFERROR(INDEX(AS$10:AS$11,Предпосылки!$J289,),0))*IFERROR(INDEX(AS$10:AS$11,Предпосылки!$J289,),0)</f>
        <v>0</v>
      </c>
      <c s="125">
        <f>AT646/(1+IFERROR(INDEX(AT$10:AT$11,Предпосылки!$J289,),0))*IFERROR(INDEX(AT$10:AT$11,Предпосылки!$J289,),0)</f>
        <v>0</v>
      </c>
      <c s="125">
        <f>AU646/(1+IFERROR(INDEX(AU$10:AU$11,Предпосылки!$J289,),0))*IFERROR(INDEX(AU$10:AU$11,Предпосылки!$J289,),0)</f>
        <v>0</v>
      </c>
      <c s="125">
        <f>AV646/(1+IFERROR(INDEX(AV$10:AV$11,Предпосылки!$J289,),0))*IFERROR(INDEX(AV$10:AV$11,Предпосылки!$J289,),0)</f>
        <v>0</v>
      </c>
      <c s="125">
        <f>AW646/(1+IFERROR(INDEX(AW$10:AW$11,Предпосылки!$J289,),0))*IFERROR(INDEX(AW$10:AW$11,Предпосылки!$J289,),0)</f>
        <v>0</v>
      </c>
      <c s="125">
        <f>AX646/(1+IFERROR(INDEX(AX$10:AX$11,Предпосылки!$J289,),0))*IFERROR(INDEX(AX$10:AX$11,Предпосылки!$J289,),0)</f>
        <v>0</v>
      </c>
      <c s="125">
        <f>AY646/(1+IFERROR(INDEX(AY$10:AY$11,Предпосылки!$J289,),0))*IFERROR(INDEX(AY$10:AY$11,Предпосылки!$J289,),0)</f>
        <v>0</v>
      </c>
      <c s="125">
        <f>AZ646/(1+IFERROR(INDEX(AZ$10:AZ$11,Предпосылки!$J289,),0))*IFERROR(INDEX(AZ$10:AZ$11,Предпосылки!$J289,),0)</f>
        <v>0</v>
      </c>
      <c s="125">
        <f>BA646/(1+IFERROR(INDEX(BA$10:BA$11,Предпосылки!$J289,),0))*IFERROR(INDEX(BA$10:BA$11,Предпосылки!$J289,),0)</f>
        <v>0</v>
      </c>
      <c s="125">
        <f>BB646/(1+IFERROR(INDEX(BB$10:BB$11,Предпосылки!$J289,),0))*IFERROR(INDEX(BB$10:BB$11,Предпосылки!$J289,),0)</f>
        <v>0</v>
      </c>
      <c s="125">
        <f>BC646/(1+IFERROR(INDEX(BC$10:BC$11,Предпосылки!$J289,),0))*IFERROR(INDEX(BC$10:BC$11,Предпосылки!$J289,),0)</f>
        <v>0</v>
      </c>
      <c s="125">
        <f>BD646/(1+IFERROR(INDEX(BD$10:BD$11,Предпосылки!$J289,),0))*IFERROR(INDEX(BD$10:BD$11,Предпосылки!$J289,),0)</f>
        <v>0</v>
      </c>
      <c s="125">
        <f>BE646/(1+IFERROR(INDEX(BE$10:BE$11,Предпосылки!$J289,),0))*IFERROR(INDEX(BE$10:BE$11,Предпосылки!$J289,),0)</f>
        <v>0</v>
      </c>
      <c s="125">
        <f>BF646/(1+IFERROR(INDEX(BF$10:BF$11,Предпосылки!$J289,),0))*IFERROR(INDEX(BF$10:BF$11,Предпосылки!$J289,),0)</f>
        <v>0</v>
      </c>
      <c s="125">
        <f>BG646/(1+IFERROR(INDEX(BG$10:BG$11,Предпосылки!$J289,),0))*IFERROR(INDEX(BG$10:BG$11,Предпосылки!$J289,),0)</f>
        <v>0</v>
      </c>
      <c s="125">
        <f>BH646/(1+IFERROR(INDEX(BH$10:BH$11,Предпосылки!$J289,),0))*IFERROR(INDEX(BH$10:BH$11,Предпосылки!$J289,),0)</f>
        <v>0</v>
      </c>
      <c s="125">
        <f>BI646/(1+IFERROR(INDEX(BI$10:BI$11,Предпосылки!$J289,),0))*IFERROR(INDEX(BI$10:BI$11,Предпосылки!$J289,),0)</f>
        <v>0</v>
      </c>
      <c s="125">
        <f>BJ646/(1+IFERROR(INDEX(BJ$10:BJ$11,Предпосылки!$J289,),0))*IFERROR(INDEX(BJ$10:BJ$11,Предпосылки!$J289,),0)</f>
        <v>0</v>
      </c>
      <c s="125">
        <f>BK646/(1+IFERROR(INDEX(BK$10:BK$11,Предпосылки!$J289,),0))*IFERROR(INDEX(BK$10:BK$11,Предпосылки!$J289,),0)</f>
        <v>0</v>
      </c>
      <c s="125">
        <f>BL646/(1+IFERROR(INDEX(BL$10:BL$11,Предпосылки!$J289,),0))*IFERROR(INDEX(BL$10:BL$11,Предпосылки!$J289,),0)</f>
        <v>0</v>
      </c>
      <c s="125">
        <f>BM646/(1+IFERROR(INDEX(BM$10:BM$11,Предпосылки!$J289,),0))*IFERROR(INDEX(BM$10:BM$11,Предпосылки!$J289,),0)</f>
        <v>0</v>
      </c>
    </row>
    <row r="675" spans="2:65" ht="15" customHeight="1">
      <c r="B675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E647/(1+IFERROR(INDEX(E$10:E$11,Предпосылки!$J290,),0))*IFERROR(INDEX(E$10:E$11,Предпосылки!$J290,),0)</f>
        <v>0</v>
      </c>
      <c s="125">
        <f>F647/(1+IFERROR(INDEX(F$10:F$11,Предпосылки!$J290,),0))*IFERROR(INDEX(F$10:F$11,Предпосылки!$J290,),0)</f>
        <v>0</v>
      </c>
      <c s="125">
        <f>G647/(1+IFERROR(INDEX(G$10:G$11,Предпосылки!$J290,),0))*IFERROR(INDEX(G$10:G$11,Предпосылки!$J290,),0)</f>
        <v>0</v>
      </c>
      <c s="125">
        <f>H647/(1+IFERROR(INDEX(H$10:H$11,Предпосылки!$J290,),0))*IFERROR(INDEX(H$10:H$11,Предпосылки!$J290,),0)</f>
        <v>0</v>
      </c>
      <c s="125">
        <f>I647/(1+IFERROR(INDEX(I$10:I$11,Предпосылки!$J290,),0))*IFERROR(INDEX(I$10:I$11,Предпосылки!$J290,),0)</f>
        <v>0</v>
      </c>
      <c s="125">
        <f>J647/(1+IFERROR(INDEX(J$10:J$11,Предпосылки!$J290,),0))*IFERROR(INDEX(J$10:J$11,Предпосылки!$J290,),0)</f>
        <v>0</v>
      </c>
      <c s="125">
        <f>K647/(1+IFERROR(INDEX(K$10:K$11,Предпосылки!$J290,),0))*IFERROR(INDEX(K$10:K$11,Предпосылки!$J290,),0)</f>
        <v>0</v>
      </c>
      <c s="125">
        <f>L647/(1+IFERROR(INDEX(L$10:L$11,Предпосылки!$J290,),0))*IFERROR(INDEX(L$10:L$11,Предпосылки!$J290,),0)</f>
        <v>0</v>
      </c>
      <c s="125">
        <f>M647/(1+IFERROR(INDEX(M$10:M$11,Предпосылки!$J290,),0))*IFERROR(INDEX(M$10:M$11,Предпосылки!$J290,),0)</f>
        <v>0</v>
      </c>
      <c s="125">
        <f>N647/(1+IFERROR(INDEX(N$10:N$11,Предпосылки!$J290,),0))*IFERROR(INDEX(N$10:N$11,Предпосылки!$J290,),0)</f>
        <v>0</v>
      </c>
      <c s="125">
        <f>O647/(1+IFERROR(INDEX(O$10:O$11,Предпосылки!$J290,),0))*IFERROR(INDEX(O$10:O$11,Предпосылки!$J290,),0)</f>
        <v>0</v>
      </c>
      <c s="125">
        <f>P647/(1+IFERROR(INDEX(P$10:P$11,Предпосылки!$J290,),0))*IFERROR(INDEX(P$10:P$11,Предпосылки!$J290,),0)</f>
        <v>0</v>
      </c>
      <c s="125">
        <f>Q647/(1+IFERROR(INDEX(Q$10:Q$11,Предпосылки!$J290,),0))*IFERROR(INDEX(Q$10:Q$11,Предпосылки!$J290,),0)</f>
        <v>0</v>
      </c>
      <c s="125">
        <f>R647/(1+IFERROR(INDEX(R$10:R$11,Предпосылки!$J290,),0))*IFERROR(INDEX(R$10:R$11,Предпосылки!$J290,),0)</f>
        <v>0</v>
      </c>
      <c s="125">
        <f>S647/(1+IFERROR(INDEX(S$10:S$11,Предпосылки!$J290,),0))*IFERROR(INDEX(S$10:S$11,Предпосылки!$J290,),0)</f>
        <v>0</v>
      </c>
      <c s="125">
        <f>T647/(1+IFERROR(INDEX(T$10:T$11,Предпосылки!$J290,),0))*IFERROR(INDEX(T$10:T$11,Предпосылки!$J290,),0)</f>
        <v>0</v>
      </c>
      <c s="125">
        <f>U647/(1+IFERROR(INDEX(U$10:U$11,Предпосылки!$J290,),0))*IFERROR(INDEX(U$10:U$11,Предпосылки!$J290,),0)</f>
        <v>0</v>
      </c>
      <c s="125">
        <f>V647/(1+IFERROR(INDEX(V$10:V$11,Предпосылки!$J290,),0))*IFERROR(INDEX(V$10:V$11,Предпосылки!$J290,),0)</f>
        <v>0</v>
      </c>
      <c s="125">
        <f>W647/(1+IFERROR(INDEX(W$10:W$11,Предпосылки!$J290,),0))*IFERROR(INDEX(W$10:W$11,Предпосылки!$J290,),0)</f>
        <v>0</v>
      </c>
      <c s="125">
        <f>X647/(1+IFERROR(INDEX(X$10:X$11,Предпосылки!$J290,),0))*IFERROR(INDEX(X$10:X$11,Предпосылки!$J290,),0)</f>
        <v>0</v>
      </c>
      <c s="125">
        <f>Y647/(1+IFERROR(INDEX(Y$10:Y$11,Предпосылки!$J290,),0))*IFERROR(INDEX(Y$10:Y$11,Предпосылки!$J290,),0)</f>
        <v>0</v>
      </c>
      <c s="125">
        <f>Z647/(1+IFERROR(INDEX(Z$10:Z$11,Предпосылки!$J290,),0))*IFERROR(INDEX(Z$10:Z$11,Предпосылки!$J290,),0)</f>
        <v>0</v>
      </c>
      <c s="125">
        <f>AA647/(1+IFERROR(INDEX(AA$10:AA$11,Предпосылки!$J290,),0))*IFERROR(INDEX(AA$10:AA$11,Предпосылки!$J290,),0)</f>
        <v>0</v>
      </c>
      <c s="125">
        <f>AB647/(1+IFERROR(INDEX(AB$10:AB$11,Предпосылки!$J290,),0))*IFERROR(INDEX(AB$10:AB$11,Предпосылки!$J290,),0)</f>
        <v>0</v>
      </c>
      <c s="125">
        <f>AC647/(1+IFERROR(INDEX(AC$10:AC$11,Предпосылки!$J290,),0))*IFERROR(INDEX(AC$10:AC$11,Предпосылки!$J290,),0)</f>
        <v>0</v>
      </c>
      <c s="125">
        <f>AD647/(1+IFERROR(INDEX(AD$10:AD$11,Предпосылки!$J290,),0))*IFERROR(INDEX(AD$10:AD$11,Предпосылки!$J290,),0)</f>
        <v>0</v>
      </c>
      <c s="125">
        <f>AE647/(1+IFERROR(INDEX(AE$10:AE$11,Предпосылки!$J290,),0))*IFERROR(INDEX(AE$10:AE$11,Предпосылки!$J290,),0)</f>
        <v>0</v>
      </c>
      <c s="125">
        <f>AF647/(1+IFERROR(INDEX(AF$10:AF$11,Предпосылки!$J290,),0))*IFERROR(INDEX(AF$10:AF$11,Предпосылки!$J290,),0)</f>
        <v>0</v>
      </c>
      <c s="125">
        <f>AG647/(1+IFERROR(INDEX(AG$10:AG$11,Предпосылки!$J290,),0))*IFERROR(INDEX(AG$10:AG$11,Предпосылки!$J290,),0)</f>
        <v>0</v>
      </c>
      <c s="125">
        <f>AH647/(1+IFERROR(INDEX(AH$10:AH$11,Предпосылки!$J290,),0))*IFERROR(INDEX(AH$10:AH$11,Предпосылки!$J290,),0)</f>
        <v>0</v>
      </c>
      <c s="125">
        <f>AI647/(1+IFERROR(INDEX(AI$10:AI$11,Предпосылки!$J290,),0))*IFERROR(INDEX(AI$10:AI$11,Предпосылки!$J290,),0)</f>
        <v>0</v>
      </c>
      <c s="125">
        <f>AJ647/(1+IFERROR(INDEX(AJ$10:AJ$11,Предпосылки!$J290,),0))*IFERROR(INDEX(AJ$10:AJ$11,Предпосылки!$J290,),0)</f>
        <v>0</v>
      </c>
      <c s="125">
        <f>AK647/(1+IFERROR(INDEX(AK$10:AK$11,Предпосылки!$J290,),0))*IFERROR(INDEX(AK$10:AK$11,Предпосылки!$J290,),0)</f>
        <v>0</v>
      </c>
      <c s="125">
        <f>AL647/(1+IFERROR(INDEX(AL$10:AL$11,Предпосылки!$J290,),0))*IFERROR(INDEX(AL$10:AL$11,Предпосылки!$J290,),0)</f>
        <v>0</v>
      </c>
      <c s="125">
        <f>AM647/(1+IFERROR(INDEX(AM$10:AM$11,Предпосылки!$J290,),0))*IFERROR(INDEX(AM$10:AM$11,Предпосылки!$J290,),0)</f>
        <v>0</v>
      </c>
      <c s="125">
        <f>AN647/(1+IFERROR(INDEX(AN$10:AN$11,Предпосылки!$J290,),0))*IFERROR(INDEX(AN$10:AN$11,Предпосылки!$J290,),0)</f>
        <v>0</v>
      </c>
      <c s="125">
        <f>AO647/(1+IFERROR(INDEX(AO$10:AO$11,Предпосылки!$J290,),0))*IFERROR(INDEX(AO$10:AO$11,Предпосылки!$J290,),0)</f>
        <v>0</v>
      </c>
      <c s="125">
        <f>AP647/(1+IFERROR(INDEX(AP$10:AP$11,Предпосылки!$J290,),0))*IFERROR(INDEX(AP$10:AP$11,Предпосылки!$J290,),0)</f>
        <v>0</v>
      </c>
      <c s="125">
        <f>AQ647/(1+IFERROR(INDEX(AQ$10:AQ$11,Предпосылки!$J290,),0))*IFERROR(INDEX(AQ$10:AQ$11,Предпосылки!$J290,),0)</f>
        <v>0</v>
      </c>
      <c s="125">
        <f>AR647/(1+IFERROR(INDEX(AR$10:AR$11,Предпосылки!$J290,),0))*IFERROR(INDEX(AR$10:AR$11,Предпосылки!$J290,),0)</f>
        <v>0</v>
      </c>
      <c s="125">
        <f>AS647/(1+IFERROR(INDEX(AS$10:AS$11,Предпосылки!$J290,),0))*IFERROR(INDEX(AS$10:AS$11,Предпосылки!$J290,),0)</f>
        <v>0</v>
      </c>
      <c s="125">
        <f>AT647/(1+IFERROR(INDEX(AT$10:AT$11,Предпосылки!$J290,),0))*IFERROR(INDEX(AT$10:AT$11,Предпосылки!$J290,),0)</f>
        <v>0</v>
      </c>
      <c s="125">
        <f>AU647/(1+IFERROR(INDEX(AU$10:AU$11,Предпосылки!$J290,),0))*IFERROR(INDEX(AU$10:AU$11,Предпосылки!$J290,),0)</f>
        <v>0</v>
      </c>
      <c s="125">
        <f>AV647/(1+IFERROR(INDEX(AV$10:AV$11,Предпосылки!$J290,),0))*IFERROR(INDEX(AV$10:AV$11,Предпосылки!$J290,),0)</f>
        <v>0</v>
      </c>
      <c s="125">
        <f>AW647/(1+IFERROR(INDEX(AW$10:AW$11,Предпосылки!$J290,),0))*IFERROR(INDEX(AW$10:AW$11,Предпосылки!$J290,),0)</f>
        <v>0</v>
      </c>
      <c s="125">
        <f>AX647/(1+IFERROR(INDEX(AX$10:AX$11,Предпосылки!$J290,),0))*IFERROR(INDEX(AX$10:AX$11,Предпосылки!$J290,),0)</f>
        <v>0</v>
      </c>
      <c s="125">
        <f>AY647/(1+IFERROR(INDEX(AY$10:AY$11,Предпосылки!$J290,),0))*IFERROR(INDEX(AY$10:AY$11,Предпосылки!$J290,),0)</f>
        <v>0</v>
      </c>
      <c s="125">
        <f>AZ647/(1+IFERROR(INDEX(AZ$10:AZ$11,Предпосылки!$J290,),0))*IFERROR(INDEX(AZ$10:AZ$11,Предпосылки!$J290,),0)</f>
        <v>0</v>
      </c>
      <c s="125">
        <f>BA647/(1+IFERROR(INDEX(BA$10:BA$11,Предпосылки!$J290,),0))*IFERROR(INDEX(BA$10:BA$11,Предпосылки!$J290,),0)</f>
        <v>0</v>
      </c>
      <c s="125">
        <f>BB647/(1+IFERROR(INDEX(BB$10:BB$11,Предпосылки!$J290,),0))*IFERROR(INDEX(BB$10:BB$11,Предпосылки!$J290,),0)</f>
        <v>0</v>
      </c>
      <c s="125">
        <f>BC647/(1+IFERROR(INDEX(BC$10:BC$11,Предпосылки!$J290,),0))*IFERROR(INDEX(BC$10:BC$11,Предпосылки!$J290,),0)</f>
        <v>0</v>
      </c>
      <c s="125">
        <f>BD647/(1+IFERROR(INDEX(BD$10:BD$11,Предпосылки!$J290,),0))*IFERROR(INDEX(BD$10:BD$11,Предпосылки!$J290,),0)</f>
        <v>0</v>
      </c>
      <c s="125">
        <f>BE647/(1+IFERROR(INDEX(BE$10:BE$11,Предпосылки!$J290,),0))*IFERROR(INDEX(BE$10:BE$11,Предпосылки!$J290,),0)</f>
        <v>0</v>
      </c>
      <c s="125">
        <f>BF647/(1+IFERROR(INDEX(BF$10:BF$11,Предпосылки!$J290,),0))*IFERROR(INDEX(BF$10:BF$11,Предпосылки!$J290,),0)</f>
        <v>0</v>
      </c>
      <c s="125">
        <f>BG647/(1+IFERROR(INDEX(BG$10:BG$11,Предпосылки!$J290,),0))*IFERROR(INDEX(BG$10:BG$11,Предпосылки!$J290,),0)</f>
        <v>0</v>
      </c>
      <c s="125">
        <f>BH647/(1+IFERROR(INDEX(BH$10:BH$11,Предпосылки!$J290,),0))*IFERROR(INDEX(BH$10:BH$11,Предпосылки!$J290,),0)</f>
        <v>0</v>
      </c>
      <c s="125">
        <f>BI647/(1+IFERROR(INDEX(BI$10:BI$11,Предпосылки!$J290,),0))*IFERROR(INDEX(BI$10:BI$11,Предпосылки!$J290,),0)</f>
        <v>0</v>
      </c>
      <c s="125">
        <f>BJ647/(1+IFERROR(INDEX(BJ$10:BJ$11,Предпосылки!$J290,),0))*IFERROR(INDEX(BJ$10:BJ$11,Предпосылки!$J290,),0)</f>
        <v>0</v>
      </c>
      <c s="125">
        <f>BK647/(1+IFERROR(INDEX(BK$10:BK$11,Предпосылки!$J290,),0))*IFERROR(INDEX(BK$10:BK$11,Предпосылки!$J290,),0)</f>
        <v>0</v>
      </c>
      <c s="125">
        <f>BL647/(1+IFERROR(INDEX(BL$10:BL$11,Предпосылки!$J290,),0))*IFERROR(INDEX(BL$10:BL$11,Предпосылки!$J290,),0)</f>
        <v>0</v>
      </c>
      <c s="125">
        <f>BM647/(1+IFERROR(INDEX(BM$10:BM$11,Предпосылки!$J290,),0))*IFERROR(INDEX(BM$10:BM$11,Предпосылки!$J290,),0)</f>
        <v>0</v>
      </c>
    </row>
    <row r="676" spans="2:65" ht="15" customHeight="1">
      <c r="B676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E648/(1+IFERROR(INDEX(E$10:E$11,Предпосылки!$J291,),0))*IFERROR(INDEX(E$10:E$11,Предпосылки!$J291,),0)</f>
        <v>0</v>
      </c>
      <c s="125">
        <f>F648/(1+IFERROR(INDEX(F$10:F$11,Предпосылки!$J291,),0))*IFERROR(INDEX(F$10:F$11,Предпосылки!$J291,),0)</f>
        <v>0</v>
      </c>
      <c s="125">
        <f>G648/(1+IFERROR(INDEX(G$10:G$11,Предпосылки!$J291,),0))*IFERROR(INDEX(G$10:G$11,Предпосылки!$J291,),0)</f>
        <v>0</v>
      </c>
      <c s="125">
        <f>H648/(1+IFERROR(INDEX(H$10:H$11,Предпосылки!$J291,),0))*IFERROR(INDEX(H$10:H$11,Предпосылки!$J291,),0)</f>
        <v>0</v>
      </c>
      <c s="125">
        <f>I648/(1+IFERROR(INDEX(I$10:I$11,Предпосылки!$J291,),0))*IFERROR(INDEX(I$10:I$11,Предпосылки!$J291,),0)</f>
        <v>0</v>
      </c>
      <c s="125">
        <f>J648/(1+IFERROR(INDEX(J$10:J$11,Предпосылки!$J291,),0))*IFERROR(INDEX(J$10:J$11,Предпосылки!$J291,),0)</f>
        <v>0</v>
      </c>
      <c s="125">
        <f>K648/(1+IFERROR(INDEX(K$10:K$11,Предпосылки!$J291,),0))*IFERROR(INDEX(K$10:K$11,Предпосылки!$J291,),0)</f>
        <v>0</v>
      </c>
      <c s="125">
        <f>L648/(1+IFERROR(INDEX(L$10:L$11,Предпосылки!$J291,),0))*IFERROR(INDEX(L$10:L$11,Предпосылки!$J291,),0)</f>
        <v>0</v>
      </c>
      <c s="125">
        <f>M648/(1+IFERROR(INDEX(M$10:M$11,Предпосылки!$J291,),0))*IFERROR(INDEX(M$10:M$11,Предпосылки!$J291,),0)</f>
        <v>0</v>
      </c>
      <c s="125">
        <f>N648/(1+IFERROR(INDEX(N$10:N$11,Предпосылки!$J291,),0))*IFERROR(INDEX(N$10:N$11,Предпосылки!$J291,),0)</f>
        <v>0</v>
      </c>
      <c s="125">
        <f>O648/(1+IFERROR(INDEX(O$10:O$11,Предпосылки!$J291,),0))*IFERROR(INDEX(O$10:O$11,Предпосылки!$J291,),0)</f>
        <v>0</v>
      </c>
      <c s="125">
        <f>P648/(1+IFERROR(INDEX(P$10:P$11,Предпосылки!$J291,),0))*IFERROR(INDEX(P$10:P$11,Предпосылки!$J291,),0)</f>
        <v>0</v>
      </c>
      <c s="125">
        <f>Q648/(1+IFERROR(INDEX(Q$10:Q$11,Предпосылки!$J291,),0))*IFERROR(INDEX(Q$10:Q$11,Предпосылки!$J291,),0)</f>
        <v>0</v>
      </c>
      <c s="125">
        <f>R648/(1+IFERROR(INDEX(R$10:R$11,Предпосылки!$J291,),0))*IFERROR(INDEX(R$10:R$11,Предпосылки!$J291,),0)</f>
        <v>0</v>
      </c>
      <c s="125">
        <f>S648/(1+IFERROR(INDEX(S$10:S$11,Предпосылки!$J291,),0))*IFERROR(INDEX(S$10:S$11,Предпосылки!$J291,),0)</f>
        <v>0</v>
      </c>
      <c s="125">
        <f>T648/(1+IFERROR(INDEX(T$10:T$11,Предпосылки!$J291,),0))*IFERROR(INDEX(T$10:T$11,Предпосылки!$J291,),0)</f>
        <v>0</v>
      </c>
      <c s="125">
        <f>U648/(1+IFERROR(INDEX(U$10:U$11,Предпосылки!$J291,),0))*IFERROR(INDEX(U$10:U$11,Предпосылки!$J291,),0)</f>
        <v>0</v>
      </c>
      <c s="125">
        <f>V648/(1+IFERROR(INDEX(V$10:V$11,Предпосылки!$J291,),0))*IFERROR(INDEX(V$10:V$11,Предпосылки!$J291,),0)</f>
        <v>0</v>
      </c>
      <c s="125">
        <f>W648/(1+IFERROR(INDEX(W$10:W$11,Предпосылки!$J291,),0))*IFERROR(INDEX(W$10:W$11,Предпосылки!$J291,),0)</f>
        <v>0</v>
      </c>
      <c s="125">
        <f>X648/(1+IFERROR(INDEX(X$10:X$11,Предпосылки!$J291,),0))*IFERROR(INDEX(X$10:X$11,Предпосылки!$J291,),0)</f>
        <v>0</v>
      </c>
      <c s="125">
        <f>Y648/(1+IFERROR(INDEX(Y$10:Y$11,Предпосылки!$J291,),0))*IFERROR(INDEX(Y$10:Y$11,Предпосылки!$J291,),0)</f>
        <v>0</v>
      </c>
      <c s="125">
        <f>Z648/(1+IFERROR(INDEX(Z$10:Z$11,Предпосылки!$J291,),0))*IFERROR(INDEX(Z$10:Z$11,Предпосылки!$J291,),0)</f>
        <v>0</v>
      </c>
      <c s="125">
        <f>AA648/(1+IFERROR(INDEX(AA$10:AA$11,Предпосылки!$J291,),0))*IFERROR(INDEX(AA$10:AA$11,Предпосылки!$J291,),0)</f>
        <v>0</v>
      </c>
      <c s="125">
        <f>AB648/(1+IFERROR(INDEX(AB$10:AB$11,Предпосылки!$J291,),0))*IFERROR(INDEX(AB$10:AB$11,Предпосылки!$J291,),0)</f>
        <v>0</v>
      </c>
      <c s="125">
        <f>AC648/(1+IFERROR(INDEX(AC$10:AC$11,Предпосылки!$J291,),0))*IFERROR(INDEX(AC$10:AC$11,Предпосылки!$J291,),0)</f>
        <v>0</v>
      </c>
      <c s="125">
        <f>AD648/(1+IFERROR(INDEX(AD$10:AD$11,Предпосылки!$J291,),0))*IFERROR(INDEX(AD$10:AD$11,Предпосылки!$J291,),0)</f>
        <v>0</v>
      </c>
      <c s="125">
        <f>AE648/(1+IFERROR(INDEX(AE$10:AE$11,Предпосылки!$J291,),0))*IFERROR(INDEX(AE$10:AE$11,Предпосылки!$J291,),0)</f>
        <v>0</v>
      </c>
      <c s="125">
        <f>AF648/(1+IFERROR(INDEX(AF$10:AF$11,Предпосылки!$J291,),0))*IFERROR(INDEX(AF$10:AF$11,Предпосылки!$J291,),0)</f>
        <v>0</v>
      </c>
      <c s="125">
        <f>AG648/(1+IFERROR(INDEX(AG$10:AG$11,Предпосылки!$J291,),0))*IFERROR(INDEX(AG$10:AG$11,Предпосылки!$J291,),0)</f>
        <v>0</v>
      </c>
      <c s="125">
        <f>AH648/(1+IFERROR(INDEX(AH$10:AH$11,Предпосылки!$J291,),0))*IFERROR(INDEX(AH$10:AH$11,Предпосылки!$J291,),0)</f>
        <v>0</v>
      </c>
      <c s="125">
        <f>AI648/(1+IFERROR(INDEX(AI$10:AI$11,Предпосылки!$J291,),0))*IFERROR(INDEX(AI$10:AI$11,Предпосылки!$J291,),0)</f>
        <v>0</v>
      </c>
      <c s="125">
        <f>AJ648/(1+IFERROR(INDEX(AJ$10:AJ$11,Предпосылки!$J291,),0))*IFERROR(INDEX(AJ$10:AJ$11,Предпосылки!$J291,),0)</f>
        <v>0</v>
      </c>
      <c s="125">
        <f>AK648/(1+IFERROR(INDEX(AK$10:AK$11,Предпосылки!$J291,),0))*IFERROR(INDEX(AK$10:AK$11,Предпосылки!$J291,),0)</f>
        <v>0</v>
      </c>
      <c s="125">
        <f>AL648/(1+IFERROR(INDEX(AL$10:AL$11,Предпосылки!$J291,),0))*IFERROR(INDEX(AL$10:AL$11,Предпосылки!$J291,),0)</f>
        <v>0</v>
      </c>
      <c s="125">
        <f>AM648/(1+IFERROR(INDEX(AM$10:AM$11,Предпосылки!$J291,),0))*IFERROR(INDEX(AM$10:AM$11,Предпосылки!$J291,),0)</f>
        <v>0</v>
      </c>
      <c s="125">
        <f>AN648/(1+IFERROR(INDEX(AN$10:AN$11,Предпосылки!$J291,),0))*IFERROR(INDEX(AN$10:AN$11,Предпосылки!$J291,),0)</f>
        <v>0</v>
      </c>
      <c s="125">
        <f>AO648/(1+IFERROR(INDEX(AO$10:AO$11,Предпосылки!$J291,),0))*IFERROR(INDEX(AO$10:AO$11,Предпосылки!$J291,),0)</f>
        <v>0</v>
      </c>
      <c s="125">
        <f>AP648/(1+IFERROR(INDEX(AP$10:AP$11,Предпосылки!$J291,),0))*IFERROR(INDEX(AP$10:AP$11,Предпосылки!$J291,),0)</f>
        <v>0</v>
      </c>
      <c s="125">
        <f>AQ648/(1+IFERROR(INDEX(AQ$10:AQ$11,Предпосылки!$J291,),0))*IFERROR(INDEX(AQ$10:AQ$11,Предпосылки!$J291,),0)</f>
        <v>0</v>
      </c>
      <c s="125">
        <f>AR648/(1+IFERROR(INDEX(AR$10:AR$11,Предпосылки!$J291,),0))*IFERROR(INDEX(AR$10:AR$11,Предпосылки!$J291,),0)</f>
        <v>0</v>
      </c>
      <c s="125">
        <f>AS648/(1+IFERROR(INDEX(AS$10:AS$11,Предпосылки!$J291,),0))*IFERROR(INDEX(AS$10:AS$11,Предпосылки!$J291,),0)</f>
        <v>0</v>
      </c>
      <c s="125">
        <f>AT648/(1+IFERROR(INDEX(AT$10:AT$11,Предпосылки!$J291,),0))*IFERROR(INDEX(AT$10:AT$11,Предпосылки!$J291,),0)</f>
        <v>0</v>
      </c>
      <c s="125">
        <f>AU648/(1+IFERROR(INDEX(AU$10:AU$11,Предпосылки!$J291,),0))*IFERROR(INDEX(AU$10:AU$11,Предпосылки!$J291,),0)</f>
        <v>0</v>
      </c>
      <c s="125">
        <f>AV648/(1+IFERROR(INDEX(AV$10:AV$11,Предпосылки!$J291,),0))*IFERROR(INDEX(AV$10:AV$11,Предпосылки!$J291,),0)</f>
        <v>0</v>
      </c>
      <c s="125">
        <f>AW648/(1+IFERROR(INDEX(AW$10:AW$11,Предпосылки!$J291,),0))*IFERROR(INDEX(AW$10:AW$11,Предпосылки!$J291,),0)</f>
        <v>0</v>
      </c>
      <c s="125">
        <f>AX648/(1+IFERROR(INDEX(AX$10:AX$11,Предпосылки!$J291,),0))*IFERROR(INDEX(AX$10:AX$11,Предпосылки!$J291,),0)</f>
        <v>0</v>
      </c>
      <c s="125">
        <f>AY648/(1+IFERROR(INDEX(AY$10:AY$11,Предпосылки!$J291,),0))*IFERROR(INDEX(AY$10:AY$11,Предпосылки!$J291,),0)</f>
        <v>0</v>
      </c>
      <c s="125">
        <f>AZ648/(1+IFERROR(INDEX(AZ$10:AZ$11,Предпосылки!$J291,),0))*IFERROR(INDEX(AZ$10:AZ$11,Предпосылки!$J291,),0)</f>
        <v>0</v>
      </c>
      <c s="125">
        <f>BA648/(1+IFERROR(INDEX(BA$10:BA$11,Предпосылки!$J291,),0))*IFERROR(INDEX(BA$10:BA$11,Предпосылки!$J291,),0)</f>
        <v>0</v>
      </c>
      <c s="125">
        <f>BB648/(1+IFERROR(INDEX(BB$10:BB$11,Предпосылки!$J291,),0))*IFERROR(INDEX(BB$10:BB$11,Предпосылки!$J291,),0)</f>
        <v>0</v>
      </c>
      <c s="125">
        <f>BC648/(1+IFERROR(INDEX(BC$10:BC$11,Предпосылки!$J291,),0))*IFERROR(INDEX(BC$10:BC$11,Предпосылки!$J291,),0)</f>
        <v>0</v>
      </c>
      <c s="125">
        <f>BD648/(1+IFERROR(INDEX(BD$10:BD$11,Предпосылки!$J291,),0))*IFERROR(INDEX(BD$10:BD$11,Предпосылки!$J291,),0)</f>
        <v>0</v>
      </c>
      <c s="125">
        <f>BE648/(1+IFERROR(INDEX(BE$10:BE$11,Предпосылки!$J291,),0))*IFERROR(INDEX(BE$10:BE$11,Предпосылки!$J291,),0)</f>
        <v>0</v>
      </c>
      <c s="125">
        <f>BF648/(1+IFERROR(INDEX(BF$10:BF$11,Предпосылки!$J291,),0))*IFERROR(INDEX(BF$10:BF$11,Предпосылки!$J291,),0)</f>
        <v>0</v>
      </c>
      <c s="125">
        <f>BG648/(1+IFERROR(INDEX(BG$10:BG$11,Предпосылки!$J291,),0))*IFERROR(INDEX(BG$10:BG$11,Предпосылки!$J291,),0)</f>
        <v>0</v>
      </c>
      <c s="125">
        <f>BH648/(1+IFERROR(INDEX(BH$10:BH$11,Предпосылки!$J291,),0))*IFERROR(INDEX(BH$10:BH$11,Предпосылки!$J291,),0)</f>
        <v>0</v>
      </c>
      <c s="125">
        <f>BI648/(1+IFERROR(INDEX(BI$10:BI$11,Предпосылки!$J291,),0))*IFERROR(INDEX(BI$10:BI$11,Предпосылки!$J291,),0)</f>
        <v>0</v>
      </c>
      <c s="125">
        <f>BJ648/(1+IFERROR(INDEX(BJ$10:BJ$11,Предпосылки!$J291,),0))*IFERROR(INDEX(BJ$10:BJ$11,Предпосылки!$J291,),0)</f>
        <v>0</v>
      </c>
      <c s="125">
        <f>BK648/(1+IFERROR(INDEX(BK$10:BK$11,Предпосылки!$J291,),0))*IFERROR(INDEX(BK$10:BK$11,Предпосылки!$J291,),0)</f>
        <v>0</v>
      </c>
      <c s="125">
        <f>BL648/(1+IFERROR(INDEX(BL$10:BL$11,Предпосылки!$J291,),0))*IFERROR(INDEX(BL$10:BL$11,Предпосылки!$J291,),0)</f>
        <v>0</v>
      </c>
      <c s="125">
        <f>BM648/(1+IFERROR(INDEX(BM$10:BM$11,Предпосылки!$J291,),0))*IFERROR(INDEX(BM$10:BM$11,Предпосылки!$J291,),0)</f>
        <v>0</v>
      </c>
    </row>
    <row r="677" spans="2:65" ht="15" customHeight="1">
      <c r="B677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E649/(1+IFERROR(INDEX(E$10:E$11,Предпосылки!$J292,),0))*IFERROR(INDEX(E$10:E$11,Предпосылки!$J292,),0)</f>
        <v>0</v>
      </c>
      <c s="125">
        <f>F649/(1+IFERROR(INDEX(F$10:F$11,Предпосылки!$J292,),0))*IFERROR(INDEX(F$10:F$11,Предпосылки!$J292,),0)</f>
        <v>0</v>
      </c>
      <c s="125">
        <f>G649/(1+IFERROR(INDEX(G$10:G$11,Предпосылки!$J292,),0))*IFERROR(INDEX(G$10:G$11,Предпосылки!$J292,),0)</f>
        <v>0</v>
      </c>
      <c s="125">
        <f>H649/(1+IFERROR(INDEX(H$10:H$11,Предпосылки!$J292,),0))*IFERROR(INDEX(H$10:H$11,Предпосылки!$J292,),0)</f>
        <v>0</v>
      </c>
      <c s="125">
        <f>I649/(1+IFERROR(INDEX(I$10:I$11,Предпосылки!$J292,),0))*IFERROR(INDEX(I$10:I$11,Предпосылки!$J292,),0)</f>
        <v>0</v>
      </c>
      <c s="125">
        <f>J649/(1+IFERROR(INDEX(J$10:J$11,Предпосылки!$J292,),0))*IFERROR(INDEX(J$10:J$11,Предпосылки!$J292,),0)</f>
        <v>0</v>
      </c>
      <c s="125">
        <f>K649/(1+IFERROR(INDEX(K$10:K$11,Предпосылки!$J292,),0))*IFERROR(INDEX(K$10:K$11,Предпосылки!$J292,),0)</f>
        <v>0</v>
      </c>
      <c s="125">
        <f>L649/(1+IFERROR(INDEX(L$10:L$11,Предпосылки!$J292,),0))*IFERROR(INDEX(L$10:L$11,Предпосылки!$J292,),0)</f>
        <v>0</v>
      </c>
      <c s="125">
        <f>M649/(1+IFERROR(INDEX(M$10:M$11,Предпосылки!$J292,),0))*IFERROR(INDEX(M$10:M$11,Предпосылки!$J292,),0)</f>
        <v>0</v>
      </c>
      <c s="125">
        <f>N649/(1+IFERROR(INDEX(N$10:N$11,Предпосылки!$J292,),0))*IFERROR(INDEX(N$10:N$11,Предпосылки!$J292,),0)</f>
        <v>0</v>
      </c>
      <c s="125">
        <f>O649/(1+IFERROR(INDEX(O$10:O$11,Предпосылки!$J292,),0))*IFERROR(INDEX(O$10:O$11,Предпосылки!$J292,),0)</f>
        <v>0</v>
      </c>
      <c s="125">
        <f>P649/(1+IFERROR(INDEX(P$10:P$11,Предпосылки!$J292,),0))*IFERROR(INDEX(P$10:P$11,Предпосылки!$J292,),0)</f>
        <v>0</v>
      </c>
      <c s="125">
        <f>Q649/(1+IFERROR(INDEX(Q$10:Q$11,Предпосылки!$J292,),0))*IFERROR(INDEX(Q$10:Q$11,Предпосылки!$J292,),0)</f>
        <v>0</v>
      </c>
      <c s="125">
        <f>R649/(1+IFERROR(INDEX(R$10:R$11,Предпосылки!$J292,),0))*IFERROR(INDEX(R$10:R$11,Предпосылки!$J292,),0)</f>
        <v>0</v>
      </c>
      <c s="125">
        <f>S649/(1+IFERROR(INDEX(S$10:S$11,Предпосылки!$J292,),0))*IFERROR(INDEX(S$10:S$11,Предпосылки!$J292,),0)</f>
        <v>0</v>
      </c>
      <c s="125">
        <f>T649/(1+IFERROR(INDEX(T$10:T$11,Предпосылки!$J292,),0))*IFERROR(INDEX(T$10:T$11,Предпосылки!$J292,),0)</f>
        <v>0</v>
      </c>
      <c s="125">
        <f>U649/(1+IFERROR(INDEX(U$10:U$11,Предпосылки!$J292,),0))*IFERROR(INDEX(U$10:U$11,Предпосылки!$J292,),0)</f>
        <v>0</v>
      </c>
      <c s="125">
        <f>V649/(1+IFERROR(INDEX(V$10:V$11,Предпосылки!$J292,),0))*IFERROR(INDEX(V$10:V$11,Предпосылки!$J292,),0)</f>
        <v>0</v>
      </c>
      <c s="125">
        <f>W649/(1+IFERROR(INDEX(W$10:W$11,Предпосылки!$J292,),0))*IFERROR(INDEX(W$10:W$11,Предпосылки!$J292,),0)</f>
        <v>0</v>
      </c>
      <c s="125">
        <f>X649/(1+IFERROR(INDEX(X$10:X$11,Предпосылки!$J292,),0))*IFERROR(INDEX(X$10:X$11,Предпосылки!$J292,),0)</f>
        <v>0</v>
      </c>
      <c s="125">
        <f>Y649/(1+IFERROR(INDEX(Y$10:Y$11,Предпосылки!$J292,),0))*IFERROR(INDEX(Y$10:Y$11,Предпосылки!$J292,),0)</f>
        <v>0</v>
      </c>
      <c s="125">
        <f>Z649/(1+IFERROR(INDEX(Z$10:Z$11,Предпосылки!$J292,),0))*IFERROR(INDEX(Z$10:Z$11,Предпосылки!$J292,),0)</f>
        <v>0</v>
      </c>
      <c s="125">
        <f>AA649/(1+IFERROR(INDEX(AA$10:AA$11,Предпосылки!$J292,),0))*IFERROR(INDEX(AA$10:AA$11,Предпосылки!$J292,),0)</f>
        <v>0</v>
      </c>
      <c s="125">
        <f>AB649/(1+IFERROR(INDEX(AB$10:AB$11,Предпосылки!$J292,),0))*IFERROR(INDEX(AB$10:AB$11,Предпосылки!$J292,),0)</f>
        <v>0</v>
      </c>
      <c s="125">
        <f>AC649/(1+IFERROR(INDEX(AC$10:AC$11,Предпосылки!$J292,),0))*IFERROR(INDEX(AC$10:AC$11,Предпосылки!$J292,),0)</f>
        <v>0</v>
      </c>
      <c s="125">
        <f>AD649/(1+IFERROR(INDEX(AD$10:AD$11,Предпосылки!$J292,),0))*IFERROR(INDEX(AD$10:AD$11,Предпосылки!$J292,),0)</f>
        <v>0</v>
      </c>
      <c s="125">
        <f>AE649/(1+IFERROR(INDEX(AE$10:AE$11,Предпосылки!$J292,),0))*IFERROR(INDEX(AE$10:AE$11,Предпосылки!$J292,),0)</f>
        <v>0</v>
      </c>
      <c s="125">
        <f>AF649/(1+IFERROR(INDEX(AF$10:AF$11,Предпосылки!$J292,),0))*IFERROR(INDEX(AF$10:AF$11,Предпосылки!$J292,),0)</f>
        <v>0</v>
      </c>
      <c s="125">
        <f>AG649/(1+IFERROR(INDEX(AG$10:AG$11,Предпосылки!$J292,),0))*IFERROR(INDEX(AG$10:AG$11,Предпосылки!$J292,),0)</f>
        <v>0</v>
      </c>
      <c s="125">
        <f>AH649/(1+IFERROR(INDEX(AH$10:AH$11,Предпосылки!$J292,),0))*IFERROR(INDEX(AH$10:AH$11,Предпосылки!$J292,),0)</f>
        <v>0</v>
      </c>
      <c s="125">
        <f>AI649/(1+IFERROR(INDEX(AI$10:AI$11,Предпосылки!$J292,),0))*IFERROR(INDEX(AI$10:AI$11,Предпосылки!$J292,),0)</f>
        <v>0</v>
      </c>
      <c s="125">
        <f>AJ649/(1+IFERROR(INDEX(AJ$10:AJ$11,Предпосылки!$J292,),0))*IFERROR(INDEX(AJ$10:AJ$11,Предпосылки!$J292,),0)</f>
        <v>0</v>
      </c>
      <c s="125">
        <f>AK649/(1+IFERROR(INDEX(AK$10:AK$11,Предпосылки!$J292,),0))*IFERROR(INDEX(AK$10:AK$11,Предпосылки!$J292,),0)</f>
        <v>0</v>
      </c>
      <c s="125">
        <f>AL649/(1+IFERROR(INDEX(AL$10:AL$11,Предпосылки!$J292,),0))*IFERROR(INDEX(AL$10:AL$11,Предпосылки!$J292,),0)</f>
        <v>0</v>
      </c>
      <c s="125">
        <f>AM649/(1+IFERROR(INDEX(AM$10:AM$11,Предпосылки!$J292,),0))*IFERROR(INDEX(AM$10:AM$11,Предпосылки!$J292,),0)</f>
        <v>0</v>
      </c>
      <c s="125">
        <f>AN649/(1+IFERROR(INDEX(AN$10:AN$11,Предпосылки!$J292,),0))*IFERROR(INDEX(AN$10:AN$11,Предпосылки!$J292,),0)</f>
        <v>0</v>
      </c>
      <c s="125">
        <f>AO649/(1+IFERROR(INDEX(AO$10:AO$11,Предпосылки!$J292,),0))*IFERROR(INDEX(AO$10:AO$11,Предпосылки!$J292,),0)</f>
        <v>0</v>
      </c>
      <c s="125">
        <f>AP649/(1+IFERROR(INDEX(AP$10:AP$11,Предпосылки!$J292,),0))*IFERROR(INDEX(AP$10:AP$11,Предпосылки!$J292,),0)</f>
        <v>0</v>
      </c>
      <c s="125">
        <f>AQ649/(1+IFERROR(INDEX(AQ$10:AQ$11,Предпосылки!$J292,),0))*IFERROR(INDEX(AQ$10:AQ$11,Предпосылки!$J292,),0)</f>
        <v>0</v>
      </c>
      <c s="125">
        <f>AR649/(1+IFERROR(INDEX(AR$10:AR$11,Предпосылки!$J292,),0))*IFERROR(INDEX(AR$10:AR$11,Предпосылки!$J292,),0)</f>
        <v>0</v>
      </c>
      <c s="125">
        <f>AS649/(1+IFERROR(INDEX(AS$10:AS$11,Предпосылки!$J292,),0))*IFERROR(INDEX(AS$10:AS$11,Предпосылки!$J292,),0)</f>
        <v>0</v>
      </c>
      <c s="125">
        <f>AT649/(1+IFERROR(INDEX(AT$10:AT$11,Предпосылки!$J292,),0))*IFERROR(INDEX(AT$10:AT$11,Предпосылки!$J292,),0)</f>
        <v>0</v>
      </c>
      <c s="125">
        <f>AU649/(1+IFERROR(INDEX(AU$10:AU$11,Предпосылки!$J292,),0))*IFERROR(INDEX(AU$10:AU$11,Предпосылки!$J292,),0)</f>
        <v>0</v>
      </c>
      <c s="125">
        <f>AV649/(1+IFERROR(INDEX(AV$10:AV$11,Предпосылки!$J292,),0))*IFERROR(INDEX(AV$10:AV$11,Предпосылки!$J292,),0)</f>
        <v>0</v>
      </c>
      <c s="125">
        <f>AW649/(1+IFERROR(INDEX(AW$10:AW$11,Предпосылки!$J292,),0))*IFERROR(INDEX(AW$10:AW$11,Предпосылки!$J292,),0)</f>
        <v>0</v>
      </c>
      <c s="125">
        <f>AX649/(1+IFERROR(INDEX(AX$10:AX$11,Предпосылки!$J292,),0))*IFERROR(INDEX(AX$10:AX$11,Предпосылки!$J292,),0)</f>
        <v>0</v>
      </c>
      <c s="125">
        <f>AY649/(1+IFERROR(INDEX(AY$10:AY$11,Предпосылки!$J292,),0))*IFERROR(INDEX(AY$10:AY$11,Предпосылки!$J292,),0)</f>
        <v>0</v>
      </c>
      <c s="125">
        <f>AZ649/(1+IFERROR(INDEX(AZ$10:AZ$11,Предпосылки!$J292,),0))*IFERROR(INDEX(AZ$10:AZ$11,Предпосылки!$J292,),0)</f>
        <v>0</v>
      </c>
      <c s="125">
        <f>BA649/(1+IFERROR(INDEX(BA$10:BA$11,Предпосылки!$J292,),0))*IFERROR(INDEX(BA$10:BA$11,Предпосылки!$J292,),0)</f>
        <v>0</v>
      </c>
      <c s="125">
        <f>BB649/(1+IFERROR(INDEX(BB$10:BB$11,Предпосылки!$J292,),0))*IFERROR(INDEX(BB$10:BB$11,Предпосылки!$J292,),0)</f>
        <v>0</v>
      </c>
      <c s="125">
        <f>BC649/(1+IFERROR(INDEX(BC$10:BC$11,Предпосылки!$J292,),0))*IFERROR(INDEX(BC$10:BC$11,Предпосылки!$J292,),0)</f>
        <v>0</v>
      </c>
      <c s="125">
        <f>BD649/(1+IFERROR(INDEX(BD$10:BD$11,Предпосылки!$J292,),0))*IFERROR(INDEX(BD$10:BD$11,Предпосылки!$J292,),0)</f>
        <v>0</v>
      </c>
      <c s="125">
        <f>BE649/(1+IFERROR(INDEX(BE$10:BE$11,Предпосылки!$J292,),0))*IFERROR(INDEX(BE$10:BE$11,Предпосылки!$J292,),0)</f>
        <v>0</v>
      </c>
      <c s="125">
        <f>BF649/(1+IFERROR(INDEX(BF$10:BF$11,Предпосылки!$J292,),0))*IFERROR(INDEX(BF$10:BF$11,Предпосылки!$J292,),0)</f>
        <v>0</v>
      </c>
      <c s="125">
        <f>BG649/(1+IFERROR(INDEX(BG$10:BG$11,Предпосылки!$J292,),0))*IFERROR(INDEX(BG$10:BG$11,Предпосылки!$J292,),0)</f>
        <v>0</v>
      </c>
      <c s="125">
        <f>BH649/(1+IFERROR(INDEX(BH$10:BH$11,Предпосылки!$J292,),0))*IFERROR(INDEX(BH$10:BH$11,Предпосылки!$J292,),0)</f>
        <v>0</v>
      </c>
      <c s="125">
        <f>BI649/(1+IFERROR(INDEX(BI$10:BI$11,Предпосылки!$J292,),0))*IFERROR(INDEX(BI$10:BI$11,Предпосылки!$J292,),0)</f>
        <v>0</v>
      </c>
      <c s="125">
        <f>BJ649/(1+IFERROR(INDEX(BJ$10:BJ$11,Предпосылки!$J292,),0))*IFERROR(INDEX(BJ$10:BJ$11,Предпосылки!$J292,),0)</f>
        <v>0</v>
      </c>
      <c s="125">
        <f>BK649/(1+IFERROR(INDEX(BK$10:BK$11,Предпосылки!$J292,),0))*IFERROR(INDEX(BK$10:BK$11,Предпосылки!$J292,),0)</f>
        <v>0</v>
      </c>
      <c s="125">
        <f>BL649/(1+IFERROR(INDEX(BL$10:BL$11,Предпосылки!$J292,),0))*IFERROR(INDEX(BL$10:BL$11,Предпосылки!$J292,),0)</f>
        <v>0</v>
      </c>
      <c s="125">
        <f>BM649/(1+IFERROR(INDEX(BM$10:BM$11,Предпосылки!$J292,),0))*IFERROR(INDEX(BM$10:BM$11,Предпосылки!$J292,),0)</f>
        <v>0</v>
      </c>
    </row>
    <row r="678" spans="2:65" ht="15" customHeight="1">
      <c r="B678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E650/(1+IFERROR(INDEX(E$10:E$11,Предпосылки!$J293,),0))*IFERROR(INDEX(E$10:E$11,Предпосылки!$J293,),0)</f>
        <v>0</v>
      </c>
      <c s="125">
        <f>F650/(1+IFERROR(INDEX(F$10:F$11,Предпосылки!$J293,),0))*IFERROR(INDEX(F$10:F$11,Предпосылки!$J293,),0)</f>
        <v>0</v>
      </c>
      <c s="125">
        <f>G650/(1+IFERROR(INDEX(G$10:G$11,Предпосылки!$J293,),0))*IFERROR(INDEX(G$10:G$11,Предпосылки!$J293,),0)</f>
        <v>0</v>
      </c>
      <c s="125">
        <f>H650/(1+IFERROR(INDEX(H$10:H$11,Предпосылки!$J293,),0))*IFERROR(INDEX(H$10:H$11,Предпосылки!$J293,),0)</f>
        <v>0</v>
      </c>
      <c s="125">
        <f>I650/(1+IFERROR(INDEX(I$10:I$11,Предпосылки!$J293,),0))*IFERROR(INDEX(I$10:I$11,Предпосылки!$J293,),0)</f>
        <v>0</v>
      </c>
      <c s="125">
        <f>J650/(1+IFERROR(INDEX(J$10:J$11,Предпосылки!$J293,),0))*IFERROR(INDEX(J$10:J$11,Предпосылки!$J293,),0)</f>
        <v>0</v>
      </c>
      <c s="125">
        <f>K650/(1+IFERROR(INDEX(K$10:K$11,Предпосылки!$J293,),0))*IFERROR(INDEX(K$10:K$11,Предпосылки!$J293,),0)</f>
        <v>0</v>
      </c>
      <c s="125">
        <f>L650/(1+IFERROR(INDEX(L$10:L$11,Предпосылки!$J293,),0))*IFERROR(INDEX(L$10:L$11,Предпосылки!$J293,),0)</f>
        <v>0</v>
      </c>
      <c s="125">
        <f>M650/(1+IFERROR(INDEX(M$10:M$11,Предпосылки!$J293,),0))*IFERROR(INDEX(M$10:M$11,Предпосылки!$J293,),0)</f>
        <v>0</v>
      </c>
      <c s="125">
        <f>N650/(1+IFERROR(INDEX(N$10:N$11,Предпосылки!$J293,),0))*IFERROR(INDEX(N$10:N$11,Предпосылки!$J293,),0)</f>
        <v>0</v>
      </c>
      <c s="125">
        <f>O650/(1+IFERROR(INDEX(O$10:O$11,Предпосылки!$J293,),0))*IFERROR(INDEX(O$10:O$11,Предпосылки!$J293,),0)</f>
        <v>0</v>
      </c>
      <c s="125">
        <f>P650/(1+IFERROR(INDEX(P$10:P$11,Предпосылки!$J293,),0))*IFERROR(INDEX(P$10:P$11,Предпосылки!$J293,),0)</f>
        <v>0</v>
      </c>
      <c s="125">
        <f>Q650/(1+IFERROR(INDEX(Q$10:Q$11,Предпосылки!$J293,),0))*IFERROR(INDEX(Q$10:Q$11,Предпосылки!$J293,),0)</f>
        <v>0</v>
      </c>
      <c s="125">
        <f>R650/(1+IFERROR(INDEX(R$10:R$11,Предпосылки!$J293,),0))*IFERROR(INDEX(R$10:R$11,Предпосылки!$J293,),0)</f>
        <v>0</v>
      </c>
      <c s="125">
        <f>S650/(1+IFERROR(INDEX(S$10:S$11,Предпосылки!$J293,),0))*IFERROR(INDEX(S$10:S$11,Предпосылки!$J293,),0)</f>
        <v>0</v>
      </c>
      <c s="125">
        <f>T650/(1+IFERROR(INDEX(T$10:T$11,Предпосылки!$J293,),0))*IFERROR(INDEX(T$10:T$11,Предпосылки!$J293,),0)</f>
        <v>0</v>
      </c>
      <c s="125">
        <f>U650/(1+IFERROR(INDEX(U$10:U$11,Предпосылки!$J293,),0))*IFERROR(INDEX(U$10:U$11,Предпосылки!$J293,),0)</f>
        <v>0</v>
      </c>
      <c s="125">
        <f>V650/(1+IFERROR(INDEX(V$10:V$11,Предпосылки!$J293,),0))*IFERROR(INDEX(V$10:V$11,Предпосылки!$J293,),0)</f>
        <v>0</v>
      </c>
      <c s="125">
        <f>W650/(1+IFERROR(INDEX(W$10:W$11,Предпосылки!$J293,),0))*IFERROR(INDEX(W$10:W$11,Предпосылки!$J293,),0)</f>
        <v>0</v>
      </c>
      <c s="125">
        <f>X650/(1+IFERROR(INDEX(X$10:X$11,Предпосылки!$J293,),0))*IFERROR(INDEX(X$10:X$11,Предпосылки!$J293,),0)</f>
        <v>0</v>
      </c>
      <c s="125">
        <f>Y650/(1+IFERROR(INDEX(Y$10:Y$11,Предпосылки!$J293,),0))*IFERROR(INDEX(Y$10:Y$11,Предпосылки!$J293,),0)</f>
        <v>0</v>
      </c>
      <c s="125">
        <f>Z650/(1+IFERROR(INDEX(Z$10:Z$11,Предпосылки!$J293,),0))*IFERROR(INDEX(Z$10:Z$11,Предпосылки!$J293,),0)</f>
        <v>0</v>
      </c>
      <c s="125">
        <f>AA650/(1+IFERROR(INDEX(AA$10:AA$11,Предпосылки!$J293,),0))*IFERROR(INDEX(AA$10:AA$11,Предпосылки!$J293,),0)</f>
        <v>0</v>
      </c>
      <c s="125">
        <f>AB650/(1+IFERROR(INDEX(AB$10:AB$11,Предпосылки!$J293,),0))*IFERROR(INDEX(AB$10:AB$11,Предпосылки!$J293,),0)</f>
        <v>0</v>
      </c>
      <c s="125">
        <f>AC650/(1+IFERROR(INDEX(AC$10:AC$11,Предпосылки!$J293,),0))*IFERROR(INDEX(AC$10:AC$11,Предпосылки!$J293,),0)</f>
        <v>0</v>
      </c>
      <c s="125">
        <f>AD650/(1+IFERROR(INDEX(AD$10:AD$11,Предпосылки!$J293,),0))*IFERROR(INDEX(AD$10:AD$11,Предпосылки!$J293,),0)</f>
        <v>0</v>
      </c>
      <c s="125">
        <f>AE650/(1+IFERROR(INDEX(AE$10:AE$11,Предпосылки!$J293,),0))*IFERROR(INDEX(AE$10:AE$11,Предпосылки!$J293,),0)</f>
        <v>0</v>
      </c>
      <c s="125">
        <f>AF650/(1+IFERROR(INDEX(AF$10:AF$11,Предпосылки!$J293,),0))*IFERROR(INDEX(AF$10:AF$11,Предпосылки!$J293,),0)</f>
        <v>0</v>
      </c>
      <c s="125">
        <f>AG650/(1+IFERROR(INDEX(AG$10:AG$11,Предпосылки!$J293,),0))*IFERROR(INDEX(AG$10:AG$11,Предпосылки!$J293,),0)</f>
        <v>0</v>
      </c>
      <c s="125">
        <f>AH650/(1+IFERROR(INDEX(AH$10:AH$11,Предпосылки!$J293,),0))*IFERROR(INDEX(AH$10:AH$11,Предпосылки!$J293,),0)</f>
        <v>0</v>
      </c>
      <c s="125">
        <f>AI650/(1+IFERROR(INDEX(AI$10:AI$11,Предпосылки!$J293,),0))*IFERROR(INDEX(AI$10:AI$11,Предпосылки!$J293,),0)</f>
        <v>0</v>
      </c>
      <c s="125">
        <f>AJ650/(1+IFERROR(INDEX(AJ$10:AJ$11,Предпосылки!$J293,),0))*IFERROR(INDEX(AJ$10:AJ$11,Предпосылки!$J293,),0)</f>
        <v>0</v>
      </c>
      <c s="125">
        <f>AK650/(1+IFERROR(INDEX(AK$10:AK$11,Предпосылки!$J293,),0))*IFERROR(INDEX(AK$10:AK$11,Предпосылки!$J293,),0)</f>
        <v>0</v>
      </c>
      <c s="125">
        <f>AL650/(1+IFERROR(INDEX(AL$10:AL$11,Предпосылки!$J293,),0))*IFERROR(INDEX(AL$10:AL$11,Предпосылки!$J293,),0)</f>
        <v>0</v>
      </c>
      <c s="125">
        <f>AM650/(1+IFERROR(INDEX(AM$10:AM$11,Предпосылки!$J293,),0))*IFERROR(INDEX(AM$10:AM$11,Предпосылки!$J293,),0)</f>
        <v>0</v>
      </c>
      <c s="125">
        <f>AN650/(1+IFERROR(INDEX(AN$10:AN$11,Предпосылки!$J293,),0))*IFERROR(INDEX(AN$10:AN$11,Предпосылки!$J293,),0)</f>
        <v>0</v>
      </c>
      <c s="125">
        <f>AO650/(1+IFERROR(INDEX(AO$10:AO$11,Предпосылки!$J293,),0))*IFERROR(INDEX(AO$10:AO$11,Предпосылки!$J293,),0)</f>
        <v>0</v>
      </c>
      <c s="125">
        <f>AP650/(1+IFERROR(INDEX(AP$10:AP$11,Предпосылки!$J293,),0))*IFERROR(INDEX(AP$10:AP$11,Предпосылки!$J293,),0)</f>
        <v>0</v>
      </c>
      <c s="125">
        <f>AQ650/(1+IFERROR(INDEX(AQ$10:AQ$11,Предпосылки!$J293,),0))*IFERROR(INDEX(AQ$10:AQ$11,Предпосылки!$J293,),0)</f>
        <v>0</v>
      </c>
      <c s="125">
        <f>AR650/(1+IFERROR(INDEX(AR$10:AR$11,Предпосылки!$J293,),0))*IFERROR(INDEX(AR$10:AR$11,Предпосылки!$J293,),0)</f>
        <v>0</v>
      </c>
      <c s="125">
        <f>AS650/(1+IFERROR(INDEX(AS$10:AS$11,Предпосылки!$J293,),0))*IFERROR(INDEX(AS$10:AS$11,Предпосылки!$J293,),0)</f>
        <v>0</v>
      </c>
      <c s="125">
        <f>AT650/(1+IFERROR(INDEX(AT$10:AT$11,Предпосылки!$J293,),0))*IFERROR(INDEX(AT$10:AT$11,Предпосылки!$J293,),0)</f>
        <v>0</v>
      </c>
      <c s="125">
        <f>AU650/(1+IFERROR(INDEX(AU$10:AU$11,Предпосылки!$J293,),0))*IFERROR(INDEX(AU$10:AU$11,Предпосылки!$J293,),0)</f>
        <v>0</v>
      </c>
      <c s="125">
        <f>AV650/(1+IFERROR(INDEX(AV$10:AV$11,Предпосылки!$J293,),0))*IFERROR(INDEX(AV$10:AV$11,Предпосылки!$J293,),0)</f>
        <v>0</v>
      </c>
      <c s="125">
        <f>AW650/(1+IFERROR(INDEX(AW$10:AW$11,Предпосылки!$J293,),0))*IFERROR(INDEX(AW$10:AW$11,Предпосылки!$J293,),0)</f>
        <v>0</v>
      </c>
      <c s="125">
        <f>AX650/(1+IFERROR(INDEX(AX$10:AX$11,Предпосылки!$J293,),0))*IFERROR(INDEX(AX$10:AX$11,Предпосылки!$J293,),0)</f>
        <v>0</v>
      </c>
      <c s="125">
        <f>AY650/(1+IFERROR(INDEX(AY$10:AY$11,Предпосылки!$J293,),0))*IFERROR(INDEX(AY$10:AY$11,Предпосылки!$J293,),0)</f>
        <v>0</v>
      </c>
      <c s="125">
        <f>AZ650/(1+IFERROR(INDEX(AZ$10:AZ$11,Предпосылки!$J293,),0))*IFERROR(INDEX(AZ$10:AZ$11,Предпосылки!$J293,),0)</f>
        <v>0</v>
      </c>
      <c s="125">
        <f>BA650/(1+IFERROR(INDEX(BA$10:BA$11,Предпосылки!$J293,),0))*IFERROR(INDEX(BA$10:BA$11,Предпосылки!$J293,),0)</f>
        <v>0</v>
      </c>
      <c s="125">
        <f>BB650/(1+IFERROR(INDEX(BB$10:BB$11,Предпосылки!$J293,),0))*IFERROR(INDEX(BB$10:BB$11,Предпосылки!$J293,),0)</f>
        <v>0</v>
      </c>
      <c s="125">
        <f>BC650/(1+IFERROR(INDEX(BC$10:BC$11,Предпосылки!$J293,),0))*IFERROR(INDEX(BC$10:BC$11,Предпосылки!$J293,),0)</f>
        <v>0</v>
      </c>
      <c s="125">
        <f>BD650/(1+IFERROR(INDEX(BD$10:BD$11,Предпосылки!$J293,),0))*IFERROR(INDEX(BD$10:BD$11,Предпосылки!$J293,),0)</f>
        <v>0</v>
      </c>
      <c s="125">
        <f>BE650/(1+IFERROR(INDEX(BE$10:BE$11,Предпосылки!$J293,),0))*IFERROR(INDEX(BE$10:BE$11,Предпосылки!$J293,),0)</f>
        <v>0</v>
      </c>
      <c s="125">
        <f>BF650/(1+IFERROR(INDEX(BF$10:BF$11,Предпосылки!$J293,),0))*IFERROR(INDEX(BF$10:BF$11,Предпосылки!$J293,),0)</f>
        <v>0</v>
      </c>
      <c s="125">
        <f>BG650/(1+IFERROR(INDEX(BG$10:BG$11,Предпосылки!$J293,),0))*IFERROR(INDEX(BG$10:BG$11,Предпосылки!$J293,),0)</f>
        <v>0</v>
      </c>
      <c s="125">
        <f>BH650/(1+IFERROR(INDEX(BH$10:BH$11,Предпосылки!$J293,),0))*IFERROR(INDEX(BH$10:BH$11,Предпосылки!$J293,),0)</f>
        <v>0</v>
      </c>
      <c s="125">
        <f>BI650/(1+IFERROR(INDEX(BI$10:BI$11,Предпосылки!$J293,),0))*IFERROR(INDEX(BI$10:BI$11,Предпосылки!$J293,),0)</f>
        <v>0</v>
      </c>
      <c s="125">
        <f>BJ650/(1+IFERROR(INDEX(BJ$10:BJ$11,Предпосылки!$J293,),0))*IFERROR(INDEX(BJ$10:BJ$11,Предпосылки!$J293,),0)</f>
        <v>0</v>
      </c>
      <c s="125">
        <f>BK650/(1+IFERROR(INDEX(BK$10:BK$11,Предпосылки!$J293,),0))*IFERROR(INDEX(BK$10:BK$11,Предпосылки!$J293,),0)</f>
        <v>0</v>
      </c>
      <c s="125">
        <f>BL650/(1+IFERROR(INDEX(BL$10:BL$11,Предпосылки!$J293,),0))*IFERROR(INDEX(BL$10:BL$11,Предпосылки!$J293,),0)</f>
        <v>0</v>
      </c>
      <c s="125">
        <f>BM650/(1+IFERROR(INDEX(BM$10:BM$11,Предпосылки!$J293,),0))*IFERROR(INDEX(BM$10:BM$11,Предпосылки!$J293,),0)</f>
        <v>0</v>
      </c>
    </row>
    <row r="679" spans="2:65" ht="15" customHeight="1">
      <c r="B679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E651/(1+IFERROR(INDEX(E$10:E$11,Предпосылки!$J294,),0))*IFERROR(INDEX(E$10:E$11,Предпосылки!$J294,),0)</f>
        <v>0</v>
      </c>
      <c s="125">
        <f>F651/(1+IFERROR(INDEX(F$10:F$11,Предпосылки!$J294,),0))*IFERROR(INDEX(F$10:F$11,Предпосылки!$J294,),0)</f>
        <v>0</v>
      </c>
      <c s="125">
        <f>G651/(1+IFERROR(INDEX(G$10:G$11,Предпосылки!$J294,),0))*IFERROR(INDEX(G$10:G$11,Предпосылки!$J294,),0)</f>
        <v>0</v>
      </c>
      <c s="125">
        <f>H651/(1+IFERROR(INDEX(H$10:H$11,Предпосылки!$J294,),0))*IFERROR(INDEX(H$10:H$11,Предпосылки!$J294,),0)</f>
        <v>0</v>
      </c>
      <c s="125">
        <f>I651/(1+IFERROR(INDEX(I$10:I$11,Предпосылки!$J294,),0))*IFERROR(INDEX(I$10:I$11,Предпосылки!$J294,),0)</f>
        <v>0</v>
      </c>
      <c s="125">
        <f>J651/(1+IFERROR(INDEX(J$10:J$11,Предпосылки!$J294,),0))*IFERROR(INDEX(J$10:J$11,Предпосылки!$J294,),0)</f>
        <v>0</v>
      </c>
      <c s="125">
        <f>K651/(1+IFERROR(INDEX(K$10:K$11,Предпосылки!$J294,),0))*IFERROR(INDEX(K$10:K$11,Предпосылки!$J294,),0)</f>
        <v>0</v>
      </c>
      <c s="125">
        <f>L651/(1+IFERROR(INDEX(L$10:L$11,Предпосылки!$J294,),0))*IFERROR(INDEX(L$10:L$11,Предпосылки!$J294,),0)</f>
        <v>0</v>
      </c>
      <c s="125">
        <f>M651/(1+IFERROR(INDEX(M$10:M$11,Предпосылки!$J294,),0))*IFERROR(INDEX(M$10:M$11,Предпосылки!$J294,),0)</f>
        <v>0</v>
      </c>
      <c s="125">
        <f>N651/(1+IFERROR(INDEX(N$10:N$11,Предпосылки!$J294,),0))*IFERROR(INDEX(N$10:N$11,Предпосылки!$J294,),0)</f>
        <v>0</v>
      </c>
      <c s="125">
        <f>O651/(1+IFERROR(INDEX(O$10:O$11,Предпосылки!$J294,),0))*IFERROR(INDEX(O$10:O$11,Предпосылки!$J294,),0)</f>
        <v>0</v>
      </c>
      <c s="125">
        <f>P651/(1+IFERROR(INDEX(P$10:P$11,Предпосылки!$J294,),0))*IFERROR(INDEX(P$10:P$11,Предпосылки!$J294,),0)</f>
        <v>0</v>
      </c>
      <c s="125">
        <f>Q651/(1+IFERROR(INDEX(Q$10:Q$11,Предпосылки!$J294,),0))*IFERROR(INDEX(Q$10:Q$11,Предпосылки!$J294,),0)</f>
        <v>0</v>
      </c>
      <c s="125">
        <f>R651/(1+IFERROR(INDEX(R$10:R$11,Предпосылки!$J294,),0))*IFERROR(INDEX(R$10:R$11,Предпосылки!$J294,),0)</f>
        <v>0</v>
      </c>
      <c s="125">
        <f>S651/(1+IFERROR(INDEX(S$10:S$11,Предпосылки!$J294,),0))*IFERROR(INDEX(S$10:S$11,Предпосылки!$J294,),0)</f>
        <v>0</v>
      </c>
      <c s="125">
        <f>T651/(1+IFERROR(INDEX(T$10:T$11,Предпосылки!$J294,),0))*IFERROR(INDEX(T$10:T$11,Предпосылки!$J294,),0)</f>
        <v>0</v>
      </c>
      <c s="125">
        <f>U651/(1+IFERROR(INDEX(U$10:U$11,Предпосылки!$J294,),0))*IFERROR(INDEX(U$10:U$11,Предпосылки!$J294,),0)</f>
        <v>0</v>
      </c>
      <c s="125">
        <f>V651/(1+IFERROR(INDEX(V$10:V$11,Предпосылки!$J294,),0))*IFERROR(INDEX(V$10:V$11,Предпосылки!$J294,),0)</f>
        <v>0</v>
      </c>
      <c s="125">
        <f>W651/(1+IFERROR(INDEX(W$10:W$11,Предпосылки!$J294,),0))*IFERROR(INDEX(W$10:W$11,Предпосылки!$J294,),0)</f>
        <v>0</v>
      </c>
      <c s="125">
        <f>X651/(1+IFERROR(INDEX(X$10:X$11,Предпосылки!$J294,),0))*IFERROR(INDEX(X$10:X$11,Предпосылки!$J294,),0)</f>
        <v>0</v>
      </c>
      <c s="125">
        <f>Y651/(1+IFERROR(INDEX(Y$10:Y$11,Предпосылки!$J294,),0))*IFERROR(INDEX(Y$10:Y$11,Предпосылки!$J294,),0)</f>
        <v>0</v>
      </c>
      <c s="125">
        <f>Z651/(1+IFERROR(INDEX(Z$10:Z$11,Предпосылки!$J294,),0))*IFERROR(INDEX(Z$10:Z$11,Предпосылки!$J294,),0)</f>
        <v>0</v>
      </c>
      <c s="125">
        <f>AA651/(1+IFERROR(INDEX(AA$10:AA$11,Предпосылки!$J294,),0))*IFERROR(INDEX(AA$10:AA$11,Предпосылки!$J294,),0)</f>
        <v>0</v>
      </c>
      <c s="125">
        <f>AB651/(1+IFERROR(INDEX(AB$10:AB$11,Предпосылки!$J294,),0))*IFERROR(INDEX(AB$10:AB$11,Предпосылки!$J294,),0)</f>
        <v>0</v>
      </c>
      <c s="125">
        <f>AC651/(1+IFERROR(INDEX(AC$10:AC$11,Предпосылки!$J294,),0))*IFERROR(INDEX(AC$10:AC$11,Предпосылки!$J294,),0)</f>
        <v>0</v>
      </c>
      <c s="125">
        <f>AD651/(1+IFERROR(INDEX(AD$10:AD$11,Предпосылки!$J294,),0))*IFERROR(INDEX(AD$10:AD$11,Предпосылки!$J294,),0)</f>
        <v>0</v>
      </c>
      <c s="125">
        <f>AE651/(1+IFERROR(INDEX(AE$10:AE$11,Предпосылки!$J294,),0))*IFERROR(INDEX(AE$10:AE$11,Предпосылки!$J294,),0)</f>
        <v>0</v>
      </c>
      <c s="125">
        <f>AF651/(1+IFERROR(INDEX(AF$10:AF$11,Предпосылки!$J294,),0))*IFERROR(INDEX(AF$10:AF$11,Предпосылки!$J294,),0)</f>
        <v>0</v>
      </c>
      <c s="125">
        <f>AG651/(1+IFERROR(INDEX(AG$10:AG$11,Предпосылки!$J294,),0))*IFERROR(INDEX(AG$10:AG$11,Предпосылки!$J294,),0)</f>
        <v>0</v>
      </c>
      <c s="125">
        <f>AH651/(1+IFERROR(INDEX(AH$10:AH$11,Предпосылки!$J294,),0))*IFERROR(INDEX(AH$10:AH$11,Предпосылки!$J294,),0)</f>
        <v>0</v>
      </c>
      <c s="125">
        <f>AI651/(1+IFERROR(INDEX(AI$10:AI$11,Предпосылки!$J294,),0))*IFERROR(INDEX(AI$10:AI$11,Предпосылки!$J294,),0)</f>
        <v>0</v>
      </c>
      <c s="125">
        <f>AJ651/(1+IFERROR(INDEX(AJ$10:AJ$11,Предпосылки!$J294,),0))*IFERROR(INDEX(AJ$10:AJ$11,Предпосылки!$J294,),0)</f>
        <v>0</v>
      </c>
      <c s="125">
        <f>AK651/(1+IFERROR(INDEX(AK$10:AK$11,Предпосылки!$J294,),0))*IFERROR(INDEX(AK$10:AK$11,Предпосылки!$J294,),0)</f>
        <v>0</v>
      </c>
      <c s="125">
        <f>AL651/(1+IFERROR(INDEX(AL$10:AL$11,Предпосылки!$J294,),0))*IFERROR(INDEX(AL$10:AL$11,Предпосылки!$J294,),0)</f>
        <v>0</v>
      </c>
      <c s="125">
        <f>AM651/(1+IFERROR(INDEX(AM$10:AM$11,Предпосылки!$J294,),0))*IFERROR(INDEX(AM$10:AM$11,Предпосылки!$J294,),0)</f>
        <v>0</v>
      </c>
      <c s="125">
        <f>AN651/(1+IFERROR(INDEX(AN$10:AN$11,Предпосылки!$J294,),0))*IFERROR(INDEX(AN$10:AN$11,Предпосылки!$J294,),0)</f>
        <v>0</v>
      </c>
      <c s="125">
        <f>AO651/(1+IFERROR(INDEX(AO$10:AO$11,Предпосылки!$J294,),0))*IFERROR(INDEX(AO$10:AO$11,Предпосылки!$J294,),0)</f>
        <v>0</v>
      </c>
      <c s="125">
        <f>AP651/(1+IFERROR(INDEX(AP$10:AP$11,Предпосылки!$J294,),0))*IFERROR(INDEX(AP$10:AP$11,Предпосылки!$J294,),0)</f>
        <v>0</v>
      </c>
      <c s="125">
        <f>AQ651/(1+IFERROR(INDEX(AQ$10:AQ$11,Предпосылки!$J294,),0))*IFERROR(INDEX(AQ$10:AQ$11,Предпосылки!$J294,),0)</f>
        <v>0</v>
      </c>
      <c s="125">
        <f>AR651/(1+IFERROR(INDEX(AR$10:AR$11,Предпосылки!$J294,),0))*IFERROR(INDEX(AR$10:AR$11,Предпосылки!$J294,),0)</f>
        <v>0</v>
      </c>
      <c s="125">
        <f>AS651/(1+IFERROR(INDEX(AS$10:AS$11,Предпосылки!$J294,),0))*IFERROR(INDEX(AS$10:AS$11,Предпосылки!$J294,),0)</f>
        <v>0</v>
      </c>
      <c s="125">
        <f>AT651/(1+IFERROR(INDEX(AT$10:AT$11,Предпосылки!$J294,),0))*IFERROR(INDEX(AT$10:AT$11,Предпосылки!$J294,),0)</f>
        <v>0</v>
      </c>
      <c s="125">
        <f>AU651/(1+IFERROR(INDEX(AU$10:AU$11,Предпосылки!$J294,),0))*IFERROR(INDEX(AU$10:AU$11,Предпосылки!$J294,),0)</f>
        <v>0</v>
      </c>
      <c s="125">
        <f>AV651/(1+IFERROR(INDEX(AV$10:AV$11,Предпосылки!$J294,),0))*IFERROR(INDEX(AV$10:AV$11,Предпосылки!$J294,),0)</f>
        <v>0</v>
      </c>
      <c s="125">
        <f>AW651/(1+IFERROR(INDEX(AW$10:AW$11,Предпосылки!$J294,),0))*IFERROR(INDEX(AW$10:AW$11,Предпосылки!$J294,),0)</f>
        <v>0</v>
      </c>
      <c s="125">
        <f>AX651/(1+IFERROR(INDEX(AX$10:AX$11,Предпосылки!$J294,),0))*IFERROR(INDEX(AX$10:AX$11,Предпосылки!$J294,),0)</f>
        <v>0</v>
      </c>
      <c s="125">
        <f>AY651/(1+IFERROR(INDEX(AY$10:AY$11,Предпосылки!$J294,),0))*IFERROR(INDEX(AY$10:AY$11,Предпосылки!$J294,),0)</f>
        <v>0</v>
      </c>
      <c s="125">
        <f>AZ651/(1+IFERROR(INDEX(AZ$10:AZ$11,Предпосылки!$J294,),0))*IFERROR(INDEX(AZ$10:AZ$11,Предпосылки!$J294,),0)</f>
        <v>0</v>
      </c>
      <c s="125">
        <f>BA651/(1+IFERROR(INDEX(BA$10:BA$11,Предпосылки!$J294,),0))*IFERROR(INDEX(BA$10:BA$11,Предпосылки!$J294,),0)</f>
        <v>0</v>
      </c>
      <c s="125">
        <f>BB651/(1+IFERROR(INDEX(BB$10:BB$11,Предпосылки!$J294,),0))*IFERROR(INDEX(BB$10:BB$11,Предпосылки!$J294,),0)</f>
        <v>0</v>
      </c>
      <c s="125">
        <f>BC651/(1+IFERROR(INDEX(BC$10:BC$11,Предпосылки!$J294,),0))*IFERROR(INDEX(BC$10:BC$11,Предпосылки!$J294,),0)</f>
        <v>0</v>
      </c>
      <c s="125">
        <f>BD651/(1+IFERROR(INDEX(BD$10:BD$11,Предпосылки!$J294,),0))*IFERROR(INDEX(BD$10:BD$11,Предпосылки!$J294,),0)</f>
        <v>0</v>
      </c>
      <c s="125">
        <f>BE651/(1+IFERROR(INDEX(BE$10:BE$11,Предпосылки!$J294,),0))*IFERROR(INDEX(BE$10:BE$11,Предпосылки!$J294,),0)</f>
        <v>0</v>
      </c>
      <c s="125">
        <f>BF651/(1+IFERROR(INDEX(BF$10:BF$11,Предпосылки!$J294,),0))*IFERROR(INDEX(BF$10:BF$11,Предпосылки!$J294,),0)</f>
        <v>0</v>
      </c>
      <c s="125">
        <f>BG651/(1+IFERROR(INDEX(BG$10:BG$11,Предпосылки!$J294,),0))*IFERROR(INDEX(BG$10:BG$11,Предпосылки!$J294,),0)</f>
        <v>0</v>
      </c>
      <c s="125">
        <f>BH651/(1+IFERROR(INDEX(BH$10:BH$11,Предпосылки!$J294,),0))*IFERROR(INDEX(BH$10:BH$11,Предпосылки!$J294,),0)</f>
        <v>0</v>
      </c>
      <c s="125">
        <f>BI651/(1+IFERROR(INDEX(BI$10:BI$11,Предпосылки!$J294,),0))*IFERROR(INDEX(BI$10:BI$11,Предпосылки!$J294,),0)</f>
        <v>0</v>
      </c>
      <c s="125">
        <f>BJ651/(1+IFERROR(INDEX(BJ$10:BJ$11,Предпосылки!$J294,),0))*IFERROR(INDEX(BJ$10:BJ$11,Предпосылки!$J294,),0)</f>
        <v>0</v>
      </c>
      <c s="125">
        <f>BK651/(1+IFERROR(INDEX(BK$10:BK$11,Предпосылки!$J294,),0))*IFERROR(INDEX(BK$10:BK$11,Предпосылки!$J294,),0)</f>
        <v>0</v>
      </c>
      <c s="125">
        <f>BL651/(1+IFERROR(INDEX(BL$10:BL$11,Предпосылки!$J294,),0))*IFERROR(INDEX(BL$10:BL$11,Предпосылки!$J294,),0)</f>
        <v>0</v>
      </c>
      <c s="125">
        <f>BM651/(1+IFERROR(INDEX(BM$10:BM$11,Предпосылки!$J294,),0))*IFERROR(INDEX(BM$10:BM$11,Предпосылки!$J294,),0)</f>
        <v>0</v>
      </c>
    </row>
    <row r="680" spans="2:65" ht="15" customHeight="1">
      <c r="B680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E652/(1+IFERROR(INDEX(E$10:E$11,Предпосылки!$J295,),0))*IFERROR(INDEX(E$10:E$11,Предпосылки!$J295,),0)</f>
        <v>0</v>
      </c>
      <c s="125">
        <f>F652/(1+IFERROR(INDEX(F$10:F$11,Предпосылки!$J295,),0))*IFERROR(INDEX(F$10:F$11,Предпосылки!$J295,),0)</f>
        <v>0</v>
      </c>
      <c s="125">
        <f>G652/(1+IFERROR(INDEX(G$10:G$11,Предпосылки!$J295,),0))*IFERROR(INDEX(G$10:G$11,Предпосылки!$J295,),0)</f>
        <v>0</v>
      </c>
      <c s="125">
        <f>H652/(1+IFERROR(INDEX(H$10:H$11,Предпосылки!$J295,),0))*IFERROR(INDEX(H$10:H$11,Предпосылки!$J295,),0)</f>
        <v>0</v>
      </c>
      <c s="125">
        <f>I652/(1+IFERROR(INDEX(I$10:I$11,Предпосылки!$J295,),0))*IFERROR(INDEX(I$10:I$11,Предпосылки!$J295,),0)</f>
        <v>0</v>
      </c>
      <c s="125">
        <f>J652/(1+IFERROR(INDEX(J$10:J$11,Предпосылки!$J295,),0))*IFERROR(INDEX(J$10:J$11,Предпосылки!$J295,),0)</f>
        <v>0</v>
      </c>
      <c s="125">
        <f>K652/(1+IFERROR(INDEX(K$10:K$11,Предпосылки!$J295,),0))*IFERROR(INDEX(K$10:K$11,Предпосылки!$J295,),0)</f>
        <v>0</v>
      </c>
      <c s="125">
        <f>L652/(1+IFERROR(INDEX(L$10:L$11,Предпосылки!$J295,),0))*IFERROR(INDEX(L$10:L$11,Предпосылки!$J295,),0)</f>
        <v>0</v>
      </c>
      <c s="125">
        <f>M652/(1+IFERROR(INDEX(M$10:M$11,Предпосылки!$J295,),0))*IFERROR(INDEX(M$10:M$11,Предпосылки!$J295,),0)</f>
        <v>0</v>
      </c>
      <c s="125">
        <f>N652/(1+IFERROR(INDEX(N$10:N$11,Предпосылки!$J295,),0))*IFERROR(INDEX(N$10:N$11,Предпосылки!$J295,),0)</f>
        <v>0</v>
      </c>
      <c s="125">
        <f>O652/(1+IFERROR(INDEX(O$10:O$11,Предпосылки!$J295,),0))*IFERROR(INDEX(O$10:O$11,Предпосылки!$J295,),0)</f>
        <v>0</v>
      </c>
      <c s="125">
        <f>P652/(1+IFERROR(INDEX(P$10:P$11,Предпосылки!$J295,),0))*IFERROR(INDEX(P$10:P$11,Предпосылки!$J295,),0)</f>
        <v>0</v>
      </c>
      <c s="125">
        <f>Q652/(1+IFERROR(INDEX(Q$10:Q$11,Предпосылки!$J295,),0))*IFERROR(INDEX(Q$10:Q$11,Предпосылки!$J295,),0)</f>
        <v>0</v>
      </c>
      <c s="125">
        <f>R652/(1+IFERROR(INDEX(R$10:R$11,Предпосылки!$J295,),0))*IFERROR(INDEX(R$10:R$11,Предпосылки!$J295,),0)</f>
        <v>0</v>
      </c>
      <c s="125">
        <f>S652/(1+IFERROR(INDEX(S$10:S$11,Предпосылки!$J295,),0))*IFERROR(INDEX(S$10:S$11,Предпосылки!$J295,),0)</f>
        <v>0</v>
      </c>
      <c s="125">
        <f>T652/(1+IFERROR(INDEX(T$10:T$11,Предпосылки!$J295,),0))*IFERROR(INDEX(T$10:T$11,Предпосылки!$J295,),0)</f>
        <v>0</v>
      </c>
      <c s="125">
        <f>U652/(1+IFERROR(INDEX(U$10:U$11,Предпосылки!$J295,),0))*IFERROR(INDEX(U$10:U$11,Предпосылки!$J295,),0)</f>
        <v>0</v>
      </c>
      <c s="125">
        <f>V652/(1+IFERROR(INDEX(V$10:V$11,Предпосылки!$J295,),0))*IFERROR(INDEX(V$10:V$11,Предпосылки!$J295,),0)</f>
        <v>0</v>
      </c>
      <c s="125">
        <f>W652/(1+IFERROR(INDEX(W$10:W$11,Предпосылки!$J295,),0))*IFERROR(INDEX(W$10:W$11,Предпосылки!$J295,),0)</f>
        <v>0</v>
      </c>
      <c s="125">
        <f>X652/(1+IFERROR(INDEX(X$10:X$11,Предпосылки!$J295,),0))*IFERROR(INDEX(X$10:X$11,Предпосылки!$J295,),0)</f>
        <v>0</v>
      </c>
      <c s="125">
        <f>Y652/(1+IFERROR(INDEX(Y$10:Y$11,Предпосылки!$J295,),0))*IFERROR(INDEX(Y$10:Y$11,Предпосылки!$J295,),0)</f>
        <v>0</v>
      </c>
      <c s="125">
        <f>Z652/(1+IFERROR(INDEX(Z$10:Z$11,Предпосылки!$J295,),0))*IFERROR(INDEX(Z$10:Z$11,Предпосылки!$J295,),0)</f>
        <v>0</v>
      </c>
      <c s="125">
        <f>AA652/(1+IFERROR(INDEX(AA$10:AA$11,Предпосылки!$J295,),0))*IFERROR(INDEX(AA$10:AA$11,Предпосылки!$J295,),0)</f>
        <v>0</v>
      </c>
      <c s="125">
        <f>AB652/(1+IFERROR(INDEX(AB$10:AB$11,Предпосылки!$J295,),0))*IFERROR(INDEX(AB$10:AB$11,Предпосылки!$J295,),0)</f>
        <v>0</v>
      </c>
      <c s="125">
        <f>AC652/(1+IFERROR(INDEX(AC$10:AC$11,Предпосылки!$J295,),0))*IFERROR(INDEX(AC$10:AC$11,Предпосылки!$J295,),0)</f>
        <v>0</v>
      </c>
      <c s="125">
        <f>AD652/(1+IFERROR(INDEX(AD$10:AD$11,Предпосылки!$J295,),0))*IFERROR(INDEX(AD$10:AD$11,Предпосылки!$J295,),0)</f>
        <v>0</v>
      </c>
      <c s="125">
        <f>AE652/(1+IFERROR(INDEX(AE$10:AE$11,Предпосылки!$J295,),0))*IFERROR(INDEX(AE$10:AE$11,Предпосылки!$J295,),0)</f>
        <v>0</v>
      </c>
      <c s="125">
        <f>AF652/(1+IFERROR(INDEX(AF$10:AF$11,Предпосылки!$J295,),0))*IFERROR(INDEX(AF$10:AF$11,Предпосылки!$J295,),0)</f>
        <v>0</v>
      </c>
      <c s="125">
        <f>AG652/(1+IFERROR(INDEX(AG$10:AG$11,Предпосылки!$J295,),0))*IFERROR(INDEX(AG$10:AG$11,Предпосылки!$J295,),0)</f>
        <v>0</v>
      </c>
      <c s="125">
        <f>AH652/(1+IFERROR(INDEX(AH$10:AH$11,Предпосылки!$J295,),0))*IFERROR(INDEX(AH$10:AH$11,Предпосылки!$J295,),0)</f>
        <v>0</v>
      </c>
      <c s="125">
        <f>AI652/(1+IFERROR(INDEX(AI$10:AI$11,Предпосылки!$J295,),0))*IFERROR(INDEX(AI$10:AI$11,Предпосылки!$J295,),0)</f>
        <v>0</v>
      </c>
      <c s="125">
        <f>AJ652/(1+IFERROR(INDEX(AJ$10:AJ$11,Предпосылки!$J295,),0))*IFERROR(INDEX(AJ$10:AJ$11,Предпосылки!$J295,),0)</f>
        <v>0</v>
      </c>
      <c s="125">
        <f>AK652/(1+IFERROR(INDEX(AK$10:AK$11,Предпосылки!$J295,),0))*IFERROR(INDEX(AK$10:AK$11,Предпосылки!$J295,),0)</f>
        <v>0</v>
      </c>
      <c s="125">
        <f>AL652/(1+IFERROR(INDEX(AL$10:AL$11,Предпосылки!$J295,),0))*IFERROR(INDEX(AL$10:AL$11,Предпосылки!$J295,),0)</f>
        <v>0</v>
      </c>
      <c s="125">
        <f>AM652/(1+IFERROR(INDEX(AM$10:AM$11,Предпосылки!$J295,),0))*IFERROR(INDEX(AM$10:AM$11,Предпосылки!$J295,),0)</f>
        <v>0</v>
      </c>
      <c s="125">
        <f>AN652/(1+IFERROR(INDEX(AN$10:AN$11,Предпосылки!$J295,),0))*IFERROR(INDEX(AN$10:AN$11,Предпосылки!$J295,),0)</f>
        <v>0</v>
      </c>
      <c s="125">
        <f>AO652/(1+IFERROR(INDEX(AO$10:AO$11,Предпосылки!$J295,),0))*IFERROR(INDEX(AO$10:AO$11,Предпосылки!$J295,),0)</f>
        <v>0</v>
      </c>
      <c s="125">
        <f>AP652/(1+IFERROR(INDEX(AP$10:AP$11,Предпосылки!$J295,),0))*IFERROR(INDEX(AP$10:AP$11,Предпосылки!$J295,),0)</f>
        <v>0</v>
      </c>
      <c s="125">
        <f>AQ652/(1+IFERROR(INDEX(AQ$10:AQ$11,Предпосылки!$J295,),0))*IFERROR(INDEX(AQ$10:AQ$11,Предпосылки!$J295,),0)</f>
        <v>0</v>
      </c>
      <c s="125">
        <f>AR652/(1+IFERROR(INDEX(AR$10:AR$11,Предпосылки!$J295,),0))*IFERROR(INDEX(AR$10:AR$11,Предпосылки!$J295,),0)</f>
        <v>0</v>
      </c>
      <c s="125">
        <f>AS652/(1+IFERROR(INDEX(AS$10:AS$11,Предпосылки!$J295,),0))*IFERROR(INDEX(AS$10:AS$11,Предпосылки!$J295,),0)</f>
        <v>0</v>
      </c>
      <c s="125">
        <f>AT652/(1+IFERROR(INDEX(AT$10:AT$11,Предпосылки!$J295,),0))*IFERROR(INDEX(AT$10:AT$11,Предпосылки!$J295,),0)</f>
        <v>0</v>
      </c>
      <c s="125">
        <f>AU652/(1+IFERROR(INDEX(AU$10:AU$11,Предпосылки!$J295,),0))*IFERROR(INDEX(AU$10:AU$11,Предпосылки!$J295,),0)</f>
        <v>0</v>
      </c>
      <c s="125">
        <f>AV652/(1+IFERROR(INDEX(AV$10:AV$11,Предпосылки!$J295,),0))*IFERROR(INDEX(AV$10:AV$11,Предпосылки!$J295,),0)</f>
        <v>0</v>
      </c>
      <c s="125">
        <f>AW652/(1+IFERROR(INDEX(AW$10:AW$11,Предпосылки!$J295,),0))*IFERROR(INDEX(AW$10:AW$11,Предпосылки!$J295,),0)</f>
        <v>0</v>
      </c>
      <c s="125">
        <f>AX652/(1+IFERROR(INDEX(AX$10:AX$11,Предпосылки!$J295,),0))*IFERROR(INDEX(AX$10:AX$11,Предпосылки!$J295,),0)</f>
        <v>0</v>
      </c>
      <c s="125">
        <f>AY652/(1+IFERROR(INDEX(AY$10:AY$11,Предпосылки!$J295,),0))*IFERROR(INDEX(AY$10:AY$11,Предпосылки!$J295,),0)</f>
        <v>0</v>
      </c>
      <c s="125">
        <f>AZ652/(1+IFERROR(INDEX(AZ$10:AZ$11,Предпосылки!$J295,),0))*IFERROR(INDEX(AZ$10:AZ$11,Предпосылки!$J295,),0)</f>
        <v>0</v>
      </c>
      <c s="125">
        <f>BA652/(1+IFERROR(INDEX(BA$10:BA$11,Предпосылки!$J295,),0))*IFERROR(INDEX(BA$10:BA$11,Предпосылки!$J295,),0)</f>
        <v>0</v>
      </c>
      <c s="125">
        <f>BB652/(1+IFERROR(INDEX(BB$10:BB$11,Предпосылки!$J295,),0))*IFERROR(INDEX(BB$10:BB$11,Предпосылки!$J295,),0)</f>
        <v>0</v>
      </c>
      <c s="125">
        <f>BC652/(1+IFERROR(INDEX(BC$10:BC$11,Предпосылки!$J295,),0))*IFERROR(INDEX(BC$10:BC$11,Предпосылки!$J295,),0)</f>
        <v>0</v>
      </c>
      <c s="125">
        <f>BD652/(1+IFERROR(INDEX(BD$10:BD$11,Предпосылки!$J295,),0))*IFERROR(INDEX(BD$10:BD$11,Предпосылки!$J295,),0)</f>
        <v>0</v>
      </c>
      <c s="125">
        <f>BE652/(1+IFERROR(INDEX(BE$10:BE$11,Предпосылки!$J295,),0))*IFERROR(INDEX(BE$10:BE$11,Предпосылки!$J295,),0)</f>
        <v>0</v>
      </c>
      <c s="125">
        <f>BF652/(1+IFERROR(INDEX(BF$10:BF$11,Предпосылки!$J295,),0))*IFERROR(INDEX(BF$10:BF$11,Предпосылки!$J295,),0)</f>
        <v>0</v>
      </c>
      <c s="125">
        <f>BG652/(1+IFERROR(INDEX(BG$10:BG$11,Предпосылки!$J295,),0))*IFERROR(INDEX(BG$10:BG$11,Предпосылки!$J295,),0)</f>
        <v>0</v>
      </c>
      <c s="125">
        <f>BH652/(1+IFERROR(INDEX(BH$10:BH$11,Предпосылки!$J295,),0))*IFERROR(INDEX(BH$10:BH$11,Предпосылки!$J295,),0)</f>
        <v>0</v>
      </c>
      <c s="125">
        <f>BI652/(1+IFERROR(INDEX(BI$10:BI$11,Предпосылки!$J295,),0))*IFERROR(INDEX(BI$10:BI$11,Предпосылки!$J295,),0)</f>
        <v>0</v>
      </c>
      <c s="125">
        <f>BJ652/(1+IFERROR(INDEX(BJ$10:BJ$11,Предпосылки!$J295,),0))*IFERROR(INDEX(BJ$10:BJ$11,Предпосылки!$J295,),0)</f>
        <v>0</v>
      </c>
      <c s="125">
        <f>BK652/(1+IFERROR(INDEX(BK$10:BK$11,Предпосылки!$J295,),0))*IFERROR(INDEX(BK$10:BK$11,Предпосылки!$J295,),0)</f>
        <v>0</v>
      </c>
      <c s="125">
        <f>BL652/(1+IFERROR(INDEX(BL$10:BL$11,Предпосылки!$J295,),0))*IFERROR(INDEX(BL$10:BL$11,Предпосылки!$J295,),0)</f>
        <v>0</v>
      </c>
      <c s="125">
        <f>BM652/(1+IFERROR(INDEX(BM$10:BM$11,Предпосылки!$J295,),0))*IFERROR(INDEX(BM$10:BM$11,Предпосылки!$J295,),0)</f>
        <v>0</v>
      </c>
    </row>
    <row r="681" spans="2:65" ht="15" customHeight="1">
      <c r="B681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E653/(1+IFERROR(INDEX(E$10:E$11,Предпосылки!$J296,),0))*IFERROR(INDEX(E$10:E$11,Предпосылки!$J296,),0)</f>
        <v>0</v>
      </c>
      <c s="125">
        <f>F653/(1+IFERROR(INDEX(F$10:F$11,Предпосылки!$J296,),0))*IFERROR(INDEX(F$10:F$11,Предпосылки!$J296,),0)</f>
        <v>0</v>
      </c>
      <c s="125">
        <f>G653/(1+IFERROR(INDEX(G$10:G$11,Предпосылки!$J296,),0))*IFERROR(INDEX(G$10:G$11,Предпосылки!$J296,),0)</f>
        <v>0</v>
      </c>
      <c s="125">
        <f>H653/(1+IFERROR(INDEX(H$10:H$11,Предпосылки!$J296,),0))*IFERROR(INDEX(H$10:H$11,Предпосылки!$J296,),0)</f>
        <v>0</v>
      </c>
      <c s="125">
        <f>I653/(1+IFERROR(INDEX(I$10:I$11,Предпосылки!$J296,),0))*IFERROR(INDEX(I$10:I$11,Предпосылки!$J296,),0)</f>
        <v>0</v>
      </c>
      <c s="125">
        <f>J653/(1+IFERROR(INDEX(J$10:J$11,Предпосылки!$J296,),0))*IFERROR(INDEX(J$10:J$11,Предпосылки!$J296,),0)</f>
        <v>0</v>
      </c>
      <c s="125">
        <f>K653/(1+IFERROR(INDEX(K$10:K$11,Предпосылки!$J296,),0))*IFERROR(INDEX(K$10:K$11,Предпосылки!$J296,),0)</f>
        <v>0</v>
      </c>
      <c s="125">
        <f>L653/(1+IFERROR(INDEX(L$10:L$11,Предпосылки!$J296,),0))*IFERROR(INDEX(L$10:L$11,Предпосылки!$J296,),0)</f>
        <v>0</v>
      </c>
      <c s="125">
        <f>M653/(1+IFERROR(INDEX(M$10:M$11,Предпосылки!$J296,),0))*IFERROR(INDEX(M$10:M$11,Предпосылки!$J296,),0)</f>
        <v>0</v>
      </c>
      <c s="125">
        <f>N653/(1+IFERROR(INDEX(N$10:N$11,Предпосылки!$J296,),0))*IFERROR(INDEX(N$10:N$11,Предпосылки!$J296,),0)</f>
        <v>0</v>
      </c>
      <c s="125">
        <f>O653/(1+IFERROR(INDEX(O$10:O$11,Предпосылки!$J296,),0))*IFERROR(INDEX(O$10:O$11,Предпосылки!$J296,),0)</f>
        <v>0</v>
      </c>
      <c s="125">
        <f>P653/(1+IFERROR(INDEX(P$10:P$11,Предпосылки!$J296,),0))*IFERROR(INDEX(P$10:P$11,Предпосылки!$J296,),0)</f>
        <v>0</v>
      </c>
      <c s="125">
        <f>Q653/(1+IFERROR(INDEX(Q$10:Q$11,Предпосылки!$J296,),0))*IFERROR(INDEX(Q$10:Q$11,Предпосылки!$J296,),0)</f>
        <v>0</v>
      </c>
      <c s="125">
        <f>R653/(1+IFERROR(INDEX(R$10:R$11,Предпосылки!$J296,),0))*IFERROR(INDEX(R$10:R$11,Предпосылки!$J296,),0)</f>
        <v>0</v>
      </c>
      <c s="125">
        <f>S653/(1+IFERROR(INDEX(S$10:S$11,Предпосылки!$J296,),0))*IFERROR(INDEX(S$10:S$11,Предпосылки!$J296,),0)</f>
        <v>0</v>
      </c>
      <c s="125">
        <f>T653/(1+IFERROR(INDEX(T$10:T$11,Предпосылки!$J296,),0))*IFERROR(INDEX(T$10:T$11,Предпосылки!$J296,),0)</f>
        <v>0</v>
      </c>
      <c s="125">
        <f>U653/(1+IFERROR(INDEX(U$10:U$11,Предпосылки!$J296,),0))*IFERROR(INDEX(U$10:U$11,Предпосылки!$J296,),0)</f>
        <v>0</v>
      </c>
      <c s="125">
        <f>V653/(1+IFERROR(INDEX(V$10:V$11,Предпосылки!$J296,),0))*IFERROR(INDEX(V$10:V$11,Предпосылки!$J296,),0)</f>
        <v>0</v>
      </c>
      <c s="125">
        <f>W653/(1+IFERROR(INDEX(W$10:W$11,Предпосылки!$J296,),0))*IFERROR(INDEX(W$10:W$11,Предпосылки!$J296,),0)</f>
        <v>0</v>
      </c>
      <c s="125">
        <f>X653/(1+IFERROR(INDEX(X$10:X$11,Предпосылки!$J296,),0))*IFERROR(INDEX(X$10:X$11,Предпосылки!$J296,),0)</f>
        <v>0</v>
      </c>
      <c s="125">
        <f>Y653/(1+IFERROR(INDEX(Y$10:Y$11,Предпосылки!$J296,),0))*IFERROR(INDEX(Y$10:Y$11,Предпосылки!$J296,),0)</f>
        <v>0</v>
      </c>
      <c s="125">
        <f>Z653/(1+IFERROR(INDEX(Z$10:Z$11,Предпосылки!$J296,),0))*IFERROR(INDEX(Z$10:Z$11,Предпосылки!$J296,),0)</f>
        <v>0</v>
      </c>
      <c s="125">
        <f>AA653/(1+IFERROR(INDEX(AA$10:AA$11,Предпосылки!$J296,),0))*IFERROR(INDEX(AA$10:AA$11,Предпосылки!$J296,),0)</f>
        <v>0</v>
      </c>
      <c s="125">
        <f>AB653/(1+IFERROR(INDEX(AB$10:AB$11,Предпосылки!$J296,),0))*IFERROR(INDEX(AB$10:AB$11,Предпосылки!$J296,),0)</f>
        <v>0</v>
      </c>
      <c s="125">
        <f>AC653/(1+IFERROR(INDEX(AC$10:AC$11,Предпосылки!$J296,),0))*IFERROR(INDEX(AC$10:AC$11,Предпосылки!$J296,),0)</f>
        <v>0</v>
      </c>
      <c s="125">
        <f>AD653/(1+IFERROR(INDEX(AD$10:AD$11,Предпосылки!$J296,),0))*IFERROR(INDEX(AD$10:AD$11,Предпосылки!$J296,),0)</f>
        <v>0</v>
      </c>
      <c s="125">
        <f>AE653/(1+IFERROR(INDEX(AE$10:AE$11,Предпосылки!$J296,),0))*IFERROR(INDEX(AE$10:AE$11,Предпосылки!$J296,),0)</f>
        <v>0</v>
      </c>
      <c s="125">
        <f>AF653/(1+IFERROR(INDEX(AF$10:AF$11,Предпосылки!$J296,),0))*IFERROR(INDEX(AF$10:AF$11,Предпосылки!$J296,),0)</f>
        <v>0</v>
      </c>
      <c s="125">
        <f>AG653/(1+IFERROR(INDEX(AG$10:AG$11,Предпосылки!$J296,),0))*IFERROR(INDEX(AG$10:AG$11,Предпосылки!$J296,),0)</f>
        <v>0</v>
      </c>
      <c s="125">
        <f>AH653/(1+IFERROR(INDEX(AH$10:AH$11,Предпосылки!$J296,),0))*IFERROR(INDEX(AH$10:AH$11,Предпосылки!$J296,),0)</f>
        <v>0</v>
      </c>
      <c s="125">
        <f>AI653/(1+IFERROR(INDEX(AI$10:AI$11,Предпосылки!$J296,),0))*IFERROR(INDEX(AI$10:AI$11,Предпосылки!$J296,),0)</f>
        <v>0</v>
      </c>
      <c s="125">
        <f>AJ653/(1+IFERROR(INDEX(AJ$10:AJ$11,Предпосылки!$J296,),0))*IFERROR(INDEX(AJ$10:AJ$11,Предпосылки!$J296,),0)</f>
        <v>0</v>
      </c>
      <c s="125">
        <f>AK653/(1+IFERROR(INDEX(AK$10:AK$11,Предпосылки!$J296,),0))*IFERROR(INDEX(AK$10:AK$11,Предпосылки!$J296,),0)</f>
        <v>0</v>
      </c>
      <c s="125">
        <f>AL653/(1+IFERROR(INDEX(AL$10:AL$11,Предпосылки!$J296,),0))*IFERROR(INDEX(AL$10:AL$11,Предпосылки!$J296,),0)</f>
        <v>0</v>
      </c>
      <c s="125">
        <f>AM653/(1+IFERROR(INDEX(AM$10:AM$11,Предпосылки!$J296,),0))*IFERROR(INDEX(AM$10:AM$11,Предпосылки!$J296,),0)</f>
        <v>0</v>
      </c>
      <c s="125">
        <f>AN653/(1+IFERROR(INDEX(AN$10:AN$11,Предпосылки!$J296,),0))*IFERROR(INDEX(AN$10:AN$11,Предпосылки!$J296,),0)</f>
        <v>0</v>
      </c>
      <c s="125">
        <f>AO653/(1+IFERROR(INDEX(AO$10:AO$11,Предпосылки!$J296,),0))*IFERROR(INDEX(AO$10:AO$11,Предпосылки!$J296,),0)</f>
        <v>0</v>
      </c>
      <c s="125">
        <f>AP653/(1+IFERROR(INDEX(AP$10:AP$11,Предпосылки!$J296,),0))*IFERROR(INDEX(AP$10:AP$11,Предпосылки!$J296,),0)</f>
        <v>0</v>
      </c>
      <c s="125">
        <f>AQ653/(1+IFERROR(INDEX(AQ$10:AQ$11,Предпосылки!$J296,),0))*IFERROR(INDEX(AQ$10:AQ$11,Предпосылки!$J296,),0)</f>
        <v>0</v>
      </c>
      <c s="125">
        <f>AR653/(1+IFERROR(INDEX(AR$10:AR$11,Предпосылки!$J296,),0))*IFERROR(INDEX(AR$10:AR$11,Предпосылки!$J296,),0)</f>
        <v>0</v>
      </c>
      <c s="125">
        <f>AS653/(1+IFERROR(INDEX(AS$10:AS$11,Предпосылки!$J296,),0))*IFERROR(INDEX(AS$10:AS$11,Предпосылки!$J296,),0)</f>
        <v>0</v>
      </c>
      <c s="125">
        <f>AT653/(1+IFERROR(INDEX(AT$10:AT$11,Предпосылки!$J296,),0))*IFERROR(INDEX(AT$10:AT$11,Предпосылки!$J296,),0)</f>
        <v>0</v>
      </c>
      <c s="125">
        <f>AU653/(1+IFERROR(INDEX(AU$10:AU$11,Предпосылки!$J296,),0))*IFERROR(INDEX(AU$10:AU$11,Предпосылки!$J296,),0)</f>
        <v>0</v>
      </c>
      <c s="125">
        <f>AV653/(1+IFERROR(INDEX(AV$10:AV$11,Предпосылки!$J296,),0))*IFERROR(INDEX(AV$10:AV$11,Предпосылки!$J296,),0)</f>
        <v>0</v>
      </c>
      <c s="125">
        <f>AW653/(1+IFERROR(INDEX(AW$10:AW$11,Предпосылки!$J296,),0))*IFERROR(INDEX(AW$10:AW$11,Предпосылки!$J296,),0)</f>
        <v>0</v>
      </c>
      <c s="125">
        <f>AX653/(1+IFERROR(INDEX(AX$10:AX$11,Предпосылки!$J296,),0))*IFERROR(INDEX(AX$10:AX$11,Предпосылки!$J296,),0)</f>
        <v>0</v>
      </c>
      <c s="125">
        <f>AY653/(1+IFERROR(INDEX(AY$10:AY$11,Предпосылки!$J296,),0))*IFERROR(INDEX(AY$10:AY$11,Предпосылки!$J296,),0)</f>
        <v>0</v>
      </c>
      <c s="125">
        <f>AZ653/(1+IFERROR(INDEX(AZ$10:AZ$11,Предпосылки!$J296,),0))*IFERROR(INDEX(AZ$10:AZ$11,Предпосылки!$J296,),0)</f>
        <v>0</v>
      </c>
      <c s="125">
        <f>BA653/(1+IFERROR(INDEX(BA$10:BA$11,Предпосылки!$J296,),0))*IFERROR(INDEX(BA$10:BA$11,Предпосылки!$J296,),0)</f>
        <v>0</v>
      </c>
      <c s="125">
        <f>BB653/(1+IFERROR(INDEX(BB$10:BB$11,Предпосылки!$J296,),0))*IFERROR(INDEX(BB$10:BB$11,Предпосылки!$J296,),0)</f>
        <v>0</v>
      </c>
      <c s="125">
        <f>BC653/(1+IFERROR(INDEX(BC$10:BC$11,Предпосылки!$J296,),0))*IFERROR(INDEX(BC$10:BC$11,Предпосылки!$J296,),0)</f>
        <v>0</v>
      </c>
      <c s="125">
        <f>BD653/(1+IFERROR(INDEX(BD$10:BD$11,Предпосылки!$J296,),0))*IFERROR(INDEX(BD$10:BD$11,Предпосылки!$J296,),0)</f>
        <v>0</v>
      </c>
      <c s="125">
        <f>BE653/(1+IFERROR(INDEX(BE$10:BE$11,Предпосылки!$J296,),0))*IFERROR(INDEX(BE$10:BE$11,Предпосылки!$J296,),0)</f>
        <v>0</v>
      </c>
      <c s="125">
        <f>BF653/(1+IFERROR(INDEX(BF$10:BF$11,Предпосылки!$J296,),0))*IFERROR(INDEX(BF$10:BF$11,Предпосылки!$J296,),0)</f>
        <v>0</v>
      </c>
      <c s="125">
        <f>BG653/(1+IFERROR(INDEX(BG$10:BG$11,Предпосылки!$J296,),0))*IFERROR(INDEX(BG$10:BG$11,Предпосылки!$J296,),0)</f>
        <v>0</v>
      </c>
      <c s="125">
        <f>BH653/(1+IFERROR(INDEX(BH$10:BH$11,Предпосылки!$J296,),0))*IFERROR(INDEX(BH$10:BH$11,Предпосылки!$J296,),0)</f>
        <v>0</v>
      </c>
      <c s="125">
        <f>BI653/(1+IFERROR(INDEX(BI$10:BI$11,Предпосылки!$J296,),0))*IFERROR(INDEX(BI$10:BI$11,Предпосылки!$J296,),0)</f>
        <v>0</v>
      </c>
      <c s="125">
        <f>BJ653/(1+IFERROR(INDEX(BJ$10:BJ$11,Предпосылки!$J296,),0))*IFERROR(INDEX(BJ$10:BJ$11,Предпосылки!$J296,),0)</f>
        <v>0</v>
      </c>
      <c s="125">
        <f>BK653/(1+IFERROR(INDEX(BK$10:BK$11,Предпосылки!$J296,),0))*IFERROR(INDEX(BK$10:BK$11,Предпосылки!$J296,),0)</f>
        <v>0</v>
      </c>
      <c s="125">
        <f>BL653/(1+IFERROR(INDEX(BL$10:BL$11,Предпосылки!$J296,),0))*IFERROR(INDEX(BL$10:BL$11,Предпосылки!$J296,),0)</f>
        <v>0</v>
      </c>
      <c s="125">
        <f>BM653/(1+IFERROR(INDEX(BM$10:BM$11,Предпосылки!$J296,),0))*IFERROR(INDEX(BM$10:BM$11,Предпосылки!$J296,),0)</f>
        <v>0</v>
      </c>
    </row>
    <row r="682" spans="2:65" ht="15" customHeight="1">
      <c r="B682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E654/(1+IFERROR(INDEX(E$10:E$11,Предпосылки!$J297,),0))*IFERROR(INDEX(E$10:E$11,Предпосылки!$J297,),0)</f>
        <v>0</v>
      </c>
      <c s="125">
        <f>F654/(1+IFERROR(INDEX(F$10:F$11,Предпосылки!$J297,),0))*IFERROR(INDEX(F$10:F$11,Предпосылки!$J297,),0)</f>
        <v>0</v>
      </c>
      <c s="125">
        <f>G654/(1+IFERROR(INDEX(G$10:G$11,Предпосылки!$J297,),0))*IFERROR(INDEX(G$10:G$11,Предпосылки!$J297,),0)</f>
        <v>0</v>
      </c>
      <c s="125">
        <f>H654/(1+IFERROR(INDEX(H$10:H$11,Предпосылки!$J297,),0))*IFERROR(INDEX(H$10:H$11,Предпосылки!$J297,),0)</f>
        <v>0</v>
      </c>
      <c s="125">
        <f>I654/(1+IFERROR(INDEX(I$10:I$11,Предпосылки!$J297,),0))*IFERROR(INDEX(I$10:I$11,Предпосылки!$J297,),0)</f>
        <v>0</v>
      </c>
      <c s="125">
        <f>J654/(1+IFERROR(INDEX(J$10:J$11,Предпосылки!$J297,),0))*IFERROR(INDEX(J$10:J$11,Предпосылки!$J297,),0)</f>
        <v>0</v>
      </c>
      <c s="125">
        <f>K654/(1+IFERROR(INDEX(K$10:K$11,Предпосылки!$J297,),0))*IFERROR(INDEX(K$10:K$11,Предпосылки!$J297,),0)</f>
        <v>0</v>
      </c>
      <c s="125">
        <f>L654/(1+IFERROR(INDEX(L$10:L$11,Предпосылки!$J297,),0))*IFERROR(INDEX(L$10:L$11,Предпосылки!$J297,),0)</f>
        <v>0</v>
      </c>
      <c s="125">
        <f>M654/(1+IFERROR(INDEX(M$10:M$11,Предпосылки!$J297,),0))*IFERROR(INDEX(M$10:M$11,Предпосылки!$J297,),0)</f>
        <v>0</v>
      </c>
      <c s="125">
        <f>N654/(1+IFERROR(INDEX(N$10:N$11,Предпосылки!$J297,),0))*IFERROR(INDEX(N$10:N$11,Предпосылки!$J297,),0)</f>
        <v>0</v>
      </c>
      <c s="125">
        <f>O654/(1+IFERROR(INDEX(O$10:O$11,Предпосылки!$J297,),0))*IFERROR(INDEX(O$10:O$11,Предпосылки!$J297,),0)</f>
        <v>0</v>
      </c>
      <c s="125">
        <f>P654/(1+IFERROR(INDEX(P$10:P$11,Предпосылки!$J297,),0))*IFERROR(INDEX(P$10:P$11,Предпосылки!$J297,),0)</f>
        <v>0</v>
      </c>
      <c s="125">
        <f>Q654/(1+IFERROR(INDEX(Q$10:Q$11,Предпосылки!$J297,),0))*IFERROR(INDEX(Q$10:Q$11,Предпосылки!$J297,),0)</f>
        <v>0</v>
      </c>
      <c s="125">
        <f>R654/(1+IFERROR(INDEX(R$10:R$11,Предпосылки!$J297,),0))*IFERROR(INDEX(R$10:R$11,Предпосылки!$J297,),0)</f>
        <v>0</v>
      </c>
      <c s="125">
        <f>S654/(1+IFERROR(INDEX(S$10:S$11,Предпосылки!$J297,),0))*IFERROR(INDEX(S$10:S$11,Предпосылки!$J297,),0)</f>
        <v>0</v>
      </c>
      <c s="125">
        <f>T654/(1+IFERROR(INDEX(T$10:T$11,Предпосылки!$J297,),0))*IFERROR(INDEX(T$10:T$11,Предпосылки!$J297,),0)</f>
        <v>0</v>
      </c>
      <c s="125">
        <f>U654/(1+IFERROR(INDEX(U$10:U$11,Предпосылки!$J297,),0))*IFERROR(INDEX(U$10:U$11,Предпосылки!$J297,),0)</f>
        <v>0</v>
      </c>
      <c s="125">
        <f>V654/(1+IFERROR(INDEX(V$10:V$11,Предпосылки!$J297,),0))*IFERROR(INDEX(V$10:V$11,Предпосылки!$J297,),0)</f>
        <v>0</v>
      </c>
      <c s="125">
        <f>W654/(1+IFERROR(INDEX(W$10:W$11,Предпосылки!$J297,),0))*IFERROR(INDEX(W$10:W$11,Предпосылки!$J297,),0)</f>
        <v>0</v>
      </c>
      <c s="125">
        <f>X654/(1+IFERROR(INDEX(X$10:X$11,Предпосылки!$J297,),0))*IFERROR(INDEX(X$10:X$11,Предпосылки!$J297,),0)</f>
        <v>0</v>
      </c>
      <c s="125">
        <f>Y654/(1+IFERROR(INDEX(Y$10:Y$11,Предпосылки!$J297,),0))*IFERROR(INDEX(Y$10:Y$11,Предпосылки!$J297,),0)</f>
        <v>0</v>
      </c>
      <c s="125">
        <f>Z654/(1+IFERROR(INDEX(Z$10:Z$11,Предпосылки!$J297,),0))*IFERROR(INDEX(Z$10:Z$11,Предпосылки!$J297,),0)</f>
        <v>0</v>
      </c>
      <c s="125">
        <f>AA654/(1+IFERROR(INDEX(AA$10:AA$11,Предпосылки!$J297,),0))*IFERROR(INDEX(AA$10:AA$11,Предпосылки!$J297,),0)</f>
        <v>0</v>
      </c>
      <c s="125">
        <f>AB654/(1+IFERROR(INDEX(AB$10:AB$11,Предпосылки!$J297,),0))*IFERROR(INDEX(AB$10:AB$11,Предпосылки!$J297,),0)</f>
        <v>0</v>
      </c>
      <c s="125">
        <f>AC654/(1+IFERROR(INDEX(AC$10:AC$11,Предпосылки!$J297,),0))*IFERROR(INDEX(AC$10:AC$11,Предпосылки!$J297,),0)</f>
        <v>0</v>
      </c>
      <c s="125">
        <f>AD654/(1+IFERROR(INDEX(AD$10:AD$11,Предпосылки!$J297,),0))*IFERROR(INDEX(AD$10:AD$11,Предпосылки!$J297,),0)</f>
        <v>0</v>
      </c>
      <c s="125">
        <f>AE654/(1+IFERROR(INDEX(AE$10:AE$11,Предпосылки!$J297,),0))*IFERROR(INDEX(AE$10:AE$11,Предпосылки!$J297,),0)</f>
        <v>0</v>
      </c>
      <c s="125">
        <f>AF654/(1+IFERROR(INDEX(AF$10:AF$11,Предпосылки!$J297,),0))*IFERROR(INDEX(AF$10:AF$11,Предпосылки!$J297,),0)</f>
        <v>0</v>
      </c>
      <c s="125">
        <f>AG654/(1+IFERROR(INDEX(AG$10:AG$11,Предпосылки!$J297,),0))*IFERROR(INDEX(AG$10:AG$11,Предпосылки!$J297,),0)</f>
        <v>0</v>
      </c>
      <c s="125">
        <f>AH654/(1+IFERROR(INDEX(AH$10:AH$11,Предпосылки!$J297,),0))*IFERROR(INDEX(AH$10:AH$11,Предпосылки!$J297,),0)</f>
        <v>0</v>
      </c>
      <c s="125">
        <f>AI654/(1+IFERROR(INDEX(AI$10:AI$11,Предпосылки!$J297,),0))*IFERROR(INDEX(AI$10:AI$11,Предпосылки!$J297,),0)</f>
        <v>0</v>
      </c>
      <c s="125">
        <f>AJ654/(1+IFERROR(INDEX(AJ$10:AJ$11,Предпосылки!$J297,),0))*IFERROR(INDEX(AJ$10:AJ$11,Предпосылки!$J297,),0)</f>
        <v>0</v>
      </c>
      <c s="125">
        <f>AK654/(1+IFERROR(INDEX(AK$10:AK$11,Предпосылки!$J297,),0))*IFERROR(INDEX(AK$10:AK$11,Предпосылки!$J297,),0)</f>
        <v>0</v>
      </c>
      <c s="125">
        <f>AL654/(1+IFERROR(INDEX(AL$10:AL$11,Предпосылки!$J297,),0))*IFERROR(INDEX(AL$10:AL$11,Предпосылки!$J297,),0)</f>
        <v>0</v>
      </c>
      <c s="125">
        <f>AM654/(1+IFERROR(INDEX(AM$10:AM$11,Предпосылки!$J297,),0))*IFERROR(INDEX(AM$10:AM$11,Предпосылки!$J297,),0)</f>
        <v>0</v>
      </c>
      <c s="125">
        <f>AN654/(1+IFERROR(INDEX(AN$10:AN$11,Предпосылки!$J297,),0))*IFERROR(INDEX(AN$10:AN$11,Предпосылки!$J297,),0)</f>
        <v>0</v>
      </c>
      <c s="125">
        <f>AO654/(1+IFERROR(INDEX(AO$10:AO$11,Предпосылки!$J297,),0))*IFERROR(INDEX(AO$10:AO$11,Предпосылки!$J297,),0)</f>
        <v>0</v>
      </c>
      <c s="125">
        <f>AP654/(1+IFERROR(INDEX(AP$10:AP$11,Предпосылки!$J297,),0))*IFERROR(INDEX(AP$10:AP$11,Предпосылки!$J297,),0)</f>
        <v>0</v>
      </c>
      <c s="125">
        <f>AQ654/(1+IFERROR(INDEX(AQ$10:AQ$11,Предпосылки!$J297,),0))*IFERROR(INDEX(AQ$10:AQ$11,Предпосылки!$J297,),0)</f>
        <v>0</v>
      </c>
      <c s="125">
        <f>AR654/(1+IFERROR(INDEX(AR$10:AR$11,Предпосылки!$J297,),0))*IFERROR(INDEX(AR$10:AR$11,Предпосылки!$J297,),0)</f>
        <v>0</v>
      </c>
      <c s="125">
        <f>AS654/(1+IFERROR(INDEX(AS$10:AS$11,Предпосылки!$J297,),0))*IFERROR(INDEX(AS$10:AS$11,Предпосылки!$J297,),0)</f>
        <v>0</v>
      </c>
      <c s="125">
        <f>AT654/(1+IFERROR(INDEX(AT$10:AT$11,Предпосылки!$J297,),0))*IFERROR(INDEX(AT$10:AT$11,Предпосылки!$J297,),0)</f>
        <v>0</v>
      </c>
      <c s="125">
        <f>AU654/(1+IFERROR(INDEX(AU$10:AU$11,Предпосылки!$J297,),0))*IFERROR(INDEX(AU$10:AU$11,Предпосылки!$J297,),0)</f>
        <v>0</v>
      </c>
      <c s="125">
        <f>AV654/(1+IFERROR(INDEX(AV$10:AV$11,Предпосылки!$J297,),0))*IFERROR(INDEX(AV$10:AV$11,Предпосылки!$J297,),0)</f>
        <v>0</v>
      </c>
      <c s="125">
        <f>AW654/(1+IFERROR(INDEX(AW$10:AW$11,Предпосылки!$J297,),0))*IFERROR(INDEX(AW$10:AW$11,Предпосылки!$J297,),0)</f>
        <v>0</v>
      </c>
      <c s="125">
        <f>AX654/(1+IFERROR(INDEX(AX$10:AX$11,Предпосылки!$J297,),0))*IFERROR(INDEX(AX$10:AX$11,Предпосылки!$J297,),0)</f>
        <v>0</v>
      </c>
      <c s="125">
        <f>AY654/(1+IFERROR(INDEX(AY$10:AY$11,Предпосылки!$J297,),0))*IFERROR(INDEX(AY$10:AY$11,Предпосылки!$J297,),0)</f>
        <v>0</v>
      </c>
      <c s="125">
        <f>AZ654/(1+IFERROR(INDEX(AZ$10:AZ$11,Предпосылки!$J297,),0))*IFERROR(INDEX(AZ$10:AZ$11,Предпосылки!$J297,),0)</f>
        <v>0</v>
      </c>
      <c s="125">
        <f>BA654/(1+IFERROR(INDEX(BA$10:BA$11,Предпосылки!$J297,),0))*IFERROR(INDEX(BA$10:BA$11,Предпосылки!$J297,),0)</f>
        <v>0</v>
      </c>
      <c s="125">
        <f>BB654/(1+IFERROR(INDEX(BB$10:BB$11,Предпосылки!$J297,),0))*IFERROR(INDEX(BB$10:BB$11,Предпосылки!$J297,),0)</f>
        <v>0</v>
      </c>
      <c s="125">
        <f>BC654/(1+IFERROR(INDEX(BC$10:BC$11,Предпосылки!$J297,),0))*IFERROR(INDEX(BC$10:BC$11,Предпосылки!$J297,),0)</f>
        <v>0</v>
      </c>
      <c s="125">
        <f>BD654/(1+IFERROR(INDEX(BD$10:BD$11,Предпосылки!$J297,),0))*IFERROR(INDEX(BD$10:BD$11,Предпосылки!$J297,),0)</f>
        <v>0</v>
      </c>
      <c s="125">
        <f>BE654/(1+IFERROR(INDEX(BE$10:BE$11,Предпосылки!$J297,),0))*IFERROR(INDEX(BE$10:BE$11,Предпосылки!$J297,),0)</f>
        <v>0</v>
      </c>
      <c s="125">
        <f>BF654/(1+IFERROR(INDEX(BF$10:BF$11,Предпосылки!$J297,),0))*IFERROR(INDEX(BF$10:BF$11,Предпосылки!$J297,),0)</f>
        <v>0</v>
      </c>
      <c s="125">
        <f>BG654/(1+IFERROR(INDEX(BG$10:BG$11,Предпосылки!$J297,),0))*IFERROR(INDEX(BG$10:BG$11,Предпосылки!$J297,),0)</f>
        <v>0</v>
      </c>
      <c s="125">
        <f>BH654/(1+IFERROR(INDEX(BH$10:BH$11,Предпосылки!$J297,),0))*IFERROR(INDEX(BH$10:BH$11,Предпосылки!$J297,),0)</f>
        <v>0</v>
      </c>
      <c s="125">
        <f>BI654/(1+IFERROR(INDEX(BI$10:BI$11,Предпосылки!$J297,),0))*IFERROR(INDEX(BI$10:BI$11,Предпосылки!$J297,),0)</f>
        <v>0</v>
      </c>
      <c s="125">
        <f>BJ654/(1+IFERROR(INDEX(BJ$10:BJ$11,Предпосылки!$J297,),0))*IFERROR(INDEX(BJ$10:BJ$11,Предпосылки!$J297,),0)</f>
        <v>0</v>
      </c>
      <c s="125">
        <f>BK654/(1+IFERROR(INDEX(BK$10:BK$11,Предпосылки!$J297,),0))*IFERROR(INDEX(BK$10:BK$11,Предпосылки!$J297,),0)</f>
        <v>0</v>
      </c>
      <c s="125">
        <f>BL654/(1+IFERROR(INDEX(BL$10:BL$11,Предпосылки!$J297,),0))*IFERROR(INDEX(BL$10:BL$11,Предпосылки!$J297,),0)</f>
        <v>0</v>
      </c>
      <c s="125">
        <f>BM654/(1+IFERROR(INDEX(BM$10:BM$11,Предпосылки!$J297,),0))*IFERROR(INDEX(BM$10:BM$11,Предпосылки!$J297,),0)</f>
        <v>0</v>
      </c>
    </row>
    <row r="683" spans="2:65" ht="15" customHeight="1">
      <c r="B683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E655/(1+IFERROR(INDEX(E$10:E$11,Предпосылки!$J298,),0))*IFERROR(INDEX(E$10:E$11,Предпосылки!$J298,),0)</f>
        <v>0</v>
      </c>
      <c s="125">
        <f>F655/(1+IFERROR(INDEX(F$10:F$11,Предпосылки!$J298,),0))*IFERROR(INDEX(F$10:F$11,Предпосылки!$J298,),0)</f>
        <v>0</v>
      </c>
      <c s="125">
        <f>G655/(1+IFERROR(INDEX(G$10:G$11,Предпосылки!$J298,),0))*IFERROR(INDEX(G$10:G$11,Предпосылки!$J298,),0)</f>
        <v>0</v>
      </c>
      <c s="125">
        <f>H655/(1+IFERROR(INDEX(H$10:H$11,Предпосылки!$J298,),0))*IFERROR(INDEX(H$10:H$11,Предпосылки!$J298,),0)</f>
        <v>0</v>
      </c>
      <c s="125">
        <f>I655/(1+IFERROR(INDEX(I$10:I$11,Предпосылки!$J298,),0))*IFERROR(INDEX(I$10:I$11,Предпосылки!$J298,),0)</f>
        <v>0</v>
      </c>
      <c s="125">
        <f>J655/(1+IFERROR(INDEX(J$10:J$11,Предпосылки!$J298,),0))*IFERROR(INDEX(J$10:J$11,Предпосылки!$J298,),0)</f>
        <v>0</v>
      </c>
      <c s="125">
        <f>K655/(1+IFERROR(INDEX(K$10:K$11,Предпосылки!$J298,),0))*IFERROR(INDEX(K$10:K$11,Предпосылки!$J298,),0)</f>
        <v>0</v>
      </c>
      <c s="125">
        <f>L655/(1+IFERROR(INDEX(L$10:L$11,Предпосылки!$J298,),0))*IFERROR(INDEX(L$10:L$11,Предпосылки!$J298,),0)</f>
        <v>0</v>
      </c>
      <c s="125">
        <f>M655/(1+IFERROR(INDEX(M$10:M$11,Предпосылки!$J298,),0))*IFERROR(INDEX(M$10:M$11,Предпосылки!$J298,),0)</f>
        <v>0</v>
      </c>
      <c s="125">
        <f>N655/(1+IFERROR(INDEX(N$10:N$11,Предпосылки!$J298,),0))*IFERROR(INDEX(N$10:N$11,Предпосылки!$J298,),0)</f>
        <v>0</v>
      </c>
      <c s="125">
        <f>O655/(1+IFERROR(INDEX(O$10:O$11,Предпосылки!$J298,),0))*IFERROR(INDEX(O$10:O$11,Предпосылки!$J298,),0)</f>
        <v>0</v>
      </c>
      <c s="125">
        <f>P655/(1+IFERROR(INDEX(P$10:P$11,Предпосылки!$J298,),0))*IFERROR(INDEX(P$10:P$11,Предпосылки!$J298,),0)</f>
        <v>0</v>
      </c>
      <c s="125">
        <f>Q655/(1+IFERROR(INDEX(Q$10:Q$11,Предпосылки!$J298,),0))*IFERROR(INDEX(Q$10:Q$11,Предпосылки!$J298,),0)</f>
        <v>0</v>
      </c>
      <c s="125">
        <f>R655/(1+IFERROR(INDEX(R$10:R$11,Предпосылки!$J298,),0))*IFERROR(INDEX(R$10:R$11,Предпосылки!$J298,),0)</f>
        <v>0</v>
      </c>
      <c s="125">
        <f>S655/(1+IFERROR(INDEX(S$10:S$11,Предпосылки!$J298,),0))*IFERROR(INDEX(S$10:S$11,Предпосылки!$J298,),0)</f>
        <v>0</v>
      </c>
      <c s="125">
        <f>T655/(1+IFERROR(INDEX(T$10:T$11,Предпосылки!$J298,),0))*IFERROR(INDEX(T$10:T$11,Предпосылки!$J298,),0)</f>
        <v>0</v>
      </c>
      <c s="125">
        <f>U655/(1+IFERROR(INDEX(U$10:U$11,Предпосылки!$J298,),0))*IFERROR(INDEX(U$10:U$11,Предпосылки!$J298,),0)</f>
        <v>0</v>
      </c>
      <c s="125">
        <f>V655/(1+IFERROR(INDEX(V$10:V$11,Предпосылки!$J298,),0))*IFERROR(INDEX(V$10:V$11,Предпосылки!$J298,),0)</f>
        <v>0</v>
      </c>
      <c s="125">
        <f>W655/(1+IFERROR(INDEX(W$10:W$11,Предпосылки!$J298,),0))*IFERROR(INDEX(W$10:W$11,Предпосылки!$J298,),0)</f>
        <v>0</v>
      </c>
      <c s="125">
        <f>X655/(1+IFERROR(INDEX(X$10:X$11,Предпосылки!$J298,),0))*IFERROR(INDEX(X$10:X$11,Предпосылки!$J298,),0)</f>
        <v>0</v>
      </c>
      <c s="125">
        <f>Y655/(1+IFERROR(INDEX(Y$10:Y$11,Предпосылки!$J298,),0))*IFERROR(INDEX(Y$10:Y$11,Предпосылки!$J298,),0)</f>
        <v>0</v>
      </c>
      <c s="125">
        <f>Z655/(1+IFERROR(INDEX(Z$10:Z$11,Предпосылки!$J298,),0))*IFERROR(INDEX(Z$10:Z$11,Предпосылки!$J298,),0)</f>
        <v>0</v>
      </c>
      <c s="125">
        <f>AA655/(1+IFERROR(INDEX(AA$10:AA$11,Предпосылки!$J298,),0))*IFERROR(INDEX(AA$10:AA$11,Предпосылки!$J298,),0)</f>
        <v>0</v>
      </c>
      <c s="125">
        <f>AB655/(1+IFERROR(INDEX(AB$10:AB$11,Предпосылки!$J298,),0))*IFERROR(INDEX(AB$10:AB$11,Предпосылки!$J298,),0)</f>
        <v>0</v>
      </c>
      <c s="125">
        <f>AC655/(1+IFERROR(INDEX(AC$10:AC$11,Предпосылки!$J298,),0))*IFERROR(INDEX(AC$10:AC$11,Предпосылки!$J298,),0)</f>
        <v>0</v>
      </c>
      <c s="125">
        <f>AD655/(1+IFERROR(INDEX(AD$10:AD$11,Предпосылки!$J298,),0))*IFERROR(INDEX(AD$10:AD$11,Предпосылки!$J298,),0)</f>
        <v>0</v>
      </c>
      <c s="125">
        <f>AE655/(1+IFERROR(INDEX(AE$10:AE$11,Предпосылки!$J298,),0))*IFERROR(INDEX(AE$10:AE$11,Предпосылки!$J298,),0)</f>
        <v>0</v>
      </c>
      <c s="125">
        <f>AF655/(1+IFERROR(INDEX(AF$10:AF$11,Предпосылки!$J298,),0))*IFERROR(INDEX(AF$10:AF$11,Предпосылки!$J298,),0)</f>
        <v>0</v>
      </c>
      <c s="125">
        <f>AG655/(1+IFERROR(INDEX(AG$10:AG$11,Предпосылки!$J298,),0))*IFERROR(INDEX(AG$10:AG$11,Предпосылки!$J298,),0)</f>
        <v>0</v>
      </c>
      <c s="125">
        <f>AH655/(1+IFERROR(INDEX(AH$10:AH$11,Предпосылки!$J298,),0))*IFERROR(INDEX(AH$10:AH$11,Предпосылки!$J298,),0)</f>
        <v>0</v>
      </c>
      <c s="125">
        <f>AI655/(1+IFERROR(INDEX(AI$10:AI$11,Предпосылки!$J298,),0))*IFERROR(INDEX(AI$10:AI$11,Предпосылки!$J298,),0)</f>
        <v>0</v>
      </c>
      <c s="125">
        <f>AJ655/(1+IFERROR(INDEX(AJ$10:AJ$11,Предпосылки!$J298,),0))*IFERROR(INDEX(AJ$10:AJ$11,Предпосылки!$J298,),0)</f>
        <v>0</v>
      </c>
      <c s="125">
        <f>AK655/(1+IFERROR(INDEX(AK$10:AK$11,Предпосылки!$J298,),0))*IFERROR(INDEX(AK$10:AK$11,Предпосылки!$J298,),0)</f>
        <v>0</v>
      </c>
      <c s="125">
        <f>AL655/(1+IFERROR(INDEX(AL$10:AL$11,Предпосылки!$J298,),0))*IFERROR(INDEX(AL$10:AL$11,Предпосылки!$J298,),0)</f>
        <v>0</v>
      </c>
      <c s="125">
        <f>AM655/(1+IFERROR(INDEX(AM$10:AM$11,Предпосылки!$J298,),0))*IFERROR(INDEX(AM$10:AM$11,Предпосылки!$J298,),0)</f>
        <v>0</v>
      </c>
      <c s="125">
        <f>AN655/(1+IFERROR(INDEX(AN$10:AN$11,Предпосылки!$J298,),0))*IFERROR(INDEX(AN$10:AN$11,Предпосылки!$J298,),0)</f>
        <v>0</v>
      </c>
      <c s="125">
        <f>AO655/(1+IFERROR(INDEX(AO$10:AO$11,Предпосылки!$J298,),0))*IFERROR(INDEX(AO$10:AO$11,Предпосылки!$J298,),0)</f>
        <v>0</v>
      </c>
      <c s="125">
        <f>AP655/(1+IFERROR(INDEX(AP$10:AP$11,Предпосылки!$J298,),0))*IFERROR(INDEX(AP$10:AP$11,Предпосылки!$J298,),0)</f>
        <v>0</v>
      </c>
      <c s="125">
        <f>AQ655/(1+IFERROR(INDEX(AQ$10:AQ$11,Предпосылки!$J298,),0))*IFERROR(INDEX(AQ$10:AQ$11,Предпосылки!$J298,),0)</f>
        <v>0</v>
      </c>
      <c s="125">
        <f>AR655/(1+IFERROR(INDEX(AR$10:AR$11,Предпосылки!$J298,),0))*IFERROR(INDEX(AR$10:AR$11,Предпосылки!$J298,),0)</f>
        <v>0</v>
      </c>
      <c s="125">
        <f>AS655/(1+IFERROR(INDEX(AS$10:AS$11,Предпосылки!$J298,),0))*IFERROR(INDEX(AS$10:AS$11,Предпосылки!$J298,),0)</f>
        <v>0</v>
      </c>
      <c s="125">
        <f>AT655/(1+IFERROR(INDEX(AT$10:AT$11,Предпосылки!$J298,),0))*IFERROR(INDEX(AT$10:AT$11,Предпосылки!$J298,),0)</f>
        <v>0</v>
      </c>
      <c s="125">
        <f>AU655/(1+IFERROR(INDEX(AU$10:AU$11,Предпосылки!$J298,),0))*IFERROR(INDEX(AU$10:AU$11,Предпосылки!$J298,),0)</f>
        <v>0</v>
      </c>
      <c s="125">
        <f>AV655/(1+IFERROR(INDEX(AV$10:AV$11,Предпосылки!$J298,),0))*IFERROR(INDEX(AV$10:AV$11,Предпосылки!$J298,),0)</f>
        <v>0</v>
      </c>
      <c s="125">
        <f>AW655/(1+IFERROR(INDEX(AW$10:AW$11,Предпосылки!$J298,),0))*IFERROR(INDEX(AW$10:AW$11,Предпосылки!$J298,),0)</f>
        <v>0</v>
      </c>
      <c s="125">
        <f>AX655/(1+IFERROR(INDEX(AX$10:AX$11,Предпосылки!$J298,),0))*IFERROR(INDEX(AX$10:AX$11,Предпосылки!$J298,),0)</f>
        <v>0</v>
      </c>
      <c s="125">
        <f>AY655/(1+IFERROR(INDEX(AY$10:AY$11,Предпосылки!$J298,),0))*IFERROR(INDEX(AY$10:AY$11,Предпосылки!$J298,),0)</f>
        <v>0</v>
      </c>
      <c s="125">
        <f>AZ655/(1+IFERROR(INDEX(AZ$10:AZ$11,Предпосылки!$J298,),0))*IFERROR(INDEX(AZ$10:AZ$11,Предпосылки!$J298,),0)</f>
        <v>0</v>
      </c>
      <c s="125">
        <f>BA655/(1+IFERROR(INDEX(BA$10:BA$11,Предпосылки!$J298,),0))*IFERROR(INDEX(BA$10:BA$11,Предпосылки!$J298,),0)</f>
        <v>0</v>
      </c>
      <c s="125">
        <f>BB655/(1+IFERROR(INDEX(BB$10:BB$11,Предпосылки!$J298,),0))*IFERROR(INDEX(BB$10:BB$11,Предпосылки!$J298,),0)</f>
        <v>0</v>
      </c>
      <c s="125">
        <f>BC655/(1+IFERROR(INDEX(BC$10:BC$11,Предпосылки!$J298,),0))*IFERROR(INDEX(BC$10:BC$11,Предпосылки!$J298,),0)</f>
        <v>0</v>
      </c>
      <c s="125">
        <f>BD655/(1+IFERROR(INDEX(BD$10:BD$11,Предпосылки!$J298,),0))*IFERROR(INDEX(BD$10:BD$11,Предпосылки!$J298,),0)</f>
        <v>0</v>
      </c>
      <c s="125">
        <f>BE655/(1+IFERROR(INDEX(BE$10:BE$11,Предпосылки!$J298,),0))*IFERROR(INDEX(BE$10:BE$11,Предпосылки!$J298,),0)</f>
        <v>0</v>
      </c>
      <c s="125">
        <f>BF655/(1+IFERROR(INDEX(BF$10:BF$11,Предпосылки!$J298,),0))*IFERROR(INDEX(BF$10:BF$11,Предпосылки!$J298,),0)</f>
        <v>0</v>
      </c>
      <c s="125">
        <f>BG655/(1+IFERROR(INDEX(BG$10:BG$11,Предпосылки!$J298,),0))*IFERROR(INDEX(BG$10:BG$11,Предпосылки!$J298,),0)</f>
        <v>0</v>
      </c>
      <c s="125">
        <f>BH655/(1+IFERROR(INDEX(BH$10:BH$11,Предпосылки!$J298,),0))*IFERROR(INDEX(BH$10:BH$11,Предпосылки!$J298,),0)</f>
        <v>0</v>
      </c>
      <c s="125">
        <f>BI655/(1+IFERROR(INDEX(BI$10:BI$11,Предпосылки!$J298,),0))*IFERROR(INDEX(BI$10:BI$11,Предпосылки!$J298,),0)</f>
        <v>0</v>
      </c>
      <c s="125">
        <f>BJ655/(1+IFERROR(INDEX(BJ$10:BJ$11,Предпосылки!$J298,),0))*IFERROR(INDEX(BJ$10:BJ$11,Предпосылки!$J298,),0)</f>
        <v>0</v>
      </c>
      <c s="125">
        <f>BK655/(1+IFERROR(INDEX(BK$10:BK$11,Предпосылки!$J298,),0))*IFERROR(INDEX(BK$10:BK$11,Предпосылки!$J298,),0)</f>
        <v>0</v>
      </c>
      <c s="125">
        <f>BL655/(1+IFERROR(INDEX(BL$10:BL$11,Предпосылки!$J298,),0))*IFERROR(INDEX(BL$10:BL$11,Предпосылки!$J298,),0)</f>
        <v>0</v>
      </c>
      <c s="125">
        <f>BM655/(1+IFERROR(INDEX(BM$10:BM$11,Предпосылки!$J298,),0))*IFERROR(INDEX(BM$10:BM$11,Предпосылки!$J298,),0)</f>
        <v>0</v>
      </c>
    </row>
    <row r="684" spans="2:65" ht="15" customHeight="1">
      <c r="B684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E656/(1+IFERROR(INDEX(E$10:E$11,Предпосылки!$J299,),0))*IFERROR(INDEX(E$10:E$11,Предпосылки!$J299,),0)</f>
        <v>0</v>
      </c>
      <c s="125">
        <f>F656/(1+IFERROR(INDEX(F$10:F$11,Предпосылки!$J299,),0))*IFERROR(INDEX(F$10:F$11,Предпосылки!$J299,),0)</f>
        <v>0</v>
      </c>
      <c s="125">
        <f>G656/(1+IFERROR(INDEX(G$10:G$11,Предпосылки!$J299,),0))*IFERROR(INDEX(G$10:G$11,Предпосылки!$J299,),0)</f>
        <v>0</v>
      </c>
      <c s="125">
        <f>H656/(1+IFERROR(INDEX(H$10:H$11,Предпосылки!$J299,),0))*IFERROR(INDEX(H$10:H$11,Предпосылки!$J299,),0)</f>
        <v>0</v>
      </c>
      <c s="125">
        <f>I656/(1+IFERROR(INDEX(I$10:I$11,Предпосылки!$J299,),0))*IFERROR(INDEX(I$10:I$11,Предпосылки!$J299,),0)</f>
        <v>0</v>
      </c>
      <c s="125">
        <f>J656/(1+IFERROR(INDEX(J$10:J$11,Предпосылки!$J299,),0))*IFERROR(INDEX(J$10:J$11,Предпосылки!$J299,),0)</f>
        <v>0</v>
      </c>
      <c s="125">
        <f>K656/(1+IFERROR(INDEX(K$10:K$11,Предпосылки!$J299,),0))*IFERROR(INDEX(K$10:K$11,Предпосылки!$J299,),0)</f>
        <v>0</v>
      </c>
      <c s="125">
        <f>L656/(1+IFERROR(INDEX(L$10:L$11,Предпосылки!$J299,),0))*IFERROR(INDEX(L$10:L$11,Предпосылки!$J299,),0)</f>
        <v>0</v>
      </c>
      <c s="125">
        <f>M656/(1+IFERROR(INDEX(M$10:M$11,Предпосылки!$J299,),0))*IFERROR(INDEX(M$10:M$11,Предпосылки!$J299,),0)</f>
        <v>0</v>
      </c>
      <c s="125">
        <f>N656/(1+IFERROR(INDEX(N$10:N$11,Предпосылки!$J299,),0))*IFERROR(INDEX(N$10:N$11,Предпосылки!$J299,),0)</f>
        <v>0</v>
      </c>
      <c s="125">
        <f>O656/(1+IFERROR(INDEX(O$10:O$11,Предпосылки!$J299,),0))*IFERROR(INDEX(O$10:O$11,Предпосылки!$J299,),0)</f>
        <v>0</v>
      </c>
      <c s="125">
        <f>P656/(1+IFERROR(INDEX(P$10:P$11,Предпосылки!$J299,),0))*IFERROR(INDEX(P$10:P$11,Предпосылки!$J299,),0)</f>
        <v>0</v>
      </c>
      <c s="125">
        <f>Q656/(1+IFERROR(INDEX(Q$10:Q$11,Предпосылки!$J299,),0))*IFERROR(INDEX(Q$10:Q$11,Предпосылки!$J299,),0)</f>
        <v>0</v>
      </c>
      <c s="125">
        <f>R656/(1+IFERROR(INDEX(R$10:R$11,Предпосылки!$J299,),0))*IFERROR(INDEX(R$10:R$11,Предпосылки!$J299,),0)</f>
        <v>0</v>
      </c>
      <c s="125">
        <f>S656/(1+IFERROR(INDEX(S$10:S$11,Предпосылки!$J299,),0))*IFERROR(INDEX(S$10:S$11,Предпосылки!$J299,),0)</f>
        <v>0</v>
      </c>
      <c s="125">
        <f>T656/(1+IFERROR(INDEX(T$10:T$11,Предпосылки!$J299,),0))*IFERROR(INDEX(T$10:T$11,Предпосылки!$J299,),0)</f>
        <v>0</v>
      </c>
      <c s="125">
        <f>U656/(1+IFERROR(INDEX(U$10:U$11,Предпосылки!$J299,),0))*IFERROR(INDEX(U$10:U$11,Предпосылки!$J299,),0)</f>
        <v>0</v>
      </c>
      <c s="125">
        <f>V656/(1+IFERROR(INDEX(V$10:V$11,Предпосылки!$J299,),0))*IFERROR(INDEX(V$10:V$11,Предпосылки!$J299,),0)</f>
        <v>0</v>
      </c>
      <c s="125">
        <f>W656/(1+IFERROR(INDEX(W$10:W$11,Предпосылки!$J299,),0))*IFERROR(INDEX(W$10:W$11,Предпосылки!$J299,),0)</f>
        <v>0</v>
      </c>
      <c s="125">
        <f>X656/(1+IFERROR(INDEX(X$10:X$11,Предпосылки!$J299,),0))*IFERROR(INDEX(X$10:X$11,Предпосылки!$J299,),0)</f>
        <v>0</v>
      </c>
      <c s="125">
        <f>Y656/(1+IFERROR(INDEX(Y$10:Y$11,Предпосылки!$J299,),0))*IFERROR(INDEX(Y$10:Y$11,Предпосылки!$J299,),0)</f>
        <v>0</v>
      </c>
      <c s="125">
        <f>Z656/(1+IFERROR(INDEX(Z$10:Z$11,Предпосылки!$J299,),0))*IFERROR(INDEX(Z$10:Z$11,Предпосылки!$J299,),0)</f>
        <v>0</v>
      </c>
      <c s="125">
        <f>AA656/(1+IFERROR(INDEX(AA$10:AA$11,Предпосылки!$J299,),0))*IFERROR(INDEX(AA$10:AA$11,Предпосылки!$J299,),0)</f>
        <v>0</v>
      </c>
      <c s="125">
        <f>AB656/(1+IFERROR(INDEX(AB$10:AB$11,Предпосылки!$J299,),0))*IFERROR(INDEX(AB$10:AB$11,Предпосылки!$J299,),0)</f>
        <v>0</v>
      </c>
      <c s="125">
        <f>AC656/(1+IFERROR(INDEX(AC$10:AC$11,Предпосылки!$J299,),0))*IFERROR(INDEX(AC$10:AC$11,Предпосылки!$J299,),0)</f>
        <v>0</v>
      </c>
      <c s="125">
        <f>AD656/(1+IFERROR(INDEX(AD$10:AD$11,Предпосылки!$J299,),0))*IFERROR(INDEX(AD$10:AD$11,Предпосылки!$J299,),0)</f>
        <v>0</v>
      </c>
      <c s="125">
        <f>AE656/(1+IFERROR(INDEX(AE$10:AE$11,Предпосылки!$J299,),0))*IFERROR(INDEX(AE$10:AE$11,Предпосылки!$J299,),0)</f>
        <v>0</v>
      </c>
      <c s="125">
        <f>AF656/(1+IFERROR(INDEX(AF$10:AF$11,Предпосылки!$J299,),0))*IFERROR(INDEX(AF$10:AF$11,Предпосылки!$J299,),0)</f>
        <v>0</v>
      </c>
      <c s="125">
        <f>AG656/(1+IFERROR(INDEX(AG$10:AG$11,Предпосылки!$J299,),0))*IFERROR(INDEX(AG$10:AG$11,Предпосылки!$J299,),0)</f>
        <v>0</v>
      </c>
      <c s="125">
        <f>AH656/(1+IFERROR(INDEX(AH$10:AH$11,Предпосылки!$J299,),0))*IFERROR(INDEX(AH$10:AH$11,Предпосылки!$J299,),0)</f>
        <v>0</v>
      </c>
      <c s="125">
        <f>AI656/(1+IFERROR(INDEX(AI$10:AI$11,Предпосылки!$J299,),0))*IFERROR(INDEX(AI$10:AI$11,Предпосылки!$J299,),0)</f>
        <v>0</v>
      </c>
      <c s="125">
        <f>AJ656/(1+IFERROR(INDEX(AJ$10:AJ$11,Предпосылки!$J299,),0))*IFERROR(INDEX(AJ$10:AJ$11,Предпосылки!$J299,),0)</f>
        <v>0</v>
      </c>
      <c s="125">
        <f>AK656/(1+IFERROR(INDEX(AK$10:AK$11,Предпосылки!$J299,),0))*IFERROR(INDEX(AK$10:AK$11,Предпосылки!$J299,),0)</f>
        <v>0</v>
      </c>
      <c s="125">
        <f>AL656/(1+IFERROR(INDEX(AL$10:AL$11,Предпосылки!$J299,),0))*IFERROR(INDEX(AL$10:AL$11,Предпосылки!$J299,),0)</f>
        <v>0</v>
      </c>
      <c s="125">
        <f>AM656/(1+IFERROR(INDEX(AM$10:AM$11,Предпосылки!$J299,),0))*IFERROR(INDEX(AM$10:AM$11,Предпосылки!$J299,),0)</f>
        <v>0</v>
      </c>
      <c s="125">
        <f>AN656/(1+IFERROR(INDEX(AN$10:AN$11,Предпосылки!$J299,),0))*IFERROR(INDEX(AN$10:AN$11,Предпосылки!$J299,),0)</f>
        <v>0</v>
      </c>
      <c s="125">
        <f>AO656/(1+IFERROR(INDEX(AO$10:AO$11,Предпосылки!$J299,),0))*IFERROR(INDEX(AO$10:AO$11,Предпосылки!$J299,),0)</f>
        <v>0</v>
      </c>
      <c s="125">
        <f>AP656/(1+IFERROR(INDEX(AP$10:AP$11,Предпосылки!$J299,),0))*IFERROR(INDEX(AP$10:AP$11,Предпосылки!$J299,),0)</f>
        <v>0</v>
      </c>
      <c s="125">
        <f>AQ656/(1+IFERROR(INDEX(AQ$10:AQ$11,Предпосылки!$J299,),0))*IFERROR(INDEX(AQ$10:AQ$11,Предпосылки!$J299,),0)</f>
        <v>0</v>
      </c>
      <c s="125">
        <f>AR656/(1+IFERROR(INDEX(AR$10:AR$11,Предпосылки!$J299,),0))*IFERROR(INDEX(AR$10:AR$11,Предпосылки!$J299,),0)</f>
        <v>0</v>
      </c>
      <c s="125">
        <f>AS656/(1+IFERROR(INDEX(AS$10:AS$11,Предпосылки!$J299,),0))*IFERROR(INDEX(AS$10:AS$11,Предпосылки!$J299,),0)</f>
        <v>0</v>
      </c>
      <c s="125">
        <f>AT656/(1+IFERROR(INDEX(AT$10:AT$11,Предпосылки!$J299,),0))*IFERROR(INDEX(AT$10:AT$11,Предпосылки!$J299,),0)</f>
        <v>0</v>
      </c>
      <c s="125">
        <f>AU656/(1+IFERROR(INDEX(AU$10:AU$11,Предпосылки!$J299,),0))*IFERROR(INDEX(AU$10:AU$11,Предпосылки!$J299,),0)</f>
        <v>0</v>
      </c>
      <c s="125">
        <f>AV656/(1+IFERROR(INDEX(AV$10:AV$11,Предпосылки!$J299,),0))*IFERROR(INDEX(AV$10:AV$11,Предпосылки!$J299,),0)</f>
        <v>0</v>
      </c>
      <c s="125">
        <f>AW656/(1+IFERROR(INDEX(AW$10:AW$11,Предпосылки!$J299,),0))*IFERROR(INDEX(AW$10:AW$11,Предпосылки!$J299,),0)</f>
        <v>0</v>
      </c>
      <c s="125">
        <f>AX656/(1+IFERROR(INDEX(AX$10:AX$11,Предпосылки!$J299,),0))*IFERROR(INDEX(AX$10:AX$11,Предпосылки!$J299,),0)</f>
        <v>0</v>
      </c>
      <c s="125">
        <f>AY656/(1+IFERROR(INDEX(AY$10:AY$11,Предпосылки!$J299,),0))*IFERROR(INDEX(AY$10:AY$11,Предпосылки!$J299,),0)</f>
        <v>0</v>
      </c>
      <c s="125">
        <f>AZ656/(1+IFERROR(INDEX(AZ$10:AZ$11,Предпосылки!$J299,),0))*IFERROR(INDEX(AZ$10:AZ$11,Предпосылки!$J299,),0)</f>
        <v>0</v>
      </c>
      <c s="125">
        <f>BA656/(1+IFERROR(INDEX(BA$10:BA$11,Предпосылки!$J299,),0))*IFERROR(INDEX(BA$10:BA$11,Предпосылки!$J299,),0)</f>
        <v>0</v>
      </c>
      <c s="125">
        <f>BB656/(1+IFERROR(INDEX(BB$10:BB$11,Предпосылки!$J299,),0))*IFERROR(INDEX(BB$10:BB$11,Предпосылки!$J299,),0)</f>
        <v>0</v>
      </c>
      <c s="125">
        <f>BC656/(1+IFERROR(INDEX(BC$10:BC$11,Предпосылки!$J299,),0))*IFERROR(INDEX(BC$10:BC$11,Предпосылки!$J299,),0)</f>
        <v>0</v>
      </c>
      <c s="125">
        <f>BD656/(1+IFERROR(INDEX(BD$10:BD$11,Предпосылки!$J299,),0))*IFERROR(INDEX(BD$10:BD$11,Предпосылки!$J299,),0)</f>
        <v>0</v>
      </c>
      <c s="125">
        <f>BE656/(1+IFERROR(INDEX(BE$10:BE$11,Предпосылки!$J299,),0))*IFERROR(INDEX(BE$10:BE$11,Предпосылки!$J299,),0)</f>
        <v>0</v>
      </c>
      <c s="125">
        <f>BF656/(1+IFERROR(INDEX(BF$10:BF$11,Предпосылки!$J299,),0))*IFERROR(INDEX(BF$10:BF$11,Предпосылки!$J299,),0)</f>
        <v>0</v>
      </c>
      <c s="125">
        <f>BG656/(1+IFERROR(INDEX(BG$10:BG$11,Предпосылки!$J299,),0))*IFERROR(INDEX(BG$10:BG$11,Предпосылки!$J299,),0)</f>
        <v>0</v>
      </c>
      <c s="125">
        <f>BH656/(1+IFERROR(INDEX(BH$10:BH$11,Предпосылки!$J299,),0))*IFERROR(INDEX(BH$10:BH$11,Предпосылки!$J299,),0)</f>
        <v>0</v>
      </c>
      <c s="125">
        <f>BI656/(1+IFERROR(INDEX(BI$10:BI$11,Предпосылки!$J299,),0))*IFERROR(INDEX(BI$10:BI$11,Предпосылки!$J299,),0)</f>
        <v>0</v>
      </c>
      <c s="125">
        <f>BJ656/(1+IFERROR(INDEX(BJ$10:BJ$11,Предпосылки!$J299,),0))*IFERROR(INDEX(BJ$10:BJ$11,Предпосылки!$J299,),0)</f>
        <v>0</v>
      </c>
      <c s="125">
        <f>BK656/(1+IFERROR(INDEX(BK$10:BK$11,Предпосылки!$J299,),0))*IFERROR(INDEX(BK$10:BK$11,Предпосылки!$J299,),0)</f>
        <v>0</v>
      </c>
      <c s="125">
        <f>BL656/(1+IFERROR(INDEX(BL$10:BL$11,Предпосылки!$J299,),0))*IFERROR(INDEX(BL$10:BL$11,Предпосылки!$J299,),0)</f>
        <v>0</v>
      </c>
      <c s="125">
        <f>BM656/(1+IFERROR(INDEX(BM$10:BM$11,Предпосылки!$J299,),0))*IFERROR(INDEX(BM$10:BM$11,Предпосылки!$J299,),0)</f>
        <v>0</v>
      </c>
    </row>
    <row r="685" spans="2:65" ht="15" customHeight="1">
      <c r="B685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E657/(1+IFERROR(INDEX(E$10:E$11,Предпосылки!$J300,),0))*IFERROR(INDEX(E$10:E$11,Предпосылки!$J300,),0)</f>
        <v>0</v>
      </c>
      <c s="125">
        <f>F657/(1+IFERROR(INDEX(F$10:F$11,Предпосылки!$J300,),0))*IFERROR(INDEX(F$10:F$11,Предпосылки!$J300,),0)</f>
        <v>0</v>
      </c>
      <c s="125">
        <f>G657/(1+IFERROR(INDEX(G$10:G$11,Предпосылки!$J300,),0))*IFERROR(INDEX(G$10:G$11,Предпосылки!$J300,),0)</f>
        <v>0</v>
      </c>
      <c s="125">
        <f>H657/(1+IFERROR(INDEX(H$10:H$11,Предпосылки!$J300,),0))*IFERROR(INDEX(H$10:H$11,Предпосылки!$J300,),0)</f>
        <v>0</v>
      </c>
      <c s="125">
        <f>I657/(1+IFERROR(INDEX(I$10:I$11,Предпосылки!$J300,),0))*IFERROR(INDEX(I$10:I$11,Предпосылки!$J300,),0)</f>
        <v>0</v>
      </c>
      <c s="125">
        <f>J657/(1+IFERROR(INDEX(J$10:J$11,Предпосылки!$J300,),0))*IFERROR(INDEX(J$10:J$11,Предпосылки!$J300,),0)</f>
        <v>0</v>
      </c>
      <c s="125">
        <f>K657/(1+IFERROR(INDEX(K$10:K$11,Предпосылки!$J300,),0))*IFERROR(INDEX(K$10:K$11,Предпосылки!$J300,),0)</f>
        <v>0</v>
      </c>
      <c s="125">
        <f>L657/(1+IFERROR(INDEX(L$10:L$11,Предпосылки!$J300,),0))*IFERROR(INDEX(L$10:L$11,Предпосылки!$J300,),0)</f>
        <v>0</v>
      </c>
      <c s="125">
        <f>M657/(1+IFERROR(INDEX(M$10:M$11,Предпосылки!$J300,),0))*IFERROR(INDEX(M$10:M$11,Предпосылки!$J300,),0)</f>
        <v>0</v>
      </c>
      <c s="125">
        <f>N657/(1+IFERROR(INDEX(N$10:N$11,Предпосылки!$J300,),0))*IFERROR(INDEX(N$10:N$11,Предпосылки!$J300,),0)</f>
        <v>0</v>
      </c>
      <c s="125">
        <f>O657/(1+IFERROR(INDEX(O$10:O$11,Предпосылки!$J300,),0))*IFERROR(INDEX(O$10:O$11,Предпосылки!$J300,),0)</f>
        <v>0</v>
      </c>
      <c s="125">
        <f>P657/(1+IFERROR(INDEX(P$10:P$11,Предпосылки!$J300,),0))*IFERROR(INDEX(P$10:P$11,Предпосылки!$J300,),0)</f>
        <v>0</v>
      </c>
      <c s="125">
        <f>Q657/(1+IFERROR(INDEX(Q$10:Q$11,Предпосылки!$J300,),0))*IFERROR(INDEX(Q$10:Q$11,Предпосылки!$J300,),0)</f>
        <v>0</v>
      </c>
      <c s="125">
        <f>R657/(1+IFERROR(INDEX(R$10:R$11,Предпосылки!$J300,),0))*IFERROR(INDEX(R$10:R$11,Предпосылки!$J300,),0)</f>
        <v>0</v>
      </c>
      <c s="125">
        <f>S657/(1+IFERROR(INDEX(S$10:S$11,Предпосылки!$J300,),0))*IFERROR(INDEX(S$10:S$11,Предпосылки!$J300,),0)</f>
        <v>0</v>
      </c>
      <c s="125">
        <f>T657/(1+IFERROR(INDEX(T$10:T$11,Предпосылки!$J300,),0))*IFERROR(INDEX(T$10:T$11,Предпосылки!$J300,),0)</f>
        <v>0</v>
      </c>
      <c s="125">
        <f>U657/(1+IFERROR(INDEX(U$10:U$11,Предпосылки!$J300,),0))*IFERROR(INDEX(U$10:U$11,Предпосылки!$J300,),0)</f>
        <v>0</v>
      </c>
      <c s="125">
        <f>V657/(1+IFERROR(INDEX(V$10:V$11,Предпосылки!$J300,),0))*IFERROR(INDEX(V$10:V$11,Предпосылки!$J300,),0)</f>
        <v>0</v>
      </c>
      <c s="125">
        <f>W657/(1+IFERROR(INDEX(W$10:W$11,Предпосылки!$J300,),0))*IFERROR(INDEX(W$10:W$11,Предпосылки!$J300,),0)</f>
        <v>0</v>
      </c>
      <c s="125">
        <f>X657/(1+IFERROR(INDEX(X$10:X$11,Предпосылки!$J300,),0))*IFERROR(INDEX(X$10:X$11,Предпосылки!$J300,),0)</f>
        <v>0</v>
      </c>
      <c s="125">
        <f>Y657/(1+IFERROR(INDEX(Y$10:Y$11,Предпосылки!$J300,),0))*IFERROR(INDEX(Y$10:Y$11,Предпосылки!$J300,),0)</f>
        <v>0</v>
      </c>
      <c s="125">
        <f>Z657/(1+IFERROR(INDEX(Z$10:Z$11,Предпосылки!$J300,),0))*IFERROR(INDEX(Z$10:Z$11,Предпосылки!$J300,),0)</f>
        <v>0</v>
      </c>
      <c s="125">
        <f>AA657/(1+IFERROR(INDEX(AA$10:AA$11,Предпосылки!$J300,),0))*IFERROR(INDEX(AA$10:AA$11,Предпосылки!$J300,),0)</f>
        <v>0</v>
      </c>
      <c s="125">
        <f>AB657/(1+IFERROR(INDEX(AB$10:AB$11,Предпосылки!$J300,),0))*IFERROR(INDEX(AB$10:AB$11,Предпосылки!$J300,),0)</f>
        <v>0</v>
      </c>
      <c s="125">
        <f>AC657/(1+IFERROR(INDEX(AC$10:AC$11,Предпосылки!$J300,),0))*IFERROR(INDEX(AC$10:AC$11,Предпосылки!$J300,),0)</f>
        <v>0</v>
      </c>
      <c s="125">
        <f>AD657/(1+IFERROR(INDEX(AD$10:AD$11,Предпосылки!$J300,),0))*IFERROR(INDEX(AD$10:AD$11,Предпосылки!$J300,),0)</f>
        <v>0</v>
      </c>
      <c s="125">
        <f>AE657/(1+IFERROR(INDEX(AE$10:AE$11,Предпосылки!$J300,),0))*IFERROR(INDEX(AE$10:AE$11,Предпосылки!$J300,),0)</f>
        <v>0</v>
      </c>
      <c s="125">
        <f>AF657/(1+IFERROR(INDEX(AF$10:AF$11,Предпосылки!$J300,),0))*IFERROR(INDEX(AF$10:AF$11,Предпосылки!$J300,),0)</f>
        <v>0</v>
      </c>
      <c s="125">
        <f>AG657/(1+IFERROR(INDEX(AG$10:AG$11,Предпосылки!$J300,),0))*IFERROR(INDEX(AG$10:AG$11,Предпосылки!$J300,),0)</f>
        <v>0</v>
      </c>
      <c s="125">
        <f>AH657/(1+IFERROR(INDEX(AH$10:AH$11,Предпосылки!$J300,),0))*IFERROR(INDEX(AH$10:AH$11,Предпосылки!$J300,),0)</f>
        <v>0</v>
      </c>
      <c s="125">
        <f>AI657/(1+IFERROR(INDEX(AI$10:AI$11,Предпосылки!$J300,),0))*IFERROR(INDEX(AI$10:AI$11,Предпосылки!$J300,),0)</f>
        <v>0</v>
      </c>
      <c s="125">
        <f>AJ657/(1+IFERROR(INDEX(AJ$10:AJ$11,Предпосылки!$J300,),0))*IFERROR(INDEX(AJ$10:AJ$11,Предпосылки!$J300,),0)</f>
        <v>0</v>
      </c>
      <c s="125">
        <f>AK657/(1+IFERROR(INDEX(AK$10:AK$11,Предпосылки!$J300,),0))*IFERROR(INDEX(AK$10:AK$11,Предпосылки!$J300,),0)</f>
        <v>0</v>
      </c>
      <c s="125">
        <f>AL657/(1+IFERROR(INDEX(AL$10:AL$11,Предпосылки!$J300,),0))*IFERROR(INDEX(AL$10:AL$11,Предпосылки!$J300,),0)</f>
        <v>0</v>
      </c>
      <c s="125">
        <f>AM657/(1+IFERROR(INDEX(AM$10:AM$11,Предпосылки!$J300,),0))*IFERROR(INDEX(AM$10:AM$11,Предпосылки!$J300,),0)</f>
        <v>0</v>
      </c>
      <c s="125">
        <f>AN657/(1+IFERROR(INDEX(AN$10:AN$11,Предпосылки!$J300,),0))*IFERROR(INDEX(AN$10:AN$11,Предпосылки!$J300,),0)</f>
        <v>0</v>
      </c>
      <c s="125">
        <f>AO657/(1+IFERROR(INDEX(AO$10:AO$11,Предпосылки!$J300,),0))*IFERROR(INDEX(AO$10:AO$11,Предпосылки!$J300,),0)</f>
        <v>0</v>
      </c>
      <c s="125">
        <f>AP657/(1+IFERROR(INDEX(AP$10:AP$11,Предпосылки!$J300,),0))*IFERROR(INDEX(AP$10:AP$11,Предпосылки!$J300,),0)</f>
        <v>0</v>
      </c>
      <c s="125">
        <f>AQ657/(1+IFERROR(INDEX(AQ$10:AQ$11,Предпосылки!$J300,),0))*IFERROR(INDEX(AQ$10:AQ$11,Предпосылки!$J300,),0)</f>
        <v>0</v>
      </c>
      <c s="125">
        <f>AR657/(1+IFERROR(INDEX(AR$10:AR$11,Предпосылки!$J300,),0))*IFERROR(INDEX(AR$10:AR$11,Предпосылки!$J300,),0)</f>
        <v>0</v>
      </c>
      <c s="125">
        <f>AS657/(1+IFERROR(INDEX(AS$10:AS$11,Предпосылки!$J300,),0))*IFERROR(INDEX(AS$10:AS$11,Предпосылки!$J300,),0)</f>
        <v>0</v>
      </c>
      <c s="125">
        <f>AT657/(1+IFERROR(INDEX(AT$10:AT$11,Предпосылки!$J300,),0))*IFERROR(INDEX(AT$10:AT$11,Предпосылки!$J300,),0)</f>
        <v>0</v>
      </c>
      <c s="125">
        <f>AU657/(1+IFERROR(INDEX(AU$10:AU$11,Предпосылки!$J300,),0))*IFERROR(INDEX(AU$10:AU$11,Предпосылки!$J300,),0)</f>
        <v>0</v>
      </c>
      <c s="125">
        <f>AV657/(1+IFERROR(INDEX(AV$10:AV$11,Предпосылки!$J300,),0))*IFERROR(INDEX(AV$10:AV$11,Предпосылки!$J300,),0)</f>
        <v>0</v>
      </c>
      <c s="125">
        <f>AW657/(1+IFERROR(INDEX(AW$10:AW$11,Предпосылки!$J300,),0))*IFERROR(INDEX(AW$10:AW$11,Предпосылки!$J300,),0)</f>
        <v>0</v>
      </c>
      <c s="125">
        <f>AX657/(1+IFERROR(INDEX(AX$10:AX$11,Предпосылки!$J300,),0))*IFERROR(INDEX(AX$10:AX$11,Предпосылки!$J300,),0)</f>
        <v>0</v>
      </c>
      <c s="125">
        <f>AY657/(1+IFERROR(INDEX(AY$10:AY$11,Предпосылки!$J300,),0))*IFERROR(INDEX(AY$10:AY$11,Предпосылки!$J300,),0)</f>
        <v>0</v>
      </c>
      <c s="125">
        <f>AZ657/(1+IFERROR(INDEX(AZ$10:AZ$11,Предпосылки!$J300,),0))*IFERROR(INDEX(AZ$10:AZ$11,Предпосылки!$J300,),0)</f>
        <v>0</v>
      </c>
      <c s="125">
        <f>BA657/(1+IFERROR(INDEX(BA$10:BA$11,Предпосылки!$J300,),0))*IFERROR(INDEX(BA$10:BA$11,Предпосылки!$J300,),0)</f>
        <v>0</v>
      </c>
      <c s="125">
        <f>BB657/(1+IFERROR(INDEX(BB$10:BB$11,Предпосылки!$J300,),0))*IFERROR(INDEX(BB$10:BB$11,Предпосылки!$J300,),0)</f>
        <v>0</v>
      </c>
      <c s="125">
        <f>BC657/(1+IFERROR(INDEX(BC$10:BC$11,Предпосылки!$J300,),0))*IFERROR(INDEX(BC$10:BC$11,Предпосылки!$J300,),0)</f>
        <v>0</v>
      </c>
      <c s="125">
        <f>BD657/(1+IFERROR(INDEX(BD$10:BD$11,Предпосылки!$J300,),0))*IFERROR(INDEX(BD$10:BD$11,Предпосылки!$J300,),0)</f>
        <v>0</v>
      </c>
      <c s="125">
        <f>BE657/(1+IFERROR(INDEX(BE$10:BE$11,Предпосылки!$J300,),0))*IFERROR(INDEX(BE$10:BE$11,Предпосылки!$J300,),0)</f>
        <v>0</v>
      </c>
      <c s="125">
        <f>BF657/(1+IFERROR(INDEX(BF$10:BF$11,Предпосылки!$J300,),0))*IFERROR(INDEX(BF$10:BF$11,Предпосылки!$J300,),0)</f>
        <v>0</v>
      </c>
      <c s="125">
        <f>BG657/(1+IFERROR(INDEX(BG$10:BG$11,Предпосылки!$J300,),0))*IFERROR(INDEX(BG$10:BG$11,Предпосылки!$J300,),0)</f>
        <v>0</v>
      </c>
      <c s="125">
        <f>BH657/(1+IFERROR(INDEX(BH$10:BH$11,Предпосылки!$J300,),0))*IFERROR(INDEX(BH$10:BH$11,Предпосылки!$J300,),0)</f>
        <v>0</v>
      </c>
      <c s="125">
        <f>BI657/(1+IFERROR(INDEX(BI$10:BI$11,Предпосылки!$J300,),0))*IFERROR(INDEX(BI$10:BI$11,Предпосылки!$J300,),0)</f>
        <v>0</v>
      </c>
      <c s="125">
        <f>BJ657/(1+IFERROR(INDEX(BJ$10:BJ$11,Предпосылки!$J300,),0))*IFERROR(INDEX(BJ$10:BJ$11,Предпосылки!$J300,),0)</f>
        <v>0</v>
      </c>
      <c s="125">
        <f>BK657/(1+IFERROR(INDEX(BK$10:BK$11,Предпосылки!$J300,),0))*IFERROR(INDEX(BK$10:BK$11,Предпосылки!$J300,),0)</f>
        <v>0</v>
      </c>
      <c s="125">
        <f>BL657/(1+IFERROR(INDEX(BL$10:BL$11,Предпосылки!$J300,),0))*IFERROR(INDEX(BL$10:BL$11,Предпосылки!$J300,),0)</f>
        <v>0</v>
      </c>
      <c s="125">
        <f>BM657/(1+IFERROR(INDEX(BM$10:BM$11,Предпосылки!$J300,),0))*IFERROR(INDEX(BM$10:BM$11,Предпосылки!$J300,),0)</f>
        <v>0</v>
      </c>
    </row>
    <row r="686" spans="2:65" ht="15" customHeight="1">
      <c r="B686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E658/(1+IFERROR(INDEX(E$10:E$11,Предпосылки!$J301,),0))*IFERROR(INDEX(E$10:E$11,Предпосылки!$J301,),0)</f>
        <v>0</v>
      </c>
      <c s="125">
        <f>F658/(1+IFERROR(INDEX(F$10:F$11,Предпосылки!$J301,),0))*IFERROR(INDEX(F$10:F$11,Предпосылки!$J301,),0)</f>
        <v>0</v>
      </c>
      <c s="125">
        <f>G658/(1+IFERROR(INDEX(G$10:G$11,Предпосылки!$J301,),0))*IFERROR(INDEX(G$10:G$11,Предпосылки!$J301,),0)</f>
        <v>0</v>
      </c>
      <c s="125">
        <f>H658/(1+IFERROR(INDEX(H$10:H$11,Предпосылки!$J301,),0))*IFERROR(INDEX(H$10:H$11,Предпосылки!$J301,),0)</f>
        <v>0</v>
      </c>
      <c s="125">
        <f>I658/(1+IFERROR(INDEX(I$10:I$11,Предпосылки!$J301,),0))*IFERROR(INDEX(I$10:I$11,Предпосылки!$J301,),0)</f>
        <v>0</v>
      </c>
      <c s="125">
        <f>J658/(1+IFERROR(INDEX(J$10:J$11,Предпосылки!$J301,),0))*IFERROR(INDEX(J$10:J$11,Предпосылки!$J301,),0)</f>
        <v>0</v>
      </c>
      <c s="125">
        <f>K658/(1+IFERROR(INDEX(K$10:K$11,Предпосылки!$J301,),0))*IFERROR(INDEX(K$10:K$11,Предпосылки!$J301,),0)</f>
        <v>0</v>
      </c>
      <c s="125">
        <f>L658/(1+IFERROR(INDEX(L$10:L$11,Предпосылки!$J301,),0))*IFERROR(INDEX(L$10:L$11,Предпосылки!$J301,),0)</f>
        <v>0</v>
      </c>
      <c s="125">
        <f>M658/(1+IFERROR(INDEX(M$10:M$11,Предпосылки!$J301,),0))*IFERROR(INDEX(M$10:M$11,Предпосылки!$J301,),0)</f>
        <v>0</v>
      </c>
      <c s="125">
        <f>N658/(1+IFERROR(INDEX(N$10:N$11,Предпосылки!$J301,),0))*IFERROR(INDEX(N$10:N$11,Предпосылки!$J301,),0)</f>
        <v>0</v>
      </c>
      <c s="125">
        <f>O658/(1+IFERROR(INDEX(O$10:O$11,Предпосылки!$J301,),0))*IFERROR(INDEX(O$10:O$11,Предпосылки!$J301,),0)</f>
        <v>0</v>
      </c>
      <c s="125">
        <f>P658/(1+IFERROR(INDEX(P$10:P$11,Предпосылки!$J301,),0))*IFERROR(INDEX(P$10:P$11,Предпосылки!$J301,),0)</f>
        <v>0</v>
      </c>
      <c s="125">
        <f>Q658/(1+IFERROR(INDEX(Q$10:Q$11,Предпосылки!$J301,),0))*IFERROR(INDEX(Q$10:Q$11,Предпосылки!$J301,),0)</f>
        <v>0</v>
      </c>
      <c s="125">
        <f>R658/(1+IFERROR(INDEX(R$10:R$11,Предпосылки!$J301,),0))*IFERROR(INDEX(R$10:R$11,Предпосылки!$J301,),0)</f>
        <v>0</v>
      </c>
      <c s="125">
        <f>S658/(1+IFERROR(INDEX(S$10:S$11,Предпосылки!$J301,),0))*IFERROR(INDEX(S$10:S$11,Предпосылки!$J301,),0)</f>
        <v>0</v>
      </c>
      <c s="125">
        <f>T658/(1+IFERROR(INDEX(T$10:T$11,Предпосылки!$J301,),0))*IFERROR(INDEX(T$10:T$11,Предпосылки!$J301,),0)</f>
        <v>0</v>
      </c>
      <c s="125">
        <f>U658/(1+IFERROR(INDEX(U$10:U$11,Предпосылки!$J301,),0))*IFERROR(INDEX(U$10:U$11,Предпосылки!$J301,),0)</f>
        <v>0</v>
      </c>
      <c s="125">
        <f>V658/(1+IFERROR(INDEX(V$10:V$11,Предпосылки!$J301,),0))*IFERROR(INDEX(V$10:V$11,Предпосылки!$J301,),0)</f>
        <v>0</v>
      </c>
      <c s="125">
        <f>W658/(1+IFERROR(INDEX(W$10:W$11,Предпосылки!$J301,),0))*IFERROR(INDEX(W$10:W$11,Предпосылки!$J301,),0)</f>
        <v>0</v>
      </c>
      <c s="125">
        <f>X658/(1+IFERROR(INDEX(X$10:X$11,Предпосылки!$J301,),0))*IFERROR(INDEX(X$10:X$11,Предпосылки!$J301,),0)</f>
        <v>0</v>
      </c>
      <c s="125">
        <f>Y658/(1+IFERROR(INDEX(Y$10:Y$11,Предпосылки!$J301,),0))*IFERROR(INDEX(Y$10:Y$11,Предпосылки!$J301,),0)</f>
        <v>0</v>
      </c>
      <c s="125">
        <f>Z658/(1+IFERROR(INDEX(Z$10:Z$11,Предпосылки!$J301,),0))*IFERROR(INDEX(Z$10:Z$11,Предпосылки!$J301,),0)</f>
        <v>0</v>
      </c>
      <c s="125">
        <f>AA658/(1+IFERROR(INDEX(AA$10:AA$11,Предпосылки!$J301,),0))*IFERROR(INDEX(AA$10:AA$11,Предпосылки!$J301,),0)</f>
        <v>0</v>
      </c>
      <c s="125">
        <f>AB658/(1+IFERROR(INDEX(AB$10:AB$11,Предпосылки!$J301,),0))*IFERROR(INDEX(AB$10:AB$11,Предпосылки!$J301,),0)</f>
        <v>0</v>
      </c>
      <c s="125">
        <f>AC658/(1+IFERROR(INDEX(AC$10:AC$11,Предпосылки!$J301,),0))*IFERROR(INDEX(AC$10:AC$11,Предпосылки!$J301,),0)</f>
        <v>0</v>
      </c>
      <c s="125">
        <f>AD658/(1+IFERROR(INDEX(AD$10:AD$11,Предпосылки!$J301,),0))*IFERROR(INDEX(AD$10:AD$11,Предпосылки!$J301,),0)</f>
        <v>0</v>
      </c>
      <c s="125">
        <f>AE658/(1+IFERROR(INDEX(AE$10:AE$11,Предпосылки!$J301,),0))*IFERROR(INDEX(AE$10:AE$11,Предпосылки!$J301,),0)</f>
        <v>0</v>
      </c>
      <c s="125">
        <f>AF658/(1+IFERROR(INDEX(AF$10:AF$11,Предпосылки!$J301,),0))*IFERROR(INDEX(AF$10:AF$11,Предпосылки!$J301,),0)</f>
        <v>0</v>
      </c>
      <c s="125">
        <f>AG658/(1+IFERROR(INDEX(AG$10:AG$11,Предпосылки!$J301,),0))*IFERROR(INDEX(AG$10:AG$11,Предпосылки!$J301,),0)</f>
        <v>0</v>
      </c>
      <c s="125">
        <f>AH658/(1+IFERROR(INDEX(AH$10:AH$11,Предпосылки!$J301,),0))*IFERROR(INDEX(AH$10:AH$11,Предпосылки!$J301,),0)</f>
        <v>0</v>
      </c>
      <c s="125">
        <f>AI658/(1+IFERROR(INDEX(AI$10:AI$11,Предпосылки!$J301,),0))*IFERROR(INDEX(AI$10:AI$11,Предпосылки!$J301,),0)</f>
        <v>0</v>
      </c>
      <c s="125">
        <f>AJ658/(1+IFERROR(INDEX(AJ$10:AJ$11,Предпосылки!$J301,),0))*IFERROR(INDEX(AJ$10:AJ$11,Предпосылки!$J301,),0)</f>
        <v>0</v>
      </c>
      <c s="125">
        <f>AK658/(1+IFERROR(INDEX(AK$10:AK$11,Предпосылки!$J301,),0))*IFERROR(INDEX(AK$10:AK$11,Предпосылки!$J301,),0)</f>
        <v>0</v>
      </c>
      <c s="125">
        <f>AL658/(1+IFERROR(INDEX(AL$10:AL$11,Предпосылки!$J301,),0))*IFERROR(INDEX(AL$10:AL$11,Предпосылки!$J301,),0)</f>
        <v>0</v>
      </c>
      <c s="125">
        <f>AM658/(1+IFERROR(INDEX(AM$10:AM$11,Предпосылки!$J301,),0))*IFERROR(INDEX(AM$10:AM$11,Предпосылки!$J301,),0)</f>
        <v>0</v>
      </c>
      <c s="125">
        <f>AN658/(1+IFERROR(INDEX(AN$10:AN$11,Предпосылки!$J301,),0))*IFERROR(INDEX(AN$10:AN$11,Предпосылки!$J301,),0)</f>
        <v>0</v>
      </c>
      <c s="125">
        <f>AO658/(1+IFERROR(INDEX(AO$10:AO$11,Предпосылки!$J301,),0))*IFERROR(INDEX(AO$10:AO$11,Предпосылки!$J301,),0)</f>
        <v>0</v>
      </c>
      <c s="125">
        <f>AP658/(1+IFERROR(INDEX(AP$10:AP$11,Предпосылки!$J301,),0))*IFERROR(INDEX(AP$10:AP$11,Предпосылки!$J301,),0)</f>
        <v>0</v>
      </c>
      <c s="125">
        <f>AQ658/(1+IFERROR(INDEX(AQ$10:AQ$11,Предпосылки!$J301,),0))*IFERROR(INDEX(AQ$10:AQ$11,Предпосылки!$J301,),0)</f>
        <v>0</v>
      </c>
      <c s="125">
        <f>AR658/(1+IFERROR(INDEX(AR$10:AR$11,Предпосылки!$J301,),0))*IFERROR(INDEX(AR$10:AR$11,Предпосылки!$J301,),0)</f>
        <v>0</v>
      </c>
      <c s="125">
        <f>AS658/(1+IFERROR(INDEX(AS$10:AS$11,Предпосылки!$J301,),0))*IFERROR(INDEX(AS$10:AS$11,Предпосылки!$J301,),0)</f>
        <v>0</v>
      </c>
      <c s="125">
        <f>AT658/(1+IFERROR(INDEX(AT$10:AT$11,Предпосылки!$J301,),0))*IFERROR(INDEX(AT$10:AT$11,Предпосылки!$J301,),0)</f>
        <v>0</v>
      </c>
      <c s="125">
        <f>AU658/(1+IFERROR(INDEX(AU$10:AU$11,Предпосылки!$J301,),0))*IFERROR(INDEX(AU$10:AU$11,Предпосылки!$J301,),0)</f>
        <v>0</v>
      </c>
      <c s="125">
        <f>AV658/(1+IFERROR(INDEX(AV$10:AV$11,Предпосылки!$J301,),0))*IFERROR(INDEX(AV$10:AV$11,Предпосылки!$J301,),0)</f>
        <v>0</v>
      </c>
      <c s="125">
        <f>AW658/(1+IFERROR(INDEX(AW$10:AW$11,Предпосылки!$J301,),0))*IFERROR(INDEX(AW$10:AW$11,Предпосылки!$J301,),0)</f>
        <v>0</v>
      </c>
      <c s="125">
        <f>AX658/(1+IFERROR(INDEX(AX$10:AX$11,Предпосылки!$J301,),0))*IFERROR(INDEX(AX$10:AX$11,Предпосылки!$J301,),0)</f>
        <v>0</v>
      </c>
      <c s="125">
        <f>AY658/(1+IFERROR(INDEX(AY$10:AY$11,Предпосылки!$J301,),0))*IFERROR(INDEX(AY$10:AY$11,Предпосылки!$J301,),0)</f>
        <v>0</v>
      </c>
      <c s="125">
        <f>AZ658/(1+IFERROR(INDEX(AZ$10:AZ$11,Предпосылки!$J301,),0))*IFERROR(INDEX(AZ$10:AZ$11,Предпосылки!$J301,),0)</f>
        <v>0</v>
      </c>
      <c s="125">
        <f>BA658/(1+IFERROR(INDEX(BA$10:BA$11,Предпосылки!$J301,),0))*IFERROR(INDEX(BA$10:BA$11,Предпосылки!$J301,),0)</f>
        <v>0</v>
      </c>
      <c s="125">
        <f>BB658/(1+IFERROR(INDEX(BB$10:BB$11,Предпосылки!$J301,),0))*IFERROR(INDEX(BB$10:BB$11,Предпосылки!$J301,),0)</f>
        <v>0</v>
      </c>
      <c s="125">
        <f>BC658/(1+IFERROR(INDEX(BC$10:BC$11,Предпосылки!$J301,),0))*IFERROR(INDEX(BC$10:BC$11,Предпосылки!$J301,),0)</f>
        <v>0</v>
      </c>
      <c s="125">
        <f>BD658/(1+IFERROR(INDEX(BD$10:BD$11,Предпосылки!$J301,),0))*IFERROR(INDEX(BD$10:BD$11,Предпосылки!$J301,),0)</f>
        <v>0</v>
      </c>
      <c s="125">
        <f>BE658/(1+IFERROR(INDEX(BE$10:BE$11,Предпосылки!$J301,),0))*IFERROR(INDEX(BE$10:BE$11,Предпосылки!$J301,),0)</f>
        <v>0</v>
      </c>
      <c s="125">
        <f>BF658/(1+IFERROR(INDEX(BF$10:BF$11,Предпосылки!$J301,),0))*IFERROR(INDEX(BF$10:BF$11,Предпосылки!$J301,),0)</f>
        <v>0</v>
      </c>
      <c s="125">
        <f>BG658/(1+IFERROR(INDEX(BG$10:BG$11,Предпосылки!$J301,),0))*IFERROR(INDEX(BG$10:BG$11,Предпосылки!$J301,),0)</f>
        <v>0</v>
      </c>
      <c s="125">
        <f>BH658/(1+IFERROR(INDEX(BH$10:BH$11,Предпосылки!$J301,),0))*IFERROR(INDEX(BH$10:BH$11,Предпосылки!$J301,),0)</f>
        <v>0</v>
      </c>
      <c s="125">
        <f>BI658/(1+IFERROR(INDEX(BI$10:BI$11,Предпосылки!$J301,),0))*IFERROR(INDEX(BI$10:BI$11,Предпосылки!$J301,),0)</f>
        <v>0</v>
      </c>
      <c s="125">
        <f>BJ658/(1+IFERROR(INDEX(BJ$10:BJ$11,Предпосылки!$J301,),0))*IFERROR(INDEX(BJ$10:BJ$11,Предпосылки!$J301,),0)</f>
        <v>0</v>
      </c>
      <c s="125">
        <f>BK658/(1+IFERROR(INDEX(BK$10:BK$11,Предпосылки!$J301,),0))*IFERROR(INDEX(BK$10:BK$11,Предпосылки!$J301,),0)</f>
        <v>0</v>
      </c>
      <c s="125">
        <f>BL658/(1+IFERROR(INDEX(BL$10:BL$11,Предпосылки!$J301,),0))*IFERROR(INDEX(BL$10:BL$11,Предпосылки!$J301,),0)</f>
        <v>0</v>
      </c>
      <c s="125">
        <f>BM658/(1+IFERROR(INDEX(BM$10:BM$11,Предпосылки!$J301,),0))*IFERROR(INDEX(BM$10:BM$11,Предпосылки!$J301,),0)</f>
        <v>0</v>
      </c>
    </row>
    <row r="687" spans="2:65" ht="15" customHeight="1">
      <c r="B687" s="12" t="str">
        <f t="shared" si="375"/>
        <v>-</v>
      </c>
      <c s="124" t="str">
        <f t="shared" si="374"/>
        <v>тыс. руб.</v>
      </c>
      <c s="276">
        <f t="shared" si="376"/>
        <v>0</v>
      </c>
      <c s="125">
        <f>E659/(1+IFERROR(INDEX(E$10:E$11,Предпосылки!$J302,),0))*IFERROR(INDEX(E$10:E$11,Предпосылки!$J302,),0)</f>
        <v>0</v>
      </c>
      <c s="125">
        <f>F659/(1+IFERROR(INDEX(F$10:F$11,Предпосылки!$J302,),0))*IFERROR(INDEX(F$10:F$11,Предпосылки!$J302,),0)</f>
        <v>0</v>
      </c>
      <c s="125">
        <f>G659/(1+IFERROR(INDEX(G$10:G$11,Предпосылки!$J302,),0))*IFERROR(INDEX(G$10:G$11,Предпосылки!$J302,),0)</f>
        <v>0</v>
      </c>
      <c s="125">
        <f>H659/(1+IFERROR(INDEX(H$10:H$11,Предпосылки!$J302,),0))*IFERROR(INDEX(H$10:H$11,Предпосылки!$J302,),0)</f>
        <v>0</v>
      </c>
      <c s="125">
        <f>I659/(1+IFERROR(INDEX(I$10:I$11,Предпосылки!$J302,),0))*IFERROR(INDEX(I$10:I$11,Предпосылки!$J302,),0)</f>
        <v>0</v>
      </c>
      <c s="125">
        <f>J659/(1+IFERROR(INDEX(J$10:J$11,Предпосылки!$J302,),0))*IFERROR(INDEX(J$10:J$11,Предпосылки!$J302,),0)</f>
        <v>0</v>
      </c>
      <c s="125">
        <f>K659/(1+IFERROR(INDEX(K$10:K$11,Предпосылки!$J302,),0))*IFERROR(INDEX(K$10:K$11,Предпосылки!$J302,),0)</f>
        <v>0</v>
      </c>
      <c s="125">
        <f>L659/(1+IFERROR(INDEX(L$10:L$11,Предпосылки!$J302,),0))*IFERROR(INDEX(L$10:L$11,Предпосылки!$J302,),0)</f>
        <v>0</v>
      </c>
      <c s="125">
        <f>M659/(1+IFERROR(INDEX(M$10:M$11,Предпосылки!$J302,),0))*IFERROR(INDEX(M$10:M$11,Предпосылки!$J302,),0)</f>
        <v>0</v>
      </c>
      <c s="125">
        <f>N659/(1+IFERROR(INDEX(N$10:N$11,Предпосылки!$J302,),0))*IFERROR(INDEX(N$10:N$11,Предпосылки!$J302,),0)</f>
        <v>0</v>
      </c>
      <c s="125">
        <f>O659/(1+IFERROR(INDEX(O$10:O$11,Предпосылки!$J302,),0))*IFERROR(INDEX(O$10:O$11,Предпосылки!$J302,),0)</f>
        <v>0</v>
      </c>
      <c s="125">
        <f>P659/(1+IFERROR(INDEX(P$10:P$11,Предпосылки!$J302,),0))*IFERROR(INDEX(P$10:P$11,Предпосылки!$J302,),0)</f>
        <v>0</v>
      </c>
      <c s="125">
        <f>Q659/(1+IFERROR(INDEX(Q$10:Q$11,Предпосылки!$J302,),0))*IFERROR(INDEX(Q$10:Q$11,Предпосылки!$J302,),0)</f>
        <v>0</v>
      </c>
      <c s="125">
        <f>R659/(1+IFERROR(INDEX(R$10:R$11,Предпосылки!$J302,),0))*IFERROR(INDEX(R$10:R$11,Предпосылки!$J302,),0)</f>
        <v>0</v>
      </c>
      <c s="125">
        <f>S659/(1+IFERROR(INDEX(S$10:S$11,Предпосылки!$J302,),0))*IFERROR(INDEX(S$10:S$11,Предпосылки!$J302,),0)</f>
        <v>0</v>
      </c>
      <c s="125">
        <f>T659/(1+IFERROR(INDEX(T$10:T$11,Предпосылки!$J302,),0))*IFERROR(INDEX(T$10:T$11,Предпосылки!$J302,),0)</f>
        <v>0</v>
      </c>
      <c s="125">
        <f>U659/(1+IFERROR(INDEX(U$10:U$11,Предпосылки!$J302,),0))*IFERROR(INDEX(U$10:U$11,Предпосылки!$J302,),0)</f>
        <v>0</v>
      </c>
      <c s="125">
        <f>V659/(1+IFERROR(INDEX(V$10:V$11,Предпосылки!$J302,),0))*IFERROR(INDEX(V$10:V$11,Предпосылки!$J302,),0)</f>
        <v>0</v>
      </c>
      <c s="125">
        <f>W659/(1+IFERROR(INDEX(W$10:W$11,Предпосылки!$J302,),0))*IFERROR(INDEX(W$10:W$11,Предпосылки!$J302,),0)</f>
        <v>0</v>
      </c>
      <c s="125">
        <f>X659/(1+IFERROR(INDEX(X$10:X$11,Предпосылки!$J302,),0))*IFERROR(INDEX(X$10:X$11,Предпосылки!$J302,),0)</f>
        <v>0</v>
      </c>
      <c s="125">
        <f>Y659/(1+IFERROR(INDEX(Y$10:Y$11,Предпосылки!$J302,),0))*IFERROR(INDEX(Y$10:Y$11,Предпосылки!$J302,),0)</f>
        <v>0</v>
      </c>
      <c s="125">
        <f>Z659/(1+IFERROR(INDEX(Z$10:Z$11,Предпосылки!$J302,),0))*IFERROR(INDEX(Z$10:Z$11,Предпосылки!$J302,),0)</f>
        <v>0</v>
      </c>
      <c s="125">
        <f>AA659/(1+IFERROR(INDEX(AA$10:AA$11,Предпосылки!$J302,),0))*IFERROR(INDEX(AA$10:AA$11,Предпосылки!$J302,),0)</f>
        <v>0</v>
      </c>
      <c s="125">
        <f>AB659/(1+IFERROR(INDEX(AB$10:AB$11,Предпосылки!$J302,),0))*IFERROR(INDEX(AB$10:AB$11,Предпосылки!$J302,),0)</f>
        <v>0</v>
      </c>
      <c s="125">
        <f>AC659/(1+IFERROR(INDEX(AC$10:AC$11,Предпосылки!$J302,),0))*IFERROR(INDEX(AC$10:AC$11,Предпосылки!$J302,),0)</f>
        <v>0</v>
      </c>
      <c s="125">
        <f>AD659/(1+IFERROR(INDEX(AD$10:AD$11,Предпосылки!$J302,),0))*IFERROR(INDEX(AD$10:AD$11,Предпосылки!$J302,),0)</f>
        <v>0</v>
      </c>
      <c s="125">
        <f>AE659/(1+IFERROR(INDEX(AE$10:AE$11,Предпосылки!$J302,),0))*IFERROR(INDEX(AE$10:AE$11,Предпосылки!$J302,),0)</f>
        <v>0</v>
      </c>
      <c s="125">
        <f>AF659/(1+IFERROR(INDEX(AF$10:AF$11,Предпосылки!$J302,),0))*IFERROR(INDEX(AF$10:AF$11,Предпосылки!$J302,),0)</f>
        <v>0</v>
      </c>
      <c s="125">
        <f>AG659/(1+IFERROR(INDEX(AG$10:AG$11,Предпосылки!$J302,),0))*IFERROR(INDEX(AG$10:AG$11,Предпосылки!$J302,),0)</f>
        <v>0</v>
      </c>
      <c s="125">
        <f>AH659/(1+IFERROR(INDEX(AH$10:AH$11,Предпосылки!$J302,),0))*IFERROR(INDEX(AH$10:AH$11,Предпосылки!$J302,),0)</f>
        <v>0</v>
      </c>
      <c s="125">
        <f>AI659/(1+IFERROR(INDEX(AI$10:AI$11,Предпосылки!$J302,),0))*IFERROR(INDEX(AI$10:AI$11,Предпосылки!$J302,),0)</f>
        <v>0</v>
      </c>
      <c s="125">
        <f>AJ659/(1+IFERROR(INDEX(AJ$10:AJ$11,Предпосылки!$J302,),0))*IFERROR(INDEX(AJ$10:AJ$11,Предпосылки!$J302,),0)</f>
        <v>0</v>
      </c>
      <c s="125">
        <f>AK659/(1+IFERROR(INDEX(AK$10:AK$11,Предпосылки!$J302,),0))*IFERROR(INDEX(AK$10:AK$11,Предпосылки!$J302,),0)</f>
        <v>0</v>
      </c>
      <c s="125">
        <f>AL659/(1+IFERROR(INDEX(AL$10:AL$11,Предпосылки!$J302,),0))*IFERROR(INDEX(AL$10:AL$11,Предпосылки!$J302,),0)</f>
        <v>0</v>
      </c>
      <c s="125">
        <f>AM659/(1+IFERROR(INDEX(AM$10:AM$11,Предпосылки!$J302,),0))*IFERROR(INDEX(AM$10:AM$11,Предпосылки!$J302,),0)</f>
        <v>0</v>
      </c>
      <c s="125">
        <f>AN659/(1+IFERROR(INDEX(AN$10:AN$11,Предпосылки!$J302,),0))*IFERROR(INDEX(AN$10:AN$11,Предпосылки!$J302,),0)</f>
        <v>0</v>
      </c>
      <c s="125">
        <f>AO659/(1+IFERROR(INDEX(AO$10:AO$11,Предпосылки!$J302,),0))*IFERROR(INDEX(AO$10:AO$11,Предпосылки!$J302,),0)</f>
        <v>0</v>
      </c>
      <c s="125">
        <f>AP659/(1+IFERROR(INDEX(AP$10:AP$11,Предпосылки!$J302,),0))*IFERROR(INDEX(AP$10:AP$11,Предпосылки!$J302,),0)</f>
        <v>0</v>
      </c>
      <c s="125">
        <f>AQ659/(1+IFERROR(INDEX(AQ$10:AQ$11,Предпосылки!$J302,),0))*IFERROR(INDEX(AQ$10:AQ$11,Предпосылки!$J302,),0)</f>
        <v>0</v>
      </c>
      <c s="125">
        <f>AR659/(1+IFERROR(INDEX(AR$10:AR$11,Предпосылки!$J302,),0))*IFERROR(INDEX(AR$10:AR$11,Предпосылки!$J302,),0)</f>
        <v>0</v>
      </c>
      <c s="125">
        <f>AS659/(1+IFERROR(INDEX(AS$10:AS$11,Предпосылки!$J302,),0))*IFERROR(INDEX(AS$10:AS$11,Предпосылки!$J302,),0)</f>
        <v>0</v>
      </c>
      <c s="125">
        <f>AT659/(1+IFERROR(INDEX(AT$10:AT$11,Предпосылки!$J302,),0))*IFERROR(INDEX(AT$10:AT$11,Предпосылки!$J302,),0)</f>
        <v>0</v>
      </c>
      <c s="125">
        <f>AU659/(1+IFERROR(INDEX(AU$10:AU$11,Предпосылки!$J302,),0))*IFERROR(INDEX(AU$10:AU$11,Предпосылки!$J302,),0)</f>
        <v>0</v>
      </c>
      <c s="125">
        <f>AV659/(1+IFERROR(INDEX(AV$10:AV$11,Предпосылки!$J302,),0))*IFERROR(INDEX(AV$10:AV$11,Предпосылки!$J302,),0)</f>
        <v>0</v>
      </c>
      <c s="125">
        <f>AW659/(1+IFERROR(INDEX(AW$10:AW$11,Предпосылки!$J302,),0))*IFERROR(INDEX(AW$10:AW$11,Предпосылки!$J302,),0)</f>
        <v>0</v>
      </c>
      <c s="125">
        <f>AX659/(1+IFERROR(INDEX(AX$10:AX$11,Предпосылки!$J302,),0))*IFERROR(INDEX(AX$10:AX$11,Предпосылки!$J302,),0)</f>
        <v>0</v>
      </c>
      <c s="125">
        <f>AY659/(1+IFERROR(INDEX(AY$10:AY$11,Предпосылки!$J302,),0))*IFERROR(INDEX(AY$10:AY$11,Предпосылки!$J302,),0)</f>
        <v>0</v>
      </c>
      <c s="125">
        <f>AZ659/(1+IFERROR(INDEX(AZ$10:AZ$11,Предпосылки!$J302,),0))*IFERROR(INDEX(AZ$10:AZ$11,Предпосылки!$J302,),0)</f>
        <v>0</v>
      </c>
      <c s="125">
        <f>BA659/(1+IFERROR(INDEX(BA$10:BA$11,Предпосылки!$J302,),0))*IFERROR(INDEX(BA$10:BA$11,Предпосылки!$J302,),0)</f>
        <v>0</v>
      </c>
      <c s="125">
        <f>BB659/(1+IFERROR(INDEX(BB$10:BB$11,Предпосылки!$J302,),0))*IFERROR(INDEX(BB$10:BB$11,Предпосылки!$J302,),0)</f>
        <v>0</v>
      </c>
      <c s="125">
        <f>BC659/(1+IFERROR(INDEX(BC$10:BC$11,Предпосылки!$J302,),0))*IFERROR(INDEX(BC$10:BC$11,Предпосылки!$J302,),0)</f>
        <v>0</v>
      </c>
      <c s="125">
        <f>BD659/(1+IFERROR(INDEX(BD$10:BD$11,Предпосылки!$J302,),0))*IFERROR(INDEX(BD$10:BD$11,Предпосылки!$J302,),0)</f>
        <v>0</v>
      </c>
      <c s="125">
        <f>BE659/(1+IFERROR(INDEX(BE$10:BE$11,Предпосылки!$J302,),0))*IFERROR(INDEX(BE$10:BE$11,Предпосылки!$J302,),0)</f>
        <v>0</v>
      </c>
      <c s="125">
        <f>BF659/(1+IFERROR(INDEX(BF$10:BF$11,Предпосылки!$J302,),0))*IFERROR(INDEX(BF$10:BF$11,Предпосылки!$J302,),0)</f>
        <v>0</v>
      </c>
      <c s="125">
        <f>BG659/(1+IFERROR(INDEX(BG$10:BG$11,Предпосылки!$J302,),0))*IFERROR(INDEX(BG$10:BG$11,Предпосылки!$J302,),0)</f>
        <v>0</v>
      </c>
      <c s="125">
        <f>BH659/(1+IFERROR(INDEX(BH$10:BH$11,Предпосылки!$J302,),0))*IFERROR(INDEX(BH$10:BH$11,Предпосылки!$J302,),0)</f>
        <v>0</v>
      </c>
      <c s="125">
        <f>BI659/(1+IFERROR(INDEX(BI$10:BI$11,Предпосылки!$J302,),0))*IFERROR(INDEX(BI$10:BI$11,Предпосылки!$J302,),0)</f>
        <v>0</v>
      </c>
      <c s="125">
        <f>BJ659/(1+IFERROR(INDEX(BJ$10:BJ$11,Предпосылки!$J302,),0))*IFERROR(INDEX(BJ$10:BJ$11,Предпосылки!$J302,),0)</f>
        <v>0</v>
      </c>
      <c s="125">
        <f>BK659/(1+IFERROR(INDEX(BK$10:BK$11,Предпосылки!$J302,),0))*IFERROR(INDEX(BK$10:BK$11,Предпосылки!$J302,),0)</f>
        <v>0</v>
      </c>
      <c s="125">
        <f>BL659/(1+IFERROR(INDEX(BL$10:BL$11,Предпосылки!$J302,),0))*IFERROR(INDEX(BL$10:BL$11,Предпосылки!$J302,),0)</f>
        <v>0</v>
      </c>
      <c s="125">
        <f>BM659/(1+IFERROR(INDEX(BM$10:BM$11,Предпосылки!$J302,),0))*IFERROR(INDEX(BM$10:BM$11,Предпосылки!$J302,),0)</f>
        <v>0</v>
      </c>
    </row>
    <row r="688" spans="2:65" ht="15" customHeight="1">
      <c r="B688" s="289" t="s">
        <v>454</v>
      </c>
      <c s="290" t="str">
        <f>Единица_измерения</f>
        <v>тыс. руб.</v>
      </c>
      <c s="291">
        <f ca="1">SUM(D663:D687)</f>
        <v>0</v>
      </c>
      <c s="276">
        <f>SUM(E663:E687)</f>
        <v>0</v>
      </c>
      <c s="276">
        <f ca="1" t="shared" si="377" ref="F688:AG688">SUM(F663:F687)</f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t="shared" ca="1" si="377"/>
        <v>0</v>
      </c>
      <c s="276">
        <f ca="1" t="shared" si="378" ref="AH688:BM688">SUM(AH663:AH687)</f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  <c s="276">
        <f t="shared" ca="1" si="378"/>
        <v>0</v>
      </c>
    </row>
    <row r="689" ht="15" customHeight="1"/>
    <row r="690" spans="2:2" ht="15" customHeight="1">
      <c r="B690" s="24" t="s">
        <v>865</v>
      </c>
    </row>
    <row r="691" spans="2:65" ht="15" customHeight="1">
      <c r="B691" s="12" t="s">
        <v>866</v>
      </c>
      <c s="124" t="str">
        <f>Единица_измерения</f>
        <v>тыс. руб.</v>
      </c>
      <c s="276">
        <f ca="1">SUM(E691:BM691)</f>
        <v>0</v>
      </c>
      <c s="125">
        <f>SUMIF(Предпосылки!$C$278:$C$302,$B691,E$635:E$659)-SUMIF(Предпосылки!$C$278:$C$302,$B691,E$663:E$687)</f>
        <v>0</v>
      </c>
      <c s="125">
        <f ca="1">SUMIF(Предпосылки!$C$278:$C$302,$B691,F$635:F$659)-SUMIF(Предпосылки!$C$278:$C$302,$B691,F$663:F$687)</f>
        <v>0</v>
      </c>
      <c s="125">
        <f ca="1">SUMIF(Предпосылки!$C$278:$C$302,$B691,G$635:G$659)-SUMIF(Предпосылки!$C$278:$C$302,$B691,G$663:G$687)</f>
        <v>0</v>
      </c>
      <c s="125">
        <f ca="1">SUMIF(Предпосылки!$C$278:$C$302,$B691,H$635:H$659)-SUMIF(Предпосылки!$C$278:$C$302,$B691,H$663:H$687)</f>
        <v>0</v>
      </c>
      <c s="125">
        <f ca="1">SUMIF(Предпосылки!$C$278:$C$302,$B691,I$635:I$659)-SUMIF(Предпосылки!$C$278:$C$302,$B691,I$663:I$687)</f>
        <v>0</v>
      </c>
      <c s="125">
        <f ca="1">SUMIF(Предпосылки!$C$278:$C$302,$B691,J$635:J$659)-SUMIF(Предпосылки!$C$278:$C$302,$B691,J$663:J$687)</f>
        <v>0</v>
      </c>
      <c s="125">
        <f ca="1">SUMIF(Предпосылки!$C$278:$C$302,$B691,K$635:K$659)-SUMIF(Предпосылки!$C$278:$C$302,$B691,K$663:K$687)</f>
        <v>0</v>
      </c>
      <c s="125">
        <f ca="1">SUMIF(Предпосылки!$C$278:$C$302,$B691,L$635:L$659)-SUMIF(Предпосылки!$C$278:$C$302,$B691,L$663:L$687)</f>
        <v>0</v>
      </c>
      <c s="125">
        <f ca="1">SUMIF(Предпосылки!$C$278:$C$302,$B691,M$635:M$659)-SUMIF(Предпосылки!$C$278:$C$302,$B691,M$663:M$687)</f>
        <v>0</v>
      </c>
      <c s="125">
        <f ca="1">SUMIF(Предпосылки!$C$278:$C$302,$B691,N$635:N$659)-SUMIF(Предпосылки!$C$278:$C$302,$B691,N$663:N$687)</f>
        <v>0</v>
      </c>
      <c s="125">
        <f ca="1">SUMIF(Предпосылки!$C$278:$C$302,$B691,O$635:O$659)-SUMIF(Предпосылки!$C$278:$C$302,$B691,O$663:O$687)</f>
        <v>0</v>
      </c>
      <c s="125">
        <f ca="1">SUMIF(Предпосылки!$C$278:$C$302,$B691,P$635:P$659)-SUMIF(Предпосылки!$C$278:$C$302,$B691,P$663:P$687)</f>
        <v>0</v>
      </c>
      <c s="125">
        <f ca="1">SUMIF(Предпосылки!$C$278:$C$302,$B691,Q$635:Q$659)-SUMIF(Предпосылки!$C$278:$C$302,$B691,Q$663:Q$687)</f>
        <v>0</v>
      </c>
      <c s="125">
        <f ca="1">SUMIF(Предпосылки!$C$278:$C$302,$B691,R$635:R$659)-SUMIF(Предпосылки!$C$278:$C$302,$B691,R$663:R$687)</f>
        <v>0</v>
      </c>
      <c s="125">
        <f ca="1">SUMIF(Предпосылки!$C$278:$C$302,$B691,S$635:S$659)-SUMIF(Предпосылки!$C$278:$C$302,$B691,S$663:S$687)</f>
        <v>0</v>
      </c>
      <c s="125">
        <f ca="1">SUMIF(Предпосылки!$C$278:$C$302,$B691,T$635:T$659)-SUMIF(Предпосылки!$C$278:$C$302,$B691,T$663:T$687)</f>
        <v>0</v>
      </c>
      <c s="125">
        <f ca="1">SUMIF(Предпосылки!$C$278:$C$302,$B691,U$635:U$659)-SUMIF(Предпосылки!$C$278:$C$302,$B691,U$663:U$687)</f>
        <v>0</v>
      </c>
      <c s="125">
        <f ca="1">SUMIF(Предпосылки!$C$278:$C$302,$B691,V$635:V$659)-SUMIF(Предпосылки!$C$278:$C$302,$B691,V$663:V$687)</f>
        <v>0</v>
      </c>
      <c s="125">
        <f ca="1">SUMIF(Предпосылки!$C$278:$C$302,$B691,W$635:W$659)-SUMIF(Предпосылки!$C$278:$C$302,$B691,W$663:W$687)</f>
        <v>0</v>
      </c>
      <c s="125">
        <f ca="1">SUMIF(Предпосылки!$C$278:$C$302,$B691,X$635:X$659)-SUMIF(Предпосылки!$C$278:$C$302,$B691,X$663:X$687)</f>
        <v>0</v>
      </c>
      <c s="125">
        <f ca="1">SUMIF(Предпосылки!$C$278:$C$302,$B691,Y$635:Y$659)-SUMIF(Предпосылки!$C$278:$C$302,$B691,Y$663:Y$687)</f>
        <v>0</v>
      </c>
      <c s="125">
        <f ca="1">SUMIF(Предпосылки!$C$278:$C$302,$B691,Z$635:Z$659)-SUMIF(Предпосылки!$C$278:$C$302,$B691,Z$663:Z$687)</f>
        <v>0</v>
      </c>
      <c s="125">
        <f ca="1">SUMIF(Предпосылки!$C$278:$C$302,$B691,AA$635:AA$659)-SUMIF(Предпосылки!$C$278:$C$302,$B691,AA$663:AA$687)</f>
        <v>0</v>
      </c>
      <c s="125">
        <f ca="1">SUMIF(Предпосылки!$C$278:$C$302,$B691,AB$635:AB$659)-SUMIF(Предпосылки!$C$278:$C$302,$B691,AB$663:AB$687)</f>
        <v>0</v>
      </c>
      <c s="125">
        <f ca="1">SUMIF(Предпосылки!$C$278:$C$302,$B691,AC$635:AC$659)-SUMIF(Предпосылки!$C$278:$C$302,$B691,AC$663:AC$687)</f>
        <v>0</v>
      </c>
      <c s="125">
        <f ca="1">SUMIF(Предпосылки!$C$278:$C$302,$B691,AD$635:AD$659)-SUMIF(Предпосылки!$C$278:$C$302,$B691,AD$663:AD$687)</f>
        <v>0</v>
      </c>
      <c s="125">
        <f ca="1">SUMIF(Предпосылки!$C$278:$C$302,$B691,AE$635:AE$659)-SUMIF(Предпосылки!$C$278:$C$302,$B691,AE$663:AE$687)</f>
        <v>0</v>
      </c>
      <c s="125">
        <f ca="1">SUMIF(Предпосылки!$C$278:$C$302,$B691,AF$635:AF$659)-SUMIF(Предпосылки!$C$278:$C$302,$B691,AF$663:AF$687)</f>
        <v>0</v>
      </c>
      <c s="125">
        <f ca="1">SUMIF(Предпосылки!$C$278:$C$302,$B691,AG$635:AG$659)-SUMIF(Предпосылки!$C$278:$C$302,$B691,AG$663:AG$687)</f>
        <v>0</v>
      </c>
      <c s="125">
        <f ca="1">SUMIF(Предпосылки!$C$278:$C$302,$B691,AH$635:AH$659)-SUMIF(Предпосылки!$C$278:$C$302,$B691,AH$663:AH$687)</f>
        <v>0</v>
      </c>
      <c s="125">
        <f ca="1">SUMIF(Предпосылки!$C$278:$C$302,$B691,AI$635:AI$659)-SUMIF(Предпосылки!$C$278:$C$302,$B691,AI$663:AI$687)</f>
        <v>0</v>
      </c>
      <c s="125">
        <f ca="1">SUMIF(Предпосылки!$C$278:$C$302,$B691,AJ$635:AJ$659)-SUMIF(Предпосылки!$C$278:$C$302,$B691,AJ$663:AJ$687)</f>
        <v>0</v>
      </c>
      <c s="125">
        <f ca="1">SUMIF(Предпосылки!$C$278:$C$302,$B691,AK$635:AK$659)-SUMIF(Предпосылки!$C$278:$C$302,$B691,AK$663:AK$687)</f>
        <v>0</v>
      </c>
      <c s="125">
        <f ca="1">SUMIF(Предпосылки!$C$278:$C$302,$B691,AL$635:AL$659)-SUMIF(Предпосылки!$C$278:$C$302,$B691,AL$663:AL$687)</f>
        <v>0</v>
      </c>
      <c s="125">
        <f ca="1">SUMIF(Предпосылки!$C$278:$C$302,$B691,AM$635:AM$659)-SUMIF(Предпосылки!$C$278:$C$302,$B691,AM$663:AM$687)</f>
        <v>0</v>
      </c>
      <c s="125">
        <f ca="1">SUMIF(Предпосылки!$C$278:$C$302,$B691,AN$635:AN$659)-SUMIF(Предпосылки!$C$278:$C$302,$B691,AN$663:AN$687)</f>
        <v>0</v>
      </c>
      <c s="125">
        <f ca="1">SUMIF(Предпосылки!$C$278:$C$302,$B691,AO$635:AO$659)-SUMIF(Предпосылки!$C$278:$C$302,$B691,AO$663:AO$687)</f>
        <v>0</v>
      </c>
      <c s="125">
        <f ca="1">SUMIF(Предпосылки!$C$278:$C$302,$B691,AP$635:AP$659)-SUMIF(Предпосылки!$C$278:$C$302,$B691,AP$663:AP$687)</f>
        <v>0</v>
      </c>
      <c s="125">
        <f ca="1">SUMIF(Предпосылки!$C$278:$C$302,$B691,AQ$635:AQ$659)-SUMIF(Предпосылки!$C$278:$C$302,$B691,AQ$663:AQ$687)</f>
        <v>0</v>
      </c>
      <c s="125">
        <f ca="1">SUMIF(Предпосылки!$C$278:$C$302,$B691,AR$635:AR$659)-SUMIF(Предпосылки!$C$278:$C$302,$B691,AR$663:AR$687)</f>
        <v>0</v>
      </c>
      <c s="125">
        <f ca="1">SUMIF(Предпосылки!$C$278:$C$302,$B691,AS$635:AS$659)-SUMIF(Предпосылки!$C$278:$C$302,$B691,AS$663:AS$687)</f>
        <v>0</v>
      </c>
      <c s="125">
        <f ca="1">SUMIF(Предпосылки!$C$278:$C$302,$B691,AT$635:AT$659)-SUMIF(Предпосылки!$C$278:$C$302,$B691,AT$663:AT$687)</f>
        <v>0</v>
      </c>
      <c s="125">
        <f ca="1">SUMIF(Предпосылки!$C$278:$C$302,$B691,AU$635:AU$659)-SUMIF(Предпосылки!$C$278:$C$302,$B691,AU$663:AU$687)</f>
        <v>0</v>
      </c>
      <c s="125">
        <f ca="1">SUMIF(Предпосылки!$C$278:$C$302,$B691,AV$635:AV$659)-SUMIF(Предпосылки!$C$278:$C$302,$B691,AV$663:AV$687)</f>
        <v>0</v>
      </c>
      <c s="125">
        <f ca="1">SUMIF(Предпосылки!$C$278:$C$302,$B691,AW$635:AW$659)-SUMIF(Предпосылки!$C$278:$C$302,$B691,AW$663:AW$687)</f>
        <v>0</v>
      </c>
      <c s="125">
        <f ca="1">SUMIF(Предпосылки!$C$278:$C$302,$B691,AX$635:AX$659)-SUMIF(Предпосылки!$C$278:$C$302,$B691,AX$663:AX$687)</f>
        <v>0</v>
      </c>
      <c s="125">
        <f ca="1">SUMIF(Предпосылки!$C$278:$C$302,$B691,AY$635:AY$659)-SUMIF(Предпосылки!$C$278:$C$302,$B691,AY$663:AY$687)</f>
        <v>0</v>
      </c>
      <c s="125">
        <f ca="1">SUMIF(Предпосылки!$C$278:$C$302,$B691,AZ$635:AZ$659)-SUMIF(Предпосылки!$C$278:$C$302,$B691,AZ$663:AZ$687)</f>
        <v>0</v>
      </c>
      <c s="125">
        <f ca="1">SUMIF(Предпосылки!$C$278:$C$302,$B691,BA$635:BA$659)-SUMIF(Предпосылки!$C$278:$C$302,$B691,BA$663:BA$687)</f>
        <v>0</v>
      </c>
      <c s="125">
        <f ca="1">SUMIF(Предпосылки!$C$278:$C$302,$B691,BB$635:BB$659)-SUMIF(Предпосылки!$C$278:$C$302,$B691,BB$663:BB$687)</f>
        <v>0</v>
      </c>
      <c s="125">
        <f ca="1">SUMIF(Предпосылки!$C$278:$C$302,$B691,BC$635:BC$659)-SUMIF(Предпосылки!$C$278:$C$302,$B691,BC$663:BC$687)</f>
        <v>0</v>
      </c>
      <c s="125">
        <f ca="1">SUMIF(Предпосылки!$C$278:$C$302,$B691,BD$635:BD$659)-SUMIF(Предпосылки!$C$278:$C$302,$B691,BD$663:BD$687)</f>
        <v>0</v>
      </c>
      <c s="125">
        <f ca="1">SUMIF(Предпосылки!$C$278:$C$302,$B691,BE$635:BE$659)-SUMIF(Предпосылки!$C$278:$C$302,$B691,BE$663:BE$687)</f>
        <v>0</v>
      </c>
      <c s="125">
        <f ca="1">SUMIF(Предпосылки!$C$278:$C$302,$B691,BF$635:BF$659)-SUMIF(Предпосылки!$C$278:$C$302,$B691,BF$663:BF$687)</f>
        <v>0</v>
      </c>
      <c s="125">
        <f ca="1">SUMIF(Предпосылки!$C$278:$C$302,$B691,BG$635:BG$659)-SUMIF(Предпосылки!$C$278:$C$302,$B691,BG$663:BG$687)</f>
        <v>0</v>
      </c>
      <c s="125">
        <f ca="1">SUMIF(Предпосылки!$C$278:$C$302,$B691,BH$635:BH$659)-SUMIF(Предпосылки!$C$278:$C$302,$B691,BH$663:BH$687)</f>
        <v>0</v>
      </c>
      <c s="125">
        <f ca="1">SUMIF(Предпосылки!$C$278:$C$302,$B691,BI$635:BI$659)-SUMIF(Предпосылки!$C$278:$C$302,$B691,BI$663:BI$687)</f>
        <v>0</v>
      </c>
      <c s="125">
        <f ca="1">SUMIF(Предпосылки!$C$278:$C$302,$B691,BJ$635:BJ$659)-SUMIF(Предпосылки!$C$278:$C$302,$B691,BJ$663:BJ$687)</f>
        <v>0</v>
      </c>
      <c s="125">
        <f ca="1">SUMIF(Предпосылки!$C$278:$C$302,$B691,BK$635:BK$659)-SUMIF(Предпосылки!$C$278:$C$302,$B691,BK$663:BK$687)</f>
        <v>0</v>
      </c>
      <c s="125">
        <f ca="1">SUMIF(Предпосылки!$C$278:$C$302,$B691,BL$635:BL$659)-SUMIF(Предпосылки!$C$278:$C$302,$B691,BL$663:BL$687)</f>
        <v>0</v>
      </c>
      <c s="125">
        <f ca="1">SUMIF(Предпосылки!$C$278:$C$302,$B691,BM$635:BM$659)-SUMIF(Предпосылки!$C$278:$C$302,$B691,BM$663:BM$687)</f>
        <v>0</v>
      </c>
    </row>
    <row r="692" spans="2:65" ht="15" customHeight="1">
      <c r="B692" s="12" t="s">
        <v>867</v>
      </c>
      <c s="124" t="str">
        <f>Единица_измерения</f>
        <v>тыс. руб.</v>
      </c>
      <c s="276">
        <f ca="1">SUM(E692:BM692)</f>
        <v>0</v>
      </c>
      <c s="125">
        <f>SUMIF(Предпосылки!$C$278:$C$302,$B692,E$635:E$659)-SUMIF(Предпосылки!$C$278:$C$302,$B692,E$663:E$687)</f>
        <v>0</v>
      </c>
      <c s="125">
        <f ca="1">SUMIF(Предпосылки!$C$278:$C$302,$B692,F$635:F$659)-SUMIF(Предпосылки!$C$278:$C$302,$B692,F$663:F$687)</f>
        <v>0</v>
      </c>
      <c s="125">
        <f ca="1">SUMIF(Предпосылки!$C$278:$C$302,$B692,G$635:G$659)-SUMIF(Предпосылки!$C$278:$C$302,$B692,G$663:G$687)</f>
        <v>0</v>
      </c>
      <c s="125">
        <f ca="1">SUMIF(Предпосылки!$C$278:$C$302,$B692,H$635:H$659)-SUMIF(Предпосылки!$C$278:$C$302,$B692,H$663:H$687)</f>
        <v>0</v>
      </c>
      <c s="125">
        <f ca="1">SUMIF(Предпосылки!$C$278:$C$302,$B692,I$635:I$659)-SUMIF(Предпосылки!$C$278:$C$302,$B692,I$663:I$687)</f>
        <v>0</v>
      </c>
      <c s="125">
        <f ca="1">SUMIF(Предпосылки!$C$278:$C$302,$B692,J$635:J$659)-SUMIF(Предпосылки!$C$278:$C$302,$B692,J$663:J$687)</f>
        <v>0</v>
      </c>
      <c s="125">
        <f ca="1">SUMIF(Предпосылки!$C$278:$C$302,$B692,K$635:K$659)-SUMIF(Предпосылки!$C$278:$C$302,$B692,K$663:K$687)</f>
        <v>0</v>
      </c>
      <c s="125">
        <f ca="1">SUMIF(Предпосылки!$C$278:$C$302,$B692,L$635:L$659)-SUMIF(Предпосылки!$C$278:$C$302,$B692,L$663:L$687)</f>
        <v>0</v>
      </c>
      <c s="125">
        <f ca="1">SUMIF(Предпосылки!$C$278:$C$302,$B692,M$635:M$659)-SUMIF(Предпосылки!$C$278:$C$302,$B692,M$663:M$687)</f>
        <v>0</v>
      </c>
      <c s="125">
        <f ca="1">SUMIF(Предпосылки!$C$278:$C$302,$B692,N$635:N$659)-SUMIF(Предпосылки!$C$278:$C$302,$B692,N$663:N$687)</f>
        <v>0</v>
      </c>
      <c s="125">
        <f ca="1">SUMIF(Предпосылки!$C$278:$C$302,$B692,O$635:O$659)-SUMIF(Предпосылки!$C$278:$C$302,$B692,O$663:O$687)</f>
        <v>0</v>
      </c>
      <c s="125">
        <f ca="1">SUMIF(Предпосылки!$C$278:$C$302,$B692,P$635:P$659)-SUMIF(Предпосылки!$C$278:$C$302,$B692,P$663:P$687)</f>
        <v>0</v>
      </c>
      <c s="125">
        <f ca="1">SUMIF(Предпосылки!$C$278:$C$302,$B692,Q$635:Q$659)-SUMIF(Предпосылки!$C$278:$C$302,$B692,Q$663:Q$687)</f>
        <v>0</v>
      </c>
      <c s="125">
        <f ca="1">SUMIF(Предпосылки!$C$278:$C$302,$B692,R$635:R$659)-SUMIF(Предпосылки!$C$278:$C$302,$B692,R$663:R$687)</f>
        <v>0</v>
      </c>
      <c s="125">
        <f ca="1">SUMIF(Предпосылки!$C$278:$C$302,$B692,S$635:S$659)-SUMIF(Предпосылки!$C$278:$C$302,$B692,S$663:S$687)</f>
        <v>0</v>
      </c>
      <c s="125">
        <f ca="1">SUMIF(Предпосылки!$C$278:$C$302,$B692,T$635:T$659)-SUMIF(Предпосылки!$C$278:$C$302,$B692,T$663:T$687)</f>
        <v>0</v>
      </c>
      <c s="125">
        <f ca="1">SUMIF(Предпосылки!$C$278:$C$302,$B692,U$635:U$659)-SUMIF(Предпосылки!$C$278:$C$302,$B692,U$663:U$687)</f>
        <v>0</v>
      </c>
      <c s="125">
        <f ca="1">SUMIF(Предпосылки!$C$278:$C$302,$B692,V$635:V$659)-SUMIF(Предпосылки!$C$278:$C$302,$B692,V$663:V$687)</f>
        <v>0</v>
      </c>
      <c s="125">
        <f ca="1">SUMIF(Предпосылки!$C$278:$C$302,$B692,W$635:W$659)-SUMIF(Предпосылки!$C$278:$C$302,$B692,W$663:W$687)</f>
        <v>0</v>
      </c>
      <c s="125">
        <f ca="1">SUMIF(Предпосылки!$C$278:$C$302,$B692,X$635:X$659)-SUMIF(Предпосылки!$C$278:$C$302,$B692,X$663:X$687)</f>
        <v>0</v>
      </c>
      <c s="125">
        <f ca="1">SUMIF(Предпосылки!$C$278:$C$302,$B692,Y$635:Y$659)-SUMIF(Предпосылки!$C$278:$C$302,$B692,Y$663:Y$687)</f>
        <v>0</v>
      </c>
      <c s="125">
        <f ca="1">SUMIF(Предпосылки!$C$278:$C$302,$B692,Z$635:Z$659)-SUMIF(Предпосылки!$C$278:$C$302,$B692,Z$663:Z$687)</f>
        <v>0</v>
      </c>
      <c s="125">
        <f ca="1">SUMIF(Предпосылки!$C$278:$C$302,$B692,AA$635:AA$659)-SUMIF(Предпосылки!$C$278:$C$302,$B692,AA$663:AA$687)</f>
        <v>0</v>
      </c>
      <c s="125">
        <f ca="1">SUMIF(Предпосылки!$C$278:$C$302,$B692,AB$635:AB$659)-SUMIF(Предпосылки!$C$278:$C$302,$B692,AB$663:AB$687)</f>
        <v>0</v>
      </c>
      <c s="125">
        <f ca="1">SUMIF(Предпосылки!$C$278:$C$302,$B692,AC$635:AC$659)-SUMIF(Предпосылки!$C$278:$C$302,$B692,AC$663:AC$687)</f>
        <v>0</v>
      </c>
      <c s="125">
        <f ca="1">SUMIF(Предпосылки!$C$278:$C$302,$B692,AD$635:AD$659)-SUMIF(Предпосылки!$C$278:$C$302,$B692,AD$663:AD$687)</f>
        <v>0</v>
      </c>
      <c s="125">
        <f ca="1">SUMIF(Предпосылки!$C$278:$C$302,$B692,AE$635:AE$659)-SUMIF(Предпосылки!$C$278:$C$302,$B692,AE$663:AE$687)</f>
        <v>0</v>
      </c>
      <c s="125">
        <f ca="1">SUMIF(Предпосылки!$C$278:$C$302,$B692,AF$635:AF$659)-SUMIF(Предпосылки!$C$278:$C$302,$B692,AF$663:AF$687)</f>
        <v>0</v>
      </c>
      <c s="125">
        <f ca="1">SUMIF(Предпосылки!$C$278:$C$302,$B692,AG$635:AG$659)-SUMIF(Предпосылки!$C$278:$C$302,$B692,AG$663:AG$687)</f>
        <v>0</v>
      </c>
      <c s="125">
        <f ca="1">SUMIF(Предпосылки!$C$278:$C$302,$B692,AH$635:AH$659)-SUMIF(Предпосылки!$C$278:$C$302,$B692,AH$663:AH$687)</f>
        <v>0</v>
      </c>
      <c s="125">
        <f ca="1">SUMIF(Предпосылки!$C$278:$C$302,$B692,AI$635:AI$659)-SUMIF(Предпосылки!$C$278:$C$302,$B692,AI$663:AI$687)</f>
        <v>0</v>
      </c>
      <c s="125">
        <f ca="1">SUMIF(Предпосылки!$C$278:$C$302,$B692,AJ$635:AJ$659)-SUMIF(Предпосылки!$C$278:$C$302,$B692,AJ$663:AJ$687)</f>
        <v>0</v>
      </c>
      <c s="125">
        <f ca="1">SUMIF(Предпосылки!$C$278:$C$302,$B692,AK$635:AK$659)-SUMIF(Предпосылки!$C$278:$C$302,$B692,AK$663:AK$687)</f>
        <v>0</v>
      </c>
      <c s="125">
        <f ca="1">SUMIF(Предпосылки!$C$278:$C$302,$B692,AL$635:AL$659)-SUMIF(Предпосылки!$C$278:$C$302,$B692,AL$663:AL$687)</f>
        <v>0</v>
      </c>
      <c s="125">
        <f ca="1">SUMIF(Предпосылки!$C$278:$C$302,$B692,AM$635:AM$659)-SUMIF(Предпосылки!$C$278:$C$302,$B692,AM$663:AM$687)</f>
        <v>0</v>
      </c>
      <c s="125">
        <f ca="1">SUMIF(Предпосылки!$C$278:$C$302,$B692,AN$635:AN$659)-SUMIF(Предпосылки!$C$278:$C$302,$B692,AN$663:AN$687)</f>
        <v>0</v>
      </c>
      <c s="125">
        <f ca="1">SUMIF(Предпосылки!$C$278:$C$302,$B692,AO$635:AO$659)-SUMIF(Предпосылки!$C$278:$C$302,$B692,AO$663:AO$687)</f>
        <v>0</v>
      </c>
      <c s="125">
        <f ca="1">SUMIF(Предпосылки!$C$278:$C$302,$B692,AP$635:AP$659)-SUMIF(Предпосылки!$C$278:$C$302,$B692,AP$663:AP$687)</f>
        <v>0</v>
      </c>
      <c s="125">
        <f ca="1">SUMIF(Предпосылки!$C$278:$C$302,$B692,AQ$635:AQ$659)-SUMIF(Предпосылки!$C$278:$C$302,$B692,AQ$663:AQ$687)</f>
        <v>0</v>
      </c>
      <c s="125">
        <f ca="1">SUMIF(Предпосылки!$C$278:$C$302,$B692,AR$635:AR$659)-SUMIF(Предпосылки!$C$278:$C$302,$B692,AR$663:AR$687)</f>
        <v>0</v>
      </c>
      <c s="125">
        <f ca="1">SUMIF(Предпосылки!$C$278:$C$302,$B692,AS$635:AS$659)-SUMIF(Предпосылки!$C$278:$C$302,$B692,AS$663:AS$687)</f>
        <v>0</v>
      </c>
      <c s="125">
        <f ca="1">SUMIF(Предпосылки!$C$278:$C$302,$B692,AT$635:AT$659)-SUMIF(Предпосылки!$C$278:$C$302,$B692,AT$663:AT$687)</f>
        <v>0</v>
      </c>
      <c s="125">
        <f ca="1">SUMIF(Предпосылки!$C$278:$C$302,$B692,AU$635:AU$659)-SUMIF(Предпосылки!$C$278:$C$302,$B692,AU$663:AU$687)</f>
        <v>0</v>
      </c>
      <c s="125">
        <f ca="1">SUMIF(Предпосылки!$C$278:$C$302,$B692,AV$635:AV$659)-SUMIF(Предпосылки!$C$278:$C$302,$B692,AV$663:AV$687)</f>
        <v>0</v>
      </c>
      <c s="125">
        <f ca="1">SUMIF(Предпосылки!$C$278:$C$302,$B692,AW$635:AW$659)-SUMIF(Предпосылки!$C$278:$C$302,$B692,AW$663:AW$687)</f>
        <v>0</v>
      </c>
      <c s="125">
        <f ca="1">SUMIF(Предпосылки!$C$278:$C$302,$B692,AX$635:AX$659)-SUMIF(Предпосылки!$C$278:$C$302,$B692,AX$663:AX$687)</f>
        <v>0</v>
      </c>
      <c s="125">
        <f ca="1">SUMIF(Предпосылки!$C$278:$C$302,$B692,AY$635:AY$659)-SUMIF(Предпосылки!$C$278:$C$302,$B692,AY$663:AY$687)</f>
        <v>0</v>
      </c>
      <c s="125">
        <f ca="1">SUMIF(Предпосылки!$C$278:$C$302,$B692,AZ$635:AZ$659)-SUMIF(Предпосылки!$C$278:$C$302,$B692,AZ$663:AZ$687)</f>
        <v>0</v>
      </c>
      <c s="125">
        <f ca="1">SUMIF(Предпосылки!$C$278:$C$302,$B692,BA$635:BA$659)-SUMIF(Предпосылки!$C$278:$C$302,$B692,BA$663:BA$687)</f>
        <v>0</v>
      </c>
      <c s="125">
        <f ca="1">SUMIF(Предпосылки!$C$278:$C$302,$B692,BB$635:BB$659)-SUMIF(Предпосылки!$C$278:$C$302,$B692,BB$663:BB$687)</f>
        <v>0</v>
      </c>
      <c s="125">
        <f ca="1">SUMIF(Предпосылки!$C$278:$C$302,$B692,BC$635:BC$659)-SUMIF(Предпосылки!$C$278:$C$302,$B692,BC$663:BC$687)</f>
        <v>0</v>
      </c>
      <c s="125">
        <f ca="1">SUMIF(Предпосылки!$C$278:$C$302,$B692,BD$635:BD$659)-SUMIF(Предпосылки!$C$278:$C$302,$B692,BD$663:BD$687)</f>
        <v>0</v>
      </c>
      <c s="125">
        <f ca="1">SUMIF(Предпосылки!$C$278:$C$302,$B692,BE$635:BE$659)-SUMIF(Предпосылки!$C$278:$C$302,$B692,BE$663:BE$687)</f>
        <v>0</v>
      </c>
      <c s="125">
        <f ca="1">SUMIF(Предпосылки!$C$278:$C$302,$B692,BF$635:BF$659)-SUMIF(Предпосылки!$C$278:$C$302,$B692,BF$663:BF$687)</f>
        <v>0</v>
      </c>
      <c s="125">
        <f ca="1">SUMIF(Предпосылки!$C$278:$C$302,$B692,BG$635:BG$659)-SUMIF(Предпосылки!$C$278:$C$302,$B692,BG$663:BG$687)</f>
        <v>0</v>
      </c>
      <c s="125">
        <f ca="1">SUMIF(Предпосылки!$C$278:$C$302,$B692,BH$635:BH$659)-SUMIF(Предпосылки!$C$278:$C$302,$B692,BH$663:BH$687)</f>
        <v>0</v>
      </c>
      <c s="125">
        <f ca="1">SUMIF(Предпосылки!$C$278:$C$302,$B692,BI$635:BI$659)-SUMIF(Предпосылки!$C$278:$C$302,$B692,BI$663:BI$687)</f>
        <v>0</v>
      </c>
      <c s="125">
        <f ca="1">SUMIF(Предпосылки!$C$278:$C$302,$B692,BJ$635:BJ$659)-SUMIF(Предпосылки!$C$278:$C$302,$B692,BJ$663:BJ$687)</f>
        <v>0</v>
      </c>
      <c s="125">
        <f ca="1">SUMIF(Предпосылки!$C$278:$C$302,$B692,BK$635:BK$659)-SUMIF(Предпосылки!$C$278:$C$302,$B692,BK$663:BK$687)</f>
        <v>0</v>
      </c>
      <c s="125">
        <f ca="1">SUMIF(Предпосылки!$C$278:$C$302,$B692,BL$635:BL$659)-SUMIF(Предпосылки!$C$278:$C$302,$B692,BL$663:BL$687)</f>
        <v>0</v>
      </c>
      <c s="125">
        <f ca="1">SUMIF(Предпосылки!$C$278:$C$302,$B692,BM$635:BM$659)-SUMIF(Предпосылки!$C$278:$C$302,$B692,BM$663:BM$687)</f>
        <v>0</v>
      </c>
    </row>
    <row r="693" spans="2:65" ht="15" customHeight="1">
      <c r="B693" s="12" t="s">
        <v>868</v>
      </c>
      <c s="124" t="str">
        <f>Единица_измерения</f>
        <v>тыс. руб.</v>
      </c>
      <c s="276">
        <f ca="1">SUM(E693:BM693)</f>
        <v>0</v>
      </c>
      <c s="125">
        <f>SUMIF(Предпосылки!$C$278:$C$302,$B693,E$635:E$659)-SUMIF(Предпосылки!$C$278:$C$302,$B693,E$663:E$687)</f>
        <v>0</v>
      </c>
      <c s="125">
        <f ca="1">SUMIF(Предпосылки!$C$278:$C$302,$B693,F$635:F$659)-SUMIF(Предпосылки!$C$278:$C$302,$B693,F$663:F$687)</f>
        <v>0</v>
      </c>
      <c s="125">
        <f ca="1">SUMIF(Предпосылки!$C$278:$C$302,$B693,G$635:G$659)-SUMIF(Предпосылки!$C$278:$C$302,$B693,G$663:G$687)</f>
        <v>0</v>
      </c>
      <c s="125">
        <f ca="1">SUMIF(Предпосылки!$C$278:$C$302,$B693,H$635:H$659)-SUMIF(Предпосылки!$C$278:$C$302,$B693,H$663:H$687)</f>
        <v>0</v>
      </c>
      <c s="125">
        <f ca="1">SUMIF(Предпосылки!$C$278:$C$302,$B693,I$635:I$659)-SUMIF(Предпосылки!$C$278:$C$302,$B693,I$663:I$687)</f>
        <v>0</v>
      </c>
      <c s="125">
        <f ca="1">SUMIF(Предпосылки!$C$278:$C$302,$B693,J$635:J$659)-SUMIF(Предпосылки!$C$278:$C$302,$B693,J$663:J$687)</f>
        <v>0</v>
      </c>
      <c s="125">
        <f ca="1">SUMIF(Предпосылки!$C$278:$C$302,$B693,K$635:K$659)-SUMIF(Предпосылки!$C$278:$C$302,$B693,K$663:K$687)</f>
        <v>0</v>
      </c>
      <c s="125">
        <f ca="1">SUMIF(Предпосылки!$C$278:$C$302,$B693,L$635:L$659)-SUMIF(Предпосылки!$C$278:$C$302,$B693,L$663:L$687)</f>
        <v>0</v>
      </c>
      <c s="125">
        <f ca="1">SUMIF(Предпосылки!$C$278:$C$302,$B693,M$635:M$659)-SUMIF(Предпосылки!$C$278:$C$302,$B693,M$663:M$687)</f>
        <v>0</v>
      </c>
      <c s="125">
        <f ca="1">SUMIF(Предпосылки!$C$278:$C$302,$B693,N$635:N$659)-SUMIF(Предпосылки!$C$278:$C$302,$B693,N$663:N$687)</f>
        <v>0</v>
      </c>
      <c s="125">
        <f ca="1">SUMIF(Предпосылки!$C$278:$C$302,$B693,O$635:O$659)-SUMIF(Предпосылки!$C$278:$C$302,$B693,O$663:O$687)</f>
        <v>0</v>
      </c>
      <c s="125">
        <f ca="1">SUMIF(Предпосылки!$C$278:$C$302,$B693,P$635:P$659)-SUMIF(Предпосылки!$C$278:$C$302,$B693,P$663:P$687)</f>
        <v>0</v>
      </c>
      <c s="125">
        <f ca="1">SUMIF(Предпосылки!$C$278:$C$302,$B693,Q$635:Q$659)-SUMIF(Предпосылки!$C$278:$C$302,$B693,Q$663:Q$687)</f>
        <v>0</v>
      </c>
      <c s="125">
        <f ca="1">SUMIF(Предпосылки!$C$278:$C$302,$B693,R$635:R$659)-SUMIF(Предпосылки!$C$278:$C$302,$B693,R$663:R$687)</f>
        <v>0</v>
      </c>
      <c s="125">
        <f ca="1">SUMIF(Предпосылки!$C$278:$C$302,$B693,S$635:S$659)-SUMIF(Предпосылки!$C$278:$C$302,$B693,S$663:S$687)</f>
        <v>0</v>
      </c>
      <c s="125">
        <f ca="1">SUMIF(Предпосылки!$C$278:$C$302,$B693,T$635:T$659)-SUMIF(Предпосылки!$C$278:$C$302,$B693,T$663:T$687)</f>
        <v>0</v>
      </c>
      <c s="125">
        <f ca="1">SUMIF(Предпосылки!$C$278:$C$302,$B693,U$635:U$659)-SUMIF(Предпосылки!$C$278:$C$302,$B693,U$663:U$687)</f>
        <v>0</v>
      </c>
      <c s="125">
        <f ca="1">SUMIF(Предпосылки!$C$278:$C$302,$B693,V$635:V$659)-SUMIF(Предпосылки!$C$278:$C$302,$B693,V$663:V$687)</f>
        <v>0</v>
      </c>
      <c s="125">
        <f ca="1">SUMIF(Предпосылки!$C$278:$C$302,$B693,W$635:W$659)-SUMIF(Предпосылки!$C$278:$C$302,$B693,W$663:W$687)</f>
        <v>0</v>
      </c>
      <c s="125">
        <f ca="1">SUMIF(Предпосылки!$C$278:$C$302,$B693,X$635:X$659)-SUMIF(Предпосылки!$C$278:$C$302,$B693,X$663:X$687)</f>
        <v>0</v>
      </c>
      <c s="125">
        <f ca="1">SUMIF(Предпосылки!$C$278:$C$302,$B693,Y$635:Y$659)-SUMIF(Предпосылки!$C$278:$C$302,$B693,Y$663:Y$687)</f>
        <v>0</v>
      </c>
      <c s="125">
        <f ca="1">SUMIF(Предпосылки!$C$278:$C$302,$B693,Z$635:Z$659)-SUMIF(Предпосылки!$C$278:$C$302,$B693,Z$663:Z$687)</f>
        <v>0</v>
      </c>
      <c s="125">
        <f ca="1">SUMIF(Предпосылки!$C$278:$C$302,$B693,AA$635:AA$659)-SUMIF(Предпосылки!$C$278:$C$302,$B693,AA$663:AA$687)</f>
        <v>0</v>
      </c>
      <c s="125">
        <f ca="1">SUMIF(Предпосылки!$C$278:$C$302,$B693,AB$635:AB$659)-SUMIF(Предпосылки!$C$278:$C$302,$B693,AB$663:AB$687)</f>
        <v>0</v>
      </c>
      <c s="125">
        <f ca="1">SUMIF(Предпосылки!$C$278:$C$302,$B693,AC$635:AC$659)-SUMIF(Предпосылки!$C$278:$C$302,$B693,AC$663:AC$687)</f>
        <v>0</v>
      </c>
      <c s="125">
        <f ca="1">SUMIF(Предпосылки!$C$278:$C$302,$B693,AD$635:AD$659)-SUMIF(Предпосылки!$C$278:$C$302,$B693,AD$663:AD$687)</f>
        <v>0</v>
      </c>
      <c s="125">
        <f ca="1">SUMIF(Предпосылки!$C$278:$C$302,$B693,AE$635:AE$659)-SUMIF(Предпосылки!$C$278:$C$302,$B693,AE$663:AE$687)</f>
        <v>0</v>
      </c>
      <c s="125">
        <f ca="1">SUMIF(Предпосылки!$C$278:$C$302,$B693,AF$635:AF$659)-SUMIF(Предпосылки!$C$278:$C$302,$B693,AF$663:AF$687)</f>
        <v>0</v>
      </c>
      <c s="125">
        <f ca="1">SUMIF(Предпосылки!$C$278:$C$302,$B693,AG$635:AG$659)-SUMIF(Предпосылки!$C$278:$C$302,$B693,AG$663:AG$687)</f>
        <v>0</v>
      </c>
      <c s="125">
        <f ca="1">SUMIF(Предпосылки!$C$278:$C$302,$B693,AH$635:AH$659)-SUMIF(Предпосылки!$C$278:$C$302,$B693,AH$663:AH$687)</f>
        <v>0</v>
      </c>
      <c s="125">
        <f ca="1">SUMIF(Предпосылки!$C$278:$C$302,$B693,AI$635:AI$659)-SUMIF(Предпосылки!$C$278:$C$302,$B693,AI$663:AI$687)</f>
        <v>0</v>
      </c>
      <c s="125">
        <f ca="1">SUMIF(Предпосылки!$C$278:$C$302,$B693,AJ$635:AJ$659)-SUMIF(Предпосылки!$C$278:$C$302,$B693,AJ$663:AJ$687)</f>
        <v>0</v>
      </c>
      <c s="125">
        <f ca="1">SUMIF(Предпосылки!$C$278:$C$302,$B693,AK$635:AK$659)-SUMIF(Предпосылки!$C$278:$C$302,$B693,AK$663:AK$687)</f>
        <v>0</v>
      </c>
      <c s="125">
        <f ca="1">SUMIF(Предпосылки!$C$278:$C$302,$B693,AL$635:AL$659)-SUMIF(Предпосылки!$C$278:$C$302,$B693,AL$663:AL$687)</f>
        <v>0</v>
      </c>
      <c s="125">
        <f ca="1">SUMIF(Предпосылки!$C$278:$C$302,$B693,AM$635:AM$659)-SUMIF(Предпосылки!$C$278:$C$302,$B693,AM$663:AM$687)</f>
        <v>0</v>
      </c>
      <c s="125">
        <f ca="1">SUMIF(Предпосылки!$C$278:$C$302,$B693,AN$635:AN$659)-SUMIF(Предпосылки!$C$278:$C$302,$B693,AN$663:AN$687)</f>
        <v>0</v>
      </c>
      <c s="125">
        <f ca="1">SUMIF(Предпосылки!$C$278:$C$302,$B693,AO$635:AO$659)-SUMIF(Предпосылки!$C$278:$C$302,$B693,AO$663:AO$687)</f>
        <v>0</v>
      </c>
      <c s="125">
        <f ca="1">SUMIF(Предпосылки!$C$278:$C$302,$B693,AP$635:AP$659)-SUMIF(Предпосылки!$C$278:$C$302,$B693,AP$663:AP$687)</f>
        <v>0</v>
      </c>
      <c s="125">
        <f ca="1">SUMIF(Предпосылки!$C$278:$C$302,$B693,AQ$635:AQ$659)-SUMIF(Предпосылки!$C$278:$C$302,$B693,AQ$663:AQ$687)</f>
        <v>0</v>
      </c>
      <c s="125">
        <f ca="1">SUMIF(Предпосылки!$C$278:$C$302,$B693,AR$635:AR$659)-SUMIF(Предпосылки!$C$278:$C$302,$B693,AR$663:AR$687)</f>
        <v>0</v>
      </c>
      <c s="125">
        <f ca="1">SUMIF(Предпосылки!$C$278:$C$302,$B693,AS$635:AS$659)-SUMIF(Предпосылки!$C$278:$C$302,$B693,AS$663:AS$687)</f>
        <v>0</v>
      </c>
      <c s="125">
        <f ca="1">SUMIF(Предпосылки!$C$278:$C$302,$B693,AT$635:AT$659)-SUMIF(Предпосылки!$C$278:$C$302,$B693,AT$663:AT$687)</f>
        <v>0</v>
      </c>
      <c s="125">
        <f ca="1">SUMIF(Предпосылки!$C$278:$C$302,$B693,AU$635:AU$659)-SUMIF(Предпосылки!$C$278:$C$302,$B693,AU$663:AU$687)</f>
        <v>0</v>
      </c>
      <c s="125">
        <f ca="1">SUMIF(Предпосылки!$C$278:$C$302,$B693,AV$635:AV$659)-SUMIF(Предпосылки!$C$278:$C$302,$B693,AV$663:AV$687)</f>
        <v>0</v>
      </c>
      <c s="125">
        <f ca="1">SUMIF(Предпосылки!$C$278:$C$302,$B693,AW$635:AW$659)-SUMIF(Предпосылки!$C$278:$C$302,$B693,AW$663:AW$687)</f>
        <v>0</v>
      </c>
      <c s="125">
        <f ca="1">SUMIF(Предпосылки!$C$278:$C$302,$B693,AX$635:AX$659)-SUMIF(Предпосылки!$C$278:$C$302,$B693,AX$663:AX$687)</f>
        <v>0</v>
      </c>
      <c s="125">
        <f ca="1">SUMIF(Предпосылки!$C$278:$C$302,$B693,AY$635:AY$659)-SUMIF(Предпосылки!$C$278:$C$302,$B693,AY$663:AY$687)</f>
        <v>0</v>
      </c>
      <c s="125">
        <f ca="1">SUMIF(Предпосылки!$C$278:$C$302,$B693,AZ$635:AZ$659)-SUMIF(Предпосылки!$C$278:$C$302,$B693,AZ$663:AZ$687)</f>
        <v>0</v>
      </c>
      <c s="125">
        <f ca="1">SUMIF(Предпосылки!$C$278:$C$302,$B693,BA$635:BA$659)-SUMIF(Предпосылки!$C$278:$C$302,$B693,BA$663:BA$687)</f>
        <v>0</v>
      </c>
      <c s="125">
        <f ca="1">SUMIF(Предпосылки!$C$278:$C$302,$B693,BB$635:BB$659)-SUMIF(Предпосылки!$C$278:$C$302,$B693,BB$663:BB$687)</f>
        <v>0</v>
      </c>
      <c s="125">
        <f ca="1">SUMIF(Предпосылки!$C$278:$C$302,$B693,BC$635:BC$659)-SUMIF(Предпосылки!$C$278:$C$302,$B693,BC$663:BC$687)</f>
        <v>0</v>
      </c>
      <c s="125">
        <f ca="1">SUMIF(Предпосылки!$C$278:$C$302,$B693,BD$635:BD$659)-SUMIF(Предпосылки!$C$278:$C$302,$B693,BD$663:BD$687)</f>
        <v>0</v>
      </c>
      <c s="125">
        <f ca="1">SUMIF(Предпосылки!$C$278:$C$302,$B693,BE$635:BE$659)-SUMIF(Предпосылки!$C$278:$C$302,$B693,BE$663:BE$687)</f>
        <v>0</v>
      </c>
      <c s="125">
        <f ca="1">SUMIF(Предпосылки!$C$278:$C$302,$B693,BF$635:BF$659)-SUMIF(Предпосылки!$C$278:$C$302,$B693,BF$663:BF$687)</f>
        <v>0</v>
      </c>
      <c s="125">
        <f ca="1">SUMIF(Предпосылки!$C$278:$C$302,$B693,BG$635:BG$659)-SUMIF(Предпосылки!$C$278:$C$302,$B693,BG$663:BG$687)</f>
        <v>0</v>
      </c>
      <c s="125">
        <f ca="1">SUMIF(Предпосылки!$C$278:$C$302,$B693,BH$635:BH$659)-SUMIF(Предпосылки!$C$278:$C$302,$B693,BH$663:BH$687)</f>
        <v>0</v>
      </c>
      <c s="125">
        <f ca="1">SUMIF(Предпосылки!$C$278:$C$302,$B693,BI$635:BI$659)-SUMIF(Предпосылки!$C$278:$C$302,$B693,BI$663:BI$687)</f>
        <v>0</v>
      </c>
      <c s="125">
        <f ca="1">SUMIF(Предпосылки!$C$278:$C$302,$B693,BJ$635:BJ$659)-SUMIF(Предпосылки!$C$278:$C$302,$B693,BJ$663:BJ$687)</f>
        <v>0</v>
      </c>
      <c s="125">
        <f ca="1">SUMIF(Предпосылки!$C$278:$C$302,$B693,BK$635:BK$659)-SUMIF(Предпосылки!$C$278:$C$302,$B693,BK$663:BK$687)</f>
        <v>0</v>
      </c>
      <c s="125">
        <f ca="1">SUMIF(Предпосылки!$C$278:$C$302,$B693,BL$635:BL$659)-SUMIF(Предпосылки!$C$278:$C$302,$B693,BL$663:BL$687)</f>
        <v>0</v>
      </c>
      <c s="125">
        <f ca="1">SUMIF(Предпосылки!$C$278:$C$302,$B693,BM$635:BM$659)-SUMIF(Предпосылки!$C$278:$C$302,$B693,BM$663:BM$687)</f>
        <v>0</v>
      </c>
    </row>
    <row r="694" ht="15" customHeight="1"/>
    <row r="695" spans="2:3" ht="15" customHeight="1">
      <c r="B695" s="12" t="s">
        <v>368</v>
      </c>
      <c s="47" t="str">
        <f ca="1">IFERROR(IF(ROUND(SUM(D691:D693)-SUM(D660,-D688),2)=0,"R","Q"),"Q")</f>
        <v>R</v>
      </c>
    </row>
    <row r="696" ht="15" customHeight="1"/>
    <row r="697" spans="2:2" ht="21">
      <c r="B697" s="23" t="s">
        <v>869</v>
      </c>
    </row>
    <row r="698" spans="2:65" ht="15" customHeight="1">
      <c r="B698" s="12" t="s">
        <v>139</v>
      </c>
      <c s="124" t="str">
        <f>Единица_измерения</f>
        <v>тыс. руб.</v>
      </c>
      <c s="276">
        <f>SUM(E698:BM698)</f>
        <v>0</v>
      </c>
      <c s="125">
        <f>SUM(E504,-E551)</f>
        <v>0</v>
      </c>
      <c s="125">
        <f t="shared" si="379" ref="F698:AG698">SUM(F504,-F551)</f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80" ref="AH698:BM698">SUM(AH504,-AH551)</f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</row>
    <row r="699" spans="2:65" ht="15" customHeight="1">
      <c r="B699" s="12" t="s">
        <v>870</v>
      </c>
      <c s="124" t="str">
        <f>Единица_измерения</f>
        <v>тыс. руб.</v>
      </c>
      <c s="276">
        <f ca="1">SUM(E699:BM699)</f>
        <v>0</v>
      </c>
      <c s="125">
        <f>E691</f>
        <v>0</v>
      </c>
      <c s="125">
        <f ca="1" t="shared" si="381" ref="F699:AG699">F691</f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ca="1" t="shared" si="382" ref="AH699:BM699">AH691</f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</row>
    <row r="700" spans="2:65" ht="15" customHeight="1">
      <c r="B700" s="12" t="s">
        <v>871</v>
      </c>
      <c s="124" t="str">
        <f>Единица_измерения</f>
        <v>тыс. руб.</v>
      </c>
      <c s="276">
        <f>SUM(E700:BM700)</f>
        <v>0</v>
      </c>
      <c s="125">
        <f>ФОТ!E349</f>
        <v>0</v>
      </c>
      <c s="125">
        <f>ФОТ!F349</f>
        <v>0</v>
      </c>
      <c s="125">
        <f>ФОТ!G349</f>
        <v>0</v>
      </c>
      <c s="125">
        <f>ФОТ!H349</f>
        <v>0</v>
      </c>
      <c s="125">
        <f>ФОТ!I349</f>
        <v>0</v>
      </c>
      <c s="125">
        <f>ФОТ!J349</f>
        <v>0</v>
      </c>
      <c s="125">
        <f>ФОТ!K349</f>
        <v>0</v>
      </c>
      <c s="125">
        <f>ФОТ!L349</f>
        <v>0</v>
      </c>
      <c s="125">
        <f>ФОТ!M349</f>
        <v>0</v>
      </c>
      <c s="125">
        <f>ФОТ!N349</f>
        <v>0</v>
      </c>
      <c s="125">
        <f>ФОТ!O349</f>
        <v>0</v>
      </c>
      <c s="125">
        <f>ФОТ!P349</f>
        <v>0</v>
      </c>
      <c s="125">
        <f>ФОТ!Q349</f>
        <v>0</v>
      </c>
      <c s="125">
        <f>ФОТ!R349</f>
        <v>0</v>
      </c>
      <c s="125">
        <f>ФОТ!S349</f>
        <v>0</v>
      </c>
      <c s="125">
        <f>ФОТ!T349</f>
        <v>0</v>
      </c>
      <c s="125">
        <f>ФОТ!U349</f>
        <v>0</v>
      </c>
      <c s="125">
        <f>ФОТ!V349</f>
        <v>0</v>
      </c>
      <c s="125">
        <f>ФОТ!W349</f>
        <v>0</v>
      </c>
      <c s="125">
        <f>ФОТ!X349</f>
        <v>0</v>
      </c>
      <c s="125">
        <f>ФОТ!Y349</f>
        <v>0</v>
      </c>
      <c s="125">
        <f>ФОТ!Z349</f>
        <v>0</v>
      </c>
      <c s="125">
        <f>ФОТ!AA349</f>
        <v>0</v>
      </c>
      <c s="125">
        <f>ФОТ!AB349</f>
        <v>0</v>
      </c>
      <c s="125">
        <f>ФОТ!AC349</f>
        <v>0</v>
      </c>
      <c s="125">
        <f>ФОТ!AD349</f>
        <v>0</v>
      </c>
      <c s="125">
        <f>ФОТ!AE349</f>
        <v>0</v>
      </c>
      <c s="125">
        <f>ФОТ!AF349</f>
        <v>0</v>
      </c>
      <c s="125">
        <f>ФОТ!AG349</f>
        <v>0</v>
      </c>
      <c s="125">
        <f>ФОТ!AH349</f>
        <v>0</v>
      </c>
      <c s="125">
        <f>ФОТ!AI349</f>
        <v>0</v>
      </c>
      <c s="125">
        <f>ФОТ!AJ349</f>
        <v>0</v>
      </c>
      <c s="125">
        <f>ФОТ!AK349</f>
        <v>0</v>
      </c>
      <c s="125">
        <f>ФОТ!AL349</f>
        <v>0</v>
      </c>
      <c s="125">
        <f>ФОТ!AM349</f>
        <v>0</v>
      </c>
      <c s="125">
        <f>ФОТ!AN349</f>
        <v>0</v>
      </c>
      <c s="125">
        <f>ФОТ!AO349</f>
        <v>0</v>
      </c>
      <c s="125">
        <f>ФОТ!AP349</f>
        <v>0</v>
      </c>
      <c s="125">
        <f>ФОТ!AQ349</f>
        <v>0</v>
      </c>
      <c s="125">
        <f>ФОТ!AR349</f>
        <v>0</v>
      </c>
      <c s="125">
        <f>ФОТ!AS349</f>
        <v>0</v>
      </c>
      <c s="125">
        <f>ФОТ!AT349</f>
        <v>0</v>
      </c>
      <c s="125">
        <f>ФОТ!AU349</f>
        <v>0</v>
      </c>
      <c s="125">
        <f>ФОТ!AV349</f>
        <v>0</v>
      </c>
      <c s="125">
        <f>ФОТ!AW349</f>
        <v>0</v>
      </c>
      <c s="125">
        <f>ФОТ!AX349</f>
        <v>0</v>
      </c>
      <c s="125">
        <f>ФОТ!AY349</f>
        <v>0</v>
      </c>
      <c s="125">
        <f>ФОТ!AZ349</f>
        <v>0</v>
      </c>
      <c s="125">
        <f>ФОТ!BA349</f>
        <v>0</v>
      </c>
      <c s="125">
        <f>ФОТ!BB349</f>
        <v>0</v>
      </c>
      <c s="125">
        <f>ФОТ!BC349</f>
        <v>0</v>
      </c>
      <c s="125">
        <f>ФОТ!BD349</f>
        <v>0</v>
      </c>
      <c s="125">
        <f>ФОТ!BE349</f>
        <v>0</v>
      </c>
      <c s="125">
        <f>ФОТ!BF349</f>
        <v>0</v>
      </c>
      <c s="125">
        <f>ФОТ!BG349</f>
        <v>0</v>
      </c>
      <c s="125">
        <f>ФОТ!BH349</f>
        <v>0</v>
      </c>
      <c s="125">
        <f>ФОТ!BI349</f>
        <v>0</v>
      </c>
      <c s="125">
        <f>ФОТ!BJ349</f>
        <v>0</v>
      </c>
      <c s="125">
        <f>ФОТ!BK349</f>
        <v>0</v>
      </c>
      <c s="125">
        <f>ФОТ!BL349</f>
        <v>0</v>
      </c>
      <c s="125">
        <f>ФОТ!BM349</f>
        <v>0</v>
      </c>
    </row>
    <row r="701" spans="2:65" ht="15" customHeight="1">
      <c r="B701" s="12" t="s">
        <v>285</v>
      </c>
      <c s="124" t="str">
        <f>Единица_измерения</f>
        <v>тыс. руб.</v>
      </c>
      <c s="276">
        <f>SUM(E701:AG701)</f>
        <v>0</v>
      </c>
      <c s="125">
        <f>-'Капитальные вложения'!E591</f>
        <v>0</v>
      </c>
      <c s="125">
        <f>-'Капитальные вложения'!F591</f>
        <v>0</v>
      </c>
      <c s="125">
        <f>-'Капитальные вложения'!G591</f>
        <v>0</v>
      </c>
      <c s="125">
        <f>-'Капитальные вложения'!H591</f>
        <v>0</v>
      </c>
      <c s="125">
        <f>-'Капитальные вложения'!I591</f>
        <v>0</v>
      </c>
      <c s="125">
        <f>-'Капитальные вложения'!J591</f>
        <v>0</v>
      </c>
      <c s="125">
        <f>-'Капитальные вложения'!K591</f>
        <v>0</v>
      </c>
      <c s="125">
        <f>-'Капитальные вложения'!L591</f>
        <v>0</v>
      </c>
      <c s="125">
        <f>-'Капитальные вложения'!M591</f>
        <v>0</v>
      </c>
      <c s="125">
        <f>-'Капитальные вложения'!N591</f>
        <v>0</v>
      </c>
      <c s="125">
        <f>-'Капитальные вложения'!O591</f>
        <v>0</v>
      </c>
      <c s="125">
        <f>-'Капитальные вложения'!P591</f>
        <v>0</v>
      </c>
      <c s="125">
        <f>-'Капитальные вложения'!Q591</f>
        <v>0</v>
      </c>
      <c s="125">
        <f>-'Капитальные вложения'!R591</f>
        <v>0</v>
      </c>
      <c s="125">
        <f>-'Капитальные вложения'!S591</f>
        <v>0</v>
      </c>
      <c s="125">
        <f>-'Капитальные вложения'!T591</f>
        <v>0</v>
      </c>
      <c s="125">
        <f>-'Капитальные вложения'!U591</f>
        <v>0</v>
      </c>
      <c s="125">
        <f>-'Капитальные вложения'!V591</f>
        <v>0</v>
      </c>
      <c s="125">
        <f>-'Капитальные вложения'!W591</f>
        <v>0</v>
      </c>
      <c s="125">
        <f>-'Капитальные вложения'!X591</f>
        <v>0</v>
      </c>
      <c s="125">
        <f>-'Капитальные вложения'!Y591</f>
        <v>0</v>
      </c>
      <c s="125">
        <f>-'Капитальные вложения'!Z591</f>
        <v>0</v>
      </c>
      <c s="125">
        <f>-'Капитальные вложения'!AA591</f>
        <v>0</v>
      </c>
      <c s="125">
        <f>-'Капитальные вложения'!AB591</f>
        <v>0</v>
      </c>
      <c s="125">
        <f>-'Капитальные вложения'!AC591</f>
        <v>0</v>
      </c>
      <c s="125">
        <f>-'Капитальные вложения'!AD591</f>
        <v>0</v>
      </c>
      <c s="125">
        <f>-'Капитальные вложения'!AE591</f>
        <v>0</v>
      </c>
      <c s="125">
        <f>-'Капитальные вложения'!AF591</f>
        <v>0</v>
      </c>
      <c s="125">
        <f>-'Капитальные вложения'!AG591</f>
        <v>0</v>
      </c>
      <c s="125">
        <f>-'Капитальные вложения'!AH591</f>
        <v>0</v>
      </c>
      <c s="125">
        <f>-'Капитальные вложения'!AI591</f>
        <v>0</v>
      </c>
      <c s="125">
        <f>-'Капитальные вложения'!AJ591</f>
        <v>0</v>
      </c>
      <c s="125">
        <f>-'Капитальные вложения'!AK591</f>
        <v>0</v>
      </c>
      <c s="125">
        <f>-'Капитальные вложения'!AL591</f>
        <v>0</v>
      </c>
      <c s="125">
        <f>-'Капитальные вложения'!AM591</f>
        <v>0</v>
      </c>
      <c s="125">
        <f>-'Капитальные вложения'!AN591</f>
        <v>0</v>
      </c>
      <c s="125">
        <f>-'Капитальные вложения'!AO591</f>
        <v>0</v>
      </c>
      <c s="125">
        <f>-'Капитальные вложения'!AP591</f>
        <v>0</v>
      </c>
      <c s="125">
        <f>-'Капитальные вложения'!AQ591</f>
        <v>0</v>
      </c>
      <c s="125">
        <f>-'Капитальные вложения'!AR591</f>
        <v>0</v>
      </c>
      <c s="125">
        <f>-'Капитальные вложения'!AS591</f>
        <v>0</v>
      </c>
      <c s="125">
        <f>-'Капитальные вложения'!AT591</f>
        <v>0</v>
      </c>
      <c s="125">
        <f>-'Капитальные вложения'!AU591</f>
        <v>0</v>
      </c>
      <c s="125">
        <f>-'Капитальные вложения'!AV591</f>
        <v>0</v>
      </c>
      <c s="125">
        <f>-'Капитальные вложения'!AW591</f>
        <v>0</v>
      </c>
      <c s="125">
        <f>-'Капитальные вложения'!AX591</f>
        <v>0</v>
      </c>
      <c s="125">
        <f>-'Капитальные вложения'!AY591</f>
        <v>0</v>
      </c>
      <c s="125">
        <f>-'Капитальные вложения'!AZ591</f>
        <v>0</v>
      </c>
      <c s="125">
        <f>-'Капитальные вложения'!BA591</f>
        <v>0</v>
      </c>
      <c s="125">
        <f>-'Капитальные вложения'!BB591</f>
        <v>0</v>
      </c>
      <c s="125">
        <f>-'Капитальные вложения'!BC591</f>
        <v>0</v>
      </c>
      <c s="125">
        <f>-'Капитальные вложения'!BD591</f>
        <v>0</v>
      </c>
      <c s="125">
        <f>-'Капитальные вложения'!BE591</f>
        <v>0</v>
      </c>
      <c s="125">
        <f>-'Капитальные вложения'!BF591</f>
        <v>0</v>
      </c>
      <c s="125">
        <f>-'Капитальные вложения'!BG591</f>
        <v>0</v>
      </c>
      <c s="125">
        <f>-'Капитальные вложения'!BH591</f>
        <v>0</v>
      </c>
      <c s="125">
        <f>-'Капитальные вложения'!BI591</f>
        <v>0</v>
      </c>
      <c s="125">
        <f>-'Капитальные вложения'!BJ591</f>
        <v>0</v>
      </c>
      <c s="125">
        <f>-'Капитальные вложения'!BK591</f>
        <v>0</v>
      </c>
      <c s="125">
        <f>-'Капитальные вложения'!BL591</f>
        <v>0</v>
      </c>
      <c s="125">
        <f>-'Капитальные вложения'!BM591</f>
        <v>0</v>
      </c>
    </row>
    <row r="702" spans="2:65" ht="15" customHeight="1">
      <c r="B702" s="289" t="s">
        <v>454</v>
      </c>
      <c s="290" t="str">
        <f>Единица_измерения</f>
        <v>тыс. руб.</v>
      </c>
      <c s="291">
        <f ca="1">SUM(D698:D701)</f>
        <v>0</v>
      </c>
      <c s="276">
        <f>SUM(E698:E701)</f>
        <v>0</v>
      </c>
      <c s="276">
        <f ca="1" t="shared" si="383" ref="F702:AG702">SUM(F698:F701)</f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t="shared" ca="1" si="383"/>
        <v>0</v>
      </c>
      <c s="276">
        <f ca="1" t="shared" si="384" ref="AH702:BM702">SUM(AH698:AH701)</f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  <c s="276">
        <f t="shared" ca="1" si="384"/>
        <v>0</v>
      </c>
    </row>
    <row r="703" ht="15" customHeight="1"/>
  </sheetData>
  <sheetProtection algorithmName="SHA-512" hashValue="GdimsNdrcoT2ZJO4K1c0Gee+vK12ouloQi5SzZNtoHSjCLngiffh5gV2JYkg5it08egLc5CDq9CtUEBNZ4k85A==" saltValue="E3z51FCLm1x8xvsNc68XGA==" spinCount="100000" sheet="1" objects="1" scenarios="1"/>
  <mergeCells count="5">
    <mergeCell ref="B6:B8"/>
    <mergeCell ref="C6:C8"/>
    <mergeCell ref="D6:D8"/>
    <mergeCell ref="E2:H2"/>
    <mergeCell ref="E4:G4"/>
  </mergeCells>
  <conditionalFormatting sqref="C695">
    <cfRule type="cellIs" priority="5" dxfId="24" operator="equal">
      <formula>"Q"</formula>
    </cfRule>
    <cfRule type="cellIs" priority="6" dxfId="23" operator="equal">
      <formula>"R"</formula>
    </cfRule>
  </conditionalFormatting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theme="0"/>
    <pageSetUpPr fitToPage="1"/>
  </sheetPr>
  <dimension ref="B2:BT353"/>
  <sheetViews>
    <sheetView showGridLines="0" workbookViewId="0" topLeftCell="A1">
      <pane xSplit="4" ySplit="8" topLeftCell="E9" activePane="bottomRight" state="frozen"/>
      <selection pane="topLeft" activeCell="A1" sqref="A1"/>
      <selection pane="bottomLeft" activeCell="A1" sqref="A1"/>
      <selection pane="topRight" activeCell="A1" sqref="A1"/>
      <selection pane="bottomRight" activeCell="E2" sqref="E2:H2"/>
    </sheetView>
  </sheetViews>
  <sheetFormatPr defaultColWidth="0" defaultRowHeight="15" customHeight="1" zeroHeight="1"/>
  <cols>
    <col min="1" max="1" width="2.71428571428571" customWidth="1"/>
    <col min="2" max="2" width="52" customWidth="1"/>
    <col min="3" max="65" width="17.2857142857143" customWidth="1"/>
    <col min="66" max="66" width="2.57142857142857" customWidth="1"/>
    <col min="67" max="67" width="2.71428571428571" customWidth="1"/>
    <col min="68" max="72" width="15.7142857142857" hidden="1" customWidth="1"/>
    <col min="73" max="73" width="2.85714285714286" hidden="1" customWidth="1"/>
    <col min="74" max="84" width="0" hidden="1" customWidth="1"/>
    <col min="85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2" ht="31.15">
      <c r="B5" s="7" t="s">
        <v>166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AF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>SUM(AF6,1)</f>
        <v>29</v>
      </c>
      <c s="255">
        <f t="shared" si="1" ref="AH6:AZ6">SUM(AG6,1)</f>
        <v>30</v>
      </c>
      <c s="255">
        <f t="shared" si="1"/>
        <v>31</v>
      </c>
      <c s="255">
        <f t="shared" si="1"/>
        <v>32</v>
      </c>
      <c s="255">
        <f t="shared" si="1"/>
        <v>33</v>
      </c>
      <c s="255">
        <f t="shared" si="1"/>
        <v>34</v>
      </c>
      <c s="255">
        <f t="shared" si="1"/>
        <v>35</v>
      </c>
      <c s="255">
        <f t="shared" si="1"/>
        <v>36</v>
      </c>
      <c s="255">
        <f t="shared" si="1"/>
        <v>37</v>
      </c>
      <c s="255">
        <f t="shared" si="1"/>
        <v>38</v>
      </c>
      <c s="255">
        <f t="shared" si="1"/>
        <v>39</v>
      </c>
      <c s="255">
        <f t="shared" si="1"/>
        <v>40</v>
      </c>
      <c s="255">
        <f t="shared" si="1"/>
        <v>41</v>
      </c>
      <c s="255">
        <f t="shared" si="1"/>
        <v>42</v>
      </c>
      <c s="255">
        <f t="shared" si="1"/>
        <v>43</v>
      </c>
      <c s="255">
        <f t="shared" si="1"/>
        <v>44</v>
      </c>
      <c s="255">
        <f t="shared" si="1"/>
        <v>45</v>
      </c>
      <c s="255">
        <f t="shared" si="1"/>
        <v>46</v>
      </c>
      <c s="255">
        <f t="shared" si="1"/>
        <v>47</v>
      </c>
      <c s="255">
        <f t="shared" si="1"/>
        <v>48</v>
      </c>
      <c s="255">
        <f t="shared" si="2" ref="BA6:BM6">SUM(AZ6,1)</f>
        <v>49</v>
      </c>
      <c s="255">
        <f t="shared" si="2"/>
        <v>50</v>
      </c>
      <c s="255">
        <f t="shared" si="2"/>
        <v>51</v>
      </c>
      <c s="255">
        <f t="shared" si="2"/>
        <v>52</v>
      </c>
      <c s="255">
        <f t="shared" si="2"/>
        <v>53</v>
      </c>
      <c s="255">
        <f t="shared" si="2"/>
        <v>54</v>
      </c>
      <c s="255">
        <f t="shared" si="2"/>
        <v>55</v>
      </c>
      <c s="255">
        <f t="shared" si="2"/>
        <v>56</v>
      </c>
      <c s="255">
        <f t="shared" si="2"/>
        <v>57</v>
      </c>
      <c s="255">
        <f t="shared" si="2"/>
        <v>58</v>
      </c>
      <c s="255">
        <f t="shared" si="2"/>
        <v>59</v>
      </c>
      <c s="255">
        <f t="shared" si="2"/>
        <v>60</v>
      </c>
      <c s="255">
        <f t="shared" si="2"/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6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72" ht="21">
      <c r="B10" s="23" t="s">
        <v>872</v>
      </c>
      <c r="D1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" spans="2:65" ht="15" customHeight="1">
      <c r="B11" s="12" t="str">
        <f>IF(ISBLANK(Предпосылки!B349),"-",Предпосылки!B349)</f>
        <v>-</v>
      </c>
      <c s="124" t="s">
        <v>873</v>
      </c>
      <c s="127"/>
      <c s="127">
        <f>Предпосылки!E349</f>
        <v>0</v>
      </c>
      <c s="127">
        <f>Предпосылки!F349</f>
        <v>0</v>
      </c>
      <c s="127">
        <f>Предпосылки!G349</f>
        <v>0</v>
      </c>
      <c s="127">
        <f>Предпосылки!H349</f>
        <v>0</v>
      </c>
      <c s="127">
        <f>Предпосылки!I349</f>
        <v>0</v>
      </c>
      <c s="127">
        <f>Предпосылки!J349</f>
        <v>0</v>
      </c>
      <c s="127">
        <f>Предпосылки!K349</f>
        <v>0</v>
      </c>
      <c s="127">
        <f>Предпосылки!L349</f>
        <v>0</v>
      </c>
      <c s="127">
        <f>Предпосылки!M349</f>
        <v>0</v>
      </c>
      <c s="127">
        <f>Предпосылки!N349</f>
        <v>0</v>
      </c>
      <c s="127">
        <f>Предпосылки!O349</f>
        <v>0</v>
      </c>
      <c s="127">
        <f>Предпосылки!P349</f>
        <v>0</v>
      </c>
      <c s="127">
        <f>Предпосылки!Q349</f>
        <v>0</v>
      </c>
      <c s="127">
        <f>Предпосылки!R349</f>
        <v>0</v>
      </c>
      <c s="127">
        <f>Предпосылки!S349</f>
        <v>0</v>
      </c>
      <c s="127">
        <f>Предпосылки!T349</f>
        <v>0</v>
      </c>
      <c s="127">
        <f>Предпосылки!U349</f>
        <v>0</v>
      </c>
      <c s="127">
        <f>Предпосылки!V349</f>
        <v>0</v>
      </c>
      <c s="127">
        <f>Предпосылки!W349</f>
        <v>0</v>
      </c>
      <c s="127">
        <f>Предпосылки!X349</f>
        <v>0</v>
      </c>
      <c s="127">
        <f>Предпосылки!Y349</f>
        <v>0</v>
      </c>
      <c s="127">
        <f>Предпосылки!Z349</f>
        <v>0</v>
      </c>
      <c s="127">
        <f>Предпосылки!AA349</f>
        <v>0</v>
      </c>
      <c s="127">
        <f>Предпосылки!AB349</f>
        <v>0</v>
      </c>
      <c s="127">
        <f>Предпосылки!AC349</f>
        <v>0</v>
      </c>
      <c s="127">
        <f>Предпосылки!AD349</f>
        <v>0</v>
      </c>
      <c s="127">
        <f>Предпосылки!AE349</f>
        <v>0</v>
      </c>
      <c s="127">
        <f>Предпосылки!AF349</f>
        <v>0</v>
      </c>
      <c s="127">
        <f>Предпосылки!AG349</f>
        <v>0</v>
      </c>
      <c s="127">
        <f>Предпосылки!AH349</f>
        <v>0</v>
      </c>
      <c s="127">
        <f>Предпосылки!AI349</f>
        <v>0</v>
      </c>
      <c s="127">
        <f>Предпосылки!AJ349</f>
        <v>0</v>
      </c>
      <c s="127">
        <f>Предпосылки!AK349</f>
        <v>0</v>
      </c>
      <c s="127">
        <f>Предпосылки!AL349</f>
        <v>0</v>
      </c>
      <c s="127">
        <f>Предпосылки!AM349</f>
        <v>0</v>
      </c>
      <c s="127">
        <f>Предпосылки!AN349</f>
        <v>0</v>
      </c>
      <c s="127">
        <f>Предпосылки!AO349</f>
        <v>0</v>
      </c>
      <c s="127">
        <f>Предпосылки!AP349</f>
        <v>0</v>
      </c>
      <c s="127">
        <f>Предпосылки!AQ349</f>
        <v>0</v>
      </c>
      <c s="127">
        <f>Предпосылки!AR349</f>
        <v>0</v>
      </c>
      <c s="127">
        <f>Предпосылки!AS349</f>
        <v>0</v>
      </c>
      <c s="127">
        <f>Предпосылки!AT349</f>
        <v>0</v>
      </c>
      <c s="127">
        <f>Предпосылки!AU349</f>
        <v>0</v>
      </c>
      <c s="127">
        <f>Предпосылки!AV349</f>
        <v>0</v>
      </c>
      <c s="127">
        <f>Предпосылки!AW349</f>
        <v>0</v>
      </c>
      <c s="127">
        <f>Предпосылки!AX349</f>
        <v>0</v>
      </c>
      <c s="127">
        <f>Предпосылки!AY349</f>
        <v>0</v>
      </c>
      <c s="127">
        <f>Предпосылки!AZ349</f>
        <v>0</v>
      </c>
      <c s="127">
        <f>Предпосылки!BA349</f>
        <v>0</v>
      </c>
      <c s="127">
        <f>Предпосылки!BB349</f>
        <v>0</v>
      </c>
      <c s="127">
        <f>Предпосылки!BC349</f>
        <v>0</v>
      </c>
      <c s="127">
        <f>Предпосылки!BD349</f>
        <v>0</v>
      </c>
      <c s="127">
        <f>Предпосылки!BE349</f>
        <v>0</v>
      </c>
      <c s="127">
        <f>Предпосылки!BF349</f>
        <v>0</v>
      </c>
      <c s="127">
        <f>Предпосылки!BG349</f>
        <v>0</v>
      </c>
      <c s="127">
        <f>Предпосылки!BH349</f>
        <v>0</v>
      </c>
      <c s="127">
        <f>Предпосылки!BI349</f>
        <v>0</v>
      </c>
      <c s="127">
        <f>Предпосылки!BJ349</f>
        <v>0</v>
      </c>
      <c s="127">
        <f>Предпосылки!BK349</f>
        <v>0</v>
      </c>
      <c s="127">
        <f>Предпосылки!BL349</f>
        <v>0</v>
      </c>
      <c s="127">
        <f>Предпосылки!BM349</f>
        <v>0</v>
      </c>
    </row>
    <row r="12" spans="2:65" ht="15" customHeight="1">
      <c r="B12" s="12" t="str">
        <f>IF(ISBLANK(Предпосылки!B350),"-",Предпосылки!B350)</f>
        <v>-</v>
      </c>
      <c s="124" t="s">
        <v>873</v>
      </c>
      <c s="127"/>
      <c s="127">
        <f>Предпосылки!E350</f>
        <v>0</v>
      </c>
      <c s="127">
        <f>Предпосылки!F350</f>
        <v>0</v>
      </c>
      <c s="127">
        <f>Предпосылки!G350</f>
        <v>0</v>
      </c>
      <c s="127">
        <f>Предпосылки!H350</f>
        <v>0</v>
      </c>
      <c s="127">
        <f>Предпосылки!I350</f>
        <v>0</v>
      </c>
      <c s="127">
        <f>Предпосылки!J350</f>
        <v>0</v>
      </c>
      <c s="127">
        <f>Предпосылки!K350</f>
        <v>0</v>
      </c>
      <c s="127">
        <f>Предпосылки!L350</f>
        <v>0</v>
      </c>
      <c s="127">
        <f>Предпосылки!M350</f>
        <v>0</v>
      </c>
      <c s="127">
        <f>Предпосылки!N350</f>
        <v>0</v>
      </c>
      <c s="127">
        <f>Предпосылки!O350</f>
        <v>0</v>
      </c>
      <c s="127">
        <f>Предпосылки!P350</f>
        <v>0</v>
      </c>
      <c s="127">
        <f>Предпосылки!Q350</f>
        <v>0</v>
      </c>
      <c s="127">
        <f>Предпосылки!R350</f>
        <v>0</v>
      </c>
      <c s="127">
        <f>Предпосылки!S350</f>
        <v>0</v>
      </c>
      <c s="127">
        <f>Предпосылки!T350</f>
        <v>0</v>
      </c>
      <c s="127">
        <f>Предпосылки!U350</f>
        <v>0</v>
      </c>
      <c s="127">
        <f>Предпосылки!V350</f>
        <v>0</v>
      </c>
      <c s="127">
        <f>Предпосылки!W350</f>
        <v>0</v>
      </c>
      <c s="127">
        <f>Предпосылки!X350</f>
        <v>0</v>
      </c>
      <c s="127">
        <f>Предпосылки!Y350</f>
        <v>0</v>
      </c>
      <c s="127">
        <f>Предпосылки!Z350</f>
        <v>0</v>
      </c>
      <c s="127">
        <f>Предпосылки!AA350</f>
        <v>0</v>
      </c>
      <c s="127">
        <f>Предпосылки!AB350</f>
        <v>0</v>
      </c>
      <c s="127">
        <f>Предпосылки!AC350</f>
        <v>0</v>
      </c>
      <c s="127">
        <f>Предпосылки!AD350</f>
        <v>0</v>
      </c>
      <c s="127">
        <f>Предпосылки!AE350</f>
        <v>0</v>
      </c>
      <c s="127">
        <f>Предпосылки!AF350</f>
        <v>0</v>
      </c>
      <c s="127">
        <f>Предпосылки!AG350</f>
        <v>0</v>
      </c>
      <c s="127">
        <f>Предпосылки!AH350</f>
        <v>0</v>
      </c>
      <c s="127">
        <f>Предпосылки!AI350</f>
        <v>0</v>
      </c>
      <c s="127">
        <f>Предпосылки!AJ350</f>
        <v>0</v>
      </c>
      <c s="127">
        <f>Предпосылки!AK350</f>
        <v>0</v>
      </c>
      <c s="127">
        <f>Предпосылки!AL350</f>
        <v>0</v>
      </c>
      <c s="127">
        <f>Предпосылки!AM350</f>
        <v>0</v>
      </c>
      <c s="127">
        <f>Предпосылки!AN350</f>
        <v>0</v>
      </c>
      <c s="127">
        <f>Предпосылки!AO350</f>
        <v>0</v>
      </c>
      <c s="127">
        <f>Предпосылки!AP350</f>
        <v>0</v>
      </c>
      <c s="127">
        <f>Предпосылки!AQ350</f>
        <v>0</v>
      </c>
      <c s="127">
        <f>Предпосылки!AR350</f>
        <v>0</v>
      </c>
      <c s="127">
        <f>Предпосылки!AS350</f>
        <v>0</v>
      </c>
      <c s="127">
        <f>Предпосылки!AT350</f>
        <v>0</v>
      </c>
      <c s="127">
        <f>Предпосылки!AU350</f>
        <v>0</v>
      </c>
      <c s="127">
        <f>Предпосылки!AV350</f>
        <v>0</v>
      </c>
      <c s="127">
        <f>Предпосылки!AW350</f>
        <v>0</v>
      </c>
      <c s="127">
        <f>Предпосылки!AX350</f>
        <v>0</v>
      </c>
      <c s="127">
        <f>Предпосылки!AY350</f>
        <v>0</v>
      </c>
      <c s="127">
        <f>Предпосылки!AZ350</f>
        <v>0</v>
      </c>
      <c s="127">
        <f>Предпосылки!BA350</f>
        <v>0</v>
      </c>
      <c s="127">
        <f>Предпосылки!BB350</f>
        <v>0</v>
      </c>
      <c s="127">
        <f>Предпосылки!BC350</f>
        <v>0</v>
      </c>
      <c s="127">
        <f>Предпосылки!BD350</f>
        <v>0</v>
      </c>
      <c s="127">
        <f>Предпосылки!BE350</f>
        <v>0</v>
      </c>
      <c s="127">
        <f>Предпосылки!BF350</f>
        <v>0</v>
      </c>
      <c s="127">
        <f>Предпосылки!BG350</f>
        <v>0</v>
      </c>
      <c s="127">
        <f>Предпосылки!BH350</f>
        <v>0</v>
      </c>
      <c s="127">
        <f>Предпосылки!BI350</f>
        <v>0</v>
      </c>
      <c s="127">
        <f>Предпосылки!BJ350</f>
        <v>0</v>
      </c>
      <c s="127">
        <f>Предпосылки!BK350</f>
        <v>0</v>
      </c>
      <c s="127">
        <f>Предпосылки!BL350</f>
        <v>0</v>
      </c>
      <c s="127">
        <f>Предпосылки!BM350</f>
        <v>0</v>
      </c>
    </row>
    <row r="13" spans="2:65" ht="15" customHeight="1">
      <c r="B13" s="12" t="str">
        <f>IF(ISBLANK(Предпосылки!B351),"-",Предпосылки!B351)</f>
        <v>-</v>
      </c>
      <c s="124" t="s">
        <v>873</v>
      </c>
      <c s="127"/>
      <c s="127">
        <f>Предпосылки!E351</f>
        <v>0</v>
      </c>
      <c s="127">
        <f>Предпосылки!F351</f>
        <v>0</v>
      </c>
      <c s="127">
        <f>Предпосылки!G351</f>
        <v>0</v>
      </c>
      <c s="127">
        <f>Предпосылки!H351</f>
        <v>0</v>
      </c>
      <c s="127">
        <f>Предпосылки!I351</f>
        <v>0</v>
      </c>
      <c s="127">
        <f>Предпосылки!J351</f>
        <v>0</v>
      </c>
      <c s="127">
        <f>Предпосылки!K351</f>
        <v>0</v>
      </c>
      <c s="127">
        <f>Предпосылки!L351</f>
        <v>0</v>
      </c>
      <c s="127">
        <f>Предпосылки!M351</f>
        <v>0</v>
      </c>
      <c s="127">
        <f>Предпосылки!N351</f>
        <v>0</v>
      </c>
      <c s="127">
        <f>Предпосылки!O351</f>
        <v>0</v>
      </c>
      <c s="127">
        <f>Предпосылки!P351</f>
        <v>0</v>
      </c>
      <c s="127">
        <f>Предпосылки!Q351</f>
        <v>0</v>
      </c>
      <c s="127">
        <f>Предпосылки!R351</f>
        <v>0</v>
      </c>
      <c s="127">
        <f>Предпосылки!S351</f>
        <v>0</v>
      </c>
      <c s="127">
        <f>Предпосылки!T351</f>
        <v>0</v>
      </c>
      <c s="127">
        <f>Предпосылки!U351</f>
        <v>0</v>
      </c>
      <c s="127">
        <f>Предпосылки!V351</f>
        <v>0</v>
      </c>
      <c s="127">
        <f>Предпосылки!W351</f>
        <v>0</v>
      </c>
      <c s="127">
        <f>Предпосылки!X351</f>
        <v>0</v>
      </c>
      <c s="127">
        <f>Предпосылки!Y351</f>
        <v>0</v>
      </c>
      <c s="127">
        <f>Предпосылки!Z351</f>
        <v>0</v>
      </c>
      <c s="127">
        <f>Предпосылки!AA351</f>
        <v>0</v>
      </c>
      <c s="127">
        <f>Предпосылки!AB351</f>
        <v>0</v>
      </c>
      <c s="127">
        <f>Предпосылки!AC351</f>
        <v>0</v>
      </c>
      <c s="127">
        <f>Предпосылки!AD351</f>
        <v>0</v>
      </c>
      <c s="127">
        <f>Предпосылки!AE351</f>
        <v>0</v>
      </c>
      <c s="127">
        <f>Предпосылки!AF351</f>
        <v>0</v>
      </c>
      <c s="127">
        <f>Предпосылки!AG351</f>
        <v>0</v>
      </c>
      <c s="127">
        <f>Предпосылки!AH351</f>
        <v>0</v>
      </c>
      <c s="127">
        <f>Предпосылки!AI351</f>
        <v>0</v>
      </c>
      <c s="127">
        <f>Предпосылки!AJ351</f>
        <v>0</v>
      </c>
      <c s="127">
        <f>Предпосылки!AK351</f>
        <v>0</v>
      </c>
      <c s="127">
        <f>Предпосылки!AL351</f>
        <v>0</v>
      </c>
      <c s="127">
        <f>Предпосылки!AM351</f>
        <v>0</v>
      </c>
      <c s="127">
        <f>Предпосылки!AN351</f>
        <v>0</v>
      </c>
      <c s="127">
        <f>Предпосылки!AO351</f>
        <v>0</v>
      </c>
      <c s="127">
        <f>Предпосылки!AP351</f>
        <v>0</v>
      </c>
      <c s="127">
        <f>Предпосылки!AQ351</f>
        <v>0</v>
      </c>
      <c s="127">
        <f>Предпосылки!AR351</f>
        <v>0</v>
      </c>
      <c s="127">
        <f>Предпосылки!AS351</f>
        <v>0</v>
      </c>
      <c s="127">
        <f>Предпосылки!AT351</f>
        <v>0</v>
      </c>
      <c s="127">
        <f>Предпосылки!AU351</f>
        <v>0</v>
      </c>
      <c s="127">
        <f>Предпосылки!AV351</f>
        <v>0</v>
      </c>
      <c s="127">
        <f>Предпосылки!AW351</f>
        <v>0</v>
      </c>
      <c s="127">
        <f>Предпосылки!AX351</f>
        <v>0</v>
      </c>
      <c s="127">
        <f>Предпосылки!AY351</f>
        <v>0</v>
      </c>
      <c s="127">
        <f>Предпосылки!AZ351</f>
        <v>0</v>
      </c>
      <c s="127">
        <f>Предпосылки!BA351</f>
        <v>0</v>
      </c>
      <c s="127">
        <f>Предпосылки!BB351</f>
        <v>0</v>
      </c>
      <c s="127">
        <f>Предпосылки!BC351</f>
        <v>0</v>
      </c>
      <c s="127">
        <f>Предпосылки!BD351</f>
        <v>0</v>
      </c>
      <c s="127">
        <f>Предпосылки!BE351</f>
        <v>0</v>
      </c>
      <c s="127">
        <f>Предпосылки!BF351</f>
        <v>0</v>
      </c>
      <c s="127">
        <f>Предпосылки!BG351</f>
        <v>0</v>
      </c>
      <c s="127">
        <f>Предпосылки!BH351</f>
        <v>0</v>
      </c>
      <c s="127">
        <f>Предпосылки!BI351</f>
        <v>0</v>
      </c>
      <c s="127">
        <f>Предпосылки!BJ351</f>
        <v>0</v>
      </c>
      <c s="127">
        <f>Предпосылки!BK351</f>
        <v>0</v>
      </c>
      <c s="127">
        <f>Предпосылки!BL351</f>
        <v>0</v>
      </c>
      <c s="127">
        <f>Предпосылки!BM351</f>
        <v>0</v>
      </c>
    </row>
    <row r="14" spans="2:65" ht="15" customHeight="1">
      <c r="B14" s="12" t="str">
        <f>IF(ISBLANK(Предпосылки!B352),"-",Предпосылки!B352)</f>
        <v>-</v>
      </c>
      <c s="124" t="s">
        <v>873</v>
      </c>
      <c s="127"/>
      <c s="127">
        <f>Предпосылки!E352</f>
        <v>0</v>
      </c>
      <c s="127">
        <f>Предпосылки!F352</f>
        <v>0</v>
      </c>
      <c s="127">
        <f>Предпосылки!G352</f>
        <v>0</v>
      </c>
      <c s="127">
        <f>Предпосылки!H352</f>
        <v>0</v>
      </c>
      <c s="127">
        <f>Предпосылки!I352</f>
        <v>0</v>
      </c>
      <c s="127">
        <f>Предпосылки!J352</f>
        <v>0</v>
      </c>
      <c s="127">
        <f>Предпосылки!K352</f>
        <v>0</v>
      </c>
      <c s="127">
        <f>Предпосылки!L352</f>
        <v>0</v>
      </c>
      <c s="127">
        <f>Предпосылки!M352</f>
        <v>0</v>
      </c>
      <c s="127">
        <f>Предпосылки!N352</f>
        <v>0</v>
      </c>
      <c s="127">
        <f>Предпосылки!O352</f>
        <v>0</v>
      </c>
      <c s="127">
        <f>Предпосылки!P352</f>
        <v>0</v>
      </c>
      <c s="127">
        <f>Предпосылки!Q352</f>
        <v>0</v>
      </c>
      <c s="127">
        <f>Предпосылки!R352</f>
        <v>0</v>
      </c>
      <c s="127">
        <f>Предпосылки!S352</f>
        <v>0</v>
      </c>
      <c s="127">
        <f>Предпосылки!T352</f>
        <v>0</v>
      </c>
      <c s="127">
        <f>Предпосылки!U352</f>
        <v>0</v>
      </c>
      <c s="127">
        <f>Предпосылки!V352</f>
        <v>0</v>
      </c>
      <c s="127">
        <f>Предпосылки!W352</f>
        <v>0</v>
      </c>
      <c s="127">
        <f>Предпосылки!X352</f>
        <v>0</v>
      </c>
      <c s="127">
        <f>Предпосылки!Y352</f>
        <v>0</v>
      </c>
      <c s="127">
        <f>Предпосылки!Z352</f>
        <v>0</v>
      </c>
      <c s="127">
        <f>Предпосылки!AA352</f>
        <v>0</v>
      </c>
      <c s="127">
        <f>Предпосылки!AB352</f>
        <v>0</v>
      </c>
      <c s="127">
        <f>Предпосылки!AC352</f>
        <v>0</v>
      </c>
      <c s="127">
        <f>Предпосылки!AD352</f>
        <v>0</v>
      </c>
      <c s="127">
        <f>Предпосылки!AE352</f>
        <v>0</v>
      </c>
      <c s="127">
        <f>Предпосылки!AF352</f>
        <v>0</v>
      </c>
      <c s="127">
        <f>Предпосылки!AG352</f>
        <v>0</v>
      </c>
      <c s="127">
        <f>Предпосылки!AH352</f>
        <v>0</v>
      </c>
      <c s="127">
        <f>Предпосылки!AI352</f>
        <v>0</v>
      </c>
      <c s="127">
        <f>Предпосылки!AJ352</f>
        <v>0</v>
      </c>
      <c s="127">
        <f>Предпосылки!AK352</f>
        <v>0</v>
      </c>
      <c s="127">
        <f>Предпосылки!AL352</f>
        <v>0</v>
      </c>
      <c s="127">
        <f>Предпосылки!AM352</f>
        <v>0</v>
      </c>
      <c s="127">
        <f>Предпосылки!AN352</f>
        <v>0</v>
      </c>
      <c s="127">
        <f>Предпосылки!AO352</f>
        <v>0</v>
      </c>
      <c s="127">
        <f>Предпосылки!AP352</f>
        <v>0</v>
      </c>
      <c s="127">
        <f>Предпосылки!AQ352</f>
        <v>0</v>
      </c>
      <c s="127">
        <f>Предпосылки!AR352</f>
        <v>0</v>
      </c>
      <c s="127">
        <f>Предпосылки!AS352</f>
        <v>0</v>
      </c>
      <c s="127">
        <f>Предпосылки!AT352</f>
        <v>0</v>
      </c>
      <c s="127">
        <f>Предпосылки!AU352</f>
        <v>0</v>
      </c>
      <c s="127">
        <f>Предпосылки!AV352</f>
        <v>0</v>
      </c>
      <c s="127">
        <f>Предпосылки!AW352</f>
        <v>0</v>
      </c>
      <c s="127">
        <f>Предпосылки!AX352</f>
        <v>0</v>
      </c>
      <c s="127">
        <f>Предпосылки!AY352</f>
        <v>0</v>
      </c>
      <c s="127">
        <f>Предпосылки!AZ352</f>
        <v>0</v>
      </c>
      <c s="127">
        <f>Предпосылки!BA352</f>
        <v>0</v>
      </c>
      <c s="127">
        <f>Предпосылки!BB352</f>
        <v>0</v>
      </c>
      <c s="127">
        <f>Предпосылки!BC352</f>
        <v>0</v>
      </c>
      <c s="127">
        <f>Предпосылки!BD352</f>
        <v>0</v>
      </c>
      <c s="127">
        <f>Предпосылки!BE352</f>
        <v>0</v>
      </c>
      <c s="127">
        <f>Предпосылки!BF352</f>
        <v>0</v>
      </c>
      <c s="127">
        <f>Предпосылки!BG352</f>
        <v>0</v>
      </c>
      <c s="127">
        <f>Предпосылки!BH352</f>
        <v>0</v>
      </c>
      <c s="127">
        <f>Предпосылки!BI352</f>
        <v>0</v>
      </c>
      <c s="127">
        <f>Предпосылки!BJ352</f>
        <v>0</v>
      </c>
      <c s="127">
        <f>Предпосылки!BK352</f>
        <v>0</v>
      </c>
      <c s="127">
        <f>Предпосылки!BL352</f>
        <v>0</v>
      </c>
      <c s="127">
        <f>Предпосылки!BM352</f>
        <v>0</v>
      </c>
    </row>
    <row r="15" spans="2:65" ht="15" customHeight="1">
      <c r="B15" s="12" t="str">
        <f>IF(ISBLANK(Предпосылки!B353),"-",Предпосылки!B353)</f>
        <v>-</v>
      </c>
      <c s="124" t="s">
        <v>873</v>
      </c>
      <c s="127"/>
      <c s="127">
        <f>Предпосылки!E353</f>
        <v>0</v>
      </c>
      <c s="127">
        <f>Предпосылки!F353</f>
        <v>0</v>
      </c>
      <c s="127">
        <f>Предпосылки!G353</f>
        <v>0</v>
      </c>
      <c s="127">
        <f>Предпосылки!H353</f>
        <v>0</v>
      </c>
      <c s="127">
        <f>Предпосылки!I353</f>
        <v>0</v>
      </c>
      <c s="127">
        <f>Предпосылки!J353</f>
        <v>0</v>
      </c>
      <c s="127">
        <f>Предпосылки!K353</f>
        <v>0</v>
      </c>
      <c s="127">
        <f>Предпосылки!L353</f>
        <v>0</v>
      </c>
      <c s="127">
        <f>Предпосылки!M353</f>
        <v>0</v>
      </c>
      <c s="127">
        <f>Предпосылки!N353</f>
        <v>0</v>
      </c>
      <c s="127">
        <f>Предпосылки!O353</f>
        <v>0</v>
      </c>
      <c s="127">
        <f>Предпосылки!P353</f>
        <v>0</v>
      </c>
      <c s="127">
        <f>Предпосылки!Q353</f>
        <v>0</v>
      </c>
      <c s="127">
        <f>Предпосылки!R353</f>
        <v>0</v>
      </c>
      <c s="127">
        <f>Предпосылки!S353</f>
        <v>0</v>
      </c>
      <c s="127">
        <f>Предпосылки!T353</f>
        <v>0</v>
      </c>
      <c s="127">
        <f>Предпосылки!U353</f>
        <v>0</v>
      </c>
      <c s="127">
        <f>Предпосылки!V353</f>
        <v>0</v>
      </c>
      <c s="127">
        <f>Предпосылки!W353</f>
        <v>0</v>
      </c>
      <c s="127">
        <f>Предпосылки!X353</f>
        <v>0</v>
      </c>
      <c s="127">
        <f>Предпосылки!Y353</f>
        <v>0</v>
      </c>
      <c s="127">
        <f>Предпосылки!Z353</f>
        <v>0</v>
      </c>
      <c s="127">
        <f>Предпосылки!AA353</f>
        <v>0</v>
      </c>
      <c s="127">
        <f>Предпосылки!AB353</f>
        <v>0</v>
      </c>
      <c s="127">
        <f>Предпосылки!AC353</f>
        <v>0</v>
      </c>
      <c s="127">
        <f>Предпосылки!AD353</f>
        <v>0</v>
      </c>
      <c s="127">
        <f>Предпосылки!AE353</f>
        <v>0</v>
      </c>
      <c s="127">
        <f>Предпосылки!AF353</f>
        <v>0</v>
      </c>
      <c s="127">
        <f>Предпосылки!AG353</f>
        <v>0</v>
      </c>
      <c s="127">
        <f>Предпосылки!AH353</f>
        <v>0</v>
      </c>
      <c s="127">
        <f>Предпосылки!AI353</f>
        <v>0</v>
      </c>
      <c s="127">
        <f>Предпосылки!AJ353</f>
        <v>0</v>
      </c>
      <c s="127">
        <f>Предпосылки!AK353</f>
        <v>0</v>
      </c>
      <c s="127">
        <f>Предпосылки!AL353</f>
        <v>0</v>
      </c>
      <c s="127">
        <f>Предпосылки!AM353</f>
        <v>0</v>
      </c>
      <c s="127">
        <f>Предпосылки!AN353</f>
        <v>0</v>
      </c>
      <c s="127">
        <f>Предпосылки!AO353</f>
        <v>0</v>
      </c>
      <c s="127">
        <f>Предпосылки!AP353</f>
        <v>0</v>
      </c>
      <c s="127">
        <f>Предпосылки!AQ353</f>
        <v>0</v>
      </c>
      <c s="127">
        <f>Предпосылки!AR353</f>
        <v>0</v>
      </c>
      <c s="127">
        <f>Предпосылки!AS353</f>
        <v>0</v>
      </c>
      <c s="127">
        <f>Предпосылки!AT353</f>
        <v>0</v>
      </c>
      <c s="127">
        <f>Предпосылки!AU353</f>
        <v>0</v>
      </c>
      <c s="127">
        <f>Предпосылки!AV353</f>
        <v>0</v>
      </c>
      <c s="127">
        <f>Предпосылки!AW353</f>
        <v>0</v>
      </c>
      <c s="127">
        <f>Предпосылки!AX353</f>
        <v>0</v>
      </c>
      <c s="127">
        <f>Предпосылки!AY353</f>
        <v>0</v>
      </c>
      <c s="127">
        <f>Предпосылки!AZ353</f>
        <v>0</v>
      </c>
      <c s="127">
        <f>Предпосылки!BA353</f>
        <v>0</v>
      </c>
      <c s="127">
        <f>Предпосылки!BB353</f>
        <v>0</v>
      </c>
      <c s="127">
        <f>Предпосылки!BC353</f>
        <v>0</v>
      </c>
      <c s="127">
        <f>Предпосылки!BD353</f>
        <v>0</v>
      </c>
      <c s="127">
        <f>Предпосылки!BE353</f>
        <v>0</v>
      </c>
      <c s="127">
        <f>Предпосылки!BF353</f>
        <v>0</v>
      </c>
      <c s="127">
        <f>Предпосылки!BG353</f>
        <v>0</v>
      </c>
      <c s="127">
        <f>Предпосылки!BH353</f>
        <v>0</v>
      </c>
      <c s="127">
        <f>Предпосылки!BI353</f>
        <v>0</v>
      </c>
      <c s="127">
        <f>Предпосылки!BJ353</f>
        <v>0</v>
      </c>
      <c s="127">
        <f>Предпосылки!BK353</f>
        <v>0</v>
      </c>
      <c s="127">
        <f>Предпосылки!BL353</f>
        <v>0</v>
      </c>
      <c s="127">
        <f>Предпосылки!BM353</f>
        <v>0</v>
      </c>
    </row>
    <row r="16" spans="2:65" ht="15" customHeight="1">
      <c r="B16" s="12" t="str">
        <f>IF(ISBLANK(Предпосылки!B354),"-",Предпосылки!B354)</f>
        <v>-</v>
      </c>
      <c s="124" t="s">
        <v>873</v>
      </c>
      <c s="127"/>
      <c s="127">
        <f>Предпосылки!E354</f>
        <v>0</v>
      </c>
      <c s="127">
        <f>Предпосылки!F354</f>
        <v>0</v>
      </c>
      <c s="127">
        <f>Предпосылки!G354</f>
        <v>0</v>
      </c>
      <c s="127">
        <f>Предпосылки!H354</f>
        <v>0</v>
      </c>
      <c s="127">
        <f>Предпосылки!I354</f>
        <v>0</v>
      </c>
      <c s="127">
        <f>Предпосылки!J354</f>
        <v>0</v>
      </c>
      <c s="127">
        <f>Предпосылки!K354</f>
        <v>0</v>
      </c>
      <c s="127">
        <f>Предпосылки!L354</f>
        <v>0</v>
      </c>
      <c s="127">
        <f>Предпосылки!M354</f>
        <v>0</v>
      </c>
      <c s="127">
        <f>Предпосылки!N354</f>
        <v>0</v>
      </c>
      <c s="127">
        <f>Предпосылки!O354</f>
        <v>0</v>
      </c>
      <c s="127">
        <f>Предпосылки!P354</f>
        <v>0</v>
      </c>
      <c s="127">
        <f>Предпосылки!Q354</f>
        <v>0</v>
      </c>
      <c s="127">
        <f>Предпосылки!R354</f>
        <v>0</v>
      </c>
      <c s="127">
        <f>Предпосылки!S354</f>
        <v>0</v>
      </c>
      <c s="127">
        <f>Предпосылки!T354</f>
        <v>0</v>
      </c>
      <c s="127">
        <f>Предпосылки!U354</f>
        <v>0</v>
      </c>
      <c s="127">
        <f>Предпосылки!V354</f>
        <v>0</v>
      </c>
      <c s="127">
        <f>Предпосылки!W354</f>
        <v>0</v>
      </c>
      <c s="127">
        <f>Предпосылки!X354</f>
        <v>0</v>
      </c>
      <c s="127">
        <f>Предпосылки!Y354</f>
        <v>0</v>
      </c>
      <c s="127">
        <f>Предпосылки!Z354</f>
        <v>0</v>
      </c>
      <c s="127">
        <f>Предпосылки!AA354</f>
        <v>0</v>
      </c>
      <c s="127">
        <f>Предпосылки!AB354</f>
        <v>0</v>
      </c>
      <c s="127">
        <f>Предпосылки!AC354</f>
        <v>0</v>
      </c>
      <c s="127">
        <f>Предпосылки!AD354</f>
        <v>0</v>
      </c>
      <c s="127">
        <f>Предпосылки!AE354</f>
        <v>0</v>
      </c>
      <c s="127">
        <f>Предпосылки!AF354</f>
        <v>0</v>
      </c>
      <c s="127">
        <f>Предпосылки!AG354</f>
        <v>0</v>
      </c>
      <c s="127">
        <f>Предпосылки!AH354</f>
        <v>0</v>
      </c>
      <c s="127">
        <f>Предпосылки!AI354</f>
        <v>0</v>
      </c>
      <c s="127">
        <f>Предпосылки!AJ354</f>
        <v>0</v>
      </c>
      <c s="127">
        <f>Предпосылки!AK354</f>
        <v>0</v>
      </c>
      <c s="127">
        <f>Предпосылки!AL354</f>
        <v>0</v>
      </c>
      <c s="127">
        <f>Предпосылки!AM354</f>
        <v>0</v>
      </c>
      <c s="127">
        <f>Предпосылки!AN354</f>
        <v>0</v>
      </c>
      <c s="127">
        <f>Предпосылки!AO354</f>
        <v>0</v>
      </c>
      <c s="127">
        <f>Предпосылки!AP354</f>
        <v>0</v>
      </c>
      <c s="127">
        <f>Предпосылки!AQ354</f>
        <v>0</v>
      </c>
      <c s="127">
        <f>Предпосылки!AR354</f>
        <v>0</v>
      </c>
      <c s="127">
        <f>Предпосылки!AS354</f>
        <v>0</v>
      </c>
      <c s="127">
        <f>Предпосылки!AT354</f>
        <v>0</v>
      </c>
      <c s="127">
        <f>Предпосылки!AU354</f>
        <v>0</v>
      </c>
      <c s="127">
        <f>Предпосылки!AV354</f>
        <v>0</v>
      </c>
      <c s="127">
        <f>Предпосылки!AW354</f>
        <v>0</v>
      </c>
      <c s="127">
        <f>Предпосылки!AX354</f>
        <v>0</v>
      </c>
      <c s="127">
        <f>Предпосылки!AY354</f>
        <v>0</v>
      </c>
      <c s="127">
        <f>Предпосылки!AZ354</f>
        <v>0</v>
      </c>
      <c s="127">
        <f>Предпосылки!BA354</f>
        <v>0</v>
      </c>
      <c s="127">
        <f>Предпосылки!BB354</f>
        <v>0</v>
      </c>
      <c s="127">
        <f>Предпосылки!BC354</f>
        <v>0</v>
      </c>
      <c s="127">
        <f>Предпосылки!BD354</f>
        <v>0</v>
      </c>
      <c s="127">
        <f>Предпосылки!BE354</f>
        <v>0</v>
      </c>
      <c s="127">
        <f>Предпосылки!BF354</f>
        <v>0</v>
      </c>
      <c s="127">
        <f>Предпосылки!BG354</f>
        <v>0</v>
      </c>
      <c s="127">
        <f>Предпосылки!BH354</f>
        <v>0</v>
      </c>
      <c s="127">
        <f>Предпосылки!BI354</f>
        <v>0</v>
      </c>
      <c s="127">
        <f>Предпосылки!BJ354</f>
        <v>0</v>
      </c>
      <c s="127">
        <f>Предпосылки!BK354</f>
        <v>0</v>
      </c>
      <c s="127">
        <f>Предпосылки!BL354</f>
        <v>0</v>
      </c>
      <c s="127">
        <f>Предпосылки!BM354</f>
        <v>0</v>
      </c>
    </row>
    <row r="17" spans="2:65" ht="15" customHeight="1">
      <c r="B17" s="12" t="str">
        <f>IF(ISBLANK(Предпосылки!B355),"-",Предпосылки!B355)</f>
        <v>-</v>
      </c>
      <c s="124" t="s">
        <v>873</v>
      </c>
      <c s="127"/>
      <c s="127">
        <f>Предпосылки!E355</f>
        <v>0</v>
      </c>
      <c s="127">
        <f>Предпосылки!F355</f>
        <v>0</v>
      </c>
      <c s="127">
        <f>Предпосылки!G355</f>
        <v>0</v>
      </c>
      <c s="127">
        <f>Предпосылки!H355</f>
        <v>0</v>
      </c>
      <c s="127">
        <f>Предпосылки!I355</f>
        <v>0</v>
      </c>
      <c s="127">
        <f>Предпосылки!J355</f>
        <v>0</v>
      </c>
      <c s="127">
        <f>Предпосылки!K355</f>
        <v>0</v>
      </c>
      <c s="127">
        <f>Предпосылки!L355</f>
        <v>0</v>
      </c>
      <c s="127">
        <f>Предпосылки!M355</f>
        <v>0</v>
      </c>
      <c s="127">
        <f>Предпосылки!N355</f>
        <v>0</v>
      </c>
      <c s="127">
        <f>Предпосылки!O355</f>
        <v>0</v>
      </c>
      <c s="127">
        <f>Предпосылки!P355</f>
        <v>0</v>
      </c>
      <c s="127">
        <f>Предпосылки!Q355</f>
        <v>0</v>
      </c>
      <c s="127">
        <f>Предпосылки!R355</f>
        <v>0</v>
      </c>
      <c s="127">
        <f>Предпосылки!S355</f>
        <v>0</v>
      </c>
      <c s="127">
        <f>Предпосылки!T355</f>
        <v>0</v>
      </c>
      <c s="127">
        <f>Предпосылки!U355</f>
        <v>0</v>
      </c>
      <c s="127">
        <f>Предпосылки!V355</f>
        <v>0</v>
      </c>
      <c s="127">
        <f>Предпосылки!W355</f>
        <v>0</v>
      </c>
      <c s="127">
        <f>Предпосылки!X355</f>
        <v>0</v>
      </c>
      <c s="127">
        <f>Предпосылки!Y355</f>
        <v>0</v>
      </c>
      <c s="127">
        <f>Предпосылки!Z355</f>
        <v>0</v>
      </c>
      <c s="127">
        <f>Предпосылки!AA355</f>
        <v>0</v>
      </c>
      <c s="127">
        <f>Предпосылки!AB355</f>
        <v>0</v>
      </c>
      <c s="127">
        <f>Предпосылки!AC355</f>
        <v>0</v>
      </c>
      <c s="127">
        <f>Предпосылки!AD355</f>
        <v>0</v>
      </c>
      <c s="127">
        <f>Предпосылки!AE355</f>
        <v>0</v>
      </c>
      <c s="127">
        <f>Предпосылки!AF355</f>
        <v>0</v>
      </c>
      <c s="127">
        <f>Предпосылки!AG355</f>
        <v>0</v>
      </c>
      <c s="127">
        <f>Предпосылки!AH355</f>
        <v>0</v>
      </c>
      <c s="127">
        <f>Предпосылки!AI355</f>
        <v>0</v>
      </c>
      <c s="127">
        <f>Предпосылки!AJ355</f>
        <v>0</v>
      </c>
      <c s="127">
        <f>Предпосылки!AK355</f>
        <v>0</v>
      </c>
      <c s="127">
        <f>Предпосылки!AL355</f>
        <v>0</v>
      </c>
      <c s="127">
        <f>Предпосылки!AM355</f>
        <v>0</v>
      </c>
      <c s="127">
        <f>Предпосылки!AN355</f>
        <v>0</v>
      </c>
      <c s="127">
        <f>Предпосылки!AO355</f>
        <v>0</v>
      </c>
      <c s="127">
        <f>Предпосылки!AP355</f>
        <v>0</v>
      </c>
      <c s="127">
        <f>Предпосылки!AQ355</f>
        <v>0</v>
      </c>
      <c s="127">
        <f>Предпосылки!AR355</f>
        <v>0</v>
      </c>
      <c s="127">
        <f>Предпосылки!AS355</f>
        <v>0</v>
      </c>
      <c s="127">
        <f>Предпосылки!AT355</f>
        <v>0</v>
      </c>
      <c s="127">
        <f>Предпосылки!AU355</f>
        <v>0</v>
      </c>
      <c s="127">
        <f>Предпосылки!AV355</f>
        <v>0</v>
      </c>
      <c s="127">
        <f>Предпосылки!AW355</f>
        <v>0</v>
      </c>
      <c s="127">
        <f>Предпосылки!AX355</f>
        <v>0</v>
      </c>
      <c s="127">
        <f>Предпосылки!AY355</f>
        <v>0</v>
      </c>
      <c s="127">
        <f>Предпосылки!AZ355</f>
        <v>0</v>
      </c>
      <c s="127">
        <f>Предпосылки!BA355</f>
        <v>0</v>
      </c>
      <c s="127">
        <f>Предпосылки!BB355</f>
        <v>0</v>
      </c>
      <c s="127">
        <f>Предпосылки!BC355</f>
        <v>0</v>
      </c>
      <c s="127">
        <f>Предпосылки!BD355</f>
        <v>0</v>
      </c>
      <c s="127">
        <f>Предпосылки!BE355</f>
        <v>0</v>
      </c>
      <c s="127">
        <f>Предпосылки!BF355</f>
        <v>0</v>
      </c>
      <c s="127">
        <f>Предпосылки!BG355</f>
        <v>0</v>
      </c>
      <c s="127">
        <f>Предпосылки!BH355</f>
        <v>0</v>
      </c>
      <c s="127">
        <f>Предпосылки!BI355</f>
        <v>0</v>
      </c>
      <c s="127">
        <f>Предпосылки!BJ355</f>
        <v>0</v>
      </c>
      <c s="127">
        <f>Предпосылки!BK355</f>
        <v>0</v>
      </c>
      <c s="127">
        <f>Предпосылки!BL355</f>
        <v>0</v>
      </c>
      <c s="127">
        <f>Предпосылки!BM355</f>
        <v>0</v>
      </c>
    </row>
    <row r="18" spans="2:65" ht="15" customHeight="1">
      <c r="B18" s="12" t="str">
        <f>IF(ISBLANK(Предпосылки!B356),"-",Предпосылки!B356)</f>
        <v>-</v>
      </c>
      <c s="124" t="s">
        <v>873</v>
      </c>
      <c s="127"/>
      <c s="127">
        <f>Предпосылки!E356</f>
        <v>0</v>
      </c>
      <c s="127">
        <f>Предпосылки!F356</f>
        <v>0</v>
      </c>
      <c s="127">
        <f>Предпосылки!G356</f>
        <v>0</v>
      </c>
      <c s="127">
        <f>Предпосылки!H356</f>
        <v>0</v>
      </c>
      <c s="127">
        <f>Предпосылки!I356</f>
        <v>0</v>
      </c>
      <c s="127">
        <f>Предпосылки!J356</f>
        <v>0</v>
      </c>
      <c s="127">
        <f>Предпосылки!K356</f>
        <v>0</v>
      </c>
      <c s="127">
        <f>Предпосылки!L356</f>
        <v>0</v>
      </c>
      <c s="127">
        <f>Предпосылки!M356</f>
        <v>0</v>
      </c>
      <c s="127">
        <f>Предпосылки!N356</f>
        <v>0</v>
      </c>
      <c s="127">
        <f>Предпосылки!O356</f>
        <v>0</v>
      </c>
      <c s="127">
        <f>Предпосылки!P356</f>
        <v>0</v>
      </c>
      <c s="127">
        <f>Предпосылки!Q356</f>
        <v>0</v>
      </c>
      <c s="127">
        <f>Предпосылки!R356</f>
        <v>0</v>
      </c>
      <c s="127">
        <f>Предпосылки!S356</f>
        <v>0</v>
      </c>
      <c s="127">
        <f>Предпосылки!T356</f>
        <v>0</v>
      </c>
      <c s="127">
        <f>Предпосылки!U356</f>
        <v>0</v>
      </c>
      <c s="127">
        <f>Предпосылки!V356</f>
        <v>0</v>
      </c>
      <c s="127">
        <f>Предпосылки!W356</f>
        <v>0</v>
      </c>
      <c s="127">
        <f>Предпосылки!X356</f>
        <v>0</v>
      </c>
      <c s="127">
        <f>Предпосылки!Y356</f>
        <v>0</v>
      </c>
      <c s="127">
        <f>Предпосылки!Z356</f>
        <v>0</v>
      </c>
      <c s="127">
        <f>Предпосылки!AA356</f>
        <v>0</v>
      </c>
      <c s="127">
        <f>Предпосылки!AB356</f>
        <v>0</v>
      </c>
      <c s="127">
        <f>Предпосылки!AC356</f>
        <v>0</v>
      </c>
      <c s="127">
        <f>Предпосылки!AD356</f>
        <v>0</v>
      </c>
      <c s="127">
        <f>Предпосылки!AE356</f>
        <v>0</v>
      </c>
      <c s="127">
        <f>Предпосылки!AF356</f>
        <v>0</v>
      </c>
      <c s="127">
        <f>Предпосылки!AG356</f>
        <v>0</v>
      </c>
      <c s="127">
        <f>Предпосылки!AH356</f>
        <v>0</v>
      </c>
      <c s="127">
        <f>Предпосылки!AI356</f>
        <v>0</v>
      </c>
      <c s="127">
        <f>Предпосылки!AJ356</f>
        <v>0</v>
      </c>
      <c s="127">
        <f>Предпосылки!AK356</f>
        <v>0</v>
      </c>
      <c s="127">
        <f>Предпосылки!AL356</f>
        <v>0</v>
      </c>
      <c s="127">
        <f>Предпосылки!AM356</f>
        <v>0</v>
      </c>
      <c s="127">
        <f>Предпосылки!AN356</f>
        <v>0</v>
      </c>
      <c s="127">
        <f>Предпосылки!AO356</f>
        <v>0</v>
      </c>
      <c s="127">
        <f>Предпосылки!AP356</f>
        <v>0</v>
      </c>
      <c s="127">
        <f>Предпосылки!AQ356</f>
        <v>0</v>
      </c>
      <c s="127">
        <f>Предпосылки!AR356</f>
        <v>0</v>
      </c>
      <c s="127">
        <f>Предпосылки!AS356</f>
        <v>0</v>
      </c>
      <c s="127">
        <f>Предпосылки!AT356</f>
        <v>0</v>
      </c>
      <c s="127">
        <f>Предпосылки!AU356</f>
        <v>0</v>
      </c>
      <c s="127">
        <f>Предпосылки!AV356</f>
        <v>0</v>
      </c>
      <c s="127">
        <f>Предпосылки!AW356</f>
        <v>0</v>
      </c>
      <c s="127">
        <f>Предпосылки!AX356</f>
        <v>0</v>
      </c>
      <c s="127">
        <f>Предпосылки!AY356</f>
        <v>0</v>
      </c>
      <c s="127">
        <f>Предпосылки!AZ356</f>
        <v>0</v>
      </c>
      <c s="127">
        <f>Предпосылки!BA356</f>
        <v>0</v>
      </c>
      <c s="127">
        <f>Предпосылки!BB356</f>
        <v>0</v>
      </c>
      <c s="127">
        <f>Предпосылки!BC356</f>
        <v>0</v>
      </c>
      <c s="127">
        <f>Предпосылки!BD356</f>
        <v>0</v>
      </c>
      <c s="127">
        <f>Предпосылки!BE356</f>
        <v>0</v>
      </c>
      <c s="127">
        <f>Предпосылки!BF356</f>
        <v>0</v>
      </c>
      <c s="127">
        <f>Предпосылки!BG356</f>
        <v>0</v>
      </c>
      <c s="127">
        <f>Предпосылки!BH356</f>
        <v>0</v>
      </c>
      <c s="127">
        <f>Предпосылки!BI356</f>
        <v>0</v>
      </c>
      <c s="127">
        <f>Предпосылки!BJ356</f>
        <v>0</v>
      </c>
      <c s="127">
        <f>Предпосылки!BK356</f>
        <v>0</v>
      </c>
      <c s="127">
        <f>Предпосылки!BL356</f>
        <v>0</v>
      </c>
      <c s="127">
        <f>Предпосылки!BM356</f>
        <v>0</v>
      </c>
    </row>
    <row r="19" spans="2:65" ht="15" customHeight="1">
      <c r="B19" s="12" t="str">
        <f>IF(ISBLANK(Предпосылки!B357),"-",Предпосылки!B357)</f>
        <v>-</v>
      </c>
      <c s="124" t="s">
        <v>873</v>
      </c>
      <c s="127"/>
      <c s="127">
        <f>Предпосылки!E357</f>
        <v>0</v>
      </c>
      <c s="127">
        <f>Предпосылки!F357</f>
        <v>0</v>
      </c>
      <c s="127">
        <f>Предпосылки!G357</f>
        <v>0</v>
      </c>
      <c s="127">
        <f>Предпосылки!H357</f>
        <v>0</v>
      </c>
      <c s="127">
        <f>Предпосылки!I357</f>
        <v>0</v>
      </c>
      <c s="127">
        <f>Предпосылки!J357</f>
        <v>0</v>
      </c>
      <c s="127">
        <f>Предпосылки!K357</f>
        <v>0</v>
      </c>
      <c s="127">
        <f>Предпосылки!L357</f>
        <v>0</v>
      </c>
      <c s="127">
        <f>Предпосылки!M357</f>
        <v>0</v>
      </c>
      <c s="127">
        <f>Предпосылки!N357</f>
        <v>0</v>
      </c>
      <c s="127">
        <f>Предпосылки!O357</f>
        <v>0</v>
      </c>
      <c s="127">
        <f>Предпосылки!P357</f>
        <v>0</v>
      </c>
      <c s="127">
        <f>Предпосылки!Q357</f>
        <v>0</v>
      </c>
      <c s="127">
        <f>Предпосылки!R357</f>
        <v>0</v>
      </c>
      <c s="127">
        <f>Предпосылки!S357</f>
        <v>0</v>
      </c>
      <c s="127">
        <f>Предпосылки!T357</f>
        <v>0</v>
      </c>
      <c s="127">
        <f>Предпосылки!U357</f>
        <v>0</v>
      </c>
      <c s="127">
        <f>Предпосылки!V357</f>
        <v>0</v>
      </c>
      <c s="127">
        <f>Предпосылки!W357</f>
        <v>0</v>
      </c>
      <c s="127">
        <f>Предпосылки!X357</f>
        <v>0</v>
      </c>
      <c s="127">
        <f>Предпосылки!Y357</f>
        <v>0</v>
      </c>
      <c s="127">
        <f>Предпосылки!Z357</f>
        <v>0</v>
      </c>
      <c s="127">
        <f>Предпосылки!AA357</f>
        <v>0</v>
      </c>
      <c s="127">
        <f>Предпосылки!AB357</f>
        <v>0</v>
      </c>
      <c s="127">
        <f>Предпосылки!AC357</f>
        <v>0</v>
      </c>
      <c s="127">
        <f>Предпосылки!AD357</f>
        <v>0</v>
      </c>
      <c s="127">
        <f>Предпосылки!AE357</f>
        <v>0</v>
      </c>
      <c s="127">
        <f>Предпосылки!AF357</f>
        <v>0</v>
      </c>
      <c s="127">
        <f>Предпосылки!AG357</f>
        <v>0</v>
      </c>
      <c s="127">
        <f>Предпосылки!AH357</f>
        <v>0</v>
      </c>
      <c s="127">
        <f>Предпосылки!AI357</f>
        <v>0</v>
      </c>
      <c s="127">
        <f>Предпосылки!AJ357</f>
        <v>0</v>
      </c>
      <c s="127">
        <f>Предпосылки!AK357</f>
        <v>0</v>
      </c>
      <c s="127">
        <f>Предпосылки!AL357</f>
        <v>0</v>
      </c>
      <c s="127">
        <f>Предпосылки!AM357</f>
        <v>0</v>
      </c>
      <c s="127">
        <f>Предпосылки!AN357</f>
        <v>0</v>
      </c>
      <c s="127">
        <f>Предпосылки!AO357</f>
        <v>0</v>
      </c>
      <c s="127">
        <f>Предпосылки!AP357</f>
        <v>0</v>
      </c>
      <c s="127">
        <f>Предпосылки!AQ357</f>
        <v>0</v>
      </c>
      <c s="127">
        <f>Предпосылки!AR357</f>
        <v>0</v>
      </c>
      <c s="127">
        <f>Предпосылки!AS357</f>
        <v>0</v>
      </c>
      <c s="127">
        <f>Предпосылки!AT357</f>
        <v>0</v>
      </c>
      <c s="127">
        <f>Предпосылки!AU357</f>
        <v>0</v>
      </c>
      <c s="127">
        <f>Предпосылки!AV357</f>
        <v>0</v>
      </c>
      <c s="127">
        <f>Предпосылки!AW357</f>
        <v>0</v>
      </c>
      <c s="127">
        <f>Предпосылки!AX357</f>
        <v>0</v>
      </c>
      <c s="127">
        <f>Предпосылки!AY357</f>
        <v>0</v>
      </c>
      <c s="127">
        <f>Предпосылки!AZ357</f>
        <v>0</v>
      </c>
      <c s="127">
        <f>Предпосылки!BA357</f>
        <v>0</v>
      </c>
      <c s="127">
        <f>Предпосылки!BB357</f>
        <v>0</v>
      </c>
      <c s="127">
        <f>Предпосылки!BC357</f>
        <v>0</v>
      </c>
      <c s="127">
        <f>Предпосылки!BD357</f>
        <v>0</v>
      </c>
      <c s="127">
        <f>Предпосылки!BE357</f>
        <v>0</v>
      </c>
      <c s="127">
        <f>Предпосылки!BF357</f>
        <v>0</v>
      </c>
      <c s="127">
        <f>Предпосылки!BG357</f>
        <v>0</v>
      </c>
      <c s="127">
        <f>Предпосылки!BH357</f>
        <v>0</v>
      </c>
      <c s="127">
        <f>Предпосылки!BI357</f>
        <v>0</v>
      </c>
      <c s="127">
        <f>Предпосылки!BJ357</f>
        <v>0</v>
      </c>
      <c s="127">
        <f>Предпосылки!BK357</f>
        <v>0</v>
      </c>
      <c s="127">
        <f>Предпосылки!BL357</f>
        <v>0</v>
      </c>
      <c s="127">
        <f>Предпосылки!BM357</f>
        <v>0</v>
      </c>
    </row>
    <row r="20" spans="2:65" ht="15" customHeight="1">
      <c r="B20" s="12" t="str">
        <f>IF(ISBLANK(Предпосылки!B358),"-",Предпосылки!B358)</f>
        <v>-</v>
      </c>
      <c s="124" t="s">
        <v>873</v>
      </c>
      <c s="127"/>
      <c s="127">
        <f>Предпосылки!E358</f>
        <v>0</v>
      </c>
      <c s="127">
        <f>Предпосылки!F358</f>
        <v>0</v>
      </c>
      <c s="127">
        <f>Предпосылки!G358</f>
        <v>0</v>
      </c>
      <c s="127">
        <f>Предпосылки!H358</f>
        <v>0</v>
      </c>
      <c s="127">
        <f>Предпосылки!I358</f>
        <v>0</v>
      </c>
      <c s="127">
        <f>Предпосылки!J358</f>
        <v>0</v>
      </c>
      <c s="127">
        <f>Предпосылки!K358</f>
        <v>0</v>
      </c>
      <c s="127">
        <f>Предпосылки!L358</f>
        <v>0</v>
      </c>
      <c s="127">
        <f>Предпосылки!M358</f>
        <v>0</v>
      </c>
      <c s="127">
        <f>Предпосылки!N358</f>
        <v>0</v>
      </c>
      <c s="127">
        <f>Предпосылки!O358</f>
        <v>0</v>
      </c>
      <c s="127">
        <f>Предпосылки!P358</f>
        <v>0</v>
      </c>
      <c s="127">
        <f>Предпосылки!Q358</f>
        <v>0</v>
      </c>
      <c s="127">
        <f>Предпосылки!R358</f>
        <v>0</v>
      </c>
      <c s="127">
        <f>Предпосылки!S358</f>
        <v>0</v>
      </c>
      <c s="127">
        <f>Предпосылки!T358</f>
        <v>0</v>
      </c>
      <c s="127">
        <f>Предпосылки!U358</f>
        <v>0</v>
      </c>
      <c s="127">
        <f>Предпосылки!V358</f>
        <v>0</v>
      </c>
      <c s="127">
        <f>Предпосылки!W358</f>
        <v>0</v>
      </c>
      <c s="127">
        <f>Предпосылки!X358</f>
        <v>0</v>
      </c>
      <c s="127">
        <f>Предпосылки!Y358</f>
        <v>0</v>
      </c>
      <c s="127">
        <f>Предпосылки!Z358</f>
        <v>0</v>
      </c>
      <c s="127">
        <f>Предпосылки!AA358</f>
        <v>0</v>
      </c>
      <c s="127">
        <f>Предпосылки!AB358</f>
        <v>0</v>
      </c>
      <c s="127">
        <f>Предпосылки!AC358</f>
        <v>0</v>
      </c>
      <c s="127">
        <f>Предпосылки!AD358</f>
        <v>0</v>
      </c>
      <c s="127">
        <f>Предпосылки!AE358</f>
        <v>0</v>
      </c>
      <c s="127">
        <f>Предпосылки!AF358</f>
        <v>0</v>
      </c>
      <c s="127">
        <f>Предпосылки!AG358</f>
        <v>0</v>
      </c>
      <c s="127">
        <f>Предпосылки!AH358</f>
        <v>0</v>
      </c>
      <c s="127">
        <f>Предпосылки!AI358</f>
        <v>0</v>
      </c>
      <c s="127">
        <f>Предпосылки!AJ358</f>
        <v>0</v>
      </c>
      <c s="127">
        <f>Предпосылки!AK358</f>
        <v>0</v>
      </c>
      <c s="127">
        <f>Предпосылки!AL358</f>
        <v>0</v>
      </c>
      <c s="127">
        <f>Предпосылки!AM358</f>
        <v>0</v>
      </c>
      <c s="127">
        <f>Предпосылки!AN358</f>
        <v>0</v>
      </c>
      <c s="127">
        <f>Предпосылки!AO358</f>
        <v>0</v>
      </c>
      <c s="127">
        <f>Предпосылки!AP358</f>
        <v>0</v>
      </c>
      <c s="127">
        <f>Предпосылки!AQ358</f>
        <v>0</v>
      </c>
      <c s="127">
        <f>Предпосылки!AR358</f>
        <v>0</v>
      </c>
      <c s="127">
        <f>Предпосылки!AS358</f>
        <v>0</v>
      </c>
      <c s="127">
        <f>Предпосылки!AT358</f>
        <v>0</v>
      </c>
      <c s="127">
        <f>Предпосылки!AU358</f>
        <v>0</v>
      </c>
      <c s="127">
        <f>Предпосылки!AV358</f>
        <v>0</v>
      </c>
      <c s="127">
        <f>Предпосылки!AW358</f>
        <v>0</v>
      </c>
      <c s="127">
        <f>Предпосылки!AX358</f>
        <v>0</v>
      </c>
      <c s="127">
        <f>Предпосылки!AY358</f>
        <v>0</v>
      </c>
      <c s="127">
        <f>Предпосылки!AZ358</f>
        <v>0</v>
      </c>
      <c s="127">
        <f>Предпосылки!BA358</f>
        <v>0</v>
      </c>
      <c s="127">
        <f>Предпосылки!BB358</f>
        <v>0</v>
      </c>
      <c s="127">
        <f>Предпосылки!BC358</f>
        <v>0</v>
      </c>
      <c s="127">
        <f>Предпосылки!BD358</f>
        <v>0</v>
      </c>
      <c s="127">
        <f>Предпосылки!BE358</f>
        <v>0</v>
      </c>
      <c s="127">
        <f>Предпосылки!BF358</f>
        <v>0</v>
      </c>
      <c s="127">
        <f>Предпосылки!BG358</f>
        <v>0</v>
      </c>
      <c s="127">
        <f>Предпосылки!BH358</f>
        <v>0</v>
      </c>
      <c s="127">
        <f>Предпосылки!BI358</f>
        <v>0</v>
      </c>
      <c s="127">
        <f>Предпосылки!BJ358</f>
        <v>0</v>
      </c>
      <c s="127">
        <f>Предпосылки!BK358</f>
        <v>0</v>
      </c>
      <c s="127">
        <f>Предпосылки!BL358</f>
        <v>0</v>
      </c>
      <c s="127">
        <f>Предпосылки!BM358</f>
        <v>0</v>
      </c>
    </row>
    <row r="21" spans="2:65" ht="15" customHeight="1">
      <c r="B21" s="12" t="str">
        <f>IF(ISBLANK(Предпосылки!B359),"-",Предпосылки!B359)</f>
        <v>-</v>
      </c>
      <c s="124" t="s">
        <v>873</v>
      </c>
      <c s="127"/>
      <c s="127">
        <f>Предпосылки!E359</f>
        <v>0</v>
      </c>
      <c s="127">
        <f>Предпосылки!F359</f>
        <v>0</v>
      </c>
      <c s="127">
        <f>Предпосылки!G359</f>
        <v>0</v>
      </c>
      <c s="127">
        <f>Предпосылки!H359</f>
        <v>0</v>
      </c>
      <c s="127">
        <f>Предпосылки!I359</f>
        <v>0</v>
      </c>
      <c s="127">
        <f>Предпосылки!J359</f>
        <v>0</v>
      </c>
      <c s="127">
        <f>Предпосылки!K359</f>
        <v>0</v>
      </c>
      <c s="127">
        <f>Предпосылки!L359</f>
        <v>0</v>
      </c>
      <c s="127">
        <f>Предпосылки!M359</f>
        <v>0</v>
      </c>
      <c s="127">
        <f>Предпосылки!N359</f>
        <v>0</v>
      </c>
      <c s="127">
        <f>Предпосылки!O359</f>
        <v>0</v>
      </c>
      <c s="127">
        <f>Предпосылки!P359</f>
        <v>0</v>
      </c>
      <c s="127">
        <f>Предпосылки!Q359</f>
        <v>0</v>
      </c>
      <c s="127">
        <f>Предпосылки!R359</f>
        <v>0</v>
      </c>
      <c s="127">
        <f>Предпосылки!S359</f>
        <v>0</v>
      </c>
      <c s="127">
        <f>Предпосылки!T359</f>
        <v>0</v>
      </c>
      <c s="127">
        <f>Предпосылки!U359</f>
        <v>0</v>
      </c>
      <c s="127">
        <f>Предпосылки!V359</f>
        <v>0</v>
      </c>
      <c s="127">
        <f>Предпосылки!W359</f>
        <v>0</v>
      </c>
      <c s="127">
        <f>Предпосылки!X359</f>
        <v>0</v>
      </c>
      <c s="127">
        <f>Предпосылки!Y359</f>
        <v>0</v>
      </c>
      <c s="127">
        <f>Предпосылки!Z359</f>
        <v>0</v>
      </c>
      <c s="127">
        <f>Предпосылки!AA359</f>
        <v>0</v>
      </c>
      <c s="127">
        <f>Предпосылки!AB359</f>
        <v>0</v>
      </c>
      <c s="127">
        <f>Предпосылки!AC359</f>
        <v>0</v>
      </c>
      <c s="127">
        <f>Предпосылки!AD359</f>
        <v>0</v>
      </c>
      <c s="127">
        <f>Предпосылки!AE359</f>
        <v>0</v>
      </c>
      <c s="127">
        <f>Предпосылки!AF359</f>
        <v>0</v>
      </c>
      <c s="127">
        <f>Предпосылки!AG359</f>
        <v>0</v>
      </c>
      <c s="127">
        <f>Предпосылки!AH359</f>
        <v>0</v>
      </c>
      <c s="127">
        <f>Предпосылки!AI359</f>
        <v>0</v>
      </c>
      <c s="127">
        <f>Предпосылки!AJ359</f>
        <v>0</v>
      </c>
      <c s="127">
        <f>Предпосылки!AK359</f>
        <v>0</v>
      </c>
      <c s="127">
        <f>Предпосылки!AL359</f>
        <v>0</v>
      </c>
      <c s="127">
        <f>Предпосылки!AM359</f>
        <v>0</v>
      </c>
      <c s="127">
        <f>Предпосылки!AN359</f>
        <v>0</v>
      </c>
      <c s="127">
        <f>Предпосылки!AO359</f>
        <v>0</v>
      </c>
      <c s="127">
        <f>Предпосылки!AP359</f>
        <v>0</v>
      </c>
      <c s="127">
        <f>Предпосылки!AQ359</f>
        <v>0</v>
      </c>
      <c s="127">
        <f>Предпосылки!AR359</f>
        <v>0</v>
      </c>
      <c s="127">
        <f>Предпосылки!AS359</f>
        <v>0</v>
      </c>
      <c s="127">
        <f>Предпосылки!AT359</f>
        <v>0</v>
      </c>
      <c s="127">
        <f>Предпосылки!AU359</f>
        <v>0</v>
      </c>
      <c s="127">
        <f>Предпосылки!AV359</f>
        <v>0</v>
      </c>
      <c s="127">
        <f>Предпосылки!AW359</f>
        <v>0</v>
      </c>
      <c s="127">
        <f>Предпосылки!AX359</f>
        <v>0</v>
      </c>
      <c s="127">
        <f>Предпосылки!AY359</f>
        <v>0</v>
      </c>
      <c s="127">
        <f>Предпосылки!AZ359</f>
        <v>0</v>
      </c>
      <c s="127">
        <f>Предпосылки!BA359</f>
        <v>0</v>
      </c>
      <c s="127">
        <f>Предпосылки!BB359</f>
        <v>0</v>
      </c>
      <c s="127">
        <f>Предпосылки!BC359</f>
        <v>0</v>
      </c>
      <c s="127">
        <f>Предпосылки!BD359</f>
        <v>0</v>
      </c>
      <c s="127">
        <f>Предпосылки!BE359</f>
        <v>0</v>
      </c>
      <c s="127">
        <f>Предпосылки!BF359</f>
        <v>0</v>
      </c>
      <c s="127">
        <f>Предпосылки!BG359</f>
        <v>0</v>
      </c>
      <c s="127">
        <f>Предпосылки!BH359</f>
        <v>0</v>
      </c>
      <c s="127">
        <f>Предпосылки!BI359</f>
        <v>0</v>
      </c>
      <c s="127">
        <f>Предпосылки!BJ359</f>
        <v>0</v>
      </c>
      <c s="127">
        <f>Предпосылки!BK359</f>
        <v>0</v>
      </c>
      <c s="127">
        <f>Предпосылки!BL359</f>
        <v>0</v>
      </c>
      <c s="127">
        <f>Предпосылки!BM359</f>
        <v>0</v>
      </c>
    </row>
    <row r="22" spans="2:65" ht="15" customHeight="1">
      <c r="B22" s="12" t="str">
        <f>IF(ISBLANK(Предпосылки!B360),"-",Предпосылки!B360)</f>
        <v>-</v>
      </c>
      <c s="124" t="s">
        <v>873</v>
      </c>
      <c s="127"/>
      <c s="127">
        <f>Предпосылки!E360</f>
        <v>0</v>
      </c>
      <c s="127">
        <f>Предпосылки!F360</f>
        <v>0</v>
      </c>
      <c s="127">
        <f>Предпосылки!G360</f>
        <v>0</v>
      </c>
      <c s="127">
        <f>Предпосылки!H360</f>
        <v>0</v>
      </c>
      <c s="127">
        <f>Предпосылки!I360</f>
        <v>0</v>
      </c>
      <c s="127">
        <f>Предпосылки!J360</f>
        <v>0</v>
      </c>
      <c s="127">
        <f>Предпосылки!K360</f>
        <v>0</v>
      </c>
      <c s="127">
        <f>Предпосылки!L360</f>
        <v>0</v>
      </c>
      <c s="127">
        <f>Предпосылки!M360</f>
        <v>0</v>
      </c>
      <c s="127">
        <f>Предпосылки!N360</f>
        <v>0</v>
      </c>
      <c s="127">
        <f>Предпосылки!O360</f>
        <v>0</v>
      </c>
      <c s="127">
        <f>Предпосылки!P360</f>
        <v>0</v>
      </c>
      <c s="127">
        <f>Предпосылки!Q360</f>
        <v>0</v>
      </c>
      <c s="127">
        <f>Предпосылки!R360</f>
        <v>0</v>
      </c>
      <c s="127">
        <f>Предпосылки!S360</f>
        <v>0</v>
      </c>
      <c s="127">
        <f>Предпосылки!T360</f>
        <v>0</v>
      </c>
      <c s="127">
        <f>Предпосылки!U360</f>
        <v>0</v>
      </c>
      <c s="127">
        <f>Предпосылки!V360</f>
        <v>0</v>
      </c>
      <c s="127">
        <f>Предпосылки!W360</f>
        <v>0</v>
      </c>
      <c s="127">
        <f>Предпосылки!X360</f>
        <v>0</v>
      </c>
      <c s="127">
        <f>Предпосылки!Y360</f>
        <v>0</v>
      </c>
      <c s="127">
        <f>Предпосылки!Z360</f>
        <v>0</v>
      </c>
      <c s="127">
        <f>Предпосылки!AA360</f>
        <v>0</v>
      </c>
      <c s="127">
        <f>Предпосылки!AB360</f>
        <v>0</v>
      </c>
      <c s="127">
        <f>Предпосылки!AC360</f>
        <v>0</v>
      </c>
      <c s="127">
        <f>Предпосылки!AD360</f>
        <v>0</v>
      </c>
      <c s="127">
        <f>Предпосылки!AE360</f>
        <v>0</v>
      </c>
      <c s="127">
        <f>Предпосылки!AF360</f>
        <v>0</v>
      </c>
      <c s="127">
        <f>Предпосылки!AG360</f>
        <v>0</v>
      </c>
      <c s="127">
        <f>Предпосылки!AH360</f>
        <v>0</v>
      </c>
      <c s="127">
        <f>Предпосылки!AI360</f>
        <v>0</v>
      </c>
      <c s="127">
        <f>Предпосылки!AJ360</f>
        <v>0</v>
      </c>
      <c s="127">
        <f>Предпосылки!AK360</f>
        <v>0</v>
      </c>
      <c s="127">
        <f>Предпосылки!AL360</f>
        <v>0</v>
      </c>
      <c s="127">
        <f>Предпосылки!AM360</f>
        <v>0</v>
      </c>
      <c s="127">
        <f>Предпосылки!AN360</f>
        <v>0</v>
      </c>
      <c s="127">
        <f>Предпосылки!AO360</f>
        <v>0</v>
      </c>
      <c s="127">
        <f>Предпосылки!AP360</f>
        <v>0</v>
      </c>
      <c s="127">
        <f>Предпосылки!AQ360</f>
        <v>0</v>
      </c>
      <c s="127">
        <f>Предпосылки!AR360</f>
        <v>0</v>
      </c>
      <c s="127">
        <f>Предпосылки!AS360</f>
        <v>0</v>
      </c>
      <c s="127">
        <f>Предпосылки!AT360</f>
        <v>0</v>
      </c>
      <c s="127">
        <f>Предпосылки!AU360</f>
        <v>0</v>
      </c>
      <c s="127">
        <f>Предпосылки!AV360</f>
        <v>0</v>
      </c>
      <c s="127">
        <f>Предпосылки!AW360</f>
        <v>0</v>
      </c>
      <c s="127">
        <f>Предпосылки!AX360</f>
        <v>0</v>
      </c>
      <c s="127">
        <f>Предпосылки!AY360</f>
        <v>0</v>
      </c>
      <c s="127">
        <f>Предпосылки!AZ360</f>
        <v>0</v>
      </c>
      <c s="127">
        <f>Предпосылки!BA360</f>
        <v>0</v>
      </c>
      <c s="127">
        <f>Предпосылки!BB360</f>
        <v>0</v>
      </c>
      <c s="127">
        <f>Предпосылки!BC360</f>
        <v>0</v>
      </c>
      <c s="127">
        <f>Предпосылки!BD360</f>
        <v>0</v>
      </c>
      <c s="127">
        <f>Предпосылки!BE360</f>
        <v>0</v>
      </c>
      <c s="127">
        <f>Предпосылки!BF360</f>
        <v>0</v>
      </c>
      <c s="127">
        <f>Предпосылки!BG360</f>
        <v>0</v>
      </c>
      <c s="127">
        <f>Предпосылки!BH360</f>
        <v>0</v>
      </c>
      <c s="127">
        <f>Предпосылки!BI360</f>
        <v>0</v>
      </c>
      <c s="127">
        <f>Предпосылки!BJ360</f>
        <v>0</v>
      </c>
      <c s="127">
        <f>Предпосылки!BK360</f>
        <v>0</v>
      </c>
      <c s="127">
        <f>Предпосылки!BL360</f>
        <v>0</v>
      </c>
      <c s="127">
        <f>Предпосылки!BM360</f>
        <v>0</v>
      </c>
    </row>
    <row r="23" spans="2:65" ht="15" customHeight="1">
      <c r="B23" s="12" t="str">
        <f>IF(ISBLANK(Предпосылки!B361),"-",Предпосылки!B361)</f>
        <v>-</v>
      </c>
      <c s="124" t="s">
        <v>873</v>
      </c>
      <c s="127"/>
      <c s="127">
        <f>Предпосылки!E361</f>
        <v>0</v>
      </c>
      <c s="127">
        <f>Предпосылки!F361</f>
        <v>0</v>
      </c>
      <c s="127">
        <f>Предпосылки!G361</f>
        <v>0</v>
      </c>
      <c s="127">
        <f>Предпосылки!H361</f>
        <v>0</v>
      </c>
      <c s="127">
        <f>Предпосылки!I361</f>
        <v>0</v>
      </c>
      <c s="127">
        <f>Предпосылки!J361</f>
        <v>0</v>
      </c>
      <c s="127">
        <f>Предпосылки!K361</f>
        <v>0</v>
      </c>
      <c s="127">
        <f>Предпосылки!L361</f>
        <v>0</v>
      </c>
      <c s="127">
        <f>Предпосылки!M361</f>
        <v>0</v>
      </c>
      <c s="127">
        <f>Предпосылки!N361</f>
        <v>0</v>
      </c>
      <c s="127">
        <f>Предпосылки!O361</f>
        <v>0</v>
      </c>
      <c s="127">
        <f>Предпосылки!P361</f>
        <v>0</v>
      </c>
      <c s="127">
        <f>Предпосылки!Q361</f>
        <v>0</v>
      </c>
      <c s="127">
        <f>Предпосылки!R361</f>
        <v>0</v>
      </c>
      <c s="127">
        <f>Предпосылки!S361</f>
        <v>0</v>
      </c>
      <c s="127">
        <f>Предпосылки!T361</f>
        <v>0</v>
      </c>
      <c s="127">
        <f>Предпосылки!U361</f>
        <v>0</v>
      </c>
      <c s="127">
        <f>Предпосылки!V361</f>
        <v>0</v>
      </c>
      <c s="127">
        <f>Предпосылки!W361</f>
        <v>0</v>
      </c>
      <c s="127">
        <f>Предпосылки!X361</f>
        <v>0</v>
      </c>
      <c s="127">
        <f>Предпосылки!Y361</f>
        <v>0</v>
      </c>
      <c s="127">
        <f>Предпосылки!Z361</f>
        <v>0</v>
      </c>
      <c s="127">
        <f>Предпосылки!AA361</f>
        <v>0</v>
      </c>
      <c s="127">
        <f>Предпосылки!AB361</f>
        <v>0</v>
      </c>
      <c s="127">
        <f>Предпосылки!AC361</f>
        <v>0</v>
      </c>
      <c s="127">
        <f>Предпосылки!AD361</f>
        <v>0</v>
      </c>
      <c s="127">
        <f>Предпосылки!AE361</f>
        <v>0</v>
      </c>
      <c s="127">
        <f>Предпосылки!AF361</f>
        <v>0</v>
      </c>
      <c s="127">
        <f>Предпосылки!AG361</f>
        <v>0</v>
      </c>
      <c s="127">
        <f>Предпосылки!AH361</f>
        <v>0</v>
      </c>
      <c s="127">
        <f>Предпосылки!AI361</f>
        <v>0</v>
      </c>
      <c s="127">
        <f>Предпосылки!AJ361</f>
        <v>0</v>
      </c>
      <c s="127">
        <f>Предпосылки!AK361</f>
        <v>0</v>
      </c>
      <c s="127">
        <f>Предпосылки!AL361</f>
        <v>0</v>
      </c>
      <c s="127">
        <f>Предпосылки!AM361</f>
        <v>0</v>
      </c>
      <c s="127">
        <f>Предпосылки!AN361</f>
        <v>0</v>
      </c>
      <c s="127">
        <f>Предпосылки!AO361</f>
        <v>0</v>
      </c>
      <c s="127">
        <f>Предпосылки!AP361</f>
        <v>0</v>
      </c>
      <c s="127">
        <f>Предпосылки!AQ361</f>
        <v>0</v>
      </c>
      <c s="127">
        <f>Предпосылки!AR361</f>
        <v>0</v>
      </c>
      <c s="127">
        <f>Предпосылки!AS361</f>
        <v>0</v>
      </c>
      <c s="127">
        <f>Предпосылки!AT361</f>
        <v>0</v>
      </c>
      <c s="127">
        <f>Предпосылки!AU361</f>
        <v>0</v>
      </c>
      <c s="127">
        <f>Предпосылки!AV361</f>
        <v>0</v>
      </c>
      <c s="127">
        <f>Предпосылки!AW361</f>
        <v>0</v>
      </c>
      <c s="127">
        <f>Предпосылки!AX361</f>
        <v>0</v>
      </c>
      <c s="127">
        <f>Предпосылки!AY361</f>
        <v>0</v>
      </c>
      <c s="127">
        <f>Предпосылки!AZ361</f>
        <v>0</v>
      </c>
      <c s="127">
        <f>Предпосылки!BA361</f>
        <v>0</v>
      </c>
      <c s="127">
        <f>Предпосылки!BB361</f>
        <v>0</v>
      </c>
      <c s="127">
        <f>Предпосылки!BC361</f>
        <v>0</v>
      </c>
      <c s="127">
        <f>Предпосылки!BD361</f>
        <v>0</v>
      </c>
      <c s="127">
        <f>Предпосылки!BE361</f>
        <v>0</v>
      </c>
      <c s="127">
        <f>Предпосылки!BF361</f>
        <v>0</v>
      </c>
      <c s="127">
        <f>Предпосылки!BG361</f>
        <v>0</v>
      </c>
      <c s="127">
        <f>Предпосылки!BH361</f>
        <v>0</v>
      </c>
      <c s="127">
        <f>Предпосылки!BI361</f>
        <v>0</v>
      </c>
      <c s="127">
        <f>Предпосылки!BJ361</f>
        <v>0</v>
      </c>
      <c s="127">
        <f>Предпосылки!BK361</f>
        <v>0</v>
      </c>
      <c s="127">
        <f>Предпосылки!BL361</f>
        <v>0</v>
      </c>
      <c s="127">
        <f>Предпосылки!BM361</f>
        <v>0</v>
      </c>
    </row>
    <row r="24" spans="2:65" ht="15" customHeight="1">
      <c r="B24" s="12" t="str">
        <f>IF(ISBLANK(Предпосылки!B362),"-",Предпосылки!B362)</f>
        <v>-</v>
      </c>
      <c s="124" t="s">
        <v>873</v>
      </c>
      <c s="127"/>
      <c s="127">
        <f>Предпосылки!E362</f>
        <v>0</v>
      </c>
      <c s="127">
        <f>Предпосылки!F362</f>
        <v>0</v>
      </c>
      <c s="127">
        <f>Предпосылки!G362</f>
        <v>0</v>
      </c>
      <c s="127">
        <f>Предпосылки!H362</f>
        <v>0</v>
      </c>
      <c s="127">
        <f>Предпосылки!I362</f>
        <v>0</v>
      </c>
      <c s="127">
        <f>Предпосылки!J362</f>
        <v>0</v>
      </c>
      <c s="127">
        <f>Предпосылки!K362</f>
        <v>0</v>
      </c>
      <c s="127">
        <f>Предпосылки!L362</f>
        <v>0</v>
      </c>
      <c s="127">
        <f>Предпосылки!M362</f>
        <v>0</v>
      </c>
      <c s="127">
        <f>Предпосылки!N362</f>
        <v>0</v>
      </c>
      <c s="127">
        <f>Предпосылки!O362</f>
        <v>0</v>
      </c>
      <c s="127">
        <f>Предпосылки!P362</f>
        <v>0</v>
      </c>
      <c s="127">
        <f>Предпосылки!Q362</f>
        <v>0</v>
      </c>
      <c s="127">
        <f>Предпосылки!R362</f>
        <v>0</v>
      </c>
      <c s="127">
        <f>Предпосылки!S362</f>
        <v>0</v>
      </c>
      <c s="127">
        <f>Предпосылки!T362</f>
        <v>0</v>
      </c>
      <c s="127">
        <f>Предпосылки!U362</f>
        <v>0</v>
      </c>
      <c s="127">
        <f>Предпосылки!V362</f>
        <v>0</v>
      </c>
      <c s="127">
        <f>Предпосылки!W362</f>
        <v>0</v>
      </c>
      <c s="127">
        <f>Предпосылки!X362</f>
        <v>0</v>
      </c>
      <c s="127">
        <f>Предпосылки!Y362</f>
        <v>0</v>
      </c>
      <c s="127">
        <f>Предпосылки!Z362</f>
        <v>0</v>
      </c>
      <c s="127">
        <f>Предпосылки!AA362</f>
        <v>0</v>
      </c>
      <c s="127">
        <f>Предпосылки!AB362</f>
        <v>0</v>
      </c>
      <c s="127">
        <f>Предпосылки!AC362</f>
        <v>0</v>
      </c>
      <c s="127">
        <f>Предпосылки!AD362</f>
        <v>0</v>
      </c>
      <c s="127">
        <f>Предпосылки!AE362</f>
        <v>0</v>
      </c>
      <c s="127">
        <f>Предпосылки!AF362</f>
        <v>0</v>
      </c>
      <c s="127">
        <f>Предпосылки!AG362</f>
        <v>0</v>
      </c>
      <c s="127">
        <f>Предпосылки!AH362</f>
        <v>0</v>
      </c>
      <c s="127">
        <f>Предпосылки!AI362</f>
        <v>0</v>
      </c>
      <c s="127">
        <f>Предпосылки!AJ362</f>
        <v>0</v>
      </c>
      <c s="127">
        <f>Предпосылки!AK362</f>
        <v>0</v>
      </c>
      <c s="127">
        <f>Предпосылки!AL362</f>
        <v>0</v>
      </c>
      <c s="127">
        <f>Предпосылки!AM362</f>
        <v>0</v>
      </c>
      <c s="127">
        <f>Предпосылки!AN362</f>
        <v>0</v>
      </c>
      <c s="127">
        <f>Предпосылки!AO362</f>
        <v>0</v>
      </c>
      <c s="127">
        <f>Предпосылки!AP362</f>
        <v>0</v>
      </c>
      <c s="127">
        <f>Предпосылки!AQ362</f>
        <v>0</v>
      </c>
      <c s="127">
        <f>Предпосылки!AR362</f>
        <v>0</v>
      </c>
      <c s="127">
        <f>Предпосылки!AS362</f>
        <v>0</v>
      </c>
      <c s="127">
        <f>Предпосылки!AT362</f>
        <v>0</v>
      </c>
      <c s="127">
        <f>Предпосылки!AU362</f>
        <v>0</v>
      </c>
      <c s="127">
        <f>Предпосылки!AV362</f>
        <v>0</v>
      </c>
      <c s="127">
        <f>Предпосылки!AW362</f>
        <v>0</v>
      </c>
      <c s="127">
        <f>Предпосылки!AX362</f>
        <v>0</v>
      </c>
      <c s="127">
        <f>Предпосылки!AY362</f>
        <v>0</v>
      </c>
      <c s="127">
        <f>Предпосылки!AZ362</f>
        <v>0</v>
      </c>
      <c s="127">
        <f>Предпосылки!BA362</f>
        <v>0</v>
      </c>
      <c s="127">
        <f>Предпосылки!BB362</f>
        <v>0</v>
      </c>
      <c s="127">
        <f>Предпосылки!BC362</f>
        <v>0</v>
      </c>
      <c s="127">
        <f>Предпосылки!BD362</f>
        <v>0</v>
      </c>
      <c s="127">
        <f>Предпосылки!BE362</f>
        <v>0</v>
      </c>
      <c s="127">
        <f>Предпосылки!BF362</f>
        <v>0</v>
      </c>
      <c s="127">
        <f>Предпосылки!BG362</f>
        <v>0</v>
      </c>
      <c s="127">
        <f>Предпосылки!BH362</f>
        <v>0</v>
      </c>
      <c s="127">
        <f>Предпосылки!BI362</f>
        <v>0</v>
      </c>
      <c s="127">
        <f>Предпосылки!BJ362</f>
        <v>0</v>
      </c>
      <c s="127">
        <f>Предпосылки!BK362</f>
        <v>0</v>
      </c>
      <c s="127">
        <f>Предпосылки!BL362</f>
        <v>0</v>
      </c>
      <c s="127">
        <f>Предпосылки!BM362</f>
        <v>0</v>
      </c>
    </row>
    <row r="25" spans="2:65" ht="15" customHeight="1">
      <c r="B25" s="12" t="str">
        <f>IF(ISBLANK(Предпосылки!B363),"-",Предпосылки!B363)</f>
        <v>-</v>
      </c>
      <c s="124" t="s">
        <v>873</v>
      </c>
      <c s="127"/>
      <c s="127">
        <f>Предпосылки!E363</f>
        <v>0</v>
      </c>
      <c s="127">
        <f>Предпосылки!F363</f>
        <v>0</v>
      </c>
      <c s="127">
        <f>Предпосылки!G363</f>
        <v>0</v>
      </c>
      <c s="127">
        <f>Предпосылки!H363</f>
        <v>0</v>
      </c>
      <c s="127">
        <f>Предпосылки!I363</f>
        <v>0</v>
      </c>
      <c s="127">
        <f>Предпосылки!J363</f>
        <v>0</v>
      </c>
      <c s="127">
        <f>Предпосылки!K363</f>
        <v>0</v>
      </c>
      <c s="127">
        <f>Предпосылки!L363</f>
        <v>0</v>
      </c>
      <c s="127">
        <f>Предпосылки!M363</f>
        <v>0</v>
      </c>
      <c s="127">
        <f>Предпосылки!N363</f>
        <v>0</v>
      </c>
      <c s="127">
        <f>Предпосылки!O363</f>
        <v>0</v>
      </c>
      <c s="127">
        <f>Предпосылки!P363</f>
        <v>0</v>
      </c>
      <c s="127">
        <f>Предпосылки!Q363</f>
        <v>0</v>
      </c>
      <c s="127">
        <f>Предпосылки!R363</f>
        <v>0</v>
      </c>
      <c s="127">
        <f>Предпосылки!S363</f>
        <v>0</v>
      </c>
      <c s="127">
        <f>Предпосылки!T363</f>
        <v>0</v>
      </c>
      <c s="127">
        <f>Предпосылки!U363</f>
        <v>0</v>
      </c>
      <c s="127">
        <f>Предпосылки!V363</f>
        <v>0</v>
      </c>
      <c s="127">
        <f>Предпосылки!W363</f>
        <v>0</v>
      </c>
      <c s="127">
        <f>Предпосылки!X363</f>
        <v>0</v>
      </c>
      <c s="127">
        <f>Предпосылки!Y363</f>
        <v>0</v>
      </c>
      <c s="127">
        <f>Предпосылки!Z363</f>
        <v>0</v>
      </c>
      <c s="127">
        <f>Предпосылки!AA363</f>
        <v>0</v>
      </c>
      <c s="127">
        <f>Предпосылки!AB363</f>
        <v>0</v>
      </c>
      <c s="127">
        <f>Предпосылки!AC363</f>
        <v>0</v>
      </c>
      <c s="127">
        <f>Предпосылки!AD363</f>
        <v>0</v>
      </c>
      <c s="127">
        <f>Предпосылки!AE363</f>
        <v>0</v>
      </c>
      <c s="127">
        <f>Предпосылки!AF363</f>
        <v>0</v>
      </c>
      <c s="127">
        <f>Предпосылки!AG363</f>
        <v>0</v>
      </c>
      <c s="127">
        <f>Предпосылки!AH363</f>
        <v>0</v>
      </c>
      <c s="127">
        <f>Предпосылки!AI363</f>
        <v>0</v>
      </c>
      <c s="127">
        <f>Предпосылки!AJ363</f>
        <v>0</v>
      </c>
      <c s="127">
        <f>Предпосылки!AK363</f>
        <v>0</v>
      </c>
      <c s="127">
        <f>Предпосылки!AL363</f>
        <v>0</v>
      </c>
      <c s="127">
        <f>Предпосылки!AM363</f>
        <v>0</v>
      </c>
      <c s="127">
        <f>Предпосылки!AN363</f>
        <v>0</v>
      </c>
      <c s="127">
        <f>Предпосылки!AO363</f>
        <v>0</v>
      </c>
      <c s="127">
        <f>Предпосылки!AP363</f>
        <v>0</v>
      </c>
      <c s="127">
        <f>Предпосылки!AQ363</f>
        <v>0</v>
      </c>
      <c s="127">
        <f>Предпосылки!AR363</f>
        <v>0</v>
      </c>
      <c s="127">
        <f>Предпосылки!AS363</f>
        <v>0</v>
      </c>
      <c s="127">
        <f>Предпосылки!AT363</f>
        <v>0</v>
      </c>
      <c s="127">
        <f>Предпосылки!AU363</f>
        <v>0</v>
      </c>
      <c s="127">
        <f>Предпосылки!AV363</f>
        <v>0</v>
      </c>
      <c s="127">
        <f>Предпосылки!AW363</f>
        <v>0</v>
      </c>
      <c s="127">
        <f>Предпосылки!AX363</f>
        <v>0</v>
      </c>
      <c s="127">
        <f>Предпосылки!AY363</f>
        <v>0</v>
      </c>
      <c s="127">
        <f>Предпосылки!AZ363</f>
        <v>0</v>
      </c>
      <c s="127">
        <f>Предпосылки!BA363</f>
        <v>0</v>
      </c>
      <c s="127">
        <f>Предпосылки!BB363</f>
        <v>0</v>
      </c>
      <c s="127">
        <f>Предпосылки!BC363</f>
        <v>0</v>
      </c>
      <c s="127">
        <f>Предпосылки!BD363</f>
        <v>0</v>
      </c>
      <c s="127">
        <f>Предпосылки!BE363</f>
        <v>0</v>
      </c>
      <c s="127">
        <f>Предпосылки!BF363</f>
        <v>0</v>
      </c>
      <c s="127">
        <f>Предпосылки!BG363</f>
        <v>0</v>
      </c>
      <c s="127">
        <f>Предпосылки!BH363</f>
        <v>0</v>
      </c>
      <c s="127">
        <f>Предпосылки!BI363</f>
        <v>0</v>
      </c>
      <c s="127">
        <f>Предпосылки!BJ363</f>
        <v>0</v>
      </c>
      <c s="127">
        <f>Предпосылки!BK363</f>
        <v>0</v>
      </c>
      <c s="127">
        <f>Предпосылки!BL363</f>
        <v>0</v>
      </c>
      <c s="127">
        <f>Предпосылки!BM363</f>
        <v>0</v>
      </c>
    </row>
    <row r="26" spans="2:65" ht="15" customHeight="1">
      <c r="B26" s="12" t="str">
        <f>IF(ISBLANK(Предпосылки!B364),"-",Предпосылки!B364)</f>
        <v>-</v>
      </c>
      <c s="124" t="s">
        <v>873</v>
      </c>
      <c s="127"/>
      <c s="127">
        <f>Предпосылки!E364</f>
        <v>0</v>
      </c>
      <c s="127">
        <f>Предпосылки!F364</f>
        <v>0</v>
      </c>
      <c s="127">
        <f>Предпосылки!G364</f>
        <v>0</v>
      </c>
      <c s="127">
        <f>Предпосылки!H364</f>
        <v>0</v>
      </c>
      <c s="127">
        <f>Предпосылки!I364</f>
        <v>0</v>
      </c>
      <c s="127">
        <f>Предпосылки!J364</f>
        <v>0</v>
      </c>
      <c s="127">
        <f>Предпосылки!K364</f>
        <v>0</v>
      </c>
      <c s="127">
        <f>Предпосылки!L364</f>
        <v>0</v>
      </c>
      <c s="127">
        <f>Предпосылки!M364</f>
        <v>0</v>
      </c>
      <c s="127">
        <f>Предпосылки!N364</f>
        <v>0</v>
      </c>
      <c s="127">
        <f>Предпосылки!O364</f>
        <v>0</v>
      </c>
      <c s="127">
        <f>Предпосылки!P364</f>
        <v>0</v>
      </c>
      <c s="127">
        <f>Предпосылки!Q364</f>
        <v>0</v>
      </c>
      <c s="127">
        <f>Предпосылки!R364</f>
        <v>0</v>
      </c>
      <c s="127">
        <f>Предпосылки!S364</f>
        <v>0</v>
      </c>
      <c s="127">
        <f>Предпосылки!T364</f>
        <v>0</v>
      </c>
      <c s="127">
        <f>Предпосылки!U364</f>
        <v>0</v>
      </c>
      <c s="127">
        <f>Предпосылки!V364</f>
        <v>0</v>
      </c>
      <c s="127">
        <f>Предпосылки!W364</f>
        <v>0</v>
      </c>
      <c s="127">
        <f>Предпосылки!X364</f>
        <v>0</v>
      </c>
      <c s="127">
        <f>Предпосылки!Y364</f>
        <v>0</v>
      </c>
      <c s="127">
        <f>Предпосылки!Z364</f>
        <v>0</v>
      </c>
      <c s="127">
        <f>Предпосылки!AA364</f>
        <v>0</v>
      </c>
      <c s="127">
        <f>Предпосылки!AB364</f>
        <v>0</v>
      </c>
      <c s="127">
        <f>Предпосылки!AC364</f>
        <v>0</v>
      </c>
      <c s="127">
        <f>Предпосылки!AD364</f>
        <v>0</v>
      </c>
      <c s="127">
        <f>Предпосылки!AE364</f>
        <v>0</v>
      </c>
      <c s="127">
        <f>Предпосылки!AF364</f>
        <v>0</v>
      </c>
      <c s="127">
        <f>Предпосылки!AG364</f>
        <v>0</v>
      </c>
      <c s="127">
        <f>Предпосылки!AH364</f>
        <v>0</v>
      </c>
      <c s="127">
        <f>Предпосылки!AI364</f>
        <v>0</v>
      </c>
      <c s="127">
        <f>Предпосылки!AJ364</f>
        <v>0</v>
      </c>
      <c s="127">
        <f>Предпосылки!AK364</f>
        <v>0</v>
      </c>
      <c s="127">
        <f>Предпосылки!AL364</f>
        <v>0</v>
      </c>
      <c s="127">
        <f>Предпосылки!AM364</f>
        <v>0</v>
      </c>
      <c s="127">
        <f>Предпосылки!AN364</f>
        <v>0</v>
      </c>
      <c s="127">
        <f>Предпосылки!AO364</f>
        <v>0</v>
      </c>
      <c s="127">
        <f>Предпосылки!AP364</f>
        <v>0</v>
      </c>
      <c s="127">
        <f>Предпосылки!AQ364</f>
        <v>0</v>
      </c>
      <c s="127">
        <f>Предпосылки!AR364</f>
        <v>0</v>
      </c>
      <c s="127">
        <f>Предпосылки!AS364</f>
        <v>0</v>
      </c>
      <c s="127">
        <f>Предпосылки!AT364</f>
        <v>0</v>
      </c>
      <c s="127">
        <f>Предпосылки!AU364</f>
        <v>0</v>
      </c>
      <c s="127">
        <f>Предпосылки!AV364</f>
        <v>0</v>
      </c>
      <c s="127">
        <f>Предпосылки!AW364</f>
        <v>0</v>
      </c>
      <c s="127">
        <f>Предпосылки!AX364</f>
        <v>0</v>
      </c>
      <c s="127">
        <f>Предпосылки!AY364</f>
        <v>0</v>
      </c>
      <c s="127">
        <f>Предпосылки!AZ364</f>
        <v>0</v>
      </c>
      <c s="127">
        <f>Предпосылки!BA364</f>
        <v>0</v>
      </c>
      <c s="127">
        <f>Предпосылки!BB364</f>
        <v>0</v>
      </c>
      <c s="127">
        <f>Предпосылки!BC364</f>
        <v>0</v>
      </c>
      <c s="127">
        <f>Предпосылки!BD364</f>
        <v>0</v>
      </c>
      <c s="127">
        <f>Предпосылки!BE364</f>
        <v>0</v>
      </c>
      <c s="127">
        <f>Предпосылки!BF364</f>
        <v>0</v>
      </c>
      <c s="127">
        <f>Предпосылки!BG364</f>
        <v>0</v>
      </c>
      <c s="127">
        <f>Предпосылки!BH364</f>
        <v>0</v>
      </c>
      <c s="127">
        <f>Предпосылки!BI364</f>
        <v>0</v>
      </c>
      <c s="127">
        <f>Предпосылки!BJ364</f>
        <v>0</v>
      </c>
      <c s="127">
        <f>Предпосылки!BK364</f>
        <v>0</v>
      </c>
      <c s="127">
        <f>Предпосылки!BL364</f>
        <v>0</v>
      </c>
      <c s="127">
        <f>Предпосылки!BM364</f>
        <v>0</v>
      </c>
    </row>
    <row r="27" spans="2:65" ht="15" customHeight="1">
      <c r="B27" s="12" t="str">
        <f>IF(ISBLANK(Предпосылки!B365),"-",Предпосылки!B365)</f>
        <v>-</v>
      </c>
      <c s="124" t="s">
        <v>873</v>
      </c>
      <c s="127"/>
      <c s="127">
        <f>Предпосылки!E365</f>
        <v>0</v>
      </c>
      <c s="127">
        <f>Предпосылки!F365</f>
        <v>0</v>
      </c>
      <c s="127">
        <f>Предпосылки!G365</f>
        <v>0</v>
      </c>
      <c s="127">
        <f>Предпосылки!H365</f>
        <v>0</v>
      </c>
      <c s="127">
        <f>Предпосылки!I365</f>
        <v>0</v>
      </c>
      <c s="127">
        <f>Предпосылки!J365</f>
        <v>0</v>
      </c>
      <c s="127">
        <f>Предпосылки!K365</f>
        <v>0</v>
      </c>
      <c s="127">
        <f>Предпосылки!L365</f>
        <v>0</v>
      </c>
      <c s="127">
        <f>Предпосылки!M365</f>
        <v>0</v>
      </c>
      <c s="127">
        <f>Предпосылки!N365</f>
        <v>0</v>
      </c>
      <c s="127">
        <f>Предпосылки!O365</f>
        <v>0</v>
      </c>
      <c s="127">
        <f>Предпосылки!P365</f>
        <v>0</v>
      </c>
      <c s="127">
        <f>Предпосылки!Q365</f>
        <v>0</v>
      </c>
      <c s="127">
        <f>Предпосылки!R365</f>
        <v>0</v>
      </c>
      <c s="127">
        <f>Предпосылки!S365</f>
        <v>0</v>
      </c>
      <c s="127">
        <f>Предпосылки!T365</f>
        <v>0</v>
      </c>
      <c s="127">
        <f>Предпосылки!U365</f>
        <v>0</v>
      </c>
      <c s="127">
        <f>Предпосылки!V365</f>
        <v>0</v>
      </c>
      <c s="127">
        <f>Предпосылки!W365</f>
        <v>0</v>
      </c>
      <c s="127">
        <f>Предпосылки!X365</f>
        <v>0</v>
      </c>
      <c s="127">
        <f>Предпосылки!Y365</f>
        <v>0</v>
      </c>
      <c s="127">
        <f>Предпосылки!Z365</f>
        <v>0</v>
      </c>
      <c s="127">
        <f>Предпосылки!AA365</f>
        <v>0</v>
      </c>
      <c s="127">
        <f>Предпосылки!AB365</f>
        <v>0</v>
      </c>
      <c s="127">
        <f>Предпосылки!AC365</f>
        <v>0</v>
      </c>
      <c s="127">
        <f>Предпосылки!AD365</f>
        <v>0</v>
      </c>
      <c s="127">
        <f>Предпосылки!AE365</f>
        <v>0</v>
      </c>
      <c s="127">
        <f>Предпосылки!AF365</f>
        <v>0</v>
      </c>
      <c s="127">
        <f>Предпосылки!AG365</f>
        <v>0</v>
      </c>
      <c s="127">
        <f>Предпосылки!AH365</f>
        <v>0</v>
      </c>
      <c s="127">
        <f>Предпосылки!AI365</f>
        <v>0</v>
      </c>
      <c s="127">
        <f>Предпосылки!AJ365</f>
        <v>0</v>
      </c>
      <c s="127">
        <f>Предпосылки!AK365</f>
        <v>0</v>
      </c>
      <c s="127">
        <f>Предпосылки!AL365</f>
        <v>0</v>
      </c>
      <c s="127">
        <f>Предпосылки!AM365</f>
        <v>0</v>
      </c>
      <c s="127">
        <f>Предпосылки!AN365</f>
        <v>0</v>
      </c>
      <c s="127">
        <f>Предпосылки!AO365</f>
        <v>0</v>
      </c>
      <c s="127">
        <f>Предпосылки!AP365</f>
        <v>0</v>
      </c>
      <c s="127">
        <f>Предпосылки!AQ365</f>
        <v>0</v>
      </c>
      <c s="127">
        <f>Предпосылки!AR365</f>
        <v>0</v>
      </c>
      <c s="127">
        <f>Предпосылки!AS365</f>
        <v>0</v>
      </c>
      <c s="127">
        <f>Предпосылки!AT365</f>
        <v>0</v>
      </c>
      <c s="127">
        <f>Предпосылки!AU365</f>
        <v>0</v>
      </c>
      <c s="127">
        <f>Предпосылки!AV365</f>
        <v>0</v>
      </c>
      <c s="127">
        <f>Предпосылки!AW365</f>
        <v>0</v>
      </c>
      <c s="127">
        <f>Предпосылки!AX365</f>
        <v>0</v>
      </c>
      <c s="127">
        <f>Предпосылки!AY365</f>
        <v>0</v>
      </c>
      <c s="127">
        <f>Предпосылки!AZ365</f>
        <v>0</v>
      </c>
      <c s="127">
        <f>Предпосылки!BA365</f>
        <v>0</v>
      </c>
      <c s="127">
        <f>Предпосылки!BB365</f>
        <v>0</v>
      </c>
      <c s="127">
        <f>Предпосылки!BC365</f>
        <v>0</v>
      </c>
      <c s="127">
        <f>Предпосылки!BD365</f>
        <v>0</v>
      </c>
      <c s="127">
        <f>Предпосылки!BE365</f>
        <v>0</v>
      </c>
      <c s="127">
        <f>Предпосылки!BF365</f>
        <v>0</v>
      </c>
      <c s="127">
        <f>Предпосылки!BG365</f>
        <v>0</v>
      </c>
      <c s="127">
        <f>Предпосылки!BH365</f>
        <v>0</v>
      </c>
      <c s="127">
        <f>Предпосылки!BI365</f>
        <v>0</v>
      </c>
      <c s="127">
        <f>Предпосылки!BJ365</f>
        <v>0</v>
      </c>
      <c s="127">
        <f>Предпосылки!BK365</f>
        <v>0</v>
      </c>
      <c s="127">
        <f>Предпосылки!BL365</f>
        <v>0</v>
      </c>
      <c s="127">
        <f>Предпосылки!BM365</f>
        <v>0</v>
      </c>
    </row>
    <row r="28" spans="2:65" ht="15" customHeight="1">
      <c r="B28" s="12" t="str">
        <f>IF(ISBLANK(Предпосылки!B366),"-",Предпосылки!B366)</f>
        <v>-</v>
      </c>
      <c s="124" t="s">
        <v>873</v>
      </c>
      <c s="127"/>
      <c s="127">
        <f>Предпосылки!E366</f>
        <v>0</v>
      </c>
      <c s="127">
        <f>Предпосылки!F366</f>
        <v>0</v>
      </c>
      <c s="127">
        <f>Предпосылки!G366</f>
        <v>0</v>
      </c>
      <c s="127">
        <f>Предпосылки!H366</f>
        <v>0</v>
      </c>
      <c s="127">
        <f>Предпосылки!I366</f>
        <v>0</v>
      </c>
      <c s="127">
        <f>Предпосылки!J366</f>
        <v>0</v>
      </c>
      <c s="127">
        <f>Предпосылки!K366</f>
        <v>0</v>
      </c>
      <c s="127">
        <f>Предпосылки!L366</f>
        <v>0</v>
      </c>
      <c s="127">
        <f>Предпосылки!M366</f>
        <v>0</v>
      </c>
      <c s="127">
        <f>Предпосылки!N366</f>
        <v>0</v>
      </c>
      <c s="127">
        <f>Предпосылки!O366</f>
        <v>0</v>
      </c>
      <c s="127">
        <f>Предпосылки!P366</f>
        <v>0</v>
      </c>
      <c s="127">
        <f>Предпосылки!Q366</f>
        <v>0</v>
      </c>
      <c s="127">
        <f>Предпосылки!R366</f>
        <v>0</v>
      </c>
      <c s="127">
        <f>Предпосылки!S366</f>
        <v>0</v>
      </c>
      <c s="127">
        <f>Предпосылки!T366</f>
        <v>0</v>
      </c>
      <c s="127">
        <f>Предпосылки!U366</f>
        <v>0</v>
      </c>
      <c s="127">
        <f>Предпосылки!V366</f>
        <v>0</v>
      </c>
      <c s="127">
        <f>Предпосылки!W366</f>
        <v>0</v>
      </c>
      <c s="127">
        <f>Предпосылки!X366</f>
        <v>0</v>
      </c>
      <c s="127">
        <f>Предпосылки!Y366</f>
        <v>0</v>
      </c>
      <c s="127">
        <f>Предпосылки!Z366</f>
        <v>0</v>
      </c>
      <c s="127">
        <f>Предпосылки!AA366</f>
        <v>0</v>
      </c>
      <c s="127">
        <f>Предпосылки!AB366</f>
        <v>0</v>
      </c>
      <c s="127">
        <f>Предпосылки!AC366</f>
        <v>0</v>
      </c>
      <c s="127">
        <f>Предпосылки!AD366</f>
        <v>0</v>
      </c>
      <c s="127">
        <f>Предпосылки!AE366</f>
        <v>0</v>
      </c>
      <c s="127">
        <f>Предпосылки!AF366</f>
        <v>0</v>
      </c>
      <c s="127">
        <f>Предпосылки!AG366</f>
        <v>0</v>
      </c>
      <c s="127">
        <f>Предпосылки!AH366</f>
        <v>0</v>
      </c>
      <c s="127">
        <f>Предпосылки!AI366</f>
        <v>0</v>
      </c>
      <c s="127">
        <f>Предпосылки!AJ366</f>
        <v>0</v>
      </c>
      <c s="127">
        <f>Предпосылки!AK366</f>
        <v>0</v>
      </c>
      <c s="127">
        <f>Предпосылки!AL366</f>
        <v>0</v>
      </c>
      <c s="127">
        <f>Предпосылки!AM366</f>
        <v>0</v>
      </c>
      <c s="127">
        <f>Предпосылки!AN366</f>
        <v>0</v>
      </c>
      <c s="127">
        <f>Предпосылки!AO366</f>
        <v>0</v>
      </c>
      <c s="127">
        <f>Предпосылки!AP366</f>
        <v>0</v>
      </c>
      <c s="127">
        <f>Предпосылки!AQ366</f>
        <v>0</v>
      </c>
      <c s="127">
        <f>Предпосылки!AR366</f>
        <v>0</v>
      </c>
      <c s="127">
        <f>Предпосылки!AS366</f>
        <v>0</v>
      </c>
      <c s="127">
        <f>Предпосылки!AT366</f>
        <v>0</v>
      </c>
      <c s="127">
        <f>Предпосылки!AU366</f>
        <v>0</v>
      </c>
      <c s="127">
        <f>Предпосылки!AV366</f>
        <v>0</v>
      </c>
      <c s="127">
        <f>Предпосылки!AW366</f>
        <v>0</v>
      </c>
      <c s="127">
        <f>Предпосылки!AX366</f>
        <v>0</v>
      </c>
      <c s="127">
        <f>Предпосылки!AY366</f>
        <v>0</v>
      </c>
      <c s="127">
        <f>Предпосылки!AZ366</f>
        <v>0</v>
      </c>
      <c s="127">
        <f>Предпосылки!BA366</f>
        <v>0</v>
      </c>
      <c s="127">
        <f>Предпосылки!BB366</f>
        <v>0</v>
      </c>
      <c s="127">
        <f>Предпосылки!BC366</f>
        <v>0</v>
      </c>
      <c s="127">
        <f>Предпосылки!BD366</f>
        <v>0</v>
      </c>
      <c s="127">
        <f>Предпосылки!BE366</f>
        <v>0</v>
      </c>
      <c s="127">
        <f>Предпосылки!BF366</f>
        <v>0</v>
      </c>
      <c s="127">
        <f>Предпосылки!BG366</f>
        <v>0</v>
      </c>
      <c s="127">
        <f>Предпосылки!BH366</f>
        <v>0</v>
      </c>
      <c s="127">
        <f>Предпосылки!BI366</f>
        <v>0</v>
      </c>
      <c s="127">
        <f>Предпосылки!BJ366</f>
        <v>0</v>
      </c>
      <c s="127">
        <f>Предпосылки!BK366</f>
        <v>0</v>
      </c>
      <c s="127">
        <f>Предпосылки!BL366</f>
        <v>0</v>
      </c>
      <c s="127">
        <f>Предпосылки!BM366</f>
        <v>0</v>
      </c>
    </row>
    <row r="29" spans="2:65" ht="15" customHeight="1">
      <c r="B29" s="12" t="str">
        <f>IF(ISBLANK(Предпосылки!B367),"-",Предпосылки!B367)</f>
        <v>-</v>
      </c>
      <c s="124" t="s">
        <v>873</v>
      </c>
      <c s="127"/>
      <c s="127">
        <f>Предпосылки!E367</f>
        <v>0</v>
      </c>
      <c s="127">
        <f>Предпосылки!F367</f>
        <v>0</v>
      </c>
      <c s="127">
        <f>Предпосылки!G367</f>
        <v>0</v>
      </c>
      <c s="127">
        <f>Предпосылки!H367</f>
        <v>0</v>
      </c>
      <c s="127">
        <f>Предпосылки!I367</f>
        <v>0</v>
      </c>
      <c s="127">
        <f>Предпосылки!J367</f>
        <v>0</v>
      </c>
      <c s="127">
        <f>Предпосылки!K367</f>
        <v>0</v>
      </c>
      <c s="127">
        <f>Предпосылки!L367</f>
        <v>0</v>
      </c>
      <c s="127">
        <f>Предпосылки!M367</f>
        <v>0</v>
      </c>
      <c s="127">
        <f>Предпосылки!N367</f>
        <v>0</v>
      </c>
      <c s="127">
        <f>Предпосылки!O367</f>
        <v>0</v>
      </c>
      <c s="127">
        <f>Предпосылки!P367</f>
        <v>0</v>
      </c>
      <c s="127">
        <f>Предпосылки!Q367</f>
        <v>0</v>
      </c>
      <c s="127">
        <f>Предпосылки!R367</f>
        <v>0</v>
      </c>
      <c s="127">
        <f>Предпосылки!S367</f>
        <v>0</v>
      </c>
      <c s="127">
        <f>Предпосылки!T367</f>
        <v>0</v>
      </c>
      <c s="127">
        <f>Предпосылки!U367</f>
        <v>0</v>
      </c>
      <c s="127">
        <f>Предпосылки!V367</f>
        <v>0</v>
      </c>
      <c s="127">
        <f>Предпосылки!W367</f>
        <v>0</v>
      </c>
      <c s="127">
        <f>Предпосылки!X367</f>
        <v>0</v>
      </c>
      <c s="127">
        <f>Предпосылки!Y367</f>
        <v>0</v>
      </c>
      <c s="127">
        <f>Предпосылки!Z367</f>
        <v>0</v>
      </c>
      <c s="127">
        <f>Предпосылки!AA367</f>
        <v>0</v>
      </c>
      <c s="127">
        <f>Предпосылки!AB367</f>
        <v>0</v>
      </c>
      <c s="127">
        <f>Предпосылки!AC367</f>
        <v>0</v>
      </c>
      <c s="127">
        <f>Предпосылки!AD367</f>
        <v>0</v>
      </c>
      <c s="127">
        <f>Предпосылки!AE367</f>
        <v>0</v>
      </c>
      <c s="127">
        <f>Предпосылки!AF367</f>
        <v>0</v>
      </c>
      <c s="127">
        <f>Предпосылки!AG367</f>
        <v>0</v>
      </c>
      <c s="127">
        <f>Предпосылки!AH367</f>
        <v>0</v>
      </c>
      <c s="127">
        <f>Предпосылки!AI367</f>
        <v>0</v>
      </c>
      <c s="127">
        <f>Предпосылки!AJ367</f>
        <v>0</v>
      </c>
      <c s="127">
        <f>Предпосылки!AK367</f>
        <v>0</v>
      </c>
      <c s="127">
        <f>Предпосылки!AL367</f>
        <v>0</v>
      </c>
      <c s="127">
        <f>Предпосылки!AM367</f>
        <v>0</v>
      </c>
      <c s="127">
        <f>Предпосылки!AN367</f>
        <v>0</v>
      </c>
      <c s="127">
        <f>Предпосылки!AO367</f>
        <v>0</v>
      </c>
      <c s="127">
        <f>Предпосылки!AP367</f>
        <v>0</v>
      </c>
      <c s="127">
        <f>Предпосылки!AQ367</f>
        <v>0</v>
      </c>
      <c s="127">
        <f>Предпосылки!AR367</f>
        <v>0</v>
      </c>
      <c s="127">
        <f>Предпосылки!AS367</f>
        <v>0</v>
      </c>
      <c s="127">
        <f>Предпосылки!AT367</f>
        <v>0</v>
      </c>
      <c s="127">
        <f>Предпосылки!AU367</f>
        <v>0</v>
      </c>
      <c s="127">
        <f>Предпосылки!AV367</f>
        <v>0</v>
      </c>
      <c s="127">
        <f>Предпосылки!AW367</f>
        <v>0</v>
      </c>
      <c s="127">
        <f>Предпосылки!AX367</f>
        <v>0</v>
      </c>
      <c s="127">
        <f>Предпосылки!AY367</f>
        <v>0</v>
      </c>
      <c s="127">
        <f>Предпосылки!AZ367</f>
        <v>0</v>
      </c>
      <c s="127">
        <f>Предпосылки!BA367</f>
        <v>0</v>
      </c>
      <c s="127">
        <f>Предпосылки!BB367</f>
        <v>0</v>
      </c>
      <c s="127">
        <f>Предпосылки!BC367</f>
        <v>0</v>
      </c>
      <c s="127">
        <f>Предпосылки!BD367</f>
        <v>0</v>
      </c>
      <c s="127">
        <f>Предпосылки!BE367</f>
        <v>0</v>
      </c>
      <c s="127">
        <f>Предпосылки!BF367</f>
        <v>0</v>
      </c>
      <c s="127">
        <f>Предпосылки!BG367</f>
        <v>0</v>
      </c>
      <c s="127">
        <f>Предпосылки!BH367</f>
        <v>0</v>
      </c>
      <c s="127">
        <f>Предпосылки!BI367</f>
        <v>0</v>
      </c>
      <c s="127">
        <f>Предпосылки!BJ367</f>
        <v>0</v>
      </c>
      <c s="127">
        <f>Предпосылки!BK367</f>
        <v>0</v>
      </c>
      <c s="127">
        <f>Предпосылки!BL367</f>
        <v>0</v>
      </c>
      <c s="127">
        <f>Предпосылки!BM367</f>
        <v>0</v>
      </c>
    </row>
    <row r="30" spans="2:65" ht="15" customHeight="1">
      <c r="B30" s="12" t="str">
        <f>IF(ISBLANK(Предпосылки!B368),"-",Предпосылки!B368)</f>
        <v>-</v>
      </c>
      <c s="124" t="s">
        <v>873</v>
      </c>
      <c s="127"/>
      <c s="127">
        <f>Предпосылки!E368</f>
        <v>0</v>
      </c>
      <c s="127">
        <f>Предпосылки!F368</f>
        <v>0</v>
      </c>
      <c s="127">
        <f>Предпосылки!G368</f>
        <v>0</v>
      </c>
      <c s="127">
        <f>Предпосылки!H368</f>
        <v>0</v>
      </c>
      <c s="127">
        <f>Предпосылки!I368</f>
        <v>0</v>
      </c>
      <c s="127">
        <f>Предпосылки!J368</f>
        <v>0</v>
      </c>
      <c s="127">
        <f>Предпосылки!K368</f>
        <v>0</v>
      </c>
      <c s="127">
        <f>Предпосылки!L368</f>
        <v>0</v>
      </c>
      <c s="127">
        <f>Предпосылки!M368</f>
        <v>0</v>
      </c>
      <c s="127">
        <f>Предпосылки!N368</f>
        <v>0</v>
      </c>
      <c s="127">
        <f>Предпосылки!O368</f>
        <v>0</v>
      </c>
      <c s="127">
        <f>Предпосылки!P368</f>
        <v>0</v>
      </c>
      <c s="127">
        <f>Предпосылки!Q368</f>
        <v>0</v>
      </c>
      <c s="127">
        <f>Предпосылки!R368</f>
        <v>0</v>
      </c>
      <c s="127">
        <f>Предпосылки!S368</f>
        <v>0</v>
      </c>
      <c s="127">
        <f>Предпосылки!T368</f>
        <v>0</v>
      </c>
      <c s="127">
        <f>Предпосылки!U368</f>
        <v>0</v>
      </c>
      <c s="127">
        <f>Предпосылки!V368</f>
        <v>0</v>
      </c>
      <c s="127">
        <f>Предпосылки!W368</f>
        <v>0</v>
      </c>
      <c s="127">
        <f>Предпосылки!X368</f>
        <v>0</v>
      </c>
      <c s="127">
        <f>Предпосылки!Y368</f>
        <v>0</v>
      </c>
      <c s="127">
        <f>Предпосылки!Z368</f>
        <v>0</v>
      </c>
      <c s="127">
        <f>Предпосылки!AA368</f>
        <v>0</v>
      </c>
      <c s="127">
        <f>Предпосылки!AB368</f>
        <v>0</v>
      </c>
      <c s="127">
        <f>Предпосылки!AC368</f>
        <v>0</v>
      </c>
      <c s="127">
        <f>Предпосылки!AD368</f>
        <v>0</v>
      </c>
      <c s="127">
        <f>Предпосылки!AE368</f>
        <v>0</v>
      </c>
      <c s="127">
        <f>Предпосылки!AF368</f>
        <v>0</v>
      </c>
      <c s="127">
        <f>Предпосылки!AG368</f>
        <v>0</v>
      </c>
      <c s="127">
        <f>Предпосылки!AH368</f>
        <v>0</v>
      </c>
      <c s="127">
        <f>Предпосылки!AI368</f>
        <v>0</v>
      </c>
      <c s="127">
        <f>Предпосылки!AJ368</f>
        <v>0</v>
      </c>
      <c s="127">
        <f>Предпосылки!AK368</f>
        <v>0</v>
      </c>
      <c s="127">
        <f>Предпосылки!AL368</f>
        <v>0</v>
      </c>
      <c s="127">
        <f>Предпосылки!AM368</f>
        <v>0</v>
      </c>
      <c s="127">
        <f>Предпосылки!AN368</f>
        <v>0</v>
      </c>
      <c s="127">
        <f>Предпосылки!AO368</f>
        <v>0</v>
      </c>
      <c s="127">
        <f>Предпосылки!AP368</f>
        <v>0</v>
      </c>
      <c s="127">
        <f>Предпосылки!AQ368</f>
        <v>0</v>
      </c>
      <c s="127">
        <f>Предпосылки!AR368</f>
        <v>0</v>
      </c>
      <c s="127">
        <f>Предпосылки!AS368</f>
        <v>0</v>
      </c>
      <c s="127">
        <f>Предпосылки!AT368</f>
        <v>0</v>
      </c>
      <c s="127">
        <f>Предпосылки!AU368</f>
        <v>0</v>
      </c>
      <c s="127">
        <f>Предпосылки!AV368</f>
        <v>0</v>
      </c>
      <c s="127">
        <f>Предпосылки!AW368</f>
        <v>0</v>
      </c>
      <c s="127">
        <f>Предпосылки!AX368</f>
        <v>0</v>
      </c>
      <c s="127">
        <f>Предпосылки!AY368</f>
        <v>0</v>
      </c>
      <c s="127">
        <f>Предпосылки!AZ368</f>
        <v>0</v>
      </c>
      <c s="127">
        <f>Предпосылки!BA368</f>
        <v>0</v>
      </c>
      <c s="127">
        <f>Предпосылки!BB368</f>
        <v>0</v>
      </c>
      <c s="127">
        <f>Предпосылки!BC368</f>
        <v>0</v>
      </c>
      <c s="127">
        <f>Предпосылки!BD368</f>
        <v>0</v>
      </c>
      <c s="127">
        <f>Предпосылки!BE368</f>
        <v>0</v>
      </c>
      <c s="127">
        <f>Предпосылки!BF368</f>
        <v>0</v>
      </c>
      <c s="127">
        <f>Предпосылки!BG368</f>
        <v>0</v>
      </c>
      <c s="127">
        <f>Предпосылки!BH368</f>
        <v>0</v>
      </c>
      <c s="127">
        <f>Предпосылки!BI368</f>
        <v>0</v>
      </c>
      <c s="127">
        <f>Предпосылки!BJ368</f>
        <v>0</v>
      </c>
      <c s="127">
        <f>Предпосылки!BK368</f>
        <v>0</v>
      </c>
      <c s="127">
        <f>Предпосылки!BL368</f>
        <v>0</v>
      </c>
      <c s="127">
        <f>Предпосылки!BM368</f>
        <v>0</v>
      </c>
    </row>
    <row r="31" spans="2:65" ht="15" customHeight="1">
      <c r="B31" s="12" t="str">
        <f>IF(ISBLANK(Предпосылки!B369),"-",Предпосылки!B369)</f>
        <v>-</v>
      </c>
      <c s="124" t="s">
        <v>873</v>
      </c>
      <c s="127"/>
      <c s="127">
        <f>Предпосылки!E369</f>
        <v>0</v>
      </c>
      <c s="127">
        <f>Предпосылки!F369</f>
        <v>0</v>
      </c>
      <c s="127">
        <f>Предпосылки!G369</f>
        <v>0</v>
      </c>
      <c s="127">
        <f>Предпосылки!H369</f>
        <v>0</v>
      </c>
      <c s="127">
        <f>Предпосылки!I369</f>
        <v>0</v>
      </c>
      <c s="127">
        <f>Предпосылки!J369</f>
        <v>0</v>
      </c>
      <c s="127">
        <f>Предпосылки!K369</f>
        <v>0</v>
      </c>
      <c s="127">
        <f>Предпосылки!L369</f>
        <v>0</v>
      </c>
      <c s="127">
        <f>Предпосылки!M369</f>
        <v>0</v>
      </c>
      <c s="127">
        <f>Предпосылки!N369</f>
        <v>0</v>
      </c>
      <c s="127">
        <f>Предпосылки!O369</f>
        <v>0</v>
      </c>
      <c s="127">
        <f>Предпосылки!P369</f>
        <v>0</v>
      </c>
      <c s="127">
        <f>Предпосылки!Q369</f>
        <v>0</v>
      </c>
      <c s="127">
        <f>Предпосылки!R369</f>
        <v>0</v>
      </c>
      <c s="127">
        <f>Предпосылки!S369</f>
        <v>0</v>
      </c>
      <c s="127">
        <f>Предпосылки!T369</f>
        <v>0</v>
      </c>
      <c s="127">
        <f>Предпосылки!U369</f>
        <v>0</v>
      </c>
      <c s="127">
        <f>Предпосылки!V369</f>
        <v>0</v>
      </c>
      <c s="127">
        <f>Предпосылки!W369</f>
        <v>0</v>
      </c>
      <c s="127">
        <f>Предпосылки!X369</f>
        <v>0</v>
      </c>
      <c s="127">
        <f>Предпосылки!Y369</f>
        <v>0</v>
      </c>
      <c s="127">
        <f>Предпосылки!Z369</f>
        <v>0</v>
      </c>
      <c s="127">
        <f>Предпосылки!AA369</f>
        <v>0</v>
      </c>
      <c s="127">
        <f>Предпосылки!AB369</f>
        <v>0</v>
      </c>
      <c s="127">
        <f>Предпосылки!AC369</f>
        <v>0</v>
      </c>
      <c s="127">
        <f>Предпосылки!AD369</f>
        <v>0</v>
      </c>
      <c s="127">
        <f>Предпосылки!AE369</f>
        <v>0</v>
      </c>
      <c s="127">
        <f>Предпосылки!AF369</f>
        <v>0</v>
      </c>
      <c s="127">
        <f>Предпосылки!AG369</f>
        <v>0</v>
      </c>
      <c s="127">
        <f>Предпосылки!AH369</f>
        <v>0</v>
      </c>
      <c s="127">
        <f>Предпосылки!AI369</f>
        <v>0</v>
      </c>
      <c s="127">
        <f>Предпосылки!AJ369</f>
        <v>0</v>
      </c>
      <c s="127">
        <f>Предпосылки!AK369</f>
        <v>0</v>
      </c>
      <c s="127">
        <f>Предпосылки!AL369</f>
        <v>0</v>
      </c>
      <c s="127">
        <f>Предпосылки!AM369</f>
        <v>0</v>
      </c>
      <c s="127">
        <f>Предпосылки!AN369</f>
        <v>0</v>
      </c>
      <c s="127">
        <f>Предпосылки!AO369</f>
        <v>0</v>
      </c>
      <c s="127">
        <f>Предпосылки!AP369</f>
        <v>0</v>
      </c>
      <c s="127">
        <f>Предпосылки!AQ369</f>
        <v>0</v>
      </c>
      <c s="127">
        <f>Предпосылки!AR369</f>
        <v>0</v>
      </c>
      <c s="127">
        <f>Предпосылки!AS369</f>
        <v>0</v>
      </c>
      <c s="127">
        <f>Предпосылки!AT369</f>
        <v>0</v>
      </c>
      <c s="127">
        <f>Предпосылки!AU369</f>
        <v>0</v>
      </c>
      <c s="127">
        <f>Предпосылки!AV369</f>
        <v>0</v>
      </c>
      <c s="127">
        <f>Предпосылки!AW369</f>
        <v>0</v>
      </c>
      <c s="127">
        <f>Предпосылки!AX369</f>
        <v>0</v>
      </c>
      <c s="127">
        <f>Предпосылки!AY369</f>
        <v>0</v>
      </c>
      <c s="127">
        <f>Предпосылки!AZ369</f>
        <v>0</v>
      </c>
      <c s="127">
        <f>Предпосылки!BA369</f>
        <v>0</v>
      </c>
      <c s="127">
        <f>Предпосылки!BB369</f>
        <v>0</v>
      </c>
      <c s="127">
        <f>Предпосылки!BC369</f>
        <v>0</v>
      </c>
      <c s="127">
        <f>Предпосылки!BD369</f>
        <v>0</v>
      </c>
      <c s="127">
        <f>Предпосылки!BE369</f>
        <v>0</v>
      </c>
      <c s="127">
        <f>Предпосылки!BF369</f>
        <v>0</v>
      </c>
      <c s="127">
        <f>Предпосылки!BG369</f>
        <v>0</v>
      </c>
      <c s="127">
        <f>Предпосылки!BH369</f>
        <v>0</v>
      </c>
      <c s="127">
        <f>Предпосылки!BI369</f>
        <v>0</v>
      </c>
      <c s="127">
        <f>Предпосылки!BJ369</f>
        <v>0</v>
      </c>
      <c s="127">
        <f>Предпосылки!BK369</f>
        <v>0</v>
      </c>
      <c s="127">
        <f>Предпосылки!BL369</f>
        <v>0</v>
      </c>
      <c s="127">
        <f>Предпосылки!BM369</f>
        <v>0</v>
      </c>
    </row>
    <row r="32" spans="2:65" ht="15" customHeight="1">
      <c r="B32" s="12" t="str">
        <f>IF(ISBLANK(Предпосылки!B370),"-",Предпосылки!B370)</f>
        <v>-</v>
      </c>
      <c s="124" t="s">
        <v>873</v>
      </c>
      <c s="127"/>
      <c s="127">
        <f>Предпосылки!E370</f>
        <v>0</v>
      </c>
      <c s="127">
        <f>Предпосылки!F370</f>
        <v>0</v>
      </c>
      <c s="127">
        <f>Предпосылки!G370</f>
        <v>0</v>
      </c>
      <c s="127">
        <f>Предпосылки!H370</f>
        <v>0</v>
      </c>
      <c s="127">
        <f>Предпосылки!I370</f>
        <v>0</v>
      </c>
      <c s="127">
        <f>Предпосылки!J370</f>
        <v>0</v>
      </c>
      <c s="127">
        <f>Предпосылки!K370</f>
        <v>0</v>
      </c>
      <c s="127">
        <f>Предпосылки!L370</f>
        <v>0</v>
      </c>
      <c s="127">
        <f>Предпосылки!M370</f>
        <v>0</v>
      </c>
      <c s="127">
        <f>Предпосылки!N370</f>
        <v>0</v>
      </c>
      <c s="127">
        <f>Предпосылки!O370</f>
        <v>0</v>
      </c>
      <c s="127">
        <f>Предпосылки!P370</f>
        <v>0</v>
      </c>
      <c s="127">
        <f>Предпосылки!Q370</f>
        <v>0</v>
      </c>
      <c s="127">
        <f>Предпосылки!R370</f>
        <v>0</v>
      </c>
      <c s="127">
        <f>Предпосылки!S370</f>
        <v>0</v>
      </c>
      <c s="127">
        <f>Предпосылки!T370</f>
        <v>0</v>
      </c>
      <c s="127">
        <f>Предпосылки!U370</f>
        <v>0</v>
      </c>
      <c s="127">
        <f>Предпосылки!V370</f>
        <v>0</v>
      </c>
      <c s="127">
        <f>Предпосылки!W370</f>
        <v>0</v>
      </c>
      <c s="127">
        <f>Предпосылки!X370</f>
        <v>0</v>
      </c>
      <c s="127">
        <f>Предпосылки!Y370</f>
        <v>0</v>
      </c>
      <c s="127">
        <f>Предпосылки!Z370</f>
        <v>0</v>
      </c>
      <c s="127">
        <f>Предпосылки!AA370</f>
        <v>0</v>
      </c>
      <c s="127">
        <f>Предпосылки!AB370</f>
        <v>0</v>
      </c>
      <c s="127">
        <f>Предпосылки!AC370</f>
        <v>0</v>
      </c>
      <c s="127">
        <f>Предпосылки!AD370</f>
        <v>0</v>
      </c>
      <c s="127">
        <f>Предпосылки!AE370</f>
        <v>0</v>
      </c>
      <c s="127">
        <f>Предпосылки!AF370</f>
        <v>0</v>
      </c>
      <c s="127">
        <f>Предпосылки!AG370</f>
        <v>0</v>
      </c>
      <c s="127">
        <f>Предпосылки!AH370</f>
        <v>0</v>
      </c>
      <c s="127">
        <f>Предпосылки!AI370</f>
        <v>0</v>
      </c>
      <c s="127">
        <f>Предпосылки!AJ370</f>
        <v>0</v>
      </c>
      <c s="127">
        <f>Предпосылки!AK370</f>
        <v>0</v>
      </c>
      <c s="127">
        <f>Предпосылки!AL370</f>
        <v>0</v>
      </c>
      <c s="127">
        <f>Предпосылки!AM370</f>
        <v>0</v>
      </c>
      <c s="127">
        <f>Предпосылки!AN370</f>
        <v>0</v>
      </c>
      <c s="127">
        <f>Предпосылки!AO370</f>
        <v>0</v>
      </c>
      <c s="127">
        <f>Предпосылки!AP370</f>
        <v>0</v>
      </c>
      <c s="127">
        <f>Предпосылки!AQ370</f>
        <v>0</v>
      </c>
      <c s="127">
        <f>Предпосылки!AR370</f>
        <v>0</v>
      </c>
      <c s="127">
        <f>Предпосылки!AS370</f>
        <v>0</v>
      </c>
      <c s="127">
        <f>Предпосылки!AT370</f>
        <v>0</v>
      </c>
      <c s="127">
        <f>Предпосылки!AU370</f>
        <v>0</v>
      </c>
      <c s="127">
        <f>Предпосылки!AV370</f>
        <v>0</v>
      </c>
      <c s="127">
        <f>Предпосылки!AW370</f>
        <v>0</v>
      </c>
      <c s="127">
        <f>Предпосылки!AX370</f>
        <v>0</v>
      </c>
      <c s="127">
        <f>Предпосылки!AY370</f>
        <v>0</v>
      </c>
      <c s="127">
        <f>Предпосылки!AZ370</f>
        <v>0</v>
      </c>
      <c s="127">
        <f>Предпосылки!BA370</f>
        <v>0</v>
      </c>
      <c s="127">
        <f>Предпосылки!BB370</f>
        <v>0</v>
      </c>
      <c s="127">
        <f>Предпосылки!BC370</f>
        <v>0</v>
      </c>
      <c s="127">
        <f>Предпосылки!BD370</f>
        <v>0</v>
      </c>
      <c s="127">
        <f>Предпосылки!BE370</f>
        <v>0</v>
      </c>
      <c s="127">
        <f>Предпосылки!BF370</f>
        <v>0</v>
      </c>
      <c s="127">
        <f>Предпосылки!BG370</f>
        <v>0</v>
      </c>
      <c s="127">
        <f>Предпосылки!BH370</f>
        <v>0</v>
      </c>
      <c s="127">
        <f>Предпосылки!BI370</f>
        <v>0</v>
      </c>
      <c s="127">
        <f>Предпосылки!BJ370</f>
        <v>0</v>
      </c>
      <c s="127">
        <f>Предпосылки!BK370</f>
        <v>0</v>
      </c>
      <c s="127">
        <f>Предпосылки!BL370</f>
        <v>0</v>
      </c>
      <c s="127">
        <f>Предпосылки!BM370</f>
        <v>0</v>
      </c>
    </row>
    <row r="33" spans="2:65" ht="15" customHeight="1">
      <c r="B33" s="12" t="str">
        <f>IF(ISBLANK(Предпосылки!B371),"-",Предпосылки!B371)</f>
        <v>-</v>
      </c>
      <c s="124" t="s">
        <v>873</v>
      </c>
      <c s="127"/>
      <c s="127">
        <f>Предпосылки!E371</f>
        <v>0</v>
      </c>
      <c s="127">
        <f>Предпосылки!F371</f>
        <v>0</v>
      </c>
      <c s="127">
        <f>Предпосылки!G371</f>
        <v>0</v>
      </c>
      <c s="127">
        <f>Предпосылки!H371</f>
        <v>0</v>
      </c>
      <c s="127">
        <f>Предпосылки!I371</f>
        <v>0</v>
      </c>
      <c s="127">
        <f>Предпосылки!J371</f>
        <v>0</v>
      </c>
      <c s="127">
        <f>Предпосылки!K371</f>
        <v>0</v>
      </c>
      <c s="127">
        <f>Предпосылки!L371</f>
        <v>0</v>
      </c>
      <c s="127">
        <f>Предпосылки!M371</f>
        <v>0</v>
      </c>
      <c s="127">
        <f>Предпосылки!N371</f>
        <v>0</v>
      </c>
      <c s="127">
        <f>Предпосылки!O371</f>
        <v>0</v>
      </c>
      <c s="127">
        <f>Предпосылки!P371</f>
        <v>0</v>
      </c>
      <c s="127">
        <f>Предпосылки!Q371</f>
        <v>0</v>
      </c>
      <c s="127">
        <f>Предпосылки!R371</f>
        <v>0</v>
      </c>
      <c s="127">
        <f>Предпосылки!S371</f>
        <v>0</v>
      </c>
      <c s="127">
        <f>Предпосылки!T371</f>
        <v>0</v>
      </c>
      <c s="127">
        <f>Предпосылки!U371</f>
        <v>0</v>
      </c>
      <c s="127">
        <f>Предпосылки!V371</f>
        <v>0</v>
      </c>
      <c s="127">
        <f>Предпосылки!W371</f>
        <v>0</v>
      </c>
      <c s="127">
        <f>Предпосылки!X371</f>
        <v>0</v>
      </c>
      <c s="127">
        <f>Предпосылки!Y371</f>
        <v>0</v>
      </c>
      <c s="127">
        <f>Предпосылки!Z371</f>
        <v>0</v>
      </c>
      <c s="127">
        <f>Предпосылки!AA371</f>
        <v>0</v>
      </c>
      <c s="127">
        <f>Предпосылки!AB371</f>
        <v>0</v>
      </c>
      <c s="127">
        <f>Предпосылки!AC371</f>
        <v>0</v>
      </c>
      <c s="127">
        <f>Предпосылки!AD371</f>
        <v>0</v>
      </c>
      <c s="127">
        <f>Предпосылки!AE371</f>
        <v>0</v>
      </c>
      <c s="127">
        <f>Предпосылки!AF371</f>
        <v>0</v>
      </c>
      <c s="127">
        <f>Предпосылки!AG371</f>
        <v>0</v>
      </c>
      <c s="127">
        <f>Предпосылки!AH371</f>
        <v>0</v>
      </c>
      <c s="127">
        <f>Предпосылки!AI371</f>
        <v>0</v>
      </c>
      <c s="127">
        <f>Предпосылки!AJ371</f>
        <v>0</v>
      </c>
      <c s="127">
        <f>Предпосылки!AK371</f>
        <v>0</v>
      </c>
      <c s="127">
        <f>Предпосылки!AL371</f>
        <v>0</v>
      </c>
      <c s="127">
        <f>Предпосылки!AM371</f>
        <v>0</v>
      </c>
      <c s="127">
        <f>Предпосылки!AN371</f>
        <v>0</v>
      </c>
      <c s="127">
        <f>Предпосылки!AO371</f>
        <v>0</v>
      </c>
      <c s="127">
        <f>Предпосылки!AP371</f>
        <v>0</v>
      </c>
      <c s="127">
        <f>Предпосылки!AQ371</f>
        <v>0</v>
      </c>
      <c s="127">
        <f>Предпосылки!AR371</f>
        <v>0</v>
      </c>
      <c s="127">
        <f>Предпосылки!AS371</f>
        <v>0</v>
      </c>
      <c s="127">
        <f>Предпосылки!AT371</f>
        <v>0</v>
      </c>
      <c s="127">
        <f>Предпосылки!AU371</f>
        <v>0</v>
      </c>
      <c s="127">
        <f>Предпосылки!AV371</f>
        <v>0</v>
      </c>
      <c s="127">
        <f>Предпосылки!AW371</f>
        <v>0</v>
      </c>
      <c s="127">
        <f>Предпосылки!AX371</f>
        <v>0</v>
      </c>
      <c s="127">
        <f>Предпосылки!AY371</f>
        <v>0</v>
      </c>
      <c s="127">
        <f>Предпосылки!AZ371</f>
        <v>0</v>
      </c>
      <c s="127">
        <f>Предпосылки!BA371</f>
        <v>0</v>
      </c>
      <c s="127">
        <f>Предпосылки!BB371</f>
        <v>0</v>
      </c>
      <c s="127">
        <f>Предпосылки!BC371</f>
        <v>0</v>
      </c>
      <c s="127">
        <f>Предпосылки!BD371</f>
        <v>0</v>
      </c>
      <c s="127">
        <f>Предпосылки!BE371</f>
        <v>0</v>
      </c>
      <c s="127">
        <f>Предпосылки!BF371</f>
        <v>0</v>
      </c>
      <c s="127">
        <f>Предпосылки!BG371</f>
        <v>0</v>
      </c>
      <c s="127">
        <f>Предпосылки!BH371</f>
        <v>0</v>
      </c>
      <c s="127">
        <f>Предпосылки!BI371</f>
        <v>0</v>
      </c>
      <c s="127">
        <f>Предпосылки!BJ371</f>
        <v>0</v>
      </c>
      <c s="127">
        <f>Предпосылки!BK371</f>
        <v>0</v>
      </c>
      <c s="127">
        <f>Предпосылки!BL371</f>
        <v>0</v>
      </c>
      <c s="127">
        <f>Предпосылки!BM371</f>
        <v>0</v>
      </c>
    </row>
    <row r="34" spans="2:65" ht="15" customHeight="1">
      <c r="B34" s="12" t="str">
        <f>IF(ISBLANK(Предпосылки!B372),"-",Предпосылки!B372)</f>
        <v>-</v>
      </c>
      <c s="124" t="s">
        <v>873</v>
      </c>
      <c s="127"/>
      <c s="127">
        <f>Предпосылки!E372</f>
        <v>0</v>
      </c>
      <c s="127">
        <f>Предпосылки!F372</f>
        <v>0</v>
      </c>
      <c s="127">
        <f>Предпосылки!G372</f>
        <v>0</v>
      </c>
      <c s="127">
        <f>Предпосылки!H372</f>
        <v>0</v>
      </c>
      <c s="127">
        <f>Предпосылки!I372</f>
        <v>0</v>
      </c>
      <c s="127">
        <f>Предпосылки!J372</f>
        <v>0</v>
      </c>
      <c s="127">
        <f>Предпосылки!K372</f>
        <v>0</v>
      </c>
      <c s="127">
        <f>Предпосылки!L372</f>
        <v>0</v>
      </c>
      <c s="127">
        <f>Предпосылки!M372</f>
        <v>0</v>
      </c>
      <c s="127">
        <f>Предпосылки!N372</f>
        <v>0</v>
      </c>
      <c s="127">
        <f>Предпосылки!O372</f>
        <v>0</v>
      </c>
      <c s="127">
        <f>Предпосылки!P372</f>
        <v>0</v>
      </c>
      <c s="127">
        <f>Предпосылки!Q372</f>
        <v>0</v>
      </c>
      <c s="127">
        <f>Предпосылки!R372</f>
        <v>0</v>
      </c>
      <c s="127">
        <f>Предпосылки!S372</f>
        <v>0</v>
      </c>
      <c s="127">
        <f>Предпосылки!T372</f>
        <v>0</v>
      </c>
      <c s="127">
        <f>Предпосылки!U372</f>
        <v>0</v>
      </c>
      <c s="127">
        <f>Предпосылки!V372</f>
        <v>0</v>
      </c>
      <c s="127">
        <f>Предпосылки!W372</f>
        <v>0</v>
      </c>
      <c s="127">
        <f>Предпосылки!X372</f>
        <v>0</v>
      </c>
      <c s="127">
        <f>Предпосылки!Y372</f>
        <v>0</v>
      </c>
      <c s="127">
        <f>Предпосылки!Z372</f>
        <v>0</v>
      </c>
      <c s="127">
        <f>Предпосылки!AA372</f>
        <v>0</v>
      </c>
      <c s="127">
        <f>Предпосылки!AB372</f>
        <v>0</v>
      </c>
      <c s="127">
        <f>Предпосылки!AC372</f>
        <v>0</v>
      </c>
      <c s="127">
        <f>Предпосылки!AD372</f>
        <v>0</v>
      </c>
      <c s="127">
        <f>Предпосылки!AE372</f>
        <v>0</v>
      </c>
      <c s="127">
        <f>Предпосылки!AF372</f>
        <v>0</v>
      </c>
      <c s="127">
        <f>Предпосылки!AG372</f>
        <v>0</v>
      </c>
      <c s="127">
        <f>Предпосылки!AH372</f>
        <v>0</v>
      </c>
      <c s="127">
        <f>Предпосылки!AI372</f>
        <v>0</v>
      </c>
      <c s="127">
        <f>Предпосылки!AJ372</f>
        <v>0</v>
      </c>
      <c s="127">
        <f>Предпосылки!AK372</f>
        <v>0</v>
      </c>
      <c s="127">
        <f>Предпосылки!AL372</f>
        <v>0</v>
      </c>
      <c s="127">
        <f>Предпосылки!AM372</f>
        <v>0</v>
      </c>
      <c s="127">
        <f>Предпосылки!AN372</f>
        <v>0</v>
      </c>
      <c s="127">
        <f>Предпосылки!AO372</f>
        <v>0</v>
      </c>
      <c s="127">
        <f>Предпосылки!AP372</f>
        <v>0</v>
      </c>
      <c s="127">
        <f>Предпосылки!AQ372</f>
        <v>0</v>
      </c>
      <c s="127">
        <f>Предпосылки!AR372</f>
        <v>0</v>
      </c>
      <c s="127">
        <f>Предпосылки!AS372</f>
        <v>0</v>
      </c>
      <c s="127">
        <f>Предпосылки!AT372</f>
        <v>0</v>
      </c>
      <c s="127">
        <f>Предпосылки!AU372</f>
        <v>0</v>
      </c>
      <c s="127">
        <f>Предпосылки!AV372</f>
        <v>0</v>
      </c>
      <c s="127">
        <f>Предпосылки!AW372</f>
        <v>0</v>
      </c>
      <c s="127">
        <f>Предпосылки!AX372</f>
        <v>0</v>
      </c>
      <c s="127">
        <f>Предпосылки!AY372</f>
        <v>0</v>
      </c>
      <c s="127">
        <f>Предпосылки!AZ372</f>
        <v>0</v>
      </c>
      <c s="127">
        <f>Предпосылки!BA372</f>
        <v>0</v>
      </c>
      <c s="127">
        <f>Предпосылки!BB372</f>
        <v>0</v>
      </c>
      <c s="127">
        <f>Предпосылки!BC372</f>
        <v>0</v>
      </c>
      <c s="127">
        <f>Предпосылки!BD372</f>
        <v>0</v>
      </c>
      <c s="127">
        <f>Предпосылки!BE372</f>
        <v>0</v>
      </c>
      <c s="127">
        <f>Предпосылки!BF372</f>
        <v>0</v>
      </c>
      <c s="127">
        <f>Предпосылки!BG372</f>
        <v>0</v>
      </c>
      <c s="127">
        <f>Предпосылки!BH372</f>
        <v>0</v>
      </c>
      <c s="127">
        <f>Предпосылки!BI372</f>
        <v>0</v>
      </c>
      <c s="127">
        <f>Предпосылки!BJ372</f>
        <v>0</v>
      </c>
      <c s="127">
        <f>Предпосылки!BK372</f>
        <v>0</v>
      </c>
      <c s="127">
        <f>Предпосылки!BL372</f>
        <v>0</v>
      </c>
      <c s="127">
        <f>Предпосылки!BM372</f>
        <v>0</v>
      </c>
    </row>
    <row r="35" spans="2:65" ht="15" customHeight="1">
      <c r="B35" s="12" t="str">
        <f>IF(ISBLANK(Предпосылки!B373),"-",Предпосылки!B373)</f>
        <v>-</v>
      </c>
      <c s="124" t="s">
        <v>873</v>
      </c>
      <c s="127"/>
      <c s="127">
        <f>Предпосылки!E373</f>
        <v>0</v>
      </c>
      <c s="127">
        <f>Предпосылки!F373</f>
        <v>0</v>
      </c>
      <c s="127">
        <f>Предпосылки!G373</f>
        <v>0</v>
      </c>
      <c s="127">
        <f>Предпосылки!H373</f>
        <v>0</v>
      </c>
      <c s="127">
        <f>Предпосылки!I373</f>
        <v>0</v>
      </c>
      <c s="127">
        <f>Предпосылки!J373</f>
        <v>0</v>
      </c>
      <c s="127">
        <f>Предпосылки!K373</f>
        <v>0</v>
      </c>
      <c s="127">
        <f>Предпосылки!L373</f>
        <v>0</v>
      </c>
      <c s="127">
        <f>Предпосылки!M373</f>
        <v>0</v>
      </c>
      <c s="127">
        <f>Предпосылки!N373</f>
        <v>0</v>
      </c>
      <c s="127">
        <f>Предпосылки!O373</f>
        <v>0</v>
      </c>
      <c s="127">
        <f>Предпосылки!P373</f>
        <v>0</v>
      </c>
      <c s="127">
        <f>Предпосылки!Q373</f>
        <v>0</v>
      </c>
      <c s="127">
        <f>Предпосылки!R373</f>
        <v>0</v>
      </c>
      <c s="127">
        <f>Предпосылки!S373</f>
        <v>0</v>
      </c>
      <c s="127">
        <f>Предпосылки!T373</f>
        <v>0</v>
      </c>
      <c s="127">
        <f>Предпосылки!U373</f>
        <v>0</v>
      </c>
      <c s="127">
        <f>Предпосылки!V373</f>
        <v>0</v>
      </c>
      <c s="127">
        <f>Предпосылки!W373</f>
        <v>0</v>
      </c>
      <c s="127">
        <f>Предпосылки!X373</f>
        <v>0</v>
      </c>
      <c s="127">
        <f>Предпосылки!Y373</f>
        <v>0</v>
      </c>
      <c s="127">
        <f>Предпосылки!Z373</f>
        <v>0</v>
      </c>
      <c s="127">
        <f>Предпосылки!AA373</f>
        <v>0</v>
      </c>
      <c s="127">
        <f>Предпосылки!AB373</f>
        <v>0</v>
      </c>
      <c s="127">
        <f>Предпосылки!AC373</f>
        <v>0</v>
      </c>
      <c s="127">
        <f>Предпосылки!AD373</f>
        <v>0</v>
      </c>
      <c s="127">
        <f>Предпосылки!AE373</f>
        <v>0</v>
      </c>
      <c s="127">
        <f>Предпосылки!AF373</f>
        <v>0</v>
      </c>
      <c s="127">
        <f>Предпосылки!AG373</f>
        <v>0</v>
      </c>
      <c s="127">
        <f>Предпосылки!AH373</f>
        <v>0</v>
      </c>
      <c s="127">
        <f>Предпосылки!AI373</f>
        <v>0</v>
      </c>
      <c s="127">
        <f>Предпосылки!AJ373</f>
        <v>0</v>
      </c>
      <c s="127">
        <f>Предпосылки!AK373</f>
        <v>0</v>
      </c>
      <c s="127">
        <f>Предпосылки!AL373</f>
        <v>0</v>
      </c>
      <c s="127">
        <f>Предпосылки!AM373</f>
        <v>0</v>
      </c>
      <c s="127">
        <f>Предпосылки!AN373</f>
        <v>0</v>
      </c>
      <c s="127">
        <f>Предпосылки!AO373</f>
        <v>0</v>
      </c>
      <c s="127">
        <f>Предпосылки!AP373</f>
        <v>0</v>
      </c>
      <c s="127">
        <f>Предпосылки!AQ373</f>
        <v>0</v>
      </c>
      <c s="127">
        <f>Предпосылки!AR373</f>
        <v>0</v>
      </c>
      <c s="127">
        <f>Предпосылки!AS373</f>
        <v>0</v>
      </c>
      <c s="127">
        <f>Предпосылки!AT373</f>
        <v>0</v>
      </c>
      <c s="127">
        <f>Предпосылки!AU373</f>
        <v>0</v>
      </c>
      <c s="127">
        <f>Предпосылки!AV373</f>
        <v>0</v>
      </c>
      <c s="127">
        <f>Предпосылки!AW373</f>
        <v>0</v>
      </c>
      <c s="127">
        <f>Предпосылки!AX373</f>
        <v>0</v>
      </c>
      <c s="127">
        <f>Предпосылки!AY373</f>
        <v>0</v>
      </c>
      <c s="127">
        <f>Предпосылки!AZ373</f>
        <v>0</v>
      </c>
      <c s="127">
        <f>Предпосылки!BA373</f>
        <v>0</v>
      </c>
      <c s="127">
        <f>Предпосылки!BB373</f>
        <v>0</v>
      </c>
      <c s="127">
        <f>Предпосылки!BC373</f>
        <v>0</v>
      </c>
      <c s="127">
        <f>Предпосылки!BD373</f>
        <v>0</v>
      </c>
      <c s="127">
        <f>Предпосылки!BE373</f>
        <v>0</v>
      </c>
      <c s="127">
        <f>Предпосылки!BF373</f>
        <v>0</v>
      </c>
      <c s="127">
        <f>Предпосылки!BG373</f>
        <v>0</v>
      </c>
      <c s="127">
        <f>Предпосылки!BH373</f>
        <v>0</v>
      </c>
      <c s="127">
        <f>Предпосылки!BI373</f>
        <v>0</v>
      </c>
      <c s="127">
        <f>Предпосылки!BJ373</f>
        <v>0</v>
      </c>
      <c s="127">
        <f>Предпосылки!BK373</f>
        <v>0</v>
      </c>
      <c s="127">
        <f>Предпосылки!BL373</f>
        <v>0</v>
      </c>
      <c s="127">
        <f>Предпосылки!BM373</f>
        <v>0</v>
      </c>
    </row>
    <row r="36" ht="15" customHeight="1"/>
    <row r="37" spans="2:2" ht="15" customHeight="1">
      <c r="B37" s="24" t="s">
        <v>874</v>
      </c>
    </row>
    <row r="38" spans="2:66" ht="15" customHeight="1">
      <c r="B38" s="12" t="s">
        <v>847</v>
      </c>
      <c s="124" t="s">
        <v>817</v>
      </c>
      <c s="124"/>
      <c s="126">
        <f>POWER(1+LOOKUP(YEAR(E$8),Предпосылки!$C$468:$R$468,Предпосылки!$C$472:$R$472),(E8+1-E7)/IF(MOD(YEAR(E8),4),365,366))</f>
        <v>1.0198552210205056</v>
      </c>
      <c s="126">
        <f>POWER(1+LOOKUP(YEAR(F$8),Предпосылки!$C$468:$R$468,Предпосылки!$C$472:$R$472),(F8+1-F7)/IF(MOD(YEAR(F8),4),365,366))</f>
        <v>1.0200780347359324</v>
      </c>
      <c s="126">
        <f>POWER(1+LOOKUP(YEAR(G$8),Предпосылки!$C$468:$R$468,Предпосылки!$C$472:$R$472),(G8+1-G7)/IF(MOD(YEAR(G8),4),365,366))</f>
        <v>1.0203008971307703</v>
      </c>
      <c s="126">
        <f>POWER(1+LOOKUP(YEAR(H$8),Предпосылки!$C$468:$R$468,Предпосылки!$C$472:$R$472),(H8+1-H7)/IF(MOD(YEAR(H8),4),365,366))</f>
        <v>1.0203008971307703</v>
      </c>
      <c s="126">
        <f>POWER(1+LOOKUP(YEAR(I$8),Предпосылки!$C$468:$R$468,Предпосылки!$C$472:$R$472),(I8+1-I7)/IF(MOD(YEAR(I8),4),365,366))</f>
        <v>1.0198552210205056</v>
      </c>
      <c s="126">
        <f>POWER(1+LOOKUP(YEAR(J$8),Предпосылки!$C$468:$R$468,Предпосылки!$C$472:$R$472),(J8+1-J7)/IF(MOD(YEAR(J8),4),365,366))</f>
        <v>1.0200780347359324</v>
      </c>
      <c s="126">
        <f>POWER(1+LOOKUP(YEAR(K$8),Предпосылки!$C$468:$R$468,Предпосылки!$C$472:$R$472),(K8+1-K7)/IF(MOD(YEAR(K8),4),365,366))</f>
        <v>1.0203008971307703</v>
      </c>
      <c s="126">
        <f>POWER(1+LOOKUP(YEAR(L$8),Предпосылки!$C$468:$R$468,Предпосылки!$C$472:$R$472),(L8+1-L7)/IF(MOD(YEAR(L8),4),365,366))</f>
        <v>1.0203008971307703</v>
      </c>
      <c s="126">
        <f>POWER(1+LOOKUP(YEAR(M$8),Предпосылки!$C$468:$R$468,Предпосылки!$C$472:$R$472),(M8+1-M7)/IF(MOD(YEAR(M8),4),365,366))</f>
        <v>1.0165884884841385</v>
      </c>
      <c s="126">
        <f>POWER(1+LOOKUP(YEAR(N$8),Предпосылки!$C$468:$R$468,Предпосылки!$C$472:$R$472),(N8+1-N7)/IF(MOD(YEAR(N8),4),365,366))</f>
        <v>1.0167743423923019</v>
      </c>
      <c s="126">
        <f>POWER(1+LOOKUP(YEAR(O$8),Предпосылки!$C$468:$R$468,Предпосылки!$C$472:$R$472),(O8+1-O7)/IF(MOD(YEAR(O8),4),365,366))</f>
        <v>1.0169602302784964</v>
      </c>
      <c s="126">
        <f>POWER(1+LOOKUP(YEAR(P$8),Предпосылки!$C$468:$R$468,Предпосылки!$C$472:$R$472),(P8+1-P7)/IF(MOD(YEAR(P8),4),365,366))</f>
        <v>1.0169602302784964</v>
      </c>
      <c s="126">
        <f>POWER(1+LOOKUP(YEAR(Q$8),Предпосылки!$C$468:$R$468,Предпосылки!$C$472:$R$472),(Q8+1-Q7)/IF(MOD(YEAR(Q8),4),365,366))</f>
        <v>1.0155436652958005</v>
      </c>
      <c s="126">
        <f>POWER(1+LOOKUP(YEAR(R$8),Предпосылки!$C$468:$R$468,Предпосылки!$C$472:$R$472),(R8+1-R7)/IF(MOD(YEAR(R8),4),365,366))</f>
        <v>1.0155436652958005</v>
      </c>
      <c s="126">
        <f>POWER(1+LOOKUP(YEAR(S$8),Предпосылки!$C$468:$R$468,Предпосылки!$C$472:$R$472),(S8+1-S7)/IF(MOD(YEAR(S8),4),365,366))</f>
        <v>1.0157158100708163</v>
      </c>
      <c s="126">
        <f>POWER(1+LOOKUP(YEAR(T$8),Предпосылки!$C$468:$R$468,Предпосылки!$C$472:$R$472),(T8+1-T7)/IF(MOD(YEAR(T8),4),365,366))</f>
        <v>1.0157158100708163</v>
      </c>
      <c s="126">
        <f>POWER(1+LOOKUP(YEAR(U$8),Предпосылки!$C$468:$R$468,Предпосылки!$C$472:$R$472),(U8+1-U7)/IF(MOD(YEAR(U8),4),365,366))</f>
        <v>1.0154139864492691</v>
      </c>
      <c s="126">
        <f>POWER(1+LOOKUP(YEAR(V$8),Предпосылки!$C$468:$R$468,Предпосылки!$C$472:$R$472),(V8+1-V7)/IF(MOD(YEAR(V8),4),365,366))</f>
        <v>1.015586580851799</v>
      </c>
      <c s="126">
        <f>POWER(1+LOOKUP(YEAR(W$8),Предпосылки!$C$468:$R$468,Предпосылки!$C$472:$R$472),(W8+1-W7)/IF(MOD(YEAR(W8),4),365,366))</f>
        <v>1.0157592045909623</v>
      </c>
      <c s="126">
        <f>POWER(1+LOOKUP(YEAR(X$8),Предпосылки!$C$468:$R$468,Предпосылки!$C$472:$R$472),(X8+1-X7)/IF(MOD(YEAR(X8),4),365,366))</f>
        <v>1.0157592045909623</v>
      </c>
      <c s="126">
        <f>POWER(1+LOOKUP(YEAR(Y$8),Предпосылки!$C$468:$R$468,Предпосылки!$C$472:$R$472),(Y8+1-Y7)/IF(MOD(YEAR(Y8),4),365,366))</f>
        <v>1.0154139864492691</v>
      </c>
      <c s="126">
        <f>POWER(1+LOOKUP(YEAR(Z$8),Предпосылки!$C$468:$R$468,Предпосылки!$C$472:$R$472),(Z8+1-Z7)/IF(MOD(YEAR(Z8),4),365,366))</f>
        <v>1.015586580851799</v>
      </c>
      <c s="126">
        <f>POWER(1+LOOKUP(YEAR(AA$8),Предпосылки!$C$468:$R$468,Предпосылки!$C$472:$R$472),(AA8+1-AA7)/IF(MOD(YEAR(AA8),4),365,366))</f>
        <v>1.0157592045909623</v>
      </c>
      <c s="126">
        <f>POWER(1+LOOKUP(YEAR(AB$8),Предпосылки!$C$468:$R$468,Предпосылки!$C$472:$R$472),(AB8+1-AB7)/IF(MOD(YEAR(AB8),4),365,366))</f>
        <v>1.0157592045909623</v>
      </c>
      <c s="126">
        <f>POWER(1+LOOKUP(YEAR(AC$8),Предпосылки!$C$468:$R$468,Предпосылки!$C$472:$R$472),(AC8+1-AC7)/IF(MOD(YEAR(AC8),4),365,366))</f>
        <v>1.0154139864492691</v>
      </c>
      <c s="126">
        <f>POWER(1+LOOKUP(YEAR(AD$8),Предпосылки!$C$468:$R$468,Предпосылки!$C$472:$R$472),(AD8+1-AD7)/IF(MOD(YEAR(AD8),4),365,366))</f>
        <v>1.015586580851799</v>
      </c>
      <c s="126">
        <f>POWER(1+LOOKUP(YEAR(AE$8),Предпосылки!$C$468:$R$468,Предпосылки!$C$472:$R$472),(AE8+1-AE7)/IF(MOD(YEAR(AE8),4),365,366))</f>
        <v>1.0157592045909623</v>
      </c>
      <c s="126">
        <f>POWER(1+LOOKUP(YEAR(AF$8),Предпосылки!$C$468:$R$468,Предпосылки!$C$472:$R$472),(AF8+1-AF7)/IF(MOD(YEAR(AF8),4),365,366))</f>
        <v>1.0157592045909623</v>
      </c>
      <c s="126">
        <f>POWER(1+LOOKUP(YEAR(AG$8),Предпосылки!$C$468:$R$468,Предпосылки!$C$472:$R$472),(AG8+1-AG7)/IF(MOD(YEAR(AG8),4),365,366))</f>
        <v>1.0155436652958005</v>
      </c>
      <c s="126">
        <f>POWER(1+LOOKUP(YEAR(AH$8),Предпосылки!$C$468:$R$468,Предпосылки!$C$472:$R$472),(AH8+1-AH7)/IF(MOD(YEAR(AH8),4),365,366))</f>
        <v>1.0155436652958005</v>
      </c>
      <c s="126">
        <f>POWER(1+LOOKUP(YEAR(AI$8),Предпосылки!$C$468:$R$468,Предпосылки!$C$472:$R$472),(AI8+1-AI7)/IF(MOD(YEAR(AI8),4),365,366))</f>
        <v>1.0157158100708163</v>
      </c>
      <c s="126">
        <f>POWER(1+LOOKUP(YEAR(AJ$8),Предпосылки!$C$468:$R$468,Предпосылки!$C$472:$R$472),(AJ8+1-AJ7)/IF(MOD(YEAR(AJ8),4),365,366))</f>
        <v>1.0157158100708163</v>
      </c>
      <c s="126">
        <f>POWER(1+LOOKUP(YEAR(AK$8),Предпосылки!$C$468:$R$468,Предпосылки!$C$472:$R$472),(AK8+1-AK7)/IF(MOD(YEAR(AK8),4),365,366))</f>
        <v>1.0154139864492691</v>
      </c>
      <c s="126">
        <f>POWER(1+LOOKUP(YEAR(AL$8),Предпосылки!$C$468:$R$468,Предпосылки!$C$472:$R$472),(AL8+1-AL7)/IF(MOD(YEAR(AL8),4),365,366))</f>
        <v>1.015586580851799</v>
      </c>
      <c s="126">
        <f>POWER(1+LOOKUP(YEAR(AM$8),Предпосылки!$C$468:$R$468,Предпосылки!$C$472:$R$472),(AM8+1-AM7)/IF(MOD(YEAR(AM8),4),365,366))</f>
        <v>1.0157592045909623</v>
      </c>
      <c s="126">
        <f>POWER(1+LOOKUP(YEAR(AN$8),Предпосылки!$C$468:$R$468,Предпосылки!$C$472:$R$472),(AN8+1-AN7)/IF(MOD(YEAR(AN8),4),365,366))</f>
        <v>1.0157592045909623</v>
      </c>
      <c s="126">
        <f>POWER(1+LOOKUP(YEAR(AO$8),Предпосылки!$C$468:$R$468,Предпосылки!$C$472:$R$472),(AO8+1-AO7)/IF(MOD(YEAR(AO8),4),365,366))</f>
        <v>1.0154139864492691</v>
      </c>
      <c s="126">
        <f>POWER(1+LOOKUP(YEAR(AP$8),Предпосылки!$C$468:$R$468,Предпосылки!$C$472:$R$472),(AP8+1-AP7)/IF(MOD(YEAR(AP8),4),365,366))</f>
        <v>1.015586580851799</v>
      </c>
      <c s="126">
        <f>POWER(1+LOOKUP(YEAR(AQ$8),Предпосылки!$C$468:$R$468,Предпосылки!$C$472:$R$472),(AQ8+1-AQ7)/IF(MOD(YEAR(AQ8),4),365,366))</f>
        <v>1.0157592045909623</v>
      </c>
      <c s="126">
        <f>POWER(1+LOOKUP(YEAR(AR$8),Предпосылки!$C$468:$R$468,Предпосылки!$C$472:$R$472),(AR8+1-AR7)/IF(MOD(YEAR(AR8),4),365,366))</f>
        <v>1.0157592045909623</v>
      </c>
      <c s="126">
        <f>POWER(1+LOOKUP(YEAR(AS$8),Предпосылки!$C$468:$R$468,Предпосылки!$C$472:$R$472),(AS8+1-AS7)/IF(MOD(YEAR(AS8),4),365,366))</f>
        <v>1.0154139864492691</v>
      </c>
      <c s="126">
        <f>POWER(1+LOOKUP(YEAR(AT$8),Предпосылки!$C$468:$R$468,Предпосылки!$C$472:$R$472),(AT8+1-AT7)/IF(MOD(YEAR(AT8),4),365,366))</f>
        <v>1.015586580851799</v>
      </c>
      <c s="126">
        <f>POWER(1+LOOKUP(YEAR(AU$8),Предпосылки!$C$468:$R$468,Предпосылки!$C$472:$R$472),(AU8+1-AU7)/IF(MOD(YEAR(AU8),4),365,366))</f>
        <v>1.0157592045909623</v>
      </c>
      <c s="126">
        <f>POWER(1+LOOKUP(YEAR(AV$8),Предпосылки!$C$468:$R$468,Предпосылки!$C$472:$R$472),(AV8+1-AV7)/IF(MOD(YEAR(AV8),4),365,366))</f>
        <v>1.0157592045909623</v>
      </c>
      <c s="126">
        <f>POWER(1+LOOKUP(YEAR(AW$8),Предпосылки!$C$468:$R$468,Предпосылки!$C$472:$R$472),(AW8+1-AW7)/IF(MOD(YEAR(AW8),4),365,366))</f>
        <v>1.0155436652958005</v>
      </c>
      <c s="126">
        <f>POWER(1+LOOKUP(YEAR(AX$8),Предпосылки!$C$468:$R$468,Предпосылки!$C$472:$R$472),(AX8+1-AX7)/IF(MOD(YEAR(AX8),4),365,366))</f>
        <v>1.0155436652958005</v>
      </c>
      <c s="126">
        <f>POWER(1+LOOKUP(YEAR(AY$8),Предпосылки!$C$468:$R$468,Предпосылки!$C$472:$R$472),(AY8+1-AY7)/IF(MOD(YEAR(AY8),4),365,366))</f>
        <v>1.0157158100708163</v>
      </c>
      <c s="126">
        <f>POWER(1+LOOKUP(YEAR(AZ$8),Предпосылки!$C$468:$R$468,Предпосылки!$C$472:$R$472),(AZ8+1-AZ7)/IF(MOD(YEAR(AZ8),4),365,366))</f>
        <v>1.0157158100708163</v>
      </c>
      <c s="126">
        <f>POWER(1+LOOKUP(YEAR(BA$8),Предпосылки!$C$468:$R$468,Предпосылки!$C$472:$R$472),(BA8+1-BA7)/IF(MOD(YEAR(BA8),4),365,366))</f>
        <v>1.0154139864492691</v>
      </c>
      <c s="126">
        <f>POWER(1+LOOKUP(YEAR(BB$8),Предпосылки!$C$468:$R$468,Предпосылки!$C$472:$R$472),(BB8+1-BB7)/IF(MOD(YEAR(BB8),4),365,366))</f>
        <v>1.015586580851799</v>
      </c>
      <c s="126">
        <f>POWER(1+LOOKUP(YEAR(BC$8),Предпосылки!$C$468:$R$468,Предпосылки!$C$472:$R$472),(BC8+1-BC7)/IF(MOD(YEAR(BC8),4),365,366))</f>
        <v>1.0157592045909623</v>
      </c>
      <c s="126">
        <f>POWER(1+LOOKUP(YEAR(BD$8),Предпосылки!$C$468:$R$468,Предпосылки!$C$472:$R$472),(BD8+1-BD7)/IF(MOD(YEAR(BD8),4),365,366))</f>
        <v>1.0157592045909623</v>
      </c>
      <c s="126">
        <f>POWER(1+LOOKUP(YEAR(BE$8),Предпосылки!$C$468:$R$468,Предпосылки!$C$472:$R$472),(BE8+1-BE7)/IF(MOD(YEAR(BE8),4),365,366))</f>
        <v>1.0154139864492691</v>
      </c>
      <c s="126">
        <f>POWER(1+LOOKUP(YEAR(BF$8),Предпосылки!$C$468:$R$468,Предпосылки!$C$472:$R$472),(BF8+1-BF7)/IF(MOD(YEAR(BF8),4),365,366))</f>
        <v>1.015586580851799</v>
      </c>
      <c s="126">
        <f>POWER(1+LOOKUP(YEAR(BG$8),Предпосылки!$C$468:$R$468,Предпосылки!$C$472:$R$472),(BG8+1-BG7)/IF(MOD(YEAR(BG8),4),365,366))</f>
        <v>1.0157592045909623</v>
      </c>
      <c s="126">
        <f>POWER(1+LOOKUP(YEAR(BH$8),Предпосылки!$C$468:$R$468,Предпосылки!$C$472:$R$472),(BH8+1-BH7)/IF(MOD(YEAR(BH8),4),365,366))</f>
        <v>1.0157592045909623</v>
      </c>
      <c s="126">
        <f>POWER(1+LOOKUP(YEAR(BI$8),Предпосылки!$C$468:$R$468,Предпосылки!$C$472:$R$472),(BI8+1-BI7)/IF(MOD(YEAR(BI8),4),365,366))</f>
        <v>1.0154139864492691</v>
      </c>
      <c s="126">
        <f>POWER(1+LOOKUP(YEAR(BJ$8),Предпосылки!$C$468:$R$468,Предпосылки!$C$472:$R$472),(BJ8+1-BJ7)/IF(MOD(YEAR(BJ8),4),365,366))</f>
        <v>1.015586580851799</v>
      </c>
      <c s="126">
        <f>POWER(1+LOOKUP(YEAR(BK$8),Предпосылки!$C$468:$R$468,Предпосылки!$C$472:$R$472),(BK8+1-BK7)/IF(MOD(YEAR(BK8),4),365,366))</f>
        <v>1.0157592045909623</v>
      </c>
      <c s="126">
        <f>POWER(1+LOOKUP(YEAR(BL$8),Предпосылки!$C$468:$R$468,Предпосылки!$C$472:$R$472),(BL8+1-BL7)/IF(MOD(YEAR(BL8),4),365,366))</f>
        <v>1.0157592045909623</v>
      </c>
      <c s="126">
        <f>POWER(1+LOOKUP(YEAR(BM$8),Предпосылки!$C$468:$R$468,Предпосылки!$C$472:$R$472),(BM8+1-BM7)/IF(MOD(YEAR(BM8),4),365,366))</f>
        <v>1.0155436652958005</v>
      </c>
      <c s="168"/>
    </row>
    <row r="39" spans="2:65" ht="15" customHeight="1">
      <c r="B39" s="289" t="s">
        <v>848</v>
      </c>
      <c s="290" t="s">
        <v>817</v>
      </c>
      <c s="282">
        <v>1</v>
      </c>
      <c s="282">
        <f>D39*E38</f>
        <v>1.0198552210205056</v>
      </c>
      <c s="282">
        <f t="shared" si="3" ref="F39:G39">E39*F38</f>
        <v>1.0403319095737773</v>
      </c>
      <c s="282">
        <f t="shared" si="3"/>
        <v>1.0614515806518925</v>
      </c>
      <c s="282">
        <f t="shared" si="4" ref="H39">G39*H38</f>
        <v>1.0830000000000002</v>
      </c>
      <c s="282">
        <f t="shared" si="5" ref="I39">H39*I38</f>
        <v>1.1045032043652079</v>
      </c>
      <c s="282">
        <f t="shared" si="6" ref="J39">I39*J38</f>
        <v>1.1266794580684012</v>
      </c>
      <c s="282">
        <f t="shared" si="7" ref="K39">J39*K38</f>
        <v>1.1495520618459998</v>
      </c>
      <c s="282">
        <f t="shared" si="8" ref="L39">K39*L38</f>
        <v>1.1728890000000003</v>
      </c>
      <c s="282">
        <f t="shared" si="9" ref="M39">L39*M38</f>
        <v>1.1923454556696731</v>
      </c>
      <c s="282">
        <f t="shared" si="10" ref="N39">M39*N38</f>
        <v>1.2123462665929814</v>
      </c>
      <c s="282">
        <f t="shared" si="11" ref="O39">N39*O38</f>
        <v>1.2329079384516737</v>
      </c>
      <c s="282">
        <f t="shared" si="12" ref="P39">O39*P38</f>
        <v>1.2538183410000003</v>
      </c>
      <c s="282">
        <f t="shared" si="13" ref="Q39">P39*Q38</f>
        <v>1.2733072736342403</v>
      </c>
      <c s="282">
        <f t="shared" si="14" ref="R39">Q39*R38</f>
        <v>1.2930991357143193</v>
      </c>
      <c s="282">
        <f t="shared" si="15" ref="S39">R39*S38</f>
        <v>1.3134212361339423</v>
      </c>
      <c s="282">
        <f t="shared" si="16" ref="T39">S39*T38</f>
        <v>1.3340627148240003</v>
      </c>
      <c s="282">
        <f t="shared" si="17" ref="U39">T39*U38</f>
        <v>1.3546259394327724</v>
      </c>
      <c s="282">
        <f t="shared" si="18" ref="V39">U39*V38</f>
        <v>1.3757399261616854</v>
      </c>
      <c s="282">
        <f t="shared" si="19" ref="W39">V39*W38</f>
        <v>1.3974204931220227</v>
      </c>
      <c s="282">
        <f t="shared" si="20" ref="X39">W39*X38</f>
        <v>1.419442728572736</v>
      </c>
      <c s="282">
        <f t="shared" si="21" ref="Y39">X39*Y38</f>
        <v>1.4413219995564697</v>
      </c>
      <c s="282">
        <f t="shared" si="22" ref="Z39">Y39*Z38</f>
        <v>1.4637872814360331</v>
      </c>
      <c s="282">
        <f t="shared" si="23" ref="AA39">Z39*AA38</f>
        <v>1.4868554046818321</v>
      </c>
      <c s="282">
        <f t="shared" si="24" ref="AB39">AA39*AB38</f>
        <v>1.5102870632013909</v>
      </c>
      <c s="282">
        <f t="shared" si="25" ref="AC39">AB39*AC38</f>
        <v>1.5335666075280836</v>
      </c>
      <c s="282">
        <f t="shared" si="26" ref="AD39">AC39*AD38</f>
        <v>1.5574696674479391</v>
      </c>
      <c s="282">
        <f t="shared" si="27" ref="AE39">AD39*AE38</f>
        <v>1.5820141505814691</v>
      </c>
      <c s="282">
        <f t="shared" si="28" ref="AF39">AE39*AF38</f>
        <v>1.6069454352462798</v>
      </c>
      <c s="282">
        <f t="shared" si="29" ref="AG39">AF39*AG38</f>
        <v>1.6319232572403624</v>
      </c>
      <c s="282">
        <f t="shared" si="30" ref="AH39">AG39*AH38</f>
        <v>1.6572893261393391</v>
      </c>
      <c s="282">
        <f t="shared" si="31" ref="AI39">AH39*AI38</f>
        <v>1.6833349704213361</v>
      </c>
      <c s="282">
        <f t="shared" si="32" ref="AJ39">AI39*AJ38</f>
        <v>1.7097899431020411</v>
      </c>
      <c s="282">
        <f t="shared" si="33" ref="AK39">AJ39*AK38</f>
        <v>1.7361446221161125</v>
      </c>
      <c s="282">
        <f t="shared" si="34" ref="AL39">AK39*AL38</f>
        <v>1.7632051806391413</v>
      </c>
      <c s="282">
        <f t="shared" si="35" ref="AM39">AL39*AM38</f>
        <v>1.7909918918166781</v>
      </c>
      <c s="282">
        <f t="shared" si="36" ref="AN39">AM39*AN38</f>
        <v>1.8192164994605715</v>
      </c>
      <c s="282">
        <f t="shared" si="37" ref="AO39">AN39*AO38</f>
        <v>1.8472578779315434</v>
      </c>
      <c s="282">
        <f t="shared" si="38" ref="AP39">AO39*AP38</f>
        <v>1.876050312200046</v>
      </c>
      <c s="282">
        <f t="shared" si="39" ref="AQ39">AP39*AQ38</f>
        <v>1.9056153728929452</v>
      </c>
      <c s="282">
        <f t="shared" si="40" ref="AR39">AQ39*AR38</f>
        <v>1.9356463554260479</v>
      </c>
      <c s="282">
        <f t="shared" si="41" ref="AS39">AR39*AS38</f>
        <v>1.965482382119162</v>
      </c>
      <c s="282">
        <f t="shared" si="42" ref="AT39">AS39*AT38</f>
        <v>1.9961175321808489</v>
      </c>
      <c s="282">
        <f t="shared" si="43" ref="AU39">AT39*AU38</f>
        <v>2.0275747567580935</v>
      </c>
      <c s="282">
        <f t="shared" si="44" ref="AV39">AU39*AV38</f>
        <v>2.059527722173315</v>
      </c>
      <c s="282">
        <f t="shared" si="45" ref="AW39">AV39*AW38</f>
        <v>2.0915403317541994</v>
      </c>
      <c s="282">
        <f t="shared" si="46" ref="AX39">AW39*AX38</f>
        <v>2.1240505346236542</v>
      </c>
      <c s="282">
        <f t="shared" si="47" ref="AY39">AX39*AY38</f>
        <v>2.1574317094066155</v>
      </c>
      <c s="282">
        <f t="shared" si="48" ref="AZ39">AY39*AZ38</f>
        <v>2.1913374963924066</v>
      </c>
      <c s="282">
        <f t="shared" si="49" ref="BA39">AZ39*BA38</f>
        <v>2.2251147428675742</v>
      </c>
      <c s="282">
        <f t="shared" si="50" ref="BB39">BA39*BB38</f>
        <v>2.2597966737118096</v>
      </c>
      <c s="282">
        <f t="shared" si="51" ref="BC39">BB39*BC38</f>
        <v>2.2954092718268098</v>
      </c>
      <c s="282">
        <f t="shared" si="52" ref="BD39">BC39*BD38</f>
        <v>2.3315830961615203</v>
      </c>
      <c s="282">
        <f t="shared" si="53" ref="BE39">BD39*BE38</f>
        <v>2.3675220864110988</v>
      </c>
      <c s="282">
        <f t="shared" si="54" ref="BF39">BE39*BF38</f>
        <v>2.4044236608293654</v>
      </c>
      <c s="282">
        <f t="shared" si="55" ref="BG39">BF39*BG38</f>
        <v>2.442315465223726</v>
      </c>
      <c s="282">
        <f t="shared" si="56" ref="BH39">BG39*BH38</f>
        <v>2.4808044143158576</v>
      </c>
      <c s="282">
        <f t="shared" si="57" ref="BI39">BH39*BI38</f>
        <v>2.5190434999414091</v>
      </c>
      <c s="282">
        <f t="shared" si="58" ref="BJ39">BI39*BJ38</f>
        <v>2.5583067751224444</v>
      </c>
      <c s="282">
        <f t="shared" si="59" ref="BK39">BJ39*BK38</f>
        <v>2.5986236549980437</v>
      </c>
      <c s="282">
        <f t="shared" si="60" ref="BL39">BK39*BL38</f>
        <v>2.6395758968320719</v>
      </c>
      <c s="282">
        <f t="shared" si="61" ref="BM39">BL39*BM38</f>
        <v>2.6806045810952921</v>
      </c>
    </row>
    <row r="40" ht="15" customHeight="1"/>
    <row r="41" spans="2:72" ht="21">
      <c r="B41" s="23" t="s">
        <v>875</v>
      </c>
      <c r="D4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2" spans="2:66" ht="15" customHeight="1">
      <c r="B42" s="12" t="str">
        <f>B11</f>
        <v>-</v>
      </c>
      <c s="124" t="str">
        <f t="shared" si="62" ref="C42:C66">Единица_измерения</f>
        <v>тыс. руб.</v>
      </c>
      <c s="127"/>
      <c s="125">
        <f>Предпосылки!$D349*Месяцев_в_квартале*E$39</f>
        <v>0</v>
      </c>
      <c s="125">
        <f>Предпосылки!$D349*Месяцев_в_квартале*F$39</f>
        <v>0</v>
      </c>
      <c s="125">
        <f>Предпосылки!$D349*Месяцев_в_квартале*G$39</f>
        <v>0</v>
      </c>
      <c s="125">
        <f>Предпосылки!$D349*Месяцев_в_квартале*H$39</f>
        <v>0</v>
      </c>
      <c s="125">
        <f>Предпосылки!$D349*Месяцев_в_квартале*I$39</f>
        <v>0</v>
      </c>
      <c s="125">
        <f>Предпосылки!$D349*Месяцев_в_квартале*J$39</f>
        <v>0</v>
      </c>
      <c s="125">
        <f>Предпосылки!$D349*Месяцев_в_квартале*K$39</f>
        <v>0</v>
      </c>
      <c s="125">
        <f>Предпосылки!$D349*Месяцев_в_квартале*L$39</f>
        <v>0</v>
      </c>
      <c s="125">
        <f>Предпосылки!$D349*Месяцев_в_квартале*M$39</f>
        <v>0</v>
      </c>
      <c s="125">
        <f>Предпосылки!$D349*Месяцев_в_квартале*N$39</f>
        <v>0</v>
      </c>
      <c s="125">
        <f>Предпосылки!$D349*Месяцев_в_квартале*O$39</f>
        <v>0</v>
      </c>
      <c s="125">
        <f>Предпосылки!$D349*Месяцев_в_квартале*P$39</f>
        <v>0</v>
      </c>
      <c s="125">
        <f>Предпосылки!$D349*Месяцев_в_квартале*Q$39</f>
        <v>0</v>
      </c>
      <c s="125">
        <f>Предпосылки!$D349*Месяцев_в_квартале*R$39</f>
        <v>0</v>
      </c>
      <c s="125">
        <f>Предпосылки!$D349*Месяцев_в_квартале*S$39</f>
        <v>0</v>
      </c>
      <c s="125">
        <f>Предпосылки!$D349*Месяцев_в_квартале*T$39</f>
        <v>0</v>
      </c>
      <c s="125">
        <f>Предпосылки!$D349*Месяцев_в_квартале*U$39</f>
        <v>0</v>
      </c>
      <c s="125">
        <f>Предпосылки!$D349*Месяцев_в_квартале*V$39</f>
        <v>0</v>
      </c>
      <c s="125">
        <f>Предпосылки!$D349*Месяцев_в_квартале*W$39</f>
        <v>0</v>
      </c>
      <c s="125">
        <f>Предпосылки!$D349*Месяцев_в_квартале*X$39</f>
        <v>0</v>
      </c>
      <c s="125">
        <f>Предпосылки!$D349*Месяцев_в_квартале*Y$39</f>
        <v>0</v>
      </c>
      <c s="125">
        <f>Предпосылки!$D349*Месяцев_в_квартале*Z$39</f>
        <v>0</v>
      </c>
      <c s="125">
        <f>Предпосылки!$D349*Месяцев_в_квартале*AA$39</f>
        <v>0</v>
      </c>
      <c s="125">
        <f>Предпосылки!$D349*Месяцев_в_квартале*AB$39</f>
        <v>0</v>
      </c>
      <c s="125">
        <f>Предпосылки!$D349*Месяцев_в_квартале*AC$39</f>
        <v>0</v>
      </c>
      <c s="125">
        <f>Предпосылки!$D349*Месяцев_в_квартале*AD$39</f>
        <v>0</v>
      </c>
      <c s="125">
        <f>Предпосылки!$D349*Месяцев_в_квартале*AE$39</f>
        <v>0</v>
      </c>
      <c s="125">
        <f>Предпосылки!$D349*Месяцев_в_квартале*AF$39</f>
        <v>0</v>
      </c>
      <c s="125">
        <f>Предпосылки!$D349*Месяцев_в_квартале*AG$39</f>
        <v>0</v>
      </c>
      <c s="125">
        <f>Предпосылки!$D349*Месяцев_в_квартале*AH$39</f>
        <v>0</v>
      </c>
      <c s="125">
        <f>Предпосылки!$D349*Месяцев_в_квартале*AI$39</f>
        <v>0</v>
      </c>
      <c s="125">
        <f>Предпосылки!$D349*Месяцев_в_квартале*AJ$39</f>
        <v>0</v>
      </c>
      <c s="125">
        <f>Предпосылки!$D349*Месяцев_в_квартале*AK$39</f>
        <v>0</v>
      </c>
      <c s="125">
        <f>Предпосылки!$D349*Месяцев_в_квартале*AL$39</f>
        <v>0</v>
      </c>
      <c s="125">
        <f>Предпосылки!$D349*Месяцев_в_квартале*AM$39</f>
        <v>0</v>
      </c>
      <c s="125">
        <f>Предпосылки!$D349*Месяцев_в_квартале*AN$39</f>
        <v>0</v>
      </c>
      <c s="125">
        <f>Предпосылки!$D349*Месяцев_в_квартале*AO$39</f>
        <v>0</v>
      </c>
      <c s="125">
        <f>Предпосылки!$D349*Месяцев_в_квартале*AP$39</f>
        <v>0</v>
      </c>
      <c s="125">
        <f>Предпосылки!$D349*Месяцев_в_квартале*AQ$39</f>
        <v>0</v>
      </c>
      <c s="125">
        <f>Предпосылки!$D349*Месяцев_в_квартале*AR$39</f>
        <v>0</v>
      </c>
      <c s="125">
        <f>Предпосылки!$D349*Месяцев_в_квартале*AS$39</f>
        <v>0</v>
      </c>
      <c s="125">
        <f>Предпосылки!$D349*Месяцев_в_квартале*AT$39</f>
        <v>0</v>
      </c>
      <c s="125">
        <f>Предпосылки!$D349*Месяцев_в_квартале*AU$39</f>
        <v>0</v>
      </c>
      <c s="125">
        <f>Предпосылки!$D349*Месяцев_в_квартале*AV$39</f>
        <v>0</v>
      </c>
      <c s="125">
        <f>Предпосылки!$D349*Месяцев_в_квартале*AW$39</f>
        <v>0</v>
      </c>
      <c s="125">
        <f>Предпосылки!$D349*Месяцев_в_квартале*AX$39</f>
        <v>0</v>
      </c>
      <c s="125">
        <f>Предпосылки!$D349*Месяцев_в_квартале*AY$39</f>
        <v>0</v>
      </c>
      <c s="125">
        <f>Предпосылки!$D349*Месяцев_в_квартале*AZ$39</f>
        <v>0</v>
      </c>
      <c s="125">
        <f>Предпосылки!$D349*Месяцев_в_квартале*BA$39</f>
        <v>0</v>
      </c>
      <c s="125">
        <f>Предпосылки!$D349*Месяцев_в_квартале*BB$39</f>
        <v>0</v>
      </c>
      <c s="125">
        <f>Предпосылки!$D349*Месяцев_в_квартале*BC$39</f>
        <v>0</v>
      </c>
      <c s="125">
        <f>Предпосылки!$D349*Месяцев_в_квартале*BD$39</f>
        <v>0</v>
      </c>
      <c s="125">
        <f>Предпосылки!$D349*Месяцев_в_квартале*BE$39</f>
        <v>0</v>
      </c>
      <c s="125">
        <f>Предпосылки!$D349*Месяцев_в_квартале*BF$39</f>
        <v>0</v>
      </c>
      <c s="125">
        <f>Предпосылки!$D349*Месяцев_в_квартале*BG$39</f>
        <v>0</v>
      </c>
      <c s="125">
        <f>Предпосылки!$D349*Месяцев_в_квартале*BH$39</f>
        <v>0</v>
      </c>
      <c s="125">
        <f>Предпосылки!$D349*Месяцев_в_квартале*BI$39</f>
        <v>0</v>
      </c>
      <c s="125">
        <f>Предпосылки!$D349*Месяцев_в_квартале*BJ$39</f>
        <v>0</v>
      </c>
      <c s="125">
        <f>Предпосылки!$D349*Месяцев_в_квартале*BK$39</f>
        <v>0</v>
      </c>
      <c s="125">
        <f>Предпосылки!$D349*Месяцев_в_квартале*BL$39</f>
        <v>0</v>
      </c>
      <c s="125">
        <f>Предпосылки!$D349*Месяцев_в_квартале*BM$39</f>
        <v>0</v>
      </c>
      <c s="166"/>
    </row>
    <row r="43" spans="2:66" ht="15" customHeight="1">
      <c r="B43" s="12" t="str">
        <f t="shared" si="63" ref="B43:B66">B12</f>
        <v>-</v>
      </c>
      <c s="124" t="str">
        <f t="shared" si="62"/>
        <v>тыс. руб.</v>
      </c>
      <c s="127"/>
      <c s="125">
        <f>Предпосылки!$D350*Месяцев_в_квартале*E$39</f>
        <v>0</v>
      </c>
      <c s="125">
        <f>Предпосылки!$D350*Месяцев_в_квартале*F$39</f>
        <v>0</v>
      </c>
      <c s="125">
        <f>Предпосылки!$D350*Месяцев_в_квартале*G$39</f>
        <v>0</v>
      </c>
      <c s="125">
        <f>Предпосылки!$D350*Месяцев_в_квартале*H$39</f>
        <v>0</v>
      </c>
      <c s="125">
        <f>Предпосылки!$D350*Месяцев_в_квартале*I$39</f>
        <v>0</v>
      </c>
      <c s="125">
        <f>Предпосылки!$D350*Месяцев_в_квартале*J$39</f>
        <v>0</v>
      </c>
      <c s="125">
        <f>Предпосылки!$D350*Месяцев_в_квартале*K$39</f>
        <v>0</v>
      </c>
      <c s="125">
        <f>Предпосылки!$D350*Месяцев_в_квартале*L$39</f>
        <v>0</v>
      </c>
      <c s="125">
        <f>Предпосылки!$D350*Месяцев_в_квартале*M$39</f>
        <v>0</v>
      </c>
      <c s="125">
        <f>Предпосылки!$D350*Месяцев_в_квартале*N$39</f>
        <v>0</v>
      </c>
      <c s="125">
        <f>Предпосылки!$D350*Месяцев_в_квартале*O$39</f>
        <v>0</v>
      </c>
      <c s="125">
        <f>Предпосылки!$D350*Месяцев_в_квартале*P$39</f>
        <v>0</v>
      </c>
      <c s="125">
        <f>Предпосылки!$D350*Месяцев_в_квартале*Q$39</f>
        <v>0</v>
      </c>
      <c s="125">
        <f>Предпосылки!$D350*Месяцев_в_квартале*R$39</f>
        <v>0</v>
      </c>
      <c s="125">
        <f>Предпосылки!$D350*Месяцев_в_квартале*S$39</f>
        <v>0</v>
      </c>
      <c s="125">
        <f>Предпосылки!$D350*Месяцев_в_квартале*T$39</f>
        <v>0</v>
      </c>
      <c s="125">
        <f>Предпосылки!$D350*Месяцев_в_квартале*U$39</f>
        <v>0</v>
      </c>
      <c s="125">
        <f>Предпосылки!$D350*Месяцев_в_квартале*V$39</f>
        <v>0</v>
      </c>
      <c s="125">
        <f>Предпосылки!$D350*Месяцев_в_квартале*W$39</f>
        <v>0</v>
      </c>
      <c s="125">
        <f>Предпосылки!$D350*Месяцев_в_квартале*X$39</f>
        <v>0</v>
      </c>
      <c s="125">
        <f>Предпосылки!$D350*Месяцев_в_квартале*Y$39</f>
        <v>0</v>
      </c>
      <c s="125">
        <f>Предпосылки!$D350*Месяцев_в_квартале*Z$39</f>
        <v>0</v>
      </c>
      <c s="125">
        <f>Предпосылки!$D350*Месяцев_в_квартале*AA$39</f>
        <v>0</v>
      </c>
      <c s="125">
        <f>Предпосылки!$D350*Месяцев_в_квартале*AB$39</f>
        <v>0</v>
      </c>
      <c s="125">
        <f>Предпосылки!$D350*Месяцев_в_квартале*AC$39</f>
        <v>0</v>
      </c>
      <c s="125">
        <f>Предпосылки!$D350*Месяцев_в_квартале*AD$39</f>
        <v>0</v>
      </c>
      <c s="125">
        <f>Предпосылки!$D350*Месяцев_в_квартале*AE$39</f>
        <v>0</v>
      </c>
      <c s="125">
        <f>Предпосылки!$D350*Месяцев_в_квартале*AF$39</f>
        <v>0</v>
      </c>
      <c s="125">
        <f>Предпосылки!$D350*Месяцев_в_квартале*AG$39</f>
        <v>0</v>
      </c>
      <c s="125">
        <f>Предпосылки!$D350*Месяцев_в_квартале*AH$39</f>
        <v>0</v>
      </c>
      <c s="125">
        <f>Предпосылки!$D350*Месяцев_в_квартале*AI$39</f>
        <v>0</v>
      </c>
      <c s="125">
        <f>Предпосылки!$D350*Месяцев_в_квартале*AJ$39</f>
        <v>0</v>
      </c>
      <c s="125">
        <f>Предпосылки!$D350*Месяцев_в_квартале*AK$39</f>
        <v>0</v>
      </c>
      <c s="125">
        <f>Предпосылки!$D350*Месяцев_в_квартале*AL$39</f>
        <v>0</v>
      </c>
      <c s="125">
        <f>Предпосылки!$D350*Месяцев_в_квартале*AM$39</f>
        <v>0</v>
      </c>
      <c s="125">
        <f>Предпосылки!$D350*Месяцев_в_квартале*AN$39</f>
        <v>0</v>
      </c>
      <c s="125">
        <f>Предпосылки!$D350*Месяцев_в_квартале*AO$39</f>
        <v>0</v>
      </c>
      <c s="125">
        <f>Предпосылки!$D350*Месяцев_в_квартале*AP$39</f>
        <v>0</v>
      </c>
      <c s="125">
        <f>Предпосылки!$D350*Месяцев_в_квартале*AQ$39</f>
        <v>0</v>
      </c>
      <c s="125">
        <f>Предпосылки!$D350*Месяцев_в_квартале*AR$39</f>
        <v>0</v>
      </c>
      <c s="125">
        <f>Предпосылки!$D350*Месяцев_в_квартале*AS$39</f>
        <v>0</v>
      </c>
      <c s="125">
        <f>Предпосылки!$D350*Месяцев_в_квартале*AT$39</f>
        <v>0</v>
      </c>
      <c s="125">
        <f>Предпосылки!$D350*Месяцев_в_квартале*AU$39</f>
        <v>0</v>
      </c>
      <c s="125">
        <f>Предпосылки!$D350*Месяцев_в_квартале*AV$39</f>
        <v>0</v>
      </c>
      <c s="125">
        <f>Предпосылки!$D350*Месяцев_в_квартале*AW$39</f>
        <v>0</v>
      </c>
      <c s="125">
        <f>Предпосылки!$D350*Месяцев_в_квартале*AX$39</f>
        <v>0</v>
      </c>
      <c s="125">
        <f>Предпосылки!$D350*Месяцев_в_квартале*AY$39</f>
        <v>0</v>
      </c>
      <c s="125">
        <f>Предпосылки!$D350*Месяцев_в_квартале*AZ$39</f>
        <v>0</v>
      </c>
      <c s="125">
        <f>Предпосылки!$D350*Месяцев_в_квартале*BA$39</f>
        <v>0</v>
      </c>
      <c s="125">
        <f>Предпосылки!$D350*Месяцев_в_квартале*BB$39</f>
        <v>0</v>
      </c>
      <c s="125">
        <f>Предпосылки!$D350*Месяцев_в_квартале*BC$39</f>
        <v>0</v>
      </c>
      <c s="125">
        <f>Предпосылки!$D350*Месяцев_в_квартале*BD$39</f>
        <v>0</v>
      </c>
      <c s="125">
        <f>Предпосылки!$D350*Месяцев_в_квартале*BE$39</f>
        <v>0</v>
      </c>
      <c s="125">
        <f>Предпосылки!$D350*Месяцев_в_квартале*BF$39</f>
        <v>0</v>
      </c>
      <c s="125">
        <f>Предпосылки!$D350*Месяцев_в_квартале*BG$39</f>
        <v>0</v>
      </c>
      <c s="125">
        <f>Предпосылки!$D350*Месяцев_в_квартале*BH$39</f>
        <v>0</v>
      </c>
      <c s="125">
        <f>Предпосылки!$D350*Месяцев_в_квартале*BI$39</f>
        <v>0</v>
      </c>
      <c s="125">
        <f>Предпосылки!$D350*Месяцев_в_квартале*BJ$39</f>
        <v>0</v>
      </c>
      <c s="125">
        <f>Предпосылки!$D350*Месяцев_в_квартале*BK$39</f>
        <v>0</v>
      </c>
      <c s="125">
        <f>Предпосылки!$D350*Месяцев_в_квартале*BL$39</f>
        <v>0</v>
      </c>
      <c s="125">
        <f>Предпосылки!$D350*Месяцев_в_квартале*BM$39</f>
        <v>0</v>
      </c>
      <c s="166"/>
    </row>
    <row r="44" spans="2:66" ht="15" customHeight="1">
      <c r="B44" s="12" t="str">
        <f t="shared" si="63"/>
        <v>-</v>
      </c>
      <c s="124" t="str">
        <f t="shared" si="62"/>
        <v>тыс. руб.</v>
      </c>
      <c s="127"/>
      <c s="125">
        <f>Предпосылки!$D351*Месяцев_в_квартале*E$39</f>
        <v>0</v>
      </c>
      <c s="125">
        <f>Предпосылки!$D351*Месяцев_в_квартале*F$39</f>
        <v>0</v>
      </c>
      <c s="125">
        <f>Предпосылки!$D351*Месяцев_в_квартале*G$39</f>
        <v>0</v>
      </c>
      <c s="125">
        <f>Предпосылки!$D351*Месяцев_в_квартале*H$39</f>
        <v>0</v>
      </c>
      <c s="125">
        <f>Предпосылки!$D351*Месяцев_в_квартале*I$39</f>
        <v>0</v>
      </c>
      <c s="125">
        <f>Предпосылки!$D351*Месяцев_в_квартале*J$39</f>
        <v>0</v>
      </c>
      <c s="125">
        <f>Предпосылки!$D351*Месяцев_в_квартале*K$39</f>
        <v>0</v>
      </c>
      <c s="125">
        <f>Предпосылки!$D351*Месяцев_в_квартале*L$39</f>
        <v>0</v>
      </c>
      <c s="125">
        <f>Предпосылки!$D351*Месяцев_в_квартале*M$39</f>
        <v>0</v>
      </c>
      <c s="125">
        <f>Предпосылки!$D351*Месяцев_в_квартале*N$39</f>
        <v>0</v>
      </c>
      <c s="125">
        <f>Предпосылки!$D351*Месяцев_в_квартале*O$39</f>
        <v>0</v>
      </c>
      <c s="125">
        <f>Предпосылки!$D351*Месяцев_в_квартале*P$39</f>
        <v>0</v>
      </c>
      <c s="125">
        <f>Предпосылки!$D351*Месяцев_в_квартале*Q$39</f>
        <v>0</v>
      </c>
      <c s="125">
        <f>Предпосылки!$D351*Месяцев_в_квартале*R$39</f>
        <v>0</v>
      </c>
      <c s="125">
        <f>Предпосылки!$D351*Месяцев_в_квартале*S$39</f>
        <v>0</v>
      </c>
      <c s="125">
        <f>Предпосылки!$D351*Месяцев_в_квартале*T$39</f>
        <v>0</v>
      </c>
      <c s="125">
        <f>Предпосылки!$D351*Месяцев_в_квартале*U$39</f>
        <v>0</v>
      </c>
      <c s="125">
        <f>Предпосылки!$D351*Месяцев_в_квартале*V$39</f>
        <v>0</v>
      </c>
      <c s="125">
        <f>Предпосылки!$D351*Месяцев_в_квартале*W$39</f>
        <v>0</v>
      </c>
      <c s="125">
        <f>Предпосылки!$D351*Месяцев_в_квартале*X$39</f>
        <v>0</v>
      </c>
      <c s="125">
        <f>Предпосылки!$D351*Месяцев_в_квартале*Y$39</f>
        <v>0</v>
      </c>
      <c s="125">
        <f>Предпосылки!$D351*Месяцев_в_квартале*Z$39</f>
        <v>0</v>
      </c>
      <c s="125">
        <f>Предпосылки!$D351*Месяцев_в_квартале*AA$39</f>
        <v>0</v>
      </c>
      <c s="125">
        <f>Предпосылки!$D351*Месяцев_в_квартале*AB$39</f>
        <v>0</v>
      </c>
      <c s="125">
        <f>Предпосылки!$D351*Месяцев_в_квартале*AC$39</f>
        <v>0</v>
      </c>
      <c s="125">
        <f>Предпосылки!$D351*Месяцев_в_квартале*AD$39</f>
        <v>0</v>
      </c>
      <c s="125">
        <f>Предпосылки!$D351*Месяцев_в_квартале*AE$39</f>
        <v>0</v>
      </c>
      <c s="125">
        <f>Предпосылки!$D351*Месяцев_в_квартале*AF$39</f>
        <v>0</v>
      </c>
      <c s="125">
        <f>Предпосылки!$D351*Месяцев_в_квартале*AG$39</f>
        <v>0</v>
      </c>
      <c s="125">
        <f>Предпосылки!$D351*Месяцев_в_квартале*AH$39</f>
        <v>0</v>
      </c>
      <c s="125">
        <f>Предпосылки!$D351*Месяцев_в_квартале*AI$39</f>
        <v>0</v>
      </c>
      <c s="125">
        <f>Предпосылки!$D351*Месяцев_в_квартале*AJ$39</f>
        <v>0</v>
      </c>
      <c s="125">
        <f>Предпосылки!$D351*Месяцев_в_квартале*AK$39</f>
        <v>0</v>
      </c>
      <c s="125">
        <f>Предпосылки!$D351*Месяцев_в_квартале*AL$39</f>
        <v>0</v>
      </c>
      <c s="125">
        <f>Предпосылки!$D351*Месяцев_в_квартале*AM$39</f>
        <v>0</v>
      </c>
      <c s="125">
        <f>Предпосылки!$D351*Месяцев_в_квартале*AN$39</f>
        <v>0</v>
      </c>
      <c s="125">
        <f>Предпосылки!$D351*Месяцев_в_квартале*AO$39</f>
        <v>0</v>
      </c>
      <c s="125">
        <f>Предпосылки!$D351*Месяцев_в_квартале*AP$39</f>
        <v>0</v>
      </c>
      <c s="125">
        <f>Предпосылки!$D351*Месяцев_в_квартале*AQ$39</f>
        <v>0</v>
      </c>
      <c s="125">
        <f>Предпосылки!$D351*Месяцев_в_квартале*AR$39</f>
        <v>0</v>
      </c>
      <c s="125">
        <f>Предпосылки!$D351*Месяцев_в_квартале*AS$39</f>
        <v>0</v>
      </c>
      <c s="125">
        <f>Предпосылки!$D351*Месяцев_в_квартале*AT$39</f>
        <v>0</v>
      </c>
      <c s="125">
        <f>Предпосылки!$D351*Месяцев_в_квартале*AU$39</f>
        <v>0</v>
      </c>
      <c s="125">
        <f>Предпосылки!$D351*Месяцев_в_квартале*AV$39</f>
        <v>0</v>
      </c>
      <c s="125">
        <f>Предпосылки!$D351*Месяцев_в_квартале*AW$39</f>
        <v>0</v>
      </c>
      <c s="125">
        <f>Предпосылки!$D351*Месяцев_в_квартале*AX$39</f>
        <v>0</v>
      </c>
      <c s="125">
        <f>Предпосылки!$D351*Месяцев_в_квартале*AY$39</f>
        <v>0</v>
      </c>
      <c s="125">
        <f>Предпосылки!$D351*Месяцев_в_квартале*AZ$39</f>
        <v>0</v>
      </c>
      <c s="125">
        <f>Предпосылки!$D351*Месяцев_в_квартале*BA$39</f>
        <v>0</v>
      </c>
      <c s="125">
        <f>Предпосылки!$D351*Месяцев_в_квартале*BB$39</f>
        <v>0</v>
      </c>
      <c s="125">
        <f>Предпосылки!$D351*Месяцев_в_квартале*BC$39</f>
        <v>0</v>
      </c>
      <c s="125">
        <f>Предпосылки!$D351*Месяцев_в_квартале*BD$39</f>
        <v>0</v>
      </c>
      <c s="125">
        <f>Предпосылки!$D351*Месяцев_в_квартале*BE$39</f>
        <v>0</v>
      </c>
      <c s="125">
        <f>Предпосылки!$D351*Месяцев_в_квартале*BF$39</f>
        <v>0</v>
      </c>
      <c s="125">
        <f>Предпосылки!$D351*Месяцев_в_квартале*BG$39</f>
        <v>0</v>
      </c>
      <c s="125">
        <f>Предпосылки!$D351*Месяцев_в_квартале*BH$39</f>
        <v>0</v>
      </c>
      <c s="125">
        <f>Предпосылки!$D351*Месяцев_в_квартале*BI$39</f>
        <v>0</v>
      </c>
      <c s="125">
        <f>Предпосылки!$D351*Месяцев_в_квартале*BJ$39</f>
        <v>0</v>
      </c>
      <c s="125">
        <f>Предпосылки!$D351*Месяцев_в_квартале*BK$39</f>
        <v>0</v>
      </c>
      <c s="125">
        <f>Предпосылки!$D351*Месяцев_в_квартале*BL$39</f>
        <v>0</v>
      </c>
      <c s="125">
        <f>Предпосылки!$D351*Месяцев_в_квартале*BM$39</f>
        <v>0</v>
      </c>
      <c s="166"/>
    </row>
    <row r="45" spans="2:66" ht="15" customHeight="1">
      <c r="B45" s="12" t="str">
        <f t="shared" si="63"/>
        <v>-</v>
      </c>
      <c s="124" t="str">
        <f t="shared" si="62"/>
        <v>тыс. руб.</v>
      </c>
      <c s="127"/>
      <c s="125">
        <f>Предпосылки!$D352*Месяцев_в_квартале*E$39</f>
        <v>0</v>
      </c>
      <c s="125">
        <f>Предпосылки!$D352*Месяцев_в_квартале*F$39</f>
        <v>0</v>
      </c>
      <c s="125">
        <f>Предпосылки!$D352*Месяцев_в_квартале*G$39</f>
        <v>0</v>
      </c>
      <c s="125">
        <f>Предпосылки!$D352*Месяцев_в_квартале*H$39</f>
        <v>0</v>
      </c>
      <c s="125">
        <f>Предпосылки!$D352*Месяцев_в_квартале*I$39</f>
        <v>0</v>
      </c>
      <c s="125">
        <f>Предпосылки!$D352*Месяцев_в_квартале*J$39</f>
        <v>0</v>
      </c>
      <c s="125">
        <f>Предпосылки!$D352*Месяцев_в_квартале*K$39</f>
        <v>0</v>
      </c>
      <c s="125">
        <f>Предпосылки!$D352*Месяцев_в_квартале*L$39</f>
        <v>0</v>
      </c>
      <c s="125">
        <f>Предпосылки!$D352*Месяцев_в_квартале*M$39</f>
        <v>0</v>
      </c>
      <c s="125">
        <f>Предпосылки!$D352*Месяцев_в_квартале*N$39</f>
        <v>0</v>
      </c>
      <c s="125">
        <f>Предпосылки!$D352*Месяцев_в_квартале*O$39</f>
        <v>0</v>
      </c>
      <c s="125">
        <f>Предпосылки!$D352*Месяцев_в_квартале*P$39</f>
        <v>0</v>
      </c>
      <c s="125">
        <f>Предпосылки!$D352*Месяцев_в_квартале*Q$39</f>
        <v>0</v>
      </c>
      <c s="125">
        <f>Предпосылки!$D352*Месяцев_в_квартале*R$39</f>
        <v>0</v>
      </c>
      <c s="125">
        <f>Предпосылки!$D352*Месяцев_в_квартале*S$39</f>
        <v>0</v>
      </c>
      <c s="125">
        <f>Предпосылки!$D352*Месяцев_в_квартале*T$39</f>
        <v>0</v>
      </c>
      <c s="125">
        <f>Предпосылки!$D352*Месяцев_в_квартале*U$39</f>
        <v>0</v>
      </c>
      <c s="125">
        <f>Предпосылки!$D352*Месяцев_в_квартале*V$39</f>
        <v>0</v>
      </c>
      <c s="125">
        <f>Предпосылки!$D352*Месяцев_в_квартале*W$39</f>
        <v>0</v>
      </c>
      <c s="125">
        <f>Предпосылки!$D352*Месяцев_в_квартале*X$39</f>
        <v>0</v>
      </c>
      <c s="125">
        <f>Предпосылки!$D352*Месяцев_в_квартале*Y$39</f>
        <v>0</v>
      </c>
      <c s="125">
        <f>Предпосылки!$D352*Месяцев_в_квартале*Z$39</f>
        <v>0</v>
      </c>
      <c s="125">
        <f>Предпосылки!$D352*Месяцев_в_квартале*AA$39</f>
        <v>0</v>
      </c>
      <c s="125">
        <f>Предпосылки!$D352*Месяцев_в_квартале*AB$39</f>
        <v>0</v>
      </c>
      <c s="125">
        <f>Предпосылки!$D352*Месяцев_в_квартале*AC$39</f>
        <v>0</v>
      </c>
      <c s="125">
        <f>Предпосылки!$D352*Месяцев_в_квартале*AD$39</f>
        <v>0</v>
      </c>
      <c s="125">
        <f>Предпосылки!$D352*Месяцев_в_квартале*AE$39</f>
        <v>0</v>
      </c>
      <c s="125">
        <f>Предпосылки!$D352*Месяцев_в_квартале*AF$39</f>
        <v>0</v>
      </c>
      <c s="125">
        <f>Предпосылки!$D352*Месяцев_в_квартале*AG$39</f>
        <v>0</v>
      </c>
      <c s="125">
        <f>Предпосылки!$D352*Месяцев_в_квартале*AH$39</f>
        <v>0</v>
      </c>
      <c s="125">
        <f>Предпосылки!$D352*Месяцев_в_квартале*AI$39</f>
        <v>0</v>
      </c>
      <c s="125">
        <f>Предпосылки!$D352*Месяцев_в_квартале*AJ$39</f>
        <v>0</v>
      </c>
      <c s="125">
        <f>Предпосылки!$D352*Месяцев_в_квартале*AK$39</f>
        <v>0</v>
      </c>
      <c s="125">
        <f>Предпосылки!$D352*Месяцев_в_квартале*AL$39</f>
        <v>0</v>
      </c>
      <c s="125">
        <f>Предпосылки!$D352*Месяцев_в_квартале*AM$39</f>
        <v>0</v>
      </c>
      <c s="125">
        <f>Предпосылки!$D352*Месяцев_в_квартале*AN$39</f>
        <v>0</v>
      </c>
      <c s="125">
        <f>Предпосылки!$D352*Месяцев_в_квартале*AO$39</f>
        <v>0</v>
      </c>
      <c s="125">
        <f>Предпосылки!$D352*Месяцев_в_квартале*AP$39</f>
        <v>0</v>
      </c>
      <c s="125">
        <f>Предпосылки!$D352*Месяцев_в_квартале*AQ$39</f>
        <v>0</v>
      </c>
      <c s="125">
        <f>Предпосылки!$D352*Месяцев_в_квартале*AR$39</f>
        <v>0</v>
      </c>
      <c s="125">
        <f>Предпосылки!$D352*Месяцев_в_квартале*AS$39</f>
        <v>0</v>
      </c>
      <c s="125">
        <f>Предпосылки!$D352*Месяцев_в_квартале*AT$39</f>
        <v>0</v>
      </c>
      <c s="125">
        <f>Предпосылки!$D352*Месяцев_в_квартале*AU$39</f>
        <v>0</v>
      </c>
      <c s="125">
        <f>Предпосылки!$D352*Месяцев_в_квартале*AV$39</f>
        <v>0</v>
      </c>
      <c s="125">
        <f>Предпосылки!$D352*Месяцев_в_квартале*AW$39</f>
        <v>0</v>
      </c>
      <c s="125">
        <f>Предпосылки!$D352*Месяцев_в_квартале*AX$39</f>
        <v>0</v>
      </c>
      <c s="125">
        <f>Предпосылки!$D352*Месяцев_в_квартале*AY$39</f>
        <v>0</v>
      </c>
      <c s="125">
        <f>Предпосылки!$D352*Месяцев_в_квартале*AZ$39</f>
        <v>0</v>
      </c>
      <c s="125">
        <f>Предпосылки!$D352*Месяцев_в_квартале*BA$39</f>
        <v>0</v>
      </c>
      <c s="125">
        <f>Предпосылки!$D352*Месяцев_в_квартале*BB$39</f>
        <v>0</v>
      </c>
      <c s="125">
        <f>Предпосылки!$D352*Месяцев_в_квартале*BC$39</f>
        <v>0</v>
      </c>
      <c s="125">
        <f>Предпосылки!$D352*Месяцев_в_квартале*BD$39</f>
        <v>0</v>
      </c>
      <c s="125">
        <f>Предпосылки!$D352*Месяцев_в_квартале*BE$39</f>
        <v>0</v>
      </c>
      <c s="125">
        <f>Предпосылки!$D352*Месяцев_в_квартале*BF$39</f>
        <v>0</v>
      </c>
      <c s="125">
        <f>Предпосылки!$D352*Месяцев_в_квартале*BG$39</f>
        <v>0</v>
      </c>
      <c s="125">
        <f>Предпосылки!$D352*Месяцев_в_квартале*BH$39</f>
        <v>0</v>
      </c>
      <c s="125">
        <f>Предпосылки!$D352*Месяцев_в_квартале*BI$39</f>
        <v>0</v>
      </c>
      <c s="125">
        <f>Предпосылки!$D352*Месяцев_в_квартале*BJ$39</f>
        <v>0</v>
      </c>
      <c s="125">
        <f>Предпосылки!$D352*Месяцев_в_квартале*BK$39</f>
        <v>0</v>
      </c>
      <c s="125">
        <f>Предпосылки!$D352*Месяцев_в_квартале*BL$39</f>
        <v>0</v>
      </c>
      <c s="125">
        <f>Предпосылки!$D352*Месяцев_в_квартале*BM$39</f>
        <v>0</v>
      </c>
      <c s="166"/>
    </row>
    <row r="46" spans="2:66" ht="15" customHeight="1">
      <c r="B46" s="12" t="str">
        <f t="shared" si="63"/>
        <v>-</v>
      </c>
      <c s="124" t="str">
        <f t="shared" si="62"/>
        <v>тыс. руб.</v>
      </c>
      <c s="127"/>
      <c s="125">
        <f>Предпосылки!$D353*Месяцев_в_квартале*E$39</f>
        <v>0</v>
      </c>
      <c s="125">
        <f>Предпосылки!$D353*Месяцев_в_квартале*F$39</f>
        <v>0</v>
      </c>
      <c s="125">
        <f>Предпосылки!$D353*Месяцев_в_квартале*G$39</f>
        <v>0</v>
      </c>
      <c s="125">
        <f>Предпосылки!$D353*Месяцев_в_квартале*H$39</f>
        <v>0</v>
      </c>
      <c s="125">
        <f>Предпосылки!$D353*Месяцев_в_квартале*I$39</f>
        <v>0</v>
      </c>
      <c s="125">
        <f>Предпосылки!$D353*Месяцев_в_квартале*J$39</f>
        <v>0</v>
      </c>
      <c s="125">
        <f>Предпосылки!$D353*Месяцев_в_квартале*K$39</f>
        <v>0</v>
      </c>
      <c s="125">
        <f>Предпосылки!$D353*Месяцев_в_квартале*L$39</f>
        <v>0</v>
      </c>
      <c s="125">
        <f>Предпосылки!$D353*Месяцев_в_квартале*M$39</f>
        <v>0</v>
      </c>
      <c s="125">
        <f>Предпосылки!$D353*Месяцев_в_квартале*N$39</f>
        <v>0</v>
      </c>
      <c s="125">
        <f>Предпосылки!$D353*Месяцев_в_квартале*O$39</f>
        <v>0</v>
      </c>
      <c s="125">
        <f>Предпосылки!$D353*Месяцев_в_квартале*P$39</f>
        <v>0</v>
      </c>
      <c s="125">
        <f>Предпосылки!$D353*Месяцев_в_квартале*Q$39</f>
        <v>0</v>
      </c>
      <c s="125">
        <f>Предпосылки!$D353*Месяцев_в_квартале*R$39</f>
        <v>0</v>
      </c>
      <c s="125">
        <f>Предпосылки!$D353*Месяцев_в_квартале*S$39</f>
        <v>0</v>
      </c>
      <c s="125">
        <f>Предпосылки!$D353*Месяцев_в_квартале*T$39</f>
        <v>0</v>
      </c>
      <c s="125">
        <f>Предпосылки!$D353*Месяцев_в_квартале*U$39</f>
        <v>0</v>
      </c>
      <c s="125">
        <f>Предпосылки!$D353*Месяцев_в_квартале*V$39</f>
        <v>0</v>
      </c>
      <c s="125">
        <f>Предпосылки!$D353*Месяцев_в_квартале*W$39</f>
        <v>0</v>
      </c>
      <c s="125">
        <f>Предпосылки!$D353*Месяцев_в_квартале*X$39</f>
        <v>0</v>
      </c>
      <c s="125">
        <f>Предпосылки!$D353*Месяцев_в_квартале*Y$39</f>
        <v>0</v>
      </c>
      <c s="125">
        <f>Предпосылки!$D353*Месяцев_в_квартале*Z$39</f>
        <v>0</v>
      </c>
      <c s="125">
        <f>Предпосылки!$D353*Месяцев_в_квартале*AA$39</f>
        <v>0</v>
      </c>
      <c s="125">
        <f>Предпосылки!$D353*Месяцев_в_квартале*AB$39</f>
        <v>0</v>
      </c>
      <c s="125">
        <f>Предпосылки!$D353*Месяцев_в_квартале*AC$39</f>
        <v>0</v>
      </c>
      <c s="125">
        <f>Предпосылки!$D353*Месяцев_в_квартале*AD$39</f>
        <v>0</v>
      </c>
      <c s="125">
        <f>Предпосылки!$D353*Месяцев_в_квартале*AE$39</f>
        <v>0</v>
      </c>
      <c s="125">
        <f>Предпосылки!$D353*Месяцев_в_квартале*AF$39</f>
        <v>0</v>
      </c>
      <c s="125">
        <f>Предпосылки!$D353*Месяцев_в_квартале*AG$39</f>
        <v>0</v>
      </c>
      <c s="125">
        <f>Предпосылки!$D353*Месяцев_в_квартале*AH$39</f>
        <v>0</v>
      </c>
      <c s="125">
        <f>Предпосылки!$D353*Месяцев_в_квартале*AI$39</f>
        <v>0</v>
      </c>
      <c s="125">
        <f>Предпосылки!$D353*Месяцев_в_квартале*AJ$39</f>
        <v>0</v>
      </c>
      <c s="125">
        <f>Предпосылки!$D353*Месяцев_в_квартале*AK$39</f>
        <v>0</v>
      </c>
      <c s="125">
        <f>Предпосылки!$D353*Месяцев_в_квартале*AL$39</f>
        <v>0</v>
      </c>
      <c s="125">
        <f>Предпосылки!$D353*Месяцев_в_квартале*AM$39</f>
        <v>0</v>
      </c>
      <c s="125">
        <f>Предпосылки!$D353*Месяцев_в_квартале*AN$39</f>
        <v>0</v>
      </c>
      <c s="125">
        <f>Предпосылки!$D353*Месяцев_в_квартале*AO$39</f>
        <v>0</v>
      </c>
      <c s="125">
        <f>Предпосылки!$D353*Месяцев_в_квартале*AP$39</f>
        <v>0</v>
      </c>
      <c s="125">
        <f>Предпосылки!$D353*Месяцев_в_квартале*AQ$39</f>
        <v>0</v>
      </c>
      <c s="125">
        <f>Предпосылки!$D353*Месяцев_в_квартале*AR$39</f>
        <v>0</v>
      </c>
      <c s="125">
        <f>Предпосылки!$D353*Месяцев_в_квартале*AS$39</f>
        <v>0</v>
      </c>
      <c s="125">
        <f>Предпосылки!$D353*Месяцев_в_квартале*AT$39</f>
        <v>0</v>
      </c>
      <c s="125">
        <f>Предпосылки!$D353*Месяцев_в_квартале*AU$39</f>
        <v>0</v>
      </c>
      <c s="125">
        <f>Предпосылки!$D353*Месяцев_в_квартале*AV$39</f>
        <v>0</v>
      </c>
      <c s="125">
        <f>Предпосылки!$D353*Месяцев_в_квартале*AW$39</f>
        <v>0</v>
      </c>
      <c s="125">
        <f>Предпосылки!$D353*Месяцев_в_квартале*AX$39</f>
        <v>0</v>
      </c>
      <c s="125">
        <f>Предпосылки!$D353*Месяцев_в_квартале*AY$39</f>
        <v>0</v>
      </c>
      <c s="125">
        <f>Предпосылки!$D353*Месяцев_в_квартале*AZ$39</f>
        <v>0</v>
      </c>
      <c s="125">
        <f>Предпосылки!$D353*Месяцев_в_квартале*BA$39</f>
        <v>0</v>
      </c>
      <c s="125">
        <f>Предпосылки!$D353*Месяцев_в_квартале*BB$39</f>
        <v>0</v>
      </c>
      <c s="125">
        <f>Предпосылки!$D353*Месяцев_в_квартале*BC$39</f>
        <v>0</v>
      </c>
      <c s="125">
        <f>Предпосылки!$D353*Месяцев_в_квартале*BD$39</f>
        <v>0</v>
      </c>
      <c s="125">
        <f>Предпосылки!$D353*Месяцев_в_квартале*BE$39</f>
        <v>0</v>
      </c>
      <c s="125">
        <f>Предпосылки!$D353*Месяцев_в_квартале*BF$39</f>
        <v>0</v>
      </c>
      <c s="125">
        <f>Предпосылки!$D353*Месяцев_в_квартале*BG$39</f>
        <v>0</v>
      </c>
      <c s="125">
        <f>Предпосылки!$D353*Месяцев_в_квартале*BH$39</f>
        <v>0</v>
      </c>
      <c s="125">
        <f>Предпосылки!$D353*Месяцев_в_квартале*BI$39</f>
        <v>0</v>
      </c>
      <c s="125">
        <f>Предпосылки!$D353*Месяцев_в_квартале*BJ$39</f>
        <v>0</v>
      </c>
      <c s="125">
        <f>Предпосылки!$D353*Месяцев_в_квартале*BK$39</f>
        <v>0</v>
      </c>
      <c s="125">
        <f>Предпосылки!$D353*Месяцев_в_квартале*BL$39</f>
        <v>0</v>
      </c>
      <c s="125">
        <f>Предпосылки!$D353*Месяцев_в_квартале*BM$39</f>
        <v>0</v>
      </c>
      <c s="166"/>
    </row>
    <row r="47" spans="2:66" ht="15" customHeight="1">
      <c r="B47" s="12" t="str">
        <f t="shared" si="63"/>
        <v>-</v>
      </c>
      <c s="124" t="str">
        <f t="shared" si="62"/>
        <v>тыс. руб.</v>
      </c>
      <c s="127"/>
      <c s="125">
        <f>Предпосылки!$D354*Месяцев_в_квартале*E$39</f>
        <v>0</v>
      </c>
      <c s="125">
        <f>Предпосылки!$D354*Месяцев_в_квартале*F$39</f>
        <v>0</v>
      </c>
      <c s="125">
        <f>Предпосылки!$D354*Месяцев_в_квартале*G$39</f>
        <v>0</v>
      </c>
      <c s="125">
        <f>Предпосылки!$D354*Месяцев_в_квартале*H$39</f>
        <v>0</v>
      </c>
      <c s="125">
        <f>Предпосылки!$D354*Месяцев_в_квартале*I$39</f>
        <v>0</v>
      </c>
      <c s="125">
        <f>Предпосылки!$D354*Месяцев_в_квартале*J$39</f>
        <v>0</v>
      </c>
      <c s="125">
        <f>Предпосылки!$D354*Месяцев_в_квартале*K$39</f>
        <v>0</v>
      </c>
      <c s="125">
        <f>Предпосылки!$D354*Месяцев_в_квартале*L$39</f>
        <v>0</v>
      </c>
      <c s="125">
        <f>Предпосылки!$D354*Месяцев_в_квартале*M$39</f>
        <v>0</v>
      </c>
      <c s="125">
        <f>Предпосылки!$D354*Месяцев_в_квартале*N$39</f>
        <v>0</v>
      </c>
      <c s="125">
        <f>Предпосылки!$D354*Месяцев_в_квартале*O$39</f>
        <v>0</v>
      </c>
      <c s="125">
        <f>Предпосылки!$D354*Месяцев_в_квартале*P$39</f>
        <v>0</v>
      </c>
      <c s="125">
        <f>Предпосылки!$D354*Месяцев_в_квартале*Q$39</f>
        <v>0</v>
      </c>
      <c s="125">
        <f>Предпосылки!$D354*Месяцев_в_квартале*R$39</f>
        <v>0</v>
      </c>
      <c s="125">
        <f>Предпосылки!$D354*Месяцев_в_квартале*S$39</f>
        <v>0</v>
      </c>
      <c s="125">
        <f>Предпосылки!$D354*Месяцев_в_квартале*T$39</f>
        <v>0</v>
      </c>
      <c s="125">
        <f>Предпосылки!$D354*Месяцев_в_квартале*U$39</f>
        <v>0</v>
      </c>
      <c s="125">
        <f>Предпосылки!$D354*Месяцев_в_квартале*V$39</f>
        <v>0</v>
      </c>
      <c s="125">
        <f>Предпосылки!$D354*Месяцев_в_квартале*W$39</f>
        <v>0</v>
      </c>
      <c s="125">
        <f>Предпосылки!$D354*Месяцев_в_квартале*X$39</f>
        <v>0</v>
      </c>
      <c s="125">
        <f>Предпосылки!$D354*Месяцев_в_квартале*Y$39</f>
        <v>0</v>
      </c>
      <c s="125">
        <f>Предпосылки!$D354*Месяцев_в_квартале*Z$39</f>
        <v>0</v>
      </c>
      <c s="125">
        <f>Предпосылки!$D354*Месяцев_в_квартале*AA$39</f>
        <v>0</v>
      </c>
      <c s="125">
        <f>Предпосылки!$D354*Месяцев_в_квартале*AB$39</f>
        <v>0</v>
      </c>
      <c s="125">
        <f>Предпосылки!$D354*Месяцев_в_квартале*AC$39</f>
        <v>0</v>
      </c>
      <c s="125">
        <f>Предпосылки!$D354*Месяцев_в_квартале*AD$39</f>
        <v>0</v>
      </c>
      <c s="125">
        <f>Предпосылки!$D354*Месяцев_в_квартале*AE$39</f>
        <v>0</v>
      </c>
      <c s="125">
        <f>Предпосылки!$D354*Месяцев_в_квартале*AF$39</f>
        <v>0</v>
      </c>
      <c s="125">
        <f>Предпосылки!$D354*Месяцев_в_квартале*AG$39</f>
        <v>0</v>
      </c>
      <c s="125">
        <f>Предпосылки!$D354*Месяцев_в_квартале*AH$39</f>
        <v>0</v>
      </c>
      <c s="125">
        <f>Предпосылки!$D354*Месяцев_в_квартале*AI$39</f>
        <v>0</v>
      </c>
      <c s="125">
        <f>Предпосылки!$D354*Месяцев_в_квартале*AJ$39</f>
        <v>0</v>
      </c>
      <c s="125">
        <f>Предпосылки!$D354*Месяцев_в_квартале*AK$39</f>
        <v>0</v>
      </c>
      <c s="125">
        <f>Предпосылки!$D354*Месяцев_в_квартале*AL$39</f>
        <v>0</v>
      </c>
      <c s="125">
        <f>Предпосылки!$D354*Месяцев_в_квартале*AM$39</f>
        <v>0</v>
      </c>
      <c s="125">
        <f>Предпосылки!$D354*Месяцев_в_квартале*AN$39</f>
        <v>0</v>
      </c>
      <c s="125">
        <f>Предпосылки!$D354*Месяцев_в_квартале*AO$39</f>
        <v>0</v>
      </c>
      <c s="125">
        <f>Предпосылки!$D354*Месяцев_в_квартале*AP$39</f>
        <v>0</v>
      </c>
      <c s="125">
        <f>Предпосылки!$D354*Месяцев_в_квартале*AQ$39</f>
        <v>0</v>
      </c>
      <c s="125">
        <f>Предпосылки!$D354*Месяцев_в_квартале*AR$39</f>
        <v>0</v>
      </c>
      <c s="125">
        <f>Предпосылки!$D354*Месяцев_в_квартале*AS$39</f>
        <v>0</v>
      </c>
      <c s="125">
        <f>Предпосылки!$D354*Месяцев_в_квартале*AT$39</f>
        <v>0</v>
      </c>
      <c s="125">
        <f>Предпосылки!$D354*Месяцев_в_квартале*AU$39</f>
        <v>0</v>
      </c>
      <c s="125">
        <f>Предпосылки!$D354*Месяцев_в_квартале*AV$39</f>
        <v>0</v>
      </c>
      <c s="125">
        <f>Предпосылки!$D354*Месяцев_в_квартале*AW$39</f>
        <v>0</v>
      </c>
      <c s="125">
        <f>Предпосылки!$D354*Месяцев_в_квартале*AX$39</f>
        <v>0</v>
      </c>
      <c s="125">
        <f>Предпосылки!$D354*Месяцев_в_квартале*AY$39</f>
        <v>0</v>
      </c>
      <c s="125">
        <f>Предпосылки!$D354*Месяцев_в_квартале*AZ$39</f>
        <v>0</v>
      </c>
      <c s="125">
        <f>Предпосылки!$D354*Месяцев_в_квартале*BA$39</f>
        <v>0</v>
      </c>
      <c s="125">
        <f>Предпосылки!$D354*Месяцев_в_квартале*BB$39</f>
        <v>0</v>
      </c>
      <c s="125">
        <f>Предпосылки!$D354*Месяцев_в_квартале*BC$39</f>
        <v>0</v>
      </c>
      <c s="125">
        <f>Предпосылки!$D354*Месяцев_в_квартале*BD$39</f>
        <v>0</v>
      </c>
      <c s="125">
        <f>Предпосылки!$D354*Месяцев_в_квартале*BE$39</f>
        <v>0</v>
      </c>
      <c s="125">
        <f>Предпосылки!$D354*Месяцев_в_квартале*BF$39</f>
        <v>0</v>
      </c>
      <c s="125">
        <f>Предпосылки!$D354*Месяцев_в_квартале*BG$39</f>
        <v>0</v>
      </c>
      <c s="125">
        <f>Предпосылки!$D354*Месяцев_в_квартале*BH$39</f>
        <v>0</v>
      </c>
      <c s="125">
        <f>Предпосылки!$D354*Месяцев_в_квартале*BI$39</f>
        <v>0</v>
      </c>
      <c s="125">
        <f>Предпосылки!$D354*Месяцев_в_квартале*BJ$39</f>
        <v>0</v>
      </c>
      <c s="125">
        <f>Предпосылки!$D354*Месяцев_в_квартале*BK$39</f>
        <v>0</v>
      </c>
      <c s="125">
        <f>Предпосылки!$D354*Месяцев_в_квартале*BL$39</f>
        <v>0</v>
      </c>
      <c s="125">
        <f>Предпосылки!$D354*Месяцев_в_квартале*BM$39</f>
        <v>0</v>
      </c>
      <c s="166"/>
    </row>
    <row r="48" spans="2:66" ht="15" customHeight="1">
      <c r="B48" s="12" t="str">
        <f t="shared" si="63"/>
        <v>-</v>
      </c>
      <c s="124" t="str">
        <f t="shared" si="62"/>
        <v>тыс. руб.</v>
      </c>
      <c s="127"/>
      <c s="125">
        <f>Предпосылки!$D355*Месяцев_в_квартале*E$39</f>
        <v>0</v>
      </c>
      <c s="125">
        <f>Предпосылки!$D355*Месяцев_в_квартале*F$39</f>
        <v>0</v>
      </c>
      <c s="125">
        <f>Предпосылки!$D355*Месяцев_в_квартале*G$39</f>
        <v>0</v>
      </c>
      <c s="125">
        <f>Предпосылки!$D355*Месяцев_в_квартале*H$39</f>
        <v>0</v>
      </c>
      <c s="125">
        <f>Предпосылки!$D355*Месяцев_в_квартале*I$39</f>
        <v>0</v>
      </c>
      <c s="125">
        <f>Предпосылки!$D355*Месяцев_в_квартале*J$39</f>
        <v>0</v>
      </c>
      <c s="125">
        <f>Предпосылки!$D355*Месяцев_в_квартале*K$39</f>
        <v>0</v>
      </c>
      <c s="125">
        <f>Предпосылки!$D355*Месяцев_в_квартале*L$39</f>
        <v>0</v>
      </c>
      <c s="125">
        <f>Предпосылки!$D355*Месяцев_в_квартале*M$39</f>
        <v>0</v>
      </c>
      <c s="125">
        <f>Предпосылки!$D355*Месяцев_в_квартале*N$39</f>
        <v>0</v>
      </c>
      <c s="125">
        <f>Предпосылки!$D355*Месяцев_в_квартале*O$39</f>
        <v>0</v>
      </c>
      <c s="125">
        <f>Предпосылки!$D355*Месяцев_в_квартале*P$39</f>
        <v>0</v>
      </c>
      <c s="125">
        <f>Предпосылки!$D355*Месяцев_в_квартале*Q$39</f>
        <v>0</v>
      </c>
      <c s="125">
        <f>Предпосылки!$D355*Месяцев_в_квартале*R$39</f>
        <v>0</v>
      </c>
      <c s="125">
        <f>Предпосылки!$D355*Месяцев_в_квартале*S$39</f>
        <v>0</v>
      </c>
      <c s="125">
        <f>Предпосылки!$D355*Месяцев_в_квартале*T$39</f>
        <v>0</v>
      </c>
      <c s="125">
        <f>Предпосылки!$D355*Месяцев_в_квартале*U$39</f>
        <v>0</v>
      </c>
      <c s="125">
        <f>Предпосылки!$D355*Месяцев_в_квартале*V$39</f>
        <v>0</v>
      </c>
      <c s="125">
        <f>Предпосылки!$D355*Месяцев_в_квартале*W$39</f>
        <v>0</v>
      </c>
      <c s="125">
        <f>Предпосылки!$D355*Месяцев_в_квартале*X$39</f>
        <v>0</v>
      </c>
      <c s="125">
        <f>Предпосылки!$D355*Месяцев_в_квартале*Y$39</f>
        <v>0</v>
      </c>
      <c s="125">
        <f>Предпосылки!$D355*Месяцев_в_квартале*Z$39</f>
        <v>0</v>
      </c>
      <c s="125">
        <f>Предпосылки!$D355*Месяцев_в_квартале*AA$39</f>
        <v>0</v>
      </c>
      <c s="125">
        <f>Предпосылки!$D355*Месяцев_в_квартале*AB$39</f>
        <v>0</v>
      </c>
      <c s="125">
        <f>Предпосылки!$D355*Месяцев_в_квартале*AC$39</f>
        <v>0</v>
      </c>
      <c s="125">
        <f>Предпосылки!$D355*Месяцев_в_квартале*AD$39</f>
        <v>0</v>
      </c>
      <c s="125">
        <f>Предпосылки!$D355*Месяцев_в_квартале*AE$39</f>
        <v>0</v>
      </c>
      <c s="125">
        <f>Предпосылки!$D355*Месяцев_в_квартале*AF$39</f>
        <v>0</v>
      </c>
      <c s="125">
        <f>Предпосылки!$D355*Месяцев_в_квартале*AG$39</f>
        <v>0</v>
      </c>
      <c s="125">
        <f>Предпосылки!$D355*Месяцев_в_квартале*AH$39</f>
        <v>0</v>
      </c>
      <c s="125">
        <f>Предпосылки!$D355*Месяцев_в_квартале*AI$39</f>
        <v>0</v>
      </c>
      <c s="125">
        <f>Предпосылки!$D355*Месяцев_в_квартале*AJ$39</f>
        <v>0</v>
      </c>
      <c s="125">
        <f>Предпосылки!$D355*Месяцев_в_квартале*AK$39</f>
        <v>0</v>
      </c>
      <c s="125">
        <f>Предпосылки!$D355*Месяцев_в_квартале*AL$39</f>
        <v>0</v>
      </c>
      <c s="125">
        <f>Предпосылки!$D355*Месяцев_в_квартале*AM$39</f>
        <v>0</v>
      </c>
      <c s="125">
        <f>Предпосылки!$D355*Месяцев_в_квартале*AN$39</f>
        <v>0</v>
      </c>
      <c s="125">
        <f>Предпосылки!$D355*Месяцев_в_квартале*AO$39</f>
        <v>0</v>
      </c>
      <c s="125">
        <f>Предпосылки!$D355*Месяцев_в_квартале*AP$39</f>
        <v>0</v>
      </c>
      <c s="125">
        <f>Предпосылки!$D355*Месяцев_в_квартале*AQ$39</f>
        <v>0</v>
      </c>
      <c s="125">
        <f>Предпосылки!$D355*Месяцев_в_квартале*AR$39</f>
        <v>0</v>
      </c>
      <c s="125">
        <f>Предпосылки!$D355*Месяцев_в_квартале*AS$39</f>
        <v>0</v>
      </c>
      <c s="125">
        <f>Предпосылки!$D355*Месяцев_в_квартале*AT$39</f>
        <v>0</v>
      </c>
      <c s="125">
        <f>Предпосылки!$D355*Месяцев_в_квартале*AU$39</f>
        <v>0</v>
      </c>
      <c s="125">
        <f>Предпосылки!$D355*Месяцев_в_квартале*AV$39</f>
        <v>0</v>
      </c>
      <c s="125">
        <f>Предпосылки!$D355*Месяцев_в_квартале*AW$39</f>
        <v>0</v>
      </c>
      <c s="125">
        <f>Предпосылки!$D355*Месяцев_в_квартале*AX$39</f>
        <v>0</v>
      </c>
      <c s="125">
        <f>Предпосылки!$D355*Месяцев_в_квартале*AY$39</f>
        <v>0</v>
      </c>
      <c s="125">
        <f>Предпосылки!$D355*Месяцев_в_квартале*AZ$39</f>
        <v>0</v>
      </c>
      <c s="125">
        <f>Предпосылки!$D355*Месяцев_в_квартале*BA$39</f>
        <v>0</v>
      </c>
      <c s="125">
        <f>Предпосылки!$D355*Месяцев_в_квартале*BB$39</f>
        <v>0</v>
      </c>
      <c s="125">
        <f>Предпосылки!$D355*Месяцев_в_квартале*BC$39</f>
        <v>0</v>
      </c>
      <c s="125">
        <f>Предпосылки!$D355*Месяцев_в_квартале*BD$39</f>
        <v>0</v>
      </c>
      <c s="125">
        <f>Предпосылки!$D355*Месяцев_в_квартале*BE$39</f>
        <v>0</v>
      </c>
      <c s="125">
        <f>Предпосылки!$D355*Месяцев_в_квартале*BF$39</f>
        <v>0</v>
      </c>
      <c s="125">
        <f>Предпосылки!$D355*Месяцев_в_квартале*BG$39</f>
        <v>0</v>
      </c>
      <c s="125">
        <f>Предпосылки!$D355*Месяцев_в_квартале*BH$39</f>
        <v>0</v>
      </c>
      <c s="125">
        <f>Предпосылки!$D355*Месяцев_в_квартале*BI$39</f>
        <v>0</v>
      </c>
      <c s="125">
        <f>Предпосылки!$D355*Месяцев_в_квартале*BJ$39</f>
        <v>0</v>
      </c>
      <c s="125">
        <f>Предпосылки!$D355*Месяцев_в_квартале*BK$39</f>
        <v>0</v>
      </c>
      <c s="125">
        <f>Предпосылки!$D355*Месяцев_в_квартале*BL$39</f>
        <v>0</v>
      </c>
      <c s="125">
        <f>Предпосылки!$D355*Месяцев_в_квартале*BM$39</f>
        <v>0</v>
      </c>
      <c s="166"/>
    </row>
    <row r="49" spans="2:66" ht="15" customHeight="1">
      <c r="B49" s="12" t="str">
        <f t="shared" si="63"/>
        <v>-</v>
      </c>
      <c s="124" t="str">
        <f t="shared" si="62"/>
        <v>тыс. руб.</v>
      </c>
      <c s="127"/>
      <c s="125">
        <f>Предпосылки!$D356*Месяцев_в_квартале*E$39</f>
        <v>0</v>
      </c>
      <c s="125">
        <f>Предпосылки!$D356*Месяцев_в_квартале*F$39</f>
        <v>0</v>
      </c>
      <c s="125">
        <f>Предпосылки!$D356*Месяцев_в_квартале*G$39</f>
        <v>0</v>
      </c>
      <c s="125">
        <f>Предпосылки!$D356*Месяцев_в_квартале*H$39</f>
        <v>0</v>
      </c>
      <c s="125">
        <f>Предпосылки!$D356*Месяцев_в_квартале*I$39</f>
        <v>0</v>
      </c>
      <c s="125">
        <f>Предпосылки!$D356*Месяцев_в_квартале*J$39</f>
        <v>0</v>
      </c>
      <c s="125">
        <f>Предпосылки!$D356*Месяцев_в_квартале*K$39</f>
        <v>0</v>
      </c>
      <c s="125">
        <f>Предпосылки!$D356*Месяцев_в_квартале*L$39</f>
        <v>0</v>
      </c>
      <c s="125">
        <f>Предпосылки!$D356*Месяцев_в_квартале*M$39</f>
        <v>0</v>
      </c>
      <c s="125">
        <f>Предпосылки!$D356*Месяцев_в_квартале*N$39</f>
        <v>0</v>
      </c>
      <c s="125">
        <f>Предпосылки!$D356*Месяцев_в_квартале*O$39</f>
        <v>0</v>
      </c>
      <c s="125">
        <f>Предпосылки!$D356*Месяцев_в_квартале*P$39</f>
        <v>0</v>
      </c>
      <c s="125">
        <f>Предпосылки!$D356*Месяцев_в_квартале*Q$39</f>
        <v>0</v>
      </c>
      <c s="125">
        <f>Предпосылки!$D356*Месяцев_в_квартале*R$39</f>
        <v>0</v>
      </c>
      <c s="125">
        <f>Предпосылки!$D356*Месяцев_в_квартале*S$39</f>
        <v>0</v>
      </c>
      <c s="125">
        <f>Предпосылки!$D356*Месяцев_в_квартале*T$39</f>
        <v>0</v>
      </c>
      <c s="125">
        <f>Предпосылки!$D356*Месяцев_в_квартале*U$39</f>
        <v>0</v>
      </c>
      <c s="125">
        <f>Предпосылки!$D356*Месяцев_в_квартале*V$39</f>
        <v>0</v>
      </c>
      <c s="125">
        <f>Предпосылки!$D356*Месяцев_в_квартале*W$39</f>
        <v>0</v>
      </c>
      <c s="125">
        <f>Предпосылки!$D356*Месяцев_в_квартале*X$39</f>
        <v>0</v>
      </c>
      <c s="125">
        <f>Предпосылки!$D356*Месяцев_в_квартале*Y$39</f>
        <v>0</v>
      </c>
      <c s="125">
        <f>Предпосылки!$D356*Месяцев_в_квартале*Z$39</f>
        <v>0</v>
      </c>
      <c s="125">
        <f>Предпосылки!$D356*Месяцев_в_квартале*AA$39</f>
        <v>0</v>
      </c>
      <c s="125">
        <f>Предпосылки!$D356*Месяцев_в_квартале*AB$39</f>
        <v>0</v>
      </c>
      <c s="125">
        <f>Предпосылки!$D356*Месяцев_в_квартале*AC$39</f>
        <v>0</v>
      </c>
      <c s="125">
        <f>Предпосылки!$D356*Месяцев_в_квартале*AD$39</f>
        <v>0</v>
      </c>
      <c s="125">
        <f>Предпосылки!$D356*Месяцев_в_квартале*AE$39</f>
        <v>0</v>
      </c>
      <c s="125">
        <f>Предпосылки!$D356*Месяцев_в_квартале*AF$39</f>
        <v>0</v>
      </c>
      <c s="125">
        <f>Предпосылки!$D356*Месяцев_в_квартале*AG$39</f>
        <v>0</v>
      </c>
      <c s="125">
        <f>Предпосылки!$D356*Месяцев_в_квартале*AH$39</f>
        <v>0</v>
      </c>
      <c s="125">
        <f>Предпосылки!$D356*Месяцев_в_квартале*AI$39</f>
        <v>0</v>
      </c>
      <c s="125">
        <f>Предпосылки!$D356*Месяцев_в_квартале*AJ$39</f>
        <v>0</v>
      </c>
      <c s="125">
        <f>Предпосылки!$D356*Месяцев_в_квартале*AK$39</f>
        <v>0</v>
      </c>
      <c s="125">
        <f>Предпосылки!$D356*Месяцев_в_квартале*AL$39</f>
        <v>0</v>
      </c>
      <c s="125">
        <f>Предпосылки!$D356*Месяцев_в_квартале*AM$39</f>
        <v>0</v>
      </c>
      <c s="125">
        <f>Предпосылки!$D356*Месяцев_в_квартале*AN$39</f>
        <v>0</v>
      </c>
      <c s="125">
        <f>Предпосылки!$D356*Месяцев_в_квартале*AO$39</f>
        <v>0</v>
      </c>
      <c s="125">
        <f>Предпосылки!$D356*Месяцев_в_квартале*AP$39</f>
        <v>0</v>
      </c>
      <c s="125">
        <f>Предпосылки!$D356*Месяцев_в_квартале*AQ$39</f>
        <v>0</v>
      </c>
      <c s="125">
        <f>Предпосылки!$D356*Месяцев_в_квартале*AR$39</f>
        <v>0</v>
      </c>
      <c s="125">
        <f>Предпосылки!$D356*Месяцев_в_квартале*AS$39</f>
        <v>0</v>
      </c>
      <c s="125">
        <f>Предпосылки!$D356*Месяцев_в_квартале*AT$39</f>
        <v>0</v>
      </c>
      <c s="125">
        <f>Предпосылки!$D356*Месяцев_в_квартале*AU$39</f>
        <v>0</v>
      </c>
      <c s="125">
        <f>Предпосылки!$D356*Месяцев_в_квартале*AV$39</f>
        <v>0</v>
      </c>
      <c s="125">
        <f>Предпосылки!$D356*Месяцев_в_квартале*AW$39</f>
        <v>0</v>
      </c>
      <c s="125">
        <f>Предпосылки!$D356*Месяцев_в_квартале*AX$39</f>
        <v>0</v>
      </c>
      <c s="125">
        <f>Предпосылки!$D356*Месяцев_в_квартале*AY$39</f>
        <v>0</v>
      </c>
      <c s="125">
        <f>Предпосылки!$D356*Месяцев_в_квартале*AZ$39</f>
        <v>0</v>
      </c>
      <c s="125">
        <f>Предпосылки!$D356*Месяцев_в_квартале*BA$39</f>
        <v>0</v>
      </c>
      <c s="125">
        <f>Предпосылки!$D356*Месяцев_в_квартале*BB$39</f>
        <v>0</v>
      </c>
      <c s="125">
        <f>Предпосылки!$D356*Месяцев_в_квартале*BC$39</f>
        <v>0</v>
      </c>
      <c s="125">
        <f>Предпосылки!$D356*Месяцев_в_квартале*BD$39</f>
        <v>0</v>
      </c>
      <c s="125">
        <f>Предпосылки!$D356*Месяцев_в_квартале*BE$39</f>
        <v>0</v>
      </c>
      <c s="125">
        <f>Предпосылки!$D356*Месяцев_в_квартале*BF$39</f>
        <v>0</v>
      </c>
      <c s="125">
        <f>Предпосылки!$D356*Месяцев_в_квартале*BG$39</f>
        <v>0</v>
      </c>
      <c s="125">
        <f>Предпосылки!$D356*Месяцев_в_квартале*BH$39</f>
        <v>0</v>
      </c>
      <c s="125">
        <f>Предпосылки!$D356*Месяцев_в_квартале*BI$39</f>
        <v>0</v>
      </c>
      <c s="125">
        <f>Предпосылки!$D356*Месяцев_в_квартале*BJ$39</f>
        <v>0</v>
      </c>
      <c s="125">
        <f>Предпосылки!$D356*Месяцев_в_квартале*BK$39</f>
        <v>0</v>
      </c>
      <c s="125">
        <f>Предпосылки!$D356*Месяцев_в_квартале*BL$39</f>
        <v>0</v>
      </c>
      <c s="125">
        <f>Предпосылки!$D356*Месяцев_в_квартале*BM$39</f>
        <v>0</v>
      </c>
      <c s="166"/>
    </row>
    <row r="50" spans="2:66" ht="15" customHeight="1">
      <c r="B50" s="12" t="str">
        <f t="shared" si="63"/>
        <v>-</v>
      </c>
      <c s="124" t="str">
        <f t="shared" si="62"/>
        <v>тыс. руб.</v>
      </c>
      <c s="127"/>
      <c s="125">
        <f>Предпосылки!$D357*Месяцев_в_квартале*E$39</f>
        <v>0</v>
      </c>
      <c s="125">
        <f>Предпосылки!$D357*Месяцев_в_квартале*F$39</f>
        <v>0</v>
      </c>
      <c s="125">
        <f>Предпосылки!$D357*Месяцев_в_квартале*G$39</f>
        <v>0</v>
      </c>
      <c s="125">
        <f>Предпосылки!$D357*Месяцев_в_квартале*H$39</f>
        <v>0</v>
      </c>
      <c s="125">
        <f>Предпосылки!$D357*Месяцев_в_квартале*I$39</f>
        <v>0</v>
      </c>
      <c s="125">
        <f>Предпосылки!$D357*Месяцев_в_квартале*J$39</f>
        <v>0</v>
      </c>
      <c s="125">
        <f>Предпосылки!$D357*Месяцев_в_квартале*K$39</f>
        <v>0</v>
      </c>
      <c s="125">
        <f>Предпосылки!$D357*Месяцев_в_квартале*L$39</f>
        <v>0</v>
      </c>
      <c s="125">
        <f>Предпосылки!$D357*Месяцев_в_квартале*M$39</f>
        <v>0</v>
      </c>
      <c s="125">
        <f>Предпосылки!$D357*Месяцев_в_квартале*N$39</f>
        <v>0</v>
      </c>
      <c s="125">
        <f>Предпосылки!$D357*Месяцев_в_квартале*O$39</f>
        <v>0</v>
      </c>
      <c s="125">
        <f>Предпосылки!$D357*Месяцев_в_квартале*P$39</f>
        <v>0</v>
      </c>
      <c s="125">
        <f>Предпосылки!$D357*Месяцев_в_квартале*Q$39</f>
        <v>0</v>
      </c>
      <c s="125">
        <f>Предпосылки!$D357*Месяцев_в_квартале*R$39</f>
        <v>0</v>
      </c>
      <c s="125">
        <f>Предпосылки!$D357*Месяцев_в_квартале*S$39</f>
        <v>0</v>
      </c>
      <c s="125">
        <f>Предпосылки!$D357*Месяцев_в_квартале*T$39</f>
        <v>0</v>
      </c>
      <c s="125">
        <f>Предпосылки!$D357*Месяцев_в_квартале*U$39</f>
        <v>0</v>
      </c>
      <c s="125">
        <f>Предпосылки!$D357*Месяцев_в_квартале*V$39</f>
        <v>0</v>
      </c>
      <c s="125">
        <f>Предпосылки!$D357*Месяцев_в_квартале*W$39</f>
        <v>0</v>
      </c>
      <c s="125">
        <f>Предпосылки!$D357*Месяцев_в_квартале*X$39</f>
        <v>0</v>
      </c>
      <c s="125">
        <f>Предпосылки!$D357*Месяцев_в_квартале*Y$39</f>
        <v>0</v>
      </c>
      <c s="125">
        <f>Предпосылки!$D357*Месяцев_в_квартале*Z$39</f>
        <v>0</v>
      </c>
      <c s="125">
        <f>Предпосылки!$D357*Месяцев_в_квартале*AA$39</f>
        <v>0</v>
      </c>
      <c s="125">
        <f>Предпосылки!$D357*Месяцев_в_квартале*AB$39</f>
        <v>0</v>
      </c>
      <c s="125">
        <f>Предпосылки!$D357*Месяцев_в_квартале*AC$39</f>
        <v>0</v>
      </c>
      <c s="125">
        <f>Предпосылки!$D357*Месяцев_в_квартале*AD$39</f>
        <v>0</v>
      </c>
      <c s="125">
        <f>Предпосылки!$D357*Месяцев_в_квартале*AE$39</f>
        <v>0</v>
      </c>
      <c s="125">
        <f>Предпосылки!$D357*Месяцев_в_квартале*AF$39</f>
        <v>0</v>
      </c>
      <c s="125">
        <f>Предпосылки!$D357*Месяцев_в_квартале*AG$39</f>
        <v>0</v>
      </c>
      <c s="125">
        <f>Предпосылки!$D357*Месяцев_в_квартале*AH$39</f>
        <v>0</v>
      </c>
      <c s="125">
        <f>Предпосылки!$D357*Месяцев_в_квартале*AI$39</f>
        <v>0</v>
      </c>
      <c s="125">
        <f>Предпосылки!$D357*Месяцев_в_квартале*AJ$39</f>
        <v>0</v>
      </c>
      <c s="125">
        <f>Предпосылки!$D357*Месяцев_в_квартале*AK$39</f>
        <v>0</v>
      </c>
      <c s="125">
        <f>Предпосылки!$D357*Месяцев_в_квартале*AL$39</f>
        <v>0</v>
      </c>
      <c s="125">
        <f>Предпосылки!$D357*Месяцев_в_квартале*AM$39</f>
        <v>0</v>
      </c>
      <c s="125">
        <f>Предпосылки!$D357*Месяцев_в_квартале*AN$39</f>
        <v>0</v>
      </c>
      <c s="125">
        <f>Предпосылки!$D357*Месяцев_в_квартале*AO$39</f>
        <v>0</v>
      </c>
      <c s="125">
        <f>Предпосылки!$D357*Месяцев_в_квартале*AP$39</f>
        <v>0</v>
      </c>
      <c s="125">
        <f>Предпосылки!$D357*Месяцев_в_квартале*AQ$39</f>
        <v>0</v>
      </c>
      <c s="125">
        <f>Предпосылки!$D357*Месяцев_в_квартале*AR$39</f>
        <v>0</v>
      </c>
      <c s="125">
        <f>Предпосылки!$D357*Месяцев_в_квартале*AS$39</f>
        <v>0</v>
      </c>
      <c s="125">
        <f>Предпосылки!$D357*Месяцев_в_квартале*AT$39</f>
        <v>0</v>
      </c>
      <c s="125">
        <f>Предпосылки!$D357*Месяцев_в_квартале*AU$39</f>
        <v>0</v>
      </c>
      <c s="125">
        <f>Предпосылки!$D357*Месяцев_в_квартале*AV$39</f>
        <v>0</v>
      </c>
      <c s="125">
        <f>Предпосылки!$D357*Месяцев_в_квартале*AW$39</f>
        <v>0</v>
      </c>
      <c s="125">
        <f>Предпосылки!$D357*Месяцев_в_квартале*AX$39</f>
        <v>0</v>
      </c>
      <c s="125">
        <f>Предпосылки!$D357*Месяцев_в_квартале*AY$39</f>
        <v>0</v>
      </c>
      <c s="125">
        <f>Предпосылки!$D357*Месяцев_в_квартале*AZ$39</f>
        <v>0</v>
      </c>
      <c s="125">
        <f>Предпосылки!$D357*Месяцев_в_квартале*BA$39</f>
        <v>0</v>
      </c>
      <c s="125">
        <f>Предпосылки!$D357*Месяцев_в_квартале*BB$39</f>
        <v>0</v>
      </c>
      <c s="125">
        <f>Предпосылки!$D357*Месяцев_в_квартале*BC$39</f>
        <v>0</v>
      </c>
      <c s="125">
        <f>Предпосылки!$D357*Месяцев_в_квартале*BD$39</f>
        <v>0</v>
      </c>
      <c s="125">
        <f>Предпосылки!$D357*Месяцев_в_квартале*BE$39</f>
        <v>0</v>
      </c>
      <c s="125">
        <f>Предпосылки!$D357*Месяцев_в_квартале*BF$39</f>
        <v>0</v>
      </c>
      <c s="125">
        <f>Предпосылки!$D357*Месяцев_в_квартале*BG$39</f>
        <v>0</v>
      </c>
      <c s="125">
        <f>Предпосылки!$D357*Месяцев_в_квартале*BH$39</f>
        <v>0</v>
      </c>
      <c s="125">
        <f>Предпосылки!$D357*Месяцев_в_квартале*BI$39</f>
        <v>0</v>
      </c>
      <c s="125">
        <f>Предпосылки!$D357*Месяцев_в_квартале*BJ$39</f>
        <v>0</v>
      </c>
      <c s="125">
        <f>Предпосылки!$D357*Месяцев_в_квартале*BK$39</f>
        <v>0</v>
      </c>
      <c s="125">
        <f>Предпосылки!$D357*Месяцев_в_квартале*BL$39</f>
        <v>0</v>
      </c>
      <c s="125">
        <f>Предпосылки!$D357*Месяцев_в_квартале*BM$39</f>
        <v>0</v>
      </c>
      <c s="166"/>
    </row>
    <row r="51" spans="2:66" ht="15" customHeight="1">
      <c r="B51" s="12" t="str">
        <f t="shared" si="63"/>
        <v>-</v>
      </c>
      <c s="124" t="str">
        <f t="shared" si="62"/>
        <v>тыс. руб.</v>
      </c>
      <c s="127"/>
      <c s="125">
        <f>Предпосылки!$D358*Месяцев_в_квартале*E$39</f>
        <v>0</v>
      </c>
      <c s="125">
        <f>Предпосылки!$D358*Месяцев_в_квартале*F$39</f>
        <v>0</v>
      </c>
      <c s="125">
        <f>Предпосылки!$D358*Месяцев_в_квартале*G$39</f>
        <v>0</v>
      </c>
      <c s="125">
        <f>Предпосылки!$D358*Месяцев_в_квартале*H$39</f>
        <v>0</v>
      </c>
      <c s="125">
        <f>Предпосылки!$D358*Месяцев_в_квартале*I$39</f>
        <v>0</v>
      </c>
      <c s="125">
        <f>Предпосылки!$D358*Месяцев_в_квартале*J$39</f>
        <v>0</v>
      </c>
      <c s="125">
        <f>Предпосылки!$D358*Месяцев_в_квартале*K$39</f>
        <v>0</v>
      </c>
      <c s="125">
        <f>Предпосылки!$D358*Месяцев_в_квартале*L$39</f>
        <v>0</v>
      </c>
      <c s="125">
        <f>Предпосылки!$D358*Месяцев_в_квартале*M$39</f>
        <v>0</v>
      </c>
      <c s="125">
        <f>Предпосылки!$D358*Месяцев_в_квартале*N$39</f>
        <v>0</v>
      </c>
      <c s="125">
        <f>Предпосылки!$D358*Месяцев_в_квартале*O$39</f>
        <v>0</v>
      </c>
      <c s="125">
        <f>Предпосылки!$D358*Месяцев_в_квартале*P$39</f>
        <v>0</v>
      </c>
      <c s="125">
        <f>Предпосылки!$D358*Месяцев_в_квартале*Q$39</f>
        <v>0</v>
      </c>
      <c s="125">
        <f>Предпосылки!$D358*Месяцев_в_квартале*R$39</f>
        <v>0</v>
      </c>
      <c s="125">
        <f>Предпосылки!$D358*Месяцев_в_квартале*S$39</f>
        <v>0</v>
      </c>
      <c s="125">
        <f>Предпосылки!$D358*Месяцев_в_квартале*T$39</f>
        <v>0</v>
      </c>
      <c s="125">
        <f>Предпосылки!$D358*Месяцев_в_квартале*U$39</f>
        <v>0</v>
      </c>
      <c s="125">
        <f>Предпосылки!$D358*Месяцев_в_квартале*V$39</f>
        <v>0</v>
      </c>
      <c s="125">
        <f>Предпосылки!$D358*Месяцев_в_квартале*W$39</f>
        <v>0</v>
      </c>
      <c s="125">
        <f>Предпосылки!$D358*Месяцев_в_квартале*X$39</f>
        <v>0</v>
      </c>
      <c s="125">
        <f>Предпосылки!$D358*Месяцев_в_квартале*Y$39</f>
        <v>0</v>
      </c>
      <c s="125">
        <f>Предпосылки!$D358*Месяцев_в_квартале*Z$39</f>
        <v>0</v>
      </c>
      <c s="125">
        <f>Предпосылки!$D358*Месяцев_в_квартале*AA$39</f>
        <v>0</v>
      </c>
      <c s="125">
        <f>Предпосылки!$D358*Месяцев_в_квартале*AB$39</f>
        <v>0</v>
      </c>
      <c s="125">
        <f>Предпосылки!$D358*Месяцев_в_квартале*AC$39</f>
        <v>0</v>
      </c>
      <c s="125">
        <f>Предпосылки!$D358*Месяцев_в_квартале*AD$39</f>
        <v>0</v>
      </c>
      <c s="125">
        <f>Предпосылки!$D358*Месяцев_в_квартале*AE$39</f>
        <v>0</v>
      </c>
      <c s="125">
        <f>Предпосылки!$D358*Месяцев_в_квартале*AF$39</f>
        <v>0</v>
      </c>
      <c s="125">
        <f>Предпосылки!$D358*Месяцев_в_квартале*AG$39</f>
        <v>0</v>
      </c>
      <c s="125">
        <f>Предпосылки!$D358*Месяцев_в_квартале*AH$39</f>
        <v>0</v>
      </c>
      <c s="125">
        <f>Предпосылки!$D358*Месяцев_в_квартале*AI$39</f>
        <v>0</v>
      </c>
      <c s="125">
        <f>Предпосылки!$D358*Месяцев_в_квартале*AJ$39</f>
        <v>0</v>
      </c>
      <c s="125">
        <f>Предпосылки!$D358*Месяцев_в_квартале*AK$39</f>
        <v>0</v>
      </c>
      <c s="125">
        <f>Предпосылки!$D358*Месяцев_в_квартале*AL$39</f>
        <v>0</v>
      </c>
      <c s="125">
        <f>Предпосылки!$D358*Месяцев_в_квартале*AM$39</f>
        <v>0</v>
      </c>
      <c s="125">
        <f>Предпосылки!$D358*Месяцев_в_квартале*AN$39</f>
        <v>0</v>
      </c>
      <c s="125">
        <f>Предпосылки!$D358*Месяцев_в_квартале*AO$39</f>
        <v>0</v>
      </c>
      <c s="125">
        <f>Предпосылки!$D358*Месяцев_в_квартале*AP$39</f>
        <v>0</v>
      </c>
      <c s="125">
        <f>Предпосылки!$D358*Месяцев_в_квартале*AQ$39</f>
        <v>0</v>
      </c>
      <c s="125">
        <f>Предпосылки!$D358*Месяцев_в_квартале*AR$39</f>
        <v>0</v>
      </c>
      <c s="125">
        <f>Предпосылки!$D358*Месяцев_в_квартале*AS$39</f>
        <v>0</v>
      </c>
      <c s="125">
        <f>Предпосылки!$D358*Месяцев_в_квартале*AT$39</f>
        <v>0</v>
      </c>
      <c s="125">
        <f>Предпосылки!$D358*Месяцев_в_квартале*AU$39</f>
        <v>0</v>
      </c>
      <c s="125">
        <f>Предпосылки!$D358*Месяцев_в_квартале*AV$39</f>
        <v>0</v>
      </c>
      <c s="125">
        <f>Предпосылки!$D358*Месяцев_в_квартале*AW$39</f>
        <v>0</v>
      </c>
      <c s="125">
        <f>Предпосылки!$D358*Месяцев_в_квартале*AX$39</f>
        <v>0</v>
      </c>
      <c s="125">
        <f>Предпосылки!$D358*Месяцев_в_квартале*AY$39</f>
        <v>0</v>
      </c>
      <c s="125">
        <f>Предпосылки!$D358*Месяцев_в_квартале*AZ$39</f>
        <v>0</v>
      </c>
      <c s="125">
        <f>Предпосылки!$D358*Месяцев_в_квартале*BA$39</f>
        <v>0</v>
      </c>
      <c s="125">
        <f>Предпосылки!$D358*Месяцев_в_квартале*BB$39</f>
        <v>0</v>
      </c>
      <c s="125">
        <f>Предпосылки!$D358*Месяцев_в_квартале*BC$39</f>
        <v>0</v>
      </c>
      <c s="125">
        <f>Предпосылки!$D358*Месяцев_в_квартале*BD$39</f>
        <v>0</v>
      </c>
      <c s="125">
        <f>Предпосылки!$D358*Месяцев_в_квартале*BE$39</f>
        <v>0</v>
      </c>
      <c s="125">
        <f>Предпосылки!$D358*Месяцев_в_квартале*BF$39</f>
        <v>0</v>
      </c>
      <c s="125">
        <f>Предпосылки!$D358*Месяцев_в_квартале*BG$39</f>
        <v>0</v>
      </c>
      <c s="125">
        <f>Предпосылки!$D358*Месяцев_в_квартале*BH$39</f>
        <v>0</v>
      </c>
      <c s="125">
        <f>Предпосылки!$D358*Месяцев_в_квартале*BI$39</f>
        <v>0</v>
      </c>
      <c s="125">
        <f>Предпосылки!$D358*Месяцев_в_квартале*BJ$39</f>
        <v>0</v>
      </c>
      <c s="125">
        <f>Предпосылки!$D358*Месяцев_в_квартале*BK$39</f>
        <v>0</v>
      </c>
      <c s="125">
        <f>Предпосылки!$D358*Месяцев_в_квартале*BL$39</f>
        <v>0</v>
      </c>
      <c s="125">
        <f>Предпосылки!$D358*Месяцев_в_квартале*BM$39</f>
        <v>0</v>
      </c>
      <c s="166"/>
    </row>
    <row r="52" spans="2:66" ht="15" customHeight="1">
      <c r="B52" s="12" t="str">
        <f t="shared" si="63"/>
        <v>-</v>
      </c>
      <c s="124" t="str">
        <f t="shared" si="62"/>
        <v>тыс. руб.</v>
      </c>
      <c s="127"/>
      <c s="125">
        <f>Предпосылки!$D359*Месяцев_в_квартале*E$39</f>
        <v>0</v>
      </c>
      <c s="125">
        <f>Предпосылки!$D359*Месяцев_в_квартале*F$39</f>
        <v>0</v>
      </c>
      <c s="125">
        <f>Предпосылки!$D359*Месяцев_в_квартале*G$39</f>
        <v>0</v>
      </c>
      <c s="125">
        <f>Предпосылки!$D359*Месяцев_в_квартале*H$39</f>
        <v>0</v>
      </c>
      <c s="125">
        <f>Предпосылки!$D359*Месяцев_в_квартале*I$39</f>
        <v>0</v>
      </c>
      <c s="125">
        <f>Предпосылки!$D359*Месяцев_в_квартале*J$39</f>
        <v>0</v>
      </c>
      <c s="125">
        <f>Предпосылки!$D359*Месяцев_в_квартале*K$39</f>
        <v>0</v>
      </c>
      <c s="125">
        <f>Предпосылки!$D359*Месяцев_в_квартале*L$39</f>
        <v>0</v>
      </c>
      <c s="125">
        <f>Предпосылки!$D359*Месяцев_в_квартале*M$39</f>
        <v>0</v>
      </c>
      <c s="125">
        <f>Предпосылки!$D359*Месяцев_в_квартале*N$39</f>
        <v>0</v>
      </c>
      <c s="125">
        <f>Предпосылки!$D359*Месяцев_в_квартале*O$39</f>
        <v>0</v>
      </c>
      <c s="125">
        <f>Предпосылки!$D359*Месяцев_в_квартале*P$39</f>
        <v>0</v>
      </c>
      <c s="125">
        <f>Предпосылки!$D359*Месяцев_в_квартале*Q$39</f>
        <v>0</v>
      </c>
      <c s="125">
        <f>Предпосылки!$D359*Месяцев_в_квартале*R$39</f>
        <v>0</v>
      </c>
      <c s="125">
        <f>Предпосылки!$D359*Месяцев_в_квартале*S$39</f>
        <v>0</v>
      </c>
      <c s="125">
        <f>Предпосылки!$D359*Месяцев_в_квартале*T$39</f>
        <v>0</v>
      </c>
      <c s="125">
        <f>Предпосылки!$D359*Месяцев_в_квартале*U$39</f>
        <v>0</v>
      </c>
      <c s="125">
        <f>Предпосылки!$D359*Месяцев_в_квартале*V$39</f>
        <v>0</v>
      </c>
      <c s="125">
        <f>Предпосылки!$D359*Месяцев_в_квартале*W$39</f>
        <v>0</v>
      </c>
      <c s="125">
        <f>Предпосылки!$D359*Месяцев_в_квартале*X$39</f>
        <v>0</v>
      </c>
      <c s="125">
        <f>Предпосылки!$D359*Месяцев_в_квартале*Y$39</f>
        <v>0</v>
      </c>
      <c s="125">
        <f>Предпосылки!$D359*Месяцев_в_квартале*Z$39</f>
        <v>0</v>
      </c>
      <c s="125">
        <f>Предпосылки!$D359*Месяцев_в_квартале*AA$39</f>
        <v>0</v>
      </c>
      <c s="125">
        <f>Предпосылки!$D359*Месяцев_в_квартале*AB$39</f>
        <v>0</v>
      </c>
      <c s="125">
        <f>Предпосылки!$D359*Месяцев_в_квартале*AC$39</f>
        <v>0</v>
      </c>
      <c s="125">
        <f>Предпосылки!$D359*Месяцев_в_квартале*AD$39</f>
        <v>0</v>
      </c>
      <c s="125">
        <f>Предпосылки!$D359*Месяцев_в_квартале*AE$39</f>
        <v>0</v>
      </c>
      <c s="125">
        <f>Предпосылки!$D359*Месяцев_в_квартале*AF$39</f>
        <v>0</v>
      </c>
      <c s="125">
        <f>Предпосылки!$D359*Месяцев_в_квартале*AG$39</f>
        <v>0</v>
      </c>
      <c s="125">
        <f>Предпосылки!$D359*Месяцев_в_квартале*AH$39</f>
        <v>0</v>
      </c>
      <c s="125">
        <f>Предпосылки!$D359*Месяцев_в_квартале*AI$39</f>
        <v>0</v>
      </c>
      <c s="125">
        <f>Предпосылки!$D359*Месяцев_в_квартале*AJ$39</f>
        <v>0</v>
      </c>
      <c s="125">
        <f>Предпосылки!$D359*Месяцев_в_квартале*AK$39</f>
        <v>0</v>
      </c>
      <c s="125">
        <f>Предпосылки!$D359*Месяцев_в_квартале*AL$39</f>
        <v>0</v>
      </c>
      <c s="125">
        <f>Предпосылки!$D359*Месяцев_в_квартале*AM$39</f>
        <v>0</v>
      </c>
      <c s="125">
        <f>Предпосылки!$D359*Месяцев_в_квартале*AN$39</f>
        <v>0</v>
      </c>
      <c s="125">
        <f>Предпосылки!$D359*Месяцев_в_квартале*AO$39</f>
        <v>0</v>
      </c>
      <c s="125">
        <f>Предпосылки!$D359*Месяцев_в_квартале*AP$39</f>
        <v>0</v>
      </c>
      <c s="125">
        <f>Предпосылки!$D359*Месяцев_в_квартале*AQ$39</f>
        <v>0</v>
      </c>
      <c s="125">
        <f>Предпосылки!$D359*Месяцев_в_квартале*AR$39</f>
        <v>0</v>
      </c>
      <c s="125">
        <f>Предпосылки!$D359*Месяцев_в_квартале*AS$39</f>
        <v>0</v>
      </c>
      <c s="125">
        <f>Предпосылки!$D359*Месяцев_в_квартале*AT$39</f>
        <v>0</v>
      </c>
      <c s="125">
        <f>Предпосылки!$D359*Месяцев_в_квартале*AU$39</f>
        <v>0</v>
      </c>
      <c s="125">
        <f>Предпосылки!$D359*Месяцев_в_квартале*AV$39</f>
        <v>0</v>
      </c>
      <c s="125">
        <f>Предпосылки!$D359*Месяцев_в_квартале*AW$39</f>
        <v>0</v>
      </c>
      <c s="125">
        <f>Предпосылки!$D359*Месяцев_в_квартале*AX$39</f>
        <v>0</v>
      </c>
      <c s="125">
        <f>Предпосылки!$D359*Месяцев_в_квартале*AY$39</f>
        <v>0</v>
      </c>
      <c s="125">
        <f>Предпосылки!$D359*Месяцев_в_квартале*AZ$39</f>
        <v>0</v>
      </c>
      <c s="125">
        <f>Предпосылки!$D359*Месяцев_в_квартале*BA$39</f>
        <v>0</v>
      </c>
      <c s="125">
        <f>Предпосылки!$D359*Месяцев_в_квартале*BB$39</f>
        <v>0</v>
      </c>
      <c s="125">
        <f>Предпосылки!$D359*Месяцев_в_квартале*BC$39</f>
        <v>0</v>
      </c>
      <c s="125">
        <f>Предпосылки!$D359*Месяцев_в_квартале*BD$39</f>
        <v>0</v>
      </c>
      <c s="125">
        <f>Предпосылки!$D359*Месяцев_в_квартале*BE$39</f>
        <v>0</v>
      </c>
      <c s="125">
        <f>Предпосылки!$D359*Месяцев_в_квартале*BF$39</f>
        <v>0</v>
      </c>
      <c s="125">
        <f>Предпосылки!$D359*Месяцев_в_квартале*BG$39</f>
        <v>0</v>
      </c>
      <c s="125">
        <f>Предпосылки!$D359*Месяцев_в_квартале*BH$39</f>
        <v>0</v>
      </c>
      <c s="125">
        <f>Предпосылки!$D359*Месяцев_в_квартале*BI$39</f>
        <v>0</v>
      </c>
      <c s="125">
        <f>Предпосылки!$D359*Месяцев_в_квартале*BJ$39</f>
        <v>0</v>
      </c>
      <c s="125">
        <f>Предпосылки!$D359*Месяцев_в_квартале*BK$39</f>
        <v>0</v>
      </c>
      <c s="125">
        <f>Предпосылки!$D359*Месяцев_в_квартале*BL$39</f>
        <v>0</v>
      </c>
      <c s="125">
        <f>Предпосылки!$D359*Месяцев_в_квартале*BM$39</f>
        <v>0</v>
      </c>
      <c s="166"/>
    </row>
    <row r="53" spans="2:66" ht="15" customHeight="1">
      <c r="B53" s="12" t="str">
        <f t="shared" si="63"/>
        <v>-</v>
      </c>
      <c s="124" t="str">
        <f t="shared" si="62"/>
        <v>тыс. руб.</v>
      </c>
      <c s="127"/>
      <c s="125">
        <f>Предпосылки!$D360*Месяцев_в_квартале*E$39</f>
        <v>0</v>
      </c>
      <c s="125">
        <f>Предпосылки!$D360*Месяцев_в_квартале*F$39</f>
        <v>0</v>
      </c>
      <c s="125">
        <f>Предпосылки!$D360*Месяцев_в_квартале*G$39</f>
        <v>0</v>
      </c>
      <c s="125">
        <f>Предпосылки!$D360*Месяцев_в_квартале*H$39</f>
        <v>0</v>
      </c>
      <c s="125">
        <f>Предпосылки!$D360*Месяцев_в_квартале*I$39</f>
        <v>0</v>
      </c>
      <c s="125">
        <f>Предпосылки!$D360*Месяцев_в_квартале*J$39</f>
        <v>0</v>
      </c>
      <c s="125">
        <f>Предпосылки!$D360*Месяцев_в_квартале*K$39</f>
        <v>0</v>
      </c>
      <c s="125">
        <f>Предпосылки!$D360*Месяцев_в_квартале*L$39</f>
        <v>0</v>
      </c>
      <c s="125">
        <f>Предпосылки!$D360*Месяцев_в_квартале*M$39</f>
        <v>0</v>
      </c>
      <c s="125">
        <f>Предпосылки!$D360*Месяцев_в_квартале*N$39</f>
        <v>0</v>
      </c>
      <c s="125">
        <f>Предпосылки!$D360*Месяцев_в_квартале*O$39</f>
        <v>0</v>
      </c>
      <c s="125">
        <f>Предпосылки!$D360*Месяцев_в_квартале*P$39</f>
        <v>0</v>
      </c>
      <c s="125">
        <f>Предпосылки!$D360*Месяцев_в_квартале*Q$39</f>
        <v>0</v>
      </c>
      <c s="125">
        <f>Предпосылки!$D360*Месяцев_в_квартале*R$39</f>
        <v>0</v>
      </c>
      <c s="125">
        <f>Предпосылки!$D360*Месяцев_в_квартале*S$39</f>
        <v>0</v>
      </c>
      <c s="125">
        <f>Предпосылки!$D360*Месяцев_в_квартале*T$39</f>
        <v>0</v>
      </c>
      <c s="125">
        <f>Предпосылки!$D360*Месяцев_в_квартале*U$39</f>
        <v>0</v>
      </c>
      <c s="125">
        <f>Предпосылки!$D360*Месяцев_в_квартале*V$39</f>
        <v>0</v>
      </c>
      <c s="125">
        <f>Предпосылки!$D360*Месяцев_в_квартале*W$39</f>
        <v>0</v>
      </c>
      <c s="125">
        <f>Предпосылки!$D360*Месяцев_в_квартале*X$39</f>
        <v>0</v>
      </c>
      <c s="125">
        <f>Предпосылки!$D360*Месяцев_в_квартале*Y$39</f>
        <v>0</v>
      </c>
      <c s="125">
        <f>Предпосылки!$D360*Месяцев_в_квартале*Z$39</f>
        <v>0</v>
      </c>
      <c s="125">
        <f>Предпосылки!$D360*Месяцев_в_квартале*AA$39</f>
        <v>0</v>
      </c>
      <c s="125">
        <f>Предпосылки!$D360*Месяцев_в_квартале*AB$39</f>
        <v>0</v>
      </c>
      <c s="125">
        <f>Предпосылки!$D360*Месяцев_в_квартале*AC$39</f>
        <v>0</v>
      </c>
      <c s="125">
        <f>Предпосылки!$D360*Месяцев_в_квартале*AD$39</f>
        <v>0</v>
      </c>
      <c s="125">
        <f>Предпосылки!$D360*Месяцев_в_квартале*AE$39</f>
        <v>0</v>
      </c>
      <c s="125">
        <f>Предпосылки!$D360*Месяцев_в_квартале*AF$39</f>
        <v>0</v>
      </c>
      <c s="125">
        <f>Предпосылки!$D360*Месяцев_в_квартале*AG$39</f>
        <v>0</v>
      </c>
      <c s="125">
        <f>Предпосылки!$D360*Месяцев_в_квартале*AH$39</f>
        <v>0</v>
      </c>
      <c s="125">
        <f>Предпосылки!$D360*Месяцев_в_квартале*AI$39</f>
        <v>0</v>
      </c>
      <c s="125">
        <f>Предпосылки!$D360*Месяцев_в_квартале*AJ$39</f>
        <v>0</v>
      </c>
      <c s="125">
        <f>Предпосылки!$D360*Месяцев_в_квартале*AK$39</f>
        <v>0</v>
      </c>
      <c s="125">
        <f>Предпосылки!$D360*Месяцев_в_квартале*AL$39</f>
        <v>0</v>
      </c>
      <c s="125">
        <f>Предпосылки!$D360*Месяцев_в_квартале*AM$39</f>
        <v>0</v>
      </c>
      <c s="125">
        <f>Предпосылки!$D360*Месяцев_в_квартале*AN$39</f>
        <v>0</v>
      </c>
      <c s="125">
        <f>Предпосылки!$D360*Месяцев_в_квартале*AO$39</f>
        <v>0</v>
      </c>
      <c s="125">
        <f>Предпосылки!$D360*Месяцев_в_квартале*AP$39</f>
        <v>0</v>
      </c>
      <c s="125">
        <f>Предпосылки!$D360*Месяцев_в_квартале*AQ$39</f>
        <v>0</v>
      </c>
      <c s="125">
        <f>Предпосылки!$D360*Месяцев_в_квартале*AR$39</f>
        <v>0</v>
      </c>
      <c s="125">
        <f>Предпосылки!$D360*Месяцев_в_квартале*AS$39</f>
        <v>0</v>
      </c>
      <c s="125">
        <f>Предпосылки!$D360*Месяцев_в_квартале*AT$39</f>
        <v>0</v>
      </c>
      <c s="125">
        <f>Предпосылки!$D360*Месяцев_в_квартале*AU$39</f>
        <v>0</v>
      </c>
      <c s="125">
        <f>Предпосылки!$D360*Месяцев_в_квартале*AV$39</f>
        <v>0</v>
      </c>
      <c s="125">
        <f>Предпосылки!$D360*Месяцев_в_квартале*AW$39</f>
        <v>0</v>
      </c>
      <c s="125">
        <f>Предпосылки!$D360*Месяцев_в_квартале*AX$39</f>
        <v>0</v>
      </c>
      <c s="125">
        <f>Предпосылки!$D360*Месяцев_в_квартале*AY$39</f>
        <v>0</v>
      </c>
      <c s="125">
        <f>Предпосылки!$D360*Месяцев_в_квартале*AZ$39</f>
        <v>0</v>
      </c>
      <c s="125">
        <f>Предпосылки!$D360*Месяцев_в_квартале*BA$39</f>
        <v>0</v>
      </c>
      <c s="125">
        <f>Предпосылки!$D360*Месяцев_в_квартале*BB$39</f>
        <v>0</v>
      </c>
      <c s="125">
        <f>Предпосылки!$D360*Месяцев_в_квартале*BC$39</f>
        <v>0</v>
      </c>
      <c s="125">
        <f>Предпосылки!$D360*Месяцев_в_квартале*BD$39</f>
        <v>0</v>
      </c>
      <c s="125">
        <f>Предпосылки!$D360*Месяцев_в_квартале*BE$39</f>
        <v>0</v>
      </c>
      <c s="125">
        <f>Предпосылки!$D360*Месяцев_в_квартале*BF$39</f>
        <v>0</v>
      </c>
      <c s="125">
        <f>Предпосылки!$D360*Месяцев_в_квартале*BG$39</f>
        <v>0</v>
      </c>
      <c s="125">
        <f>Предпосылки!$D360*Месяцев_в_квартале*BH$39</f>
        <v>0</v>
      </c>
      <c s="125">
        <f>Предпосылки!$D360*Месяцев_в_квартале*BI$39</f>
        <v>0</v>
      </c>
      <c s="125">
        <f>Предпосылки!$D360*Месяцев_в_квартале*BJ$39</f>
        <v>0</v>
      </c>
      <c s="125">
        <f>Предпосылки!$D360*Месяцев_в_квартале*BK$39</f>
        <v>0</v>
      </c>
      <c s="125">
        <f>Предпосылки!$D360*Месяцев_в_квартале*BL$39</f>
        <v>0</v>
      </c>
      <c s="125">
        <f>Предпосылки!$D360*Месяцев_в_квартале*BM$39</f>
        <v>0</v>
      </c>
      <c s="166"/>
    </row>
    <row r="54" spans="2:66" ht="15" customHeight="1">
      <c r="B54" s="12" t="str">
        <f t="shared" si="63"/>
        <v>-</v>
      </c>
      <c s="124" t="str">
        <f t="shared" si="62"/>
        <v>тыс. руб.</v>
      </c>
      <c s="127"/>
      <c s="125">
        <f>Предпосылки!$D361*Месяцев_в_квартале*E$39</f>
        <v>0</v>
      </c>
      <c s="125">
        <f>Предпосылки!$D361*Месяцев_в_квартале*F$39</f>
        <v>0</v>
      </c>
      <c s="125">
        <f>Предпосылки!$D361*Месяцев_в_квартале*G$39</f>
        <v>0</v>
      </c>
      <c s="125">
        <f>Предпосылки!$D361*Месяцев_в_квартале*H$39</f>
        <v>0</v>
      </c>
      <c s="125">
        <f>Предпосылки!$D361*Месяцев_в_квартале*I$39</f>
        <v>0</v>
      </c>
      <c s="125">
        <f>Предпосылки!$D361*Месяцев_в_квартале*J$39</f>
        <v>0</v>
      </c>
      <c s="125">
        <f>Предпосылки!$D361*Месяцев_в_квартале*K$39</f>
        <v>0</v>
      </c>
      <c s="125">
        <f>Предпосылки!$D361*Месяцев_в_квартале*L$39</f>
        <v>0</v>
      </c>
      <c s="125">
        <f>Предпосылки!$D361*Месяцев_в_квартале*M$39</f>
        <v>0</v>
      </c>
      <c s="125">
        <f>Предпосылки!$D361*Месяцев_в_квартале*N$39</f>
        <v>0</v>
      </c>
      <c s="125">
        <f>Предпосылки!$D361*Месяцев_в_квартале*O$39</f>
        <v>0</v>
      </c>
      <c s="125">
        <f>Предпосылки!$D361*Месяцев_в_квартале*P$39</f>
        <v>0</v>
      </c>
      <c s="125">
        <f>Предпосылки!$D361*Месяцев_в_квартале*Q$39</f>
        <v>0</v>
      </c>
      <c s="125">
        <f>Предпосылки!$D361*Месяцев_в_квартале*R$39</f>
        <v>0</v>
      </c>
      <c s="125">
        <f>Предпосылки!$D361*Месяцев_в_квартале*S$39</f>
        <v>0</v>
      </c>
      <c s="125">
        <f>Предпосылки!$D361*Месяцев_в_квартале*T$39</f>
        <v>0</v>
      </c>
      <c s="125">
        <f>Предпосылки!$D361*Месяцев_в_квартале*U$39</f>
        <v>0</v>
      </c>
      <c s="125">
        <f>Предпосылки!$D361*Месяцев_в_квартале*V$39</f>
        <v>0</v>
      </c>
      <c s="125">
        <f>Предпосылки!$D361*Месяцев_в_квартале*W$39</f>
        <v>0</v>
      </c>
      <c s="125">
        <f>Предпосылки!$D361*Месяцев_в_квартале*X$39</f>
        <v>0</v>
      </c>
      <c s="125">
        <f>Предпосылки!$D361*Месяцев_в_квартале*Y$39</f>
        <v>0</v>
      </c>
      <c s="125">
        <f>Предпосылки!$D361*Месяцев_в_квартале*Z$39</f>
        <v>0</v>
      </c>
      <c s="125">
        <f>Предпосылки!$D361*Месяцев_в_квартале*AA$39</f>
        <v>0</v>
      </c>
      <c s="125">
        <f>Предпосылки!$D361*Месяцев_в_квартале*AB$39</f>
        <v>0</v>
      </c>
      <c s="125">
        <f>Предпосылки!$D361*Месяцев_в_квартале*AC$39</f>
        <v>0</v>
      </c>
      <c s="125">
        <f>Предпосылки!$D361*Месяцев_в_квартале*AD$39</f>
        <v>0</v>
      </c>
      <c s="125">
        <f>Предпосылки!$D361*Месяцев_в_квартале*AE$39</f>
        <v>0</v>
      </c>
      <c s="125">
        <f>Предпосылки!$D361*Месяцев_в_квартале*AF$39</f>
        <v>0</v>
      </c>
      <c s="125">
        <f>Предпосылки!$D361*Месяцев_в_квартале*AG$39</f>
        <v>0</v>
      </c>
      <c s="125">
        <f>Предпосылки!$D361*Месяцев_в_квартале*AH$39</f>
        <v>0</v>
      </c>
      <c s="125">
        <f>Предпосылки!$D361*Месяцев_в_квартале*AI$39</f>
        <v>0</v>
      </c>
      <c s="125">
        <f>Предпосылки!$D361*Месяцев_в_квартале*AJ$39</f>
        <v>0</v>
      </c>
      <c s="125">
        <f>Предпосылки!$D361*Месяцев_в_квартале*AK$39</f>
        <v>0</v>
      </c>
      <c s="125">
        <f>Предпосылки!$D361*Месяцев_в_квартале*AL$39</f>
        <v>0</v>
      </c>
      <c s="125">
        <f>Предпосылки!$D361*Месяцев_в_квартале*AM$39</f>
        <v>0</v>
      </c>
      <c s="125">
        <f>Предпосылки!$D361*Месяцев_в_квартале*AN$39</f>
        <v>0</v>
      </c>
      <c s="125">
        <f>Предпосылки!$D361*Месяцев_в_квартале*AO$39</f>
        <v>0</v>
      </c>
      <c s="125">
        <f>Предпосылки!$D361*Месяцев_в_квартале*AP$39</f>
        <v>0</v>
      </c>
      <c s="125">
        <f>Предпосылки!$D361*Месяцев_в_квартале*AQ$39</f>
        <v>0</v>
      </c>
      <c s="125">
        <f>Предпосылки!$D361*Месяцев_в_квартале*AR$39</f>
        <v>0</v>
      </c>
      <c s="125">
        <f>Предпосылки!$D361*Месяцев_в_квартале*AS$39</f>
        <v>0</v>
      </c>
      <c s="125">
        <f>Предпосылки!$D361*Месяцев_в_квартале*AT$39</f>
        <v>0</v>
      </c>
      <c s="125">
        <f>Предпосылки!$D361*Месяцев_в_квартале*AU$39</f>
        <v>0</v>
      </c>
      <c s="125">
        <f>Предпосылки!$D361*Месяцев_в_квартале*AV$39</f>
        <v>0</v>
      </c>
      <c s="125">
        <f>Предпосылки!$D361*Месяцев_в_квартале*AW$39</f>
        <v>0</v>
      </c>
      <c s="125">
        <f>Предпосылки!$D361*Месяцев_в_квартале*AX$39</f>
        <v>0</v>
      </c>
      <c s="125">
        <f>Предпосылки!$D361*Месяцев_в_квартале*AY$39</f>
        <v>0</v>
      </c>
      <c s="125">
        <f>Предпосылки!$D361*Месяцев_в_квартале*AZ$39</f>
        <v>0</v>
      </c>
      <c s="125">
        <f>Предпосылки!$D361*Месяцев_в_квартале*BA$39</f>
        <v>0</v>
      </c>
      <c s="125">
        <f>Предпосылки!$D361*Месяцев_в_квартале*BB$39</f>
        <v>0</v>
      </c>
      <c s="125">
        <f>Предпосылки!$D361*Месяцев_в_квартале*BC$39</f>
        <v>0</v>
      </c>
      <c s="125">
        <f>Предпосылки!$D361*Месяцев_в_квартале*BD$39</f>
        <v>0</v>
      </c>
      <c s="125">
        <f>Предпосылки!$D361*Месяцев_в_квартале*BE$39</f>
        <v>0</v>
      </c>
      <c s="125">
        <f>Предпосылки!$D361*Месяцев_в_квартале*BF$39</f>
        <v>0</v>
      </c>
      <c s="125">
        <f>Предпосылки!$D361*Месяцев_в_квартале*BG$39</f>
        <v>0</v>
      </c>
      <c s="125">
        <f>Предпосылки!$D361*Месяцев_в_квартале*BH$39</f>
        <v>0</v>
      </c>
      <c s="125">
        <f>Предпосылки!$D361*Месяцев_в_квартале*BI$39</f>
        <v>0</v>
      </c>
      <c s="125">
        <f>Предпосылки!$D361*Месяцев_в_квартале*BJ$39</f>
        <v>0</v>
      </c>
      <c s="125">
        <f>Предпосылки!$D361*Месяцев_в_квартале*BK$39</f>
        <v>0</v>
      </c>
      <c s="125">
        <f>Предпосылки!$D361*Месяцев_в_квартале*BL$39</f>
        <v>0</v>
      </c>
      <c s="125">
        <f>Предпосылки!$D361*Месяцев_в_квартале*BM$39</f>
        <v>0</v>
      </c>
      <c s="166"/>
    </row>
    <row r="55" spans="2:66" ht="15" customHeight="1">
      <c r="B55" s="12" t="str">
        <f t="shared" si="63"/>
        <v>-</v>
      </c>
      <c s="124" t="str">
        <f t="shared" si="62"/>
        <v>тыс. руб.</v>
      </c>
      <c s="127"/>
      <c s="125">
        <f>Предпосылки!$D362*Месяцев_в_квартале*E$39</f>
        <v>0</v>
      </c>
      <c s="125">
        <f>Предпосылки!$D362*Месяцев_в_квартале*F$39</f>
        <v>0</v>
      </c>
      <c s="125">
        <f>Предпосылки!$D362*Месяцев_в_квартале*G$39</f>
        <v>0</v>
      </c>
      <c s="125">
        <f>Предпосылки!$D362*Месяцев_в_квартале*H$39</f>
        <v>0</v>
      </c>
      <c s="125">
        <f>Предпосылки!$D362*Месяцев_в_квартале*I$39</f>
        <v>0</v>
      </c>
      <c s="125">
        <f>Предпосылки!$D362*Месяцев_в_квартале*J$39</f>
        <v>0</v>
      </c>
      <c s="125">
        <f>Предпосылки!$D362*Месяцев_в_квартале*K$39</f>
        <v>0</v>
      </c>
      <c s="125">
        <f>Предпосылки!$D362*Месяцев_в_квартале*L$39</f>
        <v>0</v>
      </c>
      <c s="125">
        <f>Предпосылки!$D362*Месяцев_в_квартале*M$39</f>
        <v>0</v>
      </c>
      <c s="125">
        <f>Предпосылки!$D362*Месяцев_в_квартале*N$39</f>
        <v>0</v>
      </c>
      <c s="125">
        <f>Предпосылки!$D362*Месяцев_в_квартале*O$39</f>
        <v>0</v>
      </c>
      <c s="125">
        <f>Предпосылки!$D362*Месяцев_в_квартале*P$39</f>
        <v>0</v>
      </c>
      <c s="125">
        <f>Предпосылки!$D362*Месяцев_в_квартале*Q$39</f>
        <v>0</v>
      </c>
      <c s="125">
        <f>Предпосылки!$D362*Месяцев_в_квартале*R$39</f>
        <v>0</v>
      </c>
      <c s="125">
        <f>Предпосылки!$D362*Месяцев_в_квартале*S$39</f>
        <v>0</v>
      </c>
      <c s="125">
        <f>Предпосылки!$D362*Месяцев_в_квартале*T$39</f>
        <v>0</v>
      </c>
      <c s="125">
        <f>Предпосылки!$D362*Месяцев_в_квартале*U$39</f>
        <v>0</v>
      </c>
      <c s="125">
        <f>Предпосылки!$D362*Месяцев_в_квартале*V$39</f>
        <v>0</v>
      </c>
      <c s="125">
        <f>Предпосылки!$D362*Месяцев_в_квартале*W$39</f>
        <v>0</v>
      </c>
      <c s="125">
        <f>Предпосылки!$D362*Месяцев_в_квартале*X$39</f>
        <v>0</v>
      </c>
      <c s="125">
        <f>Предпосылки!$D362*Месяцев_в_квартале*Y$39</f>
        <v>0</v>
      </c>
      <c s="125">
        <f>Предпосылки!$D362*Месяцев_в_квартале*Z$39</f>
        <v>0</v>
      </c>
      <c s="125">
        <f>Предпосылки!$D362*Месяцев_в_квартале*AA$39</f>
        <v>0</v>
      </c>
      <c s="125">
        <f>Предпосылки!$D362*Месяцев_в_квартале*AB$39</f>
        <v>0</v>
      </c>
      <c s="125">
        <f>Предпосылки!$D362*Месяцев_в_квартале*AC$39</f>
        <v>0</v>
      </c>
      <c s="125">
        <f>Предпосылки!$D362*Месяцев_в_квартале*AD$39</f>
        <v>0</v>
      </c>
      <c s="125">
        <f>Предпосылки!$D362*Месяцев_в_квартале*AE$39</f>
        <v>0</v>
      </c>
      <c s="125">
        <f>Предпосылки!$D362*Месяцев_в_квартале*AF$39</f>
        <v>0</v>
      </c>
      <c s="125">
        <f>Предпосылки!$D362*Месяцев_в_квартале*AG$39</f>
        <v>0</v>
      </c>
      <c s="125">
        <f>Предпосылки!$D362*Месяцев_в_квартале*AH$39</f>
        <v>0</v>
      </c>
      <c s="125">
        <f>Предпосылки!$D362*Месяцев_в_квартале*AI$39</f>
        <v>0</v>
      </c>
      <c s="125">
        <f>Предпосылки!$D362*Месяцев_в_квартале*AJ$39</f>
        <v>0</v>
      </c>
      <c s="125">
        <f>Предпосылки!$D362*Месяцев_в_квартале*AK$39</f>
        <v>0</v>
      </c>
      <c s="125">
        <f>Предпосылки!$D362*Месяцев_в_квартале*AL$39</f>
        <v>0</v>
      </c>
      <c s="125">
        <f>Предпосылки!$D362*Месяцев_в_квартале*AM$39</f>
        <v>0</v>
      </c>
      <c s="125">
        <f>Предпосылки!$D362*Месяцев_в_квартале*AN$39</f>
        <v>0</v>
      </c>
      <c s="125">
        <f>Предпосылки!$D362*Месяцев_в_квартале*AO$39</f>
        <v>0</v>
      </c>
      <c s="125">
        <f>Предпосылки!$D362*Месяцев_в_квартале*AP$39</f>
        <v>0</v>
      </c>
      <c s="125">
        <f>Предпосылки!$D362*Месяцев_в_квартале*AQ$39</f>
        <v>0</v>
      </c>
      <c s="125">
        <f>Предпосылки!$D362*Месяцев_в_квартале*AR$39</f>
        <v>0</v>
      </c>
      <c s="125">
        <f>Предпосылки!$D362*Месяцев_в_квартале*AS$39</f>
        <v>0</v>
      </c>
      <c s="125">
        <f>Предпосылки!$D362*Месяцев_в_квартале*AT$39</f>
        <v>0</v>
      </c>
      <c s="125">
        <f>Предпосылки!$D362*Месяцев_в_квартале*AU$39</f>
        <v>0</v>
      </c>
      <c s="125">
        <f>Предпосылки!$D362*Месяцев_в_квартале*AV$39</f>
        <v>0</v>
      </c>
      <c s="125">
        <f>Предпосылки!$D362*Месяцев_в_квартале*AW$39</f>
        <v>0</v>
      </c>
      <c s="125">
        <f>Предпосылки!$D362*Месяцев_в_квартале*AX$39</f>
        <v>0</v>
      </c>
      <c s="125">
        <f>Предпосылки!$D362*Месяцев_в_квартале*AY$39</f>
        <v>0</v>
      </c>
      <c s="125">
        <f>Предпосылки!$D362*Месяцев_в_квартале*AZ$39</f>
        <v>0</v>
      </c>
      <c s="125">
        <f>Предпосылки!$D362*Месяцев_в_квартале*BA$39</f>
        <v>0</v>
      </c>
      <c s="125">
        <f>Предпосылки!$D362*Месяцев_в_квартале*BB$39</f>
        <v>0</v>
      </c>
      <c s="125">
        <f>Предпосылки!$D362*Месяцев_в_квартале*BC$39</f>
        <v>0</v>
      </c>
      <c s="125">
        <f>Предпосылки!$D362*Месяцев_в_квартале*BD$39</f>
        <v>0</v>
      </c>
      <c s="125">
        <f>Предпосылки!$D362*Месяцев_в_квартале*BE$39</f>
        <v>0</v>
      </c>
      <c s="125">
        <f>Предпосылки!$D362*Месяцев_в_квартале*BF$39</f>
        <v>0</v>
      </c>
      <c s="125">
        <f>Предпосылки!$D362*Месяцев_в_квартале*BG$39</f>
        <v>0</v>
      </c>
      <c s="125">
        <f>Предпосылки!$D362*Месяцев_в_квартале*BH$39</f>
        <v>0</v>
      </c>
      <c s="125">
        <f>Предпосылки!$D362*Месяцев_в_квартале*BI$39</f>
        <v>0</v>
      </c>
      <c s="125">
        <f>Предпосылки!$D362*Месяцев_в_квартале*BJ$39</f>
        <v>0</v>
      </c>
      <c s="125">
        <f>Предпосылки!$D362*Месяцев_в_квартале*BK$39</f>
        <v>0</v>
      </c>
      <c s="125">
        <f>Предпосылки!$D362*Месяцев_в_квартале*BL$39</f>
        <v>0</v>
      </c>
      <c s="125">
        <f>Предпосылки!$D362*Месяцев_в_квартале*BM$39</f>
        <v>0</v>
      </c>
      <c s="166"/>
    </row>
    <row r="56" spans="2:66" ht="15" customHeight="1">
      <c r="B56" s="12" t="str">
        <f t="shared" si="63"/>
        <v>-</v>
      </c>
      <c s="124" t="str">
        <f t="shared" si="62"/>
        <v>тыс. руб.</v>
      </c>
      <c s="127"/>
      <c s="125">
        <f>Предпосылки!$D363*Месяцев_в_квартале*E$39</f>
        <v>0</v>
      </c>
      <c s="125">
        <f>Предпосылки!$D363*Месяцев_в_квартале*F$39</f>
        <v>0</v>
      </c>
      <c s="125">
        <f>Предпосылки!$D363*Месяцев_в_квартале*G$39</f>
        <v>0</v>
      </c>
      <c s="125">
        <f>Предпосылки!$D363*Месяцев_в_квартале*H$39</f>
        <v>0</v>
      </c>
      <c s="125">
        <f>Предпосылки!$D363*Месяцев_в_квартале*I$39</f>
        <v>0</v>
      </c>
      <c s="125">
        <f>Предпосылки!$D363*Месяцев_в_квартале*J$39</f>
        <v>0</v>
      </c>
      <c s="125">
        <f>Предпосылки!$D363*Месяцев_в_квартале*K$39</f>
        <v>0</v>
      </c>
      <c s="125">
        <f>Предпосылки!$D363*Месяцев_в_квартале*L$39</f>
        <v>0</v>
      </c>
      <c s="125">
        <f>Предпосылки!$D363*Месяцев_в_квартале*M$39</f>
        <v>0</v>
      </c>
      <c s="125">
        <f>Предпосылки!$D363*Месяцев_в_квартале*N$39</f>
        <v>0</v>
      </c>
      <c s="125">
        <f>Предпосылки!$D363*Месяцев_в_квартале*O$39</f>
        <v>0</v>
      </c>
      <c s="125">
        <f>Предпосылки!$D363*Месяцев_в_квартале*P$39</f>
        <v>0</v>
      </c>
      <c s="125">
        <f>Предпосылки!$D363*Месяцев_в_квартале*Q$39</f>
        <v>0</v>
      </c>
      <c s="125">
        <f>Предпосылки!$D363*Месяцев_в_квартале*R$39</f>
        <v>0</v>
      </c>
      <c s="125">
        <f>Предпосылки!$D363*Месяцев_в_квартале*S$39</f>
        <v>0</v>
      </c>
      <c s="125">
        <f>Предпосылки!$D363*Месяцев_в_квартале*T$39</f>
        <v>0</v>
      </c>
      <c s="125">
        <f>Предпосылки!$D363*Месяцев_в_квартале*U$39</f>
        <v>0</v>
      </c>
      <c s="125">
        <f>Предпосылки!$D363*Месяцев_в_квартале*V$39</f>
        <v>0</v>
      </c>
      <c s="125">
        <f>Предпосылки!$D363*Месяцев_в_квартале*W$39</f>
        <v>0</v>
      </c>
      <c s="125">
        <f>Предпосылки!$D363*Месяцев_в_квартале*X$39</f>
        <v>0</v>
      </c>
      <c s="125">
        <f>Предпосылки!$D363*Месяцев_в_квартале*Y$39</f>
        <v>0</v>
      </c>
      <c s="125">
        <f>Предпосылки!$D363*Месяцев_в_квартале*Z$39</f>
        <v>0</v>
      </c>
      <c s="125">
        <f>Предпосылки!$D363*Месяцев_в_квартале*AA$39</f>
        <v>0</v>
      </c>
      <c s="125">
        <f>Предпосылки!$D363*Месяцев_в_квартале*AB$39</f>
        <v>0</v>
      </c>
      <c s="125">
        <f>Предпосылки!$D363*Месяцев_в_квартале*AC$39</f>
        <v>0</v>
      </c>
      <c s="125">
        <f>Предпосылки!$D363*Месяцев_в_квартале*AD$39</f>
        <v>0</v>
      </c>
      <c s="125">
        <f>Предпосылки!$D363*Месяцев_в_квартале*AE$39</f>
        <v>0</v>
      </c>
      <c s="125">
        <f>Предпосылки!$D363*Месяцев_в_квартале*AF$39</f>
        <v>0</v>
      </c>
      <c s="125">
        <f>Предпосылки!$D363*Месяцев_в_квартале*AG$39</f>
        <v>0</v>
      </c>
      <c s="125">
        <f>Предпосылки!$D363*Месяцев_в_квартале*AH$39</f>
        <v>0</v>
      </c>
      <c s="125">
        <f>Предпосылки!$D363*Месяцев_в_квартале*AI$39</f>
        <v>0</v>
      </c>
      <c s="125">
        <f>Предпосылки!$D363*Месяцев_в_квартале*AJ$39</f>
        <v>0</v>
      </c>
      <c s="125">
        <f>Предпосылки!$D363*Месяцев_в_квартале*AK$39</f>
        <v>0</v>
      </c>
      <c s="125">
        <f>Предпосылки!$D363*Месяцев_в_квартале*AL$39</f>
        <v>0</v>
      </c>
      <c s="125">
        <f>Предпосылки!$D363*Месяцев_в_квартале*AM$39</f>
        <v>0</v>
      </c>
      <c s="125">
        <f>Предпосылки!$D363*Месяцев_в_квартале*AN$39</f>
        <v>0</v>
      </c>
      <c s="125">
        <f>Предпосылки!$D363*Месяцев_в_квартале*AO$39</f>
        <v>0</v>
      </c>
      <c s="125">
        <f>Предпосылки!$D363*Месяцев_в_квартале*AP$39</f>
        <v>0</v>
      </c>
      <c s="125">
        <f>Предпосылки!$D363*Месяцев_в_квартале*AQ$39</f>
        <v>0</v>
      </c>
      <c s="125">
        <f>Предпосылки!$D363*Месяцев_в_квартале*AR$39</f>
        <v>0</v>
      </c>
      <c s="125">
        <f>Предпосылки!$D363*Месяцев_в_квартале*AS$39</f>
        <v>0</v>
      </c>
      <c s="125">
        <f>Предпосылки!$D363*Месяцев_в_квартале*AT$39</f>
        <v>0</v>
      </c>
      <c s="125">
        <f>Предпосылки!$D363*Месяцев_в_квартале*AU$39</f>
        <v>0</v>
      </c>
      <c s="125">
        <f>Предпосылки!$D363*Месяцев_в_квартале*AV$39</f>
        <v>0</v>
      </c>
      <c s="125">
        <f>Предпосылки!$D363*Месяцев_в_квартале*AW$39</f>
        <v>0</v>
      </c>
      <c s="125">
        <f>Предпосылки!$D363*Месяцев_в_квартале*AX$39</f>
        <v>0</v>
      </c>
      <c s="125">
        <f>Предпосылки!$D363*Месяцев_в_квартале*AY$39</f>
        <v>0</v>
      </c>
      <c s="125">
        <f>Предпосылки!$D363*Месяцев_в_квартале*AZ$39</f>
        <v>0</v>
      </c>
      <c s="125">
        <f>Предпосылки!$D363*Месяцев_в_квартале*BA$39</f>
        <v>0</v>
      </c>
      <c s="125">
        <f>Предпосылки!$D363*Месяцев_в_квартале*BB$39</f>
        <v>0</v>
      </c>
      <c s="125">
        <f>Предпосылки!$D363*Месяцев_в_квартале*BC$39</f>
        <v>0</v>
      </c>
      <c s="125">
        <f>Предпосылки!$D363*Месяцев_в_квартале*BD$39</f>
        <v>0</v>
      </c>
      <c s="125">
        <f>Предпосылки!$D363*Месяцев_в_квартале*BE$39</f>
        <v>0</v>
      </c>
      <c s="125">
        <f>Предпосылки!$D363*Месяцев_в_квартале*BF$39</f>
        <v>0</v>
      </c>
      <c s="125">
        <f>Предпосылки!$D363*Месяцев_в_квартале*BG$39</f>
        <v>0</v>
      </c>
      <c s="125">
        <f>Предпосылки!$D363*Месяцев_в_квартале*BH$39</f>
        <v>0</v>
      </c>
      <c s="125">
        <f>Предпосылки!$D363*Месяцев_в_квартале*BI$39</f>
        <v>0</v>
      </c>
      <c s="125">
        <f>Предпосылки!$D363*Месяцев_в_квартале*BJ$39</f>
        <v>0</v>
      </c>
      <c s="125">
        <f>Предпосылки!$D363*Месяцев_в_квартале*BK$39</f>
        <v>0</v>
      </c>
      <c s="125">
        <f>Предпосылки!$D363*Месяцев_в_квартале*BL$39</f>
        <v>0</v>
      </c>
      <c s="125">
        <f>Предпосылки!$D363*Месяцев_в_квартале*BM$39</f>
        <v>0</v>
      </c>
      <c s="166"/>
    </row>
    <row r="57" spans="2:66" ht="15" customHeight="1">
      <c r="B57" s="12" t="str">
        <f t="shared" si="63"/>
        <v>-</v>
      </c>
      <c s="124" t="str">
        <f t="shared" si="62"/>
        <v>тыс. руб.</v>
      </c>
      <c s="127"/>
      <c s="125">
        <f>Предпосылки!$D364*Месяцев_в_квартале*E$39</f>
        <v>0</v>
      </c>
      <c s="125">
        <f>Предпосылки!$D364*Месяцев_в_квартале*F$39</f>
        <v>0</v>
      </c>
      <c s="125">
        <f>Предпосылки!$D364*Месяцев_в_квартале*G$39</f>
        <v>0</v>
      </c>
      <c s="125">
        <f>Предпосылки!$D364*Месяцев_в_квартале*H$39</f>
        <v>0</v>
      </c>
      <c s="125">
        <f>Предпосылки!$D364*Месяцев_в_квартале*I$39</f>
        <v>0</v>
      </c>
      <c s="125">
        <f>Предпосылки!$D364*Месяцев_в_квартале*J$39</f>
        <v>0</v>
      </c>
      <c s="125">
        <f>Предпосылки!$D364*Месяцев_в_квартале*K$39</f>
        <v>0</v>
      </c>
      <c s="125">
        <f>Предпосылки!$D364*Месяцев_в_квартале*L$39</f>
        <v>0</v>
      </c>
      <c s="125">
        <f>Предпосылки!$D364*Месяцев_в_квартале*M$39</f>
        <v>0</v>
      </c>
      <c s="125">
        <f>Предпосылки!$D364*Месяцев_в_квартале*N$39</f>
        <v>0</v>
      </c>
      <c s="125">
        <f>Предпосылки!$D364*Месяцев_в_квартале*O$39</f>
        <v>0</v>
      </c>
      <c s="125">
        <f>Предпосылки!$D364*Месяцев_в_квартале*P$39</f>
        <v>0</v>
      </c>
      <c s="125">
        <f>Предпосылки!$D364*Месяцев_в_квартале*Q$39</f>
        <v>0</v>
      </c>
      <c s="125">
        <f>Предпосылки!$D364*Месяцев_в_квартале*R$39</f>
        <v>0</v>
      </c>
      <c s="125">
        <f>Предпосылки!$D364*Месяцев_в_квартале*S$39</f>
        <v>0</v>
      </c>
      <c s="125">
        <f>Предпосылки!$D364*Месяцев_в_квартале*T$39</f>
        <v>0</v>
      </c>
      <c s="125">
        <f>Предпосылки!$D364*Месяцев_в_квартале*U$39</f>
        <v>0</v>
      </c>
      <c s="125">
        <f>Предпосылки!$D364*Месяцев_в_квартале*V$39</f>
        <v>0</v>
      </c>
      <c s="125">
        <f>Предпосылки!$D364*Месяцев_в_квартале*W$39</f>
        <v>0</v>
      </c>
      <c s="125">
        <f>Предпосылки!$D364*Месяцев_в_квартале*X$39</f>
        <v>0</v>
      </c>
      <c s="125">
        <f>Предпосылки!$D364*Месяцев_в_квартале*Y$39</f>
        <v>0</v>
      </c>
      <c s="125">
        <f>Предпосылки!$D364*Месяцев_в_квартале*Z$39</f>
        <v>0</v>
      </c>
      <c s="125">
        <f>Предпосылки!$D364*Месяцев_в_квартале*AA$39</f>
        <v>0</v>
      </c>
      <c s="125">
        <f>Предпосылки!$D364*Месяцев_в_квартале*AB$39</f>
        <v>0</v>
      </c>
      <c s="125">
        <f>Предпосылки!$D364*Месяцев_в_квартале*AC$39</f>
        <v>0</v>
      </c>
      <c s="125">
        <f>Предпосылки!$D364*Месяцев_в_квартале*AD$39</f>
        <v>0</v>
      </c>
      <c s="125">
        <f>Предпосылки!$D364*Месяцев_в_квартале*AE$39</f>
        <v>0</v>
      </c>
      <c s="125">
        <f>Предпосылки!$D364*Месяцев_в_квартале*AF$39</f>
        <v>0</v>
      </c>
      <c s="125">
        <f>Предпосылки!$D364*Месяцев_в_квартале*AG$39</f>
        <v>0</v>
      </c>
      <c s="125">
        <f>Предпосылки!$D364*Месяцев_в_квартале*AH$39</f>
        <v>0</v>
      </c>
      <c s="125">
        <f>Предпосылки!$D364*Месяцев_в_квартале*AI$39</f>
        <v>0</v>
      </c>
      <c s="125">
        <f>Предпосылки!$D364*Месяцев_в_квартале*AJ$39</f>
        <v>0</v>
      </c>
      <c s="125">
        <f>Предпосылки!$D364*Месяцев_в_квартале*AK$39</f>
        <v>0</v>
      </c>
      <c s="125">
        <f>Предпосылки!$D364*Месяцев_в_квартале*AL$39</f>
        <v>0</v>
      </c>
      <c s="125">
        <f>Предпосылки!$D364*Месяцев_в_квартале*AM$39</f>
        <v>0</v>
      </c>
      <c s="125">
        <f>Предпосылки!$D364*Месяцев_в_квартале*AN$39</f>
        <v>0</v>
      </c>
      <c s="125">
        <f>Предпосылки!$D364*Месяцев_в_квартале*AO$39</f>
        <v>0</v>
      </c>
      <c s="125">
        <f>Предпосылки!$D364*Месяцев_в_квартале*AP$39</f>
        <v>0</v>
      </c>
      <c s="125">
        <f>Предпосылки!$D364*Месяцев_в_квартале*AQ$39</f>
        <v>0</v>
      </c>
      <c s="125">
        <f>Предпосылки!$D364*Месяцев_в_квартале*AR$39</f>
        <v>0</v>
      </c>
      <c s="125">
        <f>Предпосылки!$D364*Месяцев_в_квартале*AS$39</f>
        <v>0</v>
      </c>
      <c s="125">
        <f>Предпосылки!$D364*Месяцев_в_квартале*AT$39</f>
        <v>0</v>
      </c>
      <c s="125">
        <f>Предпосылки!$D364*Месяцев_в_квартале*AU$39</f>
        <v>0</v>
      </c>
      <c s="125">
        <f>Предпосылки!$D364*Месяцев_в_квартале*AV$39</f>
        <v>0</v>
      </c>
      <c s="125">
        <f>Предпосылки!$D364*Месяцев_в_квартале*AW$39</f>
        <v>0</v>
      </c>
      <c s="125">
        <f>Предпосылки!$D364*Месяцев_в_квартале*AX$39</f>
        <v>0</v>
      </c>
      <c s="125">
        <f>Предпосылки!$D364*Месяцев_в_квартале*AY$39</f>
        <v>0</v>
      </c>
      <c s="125">
        <f>Предпосылки!$D364*Месяцев_в_квартале*AZ$39</f>
        <v>0</v>
      </c>
      <c s="125">
        <f>Предпосылки!$D364*Месяцев_в_квартале*BA$39</f>
        <v>0</v>
      </c>
      <c s="125">
        <f>Предпосылки!$D364*Месяцев_в_квартале*BB$39</f>
        <v>0</v>
      </c>
      <c s="125">
        <f>Предпосылки!$D364*Месяцев_в_квартале*BC$39</f>
        <v>0</v>
      </c>
      <c s="125">
        <f>Предпосылки!$D364*Месяцев_в_квартале*BD$39</f>
        <v>0</v>
      </c>
      <c s="125">
        <f>Предпосылки!$D364*Месяцев_в_квартале*BE$39</f>
        <v>0</v>
      </c>
      <c s="125">
        <f>Предпосылки!$D364*Месяцев_в_квартале*BF$39</f>
        <v>0</v>
      </c>
      <c s="125">
        <f>Предпосылки!$D364*Месяцев_в_квартале*BG$39</f>
        <v>0</v>
      </c>
      <c s="125">
        <f>Предпосылки!$D364*Месяцев_в_квартале*BH$39</f>
        <v>0</v>
      </c>
      <c s="125">
        <f>Предпосылки!$D364*Месяцев_в_квартале*BI$39</f>
        <v>0</v>
      </c>
      <c s="125">
        <f>Предпосылки!$D364*Месяцев_в_квартале*BJ$39</f>
        <v>0</v>
      </c>
      <c s="125">
        <f>Предпосылки!$D364*Месяцев_в_квартале*BK$39</f>
        <v>0</v>
      </c>
      <c s="125">
        <f>Предпосылки!$D364*Месяцев_в_квартале*BL$39</f>
        <v>0</v>
      </c>
      <c s="125">
        <f>Предпосылки!$D364*Месяцев_в_квартале*BM$39</f>
        <v>0</v>
      </c>
      <c s="166"/>
    </row>
    <row r="58" spans="2:66" ht="15" customHeight="1">
      <c r="B58" s="12" t="str">
        <f t="shared" si="63"/>
        <v>-</v>
      </c>
      <c s="124" t="str">
        <f t="shared" si="62"/>
        <v>тыс. руб.</v>
      </c>
      <c s="127"/>
      <c s="125">
        <f>Предпосылки!$D365*Месяцев_в_квартале*E$39</f>
        <v>0</v>
      </c>
      <c s="125">
        <f>Предпосылки!$D365*Месяцев_в_квартале*F$39</f>
        <v>0</v>
      </c>
      <c s="125">
        <f>Предпосылки!$D365*Месяцев_в_квартале*G$39</f>
        <v>0</v>
      </c>
      <c s="125">
        <f>Предпосылки!$D365*Месяцев_в_квартале*H$39</f>
        <v>0</v>
      </c>
      <c s="125">
        <f>Предпосылки!$D365*Месяцев_в_квартале*I$39</f>
        <v>0</v>
      </c>
      <c s="125">
        <f>Предпосылки!$D365*Месяцев_в_квартале*J$39</f>
        <v>0</v>
      </c>
      <c s="125">
        <f>Предпосылки!$D365*Месяцев_в_квартале*K$39</f>
        <v>0</v>
      </c>
      <c s="125">
        <f>Предпосылки!$D365*Месяцев_в_квартале*L$39</f>
        <v>0</v>
      </c>
      <c s="125">
        <f>Предпосылки!$D365*Месяцев_в_квартале*M$39</f>
        <v>0</v>
      </c>
      <c s="125">
        <f>Предпосылки!$D365*Месяцев_в_квартале*N$39</f>
        <v>0</v>
      </c>
      <c s="125">
        <f>Предпосылки!$D365*Месяцев_в_квартале*O$39</f>
        <v>0</v>
      </c>
      <c s="125">
        <f>Предпосылки!$D365*Месяцев_в_квартале*P$39</f>
        <v>0</v>
      </c>
      <c s="125">
        <f>Предпосылки!$D365*Месяцев_в_квартале*Q$39</f>
        <v>0</v>
      </c>
      <c s="125">
        <f>Предпосылки!$D365*Месяцев_в_квартале*R$39</f>
        <v>0</v>
      </c>
      <c s="125">
        <f>Предпосылки!$D365*Месяцев_в_квартале*S$39</f>
        <v>0</v>
      </c>
      <c s="125">
        <f>Предпосылки!$D365*Месяцев_в_квартале*T$39</f>
        <v>0</v>
      </c>
      <c s="125">
        <f>Предпосылки!$D365*Месяцев_в_квартале*U$39</f>
        <v>0</v>
      </c>
      <c s="125">
        <f>Предпосылки!$D365*Месяцев_в_квартале*V$39</f>
        <v>0</v>
      </c>
      <c s="125">
        <f>Предпосылки!$D365*Месяцев_в_квартале*W$39</f>
        <v>0</v>
      </c>
      <c s="125">
        <f>Предпосылки!$D365*Месяцев_в_квартале*X$39</f>
        <v>0</v>
      </c>
      <c s="125">
        <f>Предпосылки!$D365*Месяцев_в_квартале*Y$39</f>
        <v>0</v>
      </c>
      <c s="125">
        <f>Предпосылки!$D365*Месяцев_в_квартале*Z$39</f>
        <v>0</v>
      </c>
      <c s="125">
        <f>Предпосылки!$D365*Месяцев_в_квартале*AA$39</f>
        <v>0</v>
      </c>
      <c s="125">
        <f>Предпосылки!$D365*Месяцев_в_квартале*AB$39</f>
        <v>0</v>
      </c>
      <c s="125">
        <f>Предпосылки!$D365*Месяцев_в_квартале*AC$39</f>
        <v>0</v>
      </c>
      <c s="125">
        <f>Предпосылки!$D365*Месяцев_в_квартале*AD$39</f>
        <v>0</v>
      </c>
      <c s="125">
        <f>Предпосылки!$D365*Месяцев_в_квартале*AE$39</f>
        <v>0</v>
      </c>
      <c s="125">
        <f>Предпосылки!$D365*Месяцев_в_квартале*AF$39</f>
        <v>0</v>
      </c>
      <c s="125">
        <f>Предпосылки!$D365*Месяцев_в_квартале*AG$39</f>
        <v>0</v>
      </c>
      <c s="125">
        <f>Предпосылки!$D365*Месяцев_в_квартале*AH$39</f>
        <v>0</v>
      </c>
      <c s="125">
        <f>Предпосылки!$D365*Месяцев_в_квартале*AI$39</f>
        <v>0</v>
      </c>
      <c s="125">
        <f>Предпосылки!$D365*Месяцев_в_квартале*AJ$39</f>
        <v>0</v>
      </c>
      <c s="125">
        <f>Предпосылки!$D365*Месяцев_в_квартале*AK$39</f>
        <v>0</v>
      </c>
      <c s="125">
        <f>Предпосылки!$D365*Месяцев_в_квартале*AL$39</f>
        <v>0</v>
      </c>
      <c s="125">
        <f>Предпосылки!$D365*Месяцев_в_квартале*AM$39</f>
        <v>0</v>
      </c>
      <c s="125">
        <f>Предпосылки!$D365*Месяцев_в_квартале*AN$39</f>
        <v>0</v>
      </c>
      <c s="125">
        <f>Предпосылки!$D365*Месяцев_в_квартале*AO$39</f>
        <v>0</v>
      </c>
      <c s="125">
        <f>Предпосылки!$D365*Месяцев_в_квартале*AP$39</f>
        <v>0</v>
      </c>
      <c s="125">
        <f>Предпосылки!$D365*Месяцев_в_квартале*AQ$39</f>
        <v>0</v>
      </c>
      <c s="125">
        <f>Предпосылки!$D365*Месяцев_в_квартале*AR$39</f>
        <v>0</v>
      </c>
      <c s="125">
        <f>Предпосылки!$D365*Месяцев_в_квартале*AS$39</f>
        <v>0</v>
      </c>
      <c s="125">
        <f>Предпосылки!$D365*Месяцев_в_квартале*AT$39</f>
        <v>0</v>
      </c>
      <c s="125">
        <f>Предпосылки!$D365*Месяцев_в_квартале*AU$39</f>
        <v>0</v>
      </c>
      <c s="125">
        <f>Предпосылки!$D365*Месяцев_в_квартале*AV$39</f>
        <v>0</v>
      </c>
      <c s="125">
        <f>Предпосылки!$D365*Месяцев_в_квартале*AW$39</f>
        <v>0</v>
      </c>
      <c s="125">
        <f>Предпосылки!$D365*Месяцев_в_квартале*AX$39</f>
        <v>0</v>
      </c>
      <c s="125">
        <f>Предпосылки!$D365*Месяцев_в_квартале*AY$39</f>
        <v>0</v>
      </c>
      <c s="125">
        <f>Предпосылки!$D365*Месяцев_в_квартале*AZ$39</f>
        <v>0</v>
      </c>
      <c s="125">
        <f>Предпосылки!$D365*Месяцев_в_квартале*BA$39</f>
        <v>0</v>
      </c>
      <c s="125">
        <f>Предпосылки!$D365*Месяцев_в_квартале*BB$39</f>
        <v>0</v>
      </c>
      <c s="125">
        <f>Предпосылки!$D365*Месяцев_в_квартале*BC$39</f>
        <v>0</v>
      </c>
      <c s="125">
        <f>Предпосылки!$D365*Месяцев_в_квартале*BD$39</f>
        <v>0</v>
      </c>
      <c s="125">
        <f>Предпосылки!$D365*Месяцев_в_квартале*BE$39</f>
        <v>0</v>
      </c>
      <c s="125">
        <f>Предпосылки!$D365*Месяцев_в_квартале*BF$39</f>
        <v>0</v>
      </c>
      <c s="125">
        <f>Предпосылки!$D365*Месяцев_в_квартале*BG$39</f>
        <v>0</v>
      </c>
      <c s="125">
        <f>Предпосылки!$D365*Месяцев_в_квартале*BH$39</f>
        <v>0</v>
      </c>
      <c s="125">
        <f>Предпосылки!$D365*Месяцев_в_квартале*BI$39</f>
        <v>0</v>
      </c>
      <c s="125">
        <f>Предпосылки!$D365*Месяцев_в_квартале*BJ$39</f>
        <v>0</v>
      </c>
      <c s="125">
        <f>Предпосылки!$D365*Месяцев_в_квартале*BK$39</f>
        <v>0</v>
      </c>
      <c s="125">
        <f>Предпосылки!$D365*Месяцев_в_квартале*BL$39</f>
        <v>0</v>
      </c>
      <c s="125">
        <f>Предпосылки!$D365*Месяцев_в_квартале*BM$39</f>
        <v>0</v>
      </c>
      <c s="166"/>
    </row>
    <row r="59" spans="2:66" ht="15" customHeight="1">
      <c r="B59" s="12" t="str">
        <f t="shared" si="63"/>
        <v>-</v>
      </c>
      <c s="124" t="str">
        <f t="shared" si="62"/>
        <v>тыс. руб.</v>
      </c>
      <c s="127"/>
      <c s="125">
        <f>Предпосылки!$D366*Месяцев_в_квартале*E$39</f>
        <v>0</v>
      </c>
      <c s="125">
        <f>Предпосылки!$D366*Месяцев_в_квартале*F$39</f>
        <v>0</v>
      </c>
      <c s="125">
        <f>Предпосылки!$D366*Месяцев_в_квартале*G$39</f>
        <v>0</v>
      </c>
      <c s="125">
        <f>Предпосылки!$D366*Месяцев_в_квартале*H$39</f>
        <v>0</v>
      </c>
      <c s="125">
        <f>Предпосылки!$D366*Месяцев_в_квартале*I$39</f>
        <v>0</v>
      </c>
      <c s="125">
        <f>Предпосылки!$D366*Месяцев_в_квартале*J$39</f>
        <v>0</v>
      </c>
      <c s="125">
        <f>Предпосылки!$D366*Месяцев_в_квартале*K$39</f>
        <v>0</v>
      </c>
      <c s="125">
        <f>Предпосылки!$D366*Месяцев_в_квартале*L$39</f>
        <v>0</v>
      </c>
      <c s="125">
        <f>Предпосылки!$D366*Месяцев_в_квартале*M$39</f>
        <v>0</v>
      </c>
      <c s="125">
        <f>Предпосылки!$D366*Месяцев_в_квартале*N$39</f>
        <v>0</v>
      </c>
      <c s="125">
        <f>Предпосылки!$D366*Месяцев_в_квартале*O$39</f>
        <v>0</v>
      </c>
      <c s="125">
        <f>Предпосылки!$D366*Месяцев_в_квартале*P$39</f>
        <v>0</v>
      </c>
      <c s="125">
        <f>Предпосылки!$D366*Месяцев_в_квартале*Q$39</f>
        <v>0</v>
      </c>
      <c s="125">
        <f>Предпосылки!$D366*Месяцев_в_квартале*R$39</f>
        <v>0</v>
      </c>
      <c s="125">
        <f>Предпосылки!$D366*Месяцев_в_квартале*S$39</f>
        <v>0</v>
      </c>
      <c s="125">
        <f>Предпосылки!$D366*Месяцев_в_квартале*T$39</f>
        <v>0</v>
      </c>
      <c s="125">
        <f>Предпосылки!$D366*Месяцев_в_квартале*U$39</f>
        <v>0</v>
      </c>
      <c s="125">
        <f>Предпосылки!$D366*Месяцев_в_квартале*V$39</f>
        <v>0</v>
      </c>
      <c s="125">
        <f>Предпосылки!$D366*Месяцев_в_квартале*W$39</f>
        <v>0</v>
      </c>
      <c s="125">
        <f>Предпосылки!$D366*Месяцев_в_квартале*X$39</f>
        <v>0</v>
      </c>
      <c s="125">
        <f>Предпосылки!$D366*Месяцев_в_квартале*Y$39</f>
        <v>0</v>
      </c>
      <c s="125">
        <f>Предпосылки!$D366*Месяцев_в_квартале*Z$39</f>
        <v>0</v>
      </c>
      <c s="125">
        <f>Предпосылки!$D366*Месяцев_в_квартале*AA$39</f>
        <v>0</v>
      </c>
      <c s="125">
        <f>Предпосылки!$D366*Месяцев_в_квартале*AB$39</f>
        <v>0</v>
      </c>
      <c s="125">
        <f>Предпосылки!$D366*Месяцев_в_квартале*AC$39</f>
        <v>0</v>
      </c>
      <c s="125">
        <f>Предпосылки!$D366*Месяцев_в_квартале*AD$39</f>
        <v>0</v>
      </c>
      <c s="125">
        <f>Предпосылки!$D366*Месяцев_в_квартале*AE$39</f>
        <v>0</v>
      </c>
      <c s="125">
        <f>Предпосылки!$D366*Месяцев_в_квартале*AF$39</f>
        <v>0</v>
      </c>
      <c s="125">
        <f>Предпосылки!$D366*Месяцев_в_квартале*AG$39</f>
        <v>0</v>
      </c>
      <c s="125">
        <f>Предпосылки!$D366*Месяцев_в_квартале*AH$39</f>
        <v>0</v>
      </c>
      <c s="125">
        <f>Предпосылки!$D366*Месяцев_в_квартале*AI$39</f>
        <v>0</v>
      </c>
      <c s="125">
        <f>Предпосылки!$D366*Месяцев_в_квартале*AJ$39</f>
        <v>0</v>
      </c>
      <c s="125">
        <f>Предпосылки!$D366*Месяцев_в_квартале*AK$39</f>
        <v>0</v>
      </c>
      <c s="125">
        <f>Предпосылки!$D366*Месяцев_в_квартале*AL$39</f>
        <v>0</v>
      </c>
      <c s="125">
        <f>Предпосылки!$D366*Месяцев_в_квартале*AM$39</f>
        <v>0</v>
      </c>
      <c s="125">
        <f>Предпосылки!$D366*Месяцев_в_квартале*AN$39</f>
        <v>0</v>
      </c>
      <c s="125">
        <f>Предпосылки!$D366*Месяцев_в_квартале*AO$39</f>
        <v>0</v>
      </c>
      <c s="125">
        <f>Предпосылки!$D366*Месяцев_в_квартале*AP$39</f>
        <v>0</v>
      </c>
      <c s="125">
        <f>Предпосылки!$D366*Месяцев_в_квартале*AQ$39</f>
        <v>0</v>
      </c>
      <c s="125">
        <f>Предпосылки!$D366*Месяцев_в_квартале*AR$39</f>
        <v>0</v>
      </c>
      <c s="125">
        <f>Предпосылки!$D366*Месяцев_в_квартале*AS$39</f>
        <v>0</v>
      </c>
      <c s="125">
        <f>Предпосылки!$D366*Месяцев_в_квартале*AT$39</f>
        <v>0</v>
      </c>
      <c s="125">
        <f>Предпосылки!$D366*Месяцев_в_квартале*AU$39</f>
        <v>0</v>
      </c>
      <c s="125">
        <f>Предпосылки!$D366*Месяцев_в_квартале*AV$39</f>
        <v>0</v>
      </c>
      <c s="125">
        <f>Предпосылки!$D366*Месяцев_в_квартале*AW$39</f>
        <v>0</v>
      </c>
      <c s="125">
        <f>Предпосылки!$D366*Месяцев_в_квартале*AX$39</f>
        <v>0</v>
      </c>
      <c s="125">
        <f>Предпосылки!$D366*Месяцев_в_квартале*AY$39</f>
        <v>0</v>
      </c>
      <c s="125">
        <f>Предпосылки!$D366*Месяцев_в_квартале*AZ$39</f>
        <v>0</v>
      </c>
      <c s="125">
        <f>Предпосылки!$D366*Месяцев_в_квартале*BA$39</f>
        <v>0</v>
      </c>
      <c s="125">
        <f>Предпосылки!$D366*Месяцев_в_квартале*BB$39</f>
        <v>0</v>
      </c>
      <c s="125">
        <f>Предпосылки!$D366*Месяцев_в_квартале*BC$39</f>
        <v>0</v>
      </c>
      <c s="125">
        <f>Предпосылки!$D366*Месяцев_в_квартале*BD$39</f>
        <v>0</v>
      </c>
      <c s="125">
        <f>Предпосылки!$D366*Месяцев_в_квартале*BE$39</f>
        <v>0</v>
      </c>
      <c s="125">
        <f>Предпосылки!$D366*Месяцев_в_квартале*BF$39</f>
        <v>0</v>
      </c>
      <c s="125">
        <f>Предпосылки!$D366*Месяцев_в_квартале*BG$39</f>
        <v>0</v>
      </c>
      <c s="125">
        <f>Предпосылки!$D366*Месяцев_в_квартале*BH$39</f>
        <v>0</v>
      </c>
      <c s="125">
        <f>Предпосылки!$D366*Месяцев_в_квартале*BI$39</f>
        <v>0</v>
      </c>
      <c s="125">
        <f>Предпосылки!$D366*Месяцев_в_квартале*BJ$39</f>
        <v>0</v>
      </c>
      <c s="125">
        <f>Предпосылки!$D366*Месяцев_в_квартале*BK$39</f>
        <v>0</v>
      </c>
      <c s="125">
        <f>Предпосылки!$D366*Месяцев_в_квартале*BL$39</f>
        <v>0</v>
      </c>
      <c s="125">
        <f>Предпосылки!$D366*Месяцев_в_квартале*BM$39</f>
        <v>0</v>
      </c>
      <c s="166"/>
    </row>
    <row r="60" spans="2:66" ht="15" customHeight="1">
      <c r="B60" s="12" t="str">
        <f t="shared" si="63"/>
        <v>-</v>
      </c>
      <c s="124" t="str">
        <f t="shared" si="62"/>
        <v>тыс. руб.</v>
      </c>
      <c s="127"/>
      <c s="125">
        <f>Предпосылки!$D367*Месяцев_в_квартале*E$39</f>
        <v>0</v>
      </c>
      <c s="125">
        <f>Предпосылки!$D367*Месяцев_в_квартале*F$39</f>
        <v>0</v>
      </c>
      <c s="125">
        <f>Предпосылки!$D367*Месяцев_в_квартале*G$39</f>
        <v>0</v>
      </c>
      <c s="125">
        <f>Предпосылки!$D367*Месяцев_в_квартале*H$39</f>
        <v>0</v>
      </c>
      <c s="125">
        <f>Предпосылки!$D367*Месяцев_в_квартале*I$39</f>
        <v>0</v>
      </c>
      <c s="125">
        <f>Предпосылки!$D367*Месяцев_в_квартале*J$39</f>
        <v>0</v>
      </c>
      <c s="125">
        <f>Предпосылки!$D367*Месяцев_в_квартале*K$39</f>
        <v>0</v>
      </c>
      <c s="125">
        <f>Предпосылки!$D367*Месяцев_в_квартале*L$39</f>
        <v>0</v>
      </c>
      <c s="125">
        <f>Предпосылки!$D367*Месяцев_в_квартале*M$39</f>
        <v>0</v>
      </c>
      <c s="125">
        <f>Предпосылки!$D367*Месяцев_в_квартале*N$39</f>
        <v>0</v>
      </c>
      <c s="125">
        <f>Предпосылки!$D367*Месяцев_в_квартале*O$39</f>
        <v>0</v>
      </c>
      <c s="125">
        <f>Предпосылки!$D367*Месяцев_в_квартале*P$39</f>
        <v>0</v>
      </c>
      <c s="125">
        <f>Предпосылки!$D367*Месяцев_в_квартале*Q$39</f>
        <v>0</v>
      </c>
      <c s="125">
        <f>Предпосылки!$D367*Месяцев_в_квартале*R$39</f>
        <v>0</v>
      </c>
      <c s="125">
        <f>Предпосылки!$D367*Месяцев_в_квартале*S$39</f>
        <v>0</v>
      </c>
      <c s="125">
        <f>Предпосылки!$D367*Месяцев_в_квартале*T$39</f>
        <v>0</v>
      </c>
      <c s="125">
        <f>Предпосылки!$D367*Месяцев_в_квартале*U$39</f>
        <v>0</v>
      </c>
      <c s="125">
        <f>Предпосылки!$D367*Месяцев_в_квартале*V$39</f>
        <v>0</v>
      </c>
      <c s="125">
        <f>Предпосылки!$D367*Месяцев_в_квартале*W$39</f>
        <v>0</v>
      </c>
      <c s="125">
        <f>Предпосылки!$D367*Месяцев_в_квартале*X$39</f>
        <v>0</v>
      </c>
      <c s="125">
        <f>Предпосылки!$D367*Месяцев_в_квартале*Y$39</f>
        <v>0</v>
      </c>
      <c s="125">
        <f>Предпосылки!$D367*Месяцев_в_квартале*Z$39</f>
        <v>0</v>
      </c>
      <c s="125">
        <f>Предпосылки!$D367*Месяцев_в_квартале*AA$39</f>
        <v>0</v>
      </c>
      <c s="125">
        <f>Предпосылки!$D367*Месяцев_в_квартале*AB$39</f>
        <v>0</v>
      </c>
      <c s="125">
        <f>Предпосылки!$D367*Месяцев_в_квартале*AC$39</f>
        <v>0</v>
      </c>
      <c s="125">
        <f>Предпосылки!$D367*Месяцев_в_квартале*AD$39</f>
        <v>0</v>
      </c>
      <c s="125">
        <f>Предпосылки!$D367*Месяцев_в_квартале*AE$39</f>
        <v>0</v>
      </c>
      <c s="125">
        <f>Предпосылки!$D367*Месяцев_в_квартале*AF$39</f>
        <v>0</v>
      </c>
      <c s="125">
        <f>Предпосылки!$D367*Месяцев_в_квартале*AG$39</f>
        <v>0</v>
      </c>
      <c s="125">
        <f>Предпосылки!$D367*Месяцев_в_квартале*AH$39</f>
        <v>0</v>
      </c>
      <c s="125">
        <f>Предпосылки!$D367*Месяцев_в_квартале*AI$39</f>
        <v>0</v>
      </c>
      <c s="125">
        <f>Предпосылки!$D367*Месяцев_в_квартале*AJ$39</f>
        <v>0</v>
      </c>
      <c s="125">
        <f>Предпосылки!$D367*Месяцев_в_квартале*AK$39</f>
        <v>0</v>
      </c>
      <c s="125">
        <f>Предпосылки!$D367*Месяцев_в_квартале*AL$39</f>
        <v>0</v>
      </c>
      <c s="125">
        <f>Предпосылки!$D367*Месяцев_в_квартале*AM$39</f>
        <v>0</v>
      </c>
      <c s="125">
        <f>Предпосылки!$D367*Месяцев_в_квартале*AN$39</f>
        <v>0</v>
      </c>
      <c s="125">
        <f>Предпосылки!$D367*Месяцев_в_квартале*AO$39</f>
        <v>0</v>
      </c>
      <c s="125">
        <f>Предпосылки!$D367*Месяцев_в_квартале*AP$39</f>
        <v>0</v>
      </c>
      <c s="125">
        <f>Предпосылки!$D367*Месяцев_в_квартале*AQ$39</f>
        <v>0</v>
      </c>
      <c s="125">
        <f>Предпосылки!$D367*Месяцев_в_квартале*AR$39</f>
        <v>0</v>
      </c>
      <c s="125">
        <f>Предпосылки!$D367*Месяцев_в_квартале*AS$39</f>
        <v>0</v>
      </c>
      <c s="125">
        <f>Предпосылки!$D367*Месяцев_в_квартале*AT$39</f>
        <v>0</v>
      </c>
      <c s="125">
        <f>Предпосылки!$D367*Месяцев_в_квартале*AU$39</f>
        <v>0</v>
      </c>
      <c s="125">
        <f>Предпосылки!$D367*Месяцев_в_квартале*AV$39</f>
        <v>0</v>
      </c>
      <c s="125">
        <f>Предпосылки!$D367*Месяцев_в_квартале*AW$39</f>
        <v>0</v>
      </c>
      <c s="125">
        <f>Предпосылки!$D367*Месяцев_в_квартале*AX$39</f>
        <v>0</v>
      </c>
      <c s="125">
        <f>Предпосылки!$D367*Месяцев_в_квартале*AY$39</f>
        <v>0</v>
      </c>
      <c s="125">
        <f>Предпосылки!$D367*Месяцев_в_квартале*AZ$39</f>
        <v>0</v>
      </c>
      <c s="125">
        <f>Предпосылки!$D367*Месяцев_в_квартале*BA$39</f>
        <v>0</v>
      </c>
      <c s="125">
        <f>Предпосылки!$D367*Месяцев_в_квартале*BB$39</f>
        <v>0</v>
      </c>
      <c s="125">
        <f>Предпосылки!$D367*Месяцев_в_квартале*BC$39</f>
        <v>0</v>
      </c>
      <c s="125">
        <f>Предпосылки!$D367*Месяцев_в_квартале*BD$39</f>
        <v>0</v>
      </c>
      <c s="125">
        <f>Предпосылки!$D367*Месяцев_в_квартале*BE$39</f>
        <v>0</v>
      </c>
      <c s="125">
        <f>Предпосылки!$D367*Месяцев_в_квартале*BF$39</f>
        <v>0</v>
      </c>
      <c s="125">
        <f>Предпосылки!$D367*Месяцев_в_квартале*BG$39</f>
        <v>0</v>
      </c>
      <c s="125">
        <f>Предпосылки!$D367*Месяцев_в_квартале*BH$39</f>
        <v>0</v>
      </c>
      <c s="125">
        <f>Предпосылки!$D367*Месяцев_в_квартале*BI$39</f>
        <v>0</v>
      </c>
      <c s="125">
        <f>Предпосылки!$D367*Месяцев_в_квартале*BJ$39</f>
        <v>0</v>
      </c>
      <c s="125">
        <f>Предпосылки!$D367*Месяцев_в_квартале*BK$39</f>
        <v>0</v>
      </c>
      <c s="125">
        <f>Предпосылки!$D367*Месяцев_в_квартале*BL$39</f>
        <v>0</v>
      </c>
      <c s="125">
        <f>Предпосылки!$D367*Месяцев_в_квартале*BM$39</f>
        <v>0</v>
      </c>
      <c s="166"/>
    </row>
    <row r="61" spans="2:66" ht="15" customHeight="1">
      <c r="B61" s="12" t="str">
        <f t="shared" si="63"/>
        <v>-</v>
      </c>
      <c s="124" t="str">
        <f t="shared" si="62"/>
        <v>тыс. руб.</v>
      </c>
      <c s="127"/>
      <c s="125">
        <f>Предпосылки!$D368*Месяцев_в_квартале*E$39</f>
        <v>0</v>
      </c>
      <c s="125">
        <f>Предпосылки!$D368*Месяцев_в_квартале*F$39</f>
        <v>0</v>
      </c>
      <c s="125">
        <f>Предпосылки!$D368*Месяцев_в_квартале*G$39</f>
        <v>0</v>
      </c>
      <c s="125">
        <f>Предпосылки!$D368*Месяцев_в_квартале*H$39</f>
        <v>0</v>
      </c>
      <c s="125">
        <f>Предпосылки!$D368*Месяцев_в_квартале*I$39</f>
        <v>0</v>
      </c>
      <c s="125">
        <f>Предпосылки!$D368*Месяцев_в_квартале*J$39</f>
        <v>0</v>
      </c>
      <c s="125">
        <f>Предпосылки!$D368*Месяцев_в_квартале*K$39</f>
        <v>0</v>
      </c>
      <c s="125">
        <f>Предпосылки!$D368*Месяцев_в_квартале*L$39</f>
        <v>0</v>
      </c>
      <c s="125">
        <f>Предпосылки!$D368*Месяцев_в_квартале*M$39</f>
        <v>0</v>
      </c>
      <c s="125">
        <f>Предпосылки!$D368*Месяцев_в_квартале*N$39</f>
        <v>0</v>
      </c>
      <c s="125">
        <f>Предпосылки!$D368*Месяцев_в_квартале*O$39</f>
        <v>0</v>
      </c>
      <c s="125">
        <f>Предпосылки!$D368*Месяцев_в_квартале*P$39</f>
        <v>0</v>
      </c>
      <c s="125">
        <f>Предпосылки!$D368*Месяцев_в_квартале*Q$39</f>
        <v>0</v>
      </c>
      <c s="125">
        <f>Предпосылки!$D368*Месяцев_в_квартале*R$39</f>
        <v>0</v>
      </c>
      <c s="125">
        <f>Предпосылки!$D368*Месяцев_в_квартале*S$39</f>
        <v>0</v>
      </c>
      <c s="125">
        <f>Предпосылки!$D368*Месяцев_в_квартале*T$39</f>
        <v>0</v>
      </c>
      <c s="125">
        <f>Предпосылки!$D368*Месяцев_в_квартале*U$39</f>
        <v>0</v>
      </c>
      <c s="125">
        <f>Предпосылки!$D368*Месяцев_в_квартале*V$39</f>
        <v>0</v>
      </c>
      <c s="125">
        <f>Предпосылки!$D368*Месяцев_в_квартале*W$39</f>
        <v>0</v>
      </c>
      <c s="125">
        <f>Предпосылки!$D368*Месяцев_в_квартале*X$39</f>
        <v>0</v>
      </c>
      <c s="125">
        <f>Предпосылки!$D368*Месяцев_в_квартале*Y$39</f>
        <v>0</v>
      </c>
      <c s="125">
        <f>Предпосылки!$D368*Месяцев_в_квартале*Z$39</f>
        <v>0</v>
      </c>
      <c s="125">
        <f>Предпосылки!$D368*Месяцев_в_квартале*AA$39</f>
        <v>0</v>
      </c>
      <c s="125">
        <f>Предпосылки!$D368*Месяцев_в_квартале*AB$39</f>
        <v>0</v>
      </c>
      <c s="125">
        <f>Предпосылки!$D368*Месяцев_в_квартале*AC$39</f>
        <v>0</v>
      </c>
      <c s="125">
        <f>Предпосылки!$D368*Месяцев_в_квартале*AD$39</f>
        <v>0</v>
      </c>
      <c s="125">
        <f>Предпосылки!$D368*Месяцев_в_квартале*AE$39</f>
        <v>0</v>
      </c>
      <c s="125">
        <f>Предпосылки!$D368*Месяцев_в_квартале*AF$39</f>
        <v>0</v>
      </c>
      <c s="125">
        <f>Предпосылки!$D368*Месяцев_в_квартале*AG$39</f>
        <v>0</v>
      </c>
      <c s="125">
        <f>Предпосылки!$D368*Месяцев_в_квартале*AH$39</f>
        <v>0</v>
      </c>
      <c s="125">
        <f>Предпосылки!$D368*Месяцев_в_квартале*AI$39</f>
        <v>0</v>
      </c>
      <c s="125">
        <f>Предпосылки!$D368*Месяцев_в_квартале*AJ$39</f>
        <v>0</v>
      </c>
      <c s="125">
        <f>Предпосылки!$D368*Месяцев_в_квартале*AK$39</f>
        <v>0</v>
      </c>
      <c s="125">
        <f>Предпосылки!$D368*Месяцев_в_квартале*AL$39</f>
        <v>0</v>
      </c>
      <c s="125">
        <f>Предпосылки!$D368*Месяцев_в_квартале*AM$39</f>
        <v>0</v>
      </c>
      <c s="125">
        <f>Предпосылки!$D368*Месяцев_в_квартале*AN$39</f>
        <v>0</v>
      </c>
      <c s="125">
        <f>Предпосылки!$D368*Месяцев_в_квартале*AO$39</f>
        <v>0</v>
      </c>
      <c s="125">
        <f>Предпосылки!$D368*Месяцев_в_квартале*AP$39</f>
        <v>0</v>
      </c>
      <c s="125">
        <f>Предпосылки!$D368*Месяцев_в_квартале*AQ$39</f>
        <v>0</v>
      </c>
      <c s="125">
        <f>Предпосылки!$D368*Месяцев_в_квартале*AR$39</f>
        <v>0</v>
      </c>
      <c s="125">
        <f>Предпосылки!$D368*Месяцев_в_квартале*AS$39</f>
        <v>0</v>
      </c>
      <c s="125">
        <f>Предпосылки!$D368*Месяцев_в_квартале*AT$39</f>
        <v>0</v>
      </c>
      <c s="125">
        <f>Предпосылки!$D368*Месяцев_в_квартале*AU$39</f>
        <v>0</v>
      </c>
      <c s="125">
        <f>Предпосылки!$D368*Месяцев_в_квартале*AV$39</f>
        <v>0</v>
      </c>
      <c s="125">
        <f>Предпосылки!$D368*Месяцев_в_квартале*AW$39</f>
        <v>0</v>
      </c>
      <c s="125">
        <f>Предпосылки!$D368*Месяцев_в_квартале*AX$39</f>
        <v>0</v>
      </c>
      <c s="125">
        <f>Предпосылки!$D368*Месяцев_в_квартале*AY$39</f>
        <v>0</v>
      </c>
      <c s="125">
        <f>Предпосылки!$D368*Месяцев_в_квартале*AZ$39</f>
        <v>0</v>
      </c>
      <c s="125">
        <f>Предпосылки!$D368*Месяцев_в_квартале*BA$39</f>
        <v>0</v>
      </c>
      <c s="125">
        <f>Предпосылки!$D368*Месяцев_в_квартале*BB$39</f>
        <v>0</v>
      </c>
      <c s="125">
        <f>Предпосылки!$D368*Месяцев_в_квартале*BC$39</f>
        <v>0</v>
      </c>
      <c s="125">
        <f>Предпосылки!$D368*Месяцев_в_квартале*BD$39</f>
        <v>0</v>
      </c>
      <c s="125">
        <f>Предпосылки!$D368*Месяцев_в_квартале*BE$39</f>
        <v>0</v>
      </c>
      <c s="125">
        <f>Предпосылки!$D368*Месяцев_в_квартале*BF$39</f>
        <v>0</v>
      </c>
      <c s="125">
        <f>Предпосылки!$D368*Месяцев_в_квартале*BG$39</f>
        <v>0</v>
      </c>
      <c s="125">
        <f>Предпосылки!$D368*Месяцев_в_квартале*BH$39</f>
        <v>0</v>
      </c>
      <c s="125">
        <f>Предпосылки!$D368*Месяцев_в_квартале*BI$39</f>
        <v>0</v>
      </c>
      <c s="125">
        <f>Предпосылки!$D368*Месяцев_в_квартале*BJ$39</f>
        <v>0</v>
      </c>
      <c s="125">
        <f>Предпосылки!$D368*Месяцев_в_квартале*BK$39</f>
        <v>0</v>
      </c>
      <c s="125">
        <f>Предпосылки!$D368*Месяцев_в_квартале*BL$39</f>
        <v>0</v>
      </c>
      <c s="125">
        <f>Предпосылки!$D368*Месяцев_в_квартале*BM$39</f>
        <v>0</v>
      </c>
      <c s="166"/>
    </row>
    <row r="62" spans="2:66" ht="15" customHeight="1">
      <c r="B62" s="12" t="str">
        <f t="shared" si="63"/>
        <v>-</v>
      </c>
      <c s="124" t="str">
        <f t="shared" si="62"/>
        <v>тыс. руб.</v>
      </c>
      <c s="127"/>
      <c s="125">
        <f>Предпосылки!$D369*Месяцев_в_квартале*E$39</f>
        <v>0</v>
      </c>
      <c s="125">
        <f>Предпосылки!$D369*Месяцев_в_квартале*F$39</f>
        <v>0</v>
      </c>
      <c s="125">
        <f>Предпосылки!$D369*Месяцев_в_квартале*G$39</f>
        <v>0</v>
      </c>
      <c s="125">
        <f>Предпосылки!$D369*Месяцев_в_квартале*H$39</f>
        <v>0</v>
      </c>
      <c s="125">
        <f>Предпосылки!$D369*Месяцев_в_квартале*I$39</f>
        <v>0</v>
      </c>
      <c s="125">
        <f>Предпосылки!$D369*Месяцев_в_квартале*J$39</f>
        <v>0</v>
      </c>
      <c s="125">
        <f>Предпосылки!$D369*Месяцев_в_квартале*K$39</f>
        <v>0</v>
      </c>
      <c s="125">
        <f>Предпосылки!$D369*Месяцев_в_квартале*L$39</f>
        <v>0</v>
      </c>
      <c s="125">
        <f>Предпосылки!$D369*Месяцев_в_квартале*M$39</f>
        <v>0</v>
      </c>
      <c s="125">
        <f>Предпосылки!$D369*Месяцев_в_квартале*N$39</f>
        <v>0</v>
      </c>
      <c s="125">
        <f>Предпосылки!$D369*Месяцев_в_квартале*O$39</f>
        <v>0</v>
      </c>
      <c s="125">
        <f>Предпосылки!$D369*Месяцев_в_квартале*P$39</f>
        <v>0</v>
      </c>
      <c s="125">
        <f>Предпосылки!$D369*Месяцев_в_квартале*Q$39</f>
        <v>0</v>
      </c>
      <c s="125">
        <f>Предпосылки!$D369*Месяцев_в_квартале*R$39</f>
        <v>0</v>
      </c>
      <c s="125">
        <f>Предпосылки!$D369*Месяцев_в_квартале*S$39</f>
        <v>0</v>
      </c>
      <c s="125">
        <f>Предпосылки!$D369*Месяцев_в_квартале*T$39</f>
        <v>0</v>
      </c>
      <c s="125">
        <f>Предпосылки!$D369*Месяцев_в_квартале*U$39</f>
        <v>0</v>
      </c>
      <c s="125">
        <f>Предпосылки!$D369*Месяцев_в_квартале*V$39</f>
        <v>0</v>
      </c>
      <c s="125">
        <f>Предпосылки!$D369*Месяцев_в_квартале*W$39</f>
        <v>0</v>
      </c>
      <c s="125">
        <f>Предпосылки!$D369*Месяцев_в_квартале*X$39</f>
        <v>0</v>
      </c>
      <c s="125">
        <f>Предпосылки!$D369*Месяцев_в_квартале*Y$39</f>
        <v>0</v>
      </c>
      <c s="125">
        <f>Предпосылки!$D369*Месяцев_в_квартале*Z$39</f>
        <v>0</v>
      </c>
      <c s="125">
        <f>Предпосылки!$D369*Месяцев_в_квартале*AA$39</f>
        <v>0</v>
      </c>
      <c s="125">
        <f>Предпосылки!$D369*Месяцев_в_квартале*AB$39</f>
        <v>0</v>
      </c>
      <c s="125">
        <f>Предпосылки!$D369*Месяцев_в_квартале*AC$39</f>
        <v>0</v>
      </c>
      <c s="125">
        <f>Предпосылки!$D369*Месяцев_в_квартале*AD$39</f>
        <v>0</v>
      </c>
      <c s="125">
        <f>Предпосылки!$D369*Месяцев_в_квартале*AE$39</f>
        <v>0</v>
      </c>
      <c s="125">
        <f>Предпосылки!$D369*Месяцев_в_квартале*AF$39</f>
        <v>0</v>
      </c>
      <c s="125">
        <f>Предпосылки!$D369*Месяцев_в_квартале*AG$39</f>
        <v>0</v>
      </c>
      <c s="125">
        <f>Предпосылки!$D369*Месяцев_в_квартале*AH$39</f>
        <v>0</v>
      </c>
      <c s="125">
        <f>Предпосылки!$D369*Месяцев_в_квартале*AI$39</f>
        <v>0</v>
      </c>
      <c s="125">
        <f>Предпосылки!$D369*Месяцев_в_квартале*AJ$39</f>
        <v>0</v>
      </c>
      <c s="125">
        <f>Предпосылки!$D369*Месяцев_в_квартале*AK$39</f>
        <v>0</v>
      </c>
      <c s="125">
        <f>Предпосылки!$D369*Месяцев_в_квартале*AL$39</f>
        <v>0</v>
      </c>
      <c s="125">
        <f>Предпосылки!$D369*Месяцев_в_квартале*AM$39</f>
        <v>0</v>
      </c>
      <c s="125">
        <f>Предпосылки!$D369*Месяцев_в_квартале*AN$39</f>
        <v>0</v>
      </c>
      <c s="125">
        <f>Предпосылки!$D369*Месяцев_в_квартале*AO$39</f>
        <v>0</v>
      </c>
      <c s="125">
        <f>Предпосылки!$D369*Месяцев_в_квартале*AP$39</f>
        <v>0</v>
      </c>
      <c s="125">
        <f>Предпосылки!$D369*Месяцев_в_квартале*AQ$39</f>
        <v>0</v>
      </c>
      <c s="125">
        <f>Предпосылки!$D369*Месяцев_в_квартале*AR$39</f>
        <v>0</v>
      </c>
      <c s="125">
        <f>Предпосылки!$D369*Месяцев_в_квартале*AS$39</f>
        <v>0</v>
      </c>
      <c s="125">
        <f>Предпосылки!$D369*Месяцев_в_квартале*AT$39</f>
        <v>0</v>
      </c>
      <c s="125">
        <f>Предпосылки!$D369*Месяцев_в_квартале*AU$39</f>
        <v>0</v>
      </c>
      <c s="125">
        <f>Предпосылки!$D369*Месяцев_в_квартале*AV$39</f>
        <v>0</v>
      </c>
      <c s="125">
        <f>Предпосылки!$D369*Месяцев_в_квартале*AW$39</f>
        <v>0</v>
      </c>
      <c s="125">
        <f>Предпосылки!$D369*Месяцев_в_квартале*AX$39</f>
        <v>0</v>
      </c>
      <c s="125">
        <f>Предпосылки!$D369*Месяцев_в_квартале*AY$39</f>
        <v>0</v>
      </c>
      <c s="125">
        <f>Предпосылки!$D369*Месяцев_в_квартале*AZ$39</f>
        <v>0</v>
      </c>
      <c s="125">
        <f>Предпосылки!$D369*Месяцев_в_квартале*BA$39</f>
        <v>0</v>
      </c>
      <c s="125">
        <f>Предпосылки!$D369*Месяцев_в_квартале*BB$39</f>
        <v>0</v>
      </c>
      <c s="125">
        <f>Предпосылки!$D369*Месяцев_в_квартале*BC$39</f>
        <v>0</v>
      </c>
      <c s="125">
        <f>Предпосылки!$D369*Месяцев_в_квартале*BD$39</f>
        <v>0</v>
      </c>
      <c s="125">
        <f>Предпосылки!$D369*Месяцев_в_квартале*BE$39</f>
        <v>0</v>
      </c>
      <c s="125">
        <f>Предпосылки!$D369*Месяцев_в_квартале*BF$39</f>
        <v>0</v>
      </c>
      <c s="125">
        <f>Предпосылки!$D369*Месяцев_в_квартале*BG$39</f>
        <v>0</v>
      </c>
      <c s="125">
        <f>Предпосылки!$D369*Месяцев_в_квартале*BH$39</f>
        <v>0</v>
      </c>
      <c s="125">
        <f>Предпосылки!$D369*Месяцев_в_квартале*BI$39</f>
        <v>0</v>
      </c>
      <c s="125">
        <f>Предпосылки!$D369*Месяцев_в_квартале*BJ$39</f>
        <v>0</v>
      </c>
      <c s="125">
        <f>Предпосылки!$D369*Месяцев_в_квартале*BK$39</f>
        <v>0</v>
      </c>
      <c s="125">
        <f>Предпосылки!$D369*Месяцев_в_квартале*BL$39</f>
        <v>0</v>
      </c>
      <c s="125">
        <f>Предпосылки!$D369*Месяцев_в_квартале*BM$39</f>
        <v>0</v>
      </c>
      <c s="166"/>
    </row>
    <row r="63" spans="2:66" ht="15" customHeight="1">
      <c r="B63" s="12" t="str">
        <f t="shared" si="63"/>
        <v>-</v>
      </c>
      <c s="124" t="str">
        <f t="shared" si="62"/>
        <v>тыс. руб.</v>
      </c>
      <c s="127"/>
      <c s="125">
        <f>Предпосылки!$D370*Месяцев_в_квартале*E$39</f>
        <v>0</v>
      </c>
      <c s="125">
        <f>Предпосылки!$D370*Месяцев_в_квартале*F$39</f>
        <v>0</v>
      </c>
      <c s="125">
        <f>Предпосылки!$D370*Месяцев_в_квартале*G$39</f>
        <v>0</v>
      </c>
      <c s="125">
        <f>Предпосылки!$D370*Месяцев_в_квартале*H$39</f>
        <v>0</v>
      </c>
      <c s="125">
        <f>Предпосылки!$D370*Месяцев_в_квартале*I$39</f>
        <v>0</v>
      </c>
      <c s="125">
        <f>Предпосылки!$D370*Месяцев_в_квартале*J$39</f>
        <v>0</v>
      </c>
      <c s="125">
        <f>Предпосылки!$D370*Месяцев_в_квартале*K$39</f>
        <v>0</v>
      </c>
      <c s="125">
        <f>Предпосылки!$D370*Месяцев_в_квартале*L$39</f>
        <v>0</v>
      </c>
      <c s="125">
        <f>Предпосылки!$D370*Месяцев_в_квартале*M$39</f>
        <v>0</v>
      </c>
      <c s="125">
        <f>Предпосылки!$D370*Месяцев_в_квартале*N$39</f>
        <v>0</v>
      </c>
      <c s="125">
        <f>Предпосылки!$D370*Месяцев_в_квартале*O$39</f>
        <v>0</v>
      </c>
      <c s="125">
        <f>Предпосылки!$D370*Месяцев_в_квартале*P$39</f>
        <v>0</v>
      </c>
      <c s="125">
        <f>Предпосылки!$D370*Месяцев_в_квартале*Q$39</f>
        <v>0</v>
      </c>
      <c s="125">
        <f>Предпосылки!$D370*Месяцев_в_квартале*R$39</f>
        <v>0</v>
      </c>
      <c s="125">
        <f>Предпосылки!$D370*Месяцев_в_квартале*S$39</f>
        <v>0</v>
      </c>
      <c s="125">
        <f>Предпосылки!$D370*Месяцев_в_квартале*T$39</f>
        <v>0</v>
      </c>
      <c s="125">
        <f>Предпосылки!$D370*Месяцев_в_квартале*U$39</f>
        <v>0</v>
      </c>
      <c s="125">
        <f>Предпосылки!$D370*Месяцев_в_квартале*V$39</f>
        <v>0</v>
      </c>
      <c s="125">
        <f>Предпосылки!$D370*Месяцев_в_квартале*W$39</f>
        <v>0</v>
      </c>
      <c s="125">
        <f>Предпосылки!$D370*Месяцев_в_квартале*X$39</f>
        <v>0</v>
      </c>
      <c s="125">
        <f>Предпосылки!$D370*Месяцев_в_квартале*Y$39</f>
        <v>0</v>
      </c>
      <c s="125">
        <f>Предпосылки!$D370*Месяцев_в_квартале*Z$39</f>
        <v>0</v>
      </c>
      <c s="125">
        <f>Предпосылки!$D370*Месяцев_в_квартале*AA$39</f>
        <v>0</v>
      </c>
      <c s="125">
        <f>Предпосылки!$D370*Месяцев_в_квартале*AB$39</f>
        <v>0</v>
      </c>
      <c s="125">
        <f>Предпосылки!$D370*Месяцев_в_квартале*AC$39</f>
        <v>0</v>
      </c>
      <c s="125">
        <f>Предпосылки!$D370*Месяцев_в_квартале*AD$39</f>
        <v>0</v>
      </c>
      <c s="125">
        <f>Предпосылки!$D370*Месяцев_в_квартале*AE$39</f>
        <v>0</v>
      </c>
      <c s="125">
        <f>Предпосылки!$D370*Месяцев_в_квартале*AF$39</f>
        <v>0</v>
      </c>
      <c s="125">
        <f>Предпосылки!$D370*Месяцев_в_квартале*AG$39</f>
        <v>0</v>
      </c>
      <c s="125">
        <f>Предпосылки!$D370*Месяцев_в_квартале*AH$39</f>
        <v>0</v>
      </c>
      <c s="125">
        <f>Предпосылки!$D370*Месяцев_в_квартале*AI$39</f>
        <v>0</v>
      </c>
      <c s="125">
        <f>Предпосылки!$D370*Месяцев_в_квартале*AJ$39</f>
        <v>0</v>
      </c>
      <c s="125">
        <f>Предпосылки!$D370*Месяцев_в_квартале*AK$39</f>
        <v>0</v>
      </c>
      <c s="125">
        <f>Предпосылки!$D370*Месяцев_в_квартале*AL$39</f>
        <v>0</v>
      </c>
      <c s="125">
        <f>Предпосылки!$D370*Месяцев_в_квартале*AM$39</f>
        <v>0</v>
      </c>
      <c s="125">
        <f>Предпосылки!$D370*Месяцев_в_квартале*AN$39</f>
        <v>0</v>
      </c>
      <c s="125">
        <f>Предпосылки!$D370*Месяцев_в_квартале*AO$39</f>
        <v>0</v>
      </c>
      <c s="125">
        <f>Предпосылки!$D370*Месяцев_в_квартале*AP$39</f>
        <v>0</v>
      </c>
      <c s="125">
        <f>Предпосылки!$D370*Месяцев_в_квартале*AQ$39</f>
        <v>0</v>
      </c>
      <c s="125">
        <f>Предпосылки!$D370*Месяцев_в_квартале*AR$39</f>
        <v>0</v>
      </c>
      <c s="125">
        <f>Предпосылки!$D370*Месяцев_в_квартале*AS$39</f>
        <v>0</v>
      </c>
      <c s="125">
        <f>Предпосылки!$D370*Месяцев_в_квартале*AT$39</f>
        <v>0</v>
      </c>
      <c s="125">
        <f>Предпосылки!$D370*Месяцев_в_квартале*AU$39</f>
        <v>0</v>
      </c>
      <c s="125">
        <f>Предпосылки!$D370*Месяцев_в_квартале*AV$39</f>
        <v>0</v>
      </c>
      <c s="125">
        <f>Предпосылки!$D370*Месяцев_в_квартале*AW$39</f>
        <v>0</v>
      </c>
      <c s="125">
        <f>Предпосылки!$D370*Месяцев_в_квартале*AX$39</f>
        <v>0</v>
      </c>
      <c s="125">
        <f>Предпосылки!$D370*Месяцев_в_квартале*AY$39</f>
        <v>0</v>
      </c>
      <c s="125">
        <f>Предпосылки!$D370*Месяцев_в_квартале*AZ$39</f>
        <v>0</v>
      </c>
      <c s="125">
        <f>Предпосылки!$D370*Месяцев_в_квартале*BA$39</f>
        <v>0</v>
      </c>
      <c s="125">
        <f>Предпосылки!$D370*Месяцев_в_квартале*BB$39</f>
        <v>0</v>
      </c>
      <c s="125">
        <f>Предпосылки!$D370*Месяцев_в_квартале*BC$39</f>
        <v>0</v>
      </c>
      <c s="125">
        <f>Предпосылки!$D370*Месяцев_в_квартале*BD$39</f>
        <v>0</v>
      </c>
      <c s="125">
        <f>Предпосылки!$D370*Месяцев_в_квартале*BE$39</f>
        <v>0</v>
      </c>
      <c s="125">
        <f>Предпосылки!$D370*Месяцев_в_квартале*BF$39</f>
        <v>0</v>
      </c>
      <c s="125">
        <f>Предпосылки!$D370*Месяцев_в_квартале*BG$39</f>
        <v>0</v>
      </c>
      <c s="125">
        <f>Предпосылки!$D370*Месяцев_в_квартале*BH$39</f>
        <v>0</v>
      </c>
      <c s="125">
        <f>Предпосылки!$D370*Месяцев_в_квартале*BI$39</f>
        <v>0</v>
      </c>
      <c s="125">
        <f>Предпосылки!$D370*Месяцев_в_квартале*BJ$39</f>
        <v>0</v>
      </c>
      <c s="125">
        <f>Предпосылки!$D370*Месяцев_в_квартале*BK$39</f>
        <v>0</v>
      </c>
      <c s="125">
        <f>Предпосылки!$D370*Месяцев_в_квартале*BL$39</f>
        <v>0</v>
      </c>
      <c s="125">
        <f>Предпосылки!$D370*Месяцев_в_квартале*BM$39</f>
        <v>0</v>
      </c>
      <c s="166"/>
    </row>
    <row r="64" spans="2:66" ht="15" customHeight="1">
      <c r="B64" s="12" t="str">
        <f t="shared" si="63"/>
        <v>-</v>
      </c>
      <c s="124" t="str">
        <f t="shared" si="62"/>
        <v>тыс. руб.</v>
      </c>
      <c s="127"/>
      <c s="125">
        <f>Предпосылки!$D371*Месяцев_в_квартале*E$39</f>
        <v>0</v>
      </c>
      <c s="125">
        <f>Предпосылки!$D371*Месяцев_в_квартале*F$39</f>
        <v>0</v>
      </c>
      <c s="125">
        <f>Предпосылки!$D371*Месяцев_в_квартале*G$39</f>
        <v>0</v>
      </c>
      <c s="125">
        <f>Предпосылки!$D371*Месяцев_в_квартале*H$39</f>
        <v>0</v>
      </c>
      <c s="125">
        <f>Предпосылки!$D371*Месяцев_в_квартале*I$39</f>
        <v>0</v>
      </c>
      <c s="125">
        <f>Предпосылки!$D371*Месяцев_в_квартале*J$39</f>
        <v>0</v>
      </c>
      <c s="125">
        <f>Предпосылки!$D371*Месяцев_в_квартале*K$39</f>
        <v>0</v>
      </c>
      <c s="125">
        <f>Предпосылки!$D371*Месяцев_в_квартале*L$39</f>
        <v>0</v>
      </c>
      <c s="125">
        <f>Предпосылки!$D371*Месяцев_в_квартале*M$39</f>
        <v>0</v>
      </c>
      <c s="125">
        <f>Предпосылки!$D371*Месяцев_в_квартале*N$39</f>
        <v>0</v>
      </c>
      <c s="125">
        <f>Предпосылки!$D371*Месяцев_в_квартале*O$39</f>
        <v>0</v>
      </c>
      <c s="125">
        <f>Предпосылки!$D371*Месяцев_в_квартале*P$39</f>
        <v>0</v>
      </c>
      <c s="125">
        <f>Предпосылки!$D371*Месяцев_в_квартале*Q$39</f>
        <v>0</v>
      </c>
      <c s="125">
        <f>Предпосылки!$D371*Месяцев_в_квартале*R$39</f>
        <v>0</v>
      </c>
      <c s="125">
        <f>Предпосылки!$D371*Месяцев_в_квартале*S$39</f>
        <v>0</v>
      </c>
      <c s="125">
        <f>Предпосылки!$D371*Месяцев_в_квартале*T$39</f>
        <v>0</v>
      </c>
      <c s="125">
        <f>Предпосылки!$D371*Месяцев_в_квартале*U$39</f>
        <v>0</v>
      </c>
      <c s="125">
        <f>Предпосылки!$D371*Месяцев_в_квартале*V$39</f>
        <v>0</v>
      </c>
      <c s="125">
        <f>Предпосылки!$D371*Месяцев_в_квартале*W$39</f>
        <v>0</v>
      </c>
      <c s="125">
        <f>Предпосылки!$D371*Месяцев_в_квартале*X$39</f>
        <v>0</v>
      </c>
      <c s="125">
        <f>Предпосылки!$D371*Месяцев_в_квартале*Y$39</f>
        <v>0</v>
      </c>
      <c s="125">
        <f>Предпосылки!$D371*Месяцев_в_квартале*Z$39</f>
        <v>0</v>
      </c>
      <c s="125">
        <f>Предпосылки!$D371*Месяцев_в_квартале*AA$39</f>
        <v>0</v>
      </c>
      <c s="125">
        <f>Предпосылки!$D371*Месяцев_в_квартале*AB$39</f>
        <v>0</v>
      </c>
      <c s="125">
        <f>Предпосылки!$D371*Месяцев_в_квартале*AC$39</f>
        <v>0</v>
      </c>
      <c s="125">
        <f>Предпосылки!$D371*Месяцев_в_квартале*AD$39</f>
        <v>0</v>
      </c>
      <c s="125">
        <f>Предпосылки!$D371*Месяцев_в_квартале*AE$39</f>
        <v>0</v>
      </c>
      <c s="125">
        <f>Предпосылки!$D371*Месяцев_в_квартале*AF$39</f>
        <v>0</v>
      </c>
      <c s="125">
        <f>Предпосылки!$D371*Месяцев_в_квартале*AG$39</f>
        <v>0</v>
      </c>
      <c s="125">
        <f>Предпосылки!$D371*Месяцев_в_квартале*AH$39</f>
        <v>0</v>
      </c>
      <c s="125">
        <f>Предпосылки!$D371*Месяцев_в_квартале*AI$39</f>
        <v>0</v>
      </c>
      <c s="125">
        <f>Предпосылки!$D371*Месяцев_в_квартале*AJ$39</f>
        <v>0</v>
      </c>
      <c s="125">
        <f>Предпосылки!$D371*Месяцев_в_квартале*AK$39</f>
        <v>0</v>
      </c>
      <c s="125">
        <f>Предпосылки!$D371*Месяцев_в_квартале*AL$39</f>
        <v>0</v>
      </c>
      <c s="125">
        <f>Предпосылки!$D371*Месяцев_в_квартале*AM$39</f>
        <v>0</v>
      </c>
      <c s="125">
        <f>Предпосылки!$D371*Месяцев_в_квартале*AN$39</f>
        <v>0</v>
      </c>
      <c s="125">
        <f>Предпосылки!$D371*Месяцев_в_квартале*AO$39</f>
        <v>0</v>
      </c>
      <c s="125">
        <f>Предпосылки!$D371*Месяцев_в_квартале*AP$39</f>
        <v>0</v>
      </c>
      <c s="125">
        <f>Предпосылки!$D371*Месяцев_в_квартале*AQ$39</f>
        <v>0</v>
      </c>
      <c s="125">
        <f>Предпосылки!$D371*Месяцев_в_квартале*AR$39</f>
        <v>0</v>
      </c>
      <c s="125">
        <f>Предпосылки!$D371*Месяцев_в_квартале*AS$39</f>
        <v>0</v>
      </c>
      <c s="125">
        <f>Предпосылки!$D371*Месяцев_в_квартале*AT$39</f>
        <v>0</v>
      </c>
      <c s="125">
        <f>Предпосылки!$D371*Месяцев_в_квартале*AU$39</f>
        <v>0</v>
      </c>
      <c s="125">
        <f>Предпосылки!$D371*Месяцев_в_квартале*AV$39</f>
        <v>0</v>
      </c>
      <c s="125">
        <f>Предпосылки!$D371*Месяцев_в_квартале*AW$39</f>
        <v>0</v>
      </c>
      <c s="125">
        <f>Предпосылки!$D371*Месяцев_в_квартале*AX$39</f>
        <v>0</v>
      </c>
      <c s="125">
        <f>Предпосылки!$D371*Месяцев_в_квартале*AY$39</f>
        <v>0</v>
      </c>
      <c s="125">
        <f>Предпосылки!$D371*Месяцев_в_квартале*AZ$39</f>
        <v>0</v>
      </c>
      <c s="125">
        <f>Предпосылки!$D371*Месяцев_в_квартале*BA$39</f>
        <v>0</v>
      </c>
      <c s="125">
        <f>Предпосылки!$D371*Месяцев_в_квартале*BB$39</f>
        <v>0</v>
      </c>
      <c s="125">
        <f>Предпосылки!$D371*Месяцев_в_квартале*BC$39</f>
        <v>0</v>
      </c>
      <c s="125">
        <f>Предпосылки!$D371*Месяцев_в_квартале*BD$39</f>
        <v>0</v>
      </c>
      <c s="125">
        <f>Предпосылки!$D371*Месяцев_в_квартале*BE$39</f>
        <v>0</v>
      </c>
      <c s="125">
        <f>Предпосылки!$D371*Месяцев_в_квартале*BF$39</f>
        <v>0</v>
      </c>
      <c s="125">
        <f>Предпосылки!$D371*Месяцев_в_квартале*BG$39</f>
        <v>0</v>
      </c>
      <c s="125">
        <f>Предпосылки!$D371*Месяцев_в_квартале*BH$39</f>
        <v>0</v>
      </c>
      <c s="125">
        <f>Предпосылки!$D371*Месяцев_в_квартале*BI$39</f>
        <v>0</v>
      </c>
      <c s="125">
        <f>Предпосылки!$D371*Месяцев_в_квартале*BJ$39</f>
        <v>0</v>
      </c>
      <c s="125">
        <f>Предпосылки!$D371*Месяцев_в_квартале*BK$39</f>
        <v>0</v>
      </c>
      <c s="125">
        <f>Предпосылки!$D371*Месяцев_в_квартале*BL$39</f>
        <v>0</v>
      </c>
      <c s="125">
        <f>Предпосылки!$D371*Месяцев_в_квартале*BM$39</f>
        <v>0</v>
      </c>
      <c s="166"/>
    </row>
    <row r="65" spans="2:66" ht="15" customHeight="1">
      <c r="B65" s="12" t="str">
        <f t="shared" si="63"/>
        <v>-</v>
      </c>
      <c s="124" t="str">
        <f t="shared" si="62"/>
        <v>тыс. руб.</v>
      </c>
      <c s="127"/>
      <c s="125">
        <f>Предпосылки!$D372*Месяцев_в_квартале*E$39</f>
        <v>0</v>
      </c>
      <c s="125">
        <f>Предпосылки!$D372*Месяцев_в_квартале*F$39</f>
        <v>0</v>
      </c>
      <c s="125">
        <f>Предпосылки!$D372*Месяцев_в_квартале*G$39</f>
        <v>0</v>
      </c>
      <c s="125">
        <f>Предпосылки!$D372*Месяцев_в_квартале*H$39</f>
        <v>0</v>
      </c>
      <c s="125">
        <f>Предпосылки!$D372*Месяцев_в_квартале*I$39</f>
        <v>0</v>
      </c>
      <c s="125">
        <f>Предпосылки!$D372*Месяцев_в_квартале*J$39</f>
        <v>0</v>
      </c>
      <c s="125">
        <f>Предпосылки!$D372*Месяцев_в_квартале*K$39</f>
        <v>0</v>
      </c>
      <c s="125">
        <f>Предпосылки!$D372*Месяцев_в_квартале*L$39</f>
        <v>0</v>
      </c>
      <c s="125">
        <f>Предпосылки!$D372*Месяцев_в_квартале*M$39</f>
        <v>0</v>
      </c>
      <c s="125">
        <f>Предпосылки!$D372*Месяцев_в_квартале*N$39</f>
        <v>0</v>
      </c>
      <c s="125">
        <f>Предпосылки!$D372*Месяцев_в_квартале*O$39</f>
        <v>0</v>
      </c>
      <c s="125">
        <f>Предпосылки!$D372*Месяцев_в_квартале*P$39</f>
        <v>0</v>
      </c>
      <c s="125">
        <f>Предпосылки!$D372*Месяцев_в_квартале*Q$39</f>
        <v>0</v>
      </c>
      <c s="125">
        <f>Предпосылки!$D372*Месяцев_в_квартале*R$39</f>
        <v>0</v>
      </c>
      <c s="125">
        <f>Предпосылки!$D372*Месяцев_в_квартале*S$39</f>
        <v>0</v>
      </c>
      <c s="125">
        <f>Предпосылки!$D372*Месяцев_в_квартале*T$39</f>
        <v>0</v>
      </c>
      <c s="125">
        <f>Предпосылки!$D372*Месяцев_в_квартале*U$39</f>
        <v>0</v>
      </c>
      <c s="125">
        <f>Предпосылки!$D372*Месяцев_в_квартале*V$39</f>
        <v>0</v>
      </c>
      <c s="125">
        <f>Предпосылки!$D372*Месяцев_в_квартале*W$39</f>
        <v>0</v>
      </c>
      <c s="125">
        <f>Предпосылки!$D372*Месяцев_в_квартале*X$39</f>
        <v>0</v>
      </c>
      <c s="125">
        <f>Предпосылки!$D372*Месяцев_в_квартале*Y$39</f>
        <v>0</v>
      </c>
      <c s="125">
        <f>Предпосылки!$D372*Месяцев_в_квартале*Z$39</f>
        <v>0</v>
      </c>
      <c s="125">
        <f>Предпосылки!$D372*Месяцев_в_квартале*AA$39</f>
        <v>0</v>
      </c>
      <c s="125">
        <f>Предпосылки!$D372*Месяцев_в_квартале*AB$39</f>
        <v>0</v>
      </c>
      <c s="125">
        <f>Предпосылки!$D372*Месяцев_в_квартале*AC$39</f>
        <v>0</v>
      </c>
      <c s="125">
        <f>Предпосылки!$D372*Месяцев_в_квартале*AD$39</f>
        <v>0</v>
      </c>
      <c s="125">
        <f>Предпосылки!$D372*Месяцев_в_квартале*AE$39</f>
        <v>0</v>
      </c>
      <c s="125">
        <f>Предпосылки!$D372*Месяцев_в_квартале*AF$39</f>
        <v>0</v>
      </c>
      <c s="125">
        <f>Предпосылки!$D372*Месяцев_в_квартале*AG$39</f>
        <v>0</v>
      </c>
      <c s="125">
        <f>Предпосылки!$D372*Месяцев_в_квартале*AH$39</f>
        <v>0</v>
      </c>
      <c s="125">
        <f>Предпосылки!$D372*Месяцев_в_квартале*AI$39</f>
        <v>0</v>
      </c>
      <c s="125">
        <f>Предпосылки!$D372*Месяцев_в_квартале*AJ$39</f>
        <v>0</v>
      </c>
      <c s="125">
        <f>Предпосылки!$D372*Месяцев_в_квартале*AK$39</f>
        <v>0</v>
      </c>
      <c s="125">
        <f>Предпосылки!$D372*Месяцев_в_квартале*AL$39</f>
        <v>0</v>
      </c>
      <c s="125">
        <f>Предпосылки!$D372*Месяцев_в_квартале*AM$39</f>
        <v>0</v>
      </c>
      <c s="125">
        <f>Предпосылки!$D372*Месяцев_в_квартале*AN$39</f>
        <v>0</v>
      </c>
      <c s="125">
        <f>Предпосылки!$D372*Месяцев_в_квартале*AO$39</f>
        <v>0</v>
      </c>
      <c s="125">
        <f>Предпосылки!$D372*Месяцев_в_квартале*AP$39</f>
        <v>0</v>
      </c>
      <c s="125">
        <f>Предпосылки!$D372*Месяцев_в_квартале*AQ$39</f>
        <v>0</v>
      </c>
      <c s="125">
        <f>Предпосылки!$D372*Месяцев_в_квартале*AR$39</f>
        <v>0</v>
      </c>
      <c s="125">
        <f>Предпосылки!$D372*Месяцев_в_квартале*AS$39</f>
        <v>0</v>
      </c>
      <c s="125">
        <f>Предпосылки!$D372*Месяцев_в_квартале*AT$39</f>
        <v>0</v>
      </c>
      <c s="125">
        <f>Предпосылки!$D372*Месяцев_в_квартале*AU$39</f>
        <v>0</v>
      </c>
      <c s="125">
        <f>Предпосылки!$D372*Месяцев_в_квартале*AV$39</f>
        <v>0</v>
      </c>
      <c s="125">
        <f>Предпосылки!$D372*Месяцев_в_квартале*AW$39</f>
        <v>0</v>
      </c>
      <c s="125">
        <f>Предпосылки!$D372*Месяцев_в_квартале*AX$39</f>
        <v>0</v>
      </c>
      <c s="125">
        <f>Предпосылки!$D372*Месяцев_в_квартале*AY$39</f>
        <v>0</v>
      </c>
      <c s="125">
        <f>Предпосылки!$D372*Месяцев_в_квартале*AZ$39</f>
        <v>0</v>
      </c>
      <c s="125">
        <f>Предпосылки!$D372*Месяцев_в_квартале*BA$39</f>
        <v>0</v>
      </c>
      <c s="125">
        <f>Предпосылки!$D372*Месяцев_в_квартале*BB$39</f>
        <v>0</v>
      </c>
      <c s="125">
        <f>Предпосылки!$D372*Месяцев_в_квартале*BC$39</f>
        <v>0</v>
      </c>
      <c s="125">
        <f>Предпосылки!$D372*Месяцев_в_квартале*BD$39</f>
        <v>0</v>
      </c>
      <c s="125">
        <f>Предпосылки!$D372*Месяцев_в_квартале*BE$39</f>
        <v>0</v>
      </c>
      <c s="125">
        <f>Предпосылки!$D372*Месяцев_в_квартале*BF$39</f>
        <v>0</v>
      </c>
      <c s="125">
        <f>Предпосылки!$D372*Месяцев_в_квартале*BG$39</f>
        <v>0</v>
      </c>
      <c s="125">
        <f>Предпосылки!$D372*Месяцев_в_квартале*BH$39</f>
        <v>0</v>
      </c>
      <c s="125">
        <f>Предпосылки!$D372*Месяцев_в_квартале*BI$39</f>
        <v>0</v>
      </c>
      <c s="125">
        <f>Предпосылки!$D372*Месяцев_в_квартале*BJ$39</f>
        <v>0</v>
      </c>
      <c s="125">
        <f>Предпосылки!$D372*Месяцев_в_квартале*BK$39</f>
        <v>0</v>
      </c>
      <c s="125">
        <f>Предпосылки!$D372*Месяцев_в_квартале*BL$39</f>
        <v>0</v>
      </c>
      <c s="125">
        <f>Предпосылки!$D372*Месяцев_в_квартале*BM$39</f>
        <v>0</v>
      </c>
      <c s="166"/>
    </row>
    <row r="66" spans="2:66" ht="15" customHeight="1">
      <c r="B66" s="12" t="str">
        <f t="shared" si="63"/>
        <v>-</v>
      </c>
      <c s="124" t="str">
        <f t="shared" si="62"/>
        <v>тыс. руб.</v>
      </c>
      <c s="127"/>
      <c s="125">
        <f>Предпосылки!$D373*Месяцев_в_квартале*E$39</f>
        <v>0</v>
      </c>
      <c s="125">
        <f>Предпосылки!$D373*Месяцев_в_квартале*F$39</f>
        <v>0</v>
      </c>
      <c s="125">
        <f>Предпосылки!$D373*Месяцев_в_квартале*G$39</f>
        <v>0</v>
      </c>
      <c s="125">
        <f>Предпосылки!$D373*Месяцев_в_квартале*H$39</f>
        <v>0</v>
      </c>
      <c s="125">
        <f>Предпосылки!$D373*Месяцев_в_квартале*I$39</f>
        <v>0</v>
      </c>
      <c s="125">
        <f>Предпосылки!$D373*Месяцев_в_квартале*J$39</f>
        <v>0</v>
      </c>
      <c s="125">
        <f>Предпосылки!$D373*Месяцев_в_квартале*K$39</f>
        <v>0</v>
      </c>
      <c s="125">
        <f>Предпосылки!$D373*Месяцев_в_квартале*L$39</f>
        <v>0</v>
      </c>
      <c s="125">
        <f>Предпосылки!$D373*Месяцев_в_квартале*M$39</f>
        <v>0</v>
      </c>
      <c s="125">
        <f>Предпосылки!$D373*Месяцев_в_квартале*N$39</f>
        <v>0</v>
      </c>
      <c s="125">
        <f>Предпосылки!$D373*Месяцев_в_квартале*O$39</f>
        <v>0</v>
      </c>
      <c s="125">
        <f>Предпосылки!$D373*Месяцев_в_квартале*P$39</f>
        <v>0</v>
      </c>
      <c s="125">
        <f>Предпосылки!$D373*Месяцев_в_квартале*Q$39</f>
        <v>0</v>
      </c>
      <c s="125">
        <f>Предпосылки!$D373*Месяцев_в_квартале*R$39</f>
        <v>0</v>
      </c>
      <c s="125">
        <f>Предпосылки!$D373*Месяцев_в_квартале*S$39</f>
        <v>0</v>
      </c>
      <c s="125">
        <f>Предпосылки!$D373*Месяцев_в_квартале*T$39</f>
        <v>0</v>
      </c>
      <c s="125">
        <f>Предпосылки!$D373*Месяцев_в_квартале*U$39</f>
        <v>0</v>
      </c>
      <c s="125">
        <f>Предпосылки!$D373*Месяцев_в_квартале*V$39</f>
        <v>0</v>
      </c>
      <c s="125">
        <f>Предпосылки!$D373*Месяцев_в_квартале*W$39</f>
        <v>0</v>
      </c>
      <c s="125">
        <f>Предпосылки!$D373*Месяцев_в_квартале*X$39</f>
        <v>0</v>
      </c>
      <c s="125">
        <f>Предпосылки!$D373*Месяцев_в_квартале*Y$39</f>
        <v>0</v>
      </c>
      <c s="125">
        <f>Предпосылки!$D373*Месяцев_в_квартале*Z$39</f>
        <v>0</v>
      </c>
      <c s="125">
        <f>Предпосылки!$D373*Месяцев_в_квартале*AA$39</f>
        <v>0</v>
      </c>
      <c s="125">
        <f>Предпосылки!$D373*Месяцев_в_квартале*AB$39</f>
        <v>0</v>
      </c>
      <c s="125">
        <f>Предпосылки!$D373*Месяцев_в_квартале*AC$39</f>
        <v>0</v>
      </c>
      <c s="125">
        <f>Предпосылки!$D373*Месяцев_в_квартале*AD$39</f>
        <v>0</v>
      </c>
      <c s="125">
        <f>Предпосылки!$D373*Месяцев_в_квартале*AE$39</f>
        <v>0</v>
      </c>
      <c s="125">
        <f>Предпосылки!$D373*Месяцев_в_квартале*AF$39</f>
        <v>0</v>
      </c>
      <c s="125">
        <f>Предпосылки!$D373*Месяцев_в_квартале*AG$39</f>
        <v>0</v>
      </c>
      <c s="125">
        <f>Предпосылки!$D373*Месяцев_в_квартале*AH$39</f>
        <v>0</v>
      </c>
      <c s="125">
        <f>Предпосылки!$D373*Месяцев_в_квартале*AI$39</f>
        <v>0</v>
      </c>
      <c s="125">
        <f>Предпосылки!$D373*Месяцев_в_квартале*AJ$39</f>
        <v>0</v>
      </c>
      <c s="125">
        <f>Предпосылки!$D373*Месяцев_в_квартале*AK$39</f>
        <v>0</v>
      </c>
      <c s="125">
        <f>Предпосылки!$D373*Месяцев_в_квартале*AL$39</f>
        <v>0</v>
      </c>
      <c s="125">
        <f>Предпосылки!$D373*Месяцев_в_квартале*AM$39</f>
        <v>0</v>
      </c>
      <c s="125">
        <f>Предпосылки!$D373*Месяцев_в_квартале*AN$39</f>
        <v>0</v>
      </c>
      <c s="125">
        <f>Предпосылки!$D373*Месяцев_в_квартале*AO$39</f>
        <v>0</v>
      </c>
      <c s="125">
        <f>Предпосылки!$D373*Месяцев_в_квартале*AP$39</f>
        <v>0</v>
      </c>
      <c s="125">
        <f>Предпосылки!$D373*Месяцев_в_квартале*AQ$39</f>
        <v>0</v>
      </c>
      <c s="125">
        <f>Предпосылки!$D373*Месяцев_в_квартале*AR$39</f>
        <v>0</v>
      </c>
      <c s="125">
        <f>Предпосылки!$D373*Месяцев_в_квартале*AS$39</f>
        <v>0</v>
      </c>
      <c s="125">
        <f>Предпосылки!$D373*Месяцев_в_квартале*AT$39</f>
        <v>0</v>
      </c>
      <c s="125">
        <f>Предпосылки!$D373*Месяцев_в_квартале*AU$39</f>
        <v>0</v>
      </c>
      <c s="125">
        <f>Предпосылки!$D373*Месяцев_в_квартале*AV$39</f>
        <v>0</v>
      </c>
      <c s="125">
        <f>Предпосылки!$D373*Месяцев_в_квартале*AW$39</f>
        <v>0</v>
      </c>
      <c s="125">
        <f>Предпосылки!$D373*Месяцев_в_квартале*AX$39</f>
        <v>0</v>
      </c>
      <c s="125">
        <f>Предпосылки!$D373*Месяцев_в_квартале*AY$39</f>
        <v>0</v>
      </c>
      <c s="125">
        <f>Предпосылки!$D373*Месяцев_в_квартале*AZ$39</f>
        <v>0</v>
      </c>
      <c s="125">
        <f>Предпосылки!$D373*Месяцев_в_квартале*BA$39</f>
        <v>0</v>
      </c>
      <c s="125">
        <f>Предпосылки!$D373*Месяцев_в_квартале*BB$39</f>
        <v>0</v>
      </c>
      <c s="125">
        <f>Предпосылки!$D373*Месяцев_в_квартале*BC$39</f>
        <v>0</v>
      </c>
      <c s="125">
        <f>Предпосылки!$D373*Месяцев_в_квартале*BD$39</f>
        <v>0</v>
      </c>
      <c s="125">
        <f>Предпосылки!$D373*Месяцев_в_квартале*BE$39</f>
        <v>0</v>
      </c>
      <c s="125">
        <f>Предпосылки!$D373*Месяцев_в_квартале*BF$39</f>
        <v>0</v>
      </c>
      <c s="125">
        <f>Предпосылки!$D373*Месяцев_в_квартале*BG$39</f>
        <v>0</v>
      </c>
      <c s="125">
        <f>Предпосылки!$D373*Месяцев_в_квартале*BH$39</f>
        <v>0</v>
      </c>
      <c s="125">
        <f>Предпосылки!$D373*Месяцев_в_квартале*BI$39</f>
        <v>0</v>
      </c>
      <c s="125">
        <f>Предпосылки!$D373*Месяцев_в_квартале*BJ$39</f>
        <v>0</v>
      </c>
      <c s="125">
        <f>Предпосылки!$D373*Месяцев_в_квартале*BK$39</f>
        <v>0</v>
      </c>
      <c s="125">
        <f>Предпосылки!$D373*Месяцев_в_квартале*BL$39</f>
        <v>0</v>
      </c>
      <c s="125">
        <f>Предпосылки!$D373*Месяцев_в_квартале*BM$39</f>
        <v>0</v>
      </c>
      <c s="166"/>
    </row>
    <row r="67" ht="15" customHeight="1"/>
    <row r="68" spans="2:72" ht="21">
      <c r="B68" s="23" t="s">
        <v>876</v>
      </c>
      <c r="D6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9" spans="2:66" ht="15" customHeight="1">
      <c r="B69" s="12" t="str">
        <f>B42</f>
        <v>-</v>
      </c>
      <c s="124" t="str">
        <f t="shared" si="64" ref="C69:C93">Единица_измерения</f>
        <v>тыс. руб.</v>
      </c>
      <c s="276">
        <f>SUM(E69:BM69)</f>
        <v>0</v>
      </c>
      <c s="125">
        <f t="shared" si="65" ref="E69:AG69">E11*E42</f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5"/>
        <v>0</v>
      </c>
      <c s="125">
        <f t="shared" si="66" ref="AH69:BM69">AH11*AH42</f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25">
        <f t="shared" si="66"/>
        <v>0</v>
      </c>
      <c s="166"/>
    </row>
    <row r="70" spans="2:66" ht="15" customHeight="1">
      <c r="B70" s="12" t="str">
        <f t="shared" si="67" ref="B70:B93">B43</f>
        <v>-</v>
      </c>
      <c s="124" t="str">
        <f t="shared" si="64"/>
        <v>тыс. руб.</v>
      </c>
      <c s="276">
        <f t="shared" si="68" ref="D70:D93">SUM(E70:BM70)</f>
        <v>0</v>
      </c>
      <c s="125">
        <f t="shared" si="69" ref="E70:AG70">E12*E43</f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69"/>
        <v>0</v>
      </c>
      <c s="125">
        <f t="shared" si="70" ref="AH70:BM70">AH12*AH43</f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25">
        <f t="shared" si="70"/>
        <v>0</v>
      </c>
      <c s="166"/>
    </row>
    <row r="71" spans="2:66" ht="15" customHeight="1">
      <c r="B71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71" ref="E71:AG71">E13*E44</f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1"/>
        <v>0</v>
      </c>
      <c s="125">
        <f t="shared" si="72" ref="AH71:BM71">AH13*AH44</f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25">
        <f t="shared" si="72"/>
        <v>0</v>
      </c>
      <c s="166"/>
    </row>
    <row r="72" spans="2:66" ht="15" customHeight="1">
      <c r="B72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73" ref="E72:AG72">E14*E45</f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3"/>
        <v>0</v>
      </c>
      <c s="125">
        <f t="shared" si="74" ref="AH72:BM72">AH14*AH45</f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25">
        <f t="shared" si="74"/>
        <v>0</v>
      </c>
      <c s="166"/>
    </row>
    <row r="73" spans="2:66" ht="15" customHeight="1">
      <c r="B73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75" ref="E73:AG73">E15*E46</f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5"/>
        <v>0</v>
      </c>
      <c s="125">
        <f t="shared" si="76" ref="AH73:BM73">AH15*AH46</f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25">
        <f t="shared" si="76"/>
        <v>0</v>
      </c>
      <c s="166"/>
    </row>
    <row r="74" spans="2:66" ht="15" customHeight="1">
      <c r="B74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77" ref="E74:AG74">E16*E47</f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7"/>
        <v>0</v>
      </c>
      <c s="125">
        <f t="shared" si="78" ref="AH74:BM74">AH16*AH47</f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25">
        <f t="shared" si="78"/>
        <v>0</v>
      </c>
      <c s="166"/>
    </row>
    <row r="75" spans="2:66" ht="15" customHeight="1">
      <c r="B75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79" ref="E75:AG75">E17*E48</f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79"/>
        <v>0</v>
      </c>
      <c s="125">
        <f t="shared" si="80" ref="AH75:BM75">AH17*AH48</f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25">
        <f t="shared" si="80"/>
        <v>0</v>
      </c>
      <c s="166"/>
    </row>
    <row r="76" spans="2:66" ht="15" customHeight="1">
      <c r="B76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81" ref="E76:AG76">E18*E49</f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1"/>
        <v>0</v>
      </c>
      <c s="125">
        <f t="shared" si="82" ref="AH76:BM76">AH18*AH49</f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25">
        <f t="shared" si="82"/>
        <v>0</v>
      </c>
      <c s="166"/>
    </row>
    <row r="77" spans="2:66" ht="15" customHeight="1">
      <c r="B77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83" ref="E77:AG77">E19*E50</f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3"/>
        <v>0</v>
      </c>
      <c s="125">
        <f t="shared" si="84" ref="AH77:BM77">AH19*AH50</f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25">
        <f t="shared" si="84"/>
        <v>0</v>
      </c>
      <c s="166"/>
    </row>
    <row r="78" spans="2:66" ht="15" customHeight="1">
      <c r="B78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85" ref="E78:AG78">E20*E51</f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5"/>
        <v>0</v>
      </c>
      <c s="125">
        <f t="shared" si="86" ref="AH78:BM78">AH20*AH51</f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25">
        <f t="shared" si="86"/>
        <v>0</v>
      </c>
      <c s="166"/>
    </row>
    <row r="79" spans="2:66" ht="15" customHeight="1">
      <c r="B79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87" ref="E79:AG79">E21*E52</f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7"/>
        <v>0</v>
      </c>
      <c s="125">
        <f t="shared" si="88" ref="AH79:BM79">AH21*AH52</f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25">
        <f t="shared" si="88"/>
        <v>0</v>
      </c>
      <c s="166"/>
    </row>
    <row r="80" spans="2:66" ht="15" customHeight="1">
      <c r="B80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89" ref="E80:AG80">E22*E53</f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89"/>
        <v>0</v>
      </c>
      <c s="125">
        <f t="shared" si="90" ref="AH80:BM80">AH22*AH53</f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25">
        <f t="shared" si="90"/>
        <v>0</v>
      </c>
      <c s="166"/>
    </row>
    <row r="81" spans="2:66" ht="15" customHeight="1">
      <c r="B81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91" ref="E81:AG81">E23*E54</f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1"/>
        <v>0</v>
      </c>
      <c s="125">
        <f t="shared" si="92" ref="AH81:BM81">AH23*AH54</f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25">
        <f t="shared" si="92"/>
        <v>0</v>
      </c>
      <c s="166"/>
    </row>
    <row r="82" spans="2:66" ht="15" customHeight="1">
      <c r="B82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93" ref="E82:AG82">E24*E55</f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3"/>
        <v>0</v>
      </c>
      <c s="125">
        <f t="shared" si="94" ref="AH82:BM82">AH24*AH55</f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25">
        <f t="shared" si="94"/>
        <v>0</v>
      </c>
      <c s="166"/>
    </row>
    <row r="83" spans="2:66" ht="15" customHeight="1">
      <c r="B83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95" ref="E83:AG83">E25*E56</f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5"/>
        <v>0</v>
      </c>
      <c s="125">
        <f t="shared" si="96" ref="AH83:BM83">AH25*AH56</f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25">
        <f t="shared" si="96"/>
        <v>0</v>
      </c>
      <c s="166"/>
    </row>
    <row r="84" spans="2:66" ht="15" customHeight="1">
      <c r="B84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97" ref="E84:AG84">E26*E57</f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7"/>
        <v>0</v>
      </c>
      <c s="125">
        <f t="shared" si="98" ref="AH84:BM84">AH26*AH57</f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25">
        <f t="shared" si="98"/>
        <v>0</v>
      </c>
      <c s="166"/>
    </row>
    <row r="85" spans="2:66" ht="15" customHeight="1">
      <c r="B85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99" ref="E85:AG85">E27*E58</f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99"/>
        <v>0</v>
      </c>
      <c s="125">
        <f t="shared" si="100" ref="AH85:BM85">AH27*AH58</f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25">
        <f t="shared" si="100"/>
        <v>0</v>
      </c>
      <c s="166"/>
    </row>
    <row r="86" spans="2:66" ht="15" customHeight="1">
      <c r="B86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01" ref="E86:AG86">E28*E59</f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1"/>
        <v>0</v>
      </c>
      <c s="125">
        <f t="shared" si="102" ref="AH86:BM86">AH28*AH59</f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25">
        <f t="shared" si="102"/>
        <v>0</v>
      </c>
      <c s="166"/>
    </row>
    <row r="87" spans="2:66" ht="15" customHeight="1">
      <c r="B87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03" ref="E87:AG87">E29*E60</f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3"/>
        <v>0</v>
      </c>
      <c s="125">
        <f t="shared" si="104" ref="AH87:BM87">AH29*AH60</f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25">
        <f t="shared" si="104"/>
        <v>0</v>
      </c>
      <c s="166"/>
    </row>
    <row r="88" spans="2:66" ht="15" customHeight="1">
      <c r="B88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05" ref="E88:AG88">E30*E61</f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6" ref="AH88:BM88">AH30*AH61</f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25">
        <f t="shared" si="106"/>
        <v>0</v>
      </c>
      <c s="166"/>
    </row>
    <row r="89" spans="2:66" ht="15" customHeight="1">
      <c r="B89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07" ref="E89:AG89">E31*E62</f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8" ref="AH89:BM89">AH31*AH62</f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66"/>
    </row>
    <row r="90" spans="2:66" ht="15" customHeight="1">
      <c r="B90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09" ref="E90:AG90">E32*E63</f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09"/>
        <v>0</v>
      </c>
      <c s="125">
        <f t="shared" si="110" ref="AH90:BM90">AH32*AH63</f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25">
        <f t="shared" si="110"/>
        <v>0</v>
      </c>
      <c s="166"/>
    </row>
    <row r="91" spans="2:66" ht="15" customHeight="1">
      <c r="B91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11" ref="E91:AG91">E33*E64</f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1"/>
        <v>0</v>
      </c>
      <c s="125">
        <f t="shared" si="112" ref="AH91:BM91">AH33*AH64</f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25">
        <f t="shared" si="112"/>
        <v>0</v>
      </c>
      <c s="166"/>
    </row>
    <row r="92" spans="2:66" ht="15" customHeight="1">
      <c r="B92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13" ref="E92:AG92">E34*E65</f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3"/>
        <v>0</v>
      </c>
      <c s="125">
        <f t="shared" si="114" ref="AH92:BM92">AH34*AH65</f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25">
        <f t="shared" si="114"/>
        <v>0</v>
      </c>
      <c s="166"/>
    </row>
    <row r="93" spans="2:66" ht="15" customHeight="1">
      <c r="B93" s="12" t="str">
        <f t="shared" si="67"/>
        <v>-</v>
      </c>
      <c s="124" t="str">
        <f t="shared" si="64"/>
        <v>тыс. руб.</v>
      </c>
      <c s="276">
        <f t="shared" si="68"/>
        <v>0</v>
      </c>
      <c s="125">
        <f t="shared" si="115" ref="E93:AG93">E35*E66</f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5"/>
        <v>0</v>
      </c>
      <c s="125">
        <f t="shared" si="116" ref="AH93:BM93">AH35*AH66</f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25">
        <f t="shared" si="116"/>
        <v>0</v>
      </c>
      <c s="166"/>
    </row>
    <row r="94" spans="2:66" ht="15" customHeight="1">
      <c r="B94" s="289" t="s">
        <v>454</v>
      </c>
      <c s="290" t="str">
        <f>Единица_измерения</f>
        <v>тыс. руб.</v>
      </c>
      <c s="291">
        <f>SUM(D69:D93)</f>
        <v>0</v>
      </c>
      <c s="276">
        <f>SUM(E69:E93)</f>
        <v>0</v>
      </c>
      <c s="276">
        <f t="shared" si="117" ref="F94:AG94">SUM(F69:F93)</f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7"/>
        <v>0</v>
      </c>
      <c s="276">
        <f t="shared" si="118" ref="AH94:BM94">SUM(AH69:AH93)</f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276">
        <f t="shared" si="118"/>
        <v>0</v>
      </c>
      <c s="167"/>
    </row>
    <row r="95" ht="15" customHeight="1"/>
    <row r="96" spans="2:72" ht="21">
      <c r="B96" s="23" t="s">
        <v>254</v>
      </c>
      <c r="D96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7" spans="2:2" ht="15" customHeight="1">
      <c r="B97" s="24" t="s">
        <v>877</v>
      </c>
    </row>
    <row r="98" spans="2:66" ht="15" customHeight="1">
      <c r="B98" s="12" t="str">
        <f>B69</f>
        <v>-</v>
      </c>
      <c s="124" t="str">
        <f t="shared" si="119" ref="C98:C122">Единица_измерения</f>
        <v>тыс. руб.</v>
      </c>
      <c s="127"/>
      <c s="125">
        <f t="shared" si="120" ref="E98:AF98">D98*IF(MONTH(E$7)=1,0,1)+E42</f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0"/>
        <v>0</v>
      </c>
      <c s="125">
        <f t="shared" si="121" ref="AG98:AG122">AF98*IF(MONTH(AG$7)=1,0,1)+AG42</f>
        <v>0</v>
      </c>
      <c s="125">
        <f t="shared" si="122" ref="AH98:BM98">AG98*IF(MONTH(AH$7)=1,0,1)+AH42</f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25">
        <f t="shared" si="122"/>
        <v>0</v>
      </c>
      <c s="166"/>
    </row>
    <row r="99" spans="2:66" ht="15" customHeight="1">
      <c r="B99" s="12" t="str">
        <f t="shared" si="123" ref="B99:B122">B70</f>
        <v>-</v>
      </c>
      <c s="124" t="str">
        <f t="shared" si="119"/>
        <v>тыс. руб.</v>
      </c>
      <c s="127"/>
      <c s="125">
        <f t="shared" si="124" ref="E99:AF99">D99*IF(MONTH(E$7)=1,0,1)+E43</f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4"/>
        <v>0</v>
      </c>
      <c s="125">
        <f t="shared" si="121"/>
        <v>0</v>
      </c>
      <c s="125">
        <f t="shared" si="125" ref="AH99:BM99">AG99*IF(MONTH(AH$7)=1,0,1)+AH43</f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25">
        <f t="shared" si="125"/>
        <v>0</v>
      </c>
      <c s="166"/>
    </row>
    <row r="100" spans="2:66" ht="15" customHeight="1">
      <c r="B100" s="12" t="str">
        <f t="shared" si="123"/>
        <v>-</v>
      </c>
      <c s="124" t="str">
        <f t="shared" si="119"/>
        <v>тыс. руб.</v>
      </c>
      <c s="127"/>
      <c s="125">
        <f t="shared" si="126" ref="E100:AF100">D100*IF(MONTH(E$7)=1,0,1)+E44</f>
        <v>0</v>
      </c>
      <c s="125">
        <f t="shared" si="126"/>
        <v>0</v>
      </c>
      <c s="125">
        <f>F100*IF(MONTH(G$7)=1,0,1)+G44</f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6"/>
        <v>0</v>
      </c>
      <c s="125">
        <f t="shared" si="121"/>
        <v>0</v>
      </c>
      <c s="125">
        <f t="shared" si="127" ref="AH100:BM100">AG100*IF(MONTH(AH$7)=1,0,1)+AH44</f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25">
        <f t="shared" si="127"/>
        <v>0</v>
      </c>
      <c s="166"/>
    </row>
    <row r="101" spans="2:66" ht="15" customHeight="1">
      <c r="B101" s="12" t="str">
        <f t="shared" si="123"/>
        <v>-</v>
      </c>
      <c s="124" t="str">
        <f t="shared" si="119"/>
        <v>тыс. руб.</v>
      </c>
      <c s="127"/>
      <c s="125">
        <f t="shared" si="128" ref="E101:AF101">D101*IF(MONTH(E$7)=1,0,1)+E45</f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8"/>
        <v>0</v>
      </c>
      <c s="125">
        <f t="shared" si="121"/>
        <v>0</v>
      </c>
      <c s="125">
        <f t="shared" si="129" ref="AH101:BM101">AG101*IF(MONTH(AH$7)=1,0,1)+AH45</f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25">
        <f t="shared" si="129"/>
        <v>0</v>
      </c>
      <c s="166"/>
    </row>
    <row r="102" spans="2:66" ht="15" customHeight="1">
      <c r="B102" s="12" t="str">
        <f t="shared" si="123"/>
        <v>-</v>
      </c>
      <c s="124" t="str">
        <f t="shared" si="119"/>
        <v>тыс. руб.</v>
      </c>
      <c s="127"/>
      <c s="125">
        <f t="shared" si="130" ref="E102:AF102">D102*IF(MONTH(E$7)=1,0,1)+E46</f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30"/>
        <v>0</v>
      </c>
      <c s="125">
        <f t="shared" si="121"/>
        <v>0</v>
      </c>
      <c s="125">
        <f t="shared" si="131" ref="AH102:BM102">AG102*IF(MONTH(AH$7)=1,0,1)+AH46</f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25">
        <f t="shared" si="131"/>
        <v>0</v>
      </c>
      <c s="166"/>
    </row>
    <row r="103" spans="2:66" ht="15" customHeight="1">
      <c r="B103" s="12" t="str">
        <f t="shared" si="123"/>
        <v>-</v>
      </c>
      <c s="124" t="str">
        <f t="shared" si="119"/>
        <v>тыс. руб.</v>
      </c>
      <c s="127"/>
      <c s="125">
        <f t="shared" si="132" ref="E103:AF103">D103*IF(MONTH(E$7)=1,0,1)+E47</f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32"/>
        <v>0</v>
      </c>
      <c s="125">
        <f t="shared" si="121"/>
        <v>0</v>
      </c>
      <c s="125">
        <f t="shared" si="133" ref="AH103:BM103">AG103*IF(MONTH(AH$7)=1,0,1)+AH47</f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25">
        <f t="shared" si="133"/>
        <v>0</v>
      </c>
      <c s="166"/>
    </row>
    <row r="104" spans="2:66" ht="15" customHeight="1">
      <c r="B104" s="12" t="str">
        <f t="shared" si="123"/>
        <v>-</v>
      </c>
      <c s="124" t="str">
        <f t="shared" si="119"/>
        <v>тыс. руб.</v>
      </c>
      <c s="127"/>
      <c s="125">
        <f t="shared" si="134" ref="E104:AF104">D104*IF(MONTH(E$7)=1,0,1)+E48</f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34"/>
        <v>0</v>
      </c>
      <c s="125">
        <f t="shared" si="121"/>
        <v>0</v>
      </c>
      <c s="125">
        <f t="shared" si="135" ref="AH104:BM104">AG104*IF(MONTH(AH$7)=1,0,1)+AH48</f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25">
        <f t="shared" si="135"/>
        <v>0</v>
      </c>
      <c s="166"/>
    </row>
    <row r="105" spans="2:66" ht="15" customHeight="1">
      <c r="B105" s="12" t="str">
        <f t="shared" si="123"/>
        <v>-</v>
      </c>
      <c s="124" t="str">
        <f t="shared" si="119"/>
        <v>тыс. руб.</v>
      </c>
      <c s="127"/>
      <c s="125">
        <f t="shared" si="136" ref="E105:AF105">D105*IF(MONTH(E$7)=1,0,1)+E49</f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36"/>
        <v>0</v>
      </c>
      <c s="125">
        <f t="shared" si="121"/>
        <v>0</v>
      </c>
      <c s="125">
        <f t="shared" si="137" ref="AH105:BM105">AG105*IF(MONTH(AH$7)=1,0,1)+AH49</f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25">
        <f t="shared" si="137"/>
        <v>0</v>
      </c>
      <c s="166"/>
    </row>
    <row r="106" spans="2:66" ht="15" customHeight="1">
      <c r="B106" s="12" t="str">
        <f t="shared" si="123"/>
        <v>-</v>
      </c>
      <c s="124" t="str">
        <f t="shared" si="119"/>
        <v>тыс. руб.</v>
      </c>
      <c s="127"/>
      <c s="125">
        <f t="shared" si="138" ref="E106:AF106">D106*IF(MONTH(E$7)=1,0,1)+E50</f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38"/>
        <v>0</v>
      </c>
      <c s="125">
        <f t="shared" si="121"/>
        <v>0</v>
      </c>
      <c s="125">
        <f t="shared" si="139" ref="AH106:BM106">AG106*IF(MONTH(AH$7)=1,0,1)+AH50</f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25">
        <f t="shared" si="139"/>
        <v>0</v>
      </c>
      <c s="166"/>
    </row>
    <row r="107" spans="2:66" ht="15" customHeight="1">
      <c r="B107" s="12" t="str">
        <f t="shared" si="123"/>
        <v>-</v>
      </c>
      <c s="124" t="str">
        <f t="shared" si="119"/>
        <v>тыс. руб.</v>
      </c>
      <c s="127"/>
      <c s="125">
        <f t="shared" si="140" ref="E107:AF107">D107*IF(MONTH(E$7)=1,0,1)+E51</f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40"/>
        <v>0</v>
      </c>
      <c s="125">
        <f t="shared" si="121"/>
        <v>0</v>
      </c>
      <c s="125">
        <f t="shared" si="141" ref="AH107:BM107">AG107*IF(MONTH(AH$7)=1,0,1)+AH51</f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25">
        <f t="shared" si="141"/>
        <v>0</v>
      </c>
      <c s="166"/>
    </row>
    <row r="108" spans="2:66" ht="15" customHeight="1">
      <c r="B108" s="12" t="str">
        <f t="shared" si="123"/>
        <v>-</v>
      </c>
      <c s="124" t="str">
        <f t="shared" si="119"/>
        <v>тыс. руб.</v>
      </c>
      <c s="127"/>
      <c s="125">
        <f t="shared" si="142" ref="E108:AF108">D108*IF(MONTH(E$7)=1,0,1)+E52</f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42"/>
        <v>0</v>
      </c>
      <c s="125">
        <f t="shared" si="121"/>
        <v>0</v>
      </c>
      <c s="125">
        <f t="shared" si="143" ref="AH108:BM108">AG108*IF(MONTH(AH$7)=1,0,1)+AH52</f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25">
        <f t="shared" si="143"/>
        <v>0</v>
      </c>
      <c s="166"/>
    </row>
    <row r="109" spans="2:66" ht="15" customHeight="1">
      <c r="B109" s="12" t="str">
        <f t="shared" si="123"/>
        <v>-</v>
      </c>
      <c s="124" t="str">
        <f t="shared" si="119"/>
        <v>тыс. руб.</v>
      </c>
      <c s="127"/>
      <c s="125">
        <f t="shared" si="144" ref="E109:AF109">D109*IF(MONTH(E$7)=1,0,1)+E53</f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44"/>
        <v>0</v>
      </c>
      <c s="125">
        <f t="shared" si="121"/>
        <v>0</v>
      </c>
      <c s="125">
        <f t="shared" si="145" ref="AH109:BM109">AG109*IF(MONTH(AH$7)=1,0,1)+AH53</f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25">
        <f t="shared" si="145"/>
        <v>0</v>
      </c>
      <c s="166"/>
    </row>
    <row r="110" spans="2:66" ht="15" customHeight="1">
      <c r="B110" s="12" t="str">
        <f t="shared" si="123"/>
        <v>-</v>
      </c>
      <c s="124" t="str">
        <f t="shared" si="119"/>
        <v>тыс. руб.</v>
      </c>
      <c s="127"/>
      <c s="125">
        <f t="shared" si="146" ref="E110:AF110">D110*IF(MONTH(E$7)=1,0,1)+E54</f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46"/>
        <v>0</v>
      </c>
      <c s="125">
        <f t="shared" si="121"/>
        <v>0</v>
      </c>
      <c s="125">
        <f t="shared" si="147" ref="AH110:BM110">AG110*IF(MONTH(AH$7)=1,0,1)+AH54</f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25">
        <f t="shared" si="147"/>
        <v>0</v>
      </c>
      <c s="166"/>
    </row>
    <row r="111" spans="2:66" ht="15" customHeight="1">
      <c r="B111" s="12" t="str">
        <f t="shared" si="123"/>
        <v>-</v>
      </c>
      <c s="124" t="str">
        <f t="shared" si="119"/>
        <v>тыс. руб.</v>
      </c>
      <c s="127"/>
      <c s="125">
        <f t="shared" si="148" ref="E111:AF111">D111*IF(MONTH(E$7)=1,0,1)+E55</f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48"/>
        <v>0</v>
      </c>
      <c s="125">
        <f t="shared" si="121"/>
        <v>0</v>
      </c>
      <c s="125">
        <f t="shared" si="149" ref="AH111:BM111">AG111*IF(MONTH(AH$7)=1,0,1)+AH55</f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66"/>
    </row>
    <row r="112" spans="2:66" ht="15" customHeight="1">
      <c r="B112" s="12" t="str">
        <f t="shared" si="123"/>
        <v>-</v>
      </c>
      <c s="124" t="str">
        <f t="shared" si="119"/>
        <v>тыс. руб.</v>
      </c>
      <c s="127"/>
      <c s="125">
        <f t="shared" si="150" ref="E112:AF112">D112*IF(MONTH(E$7)=1,0,1)+E56</f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50"/>
        <v>0</v>
      </c>
      <c s="125">
        <f t="shared" si="121"/>
        <v>0</v>
      </c>
      <c s="125">
        <f t="shared" si="151" ref="AH112:BM112">AG112*IF(MONTH(AH$7)=1,0,1)+AH56</f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25">
        <f t="shared" si="151"/>
        <v>0</v>
      </c>
      <c s="166"/>
    </row>
    <row r="113" spans="2:66" ht="15" customHeight="1">
      <c r="B113" s="12" t="str">
        <f t="shared" si="123"/>
        <v>-</v>
      </c>
      <c s="124" t="str">
        <f t="shared" si="119"/>
        <v>тыс. руб.</v>
      </c>
      <c s="127"/>
      <c s="125">
        <f t="shared" si="152" ref="E113:AF113">D113*IF(MONTH(E$7)=1,0,1)+E57</f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21"/>
        <v>0</v>
      </c>
      <c s="125">
        <f t="shared" si="153" ref="AH113:BM113">AG113*IF(MONTH(AH$7)=1,0,1)+AH57</f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25">
        <f t="shared" si="153"/>
        <v>0</v>
      </c>
      <c s="166"/>
    </row>
    <row r="114" spans="2:66" ht="15" customHeight="1">
      <c r="B114" s="12" t="str">
        <f t="shared" si="123"/>
        <v>-</v>
      </c>
      <c s="124" t="str">
        <f t="shared" si="119"/>
        <v>тыс. руб.</v>
      </c>
      <c s="127"/>
      <c s="125">
        <f t="shared" si="154" ref="E114:AF114">D114*IF(MONTH(E$7)=1,0,1)+E58</f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21"/>
        <v>0</v>
      </c>
      <c s="125">
        <f t="shared" si="155" ref="AH114:BM114">AG114*IF(MONTH(AH$7)=1,0,1)+AH58</f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25">
        <f t="shared" si="155"/>
        <v>0</v>
      </c>
      <c s="166"/>
    </row>
    <row r="115" spans="2:66" ht="15" customHeight="1">
      <c r="B115" s="12" t="str">
        <f t="shared" si="123"/>
        <v>-</v>
      </c>
      <c s="124" t="str">
        <f t="shared" si="119"/>
        <v>тыс. руб.</v>
      </c>
      <c s="127"/>
      <c s="125">
        <f t="shared" si="156" ref="E115:AF115">D115*IF(MONTH(E$7)=1,0,1)+E59</f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21"/>
        <v>0</v>
      </c>
      <c s="125">
        <f t="shared" si="157" ref="AH115:BM115">AG115*IF(MONTH(AH$7)=1,0,1)+AH59</f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66"/>
    </row>
    <row r="116" spans="2:66" ht="15" customHeight="1">
      <c r="B116" s="12" t="str">
        <f t="shared" si="123"/>
        <v>-</v>
      </c>
      <c s="124" t="str">
        <f t="shared" si="119"/>
        <v>тыс. руб.</v>
      </c>
      <c s="127"/>
      <c s="125">
        <f t="shared" si="158" ref="E116:AF116">D116*IF(MONTH(E$7)=1,0,1)+E60</f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21"/>
        <v>0</v>
      </c>
      <c s="125">
        <f t="shared" si="159" ref="AH116:BM116">AG116*IF(MONTH(AH$7)=1,0,1)+AH60</f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25">
        <f t="shared" si="159"/>
        <v>0</v>
      </c>
      <c s="166"/>
    </row>
    <row r="117" spans="2:66" ht="15" customHeight="1">
      <c r="B117" s="12" t="str">
        <f t="shared" si="123"/>
        <v>-</v>
      </c>
      <c s="124" t="str">
        <f t="shared" si="119"/>
        <v>тыс. руб.</v>
      </c>
      <c s="127"/>
      <c s="125">
        <f t="shared" si="160" ref="E117:AF117">D117*IF(MONTH(E$7)=1,0,1)+E61</f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21"/>
        <v>0</v>
      </c>
      <c s="125">
        <f t="shared" si="161" ref="AH117:BM117">AG117*IF(MONTH(AH$7)=1,0,1)+AH61</f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25">
        <f t="shared" si="161"/>
        <v>0</v>
      </c>
      <c s="166"/>
    </row>
    <row r="118" spans="2:66" ht="15" customHeight="1">
      <c r="B118" s="12" t="str">
        <f t="shared" si="123"/>
        <v>-</v>
      </c>
      <c s="124" t="str">
        <f t="shared" si="119"/>
        <v>тыс. руб.</v>
      </c>
      <c s="127"/>
      <c s="125">
        <f t="shared" si="162" ref="E118:AF118">D118*IF(MONTH(E$7)=1,0,1)+E62</f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21"/>
        <v>0</v>
      </c>
      <c s="125">
        <f t="shared" si="163" ref="AH118:BM118">AG118*IF(MONTH(AH$7)=1,0,1)+AH62</f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25">
        <f t="shared" si="163"/>
        <v>0</v>
      </c>
      <c s="166"/>
    </row>
    <row r="119" spans="2:66" ht="15" customHeight="1">
      <c r="B119" s="12" t="str">
        <f t="shared" si="123"/>
        <v>-</v>
      </c>
      <c s="124" t="str">
        <f t="shared" si="119"/>
        <v>тыс. руб.</v>
      </c>
      <c s="127"/>
      <c s="125">
        <f t="shared" si="164" ref="E119:AF119">D119*IF(MONTH(E$7)=1,0,1)+E63</f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21"/>
        <v>0</v>
      </c>
      <c s="125">
        <f t="shared" si="165" ref="AH119:BM119">AG119*IF(MONTH(AH$7)=1,0,1)+AH63</f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25">
        <f t="shared" si="165"/>
        <v>0</v>
      </c>
      <c s="166"/>
    </row>
    <row r="120" spans="2:66" ht="15" customHeight="1">
      <c r="B120" s="12" t="str">
        <f t="shared" si="123"/>
        <v>-</v>
      </c>
      <c s="124" t="str">
        <f t="shared" si="119"/>
        <v>тыс. руб.</v>
      </c>
      <c s="127"/>
      <c s="125">
        <f t="shared" si="166" ref="E120:AF120">D120*IF(MONTH(E$7)=1,0,1)+E64</f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21"/>
        <v>0</v>
      </c>
      <c s="125">
        <f t="shared" si="167" ref="AH120:BM120">AG120*IF(MONTH(AH$7)=1,0,1)+AH64</f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25">
        <f t="shared" si="167"/>
        <v>0</v>
      </c>
      <c s="166"/>
    </row>
    <row r="121" spans="2:66" ht="15" customHeight="1">
      <c r="B121" s="12" t="str">
        <f t="shared" si="123"/>
        <v>-</v>
      </c>
      <c s="124" t="str">
        <f t="shared" si="119"/>
        <v>тыс. руб.</v>
      </c>
      <c s="127"/>
      <c s="125">
        <f t="shared" si="168" ref="E121:AF121">D121*IF(MONTH(E$7)=1,0,1)+E65</f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21"/>
        <v>0</v>
      </c>
      <c s="125">
        <f t="shared" si="169" ref="AH121:BM122">AG121*IF(MONTH(AH$7)=1,0,1)+AH65</f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66"/>
    </row>
    <row r="122" spans="2:66" ht="15" customHeight="1">
      <c r="B122" s="12" t="str">
        <f t="shared" si="123"/>
        <v>-</v>
      </c>
      <c s="124" t="str">
        <f t="shared" si="119"/>
        <v>тыс. руб.</v>
      </c>
      <c s="127"/>
      <c s="125">
        <f t="shared" si="170" ref="E122:AF122">D122*IF(MONTH(E$7)=1,0,1)+E66</f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21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25">
        <f t="shared" si="169"/>
        <v>0</v>
      </c>
      <c s="166"/>
    </row>
    <row r="123" ht="15" customHeight="1"/>
    <row r="124" spans="2:70" ht="14.45">
      <c r="B124" s="25" t="s">
        <v>878</v>
      </c>
      <c s="19"/>
      <c s="19"/>
      <c s="5"/>
      <c s="5"/>
      <c s="171"/>
      <c s="171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5" spans="2:66" ht="15" customHeight="1">
      <c r="B125" s="12" t="s">
        <v>255</v>
      </c>
      <c s="124" t="s">
        <v>817</v>
      </c>
      <c s="125"/>
      <c s="126">
        <f>LOOKUP(YEAR(E$8),Предпосылки!$C$507:$R$507,Ставки_До_СтрхВзнс)</f>
        <v>0.29999999999999999</v>
      </c>
      <c s="126">
        <f>LOOKUP(YEAR(F$8),Предпосылки!$C$507:$R$507,Ставки_До_СтрхВзнс)</f>
        <v>0.29999999999999999</v>
      </c>
      <c s="126">
        <f>LOOKUP(YEAR(G$8),Предпосылки!$C$507:$R$507,Ставки_До_СтрхВзнс)</f>
        <v>0.29999999999999999</v>
      </c>
      <c s="126">
        <f>LOOKUP(YEAR(H$8),Предпосылки!$C$507:$R$507,Ставки_До_СтрхВзнс)</f>
        <v>0.29999999999999999</v>
      </c>
      <c s="126">
        <f>LOOKUP(YEAR(I$8),Предпосылки!$C$507:$R$507,Ставки_До_СтрхВзнс)</f>
        <v>0.29999999999999999</v>
      </c>
      <c s="126">
        <f>LOOKUP(YEAR(J$8),Предпосылки!$C$507:$R$507,Ставки_До_СтрхВзнс)</f>
        <v>0.29999999999999999</v>
      </c>
      <c s="126">
        <f>LOOKUP(YEAR(K$8),Предпосылки!$C$507:$R$507,Ставки_До_СтрхВзнс)</f>
        <v>0.29999999999999999</v>
      </c>
      <c s="126">
        <f>LOOKUP(YEAR(L$8),Предпосылки!$C$507:$R$507,Ставки_До_СтрхВзнс)</f>
        <v>0.29999999999999999</v>
      </c>
      <c s="126">
        <f>LOOKUP(YEAR(M$8),Предпосылки!$C$507:$R$507,Ставки_До_СтрхВзнс)</f>
        <v>0.29999999999999999</v>
      </c>
      <c s="126">
        <f>LOOKUP(YEAR(N$8),Предпосылки!$C$507:$R$507,Ставки_До_СтрхВзнс)</f>
        <v>0.29999999999999999</v>
      </c>
      <c s="126">
        <f>LOOKUP(YEAR(O$8),Предпосылки!$C$507:$R$507,Ставки_До_СтрхВзнс)</f>
        <v>0.29999999999999999</v>
      </c>
      <c s="126">
        <f>LOOKUP(YEAR(P$8),Предпосылки!$C$507:$R$507,Ставки_До_СтрхВзнс)</f>
        <v>0.29999999999999999</v>
      </c>
      <c s="126">
        <f>LOOKUP(YEAR(Q$8),Предпосылки!$C$507:$R$507,Ставки_До_СтрхВзнс)</f>
        <v>0.29999999999999999</v>
      </c>
      <c s="126">
        <f>LOOKUP(YEAR(R$8),Предпосылки!$C$507:$R$507,Ставки_До_СтрхВзнс)</f>
        <v>0.29999999999999999</v>
      </c>
      <c s="126">
        <f>LOOKUP(YEAR(S$8),Предпосылки!$C$507:$R$507,Ставки_До_СтрхВзнс)</f>
        <v>0.29999999999999999</v>
      </c>
      <c s="126">
        <f>LOOKUP(YEAR(T$8),Предпосылки!$C$507:$R$507,Ставки_До_СтрхВзнс)</f>
        <v>0.29999999999999999</v>
      </c>
      <c s="126">
        <f>LOOKUP(YEAR(U$8),Предпосылки!$C$507:$R$507,Ставки_До_СтрхВзнс)</f>
        <v>0.29999999999999999</v>
      </c>
      <c s="126">
        <f>LOOKUP(YEAR(V$8),Предпосылки!$C$507:$R$507,Ставки_До_СтрхВзнс)</f>
        <v>0.29999999999999999</v>
      </c>
      <c s="126">
        <f>LOOKUP(YEAR(W$8),Предпосылки!$C$507:$R$507,Ставки_До_СтрхВзнс)</f>
        <v>0.29999999999999999</v>
      </c>
      <c s="126">
        <f>LOOKUP(YEAR(X$8),Предпосылки!$C$507:$R$507,Ставки_До_СтрхВзнс)</f>
        <v>0.29999999999999999</v>
      </c>
      <c s="126">
        <f>LOOKUP(YEAR(Y$8),Предпосылки!$C$507:$R$507,Ставки_До_СтрхВзнс)</f>
        <v>0.29999999999999999</v>
      </c>
      <c s="126">
        <f>LOOKUP(YEAR(Z$8),Предпосылки!$C$507:$R$507,Ставки_До_СтрхВзнс)</f>
        <v>0.29999999999999999</v>
      </c>
      <c s="126">
        <f>LOOKUP(YEAR(AA$8),Предпосылки!$C$507:$R$507,Ставки_До_СтрхВзнс)</f>
        <v>0.29999999999999999</v>
      </c>
      <c s="126">
        <f>LOOKUP(YEAR(AB$8),Предпосылки!$C$507:$R$507,Ставки_До_СтрхВзнс)</f>
        <v>0.29999999999999999</v>
      </c>
      <c s="126">
        <f>LOOKUP(YEAR(AC$8),Предпосылки!$C$507:$R$507,Ставки_До_СтрхВзнс)</f>
        <v>0.29999999999999999</v>
      </c>
      <c s="126">
        <f>LOOKUP(YEAR(AD$8),Предпосылки!$C$507:$R$507,Ставки_До_СтрхВзнс)</f>
        <v>0.29999999999999999</v>
      </c>
      <c s="126">
        <f>LOOKUP(YEAR(AE$8),Предпосылки!$C$507:$R$507,Ставки_До_СтрхВзнс)</f>
        <v>0.29999999999999999</v>
      </c>
      <c s="126">
        <f>LOOKUP(YEAR(AF$8),Предпосылки!$C$507:$R$507,Ставки_До_СтрхВзнс)</f>
        <v>0.29999999999999999</v>
      </c>
      <c s="126">
        <f>LOOKUP(YEAR(AG$8),Предпосылки!$C$507:$R$507,Ставки_До_СтрхВзнс)</f>
        <v>0.29999999999999999</v>
      </c>
      <c s="126">
        <f>LOOKUP(YEAR(AH$8),Предпосылки!$C$507:$R$507,Ставки_До_СтрхВзнс)</f>
        <v>0.29999999999999999</v>
      </c>
      <c s="126">
        <f>LOOKUP(YEAR(AI$8),Предпосылки!$C$507:$R$507,Ставки_До_СтрхВзнс)</f>
        <v>0.29999999999999999</v>
      </c>
      <c s="126">
        <f>LOOKUP(YEAR(AJ$8),Предпосылки!$C$507:$R$507,Ставки_До_СтрхВзнс)</f>
        <v>0.29999999999999999</v>
      </c>
      <c s="126">
        <f>LOOKUP(YEAR(AK$8),Предпосылки!$C$507:$R$507,Ставки_До_СтрхВзнс)</f>
        <v>0.29999999999999999</v>
      </c>
      <c s="126">
        <f>LOOKUP(YEAR(AL$8),Предпосылки!$C$507:$R$507,Ставки_До_СтрхВзнс)</f>
        <v>0.29999999999999999</v>
      </c>
      <c s="126">
        <f>LOOKUP(YEAR(AM$8),Предпосылки!$C$507:$R$507,Ставки_До_СтрхВзнс)</f>
        <v>0.29999999999999999</v>
      </c>
      <c s="126">
        <f>LOOKUP(YEAR(AN$8),Предпосылки!$C$507:$R$507,Ставки_До_СтрхВзнс)</f>
        <v>0.29999999999999999</v>
      </c>
      <c s="126">
        <f>LOOKUP(YEAR(AO$8),Предпосылки!$C$507:$R$507,Ставки_До_СтрхВзнс)</f>
        <v>0.29999999999999999</v>
      </c>
      <c s="126">
        <f>LOOKUP(YEAR(AP$8),Предпосылки!$C$507:$R$507,Ставки_До_СтрхВзнс)</f>
        <v>0.29999999999999999</v>
      </c>
      <c s="126">
        <f>LOOKUP(YEAR(AQ$8),Предпосылки!$C$507:$R$507,Ставки_До_СтрхВзнс)</f>
        <v>0.29999999999999999</v>
      </c>
      <c s="126">
        <f>LOOKUP(YEAR(AR$8),Предпосылки!$C$507:$R$507,Ставки_До_СтрхВзнс)</f>
        <v>0.29999999999999999</v>
      </c>
      <c s="126">
        <f>LOOKUP(YEAR(AS$8),Предпосылки!$C$507:$R$507,Ставки_До_СтрхВзнс)</f>
        <v>0.29999999999999999</v>
      </c>
      <c s="126">
        <f>LOOKUP(YEAR(AT$8),Предпосылки!$C$507:$R$507,Ставки_До_СтрхВзнс)</f>
        <v>0.29999999999999999</v>
      </c>
      <c s="126">
        <f>LOOKUP(YEAR(AU$8),Предпосылки!$C$507:$R$507,Ставки_До_СтрхВзнс)</f>
        <v>0.29999999999999999</v>
      </c>
      <c s="126">
        <f>LOOKUP(YEAR(AV$8),Предпосылки!$C$507:$R$507,Ставки_До_СтрхВзнс)</f>
        <v>0.29999999999999999</v>
      </c>
      <c s="126">
        <f>LOOKUP(YEAR(AW$8),Предпосылки!$C$507:$R$507,Ставки_До_СтрхВзнс)</f>
        <v>0.29999999999999999</v>
      </c>
      <c s="126">
        <f>LOOKUP(YEAR(AX$8),Предпосылки!$C$507:$R$507,Ставки_До_СтрхВзнс)</f>
        <v>0.29999999999999999</v>
      </c>
      <c s="126">
        <f>LOOKUP(YEAR(AY$8),Предпосылки!$C$507:$R$507,Ставки_До_СтрхВзнс)</f>
        <v>0.29999999999999999</v>
      </c>
      <c s="126">
        <f>LOOKUP(YEAR(AZ$8),Предпосылки!$C$507:$R$507,Ставки_До_СтрхВзнс)</f>
        <v>0.29999999999999999</v>
      </c>
      <c s="126">
        <f>LOOKUP(YEAR(BA$8),Предпосылки!$C$507:$R$507,Ставки_До_СтрхВзнс)</f>
        <v>0.29999999999999999</v>
      </c>
      <c s="126">
        <f>LOOKUP(YEAR(BB$8),Предпосылки!$C$507:$R$507,Ставки_До_СтрхВзнс)</f>
        <v>0.29999999999999999</v>
      </c>
      <c s="126">
        <f>LOOKUP(YEAR(BC$8),Предпосылки!$C$507:$R$507,Ставки_До_СтрхВзнс)</f>
        <v>0.29999999999999999</v>
      </c>
      <c s="126">
        <f>LOOKUP(YEAR(BD$8),Предпосылки!$C$507:$R$507,Ставки_До_СтрхВзнс)</f>
        <v>0.29999999999999999</v>
      </c>
      <c s="126">
        <f>LOOKUP(YEAR(BE$8),Предпосылки!$C$507:$R$507,Ставки_До_СтрхВзнс)</f>
        <v>0.29999999999999999</v>
      </c>
      <c s="126">
        <f>LOOKUP(YEAR(BF$8),Предпосылки!$C$507:$R$507,Ставки_До_СтрхВзнс)</f>
        <v>0.29999999999999999</v>
      </c>
      <c s="126">
        <f>LOOKUP(YEAR(BG$8),Предпосылки!$C$507:$R$507,Ставки_До_СтрхВзнс)</f>
        <v>0.29999999999999999</v>
      </c>
      <c s="126">
        <f>LOOKUP(YEAR(BH$8),Предпосылки!$C$507:$R$507,Ставки_До_СтрхВзнс)</f>
        <v>0.29999999999999999</v>
      </c>
      <c s="126">
        <f>LOOKUP(YEAR(BI$8),Предпосылки!$C$507:$R$507,Ставки_До_СтрхВзнс)</f>
        <v>0.29999999999999999</v>
      </c>
      <c s="126">
        <f>LOOKUP(YEAR(BJ$8),Предпосылки!$C$507:$R$507,Ставки_До_СтрхВзнс)</f>
        <v>0.29999999999999999</v>
      </c>
      <c s="126">
        <f>LOOKUP(YEAR(BK$8),Предпосылки!$C$507:$R$507,Ставки_До_СтрхВзнс)</f>
        <v>0.29999999999999999</v>
      </c>
      <c s="126">
        <f>LOOKUP(YEAR(BL$8),Предпосылки!$C$507:$R$507,Ставки_До_СтрхВзнс)</f>
        <v>0.29999999999999999</v>
      </c>
      <c s="126">
        <f>LOOKUP(YEAR(BM$8),Предпосылки!$C$507:$R$507,Ставки_До_СтрхВзнс)</f>
        <v>0.29999999999999999</v>
      </c>
      <c s="168"/>
    </row>
    <row r="126" spans="2:66" ht="15" customHeight="1">
      <c r="B126" s="12" t="s">
        <v>264</v>
      </c>
      <c s="124" t="str">
        <f>Единица_измерения</f>
        <v>тыс. руб.</v>
      </c>
      <c s="125"/>
      <c s="125">
        <f>LOOKUP(YEAR(E$8),Предпосылки!$C$520:$R$520,Предпосылки!$C$521:$R$521)</f>
        <v>2225</v>
      </c>
      <c s="125">
        <f>LOOKUP(YEAR(F$8),Предпосылки!$C$520:$R$520,Предпосылки!$C$521:$R$521)</f>
        <v>2225</v>
      </c>
      <c s="125">
        <f>LOOKUP(YEAR(G$8),Предпосылки!$C$520:$R$520,Предпосылки!$C$521:$R$521)</f>
        <v>2225</v>
      </c>
      <c s="125">
        <f>LOOKUP(YEAR(H$8),Предпосылки!$C$520:$R$520,Предпосылки!$C$521:$R$521)</f>
        <v>2225</v>
      </c>
      <c s="125">
        <f>LOOKUP(YEAR(I$8),Предпосылки!$C$520:$R$520,Предпосылки!$C$521:$R$521)</f>
        <v>2336.25</v>
      </c>
      <c s="125">
        <f>LOOKUP(YEAR(J$8),Предпосылки!$C$520:$R$520,Предпосылки!$C$521:$R$521)</f>
        <v>2336.25</v>
      </c>
      <c s="125">
        <f>LOOKUP(YEAR(K$8),Предпосылки!$C$520:$R$520,Предпосылки!$C$521:$R$521)</f>
        <v>2336.25</v>
      </c>
      <c s="125">
        <f>LOOKUP(YEAR(L$8),Предпосылки!$C$520:$R$520,Предпосылки!$C$521:$R$521)</f>
        <v>2336.25</v>
      </c>
      <c s="125">
        <f>LOOKUP(YEAR(M$8),Предпосылки!$C$520:$R$520,Предпосылки!$C$521:$R$521)</f>
        <v>2453.0625</v>
      </c>
      <c s="125">
        <f>LOOKUP(YEAR(N$8),Предпосылки!$C$520:$R$520,Предпосылки!$C$521:$R$521)</f>
        <v>2453.0625</v>
      </c>
      <c s="125">
        <f>LOOKUP(YEAR(O$8),Предпосылки!$C$520:$R$520,Предпосылки!$C$521:$R$521)</f>
        <v>2453.0625</v>
      </c>
      <c s="125">
        <f>LOOKUP(YEAR(P$8),Предпосылки!$C$520:$R$520,Предпосылки!$C$521:$R$521)</f>
        <v>2453.0625</v>
      </c>
      <c s="125">
        <f>LOOKUP(YEAR(Q$8),Предпосылки!$C$520:$R$520,Предпосылки!$C$521:$R$521)</f>
        <v>2575.7156250000003</v>
      </c>
      <c s="125">
        <f>LOOKUP(YEAR(R$8),Предпосылки!$C$520:$R$520,Предпосылки!$C$521:$R$521)</f>
        <v>2575.7156250000003</v>
      </c>
      <c s="125">
        <f>LOOKUP(YEAR(S$8),Предпосылки!$C$520:$R$520,Предпосылки!$C$521:$R$521)</f>
        <v>2575.7156250000003</v>
      </c>
      <c s="125">
        <f>LOOKUP(YEAR(T$8),Предпосылки!$C$520:$R$520,Предпосылки!$C$521:$R$521)</f>
        <v>2575.7156250000003</v>
      </c>
      <c s="125">
        <f>LOOKUP(YEAR(U$8),Предпосылки!$C$520:$R$520,Предпосылки!$C$521:$R$521)</f>
        <v>2704.5014062500004</v>
      </c>
      <c s="125">
        <f>LOOKUP(YEAR(V$8),Предпосылки!$C$520:$R$520,Предпосылки!$C$521:$R$521)</f>
        <v>2704.5014062500004</v>
      </c>
      <c s="125">
        <f>LOOKUP(YEAR(W$8),Предпосылки!$C$520:$R$520,Предпосылки!$C$521:$R$521)</f>
        <v>2704.5014062500004</v>
      </c>
      <c s="125">
        <f>LOOKUP(YEAR(X$8),Предпосылки!$C$520:$R$520,Предпосылки!$C$521:$R$521)</f>
        <v>2704.5014062500004</v>
      </c>
      <c s="125">
        <f>LOOKUP(YEAR(Y$8),Предпосылки!$C$520:$R$520,Предпосылки!$C$521:$R$521)</f>
        <v>2839.7264765625005</v>
      </c>
      <c s="125">
        <f>LOOKUP(YEAR(Z$8),Предпосылки!$C$520:$R$520,Предпосылки!$C$521:$R$521)</f>
        <v>2839.7264765625005</v>
      </c>
      <c s="125">
        <f>LOOKUP(YEAR(AA$8),Предпосылки!$C$520:$R$520,Предпосылки!$C$521:$R$521)</f>
        <v>2839.7264765625005</v>
      </c>
      <c s="125">
        <f>LOOKUP(YEAR(AB$8),Предпосылки!$C$520:$R$520,Предпосылки!$C$521:$R$521)</f>
        <v>2839.7264765625005</v>
      </c>
      <c s="125">
        <f>LOOKUP(YEAR(AC$8),Предпосылки!$C$520:$R$520,Предпосылки!$C$521:$R$521)</f>
        <v>2981.7128003906255</v>
      </c>
      <c s="125">
        <f>LOOKUP(YEAR(AD$8),Предпосылки!$C$520:$R$520,Предпосылки!$C$521:$R$521)</f>
        <v>2981.7128003906255</v>
      </c>
      <c s="125">
        <f>LOOKUP(YEAR(AE$8),Предпосылки!$C$520:$R$520,Предпосылки!$C$521:$R$521)</f>
        <v>2981.7128003906255</v>
      </c>
      <c s="125">
        <f>LOOKUP(YEAR(AF$8),Предпосылки!$C$520:$R$520,Предпосылки!$C$521:$R$521)</f>
        <v>2981.7128003906255</v>
      </c>
      <c s="125">
        <f>LOOKUP(YEAR(AG$8),Предпосылки!$C$520:$R$520,Предпосылки!$C$521:$R$521)</f>
        <v>3130.7984404101567</v>
      </c>
      <c s="125">
        <f>LOOKUP(YEAR(AH$8),Предпосылки!$C$520:$R$520,Предпосылки!$C$521:$R$521)</f>
        <v>3130.7984404101567</v>
      </c>
      <c s="125">
        <f>LOOKUP(YEAR(AI$8),Предпосылки!$C$520:$R$520,Предпосылки!$C$521:$R$521)</f>
        <v>3130.7984404101567</v>
      </c>
      <c s="125">
        <f>LOOKUP(YEAR(AJ$8),Предпосылки!$C$520:$R$520,Предпосылки!$C$521:$R$521)</f>
        <v>3130.7984404101567</v>
      </c>
      <c s="125">
        <f>LOOKUP(YEAR(AK$8),Предпосылки!$C$520:$R$520,Предпосылки!$C$521:$R$521)</f>
        <v>3287.3383624306648</v>
      </c>
      <c s="125">
        <f>LOOKUP(YEAR(AL$8),Предпосылки!$C$520:$R$520,Предпосылки!$C$521:$R$521)</f>
        <v>3287.3383624306648</v>
      </c>
      <c s="125">
        <f>LOOKUP(YEAR(AM$8),Предпосылки!$C$520:$R$520,Предпосылки!$C$521:$R$521)</f>
        <v>3287.3383624306648</v>
      </c>
      <c s="125">
        <f>LOOKUP(YEAR(AN$8),Предпосылки!$C$520:$R$520,Предпосылки!$C$521:$R$521)</f>
        <v>3287.3383624306648</v>
      </c>
      <c s="125">
        <f>LOOKUP(YEAR(AO$8),Предпосылки!$C$520:$R$520,Предпосылки!$C$521:$R$521)</f>
        <v>3451.705280552198</v>
      </c>
      <c s="125">
        <f>LOOKUP(YEAR(AP$8),Предпосылки!$C$520:$R$520,Предпосылки!$C$521:$R$521)</f>
        <v>3451.705280552198</v>
      </c>
      <c s="125">
        <f>LOOKUP(YEAR(AQ$8),Предпосылки!$C$520:$R$520,Предпосылки!$C$521:$R$521)</f>
        <v>3451.705280552198</v>
      </c>
      <c s="125">
        <f>LOOKUP(YEAR(AR$8),Предпосылки!$C$520:$R$520,Предпосылки!$C$521:$R$521)</f>
        <v>3451.705280552198</v>
      </c>
      <c s="125">
        <f>LOOKUP(YEAR(AS$8),Предпосылки!$C$520:$R$520,Предпосылки!$C$521:$R$521)</f>
        <v>3624.2905445798083</v>
      </c>
      <c s="125">
        <f>LOOKUP(YEAR(AT$8),Предпосылки!$C$520:$R$520,Предпосылки!$C$521:$R$521)</f>
        <v>3624.2905445798083</v>
      </c>
      <c s="125">
        <f>LOOKUP(YEAR(AU$8),Предпосылки!$C$520:$R$520,Предпосылки!$C$521:$R$521)</f>
        <v>3624.2905445798083</v>
      </c>
      <c s="125">
        <f>LOOKUP(YEAR(AV$8),Предпосылки!$C$520:$R$520,Предпосылки!$C$521:$R$521)</f>
        <v>3624.2905445798083</v>
      </c>
      <c s="125">
        <f>LOOKUP(YEAR(AW$8),Предпосылки!$C$520:$R$520,Предпосылки!$C$521:$R$521)</f>
        <v>3805.5050718087987</v>
      </c>
      <c s="125">
        <f>LOOKUP(YEAR(AX$8),Предпосылки!$C$520:$R$520,Предпосылки!$C$521:$R$521)</f>
        <v>3805.5050718087987</v>
      </c>
      <c s="125">
        <f>LOOKUP(YEAR(AY$8),Предпосылки!$C$520:$R$520,Предпосылки!$C$521:$R$521)</f>
        <v>3805.5050718087987</v>
      </c>
      <c s="125">
        <f>LOOKUP(YEAR(AZ$8),Предпосылки!$C$520:$R$520,Предпосылки!$C$521:$R$521)</f>
        <v>3805.5050718087987</v>
      </c>
      <c s="125">
        <f>LOOKUP(YEAR(BA$8),Предпосылки!$C$520:$R$520,Предпосылки!$C$521:$R$521)</f>
        <v>3995.7803253992388</v>
      </c>
      <c s="125">
        <f>LOOKUP(YEAR(BB$8),Предпосылки!$C$520:$R$520,Предпосылки!$C$521:$R$521)</f>
        <v>3995.7803253992388</v>
      </c>
      <c s="125">
        <f>LOOKUP(YEAR(BC$8),Предпосылки!$C$520:$R$520,Предпосылки!$C$521:$R$521)</f>
        <v>3995.7803253992388</v>
      </c>
      <c s="125">
        <f>LOOKUP(YEAR(BD$8),Предпосылки!$C$520:$R$520,Предпосылки!$C$521:$R$521)</f>
        <v>3995.7803253992388</v>
      </c>
      <c s="125">
        <f>LOOKUP(YEAR(BE$8),Предпосылки!$C$520:$R$520,Предпосылки!$C$521:$R$521)</f>
        <v>4195.5693416692011</v>
      </c>
      <c s="125">
        <f>LOOKUP(YEAR(BF$8),Предпосылки!$C$520:$R$520,Предпосылки!$C$521:$R$521)</f>
        <v>4195.5693416692011</v>
      </c>
      <c s="125">
        <f>LOOKUP(YEAR(BG$8),Предпосылки!$C$520:$R$520,Предпосылки!$C$521:$R$521)</f>
        <v>4195.5693416692011</v>
      </c>
      <c s="125">
        <f>LOOKUP(YEAR(BH$8),Предпосылки!$C$520:$R$520,Предпосылки!$C$521:$R$521)</f>
        <v>4195.5693416692011</v>
      </c>
      <c s="125">
        <f>LOOKUP(YEAR(BI$8),Предпосылки!$C$520:$R$520,Предпосылки!$C$521:$R$521)</f>
        <v>4405.347808752661</v>
      </c>
      <c s="125">
        <f>LOOKUP(YEAR(BJ$8),Предпосылки!$C$520:$R$520,Предпосылки!$C$521:$R$521)</f>
        <v>4405.347808752661</v>
      </c>
      <c s="125">
        <f>LOOKUP(YEAR(BK$8),Предпосылки!$C$520:$R$520,Предпосылки!$C$521:$R$521)</f>
        <v>4405.347808752661</v>
      </c>
      <c s="125">
        <f>LOOKUP(YEAR(BL$8),Предпосылки!$C$520:$R$520,Предпосылки!$C$521:$R$521)</f>
        <v>4405.347808752661</v>
      </c>
      <c s="125">
        <f>LOOKUP(YEAR(BM$8),Предпосылки!$C$520:$R$520,Предпосылки!$C$521:$R$521)</f>
        <v>4625.6151991902943</v>
      </c>
      <c s="166"/>
    </row>
    <row r="127" spans="2:66" ht="15" customHeight="1">
      <c r="B127" s="12" t="s">
        <v>267</v>
      </c>
      <c s="124" t="s">
        <v>817</v>
      </c>
      <c s="125"/>
      <c s="126">
        <f>LOOKUP(YEAR(E$8),Предпосылки!$C$527:$R$527,Ставки_После_ОПС)</f>
        <v>0.151</v>
      </c>
      <c s="126">
        <f>LOOKUP(YEAR(F$8),Предпосылки!$C$527:$R$527,Ставки_После_ОПС)</f>
        <v>0.151</v>
      </c>
      <c s="126">
        <f>LOOKUP(YEAR(G$8),Предпосылки!$C$527:$R$527,Ставки_После_ОПС)</f>
        <v>0.151</v>
      </c>
      <c s="126">
        <f>LOOKUP(YEAR(H$8),Предпосылки!$C$527:$R$527,Ставки_После_ОПС)</f>
        <v>0.151</v>
      </c>
      <c s="126">
        <f>LOOKUP(YEAR(I$8),Предпосылки!$C$527:$R$527,Ставки_После_ОПС)</f>
        <v>0.151</v>
      </c>
      <c s="126">
        <f>LOOKUP(YEAR(J$8),Предпосылки!$C$527:$R$527,Ставки_После_ОПС)</f>
        <v>0.151</v>
      </c>
      <c s="126">
        <f>LOOKUP(YEAR(K$8),Предпосылки!$C$527:$R$527,Ставки_После_ОПС)</f>
        <v>0.151</v>
      </c>
      <c s="126">
        <f>LOOKUP(YEAR(L$8),Предпосылки!$C$527:$R$527,Ставки_После_ОПС)</f>
        <v>0.151</v>
      </c>
      <c s="126">
        <f>LOOKUP(YEAR(M$8),Предпосылки!$C$527:$R$527,Ставки_После_ОПС)</f>
        <v>0.151</v>
      </c>
      <c s="126">
        <f>LOOKUP(YEAR(N$8),Предпосылки!$C$527:$R$527,Ставки_После_ОПС)</f>
        <v>0.151</v>
      </c>
      <c s="126">
        <f>LOOKUP(YEAR(O$8),Предпосылки!$C$527:$R$527,Ставки_После_ОПС)</f>
        <v>0.151</v>
      </c>
      <c s="126">
        <f>LOOKUP(YEAR(P$8),Предпосылки!$C$527:$R$527,Ставки_После_ОПС)</f>
        <v>0.151</v>
      </c>
      <c s="126">
        <f>LOOKUP(YEAR(Q$8),Предпосылки!$C$527:$R$527,Ставки_После_ОПС)</f>
        <v>0.151</v>
      </c>
      <c s="126">
        <f>LOOKUP(YEAR(R$8),Предпосылки!$C$527:$R$527,Ставки_После_ОПС)</f>
        <v>0.151</v>
      </c>
      <c s="126">
        <f>LOOKUP(YEAR(S$8),Предпосылки!$C$527:$R$527,Ставки_После_ОПС)</f>
        <v>0.151</v>
      </c>
      <c s="126">
        <f>LOOKUP(YEAR(T$8),Предпосылки!$C$527:$R$527,Ставки_После_ОПС)</f>
        <v>0.151</v>
      </c>
      <c s="126">
        <f>LOOKUP(YEAR(U$8),Предпосылки!$C$527:$R$527,Ставки_После_ОПС)</f>
        <v>0.151</v>
      </c>
      <c s="126">
        <f>LOOKUP(YEAR(V$8),Предпосылки!$C$527:$R$527,Ставки_После_ОПС)</f>
        <v>0.151</v>
      </c>
      <c s="126">
        <f>LOOKUP(YEAR(W$8),Предпосылки!$C$527:$R$527,Ставки_После_ОПС)</f>
        <v>0.151</v>
      </c>
      <c s="126">
        <f>LOOKUP(YEAR(X$8),Предпосылки!$C$527:$R$527,Ставки_После_ОПС)</f>
        <v>0.151</v>
      </c>
      <c s="126">
        <f>LOOKUP(YEAR(Y$8),Предпосылки!$C$527:$R$527,Ставки_После_ОПС)</f>
        <v>0.151</v>
      </c>
      <c s="126">
        <f>LOOKUP(YEAR(Z$8),Предпосылки!$C$527:$R$527,Ставки_После_ОПС)</f>
        <v>0.151</v>
      </c>
      <c s="126">
        <f>LOOKUP(YEAR(AA$8),Предпосылки!$C$527:$R$527,Ставки_После_ОПС)</f>
        <v>0.151</v>
      </c>
      <c s="126">
        <f>LOOKUP(YEAR(AB$8),Предпосылки!$C$527:$R$527,Ставки_После_ОПС)</f>
        <v>0.151</v>
      </c>
      <c s="126">
        <f>LOOKUP(YEAR(AC$8),Предпосылки!$C$527:$R$527,Ставки_После_ОПС)</f>
        <v>0.151</v>
      </c>
      <c s="126">
        <f>LOOKUP(YEAR(AD$8),Предпосылки!$C$527:$R$527,Ставки_После_ОПС)</f>
        <v>0.151</v>
      </c>
      <c s="126">
        <f>LOOKUP(YEAR(AE$8),Предпосылки!$C$527:$R$527,Ставки_После_ОПС)</f>
        <v>0.151</v>
      </c>
      <c s="126">
        <f>LOOKUP(YEAR(AF$8),Предпосылки!$C$527:$R$527,Ставки_После_ОПС)</f>
        <v>0.151</v>
      </c>
      <c s="126">
        <f>LOOKUP(YEAR(AG$8),Предпосылки!$C$527:$R$527,Ставки_После_ОПС)</f>
        <v>0.151</v>
      </c>
      <c s="126">
        <f>LOOKUP(YEAR(AH$8),Предпосылки!$C$527:$R$527,Ставки_После_ОПС)</f>
        <v>0.151</v>
      </c>
      <c s="126">
        <f>LOOKUP(YEAR(AI$8),Предпосылки!$C$527:$R$527,Ставки_После_ОПС)</f>
        <v>0.151</v>
      </c>
      <c s="126">
        <f>LOOKUP(YEAR(AJ$8),Предпосылки!$C$527:$R$527,Ставки_После_ОПС)</f>
        <v>0.151</v>
      </c>
      <c s="126">
        <f>LOOKUP(YEAR(AK$8),Предпосылки!$C$527:$R$527,Ставки_После_ОПС)</f>
        <v>0.151</v>
      </c>
      <c s="126">
        <f>LOOKUP(YEAR(AL$8),Предпосылки!$C$527:$R$527,Ставки_После_ОПС)</f>
        <v>0.151</v>
      </c>
      <c s="126">
        <f>LOOKUP(YEAR(AM$8),Предпосылки!$C$527:$R$527,Ставки_После_ОПС)</f>
        <v>0.151</v>
      </c>
      <c s="126">
        <f>LOOKUP(YEAR(AN$8),Предпосылки!$C$527:$R$527,Ставки_После_ОПС)</f>
        <v>0.151</v>
      </c>
      <c s="126">
        <f>LOOKUP(YEAR(AO$8),Предпосылки!$C$527:$R$527,Ставки_После_ОПС)</f>
        <v>0.151</v>
      </c>
      <c s="126">
        <f>LOOKUP(YEAR(AP$8),Предпосылки!$C$527:$R$527,Ставки_После_ОПС)</f>
        <v>0.151</v>
      </c>
      <c s="126">
        <f>LOOKUP(YEAR(AQ$8),Предпосылки!$C$527:$R$527,Ставки_После_ОПС)</f>
        <v>0.151</v>
      </c>
      <c s="126">
        <f>LOOKUP(YEAR(AR$8),Предпосылки!$C$527:$R$527,Ставки_После_ОПС)</f>
        <v>0.151</v>
      </c>
      <c s="126">
        <f>LOOKUP(YEAR(AS$8),Предпосылки!$C$527:$R$527,Ставки_После_ОПС)</f>
        <v>0.151</v>
      </c>
      <c s="126">
        <f>LOOKUP(YEAR(AT$8),Предпосылки!$C$527:$R$527,Ставки_После_ОПС)</f>
        <v>0.151</v>
      </c>
      <c s="126">
        <f>LOOKUP(YEAR(AU$8),Предпосылки!$C$527:$R$527,Ставки_После_ОПС)</f>
        <v>0.151</v>
      </c>
      <c s="126">
        <f>LOOKUP(YEAR(AV$8),Предпосылки!$C$527:$R$527,Ставки_После_ОПС)</f>
        <v>0.151</v>
      </c>
      <c s="126">
        <f>LOOKUP(YEAR(AW$8),Предпосылки!$C$527:$R$527,Ставки_После_ОПС)</f>
        <v>0.151</v>
      </c>
      <c s="126">
        <f>LOOKUP(YEAR(AX$8),Предпосылки!$C$527:$R$527,Ставки_После_ОПС)</f>
        <v>0.151</v>
      </c>
      <c s="126">
        <f>LOOKUP(YEAR(AY$8),Предпосылки!$C$527:$R$527,Ставки_После_ОПС)</f>
        <v>0.151</v>
      </c>
      <c s="126">
        <f>LOOKUP(YEAR(AZ$8),Предпосылки!$C$527:$R$527,Ставки_После_ОПС)</f>
        <v>0.151</v>
      </c>
      <c s="126">
        <f>LOOKUP(YEAR(BA$8),Предпосылки!$C$527:$R$527,Ставки_После_ОПС)</f>
        <v>0.151</v>
      </c>
      <c s="126">
        <f>LOOKUP(YEAR(BB$8),Предпосылки!$C$527:$R$527,Ставки_После_ОПС)</f>
        <v>0.151</v>
      </c>
      <c s="126">
        <f>LOOKUP(YEAR(BC$8),Предпосылки!$C$527:$R$527,Ставки_После_ОПС)</f>
        <v>0.151</v>
      </c>
      <c s="126">
        <f>LOOKUP(YEAR(BD$8),Предпосылки!$C$527:$R$527,Ставки_После_ОПС)</f>
        <v>0.151</v>
      </c>
      <c s="126">
        <f>LOOKUP(YEAR(BE$8),Предпосылки!$C$527:$R$527,Ставки_После_ОПС)</f>
        <v>0.151</v>
      </c>
      <c s="126">
        <f>LOOKUP(YEAR(BF$8),Предпосылки!$C$527:$R$527,Ставки_После_ОПС)</f>
        <v>0.151</v>
      </c>
      <c s="126">
        <f>LOOKUP(YEAR(BG$8),Предпосылки!$C$527:$R$527,Ставки_После_ОПС)</f>
        <v>0.151</v>
      </c>
      <c s="126">
        <f>LOOKUP(YEAR(BH$8),Предпосылки!$C$527:$R$527,Ставки_После_ОПС)</f>
        <v>0.151</v>
      </c>
      <c s="126">
        <f>LOOKUP(YEAR(BI$8),Предпосылки!$C$527:$R$527,Ставки_После_ОПС)</f>
        <v>0.151</v>
      </c>
      <c s="126">
        <f>LOOKUP(YEAR(BJ$8),Предпосылки!$C$527:$R$527,Ставки_После_ОПС)</f>
        <v>0.151</v>
      </c>
      <c s="126">
        <f>LOOKUP(YEAR(BK$8),Предпосылки!$C$527:$R$527,Ставки_После_ОПС)</f>
        <v>0.151</v>
      </c>
      <c s="126">
        <f>LOOKUP(YEAR(BL$8),Предпосылки!$C$527:$R$527,Ставки_После_ОПС)</f>
        <v>0.151</v>
      </c>
      <c s="126">
        <f>LOOKUP(YEAR(BM$8),Предпосылки!$C$527:$R$527,Ставки_После_ОПС)</f>
        <v>0.151</v>
      </c>
      <c s="168"/>
    </row>
    <row r="128" spans="2:66" ht="15" customHeight="1">
      <c r="B128" s="30"/>
      <c s="364"/>
      <c s="166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29" spans="2:66" ht="15" customHeight="1">
      <c r="B129" s="25" t="s">
        <v>556</v>
      </c>
      <c s="364"/>
      <c s="166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30" spans="2:66" ht="15" customHeight="1">
      <c r="B130" s="12" t="s">
        <v>557</v>
      </c>
      <c s="124" t="s">
        <v>817</v>
      </c>
      <c s="125"/>
      <c s="126">
        <f>LOOKUP(YEAR(E$8),Предпосылки!$C$514:$R$514,Единый_тариф_СтрхВзнс_МСП_До)</f>
        <v>0.29999999999999999</v>
      </c>
      <c s="126">
        <f>LOOKUP(YEAR(F$8),Предпосылки!$C$514:$R$514,Единый_тариф_СтрхВзнс_МСП_До)</f>
        <v>0.29999999999999999</v>
      </c>
      <c s="126">
        <f>LOOKUP(YEAR(G$8),Предпосылки!$C$514:$R$514,Единый_тариф_СтрхВзнс_МСП_До)</f>
        <v>0.29999999999999999</v>
      </c>
      <c s="126">
        <f>LOOKUP(YEAR(H$8),Предпосылки!$C$514:$R$514,Единый_тариф_СтрхВзнс_МСП_До)</f>
        <v>0.29999999999999999</v>
      </c>
      <c s="126">
        <f>LOOKUP(YEAR(I$8),Предпосылки!$C$514:$R$514,Единый_тариф_СтрхВзнс_МСП_До)</f>
        <v>0.29999999999999999</v>
      </c>
      <c s="126">
        <f>LOOKUP(YEAR(J$8),Предпосылки!$C$514:$R$514,Единый_тариф_СтрхВзнс_МСП_До)</f>
        <v>0.29999999999999999</v>
      </c>
      <c s="126">
        <f>LOOKUP(YEAR(K$8),Предпосылки!$C$514:$R$514,Единый_тариф_СтрхВзнс_МСП_До)</f>
        <v>0.29999999999999999</v>
      </c>
      <c s="126">
        <f>LOOKUP(YEAR(L$8),Предпосылки!$C$514:$R$514,Единый_тариф_СтрхВзнс_МСП_До)</f>
        <v>0.29999999999999999</v>
      </c>
      <c s="126">
        <f>LOOKUP(YEAR(M$8),Предпосылки!$C$514:$R$514,Единый_тариф_СтрхВзнс_МСП_До)</f>
        <v>0.29999999999999999</v>
      </c>
      <c s="126">
        <f>LOOKUP(YEAR(N$8),Предпосылки!$C$514:$R$514,Единый_тариф_СтрхВзнс_МСП_До)</f>
        <v>0.29999999999999999</v>
      </c>
      <c s="126">
        <f>LOOKUP(YEAR(O$8),Предпосылки!$C$514:$R$514,Единый_тариф_СтрхВзнс_МСП_До)</f>
        <v>0.29999999999999999</v>
      </c>
      <c s="126">
        <f>LOOKUP(YEAR(P$8),Предпосылки!$C$514:$R$514,Единый_тариф_СтрхВзнс_МСП_До)</f>
        <v>0.29999999999999999</v>
      </c>
      <c s="126">
        <f>LOOKUP(YEAR(Q$8),Предпосылки!$C$514:$R$514,Единый_тариф_СтрхВзнс_МСП_До)</f>
        <v>0.29999999999999999</v>
      </c>
      <c s="126">
        <f>LOOKUP(YEAR(R$8),Предпосылки!$C$514:$R$514,Единый_тариф_СтрхВзнс_МСП_До)</f>
        <v>0.29999999999999999</v>
      </c>
      <c s="126">
        <f>LOOKUP(YEAR(S$8),Предпосылки!$C$514:$R$514,Единый_тариф_СтрхВзнс_МСП_До)</f>
        <v>0.29999999999999999</v>
      </c>
      <c s="126">
        <f>LOOKUP(YEAR(T$8),Предпосылки!$C$514:$R$514,Единый_тариф_СтрхВзнс_МСП_До)</f>
        <v>0.29999999999999999</v>
      </c>
      <c s="126">
        <f>LOOKUP(YEAR(U$8),Предпосылки!$C$514:$R$514,Единый_тариф_СтрхВзнс_МСП_До)</f>
        <v>0.29999999999999999</v>
      </c>
      <c s="126">
        <f>LOOKUP(YEAR(V$8),Предпосылки!$C$514:$R$514,Единый_тариф_СтрхВзнс_МСП_До)</f>
        <v>0.29999999999999999</v>
      </c>
      <c s="126">
        <f>LOOKUP(YEAR(W$8),Предпосылки!$C$514:$R$514,Единый_тариф_СтрхВзнс_МСП_До)</f>
        <v>0.29999999999999999</v>
      </c>
      <c s="126">
        <f>LOOKUP(YEAR(X$8),Предпосылки!$C$514:$R$514,Единый_тариф_СтрхВзнс_МСП_До)</f>
        <v>0.29999999999999999</v>
      </c>
      <c s="126">
        <f>LOOKUP(YEAR(Y$8),Предпосылки!$C$514:$R$514,Единый_тариф_СтрхВзнс_МСП_До)</f>
        <v>0.29999999999999999</v>
      </c>
      <c s="126">
        <f>LOOKUP(YEAR(Z$8),Предпосылки!$C$514:$R$514,Единый_тариф_СтрхВзнс_МСП_До)</f>
        <v>0.29999999999999999</v>
      </c>
      <c s="126">
        <f>LOOKUP(YEAR(AA$8),Предпосылки!$C$514:$R$514,Единый_тариф_СтрхВзнс_МСП_До)</f>
        <v>0.29999999999999999</v>
      </c>
      <c s="126">
        <f>LOOKUP(YEAR(AB$8),Предпосылки!$C$514:$R$514,Единый_тариф_СтрхВзнс_МСП_До)</f>
        <v>0.29999999999999999</v>
      </c>
      <c s="126">
        <f>LOOKUP(YEAR(AC$8),Предпосылки!$C$514:$R$514,Единый_тариф_СтрхВзнс_МСП_До)</f>
        <v>0.29999999999999999</v>
      </c>
      <c s="126">
        <f>LOOKUP(YEAR(AD$8),Предпосылки!$C$514:$R$514,Единый_тариф_СтрхВзнс_МСП_До)</f>
        <v>0.29999999999999999</v>
      </c>
      <c s="126">
        <f>LOOKUP(YEAR(AE$8),Предпосылки!$C$514:$R$514,Единый_тариф_СтрхВзнс_МСП_До)</f>
        <v>0.29999999999999999</v>
      </c>
      <c s="126">
        <f>LOOKUP(YEAR(AF$8),Предпосылки!$C$514:$R$514,Единый_тариф_СтрхВзнс_МСП_До)</f>
        <v>0.29999999999999999</v>
      </c>
      <c s="126">
        <f>LOOKUP(YEAR(AG$8),Предпосылки!$C$514:$R$514,Единый_тариф_СтрхВзнс_МСП_До)</f>
        <v>0.29999999999999999</v>
      </c>
      <c s="126">
        <f>LOOKUP(YEAR(AH$8),Предпосылки!$C$514:$R$514,Единый_тариф_СтрхВзнс_МСП_До)</f>
        <v>0.29999999999999999</v>
      </c>
      <c s="126">
        <f>LOOKUP(YEAR(AI$8),Предпосылки!$C$514:$R$514,Единый_тариф_СтрхВзнс_МСП_До)</f>
        <v>0.29999999999999999</v>
      </c>
      <c s="126">
        <f>LOOKUP(YEAR(AJ$8),Предпосылки!$C$514:$R$514,Единый_тариф_СтрхВзнс_МСП_До)</f>
        <v>0.29999999999999999</v>
      </c>
      <c s="126">
        <f>LOOKUP(YEAR(AK$8),Предпосылки!$C$514:$R$514,Единый_тариф_СтрхВзнс_МСП_До)</f>
        <v>0.29999999999999999</v>
      </c>
      <c s="126">
        <f>LOOKUP(YEAR(AL$8),Предпосылки!$C$514:$R$514,Единый_тариф_СтрхВзнс_МСП_До)</f>
        <v>0.29999999999999999</v>
      </c>
      <c s="126">
        <f>LOOKUP(YEAR(AM$8),Предпосылки!$C$514:$R$514,Единый_тариф_СтрхВзнс_МСП_До)</f>
        <v>0.29999999999999999</v>
      </c>
      <c s="126">
        <f>LOOKUP(YEAR(AN$8),Предпосылки!$C$514:$R$514,Единый_тариф_СтрхВзнс_МСП_До)</f>
        <v>0.29999999999999999</v>
      </c>
      <c s="126">
        <f>LOOKUP(YEAR(AO$8),Предпосылки!$C$514:$R$514,Единый_тариф_СтрхВзнс_МСП_До)</f>
        <v>0.29999999999999999</v>
      </c>
      <c s="126">
        <f>LOOKUP(YEAR(AP$8),Предпосылки!$C$514:$R$514,Единый_тариф_СтрхВзнс_МСП_До)</f>
        <v>0.29999999999999999</v>
      </c>
      <c s="126">
        <f>LOOKUP(YEAR(AQ$8),Предпосылки!$C$514:$R$514,Единый_тариф_СтрхВзнс_МСП_До)</f>
        <v>0.29999999999999999</v>
      </c>
      <c s="126">
        <f>LOOKUP(YEAR(AR$8),Предпосылки!$C$514:$R$514,Единый_тариф_СтрхВзнс_МСП_До)</f>
        <v>0.29999999999999999</v>
      </c>
      <c s="126">
        <f>LOOKUP(YEAR(AS$8),Предпосылки!$C$514:$R$514,Единый_тариф_СтрхВзнс_МСП_До)</f>
        <v>0.29999999999999999</v>
      </c>
      <c s="126">
        <f>LOOKUP(YEAR(AT$8),Предпосылки!$C$514:$R$514,Единый_тариф_СтрхВзнс_МСП_До)</f>
        <v>0.29999999999999999</v>
      </c>
      <c s="126">
        <f>LOOKUP(YEAR(AU$8),Предпосылки!$C$514:$R$514,Единый_тариф_СтрхВзнс_МСП_До)</f>
        <v>0.29999999999999999</v>
      </c>
      <c s="126">
        <f>LOOKUP(YEAR(AV$8),Предпосылки!$C$514:$R$514,Единый_тариф_СтрхВзнс_МСП_До)</f>
        <v>0.29999999999999999</v>
      </c>
      <c s="126">
        <f>LOOKUP(YEAR(AW$8),Предпосылки!$C$514:$R$514,Единый_тариф_СтрхВзнс_МСП_До)</f>
        <v>0.29999999999999999</v>
      </c>
      <c s="126">
        <f>LOOKUP(YEAR(AX$8),Предпосылки!$C$514:$R$514,Единый_тариф_СтрхВзнс_МСП_До)</f>
        <v>0.29999999999999999</v>
      </c>
      <c s="126">
        <f>LOOKUP(YEAR(AY$8),Предпосылки!$C$514:$R$514,Единый_тариф_СтрхВзнс_МСП_До)</f>
        <v>0.29999999999999999</v>
      </c>
      <c s="126">
        <f>LOOKUP(YEAR(AZ$8),Предпосылки!$C$514:$R$514,Единый_тариф_СтрхВзнс_МСП_До)</f>
        <v>0.29999999999999999</v>
      </c>
      <c s="126">
        <f>LOOKUP(YEAR(BA$8),Предпосылки!$C$514:$R$514,Единый_тариф_СтрхВзнс_МСП_До)</f>
        <v>0.29999999999999999</v>
      </c>
      <c s="126">
        <f>LOOKUP(YEAR(BB$8),Предпосылки!$C$514:$R$514,Единый_тариф_СтрхВзнс_МСП_До)</f>
        <v>0.29999999999999999</v>
      </c>
      <c s="126">
        <f>LOOKUP(YEAR(BC$8),Предпосылки!$C$514:$R$514,Единый_тариф_СтрхВзнс_МСП_До)</f>
        <v>0.29999999999999999</v>
      </c>
      <c s="126">
        <f>LOOKUP(YEAR(BD$8),Предпосылки!$C$514:$R$514,Единый_тариф_СтрхВзнс_МСП_До)</f>
        <v>0.29999999999999999</v>
      </c>
      <c s="126">
        <f>LOOKUP(YEAR(BE$8),Предпосылки!$C$514:$R$514,Единый_тариф_СтрхВзнс_МСП_До)</f>
        <v>0.29999999999999999</v>
      </c>
      <c s="126">
        <f>LOOKUP(YEAR(BF$8),Предпосылки!$C$514:$R$514,Единый_тариф_СтрхВзнс_МСП_До)</f>
        <v>0.29999999999999999</v>
      </c>
      <c s="126">
        <f>LOOKUP(YEAR(BG$8),Предпосылки!$C$514:$R$514,Единый_тариф_СтрхВзнс_МСП_До)</f>
        <v>0.29999999999999999</v>
      </c>
      <c s="126">
        <f>LOOKUP(YEAR(BH$8),Предпосылки!$C$514:$R$514,Единый_тариф_СтрхВзнс_МСП_До)</f>
        <v>0.29999999999999999</v>
      </c>
      <c s="126">
        <f>LOOKUP(YEAR(BI$8),Предпосылки!$C$514:$R$514,Единый_тариф_СтрхВзнс_МСП_До)</f>
        <v>0.29999999999999999</v>
      </c>
      <c s="126">
        <f>LOOKUP(YEAR(BJ$8),Предпосылки!$C$514:$R$514,Единый_тариф_СтрхВзнс_МСП_До)</f>
        <v>0.29999999999999999</v>
      </c>
      <c s="126">
        <f>LOOKUP(YEAR(BK$8),Предпосылки!$C$514:$R$514,Единый_тариф_СтрхВзнс_МСП_До)</f>
        <v>0.29999999999999999</v>
      </c>
      <c s="126">
        <f>LOOKUP(YEAR(BL$8),Предпосылки!$C$514:$R$514,Единый_тариф_СтрхВзнс_МСП_До)</f>
        <v>0.29999999999999999</v>
      </c>
      <c s="126">
        <f>LOOKUP(YEAR(BM$8),Предпосылки!$C$514:$R$514,Единый_тариф_СтрхВзнс_МСП_До)</f>
        <v>0.29999999999999999</v>
      </c>
      <c s="168"/>
    </row>
    <row r="131" spans="2:66" ht="15" customHeight="1">
      <c r="B131" s="12" t="s">
        <v>558</v>
      </c>
      <c s="124" t="str">
        <f>Единица_измерения</f>
        <v>тыс. руб.</v>
      </c>
      <c s="125"/>
      <c s="373">
        <f>LOOKUP(YEAR(E$8),Предпосылки!$C$514:$R$514,Сумм_МРОТ)</f>
        <v>19.242000000000001</v>
      </c>
      <c s="373">
        <f>LOOKUP(YEAR(F$8),Предпосылки!$C$514:$R$514,Сумм_МРОТ)</f>
        <v>19.242000000000001</v>
      </c>
      <c s="373">
        <f>LOOKUP(YEAR(G$8),Предпосылки!$C$514:$R$514,Сумм_МРОТ)</f>
        <v>19.242000000000001</v>
      </c>
      <c s="373">
        <f>LOOKUP(YEAR(H$8),Предпосылки!$C$514:$R$514,Сумм_МРОТ)</f>
        <v>19.242000000000001</v>
      </c>
      <c s="373">
        <f>LOOKUP(YEAR(I$8),Предпосылки!$C$514:$R$514,Сумм_МРОТ)</f>
        <v>20.2041</v>
      </c>
      <c s="373">
        <f>LOOKUP(YEAR(J$8),Предпосылки!$C$514:$R$514,Сумм_МРОТ)</f>
        <v>20.2041</v>
      </c>
      <c s="373">
        <f>LOOKUP(YEAR(K$8),Предпосылки!$C$514:$R$514,Сумм_МРОТ)</f>
        <v>20.2041</v>
      </c>
      <c s="373">
        <f>LOOKUP(YEAR(L$8),Предпосылки!$C$514:$R$514,Сумм_МРОТ)</f>
        <v>20.2041</v>
      </c>
      <c s="373">
        <f>LOOKUP(YEAR(M$8),Предпосылки!$C$514:$R$514,Сумм_МРОТ)</f>
        <v>21.214305000000003</v>
      </c>
      <c s="373">
        <f>LOOKUP(YEAR(N$8),Предпосылки!$C$514:$R$514,Сумм_МРОТ)</f>
        <v>21.214305000000003</v>
      </c>
      <c s="373">
        <f>LOOKUP(YEAR(O$8),Предпосылки!$C$514:$R$514,Сумм_МРОТ)</f>
        <v>21.214305000000003</v>
      </c>
      <c s="373">
        <f>LOOKUP(YEAR(P$8),Предпосылки!$C$514:$R$514,Сумм_МРОТ)</f>
        <v>21.214305000000003</v>
      </c>
      <c s="373">
        <f>LOOKUP(YEAR(Q$8),Предпосылки!$C$514:$R$514,Сумм_МРОТ)</f>
        <v>22.275020250000004</v>
      </c>
      <c s="373">
        <f>LOOKUP(YEAR(R$8),Предпосылки!$C$514:$R$514,Сумм_МРОТ)</f>
        <v>22.275020250000004</v>
      </c>
      <c s="373">
        <f>LOOKUP(YEAR(S$8),Предпосылки!$C$514:$R$514,Сумм_МРОТ)</f>
        <v>22.275020250000004</v>
      </c>
      <c s="373">
        <f>LOOKUP(YEAR(T$8),Предпосылки!$C$514:$R$514,Сумм_МРОТ)</f>
        <v>22.275020250000004</v>
      </c>
      <c s="373">
        <f>LOOKUP(YEAR(U$8),Предпосылки!$C$514:$R$514,Сумм_МРОТ)</f>
        <v>23.388771262500004</v>
      </c>
      <c s="373">
        <f>LOOKUP(YEAR(V$8),Предпосылки!$C$514:$R$514,Сумм_МРОТ)</f>
        <v>23.388771262500004</v>
      </c>
      <c s="373">
        <f>LOOKUP(YEAR(W$8),Предпосылки!$C$514:$R$514,Сумм_МРОТ)</f>
        <v>23.388771262500004</v>
      </c>
      <c s="373">
        <f>LOOKUP(YEAR(X$8),Предпосылки!$C$514:$R$514,Сумм_МРОТ)</f>
        <v>23.388771262500004</v>
      </c>
      <c s="373">
        <f>LOOKUP(YEAR(Y$8),Предпосылки!$C$514:$R$514,Сумм_МРОТ)</f>
        <v>24.558209825625006</v>
      </c>
      <c s="373">
        <f>LOOKUP(YEAR(Z$8),Предпосылки!$C$514:$R$514,Сумм_МРОТ)</f>
        <v>24.558209825625006</v>
      </c>
      <c s="373">
        <f>LOOKUP(YEAR(AA$8),Предпосылки!$C$514:$R$514,Сумм_МРОТ)</f>
        <v>24.558209825625006</v>
      </c>
      <c s="373">
        <f>LOOKUP(YEAR(AB$8),Предпосылки!$C$514:$R$514,Сумм_МРОТ)</f>
        <v>24.558209825625006</v>
      </c>
      <c s="373">
        <f>LOOKUP(YEAR(AC$8),Предпосылки!$C$514:$R$514,Сумм_МРОТ)</f>
        <v>25.786120316906256</v>
      </c>
      <c s="373">
        <f>LOOKUP(YEAR(AD$8),Предпосылки!$C$514:$R$514,Сумм_МРОТ)</f>
        <v>25.786120316906256</v>
      </c>
      <c s="373">
        <f>LOOKUP(YEAR(AE$8),Предпосылки!$C$514:$R$514,Сумм_МРОТ)</f>
        <v>25.786120316906256</v>
      </c>
      <c s="373">
        <f>LOOKUP(YEAR(AF$8),Предпосылки!$C$514:$R$514,Сумм_МРОТ)</f>
        <v>25.786120316906256</v>
      </c>
      <c s="373">
        <f>LOOKUP(YEAR(AG$8),Предпосылки!$C$514:$R$514,Сумм_МРОТ)</f>
        <v>27.075426332751569</v>
      </c>
      <c s="373">
        <f>LOOKUP(YEAR(AH$8),Предпосылки!$C$514:$R$514,Сумм_МРОТ)</f>
        <v>27.075426332751569</v>
      </c>
      <c s="373">
        <f>LOOKUP(YEAR(AI$8),Предпосылки!$C$514:$R$514,Сумм_МРОТ)</f>
        <v>27.075426332751569</v>
      </c>
      <c s="373">
        <f>LOOKUP(YEAR(AJ$8),Предпосылки!$C$514:$R$514,Сумм_МРОТ)</f>
        <v>27.075426332751569</v>
      </c>
      <c s="373">
        <f>LOOKUP(YEAR(AK$8),Предпосылки!$C$514:$R$514,Сумм_МРОТ)</f>
        <v>28.429197649389149</v>
      </c>
      <c s="373">
        <f>LOOKUP(YEAR(AL$8),Предпосылки!$C$514:$R$514,Сумм_МРОТ)</f>
        <v>28.429197649389149</v>
      </c>
      <c s="373">
        <f>LOOKUP(YEAR(AM$8),Предпосылки!$C$514:$R$514,Сумм_МРОТ)</f>
        <v>28.429197649389149</v>
      </c>
      <c s="373">
        <f>LOOKUP(YEAR(AN$8),Предпосылки!$C$514:$R$514,Сумм_МРОТ)</f>
        <v>28.429197649389149</v>
      </c>
      <c s="373">
        <f>LOOKUP(YEAR(AO$8),Предпосылки!$C$514:$R$514,Сумм_МРОТ)</f>
        <v>29.850657531858609</v>
      </c>
      <c s="373">
        <f>LOOKUP(YEAR(AP$8),Предпосылки!$C$514:$R$514,Сумм_МРОТ)</f>
        <v>29.850657531858609</v>
      </c>
      <c s="373">
        <f>LOOKUP(YEAR(AQ$8),Предпосылки!$C$514:$R$514,Сумм_МРОТ)</f>
        <v>29.850657531858609</v>
      </c>
      <c s="373">
        <f>LOOKUP(YEAR(AR$8),Предпосылки!$C$514:$R$514,Сумм_МРОТ)</f>
        <v>29.850657531858609</v>
      </c>
      <c s="373">
        <f>LOOKUP(YEAR(AS$8),Предпосылки!$C$514:$R$514,Сумм_МРОТ)</f>
        <v>31.343190408451541</v>
      </c>
      <c s="373">
        <f>LOOKUP(YEAR(AT$8),Предпосылки!$C$514:$R$514,Сумм_МРОТ)</f>
        <v>31.343190408451541</v>
      </c>
      <c s="373">
        <f>LOOKUP(YEAR(AU$8),Предпосылки!$C$514:$R$514,Сумм_МРОТ)</f>
        <v>31.343190408451541</v>
      </c>
      <c s="373">
        <f>LOOKUP(YEAR(AV$8),Предпосылки!$C$514:$R$514,Сумм_МРОТ)</f>
        <v>31.343190408451541</v>
      </c>
      <c s="373">
        <f>LOOKUP(YEAR(AW$8),Предпосылки!$C$514:$R$514,Сумм_МРОТ)</f>
        <v>32.910349928874119</v>
      </c>
      <c s="373">
        <f>LOOKUP(YEAR(AX$8),Предпосылки!$C$514:$R$514,Сумм_МРОТ)</f>
        <v>32.910349928874119</v>
      </c>
      <c s="373">
        <f>LOOKUP(YEAR(AY$8),Предпосылки!$C$514:$R$514,Сумм_МРОТ)</f>
        <v>32.910349928874119</v>
      </c>
      <c s="373">
        <f>LOOKUP(YEAR(AZ$8),Предпосылки!$C$514:$R$514,Сумм_МРОТ)</f>
        <v>32.910349928874119</v>
      </c>
      <c s="373">
        <f>LOOKUP(YEAR(BA$8),Предпосылки!$C$514:$R$514,Сумм_МРОТ)</f>
        <v>34.555867425317828</v>
      </c>
      <c s="373">
        <f>LOOKUP(YEAR(BB$8),Предпосылки!$C$514:$R$514,Сумм_МРОТ)</f>
        <v>34.555867425317828</v>
      </c>
      <c s="373">
        <f>LOOKUP(YEAR(BC$8),Предпосылки!$C$514:$R$514,Сумм_МРОТ)</f>
        <v>34.555867425317828</v>
      </c>
      <c s="373">
        <f>LOOKUP(YEAR(BD$8),Предпосылки!$C$514:$R$514,Сумм_МРОТ)</f>
        <v>34.555867425317828</v>
      </c>
      <c s="373">
        <f>LOOKUP(YEAR(BE$8),Предпосылки!$C$514:$R$514,Сумм_МРОТ)</f>
        <v>36.283660796583725</v>
      </c>
      <c s="373">
        <f>LOOKUP(YEAR(BF$8),Предпосылки!$C$514:$R$514,Сумм_МРОТ)</f>
        <v>36.283660796583725</v>
      </c>
      <c s="373">
        <f>LOOKUP(YEAR(BG$8),Предпосылки!$C$514:$R$514,Сумм_МРОТ)</f>
        <v>36.283660796583725</v>
      </c>
      <c s="373">
        <f>LOOKUP(YEAR(BH$8),Предпосылки!$C$514:$R$514,Сумм_МРОТ)</f>
        <v>36.283660796583725</v>
      </c>
      <c s="373">
        <f>LOOKUP(YEAR(BI$8),Предпосылки!$C$514:$R$514,Сумм_МРОТ)</f>
        <v>38.097843836412913</v>
      </c>
      <c s="373">
        <f>LOOKUP(YEAR(BJ$8),Предпосылки!$C$514:$R$514,Сумм_МРОТ)</f>
        <v>38.097843836412913</v>
      </c>
      <c s="373">
        <f>LOOKUP(YEAR(BK$8),Предпосылки!$C$514:$R$514,Сумм_МРОТ)</f>
        <v>38.097843836412913</v>
      </c>
      <c s="373">
        <f>LOOKUP(YEAR(BL$8),Предпосылки!$C$514:$R$514,Сумм_МРОТ)</f>
        <v>38.097843836412913</v>
      </c>
      <c s="373">
        <f>LOOKUP(YEAR(BM$8),Предпосылки!$C$514:$R$514,Сумм_МРОТ)</f>
        <v>40.002736028233564</v>
      </c>
      <c s="168"/>
    </row>
    <row r="132" spans="2:66" ht="15" customHeight="1">
      <c r="B132" s="12" t="s">
        <v>559</v>
      </c>
      <c s="124" t="s">
        <v>817</v>
      </c>
      <c s="125"/>
      <c s="126">
        <f>LOOKUP(YEAR(E$8),Предпосылки!$C$514:$R$514,Единый_тариф_СтрхВзнс_МСП_После)</f>
        <v>0.14999999999999999</v>
      </c>
      <c s="126">
        <f>LOOKUP(YEAR(F$8),Предпосылки!$C$514:$R$514,Единый_тариф_СтрхВзнс_МСП_После)</f>
        <v>0.14999999999999999</v>
      </c>
      <c s="126">
        <f>LOOKUP(YEAR(G$8),Предпосылки!$C$514:$R$514,Единый_тариф_СтрхВзнс_МСП_После)</f>
        <v>0.14999999999999999</v>
      </c>
      <c s="126">
        <f>LOOKUP(YEAR(H$8),Предпосылки!$C$514:$R$514,Единый_тариф_СтрхВзнс_МСП_После)</f>
        <v>0.14999999999999999</v>
      </c>
      <c s="126">
        <f>LOOKUP(YEAR(I$8),Предпосылки!$C$514:$R$514,Единый_тариф_СтрхВзнс_МСП_После)</f>
        <v>0.14999999999999999</v>
      </c>
      <c s="126">
        <f>LOOKUP(YEAR(J$8),Предпосылки!$C$514:$R$514,Единый_тариф_СтрхВзнс_МСП_После)</f>
        <v>0.14999999999999999</v>
      </c>
      <c s="126">
        <f>LOOKUP(YEAR(K$8),Предпосылки!$C$514:$R$514,Единый_тариф_СтрхВзнс_МСП_После)</f>
        <v>0.14999999999999999</v>
      </c>
      <c s="126">
        <f>LOOKUP(YEAR(L$8),Предпосылки!$C$514:$R$514,Единый_тариф_СтрхВзнс_МСП_После)</f>
        <v>0.14999999999999999</v>
      </c>
      <c s="126">
        <f>LOOKUP(YEAR(M$8),Предпосылки!$C$514:$R$514,Единый_тариф_СтрхВзнс_МСП_После)</f>
        <v>0.14999999999999999</v>
      </c>
      <c s="126">
        <f>LOOKUP(YEAR(N$8),Предпосылки!$C$514:$R$514,Единый_тариф_СтрхВзнс_МСП_После)</f>
        <v>0.14999999999999999</v>
      </c>
      <c s="126">
        <f>LOOKUP(YEAR(O$8),Предпосылки!$C$514:$R$514,Единый_тариф_СтрхВзнс_МСП_После)</f>
        <v>0.14999999999999999</v>
      </c>
      <c s="126">
        <f>LOOKUP(YEAR(P$8),Предпосылки!$C$514:$R$514,Единый_тариф_СтрхВзнс_МСП_После)</f>
        <v>0.14999999999999999</v>
      </c>
      <c s="126">
        <f>LOOKUP(YEAR(Q$8),Предпосылки!$C$514:$R$514,Единый_тариф_СтрхВзнс_МСП_После)</f>
        <v>0.14999999999999999</v>
      </c>
      <c s="126">
        <f>LOOKUP(YEAR(R$8),Предпосылки!$C$514:$R$514,Единый_тариф_СтрхВзнс_МСП_После)</f>
        <v>0.14999999999999999</v>
      </c>
      <c s="126">
        <f>LOOKUP(YEAR(S$8),Предпосылки!$C$514:$R$514,Единый_тариф_СтрхВзнс_МСП_После)</f>
        <v>0.14999999999999999</v>
      </c>
      <c s="126">
        <f>LOOKUP(YEAR(T$8),Предпосылки!$C$514:$R$514,Единый_тариф_СтрхВзнс_МСП_После)</f>
        <v>0.14999999999999999</v>
      </c>
      <c s="126">
        <f>LOOKUP(YEAR(U$8),Предпосылки!$C$514:$R$514,Единый_тариф_СтрхВзнс_МСП_После)</f>
        <v>0.14999999999999999</v>
      </c>
      <c s="126">
        <f>LOOKUP(YEAR(V$8),Предпосылки!$C$514:$R$514,Единый_тариф_СтрхВзнс_МСП_После)</f>
        <v>0.14999999999999999</v>
      </c>
      <c s="126">
        <f>LOOKUP(YEAR(W$8),Предпосылки!$C$514:$R$514,Единый_тариф_СтрхВзнс_МСП_После)</f>
        <v>0.14999999999999999</v>
      </c>
      <c s="126">
        <f>LOOKUP(YEAR(X$8),Предпосылки!$C$514:$R$514,Единый_тариф_СтрхВзнс_МСП_После)</f>
        <v>0.14999999999999999</v>
      </c>
      <c s="126">
        <f>LOOKUP(YEAR(Y$8),Предпосылки!$C$514:$R$514,Единый_тариф_СтрхВзнс_МСП_После)</f>
        <v>0.14999999999999999</v>
      </c>
      <c s="126">
        <f>LOOKUP(YEAR(Z$8),Предпосылки!$C$514:$R$514,Единый_тариф_СтрхВзнс_МСП_После)</f>
        <v>0.14999999999999999</v>
      </c>
      <c s="126">
        <f>LOOKUP(YEAR(AA$8),Предпосылки!$C$514:$R$514,Единый_тариф_СтрхВзнс_МСП_После)</f>
        <v>0.14999999999999999</v>
      </c>
      <c s="126">
        <f>LOOKUP(YEAR(AB$8),Предпосылки!$C$514:$R$514,Единый_тариф_СтрхВзнс_МСП_После)</f>
        <v>0.14999999999999999</v>
      </c>
      <c s="126">
        <f>LOOKUP(YEAR(AC$8),Предпосылки!$C$514:$R$514,Единый_тариф_СтрхВзнс_МСП_После)</f>
        <v>0.14999999999999999</v>
      </c>
      <c s="126">
        <f>LOOKUP(YEAR(AD$8),Предпосылки!$C$514:$R$514,Единый_тариф_СтрхВзнс_МСП_После)</f>
        <v>0.14999999999999999</v>
      </c>
      <c s="126">
        <f>LOOKUP(YEAR(AE$8),Предпосылки!$C$514:$R$514,Единый_тариф_СтрхВзнс_МСП_После)</f>
        <v>0.14999999999999999</v>
      </c>
      <c s="126">
        <f>LOOKUP(YEAR(AF$8),Предпосылки!$C$514:$R$514,Единый_тариф_СтрхВзнс_МСП_После)</f>
        <v>0.14999999999999999</v>
      </c>
      <c s="126">
        <f>LOOKUP(YEAR(AG$8),Предпосылки!$C$514:$R$514,Единый_тариф_СтрхВзнс_МСП_После)</f>
        <v>0.14999999999999999</v>
      </c>
      <c s="126">
        <f>LOOKUP(YEAR(AH$8),Предпосылки!$C$514:$R$514,Единый_тариф_СтрхВзнс_МСП_После)</f>
        <v>0.14999999999999999</v>
      </c>
      <c s="126">
        <f>LOOKUP(YEAR(AI$8),Предпосылки!$C$514:$R$514,Единый_тариф_СтрхВзнс_МСП_После)</f>
        <v>0.14999999999999999</v>
      </c>
      <c s="126">
        <f>LOOKUP(YEAR(AJ$8),Предпосылки!$C$514:$R$514,Единый_тариф_СтрхВзнс_МСП_После)</f>
        <v>0.14999999999999999</v>
      </c>
      <c s="126">
        <f>LOOKUP(YEAR(AK$8),Предпосылки!$C$514:$R$514,Единый_тариф_СтрхВзнс_МСП_После)</f>
        <v>0.14999999999999999</v>
      </c>
      <c s="126">
        <f>LOOKUP(YEAR(AL$8),Предпосылки!$C$514:$R$514,Единый_тариф_СтрхВзнс_МСП_После)</f>
        <v>0.14999999999999999</v>
      </c>
      <c s="126">
        <f>LOOKUP(YEAR(AM$8),Предпосылки!$C$514:$R$514,Единый_тариф_СтрхВзнс_МСП_После)</f>
        <v>0.14999999999999999</v>
      </c>
      <c s="126">
        <f>LOOKUP(YEAR(AN$8),Предпосылки!$C$514:$R$514,Единый_тариф_СтрхВзнс_МСП_После)</f>
        <v>0.14999999999999999</v>
      </c>
      <c s="126">
        <f>LOOKUP(YEAR(AO$8),Предпосылки!$C$514:$R$514,Единый_тариф_СтрхВзнс_МСП_После)</f>
        <v>0.14999999999999999</v>
      </c>
      <c s="126">
        <f>LOOKUP(YEAR(AP$8),Предпосылки!$C$514:$R$514,Единый_тариф_СтрхВзнс_МСП_После)</f>
        <v>0.14999999999999999</v>
      </c>
      <c s="126">
        <f>LOOKUP(YEAR(AQ$8),Предпосылки!$C$514:$R$514,Единый_тариф_СтрхВзнс_МСП_После)</f>
        <v>0.14999999999999999</v>
      </c>
      <c s="126">
        <f>LOOKUP(YEAR(AR$8),Предпосылки!$C$514:$R$514,Единый_тариф_СтрхВзнс_МСП_После)</f>
        <v>0.14999999999999999</v>
      </c>
      <c s="126">
        <f>LOOKUP(YEAR(AS$8),Предпосылки!$C$514:$R$514,Единый_тариф_СтрхВзнс_МСП_После)</f>
        <v>0.14999999999999999</v>
      </c>
      <c s="126">
        <f>LOOKUP(YEAR(AT$8),Предпосылки!$C$514:$R$514,Единый_тариф_СтрхВзнс_МСП_После)</f>
        <v>0.14999999999999999</v>
      </c>
      <c s="126">
        <f>LOOKUP(YEAR(AU$8),Предпосылки!$C$514:$R$514,Единый_тариф_СтрхВзнс_МСП_После)</f>
        <v>0.14999999999999999</v>
      </c>
      <c s="126">
        <f>LOOKUP(YEAR(AV$8),Предпосылки!$C$514:$R$514,Единый_тариф_СтрхВзнс_МСП_После)</f>
        <v>0.14999999999999999</v>
      </c>
      <c s="126">
        <f>LOOKUP(YEAR(AW$8),Предпосылки!$C$514:$R$514,Единый_тариф_СтрхВзнс_МСП_После)</f>
        <v>0.14999999999999999</v>
      </c>
      <c s="126">
        <f>LOOKUP(YEAR(AX$8),Предпосылки!$C$514:$R$514,Единый_тариф_СтрхВзнс_МСП_После)</f>
        <v>0.14999999999999999</v>
      </c>
      <c s="126">
        <f>LOOKUP(YEAR(AY$8),Предпосылки!$C$514:$R$514,Единый_тариф_СтрхВзнс_МСП_После)</f>
        <v>0.14999999999999999</v>
      </c>
      <c s="126">
        <f>LOOKUP(YEAR(AZ$8),Предпосылки!$C$514:$R$514,Единый_тариф_СтрхВзнс_МСП_После)</f>
        <v>0.14999999999999999</v>
      </c>
      <c s="126">
        <f>LOOKUP(YEAR(BA$8),Предпосылки!$C$514:$R$514,Единый_тариф_СтрхВзнс_МСП_После)</f>
        <v>0.14999999999999999</v>
      </c>
      <c s="126">
        <f>LOOKUP(YEAR(BB$8),Предпосылки!$C$514:$R$514,Единый_тариф_СтрхВзнс_МСП_После)</f>
        <v>0.14999999999999999</v>
      </c>
      <c s="126">
        <f>LOOKUP(YEAR(BC$8),Предпосылки!$C$514:$R$514,Единый_тариф_СтрхВзнс_МСП_После)</f>
        <v>0.14999999999999999</v>
      </c>
      <c s="126">
        <f>LOOKUP(YEAR(BD$8),Предпосылки!$C$514:$R$514,Единый_тариф_СтрхВзнс_МСП_После)</f>
        <v>0.14999999999999999</v>
      </c>
      <c s="126">
        <f>LOOKUP(YEAR(BE$8),Предпосылки!$C$514:$R$514,Единый_тариф_СтрхВзнс_МСП_После)</f>
        <v>0.14999999999999999</v>
      </c>
      <c s="126">
        <f>LOOKUP(YEAR(BF$8),Предпосылки!$C$514:$R$514,Единый_тариф_СтрхВзнс_МСП_После)</f>
        <v>0.14999999999999999</v>
      </c>
      <c s="126">
        <f>LOOKUP(YEAR(BG$8),Предпосылки!$C$514:$R$514,Единый_тариф_СтрхВзнс_МСП_После)</f>
        <v>0.14999999999999999</v>
      </c>
      <c s="126">
        <f>LOOKUP(YEAR(BH$8),Предпосылки!$C$514:$R$514,Единый_тариф_СтрхВзнс_МСП_После)</f>
        <v>0.14999999999999999</v>
      </c>
      <c s="126">
        <f>LOOKUP(YEAR(BI$8),Предпосылки!$C$514:$R$514,Единый_тариф_СтрхВзнс_МСП_После)</f>
        <v>0.14999999999999999</v>
      </c>
      <c s="126">
        <f>LOOKUP(YEAR(BJ$8),Предпосылки!$C$514:$R$514,Единый_тариф_СтрхВзнс_МСП_После)</f>
        <v>0.14999999999999999</v>
      </c>
      <c s="126">
        <f>LOOKUP(YEAR(BK$8),Предпосылки!$C$514:$R$514,Единый_тариф_СтрхВзнс_МСП_После)</f>
        <v>0.14999999999999999</v>
      </c>
      <c s="126">
        <f>LOOKUP(YEAR(BL$8),Предпосылки!$C$514:$R$514,Единый_тариф_СтрхВзнс_МСП_После)</f>
        <v>0.14999999999999999</v>
      </c>
      <c s="126">
        <f>LOOKUP(YEAR(BM$8),Предпосылки!$C$514:$R$514,Единый_тариф_СтрхВзнс_МСП_После)</f>
        <v>0.14999999999999999</v>
      </c>
      <c s="168"/>
    </row>
    <row r="133" spans="2:66" ht="15" customHeight="1">
      <c r="B133" s="30"/>
      <c s="364"/>
      <c s="166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34" spans="2:2" ht="15" customHeight="1">
      <c r="B134" s="25" t="s">
        <v>879</v>
      </c>
    </row>
    <row r="135" spans="2:66" ht="15" customHeight="1">
      <c r="B135" s="12" t="str">
        <f t="shared" si="171" ref="B135:B159">B98</f>
        <v>-</v>
      </c>
      <c s="124" t="str">
        <f t="shared" si="172" ref="C135:C159">Единица_измерения</f>
        <v>тыс. руб.</v>
      </c>
      <c s="276">
        <f>SUM(E135:BM135)</f>
        <v>0</v>
      </c>
      <c s="125">
        <f t="shared" si="173" ref="E135:AG135">IF(E98&gt;E$126,MIN(E98-E$126,E42),0)*E11*E$127+(E69-IF(E98&gt;E$126,MIN(E98-E$126,E42),0)*E11)*E$125</f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3"/>
        <v>0</v>
      </c>
      <c s="125">
        <f t="shared" si="174" ref="AH135:BM135">IF(AH98&gt;AH$126,MIN(AH98-AH$126,AH42),0)*AH11*AH$127+(AH69-IF(AH98&gt;AH$126,MIN(AH98-AH$126,AH42),0)*AH11)*AH$125</f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66"/>
    </row>
    <row r="136" spans="2:66" ht="15" customHeight="1">
      <c r="B136" s="12" t="str">
        <f t="shared" si="171"/>
        <v>-</v>
      </c>
      <c s="124" t="str">
        <f t="shared" si="172"/>
        <v>тыс. руб.</v>
      </c>
      <c s="276">
        <f t="shared" si="175" ref="D136:D159">SUM(E136:BM136)</f>
        <v>0</v>
      </c>
      <c s="125">
        <f t="shared" si="176" ref="E136:AG136">IF(E99&gt;E$126,MIN(E99-E$126,E43),0)*E12*E$127+(E70-IF(E99&gt;E$126,MIN(E99-E$126,E43),0)*E12)*E$125</f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7" ref="AH136:BM136">IF(AH99&gt;AH$126,MIN(AH99-AH$126,AH43),0)*AH12*AH$127+(AH70-IF(AH99&gt;AH$126,MIN(AH99-AH$126,AH43),0)*AH12)*AH$125</f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25">
        <f t="shared" si="177"/>
        <v>0</v>
      </c>
      <c s="166"/>
    </row>
    <row r="137" spans="2:66" ht="15" customHeight="1">
      <c r="B137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78" ref="E137:AG137">IF(E100&gt;E$126,MIN(E100-E$126,E44),0)*E13*E$127+(E71-IF(E100&gt;E$126,MIN(E100-E$126,E44),0)*E13)*E$125</f>
        <v>0</v>
      </c>
      <c s="125">
        <f t="shared" si="178"/>
        <v>0</v>
      </c>
      <c s="170">
        <f t="shared" si="178"/>
        <v>0</v>
      </c>
      <c s="170">
        <f t="shared" si="178"/>
        <v>0</v>
      </c>
      <c s="170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9" ref="AH137:BM137">IF(AH100&gt;AH$126,MIN(AH100-AH$126,AH44),0)*AH13*AH$127+(AH71-IF(AH100&gt;AH$126,MIN(AH100-AH$126,AH44),0)*AH13)*AH$125</f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25">
        <f t="shared" si="179"/>
        <v>0</v>
      </c>
      <c s="166"/>
    </row>
    <row r="138" spans="2:66" ht="15" customHeight="1">
      <c r="B138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80" ref="E138:AG138">IF(E101&gt;E$126,MIN(E101-E$126,E45),0)*E14*E$127+(E72-IF(E101&gt;E$126,MIN(E101-E$126,E45),0)*E14)*E$125</f>
        <v>0</v>
      </c>
      <c s="125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1" ref="AH138:BM138">IF(AH101&gt;AH$126,MIN(AH101-AH$126,AH45),0)*AH14*AH$127+(AH72-IF(AH101&gt;AH$126,MIN(AH101-AH$126,AH45),0)*AH14)*AH$125</f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25">
        <f t="shared" si="181"/>
        <v>0</v>
      </c>
      <c s="166"/>
    </row>
    <row r="139" spans="2:66" ht="15" customHeight="1">
      <c r="B139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82" ref="E139:AG139">IF(E102&gt;E$126,MIN(E102-E$126,E46),0)*E15*E$127+(E73-IF(E102&gt;E$126,MIN(E102-E$126,E46),0)*E15)*E$125</f>
        <v>0</v>
      </c>
      <c s="125">
        <f t="shared" si="182"/>
        <v>0</v>
      </c>
      <c s="170">
        <f t="shared" si="182"/>
        <v>0</v>
      </c>
      <c s="170">
        <f t="shared" si="182"/>
        <v>0</v>
      </c>
      <c s="170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3" ref="AH139:BM139">IF(AH102&gt;AH$126,MIN(AH102-AH$126,AH46),0)*AH15*AH$127+(AH73-IF(AH102&gt;AH$126,MIN(AH102-AH$126,AH46),0)*AH15)*AH$125</f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25">
        <f t="shared" si="183"/>
        <v>0</v>
      </c>
      <c s="166"/>
    </row>
    <row r="140" spans="2:66" ht="15" customHeight="1">
      <c r="B140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84" ref="E140:AG140">IF(E103&gt;E$126,MIN(E103-E$126,E47),0)*E16*E$127+(E74-IF(E103&gt;E$126,MIN(E103-E$126,E47),0)*E16)*E$125</f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5" ref="AH140:BM140">IF(AH103&gt;AH$126,MIN(AH103-AH$126,AH47),0)*AH16*AH$127+(AH74-IF(AH103&gt;AH$126,MIN(AH103-AH$126,AH47),0)*AH16)*AH$125</f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25">
        <f t="shared" si="185"/>
        <v>0</v>
      </c>
      <c s="166"/>
    </row>
    <row r="141" spans="2:66" ht="15" customHeight="1">
      <c r="B141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86" ref="E141:AG141">IF(E104&gt;E$126,MIN(E104-E$126,E48),0)*E17*E$127+(E75-IF(E104&gt;E$126,MIN(E104-E$126,E48),0)*E17)*E$125</f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7" ref="AH141:BM141">IF(AH104&gt;AH$126,MIN(AH104-AH$126,AH48),0)*AH17*AH$127+(AH75-IF(AH104&gt;AH$126,MIN(AH104-AH$126,AH48),0)*AH17)*AH$125</f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25">
        <f t="shared" si="187"/>
        <v>0</v>
      </c>
      <c s="166"/>
    </row>
    <row r="142" spans="2:66" ht="15" customHeight="1">
      <c r="B142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88" ref="E142:AG142">IF(E105&gt;E$126,MIN(E105-E$126,E49),0)*E18*E$127+(E76-IF(E105&gt;E$126,MIN(E105-E$126,E49),0)*E18)*E$125</f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9" ref="AH142:BM142">IF(AH105&gt;AH$126,MIN(AH105-AH$126,AH49),0)*AH18*AH$127+(AH76-IF(AH105&gt;AH$126,MIN(AH105-AH$126,AH49),0)*AH18)*AH$125</f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25">
        <f t="shared" si="189"/>
        <v>0</v>
      </c>
      <c s="166"/>
    </row>
    <row r="143" spans="2:66" ht="15" customHeight="1">
      <c r="B143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90" ref="E143:AG143">IF(E106&gt;E$126,MIN(E106-E$126,E50),0)*E19*E$127+(E77-IF(E106&gt;E$126,MIN(E106-E$126,E50),0)*E19)*E$125</f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0"/>
        <v>0</v>
      </c>
      <c s="125">
        <f t="shared" si="191" ref="AH143:BM143">IF(AH106&gt;AH$126,MIN(AH106-AH$126,AH50),0)*AH19*AH$127+(AH77-IF(AH106&gt;AH$126,MIN(AH106-AH$126,AH50),0)*AH19)*AH$125</f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25">
        <f t="shared" si="191"/>
        <v>0</v>
      </c>
      <c s="166"/>
    </row>
    <row r="144" spans="2:66" ht="15" customHeight="1">
      <c r="B144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92" ref="E144:AG144">IF(E107&gt;E$126,MIN(E107-E$126,E51),0)*E20*E$127+(E78-IF(E107&gt;E$126,MIN(E107-E$126,E51),0)*E20)*E$125</f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2"/>
        <v>0</v>
      </c>
      <c s="125">
        <f t="shared" si="193" ref="AH144:BM144">IF(AH107&gt;AH$126,MIN(AH107-AH$126,AH51),0)*AH20*AH$127+(AH78-IF(AH107&gt;AH$126,MIN(AH107-AH$126,AH51),0)*AH20)*AH$125</f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25">
        <f t="shared" si="193"/>
        <v>0</v>
      </c>
      <c s="166"/>
    </row>
    <row r="145" spans="2:66" ht="15" customHeight="1">
      <c r="B145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94" ref="E145:AG145">IF(E108&gt;E$126,MIN(E108-E$126,E52),0)*E21*E$127+(E79-IF(E108&gt;E$126,MIN(E108-E$126,E52),0)*E21)*E$125</f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4"/>
        <v>0</v>
      </c>
      <c s="125">
        <f t="shared" si="195" ref="AH145:BM145">IF(AH108&gt;AH$126,MIN(AH108-AH$126,AH52),0)*AH21*AH$127+(AH79-IF(AH108&gt;AH$126,MIN(AH108-AH$126,AH52),0)*AH21)*AH$125</f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66"/>
    </row>
    <row r="146" spans="2:66" ht="15" customHeight="1">
      <c r="B146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96" ref="E146:AG146">IF(E109&gt;E$126,MIN(E109-E$126,E53),0)*E22*E$127+(E80-IF(E109&gt;E$126,MIN(E109-E$126,E53),0)*E22)*E$125</f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7" ref="AH146:BM146">IF(AH109&gt;AH$126,MIN(AH109-AH$126,AH53),0)*AH22*AH$127+(AH80-IF(AH109&gt;AH$126,MIN(AH109-AH$126,AH53),0)*AH22)*AH$125</f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25">
        <f t="shared" si="197"/>
        <v>0</v>
      </c>
      <c s="166"/>
    </row>
    <row r="147" spans="2:66" ht="15" customHeight="1">
      <c r="B147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198" ref="E147:AG147">IF(E110&gt;E$126,MIN(E110-E$126,E54),0)*E23*E$127+(E81-IF(E110&gt;E$126,MIN(E110-E$126,E54),0)*E23)*E$125</f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8"/>
        <v>0</v>
      </c>
      <c s="125">
        <f t="shared" si="199" ref="AH147:BM147">IF(AH110&gt;AH$126,MIN(AH110-AH$126,AH54),0)*AH23*AH$127+(AH81-IF(AH110&gt;AH$126,MIN(AH110-AH$126,AH54),0)*AH23)*AH$125</f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25">
        <f t="shared" si="199"/>
        <v>0</v>
      </c>
      <c s="166"/>
    </row>
    <row r="148" spans="2:66" ht="15" customHeight="1">
      <c r="B148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00" ref="E148:AG148">IF(E111&gt;E$126,MIN(E111-E$126,E55),0)*E24*E$127+(E82-IF(E111&gt;E$126,MIN(E111-E$126,E55),0)*E24)*E$125</f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0"/>
        <v>0</v>
      </c>
      <c s="125">
        <f t="shared" si="201" ref="AH148:BM148">IF(AH111&gt;AH$126,MIN(AH111-AH$126,AH55),0)*AH24*AH$127+(AH82-IF(AH111&gt;AH$126,MIN(AH111-AH$126,AH55),0)*AH24)*AH$125</f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25">
        <f t="shared" si="201"/>
        <v>0</v>
      </c>
      <c s="166"/>
    </row>
    <row r="149" spans="2:66" ht="15" customHeight="1">
      <c r="B149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02" ref="E149:AG149">IF(E112&gt;E$126,MIN(E112-E$126,E56),0)*E25*E$127+(E83-IF(E112&gt;E$126,MIN(E112-E$126,E56),0)*E25)*E$125</f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2"/>
        <v>0</v>
      </c>
      <c s="125">
        <f t="shared" si="203" ref="AH149:BM149">IF(AH112&gt;AH$126,MIN(AH112-AH$126,AH56),0)*AH25*AH$127+(AH83-IF(AH112&gt;AH$126,MIN(AH112-AH$126,AH56),0)*AH25)*AH$125</f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25">
        <f t="shared" si="203"/>
        <v>0</v>
      </c>
      <c s="166"/>
    </row>
    <row r="150" spans="2:66" ht="15" customHeight="1">
      <c r="B150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04" ref="E150:AG150">IF(E113&gt;E$126,MIN(E113-E$126,E57),0)*E26*E$127+(E84-IF(E113&gt;E$126,MIN(E113-E$126,E57),0)*E26)*E$125</f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4"/>
        <v>0</v>
      </c>
      <c s="125">
        <f t="shared" si="205" ref="AH150:BM150">IF(AH113&gt;AH$126,MIN(AH113-AH$126,AH57),0)*AH26*AH$127+(AH84-IF(AH113&gt;AH$126,MIN(AH113-AH$126,AH57),0)*AH26)*AH$125</f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25">
        <f t="shared" si="205"/>
        <v>0</v>
      </c>
      <c s="166"/>
    </row>
    <row r="151" spans="2:66" ht="15" customHeight="1">
      <c r="B151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06" ref="E151:AG151">IF(E114&gt;E$126,MIN(E114-E$126,E58),0)*E27*E$127+(E85-IF(E114&gt;E$126,MIN(E114-E$126,E58),0)*E27)*E$125</f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6"/>
        <v>0</v>
      </c>
      <c s="125">
        <f t="shared" si="207" ref="AH151:BM151">IF(AH114&gt;AH$126,MIN(AH114-AH$126,AH58),0)*AH27*AH$127+(AH85-IF(AH114&gt;AH$126,MIN(AH114-AH$126,AH58),0)*AH27)*AH$125</f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25">
        <f t="shared" si="207"/>
        <v>0</v>
      </c>
      <c s="166"/>
    </row>
    <row r="152" spans="2:66" ht="15" customHeight="1">
      <c r="B152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08" ref="E152:AG152">IF(E115&gt;E$126,MIN(E115-E$126,E59),0)*E28*E$127+(E86-IF(E115&gt;E$126,MIN(E115-E$126,E59),0)*E28)*E$125</f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8"/>
        <v>0</v>
      </c>
      <c s="125">
        <f t="shared" si="209" ref="AH152:BM152">IF(AH115&gt;AH$126,MIN(AH115-AH$126,AH59),0)*AH28*AH$127+(AH86-IF(AH115&gt;AH$126,MIN(AH115-AH$126,AH59),0)*AH28)*AH$125</f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25">
        <f t="shared" si="209"/>
        <v>0</v>
      </c>
      <c s="166"/>
    </row>
    <row r="153" spans="2:66" ht="15" customHeight="1">
      <c r="B153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10" ref="E153:AG153">IF(E116&gt;E$126,MIN(E116-E$126,E60),0)*E29*E$127+(E87-IF(E116&gt;E$126,MIN(E116-E$126,E60),0)*E29)*E$125</f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1" ref="AH153:BM153">IF(AH116&gt;AH$126,MIN(AH116-AH$126,AH60),0)*AH29*AH$127+(AH87-IF(AH116&gt;AH$126,MIN(AH116-AH$126,AH60),0)*AH29)*AH$125</f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25">
        <f t="shared" si="211"/>
        <v>0</v>
      </c>
      <c s="166"/>
    </row>
    <row r="154" spans="2:66" ht="15" customHeight="1">
      <c r="B154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12" ref="E154:AG154">IF(E117&gt;E$126,MIN(E117-E$126,E61),0)*E30*E$127+(E88-IF(E117&gt;E$126,MIN(E117-E$126,E61),0)*E30)*E$125</f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3" ref="AH154:BM154">IF(AH117&gt;AH$126,MIN(AH117-AH$126,AH61),0)*AH30*AH$127+(AH88-IF(AH117&gt;AH$126,MIN(AH117-AH$126,AH61),0)*AH30)*AH$125</f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25">
        <f t="shared" si="213"/>
        <v>0</v>
      </c>
      <c s="166"/>
    </row>
    <row r="155" spans="2:66" ht="15" customHeight="1">
      <c r="B155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14" ref="E155:AG155">IF(E118&gt;E$126,MIN(E118-E$126,E62),0)*E31*E$127+(E89-IF(E118&gt;E$126,MIN(E118-E$126,E62),0)*E31)*E$125</f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5" ref="AH155:BM155">IF(AH118&gt;AH$126,MIN(AH118-AH$126,AH62),0)*AH31*AH$127+(AH89-IF(AH118&gt;AH$126,MIN(AH118-AH$126,AH62),0)*AH31)*AH$125</f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25">
        <f t="shared" si="215"/>
        <v>0</v>
      </c>
      <c s="166"/>
    </row>
    <row r="156" spans="2:66" ht="15" customHeight="1">
      <c r="B156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16" ref="E156:AG156">IF(E119&gt;E$126,MIN(E119-E$126,E63),0)*E32*E$127+(E90-IF(E119&gt;E$126,MIN(E119-E$126,E63),0)*E32)*E$125</f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7" ref="AH156:BM156">IF(AH119&gt;AH$126,MIN(AH119-AH$126,AH63),0)*AH32*AH$127+(AH90-IF(AH119&gt;AH$126,MIN(AH119-AH$126,AH63),0)*AH32)*AH$125</f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25">
        <f t="shared" si="217"/>
        <v>0</v>
      </c>
      <c s="166"/>
    </row>
    <row r="157" spans="2:66" ht="15" customHeight="1">
      <c r="B157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18" ref="E157:AG157">IF(E120&gt;E$126,MIN(E120-E$126,E64),0)*E33*E$127+(E91-IF(E120&gt;E$126,MIN(E120-E$126,E64),0)*E33)*E$125</f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9" ref="AH157:BM157">IF(AH120&gt;AH$126,MIN(AH120-AH$126,AH64),0)*AH33*AH$127+(AH91-IF(AH120&gt;AH$126,MIN(AH120-AH$126,AH64),0)*AH33)*AH$125</f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25">
        <f t="shared" si="219"/>
        <v>0</v>
      </c>
      <c s="166"/>
    </row>
    <row r="158" spans="2:66" ht="15" customHeight="1">
      <c r="B158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20" ref="E158:AG158">IF(E121&gt;E$126,MIN(E121-E$126,E65),0)*E34*E$127+(E92-IF(E121&gt;E$126,MIN(E121-E$126,E65),0)*E34)*E$125</f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1" ref="AH158:BM158">IF(AH121&gt;AH$126,MIN(AH121-AH$126,AH65),0)*AH34*AH$127+(AH92-IF(AH121&gt;AH$126,MIN(AH121-AH$126,AH65),0)*AH34)*AH$125</f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25">
        <f t="shared" si="221"/>
        <v>0</v>
      </c>
      <c s="166"/>
    </row>
    <row r="159" spans="2:66" ht="15" customHeight="1">
      <c r="B159" s="12" t="str">
        <f t="shared" si="171"/>
        <v>-</v>
      </c>
      <c s="124" t="str">
        <f t="shared" si="172"/>
        <v>тыс. руб.</v>
      </c>
      <c s="276">
        <f t="shared" si="175"/>
        <v>0</v>
      </c>
      <c s="125">
        <f t="shared" si="222" ref="E159:AG159">IF(E122&gt;E$126,MIN(E122-E$126,E66),0)*E35*E$127+(E93-IF(E122&gt;E$126,MIN(E122-E$126,E66),0)*E35)*E$125</f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3" ref="AH159:BM159">IF(AH122&gt;AH$126,MIN(AH122-AH$126,AH66),0)*AH35*AH$127+(AH93-IF(AH122&gt;AH$126,MIN(AH122-AH$126,AH66),0)*AH35)*AH$125</f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25">
        <f t="shared" si="223"/>
        <v>0</v>
      </c>
      <c s="166"/>
    </row>
    <row r="160" spans="2:65" ht="15" customHeight="1">
      <c r="B160" s="289" t="s">
        <v>454</v>
      </c>
      <c s="290" t="str">
        <f>Единица_измерения</f>
        <v>тыс. руб.</v>
      </c>
      <c s="291">
        <f>SUM(D135:D159)</f>
        <v>0</v>
      </c>
      <c s="276">
        <f>SUM(E135:E159)</f>
        <v>0</v>
      </c>
      <c s="276">
        <f t="shared" si="224" ref="F160:AG160">SUM(F135:F159)</f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5" ref="AH160:BM160">SUM(AH135:AH159)</f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  <c s="276">
        <f t="shared" si="225"/>
        <v>0</v>
      </c>
    </row>
    <row r="161" spans="2:65" ht="15" customHeight="1">
      <c r="B161" s="369"/>
      <c s="370"/>
      <c s="371"/>
      <c s="374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</row>
    <row r="162" spans="2:65" ht="15" customHeight="1">
      <c r="B162" s="25" t="s">
        <v>880</v>
      </c>
      <c s="370"/>
      <c s="371"/>
      <c s="374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</row>
    <row r="163" spans="2:65" ht="15" customHeight="1">
      <c r="B163" s="12" t="str">
        <f t="shared" si="226" ref="B163:B187">B98</f>
        <v>-</v>
      </c>
      <c s="124" t="str">
        <f t="shared" si="227" ref="C163:C187">Единица_измерения</f>
        <v>тыс. руб.</v>
      </c>
      <c s="276">
        <f>SUM(E163:BM163)</f>
        <v>0</v>
      </c>
      <c s="375">
        <f t="shared" si="228" ref="E163:AJ163">IF(E98&gt;E$126,E$131*Месяцев_в_квартале*E$127,MIN(E$131*Месяцев_в_квартале,E42)*E$125)+MAX(E42-E$131*Месяцев_в_квартале,0)*E$132</f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8"/>
        <v>0</v>
      </c>
      <c s="375">
        <f t="shared" si="229" ref="AK163:BM163">IF(AK98&gt;AK$126,AK$131*Месяцев_в_квартале*AK$127,MIN(AK$131*Месяцев_в_квартале,AK42)*AK$125)+MAX(AK42-AK$131*Месяцев_в_квартале,0)*AK$132</f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  <c s="375">
        <f t="shared" si="229"/>
        <v>0</v>
      </c>
    </row>
    <row r="164" spans="2:65" ht="15" customHeight="1">
      <c r="B164" s="12" t="str">
        <f t="shared" si="226"/>
        <v>-</v>
      </c>
      <c s="124" t="str">
        <f t="shared" si="227"/>
        <v>тыс. руб.</v>
      </c>
      <c s="276">
        <f t="shared" si="230" ref="D164:D187">SUM(E164:BM164)</f>
        <v>0</v>
      </c>
      <c s="375">
        <f t="shared" si="231" ref="E164:AJ164">IF(E99&gt;E$126,E$131*Месяцев_в_квартале*E$127,MIN(E$131*Месяцев_в_квартале,E43)*E$125)+MAX(E43-E$131*Месяцев_в_квартале,0)*E$132</f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1"/>
        <v>0</v>
      </c>
      <c s="375">
        <f t="shared" si="232" ref="AK164:BM164">IF(AK99&gt;AK$126,AK$131*Месяцев_в_квартале*AK$127,MIN(AK$131*Месяцев_в_квартале,AK43)*AK$125)+MAX(AK43-AK$131*Месяцев_в_квартале,0)*AK$132</f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  <c s="375">
        <f t="shared" si="232"/>
        <v>0</v>
      </c>
    </row>
    <row r="165" spans="2:65" ht="15" customHeight="1">
      <c r="B165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33" ref="E165:AJ165">IF(E100&gt;E$126,E$131*Месяцев_в_квартале*E$127,MIN(E$131*Месяцев_в_квартале,E44)*E$125)+MAX(E44-E$131*Месяцев_в_квартале,0)*E$132</f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3"/>
        <v>0</v>
      </c>
      <c s="375">
        <f t="shared" si="234" ref="AK165:BM165">IF(AK100&gt;AK$126,AK$131*Месяцев_в_квартале*AK$127,MIN(AK$131*Месяцев_в_квартале,AK44)*AK$125)+MAX(AK44-AK$131*Месяцев_в_квартале,0)*AK$132</f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  <c s="375">
        <f t="shared" si="234"/>
        <v>0</v>
      </c>
    </row>
    <row r="166" spans="2:65" ht="15" customHeight="1">
      <c r="B166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35" ref="E166:AJ166">IF(E101&gt;E$126,E$131*Месяцев_в_квартале*E$127,MIN(E$131*Месяцев_в_квартале,E45)*E$125)+MAX(E45-E$131*Месяцев_в_квартале,0)*E$132</f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5"/>
        <v>0</v>
      </c>
      <c s="375">
        <f t="shared" si="236" ref="AK166:BM166">IF(AK101&gt;AK$126,AK$131*Месяцев_в_квартале*AK$127,MIN(AK$131*Месяцев_в_квартале,AK45)*AK$125)+MAX(AK45-AK$131*Месяцев_в_квартале,0)*AK$132</f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  <c s="375">
        <f t="shared" si="236"/>
        <v>0</v>
      </c>
    </row>
    <row r="167" spans="2:65" ht="15" customHeight="1">
      <c r="B167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37" ref="E167:AJ167">IF(E102&gt;E$126,E$131*Месяцев_в_квартале*E$127,MIN(E$131*Месяцев_в_квартале,E46)*E$125)+MAX(E46-E$131*Месяцев_в_квартале,0)*E$132</f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7"/>
        <v>0</v>
      </c>
      <c s="375">
        <f t="shared" si="238" ref="AK167:BM167">IF(AK102&gt;AK$126,AK$131*Месяцев_в_квартале*AK$127,MIN(AK$131*Месяцев_в_квартале,AK46)*AK$125)+MAX(AK46-AK$131*Месяцев_в_квартале,0)*AK$132</f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  <c s="375">
        <f t="shared" si="238"/>
        <v>0</v>
      </c>
    </row>
    <row r="168" spans="2:65" ht="15" customHeight="1">
      <c r="B168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39" ref="E168:AJ168">IF(E103&gt;E$126,E$131*Месяцев_в_квартале*E$127,MIN(E$131*Месяцев_в_квартале,E47)*E$125)+MAX(E47-E$131*Месяцев_в_квартале,0)*E$132</f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39"/>
        <v>0</v>
      </c>
      <c s="375">
        <f t="shared" si="240" ref="AK168:BM168">IF(AK103&gt;AK$126,AK$131*Месяцев_в_квартале*AK$127,MIN(AK$131*Месяцев_в_квартале,AK47)*AK$125)+MAX(AK47-AK$131*Месяцев_в_квартале,0)*AK$132</f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  <c s="375">
        <f t="shared" si="240"/>
        <v>0</v>
      </c>
    </row>
    <row r="169" spans="2:65" ht="15" customHeight="1">
      <c r="B169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41" ref="E169:AJ169">IF(E104&gt;E$126,E$131*Месяцев_в_квартале*E$127,MIN(E$131*Месяцев_в_квартале,E48)*E$125)+MAX(E48-E$131*Месяцев_в_квартале,0)*E$132</f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1"/>
        <v>0</v>
      </c>
      <c s="375">
        <f t="shared" si="242" ref="AK169:BM169">IF(AK104&gt;AK$126,AK$131*Месяцев_в_квартале*AK$127,MIN(AK$131*Месяцев_в_квартале,AK48)*AK$125)+MAX(AK48-AK$131*Месяцев_в_квартале,0)*AK$132</f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  <c s="375">
        <f t="shared" si="242"/>
        <v>0</v>
      </c>
    </row>
    <row r="170" spans="2:65" ht="15" customHeight="1">
      <c r="B170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43" ref="E170:AJ170">IF(E105&gt;E$126,E$131*Месяцев_в_квартале*E$127,MIN(E$131*Месяцев_в_квартале,E49)*E$125)+MAX(E49-E$131*Месяцев_в_квартале,0)*E$132</f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3"/>
        <v>0</v>
      </c>
      <c s="375">
        <f t="shared" si="244" ref="AK170:BM170">IF(AK105&gt;AK$126,AK$131*Месяцев_в_квартале*AK$127,MIN(AK$131*Месяцев_в_квартале,AK49)*AK$125)+MAX(AK49-AK$131*Месяцев_в_квартале,0)*AK$132</f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  <c s="375">
        <f t="shared" si="244"/>
        <v>0</v>
      </c>
    </row>
    <row r="171" spans="2:65" ht="15" customHeight="1">
      <c r="B171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45" ref="E171:AJ171">IF(E106&gt;E$126,E$131*Месяцев_в_квартале*E$127,MIN(E$131*Месяцев_в_квартале,E50)*E$125)+MAX(E50-E$131*Месяцев_в_квартале,0)*E$132</f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5"/>
        <v>0</v>
      </c>
      <c s="375">
        <f t="shared" si="246" ref="AK171:BM171">IF(AK106&gt;AK$126,AK$131*Месяцев_в_квартале*AK$127,MIN(AK$131*Месяцев_в_квартале,AK50)*AK$125)+MAX(AK50-AK$131*Месяцев_в_квартале,0)*AK$132</f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  <c s="375">
        <f t="shared" si="246"/>
        <v>0</v>
      </c>
    </row>
    <row r="172" spans="2:65" ht="15" customHeight="1">
      <c r="B172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47" ref="E172:AJ172">IF(E107&gt;E$126,E$131*Месяцев_в_квартале*E$127,MIN(E$131*Месяцев_в_квартале,E51)*E$125)+MAX(E51-E$131*Месяцев_в_квартале,0)*E$132</f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7"/>
        <v>0</v>
      </c>
      <c s="375">
        <f t="shared" si="248" ref="AK172:BM172">IF(AK107&gt;AK$126,AK$131*Месяцев_в_квартале*AK$127,MIN(AK$131*Месяцев_в_квартале,AK51)*AK$125)+MAX(AK51-AK$131*Месяцев_в_квартале,0)*AK$132</f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  <c s="375">
        <f t="shared" si="248"/>
        <v>0</v>
      </c>
    </row>
    <row r="173" spans="2:65" ht="15" customHeight="1">
      <c r="B173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49" ref="E173:AJ173">IF(E108&gt;E$126,E$131*Месяцев_в_квартале*E$127,MIN(E$131*Месяцев_в_квартале,E52)*E$125)+MAX(E52-E$131*Месяцев_в_квартале,0)*E$132</f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49"/>
        <v>0</v>
      </c>
      <c s="375">
        <f t="shared" si="250" ref="AK173:BM173">IF(AK108&gt;AK$126,AK$131*Месяцев_в_квартале*AK$127,MIN(AK$131*Месяцев_в_квартале,AK52)*AK$125)+MAX(AK52-AK$131*Месяцев_в_квартале,0)*AK$132</f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  <c s="375">
        <f t="shared" si="250"/>
        <v>0</v>
      </c>
    </row>
    <row r="174" spans="2:65" ht="15" customHeight="1">
      <c r="B174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51" ref="E174:AJ174">IF(E109&gt;E$126,E$131*Месяцев_в_квартале*E$127,MIN(E$131*Месяцев_в_квартале,E53)*E$125)+MAX(E53-E$131*Месяцев_в_квартале,0)*E$132</f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1"/>
        <v>0</v>
      </c>
      <c s="375">
        <f t="shared" si="252" ref="AK174:BM174">IF(AK109&gt;AK$126,AK$131*Месяцев_в_квартале*AK$127,MIN(AK$131*Месяцев_в_квартале,AK53)*AK$125)+MAX(AK53-AK$131*Месяцев_в_квартале,0)*AK$132</f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  <c s="375">
        <f t="shared" si="252"/>
        <v>0</v>
      </c>
    </row>
    <row r="175" spans="2:65" ht="15" customHeight="1">
      <c r="B175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53" ref="E175:AJ175">IF(E110&gt;E$126,E$131*Месяцев_в_квартале*E$127,MIN(E$131*Месяцев_в_квартале,E54)*E$125)+MAX(E54-E$131*Месяцев_в_квартале,0)*E$132</f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3"/>
        <v>0</v>
      </c>
      <c s="375">
        <f t="shared" si="254" ref="AK175:BM175">IF(AK110&gt;AK$126,AK$131*Месяцев_в_квартале*AK$127,MIN(AK$131*Месяцев_в_квартале,AK54)*AK$125)+MAX(AK54-AK$131*Месяцев_в_квартале,0)*AK$132</f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  <c s="375">
        <f t="shared" si="254"/>
        <v>0</v>
      </c>
    </row>
    <row r="176" spans="2:65" ht="15" customHeight="1">
      <c r="B176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55" ref="E176:AJ176">IF(E111&gt;E$126,E$131*Месяцев_в_квартале*E$127,MIN(E$131*Месяцев_в_квартале,E55)*E$125)+MAX(E55-E$131*Месяцев_в_квартале,0)*E$132</f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5"/>
        <v>0</v>
      </c>
      <c s="375">
        <f t="shared" si="256" ref="AK176:BM176">IF(AK111&gt;AK$126,AK$131*Месяцев_в_квартале*AK$127,MIN(AK$131*Месяцев_в_квартале,AK55)*AK$125)+MAX(AK55-AK$131*Месяцев_в_квартале,0)*AK$132</f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  <c s="375">
        <f t="shared" si="256"/>
        <v>0</v>
      </c>
    </row>
    <row r="177" spans="2:65" ht="15" customHeight="1">
      <c r="B177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57" ref="E177:AJ177">IF(E112&gt;E$126,E$131*Месяцев_в_квартале*E$127,MIN(E$131*Месяцев_в_квартале,E56)*E$125)+MAX(E56-E$131*Месяцев_в_квартале,0)*E$132</f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7"/>
        <v>0</v>
      </c>
      <c s="375">
        <f t="shared" si="258" ref="AK177:BM177">IF(AK112&gt;AK$126,AK$131*Месяцев_в_квартале*AK$127,MIN(AK$131*Месяцев_в_квартале,AK56)*AK$125)+MAX(AK56-AK$131*Месяцев_в_квартале,0)*AK$132</f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  <c s="375">
        <f t="shared" si="258"/>
        <v>0</v>
      </c>
    </row>
    <row r="178" spans="2:65" ht="15" customHeight="1">
      <c r="B178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59" ref="E178:AJ178">IF(E113&gt;E$126,E$131*Месяцев_в_квартале*E$127,MIN(E$131*Месяцев_в_квартале,E57)*E$125)+MAX(E57-E$131*Месяцев_в_квартале,0)*E$132</f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59"/>
        <v>0</v>
      </c>
      <c s="375">
        <f t="shared" si="260" ref="AK178:BM178">IF(AK113&gt;AK$126,AK$131*Месяцев_в_квартале*AK$127,MIN(AK$131*Месяцев_в_квартале,AK57)*AK$125)+MAX(AK57-AK$131*Месяцев_в_квартале,0)*AK$132</f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  <c s="375">
        <f t="shared" si="260"/>
        <v>0</v>
      </c>
    </row>
    <row r="179" spans="2:65" ht="15" customHeight="1">
      <c r="B179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61" ref="E179:AJ179">IF(E114&gt;E$126,E$131*Месяцев_в_квартале*E$127,MIN(E$131*Месяцев_в_квартале,E58)*E$125)+MAX(E58-E$131*Месяцев_в_квартале,0)*E$132</f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1"/>
        <v>0</v>
      </c>
      <c s="375">
        <f t="shared" si="262" ref="AK179:BM179">IF(AK114&gt;AK$126,AK$131*Месяцев_в_квартале*AK$127,MIN(AK$131*Месяцев_в_квартале,AK58)*AK$125)+MAX(AK58-AK$131*Месяцев_в_квартале,0)*AK$132</f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  <c s="375">
        <f t="shared" si="262"/>
        <v>0</v>
      </c>
    </row>
    <row r="180" spans="2:65" ht="15" customHeight="1">
      <c r="B180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63" ref="E180:AJ180">IF(E115&gt;E$126,E$131*Месяцев_в_квартале*E$127,MIN(E$131*Месяцев_в_квартале,E59)*E$125)+MAX(E59-E$131*Месяцев_в_квартале,0)*E$132</f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3"/>
        <v>0</v>
      </c>
      <c s="375">
        <f t="shared" si="264" ref="AK180:BM180">IF(AK115&gt;AK$126,AK$131*Месяцев_в_квартале*AK$127,MIN(AK$131*Месяцев_в_квартале,AK59)*AK$125)+MAX(AK59-AK$131*Месяцев_в_квартале,0)*AK$132</f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  <c s="375">
        <f t="shared" si="264"/>
        <v>0</v>
      </c>
    </row>
    <row r="181" spans="2:65" ht="15" customHeight="1">
      <c r="B181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65" ref="E181:AJ181">IF(E116&gt;E$126,E$131*Месяцев_в_квартале*E$127,MIN(E$131*Месяцев_в_квартале,E60)*E$125)+MAX(E60-E$131*Месяцев_в_квартале,0)*E$132</f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5"/>
        <v>0</v>
      </c>
      <c s="375">
        <f t="shared" si="266" ref="AK181:BM181">IF(AK116&gt;AK$126,AK$131*Месяцев_в_квартале*AK$127,MIN(AK$131*Месяцев_в_квартале,AK60)*AK$125)+MAX(AK60-AK$131*Месяцев_в_квартале,0)*AK$132</f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  <c s="375">
        <f t="shared" si="266"/>
        <v>0</v>
      </c>
    </row>
    <row r="182" spans="2:65" ht="15" customHeight="1">
      <c r="B182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67" ref="E182:AJ182">IF(E117&gt;E$126,E$131*Месяцев_в_квартале*E$127,MIN(E$131*Месяцев_в_квартале,E61)*E$125)+MAX(E61-E$131*Месяцев_в_квартале,0)*E$132</f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7"/>
        <v>0</v>
      </c>
      <c s="375">
        <f t="shared" si="268" ref="AK182:BM182">IF(AK117&gt;AK$126,AK$131*Месяцев_в_квартале*AK$127,MIN(AK$131*Месяцев_в_квартале,AK61)*AK$125)+MAX(AK61-AK$131*Месяцев_в_квартале,0)*AK$132</f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  <c s="375">
        <f t="shared" si="268"/>
        <v>0</v>
      </c>
    </row>
    <row r="183" spans="2:65" ht="15" customHeight="1">
      <c r="B183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69" ref="E183:AJ183">IF(E118&gt;E$126,E$131*Месяцев_в_квартале*E$127,MIN(E$131*Месяцев_в_квартале,E62)*E$125)+MAX(E62-E$131*Месяцев_в_квартале,0)*E$132</f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69"/>
        <v>0</v>
      </c>
      <c s="375">
        <f t="shared" si="270" ref="AK183:BM183">IF(AK118&gt;AK$126,AK$131*Месяцев_в_квартале*AK$127,MIN(AK$131*Месяцев_в_квартале,AK62)*AK$125)+MAX(AK62-AK$131*Месяцев_в_квартале,0)*AK$132</f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  <c s="375">
        <f t="shared" si="270"/>
        <v>0</v>
      </c>
    </row>
    <row r="184" spans="2:65" ht="15" customHeight="1">
      <c r="B184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71" ref="E184:AJ184">IF(E119&gt;E$126,E$131*Месяцев_в_квартале*E$127,MIN(E$131*Месяцев_в_квартале,E63)*E$125)+MAX(E63-E$131*Месяцев_в_квартале,0)*E$132</f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1"/>
        <v>0</v>
      </c>
      <c s="375">
        <f t="shared" si="272" ref="AK184:BM184">IF(AK119&gt;AK$126,AK$131*Месяцев_в_квартале*AK$127,MIN(AK$131*Месяцев_в_квартале,AK63)*AK$125)+MAX(AK63-AK$131*Месяцев_в_квартале,0)*AK$132</f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  <c s="375">
        <f t="shared" si="272"/>
        <v>0</v>
      </c>
    </row>
    <row r="185" spans="2:65" ht="15" customHeight="1">
      <c r="B185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73" ref="E185:AJ185">IF(E120&gt;E$126,E$131*Месяцев_в_квартале*E$127,MIN(E$131*Месяцев_в_квартале,E64)*E$125)+MAX(E64-E$131*Месяцев_в_квартале,0)*E$132</f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3"/>
        <v>0</v>
      </c>
      <c s="375">
        <f t="shared" si="274" ref="AK185:BM185">IF(AK120&gt;AK$126,AK$131*Месяцев_в_квартале*AK$127,MIN(AK$131*Месяцев_в_квартале,AK64)*AK$125)+MAX(AK64-AK$131*Месяцев_в_квартале,0)*AK$132</f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  <c s="375">
        <f t="shared" si="274"/>
        <v>0</v>
      </c>
    </row>
    <row r="186" spans="2:65" ht="15" customHeight="1">
      <c r="B186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75" ref="E186:AJ186">IF(E121&gt;E$126,E$131*Месяцев_в_квартале*E$127,MIN(E$131*Месяцев_в_квартале,E65)*E$125)+MAX(E65-E$131*Месяцев_в_квартале,0)*E$132</f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5"/>
        <v>0</v>
      </c>
      <c s="375">
        <f t="shared" si="276" ref="AK186:BM186">IF(AK121&gt;AK$126,AK$131*Месяцев_в_квартале*AK$127,MIN(AK$131*Месяцев_в_квартале,AK65)*AK$125)+MAX(AK65-AK$131*Месяцев_в_квартале,0)*AK$132</f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  <c s="375">
        <f t="shared" si="276"/>
        <v>0</v>
      </c>
    </row>
    <row r="187" spans="2:65" ht="15" customHeight="1">
      <c r="B187" s="12" t="str">
        <f t="shared" si="226"/>
        <v>-</v>
      </c>
      <c s="124" t="str">
        <f t="shared" si="227"/>
        <v>тыс. руб.</v>
      </c>
      <c s="276">
        <f t="shared" si="230"/>
        <v>0</v>
      </c>
      <c s="375">
        <f t="shared" si="277" ref="E187:AJ187">IF(E122&gt;E$126,E$131*Месяцев_в_квартале*E$127,MIN(E$131*Месяцев_в_квартале,E66)*E$125)+MAX(E66-E$131*Месяцев_в_квартале,0)*E$132</f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7"/>
        <v>0</v>
      </c>
      <c s="375">
        <f t="shared" si="278" ref="AK187:BM187">IF(AK122&gt;AK$126,AK$131*Месяцев_в_квартале*AK$127,MIN(AK$131*Месяцев_в_квартале,AK66)*AK$125)+MAX(AK66-AK$131*Месяцев_в_квартале,0)*AK$132</f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  <c s="375">
        <f t="shared" si="278"/>
        <v>0</v>
      </c>
    </row>
    <row r="188" spans="2:65" ht="15" customHeight="1">
      <c r="B188" s="289" t="s">
        <v>454</v>
      </c>
      <c s="290" t="str">
        <f>Единица_измерения</f>
        <v>тыс. руб.</v>
      </c>
      <c s="291">
        <f>SUM(D163:D187)</f>
        <v>0</v>
      </c>
      <c s="291">
        <f t="shared" si="279" ref="E188:BM188">SUM(E163:E187)</f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  <c s="291">
        <f t="shared" si="279"/>
        <v>0</v>
      </c>
    </row>
    <row r="189" spans="2:65" ht="15" customHeight="1">
      <c r="B189" s="369"/>
      <c s="370"/>
      <c s="371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</row>
    <row r="190" spans="2:65" ht="15" customHeight="1">
      <c r="B190" s="25" t="s">
        <v>881</v>
      </c>
      <c s="370"/>
      <c s="371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  <c s="372"/>
    </row>
    <row r="191" spans="2:65" ht="15" customHeight="1">
      <c r="B191" s="12" t="str">
        <f>B163</f>
        <v>-</v>
      </c>
      <c s="124" t="str">
        <f t="shared" si="280" ref="C191:C215">Единица_измерения</f>
        <v>тыс. руб.</v>
      </c>
      <c s="276">
        <f>SUM(E191:BM191)</f>
        <v>0</v>
      </c>
      <c s="375">
        <f>E163*E11</f>
        <v>0</v>
      </c>
      <c s="375">
        <f t="shared" si="281" ref="F191:BM195">F163*F11</f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</row>
    <row r="192" spans="2:65" ht="15" customHeight="1">
      <c r="B192" s="12" t="str">
        <f t="shared" si="282" ref="B192:B215">B164</f>
        <v>-</v>
      </c>
      <c s="124" t="str">
        <f t="shared" si="280"/>
        <v>тыс. руб.</v>
      </c>
      <c s="276">
        <f t="shared" si="283" ref="D192:D215">SUM(E192:BM192)</f>
        <v>0</v>
      </c>
      <c s="375">
        <f t="shared" si="284" ref="E192:T215">E164*E12</f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4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</row>
    <row r="193" spans="2:65" ht="15" customHeight="1">
      <c r="B193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</row>
    <row r="194" spans="2:65" ht="15" customHeight="1">
      <c r="B194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</row>
    <row r="195" spans="2:65" ht="15" customHeight="1">
      <c r="B195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1"/>
        <v>0</v>
      </c>
      <c s="375">
        <f t="shared" si="285" ref="F195:BM199">AJ167*AJ15</f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</row>
    <row r="196" spans="2:65" ht="15" customHeight="1">
      <c r="B196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</row>
    <row r="197" spans="2:65" ht="15" customHeight="1">
      <c r="B197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</row>
    <row r="198" spans="2:65" ht="15" customHeight="1">
      <c r="B198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</row>
    <row r="199" spans="2:65" ht="15" customHeight="1">
      <c r="B199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5"/>
        <v>0</v>
      </c>
      <c s="375">
        <f t="shared" si="286" ref="F199:BM203">AY171*AY19</f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</row>
    <row r="200" spans="2:65" ht="15" customHeight="1">
      <c r="B200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</row>
    <row r="201" spans="2:65" ht="15" customHeight="1">
      <c r="B201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</row>
    <row r="202" spans="2:65" ht="15" customHeight="1">
      <c r="B202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</row>
    <row r="203" spans="2:65" ht="15" customHeight="1">
      <c r="B203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  <c s="375">
        <f t="shared" si="286"/>
        <v>0</v>
      </c>
    </row>
    <row r="204" spans="2:65" ht="15" customHeight="1">
      <c r="B204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7" ref="F204:BM208">F176*F24</f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</row>
    <row r="205" spans="2:65" ht="15" customHeight="1">
      <c r="B205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</row>
    <row r="206" spans="2:65" ht="15" customHeight="1">
      <c r="B206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</row>
    <row r="207" spans="2:65" ht="15" customHeight="1">
      <c r="B207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</row>
    <row r="208" spans="2:65" ht="15" customHeight="1">
      <c r="B208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7"/>
        <v>0</v>
      </c>
      <c s="375">
        <f t="shared" si="288" ref="F208:BM212">U180*U28</f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</row>
    <row r="209" spans="2:65" ht="15" customHeight="1">
      <c r="B209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</row>
    <row r="210" spans="2:65" ht="15" customHeight="1">
      <c r="B210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</row>
    <row r="211" spans="2:65" ht="15" customHeight="1">
      <c r="B211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</row>
    <row r="212" spans="2:65" ht="15" customHeight="1">
      <c r="B212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8"/>
        <v>0</v>
      </c>
      <c s="375">
        <f t="shared" si="289" ref="F212:BM215">AJ184*AJ32</f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</row>
    <row r="213" spans="2:65" ht="15" customHeight="1">
      <c r="B213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</row>
    <row r="214" spans="2:65" ht="15" customHeight="1">
      <c r="B214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</row>
    <row r="215" spans="2:65" ht="15" customHeight="1">
      <c r="B215" s="12" t="str">
        <f t="shared" si="282"/>
        <v>-</v>
      </c>
      <c s="124" t="str">
        <f t="shared" si="280"/>
        <v>тыс. руб.</v>
      </c>
      <c s="276">
        <f t="shared" si="283"/>
        <v>0</v>
      </c>
      <c s="375">
        <f t="shared" si="284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  <c s="375">
        <f t="shared" si="289"/>
        <v>0</v>
      </c>
    </row>
    <row r="216" spans="2:65" ht="15" customHeight="1">
      <c r="B216" s="289" t="s">
        <v>454</v>
      </c>
      <c s="290" t="str">
        <f>Единица_измерения</f>
        <v>тыс. руб.</v>
      </c>
      <c s="291">
        <f>SUM(D191:D215)</f>
        <v>0</v>
      </c>
      <c s="291">
        <f t="shared" si="290" ref="E216:BM216">SUM(E191:E215)</f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  <c s="291">
        <f t="shared" si="290"/>
        <v>0</v>
      </c>
    </row>
    <row r="217" ht="15" customHeight="1"/>
    <row r="218" spans="2:70" ht="14.45" hidden="1">
      <c r="B218" s="25" t="s">
        <v>882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19" spans="2:66" ht="15" customHeight="1" hidden="1">
      <c r="B219" s="12" t="s">
        <v>255</v>
      </c>
      <c s="124" t="s">
        <v>817</v>
      </c>
      <c s="125"/>
      <c s="126">
        <f>LOOKUP(YEAR(E$8),Предпосылки!$C$507:$R$507,Ставки_До_ОСС)</f>
        <v>0</v>
      </c>
      <c s="126">
        <f>LOOKUP(YEAR(F$8),Предпосылки!$C$507:$R$507,Ставки_До_ОСС)</f>
        <v>0</v>
      </c>
      <c s="126">
        <f>LOOKUP(YEAR(G$8),Предпосылки!$C$507:$R$507,Ставки_До_ОСС)</f>
        <v>0</v>
      </c>
      <c s="126">
        <f>LOOKUP(YEAR(H$8),Предпосылки!$C$507:$R$507,Ставки_До_ОСС)</f>
        <v>0</v>
      </c>
      <c s="126">
        <f>LOOKUP(YEAR(I$8),Предпосылки!$C$507:$R$507,Ставки_До_ОСС)</f>
        <v>0</v>
      </c>
      <c s="126">
        <f>LOOKUP(YEAR(J$8),Предпосылки!$C$507:$R$507,Ставки_До_ОСС)</f>
        <v>0</v>
      </c>
      <c s="126">
        <f>LOOKUP(YEAR(K$8),Предпосылки!$C$507:$R$507,Ставки_До_ОСС)</f>
        <v>0</v>
      </c>
      <c s="126">
        <f>LOOKUP(YEAR(L$8),Предпосылки!$C$507:$R$507,Ставки_До_ОСС)</f>
        <v>0</v>
      </c>
      <c s="126">
        <f>LOOKUP(YEAR(M$8),Предпосылки!$C$507:$R$507,Ставки_До_ОСС)</f>
        <v>0</v>
      </c>
      <c s="126">
        <f>LOOKUP(YEAR(N$8),Предпосылки!$C$507:$R$507,Ставки_До_ОСС)</f>
        <v>0</v>
      </c>
      <c s="126">
        <f>LOOKUP(YEAR(O$8),Предпосылки!$C$507:$R$507,Ставки_До_ОСС)</f>
        <v>0</v>
      </c>
      <c s="126">
        <f>LOOKUP(YEAR(P$8),Предпосылки!$C$507:$R$507,Ставки_До_ОСС)</f>
        <v>0</v>
      </c>
      <c s="126">
        <f>LOOKUP(YEAR(Q$8),Предпосылки!$C$507:$R$507,Ставки_До_ОСС)</f>
        <v>0</v>
      </c>
      <c s="126">
        <f>LOOKUP(YEAR(R$8),Предпосылки!$C$507:$R$507,Ставки_До_ОСС)</f>
        <v>0</v>
      </c>
      <c s="126">
        <f>LOOKUP(YEAR(S$8),Предпосылки!$C$507:$R$507,Ставки_До_ОСС)</f>
        <v>0</v>
      </c>
      <c s="126">
        <f>LOOKUP(YEAR(T$8),Предпосылки!$C$507:$R$507,Ставки_До_ОСС)</f>
        <v>0</v>
      </c>
      <c s="126">
        <f>LOOKUP(YEAR(U$8),Предпосылки!$C$507:$R$507,Ставки_До_ОСС)</f>
        <v>0</v>
      </c>
      <c s="126">
        <f>LOOKUP(YEAR(V$8),Предпосылки!$C$507:$R$507,Ставки_До_ОСС)</f>
        <v>0</v>
      </c>
      <c s="126">
        <f>LOOKUP(YEAR(W$8),Предпосылки!$C$507:$R$507,Ставки_До_ОСС)</f>
        <v>0</v>
      </c>
      <c s="126">
        <f>LOOKUP(YEAR(X$8),Предпосылки!$C$507:$R$507,Ставки_До_ОСС)</f>
        <v>0</v>
      </c>
      <c s="126">
        <f>LOOKUP(YEAR(Y$8),Предпосылки!$C$507:$R$507,Ставки_До_ОСС)</f>
        <v>0</v>
      </c>
      <c s="126">
        <f>LOOKUP(YEAR(Z$8),Предпосылки!$C$507:$R$507,Ставки_До_ОСС)</f>
        <v>0</v>
      </c>
      <c s="126">
        <f>LOOKUP(YEAR(AA$8),Предпосылки!$C$507:$R$507,Ставки_До_ОСС)</f>
        <v>0</v>
      </c>
      <c s="126">
        <f>LOOKUP(YEAR(AB$8),Предпосылки!$C$507:$R$507,Ставки_До_ОСС)</f>
        <v>0</v>
      </c>
      <c s="126">
        <f>LOOKUP(YEAR(AC$8),Предпосылки!$C$507:$R$507,Ставки_До_ОСС)</f>
        <v>0</v>
      </c>
      <c s="126">
        <f>LOOKUP(YEAR(AD$8),Предпосылки!$C$507:$R$507,Ставки_До_ОСС)</f>
        <v>0</v>
      </c>
      <c s="126">
        <f>LOOKUP(YEAR(AE$8),Предпосылки!$C$507:$R$507,Ставки_До_ОСС)</f>
        <v>0</v>
      </c>
      <c s="126">
        <f>LOOKUP(YEAR(AF$8),Предпосылки!$C$507:$R$507,Ставки_До_ОСС)</f>
        <v>0</v>
      </c>
      <c s="126">
        <f>LOOKUP(YEAR(AG$8),Предпосылки!$C$507:$R$507,Ставки_До_ОСС)</f>
        <v>0</v>
      </c>
      <c s="126">
        <f>LOOKUP(YEAR(AH$8),Предпосылки!$C$507:$R$507,Ставки_До_ОСС)</f>
        <v>0</v>
      </c>
      <c s="126">
        <f>LOOKUP(YEAR(AI$8),Предпосылки!$C$507:$R$507,Ставки_До_ОСС)</f>
        <v>0</v>
      </c>
      <c s="126">
        <f>LOOKUP(YEAR(AJ$8),Предпосылки!$C$507:$R$507,Ставки_До_ОСС)</f>
        <v>0</v>
      </c>
      <c s="126">
        <f>LOOKUP(YEAR(AK$8),Предпосылки!$C$507:$R$507,Ставки_До_ОСС)</f>
        <v>0</v>
      </c>
      <c s="126">
        <f>LOOKUP(YEAR(AL$8),Предпосылки!$C$507:$R$507,Ставки_До_ОСС)</f>
        <v>0</v>
      </c>
      <c s="126">
        <f>LOOKUP(YEAR(AM$8),Предпосылки!$C$507:$R$507,Ставки_До_ОСС)</f>
        <v>0</v>
      </c>
      <c s="126">
        <f>LOOKUP(YEAR(AN$8),Предпосылки!$C$507:$R$507,Ставки_До_ОСС)</f>
        <v>0</v>
      </c>
      <c s="126">
        <f>LOOKUP(YEAR(AO$8),Предпосылки!$C$507:$R$507,Ставки_До_ОСС)</f>
        <v>0</v>
      </c>
      <c s="126">
        <f>LOOKUP(YEAR(AP$8),Предпосылки!$C$507:$R$507,Ставки_До_ОСС)</f>
        <v>0</v>
      </c>
      <c s="126">
        <f>LOOKUP(YEAR(AQ$8),Предпосылки!$C$507:$R$507,Ставки_До_ОСС)</f>
        <v>0</v>
      </c>
      <c s="126">
        <f>LOOKUP(YEAR(AR$8),Предпосылки!$C$507:$R$507,Ставки_До_ОСС)</f>
        <v>0</v>
      </c>
      <c s="126">
        <f>LOOKUP(YEAR(AS$8),Предпосылки!$C$507:$R$507,Ставки_До_ОСС)</f>
        <v>0</v>
      </c>
      <c s="126">
        <f>LOOKUP(YEAR(AT$8),Предпосылки!$C$507:$R$507,Ставки_До_ОСС)</f>
        <v>0</v>
      </c>
      <c s="126">
        <f>LOOKUP(YEAR(AU$8),Предпосылки!$C$507:$R$507,Ставки_До_ОСС)</f>
        <v>0</v>
      </c>
      <c s="126">
        <f>LOOKUP(YEAR(AV$8),Предпосылки!$C$507:$R$507,Ставки_До_ОСС)</f>
        <v>0</v>
      </c>
      <c s="126">
        <f>LOOKUP(YEAR(AW$8),Предпосылки!$C$507:$R$507,Ставки_До_ОСС)</f>
        <v>0</v>
      </c>
      <c s="126">
        <f>LOOKUP(YEAR(AX$8),Предпосылки!$C$507:$R$507,Ставки_До_ОСС)</f>
        <v>0</v>
      </c>
      <c s="126">
        <f>LOOKUP(YEAR(AY$8),Предпосылки!$C$507:$R$507,Ставки_До_ОСС)</f>
        <v>0</v>
      </c>
      <c s="126">
        <f>LOOKUP(YEAR(AZ$8),Предпосылки!$C$507:$R$507,Ставки_До_ОСС)</f>
        <v>0</v>
      </c>
      <c s="126">
        <f>LOOKUP(YEAR(BA$8),Предпосылки!$C$507:$R$507,Ставки_До_ОСС)</f>
        <v>0</v>
      </c>
      <c s="126">
        <f>LOOKUP(YEAR(BB$8),Предпосылки!$C$507:$R$507,Ставки_До_ОСС)</f>
        <v>0</v>
      </c>
      <c s="126">
        <f>LOOKUP(YEAR(BC$8),Предпосылки!$C$507:$R$507,Ставки_До_ОСС)</f>
        <v>0</v>
      </c>
      <c s="126">
        <f>LOOKUP(YEAR(BD$8),Предпосылки!$C$507:$R$507,Ставки_До_ОСС)</f>
        <v>0</v>
      </c>
      <c s="126">
        <f>LOOKUP(YEAR(BE$8),Предпосылки!$C$507:$R$507,Ставки_До_ОСС)</f>
        <v>0</v>
      </c>
      <c s="126">
        <f>LOOKUP(YEAR(BF$8),Предпосылки!$C$507:$R$507,Ставки_До_ОСС)</f>
        <v>0</v>
      </c>
      <c s="126">
        <f>LOOKUP(YEAR(BG$8),Предпосылки!$C$507:$R$507,Ставки_До_ОСС)</f>
        <v>0</v>
      </c>
      <c s="126">
        <f>LOOKUP(YEAR(BH$8),Предпосылки!$C$507:$R$507,Ставки_До_ОСС)</f>
        <v>0</v>
      </c>
      <c s="126">
        <f>LOOKUP(YEAR(BI$8),Предпосылки!$C$507:$R$507,Ставки_До_ОСС)</f>
        <v>0</v>
      </c>
      <c s="126">
        <f>LOOKUP(YEAR(BJ$8),Предпосылки!$C$507:$R$507,Ставки_До_ОСС)</f>
        <v>0</v>
      </c>
      <c s="126">
        <f>LOOKUP(YEAR(BK$8),Предпосылки!$C$507:$R$507,Ставки_До_ОСС)</f>
        <v>0</v>
      </c>
      <c s="126">
        <f>LOOKUP(YEAR(BL$8),Предпосылки!$C$507:$R$507,Ставки_До_ОСС)</f>
        <v>0</v>
      </c>
      <c s="126">
        <f>LOOKUP(YEAR(BM$8),Предпосылки!$C$507:$R$507,Ставки_До_ОСС)</f>
        <v>0</v>
      </c>
      <c s="5"/>
    </row>
    <row r="220" spans="2:66" ht="15" customHeight="1" hidden="1">
      <c r="B220" s="12" t="s">
        <v>264</v>
      </c>
      <c s="124" t="str">
        <f>Единица_измерения</f>
        <v>тыс. руб.</v>
      </c>
      <c s="125"/>
      <c s="125">
        <f>LOOKUP(YEAR(E$8),Предпосылки!$C$520:$R$520,Предпосылки!$C$522:$R$522)</f>
        <v>0</v>
      </c>
      <c s="125">
        <f>LOOKUP(YEAR(F$8),Предпосылки!$C$520:$R$520,Предпосылки!$C$522:$R$522)</f>
        <v>0</v>
      </c>
      <c s="125">
        <f>LOOKUP(YEAR(G$8),Предпосылки!$C$520:$R$520,Предпосылки!$C$522:$R$522)</f>
        <v>0</v>
      </c>
      <c s="125">
        <f>LOOKUP(YEAR(H$8),Предпосылки!$C$520:$R$520,Предпосылки!$C$522:$R$522)</f>
        <v>0</v>
      </c>
      <c s="125">
        <f>LOOKUP(YEAR(I$8),Предпосылки!$C$520:$R$520,Предпосылки!$C$522:$R$522)</f>
        <v>0</v>
      </c>
      <c s="125">
        <f>LOOKUP(YEAR(J$8),Предпосылки!$C$520:$R$520,Предпосылки!$C$522:$R$522)</f>
        <v>0</v>
      </c>
      <c s="125">
        <f>LOOKUP(YEAR(K$8),Предпосылки!$C$520:$R$520,Предпосылки!$C$522:$R$522)</f>
        <v>0</v>
      </c>
      <c s="125">
        <f>LOOKUP(YEAR(L$8),Предпосылки!$C$520:$R$520,Предпосылки!$C$522:$R$522)</f>
        <v>0</v>
      </c>
      <c s="125">
        <f>LOOKUP(YEAR(M$8),Предпосылки!$C$520:$R$520,Предпосылки!$C$522:$R$522)</f>
        <v>0</v>
      </c>
      <c s="125">
        <f>LOOKUP(YEAR(N$8),Предпосылки!$C$520:$R$520,Предпосылки!$C$522:$R$522)</f>
        <v>0</v>
      </c>
      <c s="125">
        <f>LOOKUP(YEAR(O$8),Предпосылки!$C$520:$R$520,Предпосылки!$C$522:$R$522)</f>
        <v>0</v>
      </c>
      <c s="125">
        <f>LOOKUP(YEAR(P$8),Предпосылки!$C$520:$R$520,Предпосылки!$C$522:$R$522)</f>
        <v>0</v>
      </c>
      <c s="125">
        <f>LOOKUP(YEAR(Q$8),Предпосылки!$C$520:$R$520,Предпосылки!$C$522:$R$522)</f>
        <v>0</v>
      </c>
      <c s="125">
        <f>LOOKUP(YEAR(R$8),Предпосылки!$C$520:$R$520,Предпосылки!$C$522:$R$522)</f>
        <v>0</v>
      </c>
      <c s="125">
        <f>LOOKUP(YEAR(S$8),Предпосылки!$C$520:$R$520,Предпосылки!$C$522:$R$522)</f>
        <v>0</v>
      </c>
      <c s="125">
        <f>LOOKUP(YEAR(T$8),Предпосылки!$C$520:$R$520,Предпосылки!$C$522:$R$522)</f>
        <v>0</v>
      </c>
      <c s="125">
        <f>LOOKUP(YEAR(U$8),Предпосылки!$C$520:$R$520,Предпосылки!$C$522:$R$522)</f>
        <v>0</v>
      </c>
      <c s="125">
        <f>LOOKUP(YEAR(V$8),Предпосылки!$C$520:$R$520,Предпосылки!$C$522:$R$522)</f>
        <v>0</v>
      </c>
      <c s="125">
        <f>LOOKUP(YEAR(W$8),Предпосылки!$C$520:$R$520,Предпосылки!$C$522:$R$522)</f>
        <v>0</v>
      </c>
      <c s="125">
        <f>LOOKUP(YEAR(X$8),Предпосылки!$C$520:$R$520,Предпосылки!$C$522:$R$522)</f>
        <v>0</v>
      </c>
      <c s="125">
        <f>LOOKUP(YEAR(Y$8),Предпосылки!$C$520:$R$520,Предпосылки!$C$522:$R$522)</f>
        <v>0</v>
      </c>
      <c s="125">
        <f>LOOKUP(YEAR(Z$8),Предпосылки!$C$520:$R$520,Предпосылки!$C$522:$R$522)</f>
        <v>0</v>
      </c>
      <c s="125">
        <f>LOOKUP(YEAR(AA$8),Предпосылки!$C$520:$R$520,Предпосылки!$C$522:$R$522)</f>
        <v>0</v>
      </c>
      <c s="125">
        <f>LOOKUP(YEAR(AB$8),Предпосылки!$C$520:$R$520,Предпосылки!$C$522:$R$522)</f>
        <v>0</v>
      </c>
      <c s="125">
        <f>LOOKUP(YEAR(AC$8),Предпосылки!$C$520:$R$520,Предпосылки!$C$522:$R$522)</f>
        <v>0</v>
      </c>
      <c s="125">
        <f>LOOKUP(YEAR(AD$8),Предпосылки!$C$520:$R$520,Предпосылки!$C$522:$R$522)</f>
        <v>0</v>
      </c>
      <c s="125">
        <f>LOOKUP(YEAR(AE$8),Предпосылки!$C$520:$R$520,Предпосылки!$C$522:$R$522)</f>
        <v>0</v>
      </c>
      <c s="125">
        <f>LOOKUP(YEAR(AF$8),Предпосылки!$C$520:$R$520,Предпосылки!$C$522:$R$522)</f>
        <v>0</v>
      </c>
      <c s="125">
        <f>LOOKUP(YEAR(AG$8),Предпосылки!$C$520:$R$520,Предпосылки!$C$522:$R$522)</f>
        <v>0</v>
      </c>
      <c s="125">
        <f>LOOKUP(YEAR(AH$8),Предпосылки!$C$520:$R$520,Предпосылки!$C$522:$R$522)</f>
        <v>0</v>
      </c>
      <c s="125">
        <f>LOOKUP(YEAR(AI$8),Предпосылки!$C$520:$R$520,Предпосылки!$C$522:$R$522)</f>
        <v>0</v>
      </c>
      <c s="125">
        <f>LOOKUP(YEAR(AJ$8),Предпосылки!$C$520:$R$520,Предпосылки!$C$522:$R$522)</f>
        <v>0</v>
      </c>
      <c s="125">
        <f>LOOKUP(YEAR(AK$8),Предпосылки!$C$520:$R$520,Предпосылки!$C$522:$R$522)</f>
        <v>0</v>
      </c>
      <c s="125">
        <f>LOOKUP(YEAR(AL$8),Предпосылки!$C$520:$R$520,Предпосылки!$C$522:$R$522)</f>
        <v>0</v>
      </c>
      <c s="125">
        <f>LOOKUP(YEAR(AM$8),Предпосылки!$C$520:$R$520,Предпосылки!$C$522:$R$522)</f>
        <v>0</v>
      </c>
      <c s="125">
        <f>LOOKUP(YEAR(AN$8),Предпосылки!$C$520:$R$520,Предпосылки!$C$522:$R$522)</f>
        <v>0</v>
      </c>
      <c s="125">
        <f>LOOKUP(YEAR(AO$8),Предпосылки!$C$520:$R$520,Предпосылки!$C$522:$R$522)</f>
        <v>0</v>
      </c>
      <c s="125">
        <f>LOOKUP(YEAR(AP$8),Предпосылки!$C$520:$R$520,Предпосылки!$C$522:$R$522)</f>
        <v>0</v>
      </c>
      <c s="125">
        <f>LOOKUP(YEAR(AQ$8),Предпосылки!$C$520:$R$520,Предпосылки!$C$522:$R$522)</f>
        <v>0</v>
      </c>
      <c s="125">
        <f>LOOKUP(YEAR(AR$8),Предпосылки!$C$520:$R$520,Предпосылки!$C$522:$R$522)</f>
        <v>0</v>
      </c>
      <c s="125">
        <f>LOOKUP(YEAR(AS$8),Предпосылки!$C$520:$R$520,Предпосылки!$C$522:$R$522)</f>
        <v>0</v>
      </c>
      <c s="125">
        <f>LOOKUP(YEAR(AT$8),Предпосылки!$C$520:$R$520,Предпосылки!$C$522:$R$522)</f>
        <v>0</v>
      </c>
      <c s="125">
        <f>LOOKUP(YEAR(AU$8),Предпосылки!$C$520:$R$520,Предпосылки!$C$522:$R$522)</f>
        <v>0</v>
      </c>
      <c s="125">
        <f>LOOKUP(YEAR(AV$8),Предпосылки!$C$520:$R$520,Предпосылки!$C$522:$R$522)</f>
        <v>0</v>
      </c>
      <c s="125">
        <f>LOOKUP(YEAR(AW$8),Предпосылки!$C$520:$R$520,Предпосылки!$C$522:$R$522)</f>
        <v>0</v>
      </c>
      <c s="125">
        <f>LOOKUP(YEAR(AX$8),Предпосылки!$C$520:$R$520,Предпосылки!$C$522:$R$522)</f>
        <v>0</v>
      </c>
      <c s="125">
        <f>LOOKUP(YEAR(AY$8),Предпосылки!$C$520:$R$520,Предпосылки!$C$522:$R$522)</f>
        <v>0</v>
      </c>
      <c s="125">
        <f>LOOKUP(YEAR(AZ$8),Предпосылки!$C$520:$R$520,Предпосылки!$C$522:$R$522)</f>
        <v>0</v>
      </c>
      <c s="125">
        <f>LOOKUP(YEAR(BA$8),Предпосылки!$C$520:$R$520,Предпосылки!$C$522:$R$522)</f>
        <v>0</v>
      </c>
      <c s="125">
        <f>LOOKUP(YEAR(BB$8),Предпосылки!$C$520:$R$520,Предпосылки!$C$522:$R$522)</f>
        <v>0</v>
      </c>
      <c s="125">
        <f>LOOKUP(YEAR(BC$8),Предпосылки!$C$520:$R$520,Предпосылки!$C$522:$R$522)</f>
        <v>0</v>
      </c>
      <c s="125">
        <f>LOOKUP(YEAR(BD$8),Предпосылки!$C$520:$R$520,Предпосылки!$C$522:$R$522)</f>
        <v>0</v>
      </c>
      <c s="125">
        <f>LOOKUP(YEAR(BE$8),Предпосылки!$C$520:$R$520,Предпосылки!$C$522:$R$522)</f>
        <v>0</v>
      </c>
      <c s="125">
        <f>LOOKUP(YEAR(BF$8),Предпосылки!$C$520:$R$520,Предпосылки!$C$522:$R$522)</f>
        <v>0</v>
      </c>
      <c s="125">
        <f>LOOKUP(YEAR(BG$8),Предпосылки!$C$520:$R$520,Предпосылки!$C$522:$R$522)</f>
        <v>0</v>
      </c>
      <c s="125">
        <f>LOOKUP(YEAR(BH$8),Предпосылки!$C$520:$R$520,Предпосылки!$C$522:$R$522)</f>
        <v>0</v>
      </c>
      <c s="125">
        <f>LOOKUP(YEAR(BI$8),Предпосылки!$C$520:$R$520,Предпосылки!$C$522:$R$522)</f>
        <v>0</v>
      </c>
      <c s="125">
        <f>LOOKUP(YEAR(BJ$8),Предпосылки!$C$520:$R$520,Предпосылки!$C$522:$R$522)</f>
        <v>0</v>
      </c>
      <c s="125">
        <f>LOOKUP(YEAR(BK$8),Предпосылки!$C$520:$R$520,Предпосылки!$C$522:$R$522)</f>
        <v>0</v>
      </c>
      <c s="125">
        <f>LOOKUP(YEAR(BL$8),Предпосылки!$C$520:$R$520,Предпосылки!$C$522:$R$522)</f>
        <v>0</v>
      </c>
      <c s="125">
        <f>LOOKUP(YEAR(BM$8),Предпосылки!$C$520:$R$520,Предпосылки!$C$522:$R$522)</f>
        <v>0</v>
      </c>
      <c s="166"/>
    </row>
    <row r="221" spans="2:66" ht="15" customHeight="1" hidden="1">
      <c r="B221" s="12" t="s">
        <v>267</v>
      </c>
      <c s="124" t="s">
        <v>817</v>
      </c>
      <c s="125"/>
      <c s="126">
        <f>LOOKUP(YEAR(E$8),Предпосылки!$C$527:$R$527,Ставки_После_ОСС)</f>
        <v>0</v>
      </c>
      <c s="126">
        <f>LOOKUP(YEAR(F$8),Предпосылки!$C$527:$R$527,Ставки_После_ОСС)</f>
        <v>0</v>
      </c>
      <c s="126">
        <f>LOOKUP(YEAR(G$8),Предпосылки!$C$527:$R$527,Ставки_После_ОСС)</f>
        <v>0</v>
      </c>
      <c s="126">
        <f>LOOKUP(YEAR(H$8),Предпосылки!$C$527:$R$527,Ставки_После_ОСС)</f>
        <v>0</v>
      </c>
      <c s="126">
        <f>LOOKUP(YEAR(I$8),Предпосылки!$C$527:$R$527,Ставки_После_ОСС)</f>
        <v>0</v>
      </c>
      <c s="126">
        <f>LOOKUP(YEAR(J$8),Предпосылки!$C$527:$R$527,Ставки_После_ОСС)</f>
        <v>0</v>
      </c>
      <c s="126">
        <f>LOOKUP(YEAR(K$8),Предпосылки!$C$527:$R$527,Ставки_После_ОСС)</f>
        <v>0</v>
      </c>
      <c s="126">
        <f>LOOKUP(YEAR(L$8),Предпосылки!$C$527:$R$527,Ставки_После_ОСС)</f>
        <v>0</v>
      </c>
      <c s="126">
        <f>LOOKUP(YEAR(M$8),Предпосылки!$C$527:$R$527,Ставки_После_ОСС)</f>
        <v>0</v>
      </c>
      <c s="126">
        <f>LOOKUP(YEAR(N$8),Предпосылки!$C$527:$R$527,Ставки_После_ОСС)</f>
        <v>0</v>
      </c>
      <c s="126">
        <f>LOOKUP(YEAR(O$8),Предпосылки!$C$527:$R$527,Ставки_После_ОСС)</f>
        <v>0</v>
      </c>
      <c s="126">
        <f>LOOKUP(YEAR(P$8),Предпосылки!$C$527:$R$527,Ставки_После_ОСС)</f>
        <v>0</v>
      </c>
      <c s="126">
        <f>LOOKUP(YEAR(Q$8),Предпосылки!$C$527:$R$527,Ставки_После_ОСС)</f>
        <v>0</v>
      </c>
      <c s="126">
        <f>LOOKUP(YEAR(R$8),Предпосылки!$C$527:$R$527,Ставки_После_ОСС)</f>
        <v>0</v>
      </c>
      <c s="126">
        <f>LOOKUP(YEAR(S$8),Предпосылки!$C$527:$R$527,Ставки_После_ОСС)</f>
        <v>0</v>
      </c>
      <c s="126">
        <f>LOOKUP(YEAR(T$8),Предпосылки!$C$527:$R$527,Ставки_После_ОСС)</f>
        <v>0</v>
      </c>
      <c s="126">
        <f>LOOKUP(YEAR(U$8),Предпосылки!$C$527:$R$527,Ставки_После_ОСС)</f>
        <v>0</v>
      </c>
      <c s="126">
        <f>LOOKUP(YEAR(V$8),Предпосылки!$C$527:$R$527,Ставки_После_ОСС)</f>
        <v>0</v>
      </c>
      <c s="126">
        <f>LOOKUP(YEAR(W$8),Предпосылки!$C$527:$R$527,Ставки_После_ОСС)</f>
        <v>0</v>
      </c>
      <c s="126">
        <f>LOOKUP(YEAR(X$8),Предпосылки!$C$527:$R$527,Ставки_После_ОСС)</f>
        <v>0</v>
      </c>
      <c s="126">
        <f>LOOKUP(YEAR(Y$8),Предпосылки!$C$527:$R$527,Ставки_После_ОСС)</f>
        <v>0</v>
      </c>
      <c s="126">
        <f>LOOKUP(YEAR(Z$8),Предпосылки!$C$527:$R$527,Ставки_После_ОСС)</f>
        <v>0</v>
      </c>
      <c s="126">
        <f>LOOKUP(YEAR(AA$8),Предпосылки!$C$527:$R$527,Ставки_После_ОСС)</f>
        <v>0</v>
      </c>
      <c s="126">
        <f>LOOKUP(YEAR(AB$8),Предпосылки!$C$527:$R$527,Ставки_После_ОСС)</f>
        <v>0</v>
      </c>
      <c s="126">
        <f>LOOKUP(YEAR(AC$8),Предпосылки!$C$527:$R$527,Ставки_После_ОСС)</f>
        <v>0</v>
      </c>
      <c s="126">
        <f>LOOKUP(YEAR(AD$8),Предпосылки!$C$527:$R$527,Ставки_После_ОСС)</f>
        <v>0</v>
      </c>
      <c s="126">
        <f>LOOKUP(YEAR(AE$8),Предпосылки!$C$527:$R$527,Ставки_После_ОСС)</f>
        <v>0</v>
      </c>
      <c s="126">
        <f>LOOKUP(YEAR(AF$8),Предпосылки!$C$527:$R$527,Ставки_После_ОСС)</f>
        <v>0</v>
      </c>
      <c s="126">
        <f>LOOKUP(YEAR(AG$8),Предпосылки!$C$527:$R$527,Ставки_После_ОСС)</f>
        <v>0</v>
      </c>
      <c s="126">
        <f>LOOKUP(YEAR(AH$8),Предпосылки!$C$527:$R$527,Ставки_После_ОСС)</f>
        <v>0</v>
      </c>
      <c s="126">
        <f>LOOKUP(YEAR(AI$8),Предпосылки!$C$527:$R$527,Ставки_После_ОСС)</f>
        <v>0</v>
      </c>
      <c s="126">
        <f>LOOKUP(YEAR(AJ$8),Предпосылки!$C$527:$R$527,Ставки_После_ОСС)</f>
        <v>0</v>
      </c>
      <c s="126">
        <f>LOOKUP(YEAR(AK$8),Предпосылки!$C$527:$R$527,Ставки_После_ОСС)</f>
        <v>0</v>
      </c>
      <c s="126">
        <f>LOOKUP(YEAR(AL$8),Предпосылки!$C$527:$R$527,Ставки_После_ОСС)</f>
        <v>0</v>
      </c>
      <c s="126">
        <f>LOOKUP(YEAR(AM$8),Предпосылки!$C$527:$R$527,Ставки_После_ОСС)</f>
        <v>0</v>
      </c>
      <c s="126">
        <f>LOOKUP(YEAR(AN$8),Предпосылки!$C$527:$R$527,Ставки_После_ОСС)</f>
        <v>0</v>
      </c>
      <c s="126">
        <f>LOOKUP(YEAR(AO$8),Предпосылки!$C$527:$R$527,Ставки_После_ОСС)</f>
        <v>0</v>
      </c>
      <c s="126">
        <f>LOOKUP(YEAR(AP$8),Предпосылки!$C$527:$R$527,Ставки_После_ОСС)</f>
        <v>0</v>
      </c>
      <c s="126">
        <f>LOOKUP(YEAR(AQ$8),Предпосылки!$C$527:$R$527,Ставки_После_ОСС)</f>
        <v>0</v>
      </c>
      <c s="126">
        <f>LOOKUP(YEAR(AR$8),Предпосылки!$C$527:$R$527,Ставки_После_ОСС)</f>
        <v>0</v>
      </c>
      <c s="126">
        <f>LOOKUP(YEAR(AS$8),Предпосылки!$C$527:$R$527,Ставки_После_ОСС)</f>
        <v>0</v>
      </c>
      <c s="126">
        <f>LOOKUP(YEAR(AT$8),Предпосылки!$C$527:$R$527,Ставки_После_ОСС)</f>
        <v>0</v>
      </c>
      <c s="126">
        <f>LOOKUP(YEAR(AU$8),Предпосылки!$C$527:$R$527,Ставки_После_ОСС)</f>
        <v>0</v>
      </c>
      <c s="126">
        <f>LOOKUP(YEAR(AV$8),Предпосылки!$C$527:$R$527,Ставки_После_ОСС)</f>
        <v>0</v>
      </c>
      <c s="126">
        <f>LOOKUP(YEAR(AW$8),Предпосылки!$C$527:$R$527,Ставки_После_ОСС)</f>
        <v>0</v>
      </c>
      <c s="126">
        <f>LOOKUP(YEAR(AX$8),Предпосылки!$C$527:$R$527,Ставки_После_ОСС)</f>
        <v>0</v>
      </c>
      <c s="126">
        <f>LOOKUP(YEAR(AY$8),Предпосылки!$C$527:$R$527,Ставки_После_ОСС)</f>
        <v>0</v>
      </c>
      <c s="126">
        <f>LOOKUP(YEAR(AZ$8),Предпосылки!$C$527:$R$527,Ставки_После_ОСС)</f>
        <v>0</v>
      </c>
      <c s="126">
        <f>LOOKUP(YEAR(BA$8),Предпосылки!$C$527:$R$527,Ставки_После_ОСС)</f>
        <v>0</v>
      </c>
      <c s="126">
        <f>LOOKUP(YEAR(BB$8),Предпосылки!$C$527:$R$527,Ставки_После_ОСС)</f>
        <v>0</v>
      </c>
      <c s="126">
        <f>LOOKUP(YEAR(BC$8),Предпосылки!$C$527:$R$527,Ставки_После_ОСС)</f>
        <v>0</v>
      </c>
      <c s="126">
        <f>LOOKUP(YEAR(BD$8),Предпосылки!$C$527:$R$527,Ставки_После_ОСС)</f>
        <v>0</v>
      </c>
      <c s="126">
        <f>LOOKUP(YEAR(BE$8),Предпосылки!$C$527:$R$527,Ставки_После_ОСС)</f>
        <v>0</v>
      </c>
      <c s="126">
        <f>LOOKUP(YEAR(BF$8),Предпосылки!$C$527:$R$527,Ставки_После_ОСС)</f>
        <v>0</v>
      </c>
      <c s="126">
        <f>LOOKUP(YEAR(BG$8),Предпосылки!$C$527:$R$527,Ставки_После_ОСС)</f>
        <v>0</v>
      </c>
      <c s="126">
        <f>LOOKUP(YEAR(BH$8),Предпосылки!$C$527:$R$527,Ставки_После_ОСС)</f>
        <v>0</v>
      </c>
      <c s="126">
        <f>LOOKUP(YEAR(BI$8),Предпосылки!$C$527:$R$527,Ставки_После_ОСС)</f>
        <v>0</v>
      </c>
      <c s="126">
        <f>LOOKUP(YEAR(BJ$8),Предпосылки!$C$527:$R$527,Ставки_После_ОСС)</f>
        <v>0</v>
      </c>
      <c s="126">
        <f>LOOKUP(YEAR(BK$8),Предпосылки!$C$527:$R$527,Ставки_После_ОСС)</f>
        <v>0</v>
      </c>
      <c s="126">
        <f>LOOKUP(YEAR(BL$8),Предпосылки!$C$527:$R$527,Ставки_После_ОСС)</f>
        <v>0</v>
      </c>
      <c s="126">
        <f>LOOKUP(YEAR(BM$8),Предпосылки!$C$527:$R$527,Ставки_После_ОСС)</f>
        <v>0</v>
      </c>
      <c s="168"/>
    </row>
    <row r="223" spans="2:66" ht="15" customHeight="1" hidden="1">
      <c r="B223" s="12" t="str">
        <f t="shared" si="291" ref="B223:B247">B135</f>
        <v>-</v>
      </c>
      <c s="124" t="str">
        <f t="shared" si="292" ref="C223:C248">Единица_измерения</f>
        <v>тыс. руб.</v>
      </c>
      <c s="276">
        <f>SUM(E223:BM223)</f>
        <v>0</v>
      </c>
      <c s="125">
        <f t="shared" si="293" ref="E223:AJ223">IF(E98&gt;E$220,MIN(E98-E$220,E42),0)*E11*E$221+(E69-IF(E98&gt;E$220,MIN(E98-E$220,E42),0)*E11)*E$219</f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4" ref="AK223:BM223">IF(AK98&gt;AK$220,MIN(AK98-AK$220,AK42),0)*AK11*AK$221+(AK69-IF(AK98&gt;AK$220,MIN(AK98-AK$220,AK42),0)*AK11)*AK$219</f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25">
        <f t="shared" si="294"/>
        <v>0</v>
      </c>
      <c s="166"/>
    </row>
    <row r="224" spans="2:66" ht="15" customHeight="1" hidden="1">
      <c r="B224" s="12" t="str">
        <f t="shared" si="291"/>
        <v>-</v>
      </c>
      <c s="124" t="str">
        <f t="shared" si="292"/>
        <v>тыс. руб.</v>
      </c>
      <c s="276">
        <f t="shared" si="295" ref="D224:D247">SUM(E224:BM224)</f>
        <v>0</v>
      </c>
      <c s="125">
        <f t="shared" si="296" ref="E224:AJ224">IF(E99&gt;E$220,MIN(E99-E$220,E43),0)*E12*E$221+(E70-IF(E99&gt;E$220,MIN(E99-E$220,E43),0)*E12)*E$219</f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6"/>
        <v>0</v>
      </c>
      <c s="125">
        <f t="shared" si="297" ref="AK224:BM224">IF(AK99&gt;AK$220,MIN(AK99-AK$220,AK43),0)*AK12*AK$221+(AK70-IF(AK99&gt;AK$220,MIN(AK99-AK$220,AK43),0)*AK12)*AK$219</f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66"/>
    </row>
    <row r="225" spans="2:66" ht="15" customHeight="1" hidden="1">
      <c r="B225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298" ref="E225:AJ225">IF(E100&gt;E$220,MIN(E100-E$220,E44),0)*E13*E$221+(E71-IF(E100&gt;E$220,MIN(E100-E$220,E44),0)*E13)*E$219</f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9" ref="AK225:BM225">IF(AK100&gt;AK$220,MIN(AK100-AK$220,AK44),0)*AK13*AK$221+(AK71-IF(AK100&gt;AK$220,MIN(AK100-AK$220,AK44),0)*AK13)*AK$219</f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66"/>
    </row>
    <row r="226" spans="2:66" ht="15" customHeight="1" hidden="1">
      <c r="B226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00" ref="E226:AJ226">IF(E101&gt;E$220,MIN(E101-E$220,E45),0)*E14*E$221+(E72-IF(E101&gt;E$220,MIN(E101-E$220,E45),0)*E14)*E$219</f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0"/>
        <v>0</v>
      </c>
      <c s="125">
        <f t="shared" si="301" ref="AK226:BM226">IF(AK101&gt;AK$220,MIN(AK101-AK$220,AK45),0)*AK14*AK$221+(AK72-IF(AK101&gt;AK$220,MIN(AK101-AK$220,AK45),0)*AK14)*AK$219</f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66"/>
    </row>
    <row r="227" spans="2:66" ht="15" customHeight="1" hidden="1">
      <c r="B227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02" ref="E227:AJ227">IF(E102&gt;E$220,MIN(E102-E$220,E46),0)*E15*E$221+(E73-IF(E102&gt;E$220,MIN(E102-E$220,E46),0)*E15)*E$219</f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2"/>
        <v>0</v>
      </c>
      <c s="125">
        <f t="shared" si="303" ref="AK227:BM227">IF(AK102&gt;AK$220,MIN(AK102-AK$220,AK46),0)*AK15*AK$221+(AK73-IF(AK102&gt;AK$220,MIN(AK102-AK$220,AK46),0)*AK15)*AK$219</f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66"/>
    </row>
    <row r="228" spans="2:66" ht="15" customHeight="1" hidden="1">
      <c r="B228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04" ref="E228:AJ228">IF(E103&gt;E$220,MIN(E103-E$220,E47),0)*E16*E$221+(E74-IF(E103&gt;E$220,MIN(E103-E$220,E47),0)*E16)*E$219</f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5" ref="AK228:BM228">IF(AK103&gt;AK$220,MIN(AK103-AK$220,AK47),0)*AK16*AK$221+(AK74-IF(AK103&gt;AK$220,MIN(AK103-AK$220,AK47),0)*AK16)*AK$219</f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66"/>
    </row>
    <row r="229" spans="2:66" ht="15" customHeight="1" hidden="1">
      <c r="B229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06" ref="E229:AJ229">IF(E104&gt;E$220,MIN(E104-E$220,E48),0)*E17*E$221+(E75-IF(E104&gt;E$220,MIN(E104-E$220,E48),0)*E17)*E$219</f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6"/>
        <v>0</v>
      </c>
      <c s="125">
        <f t="shared" si="307" ref="AK229:BM229">IF(AK104&gt;AK$220,MIN(AK104-AK$220,AK48),0)*AK17*AK$221+(AK75-IF(AK104&gt;AK$220,MIN(AK104-AK$220,AK48),0)*AK17)*AK$219</f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66"/>
    </row>
    <row r="230" spans="2:66" ht="15" customHeight="1" hidden="1">
      <c r="B230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08" ref="E230:AJ230">IF(E105&gt;E$220,MIN(E105-E$220,E49),0)*E18*E$221+(E76-IF(E105&gt;E$220,MIN(E105-E$220,E49),0)*E18)*E$219</f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9" ref="AK230:BM230">IF(AK105&gt;AK$220,MIN(AK105-AK$220,AK49),0)*AK18*AK$221+(AK76-IF(AK105&gt;AK$220,MIN(AK105-AK$220,AK49),0)*AK18)*AK$219</f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66"/>
    </row>
    <row r="231" spans="2:66" ht="15" customHeight="1" hidden="1">
      <c r="B231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10" ref="E231:AJ231">IF(E106&gt;E$220,MIN(E106-E$220,E50),0)*E19*E$221+(E77-IF(E106&gt;E$220,MIN(E106-E$220,E50),0)*E19)*E$219</f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1" ref="AK231:BM231">IF(AK106&gt;AK$220,MIN(AK106-AK$220,AK50),0)*AK19*AK$221+(AK77-IF(AK106&gt;AK$220,MIN(AK106-AK$220,AK50),0)*AK19)*AK$219</f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66"/>
    </row>
    <row r="232" spans="2:66" ht="15" customHeight="1" hidden="1">
      <c r="B232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12" ref="E232:AJ232">IF(E107&gt;E$220,MIN(E107-E$220,E51),0)*E20*E$221+(E78-IF(E107&gt;E$220,MIN(E107-E$220,E51),0)*E20)*E$219</f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3" ref="AK232:BM232">IF(AK107&gt;AK$220,MIN(AK107-AK$220,AK51),0)*AK20*AK$221+(AK78-IF(AK107&gt;AK$220,MIN(AK107-AK$220,AK51),0)*AK20)*AK$219</f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66"/>
    </row>
    <row r="233" spans="2:66" ht="15" customHeight="1" hidden="1">
      <c r="B233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14" ref="E233:AJ233">IF(E108&gt;E$220,MIN(E108-E$220,E52),0)*E21*E$221+(E79-IF(E108&gt;E$220,MIN(E108-E$220,E52),0)*E21)*E$219</f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4"/>
        <v>0</v>
      </c>
      <c s="125">
        <f t="shared" si="315" ref="AK233:BM233">IF(AK108&gt;AK$220,MIN(AK108-AK$220,AK52),0)*AK21*AK$221+(AK79-IF(AK108&gt;AK$220,MIN(AK108-AK$220,AK52),0)*AK21)*AK$219</f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66"/>
    </row>
    <row r="234" spans="2:66" ht="15" customHeight="1" hidden="1">
      <c r="B234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16" ref="E234:AJ234">IF(E109&gt;E$220,MIN(E109-E$220,E53),0)*E22*E$221+(E80-IF(E109&gt;E$220,MIN(E109-E$220,E53),0)*E22)*E$219</f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7" ref="AK234:BM234">IF(AK109&gt;AK$220,MIN(AK109-AK$220,AK53),0)*AK22*AK$221+(AK80-IF(AK109&gt;AK$220,MIN(AK109-AK$220,AK53),0)*AK22)*AK$219</f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66"/>
    </row>
    <row r="235" spans="2:66" ht="15" customHeight="1" hidden="1">
      <c r="B235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18" ref="E235:AJ235">IF(E110&gt;E$220,MIN(E110-E$220,E54),0)*E23*E$221+(E81-IF(E110&gt;E$220,MIN(E110-E$220,E54),0)*E23)*E$219</f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9" ref="AK235:BM235">IF(AK110&gt;AK$220,MIN(AK110-AK$220,AK54),0)*AK23*AK$221+(AK81-IF(AK110&gt;AK$220,MIN(AK110-AK$220,AK54),0)*AK23)*AK$219</f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66"/>
    </row>
    <row r="236" spans="2:66" ht="15" customHeight="1" hidden="1">
      <c r="B236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20" ref="E236:AJ236">IF(E111&gt;E$220,MIN(E111-E$220,E55),0)*E24*E$221+(E82-IF(E111&gt;E$220,MIN(E111-E$220,E55),0)*E24)*E$219</f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1" ref="AK236:BM236">IF(AK111&gt;AK$220,MIN(AK111-AK$220,AK55),0)*AK24*AK$221+(AK82-IF(AK111&gt;AK$220,MIN(AK111-AK$220,AK55),0)*AK24)*AK$219</f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66"/>
    </row>
    <row r="237" spans="2:66" ht="15" customHeight="1" hidden="1">
      <c r="B237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22" ref="E237:AJ237">IF(E112&gt;E$220,MIN(E112-E$220,E56),0)*E25*E$221+(E83-IF(E112&gt;E$220,MIN(E112-E$220,E56),0)*E25)*E$219</f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3" ref="AK237:BM237">IF(AK112&gt;AK$220,MIN(AK112-AK$220,AK56),0)*AK25*AK$221+(AK83-IF(AK112&gt;AK$220,MIN(AK112-AK$220,AK56),0)*AK25)*AK$219</f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66"/>
    </row>
    <row r="238" spans="2:66" ht="15" customHeight="1" hidden="1">
      <c r="B238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24" ref="E238:AJ238">IF(E113&gt;E$220,MIN(E113-E$220,E57),0)*E26*E$221+(E84-IF(E113&gt;E$220,MIN(E113-E$220,E57),0)*E26)*E$219</f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5" ref="AK238:BM238">IF(AK113&gt;AK$220,MIN(AK113-AK$220,AK57),0)*AK26*AK$221+(AK84-IF(AK113&gt;AK$220,MIN(AK113-AK$220,AK57),0)*AK26)*AK$219</f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66"/>
    </row>
    <row r="239" spans="2:66" ht="15" customHeight="1" hidden="1">
      <c r="B239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26" ref="E239:AJ239">IF(E114&gt;E$220,MIN(E114-E$220,E58),0)*E27*E$221+(E85-IF(E114&gt;E$220,MIN(E114-E$220,E58),0)*E27)*E$219</f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6"/>
        <v>0</v>
      </c>
      <c s="125">
        <f t="shared" si="327" ref="AK239:BM239">IF(AK114&gt;AK$220,MIN(AK114-AK$220,AK58),0)*AK27*AK$221+(AK85-IF(AK114&gt;AK$220,MIN(AK114-AK$220,AK58),0)*AK27)*AK$219</f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25">
        <f t="shared" si="327"/>
        <v>0</v>
      </c>
      <c s="166"/>
    </row>
    <row r="240" spans="2:66" ht="15" customHeight="1" hidden="1">
      <c r="B240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28" ref="E240:AJ240">IF(E115&gt;E$220,MIN(E115-E$220,E59),0)*E28*E$221+(E86-IF(E115&gt;E$220,MIN(E115-E$220,E59),0)*E28)*E$219</f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8"/>
        <v>0</v>
      </c>
      <c s="125">
        <f t="shared" si="329" ref="AK240:BM240">IF(AK115&gt;AK$220,MIN(AK115-AK$220,AK59),0)*AK28*AK$221+(AK86-IF(AK115&gt;AK$220,MIN(AK115-AK$220,AK59),0)*AK28)*AK$219</f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25">
        <f t="shared" si="329"/>
        <v>0</v>
      </c>
      <c s="166"/>
    </row>
    <row r="241" spans="2:66" ht="15" customHeight="1" hidden="1">
      <c r="B241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30" ref="E241:AJ241">IF(E116&gt;E$220,MIN(E116-E$220,E60),0)*E29*E$221+(E87-IF(E116&gt;E$220,MIN(E116-E$220,E60),0)*E29)*E$219</f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0"/>
        <v>0</v>
      </c>
      <c s="125">
        <f t="shared" si="331" ref="AK241:BM241">IF(AK116&gt;AK$220,MIN(AK116-AK$220,AK60),0)*AK29*AK$221+(AK87-IF(AK116&gt;AK$220,MIN(AK116-AK$220,AK60),0)*AK29)*AK$219</f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25">
        <f t="shared" si="331"/>
        <v>0</v>
      </c>
      <c s="166"/>
    </row>
    <row r="242" spans="2:66" ht="15" customHeight="1" hidden="1">
      <c r="B242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32" ref="E242:AJ242">IF(E117&gt;E$220,MIN(E117-E$220,E61),0)*E30*E$221+(E88-IF(E117&gt;E$220,MIN(E117-E$220,E61),0)*E30)*E$219</f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3" ref="AK242:BM242">IF(AK117&gt;AK$220,MIN(AK117-AK$220,AK61),0)*AK30*AK$221+(AK88-IF(AK117&gt;AK$220,MIN(AK117-AK$220,AK61),0)*AK30)*AK$219</f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66"/>
    </row>
    <row r="243" spans="2:66" ht="15" customHeight="1" hidden="1">
      <c r="B243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34" ref="E243:AJ243">IF(E118&gt;E$220,MIN(E118-E$220,E62),0)*E31*E$221+(E89-IF(E118&gt;E$220,MIN(E118-E$220,E62),0)*E31)*E$219</f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4"/>
        <v>0</v>
      </c>
      <c s="125">
        <f t="shared" si="335" ref="AK243:BM243">IF(AK118&gt;AK$220,MIN(AK118-AK$220,AK62),0)*AK31*AK$221+(AK89-IF(AK118&gt;AK$220,MIN(AK118-AK$220,AK62),0)*AK31)*AK$219</f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66"/>
    </row>
    <row r="244" spans="2:66" ht="15" customHeight="1" hidden="1">
      <c r="B244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36" ref="E244:AJ244">IF(E119&gt;E$220,MIN(E119-E$220,E63),0)*E32*E$221+(E90-IF(E119&gt;E$220,MIN(E119-E$220,E63),0)*E32)*E$219</f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6"/>
        <v>0</v>
      </c>
      <c s="125">
        <f t="shared" si="337" ref="AK244:BM244">IF(AK119&gt;AK$220,MIN(AK119-AK$220,AK63),0)*AK32*AK$221+(AK90-IF(AK119&gt;AK$220,MIN(AK119-AK$220,AK63),0)*AK32)*AK$219</f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66"/>
    </row>
    <row r="245" spans="2:66" ht="15" customHeight="1" hidden="1">
      <c r="B245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38" ref="E245:AJ245">IF(E120&gt;E$220,MIN(E120-E$220,E64),0)*E33*E$221+(E91-IF(E120&gt;E$220,MIN(E120-E$220,E64),0)*E33)*E$219</f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8"/>
        <v>0</v>
      </c>
      <c s="125">
        <f t="shared" si="339" ref="AK245:BM245">IF(AK120&gt;AK$220,MIN(AK120-AK$220,AK64),0)*AK33*AK$221+(AK91-IF(AK120&gt;AK$220,MIN(AK120-AK$220,AK64),0)*AK33)*AK$219</f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25">
        <f t="shared" si="339"/>
        <v>0</v>
      </c>
      <c s="166"/>
    </row>
    <row r="246" spans="2:66" ht="15" customHeight="1" hidden="1">
      <c r="B246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40" ref="E246:AJ246">IF(E121&gt;E$220,MIN(E121-E$220,E65),0)*E34*E$221+(E92-IF(E121&gt;E$220,MIN(E121-E$220,E65),0)*E34)*E$219</f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0"/>
        <v>0</v>
      </c>
      <c s="125">
        <f t="shared" si="341" ref="AK246:BM246">IF(AK121&gt;AK$220,MIN(AK121-AK$220,AK65),0)*AK34*AK$221+(AK92-IF(AK121&gt;AK$220,MIN(AK121-AK$220,AK65),0)*AK34)*AK$219</f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25">
        <f t="shared" si="341"/>
        <v>0</v>
      </c>
      <c s="166"/>
    </row>
    <row r="247" spans="2:66" ht="15" customHeight="1" hidden="1">
      <c r="B247" s="12" t="str">
        <f t="shared" si="291"/>
        <v>-</v>
      </c>
      <c s="124" t="str">
        <f t="shared" si="292"/>
        <v>тыс. руб.</v>
      </c>
      <c s="276">
        <f t="shared" si="295"/>
        <v>0</v>
      </c>
      <c s="125">
        <f t="shared" si="342" ref="E247:AJ247">IF(E122&gt;E$220,MIN(E122-E$220,E66),0)*E35*E$221+(E93-IF(E122&gt;E$220,MIN(E122-E$220,E66),0)*E35)*E$219</f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2"/>
        <v>0</v>
      </c>
      <c s="125">
        <f t="shared" si="343" ref="AK247:BM247">IF(AK122&gt;AK$220,MIN(AK122-AK$220,AK66),0)*AK35*AK$221+(AK93-IF(AK122&gt;AK$220,MIN(AK122-AK$220,AK66),0)*AK35)*AK$219</f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66"/>
    </row>
    <row r="248" spans="2:66" ht="15" customHeight="1" hidden="1">
      <c r="B248" s="289" t="s">
        <v>454</v>
      </c>
      <c s="290" t="str">
        <f t="shared" si="292"/>
        <v>тыс. руб.</v>
      </c>
      <c s="291">
        <f>SUM(D223:D247)</f>
        <v>0</v>
      </c>
      <c s="276">
        <f>SUM(E223:E247)</f>
        <v>0</v>
      </c>
      <c s="276">
        <f t="shared" si="344" ref="F248:AG248">SUM(F223:F247)</f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4"/>
        <v>0</v>
      </c>
      <c s="276">
        <f t="shared" si="345" ref="AH248:BM248">SUM(AH223:AH247)</f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276">
        <f t="shared" si="345"/>
        <v>0</v>
      </c>
      <c s="166"/>
    </row>
    <row r="250" spans="2:70" ht="14.45" hidden="1">
      <c r="B250" s="25" t="s">
        <v>883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51" spans="2:66" ht="15" customHeight="1" hidden="1">
      <c r="B251" s="12" t="s">
        <v>255</v>
      </c>
      <c s="124" t="s">
        <v>817</v>
      </c>
      <c s="125"/>
      <c s="126">
        <f>LOOKUP(YEAR(E$8),Предпосылки!$C$507:$R$507,Ставки_До_ОМС)</f>
        <v>0</v>
      </c>
      <c s="126">
        <f>LOOKUP(YEAR(F$8),Предпосылки!$C$507:$R$507,Ставки_До_ОМС)</f>
        <v>0</v>
      </c>
      <c s="126">
        <f>LOOKUP(YEAR(G$8),Предпосылки!$C$507:$R$507,Ставки_До_ОМС)</f>
        <v>0</v>
      </c>
      <c s="126">
        <f>LOOKUP(YEAR(H$8),Предпосылки!$C$507:$R$507,Ставки_До_ОМС)</f>
        <v>0</v>
      </c>
      <c s="126">
        <f>LOOKUP(YEAR(I$8),Предпосылки!$C$507:$R$507,Ставки_До_ОМС)</f>
        <v>0</v>
      </c>
      <c s="126">
        <f>LOOKUP(YEAR(J$8),Предпосылки!$C$507:$R$507,Ставки_До_ОМС)</f>
        <v>0</v>
      </c>
      <c s="126">
        <f>LOOKUP(YEAR(K$8),Предпосылки!$C$507:$R$507,Ставки_До_ОМС)</f>
        <v>0</v>
      </c>
      <c s="126">
        <f>LOOKUP(YEAR(L$8),Предпосылки!$C$507:$R$507,Ставки_До_ОМС)</f>
        <v>0</v>
      </c>
      <c s="126">
        <f>LOOKUP(YEAR(M$8),Предпосылки!$C$507:$R$507,Ставки_До_ОМС)</f>
        <v>0</v>
      </c>
      <c s="126">
        <f>LOOKUP(YEAR(N$8),Предпосылки!$C$507:$R$507,Ставки_До_ОМС)</f>
        <v>0</v>
      </c>
      <c s="126">
        <f>LOOKUP(YEAR(O$8),Предпосылки!$C$507:$R$507,Ставки_До_ОМС)</f>
        <v>0</v>
      </c>
      <c s="126">
        <f>LOOKUP(YEAR(P$8),Предпосылки!$C$507:$R$507,Ставки_До_ОМС)</f>
        <v>0</v>
      </c>
      <c s="126">
        <f>LOOKUP(YEAR(Q$8),Предпосылки!$C$507:$R$507,Ставки_До_ОМС)</f>
        <v>0</v>
      </c>
      <c s="126">
        <f>LOOKUP(YEAR(R$8),Предпосылки!$C$507:$R$507,Ставки_До_ОМС)</f>
        <v>0</v>
      </c>
      <c s="126">
        <f>LOOKUP(YEAR(S$8),Предпосылки!$C$507:$R$507,Ставки_До_ОМС)</f>
        <v>0</v>
      </c>
      <c s="126">
        <f>LOOKUP(YEAR(T$8),Предпосылки!$C$507:$R$507,Ставки_До_ОМС)</f>
        <v>0</v>
      </c>
      <c s="126">
        <f>LOOKUP(YEAR(U$8),Предпосылки!$C$507:$R$507,Ставки_До_ОМС)</f>
        <v>0</v>
      </c>
      <c s="126">
        <f>LOOKUP(YEAR(V$8),Предпосылки!$C$507:$R$507,Ставки_До_ОМС)</f>
        <v>0</v>
      </c>
      <c s="126">
        <f>LOOKUP(YEAR(W$8),Предпосылки!$C$507:$R$507,Ставки_До_ОМС)</f>
        <v>0</v>
      </c>
      <c s="126">
        <f>LOOKUP(YEAR(X$8),Предпосылки!$C$507:$R$507,Ставки_До_ОМС)</f>
        <v>0</v>
      </c>
      <c s="126">
        <f>LOOKUP(YEAR(Y$8),Предпосылки!$C$507:$R$507,Ставки_До_ОМС)</f>
        <v>0</v>
      </c>
      <c s="126">
        <f>LOOKUP(YEAR(Z$8),Предпосылки!$C$507:$R$507,Ставки_До_ОМС)</f>
        <v>0</v>
      </c>
      <c s="126">
        <f>LOOKUP(YEAR(AA$8),Предпосылки!$C$507:$R$507,Ставки_До_ОМС)</f>
        <v>0</v>
      </c>
      <c s="126">
        <f>LOOKUP(YEAR(AB$8),Предпосылки!$C$507:$R$507,Ставки_До_ОМС)</f>
        <v>0</v>
      </c>
      <c s="126">
        <f>LOOKUP(YEAR(AC$8),Предпосылки!$C$507:$R$507,Ставки_До_ОМС)</f>
        <v>0</v>
      </c>
      <c s="126">
        <f>LOOKUP(YEAR(AD$8),Предпосылки!$C$507:$R$507,Ставки_До_ОМС)</f>
        <v>0</v>
      </c>
      <c s="126">
        <f>LOOKUP(YEAR(AE$8),Предпосылки!$C$507:$R$507,Ставки_До_ОМС)</f>
        <v>0</v>
      </c>
      <c s="126">
        <f>LOOKUP(YEAR(AF$8),Предпосылки!$C$507:$R$507,Ставки_До_ОМС)</f>
        <v>0</v>
      </c>
      <c s="126">
        <f>LOOKUP(YEAR(AG$8),Предпосылки!$C$507:$R$507,Ставки_До_ОМС)</f>
        <v>0</v>
      </c>
      <c s="126">
        <f>LOOKUP(YEAR(AH$8),Предпосылки!$C$507:$R$507,Ставки_До_ОМС)</f>
        <v>0</v>
      </c>
      <c s="126">
        <f>LOOKUP(YEAR(AI$8),Предпосылки!$C$507:$R$507,Ставки_До_ОМС)</f>
        <v>0</v>
      </c>
      <c s="126">
        <f>LOOKUP(YEAR(AJ$8),Предпосылки!$C$507:$R$507,Ставки_До_ОМС)</f>
        <v>0</v>
      </c>
      <c s="126">
        <f>LOOKUP(YEAR(AK$8),Предпосылки!$C$507:$R$507,Ставки_До_ОМС)</f>
        <v>0</v>
      </c>
      <c s="126">
        <f>LOOKUP(YEAR(AL$8),Предпосылки!$C$507:$R$507,Ставки_До_ОМС)</f>
        <v>0</v>
      </c>
      <c s="126">
        <f>LOOKUP(YEAR(AM$8),Предпосылки!$C$507:$R$507,Ставки_До_ОМС)</f>
        <v>0</v>
      </c>
      <c s="126">
        <f>LOOKUP(YEAR(AN$8),Предпосылки!$C$507:$R$507,Ставки_До_ОМС)</f>
        <v>0</v>
      </c>
      <c s="126">
        <f>LOOKUP(YEAR(AO$8),Предпосылки!$C$507:$R$507,Ставки_До_ОМС)</f>
        <v>0</v>
      </c>
      <c s="126">
        <f>LOOKUP(YEAR(AP$8),Предпосылки!$C$507:$R$507,Ставки_До_ОМС)</f>
        <v>0</v>
      </c>
      <c s="126">
        <f>LOOKUP(YEAR(AQ$8),Предпосылки!$C$507:$R$507,Ставки_До_ОМС)</f>
        <v>0</v>
      </c>
      <c s="126">
        <f>LOOKUP(YEAR(AR$8),Предпосылки!$C$507:$R$507,Ставки_До_ОМС)</f>
        <v>0</v>
      </c>
      <c s="126">
        <f>LOOKUP(YEAR(AS$8),Предпосылки!$C$507:$R$507,Ставки_До_ОМС)</f>
        <v>0</v>
      </c>
      <c s="126">
        <f>LOOKUP(YEAR(AT$8),Предпосылки!$C$507:$R$507,Ставки_До_ОМС)</f>
        <v>0</v>
      </c>
      <c s="126">
        <f>LOOKUP(YEAR(AU$8),Предпосылки!$C$507:$R$507,Ставки_До_ОМС)</f>
        <v>0</v>
      </c>
      <c s="126">
        <f>LOOKUP(YEAR(AV$8),Предпосылки!$C$507:$R$507,Ставки_До_ОМС)</f>
        <v>0</v>
      </c>
      <c s="126">
        <f>LOOKUP(YEAR(AW$8),Предпосылки!$C$507:$R$507,Ставки_До_ОМС)</f>
        <v>0</v>
      </c>
      <c s="126">
        <f>LOOKUP(YEAR(AX$8),Предпосылки!$C$507:$R$507,Ставки_До_ОМС)</f>
        <v>0</v>
      </c>
      <c s="126">
        <f>LOOKUP(YEAR(AY$8),Предпосылки!$C$507:$R$507,Ставки_До_ОМС)</f>
        <v>0</v>
      </c>
      <c s="126">
        <f>LOOKUP(YEAR(AZ$8),Предпосылки!$C$507:$R$507,Ставки_До_ОМС)</f>
        <v>0</v>
      </c>
      <c s="126">
        <f>LOOKUP(YEAR(BA$8),Предпосылки!$C$507:$R$507,Ставки_До_ОМС)</f>
        <v>0</v>
      </c>
      <c s="126">
        <f>LOOKUP(YEAR(BB$8),Предпосылки!$C$507:$R$507,Ставки_До_ОМС)</f>
        <v>0</v>
      </c>
      <c s="126">
        <f>LOOKUP(YEAR(BC$8),Предпосылки!$C$507:$R$507,Ставки_До_ОМС)</f>
        <v>0</v>
      </c>
      <c s="126">
        <f>LOOKUP(YEAR(BD$8),Предпосылки!$C$507:$R$507,Ставки_До_ОМС)</f>
        <v>0</v>
      </c>
      <c s="126">
        <f>LOOKUP(YEAR(BE$8),Предпосылки!$C$507:$R$507,Ставки_До_ОМС)</f>
        <v>0</v>
      </c>
      <c s="126">
        <f>LOOKUP(YEAR(BF$8),Предпосылки!$C$507:$R$507,Ставки_До_ОМС)</f>
        <v>0</v>
      </c>
      <c s="126">
        <f>LOOKUP(YEAR(BG$8),Предпосылки!$C$507:$R$507,Ставки_До_ОМС)</f>
        <v>0</v>
      </c>
      <c s="126">
        <f>LOOKUP(YEAR(BH$8),Предпосылки!$C$507:$R$507,Ставки_До_ОМС)</f>
        <v>0</v>
      </c>
      <c s="126">
        <f>LOOKUP(YEAR(BI$8),Предпосылки!$C$507:$R$507,Ставки_До_ОМС)</f>
        <v>0</v>
      </c>
      <c s="126">
        <f>LOOKUP(YEAR(BJ$8),Предпосылки!$C$507:$R$507,Ставки_До_ОМС)</f>
        <v>0</v>
      </c>
      <c s="126">
        <f>LOOKUP(YEAR(BK$8),Предпосылки!$C$507:$R$507,Ставки_До_ОМС)</f>
        <v>0</v>
      </c>
      <c s="126">
        <f>LOOKUP(YEAR(BL$8),Предпосылки!$C$507:$R$507,Ставки_До_ОМС)</f>
        <v>0</v>
      </c>
      <c s="126">
        <f>LOOKUP(YEAR(BM$8),Предпосылки!$C$507:$R$507,Ставки_До_ОМС)</f>
        <v>0</v>
      </c>
      <c s="168"/>
    </row>
    <row r="252" spans="2:66" ht="15" customHeight="1" hidden="1">
      <c r="B252" s="12" t="s">
        <v>264</v>
      </c>
      <c s="124" t="str">
        <f>Единица_измерения</f>
        <v>тыс. руб.</v>
      </c>
      <c s="125"/>
      <c s="125">
        <f>LOOKUP(YEAR(E$8),Предпосылки!$C$520:$R$520,Предпосылки!$C$523:$R$523)</f>
        <v>0</v>
      </c>
      <c s="125">
        <f>LOOKUP(YEAR(F$8),Предпосылки!$C$520:$R$520,Предпосылки!$C$523:$R$523)</f>
        <v>0</v>
      </c>
      <c s="125">
        <f>LOOKUP(YEAR(G$8),Предпосылки!$C$520:$R$520,Предпосылки!$C$523:$R$523)</f>
        <v>0</v>
      </c>
      <c s="125">
        <f>LOOKUP(YEAR(H$8),Предпосылки!$C$520:$R$520,Предпосылки!$C$523:$R$523)</f>
        <v>0</v>
      </c>
      <c s="125">
        <f>LOOKUP(YEAR(I$8),Предпосылки!$C$520:$R$520,Предпосылки!$C$523:$R$523)</f>
        <v>0</v>
      </c>
      <c s="125">
        <f>LOOKUP(YEAR(J$8),Предпосылки!$C$520:$R$520,Предпосылки!$C$523:$R$523)</f>
        <v>0</v>
      </c>
      <c s="125">
        <f>LOOKUP(YEAR(K$8),Предпосылки!$C$520:$R$520,Предпосылки!$C$523:$R$523)</f>
        <v>0</v>
      </c>
      <c s="125">
        <f>LOOKUP(YEAR(L$8),Предпосылки!$C$520:$R$520,Предпосылки!$C$523:$R$523)</f>
        <v>0</v>
      </c>
      <c s="125">
        <f>LOOKUP(YEAR(M$8),Предпосылки!$C$520:$R$520,Предпосылки!$C$523:$R$523)</f>
        <v>0</v>
      </c>
      <c s="125">
        <f>LOOKUP(YEAR(N$8),Предпосылки!$C$520:$R$520,Предпосылки!$C$523:$R$523)</f>
        <v>0</v>
      </c>
      <c s="125">
        <f>LOOKUP(YEAR(O$8),Предпосылки!$C$520:$R$520,Предпосылки!$C$523:$R$523)</f>
        <v>0</v>
      </c>
      <c s="125">
        <f>LOOKUP(YEAR(P$8),Предпосылки!$C$520:$R$520,Предпосылки!$C$523:$R$523)</f>
        <v>0</v>
      </c>
      <c s="125">
        <f>LOOKUP(YEAR(Q$8),Предпосылки!$C$520:$R$520,Предпосылки!$C$523:$R$523)</f>
        <v>0</v>
      </c>
      <c s="125">
        <f>LOOKUP(YEAR(R$8),Предпосылки!$C$520:$R$520,Предпосылки!$C$523:$R$523)</f>
        <v>0</v>
      </c>
      <c s="125">
        <f>LOOKUP(YEAR(S$8),Предпосылки!$C$520:$R$520,Предпосылки!$C$523:$R$523)</f>
        <v>0</v>
      </c>
      <c s="125">
        <f>LOOKUP(YEAR(T$8),Предпосылки!$C$520:$R$520,Предпосылки!$C$523:$R$523)</f>
        <v>0</v>
      </c>
      <c s="125">
        <f>LOOKUP(YEAR(U$8),Предпосылки!$C$520:$R$520,Предпосылки!$C$523:$R$523)</f>
        <v>0</v>
      </c>
      <c s="125">
        <f>LOOKUP(YEAR(V$8),Предпосылки!$C$520:$R$520,Предпосылки!$C$523:$R$523)</f>
        <v>0</v>
      </c>
      <c s="125">
        <f>LOOKUP(YEAR(W$8),Предпосылки!$C$520:$R$520,Предпосылки!$C$523:$R$523)</f>
        <v>0</v>
      </c>
      <c s="125">
        <f>LOOKUP(YEAR(X$8),Предпосылки!$C$520:$R$520,Предпосылки!$C$523:$R$523)</f>
        <v>0</v>
      </c>
      <c s="125">
        <f>LOOKUP(YEAR(Y$8),Предпосылки!$C$520:$R$520,Предпосылки!$C$523:$R$523)</f>
        <v>0</v>
      </c>
      <c s="125">
        <f>LOOKUP(YEAR(Z$8),Предпосылки!$C$520:$R$520,Предпосылки!$C$523:$R$523)</f>
        <v>0</v>
      </c>
      <c s="125">
        <f>LOOKUP(YEAR(AA$8),Предпосылки!$C$520:$R$520,Предпосылки!$C$523:$R$523)</f>
        <v>0</v>
      </c>
      <c s="125">
        <f>LOOKUP(YEAR(AB$8),Предпосылки!$C$520:$R$520,Предпосылки!$C$523:$R$523)</f>
        <v>0</v>
      </c>
      <c s="125">
        <f>LOOKUP(YEAR(AC$8),Предпосылки!$C$520:$R$520,Предпосылки!$C$523:$R$523)</f>
        <v>0</v>
      </c>
      <c s="125">
        <f>LOOKUP(YEAR(AD$8),Предпосылки!$C$520:$R$520,Предпосылки!$C$523:$R$523)</f>
        <v>0</v>
      </c>
      <c s="125">
        <f>LOOKUP(YEAR(AE$8),Предпосылки!$C$520:$R$520,Предпосылки!$C$523:$R$523)</f>
        <v>0</v>
      </c>
      <c s="125">
        <f>LOOKUP(YEAR(AF$8),Предпосылки!$C$520:$R$520,Предпосылки!$C$523:$R$523)</f>
        <v>0</v>
      </c>
      <c s="125">
        <f>LOOKUP(YEAR(AG$8),Предпосылки!$C$520:$R$520,Предпосылки!$C$523:$R$523)</f>
        <v>0</v>
      </c>
      <c s="125">
        <f>LOOKUP(YEAR(AH$8),Предпосылки!$C$520:$R$520,Предпосылки!$C$523:$R$523)</f>
        <v>0</v>
      </c>
      <c s="125">
        <f>LOOKUP(YEAR(AI$8),Предпосылки!$C$520:$R$520,Предпосылки!$C$523:$R$523)</f>
        <v>0</v>
      </c>
      <c s="125">
        <f>LOOKUP(YEAR(AJ$8),Предпосылки!$C$520:$R$520,Предпосылки!$C$523:$R$523)</f>
        <v>0</v>
      </c>
      <c s="125">
        <f>LOOKUP(YEAR(AK$8),Предпосылки!$C$520:$R$520,Предпосылки!$C$523:$R$523)</f>
        <v>0</v>
      </c>
      <c s="125">
        <f>LOOKUP(YEAR(AL$8),Предпосылки!$C$520:$R$520,Предпосылки!$C$523:$R$523)</f>
        <v>0</v>
      </c>
      <c s="125">
        <f>LOOKUP(YEAR(AM$8),Предпосылки!$C$520:$R$520,Предпосылки!$C$523:$R$523)</f>
        <v>0</v>
      </c>
      <c s="125">
        <f>LOOKUP(YEAR(AN$8),Предпосылки!$C$520:$R$520,Предпосылки!$C$523:$R$523)</f>
        <v>0</v>
      </c>
      <c s="125">
        <f>LOOKUP(YEAR(AO$8),Предпосылки!$C$520:$R$520,Предпосылки!$C$523:$R$523)</f>
        <v>0</v>
      </c>
      <c s="125">
        <f>LOOKUP(YEAR(AP$8),Предпосылки!$C$520:$R$520,Предпосылки!$C$523:$R$523)</f>
        <v>0</v>
      </c>
      <c s="125">
        <f>LOOKUP(YEAR(AQ$8),Предпосылки!$C$520:$R$520,Предпосылки!$C$523:$R$523)</f>
        <v>0</v>
      </c>
      <c s="125">
        <f>LOOKUP(YEAR(AR$8),Предпосылки!$C$520:$R$520,Предпосылки!$C$523:$R$523)</f>
        <v>0</v>
      </c>
      <c s="125">
        <f>LOOKUP(YEAR(AS$8),Предпосылки!$C$520:$R$520,Предпосылки!$C$523:$R$523)</f>
        <v>0</v>
      </c>
      <c s="125">
        <f>LOOKUP(YEAR(AT$8),Предпосылки!$C$520:$R$520,Предпосылки!$C$523:$R$523)</f>
        <v>0</v>
      </c>
      <c s="125">
        <f>LOOKUP(YEAR(AU$8),Предпосылки!$C$520:$R$520,Предпосылки!$C$523:$R$523)</f>
        <v>0</v>
      </c>
      <c s="125">
        <f>LOOKUP(YEAR(AV$8),Предпосылки!$C$520:$R$520,Предпосылки!$C$523:$R$523)</f>
        <v>0</v>
      </c>
      <c s="125">
        <f>LOOKUP(YEAR(AW$8),Предпосылки!$C$520:$R$520,Предпосылки!$C$523:$R$523)</f>
        <v>0</v>
      </c>
      <c s="125">
        <f>LOOKUP(YEAR(AX$8),Предпосылки!$C$520:$R$520,Предпосылки!$C$523:$R$523)</f>
        <v>0</v>
      </c>
      <c s="125">
        <f>LOOKUP(YEAR(AY$8),Предпосылки!$C$520:$R$520,Предпосылки!$C$523:$R$523)</f>
        <v>0</v>
      </c>
      <c s="125">
        <f>LOOKUP(YEAR(AZ$8),Предпосылки!$C$520:$R$520,Предпосылки!$C$523:$R$523)</f>
        <v>0</v>
      </c>
      <c s="125">
        <f>LOOKUP(YEAR(BA$8),Предпосылки!$C$520:$R$520,Предпосылки!$C$523:$R$523)</f>
        <v>0</v>
      </c>
      <c s="125">
        <f>LOOKUP(YEAR(BB$8),Предпосылки!$C$520:$R$520,Предпосылки!$C$523:$R$523)</f>
        <v>0</v>
      </c>
      <c s="125">
        <f>LOOKUP(YEAR(BC$8),Предпосылки!$C$520:$R$520,Предпосылки!$C$523:$R$523)</f>
        <v>0</v>
      </c>
      <c s="125">
        <f>LOOKUP(YEAR(BD$8),Предпосылки!$C$520:$R$520,Предпосылки!$C$523:$R$523)</f>
        <v>0</v>
      </c>
      <c s="125">
        <f>LOOKUP(YEAR(BE$8),Предпосылки!$C$520:$R$520,Предпосылки!$C$523:$R$523)</f>
        <v>0</v>
      </c>
      <c s="125">
        <f>LOOKUP(YEAR(BF$8),Предпосылки!$C$520:$R$520,Предпосылки!$C$523:$R$523)</f>
        <v>0</v>
      </c>
      <c s="125">
        <f>LOOKUP(YEAR(BG$8),Предпосылки!$C$520:$R$520,Предпосылки!$C$523:$R$523)</f>
        <v>0</v>
      </c>
      <c s="125">
        <f>LOOKUP(YEAR(BH$8),Предпосылки!$C$520:$R$520,Предпосылки!$C$523:$R$523)</f>
        <v>0</v>
      </c>
      <c s="125">
        <f>LOOKUP(YEAR(BI$8),Предпосылки!$C$520:$R$520,Предпосылки!$C$523:$R$523)</f>
        <v>0</v>
      </c>
      <c s="125">
        <f>LOOKUP(YEAR(BJ$8),Предпосылки!$C$520:$R$520,Предпосылки!$C$523:$R$523)</f>
        <v>0</v>
      </c>
      <c s="125">
        <f>LOOKUP(YEAR(BK$8),Предпосылки!$C$520:$R$520,Предпосылки!$C$523:$R$523)</f>
        <v>0</v>
      </c>
      <c s="125">
        <f>LOOKUP(YEAR(BL$8),Предпосылки!$C$520:$R$520,Предпосылки!$C$523:$R$523)</f>
        <v>0</v>
      </c>
      <c s="125">
        <f>LOOKUP(YEAR(BM$8),Предпосылки!$C$520:$R$520,Предпосылки!$C$523:$R$523)</f>
        <v>0</v>
      </c>
      <c s="166"/>
    </row>
    <row r="253" spans="2:66" ht="15" customHeight="1" hidden="1">
      <c r="B253" s="12" t="s">
        <v>267</v>
      </c>
      <c s="124" t="s">
        <v>817</v>
      </c>
      <c s="125"/>
      <c s="126">
        <f>LOOKUP(YEAR(E$8),Предпосылки!$C$527:$R$527,Ставки_После_ОМС)</f>
        <v>0</v>
      </c>
      <c s="126">
        <f>LOOKUP(YEAR(F$8),Предпосылки!$C$527:$R$527,Ставки_После_ОМС)</f>
        <v>0</v>
      </c>
      <c s="126">
        <f>LOOKUP(YEAR(G$8),Предпосылки!$C$527:$R$527,Ставки_После_ОМС)</f>
        <v>0</v>
      </c>
      <c s="126">
        <f>LOOKUP(YEAR(H$8),Предпосылки!$C$527:$R$527,Ставки_После_ОМС)</f>
        <v>0</v>
      </c>
      <c s="126">
        <f>LOOKUP(YEAR(I$8),Предпосылки!$C$527:$R$527,Ставки_После_ОМС)</f>
        <v>0</v>
      </c>
      <c s="126">
        <f>LOOKUP(YEAR(J$8),Предпосылки!$C$527:$R$527,Ставки_После_ОМС)</f>
        <v>0</v>
      </c>
      <c s="126">
        <f>LOOKUP(YEAR(K$8),Предпосылки!$C$527:$R$527,Ставки_После_ОМС)</f>
        <v>0</v>
      </c>
      <c s="126">
        <f>LOOKUP(YEAR(L$8),Предпосылки!$C$527:$R$527,Ставки_После_ОМС)</f>
        <v>0</v>
      </c>
      <c s="126">
        <f>LOOKUP(YEAR(M$8),Предпосылки!$C$527:$R$527,Ставки_После_ОМС)</f>
        <v>0</v>
      </c>
      <c s="126">
        <f>LOOKUP(YEAR(N$8),Предпосылки!$C$527:$R$527,Ставки_После_ОМС)</f>
        <v>0</v>
      </c>
      <c s="126">
        <f>LOOKUP(YEAR(O$8),Предпосылки!$C$527:$R$527,Ставки_После_ОМС)</f>
        <v>0</v>
      </c>
      <c s="126">
        <f>LOOKUP(YEAR(P$8),Предпосылки!$C$527:$R$527,Ставки_После_ОМС)</f>
        <v>0</v>
      </c>
      <c s="126">
        <f>LOOKUP(YEAR(Q$8),Предпосылки!$C$527:$R$527,Ставки_После_ОМС)</f>
        <v>0</v>
      </c>
      <c s="126">
        <f>LOOKUP(YEAR(R$8),Предпосылки!$C$527:$R$527,Ставки_После_ОМС)</f>
        <v>0</v>
      </c>
      <c s="126">
        <f>LOOKUP(YEAR(S$8),Предпосылки!$C$527:$R$527,Ставки_После_ОМС)</f>
        <v>0</v>
      </c>
      <c s="126">
        <f>LOOKUP(YEAR(T$8),Предпосылки!$C$527:$R$527,Ставки_После_ОМС)</f>
        <v>0</v>
      </c>
      <c s="126">
        <f>LOOKUP(YEAR(U$8),Предпосылки!$C$527:$R$527,Ставки_После_ОМС)</f>
        <v>0</v>
      </c>
      <c s="126">
        <f>LOOKUP(YEAR(V$8),Предпосылки!$C$527:$R$527,Ставки_После_ОМС)</f>
        <v>0</v>
      </c>
      <c s="126">
        <f>LOOKUP(YEAR(W$8),Предпосылки!$C$527:$R$527,Ставки_После_ОМС)</f>
        <v>0</v>
      </c>
      <c s="126">
        <f>LOOKUP(YEAR(X$8),Предпосылки!$C$527:$R$527,Ставки_После_ОМС)</f>
        <v>0</v>
      </c>
      <c s="126">
        <f>LOOKUP(YEAR(Y$8),Предпосылки!$C$527:$R$527,Ставки_После_ОМС)</f>
        <v>0</v>
      </c>
      <c s="126">
        <f>LOOKUP(YEAR(Z$8),Предпосылки!$C$527:$R$527,Ставки_После_ОМС)</f>
        <v>0</v>
      </c>
      <c s="126">
        <f>LOOKUP(YEAR(AA$8),Предпосылки!$C$527:$R$527,Ставки_После_ОМС)</f>
        <v>0</v>
      </c>
      <c s="126">
        <f>LOOKUP(YEAR(AB$8),Предпосылки!$C$527:$R$527,Ставки_После_ОМС)</f>
        <v>0</v>
      </c>
      <c s="126">
        <f>LOOKUP(YEAR(AC$8),Предпосылки!$C$527:$R$527,Ставки_После_ОМС)</f>
        <v>0</v>
      </c>
      <c s="126">
        <f>LOOKUP(YEAR(AD$8),Предпосылки!$C$527:$R$527,Ставки_После_ОМС)</f>
        <v>0</v>
      </c>
      <c s="126">
        <f>LOOKUP(YEAR(AE$8),Предпосылки!$C$527:$R$527,Ставки_После_ОМС)</f>
        <v>0</v>
      </c>
      <c s="126">
        <f>LOOKUP(YEAR(AF$8),Предпосылки!$C$527:$R$527,Ставки_После_ОМС)</f>
        <v>0</v>
      </c>
      <c s="126">
        <f>LOOKUP(YEAR(AG$8),Предпосылки!$C$527:$R$527,Ставки_После_ОМС)</f>
        <v>0</v>
      </c>
      <c s="126">
        <f>LOOKUP(YEAR(AH$8),Предпосылки!$C$527:$R$527,Ставки_После_ОМС)</f>
        <v>0</v>
      </c>
      <c s="126">
        <f>LOOKUP(YEAR(AI$8),Предпосылки!$C$527:$R$527,Ставки_После_ОМС)</f>
        <v>0</v>
      </c>
      <c s="126">
        <f>LOOKUP(YEAR(AJ$8),Предпосылки!$C$527:$R$527,Ставки_После_ОМС)</f>
        <v>0</v>
      </c>
      <c s="126">
        <f>LOOKUP(YEAR(AK$8),Предпосылки!$C$527:$R$527,Ставки_После_ОМС)</f>
        <v>0</v>
      </c>
      <c s="126">
        <f>LOOKUP(YEAR(AL$8),Предпосылки!$C$527:$R$527,Ставки_После_ОМС)</f>
        <v>0</v>
      </c>
      <c s="126">
        <f>LOOKUP(YEAR(AM$8),Предпосылки!$C$527:$R$527,Ставки_После_ОМС)</f>
        <v>0</v>
      </c>
      <c s="126">
        <f>LOOKUP(YEAR(AN$8),Предпосылки!$C$527:$R$527,Ставки_После_ОМС)</f>
        <v>0</v>
      </c>
      <c s="126">
        <f>LOOKUP(YEAR(AO$8),Предпосылки!$C$527:$R$527,Ставки_После_ОМС)</f>
        <v>0</v>
      </c>
      <c s="126">
        <f>LOOKUP(YEAR(AP$8),Предпосылки!$C$527:$R$527,Ставки_После_ОМС)</f>
        <v>0</v>
      </c>
      <c s="126">
        <f>LOOKUP(YEAR(AQ$8),Предпосылки!$C$527:$R$527,Ставки_После_ОМС)</f>
        <v>0</v>
      </c>
      <c s="126">
        <f>LOOKUP(YEAR(AR$8),Предпосылки!$C$527:$R$527,Ставки_После_ОМС)</f>
        <v>0</v>
      </c>
      <c s="126">
        <f>LOOKUP(YEAR(AS$8),Предпосылки!$C$527:$R$527,Ставки_После_ОМС)</f>
        <v>0</v>
      </c>
      <c s="126">
        <f>LOOKUP(YEAR(AT$8),Предпосылки!$C$527:$R$527,Ставки_После_ОМС)</f>
        <v>0</v>
      </c>
      <c s="126">
        <f>LOOKUP(YEAR(AU$8),Предпосылки!$C$527:$R$527,Ставки_После_ОМС)</f>
        <v>0</v>
      </c>
      <c s="126">
        <f>LOOKUP(YEAR(AV$8),Предпосылки!$C$527:$R$527,Ставки_После_ОМС)</f>
        <v>0</v>
      </c>
      <c s="126">
        <f>LOOKUP(YEAR(AW$8),Предпосылки!$C$527:$R$527,Ставки_После_ОМС)</f>
        <v>0</v>
      </c>
      <c s="126">
        <f>LOOKUP(YEAR(AX$8),Предпосылки!$C$527:$R$527,Ставки_После_ОМС)</f>
        <v>0</v>
      </c>
      <c s="126">
        <f>LOOKUP(YEAR(AY$8),Предпосылки!$C$527:$R$527,Ставки_После_ОМС)</f>
        <v>0</v>
      </c>
      <c s="126">
        <f>LOOKUP(YEAR(AZ$8),Предпосылки!$C$527:$R$527,Ставки_После_ОМС)</f>
        <v>0</v>
      </c>
      <c s="126">
        <f>LOOKUP(YEAR(BA$8),Предпосылки!$C$527:$R$527,Ставки_После_ОМС)</f>
        <v>0</v>
      </c>
      <c s="126">
        <f>LOOKUP(YEAR(BB$8),Предпосылки!$C$527:$R$527,Ставки_После_ОМС)</f>
        <v>0</v>
      </c>
      <c s="126">
        <f>LOOKUP(YEAR(BC$8),Предпосылки!$C$527:$R$527,Ставки_После_ОМС)</f>
        <v>0</v>
      </c>
      <c s="126">
        <f>LOOKUP(YEAR(BD$8),Предпосылки!$C$527:$R$527,Ставки_После_ОМС)</f>
        <v>0</v>
      </c>
      <c s="126">
        <f>LOOKUP(YEAR(BE$8),Предпосылки!$C$527:$R$527,Ставки_После_ОМС)</f>
        <v>0</v>
      </c>
      <c s="126">
        <f>LOOKUP(YEAR(BF$8),Предпосылки!$C$527:$R$527,Ставки_После_ОМС)</f>
        <v>0</v>
      </c>
      <c s="126">
        <f>LOOKUP(YEAR(BG$8),Предпосылки!$C$527:$R$527,Ставки_После_ОМС)</f>
        <v>0</v>
      </c>
      <c s="126">
        <f>LOOKUP(YEAR(BH$8),Предпосылки!$C$527:$R$527,Ставки_После_ОМС)</f>
        <v>0</v>
      </c>
      <c s="126">
        <f>LOOKUP(YEAR(BI$8),Предпосылки!$C$527:$R$527,Ставки_После_ОМС)</f>
        <v>0</v>
      </c>
      <c s="126">
        <f>LOOKUP(YEAR(BJ$8),Предпосылки!$C$527:$R$527,Ставки_После_ОМС)</f>
        <v>0</v>
      </c>
      <c s="126">
        <f>LOOKUP(YEAR(BK$8),Предпосылки!$C$527:$R$527,Ставки_После_ОМС)</f>
        <v>0</v>
      </c>
      <c s="126">
        <f>LOOKUP(YEAR(BL$8),Предпосылки!$C$527:$R$527,Ставки_После_ОМС)</f>
        <v>0</v>
      </c>
      <c s="126">
        <f>LOOKUP(YEAR(BM$8),Предпосылки!$C$527:$R$527,Ставки_После_ОМС)</f>
        <v>0</v>
      </c>
      <c s="168"/>
    </row>
    <row r="255" spans="2:66" ht="15" customHeight="1" hidden="1">
      <c r="B255" s="12" t="str">
        <f>B223</f>
        <v>-</v>
      </c>
      <c s="124" t="str">
        <f t="shared" si="346" ref="C255:C280">Единица_измерения</f>
        <v>тыс. руб.</v>
      </c>
      <c s="276">
        <f>SUM(E255:BM255)</f>
        <v>0</v>
      </c>
      <c s="125">
        <f t="shared" si="347" ref="E255:AJ255">IF(E98&gt;E$252,MIN(E98-E$252,E42),0)*E11*E$253+(E69-IF(E98&gt;E$252,MIN(E98-E$252,E42),0)*E11)*E$251</f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8" ref="AK255:BM255">IF(AK98&gt;AK$252,MIN(AK98-AK$252,AK42),0)*AK11*AK$253+(AK69-IF(AK98&gt;AK$252,MIN(AK98-AK$252,AK42),0)*AK11)*AK$251</f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25">
        <f t="shared" si="348"/>
        <v>0</v>
      </c>
      <c s="166"/>
    </row>
    <row r="256" spans="2:66" ht="15" customHeight="1" hidden="1">
      <c r="B256" s="12" t="str">
        <f t="shared" si="349" ref="B256:B279">B224</f>
        <v>-</v>
      </c>
      <c s="124" t="str">
        <f t="shared" si="346"/>
        <v>тыс. руб.</v>
      </c>
      <c s="276">
        <f t="shared" si="350" ref="D256:D279">SUM(E256:BM256)</f>
        <v>0</v>
      </c>
      <c s="125">
        <f t="shared" si="351" ref="E256:AJ256">IF(E99&gt;E$252,MIN(E99-E$252,E43),0)*E12*E$253+(E70-IF(E99&gt;E$252,MIN(E99-E$252,E43),0)*E12)*E$251</f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1"/>
        <v>0</v>
      </c>
      <c s="125">
        <f t="shared" si="352" ref="AK256:BM256">IF(AK99&gt;AK$252,MIN(AK99-AK$252,AK43),0)*AK12*AK$253+(AK70-IF(AK99&gt;AK$252,MIN(AK99-AK$252,AK43),0)*AK12)*AK$251</f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25">
        <f t="shared" si="352"/>
        <v>0</v>
      </c>
      <c s="166"/>
    </row>
    <row r="257" spans="2:66" ht="15" customHeight="1" hidden="1">
      <c r="B257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53" ref="E257:AJ257">IF(E100&gt;E$252,MIN(E100-E$252,E44),0)*E13*E$253+(E71-IF(E100&gt;E$252,MIN(E100-E$252,E44),0)*E13)*E$251</f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3"/>
        <v>0</v>
      </c>
      <c s="125">
        <f t="shared" si="354" ref="AK257:BM257">IF(AK100&gt;AK$252,MIN(AK100-AK$252,AK44),0)*AK13*AK$253+(AK71-IF(AK100&gt;AK$252,MIN(AK100-AK$252,AK44),0)*AK13)*AK$251</f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25">
        <f t="shared" si="354"/>
        <v>0</v>
      </c>
      <c s="166"/>
    </row>
    <row r="258" spans="2:66" ht="15" customHeight="1" hidden="1">
      <c r="B258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55" ref="E258:AJ258">IF(E101&gt;E$252,MIN(E101-E$252,E45),0)*E14*E$253+(E72-IF(E101&gt;E$252,MIN(E101-E$252,E45),0)*E14)*E$251</f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5"/>
        <v>0</v>
      </c>
      <c s="125">
        <f t="shared" si="356" ref="AK258:BM258">IF(AK101&gt;AK$252,MIN(AK101-AK$252,AK45),0)*AK14*AK$253+(AK72-IF(AK101&gt;AK$252,MIN(AK101-AK$252,AK45),0)*AK14)*AK$251</f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25">
        <f t="shared" si="356"/>
        <v>0</v>
      </c>
      <c s="166"/>
    </row>
    <row r="259" spans="2:66" ht="15" customHeight="1" hidden="1">
      <c r="B259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57" ref="E259:AJ259">IF(E102&gt;E$252,MIN(E102-E$252,E46),0)*E15*E$253+(E73-IF(E102&gt;E$252,MIN(E102-E$252,E46),0)*E15)*E$251</f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7"/>
        <v>0</v>
      </c>
      <c s="125">
        <f t="shared" si="358" ref="AK259:BM259">IF(AK102&gt;AK$252,MIN(AK102-AK$252,AK46),0)*AK15*AK$253+(AK73-IF(AK102&gt;AK$252,MIN(AK102-AK$252,AK46),0)*AK15)*AK$251</f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25">
        <f t="shared" si="358"/>
        <v>0</v>
      </c>
      <c s="166"/>
    </row>
    <row r="260" spans="2:66" ht="15" customHeight="1" hidden="1">
      <c r="B260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59" ref="E260:AJ260">IF(E103&gt;E$252,MIN(E103-E$252,E47),0)*E16*E$253+(E74-IF(E103&gt;E$252,MIN(E103-E$252,E47),0)*E16)*E$251</f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59"/>
        <v>0</v>
      </c>
      <c s="125">
        <f t="shared" si="360" ref="AK260:BM260">IF(AK103&gt;AK$252,MIN(AK103-AK$252,AK47),0)*AK16*AK$253+(AK74-IF(AK103&gt;AK$252,MIN(AK103-AK$252,AK47),0)*AK16)*AK$251</f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25">
        <f t="shared" si="360"/>
        <v>0</v>
      </c>
      <c s="166"/>
    </row>
    <row r="261" spans="2:66" ht="15" customHeight="1" hidden="1">
      <c r="B261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61" ref="E261:AJ261">IF(E104&gt;E$252,MIN(E104-E$252,E48),0)*E17*E$253+(E75-IF(E104&gt;E$252,MIN(E104-E$252,E48),0)*E17)*E$251</f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1"/>
        <v>0</v>
      </c>
      <c s="125">
        <f t="shared" si="362" ref="AK261:BM261">IF(AK104&gt;AK$252,MIN(AK104-AK$252,AK48),0)*AK17*AK$253+(AK75-IF(AK104&gt;AK$252,MIN(AK104-AK$252,AK48),0)*AK17)*AK$251</f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25">
        <f t="shared" si="362"/>
        <v>0</v>
      </c>
      <c s="166"/>
    </row>
    <row r="262" spans="2:66" ht="15" customHeight="1" hidden="1">
      <c r="B262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63" ref="E262:AJ262">IF(E105&gt;E$252,MIN(E105-E$252,E49),0)*E18*E$253+(E76-IF(E105&gt;E$252,MIN(E105-E$252,E49),0)*E18)*E$251</f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3"/>
        <v>0</v>
      </c>
      <c s="125">
        <f t="shared" si="364" ref="AK262:BM262">IF(AK105&gt;AK$252,MIN(AK105-AK$252,AK49),0)*AK18*AK$253+(AK76-IF(AK105&gt;AK$252,MIN(AK105-AK$252,AK49),0)*AK18)*AK$251</f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25">
        <f t="shared" si="364"/>
        <v>0</v>
      </c>
      <c s="166"/>
    </row>
    <row r="263" spans="2:66" ht="15" customHeight="1" hidden="1">
      <c r="B263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65" ref="E263:AJ263">IF(E106&gt;E$252,MIN(E106-E$252,E50),0)*E19*E$253+(E77-IF(E106&gt;E$252,MIN(E106-E$252,E50),0)*E19)*E$251</f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5"/>
        <v>0</v>
      </c>
      <c s="125">
        <f t="shared" si="366" ref="AK263:BM263">IF(AK106&gt;AK$252,MIN(AK106-AK$252,AK50),0)*AK19*AK$253+(AK77-IF(AK106&gt;AK$252,MIN(AK106-AK$252,AK50),0)*AK19)*AK$251</f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25">
        <f t="shared" si="366"/>
        <v>0</v>
      </c>
      <c s="166"/>
    </row>
    <row r="264" spans="2:66" ht="15" customHeight="1" hidden="1">
      <c r="B264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67" ref="E264:AJ264">IF(E107&gt;E$252,MIN(E107-E$252,E51),0)*E20*E$253+(E78-IF(E107&gt;E$252,MIN(E107-E$252,E51),0)*E20)*E$251</f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7"/>
        <v>0</v>
      </c>
      <c s="125">
        <f t="shared" si="368" ref="AK264:BM264">IF(AK107&gt;AK$252,MIN(AK107-AK$252,AK51),0)*AK20*AK$253+(AK78-IF(AK107&gt;AK$252,MIN(AK107-AK$252,AK51),0)*AK20)*AK$251</f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25">
        <f t="shared" si="368"/>
        <v>0</v>
      </c>
      <c s="166"/>
    </row>
    <row r="265" spans="2:66" ht="15" customHeight="1" hidden="1">
      <c r="B265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69" ref="E265:AJ265">IF(E108&gt;E$252,MIN(E108-E$252,E52),0)*E21*E$253+(E79-IF(E108&gt;E$252,MIN(E108-E$252,E52),0)*E21)*E$251</f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69"/>
        <v>0</v>
      </c>
      <c s="125">
        <f t="shared" si="370" ref="AK265:BM265">IF(AK108&gt;AK$252,MIN(AK108-AK$252,AK52),0)*AK21*AK$253+(AK79-IF(AK108&gt;AK$252,MIN(AK108-AK$252,AK52),0)*AK21)*AK$251</f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25">
        <f t="shared" si="370"/>
        <v>0</v>
      </c>
      <c s="166"/>
    </row>
    <row r="266" spans="2:66" ht="15" customHeight="1" hidden="1">
      <c r="B266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71" ref="E266:AJ266">IF(E109&gt;E$252,MIN(E109-E$252,E53),0)*E22*E$253+(E80-IF(E109&gt;E$252,MIN(E109-E$252,E53),0)*E22)*E$251</f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1"/>
        <v>0</v>
      </c>
      <c s="125">
        <f t="shared" si="372" ref="AK266:BM266">IF(AK109&gt;AK$252,MIN(AK109-AK$252,AK53),0)*AK22*AK$253+(AK80-IF(AK109&gt;AK$252,MIN(AK109-AK$252,AK53),0)*AK22)*AK$251</f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25">
        <f t="shared" si="372"/>
        <v>0</v>
      </c>
      <c s="166"/>
    </row>
    <row r="267" spans="2:66" ht="15" customHeight="1" hidden="1">
      <c r="B267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73" ref="E267:AJ267">IF(E110&gt;E$252,MIN(E110-E$252,E54),0)*E23*E$253+(E81-IF(E110&gt;E$252,MIN(E110-E$252,E54),0)*E23)*E$251</f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3"/>
        <v>0</v>
      </c>
      <c s="125">
        <f t="shared" si="374" ref="AK267:BM267">IF(AK110&gt;AK$252,MIN(AK110-AK$252,AK54),0)*AK23*AK$253+(AK81-IF(AK110&gt;AK$252,MIN(AK110-AK$252,AK54),0)*AK23)*AK$251</f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25">
        <f t="shared" si="374"/>
        <v>0</v>
      </c>
      <c s="166"/>
    </row>
    <row r="268" spans="2:66" ht="15" customHeight="1" hidden="1">
      <c r="B268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75" ref="E268:AJ268">IF(E111&gt;E$252,MIN(E111-E$252,E55),0)*E24*E$253+(E82-IF(E111&gt;E$252,MIN(E111-E$252,E55),0)*E24)*E$251</f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5"/>
        <v>0</v>
      </c>
      <c s="125">
        <f t="shared" si="376" ref="AK268:BM268">IF(AK111&gt;AK$252,MIN(AK111-AK$252,AK55),0)*AK24*AK$253+(AK82-IF(AK111&gt;AK$252,MIN(AK111-AK$252,AK55),0)*AK24)*AK$251</f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25">
        <f t="shared" si="376"/>
        <v>0</v>
      </c>
      <c s="166"/>
    </row>
    <row r="269" spans="2:66" ht="15" customHeight="1" hidden="1">
      <c r="B269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77" ref="E269:AJ269">IF(E112&gt;E$252,MIN(E112-E$252,E56),0)*E25*E$253+(E83-IF(E112&gt;E$252,MIN(E112-E$252,E56),0)*E25)*E$251</f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7"/>
        <v>0</v>
      </c>
      <c s="125">
        <f t="shared" si="378" ref="AK269:BM269">IF(AK112&gt;AK$252,MIN(AK112-AK$252,AK56),0)*AK25*AK$253+(AK83-IF(AK112&gt;AK$252,MIN(AK112-AK$252,AK56),0)*AK25)*AK$251</f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25">
        <f t="shared" si="378"/>
        <v>0</v>
      </c>
      <c s="166"/>
    </row>
    <row r="270" spans="2:66" ht="15" customHeight="1" hidden="1">
      <c r="B270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79" ref="E270:AJ270">IF(E113&gt;E$252,MIN(E113-E$252,E57),0)*E26*E$253+(E84-IF(E113&gt;E$252,MIN(E113-E$252,E57),0)*E26)*E$251</f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79"/>
        <v>0</v>
      </c>
      <c s="125">
        <f t="shared" si="380" ref="AK270:BM270">IF(AK113&gt;AK$252,MIN(AK113-AK$252,AK57),0)*AK26*AK$253+(AK84-IF(AK113&gt;AK$252,MIN(AK113-AK$252,AK57),0)*AK26)*AK$251</f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25">
        <f t="shared" si="380"/>
        <v>0</v>
      </c>
      <c s="166"/>
    </row>
    <row r="271" spans="2:66" ht="15" customHeight="1" hidden="1">
      <c r="B271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81" ref="E271:AJ271">IF(E114&gt;E$252,MIN(E114-E$252,E58),0)*E27*E$253+(E85-IF(E114&gt;E$252,MIN(E114-E$252,E58),0)*E27)*E$251</f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1"/>
        <v>0</v>
      </c>
      <c s="125">
        <f t="shared" si="382" ref="AK271:BM271">IF(AK114&gt;AK$252,MIN(AK114-AK$252,AK58),0)*AK27*AK$253+(AK85-IF(AK114&gt;AK$252,MIN(AK114-AK$252,AK58),0)*AK27)*AK$251</f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25">
        <f t="shared" si="382"/>
        <v>0</v>
      </c>
      <c s="166"/>
    </row>
    <row r="272" spans="2:66" ht="15" customHeight="1" hidden="1">
      <c r="B272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83" ref="E272:AJ272">IF(E115&gt;E$252,MIN(E115-E$252,E59),0)*E28*E$253+(E86-IF(E115&gt;E$252,MIN(E115-E$252,E59),0)*E28)*E$251</f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3"/>
        <v>0</v>
      </c>
      <c s="125">
        <f t="shared" si="384" ref="AK272:BM272">IF(AK115&gt;AK$252,MIN(AK115-AK$252,AK59),0)*AK28*AK$253+(AK86-IF(AK115&gt;AK$252,MIN(AK115-AK$252,AK59),0)*AK28)*AK$251</f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25">
        <f t="shared" si="384"/>
        <v>0</v>
      </c>
      <c s="166"/>
    </row>
    <row r="273" spans="2:66" ht="15" customHeight="1" hidden="1">
      <c r="B273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85" ref="E273:AJ273">IF(E116&gt;E$252,MIN(E116-E$252,E60),0)*E29*E$253+(E87-IF(E116&gt;E$252,MIN(E116-E$252,E60),0)*E29)*E$251</f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5"/>
        <v>0</v>
      </c>
      <c s="125">
        <f t="shared" si="386" ref="AK273:BM273">IF(AK116&gt;AK$252,MIN(AK116-AK$252,AK60),0)*AK29*AK$253+(AK87-IF(AK116&gt;AK$252,MIN(AK116-AK$252,AK60),0)*AK29)*AK$251</f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25">
        <f t="shared" si="386"/>
        <v>0</v>
      </c>
      <c s="166"/>
    </row>
    <row r="274" spans="2:66" ht="15" customHeight="1" hidden="1">
      <c r="B274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87" ref="E274:AJ274">IF(E117&gt;E$252,MIN(E117-E$252,E61),0)*E30*E$253+(E88-IF(E117&gt;E$252,MIN(E117-E$252,E61),0)*E30)*E$251</f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7"/>
        <v>0</v>
      </c>
      <c s="125">
        <f t="shared" si="388" ref="AK274:BM274">IF(AK117&gt;AK$252,MIN(AK117-AK$252,AK61),0)*AK30*AK$253+(AK88-IF(AK117&gt;AK$252,MIN(AK117-AK$252,AK61),0)*AK30)*AK$251</f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25">
        <f t="shared" si="388"/>
        <v>0</v>
      </c>
      <c s="166"/>
    </row>
    <row r="275" spans="2:66" ht="15" customHeight="1" hidden="1">
      <c r="B275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89" ref="E275:AJ275">IF(E118&gt;E$252,MIN(E118-E$252,E62),0)*E31*E$253+(E89-IF(E118&gt;E$252,MIN(E118-E$252,E62),0)*E31)*E$251</f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90" ref="AK275:BM275">IF(AK118&gt;AK$252,MIN(AK118-AK$252,AK62),0)*AK31*AK$253+(AK89-IF(AK118&gt;AK$252,MIN(AK118-AK$252,AK62),0)*AK31)*AK$251</f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25">
        <f t="shared" si="390"/>
        <v>0</v>
      </c>
      <c s="166"/>
    </row>
    <row r="276" spans="2:66" ht="15" customHeight="1" hidden="1">
      <c r="B276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91" ref="E276:AJ276">IF(E119&gt;E$252,MIN(E119-E$252,E63),0)*E32*E$253+(E90-IF(E119&gt;E$252,MIN(E119-E$252,E63),0)*E32)*E$251</f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1"/>
        <v>0</v>
      </c>
      <c s="125">
        <f t="shared" si="392" ref="AK276:BM276">IF(AK119&gt;AK$252,MIN(AK119-AK$252,AK63),0)*AK32*AK$253+(AK90-IF(AK119&gt;AK$252,MIN(AK119-AK$252,AK63),0)*AK32)*AK$251</f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25">
        <f t="shared" si="392"/>
        <v>0</v>
      </c>
      <c s="166"/>
    </row>
    <row r="277" spans="2:66" ht="15" customHeight="1" hidden="1">
      <c r="B277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93" ref="E277:AJ277">IF(E120&gt;E$252,MIN(E120-E$252,E64),0)*E33*E$253+(E91-IF(E120&gt;E$252,MIN(E120-E$252,E64),0)*E33)*E$251</f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3"/>
        <v>0</v>
      </c>
      <c s="125">
        <f t="shared" si="394" ref="AK277:BM277">IF(AK120&gt;AK$252,MIN(AK120-AK$252,AK64),0)*AK33*AK$253+(AK91-IF(AK120&gt;AK$252,MIN(AK120-AK$252,AK64),0)*AK33)*AK$251</f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25">
        <f t="shared" si="394"/>
        <v>0</v>
      </c>
      <c s="166"/>
    </row>
    <row r="278" spans="2:66" ht="15" customHeight="1" hidden="1">
      <c r="B278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95" ref="E278:AJ278">IF(E121&gt;E$252,MIN(E121-E$252,E65),0)*E34*E$253+(E92-IF(E121&gt;E$252,MIN(E121-E$252,E65),0)*E34)*E$251</f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5"/>
        <v>0</v>
      </c>
      <c s="125">
        <f t="shared" si="396" ref="AK278:BM278">IF(AK121&gt;AK$252,MIN(AK121-AK$252,AK65),0)*AK34*AK$253+(AK92-IF(AK121&gt;AK$252,MIN(AK121-AK$252,AK65),0)*AK34)*AK$251</f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25">
        <f t="shared" si="396"/>
        <v>0</v>
      </c>
      <c s="166"/>
    </row>
    <row r="279" spans="2:66" ht="15" customHeight="1" hidden="1">
      <c r="B279" s="12" t="str">
        <f t="shared" si="349"/>
        <v>-</v>
      </c>
      <c s="124" t="str">
        <f t="shared" si="346"/>
        <v>тыс. руб.</v>
      </c>
      <c s="276">
        <f t="shared" si="350"/>
        <v>0</v>
      </c>
      <c s="125">
        <f t="shared" si="397" ref="E279:AJ279">IF(E122&gt;E$252,MIN(E122-E$252,E66),0)*E35*E$253+(E93-IF(E122&gt;E$252,MIN(E122-E$252,E66),0)*E35)*E$251</f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7"/>
        <v>0</v>
      </c>
      <c s="125">
        <f t="shared" si="398" ref="AK279:BM279">IF(AK122&gt;AK$252,MIN(AK122-AK$252,AK66),0)*AK35*AK$253+(AK93-IF(AK122&gt;AK$252,MIN(AK122-AK$252,AK66),0)*AK35)*AK$251</f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25">
        <f t="shared" si="398"/>
        <v>0</v>
      </c>
      <c s="166"/>
    </row>
    <row r="280" spans="2:66" ht="15" customHeight="1" hidden="1">
      <c r="B280" s="289" t="s">
        <v>454</v>
      </c>
      <c s="290" t="str">
        <f t="shared" si="346"/>
        <v>тыс. руб.</v>
      </c>
      <c s="291">
        <f>SUM(D255:D279)</f>
        <v>0</v>
      </c>
      <c s="276">
        <f>SUM(E255:E279)</f>
        <v>0</v>
      </c>
      <c s="276">
        <f t="shared" si="399" ref="F280:AG280">SUM(F255:F279)</f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399"/>
        <v>0</v>
      </c>
      <c s="276">
        <f t="shared" si="400" ref="AH280:BM280">SUM(AH255:AH279)</f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276">
        <f t="shared" si="400"/>
        <v>0</v>
      </c>
      <c s="167"/>
    </row>
    <row r="281" ht="15" customHeight="1"/>
    <row r="282" spans="2:70" ht="14.45">
      <c r="B282" s="25" t="s">
        <v>884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3" spans="2:66" ht="15" customHeight="1">
      <c r="B283" s="12" t="s">
        <v>255</v>
      </c>
      <c s="124" t="s">
        <v>817</v>
      </c>
      <c s="125"/>
      <c s="126">
        <f>LOOKUP(YEAR(E$8),Предпосылки!$C$507:$R$507,Ставки_До_ФСС)</f>
        <v>0.002</v>
      </c>
      <c s="126">
        <f>LOOKUP(YEAR(F$8),Предпосылки!$C$507:$R$507,Ставки_До_ФСС)</f>
        <v>0.002</v>
      </c>
      <c s="126">
        <f>LOOKUP(YEAR(G$8),Предпосылки!$C$507:$R$507,Ставки_До_ФСС)</f>
        <v>0.002</v>
      </c>
      <c s="126">
        <f>LOOKUP(YEAR(H$8),Предпосылки!$C$507:$R$507,Ставки_До_ФСС)</f>
        <v>0.002</v>
      </c>
      <c s="126">
        <f>LOOKUP(YEAR(I$8),Предпосылки!$C$507:$R$507,Ставки_До_ФСС)</f>
        <v>0.002</v>
      </c>
      <c s="126">
        <f>LOOKUP(YEAR(J$8),Предпосылки!$C$507:$R$507,Ставки_До_ФСС)</f>
        <v>0.002</v>
      </c>
      <c s="126">
        <f>LOOKUP(YEAR(K$8),Предпосылки!$C$507:$R$507,Ставки_До_ФСС)</f>
        <v>0.002</v>
      </c>
      <c s="126">
        <f>LOOKUP(YEAR(L$8),Предпосылки!$C$507:$R$507,Ставки_До_ФСС)</f>
        <v>0.002</v>
      </c>
      <c s="126">
        <f>LOOKUP(YEAR(M$8),Предпосылки!$C$507:$R$507,Ставки_До_ФСС)</f>
        <v>0.002</v>
      </c>
      <c s="126">
        <f>LOOKUP(YEAR(N$8),Предпосылки!$C$507:$R$507,Ставки_До_ФСС)</f>
        <v>0.002</v>
      </c>
      <c s="126">
        <f>LOOKUP(YEAR(O$8),Предпосылки!$C$507:$R$507,Ставки_До_ФСС)</f>
        <v>0.002</v>
      </c>
      <c s="126">
        <f>LOOKUP(YEAR(P$8),Предпосылки!$C$507:$R$507,Ставки_До_ФСС)</f>
        <v>0.002</v>
      </c>
      <c s="126">
        <f>LOOKUP(YEAR(Q$8),Предпосылки!$C$507:$R$507,Ставки_До_ФСС)</f>
        <v>0.002</v>
      </c>
      <c s="126">
        <f>LOOKUP(YEAR(R$8),Предпосылки!$C$507:$R$507,Ставки_До_ФСС)</f>
        <v>0.002</v>
      </c>
      <c s="126">
        <f>LOOKUP(YEAR(S$8),Предпосылки!$C$507:$R$507,Ставки_До_ФСС)</f>
        <v>0.002</v>
      </c>
      <c s="126">
        <f>LOOKUP(YEAR(T$8),Предпосылки!$C$507:$R$507,Ставки_До_ФСС)</f>
        <v>0.002</v>
      </c>
      <c s="126">
        <f>LOOKUP(YEAR(U$8),Предпосылки!$C$507:$R$507,Ставки_До_ФСС)</f>
        <v>0.002</v>
      </c>
      <c s="126">
        <f>LOOKUP(YEAR(V$8),Предпосылки!$C$507:$R$507,Ставки_До_ФСС)</f>
        <v>0.002</v>
      </c>
      <c s="126">
        <f>LOOKUP(YEAR(W$8),Предпосылки!$C$507:$R$507,Ставки_До_ФСС)</f>
        <v>0.002</v>
      </c>
      <c s="126">
        <f>LOOKUP(YEAR(X$8),Предпосылки!$C$507:$R$507,Ставки_До_ФСС)</f>
        <v>0.002</v>
      </c>
      <c s="126">
        <f>LOOKUP(YEAR(Y$8),Предпосылки!$C$507:$R$507,Ставки_До_ФСС)</f>
        <v>0.002</v>
      </c>
      <c s="126">
        <f>LOOKUP(YEAR(Z$8),Предпосылки!$C$507:$R$507,Ставки_До_ФСС)</f>
        <v>0.002</v>
      </c>
      <c s="126">
        <f>LOOKUP(YEAR(AA$8),Предпосылки!$C$507:$R$507,Ставки_До_ФСС)</f>
        <v>0.002</v>
      </c>
      <c s="126">
        <f>LOOKUP(YEAR(AB$8),Предпосылки!$C$507:$R$507,Ставки_До_ФСС)</f>
        <v>0.002</v>
      </c>
      <c s="126">
        <f>LOOKUP(YEAR(AC$8),Предпосылки!$C$507:$R$507,Ставки_До_ФСС)</f>
        <v>0.002</v>
      </c>
      <c s="126">
        <f>LOOKUP(YEAR(AD$8),Предпосылки!$C$507:$R$507,Ставки_До_ФСС)</f>
        <v>0.002</v>
      </c>
      <c s="126">
        <f>LOOKUP(YEAR(AE$8),Предпосылки!$C$507:$R$507,Ставки_До_ФСС)</f>
        <v>0.002</v>
      </c>
      <c s="126">
        <f>LOOKUP(YEAR(AF$8),Предпосылки!$C$507:$R$507,Ставки_До_ФСС)</f>
        <v>0.002</v>
      </c>
      <c s="126">
        <f>LOOKUP(YEAR(AG$8),Предпосылки!$C$507:$R$507,Ставки_До_ФСС)</f>
        <v>0.002</v>
      </c>
      <c s="126">
        <f>LOOKUP(YEAR(AH$8),Предпосылки!$C$507:$R$507,Ставки_До_ФСС)</f>
        <v>0.002</v>
      </c>
      <c s="126">
        <f>LOOKUP(YEAR(AI$8),Предпосылки!$C$507:$R$507,Ставки_До_ФСС)</f>
        <v>0.002</v>
      </c>
      <c s="126">
        <f>LOOKUP(YEAR(AJ$8),Предпосылки!$C$507:$R$507,Ставки_До_ФСС)</f>
        <v>0.002</v>
      </c>
      <c s="126">
        <f>LOOKUP(YEAR(AK$8),Предпосылки!$C$507:$R$507,Ставки_До_ФСС)</f>
        <v>0.002</v>
      </c>
      <c s="126">
        <f>LOOKUP(YEAR(AL$8),Предпосылки!$C$507:$R$507,Ставки_До_ФСС)</f>
        <v>0.002</v>
      </c>
      <c s="126">
        <f>LOOKUP(YEAR(AM$8),Предпосылки!$C$507:$R$507,Ставки_До_ФСС)</f>
        <v>0.002</v>
      </c>
      <c s="126">
        <f>LOOKUP(YEAR(AN$8),Предпосылки!$C$507:$R$507,Ставки_До_ФСС)</f>
        <v>0.002</v>
      </c>
      <c s="126">
        <f>LOOKUP(YEAR(AO$8),Предпосылки!$C$507:$R$507,Ставки_До_ФСС)</f>
        <v>0.002</v>
      </c>
      <c s="126">
        <f>LOOKUP(YEAR(AP$8),Предпосылки!$C$507:$R$507,Ставки_До_ФСС)</f>
        <v>0.002</v>
      </c>
      <c s="126">
        <f>LOOKUP(YEAR(AQ$8),Предпосылки!$C$507:$R$507,Ставки_До_ФСС)</f>
        <v>0.002</v>
      </c>
      <c s="126">
        <f>LOOKUP(YEAR(AR$8),Предпосылки!$C$507:$R$507,Ставки_До_ФСС)</f>
        <v>0.002</v>
      </c>
      <c s="126">
        <f>LOOKUP(YEAR(AS$8),Предпосылки!$C$507:$R$507,Ставки_До_ФСС)</f>
        <v>0.002</v>
      </c>
      <c s="126">
        <f>LOOKUP(YEAR(AT$8),Предпосылки!$C$507:$R$507,Ставки_До_ФСС)</f>
        <v>0.002</v>
      </c>
      <c s="126">
        <f>LOOKUP(YEAR(AU$8),Предпосылки!$C$507:$R$507,Ставки_До_ФСС)</f>
        <v>0.002</v>
      </c>
      <c s="126">
        <f>LOOKUP(YEAR(AV$8),Предпосылки!$C$507:$R$507,Ставки_До_ФСС)</f>
        <v>0.002</v>
      </c>
      <c s="126">
        <f>LOOKUP(YEAR(AW$8),Предпосылки!$C$507:$R$507,Ставки_До_ФСС)</f>
        <v>0.002</v>
      </c>
      <c s="126">
        <f>LOOKUP(YEAR(AX$8),Предпосылки!$C$507:$R$507,Ставки_До_ФСС)</f>
        <v>0.002</v>
      </c>
      <c s="126">
        <f>LOOKUP(YEAR(AY$8),Предпосылки!$C$507:$R$507,Ставки_До_ФСС)</f>
        <v>0.002</v>
      </c>
      <c s="126">
        <f>LOOKUP(YEAR(AZ$8),Предпосылки!$C$507:$R$507,Ставки_До_ФСС)</f>
        <v>0.002</v>
      </c>
      <c s="126">
        <f>LOOKUP(YEAR(BA$8),Предпосылки!$C$507:$R$507,Ставки_До_ФСС)</f>
        <v>0.002</v>
      </c>
      <c s="126">
        <f>LOOKUP(YEAR(BB$8),Предпосылки!$C$507:$R$507,Ставки_До_ФСС)</f>
        <v>0.002</v>
      </c>
      <c s="126">
        <f>LOOKUP(YEAR(BC$8),Предпосылки!$C$507:$R$507,Ставки_До_ФСС)</f>
        <v>0.002</v>
      </c>
      <c s="126">
        <f>LOOKUP(YEAR(BD$8),Предпосылки!$C$507:$R$507,Ставки_До_ФСС)</f>
        <v>0.002</v>
      </c>
      <c s="126">
        <f>LOOKUP(YEAR(BE$8),Предпосылки!$C$507:$R$507,Ставки_До_ФСС)</f>
        <v>0.002</v>
      </c>
      <c s="126">
        <f>LOOKUP(YEAR(BF$8),Предпосылки!$C$507:$R$507,Ставки_До_ФСС)</f>
        <v>0.002</v>
      </c>
      <c s="126">
        <f>LOOKUP(YEAR(BG$8),Предпосылки!$C$507:$R$507,Ставки_До_ФСС)</f>
        <v>0.002</v>
      </c>
      <c s="126">
        <f>LOOKUP(YEAR(BH$8),Предпосылки!$C$507:$R$507,Ставки_До_ФСС)</f>
        <v>0.002</v>
      </c>
      <c s="126">
        <f>LOOKUP(YEAR(BI$8),Предпосылки!$C$507:$R$507,Ставки_До_ФСС)</f>
        <v>0.002</v>
      </c>
      <c s="126">
        <f>LOOKUP(YEAR(BJ$8),Предпосылки!$C$507:$R$507,Ставки_До_ФСС)</f>
        <v>0.002</v>
      </c>
      <c s="126">
        <f>LOOKUP(YEAR(BK$8),Предпосылки!$C$507:$R$507,Ставки_До_ФСС)</f>
        <v>0.002</v>
      </c>
      <c s="126">
        <f>LOOKUP(YEAR(BL$8),Предпосылки!$C$507:$R$507,Ставки_До_ФСС)</f>
        <v>0.002</v>
      </c>
      <c s="126">
        <f>LOOKUP(YEAR(BM$8),Предпосылки!$C$507:$R$507,Ставки_До_ФСС)</f>
        <v>0.002</v>
      </c>
      <c s="168"/>
    </row>
    <row r="284" spans="2:66" ht="15" customHeight="1">
      <c r="B284" s="12" t="s">
        <v>264</v>
      </c>
      <c s="124" t="str">
        <f>Единица_измерения</f>
        <v>тыс. руб.</v>
      </c>
      <c s="125"/>
      <c s="125">
        <f>LOOKUP(YEAR(E$8),Предпосылки!$C$520:$R$520,Предпосылки!$C$524:$R$524)</f>
        <v>0</v>
      </c>
      <c s="125">
        <f>LOOKUP(YEAR(F$8),Предпосылки!$C$520:$R$520,Предпосылки!$C$524:$R$524)</f>
        <v>0</v>
      </c>
      <c s="125">
        <f>LOOKUP(YEAR(G$8),Предпосылки!$C$520:$R$520,Предпосылки!$C$524:$R$524)</f>
        <v>0</v>
      </c>
      <c s="125">
        <f>LOOKUP(YEAR(H$8),Предпосылки!$C$520:$R$520,Предпосылки!$C$524:$R$524)</f>
        <v>0</v>
      </c>
      <c s="125">
        <f>LOOKUP(YEAR(I$8),Предпосылки!$C$520:$R$520,Предпосылки!$C$524:$R$524)</f>
        <v>0</v>
      </c>
      <c s="125">
        <f>LOOKUP(YEAR(J$8),Предпосылки!$C$520:$R$520,Предпосылки!$C$524:$R$524)</f>
        <v>0</v>
      </c>
      <c s="125">
        <f>LOOKUP(YEAR(K$8),Предпосылки!$C$520:$R$520,Предпосылки!$C$524:$R$524)</f>
        <v>0</v>
      </c>
      <c s="125">
        <f>LOOKUP(YEAR(L$8),Предпосылки!$C$520:$R$520,Предпосылки!$C$524:$R$524)</f>
        <v>0</v>
      </c>
      <c s="125">
        <f>LOOKUP(YEAR(M$8),Предпосылки!$C$520:$R$520,Предпосылки!$C$524:$R$524)</f>
        <v>0</v>
      </c>
      <c s="125">
        <f>LOOKUP(YEAR(N$8),Предпосылки!$C$520:$R$520,Предпосылки!$C$524:$R$524)</f>
        <v>0</v>
      </c>
      <c s="125">
        <f>LOOKUP(YEAR(O$8),Предпосылки!$C$520:$R$520,Предпосылки!$C$524:$R$524)</f>
        <v>0</v>
      </c>
      <c s="125">
        <f>LOOKUP(YEAR(P$8),Предпосылки!$C$520:$R$520,Предпосылки!$C$524:$R$524)</f>
        <v>0</v>
      </c>
      <c s="125">
        <f>LOOKUP(YEAR(Q$8),Предпосылки!$C$520:$R$520,Предпосылки!$C$524:$R$524)</f>
        <v>0</v>
      </c>
      <c s="125">
        <f>LOOKUP(YEAR(R$8),Предпосылки!$C$520:$R$520,Предпосылки!$C$524:$R$524)</f>
        <v>0</v>
      </c>
      <c s="125">
        <f>LOOKUP(YEAR(S$8),Предпосылки!$C$520:$R$520,Предпосылки!$C$524:$R$524)</f>
        <v>0</v>
      </c>
      <c s="125">
        <f>LOOKUP(YEAR(T$8),Предпосылки!$C$520:$R$520,Предпосылки!$C$524:$R$524)</f>
        <v>0</v>
      </c>
      <c s="125">
        <f>LOOKUP(YEAR(U$8),Предпосылки!$C$520:$R$520,Предпосылки!$C$524:$R$524)</f>
        <v>0</v>
      </c>
      <c s="125">
        <f>LOOKUP(YEAR(V$8),Предпосылки!$C$520:$R$520,Предпосылки!$C$524:$R$524)</f>
        <v>0</v>
      </c>
      <c s="125">
        <f>LOOKUP(YEAR(W$8),Предпосылки!$C$520:$R$520,Предпосылки!$C$524:$R$524)</f>
        <v>0</v>
      </c>
      <c s="125">
        <f>LOOKUP(YEAR(X$8),Предпосылки!$C$520:$R$520,Предпосылки!$C$524:$R$524)</f>
        <v>0</v>
      </c>
      <c s="125">
        <f>LOOKUP(YEAR(Y$8),Предпосылки!$C$520:$R$520,Предпосылки!$C$524:$R$524)</f>
        <v>0</v>
      </c>
      <c s="125">
        <f>LOOKUP(YEAR(Z$8),Предпосылки!$C$520:$R$520,Предпосылки!$C$524:$R$524)</f>
        <v>0</v>
      </c>
      <c s="125">
        <f>LOOKUP(YEAR(AA$8),Предпосылки!$C$520:$R$520,Предпосылки!$C$524:$R$524)</f>
        <v>0</v>
      </c>
      <c s="125">
        <f>LOOKUP(YEAR(AB$8),Предпосылки!$C$520:$R$520,Предпосылки!$C$524:$R$524)</f>
        <v>0</v>
      </c>
      <c s="125">
        <f>LOOKUP(YEAR(AC$8),Предпосылки!$C$520:$R$520,Предпосылки!$C$524:$R$524)</f>
        <v>0</v>
      </c>
      <c s="125">
        <f>LOOKUP(YEAR(AD$8),Предпосылки!$C$520:$R$520,Предпосылки!$C$524:$R$524)</f>
        <v>0</v>
      </c>
      <c s="125">
        <f>LOOKUP(YEAR(AE$8),Предпосылки!$C$520:$R$520,Предпосылки!$C$524:$R$524)</f>
        <v>0</v>
      </c>
      <c s="125">
        <f>LOOKUP(YEAR(AF$8),Предпосылки!$C$520:$R$520,Предпосылки!$C$524:$R$524)</f>
        <v>0</v>
      </c>
      <c s="125">
        <f>LOOKUP(YEAR(AG$8),Предпосылки!$C$520:$R$520,Предпосылки!$C$524:$R$524)</f>
        <v>0</v>
      </c>
      <c s="125">
        <f>LOOKUP(YEAR(AH$8),Предпосылки!$C$520:$R$520,Предпосылки!$C$524:$R$524)</f>
        <v>0</v>
      </c>
      <c s="125">
        <f>LOOKUP(YEAR(AI$8),Предпосылки!$C$520:$R$520,Предпосылки!$C$524:$R$524)</f>
        <v>0</v>
      </c>
      <c s="125">
        <f>LOOKUP(YEAR(AJ$8),Предпосылки!$C$520:$R$520,Предпосылки!$C$524:$R$524)</f>
        <v>0</v>
      </c>
      <c s="125">
        <f>LOOKUP(YEAR(AK$8),Предпосылки!$C$520:$R$520,Предпосылки!$C$524:$R$524)</f>
        <v>0</v>
      </c>
      <c s="125">
        <f>LOOKUP(YEAR(AL$8),Предпосылки!$C$520:$R$520,Предпосылки!$C$524:$R$524)</f>
        <v>0</v>
      </c>
      <c s="125">
        <f>LOOKUP(YEAR(AM$8),Предпосылки!$C$520:$R$520,Предпосылки!$C$524:$R$524)</f>
        <v>0</v>
      </c>
      <c s="125">
        <f>LOOKUP(YEAR(AN$8),Предпосылки!$C$520:$R$520,Предпосылки!$C$524:$R$524)</f>
        <v>0</v>
      </c>
      <c s="125">
        <f>LOOKUP(YEAR(AO$8),Предпосылки!$C$520:$R$520,Предпосылки!$C$524:$R$524)</f>
        <v>0</v>
      </c>
      <c s="125">
        <f>LOOKUP(YEAR(AP$8),Предпосылки!$C$520:$R$520,Предпосылки!$C$524:$R$524)</f>
        <v>0</v>
      </c>
      <c s="125">
        <f>LOOKUP(YEAR(AQ$8),Предпосылки!$C$520:$R$520,Предпосылки!$C$524:$R$524)</f>
        <v>0</v>
      </c>
      <c s="125">
        <f>LOOKUP(YEAR(AR$8),Предпосылки!$C$520:$R$520,Предпосылки!$C$524:$R$524)</f>
        <v>0</v>
      </c>
      <c s="125">
        <f>LOOKUP(YEAR(AS$8),Предпосылки!$C$520:$R$520,Предпосылки!$C$524:$R$524)</f>
        <v>0</v>
      </c>
      <c s="125">
        <f>LOOKUP(YEAR(AT$8),Предпосылки!$C$520:$R$520,Предпосылки!$C$524:$R$524)</f>
        <v>0</v>
      </c>
      <c s="125">
        <f>LOOKUP(YEAR(AU$8),Предпосылки!$C$520:$R$520,Предпосылки!$C$524:$R$524)</f>
        <v>0</v>
      </c>
      <c s="125">
        <f>LOOKUP(YEAR(AV$8),Предпосылки!$C$520:$R$520,Предпосылки!$C$524:$R$524)</f>
        <v>0</v>
      </c>
      <c s="125">
        <f>LOOKUP(YEAR(AW$8),Предпосылки!$C$520:$R$520,Предпосылки!$C$524:$R$524)</f>
        <v>0</v>
      </c>
      <c s="125">
        <f>LOOKUP(YEAR(AX$8),Предпосылки!$C$520:$R$520,Предпосылки!$C$524:$R$524)</f>
        <v>0</v>
      </c>
      <c s="125">
        <f>LOOKUP(YEAR(AY$8),Предпосылки!$C$520:$R$520,Предпосылки!$C$524:$R$524)</f>
        <v>0</v>
      </c>
      <c s="125">
        <f>LOOKUP(YEAR(AZ$8),Предпосылки!$C$520:$R$520,Предпосылки!$C$524:$R$524)</f>
        <v>0</v>
      </c>
      <c s="125">
        <f>LOOKUP(YEAR(BA$8),Предпосылки!$C$520:$R$520,Предпосылки!$C$524:$R$524)</f>
        <v>0</v>
      </c>
      <c s="125">
        <f>LOOKUP(YEAR(BB$8),Предпосылки!$C$520:$R$520,Предпосылки!$C$524:$R$524)</f>
        <v>0</v>
      </c>
      <c s="125">
        <f>LOOKUP(YEAR(BC$8),Предпосылки!$C$520:$R$520,Предпосылки!$C$524:$R$524)</f>
        <v>0</v>
      </c>
      <c s="125">
        <f>LOOKUP(YEAR(BD$8),Предпосылки!$C$520:$R$520,Предпосылки!$C$524:$R$524)</f>
        <v>0</v>
      </c>
      <c s="125">
        <f>LOOKUP(YEAR(BE$8),Предпосылки!$C$520:$R$520,Предпосылки!$C$524:$R$524)</f>
        <v>0</v>
      </c>
      <c s="125">
        <f>LOOKUP(YEAR(BF$8),Предпосылки!$C$520:$R$520,Предпосылки!$C$524:$R$524)</f>
        <v>0</v>
      </c>
      <c s="125">
        <f>LOOKUP(YEAR(BG$8),Предпосылки!$C$520:$R$520,Предпосылки!$C$524:$R$524)</f>
        <v>0</v>
      </c>
      <c s="125">
        <f>LOOKUP(YEAR(BH$8),Предпосылки!$C$520:$R$520,Предпосылки!$C$524:$R$524)</f>
        <v>0</v>
      </c>
      <c s="125">
        <f>LOOKUP(YEAR(BI$8),Предпосылки!$C$520:$R$520,Предпосылки!$C$524:$R$524)</f>
        <v>0</v>
      </c>
      <c s="125">
        <f>LOOKUP(YEAR(BJ$8),Предпосылки!$C$520:$R$520,Предпосылки!$C$524:$R$524)</f>
        <v>0</v>
      </c>
      <c s="125">
        <f>LOOKUP(YEAR(BK$8),Предпосылки!$C$520:$R$520,Предпосылки!$C$524:$R$524)</f>
        <v>0</v>
      </c>
      <c s="125">
        <f>LOOKUP(YEAR(BL$8),Предпосылки!$C$520:$R$520,Предпосылки!$C$524:$R$524)</f>
        <v>0</v>
      </c>
      <c s="125">
        <f>LOOKUP(YEAR(BM$8),Предпосылки!$C$520:$R$520,Предпосылки!$C$524:$R$524)</f>
        <v>0</v>
      </c>
      <c s="166"/>
    </row>
    <row r="285" spans="2:66" ht="15" customHeight="1">
      <c r="B285" s="12" t="s">
        <v>267</v>
      </c>
      <c s="124" t="s">
        <v>817</v>
      </c>
      <c s="125"/>
      <c s="126">
        <f>LOOKUP(YEAR(E$8),Предпосылки!$C$527:$R$527,Ставки_После_ФСС)</f>
        <v>0.002</v>
      </c>
      <c s="126">
        <f>LOOKUP(YEAR(F$8),Предпосылки!$C$527:$R$527,Ставки_После_ФСС)</f>
        <v>0.002</v>
      </c>
      <c s="126">
        <f>LOOKUP(YEAR(G$8),Предпосылки!$C$527:$R$527,Ставки_После_ФСС)</f>
        <v>0.002</v>
      </c>
      <c s="126">
        <f>LOOKUP(YEAR(H$8),Предпосылки!$C$527:$R$527,Ставки_После_ФСС)</f>
        <v>0.002</v>
      </c>
      <c s="126">
        <f>LOOKUP(YEAR(I$8),Предпосылки!$C$527:$R$527,Ставки_После_ФСС)</f>
        <v>0.002</v>
      </c>
      <c s="126">
        <f>LOOKUP(YEAR(J$8),Предпосылки!$C$527:$R$527,Ставки_После_ФСС)</f>
        <v>0.002</v>
      </c>
      <c s="126">
        <f>LOOKUP(YEAR(K$8),Предпосылки!$C$527:$R$527,Ставки_После_ФСС)</f>
        <v>0.002</v>
      </c>
      <c s="126">
        <f>LOOKUP(YEAR(L$8),Предпосылки!$C$527:$R$527,Ставки_После_ФСС)</f>
        <v>0.002</v>
      </c>
      <c s="126">
        <f>LOOKUP(YEAR(M$8),Предпосылки!$C$527:$R$527,Ставки_После_ФСС)</f>
        <v>0.002</v>
      </c>
      <c s="126">
        <f>LOOKUP(YEAR(N$8),Предпосылки!$C$527:$R$527,Ставки_После_ФСС)</f>
        <v>0.002</v>
      </c>
      <c s="126">
        <f>LOOKUP(YEAR(O$8),Предпосылки!$C$527:$R$527,Ставки_После_ФСС)</f>
        <v>0.002</v>
      </c>
      <c s="126">
        <f>LOOKUP(YEAR(P$8),Предпосылки!$C$527:$R$527,Ставки_После_ФСС)</f>
        <v>0.002</v>
      </c>
      <c s="126">
        <f>LOOKUP(YEAR(Q$8),Предпосылки!$C$527:$R$527,Ставки_После_ФСС)</f>
        <v>0.002</v>
      </c>
      <c s="126">
        <f>LOOKUP(YEAR(R$8),Предпосылки!$C$527:$R$527,Ставки_После_ФСС)</f>
        <v>0.002</v>
      </c>
      <c s="126">
        <f>LOOKUP(YEAR(S$8),Предпосылки!$C$527:$R$527,Ставки_После_ФСС)</f>
        <v>0.002</v>
      </c>
      <c s="126">
        <f>LOOKUP(YEAR(T$8),Предпосылки!$C$527:$R$527,Ставки_После_ФСС)</f>
        <v>0.002</v>
      </c>
      <c s="126">
        <f>LOOKUP(YEAR(U$8),Предпосылки!$C$527:$R$527,Ставки_После_ФСС)</f>
        <v>0.002</v>
      </c>
      <c s="126">
        <f>LOOKUP(YEAR(V$8),Предпосылки!$C$527:$R$527,Ставки_После_ФСС)</f>
        <v>0.002</v>
      </c>
      <c s="126">
        <f>LOOKUP(YEAR(W$8),Предпосылки!$C$527:$R$527,Ставки_После_ФСС)</f>
        <v>0.002</v>
      </c>
      <c s="126">
        <f>LOOKUP(YEAR(X$8),Предпосылки!$C$527:$R$527,Ставки_После_ФСС)</f>
        <v>0.002</v>
      </c>
      <c s="126">
        <f>LOOKUP(YEAR(Y$8),Предпосылки!$C$527:$R$527,Ставки_После_ФСС)</f>
        <v>0.002</v>
      </c>
      <c s="126">
        <f>LOOKUP(YEAR(Z$8),Предпосылки!$C$527:$R$527,Ставки_После_ФСС)</f>
        <v>0.002</v>
      </c>
      <c s="126">
        <f>LOOKUP(YEAR(AA$8),Предпосылки!$C$527:$R$527,Ставки_После_ФСС)</f>
        <v>0.002</v>
      </c>
      <c s="126">
        <f>LOOKUP(YEAR(AB$8),Предпосылки!$C$527:$R$527,Ставки_После_ФСС)</f>
        <v>0.002</v>
      </c>
      <c s="126">
        <f>LOOKUP(YEAR(AC$8),Предпосылки!$C$527:$R$527,Ставки_После_ФСС)</f>
        <v>0.002</v>
      </c>
      <c s="126">
        <f>LOOKUP(YEAR(AD$8),Предпосылки!$C$527:$R$527,Ставки_После_ФСС)</f>
        <v>0.002</v>
      </c>
      <c s="126">
        <f>LOOKUP(YEAR(AE$8),Предпосылки!$C$527:$R$527,Ставки_После_ФСС)</f>
        <v>0.002</v>
      </c>
      <c s="126">
        <f>LOOKUP(YEAR(AF$8),Предпосылки!$C$527:$R$527,Ставки_После_ФСС)</f>
        <v>0.002</v>
      </c>
      <c s="126">
        <f>LOOKUP(YEAR(AG$8),Предпосылки!$C$527:$R$527,Ставки_После_ФСС)</f>
        <v>0.002</v>
      </c>
      <c s="126">
        <f>LOOKUP(YEAR(AH$8),Предпосылки!$C$527:$R$527,Ставки_После_ФСС)</f>
        <v>0.002</v>
      </c>
      <c s="126">
        <f>LOOKUP(YEAR(AI$8),Предпосылки!$C$527:$R$527,Ставки_После_ФСС)</f>
        <v>0.002</v>
      </c>
      <c s="126">
        <f>LOOKUP(YEAR(AJ$8),Предпосылки!$C$527:$R$527,Ставки_После_ФСС)</f>
        <v>0.002</v>
      </c>
      <c s="126">
        <f>LOOKUP(YEAR(AK$8),Предпосылки!$C$527:$R$527,Ставки_После_ФСС)</f>
        <v>0.002</v>
      </c>
      <c s="126">
        <f>LOOKUP(YEAR(AL$8),Предпосылки!$C$527:$R$527,Ставки_После_ФСС)</f>
        <v>0.002</v>
      </c>
      <c s="126">
        <f>LOOKUP(YEAR(AM$8),Предпосылки!$C$527:$R$527,Ставки_После_ФСС)</f>
        <v>0.002</v>
      </c>
      <c s="126">
        <f>LOOKUP(YEAR(AN$8),Предпосылки!$C$527:$R$527,Ставки_После_ФСС)</f>
        <v>0.002</v>
      </c>
      <c s="126">
        <f>LOOKUP(YEAR(AO$8),Предпосылки!$C$527:$R$527,Ставки_После_ФСС)</f>
        <v>0.002</v>
      </c>
      <c s="126">
        <f>LOOKUP(YEAR(AP$8),Предпосылки!$C$527:$R$527,Ставки_После_ФСС)</f>
        <v>0.002</v>
      </c>
      <c s="126">
        <f>LOOKUP(YEAR(AQ$8),Предпосылки!$C$527:$R$527,Ставки_После_ФСС)</f>
        <v>0.002</v>
      </c>
      <c s="126">
        <f>LOOKUP(YEAR(AR$8),Предпосылки!$C$527:$R$527,Ставки_После_ФСС)</f>
        <v>0.002</v>
      </c>
      <c s="126">
        <f>LOOKUP(YEAR(AS$8),Предпосылки!$C$527:$R$527,Ставки_После_ФСС)</f>
        <v>0.002</v>
      </c>
      <c s="126">
        <f>LOOKUP(YEAR(AT$8),Предпосылки!$C$527:$R$527,Ставки_После_ФСС)</f>
        <v>0.002</v>
      </c>
      <c s="126">
        <f>LOOKUP(YEAR(AU$8),Предпосылки!$C$527:$R$527,Ставки_После_ФСС)</f>
        <v>0.002</v>
      </c>
      <c s="126">
        <f>LOOKUP(YEAR(AV$8),Предпосылки!$C$527:$R$527,Ставки_После_ФСС)</f>
        <v>0.002</v>
      </c>
      <c s="126">
        <f>LOOKUP(YEAR(AW$8),Предпосылки!$C$527:$R$527,Ставки_После_ФСС)</f>
        <v>0.002</v>
      </c>
      <c s="126">
        <f>LOOKUP(YEAR(AX$8),Предпосылки!$C$527:$R$527,Ставки_После_ФСС)</f>
        <v>0.002</v>
      </c>
      <c s="126">
        <f>LOOKUP(YEAR(AY$8),Предпосылки!$C$527:$R$527,Ставки_После_ФСС)</f>
        <v>0.002</v>
      </c>
      <c s="126">
        <f>LOOKUP(YEAR(AZ$8),Предпосылки!$C$527:$R$527,Ставки_После_ФСС)</f>
        <v>0.002</v>
      </c>
      <c s="126">
        <f>LOOKUP(YEAR(BA$8),Предпосылки!$C$527:$R$527,Ставки_После_ФСС)</f>
        <v>0.002</v>
      </c>
      <c s="126">
        <f>LOOKUP(YEAR(BB$8),Предпосылки!$C$527:$R$527,Ставки_После_ФСС)</f>
        <v>0.002</v>
      </c>
      <c s="126">
        <f>LOOKUP(YEAR(BC$8),Предпосылки!$C$527:$R$527,Ставки_После_ФСС)</f>
        <v>0.002</v>
      </c>
      <c s="126">
        <f>LOOKUP(YEAR(BD$8),Предпосылки!$C$527:$R$527,Ставки_После_ФСС)</f>
        <v>0.002</v>
      </c>
      <c s="126">
        <f>LOOKUP(YEAR(BE$8),Предпосылки!$C$527:$R$527,Ставки_После_ФСС)</f>
        <v>0.002</v>
      </c>
      <c s="126">
        <f>LOOKUP(YEAR(BF$8),Предпосылки!$C$527:$R$527,Ставки_После_ФСС)</f>
        <v>0.002</v>
      </c>
      <c s="126">
        <f>LOOKUP(YEAR(BG$8),Предпосылки!$C$527:$R$527,Ставки_После_ФСС)</f>
        <v>0.002</v>
      </c>
      <c s="126">
        <f>LOOKUP(YEAR(BH$8),Предпосылки!$C$527:$R$527,Ставки_После_ФСС)</f>
        <v>0.002</v>
      </c>
      <c s="126">
        <f>LOOKUP(YEAR(BI$8),Предпосылки!$C$527:$R$527,Ставки_После_ФСС)</f>
        <v>0.002</v>
      </c>
      <c s="126">
        <f>LOOKUP(YEAR(BJ$8),Предпосылки!$C$527:$R$527,Ставки_После_ФСС)</f>
        <v>0.002</v>
      </c>
      <c s="126">
        <f>LOOKUP(YEAR(BK$8),Предпосылки!$C$527:$R$527,Ставки_После_ФСС)</f>
        <v>0.002</v>
      </c>
      <c s="126">
        <f>LOOKUP(YEAR(BL$8),Предпосылки!$C$527:$R$527,Ставки_После_ФСС)</f>
        <v>0.002</v>
      </c>
      <c s="126">
        <f>LOOKUP(YEAR(BM$8),Предпосылки!$C$527:$R$527,Ставки_После_ФСС)</f>
        <v>0.002</v>
      </c>
      <c s="168"/>
    </row>
    <row r="286" ht="15" customHeight="1"/>
    <row r="287" spans="2:66" ht="15" customHeight="1">
      <c r="B287" s="12" t="str">
        <f>B255</f>
        <v>-</v>
      </c>
      <c s="124" t="str">
        <f t="shared" si="401" ref="C287:C312">Единица_измерения</f>
        <v>тыс. руб.</v>
      </c>
      <c s="276">
        <f>SUM(E287:BM287)</f>
        <v>0</v>
      </c>
      <c s="125">
        <f t="shared" si="402" ref="E287:AJ287">IF(E98&gt;E$284,MIN(E98-E$284,E42),0)*E11*E$285+(E69-IF(E98&gt;E$284,MIN(E98-E$284,E42),0)*E11)*E$283</f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2"/>
        <v>0</v>
      </c>
      <c s="125">
        <f t="shared" si="403" ref="AK287:BM287">IF(AK98&gt;AK$284,MIN(AK98-AK$284,AK42),0)*AK11*AK$285+(AK69-IF(AK98&gt;AK$284,MIN(AK98-AK$284,AK42),0)*AK11)*AK$283</f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25">
        <f t="shared" si="403"/>
        <v>0</v>
      </c>
      <c s="166"/>
    </row>
    <row r="288" spans="2:66" ht="15" customHeight="1">
      <c r="B288" s="12" t="str">
        <f t="shared" si="404" ref="B288:B311">B256</f>
        <v>-</v>
      </c>
      <c s="124" t="str">
        <f t="shared" si="401"/>
        <v>тыс. руб.</v>
      </c>
      <c s="276">
        <f t="shared" si="405" ref="D288:D311">SUM(E288:BM288)</f>
        <v>0</v>
      </c>
      <c s="125">
        <f t="shared" si="406" ref="E288:AJ288">IF(E99&gt;E$284,MIN(E99-E$284,E43),0)*E12*E$285+(E70-IF(E99&gt;E$284,MIN(E99-E$284,E43),0)*E12)*E$283</f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6"/>
        <v>0</v>
      </c>
      <c s="125">
        <f t="shared" si="407" ref="AK288:BM288">IF(AK99&gt;AK$284,MIN(AK99-AK$284,AK43),0)*AK12*AK$285+(AK70-IF(AK99&gt;AK$284,MIN(AK99-AK$284,AK43),0)*AK12)*AK$283</f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25">
        <f t="shared" si="407"/>
        <v>0</v>
      </c>
      <c s="166"/>
    </row>
    <row r="289" spans="2:66" ht="15" customHeight="1">
      <c r="B289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08" ref="E289:AJ289">IF(E100&gt;E$284,MIN(E100-E$284,E44),0)*E13*E$285+(E71-IF(E100&gt;E$284,MIN(E100-E$284,E44),0)*E13)*E$283</f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8"/>
        <v>0</v>
      </c>
      <c s="125">
        <f t="shared" si="409" ref="AK289:BM289">IF(AK100&gt;AK$284,MIN(AK100-AK$284,AK44),0)*AK13*AK$285+(AK71-IF(AK100&gt;AK$284,MIN(AK100-AK$284,AK44),0)*AK13)*AK$283</f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25">
        <f t="shared" si="409"/>
        <v>0</v>
      </c>
      <c s="166"/>
    </row>
    <row r="290" spans="2:66" ht="15" customHeight="1">
      <c r="B290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10" ref="E290:AJ290">IF(E101&gt;E$284,MIN(E101-E$284,E45),0)*E14*E$285+(E72-IF(E101&gt;E$284,MIN(E101-E$284,E45),0)*E14)*E$283</f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0"/>
        <v>0</v>
      </c>
      <c s="125">
        <f t="shared" si="411" ref="AK290:BM290">IF(AK101&gt;AK$284,MIN(AK101-AK$284,AK45),0)*AK14*AK$285+(AK72-IF(AK101&gt;AK$284,MIN(AK101-AK$284,AK45),0)*AK14)*AK$283</f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25">
        <f t="shared" si="411"/>
        <v>0</v>
      </c>
      <c s="166"/>
    </row>
    <row r="291" spans="2:66" ht="15" customHeight="1">
      <c r="B291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12" ref="E291:AJ291">IF(E102&gt;E$284,MIN(E102-E$284,E46),0)*E15*E$285+(E73-IF(E102&gt;E$284,MIN(E102-E$284,E46),0)*E15)*E$283</f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2"/>
        <v>0</v>
      </c>
      <c s="125">
        <f t="shared" si="413" ref="AK291:BM291">IF(AK102&gt;AK$284,MIN(AK102-AK$284,AK46),0)*AK15*AK$285+(AK73-IF(AK102&gt;AK$284,MIN(AK102-AK$284,AK46),0)*AK15)*AK$283</f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25">
        <f t="shared" si="413"/>
        <v>0</v>
      </c>
      <c s="166"/>
    </row>
    <row r="292" spans="2:66" ht="15" customHeight="1">
      <c r="B292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14" ref="E292:AJ292">IF(E103&gt;E$284,MIN(E103-E$284,E47),0)*E16*E$285+(E74-IF(E103&gt;E$284,MIN(E103-E$284,E47),0)*E16)*E$283</f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4"/>
        <v>0</v>
      </c>
      <c s="125">
        <f t="shared" si="415" ref="AK292:BM292">IF(AK103&gt;AK$284,MIN(AK103-AK$284,AK47),0)*AK16*AK$285+(AK74-IF(AK103&gt;AK$284,MIN(AK103-AK$284,AK47),0)*AK16)*AK$283</f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25">
        <f t="shared" si="415"/>
        <v>0</v>
      </c>
      <c s="166"/>
    </row>
    <row r="293" spans="2:66" ht="15" customHeight="1">
      <c r="B293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16" ref="E293:AJ293">IF(E104&gt;E$284,MIN(E104-E$284,E48),0)*E17*E$285+(E75-IF(E104&gt;E$284,MIN(E104-E$284,E48),0)*E17)*E$283</f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6"/>
        <v>0</v>
      </c>
      <c s="125">
        <f t="shared" si="417" ref="AK293:BM293">IF(AK104&gt;AK$284,MIN(AK104-AK$284,AK48),0)*AK17*AK$285+(AK75-IF(AK104&gt;AK$284,MIN(AK104-AK$284,AK48),0)*AK17)*AK$283</f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25">
        <f t="shared" si="417"/>
        <v>0</v>
      </c>
      <c s="166"/>
    </row>
    <row r="294" spans="2:66" ht="15" customHeight="1">
      <c r="B294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18" ref="E294:AJ294">IF(E105&gt;E$284,MIN(E105-E$284,E49),0)*E18*E$285+(E76-IF(E105&gt;E$284,MIN(E105-E$284,E49),0)*E18)*E$283</f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8"/>
        <v>0</v>
      </c>
      <c s="125">
        <f t="shared" si="419" ref="AK294:BM294">IF(AK105&gt;AK$284,MIN(AK105-AK$284,AK49),0)*AK18*AK$285+(AK76-IF(AK105&gt;AK$284,MIN(AK105-AK$284,AK49),0)*AK18)*AK$283</f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25">
        <f t="shared" si="419"/>
        <v>0</v>
      </c>
      <c s="166"/>
    </row>
    <row r="295" spans="2:66" ht="15" customHeight="1">
      <c r="B295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20" ref="E295:AJ295">IF(E106&gt;E$284,MIN(E106-E$284,E50),0)*E19*E$285+(E77-IF(E106&gt;E$284,MIN(E106-E$284,E50),0)*E19)*E$283</f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1" ref="AK295:BM295">IF(AK106&gt;AK$284,MIN(AK106-AK$284,AK50),0)*AK19*AK$285+(AK77-IF(AK106&gt;AK$284,MIN(AK106-AK$284,AK50),0)*AK19)*AK$283</f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66"/>
    </row>
    <row r="296" spans="2:66" ht="15" customHeight="1">
      <c r="B296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22" ref="E296:AJ296">IF(E107&gt;E$284,MIN(E107-E$284,E51),0)*E20*E$285+(E78-IF(E107&gt;E$284,MIN(E107-E$284,E51),0)*E20)*E$283</f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2"/>
        <v>0</v>
      </c>
      <c s="125">
        <f t="shared" si="423" ref="AK296:BM296">IF(AK107&gt;AK$284,MIN(AK107-AK$284,AK51),0)*AK20*AK$285+(AK78-IF(AK107&gt;AK$284,MIN(AK107-AK$284,AK51),0)*AK20)*AK$283</f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66"/>
    </row>
    <row r="297" spans="2:66" ht="15" customHeight="1">
      <c r="B297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24" ref="E297:AJ297">IF(E108&gt;E$284,MIN(E108-E$284,E52),0)*E21*E$285+(E79-IF(E108&gt;E$284,MIN(E108-E$284,E52),0)*E21)*E$283</f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5" ref="AK297:BM297">IF(AK108&gt;AK$284,MIN(AK108-AK$284,AK52),0)*AK21*AK$285+(AK79-IF(AK108&gt;AK$284,MIN(AK108-AK$284,AK52),0)*AK21)*AK$283</f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25">
        <f t="shared" si="425"/>
        <v>0</v>
      </c>
      <c s="166"/>
    </row>
    <row r="298" spans="2:66" ht="15" customHeight="1">
      <c r="B298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26" ref="E298:AJ298">IF(E109&gt;E$284,MIN(E109-E$284,E53),0)*E22*E$285+(E80-IF(E109&gt;E$284,MIN(E109-E$284,E53),0)*E22)*E$283</f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6"/>
        <v>0</v>
      </c>
      <c s="125">
        <f t="shared" si="427" ref="AK298:BM298">IF(AK109&gt;AK$284,MIN(AK109-AK$284,AK53),0)*AK22*AK$285+(AK80-IF(AK109&gt;AK$284,MIN(AK109-AK$284,AK53),0)*AK22)*AK$283</f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25">
        <f t="shared" si="427"/>
        <v>0</v>
      </c>
      <c s="166"/>
    </row>
    <row r="299" spans="2:66" ht="15" customHeight="1">
      <c r="B299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28" ref="E299:AJ299">IF(E110&gt;E$284,MIN(E110-E$284,E54),0)*E23*E$285+(E81-IF(E110&gt;E$284,MIN(E110-E$284,E54),0)*E23)*E$283</f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8"/>
        <v>0</v>
      </c>
      <c s="125">
        <f t="shared" si="429" ref="AK299:BM299">IF(AK110&gt;AK$284,MIN(AK110-AK$284,AK54),0)*AK23*AK$285+(AK81-IF(AK110&gt;AK$284,MIN(AK110-AK$284,AK54),0)*AK23)*AK$283</f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25">
        <f t="shared" si="429"/>
        <v>0</v>
      </c>
      <c s="166"/>
    </row>
    <row r="300" spans="2:66" ht="15" customHeight="1">
      <c r="B300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30" ref="E300:AJ300">IF(E111&gt;E$284,MIN(E111-E$284,E55),0)*E24*E$285+(E82-IF(E111&gt;E$284,MIN(E111-E$284,E55),0)*E24)*E$283</f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0"/>
        <v>0</v>
      </c>
      <c s="125">
        <f t="shared" si="431" ref="AK300:BM300">IF(AK111&gt;AK$284,MIN(AK111-AK$284,AK55),0)*AK24*AK$285+(AK82-IF(AK111&gt;AK$284,MIN(AK111-AK$284,AK55),0)*AK24)*AK$283</f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25">
        <f t="shared" si="431"/>
        <v>0</v>
      </c>
      <c s="166"/>
    </row>
    <row r="301" spans="2:66" ht="15" customHeight="1">
      <c r="B301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32" ref="E301:AJ301">IF(E112&gt;E$284,MIN(E112-E$284,E56),0)*E25*E$285+(E83-IF(E112&gt;E$284,MIN(E112-E$284,E56),0)*E25)*E$283</f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2"/>
        <v>0</v>
      </c>
      <c s="125">
        <f t="shared" si="433" ref="AK301:BM301">IF(AK112&gt;AK$284,MIN(AK112-AK$284,AK56),0)*AK25*AK$285+(AK83-IF(AK112&gt;AK$284,MIN(AK112-AK$284,AK56),0)*AK25)*AK$283</f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25">
        <f t="shared" si="433"/>
        <v>0</v>
      </c>
      <c s="166"/>
    </row>
    <row r="302" spans="2:66" ht="15" customHeight="1">
      <c r="B302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34" ref="E302:AJ302">IF(E113&gt;E$284,MIN(E113-E$284,E57),0)*E26*E$285+(E84-IF(E113&gt;E$284,MIN(E113-E$284,E57),0)*E26)*E$283</f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4"/>
        <v>0</v>
      </c>
      <c s="125">
        <f t="shared" si="435" ref="AK302:BM302">IF(AK113&gt;AK$284,MIN(AK113-AK$284,AK57),0)*AK26*AK$285+(AK84-IF(AK113&gt;AK$284,MIN(AK113-AK$284,AK57),0)*AK26)*AK$283</f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25">
        <f t="shared" si="435"/>
        <v>0</v>
      </c>
      <c s="166"/>
    </row>
    <row r="303" spans="2:66" ht="15" customHeight="1">
      <c r="B303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36" ref="E303:AJ303">IF(E114&gt;E$284,MIN(E114-E$284,E58),0)*E27*E$285+(E85-IF(E114&gt;E$284,MIN(E114-E$284,E58),0)*E27)*E$283</f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6"/>
        <v>0</v>
      </c>
      <c s="125">
        <f t="shared" si="437" ref="AK303:BM303">IF(AK114&gt;AK$284,MIN(AK114-AK$284,AK58),0)*AK27*AK$285+(AK85-IF(AK114&gt;AK$284,MIN(AK114-AK$284,AK58),0)*AK27)*AK$283</f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25">
        <f t="shared" si="437"/>
        <v>0</v>
      </c>
      <c s="166"/>
    </row>
    <row r="304" spans="2:66" ht="15" customHeight="1">
      <c r="B304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38" ref="E304:AJ304">IF(E115&gt;E$284,MIN(E115-E$284,E59),0)*E28*E$285+(E86-IF(E115&gt;E$284,MIN(E115-E$284,E59),0)*E28)*E$283</f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8"/>
        <v>0</v>
      </c>
      <c s="125">
        <f t="shared" si="439" ref="AK304:BM304">IF(AK115&gt;AK$284,MIN(AK115-AK$284,AK59),0)*AK28*AK$285+(AK86-IF(AK115&gt;AK$284,MIN(AK115-AK$284,AK59),0)*AK28)*AK$283</f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25">
        <f t="shared" si="439"/>
        <v>0</v>
      </c>
      <c s="166"/>
    </row>
    <row r="305" spans="2:66" ht="15" customHeight="1">
      <c r="B305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40" ref="E305:AJ305">IF(E116&gt;E$284,MIN(E116-E$284,E60),0)*E29*E$285+(E87-IF(E116&gt;E$284,MIN(E116-E$284,E60),0)*E29)*E$283</f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0"/>
        <v>0</v>
      </c>
      <c s="125">
        <f t="shared" si="441" ref="AK305:BM305">IF(AK116&gt;AK$284,MIN(AK116-AK$284,AK60),0)*AK29*AK$285+(AK87-IF(AK116&gt;AK$284,MIN(AK116-AK$284,AK60),0)*AK29)*AK$283</f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25">
        <f t="shared" si="441"/>
        <v>0</v>
      </c>
      <c s="166"/>
    </row>
    <row r="306" spans="2:66" ht="15" customHeight="1">
      <c r="B306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42" ref="E306:AJ306">IF(E117&gt;E$284,MIN(E117-E$284,E61),0)*E30*E$285+(E88-IF(E117&gt;E$284,MIN(E117-E$284,E61),0)*E30)*E$283</f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2"/>
        <v>0</v>
      </c>
      <c s="125">
        <f t="shared" si="443" ref="AK306:BM306">IF(AK117&gt;AK$284,MIN(AK117-AK$284,AK61),0)*AK30*AK$285+(AK88-IF(AK117&gt;AK$284,MIN(AK117-AK$284,AK61),0)*AK30)*AK$283</f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25">
        <f t="shared" si="443"/>
        <v>0</v>
      </c>
      <c s="166"/>
    </row>
    <row r="307" spans="2:66" ht="15" customHeight="1">
      <c r="B307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44" ref="E307:AJ307">IF(E118&gt;E$284,MIN(E118-E$284,E62),0)*E31*E$285+(E89-IF(E118&gt;E$284,MIN(E118-E$284,E62),0)*E31)*E$283</f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4"/>
        <v>0</v>
      </c>
      <c s="125">
        <f t="shared" si="445" ref="AK307:BM307">IF(AK118&gt;AK$284,MIN(AK118-AK$284,AK62),0)*AK31*AK$285+(AK89-IF(AK118&gt;AK$284,MIN(AK118-AK$284,AK62),0)*AK31)*AK$283</f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25">
        <f t="shared" si="445"/>
        <v>0</v>
      </c>
      <c s="166"/>
    </row>
    <row r="308" spans="2:66" ht="15" customHeight="1">
      <c r="B308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46" ref="E308:AJ308">IF(E119&gt;E$284,MIN(E119-E$284,E63),0)*E32*E$285+(E90-IF(E119&gt;E$284,MIN(E119-E$284,E63),0)*E32)*E$283</f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6"/>
        <v>0</v>
      </c>
      <c s="125">
        <f t="shared" si="447" ref="AK308:BM308">IF(AK119&gt;AK$284,MIN(AK119-AK$284,AK63),0)*AK32*AK$285+(AK90-IF(AK119&gt;AK$284,MIN(AK119-AK$284,AK63),0)*AK32)*AK$283</f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25">
        <f t="shared" si="447"/>
        <v>0</v>
      </c>
      <c s="166"/>
    </row>
    <row r="309" spans="2:66" ht="15" customHeight="1">
      <c r="B309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48" ref="E309:AJ309">IF(E120&gt;E$284,MIN(E120-E$284,E64),0)*E33*E$285+(E91-IF(E120&gt;E$284,MIN(E120-E$284,E64),0)*E33)*E$283</f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8"/>
        <v>0</v>
      </c>
      <c s="125">
        <f t="shared" si="449" ref="AK309:BM309">IF(AK120&gt;AK$284,MIN(AK120-AK$284,AK64),0)*AK33*AK$285+(AK91-IF(AK120&gt;AK$284,MIN(AK120-AK$284,AK64),0)*AK33)*AK$283</f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25">
        <f t="shared" si="449"/>
        <v>0</v>
      </c>
      <c s="166"/>
    </row>
    <row r="310" spans="2:66" ht="15" customHeight="1">
      <c r="B310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50" ref="E310:AJ310">IF(E121&gt;E$284,MIN(E121-E$284,E65),0)*E34*E$285+(E92-IF(E121&gt;E$284,MIN(E121-E$284,E65),0)*E34)*E$283</f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0"/>
        <v>0</v>
      </c>
      <c s="125">
        <f t="shared" si="451" ref="AK310:BM310">IF(AK121&gt;AK$284,MIN(AK121-AK$284,AK65),0)*AK34*AK$285+(AK92-IF(AK121&gt;AK$284,MIN(AK121-AK$284,AK65),0)*AK34)*AK$283</f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25">
        <f t="shared" si="451"/>
        <v>0</v>
      </c>
      <c s="166"/>
    </row>
    <row r="311" spans="2:66" ht="15" customHeight="1">
      <c r="B311" s="12" t="str">
        <f t="shared" si="404"/>
        <v>-</v>
      </c>
      <c s="124" t="str">
        <f t="shared" si="401"/>
        <v>тыс. руб.</v>
      </c>
      <c s="276">
        <f t="shared" si="405"/>
        <v>0</v>
      </c>
      <c s="125">
        <f t="shared" si="452" ref="E311:AJ311">IF(E122&gt;E$284,MIN(E122-E$284,E66),0)*E35*E$285+(E93-IF(E122&gt;E$284,MIN(E122-E$284,E66),0)*E35)*E$283</f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2"/>
        <v>0</v>
      </c>
      <c s="125">
        <f t="shared" si="453" ref="AK311:BM311">IF(AK122&gt;AK$284,MIN(AK122-AK$284,AK66),0)*AK35*AK$285+(AK93-IF(AK122&gt;AK$284,MIN(AK122-AK$284,AK66),0)*AK35)*AK$283</f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25">
        <f t="shared" si="453"/>
        <v>0</v>
      </c>
      <c s="166"/>
    </row>
    <row r="312" spans="2:65" ht="15" customHeight="1">
      <c r="B312" s="289" t="s">
        <v>454</v>
      </c>
      <c s="290" t="str">
        <f t="shared" si="401"/>
        <v>тыс. руб.</v>
      </c>
      <c s="291">
        <f>SUM(D287:D311)</f>
        <v>0</v>
      </c>
      <c s="276">
        <f>SUM(E287:E311)</f>
        <v>0</v>
      </c>
      <c s="276">
        <f t="shared" si="454" ref="F312:AG312">SUM(F287:F311)</f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4"/>
        <v>0</v>
      </c>
      <c s="276">
        <f t="shared" si="455" ref="AH312:BM312">SUM(AH287:AH311)</f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  <c s="276">
        <f t="shared" si="455"/>
        <v>0</v>
      </c>
    </row>
    <row r="313" ht="15" customHeight="1"/>
    <row r="314" spans="2:2" ht="15" customHeight="1">
      <c r="B314" s="24" t="s">
        <v>885</v>
      </c>
    </row>
    <row r="315" spans="2:66" ht="15" customHeight="1">
      <c r="B315" s="12" t="str">
        <f>B287</f>
        <v>-</v>
      </c>
      <c s="124" t="str">
        <f t="shared" si="456" ref="C315:C340">Единица_измерения</f>
        <v>тыс. руб.</v>
      </c>
      <c s="276">
        <f>SUM(E315:BM315)</f>
        <v>0</v>
      </c>
      <c s="125">
        <f t="shared" si="457" ref="E315:AJ315">SUM(E135,E223,E255,E287)</f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7"/>
        <v>0</v>
      </c>
      <c s="125">
        <f t="shared" si="458" ref="AK315:BM315">SUM(AK135,AK223,AK255,AK287)</f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25">
        <f t="shared" si="458"/>
        <v>0</v>
      </c>
      <c s="166"/>
    </row>
    <row r="316" spans="2:66" ht="15" customHeight="1">
      <c r="B316" s="12" t="str">
        <f t="shared" si="459" ref="B316:B339">B288</f>
        <v>-</v>
      </c>
      <c s="124" t="str">
        <f t="shared" si="456"/>
        <v>тыс. руб.</v>
      </c>
      <c s="276">
        <f t="shared" si="460" ref="D316:D339">SUM(E316:BM316)</f>
        <v>0</v>
      </c>
      <c s="125">
        <f t="shared" si="461" ref="E316:AJ316">SUM(E136,E224,E256,E288)</f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1"/>
        <v>0</v>
      </c>
      <c s="125">
        <f t="shared" si="462" ref="AK316:BM316">SUM(AK136,AK224,AK256,AK288)</f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25">
        <f t="shared" si="462"/>
        <v>0</v>
      </c>
      <c s="166"/>
    </row>
    <row r="317" spans="2:66" ht="15" customHeight="1">
      <c r="B317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63" ref="E317:AJ317">SUM(E137,E225,E257,E289)</f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3"/>
        <v>0</v>
      </c>
      <c s="125">
        <f t="shared" si="464" ref="AK317:BM317">SUM(AK137,AK225,AK257,AK289)</f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66"/>
    </row>
    <row r="318" spans="2:66" ht="15" customHeight="1">
      <c r="B318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65" ref="E318:AJ318">SUM(E138,E226,E258,E290)</f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6" ref="AK318:BM318">SUM(AK138,AK226,AK258,AK290)</f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66"/>
    </row>
    <row r="319" spans="2:66" ht="15" customHeight="1">
      <c r="B319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67" ref="E319:AJ319">SUM(E139,E227,E259,E291)</f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7"/>
        <v>0</v>
      </c>
      <c s="125">
        <f t="shared" si="468" ref="AK319:BM319">SUM(AK139,AK227,AK259,AK291)</f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25">
        <f t="shared" si="468"/>
        <v>0</v>
      </c>
      <c s="166"/>
    </row>
    <row r="320" spans="2:66" ht="15" customHeight="1">
      <c r="B320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69" ref="E320:AJ320">SUM(E140,E228,E260,E292)</f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70" ref="AK320:BM320">SUM(AK140,AK228,AK260,AK292)</f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66"/>
    </row>
    <row r="321" spans="2:66" ht="15" customHeight="1">
      <c r="B321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71" ref="E321:AJ321">SUM(E141,E229,E261,E293)</f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2" ref="AK321:BM321">SUM(AK141,AK229,AK261,AK293)</f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66"/>
    </row>
    <row r="322" spans="2:66" ht="15" customHeight="1">
      <c r="B322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73" ref="E322:AJ322">SUM(E142,E230,E262,E294)</f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4" ref="AK322:BM322">SUM(AK142,AK230,AK262,AK294)</f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25">
        <f t="shared" si="474"/>
        <v>0</v>
      </c>
      <c s="166"/>
    </row>
    <row r="323" spans="2:66" ht="15" customHeight="1">
      <c r="B323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75" ref="E323:AJ323">SUM(E143,E231,E263,E295)</f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5"/>
        <v>0</v>
      </c>
      <c s="125">
        <f t="shared" si="476" ref="AK323:BM323">SUM(AK143,AK231,AK263,AK295)</f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25">
        <f t="shared" si="476"/>
        <v>0</v>
      </c>
      <c s="166"/>
    </row>
    <row r="324" spans="2:66" ht="15" customHeight="1">
      <c r="B324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77" ref="E324:AJ324">SUM(E144,E232,E264,E296)</f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7"/>
        <v>0</v>
      </c>
      <c s="125">
        <f t="shared" si="478" ref="AK324:BM324">SUM(AK144,AK232,AK264,AK296)</f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25">
        <f t="shared" si="478"/>
        <v>0</v>
      </c>
      <c s="166"/>
    </row>
    <row r="325" spans="2:66" ht="15" customHeight="1">
      <c r="B325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79" ref="E325:AJ325">SUM(E145,E233,E265,E297)</f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79"/>
        <v>0</v>
      </c>
      <c s="125">
        <f t="shared" si="480" ref="AK325:BM325">SUM(AK145,AK233,AK265,AK297)</f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25">
        <f t="shared" si="480"/>
        <v>0</v>
      </c>
      <c s="166"/>
    </row>
    <row r="326" spans="2:66" ht="15" customHeight="1">
      <c r="B326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81" ref="E326:AJ326">SUM(E146,E234,E266,E298)</f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1"/>
        <v>0</v>
      </c>
      <c s="125">
        <f t="shared" si="482" ref="AK326:BM326">SUM(AK146,AK234,AK266,AK298)</f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25">
        <f t="shared" si="482"/>
        <v>0</v>
      </c>
      <c s="166"/>
    </row>
    <row r="327" spans="2:66" ht="15" customHeight="1">
      <c r="B327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83" ref="E327:AJ327">SUM(E147,E235,E267,E299)</f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3"/>
        <v>0</v>
      </c>
      <c s="125">
        <f t="shared" si="484" ref="AK327:BM327">SUM(AK147,AK235,AK267,AK299)</f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25">
        <f t="shared" si="484"/>
        <v>0</v>
      </c>
      <c s="166"/>
    </row>
    <row r="328" spans="2:66" ht="15" customHeight="1">
      <c r="B328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85" ref="E328:AJ328">SUM(E148,E236,E268,E300)</f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5"/>
        <v>0</v>
      </c>
      <c s="125">
        <f t="shared" si="486" ref="AK328:BM328">SUM(AK148,AK236,AK268,AK300)</f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25">
        <f t="shared" si="486"/>
        <v>0</v>
      </c>
      <c s="166"/>
    </row>
    <row r="329" spans="2:66" ht="15" customHeight="1">
      <c r="B329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87" ref="E329:AJ329">SUM(E149,E237,E269,E301)</f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7"/>
        <v>0</v>
      </c>
      <c s="125">
        <f t="shared" si="488" ref="AK329:BM329">SUM(AK149,AK237,AK269,AK301)</f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25">
        <f t="shared" si="488"/>
        <v>0</v>
      </c>
      <c s="166"/>
    </row>
    <row r="330" spans="2:66" ht="15" customHeight="1">
      <c r="B330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89" ref="E330:AJ330">SUM(E150,E238,E270,E302)</f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89"/>
        <v>0</v>
      </c>
      <c s="125">
        <f t="shared" si="490" ref="AK330:BM330">SUM(AK150,AK238,AK270,AK302)</f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25">
        <f t="shared" si="490"/>
        <v>0</v>
      </c>
      <c s="166"/>
    </row>
    <row r="331" spans="2:66" ht="15" customHeight="1">
      <c r="B331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91" ref="E331:AJ331">SUM(E151,E239,E271,E303)</f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1"/>
        <v>0</v>
      </c>
      <c s="125">
        <f t="shared" si="492" ref="AK331:BM331">SUM(AK151,AK239,AK271,AK303)</f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25">
        <f t="shared" si="492"/>
        <v>0</v>
      </c>
      <c s="166"/>
    </row>
    <row r="332" spans="2:66" ht="15" customHeight="1">
      <c r="B332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93" ref="E332:AJ332">SUM(E152,E240,E272,E304)</f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3"/>
        <v>0</v>
      </c>
      <c s="125">
        <f t="shared" si="494" ref="AK332:BM332">SUM(AK152,AK240,AK272,AK304)</f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25">
        <f t="shared" si="494"/>
        <v>0</v>
      </c>
      <c s="166"/>
    </row>
    <row r="333" spans="2:66" ht="15" customHeight="1">
      <c r="B333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95" ref="E333:AJ333">SUM(E153,E241,E273,E305)</f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5"/>
        <v>0</v>
      </c>
      <c s="125">
        <f t="shared" si="496" ref="AK333:BM333">SUM(AK153,AK241,AK273,AK305)</f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25">
        <f t="shared" si="496"/>
        <v>0</v>
      </c>
      <c s="166"/>
    </row>
    <row r="334" spans="2:66" ht="15" customHeight="1">
      <c r="B334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97" ref="E334:AJ334">SUM(E154,E242,E274,E306)</f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7"/>
        <v>0</v>
      </c>
      <c s="125">
        <f t="shared" si="498" ref="AK334:BM334">SUM(AK154,AK242,AK274,AK306)</f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25">
        <f t="shared" si="498"/>
        <v>0</v>
      </c>
      <c s="166"/>
    </row>
    <row r="335" spans="2:66" ht="15" customHeight="1">
      <c r="B335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499" ref="E335:AJ335">SUM(E155,E243,E275,E307)</f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499"/>
        <v>0</v>
      </c>
      <c s="125">
        <f t="shared" si="500" ref="AK335:BM335">SUM(AK155,AK243,AK275,AK307)</f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25">
        <f t="shared" si="500"/>
        <v>0</v>
      </c>
      <c s="166"/>
    </row>
    <row r="336" spans="2:66" ht="15" customHeight="1">
      <c r="B336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501" ref="E336:AJ336">SUM(E156,E244,E276,E308)</f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1"/>
        <v>0</v>
      </c>
      <c s="125">
        <f t="shared" si="502" ref="AK336:BM336">SUM(AK156,AK244,AK276,AK308)</f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25">
        <f t="shared" si="502"/>
        <v>0</v>
      </c>
      <c s="166"/>
    </row>
    <row r="337" spans="2:66" ht="15" customHeight="1">
      <c r="B337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503" ref="E337:AJ337">SUM(E157,E245,E277,E309)</f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3"/>
        <v>0</v>
      </c>
      <c s="125">
        <f t="shared" si="504" ref="AK337:BM337">SUM(AK157,AK245,AK277,AK309)</f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25">
        <f t="shared" si="504"/>
        <v>0</v>
      </c>
      <c s="166"/>
    </row>
    <row r="338" spans="2:66" ht="15" customHeight="1">
      <c r="B338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505" ref="E338:AJ338">SUM(E158,E246,E278,E310)</f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5"/>
        <v>0</v>
      </c>
      <c s="125">
        <f t="shared" si="506" ref="AK338:BM338">SUM(AK158,AK246,AK278,AK310)</f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25">
        <f t="shared" si="506"/>
        <v>0</v>
      </c>
      <c s="166"/>
    </row>
    <row r="339" spans="2:66" ht="15" customHeight="1">
      <c r="B339" s="12" t="str">
        <f t="shared" si="459"/>
        <v>-</v>
      </c>
      <c s="124" t="str">
        <f t="shared" si="456"/>
        <v>тыс. руб.</v>
      </c>
      <c s="276">
        <f t="shared" si="460"/>
        <v>0</v>
      </c>
      <c s="125">
        <f t="shared" si="507" ref="E339:AJ339">SUM(E159,E247,E279,E311)</f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7"/>
        <v>0</v>
      </c>
      <c s="125">
        <f t="shared" si="508" ref="AK339:BM339">SUM(AK159,AK247,AK279,AK311)</f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25">
        <f t="shared" si="508"/>
        <v>0</v>
      </c>
      <c s="166"/>
    </row>
    <row r="340" spans="2:66" ht="15" customHeight="1">
      <c r="B340" s="289" t="s">
        <v>454</v>
      </c>
      <c s="290" t="str">
        <f t="shared" si="456"/>
        <v>тыс. руб.</v>
      </c>
      <c s="291">
        <f>SUM(D315:D339)</f>
        <v>0</v>
      </c>
      <c s="276">
        <f>SUM(E315:E339)</f>
        <v>0</v>
      </c>
      <c s="276">
        <f t="shared" si="509" ref="F340:AG340">SUM(F315:F339)</f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09"/>
        <v>0</v>
      </c>
      <c s="276">
        <f t="shared" si="510" ref="AH340:BM340">SUM(AH315:AH339)</f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276">
        <f t="shared" si="510"/>
        <v>0</v>
      </c>
      <c s="166"/>
    </row>
    <row r="341" ht="15" customHeight="1"/>
    <row r="342" spans="2:66" ht="15" customHeight="1">
      <c r="B342" s="12" t="s">
        <v>878</v>
      </c>
      <c s="124" t="str">
        <f>Единица_измерения</f>
        <v>тыс. руб.</v>
      </c>
      <c s="276">
        <f>SUM(E342:BM342)</f>
        <v>0</v>
      </c>
      <c s="125">
        <f>IF(Предпосылки!$C$503=1,E160,ФОТ!E216)</f>
        <v>0</v>
      </c>
      <c s="125">
        <f>IF(Предпосылки!$C$503=1,F160,ФОТ!F216)</f>
        <v>0</v>
      </c>
      <c s="125">
        <f>IF(Предпосылки!$C$503=1,G160,ФОТ!G216)</f>
        <v>0</v>
      </c>
      <c s="125">
        <f>IF(Предпосылки!$C$503=1,H160,ФОТ!H216)</f>
        <v>0</v>
      </c>
      <c s="125">
        <f>IF(Предпосылки!$C$503=1,I160,ФОТ!I216)</f>
        <v>0</v>
      </c>
      <c s="125">
        <f>IF(Предпосылки!$C$503=1,J160,ФОТ!J216)</f>
        <v>0</v>
      </c>
      <c s="125">
        <f>IF(Предпосылки!$C$503=1,K160,ФОТ!K216)</f>
        <v>0</v>
      </c>
      <c s="125">
        <f>IF(Предпосылки!$C$503=1,L160,ФОТ!L216)</f>
        <v>0</v>
      </c>
      <c s="125">
        <f>IF(Предпосылки!$C$503=1,M160,ФОТ!M216)</f>
        <v>0</v>
      </c>
      <c s="125">
        <f>IF(Предпосылки!$C$503=1,N160,ФОТ!N216)</f>
        <v>0</v>
      </c>
      <c s="125">
        <f>IF(Предпосылки!$C$503=1,O160,ФОТ!O216)</f>
        <v>0</v>
      </c>
      <c s="125">
        <f>IF(Предпосылки!$C$503=1,P160,ФОТ!P216)</f>
        <v>0</v>
      </c>
      <c s="125">
        <f>IF(Предпосылки!$C$503=1,Q160,ФОТ!Q216)</f>
        <v>0</v>
      </c>
      <c s="125">
        <f>IF(Предпосылки!$C$503=1,R160,ФОТ!R216)</f>
        <v>0</v>
      </c>
      <c s="125">
        <f>IF(Предпосылки!$C$503=1,S160,ФОТ!S216)</f>
        <v>0</v>
      </c>
      <c s="125">
        <f>IF(Предпосылки!$C$503=1,T160,ФОТ!T216)</f>
        <v>0</v>
      </c>
      <c s="125">
        <f>IF(Предпосылки!$C$503=1,U160,ФОТ!U216)</f>
        <v>0</v>
      </c>
      <c s="125">
        <f>IF(Предпосылки!$C$503=1,V160,ФОТ!V216)</f>
        <v>0</v>
      </c>
      <c s="125">
        <f>IF(Предпосылки!$C$503=1,W160,ФОТ!W216)</f>
        <v>0</v>
      </c>
      <c s="125">
        <f>IF(Предпосылки!$C$503=1,X160,ФОТ!X216)</f>
        <v>0</v>
      </c>
      <c s="125">
        <f>IF(Предпосылки!$C$503=1,Y160,ФОТ!Y216)</f>
        <v>0</v>
      </c>
      <c s="125">
        <f>IF(Предпосылки!$C$503=1,Z160,ФОТ!Z216)</f>
        <v>0</v>
      </c>
      <c s="125">
        <f>IF(Предпосылки!$C$503=1,AA160,ФОТ!AA216)</f>
        <v>0</v>
      </c>
      <c s="125">
        <f>IF(Предпосылки!$C$503=1,AB160,ФОТ!AB216)</f>
        <v>0</v>
      </c>
      <c s="125">
        <f>IF(Предпосылки!$C$503=1,AC160,ФОТ!AC216)</f>
        <v>0</v>
      </c>
      <c s="125">
        <f>IF(Предпосылки!$C$503=1,AD160,ФОТ!AD216)</f>
        <v>0</v>
      </c>
      <c s="125">
        <f>IF(Предпосылки!$C$503=1,AE160,ФОТ!AE216)</f>
        <v>0</v>
      </c>
      <c s="125">
        <f>IF(Предпосылки!$C$503=1,AF160,ФОТ!AF216)</f>
        <v>0</v>
      </c>
      <c s="125">
        <f>IF(Предпосылки!$C$503=1,AG160,ФОТ!AG216)</f>
        <v>0</v>
      </c>
      <c s="125">
        <f>IF(Предпосылки!$C$503=1,AH160,ФОТ!AH216)</f>
        <v>0</v>
      </c>
      <c s="125">
        <f>IF(Предпосылки!$C$503=1,AI160,ФОТ!AI216)</f>
        <v>0</v>
      </c>
      <c s="125">
        <f>IF(Предпосылки!$C$503=1,AJ160,ФОТ!AJ216)</f>
        <v>0</v>
      </c>
      <c s="125">
        <f>IF(Предпосылки!$C$503=1,AK160,ФОТ!AK216)</f>
        <v>0</v>
      </c>
      <c s="125">
        <f>IF(Предпосылки!$C$503=1,AL160,ФОТ!AL216)</f>
        <v>0</v>
      </c>
      <c s="125">
        <f>IF(Предпосылки!$C$503=1,AM160,ФОТ!AM216)</f>
        <v>0</v>
      </c>
      <c s="125">
        <f>IF(Предпосылки!$C$503=1,AN160,ФОТ!AN216)</f>
        <v>0</v>
      </c>
      <c s="125">
        <f>IF(Предпосылки!$C$503=1,AO160,ФОТ!AO216)</f>
        <v>0</v>
      </c>
      <c s="125">
        <f>IF(Предпосылки!$C$503=1,AP160,ФОТ!AP216)</f>
        <v>0</v>
      </c>
      <c s="125">
        <f>IF(Предпосылки!$C$503=1,AQ160,ФОТ!AQ216)</f>
        <v>0</v>
      </c>
      <c s="125">
        <f>IF(Предпосылки!$C$503=1,AR160,ФОТ!AR216)</f>
        <v>0</v>
      </c>
      <c s="125">
        <f>IF(Предпосылки!$C$503=1,AS160,ФОТ!AS216)</f>
        <v>0</v>
      </c>
      <c s="125">
        <f>IF(Предпосылки!$C$503=1,AT160,ФОТ!AT216)</f>
        <v>0</v>
      </c>
      <c s="125">
        <f>IF(Предпосылки!$C$503=1,AU160,ФОТ!AU216)</f>
        <v>0</v>
      </c>
      <c s="125">
        <f>IF(Предпосылки!$C$503=1,AV160,ФОТ!AV216)</f>
        <v>0</v>
      </c>
      <c s="125">
        <f>IF(Предпосылки!$C$503=1,AW160,ФОТ!AW216)</f>
        <v>0</v>
      </c>
      <c s="125">
        <f>IF(Предпосылки!$C$503=1,AX160,ФОТ!AX216)</f>
        <v>0</v>
      </c>
      <c s="125">
        <f>IF(Предпосылки!$C$503=1,AY160,ФОТ!AY216)</f>
        <v>0</v>
      </c>
      <c s="125">
        <f>IF(Предпосылки!$C$503=1,AZ160,ФОТ!AZ216)</f>
        <v>0</v>
      </c>
      <c s="125">
        <f>IF(Предпосылки!$C$503=1,BA160,ФОТ!BA216)</f>
        <v>0</v>
      </c>
      <c s="125">
        <f>IF(Предпосылки!$C$503=1,BB160,ФОТ!BB216)</f>
        <v>0</v>
      </c>
      <c s="125">
        <f>IF(Предпосылки!$C$503=1,BC160,ФОТ!BC216)</f>
        <v>0</v>
      </c>
      <c s="125">
        <f>IF(Предпосылки!$C$503=1,BD160,ФОТ!BD216)</f>
        <v>0</v>
      </c>
      <c s="125">
        <f>IF(Предпосылки!$C$503=1,BE160,ФОТ!BE216)</f>
        <v>0</v>
      </c>
      <c s="125">
        <f>IF(Предпосылки!$C$503=1,BF160,ФОТ!BF216)</f>
        <v>0</v>
      </c>
      <c s="125">
        <f>IF(Предпосылки!$C$503=1,BG160,ФОТ!BG216)</f>
        <v>0</v>
      </c>
      <c s="125">
        <f>IF(Предпосылки!$C$503=1,BH160,ФОТ!BH216)</f>
        <v>0</v>
      </c>
      <c s="125">
        <f>IF(Предпосылки!$C$503=1,BI160,ФОТ!BI216)</f>
        <v>0</v>
      </c>
      <c s="125">
        <f>IF(Предпосылки!$C$503=1,BJ160,ФОТ!BJ216)</f>
        <v>0</v>
      </c>
      <c s="125">
        <f>IF(Предпосылки!$C$503=1,BK160,ФОТ!BK216)</f>
        <v>0</v>
      </c>
      <c s="125">
        <f>IF(Предпосылки!$C$503=1,BL160,ФОТ!BL216)</f>
        <v>0</v>
      </c>
      <c s="125">
        <f>IF(Предпосылки!$C$503=1,BM160,ФОТ!BM216)</f>
        <v>0</v>
      </c>
      <c s="166"/>
    </row>
    <row r="343" spans="2:66" ht="15" customHeight="1" hidden="1">
      <c r="B343" s="12"/>
      <c s="124"/>
      <c s="276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66"/>
    </row>
    <row r="344" spans="2:66" ht="15" customHeight="1" hidden="1">
      <c r="B344" s="12"/>
      <c s="124"/>
      <c s="276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66"/>
    </row>
    <row r="345" spans="2:66" ht="15" customHeight="1">
      <c r="B345" s="12" t="s">
        <v>262</v>
      </c>
      <c s="124" t="str">
        <f>Единица_измерения</f>
        <v>тыс. руб.</v>
      </c>
      <c s="276">
        <f>SUM(E345:BM345)</f>
        <v>0</v>
      </c>
      <c s="125">
        <f>E312</f>
        <v>0</v>
      </c>
      <c s="125">
        <f t="shared" si="511" ref="F345:AG345">F312</f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1"/>
        <v>0</v>
      </c>
      <c s="125">
        <f t="shared" si="512" ref="AH345:BM345">AH312</f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25">
        <f t="shared" si="512"/>
        <v>0</v>
      </c>
      <c s="166"/>
    </row>
    <row r="346" spans="2:66" ht="15" customHeight="1">
      <c r="B346" s="289" t="s">
        <v>454</v>
      </c>
      <c s="290" t="str">
        <f>Единица_измерения</f>
        <v>тыс. руб.</v>
      </c>
      <c s="291">
        <f>SUM(D342:D345)</f>
        <v>0</v>
      </c>
      <c s="276">
        <f>SUM(E342:E345)</f>
        <v>0</v>
      </c>
      <c s="276">
        <f t="shared" si="513" ref="F346:AG346">SUM(F342:F345)</f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3"/>
        <v>0</v>
      </c>
      <c s="276">
        <f t="shared" si="514" ref="AH346:BM346">SUM(AH342:AH345)</f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>SUM(BE342,BE345)</f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276">
        <f t="shared" si="514"/>
        <v>0</v>
      </c>
      <c s="166"/>
    </row>
    <row r="347" ht="15" customHeight="1"/>
    <row r="348" spans="2:72" ht="21">
      <c r="B348" s="23" t="s">
        <v>865</v>
      </c>
      <c r="D34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9" spans="2:66" ht="15" customHeight="1">
      <c r="B349" s="12" t="s">
        <v>866</v>
      </c>
      <c s="124" t="str">
        <f>Единица_измерения</f>
        <v>тыс. руб.</v>
      </c>
      <c s="276">
        <f>SUM(E349:BM349)</f>
        <v>0</v>
      </c>
      <c s="125">
        <f>SUM(SUMIF(Предпосылки!$C$349:$C$373,$B349,E$69:E$93),SUMIF(Предпосылки!$C$349:$C$373,$B349,E$315:E$339))</f>
        <v>0</v>
      </c>
      <c s="125">
        <f>SUM(SUMIF(Предпосылки!$C$349:$C$373,$B349,F$69:F$93),SUMIF(Предпосылки!$C$349:$C$373,$B349,F$315:F$339))</f>
        <v>0</v>
      </c>
      <c s="125">
        <f>SUM(SUMIF(Предпосылки!$C$349:$C$373,$B349,G$69:G$93),SUMIF(Предпосылки!$C$349:$C$373,$B349,G$315:G$339))</f>
        <v>0</v>
      </c>
      <c s="125">
        <f>SUM(SUMIF(Предпосылки!$C$349:$C$373,$B349,H$69:H$93),SUMIF(Предпосылки!$C$349:$C$373,$B349,H$315:H$339))</f>
        <v>0</v>
      </c>
      <c s="125">
        <f>SUM(SUMIF(Предпосылки!$C$349:$C$373,$B349,I$69:I$93),SUMIF(Предпосылки!$C$349:$C$373,$B349,I$315:I$339))</f>
        <v>0</v>
      </c>
      <c s="125">
        <f>SUM(SUMIF(Предпосылки!$C$349:$C$373,$B349,J$69:J$93),SUMIF(Предпосылки!$C$349:$C$373,$B349,J$315:J$339))</f>
        <v>0</v>
      </c>
      <c s="125">
        <f>SUM(SUMIF(Предпосылки!$C$349:$C$373,$B349,K$69:K$93),SUMIF(Предпосылки!$C$349:$C$373,$B349,K$315:K$339))</f>
        <v>0</v>
      </c>
      <c s="125">
        <f>SUM(SUMIF(Предпосылки!$C$349:$C$373,$B349,L$69:L$93),SUMIF(Предпосылки!$C$349:$C$373,$B349,L$315:L$339))</f>
        <v>0</v>
      </c>
      <c s="125">
        <f>SUM(SUMIF(Предпосылки!$C$349:$C$373,$B349,M$69:M$93),SUMIF(Предпосылки!$C$349:$C$373,$B349,M$315:M$339))</f>
        <v>0</v>
      </c>
      <c s="125">
        <f>SUM(SUMIF(Предпосылки!$C$349:$C$373,$B349,N$69:N$93),SUMIF(Предпосылки!$C$349:$C$373,$B349,N$315:N$339))</f>
        <v>0</v>
      </c>
      <c s="125">
        <f>SUM(SUMIF(Предпосылки!$C$349:$C$373,$B349,O$69:O$93),SUMIF(Предпосылки!$C$349:$C$373,$B349,O$315:O$339))</f>
        <v>0</v>
      </c>
      <c s="125">
        <f>SUM(SUMIF(Предпосылки!$C$349:$C$373,$B349,P$69:P$93),SUMIF(Предпосылки!$C$349:$C$373,$B349,P$315:P$339))</f>
        <v>0</v>
      </c>
      <c s="125">
        <f>SUM(SUMIF(Предпосылки!$C$349:$C$373,$B349,Q$69:Q$93),SUMIF(Предпосылки!$C$349:$C$373,$B349,Q$315:Q$339))</f>
        <v>0</v>
      </c>
      <c s="125">
        <f>SUM(SUMIF(Предпосылки!$C$349:$C$373,$B349,R$69:R$93),SUMIF(Предпосылки!$C$349:$C$373,$B349,R$315:R$339))</f>
        <v>0</v>
      </c>
      <c s="125">
        <f>SUM(SUMIF(Предпосылки!$C$349:$C$373,$B349,S$69:S$93),SUMIF(Предпосылки!$C$349:$C$373,$B349,S$315:S$339))</f>
        <v>0</v>
      </c>
      <c s="125">
        <f>SUM(SUMIF(Предпосылки!$C$349:$C$373,$B349,T$69:T$93),SUMIF(Предпосылки!$C$349:$C$373,$B349,T$315:T$339))</f>
        <v>0</v>
      </c>
      <c s="125">
        <f>SUM(SUMIF(Предпосылки!$C$349:$C$373,$B349,U$69:U$93),SUMIF(Предпосылки!$C$349:$C$373,$B349,U$315:U$339))</f>
        <v>0</v>
      </c>
      <c s="125">
        <f>SUM(SUMIF(Предпосылки!$C$349:$C$373,$B349,V$69:V$93),SUMIF(Предпосылки!$C$349:$C$373,$B349,V$315:V$339))</f>
        <v>0</v>
      </c>
      <c s="125">
        <f>SUM(SUMIF(Предпосылки!$C$349:$C$373,$B349,W$69:W$93),SUMIF(Предпосылки!$C$349:$C$373,$B349,W$315:W$339))</f>
        <v>0</v>
      </c>
      <c s="125">
        <f>SUM(SUMIF(Предпосылки!$C$349:$C$373,$B349,X$69:X$93),SUMIF(Предпосылки!$C$349:$C$373,$B349,X$315:X$339))</f>
        <v>0</v>
      </c>
      <c s="125">
        <f>SUM(SUMIF(Предпосылки!$C$349:$C$373,$B349,Y$69:Y$93),SUMIF(Предпосылки!$C$349:$C$373,$B349,Y$315:Y$339))</f>
        <v>0</v>
      </c>
      <c s="125">
        <f>SUM(SUMIF(Предпосылки!$C$349:$C$373,$B349,Z$69:Z$93),SUMIF(Предпосылки!$C$349:$C$373,$B349,Z$315:Z$339))</f>
        <v>0</v>
      </c>
      <c s="125">
        <f>SUM(SUMIF(Предпосылки!$C$349:$C$373,$B349,AA$69:AA$93),SUMIF(Предпосылки!$C$349:$C$373,$B349,AA$315:AA$339))</f>
        <v>0</v>
      </c>
      <c s="125">
        <f>SUM(SUMIF(Предпосылки!$C$349:$C$373,$B349,AB$69:AB$93),SUMIF(Предпосылки!$C$349:$C$373,$B349,AB$315:AB$339))</f>
        <v>0</v>
      </c>
      <c s="125">
        <f>SUM(SUMIF(Предпосылки!$C$349:$C$373,$B349,AC$69:AC$93),SUMIF(Предпосылки!$C$349:$C$373,$B349,AC$315:AC$339))</f>
        <v>0</v>
      </c>
      <c s="125">
        <f>SUM(SUMIF(Предпосылки!$C$349:$C$373,$B349,AD$69:AD$93),SUMIF(Предпосылки!$C$349:$C$373,$B349,AD$315:AD$339))</f>
        <v>0</v>
      </c>
      <c s="125">
        <f>SUM(SUMIF(Предпосылки!$C$349:$C$373,$B349,AE$69:AE$93),SUMIF(Предпосылки!$C$349:$C$373,$B349,AE$315:AE$339))</f>
        <v>0</v>
      </c>
      <c s="125">
        <f>SUM(SUMIF(Предпосылки!$C$349:$C$373,$B349,AF$69:AF$93),SUMIF(Предпосылки!$C$349:$C$373,$B349,AF$315:AF$339))</f>
        <v>0</v>
      </c>
      <c s="125">
        <f>SUM(SUMIF(Предпосылки!$C$349:$C$373,$B349,AG$69:AG$93),SUMIF(Предпосылки!$C$349:$C$373,$B349,AG$315:AG$339))</f>
        <v>0</v>
      </c>
      <c s="125">
        <f>SUM(SUMIF(Предпосылки!$C$349:$C$373,$B349,AH$69:AH$93),SUMIF(Предпосылки!$C$349:$C$373,$B349,AH$315:AH$339))</f>
        <v>0</v>
      </c>
      <c s="125">
        <f>SUM(SUMIF(Предпосылки!$C$349:$C$373,$B349,AI$69:AI$93),SUMIF(Предпосылки!$C$349:$C$373,$B349,AI$315:AI$339))</f>
        <v>0</v>
      </c>
      <c s="125">
        <f>SUM(SUMIF(Предпосылки!$C$349:$C$373,$B349,AJ$69:AJ$93),SUMIF(Предпосылки!$C$349:$C$373,$B349,AJ$315:AJ$339))</f>
        <v>0</v>
      </c>
      <c s="125">
        <f>SUM(SUMIF(Предпосылки!$C$349:$C$373,$B349,AK$69:AK$93),SUMIF(Предпосылки!$C$349:$C$373,$B349,AK$315:AK$339))</f>
        <v>0</v>
      </c>
      <c s="125">
        <f>SUM(SUMIF(Предпосылки!$C$349:$C$373,$B349,AL$69:AL$93),SUMIF(Предпосылки!$C$349:$C$373,$B349,AL$315:AL$339))</f>
        <v>0</v>
      </c>
      <c s="125">
        <f>SUM(SUMIF(Предпосылки!$C$349:$C$373,$B349,AM$69:AM$93),SUMIF(Предпосылки!$C$349:$C$373,$B349,AM$315:AM$339))</f>
        <v>0</v>
      </c>
      <c s="125">
        <f>SUM(SUMIF(Предпосылки!$C$349:$C$373,$B349,AN$69:AN$93),SUMIF(Предпосылки!$C$349:$C$373,$B349,AN$315:AN$339))</f>
        <v>0</v>
      </c>
      <c s="125">
        <f>SUM(SUMIF(Предпосылки!$C$349:$C$373,$B349,AO$69:AO$93),SUMIF(Предпосылки!$C$349:$C$373,$B349,AO$315:AO$339))</f>
        <v>0</v>
      </c>
      <c s="125">
        <f>SUM(SUMIF(Предпосылки!$C$349:$C$373,$B349,AP$69:AP$93),SUMIF(Предпосылки!$C$349:$C$373,$B349,AP$315:AP$339))</f>
        <v>0</v>
      </c>
      <c s="125">
        <f>SUM(SUMIF(Предпосылки!$C$349:$C$373,$B349,AQ$69:AQ$93),SUMIF(Предпосылки!$C$349:$C$373,$B349,AQ$315:AQ$339))</f>
        <v>0</v>
      </c>
      <c s="125">
        <f>SUM(SUMIF(Предпосылки!$C$349:$C$373,$B349,AR$69:AR$93),SUMIF(Предпосылки!$C$349:$C$373,$B349,AR$315:AR$339))</f>
        <v>0</v>
      </c>
      <c s="125">
        <f>SUM(SUMIF(Предпосылки!$C$349:$C$373,$B349,AS$69:AS$93),SUMIF(Предпосылки!$C$349:$C$373,$B349,AS$315:AS$339))</f>
        <v>0</v>
      </c>
      <c s="125">
        <f>SUM(SUMIF(Предпосылки!$C$349:$C$373,$B349,AT$69:AT$93),SUMIF(Предпосылки!$C$349:$C$373,$B349,AT$315:AT$339))</f>
        <v>0</v>
      </c>
      <c s="125">
        <f>SUM(SUMIF(Предпосылки!$C$349:$C$373,$B349,AU$69:AU$93),SUMIF(Предпосылки!$C$349:$C$373,$B349,AU$315:AU$339))</f>
        <v>0</v>
      </c>
      <c s="125">
        <f>SUM(SUMIF(Предпосылки!$C$349:$C$373,$B349,AV$69:AV$93),SUMIF(Предпосылки!$C$349:$C$373,$B349,AV$315:AV$339))</f>
        <v>0</v>
      </c>
      <c s="125">
        <f>SUM(SUMIF(Предпосылки!$C$349:$C$373,$B349,AW$69:AW$93),SUMIF(Предпосылки!$C$349:$C$373,$B349,AW$315:AW$339))</f>
        <v>0</v>
      </c>
      <c s="125">
        <f>SUM(SUMIF(Предпосылки!$C$349:$C$373,$B349,AX$69:AX$93),SUMIF(Предпосылки!$C$349:$C$373,$B349,AX$315:AX$339))</f>
        <v>0</v>
      </c>
      <c s="125">
        <f>SUM(SUMIF(Предпосылки!$C$349:$C$373,$B349,AY$69:AY$93),SUMIF(Предпосылки!$C$349:$C$373,$B349,AY$315:AY$339))</f>
        <v>0</v>
      </c>
      <c s="125">
        <f>SUM(SUMIF(Предпосылки!$C$349:$C$373,$B349,AZ$69:AZ$93),SUMIF(Предпосылки!$C$349:$C$373,$B349,AZ$315:AZ$339))</f>
        <v>0</v>
      </c>
      <c s="125">
        <f>SUM(SUMIF(Предпосылки!$C$349:$C$373,$B349,BA$69:BA$93),SUMIF(Предпосылки!$C$349:$C$373,$B349,BA$315:BA$339))</f>
        <v>0</v>
      </c>
      <c s="125">
        <f>SUM(SUMIF(Предпосылки!$C$349:$C$373,$B349,BB$69:BB$93),SUMIF(Предпосылки!$C$349:$C$373,$B349,BB$315:BB$339))</f>
        <v>0</v>
      </c>
      <c s="125">
        <f>SUM(SUMIF(Предпосылки!$C$349:$C$373,$B349,BC$69:BC$93),SUMIF(Предпосылки!$C$349:$C$373,$B349,BC$315:BC$339))</f>
        <v>0</v>
      </c>
      <c s="125">
        <f>SUM(SUMIF(Предпосылки!$C$349:$C$373,$B349,BD$69:BD$93),SUMIF(Предпосылки!$C$349:$C$373,$B349,BD$315:BD$339))</f>
        <v>0</v>
      </c>
      <c s="125">
        <f>SUM(SUMIF(Предпосылки!$C$349:$C$373,$B349,BE$69:BE$93),SUMIF(Предпосылки!$C$349:$C$373,$B349,BE$315:BE$339))</f>
        <v>0</v>
      </c>
      <c s="125">
        <f>SUM(SUMIF(Предпосылки!$C$349:$C$373,$B349,BF$69:BF$93),SUMIF(Предпосылки!$C$349:$C$373,$B349,BF$315:BF$339))</f>
        <v>0</v>
      </c>
      <c s="125">
        <f>SUM(SUMIF(Предпосылки!$C$349:$C$373,$B349,BG$69:BG$93),SUMIF(Предпосылки!$C$349:$C$373,$B349,BG$315:BG$339))</f>
        <v>0</v>
      </c>
      <c s="125">
        <f>SUM(SUMIF(Предпосылки!$C$349:$C$373,$B349,BH$69:BH$93),SUMIF(Предпосылки!$C$349:$C$373,$B349,BH$315:BH$339))</f>
        <v>0</v>
      </c>
      <c s="125">
        <f>SUM(SUMIF(Предпосылки!$C$349:$C$373,$B349,BI$69:BI$93),SUMIF(Предпосылки!$C$349:$C$373,$B349,BI$315:BI$339))</f>
        <v>0</v>
      </c>
      <c s="125">
        <f>SUM(SUMIF(Предпосылки!$C$349:$C$373,$B349,BJ$69:BJ$93),SUMIF(Предпосылки!$C$349:$C$373,$B349,BJ$315:BJ$339))</f>
        <v>0</v>
      </c>
      <c s="125">
        <f>SUM(SUMIF(Предпосылки!$C$349:$C$373,$B349,BK$69:BK$93),SUMIF(Предпосылки!$C$349:$C$373,$B349,BK$315:BK$339))</f>
        <v>0</v>
      </c>
      <c s="125">
        <f>SUM(SUMIF(Предпосылки!$C$349:$C$373,$B349,BL$69:BL$93),SUMIF(Предпосылки!$C$349:$C$373,$B349,BL$315:BL$339))</f>
        <v>0</v>
      </c>
      <c s="125">
        <f>SUM(SUMIF(Предпосылки!$C$349:$C$373,$B349,BM$69:BM$93),SUMIF(Предпосылки!$C$349:$C$373,$B349,BM$315:BM$339))</f>
        <v>0</v>
      </c>
      <c s="166"/>
    </row>
    <row r="350" spans="2:66" ht="15" customHeight="1">
      <c r="B350" s="12" t="s">
        <v>867</v>
      </c>
      <c s="124" t="str">
        <f>Единица_измерения</f>
        <v>тыс. руб.</v>
      </c>
      <c s="276">
        <f>SUM(E350:BM350)</f>
        <v>0</v>
      </c>
      <c s="125">
        <f>SUM(SUMIF(Предпосылки!$C$349:$C$373,$B350,E$69:E$93),SUMIF(Предпосылки!$C$349:$C$373,$B350,E$315:E$339))</f>
        <v>0</v>
      </c>
      <c s="125">
        <f>SUM(SUMIF(Предпосылки!$C$349:$C$373,$B350,F$69:F$93),SUMIF(Предпосылки!$C$349:$C$373,$B350,F$315:F$339))</f>
        <v>0</v>
      </c>
      <c s="125">
        <f>SUM(SUMIF(Предпосылки!$C$349:$C$373,$B350,G$69:G$93),SUMIF(Предпосылки!$C$349:$C$373,$B350,G$315:G$339))</f>
        <v>0</v>
      </c>
      <c s="125">
        <f>SUM(SUMIF(Предпосылки!$C$349:$C$373,$B350,H$69:H$93),SUMIF(Предпосылки!$C$349:$C$373,$B350,H$315:H$339))</f>
        <v>0</v>
      </c>
      <c s="125">
        <f>SUM(SUMIF(Предпосылки!$C$349:$C$373,$B350,I$69:I$93),SUMIF(Предпосылки!$C$349:$C$373,$B350,I$315:I$339))</f>
        <v>0</v>
      </c>
      <c s="125">
        <f>SUM(SUMIF(Предпосылки!$C$349:$C$373,$B350,J$69:J$93),SUMIF(Предпосылки!$C$349:$C$373,$B350,J$315:J$339))</f>
        <v>0</v>
      </c>
      <c s="125">
        <f>SUM(SUMIF(Предпосылки!$C$349:$C$373,$B350,K$69:K$93),SUMIF(Предпосылки!$C$349:$C$373,$B350,K$315:K$339))</f>
        <v>0</v>
      </c>
      <c s="125">
        <f>SUM(SUMIF(Предпосылки!$C$349:$C$373,$B350,L$69:L$93),SUMIF(Предпосылки!$C$349:$C$373,$B350,L$315:L$339))</f>
        <v>0</v>
      </c>
      <c s="125">
        <f>SUM(SUMIF(Предпосылки!$C$349:$C$373,$B350,M$69:M$93),SUMIF(Предпосылки!$C$349:$C$373,$B350,M$315:M$339))</f>
        <v>0</v>
      </c>
      <c s="125">
        <f>SUM(SUMIF(Предпосылки!$C$349:$C$373,$B350,N$69:N$93),SUMIF(Предпосылки!$C$349:$C$373,$B350,N$315:N$339))</f>
        <v>0</v>
      </c>
      <c s="125">
        <f>SUM(SUMIF(Предпосылки!$C$349:$C$373,$B350,O$69:O$93),SUMIF(Предпосылки!$C$349:$C$373,$B350,O$315:O$339))</f>
        <v>0</v>
      </c>
      <c s="125">
        <f>SUM(SUMIF(Предпосылки!$C$349:$C$373,$B350,P$69:P$93),SUMIF(Предпосылки!$C$349:$C$373,$B350,P$315:P$339))</f>
        <v>0</v>
      </c>
      <c s="125">
        <f>SUM(SUMIF(Предпосылки!$C$349:$C$373,$B350,Q$69:Q$93),SUMIF(Предпосылки!$C$349:$C$373,$B350,Q$315:Q$339))</f>
        <v>0</v>
      </c>
      <c s="125">
        <f>SUM(SUMIF(Предпосылки!$C$349:$C$373,$B350,R$69:R$93),SUMIF(Предпосылки!$C$349:$C$373,$B350,R$315:R$339))</f>
        <v>0</v>
      </c>
      <c s="125">
        <f>SUM(SUMIF(Предпосылки!$C$349:$C$373,$B350,S$69:S$93),SUMIF(Предпосылки!$C$349:$C$373,$B350,S$315:S$339))</f>
        <v>0</v>
      </c>
      <c s="125">
        <f>SUM(SUMIF(Предпосылки!$C$349:$C$373,$B350,T$69:T$93),SUMIF(Предпосылки!$C$349:$C$373,$B350,T$315:T$339))</f>
        <v>0</v>
      </c>
      <c s="125">
        <f>SUM(SUMIF(Предпосылки!$C$349:$C$373,$B350,U$69:U$93),SUMIF(Предпосылки!$C$349:$C$373,$B350,U$315:U$339))</f>
        <v>0</v>
      </c>
      <c s="125">
        <f>SUM(SUMIF(Предпосылки!$C$349:$C$373,$B350,V$69:V$93),SUMIF(Предпосылки!$C$349:$C$373,$B350,V$315:V$339))</f>
        <v>0</v>
      </c>
      <c s="125">
        <f>SUM(SUMIF(Предпосылки!$C$349:$C$373,$B350,W$69:W$93),SUMIF(Предпосылки!$C$349:$C$373,$B350,W$315:W$339))</f>
        <v>0</v>
      </c>
      <c s="125">
        <f>SUM(SUMIF(Предпосылки!$C$349:$C$373,$B350,X$69:X$93),SUMIF(Предпосылки!$C$349:$C$373,$B350,X$315:X$339))</f>
        <v>0</v>
      </c>
      <c s="125">
        <f>SUM(SUMIF(Предпосылки!$C$349:$C$373,$B350,Y$69:Y$93),SUMIF(Предпосылки!$C$349:$C$373,$B350,Y$315:Y$339))</f>
        <v>0</v>
      </c>
      <c s="125">
        <f>SUM(SUMIF(Предпосылки!$C$349:$C$373,$B350,Z$69:Z$93),SUMIF(Предпосылки!$C$349:$C$373,$B350,Z$315:Z$339))</f>
        <v>0</v>
      </c>
      <c s="125">
        <f>SUM(SUMIF(Предпосылки!$C$349:$C$373,$B350,AA$69:AA$93),SUMIF(Предпосылки!$C$349:$C$373,$B350,AA$315:AA$339))</f>
        <v>0</v>
      </c>
      <c s="125">
        <f>SUM(SUMIF(Предпосылки!$C$349:$C$373,$B350,AB$69:AB$93),SUMIF(Предпосылки!$C$349:$C$373,$B350,AB$315:AB$339))</f>
        <v>0</v>
      </c>
      <c s="125">
        <f>SUM(SUMIF(Предпосылки!$C$349:$C$373,$B350,AC$69:AC$93),SUMIF(Предпосылки!$C$349:$C$373,$B350,AC$315:AC$339))</f>
        <v>0</v>
      </c>
      <c s="125">
        <f>SUM(SUMIF(Предпосылки!$C$349:$C$373,$B350,AD$69:AD$93),SUMIF(Предпосылки!$C$349:$C$373,$B350,AD$315:AD$339))</f>
        <v>0</v>
      </c>
      <c s="125">
        <f>SUM(SUMIF(Предпосылки!$C$349:$C$373,$B350,AE$69:AE$93),SUMIF(Предпосылки!$C$349:$C$373,$B350,AE$315:AE$339))</f>
        <v>0</v>
      </c>
      <c s="125">
        <f>SUM(SUMIF(Предпосылки!$C$349:$C$373,$B350,AF$69:AF$93),SUMIF(Предпосылки!$C$349:$C$373,$B350,AF$315:AF$339))</f>
        <v>0</v>
      </c>
      <c s="125">
        <f>SUM(SUMIF(Предпосылки!$C$349:$C$373,$B350,AG$69:AG$93),SUMIF(Предпосылки!$C$349:$C$373,$B350,AG$315:AG$339))</f>
        <v>0</v>
      </c>
      <c s="125">
        <f>SUM(SUMIF(Предпосылки!$C$349:$C$373,$B350,AH$69:AH$93),SUMIF(Предпосылки!$C$349:$C$373,$B350,AH$315:AH$339))</f>
        <v>0</v>
      </c>
      <c s="125">
        <f>SUM(SUMIF(Предпосылки!$C$349:$C$373,$B350,AI$69:AI$93),SUMIF(Предпосылки!$C$349:$C$373,$B350,AI$315:AI$339))</f>
        <v>0</v>
      </c>
      <c s="125">
        <f>SUM(SUMIF(Предпосылки!$C$349:$C$373,$B350,AJ$69:AJ$93),SUMIF(Предпосылки!$C$349:$C$373,$B350,AJ$315:AJ$339))</f>
        <v>0</v>
      </c>
      <c s="125">
        <f>SUM(SUMIF(Предпосылки!$C$349:$C$373,$B350,AK$69:AK$93),SUMIF(Предпосылки!$C$349:$C$373,$B350,AK$315:AK$339))</f>
        <v>0</v>
      </c>
      <c s="125">
        <f>SUM(SUMIF(Предпосылки!$C$349:$C$373,$B350,AL$69:AL$93),SUMIF(Предпосылки!$C$349:$C$373,$B350,AL$315:AL$339))</f>
        <v>0</v>
      </c>
      <c s="125">
        <f>SUM(SUMIF(Предпосылки!$C$349:$C$373,$B350,AM$69:AM$93),SUMIF(Предпосылки!$C$349:$C$373,$B350,AM$315:AM$339))</f>
        <v>0</v>
      </c>
      <c s="125">
        <f>SUM(SUMIF(Предпосылки!$C$349:$C$373,$B350,AN$69:AN$93),SUMIF(Предпосылки!$C$349:$C$373,$B350,AN$315:AN$339))</f>
        <v>0</v>
      </c>
      <c s="125">
        <f>SUM(SUMIF(Предпосылки!$C$349:$C$373,$B350,AO$69:AO$93),SUMIF(Предпосылки!$C$349:$C$373,$B350,AO$315:AO$339))</f>
        <v>0</v>
      </c>
      <c s="125">
        <f>SUM(SUMIF(Предпосылки!$C$349:$C$373,$B350,AP$69:AP$93),SUMIF(Предпосылки!$C$349:$C$373,$B350,AP$315:AP$339))</f>
        <v>0</v>
      </c>
      <c s="125">
        <f>SUM(SUMIF(Предпосылки!$C$349:$C$373,$B350,AQ$69:AQ$93),SUMIF(Предпосылки!$C$349:$C$373,$B350,AQ$315:AQ$339))</f>
        <v>0</v>
      </c>
      <c s="125">
        <f>SUM(SUMIF(Предпосылки!$C$349:$C$373,$B350,AR$69:AR$93),SUMIF(Предпосылки!$C$349:$C$373,$B350,AR$315:AR$339))</f>
        <v>0</v>
      </c>
      <c s="125">
        <f>SUM(SUMIF(Предпосылки!$C$349:$C$373,$B350,AS$69:AS$93),SUMIF(Предпосылки!$C$349:$C$373,$B350,AS$315:AS$339))</f>
        <v>0</v>
      </c>
      <c s="125">
        <f>SUM(SUMIF(Предпосылки!$C$349:$C$373,$B350,AT$69:AT$93),SUMIF(Предпосылки!$C$349:$C$373,$B350,AT$315:AT$339))</f>
        <v>0</v>
      </c>
      <c s="125">
        <f>SUM(SUMIF(Предпосылки!$C$349:$C$373,$B350,AU$69:AU$93),SUMIF(Предпосылки!$C$349:$C$373,$B350,AU$315:AU$339))</f>
        <v>0</v>
      </c>
      <c s="125">
        <f>SUM(SUMIF(Предпосылки!$C$349:$C$373,$B350,AV$69:AV$93),SUMIF(Предпосылки!$C$349:$C$373,$B350,AV$315:AV$339))</f>
        <v>0</v>
      </c>
      <c s="125">
        <f>SUM(SUMIF(Предпосылки!$C$349:$C$373,$B350,AW$69:AW$93),SUMIF(Предпосылки!$C$349:$C$373,$B350,AW$315:AW$339))</f>
        <v>0</v>
      </c>
      <c s="125">
        <f>SUM(SUMIF(Предпосылки!$C$349:$C$373,$B350,AX$69:AX$93),SUMIF(Предпосылки!$C$349:$C$373,$B350,AX$315:AX$339))</f>
        <v>0</v>
      </c>
      <c s="125">
        <f>SUM(SUMIF(Предпосылки!$C$349:$C$373,$B350,AY$69:AY$93),SUMIF(Предпосылки!$C$349:$C$373,$B350,AY$315:AY$339))</f>
        <v>0</v>
      </c>
      <c s="125">
        <f>SUM(SUMIF(Предпосылки!$C$349:$C$373,$B350,AZ$69:AZ$93),SUMIF(Предпосылки!$C$349:$C$373,$B350,AZ$315:AZ$339))</f>
        <v>0</v>
      </c>
      <c s="125">
        <f>SUM(SUMIF(Предпосылки!$C$349:$C$373,$B350,BA$69:BA$93),SUMIF(Предпосылки!$C$349:$C$373,$B350,BA$315:BA$339))</f>
        <v>0</v>
      </c>
      <c s="125">
        <f>SUM(SUMIF(Предпосылки!$C$349:$C$373,$B350,BB$69:BB$93),SUMIF(Предпосылки!$C$349:$C$373,$B350,BB$315:BB$339))</f>
        <v>0</v>
      </c>
      <c s="125">
        <f>SUM(SUMIF(Предпосылки!$C$349:$C$373,$B350,BC$69:BC$93),SUMIF(Предпосылки!$C$349:$C$373,$B350,BC$315:BC$339))</f>
        <v>0</v>
      </c>
      <c s="125">
        <f>SUM(SUMIF(Предпосылки!$C$349:$C$373,$B350,BD$69:BD$93),SUMIF(Предпосылки!$C$349:$C$373,$B350,BD$315:BD$339))</f>
        <v>0</v>
      </c>
      <c s="125">
        <f>SUM(SUMIF(Предпосылки!$C$349:$C$373,$B350,BE$69:BE$93),SUMIF(Предпосылки!$C$349:$C$373,$B350,BE$315:BE$339))</f>
        <v>0</v>
      </c>
      <c s="125">
        <f>SUM(SUMIF(Предпосылки!$C$349:$C$373,$B350,BF$69:BF$93),SUMIF(Предпосылки!$C$349:$C$373,$B350,BF$315:BF$339))</f>
        <v>0</v>
      </c>
      <c s="125">
        <f>SUM(SUMIF(Предпосылки!$C$349:$C$373,$B350,BG$69:BG$93),SUMIF(Предпосылки!$C$349:$C$373,$B350,BG$315:BG$339))</f>
        <v>0</v>
      </c>
      <c s="125">
        <f>SUM(SUMIF(Предпосылки!$C$349:$C$373,$B350,BH$69:BH$93),SUMIF(Предпосылки!$C$349:$C$373,$B350,BH$315:BH$339))</f>
        <v>0</v>
      </c>
      <c s="125">
        <f>SUM(SUMIF(Предпосылки!$C$349:$C$373,$B350,BI$69:BI$93),SUMIF(Предпосылки!$C$349:$C$373,$B350,BI$315:BI$339))</f>
        <v>0</v>
      </c>
      <c s="125">
        <f>SUM(SUMIF(Предпосылки!$C$349:$C$373,$B350,BJ$69:BJ$93),SUMIF(Предпосылки!$C$349:$C$373,$B350,BJ$315:BJ$339))</f>
        <v>0</v>
      </c>
      <c s="125">
        <f>SUM(SUMIF(Предпосылки!$C$349:$C$373,$B350,BK$69:BK$93),SUMIF(Предпосылки!$C$349:$C$373,$B350,BK$315:BK$339))</f>
        <v>0</v>
      </c>
      <c s="125">
        <f>SUM(SUMIF(Предпосылки!$C$349:$C$373,$B350,BL$69:BL$93),SUMIF(Предпосылки!$C$349:$C$373,$B350,BL$315:BL$339))</f>
        <v>0</v>
      </c>
      <c s="125">
        <f>SUM(SUMIF(Предпосылки!$C$349:$C$373,$B350,BM$69:BM$93),SUMIF(Предпосылки!$C$349:$C$373,$B350,BM$315:BM$339))</f>
        <v>0</v>
      </c>
      <c s="166"/>
    </row>
    <row r="351" spans="2:66" ht="15" customHeight="1">
      <c r="B351" s="12" t="s">
        <v>868</v>
      </c>
      <c s="124" t="str">
        <f>Единица_измерения</f>
        <v>тыс. руб.</v>
      </c>
      <c s="276">
        <f>SUM(E351:BM351)</f>
        <v>0</v>
      </c>
      <c s="125">
        <f>SUM(SUMIF(Предпосылки!$C$349:$C$373,$B351,E$69:E$93),SUMIF(Предпосылки!$C$349:$C$373,$B351,E$315:E$339))</f>
        <v>0</v>
      </c>
      <c s="125">
        <f>SUM(SUMIF(Предпосылки!$C$349:$C$373,$B351,F$69:F$93),SUMIF(Предпосылки!$C$349:$C$373,$B351,F$315:F$339))</f>
        <v>0</v>
      </c>
      <c s="125">
        <f>SUM(SUMIF(Предпосылки!$C$349:$C$373,$B351,G$69:G$93),SUMIF(Предпосылки!$C$349:$C$373,$B351,G$315:G$339))</f>
        <v>0</v>
      </c>
      <c s="125">
        <f>SUM(SUMIF(Предпосылки!$C$349:$C$373,$B351,H$69:H$93),SUMIF(Предпосылки!$C$349:$C$373,$B351,H$315:H$339))</f>
        <v>0</v>
      </c>
      <c s="125">
        <f>SUM(SUMIF(Предпосылки!$C$349:$C$373,$B351,I$69:I$93),SUMIF(Предпосылки!$C$349:$C$373,$B351,I$315:I$339))</f>
        <v>0</v>
      </c>
      <c s="125">
        <f>SUM(SUMIF(Предпосылки!$C$349:$C$373,$B351,J$69:J$93),SUMIF(Предпосылки!$C$349:$C$373,$B351,J$315:J$339))</f>
        <v>0</v>
      </c>
      <c s="125">
        <f>SUM(SUMIF(Предпосылки!$C$349:$C$373,$B351,K$69:K$93),SUMIF(Предпосылки!$C$349:$C$373,$B351,K$315:K$339))</f>
        <v>0</v>
      </c>
      <c s="125">
        <f>SUM(SUMIF(Предпосылки!$C$349:$C$373,$B351,L$69:L$93),SUMIF(Предпосылки!$C$349:$C$373,$B351,L$315:L$339))</f>
        <v>0</v>
      </c>
      <c s="125">
        <f>SUM(SUMIF(Предпосылки!$C$349:$C$373,$B351,M$69:M$93),SUMIF(Предпосылки!$C$349:$C$373,$B351,M$315:M$339))</f>
        <v>0</v>
      </c>
      <c s="125">
        <f>SUM(SUMIF(Предпосылки!$C$349:$C$373,$B351,N$69:N$93),SUMIF(Предпосылки!$C$349:$C$373,$B351,N$315:N$339))</f>
        <v>0</v>
      </c>
      <c s="125">
        <f>SUM(SUMIF(Предпосылки!$C$349:$C$373,$B351,O$69:O$93),SUMIF(Предпосылки!$C$349:$C$373,$B351,O$315:O$339))</f>
        <v>0</v>
      </c>
      <c s="125">
        <f>SUM(SUMIF(Предпосылки!$C$349:$C$373,$B351,P$69:P$93),SUMIF(Предпосылки!$C$349:$C$373,$B351,P$315:P$339))</f>
        <v>0</v>
      </c>
      <c s="125">
        <f>SUM(SUMIF(Предпосылки!$C$349:$C$373,$B351,Q$69:Q$93),SUMIF(Предпосылки!$C$349:$C$373,$B351,Q$315:Q$339))</f>
        <v>0</v>
      </c>
      <c s="125">
        <f>SUM(SUMIF(Предпосылки!$C$349:$C$373,$B351,R$69:R$93),SUMIF(Предпосылки!$C$349:$C$373,$B351,R$315:R$339))</f>
        <v>0</v>
      </c>
      <c s="125">
        <f>SUM(SUMIF(Предпосылки!$C$349:$C$373,$B351,S$69:S$93),SUMIF(Предпосылки!$C$349:$C$373,$B351,S$315:S$339))</f>
        <v>0</v>
      </c>
      <c s="125">
        <f>SUM(SUMIF(Предпосылки!$C$349:$C$373,$B351,T$69:T$93),SUMIF(Предпосылки!$C$349:$C$373,$B351,T$315:T$339))</f>
        <v>0</v>
      </c>
      <c s="125">
        <f>SUM(SUMIF(Предпосылки!$C$349:$C$373,$B351,U$69:U$93),SUMIF(Предпосылки!$C$349:$C$373,$B351,U$315:U$339))</f>
        <v>0</v>
      </c>
      <c s="125">
        <f>SUM(SUMIF(Предпосылки!$C$349:$C$373,$B351,V$69:V$93),SUMIF(Предпосылки!$C$349:$C$373,$B351,V$315:V$339))</f>
        <v>0</v>
      </c>
      <c s="125">
        <f>SUM(SUMIF(Предпосылки!$C$349:$C$373,$B351,W$69:W$93),SUMIF(Предпосылки!$C$349:$C$373,$B351,W$315:W$339))</f>
        <v>0</v>
      </c>
      <c s="125">
        <f>SUM(SUMIF(Предпосылки!$C$349:$C$373,$B351,X$69:X$93),SUMIF(Предпосылки!$C$349:$C$373,$B351,X$315:X$339))</f>
        <v>0</v>
      </c>
      <c s="125">
        <f>SUM(SUMIF(Предпосылки!$C$349:$C$373,$B351,Y$69:Y$93),SUMIF(Предпосылки!$C$349:$C$373,$B351,Y$315:Y$339))</f>
        <v>0</v>
      </c>
      <c s="125">
        <f>SUM(SUMIF(Предпосылки!$C$349:$C$373,$B351,Z$69:Z$93),SUMIF(Предпосылки!$C$349:$C$373,$B351,Z$315:Z$339))</f>
        <v>0</v>
      </c>
      <c s="125">
        <f>SUM(SUMIF(Предпосылки!$C$349:$C$373,$B351,AA$69:AA$93),SUMIF(Предпосылки!$C$349:$C$373,$B351,AA$315:AA$339))</f>
        <v>0</v>
      </c>
      <c s="125">
        <f>SUM(SUMIF(Предпосылки!$C$349:$C$373,$B351,AB$69:AB$93),SUMIF(Предпосылки!$C$349:$C$373,$B351,AB$315:AB$339))</f>
        <v>0</v>
      </c>
      <c s="125">
        <f>SUM(SUMIF(Предпосылки!$C$349:$C$373,$B351,AC$69:AC$93),SUMIF(Предпосылки!$C$349:$C$373,$B351,AC$315:AC$339))</f>
        <v>0</v>
      </c>
      <c s="125">
        <f>SUM(SUMIF(Предпосылки!$C$349:$C$373,$B351,AD$69:AD$93),SUMIF(Предпосылки!$C$349:$C$373,$B351,AD$315:AD$339))</f>
        <v>0</v>
      </c>
      <c s="125">
        <f>SUM(SUMIF(Предпосылки!$C$349:$C$373,$B351,AE$69:AE$93),SUMIF(Предпосылки!$C$349:$C$373,$B351,AE$315:AE$339))</f>
        <v>0</v>
      </c>
      <c s="125">
        <f>SUM(SUMIF(Предпосылки!$C$349:$C$373,$B351,AF$69:AF$93),SUMIF(Предпосылки!$C$349:$C$373,$B351,AF$315:AF$339))</f>
        <v>0</v>
      </c>
      <c s="125">
        <f>SUM(SUMIF(Предпосылки!$C$349:$C$373,$B351,AG$69:AG$93),SUMIF(Предпосылки!$C$349:$C$373,$B351,AG$315:AG$339))</f>
        <v>0</v>
      </c>
      <c s="125">
        <f>SUM(SUMIF(Предпосылки!$C$349:$C$373,$B351,AH$69:AH$93),SUMIF(Предпосылки!$C$349:$C$373,$B351,AH$315:AH$339))</f>
        <v>0</v>
      </c>
      <c s="125">
        <f>SUM(SUMIF(Предпосылки!$C$349:$C$373,$B351,AI$69:AI$93),SUMIF(Предпосылки!$C$349:$C$373,$B351,AI$315:AI$339))</f>
        <v>0</v>
      </c>
      <c s="125">
        <f>SUM(SUMIF(Предпосылки!$C$349:$C$373,$B351,AJ$69:AJ$93),SUMIF(Предпосылки!$C$349:$C$373,$B351,AJ$315:AJ$339))</f>
        <v>0</v>
      </c>
      <c s="125">
        <f>SUM(SUMIF(Предпосылки!$C$349:$C$373,$B351,AK$69:AK$93),SUMIF(Предпосылки!$C$349:$C$373,$B351,AK$315:AK$339))</f>
        <v>0</v>
      </c>
      <c s="125">
        <f>SUM(SUMIF(Предпосылки!$C$349:$C$373,$B351,AL$69:AL$93),SUMIF(Предпосылки!$C$349:$C$373,$B351,AL$315:AL$339))</f>
        <v>0</v>
      </c>
      <c s="125">
        <f>SUM(SUMIF(Предпосылки!$C$349:$C$373,$B351,AM$69:AM$93),SUMIF(Предпосылки!$C$349:$C$373,$B351,AM$315:AM$339))</f>
        <v>0</v>
      </c>
      <c s="125">
        <f>SUM(SUMIF(Предпосылки!$C$349:$C$373,$B351,AN$69:AN$93),SUMIF(Предпосылки!$C$349:$C$373,$B351,AN$315:AN$339))</f>
        <v>0</v>
      </c>
      <c s="125">
        <f>SUM(SUMIF(Предпосылки!$C$349:$C$373,$B351,AO$69:AO$93),SUMIF(Предпосылки!$C$349:$C$373,$B351,AO$315:AO$339))</f>
        <v>0</v>
      </c>
      <c s="125">
        <f>SUM(SUMIF(Предпосылки!$C$349:$C$373,$B351,AP$69:AP$93),SUMIF(Предпосылки!$C$349:$C$373,$B351,AP$315:AP$339))</f>
        <v>0</v>
      </c>
      <c s="125">
        <f>SUM(SUMIF(Предпосылки!$C$349:$C$373,$B351,AQ$69:AQ$93),SUMIF(Предпосылки!$C$349:$C$373,$B351,AQ$315:AQ$339))</f>
        <v>0</v>
      </c>
      <c s="125">
        <f>SUM(SUMIF(Предпосылки!$C$349:$C$373,$B351,AR$69:AR$93),SUMIF(Предпосылки!$C$349:$C$373,$B351,AR$315:AR$339))</f>
        <v>0</v>
      </c>
      <c s="125">
        <f>SUM(SUMIF(Предпосылки!$C$349:$C$373,$B351,AS$69:AS$93),SUMIF(Предпосылки!$C$349:$C$373,$B351,AS$315:AS$339))</f>
        <v>0</v>
      </c>
      <c s="125">
        <f>SUM(SUMIF(Предпосылки!$C$349:$C$373,$B351,AT$69:AT$93),SUMIF(Предпосылки!$C$349:$C$373,$B351,AT$315:AT$339))</f>
        <v>0</v>
      </c>
      <c s="125">
        <f>SUM(SUMIF(Предпосылки!$C$349:$C$373,$B351,AU$69:AU$93),SUMIF(Предпосылки!$C$349:$C$373,$B351,AU$315:AU$339))</f>
        <v>0</v>
      </c>
      <c s="125">
        <f>SUM(SUMIF(Предпосылки!$C$349:$C$373,$B351,AV$69:AV$93),SUMIF(Предпосылки!$C$349:$C$373,$B351,AV$315:AV$339))</f>
        <v>0</v>
      </c>
      <c s="125">
        <f>SUM(SUMIF(Предпосылки!$C$349:$C$373,$B351,AW$69:AW$93),SUMIF(Предпосылки!$C$349:$C$373,$B351,AW$315:AW$339))</f>
        <v>0</v>
      </c>
      <c s="125">
        <f>SUM(SUMIF(Предпосылки!$C$349:$C$373,$B351,AX$69:AX$93),SUMIF(Предпосылки!$C$349:$C$373,$B351,AX$315:AX$339))</f>
        <v>0</v>
      </c>
      <c s="125">
        <f>SUM(SUMIF(Предпосылки!$C$349:$C$373,$B351,AY$69:AY$93),SUMIF(Предпосылки!$C$349:$C$373,$B351,AY$315:AY$339))</f>
        <v>0</v>
      </c>
      <c s="125">
        <f>SUM(SUMIF(Предпосылки!$C$349:$C$373,$B351,AZ$69:AZ$93),SUMIF(Предпосылки!$C$349:$C$373,$B351,AZ$315:AZ$339))</f>
        <v>0</v>
      </c>
      <c s="125">
        <f>SUM(SUMIF(Предпосылки!$C$349:$C$373,$B351,BA$69:BA$93),SUMIF(Предпосылки!$C$349:$C$373,$B351,BA$315:BA$339))</f>
        <v>0</v>
      </c>
      <c s="125">
        <f>SUM(SUMIF(Предпосылки!$C$349:$C$373,$B351,BB$69:BB$93),SUMIF(Предпосылки!$C$349:$C$373,$B351,BB$315:BB$339))</f>
        <v>0</v>
      </c>
      <c s="125">
        <f>SUM(SUMIF(Предпосылки!$C$349:$C$373,$B351,BC$69:BC$93),SUMIF(Предпосылки!$C$349:$C$373,$B351,BC$315:BC$339))</f>
        <v>0</v>
      </c>
      <c s="125">
        <f>SUM(SUMIF(Предпосылки!$C$349:$C$373,$B351,BD$69:BD$93),SUMIF(Предпосылки!$C$349:$C$373,$B351,BD$315:BD$339))</f>
        <v>0</v>
      </c>
      <c s="125">
        <f>SUM(SUMIF(Предпосылки!$C$349:$C$373,$B351,BE$69:BE$93),SUMIF(Предпосылки!$C$349:$C$373,$B351,BE$315:BE$339))</f>
        <v>0</v>
      </c>
      <c s="125">
        <f>SUM(SUMIF(Предпосылки!$C$349:$C$373,$B351,BF$69:BF$93),SUMIF(Предпосылки!$C$349:$C$373,$B351,BF$315:BF$339))</f>
        <v>0</v>
      </c>
      <c s="125">
        <f>SUM(SUMIF(Предпосылки!$C$349:$C$373,$B351,BG$69:BG$93),SUMIF(Предпосылки!$C$349:$C$373,$B351,BG$315:BG$339))</f>
        <v>0</v>
      </c>
      <c s="125">
        <f>SUM(SUMIF(Предпосылки!$C$349:$C$373,$B351,BH$69:BH$93),SUMIF(Предпосылки!$C$349:$C$373,$B351,BH$315:BH$339))</f>
        <v>0</v>
      </c>
      <c s="125">
        <f>SUM(SUMIF(Предпосылки!$C$349:$C$373,$B351,BI$69:BI$93),SUMIF(Предпосылки!$C$349:$C$373,$B351,BI$315:BI$339))</f>
        <v>0</v>
      </c>
      <c s="125">
        <f>SUM(SUMIF(Предпосылки!$C$349:$C$373,$B351,BJ$69:BJ$93),SUMIF(Предпосылки!$C$349:$C$373,$B351,BJ$315:BJ$339))</f>
        <v>0</v>
      </c>
      <c s="125">
        <f>SUM(SUMIF(Предпосылки!$C$349:$C$373,$B351,BK$69:BK$93),SUMIF(Предпосылки!$C$349:$C$373,$B351,BK$315:BK$339))</f>
        <v>0</v>
      </c>
      <c s="125">
        <f>SUM(SUMIF(Предпосылки!$C$349:$C$373,$B351,BL$69:BL$93),SUMIF(Предпосылки!$C$349:$C$373,$B351,BL$315:BL$339))</f>
        <v>0</v>
      </c>
      <c s="125">
        <f>SUM(SUMIF(Предпосылки!$C$349:$C$373,$B351,BM$69:BM$93),SUMIF(Предпосылки!$C$349:$C$373,$B351,BM$315:BM$339))</f>
        <v>0</v>
      </c>
      <c s="166"/>
    </row>
    <row r="352" ht="15" customHeight="1"/>
    <row r="353" spans="2:3" ht="15" customHeight="1">
      <c r="B353" s="12" t="s">
        <v>370</v>
      </c>
      <c s="47" t="str">
        <f>IFERROR(IF(ROUND(SUM(D349:D351)-SUM(D94,D340),2)=0,"R","Q"),"Q")</f>
        <v>R</v>
      </c>
    </row>
    <row r="354" ht="15" customHeight="1"/>
  </sheetData>
  <sheetProtection algorithmName="SHA-512" hashValue="TUYmMZkfSwABz8Ng1zI8kpPw7iTst1GiE+AisFeLMnRyMBL3XiSyYHeJVm2asobPjVNNjfwSEnOKiWC0SsCKwQ==" saltValue="Opdh8jMIDBloY58IwB1wmw==" spinCount="100000" sheet="1" objects="1" scenarios="1"/>
  <mergeCells count="5">
    <mergeCell ref="B6:B8"/>
    <mergeCell ref="C6:C8"/>
    <mergeCell ref="D6:D8"/>
    <mergeCell ref="E2:H2"/>
    <mergeCell ref="E4:G4"/>
  </mergeCells>
  <conditionalFormatting sqref="C353">
    <cfRule type="cellIs" priority="5" dxfId="24" operator="equal">
      <formula>"Q"</formula>
    </cfRule>
    <cfRule type="cellIs" priority="6" dxfId="23" operator="equal">
      <formula>"R"</formula>
    </cfRule>
  </conditionalFormatting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3">
    <tabColor theme="0"/>
    <pageSetUpPr fitToPage="1"/>
  </sheetPr>
  <dimension ref="B2:BS493"/>
  <sheetViews>
    <sheetView showGridLines="0" zoomScaleSheetLayoutView="80" workbookViewId="0" topLeftCell="A1">
      <pane xSplit="4" ySplit="8" topLeftCell="E437" activePane="bottomRight" state="frozen"/>
      <selection pane="topLeft" activeCell="A1" sqref="A1"/>
      <selection pane="bottomLeft" activeCell="A1" sqref="A1"/>
      <selection pane="topRight" activeCell="A1" sqref="A1"/>
      <selection pane="bottomRight" activeCell="J2" sqref="J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65" width="17.2857142857143" customWidth="1"/>
    <col min="66" max="66" width="2.71428571428571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16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AG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1" ref="AH6">SUM(AG6,1)</f>
        <v>30</v>
      </c>
      <c s="255">
        <f t="shared" si="2" ref="AI6">SUM(AH6,1)</f>
        <v>31</v>
      </c>
      <c s="255">
        <f t="shared" si="3" ref="AJ6">SUM(AI6,1)</f>
        <v>32</v>
      </c>
      <c s="255">
        <f t="shared" si="4" ref="AK6">SUM(AJ6,1)</f>
        <v>33</v>
      </c>
      <c s="255">
        <f t="shared" si="5" ref="AL6">SUM(AK6,1)</f>
        <v>34</v>
      </c>
      <c s="255">
        <f t="shared" si="6" ref="AM6">SUM(AL6,1)</f>
        <v>35</v>
      </c>
      <c s="255">
        <f t="shared" si="7" ref="AN6">SUM(AM6,1)</f>
        <v>36</v>
      </c>
      <c s="255">
        <f t="shared" si="8" ref="AO6">SUM(AN6,1)</f>
        <v>37</v>
      </c>
      <c s="255">
        <f t="shared" si="9" ref="AP6">SUM(AO6,1)</f>
        <v>38</v>
      </c>
      <c s="255">
        <f t="shared" si="10" ref="AQ6">SUM(AP6,1)</f>
        <v>39</v>
      </c>
      <c s="255">
        <f t="shared" si="11" ref="AR6">SUM(AQ6,1)</f>
        <v>40</v>
      </c>
      <c s="255">
        <f t="shared" si="12" ref="AS6">SUM(AR6,1)</f>
        <v>41</v>
      </c>
      <c s="255">
        <f t="shared" si="13" ref="AT6">SUM(AS6,1)</f>
        <v>42</v>
      </c>
      <c s="255">
        <f t="shared" si="14" ref="AU6">SUM(AT6,1)</f>
        <v>43</v>
      </c>
      <c s="255">
        <f t="shared" si="15" ref="AV6">SUM(AU6,1)</f>
        <v>44</v>
      </c>
      <c s="255">
        <f t="shared" si="16" ref="AW6">SUM(AV6,1)</f>
        <v>45</v>
      </c>
      <c s="255">
        <f t="shared" si="17" ref="AX6">SUM(AW6,1)</f>
        <v>46</v>
      </c>
      <c s="255">
        <f t="shared" si="18" ref="AY6">SUM(AX6,1)</f>
        <v>47</v>
      </c>
      <c s="255">
        <f t="shared" si="19" ref="AZ6">SUM(AY6,1)</f>
        <v>48</v>
      </c>
      <c s="255">
        <f t="shared" si="20" ref="BA6">SUM(AZ6,1)</f>
        <v>49</v>
      </c>
      <c s="255">
        <f t="shared" si="21" ref="BB6">SUM(BA6,1)</f>
        <v>50</v>
      </c>
      <c s="255">
        <f t="shared" si="22" ref="BC6">SUM(BB6,1)</f>
        <v>51</v>
      </c>
      <c s="255">
        <f t="shared" si="23" ref="BD6">SUM(BC6,1)</f>
        <v>52</v>
      </c>
      <c s="255">
        <f t="shared" si="24" ref="BE6">SUM(BD6,1)</f>
        <v>53</v>
      </c>
      <c s="255">
        <f t="shared" si="25" ref="BF6">SUM(BE6,1)</f>
        <v>54</v>
      </c>
      <c s="255">
        <f t="shared" si="26" ref="BG6">SUM(BF6,1)</f>
        <v>55</v>
      </c>
      <c s="255">
        <f t="shared" si="27" ref="BH6">SUM(BG6,1)</f>
        <v>56</v>
      </c>
      <c s="255">
        <f t="shared" si="28" ref="BI6">SUM(BH6,1)</f>
        <v>57</v>
      </c>
      <c s="255">
        <f t="shared" si="29" ref="BJ6">SUM(BI6,1)</f>
        <v>58</v>
      </c>
      <c s="255">
        <f t="shared" si="30" ref="BK6:BM6">SUM(BJ6,1)</f>
        <v>59</v>
      </c>
      <c s="255">
        <f t="shared" si="30"/>
        <v>60</v>
      </c>
      <c s="255">
        <f t="shared" si="30"/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65" ht="15" customHeight="1">
      <c r="B10" s="12" t="s">
        <v>816</v>
      </c>
      <c s="124" t="s">
        <v>817</v>
      </c>
      <c s="124"/>
      <c s="126">
        <f>LOOKUP(YEAR(E$8),Предпосылки!$C$480:$R$480,Ставки_НДС_основная)</f>
        <v>0.20000000000000001</v>
      </c>
      <c s="126">
        <f>LOOKUP(YEAR(F$8),Предпосылки!$C$480:$R$480,Ставки_НДС_основная)</f>
        <v>0.20000000000000001</v>
      </c>
      <c s="126">
        <f>LOOKUP(YEAR(G$8),Предпосылки!$C$480:$R$480,Ставки_НДС_основная)</f>
        <v>0.20000000000000001</v>
      </c>
      <c s="126">
        <f>LOOKUP(YEAR(H$8),Предпосылки!$C$480:$R$480,Ставки_НДС_основная)</f>
        <v>0.20000000000000001</v>
      </c>
      <c s="126">
        <f>LOOKUP(YEAR(I$8),Предпосылки!$C$480:$R$480,Ставки_НДС_основная)</f>
        <v>0.20000000000000001</v>
      </c>
      <c s="126">
        <f>LOOKUP(YEAR(J$8),Предпосылки!$C$480:$R$480,Ставки_НДС_основная)</f>
        <v>0.20000000000000001</v>
      </c>
      <c s="126">
        <f>LOOKUP(YEAR(K$8),Предпосылки!$C$480:$R$480,Ставки_НДС_основная)</f>
        <v>0.20000000000000001</v>
      </c>
      <c s="126">
        <f>LOOKUP(YEAR(L$8),Предпосылки!$C$480:$R$480,Ставки_НДС_основная)</f>
        <v>0.20000000000000001</v>
      </c>
      <c s="126">
        <f>LOOKUP(YEAR(M$8),Предпосылки!$C$480:$R$480,Ставки_НДС_основная)</f>
        <v>0.20000000000000001</v>
      </c>
      <c s="126">
        <f>LOOKUP(YEAR(N$8),Предпосылки!$C$480:$R$480,Ставки_НДС_основная)</f>
        <v>0.20000000000000001</v>
      </c>
      <c s="126">
        <f>LOOKUP(YEAR(O$8),Предпосылки!$C$480:$R$480,Ставки_НДС_основная)</f>
        <v>0.20000000000000001</v>
      </c>
      <c s="126">
        <f>LOOKUP(YEAR(P$8),Предпосылки!$C$480:$R$480,Ставки_НДС_основная)</f>
        <v>0.20000000000000001</v>
      </c>
      <c s="126">
        <f>LOOKUP(YEAR(Q$8),Предпосылки!$C$480:$R$480,Ставки_НДС_основная)</f>
        <v>0.20000000000000001</v>
      </c>
      <c s="126">
        <f>LOOKUP(YEAR(R$8),Предпосылки!$C$480:$R$480,Ставки_НДС_основная)</f>
        <v>0.20000000000000001</v>
      </c>
      <c s="126">
        <f>LOOKUP(YEAR(S$8),Предпосылки!$C$480:$R$480,Ставки_НДС_основная)</f>
        <v>0.20000000000000001</v>
      </c>
      <c s="126">
        <f>LOOKUP(YEAR(T$8),Предпосылки!$C$480:$R$480,Ставки_НДС_основная)</f>
        <v>0.20000000000000001</v>
      </c>
      <c s="126">
        <f>LOOKUP(YEAR(U$8),Предпосылки!$C$480:$R$480,Ставки_НДС_основная)</f>
        <v>0.20000000000000001</v>
      </c>
      <c s="126">
        <f>LOOKUP(YEAR(V$8),Предпосылки!$C$480:$R$480,Ставки_НДС_основная)</f>
        <v>0.20000000000000001</v>
      </c>
      <c s="126">
        <f>LOOKUP(YEAR(W$8),Предпосылки!$C$480:$R$480,Ставки_НДС_основная)</f>
        <v>0.20000000000000001</v>
      </c>
      <c s="126">
        <f>LOOKUP(YEAR(X$8),Предпосылки!$C$480:$R$480,Ставки_НДС_основная)</f>
        <v>0.20000000000000001</v>
      </c>
      <c s="126">
        <f>LOOKUP(YEAR(Y$8),Предпосылки!$C$480:$R$480,Ставки_НДС_основная)</f>
        <v>0.20000000000000001</v>
      </c>
      <c s="126">
        <f>LOOKUP(YEAR(Z$8),Предпосылки!$C$480:$R$480,Ставки_НДС_основная)</f>
        <v>0.20000000000000001</v>
      </c>
      <c s="126">
        <f>LOOKUP(YEAR(AA$8),Предпосылки!$C$480:$R$480,Ставки_НДС_основная)</f>
        <v>0.20000000000000001</v>
      </c>
      <c s="126">
        <f>LOOKUP(YEAR(AB$8),Предпосылки!$C$480:$R$480,Ставки_НДС_основная)</f>
        <v>0.20000000000000001</v>
      </c>
      <c s="126">
        <f>LOOKUP(YEAR(AC$8),Предпосылки!$C$480:$R$480,Ставки_НДС_основная)</f>
        <v>0.20000000000000001</v>
      </c>
      <c s="126">
        <f>LOOKUP(YEAR(AD$8),Предпосылки!$C$480:$R$480,Ставки_НДС_основная)</f>
        <v>0.20000000000000001</v>
      </c>
      <c s="126">
        <f>LOOKUP(YEAR(AE$8),Предпосылки!$C$480:$R$480,Ставки_НДС_основная)</f>
        <v>0.20000000000000001</v>
      </c>
      <c s="126">
        <f>LOOKUP(YEAR(AF$8),Предпосылки!$C$480:$R$480,Ставки_НДС_основная)</f>
        <v>0.20000000000000001</v>
      </c>
      <c s="126">
        <f>LOOKUP(YEAR(AG$8),Предпосылки!$C$480:$R$480,Ставки_НДС_основная)</f>
        <v>0.20000000000000001</v>
      </c>
      <c s="126">
        <f>LOOKUP(YEAR(AH$8),Предпосылки!$C$480:$R$480,Ставки_НДС_основная)</f>
        <v>0.20000000000000001</v>
      </c>
      <c s="126">
        <f>LOOKUP(YEAR(AI$8),Предпосылки!$C$480:$R$480,Ставки_НДС_основная)</f>
        <v>0.20000000000000001</v>
      </c>
      <c s="126">
        <f>LOOKUP(YEAR(AJ$8),Предпосылки!$C$480:$R$480,Ставки_НДС_основная)</f>
        <v>0.20000000000000001</v>
      </c>
      <c s="126">
        <f>LOOKUP(YEAR(AK$8),Предпосылки!$C$480:$R$480,Ставки_НДС_основная)</f>
        <v>0.20000000000000001</v>
      </c>
      <c s="126">
        <f>LOOKUP(YEAR(AL$8),Предпосылки!$C$480:$R$480,Ставки_НДС_основная)</f>
        <v>0.20000000000000001</v>
      </c>
      <c s="126">
        <f>LOOKUP(YEAR(AM$8),Предпосылки!$C$480:$R$480,Ставки_НДС_основная)</f>
        <v>0.20000000000000001</v>
      </c>
      <c s="126">
        <f>LOOKUP(YEAR(AN$8),Предпосылки!$C$480:$R$480,Ставки_НДС_основная)</f>
        <v>0.20000000000000001</v>
      </c>
      <c s="126">
        <f>LOOKUP(YEAR(AO$8),Предпосылки!$C$480:$R$480,Ставки_НДС_основная)</f>
        <v>0.20000000000000001</v>
      </c>
      <c s="126">
        <f>LOOKUP(YEAR(AP$8),Предпосылки!$C$480:$R$480,Ставки_НДС_основная)</f>
        <v>0.20000000000000001</v>
      </c>
      <c s="126">
        <f>LOOKUP(YEAR(AQ$8),Предпосылки!$C$480:$R$480,Ставки_НДС_основная)</f>
        <v>0.20000000000000001</v>
      </c>
      <c s="126">
        <f>LOOKUP(YEAR(AR$8),Предпосылки!$C$480:$R$480,Ставки_НДС_основная)</f>
        <v>0.20000000000000001</v>
      </c>
      <c s="126">
        <f>LOOKUP(YEAR(AS$8),Предпосылки!$C$480:$R$480,Ставки_НДС_основная)</f>
        <v>0.20000000000000001</v>
      </c>
      <c s="126">
        <f>LOOKUP(YEAR(AT$8),Предпосылки!$C$480:$R$480,Ставки_НДС_основная)</f>
        <v>0.20000000000000001</v>
      </c>
      <c s="126">
        <f>LOOKUP(YEAR(AU$8),Предпосылки!$C$480:$R$480,Ставки_НДС_основная)</f>
        <v>0.20000000000000001</v>
      </c>
      <c s="126">
        <f>LOOKUP(YEAR(AV$8),Предпосылки!$C$480:$R$480,Ставки_НДС_основная)</f>
        <v>0.20000000000000001</v>
      </c>
      <c s="126">
        <f>LOOKUP(YEAR(AW$8),Предпосылки!$C$480:$R$480,Ставки_НДС_основная)</f>
        <v>0.20000000000000001</v>
      </c>
      <c s="126">
        <f>LOOKUP(YEAR(AX$8),Предпосылки!$C$480:$R$480,Ставки_НДС_основная)</f>
        <v>0.20000000000000001</v>
      </c>
      <c s="126">
        <f>LOOKUP(YEAR(AY$8),Предпосылки!$C$480:$R$480,Ставки_НДС_основная)</f>
        <v>0.20000000000000001</v>
      </c>
      <c s="126">
        <f>LOOKUP(YEAR(AZ$8),Предпосылки!$C$480:$R$480,Ставки_НДС_основная)</f>
        <v>0.20000000000000001</v>
      </c>
      <c s="126">
        <f>LOOKUP(YEAR(BA$8),Предпосылки!$C$480:$R$480,Ставки_НДС_основная)</f>
        <v>0.20000000000000001</v>
      </c>
      <c s="126">
        <f>LOOKUP(YEAR(BB$8),Предпосылки!$C$480:$R$480,Ставки_НДС_основная)</f>
        <v>0.20000000000000001</v>
      </c>
      <c s="126">
        <f>LOOKUP(YEAR(BC$8),Предпосылки!$C$480:$R$480,Ставки_НДС_основная)</f>
        <v>0.20000000000000001</v>
      </c>
      <c s="126">
        <f>LOOKUP(YEAR(BD$8),Предпосылки!$C$480:$R$480,Ставки_НДС_основная)</f>
        <v>0.20000000000000001</v>
      </c>
      <c s="126">
        <f>LOOKUP(YEAR(BE$8),Предпосылки!$C$480:$R$480,Ставки_НДС_основная)</f>
        <v>0.20000000000000001</v>
      </c>
      <c s="126">
        <f>LOOKUP(YEAR(BF$8),Предпосылки!$C$480:$R$480,Ставки_НДС_основная)</f>
        <v>0.20000000000000001</v>
      </c>
      <c s="126">
        <f>LOOKUP(YEAR(BG$8),Предпосылки!$C$480:$R$480,Ставки_НДС_основная)</f>
        <v>0.20000000000000001</v>
      </c>
      <c s="126">
        <f>LOOKUP(YEAR(BH$8),Предпосылки!$C$480:$R$480,Ставки_НДС_основная)</f>
        <v>0.20000000000000001</v>
      </c>
      <c s="126">
        <f>LOOKUP(YEAR(BI$8),Предпосылки!$C$480:$R$480,Ставки_НДС_основная)</f>
        <v>0.20000000000000001</v>
      </c>
      <c s="126">
        <f>LOOKUP(YEAR(BJ$8),Предпосылки!$C$480:$R$480,Ставки_НДС_основная)</f>
        <v>0.20000000000000001</v>
      </c>
      <c s="126">
        <f>LOOKUP(YEAR(BK$8),Предпосылки!$C$480:$R$480,Ставки_НДС_основная)</f>
        <v>0.20000000000000001</v>
      </c>
      <c s="126">
        <f>LOOKUP(YEAR(BL$8),Предпосылки!$C$480:$R$480,Ставки_НДС_основная)</f>
        <v>0.20000000000000001</v>
      </c>
      <c s="126">
        <f>LOOKUP(YEAR(BM$8),Предпосылки!$C$480:$R$480,Ставки_НДС_основная)</f>
        <v>0.20000000000000001</v>
      </c>
    </row>
    <row r="11" spans="2:65" ht="15" customHeight="1">
      <c r="B11" s="12" t="s">
        <v>844</v>
      </c>
      <c s="124" t="s">
        <v>817</v>
      </c>
      <c s="124"/>
      <c s="126">
        <f>LOOKUP(YEAR(E$8),Предпосылки!$C$480:$R$480,Ставки_НДС_льготная)</f>
        <v>0.10000000000000001</v>
      </c>
      <c s="126">
        <f>LOOKUP(YEAR(F$8),Предпосылки!$C$480:$R$480,Ставки_НДС_льготная)</f>
        <v>0.10000000000000001</v>
      </c>
      <c s="126">
        <f>LOOKUP(YEAR(G$8),Предпосылки!$C$480:$R$480,Ставки_НДС_льготная)</f>
        <v>0.10000000000000001</v>
      </c>
      <c s="126">
        <f>LOOKUP(YEAR(H$8),Предпосылки!$C$480:$R$480,Ставки_НДС_льготная)</f>
        <v>0.10000000000000001</v>
      </c>
      <c s="126">
        <f>LOOKUP(YEAR(I$8),Предпосылки!$C$480:$R$480,Ставки_НДС_льготная)</f>
        <v>0.10000000000000001</v>
      </c>
      <c s="126">
        <f>LOOKUP(YEAR(J$8),Предпосылки!$C$480:$R$480,Ставки_НДС_льготная)</f>
        <v>0.10000000000000001</v>
      </c>
      <c s="126">
        <f>LOOKUP(YEAR(K$8),Предпосылки!$C$480:$R$480,Ставки_НДС_льготная)</f>
        <v>0.10000000000000001</v>
      </c>
      <c s="126">
        <f>LOOKUP(YEAR(L$8),Предпосылки!$C$480:$R$480,Ставки_НДС_льготная)</f>
        <v>0.10000000000000001</v>
      </c>
      <c s="126">
        <f>LOOKUP(YEAR(M$8),Предпосылки!$C$480:$R$480,Ставки_НДС_льготная)</f>
        <v>0.10000000000000001</v>
      </c>
      <c s="126">
        <f>LOOKUP(YEAR(N$8),Предпосылки!$C$480:$R$480,Ставки_НДС_льготная)</f>
        <v>0.10000000000000001</v>
      </c>
      <c s="126">
        <f>LOOKUP(YEAR(O$8),Предпосылки!$C$480:$R$480,Ставки_НДС_льготная)</f>
        <v>0.10000000000000001</v>
      </c>
      <c s="126">
        <f>LOOKUP(YEAR(P$8),Предпосылки!$C$480:$R$480,Ставки_НДС_льготная)</f>
        <v>0.10000000000000001</v>
      </c>
      <c s="126">
        <f>LOOKUP(YEAR(Q$8),Предпосылки!$C$480:$R$480,Ставки_НДС_льготная)</f>
        <v>0.10000000000000001</v>
      </c>
      <c s="126">
        <f>LOOKUP(YEAR(R$8),Предпосылки!$C$480:$R$480,Ставки_НДС_льготная)</f>
        <v>0.10000000000000001</v>
      </c>
      <c s="126">
        <f>LOOKUP(YEAR(S$8),Предпосылки!$C$480:$R$480,Ставки_НДС_льготная)</f>
        <v>0.10000000000000001</v>
      </c>
      <c s="126">
        <f>LOOKUP(YEAR(T$8),Предпосылки!$C$480:$R$480,Ставки_НДС_льготная)</f>
        <v>0.10000000000000001</v>
      </c>
      <c s="126">
        <f>LOOKUP(YEAR(U$8),Предпосылки!$C$480:$R$480,Ставки_НДС_льготная)</f>
        <v>0.10000000000000001</v>
      </c>
      <c s="126">
        <f>LOOKUP(YEAR(V$8),Предпосылки!$C$480:$R$480,Ставки_НДС_льготная)</f>
        <v>0.10000000000000001</v>
      </c>
      <c s="126">
        <f>LOOKUP(YEAR(W$8),Предпосылки!$C$480:$R$480,Ставки_НДС_льготная)</f>
        <v>0.10000000000000001</v>
      </c>
      <c s="126">
        <f>LOOKUP(YEAR(X$8),Предпосылки!$C$480:$R$480,Ставки_НДС_льготная)</f>
        <v>0.10000000000000001</v>
      </c>
      <c s="126">
        <f>LOOKUP(YEAR(Y$8),Предпосылки!$C$480:$R$480,Ставки_НДС_льготная)</f>
        <v>0.10000000000000001</v>
      </c>
      <c s="126">
        <f>LOOKUP(YEAR(Z$8),Предпосылки!$C$480:$R$480,Ставки_НДС_льготная)</f>
        <v>0.10000000000000001</v>
      </c>
      <c s="126">
        <f>LOOKUP(YEAR(AA$8),Предпосылки!$C$480:$R$480,Ставки_НДС_льготная)</f>
        <v>0.10000000000000001</v>
      </c>
      <c s="126">
        <f>LOOKUP(YEAR(AB$8),Предпосылки!$C$480:$R$480,Ставки_НДС_льготная)</f>
        <v>0.10000000000000001</v>
      </c>
      <c s="126">
        <f>LOOKUP(YEAR(AC$8),Предпосылки!$C$480:$R$480,Ставки_НДС_льготная)</f>
        <v>0.10000000000000001</v>
      </c>
      <c s="126">
        <f>LOOKUP(YEAR(AD$8),Предпосылки!$C$480:$R$480,Ставки_НДС_льготная)</f>
        <v>0.10000000000000001</v>
      </c>
      <c s="126">
        <f>LOOKUP(YEAR(AE$8),Предпосылки!$C$480:$R$480,Ставки_НДС_льготная)</f>
        <v>0.10000000000000001</v>
      </c>
      <c s="126">
        <f>LOOKUP(YEAR(AF$8),Предпосылки!$C$480:$R$480,Ставки_НДС_льготная)</f>
        <v>0.10000000000000001</v>
      </c>
      <c s="126">
        <f>LOOKUP(YEAR(AG$8),Предпосылки!$C$480:$R$480,Ставки_НДС_льготная)</f>
        <v>0.10000000000000001</v>
      </c>
      <c s="126">
        <f>LOOKUP(YEAR(AH$8),Предпосылки!$C$480:$R$480,Ставки_НДС_льготная)</f>
        <v>0.10000000000000001</v>
      </c>
      <c s="126">
        <f>LOOKUP(YEAR(AI$8),Предпосылки!$C$480:$R$480,Ставки_НДС_льготная)</f>
        <v>0.10000000000000001</v>
      </c>
      <c s="126">
        <f>LOOKUP(YEAR(AJ$8),Предпосылки!$C$480:$R$480,Ставки_НДС_льготная)</f>
        <v>0.10000000000000001</v>
      </c>
      <c s="126">
        <f>LOOKUP(YEAR(AK$8),Предпосылки!$C$480:$R$480,Ставки_НДС_льготная)</f>
        <v>0.10000000000000001</v>
      </c>
      <c s="126">
        <f>LOOKUP(YEAR(AL$8),Предпосылки!$C$480:$R$480,Ставки_НДС_льготная)</f>
        <v>0.10000000000000001</v>
      </c>
      <c s="126">
        <f>LOOKUP(YEAR(AM$8),Предпосылки!$C$480:$R$480,Ставки_НДС_льготная)</f>
        <v>0.10000000000000001</v>
      </c>
      <c s="126">
        <f>LOOKUP(YEAR(AN$8),Предпосылки!$C$480:$R$480,Ставки_НДС_льготная)</f>
        <v>0.10000000000000001</v>
      </c>
      <c s="126">
        <f>LOOKUP(YEAR(AO$8),Предпосылки!$C$480:$R$480,Ставки_НДС_льготная)</f>
        <v>0.10000000000000001</v>
      </c>
      <c s="126">
        <f>LOOKUP(YEAR(AP$8),Предпосылки!$C$480:$R$480,Ставки_НДС_льготная)</f>
        <v>0.10000000000000001</v>
      </c>
      <c s="126">
        <f>LOOKUP(YEAR(AQ$8),Предпосылки!$C$480:$R$480,Ставки_НДС_льготная)</f>
        <v>0.10000000000000001</v>
      </c>
      <c s="126">
        <f>LOOKUP(YEAR(AR$8),Предпосылки!$C$480:$R$480,Ставки_НДС_льготная)</f>
        <v>0.10000000000000001</v>
      </c>
      <c s="126">
        <f>LOOKUP(YEAR(AS$8),Предпосылки!$C$480:$R$480,Ставки_НДС_льготная)</f>
        <v>0.10000000000000001</v>
      </c>
      <c s="126">
        <f>LOOKUP(YEAR(AT$8),Предпосылки!$C$480:$R$480,Ставки_НДС_льготная)</f>
        <v>0.10000000000000001</v>
      </c>
      <c s="126">
        <f>LOOKUP(YEAR(AU$8),Предпосылки!$C$480:$R$480,Ставки_НДС_льготная)</f>
        <v>0.10000000000000001</v>
      </c>
      <c s="126">
        <f>LOOKUP(YEAR(AV$8),Предпосылки!$C$480:$R$480,Ставки_НДС_льготная)</f>
        <v>0.10000000000000001</v>
      </c>
      <c s="126">
        <f>LOOKUP(YEAR(AW$8),Предпосылки!$C$480:$R$480,Ставки_НДС_льготная)</f>
        <v>0.10000000000000001</v>
      </c>
      <c s="126">
        <f>LOOKUP(YEAR(AX$8),Предпосылки!$C$480:$R$480,Ставки_НДС_льготная)</f>
        <v>0.10000000000000001</v>
      </c>
      <c s="126">
        <f>LOOKUP(YEAR(AY$8),Предпосылки!$C$480:$R$480,Ставки_НДС_льготная)</f>
        <v>0.10000000000000001</v>
      </c>
      <c s="126">
        <f>LOOKUP(YEAR(AZ$8),Предпосылки!$C$480:$R$480,Ставки_НДС_льготная)</f>
        <v>0.10000000000000001</v>
      </c>
      <c s="126">
        <f>LOOKUP(YEAR(BA$8),Предпосылки!$C$480:$R$480,Ставки_НДС_льготная)</f>
        <v>0.10000000000000001</v>
      </c>
      <c s="126">
        <f>LOOKUP(YEAR(BB$8),Предпосылки!$C$480:$R$480,Ставки_НДС_льготная)</f>
        <v>0.10000000000000001</v>
      </c>
      <c s="126">
        <f>LOOKUP(YEAR(BC$8),Предпосылки!$C$480:$R$480,Ставки_НДС_льготная)</f>
        <v>0.10000000000000001</v>
      </c>
      <c s="126">
        <f>LOOKUP(YEAR(BD$8),Предпосылки!$C$480:$R$480,Ставки_НДС_льготная)</f>
        <v>0.10000000000000001</v>
      </c>
      <c s="126">
        <f>LOOKUP(YEAR(BE$8),Предпосылки!$C$480:$R$480,Ставки_НДС_льготная)</f>
        <v>0.10000000000000001</v>
      </c>
      <c s="126">
        <f>LOOKUP(YEAR(BF$8),Предпосылки!$C$480:$R$480,Ставки_НДС_льготная)</f>
        <v>0.10000000000000001</v>
      </c>
      <c s="126">
        <f>LOOKUP(YEAR(BG$8),Предпосылки!$C$480:$R$480,Ставки_НДС_льготная)</f>
        <v>0.10000000000000001</v>
      </c>
      <c s="126">
        <f>LOOKUP(YEAR(BH$8),Предпосылки!$C$480:$R$480,Ставки_НДС_льготная)</f>
        <v>0.10000000000000001</v>
      </c>
      <c s="126">
        <f>LOOKUP(YEAR(BI$8),Предпосылки!$C$480:$R$480,Ставки_НДС_льготная)</f>
        <v>0.10000000000000001</v>
      </c>
      <c s="126">
        <f>LOOKUP(YEAR(BJ$8),Предпосылки!$C$480:$R$480,Ставки_НДС_льготная)</f>
        <v>0.10000000000000001</v>
      </c>
      <c s="126">
        <f>LOOKUP(YEAR(BK$8),Предпосылки!$C$480:$R$480,Ставки_НДС_льготная)</f>
        <v>0.10000000000000001</v>
      </c>
      <c s="126">
        <f>LOOKUP(YEAR(BL$8),Предпосылки!$C$480:$R$480,Ставки_НДС_льготная)</f>
        <v>0.10000000000000001</v>
      </c>
      <c s="126">
        <f>LOOKUP(YEAR(BM$8),Предпосылки!$C$480:$R$480,Ставки_НДС_льготная)</f>
        <v>0.10000000000000001</v>
      </c>
    </row>
    <row r="12" ht="15" customHeight="1"/>
    <row r="13" spans="2:71" ht="21">
      <c r="B13" s="23" t="s">
        <v>886</v>
      </c>
      <c r="D1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" spans="2:2" ht="15" customHeight="1">
      <c r="B14" s="24" t="s">
        <v>887</v>
      </c>
    </row>
    <row r="15" spans="2:65" ht="15" customHeight="1">
      <c r="B15" s="12" t="str">
        <f>IF(ISBLANK(Предпосылки!B122),"-",Предпосылки!B122)</f>
        <v>Продукт 1</v>
      </c>
      <c s="124" t="str">
        <f t="shared" si="31" ref="C15:C34">Единица_измерения</f>
        <v>тыс. руб.</v>
      </c>
      <c s="125"/>
      <c s="125">
        <f>'Операционные затраты'!E507</f>
        <v>0</v>
      </c>
      <c s="125">
        <f>'Операционные затраты'!F507</f>
        <v>0</v>
      </c>
      <c s="125">
        <f>'Операционные затраты'!G507</f>
        <v>0</v>
      </c>
      <c s="125">
        <f>'Операционные затраты'!H507</f>
        <v>0</v>
      </c>
      <c s="125">
        <f>'Операционные затраты'!I507</f>
        <v>0</v>
      </c>
      <c s="125">
        <f>'Операционные затраты'!J507</f>
        <v>0</v>
      </c>
      <c s="125">
        <f>'Операционные затраты'!K507</f>
        <v>0</v>
      </c>
      <c s="125">
        <f>'Операционные затраты'!L507</f>
        <v>0</v>
      </c>
      <c s="125">
        <f>'Операционные затраты'!M507</f>
        <v>0</v>
      </c>
      <c s="125">
        <f>'Операционные затраты'!N507</f>
        <v>0</v>
      </c>
      <c s="125">
        <f>'Операционные затраты'!O507</f>
        <v>0</v>
      </c>
      <c s="125">
        <f>'Операционные затраты'!P507</f>
        <v>0</v>
      </c>
      <c s="125">
        <f>'Операционные затраты'!Q507</f>
        <v>0</v>
      </c>
      <c s="125">
        <f>'Операционные затраты'!R507</f>
        <v>0</v>
      </c>
      <c s="125">
        <f>'Операционные затраты'!S507</f>
        <v>0</v>
      </c>
      <c s="125">
        <f>'Операционные затраты'!T507</f>
        <v>0</v>
      </c>
      <c s="125">
        <f>'Операционные затраты'!U507</f>
        <v>0</v>
      </c>
      <c s="125">
        <f>'Операционные затраты'!V507</f>
        <v>0</v>
      </c>
      <c s="125">
        <f>'Операционные затраты'!W507</f>
        <v>0</v>
      </c>
      <c s="125">
        <f>'Операционные затраты'!X507</f>
        <v>0</v>
      </c>
      <c s="125">
        <f>'Операционные затраты'!Y507</f>
        <v>0</v>
      </c>
      <c s="125">
        <f>'Операционные затраты'!Z507</f>
        <v>0</v>
      </c>
      <c s="125">
        <f>'Операционные затраты'!AA507</f>
        <v>0</v>
      </c>
      <c s="125">
        <f>'Операционные затраты'!AB507</f>
        <v>0</v>
      </c>
      <c s="125">
        <f>'Операционные затраты'!AC507</f>
        <v>0</v>
      </c>
      <c s="125">
        <f>'Операционные затраты'!AD507</f>
        <v>0</v>
      </c>
      <c s="125">
        <f>'Операционные затраты'!AE507</f>
        <v>0</v>
      </c>
      <c s="125">
        <f>'Операционные затраты'!AF507</f>
        <v>0</v>
      </c>
      <c s="125">
        <f>'Операционные затраты'!AG507</f>
        <v>0</v>
      </c>
      <c s="125">
        <f>'Операционные затраты'!AH507</f>
        <v>0</v>
      </c>
      <c s="125">
        <f>'Операционные затраты'!AI507</f>
        <v>0</v>
      </c>
      <c s="125">
        <f>'Операционные затраты'!AJ507</f>
        <v>0</v>
      </c>
      <c s="125">
        <f>'Операционные затраты'!AK507</f>
        <v>0</v>
      </c>
      <c s="125">
        <f>'Операционные затраты'!AL507</f>
        <v>0</v>
      </c>
      <c s="125">
        <f>'Операционные затраты'!AM507</f>
        <v>0</v>
      </c>
      <c s="125">
        <f>'Операционные затраты'!AN507</f>
        <v>0</v>
      </c>
      <c s="125">
        <f>'Операционные затраты'!AO507</f>
        <v>0</v>
      </c>
      <c s="125">
        <f>'Операционные затраты'!AP507</f>
        <v>0</v>
      </c>
      <c s="125">
        <f>'Операционные затраты'!AQ507</f>
        <v>0</v>
      </c>
      <c s="125">
        <f>'Операционные затраты'!AR507</f>
        <v>0</v>
      </c>
      <c s="125">
        <f>'Операционные затраты'!AS507</f>
        <v>0</v>
      </c>
      <c s="125">
        <f>'Операционные затраты'!AT507</f>
        <v>0</v>
      </c>
      <c s="125">
        <f>'Операционные затраты'!AU507</f>
        <v>0</v>
      </c>
      <c s="125">
        <f>'Операционные затраты'!AV507</f>
        <v>0</v>
      </c>
      <c s="125">
        <f>'Операционные затраты'!AW507</f>
        <v>0</v>
      </c>
      <c s="125">
        <f>'Операционные затраты'!AX507</f>
        <v>0</v>
      </c>
      <c s="125">
        <f>'Операционные затраты'!AY507</f>
        <v>0</v>
      </c>
      <c s="125">
        <f>'Операционные затраты'!AZ507</f>
        <v>0</v>
      </c>
      <c s="125">
        <f>'Операционные затраты'!BA507</f>
        <v>0</v>
      </c>
      <c s="125">
        <f>'Операционные затраты'!BB507</f>
        <v>0</v>
      </c>
      <c s="125">
        <f>'Операционные затраты'!BC507</f>
        <v>0</v>
      </c>
      <c s="125">
        <f>'Операционные затраты'!BD507</f>
        <v>0</v>
      </c>
      <c s="125">
        <f>'Операционные затраты'!BE507</f>
        <v>0</v>
      </c>
      <c s="125">
        <f>'Операционные затраты'!BF507</f>
        <v>0</v>
      </c>
      <c s="125">
        <f>'Операционные затраты'!BG507</f>
        <v>0</v>
      </c>
      <c s="125">
        <f>'Операционные затраты'!BH507</f>
        <v>0</v>
      </c>
      <c s="125">
        <f>'Операционные затраты'!BI507</f>
        <v>0</v>
      </c>
      <c s="125">
        <f>'Операционные затраты'!BJ507</f>
        <v>0</v>
      </c>
      <c s="125">
        <f>'Операционные затраты'!BK507</f>
        <v>0</v>
      </c>
      <c s="125">
        <f>'Операционные затраты'!BL507</f>
        <v>0</v>
      </c>
      <c s="125">
        <f>'Операционные затраты'!BM507</f>
        <v>0</v>
      </c>
    </row>
    <row r="16" spans="2:65" ht="15" customHeight="1">
      <c r="B16" s="12" t="str">
        <f>IF(ISBLANK(Предпосылки!B123),"-",Предпосылки!B123)</f>
        <v>Продукт 2</v>
      </c>
      <c s="124" t="str">
        <f t="shared" si="31"/>
        <v>тыс. руб.</v>
      </c>
      <c s="125"/>
      <c s="125">
        <f>'Операционные затраты'!E508</f>
        <v>0</v>
      </c>
      <c s="125">
        <f>'Операционные затраты'!F508</f>
        <v>0</v>
      </c>
      <c s="125">
        <f>'Операционные затраты'!G508</f>
        <v>0</v>
      </c>
      <c s="125">
        <f>'Операционные затраты'!H508</f>
        <v>0</v>
      </c>
      <c s="125">
        <f>'Операционные затраты'!I508</f>
        <v>0</v>
      </c>
      <c s="125">
        <f>'Операционные затраты'!J508</f>
        <v>0</v>
      </c>
      <c s="125">
        <f>'Операционные затраты'!K508</f>
        <v>0</v>
      </c>
      <c s="125">
        <f>'Операционные затраты'!L508</f>
        <v>0</v>
      </c>
      <c s="125">
        <f>'Операционные затраты'!M508</f>
        <v>0</v>
      </c>
      <c s="125">
        <f>'Операционные затраты'!N508</f>
        <v>0</v>
      </c>
      <c s="125">
        <f>'Операционные затраты'!O508</f>
        <v>0</v>
      </c>
      <c s="125">
        <f>'Операционные затраты'!P508</f>
        <v>0</v>
      </c>
      <c s="125">
        <f>'Операционные затраты'!Q508</f>
        <v>0</v>
      </c>
      <c s="125">
        <f>'Операционные затраты'!R508</f>
        <v>0</v>
      </c>
      <c s="125">
        <f>'Операционные затраты'!S508</f>
        <v>0</v>
      </c>
      <c s="125">
        <f>'Операционные затраты'!T508</f>
        <v>0</v>
      </c>
      <c s="125">
        <f>'Операционные затраты'!U508</f>
        <v>0</v>
      </c>
      <c s="125">
        <f>'Операционные затраты'!V508</f>
        <v>0</v>
      </c>
      <c s="125">
        <f>'Операционные затраты'!W508</f>
        <v>0</v>
      </c>
      <c s="125">
        <f>'Операционные затраты'!X508</f>
        <v>0</v>
      </c>
      <c s="125">
        <f>'Операционные затраты'!Y508</f>
        <v>0</v>
      </c>
      <c s="125">
        <f>'Операционные затраты'!Z508</f>
        <v>0</v>
      </c>
      <c s="125">
        <f>'Операционные затраты'!AA508</f>
        <v>0</v>
      </c>
      <c s="125">
        <f>'Операционные затраты'!AB508</f>
        <v>0</v>
      </c>
      <c s="125">
        <f>'Операционные затраты'!AC508</f>
        <v>0</v>
      </c>
      <c s="125">
        <f>'Операционные затраты'!AD508</f>
        <v>0</v>
      </c>
      <c s="125">
        <f>'Операционные затраты'!AE508</f>
        <v>0</v>
      </c>
      <c s="125">
        <f>'Операционные затраты'!AF508</f>
        <v>0</v>
      </c>
      <c s="125">
        <f>'Операционные затраты'!AG508</f>
        <v>0</v>
      </c>
      <c s="125">
        <f>'Операционные затраты'!AH508</f>
        <v>0</v>
      </c>
      <c s="125">
        <f>'Операционные затраты'!AI508</f>
        <v>0</v>
      </c>
      <c s="125">
        <f>'Операционные затраты'!AJ508</f>
        <v>0</v>
      </c>
      <c s="125">
        <f>'Операционные затраты'!AK508</f>
        <v>0</v>
      </c>
      <c s="125">
        <f>'Операционные затраты'!AL508</f>
        <v>0</v>
      </c>
      <c s="125">
        <f>'Операционные затраты'!AM508</f>
        <v>0</v>
      </c>
      <c s="125">
        <f>'Операционные затраты'!AN508</f>
        <v>0</v>
      </c>
      <c s="125">
        <f>'Операционные затраты'!AO508</f>
        <v>0</v>
      </c>
      <c s="125">
        <f>'Операционные затраты'!AP508</f>
        <v>0</v>
      </c>
      <c s="125">
        <f>'Операционные затраты'!AQ508</f>
        <v>0</v>
      </c>
      <c s="125">
        <f>'Операционные затраты'!AR508</f>
        <v>0</v>
      </c>
      <c s="125">
        <f>'Операционные затраты'!AS508</f>
        <v>0</v>
      </c>
      <c s="125">
        <f>'Операционные затраты'!AT508</f>
        <v>0</v>
      </c>
      <c s="125">
        <f>'Операционные затраты'!AU508</f>
        <v>0</v>
      </c>
      <c s="125">
        <f>'Операционные затраты'!AV508</f>
        <v>0</v>
      </c>
      <c s="125">
        <f>'Операционные затраты'!AW508</f>
        <v>0</v>
      </c>
      <c s="125">
        <f>'Операционные затраты'!AX508</f>
        <v>0</v>
      </c>
      <c s="125">
        <f>'Операционные затраты'!AY508</f>
        <v>0</v>
      </c>
      <c s="125">
        <f>'Операционные затраты'!AZ508</f>
        <v>0</v>
      </c>
      <c s="125">
        <f>'Операционные затраты'!BA508</f>
        <v>0</v>
      </c>
      <c s="125">
        <f>'Операционные затраты'!BB508</f>
        <v>0</v>
      </c>
      <c s="125">
        <f>'Операционные затраты'!BC508</f>
        <v>0</v>
      </c>
      <c s="125">
        <f>'Операционные затраты'!BD508</f>
        <v>0</v>
      </c>
      <c s="125">
        <f>'Операционные затраты'!BE508</f>
        <v>0</v>
      </c>
      <c s="125">
        <f>'Операционные затраты'!BF508</f>
        <v>0</v>
      </c>
      <c s="125">
        <f>'Операционные затраты'!BG508</f>
        <v>0</v>
      </c>
      <c s="125">
        <f>'Операционные затраты'!BH508</f>
        <v>0</v>
      </c>
      <c s="125">
        <f>'Операционные затраты'!BI508</f>
        <v>0</v>
      </c>
      <c s="125">
        <f>'Операционные затраты'!BJ508</f>
        <v>0</v>
      </c>
      <c s="125">
        <f>'Операционные затраты'!BK508</f>
        <v>0</v>
      </c>
      <c s="125">
        <f>'Операционные затраты'!BL508</f>
        <v>0</v>
      </c>
      <c s="125">
        <f>'Операционные затраты'!BM508</f>
        <v>0</v>
      </c>
    </row>
    <row r="17" spans="2:65" ht="15" customHeight="1">
      <c r="B17" s="12" t="str">
        <f>IF(ISBLANK(Предпосылки!B124),"-",Предпосылки!B124)</f>
        <v>Продукт 3</v>
      </c>
      <c s="124" t="str">
        <f t="shared" si="31"/>
        <v>тыс. руб.</v>
      </c>
      <c s="125"/>
      <c s="125">
        <f>'Операционные затраты'!E509</f>
        <v>0</v>
      </c>
      <c s="125">
        <f>'Операционные затраты'!F509</f>
        <v>0</v>
      </c>
      <c s="125">
        <f>'Операционные затраты'!G509</f>
        <v>0</v>
      </c>
      <c s="125">
        <f>'Операционные затраты'!H509</f>
        <v>0</v>
      </c>
      <c s="125">
        <f>'Операционные затраты'!I509</f>
        <v>0</v>
      </c>
      <c s="125">
        <f>'Операционные затраты'!J509</f>
        <v>0</v>
      </c>
      <c s="125">
        <f>'Операционные затраты'!K509</f>
        <v>0</v>
      </c>
      <c s="125">
        <f>'Операционные затраты'!L509</f>
        <v>0</v>
      </c>
      <c s="125">
        <f>'Операционные затраты'!M509</f>
        <v>0</v>
      </c>
      <c s="125">
        <f>'Операционные затраты'!N509</f>
        <v>0</v>
      </c>
      <c s="125">
        <f>'Операционные затраты'!O509</f>
        <v>0</v>
      </c>
      <c s="125">
        <f>'Операционные затраты'!P509</f>
        <v>0</v>
      </c>
      <c s="125">
        <f>'Операционные затраты'!Q509</f>
        <v>0</v>
      </c>
      <c s="125">
        <f>'Операционные затраты'!R509</f>
        <v>0</v>
      </c>
      <c s="125">
        <f>'Операционные затраты'!S509</f>
        <v>0</v>
      </c>
      <c s="125">
        <f>'Операционные затраты'!T509</f>
        <v>0</v>
      </c>
      <c s="125">
        <f>'Операционные затраты'!U509</f>
        <v>0</v>
      </c>
      <c s="125">
        <f>'Операционные затраты'!V509</f>
        <v>0</v>
      </c>
      <c s="125">
        <f>'Операционные затраты'!W509</f>
        <v>0</v>
      </c>
      <c s="125">
        <f>'Операционные затраты'!X509</f>
        <v>0</v>
      </c>
      <c s="125">
        <f>'Операционные затраты'!Y509</f>
        <v>0</v>
      </c>
      <c s="125">
        <f>'Операционные затраты'!Z509</f>
        <v>0</v>
      </c>
      <c s="125">
        <f>'Операционные затраты'!AA509</f>
        <v>0</v>
      </c>
      <c s="125">
        <f>'Операционные затраты'!AB509</f>
        <v>0</v>
      </c>
      <c s="125">
        <f>'Операционные затраты'!AC509</f>
        <v>0</v>
      </c>
      <c s="125">
        <f>'Операционные затраты'!AD509</f>
        <v>0</v>
      </c>
      <c s="125">
        <f>'Операционные затраты'!AE509</f>
        <v>0</v>
      </c>
      <c s="125">
        <f>'Операционные затраты'!AF509</f>
        <v>0</v>
      </c>
      <c s="125">
        <f>'Операционные затраты'!AG509</f>
        <v>0</v>
      </c>
      <c s="125">
        <f>'Операционные затраты'!AH509</f>
        <v>0</v>
      </c>
      <c s="125">
        <f>'Операционные затраты'!AI509</f>
        <v>0</v>
      </c>
      <c s="125">
        <f>'Операционные затраты'!AJ509</f>
        <v>0</v>
      </c>
      <c s="125">
        <f>'Операционные затраты'!AK509</f>
        <v>0</v>
      </c>
      <c s="125">
        <f>'Операционные затраты'!AL509</f>
        <v>0</v>
      </c>
      <c s="125">
        <f>'Операционные затраты'!AM509</f>
        <v>0</v>
      </c>
      <c s="125">
        <f>'Операционные затраты'!AN509</f>
        <v>0</v>
      </c>
      <c s="125">
        <f>'Операционные затраты'!AO509</f>
        <v>0</v>
      </c>
      <c s="125">
        <f>'Операционные затраты'!AP509</f>
        <v>0</v>
      </c>
      <c s="125">
        <f>'Операционные затраты'!AQ509</f>
        <v>0</v>
      </c>
      <c s="125">
        <f>'Операционные затраты'!AR509</f>
        <v>0</v>
      </c>
      <c s="125">
        <f>'Операционные затраты'!AS509</f>
        <v>0</v>
      </c>
      <c s="125">
        <f>'Операционные затраты'!AT509</f>
        <v>0</v>
      </c>
      <c s="125">
        <f>'Операционные затраты'!AU509</f>
        <v>0</v>
      </c>
      <c s="125">
        <f>'Операционные затраты'!AV509</f>
        <v>0</v>
      </c>
      <c s="125">
        <f>'Операционные затраты'!AW509</f>
        <v>0</v>
      </c>
      <c s="125">
        <f>'Операционные затраты'!AX509</f>
        <v>0</v>
      </c>
      <c s="125">
        <f>'Операционные затраты'!AY509</f>
        <v>0</v>
      </c>
      <c s="125">
        <f>'Операционные затраты'!AZ509</f>
        <v>0</v>
      </c>
      <c s="125">
        <f>'Операционные затраты'!BA509</f>
        <v>0</v>
      </c>
      <c s="125">
        <f>'Операционные затраты'!BB509</f>
        <v>0</v>
      </c>
      <c s="125">
        <f>'Операционные затраты'!BC509</f>
        <v>0</v>
      </c>
      <c s="125">
        <f>'Операционные затраты'!BD509</f>
        <v>0</v>
      </c>
      <c s="125">
        <f>'Операционные затраты'!BE509</f>
        <v>0</v>
      </c>
      <c s="125">
        <f>'Операционные затраты'!BF509</f>
        <v>0</v>
      </c>
      <c s="125">
        <f>'Операционные затраты'!BG509</f>
        <v>0</v>
      </c>
      <c s="125">
        <f>'Операционные затраты'!BH509</f>
        <v>0</v>
      </c>
      <c s="125">
        <f>'Операционные затраты'!BI509</f>
        <v>0</v>
      </c>
      <c s="125">
        <f>'Операционные затраты'!BJ509</f>
        <v>0</v>
      </c>
      <c s="125">
        <f>'Операционные затраты'!BK509</f>
        <v>0</v>
      </c>
      <c s="125">
        <f>'Операционные затраты'!BL509</f>
        <v>0</v>
      </c>
      <c s="125">
        <f>'Операционные затраты'!BM509</f>
        <v>0</v>
      </c>
    </row>
    <row r="18" spans="2:65" ht="15" customHeight="1">
      <c r="B18" s="12" t="str">
        <f>IF(ISBLANK(Предпосылки!B125),"-",Предпосылки!B125)</f>
        <v>Продукт 4</v>
      </c>
      <c s="124" t="str">
        <f t="shared" si="31"/>
        <v>тыс. руб.</v>
      </c>
      <c s="125"/>
      <c s="125">
        <f>'Операционные затраты'!E510</f>
        <v>0</v>
      </c>
      <c s="125">
        <f>'Операционные затраты'!F510</f>
        <v>0</v>
      </c>
      <c s="125">
        <f>'Операционные затраты'!G510</f>
        <v>0</v>
      </c>
      <c s="125">
        <f>'Операционные затраты'!H510</f>
        <v>0</v>
      </c>
      <c s="125">
        <f>'Операционные затраты'!I510</f>
        <v>0</v>
      </c>
      <c s="125">
        <f>'Операционные затраты'!J510</f>
        <v>0</v>
      </c>
      <c s="125">
        <f>'Операционные затраты'!K510</f>
        <v>0</v>
      </c>
      <c s="125">
        <f>'Операционные затраты'!L510</f>
        <v>0</v>
      </c>
      <c s="125">
        <f>'Операционные затраты'!M510</f>
        <v>0</v>
      </c>
      <c s="125">
        <f>'Операционные затраты'!N510</f>
        <v>0</v>
      </c>
      <c s="125">
        <f>'Операционные затраты'!O510</f>
        <v>0</v>
      </c>
      <c s="125">
        <f>'Операционные затраты'!P510</f>
        <v>0</v>
      </c>
      <c s="125">
        <f>'Операционные затраты'!Q510</f>
        <v>0</v>
      </c>
      <c s="125">
        <f>'Операционные затраты'!R510</f>
        <v>0</v>
      </c>
      <c s="125">
        <f>'Операционные затраты'!S510</f>
        <v>0</v>
      </c>
      <c s="125">
        <f>'Операционные затраты'!T510</f>
        <v>0</v>
      </c>
      <c s="125">
        <f>'Операционные затраты'!U510</f>
        <v>0</v>
      </c>
      <c s="125">
        <f>'Операционные затраты'!V510</f>
        <v>0</v>
      </c>
      <c s="125">
        <f>'Операционные затраты'!W510</f>
        <v>0</v>
      </c>
      <c s="125">
        <f>'Операционные затраты'!X510</f>
        <v>0</v>
      </c>
      <c s="125">
        <f>'Операционные затраты'!Y510</f>
        <v>0</v>
      </c>
      <c s="125">
        <f>'Операционные затраты'!Z510</f>
        <v>0</v>
      </c>
      <c s="125">
        <f>'Операционные затраты'!AA510</f>
        <v>0</v>
      </c>
      <c s="125">
        <f>'Операционные затраты'!AB510</f>
        <v>0</v>
      </c>
      <c s="125">
        <f>'Операционные затраты'!AC510</f>
        <v>0</v>
      </c>
      <c s="125">
        <f>'Операционные затраты'!AD510</f>
        <v>0</v>
      </c>
      <c s="125">
        <f>'Операционные затраты'!AE510</f>
        <v>0</v>
      </c>
      <c s="125">
        <f>'Операционные затраты'!AF510</f>
        <v>0</v>
      </c>
      <c s="125">
        <f>'Операционные затраты'!AG510</f>
        <v>0</v>
      </c>
      <c s="125">
        <f>'Операционные затраты'!AH510</f>
        <v>0</v>
      </c>
      <c s="125">
        <f>'Операционные затраты'!AI510</f>
        <v>0</v>
      </c>
      <c s="125">
        <f>'Операционные затраты'!AJ510</f>
        <v>0</v>
      </c>
      <c s="125">
        <f>'Операционные затраты'!AK510</f>
        <v>0</v>
      </c>
      <c s="125">
        <f>'Операционные затраты'!AL510</f>
        <v>0</v>
      </c>
      <c s="125">
        <f>'Операционные затраты'!AM510</f>
        <v>0</v>
      </c>
      <c s="125">
        <f>'Операционные затраты'!AN510</f>
        <v>0</v>
      </c>
      <c s="125">
        <f>'Операционные затраты'!AO510</f>
        <v>0</v>
      </c>
      <c s="125">
        <f>'Операционные затраты'!AP510</f>
        <v>0</v>
      </c>
      <c s="125">
        <f>'Операционные затраты'!AQ510</f>
        <v>0</v>
      </c>
      <c s="125">
        <f>'Операционные затраты'!AR510</f>
        <v>0</v>
      </c>
      <c s="125">
        <f>'Операционные затраты'!AS510</f>
        <v>0</v>
      </c>
      <c s="125">
        <f>'Операционные затраты'!AT510</f>
        <v>0</v>
      </c>
      <c s="125">
        <f>'Операционные затраты'!AU510</f>
        <v>0</v>
      </c>
      <c s="125">
        <f>'Операционные затраты'!AV510</f>
        <v>0</v>
      </c>
      <c s="125">
        <f>'Операционные затраты'!AW510</f>
        <v>0</v>
      </c>
      <c s="125">
        <f>'Операционные затраты'!AX510</f>
        <v>0</v>
      </c>
      <c s="125">
        <f>'Операционные затраты'!AY510</f>
        <v>0</v>
      </c>
      <c s="125">
        <f>'Операционные затраты'!AZ510</f>
        <v>0</v>
      </c>
      <c s="125">
        <f>'Операционные затраты'!BA510</f>
        <v>0</v>
      </c>
      <c s="125">
        <f>'Операционные затраты'!BB510</f>
        <v>0</v>
      </c>
      <c s="125">
        <f>'Операционные затраты'!BC510</f>
        <v>0</v>
      </c>
      <c s="125">
        <f>'Операционные затраты'!BD510</f>
        <v>0</v>
      </c>
      <c s="125">
        <f>'Операционные затраты'!BE510</f>
        <v>0</v>
      </c>
      <c s="125">
        <f>'Операционные затраты'!BF510</f>
        <v>0</v>
      </c>
      <c s="125">
        <f>'Операционные затраты'!BG510</f>
        <v>0</v>
      </c>
      <c s="125">
        <f>'Операционные затраты'!BH510</f>
        <v>0</v>
      </c>
      <c s="125">
        <f>'Операционные затраты'!BI510</f>
        <v>0</v>
      </c>
      <c s="125">
        <f>'Операционные затраты'!BJ510</f>
        <v>0</v>
      </c>
      <c s="125">
        <f>'Операционные затраты'!BK510</f>
        <v>0</v>
      </c>
      <c s="125">
        <f>'Операционные затраты'!BL510</f>
        <v>0</v>
      </c>
      <c s="125">
        <f>'Операционные затраты'!BM510</f>
        <v>0</v>
      </c>
    </row>
    <row r="19" spans="2:65" ht="15" customHeight="1">
      <c r="B19" s="12" t="str">
        <f>IF(ISBLANK(Предпосылки!B126),"-",Предпосылки!B126)</f>
        <v>Продукт 5</v>
      </c>
      <c s="124" t="str">
        <f t="shared" si="31"/>
        <v>тыс. руб.</v>
      </c>
      <c s="125"/>
      <c s="125">
        <f>'Операционные затраты'!E511</f>
        <v>0</v>
      </c>
      <c s="125">
        <f>'Операционные затраты'!F511</f>
        <v>0</v>
      </c>
      <c s="125">
        <f>'Операционные затраты'!G511</f>
        <v>0</v>
      </c>
      <c s="125">
        <f>'Операционные затраты'!H511</f>
        <v>0</v>
      </c>
      <c s="125">
        <f>'Операционные затраты'!I511</f>
        <v>0</v>
      </c>
      <c s="125">
        <f>'Операционные затраты'!J511</f>
        <v>0</v>
      </c>
      <c s="125">
        <f>'Операционные затраты'!K511</f>
        <v>0</v>
      </c>
      <c s="125">
        <f>'Операционные затраты'!L511</f>
        <v>0</v>
      </c>
      <c s="125">
        <f>'Операционные затраты'!M511</f>
        <v>0</v>
      </c>
      <c s="125">
        <f>'Операционные затраты'!N511</f>
        <v>0</v>
      </c>
      <c s="125">
        <f>'Операционные затраты'!O511</f>
        <v>0</v>
      </c>
      <c s="125">
        <f>'Операционные затраты'!P511</f>
        <v>0</v>
      </c>
      <c s="125">
        <f>'Операционные затраты'!Q511</f>
        <v>0</v>
      </c>
      <c s="125">
        <f>'Операционные затраты'!R511</f>
        <v>0</v>
      </c>
      <c s="125">
        <f>'Операционные затраты'!S511</f>
        <v>0</v>
      </c>
      <c s="125">
        <f>'Операционные затраты'!T511</f>
        <v>0</v>
      </c>
      <c s="125">
        <f>'Операционные затраты'!U511</f>
        <v>0</v>
      </c>
      <c s="125">
        <f>'Операционные затраты'!V511</f>
        <v>0</v>
      </c>
      <c s="125">
        <f>'Операционные затраты'!W511</f>
        <v>0</v>
      </c>
      <c s="125">
        <f>'Операционные затраты'!X511</f>
        <v>0</v>
      </c>
      <c s="125">
        <f>'Операционные затраты'!Y511</f>
        <v>0</v>
      </c>
      <c s="125">
        <f>'Операционные затраты'!Z511</f>
        <v>0</v>
      </c>
      <c s="125">
        <f>'Операционные затраты'!AA511</f>
        <v>0</v>
      </c>
      <c s="125">
        <f>'Операционные затраты'!AB511</f>
        <v>0</v>
      </c>
      <c s="125">
        <f>'Операционные затраты'!AC511</f>
        <v>0</v>
      </c>
      <c s="125">
        <f>'Операционные затраты'!AD511</f>
        <v>0</v>
      </c>
      <c s="125">
        <f>'Операционные затраты'!AE511</f>
        <v>0</v>
      </c>
      <c s="125">
        <f>'Операционные затраты'!AF511</f>
        <v>0</v>
      </c>
      <c s="125">
        <f>'Операционные затраты'!AG511</f>
        <v>0</v>
      </c>
      <c s="125">
        <f>'Операционные затраты'!AH511</f>
        <v>0</v>
      </c>
      <c s="125">
        <f>'Операционные затраты'!AI511</f>
        <v>0</v>
      </c>
      <c s="125">
        <f>'Операционные затраты'!AJ511</f>
        <v>0</v>
      </c>
      <c s="125">
        <f>'Операционные затраты'!AK511</f>
        <v>0</v>
      </c>
      <c s="125">
        <f>'Операционные затраты'!AL511</f>
        <v>0</v>
      </c>
      <c s="125">
        <f>'Операционные затраты'!AM511</f>
        <v>0</v>
      </c>
      <c s="125">
        <f>'Операционные затраты'!AN511</f>
        <v>0</v>
      </c>
      <c s="125">
        <f>'Операционные затраты'!AO511</f>
        <v>0</v>
      </c>
      <c s="125">
        <f>'Операционные затраты'!AP511</f>
        <v>0</v>
      </c>
      <c s="125">
        <f>'Операционные затраты'!AQ511</f>
        <v>0</v>
      </c>
      <c s="125">
        <f>'Операционные затраты'!AR511</f>
        <v>0</v>
      </c>
      <c s="125">
        <f>'Операционные затраты'!AS511</f>
        <v>0</v>
      </c>
      <c s="125">
        <f>'Операционные затраты'!AT511</f>
        <v>0</v>
      </c>
      <c s="125">
        <f>'Операционные затраты'!AU511</f>
        <v>0</v>
      </c>
      <c s="125">
        <f>'Операционные затраты'!AV511</f>
        <v>0</v>
      </c>
      <c s="125">
        <f>'Операционные затраты'!AW511</f>
        <v>0</v>
      </c>
      <c s="125">
        <f>'Операционные затраты'!AX511</f>
        <v>0</v>
      </c>
      <c s="125">
        <f>'Операционные затраты'!AY511</f>
        <v>0</v>
      </c>
      <c s="125">
        <f>'Операционные затраты'!AZ511</f>
        <v>0</v>
      </c>
      <c s="125">
        <f>'Операционные затраты'!BA511</f>
        <v>0</v>
      </c>
      <c s="125">
        <f>'Операционные затраты'!BB511</f>
        <v>0</v>
      </c>
      <c s="125">
        <f>'Операционные затраты'!BC511</f>
        <v>0</v>
      </c>
      <c s="125">
        <f>'Операционные затраты'!BD511</f>
        <v>0</v>
      </c>
      <c s="125">
        <f>'Операционные затраты'!BE511</f>
        <v>0</v>
      </c>
      <c s="125">
        <f>'Операционные затраты'!BF511</f>
        <v>0</v>
      </c>
      <c s="125">
        <f>'Операционные затраты'!BG511</f>
        <v>0</v>
      </c>
      <c s="125">
        <f>'Операционные затраты'!BH511</f>
        <v>0</v>
      </c>
      <c s="125">
        <f>'Операционные затраты'!BI511</f>
        <v>0</v>
      </c>
      <c s="125">
        <f>'Операционные затраты'!BJ511</f>
        <v>0</v>
      </c>
      <c s="125">
        <f>'Операционные затраты'!BK511</f>
        <v>0</v>
      </c>
      <c s="125">
        <f>'Операционные затраты'!BL511</f>
        <v>0</v>
      </c>
      <c s="125">
        <f>'Операционные затраты'!BM511</f>
        <v>0</v>
      </c>
    </row>
    <row r="20" spans="2:65" ht="15" customHeight="1">
      <c r="B20" s="12" t="str">
        <f>IF(ISBLANK(Предпосылки!B127),"-",Предпосылки!B127)</f>
        <v>Продукт 6</v>
      </c>
      <c s="124" t="str">
        <f t="shared" si="31"/>
        <v>тыс. руб.</v>
      </c>
      <c s="125"/>
      <c s="125">
        <f>'Операционные затраты'!E512</f>
        <v>0</v>
      </c>
      <c s="125">
        <f>'Операционные затраты'!F512</f>
        <v>0</v>
      </c>
      <c s="125">
        <f>'Операционные затраты'!G512</f>
        <v>0</v>
      </c>
      <c s="125">
        <f>'Операционные затраты'!H512</f>
        <v>0</v>
      </c>
      <c s="125">
        <f>'Операционные затраты'!I512</f>
        <v>0</v>
      </c>
      <c s="125">
        <f>'Операционные затраты'!J512</f>
        <v>0</v>
      </c>
      <c s="125">
        <f>'Операционные затраты'!K512</f>
        <v>0</v>
      </c>
      <c s="125">
        <f>'Операционные затраты'!L512</f>
        <v>0</v>
      </c>
      <c s="125">
        <f>'Операционные затраты'!M512</f>
        <v>0</v>
      </c>
      <c s="125">
        <f>'Операционные затраты'!N512</f>
        <v>0</v>
      </c>
      <c s="125">
        <f>'Операционные затраты'!O512</f>
        <v>0</v>
      </c>
      <c s="125">
        <f>'Операционные затраты'!P512</f>
        <v>0</v>
      </c>
      <c s="125">
        <f>'Операционные затраты'!Q512</f>
        <v>0</v>
      </c>
      <c s="125">
        <f>'Операционные затраты'!R512</f>
        <v>0</v>
      </c>
      <c s="125">
        <f>'Операционные затраты'!S512</f>
        <v>0</v>
      </c>
      <c s="125">
        <f>'Операционные затраты'!T512</f>
        <v>0</v>
      </c>
      <c s="125">
        <f>'Операционные затраты'!U512</f>
        <v>0</v>
      </c>
      <c s="125">
        <f>'Операционные затраты'!V512</f>
        <v>0</v>
      </c>
      <c s="125">
        <f>'Операционные затраты'!W512</f>
        <v>0</v>
      </c>
      <c s="125">
        <f>'Операционные затраты'!X512</f>
        <v>0</v>
      </c>
      <c s="125">
        <f>'Операционные затраты'!Y512</f>
        <v>0</v>
      </c>
      <c s="125">
        <f>'Операционные затраты'!Z512</f>
        <v>0</v>
      </c>
      <c s="125">
        <f>'Операционные затраты'!AA512</f>
        <v>0</v>
      </c>
      <c s="125">
        <f>'Операционные затраты'!AB512</f>
        <v>0</v>
      </c>
      <c s="125">
        <f>'Операционные затраты'!AC512</f>
        <v>0</v>
      </c>
      <c s="125">
        <f>'Операционные затраты'!AD512</f>
        <v>0</v>
      </c>
      <c s="125">
        <f>'Операционные затраты'!AE512</f>
        <v>0</v>
      </c>
      <c s="125">
        <f>'Операционные затраты'!AF512</f>
        <v>0</v>
      </c>
      <c s="125">
        <f>'Операционные затраты'!AG512</f>
        <v>0</v>
      </c>
      <c s="125">
        <f>'Операционные затраты'!AH512</f>
        <v>0</v>
      </c>
      <c s="125">
        <f>'Операционные затраты'!AI512</f>
        <v>0</v>
      </c>
      <c s="125">
        <f>'Операционные затраты'!AJ512</f>
        <v>0</v>
      </c>
      <c s="125">
        <f>'Операционные затраты'!AK512</f>
        <v>0</v>
      </c>
      <c s="125">
        <f>'Операционные затраты'!AL512</f>
        <v>0</v>
      </c>
      <c s="125">
        <f>'Операционные затраты'!AM512</f>
        <v>0</v>
      </c>
      <c s="125">
        <f>'Операционные затраты'!AN512</f>
        <v>0</v>
      </c>
      <c s="125">
        <f>'Операционные затраты'!AO512</f>
        <v>0</v>
      </c>
      <c s="125">
        <f>'Операционные затраты'!AP512</f>
        <v>0</v>
      </c>
      <c s="125">
        <f>'Операционные затраты'!AQ512</f>
        <v>0</v>
      </c>
      <c s="125">
        <f>'Операционные затраты'!AR512</f>
        <v>0</v>
      </c>
      <c s="125">
        <f>'Операционные затраты'!AS512</f>
        <v>0</v>
      </c>
      <c s="125">
        <f>'Операционные затраты'!AT512</f>
        <v>0</v>
      </c>
      <c s="125">
        <f>'Операционные затраты'!AU512</f>
        <v>0</v>
      </c>
      <c s="125">
        <f>'Операционные затраты'!AV512</f>
        <v>0</v>
      </c>
      <c s="125">
        <f>'Операционные затраты'!AW512</f>
        <v>0</v>
      </c>
      <c s="125">
        <f>'Операционные затраты'!AX512</f>
        <v>0</v>
      </c>
      <c s="125">
        <f>'Операционные затраты'!AY512</f>
        <v>0</v>
      </c>
      <c s="125">
        <f>'Операционные затраты'!AZ512</f>
        <v>0</v>
      </c>
      <c s="125">
        <f>'Операционные затраты'!BA512</f>
        <v>0</v>
      </c>
      <c s="125">
        <f>'Операционные затраты'!BB512</f>
        <v>0</v>
      </c>
      <c s="125">
        <f>'Операционные затраты'!BC512</f>
        <v>0</v>
      </c>
      <c s="125">
        <f>'Операционные затраты'!BD512</f>
        <v>0</v>
      </c>
      <c s="125">
        <f>'Операционные затраты'!BE512</f>
        <v>0</v>
      </c>
      <c s="125">
        <f>'Операционные затраты'!BF512</f>
        <v>0</v>
      </c>
      <c s="125">
        <f>'Операционные затраты'!BG512</f>
        <v>0</v>
      </c>
      <c s="125">
        <f>'Операционные затраты'!BH512</f>
        <v>0</v>
      </c>
      <c s="125">
        <f>'Операционные затраты'!BI512</f>
        <v>0</v>
      </c>
      <c s="125">
        <f>'Операционные затраты'!BJ512</f>
        <v>0</v>
      </c>
      <c s="125">
        <f>'Операционные затраты'!BK512</f>
        <v>0</v>
      </c>
      <c s="125">
        <f>'Операционные затраты'!BL512</f>
        <v>0</v>
      </c>
      <c s="125">
        <f>'Операционные затраты'!BM512</f>
        <v>0</v>
      </c>
    </row>
    <row r="21" spans="2:65" ht="15" customHeight="1">
      <c r="B21" s="12" t="str">
        <f>IF(ISBLANK(Предпосылки!B128),"-",Предпосылки!B128)</f>
        <v>Продукт 7</v>
      </c>
      <c s="124" t="str">
        <f t="shared" si="31"/>
        <v>тыс. руб.</v>
      </c>
      <c s="125"/>
      <c s="125">
        <f>'Операционные затраты'!E513</f>
        <v>0</v>
      </c>
      <c s="125">
        <f>'Операционные затраты'!F513</f>
        <v>0</v>
      </c>
      <c s="125">
        <f>'Операционные затраты'!G513</f>
        <v>0</v>
      </c>
      <c s="125">
        <f>'Операционные затраты'!H513</f>
        <v>0</v>
      </c>
      <c s="125">
        <f>'Операционные затраты'!I513</f>
        <v>0</v>
      </c>
      <c s="125">
        <f>'Операционные затраты'!J513</f>
        <v>0</v>
      </c>
      <c s="125">
        <f>'Операционные затраты'!K513</f>
        <v>0</v>
      </c>
      <c s="125">
        <f>'Операционные затраты'!L513</f>
        <v>0</v>
      </c>
      <c s="125">
        <f>'Операционные затраты'!M513</f>
        <v>0</v>
      </c>
      <c s="125">
        <f>'Операционные затраты'!N513</f>
        <v>0</v>
      </c>
      <c s="125">
        <f>'Операционные затраты'!O513</f>
        <v>0</v>
      </c>
      <c s="125">
        <f>'Операционные затраты'!P513</f>
        <v>0</v>
      </c>
      <c s="125">
        <f>'Операционные затраты'!Q513</f>
        <v>0</v>
      </c>
      <c s="125">
        <f>'Операционные затраты'!R513</f>
        <v>0</v>
      </c>
      <c s="125">
        <f>'Операционные затраты'!S513</f>
        <v>0</v>
      </c>
      <c s="125">
        <f>'Операционные затраты'!T513</f>
        <v>0</v>
      </c>
      <c s="125">
        <f>'Операционные затраты'!U513</f>
        <v>0</v>
      </c>
      <c s="125">
        <f>'Операционные затраты'!V513</f>
        <v>0</v>
      </c>
      <c s="125">
        <f>'Операционные затраты'!W513</f>
        <v>0</v>
      </c>
      <c s="125">
        <f>'Операционные затраты'!X513</f>
        <v>0</v>
      </c>
      <c s="125">
        <f>'Операционные затраты'!Y513</f>
        <v>0</v>
      </c>
      <c s="125">
        <f>'Операционные затраты'!Z513</f>
        <v>0</v>
      </c>
      <c s="125">
        <f>'Операционные затраты'!AA513</f>
        <v>0</v>
      </c>
      <c s="125">
        <f>'Операционные затраты'!AB513</f>
        <v>0</v>
      </c>
      <c s="125">
        <f>'Операционные затраты'!AC513</f>
        <v>0</v>
      </c>
      <c s="125">
        <f>'Операционные затраты'!AD513</f>
        <v>0</v>
      </c>
      <c s="125">
        <f>'Операционные затраты'!AE513</f>
        <v>0</v>
      </c>
      <c s="125">
        <f>'Операционные затраты'!AF513</f>
        <v>0</v>
      </c>
      <c s="125">
        <f>'Операционные затраты'!AG513</f>
        <v>0</v>
      </c>
      <c s="125">
        <f>'Операционные затраты'!AH513</f>
        <v>0</v>
      </c>
      <c s="125">
        <f>'Операционные затраты'!AI513</f>
        <v>0</v>
      </c>
      <c s="125">
        <f>'Операционные затраты'!AJ513</f>
        <v>0</v>
      </c>
      <c s="125">
        <f>'Операционные затраты'!AK513</f>
        <v>0</v>
      </c>
      <c s="125">
        <f>'Операционные затраты'!AL513</f>
        <v>0</v>
      </c>
      <c s="125">
        <f>'Операционные затраты'!AM513</f>
        <v>0</v>
      </c>
      <c s="125">
        <f>'Операционные затраты'!AN513</f>
        <v>0</v>
      </c>
      <c s="125">
        <f>'Операционные затраты'!AO513</f>
        <v>0</v>
      </c>
      <c s="125">
        <f>'Операционные затраты'!AP513</f>
        <v>0</v>
      </c>
      <c s="125">
        <f>'Операционные затраты'!AQ513</f>
        <v>0</v>
      </c>
      <c s="125">
        <f>'Операционные затраты'!AR513</f>
        <v>0</v>
      </c>
      <c s="125">
        <f>'Операционные затраты'!AS513</f>
        <v>0</v>
      </c>
      <c s="125">
        <f>'Операционные затраты'!AT513</f>
        <v>0</v>
      </c>
      <c s="125">
        <f>'Операционные затраты'!AU513</f>
        <v>0</v>
      </c>
      <c s="125">
        <f>'Операционные затраты'!AV513</f>
        <v>0</v>
      </c>
      <c s="125">
        <f>'Операционные затраты'!AW513</f>
        <v>0</v>
      </c>
      <c s="125">
        <f>'Операционные затраты'!AX513</f>
        <v>0</v>
      </c>
      <c s="125">
        <f>'Операционные затраты'!AY513</f>
        <v>0</v>
      </c>
      <c s="125">
        <f>'Операционные затраты'!AZ513</f>
        <v>0</v>
      </c>
      <c s="125">
        <f>'Операционные затраты'!BA513</f>
        <v>0</v>
      </c>
      <c s="125">
        <f>'Операционные затраты'!BB513</f>
        <v>0</v>
      </c>
      <c s="125">
        <f>'Операционные затраты'!BC513</f>
        <v>0</v>
      </c>
      <c s="125">
        <f>'Операционные затраты'!BD513</f>
        <v>0</v>
      </c>
      <c s="125">
        <f>'Операционные затраты'!BE513</f>
        <v>0</v>
      </c>
      <c s="125">
        <f>'Операционные затраты'!BF513</f>
        <v>0</v>
      </c>
      <c s="125">
        <f>'Операционные затраты'!BG513</f>
        <v>0</v>
      </c>
      <c s="125">
        <f>'Операционные затраты'!BH513</f>
        <v>0</v>
      </c>
      <c s="125">
        <f>'Операционные затраты'!BI513</f>
        <v>0</v>
      </c>
      <c s="125">
        <f>'Операционные затраты'!BJ513</f>
        <v>0</v>
      </c>
      <c s="125">
        <f>'Операционные затраты'!BK513</f>
        <v>0</v>
      </c>
      <c s="125">
        <f>'Операционные затраты'!BL513</f>
        <v>0</v>
      </c>
      <c s="125">
        <f>'Операционные затраты'!BM513</f>
        <v>0</v>
      </c>
    </row>
    <row r="22" spans="2:65" ht="15" customHeight="1">
      <c r="B22" s="12" t="str">
        <f>IF(ISBLANK(Предпосылки!B129),"-",Предпосылки!B129)</f>
        <v>Продукт 8</v>
      </c>
      <c s="124" t="str">
        <f t="shared" si="31"/>
        <v>тыс. руб.</v>
      </c>
      <c s="125"/>
      <c s="125">
        <f>'Операционные затраты'!E514</f>
        <v>0</v>
      </c>
      <c s="125">
        <f>'Операционные затраты'!F514</f>
        <v>0</v>
      </c>
      <c s="125">
        <f>'Операционные затраты'!G514</f>
        <v>0</v>
      </c>
      <c s="125">
        <f>'Операционные затраты'!H514</f>
        <v>0</v>
      </c>
      <c s="125">
        <f>'Операционные затраты'!I514</f>
        <v>0</v>
      </c>
      <c s="125">
        <f>'Операционные затраты'!J514</f>
        <v>0</v>
      </c>
      <c s="125">
        <f>'Операционные затраты'!K514</f>
        <v>0</v>
      </c>
      <c s="125">
        <f>'Операционные затраты'!L514</f>
        <v>0</v>
      </c>
      <c s="125">
        <f>'Операционные затраты'!M514</f>
        <v>0</v>
      </c>
      <c s="125">
        <f>'Операционные затраты'!N514</f>
        <v>0</v>
      </c>
      <c s="125">
        <f>'Операционные затраты'!O514</f>
        <v>0</v>
      </c>
      <c s="125">
        <f>'Операционные затраты'!P514</f>
        <v>0</v>
      </c>
      <c s="125">
        <f>'Операционные затраты'!Q514</f>
        <v>0</v>
      </c>
      <c s="125">
        <f>'Операционные затраты'!R514</f>
        <v>0</v>
      </c>
      <c s="125">
        <f>'Операционные затраты'!S514</f>
        <v>0</v>
      </c>
      <c s="125">
        <f>'Операционные затраты'!T514</f>
        <v>0</v>
      </c>
      <c s="125">
        <f>'Операционные затраты'!U514</f>
        <v>0</v>
      </c>
      <c s="125">
        <f>'Операционные затраты'!V514</f>
        <v>0</v>
      </c>
      <c s="125">
        <f>'Операционные затраты'!W514</f>
        <v>0</v>
      </c>
      <c s="125">
        <f>'Операционные затраты'!X514</f>
        <v>0</v>
      </c>
      <c s="125">
        <f>'Операционные затраты'!Y514</f>
        <v>0</v>
      </c>
      <c s="125">
        <f>'Операционные затраты'!Z514</f>
        <v>0</v>
      </c>
      <c s="125">
        <f>'Операционные затраты'!AA514</f>
        <v>0</v>
      </c>
      <c s="125">
        <f>'Операционные затраты'!AB514</f>
        <v>0</v>
      </c>
      <c s="125">
        <f>'Операционные затраты'!AC514</f>
        <v>0</v>
      </c>
      <c s="125">
        <f>'Операционные затраты'!AD514</f>
        <v>0</v>
      </c>
      <c s="125">
        <f>'Операционные затраты'!AE514</f>
        <v>0</v>
      </c>
      <c s="125">
        <f>'Операционные затраты'!AF514</f>
        <v>0</v>
      </c>
      <c s="125">
        <f>'Операционные затраты'!AG514</f>
        <v>0</v>
      </c>
      <c s="125">
        <f>'Операционные затраты'!AH514</f>
        <v>0</v>
      </c>
      <c s="125">
        <f>'Операционные затраты'!AI514</f>
        <v>0</v>
      </c>
      <c s="125">
        <f>'Операционные затраты'!AJ514</f>
        <v>0</v>
      </c>
      <c s="125">
        <f>'Операционные затраты'!AK514</f>
        <v>0</v>
      </c>
      <c s="125">
        <f>'Операционные затраты'!AL514</f>
        <v>0</v>
      </c>
      <c s="125">
        <f>'Операционные затраты'!AM514</f>
        <v>0</v>
      </c>
      <c s="125">
        <f>'Операционные затраты'!AN514</f>
        <v>0</v>
      </c>
      <c s="125">
        <f>'Операционные затраты'!AO514</f>
        <v>0</v>
      </c>
      <c s="125">
        <f>'Операционные затраты'!AP514</f>
        <v>0</v>
      </c>
      <c s="125">
        <f>'Операционные затраты'!AQ514</f>
        <v>0</v>
      </c>
      <c s="125">
        <f>'Операционные затраты'!AR514</f>
        <v>0</v>
      </c>
      <c s="125">
        <f>'Операционные затраты'!AS514</f>
        <v>0</v>
      </c>
      <c s="125">
        <f>'Операционные затраты'!AT514</f>
        <v>0</v>
      </c>
      <c s="125">
        <f>'Операционные затраты'!AU514</f>
        <v>0</v>
      </c>
      <c s="125">
        <f>'Операционные затраты'!AV514</f>
        <v>0</v>
      </c>
      <c s="125">
        <f>'Операционные затраты'!AW514</f>
        <v>0</v>
      </c>
      <c s="125">
        <f>'Операционные затраты'!AX514</f>
        <v>0</v>
      </c>
      <c s="125">
        <f>'Операционные затраты'!AY514</f>
        <v>0</v>
      </c>
      <c s="125">
        <f>'Операционные затраты'!AZ514</f>
        <v>0</v>
      </c>
      <c s="125">
        <f>'Операционные затраты'!BA514</f>
        <v>0</v>
      </c>
      <c s="125">
        <f>'Операционные затраты'!BB514</f>
        <v>0</v>
      </c>
      <c s="125">
        <f>'Операционные затраты'!BC514</f>
        <v>0</v>
      </c>
      <c s="125">
        <f>'Операционные затраты'!BD514</f>
        <v>0</v>
      </c>
      <c s="125">
        <f>'Операционные затраты'!BE514</f>
        <v>0</v>
      </c>
      <c s="125">
        <f>'Операционные затраты'!BF514</f>
        <v>0</v>
      </c>
      <c s="125">
        <f>'Операционные затраты'!BG514</f>
        <v>0</v>
      </c>
      <c s="125">
        <f>'Операционные затраты'!BH514</f>
        <v>0</v>
      </c>
      <c s="125">
        <f>'Операционные затраты'!BI514</f>
        <v>0</v>
      </c>
      <c s="125">
        <f>'Операционные затраты'!BJ514</f>
        <v>0</v>
      </c>
      <c s="125">
        <f>'Операционные затраты'!BK514</f>
        <v>0</v>
      </c>
      <c s="125">
        <f>'Операционные затраты'!BL514</f>
        <v>0</v>
      </c>
      <c s="125">
        <f>'Операционные затраты'!BM514</f>
        <v>0</v>
      </c>
    </row>
    <row r="23" spans="2:65" ht="15" customHeight="1">
      <c r="B23" s="12" t="str">
        <f>IF(ISBLANK(Предпосылки!B130),"-",Предпосылки!B130)</f>
        <v>Продукт 9</v>
      </c>
      <c s="124" t="str">
        <f t="shared" si="31"/>
        <v>тыс. руб.</v>
      </c>
      <c s="125"/>
      <c s="125">
        <f>'Операционные затраты'!E515</f>
        <v>0</v>
      </c>
      <c s="125">
        <f>'Операционные затраты'!F515</f>
        <v>0</v>
      </c>
      <c s="125">
        <f>'Операционные затраты'!G515</f>
        <v>0</v>
      </c>
      <c s="125">
        <f>'Операционные затраты'!H515</f>
        <v>0</v>
      </c>
      <c s="125">
        <f>'Операционные затраты'!I515</f>
        <v>0</v>
      </c>
      <c s="125">
        <f>'Операционные затраты'!J515</f>
        <v>0</v>
      </c>
      <c s="125">
        <f>'Операционные затраты'!K515</f>
        <v>0</v>
      </c>
      <c s="125">
        <f>'Операционные затраты'!L515</f>
        <v>0</v>
      </c>
      <c s="125">
        <f>'Операционные затраты'!M515</f>
        <v>0</v>
      </c>
      <c s="125">
        <f>'Операционные затраты'!N515</f>
        <v>0</v>
      </c>
      <c s="125">
        <f>'Операционные затраты'!O515</f>
        <v>0</v>
      </c>
      <c s="125">
        <f>'Операционные затраты'!P515</f>
        <v>0</v>
      </c>
      <c s="125">
        <f>'Операционные затраты'!Q515</f>
        <v>0</v>
      </c>
      <c s="125">
        <f>'Операционные затраты'!R515</f>
        <v>0</v>
      </c>
      <c s="125">
        <f>'Операционные затраты'!S515</f>
        <v>0</v>
      </c>
      <c s="125">
        <f>'Операционные затраты'!T515</f>
        <v>0</v>
      </c>
      <c s="125">
        <f>'Операционные затраты'!U515</f>
        <v>0</v>
      </c>
      <c s="125">
        <f>'Операционные затраты'!V515</f>
        <v>0</v>
      </c>
      <c s="125">
        <f>'Операционные затраты'!W515</f>
        <v>0</v>
      </c>
      <c s="125">
        <f>'Операционные затраты'!X515</f>
        <v>0</v>
      </c>
      <c s="125">
        <f>'Операционные затраты'!Y515</f>
        <v>0</v>
      </c>
      <c s="125">
        <f>'Операционные затраты'!Z515</f>
        <v>0</v>
      </c>
      <c s="125">
        <f>'Операционные затраты'!AA515</f>
        <v>0</v>
      </c>
      <c s="125">
        <f>'Операционные затраты'!AB515</f>
        <v>0</v>
      </c>
      <c s="125">
        <f>'Операционные затраты'!AC515</f>
        <v>0</v>
      </c>
      <c s="125">
        <f>'Операционные затраты'!AD515</f>
        <v>0</v>
      </c>
      <c s="125">
        <f>'Операционные затраты'!AE515</f>
        <v>0</v>
      </c>
      <c s="125">
        <f>'Операционные затраты'!AF515</f>
        <v>0</v>
      </c>
      <c s="125">
        <f>'Операционные затраты'!AG515</f>
        <v>0</v>
      </c>
      <c s="125">
        <f>'Операционные затраты'!AH515</f>
        <v>0</v>
      </c>
      <c s="125">
        <f>'Операционные затраты'!AI515</f>
        <v>0</v>
      </c>
      <c s="125">
        <f>'Операционные затраты'!AJ515</f>
        <v>0</v>
      </c>
      <c s="125">
        <f>'Операционные затраты'!AK515</f>
        <v>0</v>
      </c>
      <c s="125">
        <f>'Операционные затраты'!AL515</f>
        <v>0</v>
      </c>
      <c s="125">
        <f>'Операционные затраты'!AM515</f>
        <v>0</v>
      </c>
      <c s="125">
        <f>'Операционные затраты'!AN515</f>
        <v>0</v>
      </c>
      <c s="125">
        <f>'Операционные затраты'!AO515</f>
        <v>0</v>
      </c>
      <c s="125">
        <f>'Операционные затраты'!AP515</f>
        <v>0</v>
      </c>
      <c s="125">
        <f>'Операционные затраты'!AQ515</f>
        <v>0</v>
      </c>
      <c s="125">
        <f>'Операционные затраты'!AR515</f>
        <v>0</v>
      </c>
      <c s="125">
        <f>'Операционные затраты'!AS515</f>
        <v>0</v>
      </c>
      <c s="125">
        <f>'Операционные затраты'!AT515</f>
        <v>0</v>
      </c>
      <c s="125">
        <f>'Операционные затраты'!AU515</f>
        <v>0</v>
      </c>
      <c s="125">
        <f>'Операционные затраты'!AV515</f>
        <v>0</v>
      </c>
      <c s="125">
        <f>'Операционные затраты'!AW515</f>
        <v>0</v>
      </c>
      <c s="125">
        <f>'Операционные затраты'!AX515</f>
        <v>0</v>
      </c>
      <c s="125">
        <f>'Операционные затраты'!AY515</f>
        <v>0</v>
      </c>
      <c s="125">
        <f>'Операционные затраты'!AZ515</f>
        <v>0</v>
      </c>
      <c s="125">
        <f>'Операционные затраты'!BA515</f>
        <v>0</v>
      </c>
      <c s="125">
        <f>'Операционные затраты'!BB515</f>
        <v>0</v>
      </c>
      <c s="125">
        <f>'Операционные затраты'!BC515</f>
        <v>0</v>
      </c>
      <c s="125">
        <f>'Операционные затраты'!BD515</f>
        <v>0</v>
      </c>
      <c s="125">
        <f>'Операционные затраты'!BE515</f>
        <v>0</v>
      </c>
      <c s="125">
        <f>'Операционные затраты'!BF515</f>
        <v>0</v>
      </c>
      <c s="125">
        <f>'Операционные затраты'!BG515</f>
        <v>0</v>
      </c>
      <c s="125">
        <f>'Операционные затраты'!BH515</f>
        <v>0</v>
      </c>
      <c s="125">
        <f>'Операционные затраты'!BI515</f>
        <v>0</v>
      </c>
      <c s="125">
        <f>'Операционные затраты'!BJ515</f>
        <v>0</v>
      </c>
      <c s="125">
        <f>'Операционные затраты'!BK515</f>
        <v>0</v>
      </c>
      <c s="125">
        <f>'Операционные затраты'!BL515</f>
        <v>0</v>
      </c>
      <c s="125">
        <f>'Операционные затраты'!BM515</f>
        <v>0</v>
      </c>
    </row>
    <row r="24" spans="2:65" ht="15" customHeight="1">
      <c r="B24" s="12" t="str">
        <f>IF(ISBLANK(Предпосылки!B131),"-",Предпосылки!B131)</f>
        <v>Продукт 10</v>
      </c>
      <c s="124" t="str">
        <f t="shared" si="31"/>
        <v>тыс. руб.</v>
      </c>
      <c s="125"/>
      <c s="125">
        <f>'Операционные затраты'!E516</f>
        <v>0</v>
      </c>
      <c s="125">
        <f>'Операционные затраты'!F516</f>
        <v>0</v>
      </c>
      <c s="125">
        <f>'Операционные затраты'!G516</f>
        <v>0</v>
      </c>
      <c s="125">
        <f>'Операционные затраты'!H516</f>
        <v>0</v>
      </c>
      <c s="125">
        <f>'Операционные затраты'!I516</f>
        <v>0</v>
      </c>
      <c s="125">
        <f>'Операционные затраты'!J516</f>
        <v>0</v>
      </c>
      <c s="125">
        <f>'Операционные затраты'!K516</f>
        <v>0</v>
      </c>
      <c s="125">
        <f>'Операционные затраты'!L516</f>
        <v>0</v>
      </c>
      <c s="125">
        <f>'Операционные затраты'!M516</f>
        <v>0</v>
      </c>
      <c s="125">
        <f>'Операционные затраты'!N516</f>
        <v>0</v>
      </c>
      <c s="125">
        <f>'Операционные затраты'!O516</f>
        <v>0</v>
      </c>
      <c s="125">
        <f>'Операционные затраты'!P516</f>
        <v>0</v>
      </c>
      <c s="125">
        <f>'Операционные затраты'!Q516</f>
        <v>0</v>
      </c>
      <c s="125">
        <f>'Операционные затраты'!R516</f>
        <v>0</v>
      </c>
      <c s="125">
        <f>'Операционные затраты'!S516</f>
        <v>0</v>
      </c>
      <c s="125">
        <f>'Операционные затраты'!T516</f>
        <v>0</v>
      </c>
      <c s="125">
        <f>'Операционные затраты'!U516</f>
        <v>0</v>
      </c>
      <c s="125">
        <f>'Операционные затраты'!V516</f>
        <v>0</v>
      </c>
      <c s="125">
        <f>'Операционные затраты'!W516</f>
        <v>0</v>
      </c>
      <c s="125">
        <f>'Операционные затраты'!X516</f>
        <v>0</v>
      </c>
      <c s="125">
        <f>'Операционные затраты'!Y516</f>
        <v>0</v>
      </c>
      <c s="125">
        <f>'Операционные затраты'!Z516</f>
        <v>0</v>
      </c>
      <c s="125">
        <f>'Операционные затраты'!AA516</f>
        <v>0</v>
      </c>
      <c s="125">
        <f>'Операционные затраты'!AB516</f>
        <v>0</v>
      </c>
      <c s="125">
        <f>'Операционные затраты'!AC516</f>
        <v>0</v>
      </c>
      <c s="125">
        <f>'Операционные затраты'!AD516</f>
        <v>0</v>
      </c>
      <c s="125">
        <f>'Операционные затраты'!AE516</f>
        <v>0</v>
      </c>
      <c s="125">
        <f>'Операционные затраты'!AF516</f>
        <v>0</v>
      </c>
      <c s="125">
        <f>'Операционные затраты'!AG516</f>
        <v>0</v>
      </c>
      <c s="125">
        <f>'Операционные затраты'!AH516</f>
        <v>0</v>
      </c>
      <c s="125">
        <f>'Операционные затраты'!AI516</f>
        <v>0</v>
      </c>
      <c s="125">
        <f>'Операционные затраты'!AJ516</f>
        <v>0</v>
      </c>
      <c s="125">
        <f>'Операционные затраты'!AK516</f>
        <v>0</v>
      </c>
      <c s="125">
        <f>'Операционные затраты'!AL516</f>
        <v>0</v>
      </c>
      <c s="125">
        <f>'Операционные затраты'!AM516</f>
        <v>0</v>
      </c>
      <c s="125">
        <f>'Операционные затраты'!AN516</f>
        <v>0</v>
      </c>
      <c s="125">
        <f>'Операционные затраты'!AO516</f>
        <v>0</v>
      </c>
      <c s="125">
        <f>'Операционные затраты'!AP516</f>
        <v>0</v>
      </c>
      <c s="125">
        <f>'Операционные затраты'!AQ516</f>
        <v>0</v>
      </c>
      <c s="125">
        <f>'Операционные затраты'!AR516</f>
        <v>0</v>
      </c>
      <c s="125">
        <f>'Операционные затраты'!AS516</f>
        <v>0</v>
      </c>
      <c s="125">
        <f>'Операционные затраты'!AT516</f>
        <v>0</v>
      </c>
      <c s="125">
        <f>'Операционные затраты'!AU516</f>
        <v>0</v>
      </c>
      <c s="125">
        <f>'Операционные затраты'!AV516</f>
        <v>0</v>
      </c>
      <c s="125">
        <f>'Операционные затраты'!AW516</f>
        <v>0</v>
      </c>
      <c s="125">
        <f>'Операционные затраты'!AX516</f>
        <v>0</v>
      </c>
      <c s="125">
        <f>'Операционные затраты'!AY516</f>
        <v>0</v>
      </c>
      <c s="125">
        <f>'Операционные затраты'!AZ516</f>
        <v>0</v>
      </c>
      <c s="125">
        <f>'Операционные затраты'!BA516</f>
        <v>0</v>
      </c>
      <c s="125">
        <f>'Операционные затраты'!BB516</f>
        <v>0</v>
      </c>
      <c s="125">
        <f>'Операционные затраты'!BC516</f>
        <v>0</v>
      </c>
      <c s="125">
        <f>'Операционные затраты'!BD516</f>
        <v>0</v>
      </c>
      <c s="125">
        <f>'Операционные затраты'!BE516</f>
        <v>0</v>
      </c>
      <c s="125">
        <f>'Операционные затраты'!BF516</f>
        <v>0</v>
      </c>
      <c s="125">
        <f>'Операционные затраты'!BG516</f>
        <v>0</v>
      </c>
      <c s="125">
        <f>'Операционные затраты'!BH516</f>
        <v>0</v>
      </c>
      <c s="125">
        <f>'Операционные затраты'!BI516</f>
        <v>0</v>
      </c>
      <c s="125">
        <f>'Операционные затраты'!BJ516</f>
        <v>0</v>
      </c>
      <c s="125">
        <f>'Операционные затраты'!BK516</f>
        <v>0</v>
      </c>
      <c s="125">
        <f>'Операционные затраты'!BL516</f>
        <v>0</v>
      </c>
      <c s="125">
        <f>'Операционные затраты'!BM516</f>
        <v>0</v>
      </c>
    </row>
    <row r="25" spans="2:65" ht="15" customHeight="1">
      <c r="B25" s="12" t="str">
        <f>IF(ISBLANK(Предпосылки!B132),"-",Предпосылки!B132)</f>
        <v>Продукт 11</v>
      </c>
      <c s="124" t="str">
        <f t="shared" si="31"/>
        <v>тыс. руб.</v>
      </c>
      <c s="125"/>
      <c s="125">
        <f>'Операционные затраты'!E517</f>
        <v>0</v>
      </c>
      <c s="125">
        <f>'Операционные затраты'!F517</f>
        <v>0</v>
      </c>
      <c s="125">
        <f>'Операционные затраты'!G517</f>
        <v>0</v>
      </c>
      <c s="125">
        <f>'Операционные затраты'!H517</f>
        <v>0</v>
      </c>
      <c s="125">
        <f>'Операционные затраты'!I517</f>
        <v>0</v>
      </c>
      <c s="125">
        <f>'Операционные затраты'!J517</f>
        <v>0</v>
      </c>
      <c s="125">
        <f>'Операционные затраты'!K517</f>
        <v>0</v>
      </c>
      <c s="125">
        <f>'Операционные затраты'!L517</f>
        <v>0</v>
      </c>
      <c s="125">
        <f>'Операционные затраты'!M517</f>
        <v>0</v>
      </c>
      <c s="125">
        <f>'Операционные затраты'!N517</f>
        <v>0</v>
      </c>
      <c s="125">
        <f>'Операционные затраты'!O517</f>
        <v>0</v>
      </c>
      <c s="125">
        <f>'Операционные затраты'!P517</f>
        <v>0</v>
      </c>
      <c s="125">
        <f>'Операционные затраты'!Q517</f>
        <v>0</v>
      </c>
      <c s="125">
        <f>'Операционные затраты'!R517</f>
        <v>0</v>
      </c>
      <c s="125">
        <f>'Операционные затраты'!S517</f>
        <v>0</v>
      </c>
      <c s="125">
        <f>'Операционные затраты'!T517</f>
        <v>0</v>
      </c>
      <c s="125">
        <f>'Операционные затраты'!U517</f>
        <v>0</v>
      </c>
      <c s="125">
        <f>'Операционные затраты'!V517</f>
        <v>0</v>
      </c>
      <c s="125">
        <f>'Операционные затраты'!W517</f>
        <v>0</v>
      </c>
      <c s="125">
        <f>'Операционные затраты'!X517</f>
        <v>0</v>
      </c>
      <c s="125">
        <f>'Операционные затраты'!Y517</f>
        <v>0</v>
      </c>
      <c s="125">
        <f>'Операционные затраты'!Z517</f>
        <v>0</v>
      </c>
      <c s="125">
        <f>'Операционные затраты'!AA517</f>
        <v>0</v>
      </c>
      <c s="125">
        <f>'Операционные затраты'!AB517</f>
        <v>0</v>
      </c>
      <c s="125">
        <f>'Операционные затраты'!AC517</f>
        <v>0</v>
      </c>
      <c s="125">
        <f>'Операционные затраты'!AD517</f>
        <v>0</v>
      </c>
      <c s="125">
        <f>'Операционные затраты'!AE517</f>
        <v>0</v>
      </c>
      <c s="125">
        <f>'Операционные затраты'!AF517</f>
        <v>0</v>
      </c>
      <c s="125">
        <f>'Операционные затраты'!AG517</f>
        <v>0</v>
      </c>
      <c s="125">
        <f>'Операционные затраты'!AH517</f>
        <v>0</v>
      </c>
      <c s="125">
        <f>'Операционные затраты'!AI517</f>
        <v>0</v>
      </c>
      <c s="125">
        <f>'Операционные затраты'!AJ517</f>
        <v>0</v>
      </c>
      <c s="125">
        <f>'Операционные затраты'!AK517</f>
        <v>0</v>
      </c>
      <c s="125">
        <f>'Операционные затраты'!AL517</f>
        <v>0</v>
      </c>
      <c s="125">
        <f>'Операционные затраты'!AM517</f>
        <v>0</v>
      </c>
      <c s="125">
        <f>'Операционные затраты'!AN517</f>
        <v>0</v>
      </c>
      <c s="125">
        <f>'Операционные затраты'!AO517</f>
        <v>0</v>
      </c>
      <c s="125">
        <f>'Операционные затраты'!AP517</f>
        <v>0</v>
      </c>
      <c s="125">
        <f>'Операционные затраты'!AQ517</f>
        <v>0</v>
      </c>
      <c s="125">
        <f>'Операционные затраты'!AR517</f>
        <v>0</v>
      </c>
      <c s="125">
        <f>'Операционные затраты'!AS517</f>
        <v>0</v>
      </c>
      <c s="125">
        <f>'Операционные затраты'!AT517</f>
        <v>0</v>
      </c>
      <c s="125">
        <f>'Операционные затраты'!AU517</f>
        <v>0</v>
      </c>
      <c s="125">
        <f>'Операционные затраты'!AV517</f>
        <v>0</v>
      </c>
      <c s="125">
        <f>'Операционные затраты'!AW517</f>
        <v>0</v>
      </c>
      <c s="125">
        <f>'Операционные затраты'!AX517</f>
        <v>0</v>
      </c>
      <c s="125">
        <f>'Операционные затраты'!AY517</f>
        <v>0</v>
      </c>
      <c s="125">
        <f>'Операционные затраты'!AZ517</f>
        <v>0</v>
      </c>
      <c s="125">
        <f>'Операционные затраты'!BA517</f>
        <v>0</v>
      </c>
      <c s="125">
        <f>'Операционные затраты'!BB517</f>
        <v>0</v>
      </c>
      <c s="125">
        <f>'Операционные затраты'!BC517</f>
        <v>0</v>
      </c>
      <c s="125">
        <f>'Операционные затраты'!BD517</f>
        <v>0</v>
      </c>
      <c s="125">
        <f>'Операционные затраты'!BE517</f>
        <v>0</v>
      </c>
      <c s="125">
        <f>'Операционные затраты'!BF517</f>
        <v>0</v>
      </c>
      <c s="125">
        <f>'Операционные затраты'!BG517</f>
        <v>0</v>
      </c>
      <c s="125">
        <f>'Операционные затраты'!BH517</f>
        <v>0</v>
      </c>
      <c s="125">
        <f>'Операционные затраты'!BI517</f>
        <v>0</v>
      </c>
      <c s="125">
        <f>'Операционные затраты'!BJ517</f>
        <v>0</v>
      </c>
      <c s="125">
        <f>'Операционные затраты'!BK517</f>
        <v>0</v>
      </c>
      <c s="125">
        <f>'Операционные затраты'!BL517</f>
        <v>0</v>
      </c>
      <c s="125">
        <f>'Операционные затраты'!BM517</f>
        <v>0</v>
      </c>
    </row>
    <row r="26" spans="2:65" ht="15" customHeight="1">
      <c r="B26" s="12" t="str">
        <f>IF(ISBLANK(Предпосылки!B133),"-",Предпосылки!B133)</f>
        <v>Продукт 12</v>
      </c>
      <c s="124" t="str">
        <f t="shared" si="31"/>
        <v>тыс. руб.</v>
      </c>
      <c s="125"/>
      <c s="125">
        <f>'Операционные затраты'!E518</f>
        <v>0</v>
      </c>
      <c s="125">
        <f>'Операционные затраты'!F518</f>
        <v>0</v>
      </c>
      <c s="125">
        <f>'Операционные затраты'!G518</f>
        <v>0</v>
      </c>
      <c s="125">
        <f>'Операционные затраты'!H518</f>
        <v>0</v>
      </c>
      <c s="125">
        <f>'Операционные затраты'!I518</f>
        <v>0</v>
      </c>
      <c s="125">
        <f>'Операционные затраты'!J518</f>
        <v>0</v>
      </c>
      <c s="125">
        <f>'Операционные затраты'!K518</f>
        <v>0</v>
      </c>
      <c s="125">
        <f>'Операционные затраты'!L518</f>
        <v>0</v>
      </c>
      <c s="125">
        <f>'Операционные затраты'!M518</f>
        <v>0</v>
      </c>
      <c s="125">
        <f>'Операционные затраты'!N518</f>
        <v>0</v>
      </c>
      <c s="125">
        <f>'Операционные затраты'!O518</f>
        <v>0</v>
      </c>
      <c s="125">
        <f>'Операционные затраты'!P518</f>
        <v>0</v>
      </c>
      <c s="125">
        <f>'Операционные затраты'!Q518</f>
        <v>0</v>
      </c>
      <c s="125">
        <f>'Операционные затраты'!R518</f>
        <v>0</v>
      </c>
      <c s="125">
        <f>'Операционные затраты'!S518</f>
        <v>0</v>
      </c>
      <c s="125">
        <f>'Операционные затраты'!T518</f>
        <v>0</v>
      </c>
      <c s="125">
        <f>'Операционные затраты'!U518</f>
        <v>0</v>
      </c>
      <c s="125">
        <f>'Операционные затраты'!V518</f>
        <v>0</v>
      </c>
      <c s="125">
        <f>'Операционные затраты'!W518</f>
        <v>0</v>
      </c>
      <c s="125">
        <f>'Операционные затраты'!X518</f>
        <v>0</v>
      </c>
      <c s="125">
        <f>'Операционные затраты'!Y518</f>
        <v>0</v>
      </c>
      <c s="125">
        <f>'Операционные затраты'!Z518</f>
        <v>0</v>
      </c>
      <c s="125">
        <f>'Операционные затраты'!AA518</f>
        <v>0</v>
      </c>
      <c s="125">
        <f>'Операционные затраты'!AB518</f>
        <v>0</v>
      </c>
      <c s="125">
        <f>'Операционные затраты'!AC518</f>
        <v>0</v>
      </c>
      <c s="125">
        <f>'Операционные затраты'!AD518</f>
        <v>0</v>
      </c>
      <c s="125">
        <f>'Операционные затраты'!AE518</f>
        <v>0</v>
      </c>
      <c s="125">
        <f>'Операционные затраты'!AF518</f>
        <v>0</v>
      </c>
      <c s="125">
        <f>'Операционные затраты'!AG518</f>
        <v>0</v>
      </c>
      <c s="125">
        <f>'Операционные затраты'!AH518</f>
        <v>0</v>
      </c>
      <c s="125">
        <f>'Операционные затраты'!AI518</f>
        <v>0</v>
      </c>
      <c s="125">
        <f>'Операционные затраты'!AJ518</f>
        <v>0</v>
      </c>
      <c s="125">
        <f>'Операционные затраты'!AK518</f>
        <v>0</v>
      </c>
      <c s="125">
        <f>'Операционные затраты'!AL518</f>
        <v>0</v>
      </c>
      <c s="125">
        <f>'Операционные затраты'!AM518</f>
        <v>0</v>
      </c>
      <c s="125">
        <f>'Операционные затраты'!AN518</f>
        <v>0</v>
      </c>
      <c s="125">
        <f>'Операционные затраты'!AO518</f>
        <v>0</v>
      </c>
      <c s="125">
        <f>'Операционные затраты'!AP518</f>
        <v>0</v>
      </c>
      <c s="125">
        <f>'Операционные затраты'!AQ518</f>
        <v>0</v>
      </c>
      <c s="125">
        <f>'Операционные затраты'!AR518</f>
        <v>0</v>
      </c>
      <c s="125">
        <f>'Операционные затраты'!AS518</f>
        <v>0</v>
      </c>
      <c s="125">
        <f>'Операционные затраты'!AT518</f>
        <v>0</v>
      </c>
      <c s="125">
        <f>'Операционные затраты'!AU518</f>
        <v>0</v>
      </c>
      <c s="125">
        <f>'Операционные затраты'!AV518</f>
        <v>0</v>
      </c>
      <c s="125">
        <f>'Операционные затраты'!AW518</f>
        <v>0</v>
      </c>
      <c s="125">
        <f>'Операционные затраты'!AX518</f>
        <v>0</v>
      </c>
      <c s="125">
        <f>'Операционные затраты'!AY518</f>
        <v>0</v>
      </c>
      <c s="125">
        <f>'Операционные затраты'!AZ518</f>
        <v>0</v>
      </c>
      <c s="125">
        <f>'Операционные затраты'!BA518</f>
        <v>0</v>
      </c>
      <c s="125">
        <f>'Операционные затраты'!BB518</f>
        <v>0</v>
      </c>
      <c s="125">
        <f>'Операционные затраты'!BC518</f>
        <v>0</v>
      </c>
      <c s="125">
        <f>'Операционные затраты'!BD518</f>
        <v>0</v>
      </c>
      <c s="125">
        <f>'Операционные затраты'!BE518</f>
        <v>0</v>
      </c>
      <c s="125">
        <f>'Операционные затраты'!BF518</f>
        <v>0</v>
      </c>
      <c s="125">
        <f>'Операционные затраты'!BG518</f>
        <v>0</v>
      </c>
      <c s="125">
        <f>'Операционные затраты'!BH518</f>
        <v>0</v>
      </c>
      <c s="125">
        <f>'Операционные затраты'!BI518</f>
        <v>0</v>
      </c>
      <c s="125">
        <f>'Операционные затраты'!BJ518</f>
        <v>0</v>
      </c>
      <c s="125">
        <f>'Операционные затраты'!BK518</f>
        <v>0</v>
      </c>
      <c s="125">
        <f>'Операционные затраты'!BL518</f>
        <v>0</v>
      </c>
      <c s="125">
        <f>'Операционные затраты'!BM518</f>
        <v>0</v>
      </c>
    </row>
    <row r="27" spans="2:65" ht="15" customHeight="1">
      <c r="B27" s="12" t="str">
        <f>IF(ISBLANK(Предпосылки!B134),"-",Предпосылки!B134)</f>
        <v>Продукт 13</v>
      </c>
      <c s="124" t="str">
        <f t="shared" si="31"/>
        <v>тыс. руб.</v>
      </c>
      <c s="125"/>
      <c s="125">
        <f>'Операционные затраты'!E519</f>
        <v>0</v>
      </c>
      <c s="125">
        <f>'Операционные затраты'!F519</f>
        <v>0</v>
      </c>
      <c s="125">
        <f>'Операционные затраты'!G519</f>
        <v>0</v>
      </c>
      <c s="125">
        <f>'Операционные затраты'!H519</f>
        <v>0</v>
      </c>
      <c s="125">
        <f>'Операционные затраты'!I519</f>
        <v>0</v>
      </c>
      <c s="125">
        <f>'Операционные затраты'!J519</f>
        <v>0</v>
      </c>
      <c s="125">
        <f>'Операционные затраты'!K519</f>
        <v>0</v>
      </c>
      <c s="125">
        <f>'Операционные затраты'!L519</f>
        <v>0</v>
      </c>
      <c s="125">
        <f>'Операционные затраты'!M519</f>
        <v>0</v>
      </c>
      <c s="125">
        <f>'Операционные затраты'!N519</f>
        <v>0</v>
      </c>
      <c s="125">
        <f>'Операционные затраты'!O519</f>
        <v>0</v>
      </c>
      <c s="125">
        <f>'Операционные затраты'!P519</f>
        <v>0</v>
      </c>
      <c s="125">
        <f>'Операционные затраты'!Q519</f>
        <v>0</v>
      </c>
      <c s="125">
        <f>'Операционные затраты'!R519</f>
        <v>0</v>
      </c>
      <c s="125">
        <f>'Операционные затраты'!S519</f>
        <v>0</v>
      </c>
      <c s="125">
        <f>'Операционные затраты'!T519</f>
        <v>0</v>
      </c>
      <c s="125">
        <f>'Операционные затраты'!U519</f>
        <v>0</v>
      </c>
      <c s="125">
        <f>'Операционные затраты'!V519</f>
        <v>0</v>
      </c>
      <c s="125">
        <f>'Операционные затраты'!W519</f>
        <v>0</v>
      </c>
      <c s="125">
        <f>'Операционные затраты'!X519</f>
        <v>0</v>
      </c>
      <c s="125">
        <f>'Операционные затраты'!Y519</f>
        <v>0</v>
      </c>
      <c s="125">
        <f>'Операционные затраты'!Z519</f>
        <v>0</v>
      </c>
      <c s="125">
        <f>'Операционные затраты'!AA519</f>
        <v>0</v>
      </c>
      <c s="125">
        <f>'Операционные затраты'!AB519</f>
        <v>0</v>
      </c>
      <c s="125">
        <f>'Операционные затраты'!AC519</f>
        <v>0</v>
      </c>
      <c s="125">
        <f>'Операционные затраты'!AD519</f>
        <v>0</v>
      </c>
      <c s="125">
        <f>'Операционные затраты'!AE519</f>
        <v>0</v>
      </c>
      <c s="125">
        <f>'Операционные затраты'!AF519</f>
        <v>0</v>
      </c>
      <c s="125">
        <f>'Операционные затраты'!AG519</f>
        <v>0</v>
      </c>
      <c s="125">
        <f>'Операционные затраты'!AH519</f>
        <v>0</v>
      </c>
      <c s="125">
        <f>'Операционные затраты'!AI519</f>
        <v>0</v>
      </c>
      <c s="125">
        <f>'Операционные затраты'!AJ519</f>
        <v>0</v>
      </c>
      <c s="125">
        <f>'Операционные затраты'!AK519</f>
        <v>0</v>
      </c>
      <c s="125">
        <f>'Операционные затраты'!AL519</f>
        <v>0</v>
      </c>
      <c s="125">
        <f>'Операционные затраты'!AM519</f>
        <v>0</v>
      </c>
      <c s="125">
        <f>'Операционные затраты'!AN519</f>
        <v>0</v>
      </c>
      <c s="125">
        <f>'Операционные затраты'!AO519</f>
        <v>0</v>
      </c>
      <c s="125">
        <f>'Операционные затраты'!AP519</f>
        <v>0</v>
      </c>
      <c s="125">
        <f>'Операционные затраты'!AQ519</f>
        <v>0</v>
      </c>
      <c s="125">
        <f>'Операционные затраты'!AR519</f>
        <v>0</v>
      </c>
      <c s="125">
        <f>'Операционные затраты'!AS519</f>
        <v>0</v>
      </c>
      <c s="125">
        <f>'Операционные затраты'!AT519</f>
        <v>0</v>
      </c>
      <c s="125">
        <f>'Операционные затраты'!AU519</f>
        <v>0</v>
      </c>
      <c s="125">
        <f>'Операционные затраты'!AV519</f>
        <v>0</v>
      </c>
      <c s="125">
        <f>'Операционные затраты'!AW519</f>
        <v>0</v>
      </c>
      <c s="125">
        <f>'Операционные затраты'!AX519</f>
        <v>0</v>
      </c>
      <c s="125">
        <f>'Операционные затраты'!AY519</f>
        <v>0</v>
      </c>
      <c s="125">
        <f>'Операционные затраты'!AZ519</f>
        <v>0</v>
      </c>
      <c s="125">
        <f>'Операционные затраты'!BA519</f>
        <v>0</v>
      </c>
      <c s="125">
        <f>'Операционные затраты'!BB519</f>
        <v>0</v>
      </c>
      <c s="125">
        <f>'Операционные затраты'!BC519</f>
        <v>0</v>
      </c>
      <c s="125">
        <f>'Операционные затраты'!BD519</f>
        <v>0</v>
      </c>
      <c s="125">
        <f>'Операционные затраты'!BE519</f>
        <v>0</v>
      </c>
      <c s="125">
        <f>'Операционные затраты'!BF519</f>
        <v>0</v>
      </c>
      <c s="125">
        <f>'Операционные затраты'!BG519</f>
        <v>0</v>
      </c>
      <c s="125">
        <f>'Операционные затраты'!BH519</f>
        <v>0</v>
      </c>
      <c s="125">
        <f>'Операционные затраты'!BI519</f>
        <v>0</v>
      </c>
      <c s="125">
        <f>'Операционные затраты'!BJ519</f>
        <v>0</v>
      </c>
      <c s="125">
        <f>'Операционные затраты'!BK519</f>
        <v>0</v>
      </c>
      <c s="125">
        <f>'Операционные затраты'!BL519</f>
        <v>0</v>
      </c>
      <c s="125">
        <f>'Операционные затраты'!BM519</f>
        <v>0</v>
      </c>
    </row>
    <row r="28" spans="2:65" ht="15" customHeight="1">
      <c r="B28" s="12" t="str">
        <f>IF(ISBLANK(Предпосылки!B135),"-",Предпосылки!B135)</f>
        <v>Продукт 14</v>
      </c>
      <c s="124" t="str">
        <f t="shared" si="31"/>
        <v>тыс. руб.</v>
      </c>
      <c s="125"/>
      <c s="125">
        <f>'Операционные затраты'!E520</f>
        <v>0</v>
      </c>
      <c s="125">
        <f>'Операционные затраты'!F520</f>
        <v>0</v>
      </c>
      <c s="125">
        <f>'Операционные затраты'!G520</f>
        <v>0</v>
      </c>
      <c s="125">
        <f>'Операционные затраты'!H520</f>
        <v>0</v>
      </c>
      <c s="125">
        <f>'Операционные затраты'!I520</f>
        <v>0</v>
      </c>
      <c s="125">
        <f>'Операционные затраты'!J520</f>
        <v>0</v>
      </c>
      <c s="125">
        <f>'Операционные затраты'!K520</f>
        <v>0</v>
      </c>
      <c s="125">
        <f>'Операционные затраты'!L520</f>
        <v>0</v>
      </c>
      <c s="125">
        <f>'Операционные затраты'!M520</f>
        <v>0</v>
      </c>
      <c s="125">
        <f>'Операционные затраты'!N520</f>
        <v>0</v>
      </c>
      <c s="125">
        <f>'Операционные затраты'!O520</f>
        <v>0</v>
      </c>
      <c s="125">
        <f>'Операционные затраты'!P520</f>
        <v>0</v>
      </c>
      <c s="125">
        <f>'Операционные затраты'!Q520</f>
        <v>0</v>
      </c>
      <c s="125">
        <f>'Операционные затраты'!R520</f>
        <v>0</v>
      </c>
      <c s="125">
        <f>'Операционные затраты'!S520</f>
        <v>0</v>
      </c>
      <c s="125">
        <f>'Операционные затраты'!T520</f>
        <v>0</v>
      </c>
      <c s="125">
        <f>'Операционные затраты'!U520</f>
        <v>0</v>
      </c>
      <c s="125">
        <f>'Операционные затраты'!V520</f>
        <v>0</v>
      </c>
      <c s="125">
        <f>'Операционные затраты'!W520</f>
        <v>0</v>
      </c>
      <c s="125">
        <f>'Операционные затраты'!X520</f>
        <v>0</v>
      </c>
      <c s="125">
        <f>'Операционные затраты'!Y520</f>
        <v>0</v>
      </c>
      <c s="125">
        <f>'Операционные затраты'!Z520</f>
        <v>0</v>
      </c>
      <c s="125">
        <f>'Операционные затраты'!AA520</f>
        <v>0</v>
      </c>
      <c s="125">
        <f>'Операционные затраты'!AB520</f>
        <v>0</v>
      </c>
      <c s="125">
        <f>'Операционные затраты'!AC520</f>
        <v>0</v>
      </c>
      <c s="125">
        <f>'Операционные затраты'!AD520</f>
        <v>0</v>
      </c>
      <c s="125">
        <f>'Операционные затраты'!AE520</f>
        <v>0</v>
      </c>
      <c s="125">
        <f>'Операционные затраты'!AF520</f>
        <v>0</v>
      </c>
      <c s="125">
        <f>'Операционные затраты'!AG520</f>
        <v>0</v>
      </c>
      <c s="125">
        <f>'Операционные затраты'!AH520</f>
        <v>0</v>
      </c>
      <c s="125">
        <f>'Операционные затраты'!AI520</f>
        <v>0</v>
      </c>
      <c s="125">
        <f>'Операционные затраты'!AJ520</f>
        <v>0</v>
      </c>
      <c s="125">
        <f>'Операционные затраты'!AK520</f>
        <v>0</v>
      </c>
      <c s="125">
        <f>'Операционные затраты'!AL520</f>
        <v>0</v>
      </c>
      <c s="125">
        <f>'Операционные затраты'!AM520</f>
        <v>0</v>
      </c>
      <c s="125">
        <f>'Операционные затраты'!AN520</f>
        <v>0</v>
      </c>
      <c s="125">
        <f>'Операционные затраты'!AO520</f>
        <v>0</v>
      </c>
      <c s="125">
        <f>'Операционные затраты'!AP520</f>
        <v>0</v>
      </c>
      <c s="125">
        <f>'Операционные затраты'!AQ520</f>
        <v>0</v>
      </c>
      <c s="125">
        <f>'Операционные затраты'!AR520</f>
        <v>0</v>
      </c>
      <c s="125">
        <f>'Операционные затраты'!AS520</f>
        <v>0</v>
      </c>
      <c s="125">
        <f>'Операционные затраты'!AT520</f>
        <v>0</v>
      </c>
      <c s="125">
        <f>'Операционные затраты'!AU520</f>
        <v>0</v>
      </c>
      <c s="125">
        <f>'Операционные затраты'!AV520</f>
        <v>0</v>
      </c>
      <c s="125">
        <f>'Операционные затраты'!AW520</f>
        <v>0</v>
      </c>
      <c s="125">
        <f>'Операционные затраты'!AX520</f>
        <v>0</v>
      </c>
      <c s="125">
        <f>'Операционные затраты'!AY520</f>
        <v>0</v>
      </c>
      <c s="125">
        <f>'Операционные затраты'!AZ520</f>
        <v>0</v>
      </c>
      <c s="125">
        <f>'Операционные затраты'!BA520</f>
        <v>0</v>
      </c>
      <c s="125">
        <f>'Операционные затраты'!BB520</f>
        <v>0</v>
      </c>
      <c s="125">
        <f>'Операционные затраты'!BC520</f>
        <v>0</v>
      </c>
      <c s="125">
        <f>'Операционные затраты'!BD520</f>
        <v>0</v>
      </c>
      <c s="125">
        <f>'Операционные затраты'!BE520</f>
        <v>0</v>
      </c>
      <c s="125">
        <f>'Операционные затраты'!BF520</f>
        <v>0</v>
      </c>
      <c s="125">
        <f>'Операционные затраты'!BG520</f>
        <v>0</v>
      </c>
      <c s="125">
        <f>'Операционные затраты'!BH520</f>
        <v>0</v>
      </c>
      <c s="125">
        <f>'Операционные затраты'!BI520</f>
        <v>0</v>
      </c>
      <c s="125">
        <f>'Операционные затраты'!BJ520</f>
        <v>0</v>
      </c>
      <c s="125">
        <f>'Операционные затраты'!BK520</f>
        <v>0</v>
      </c>
      <c s="125">
        <f>'Операционные затраты'!BL520</f>
        <v>0</v>
      </c>
      <c s="125">
        <f>'Операционные затраты'!BM520</f>
        <v>0</v>
      </c>
    </row>
    <row r="29" spans="2:65" ht="15" customHeight="1">
      <c r="B29" s="12" t="str">
        <f>IF(ISBLANK(Предпосылки!B136),"-",Предпосылки!B136)</f>
        <v>Продукт 15</v>
      </c>
      <c s="124" t="str">
        <f t="shared" si="31"/>
        <v>тыс. руб.</v>
      </c>
      <c s="125"/>
      <c s="125">
        <f>'Операционные затраты'!E521</f>
        <v>0</v>
      </c>
      <c s="125">
        <f>'Операционные затраты'!F521</f>
        <v>0</v>
      </c>
      <c s="125">
        <f>'Операционные затраты'!G521</f>
        <v>0</v>
      </c>
      <c s="125">
        <f>'Операционные затраты'!H521</f>
        <v>0</v>
      </c>
      <c s="125">
        <f>'Операционные затраты'!I521</f>
        <v>0</v>
      </c>
      <c s="125">
        <f>'Операционные затраты'!J521</f>
        <v>0</v>
      </c>
      <c s="125">
        <f>'Операционные затраты'!K521</f>
        <v>0</v>
      </c>
      <c s="125">
        <f>'Операционные затраты'!L521</f>
        <v>0</v>
      </c>
      <c s="125">
        <f>'Операционные затраты'!M521</f>
        <v>0</v>
      </c>
      <c s="125">
        <f>'Операционные затраты'!N521</f>
        <v>0</v>
      </c>
      <c s="125">
        <f>'Операционные затраты'!O521</f>
        <v>0</v>
      </c>
      <c s="125">
        <f>'Операционные затраты'!P521</f>
        <v>0</v>
      </c>
      <c s="125">
        <f>'Операционные затраты'!Q521</f>
        <v>0</v>
      </c>
      <c s="125">
        <f>'Операционные затраты'!R521</f>
        <v>0</v>
      </c>
      <c s="125">
        <f>'Операционные затраты'!S521</f>
        <v>0</v>
      </c>
      <c s="125">
        <f>'Операционные затраты'!T521</f>
        <v>0</v>
      </c>
      <c s="125">
        <f>'Операционные затраты'!U521</f>
        <v>0</v>
      </c>
      <c s="125">
        <f>'Операционные затраты'!V521</f>
        <v>0</v>
      </c>
      <c s="125">
        <f>'Операционные затраты'!W521</f>
        <v>0</v>
      </c>
      <c s="125">
        <f>'Операционные затраты'!X521</f>
        <v>0</v>
      </c>
      <c s="125">
        <f>'Операционные затраты'!Y521</f>
        <v>0</v>
      </c>
      <c s="125">
        <f>'Операционные затраты'!Z521</f>
        <v>0</v>
      </c>
      <c s="125">
        <f>'Операционные затраты'!AA521</f>
        <v>0</v>
      </c>
      <c s="125">
        <f>'Операционные затраты'!AB521</f>
        <v>0</v>
      </c>
      <c s="125">
        <f>'Операционные затраты'!AC521</f>
        <v>0</v>
      </c>
      <c s="125">
        <f>'Операционные затраты'!AD521</f>
        <v>0</v>
      </c>
      <c s="125">
        <f>'Операционные затраты'!AE521</f>
        <v>0</v>
      </c>
      <c s="125">
        <f>'Операционные затраты'!AF521</f>
        <v>0</v>
      </c>
      <c s="125">
        <f>'Операционные затраты'!AG521</f>
        <v>0</v>
      </c>
      <c s="125">
        <f>'Операционные затраты'!AH521</f>
        <v>0</v>
      </c>
      <c s="125">
        <f>'Операционные затраты'!AI521</f>
        <v>0</v>
      </c>
      <c s="125">
        <f>'Операционные затраты'!AJ521</f>
        <v>0</v>
      </c>
      <c s="125">
        <f>'Операционные затраты'!AK521</f>
        <v>0</v>
      </c>
      <c s="125">
        <f>'Операционные затраты'!AL521</f>
        <v>0</v>
      </c>
      <c s="125">
        <f>'Операционные затраты'!AM521</f>
        <v>0</v>
      </c>
      <c s="125">
        <f>'Операционные затраты'!AN521</f>
        <v>0</v>
      </c>
      <c s="125">
        <f>'Операционные затраты'!AO521</f>
        <v>0</v>
      </c>
      <c s="125">
        <f>'Операционные затраты'!AP521</f>
        <v>0</v>
      </c>
      <c s="125">
        <f>'Операционные затраты'!AQ521</f>
        <v>0</v>
      </c>
      <c s="125">
        <f>'Операционные затраты'!AR521</f>
        <v>0</v>
      </c>
      <c s="125">
        <f>'Операционные затраты'!AS521</f>
        <v>0</v>
      </c>
      <c s="125">
        <f>'Операционные затраты'!AT521</f>
        <v>0</v>
      </c>
      <c s="125">
        <f>'Операционные затраты'!AU521</f>
        <v>0</v>
      </c>
      <c s="125">
        <f>'Операционные затраты'!AV521</f>
        <v>0</v>
      </c>
      <c s="125">
        <f>'Операционные затраты'!AW521</f>
        <v>0</v>
      </c>
      <c s="125">
        <f>'Операционные затраты'!AX521</f>
        <v>0</v>
      </c>
      <c s="125">
        <f>'Операционные затраты'!AY521</f>
        <v>0</v>
      </c>
      <c s="125">
        <f>'Операционные затраты'!AZ521</f>
        <v>0</v>
      </c>
      <c s="125">
        <f>'Операционные затраты'!BA521</f>
        <v>0</v>
      </c>
      <c s="125">
        <f>'Операционные затраты'!BB521</f>
        <v>0</v>
      </c>
      <c s="125">
        <f>'Операционные затраты'!BC521</f>
        <v>0</v>
      </c>
      <c s="125">
        <f>'Операционные затраты'!BD521</f>
        <v>0</v>
      </c>
      <c s="125">
        <f>'Операционные затраты'!BE521</f>
        <v>0</v>
      </c>
      <c s="125">
        <f>'Операционные затраты'!BF521</f>
        <v>0</v>
      </c>
      <c s="125">
        <f>'Операционные затраты'!BG521</f>
        <v>0</v>
      </c>
      <c s="125">
        <f>'Операционные затраты'!BH521</f>
        <v>0</v>
      </c>
      <c s="125">
        <f>'Операционные затраты'!BI521</f>
        <v>0</v>
      </c>
      <c s="125">
        <f>'Операционные затраты'!BJ521</f>
        <v>0</v>
      </c>
      <c s="125">
        <f>'Операционные затраты'!BK521</f>
        <v>0</v>
      </c>
      <c s="125">
        <f>'Операционные затраты'!BL521</f>
        <v>0</v>
      </c>
      <c s="125">
        <f>'Операционные затраты'!BM521</f>
        <v>0</v>
      </c>
    </row>
    <row r="30" spans="2:65" ht="15" customHeight="1">
      <c r="B30" s="12" t="str">
        <f>IF(ISBLANK(Предпосылки!B137),"-",Предпосылки!B137)</f>
        <v>Продукт 16</v>
      </c>
      <c s="124" t="str">
        <f t="shared" si="31"/>
        <v>тыс. руб.</v>
      </c>
      <c s="125"/>
      <c s="125">
        <f>'Операционные затраты'!E522</f>
        <v>0</v>
      </c>
      <c s="125">
        <f>'Операционные затраты'!F522</f>
        <v>0</v>
      </c>
      <c s="125">
        <f>'Операционные затраты'!G522</f>
        <v>0</v>
      </c>
      <c s="125">
        <f>'Операционные затраты'!H522</f>
        <v>0</v>
      </c>
      <c s="125">
        <f>'Операционные затраты'!I522</f>
        <v>0</v>
      </c>
      <c s="125">
        <f>'Операционные затраты'!J522</f>
        <v>0</v>
      </c>
      <c s="125">
        <f>'Операционные затраты'!K522</f>
        <v>0</v>
      </c>
      <c s="125">
        <f>'Операционные затраты'!L522</f>
        <v>0</v>
      </c>
      <c s="125">
        <f>'Операционные затраты'!M522</f>
        <v>0</v>
      </c>
      <c s="125">
        <f>'Операционные затраты'!N522</f>
        <v>0</v>
      </c>
      <c s="125">
        <f>'Операционные затраты'!O522</f>
        <v>0</v>
      </c>
      <c s="125">
        <f>'Операционные затраты'!P522</f>
        <v>0</v>
      </c>
      <c s="125">
        <f>'Операционные затраты'!Q522</f>
        <v>0</v>
      </c>
      <c s="125">
        <f>'Операционные затраты'!R522</f>
        <v>0</v>
      </c>
      <c s="125">
        <f>'Операционные затраты'!S522</f>
        <v>0</v>
      </c>
      <c s="125">
        <f>'Операционные затраты'!T522</f>
        <v>0</v>
      </c>
      <c s="125">
        <f>'Операционные затраты'!U522</f>
        <v>0</v>
      </c>
      <c s="125">
        <f>'Операционные затраты'!V522</f>
        <v>0</v>
      </c>
      <c s="125">
        <f>'Операционные затраты'!W522</f>
        <v>0</v>
      </c>
      <c s="125">
        <f>'Операционные затраты'!X522</f>
        <v>0</v>
      </c>
      <c s="125">
        <f>'Операционные затраты'!Y522</f>
        <v>0</v>
      </c>
      <c s="125">
        <f>'Операционные затраты'!Z522</f>
        <v>0</v>
      </c>
      <c s="125">
        <f>'Операционные затраты'!AA522</f>
        <v>0</v>
      </c>
      <c s="125">
        <f>'Операционные затраты'!AB522</f>
        <v>0</v>
      </c>
      <c s="125">
        <f>'Операционные затраты'!AC522</f>
        <v>0</v>
      </c>
      <c s="125">
        <f>'Операционные затраты'!AD522</f>
        <v>0</v>
      </c>
      <c s="125">
        <f>'Операционные затраты'!AE522</f>
        <v>0</v>
      </c>
      <c s="125">
        <f>'Операционные затраты'!AF522</f>
        <v>0</v>
      </c>
      <c s="125">
        <f>'Операционные затраты'!AG522</f>
        <v>0</v>
      </c>
      <c s="125">
        <f>'Операционные затраты'!AH522</f>
        <v>0</v>
      </c>
      <c s="125">
        <f>'Операционные затраты'!AI522</f>
        <v>0</v>
      </c>
      <c s="125">
        <f>'Операционные затраты'!AJ522</f>
        <v>0</v>
      </c>
      <c s="125">
        <f>'Операционные затраты'!AK522</f>
        <v>0</v>
      </c>
      <c s="125">
        <f>'Операционные затраты'!AL522</f>
        <v>0</v>
      </c>
      <c s="125">
        <f>'Операционные затраты'!AM522</f>
        <v>0</v>
      </c>
      <c s="125">
        <f>'Операционные затраты'!AN522</f>
        <v>0</v>
      </c>
      <c s="125">
        <f>'Операционные затраты'!AO522</f>
        <v>0</v>
      </c>
      <c s="125">
        <f>'Операционные затраты'!AP522</f>
        <v>0</v>
      </c>
      <c s="125">
        <f>'Операционные затраты'!AQ522</f>
        <v>0</v>
      </c>
      <c s="125">
        <f>'Операционные затраты'!AR522</f>
        <v>0</v>
      </c>
      <c s="125">
        <f>'Операционные затраты'!AS522</f>
        <v>0</v>
      </c>
      <c s="125">
        <f>'Операционные затраты'!AT522</f>
        <v>0</v>
      </c>
      <c s="125">
        <f>'Операционные затраты'!AU522</f>
        <v>0</v>
      </c>
      <c s="125">
        <f>'Операционные затраты'!AV522</f>
        <v>0</v>
      </c>
      <c s="125">
        <f>'Операционные затраты'!AW522</f>
        <v>0</v>
      </c>
      <c s="125">
        <f>'Операционные затраты'!AX522</f>
        <v>0</v>
      </c>
      <c s="125">
        <f>'Операционные затраты'!AY522</f>
        <v>0</v>
      </c>
      <c s="125">
        <f>'Операционные затраты'!AZ522</f>
        <v>0</v>
      </c>
      <c s="125">
        <f>'Операционные затраты'!BA522</f>
        <v>0</v>
      </c>
      <c s="125">
        <f>'Операционные затраты'!BB522</f>
        <v>0</v>
      </c>
      <c s="125">
        <f>'Операционные затраты'!BC522</f>
        <v>0</v>
      </c>
      <c s="125">
        <f>'Операционные затраты'!BD522</f>
        <v>0</v>
      </c>
      <c s="125">
        <f>'Операционные затраты'!BE522</f>
        <v>0</v>
      </c>
      <c s="125">
        <f>'Операционные затраты'!BF522</f>
        <v>0</v>
      </c>
      <c s="125">
        <f>'Операционные затраты'!BG522</f>
        <v>0</v>
      </c>
      <c s="125">
        <f>'Операционные затраты'!BH522</f>
        <v>0</v>
      </c>
      <c s="125">
        <f>'Операционные затраты'!BI522</f>
        <v>0</v>
      </c>
      <c s="125">
        <f>'Операционные затраты'!BJ522</f>
        <v>0</v>
      </c>
      <c s="125">
        <f>'Операционные затраты'!BK522</f>
        <v>0</v>
      </c>
      <c s="125">
        <f>'Операционные затраты'!BL522</f>
        <v>0</v>
      </c>
      <c s="125">
        <f>'Операционные затраты'!BM522</f>
        <v>0</v>
      </c>
    </row>
    <row r="31" spans="2:65" ht="15" customHeight="1">
      <c r="B31" s="12" t="str">
        <f>IF(ISBLANK(Предпосылки!B138),"-",Предпосылки!B138)</f>
        <v>Продукт 17</v>
      </c>
      <c s="124" t="str">
        <f t="shared" si="31"/>
        <v>тыс. руб.</v>
      </c>
      <c s="125"/>
      <c s="125">
        <f>'Операционные затраты'!E523</f>
        <v>0</v>
      </c>
      <c s="125">
        <f>'Операционные затраты'!F523</f>
        <v>0</v>
      </c>
      <c s="125">
        <f>'Операционные затраты'!G523</f>
        <v>0</v>
      </c>
      <c s="125">
        <f>'Операционные затраты'!H523</f>
        <v>0</v>
      </c>
      <c s="125">
        <f>'Операционные затраты'!I523</f>
        <v>0</v>
      </c>
      <c s="125">
        <f>'Операционные затраты'!J523</f>
        <v>0</v>
      </c>
      <c s="125">
        <f>'Операционные затраты'!K523</f>
        <v>0</v>
      </c>
      <c s="125">
        <f>'Операционные затраты'!L523</f>
        <v>0</v>
      </c>
      <c s="125">
        <f>'Операционные затраты'!M523</f>
        <v>0</v>
      </c>
      <c s="125">
        <f>'Операционные затраты'!N523</f>
        <v>0</v>
      </c>
      <c s="125">
        <f>'Операционные затраты'!O523</f>
        <v>0</v>
      </c>
      <c s="125">
        <f>'Операционные затраты'!P523</f>
        <v>0</v>
      </c>
      <c s="125">
        <f>'Операционные затраты'!Q523</f>
        <v>0</v>
      </c>
      <c s="125">
        <f>'Операционные затраты'!R523</f>
        <v>0</v>
      </c>
      <c s="125">
        <f>'Операционные затраты'!S523</f>
        <v>0</v>
      </c>
      <c s="125">
        <f>'Операционные затраты'!T523</f>
        <v>0</v>
      </c>
      <c s="125">
        <f>'Операционные затраты'!U523</f>
        <v>0</v>
      </c>
      <c s="125">
        <f>'Операционные затраты'!V523</f>
        <v>0</v>
      </c>
      <c s="125">
        <f>'Операционные затраты'!W523</f>
        <v>0</v>
      </c>
      <c s="125">
        <f>'Операционные затраты'!X523</f>
        <v>0</v>
      </c>
      <c s="125">
        <f>'Операционные затраты'!Y523</f>
        <v>0</v>
      </c>
      <c s="125">
        <f>'Операционные затраты'!Z523</f>
        <v>0</v>
      </c>
      <c s="125">
        <f>'Операционные затраты'!AA523</f>
        <v>0</v>
      </c>
      <c s="125">
        <f>'Операционные затраты'!AB523</f>
        <v>0</v>
      </c>
      <c s="125">
        <f>'Операционные затраты'!AC523</f>
        <v>0</v>
      </c>
      <c s="125">
        <f>'Операционные затраты'!AD523</f>
        <v>0</v>
      </c>
      <c s="125">
        <f>'Операционные затраты'!AE523</f>
        <v>0</v>
      </c>
      <c s="125">
        <f>'Операционные затраты'!AF523</f>
        <v>0</v>
      </c>
      <c s="125">
        <f>'Операционные затраты'!AG523</f>
        <v>0</v>
      </c>
      <c s="125">
        <f>'Операционные затраты'!AH523</f>
        <v>0</v>
      </c>
      <c s="125">
        <f>'Операционные затраты'!AI523</f>
        <v>0</v>
      </c>
      <c s="125">
        <f>'Операционные затраты'!AJ523</f>
        <v>0</v>
      </c>
      <c s="125">
        <f>'Операционные затраты'!AK523</f>
        <v>0</v>
      </c>
      <c s="125">
        <f>'Операционные затраты'!AL523</f>
        <v>0</v>
      </c>
      <c s="125">
        <f>'Операционные затраты'!AM523</f>
        <v>0</v>
      </c>
      <c s="125">
        <f>'Операционные затраты'!AN523</f>
        <v>0</v>
      </c>
      <c s="125">
        <f>'Операционные затраты'!AO523</f>
        <v>0</v>
      </c>
      <c s="125">
        <f>'Операционные затраты'!AP523</f>
        <v>0</v>
      </c>
      <c s="125">
        <f>'Операционные затраты'!AQ523</f>
        <v>0</v>
      </c>
      <c s="125">
        <f>'Операционные затраты'!AR523</f>
        <v>0</v>
      </c>
      <c s="125">
        <f>'Операционные затраты'!AS523</f>
        <v>0</v>
      </c>
      <c s="125">
        <f>'Операционные затраты'!AT523</f>
        <v>0</v>
      </c>
      <c s="125">
        <f>'Операционные затраты'!AU523</f>
        <v>0</v>
      </c>
      <c s="125">
        <f>'Операционные затраты'!AV523</f>
        <v>0</v>
      </c>
      <c s="125">
        <f>'Операционные затраты'!AW523</f>
        <v>0</v>
      </c>
      <c s="125">
        <f>'Операционные затраты'!AX523</f>
        <v>0</v>
      </c>
      <c s="125">
        <f>'Операционные затраты'!AY523</f>
        <v>0</v>
      </c>
      <c s="125">
        <f>'Операционные затраты'!AZ523</f>
        <v>0</v>
      </c>
      <c s="125">
        <f>'Операционные затраты'!BA523</f>
        <v>0</v>
      </c>
      <c s="125">
        <f>'Операционные затраты'!BB523</f>
        <v>0</v>
      </c>
      <c s="125">
        <f>'Операционные затраты'!BC523</f>
        <v>0</v>
      </c>
      <c s="125">
        <f>'Операционные затраты'!BD523</f>
        <v>0</v>
      </c>
      <c s="125">
        <f>'Операционные затраты'!BE523</f>
        <v>0</v>
      </c>
      <c s="125">
        <f>'Операционные затраты'!BF523</f>
        <v>0</v>
      </c>
      <c s="125">
        <f>'Операционные затраты'!BG523</f>
        <v>0</v>
      </c>
      <c s="125">
        <f>'Операционные затраты'!BH523</f>
        <v>0</v>
      </c>
      <c s="125">
        <f>'Операционные затраты'!BI523</f>
        <v>0</v>
      </c>
      <c s="125">
        <f>'Операционные затраты'!BJ523</f>
        <v>0</v>
      </c>
      <c s="125">
        <f>'Операционные затраты'!BK523</f>
        <v>0</v>
      </c>
      <c s="125">
        <f>'Операционные затраты'!BL523</f>
        <v>0</v>
      </c>
      <c s="125">
        <f>'Операционные затраты'!BM523</f>
        <v>0</v>
      </c>
    </row>
    <row r="32" spans="2:65" ht="15" customHeight="1">
      <c r="B32" s="12" t="str">
        <f>IF(ISBLANK(Предпосылки!B139),"-",Предпосылки!B139)</f>
        <v>Продукт 18</v>
      </c>
      <c s="124" t="str">
        <f t="shared" si="31"/>
        <v>тыс. руб.</v>
      </c>
      <c s="125"/>
      <c s="125">
        <f>'Операционные затраты'!E524</f>
        <v>0</v>
      </c>
      <c s="125">
        <f>'Операционные затраты'!F524</f>
        <v>0</v>
      </c>
      <c s="125">
        <f>'Операционные затраты'!G524</f>
        <v>0</v>
      </c>
      <c s="125">
        <f>'Операционные затраты'!H524</f>
        <v>0</v>
      </c>
      <c s="125">
        <f>'Операционные затраты'!I524</f>
        <v>0</v>
      </c>
      <c s="125">
        <f>'Операционные затраты'!J524</f>
        <v>0</v>
      </c>
      <c s="125">
        <f>'Операционные затраты'!K524</f>
        <v>0</v>
      </c>
      <c s="125">
        <f>'Операционные затраты'!L524</f>
        <v>0</v>
      </c>
      <c s="125">
        <f>'Операционные затраты'!M524</f>
        <v>0</v>
      </c>
      <c s="125">
        <f>'Операционные затраты'!N524</f>
        <v>0</v>
      </c>
      <c s="125">
        <f>'Операционные затраты'!O524</f>
        <v>0</v>
      </c>
      <c s="125">
        <f>'Операционные затраты'!P524</f>
        <v>0</v>
      </c>
      <c s="125">
        <f>'Операционные затраты'!Q524</f>
        <v>0</v>
      </c>
      <c s="125">
        <f>'Операционные затраты'!R524</f>
        <v>0</v>
      </c>
      <c s="125">
        <f>'Операционные затраты'!S524</f>
        <v>0</v>
      </c>
      <c s="125">
        <f>'Операционные затраты'!T524</f>
        <v>0</v>
      </c>
      <c s="125">
        <f>'Операционные затраты'!U524</f>
        <v>0</v>
      </c>
      <c s="125">
        <f>'Операционные затраты'!V524</f>
        <v>0</v>
      </c>
      <c s="125">
        <f>'Операционные затраты'!W524</f>
        <v>0</v>
      </c>
      <c s="125">
        <f>'Операционные затраты'!X524</f>
        <v>0</v>
      </c>
      <c s="125">
        <f>'Операционные затраты'!Y524</f>
        <v>0</v>
      </c>
      <c s="125">
        <f>'Операционные затраты'!Z524</f>
        <v>0</v>
      </c>
      <c s="125">
        <f>'Операционные затраты'!AA524</f>
        <v>0</v>
      </c>
      <c s="125">
        <f>'Операционные затраты'!AB524</f>
        <v>0</v>
      </c>
      <c s="125">
        <f>'Операционные затраты'!AC524</f>
        <v>0</v>
      </c>
      <c s="125">
        <f>'Операционные затраты'!AD524</f>
        <v>0</v>
      </c>
      <c s="125">
        <f>'Операционные затраты'!AE524</f>
        <v>0</v>
      </c>
      <c s="125">
        <f>'Операционные затраты'!AF524</f>
        <v>0</v>
      </c>
      <c s="125">
        <f>'Операционные затраты'!AG524</f>
        <v>0</v>
      </c>
      <c s="125">
        <f>'Операционные затраты'!AH524</f>
        <v>0</v>
      </c>
      <c s="125">
        <f>'Операционные затраты'!AI524</f>
        <v>0</v>
      </c>
      <c s="125">
        <f>'Операционные затраты'!AJ524</f>
        <v>0</v>
      </c>
      <c s="125">
        <f>'Операционные затраты'!AK524</f>
        <v>0</v>
      </c>
      <c s="125">
        <f>'Операционные затраты'!AL524</f>
        <v>0</v>
      </c>
      <c s="125">
        <f>'Операционные затраты'!AM524</f>
        <v>0</v>
      </c>
      <c s="125">
        <f>'Операционные затраты'!AN524</f>
        <v>0</v>
      </c>
      <c s="125">
        <f>'Операционные затраты'!AO524</f>
        <v>0</v>
      </c>
      <c s="125">
        <f>'Операционные затраты'!AP524</f>
        <v>0</v>
      </c>
      <c s="125">
        <f>'Операционные затраты'!AQ524</f>
        <v>0</v>
      </c>
      <c s="125">
        <f>'Операционные затраты'!AR524</f>
        <v>0</v>
      </c>
      <c s="125">
        <f>'Операционные затраты'!AS524</f>
        <v>0</v>
      </c>
      <c s="125">
        <f>'Операционные затраты'!AT524</f>
        <v>0</v>
      </c>
      <c s="125">
        <f>'Операционные затраты'!AU524</f>
        <v>0</v>
      </c>
      <c s="125">
        <f>'Операционные затраты'!AV524</f>
        <v>0</v>
      </c>
      <c s="125">
        <f>'Операционные затраты'!AW524</f>
        <v>0</v>
      </c>
      <c s="125">
        <f>'Операционные затраты'!AX524</f>
        <v>0</v>
      </c>
      <c s="125">
        <f>'Операционные затраты'!AY524</f>
        <v>0</v>
      </c>
      <c s="125">
        <f>'Операционные затраты'!AZ524</f>
        <v>0</v>
      </c>
      <c s="125">
        <f>'Операционные затраты'!BA524</f>
        <v>0</v>
      </c>
      <c s="125">
        <f>'Операционные затраты'!BB524</f>
        <v>0</v>
      </c>
      <c s="125">
        <f>'Операционные затраты'!BC524</f>
        <v>0</v>
      </c>
      <c s="125">
        <f>'Операционные затраты'!BD524</f>
        <v>0</v>
      </c>
      <c s="125">
        <f>'Операционные затраты'!BE524</f>
        <v>0</v>
      </c>
      <c s="125">
        <f>'Операционные затраты'!BF524</f>
        <v>0</v>
      </c>
      <c s="125">
        <f>'Операционные затраты'!BG524</f>
        <v>0</v>
      </c>
      <c s="125">
        <f>'Операционные затраты'!BH524</f>
        <v>0</v>
      </c>
      <c s="125">
        <f>'Операционные затраты'!BI524</f>
        <v>0</v>
      </c>
      <c s="125">
        <f>'Операционные затраты'!BJ524</f>
        <v>0</v>
      </c>
      <c s="125">
        <f>'Операционные затраты'!BK524</f>
        <v>0</v>
      </c>
      <c s="125">
        <f>'Операционные затраты'!BL524</f>
        <v>0</v>
      </c>
      <c s="125">
        <f>'Операционные затраты'!BM524</f>
        <v>0</v>
      </c>
    </row>
    <row r="33" spans="2:65" ht="15" customHeight="1">
      <c r="B33" s="12" t="str">
        <f>IF(ISBLANK(Предпосылки!B140),"-",Предпосылки!B140)</f>
        <v>Продукт 19</v>
      </c>
      <c s="124" t="str">
        <f t="shared" si="31"/>
        <v>тыс. руб.</v>
      </c>
      <c s="125"/>
      <c s="125">
        <f>'Операционные затраты'!E525</f>
        <v>0</v>
      </c>
      <c s="125">
        <f>'Операционные затраты'!F525</f>
        <v>0</v>
      </c>
      <c s="125">
        <f>'Операционные затраты'!G525</f>
        <v>0</v>
      </c>
      <c s="125">
        <f>'Операционные затраты'!H525</f>
        <v>0</v>
      </c>
      <c s="125">
        <f>'Операционные затраты'!I525</f>
        <v>0</v>
      </c>
      <c s="125">
        <f>'Операционные затраты'!J525</f>
        <v>0</v>
      </c>
      <c s="125">
        <f>'Операционные затраты'!K525</f>
        <v>0</v>
      </c>
      <c s="125">
        <f>'Операционные затраты'!L525</f>
        <v>0</v>
      </c>
      <c s="125">
        <f>'Операционные затраты'!M525</f>
        <v>0</v>
      </c>
      <c s="125">
        <f>'Операционные затраты'!N525</f>
        <v>0</v>
      </c>
      <c s="125">
        <f>'Операционные затраты'!O525</f>
        <v>0</v>
      </c>
      <c s="125">
        <f>'Операционные затраты'!P525</f>
        <v>0</v>
      </c>
      <c s="125">
        <f>'Операционные затраты'!Q525</f>
        <v>0</v>
      </c>
      <c s="125">
        <f>'Операционные затраты'!R525</f>
        <v>0</v>
      </c>
      <c s="125">
        <f>'Операционные затраты'!S525</f>
        <v>0</v>
      </c>
      <c s="125">
        <f>'Операционные затраты'!T525</f>
        <v>0</v>
      </c>
      <c s="125">
        <f>'Операционные затраты'!U525</f>
        <v>0</v>
      </c>
      <c s="125">
        <f>'Операционные затраты'!V525</f>
        <v>0</v>
      </c>
      <c s="125">
        <f>'Операционные затраты'!W525</f>
        <v>0</v>
      </c>
      <c s="125">
        <f>'Операционные затраты'!X525</f>
        <v>0</v>
      </c>
      <c s="125">
        <f>'Операционные затраты'!Y525</f>
        <v>0</v>
      </c>
      <c s="125">
        <f>'Операционные затраты'!Z525</f>
        <v>0</v>
      </c>
      <c s="125">
        <f>'Операционные затраты'!AA525</f>
        <v>0</v>
      </c>
      <c s="125">
        <f>'Операционные затраты'!AB525</f>
        <v>0</v>
      </c>
      <c s="125">
        <f>'Операционные затраты'!AC525</f>
        <v>0</v>
      </c>
      <c s="125">
        <f>'Операционные затраты'!AD525</f>
        <v>0</v>
      </c>
      <c s="125">
        <f>'Операционные затраты'!AE525</f>
        <v>0</v>
      </c>
      <c s="125">
        <f>'Операционные затраты'!AF525</f>
        <v>0</v>
      </c>
      <c s="125">
        <f>'Операционные затраты'!AG525</f>
        <v>0</v>
      </c>
      <c s="125">
        <f>'Операционные затраты'!AH525</f>
        <v>0</v>
      </c>
      <c s="125">
        <f>'Операционные затраты'!AI525</f>
        <v>0</v>
      </c>
      <c s="125">
        <f>'Операционные затраты'!AJ525</f>
        <v>0</v>
      </c>
      <c s="125">
        <f>'Операционные затраты'!AK525</f>
        <v>0</v>
      </c>
      <c s="125">
        <f>'Операционные затраты'!AL525</f>
        <v>0</v>
      </c>
      <c s="125">
        <f>'Операционные затраты'!AM525</f>
        <v>0</v>
      </c>
      <c s="125">
        <f>'Операционные затраты'!AN525</f>
        <v>0</v>
      </c>
      <c s="125">
        <f>'Операционные затраты'!AO525</f>
        <v>0</v>
      </c>
      <c s="125">
        <f>'Операционные затраты'!AP525</f>
        <v>0</v>
      </c>
      <c s="125">
        <f>'Операционные затраты'!AQ525</f>
        <v>0</v>
      </c>
      <c s="125">
        <f>'Операционные затраты'!AR525</f>
        <v>0</v>
      </c>
      <c s="125">
        <f>'Операционные затраты'!AS525</f>
        <v>0</v>
      </c>
      <c s="125">
        <f>'Операционные затраты'!AT525</f>
        <v>0</v>
      </c>
      <c s="125">
        <f>'Операционные затраты'!AU525</f>
        <v>0</v>
      </c>
      <c s="125">
        <f>'Операционные затраты'!AV525</f>
        <v>0</v>
      </c>
      <c s="125">
        <f>'Операционные затраты'!AW525</f>
        <v>0</v>
      </c>
      <c s="125">
        <f>'Операционные затраты'!AX525</f>
        <v>0</v>
      </c>
      <c s="125">
        <f>'Операционные затраты'!AY525</f>
        <v>0</v>
      </c>
      <c s="125">
        <f>'Операционные затраты'!AZ525</f>
        <v>0</v>
      </c>
      <c s="125">
        <f>'Операционные затраты'!BA525</f>
        <v>0</v>
      </c>
      <c s="125">
        <f>'Операционные затраты'!BB525</f>
        <v>0</v>
      </c>
      <c s="125">
        <f>'Операционные затраты'!BC525</f>
        <v>0</v>
      </c>
      <c s="125">
        <f>'Операционные затраты'!BD525</f>
        <v>0</v>
      </c>
      <c s="125">
        <f>'Операционные затраты'!BE525</f>
        <v>0</v>
      </c>
      <c s="125">
        <f>'Операционные затраты'!BF525</f>
        <v>0</v>
      </c>
      <c s="125">
        <f>'Операционные затраты'!BG525</f>
        <v>0</v>
      </c>
      <c s="125">
        <f>'Операционные затраты'!BH525</f>
        <v>0</v>
      </c>
      <c s="125">
        <f>'Операционные затраты'!BI525</f>
        <v>0</v>
      </c>
      <c s="125">
        <f>'Операционные затраты'!BJ525</f>
        <v>0</v>
      </c>
      <c s="125">
        <f>'Операционные затраты'!BK525</f>
        <v>0</v>
      </c>
      <c s="125">
        <f>'Операционные затраты'!BL525</f>
        <v>0</v>
      </c>
      <c s="125">
        <f>'Операционные затраты'!BM525</f>
        <v>0</v>
      </c>
    </row>
    <row r="34" spans="2:65" ht="15" customHeight="1">
      <c r="B34" s="12" t="str">
        <f>IF(ISBLANK(Предпосылки!B141),"-",Предпосылки!B141)</f>
        <v>Продукт 20</v>
      </c>
      <c s="124" t="str">
        <f t="shared" si="31"/>
        <v>тыс. руб.</v>
      </c>
      <c s="125"/>
      <c s="125">
        <f>'Операционные затраты'!E526</f>
        <v>0</v>
      </c>
      <c s="125">
        <f>'Операционные затраты'!F526</f>
        <v>0</v>
      </c>
      <c s="125">
        <f>'Операционные затраты'!G526</f>
        <v>0</v>
      </c>
      <c s="125">
        <f>'Операционные затраты'!H526</f>
        <v>0</v>
      </c>
      <c s="125">
        <f>'Операционные затраты'!I526</f>
        <v>0</v>
      </c>
      <c s="125">
        <f>'Операционные затраты'!J526</f>
        <v>0</v>
      </c>
      <c s="125">
        <f>'Операционные затраты'!K526</f>
        <v>0</v>
      </c>
      <c s="125">
        <f>'Операционные затраты'!L526</f>
        <v>0</v>
      </c>
      <c s="125">
        <f>'Операционные затраты'!M526</f>
        <v>0</v>
      </c>
      <c s="125">
        <f>'Операционные затраты'!N526</f>
        <v>0</v>
      </c>
      <c s="125">
        <f>'Операционные затраты'!O526</f>
        <v>0</v>
      </c>
      <c s="125">
        <f>'Операционные затраты'!P526</f>
        <v>0</v>
      </c>
      <c s="125">
        <f>'Операционные затраты'!Q526</f>
        <v>0</v>
      </c>
      <c s="125">
        <f>'Операционные затраты'!R526</f>
        <v>0</v>
      </c>
      <c s="125">
        <f>'Операционные затраты'!S526</f>
        <v>0</v>
      </c>
      <c s="125">
        <f>'Операционные затраты'!T526</f>
        <v>0</v>
      </c>
      <c s="125">
        <f>'Операционные затраты'!U526</f>
        <v>0</v>
      </c>
      <c s="125">
        <f>'Операционные затраты'!V526</f>
        <v>0</v>
      </c>
      <c s="125">
        <f>'Операционные затраты'!W526</f>
        <v>0</v>
      </c>
      <c s="125">
        <f>'Операционные затраты'!X526</f>
        <v>0</v>
      </c>
      <c s="125">
        <f>'Операционные затраты'!Y526</f>
        <v>0</v>
      </c>
      <c s="125">
        <f>'Операционные затраты'!Z526</f>
        <v>0</v>
      </c>
      <c s="125">
        <f>'Операционные затраты'!AA526</f>
        <v>0</v>
      </c>
      <c s="125">
        <f>'Операционные затраты'!AB526</f>
        <v>0</v>
      </c>
      <c s="125">
        <f>'Операционные затраты'!AC526</f>
        <v>0</v>
      </c>
      <c s="125">
        <f>'Операционные затраты'!AD526</f>
        <v>0</v>
      </c>
      <c s="125">
        <f>'Операционные затраты'!AE526</f>
        <v>0</v>
      </c>
      <c s="125">
        <f>'Операционные затраты'!AF526</f>
        <v>0</v>
      </c>
      <c s="125">
        <f>'Операционные затраты'!AG526</f>
        <v>0</v>
      </c>
      <c s="125">
        <f>'Операционные затраты'!AH526</f>
        <v>0</v>
      </c>
      <c s="125">
        <f>'Операционные затраты'!AI526</f>
        <v>0</v>
      </c>
      <c s="125">
        <f>'Операционные затраты'!AJ526</f>
        <v>0</v>
      </c>
      <c s="125">
        <f>'Операционные затраты'!AK526</f>
        <v>0</v>
      </c>
      <c s="125">
        <f>'Операционные затраты'!AL526</f>
        <v>0</v>
      </c>
      <c s="125">
        <f>'Операционные затраты'!AM526</f>
        <v>0</v>
      </c>
      <c s="125">
        <f>'Операционные затраты'!AN526</f>
        <v>0</v>
      </c>
      <c s="125">
        <f>'Операционные затраты'!AO526</f>
        <v>0</v>
      </c>
      <c s="125">
        <f>'Операционные затраты'!AP526</f>
        <v>0</v>
      </c>
      <c s="125">
        <f>'Операционные затраты'!AQ526</f>
        <v>0</v>
      </c>
      <c s="125">
        <f>'Операционные затраты'!AR526</f>
        <v>0</v>
      </c>
      <c s="125">
        <f>'Операционные затраты'!AS526</f>
        <v>0</v>
      </c>
      <c s="125">
        <f>'Операционные затраты'!AT526</f>
        <v>0</v>
      </c>
      <c s="125">
        <f>'Операционные затраты'!AU526</f>
        <v>0</v>
      </c>
      <c s="125">
        <f>'Операционные затраты'!AV526</f>
        <v>0</v>
      </c>
      <c s="125">
        <f>'Операционные затраты'!AW526</f>
        <v>0</v>
      </c>
      <c s="125">
        <f>'Операционные затраты'!AX526</f>
        <v>0</v>
      </c>
      <c s="125">
        <f>'Операционные затраты'!AY526</f>
        <v>0</v>
      </c>
      <c s="125">
        <f>'Операционные затраты'!AZ526</f>
        <v>0</v>
      </c>
      <c s="125">
        <f>'Операционные затраты'!BA526</f>
        <v>0</v>
      </c>
      <c s="125">
        <f>'Операционные затраты'!BB526</f>
        <v>0</v>
      </c>
      <c s="125">
        <f>'Операционные затраты'!BC526</f>
        <v>0</v>
      </c>
      <c s="125">
        <f>'Операционные затраты'!BD526</f>
        <v>0</v>
      </c>
      <c s="125">
        <f>'Операционные затраты'!BE526</f>
        <v>0</v>
      </c>
      <c s="125">
        <f>'Операционные затраты'!BF526</f>
        <v>0</v>
      </c>
      <c s="125">
        <f>'Операционные затраты'!BG526</f>
        <v>0</v>
      </c>
      <c s="125">
        <f>'Операционные затраты'!BH526</f>
        <v>0</v>
      </c>
      <c s="125">
        <f>'Операционные затраты'!BI526</f>
        <v>0</v>
      </c>
      <c s="125">
        <f>'Операционные затраты'!BJ526</f>
        <v>0</v>
      </c>
      <c s="125">
        <f>'Операционные затраты'!BK526</f>
        <v>0</v>
      </c>
      <c s="125">
        <f>'Операционные затраты'!BL526</f>
        <v>0</v>
      </c>
      <c s="125">
        <f>'Операционные затраты'!BM526</f>
        <v>0</v>
      </c>
    </row>
    <row r="35" spans="2:65" ht="15" customHeight="1">
      <c r="B35" s="289" t="s">
        <v>454</v>
      </c>
      <c s="290" t="str">
        <f>Единица_измерения</f>
        <v>тыс. руб.</v>
      </c>
      <c s="276"/>
      <c s="276">
        <f t="shared" si="32" ref="E35:AG35">SUM(E15:E34)</f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2"/>
        <v>0</v>
      </c>
      <c s="276">
        <f t="shared" si="33" ref="AH35:BM35">SUM(AH15:AH34)</f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  <c s="276">
        <f t="shared" si="33"/>
        <v>0</v>
      </c>
    </row>
    <row r="36" ht="15" customHeight="1"/>
    <row r="37" spans="2:2" ht="15" customHeight="1">
      <c r="B37" s="24" t="s">
        <v>888</v>
      </c>
    </row>
    <row r="38" spans="2:65" ht="15" customHeight="1">
      <c r="B38" s="12" t="str">
        <f>B15</f>
        <v>Продукт 1</v>
      </c>
      <c s="124" t="str">
        <f t="shared" si="34" ref="C38:C57">Единица_измерения</f>
        <v>тыс. руб.</v>
      </c>
      <c s="125"/>
      <c s="125">
        <f>E15*Предпосылки!$H122/(E$8+1-E$7)</f>
        <v>0</v>
      </c>
      <c s="125">
        <f>F15*Предпосылки!$H122/(F$8+1-F$7)</f>
        <v>0</v>
      </c>
      <c s="125">
        <f>G15*Предпосылки!$H122/(G$8+1-G$7)</f>
        <v>0</v>
      </c>
      <c s="125">
        <f>H15*Предпосылки!$H122/(H$8+1-H$7)</f>
        <v>0</v>
      </c>
      <c s="125">
        <f>I15*Предпосылки!$H122/(I$8+1-I$7)</f>
        <v>0</v>
      </c>
      <c s="125">
        <f>J15*Предпосылки!$H122/(J$8+1-J$7)</f>
        <v>0</v>
      </c>
      <c s="125">
        <f>K15*Предпосылки!$H122/(K$8+1-K$7)</f>
        <v>0</v>
      </c>
      <c s="125">
        <f>L15*Предпосылки!$H122/(L$8+1-L$7)</f>
        <v>0</v>
      </c>
      <c s="125">
        <f>M15*Предпосылки!$H122/(M$8+1-M$7)</f>
        <v>0</v>
      </c>
      <c s="125">
        <f>N15*Предпосылки!$H122/(N$8+1-N$7)</f>
        <v>0</v>
      </c>
      <c s="125">
        <f>O15*Предпосылки!$H122/(O$8+1-O$7)</f>
        <v>0</v>
      </c>
      <c s="125">
        <f>P15*Предпосылки!$H122/(P$8+1-P$7)</f>
        <v>0</v>
      </c>
      <c s="125">
        <f>Q15*Предпосылки!$H122/(Q$8+1-Q$7)</f>
        <v>0</v>
      </c>
      <c s="125">
        <f>R15*Предпосылки!$H122/(R$8+1-R$7)</f>
        <v>0</v>
      </c>
      <c s="125">
        <f>S15*Предпосылки!$H122/(S$8+1-S$7)</f>
        <v>0</v>
      </c>
      <c s="125">
        <f>T15*Предпосылки!$H122/(T$8+1-T$7)</f>
        <v>0</v>
      </c>
      <c s="125">
        <f>U15*Предпосылки!$H122/(U$8+1-U$7)</f>
        <v>0</v>
      </c>
      <c s="125">
        <f>V15*Предпосылки!$H122/(V$8+1-V$7)</f>
        <v>0</v>
      </c>
      <c s="125">
        <f>W15*Предпосылки!$H122/(W$8+1-W$7)</f>
        <v>0</v>
      </c>
      <c s="125">
        <f>X15*Предпосылки!$H122/(X$8+1-X$7)</f>
        <v>0</v>
      </c>
      <c s="125">
        <f>Y15*Предпосылки!$H122/(Y$8+1-Y$7)</f>
        <v>0</v>
      </c>
      <c s="125">
        <f>Z15*Предпосылки!$H122/(Z$8+1-Z$7)</f>
        <v>0</v>
      </c>
      <c s="125">
        <f>AA15*Предпосылки!$H122/(AA$8+1-AA$7)</f>
        <v>0</v>
      </c>
      <c s="125">
        <f>AB15*Предпосылки!$H122/(AB$8+1-AB$7)</f>
        <v>0</v>
      </c>
      <c s="125">
        <f>AC15*Предпосылки!$H122/(AC$8+1-AC$7)</f>
        <v>0</v>
      </c>
      <c s="125">
        <f>AD15*Предпосылки!$H122/(AD$8+1-AD$7)</f>
        <v>0</v>
      </c>
      <c s="125">
        <f>AE15*Предпосылки!$H122/(AE$8+1-AE$7)</f>
        <v>0</v>
      </c>
      <c s="125">
        <f>AF15*Предпосылки!$H122/(AF$8+1-AF$7)</f>
        <v>0</v>
      </c>
      <c s="125">
        <f>AG15*Предпосылки!$H122/(AG$8+1-AG$7)</f>
        <v>0</v>
      </c>
      <c s="125">
        <f>AH15*Предпосылки!$H122/(AH$8+1-AH$7)</f>
        <v>0</v>
      </c>
      <c s="125">
        <f>AI15*Предпосылки!$H122/(AI$8+1-AI$7)</f>
        <v>0</v>
      </c>
      <c s="125">
        <f>AJ15*Предпосылки!$H122/(AJ$8+1-AJ$7)</f>
        <v>0</v>
      </c>
      <c s="125">
        <f>AK15*Предпосылки!$H122/(AK$8+1-AK$7)</f>
        <v>0</v>
      </c>
      <c s="125">
        <f>AL15*Предпосылки!$H122/(AL$8+1-AL$7)</f>
        <v>0</v>
      </c>
      <c s="125">
        <f>AM15*Предпосылки!$H122/(AM$8+1-AM$7)</f>
        <v>0</v>
      </c>
      <c s="125">
        <f>AN15*Предпосылки!$H122/(AN$8+1-AN$7)</f>
        <v>0</v>
      </c>
      <c s="125">
        <f>AO15*Предпосылки!$H122/(AO$8+1-AO$7)</f>
        <v>0</v>
      </c>
      <c s="125">
        <f>AP15*Предпосылки!$H122/(AP$8+1-AP$7)</f>
        <v>0</v>
      </c>
      <c s="125">
        <f>AQ15*Предпосылки!$H122/(AQ$8+1-AQ$7)</f>
        <v>0</v>
      </c>
      <c s="125">
        <f>AR15*Предпосылки!$H122/(AR$8+1-AR$7)</f>
        <v>0</v>
      </c>
      <c s="125">
        <f>AS15*Предпосылки!$H122/(AS$8+1-AS$7)</f>
        <v>0</v>
      </c>
      <c s="125">
        <f>AT15*Предпосылки!$H122/(AT$8+1-AT$7)</f>
        <v>0</v>
      </c>
      <c s="125">
        <f>AU15*Предпосылки!$H122/(AU$8+1-AU$7)</f>
        <v>0</v>
      </c>
      <c s="125">
        <f>AV15*Предпосылки!$H122/(AV$8+1-AV$7)</f>
        <v>0</v>
      </c>
      <c s="125">
        <f>AW15*Предпосылки!$H122/(AW$8+1-AW$7)</f>
        <v>0</v>
      </c>
      <c s="125">
        <f>AX15*Предпосылки!$H122/(AX$8+1-AX$7)</f>
        <v>0</v>
      </c>
      <c s="125">
        <f>AY15*Предпосылки!$H122/(AY$8+1-AY$7)</f>
        <v>0</v>
      </c>
      <c s="125">
        <f>AZ15*Предпосылки!$H122/(AZ$8+1-AZ$7)</f>
        <v>0</v>
      </c>
      <c s="125">
        <f>BA15*Предпосылки!$H122/(BA$8+1-BA$7)</f>
        <v>0</v>
      </c>
      <c s="125">
        <f>BB15*Предпосылки!$H122/(BB$8+1-BB$7)</f>
        <v>0</v>
      </c>
      <c s="125">
        <f>BC15*Предпосылки!$H122/(BC$8+1-BC$7)</f>
        <v>0</v>
      </c>
      <c s="125">
        <f>BD15*Предпосылки!$H122/(BD$8+1-BD$7)</f>
        <v>0</v>
      </c>
      <c s="125">
        <f>BE15*Предпосылки!$H122/(BE$8+1-BE$7)</f>
        <v>0</v>
      </c>
      <c s="125">
        <f>BF15*Предпосылки!$H122/(BF$8+1-BF$7)</f>
        <v>0</v>
      </c>
      <c s="125">
        <f>BG15*Предпосылки!$H122/(BG$8+1-BG$7)</f>
        <v>0</v>
      </c>
      <c s="125">
        <f>BH15*Предпосылки!$H122/(BH$8+1-BH$7)</f>
        <v>0</v>
      </c>
      <c s="125">
        <f>BI15*Предпосылки!$H122/(BI$8+1-BI$7)</f>
        <v>0</v>
      </c>
      <c s="125">
        <f>BJ15*Предпосылки!$H122/(BJ$8+1-BJ$7)</f>
        <v>0</v>
      </c>
      <c s="125">
        <f>BK15*Предпосылки!$H122/(BK$8+1-BK$7)</f>
        <v>0</v>
      </c>
      <c s="125">
        <f>BL15*Предпосылки!$H122/(BL$8+1-BL$7)</f>
        <v>0</v>
      </c>
      <c s="125">
        <f>BM15*Предпосылки!$H122/(BM$8+1-BM$7)</f>
        <v>0</v>
      </c>
    </row>
    <row r="39" spans="2:65" ht="15" customHeight="1">
      <c r="B39" s="12" t="str">
        <f t="shared" si="35" ref="B39:B57">B16</f>
        <v>Продукт 2</v>
      </c>
      <c s="124" t="str">
        <f t="shared" si="34"/>
        <v>тыс. руб.</v>
      </c>
      <c s="125"/>
      <c s="125">
        <f>E16*Предпосылки!$H123/(E$8+1-E$7)</f>
        <v>0</v>
      </c>
      <c s="125">
        <f>F16*Предпосылки!$H123/(F$8+1-F$7)</f>
        <v>0</v>
      </c>
      <c s="125">
        <f>G16*Предпосылки!$H123/(G$8+1-G$7)</f>
        <v>0</v>
      </c>
      <c s="125">
        <f>H16*Предпосылки!$H123/(H$8+1-H$7)</f>
        <v>0</v>
      </c>
      <c s="125">
        <f>I16*Предпосылки!$H123/(I$8+1-I$7)</f>
        <v>0</v>
      </c>
      <c s="125">
        <f>J16*Предпосылки!$H123/(J$8+1-J$7)</f>
        <v>0</v>
      </c>
      <c s="125">
        <f>K16*Предпосылки!$H123/(K$8+1-K$7)</f>
        <v>0</v>
      </c>
      <c s="125">
        <f>L16*Предпосылки!$H123/(L$8+1-L$7)</f>
        <v>0</v>
      </c>
      <c s="125">
        <f>M16*Предпосылки!$H123/(M$8+1-M$7)</f>
        <v>0</v>
      </c>
      <c s="125">
        <f>N16*Предпосылки!$H123/(N$8+1-N$7)</f>
        <v>0</v>
      </c>
      <c s="125">
        <f>O16*Предпосылки!$H123/(O$8+1-O$7)</f>
        <v>0</v>
      </c>
      <c s="125">
        <f>P16*Предпосылки!$H123/(P$8+1-P$7)</f>
        <v>0</v>
      </c>
      <c s="125">
        <f>Q16*Предпосылки!$H123/(Q$8+1-Q$7)</f>
        <v>0</v>
      </c>
      <c s="125">
        <f>R16*Предпосылки!$H123/(R$8+1-R$7)</f>
        <v>0</v>
      </c>
      <c s="125">
        <f>S16*Предпосылки!$H123/(S$8+1-S$7)</f>
        <v>0</v>
      </c>
      <c s="125">
        <f>T16*Предпосылки!$H123/(T$8+1-T$7)</f>
        <v>0</v>
      </c>
      <c s="125">
        <f>U16*Предпосылки!$H123/(U$8+1-U$7)</f>
        <v>0</v>
      </c>
      <c s="125">
        <f>V16*Предпосылки!$H123/(V$8+1-V$7)</f>
        <v>0</v>
      </c>
      <c s="125">
        <f>W16*Предпосылки!$H123/(W$8+1-W$7)</f>
        <v>0</v>
      </c>
      <c s="125">
        <f>X16*Предпосылки!$H123/(X$8+1-X$7)</f>
        <v>0</v>
      </c>
      <c s="125">
        <f>Y16*Предпосылки!$H123/(Y$8+1-Y$7)</f>
        <v>0</v>
      </c>
      <c s="125">
        <f>Z16*Предпосылки!$H123/(Z$8+1-Z$7)</f>
        <v>0</v>
      </c>
      <c s="125">
        <f>AA16*Предпосылки!$H123/(AA$8+1-AA$7)</f>
        <v>0</v>
      </c>
      <c s="125">
        <f>AB16*Предпосылки!$H123/(AB$8+1-AB$7)</f>
        <v>0</v>
      </c>
      <c s="125">
        <f>AC16*Предпосылки!$H123/(AC$8+1-AC$7)</f>
        <v>0</v>
      </c>
      <c s="125">
        <f>AD16*Предпосылки!$H123/(AD$8+1-AD$7)</f>
        <v>0</v>
      </c>
      <c s="125">
        <f>AE16*Предпосылки!$H123/(AE$8+1-AE$7)</f>
        <v>0</v>
      </c>
      <c s="125">
        <f>AF16*Предпосылки!$H123/(AF$8+1-AF$7)</f>
        <v>0</v>
      </c>
      <c s="125">
        <f>AG16*Предпосылки!$H123/(AG$8+1-AG$7)</f>
        <v>0</v>
      </c>
      <c s="125">
        <f>AH16*Предпосылки!$H123/(AH$8+1-AH$7)</f>
        <v>0</v>
      </c>
      <c s="125">
        <f>AI16*Предпосылки!$H123/(AI$8+1-AI$7)</f>
        <v>0</v>
      </c>
      <c s="125">
        <f>AJ16*Предпосылки!$H123/(AJ$8+1-AJ$7)</f>
        <v>0</v>
      </c>
      <c s="125">
        <f>AK16*Предпосылки!$H123/(AK$8+1-AK$7)</f>
        <v>0</v>
      </c>
      <c s="125">
        <f>AL16*Предпосылки!$H123/(AL$8+1-AL$7)</f>
        <v>0</v>
      </c>
      <c s="125">
        <f>AM16*Предпосылки!$H123/(AM$8+1-AM$7)</f>
        <v>0</v>
      </c>
      <c s="125">
        <f>AN16*Предпосылки!$H123/(AN$8+1-AN$7)</f>
        <v>0</v>
      </c>
      <c s="125">
        <f>AO16*Предпосылки!$H123/(AO$8+1-AO$7)</f>
        <v>0</v>
      </c>
      <c s="125">
        <f>AP16*Предпосылки!$H123/(AP$8+1-AP$7)</f>
        <v>0</v>
      </c>
      <c s="125">
        <f>AQ16*Предпосылки!$H123/(AQ$8+1-AQ$7)</f>
        <v>0</v>
      </c>
      <c s="125">
        <f>AR16*Предпосылки!$H123/(AR$8+1-AR$7)</f>
        <v>0</v>
      </c>
      <c s="125">
        <f>AS16*Предпосылки!$H123/(AS$8+1-AS$7)</f>
        <v>0</v>
      </c>
      <c s="125">
        <f>AT16*Предпосылки!$H123/(AT$8+1-AT$7)</f>
        <v>0</v>
      </c>
      <c s="125">
        <f>AU16*Предпосылки!$H123/(AU$8+1-AU$7)</f>
        <v>0</v>
      </c>
      <c s="125">
        <f>AV16*Предпосылки!$H123/(AV$8+1-AV$7)</f>
        <v>0</v>
      </c>
      <c s="125">
        <f>AW16*Предпосылки!$H123/(AW$8+1-AW$7)</f>
        <v>0</v>
      </c>
      <c s="125">
        <f>AX16*Предпосылки!$H123/(AX$8+1-AX$7)</f>
        <v>0</v>
      </c>
      <c s="125">
        <f>AY16*Предпосылки!$H123/(AY$8+1-AY$7)</f>
        <v>0</v>
      </c>
      <c s="125">
        <f>AZ16*Предпосылки!$H123/(AZ$8+1-AZ$7)</f>
        <v>0</v>
      </c>
      <c s="125">
        <f>BA16*Предпосылки!$H123/(BA$8+1-BA$7)</f>
        <v>0</v>
      </c>
      <c s="125">
        <f>BB16*Предпосылки!$H123/(BB$8+1-BB$7)</f>
        <v>0</v>
      </c>
      <c s="125">
        <f>BC16*Предпосылки!$H123/(BC$8+1-BC$7)</f>
        <v>0</v>
      </c>
      <c s="125">
        <f>BD16*Предпосылки!$H123/(BD$8+1-BD$7)</f>
        <v>0</v>
      </c>
      <c s="125">
        <f>BE16*Предпосылки!$H123/(BE$8+1-BE$7)</f>
        <v>0</v>
      </c>
      <c s="125">
        <f>BF16*Предпосылки!$H123/(BF$8+1-BF$7)</f>
        <v>0</v>
      </c>
      <c s="125">
        <f>BG16*Предпосылки!$H123/(BG$8+1-BG$7)</f>
        <v>0</v>
      </c>
      <c s="125">
        <f>BH16*Предпосылки!$H123/(BH$8+1-BH$7)</f>
        <v>0</v>
      </c>
      <c s="125">
        <f>BI16*Предпосылки!$H123/(BI$8+1-BI$7)</f>
        <v>0</v>
      </c>
      <c s="125">
        <f>BJ16*Предпосылки!$H123/(BJ$8+1-BJ$7)</f>
        <v>0</v>
      </c>
      <c s="125">
        <f>BK16*Предпосылки!$H123/(BK$8+1-BK$7)</f>
        <v>0</v>
      </c>
      <c s="125">
        <f>BL16*Предпосылки!$H123/(BL$8+1-BL$7)</f>
        <v>0</v>
      </c>
      <c s="125">
        <f>BM16*Предпосылки!$H123/(BM$8+1-BM$7)</f>
        <v>0</v>
      </c>
    </row>
    <row r="40" spans="2:65" ht="15" customHeight="1">
      <c r="B40" s="12" t="str">
        <f t="shared" si="35"/>
        <v>Продукт 3</v>
      </c>
      <c s="124" t="str">
        <f t="shared" si="34"/>
        <v>тыс. руб.</v>
      </c>
      <c s="125"/>
      <c s="125">
        <f>E17*Предпосылки!$H124/(E$8+1-E$7)</f>
        <v>0</v>
      </c>
      <c s="125">
        <f>F17*Предпосылки!$H124/(F$8+1-F$7)</f>
        <v>0</v>
      </c>
      <c s="125">
        <f>G17*Предпосылки!$H124/(G$8+1-G$7)</f>
        <v>0</v>
      </c>
      <c s="125">
        <f>H17*Предпосылки!$H124/(H$8+1-H$7)</f>
        <v>0</v>
      </c>
      <c s="125">
        <f>I17*Предпосылки!$H124/(I$8+1-I$7)</f>
        <v>0</v>
      </c>
      <c s="125">
        <f>J17*Предпосылки!$H124/(J$8+1-J$7)</f>
        <v>0</v>
      </c>
      <c s="125">
        <f>K17*Предпосылки!$H124/(K$8+1-K$7)</f>
        <v>0</v>
      </c>
      <c s="125">
        <f>L17*Предпосылки!$H124/(L$8+1-L$7)</f>
        <v>0</v>
      </c>
      <c s="125">
        <f>M17*Предпосылки!$H124/(M$8+1-M$7)</f>
        <v>0</v>
      </c>
      <c s="125">
        <f>N17*Предпосылки!$H124/(N$8+1-N$7)</f>
        <v>0</v>
      </c>
      <c s="125">
        <f>O17*Предпосылки!$H124/(O$8+1-O$7)</f>
        <v>0</v>
      </c>
      <c s="125">
        <f>P17*Предпосылки!$H124/(P$8+1-P$7)</f>
        <v>0</v>
      </c>
      <c s="125">
        <f>Q17*Предпосылки!$H124/(Q$8+1-Q$7)</f>
        <v>0</v>
      </c>
      <c s="125">
        <f>R17*Предпосылки!$H124/(R$8+1-R$7)</f>
        <v>0</v>
      </c>
      <c s="125">
        <f>S17*Предпосылки!$H124/(S$8+1-S$7)</f>
        <v>0</v>
      </c>
      <c s="125">
        <f>T17*Предпосылки!$H124/(T$8+1-T$7)</f>
        <v>0</v>
      </c>
      <c s="125">
        <f>U17*Предпосылки!$H124/(U$8+1-U$7)</f>
        <v>0</v>
      </c>
      <c s="125">
        <f>V17*Предпосылки!$H124/(V$8+1-V$7)</f>
        <v>0</v>
      </c>
      <c s="125">
        <f>W17*Предпосылки!$H124/(W$8+1-W$7)</f>
        <v>0</v>
      </c>
      <c s="125">
        <f>X17*Предпосылки!$H124/(X$8+1-X$7)</f>
        <v>0</v>
      </c>
      <c s="125">
        <f>Y17*Предпосылки!$H124/(Y$8+1-Y$7)</f>
        <v>0</v>
      </c>
      <c s="125">
        <f>Z17*Предпосылки!$H124/(Z$8+1-Z$7)</f>
        <v>0</v>
      </c>
      <c s="125">
        <f>AA17*Предпосылки!$H124/(AA$8+1-AA$7)</f>
        <v>0</v>
      </c>
      <c s="125">
        <f>AB17*Предпосылки!$H124/(AB$8+1-AB$7)</f>
        <v>0</v>
      </c>
      <c s="125">
        <f>AC17*Предпосылки!$H124/(AC$8+1-AC$7)</f>
        <v>0</v>
      </c>
      <c s="125">
        <f>AD17*Предпосылки!$H124/(AD$8+1-AD$7)</f>
        <v>0</v>
      </c>
      <c s="125">
        <f>AE17*Предпосылки!$H124/(AE$8+1-AE$7)</f>
        <v>0</v>
      </c>
      <c s="125">
        <f>AF17*Предпосылки!$H124/(AF$8+1-AF$7)</f>
        <v>0</v>
      </c>
      <c s="125">
        <f>AG17*Предпосылки!$H124/(AG$8+1-AG$7)</f>
        <v>0</v>
      </c>
      <c s="125">
        <f>AH17*Предпосылки!$H124/(AH$8+1-AH$7)</f>
        <v>0</v>
      </c>
      <c s="125">
        <f>AI17*Предпосылки!$H124/(AI$8+1-AI$7)</f>
        <v>0</v>
      </c>
      <c s="125">
        <f>AJ17*Предпосылки!$H124/(AJ$8+1-AJ$7)</f>
        <v>0</v>
      </c>
      <c s="125">
        <f>AK17*Предпосылки!$H124/(AK$8+1-AK$7)</f>
        <v>0</v>
      </c>
      <c s="125">
        <f>AL17*Предпосылки!$H124/(AL$8+1-AL$7)</f>
        <v>0</v>
      </c>
      <c s="125">
        <f>AM17*Предпосылки!$H124/(AM$8+1-AM$7)</f>
        <v>0</v>
      </c>
      <c s="125">
        <f>AN17*Предпосылки!$H124/(AN$8+1-AN$7)</f>
        <v>0</v>
      </c>
      <c s="125">
        <f>AO17*Предпосылки!$H124/(AO$8+1-AO$7)</f>
        <v>0</v>
      </c>
      <c s="125">
        <f>AP17*Предпосылки!$H124/(AP$8+1-AP$7)</f>
        <v>0</v>
      </c>
      <c s="125">
        <f>AQ17*Предпосылки!$H124/(AQ$8+1-AQ$7)</f>
        <v>0</v>
      </c>
      <c s="125">
        <f>AR17*Предпосылки!$H124/(AR$8+1-AR$7)</f>
        <v>0</v>
      </c>
      <c s="125">
        <f>AS17*Предпосылки!$H124/(AS$8+1-AS$7)</f>
        <v>0</v>
      </c>
      <c s="125">
        <f>AT17*Предпосылки!$H124/(AT$8+1-AT$7)</f>
        <v>0</v>
      </c>
      <c s="125">
        <f>AU17*Предпосылки!$H124/(AU$8+1-AU$7)</f>
        <v>0</v>
      </c>
      <c s="125">
        <f>AV17*Предпосылки!$H124/(AV$8+1-AV$7)</f>
        <v>0</v>
      </c>
      <c s="125">
        <f>AW17*Предпосылки!$H124/(AW$8+1-AW$7)</f>
        <v>0</v>
      </c>
      <c s="125">
        <f>AX17*Предпосылки!$H124/(AX$8+1-AX$7)</f>
        <v>0</v>
      </c>
      <c s="125">
        <f>AY17*Предпосылки!$H124/(AY$8+1-AY$7)</f>
        <v>0</v>
      </c>
      <c s="125">
        <f>AZ17*Предпосылки!$H124/(AZ$8+1-AZ$7)</f>
        <v>0</v>
      </c>
      <c s="125">
        <f>BA17*Предпосылки!$H124/(BA$8+1-BA$7)</f>
        <v>0</v>
      </c>
      <c s="125">
        <f>BB17*Предпосылки!$H124/(BB$8+1-BB$7)</f>
        <v>0</v>
      </c>
      <c s="125">
        <f>BC17*Предпосылки!$H124/(BC$8+1-BC$7)</f>
        <v>0</v>
      </c>
      <c s="125">
        <f>BD17*Предпосылки!$H124/(BD$8+1-BD$7)</f>
        <v>0</v>
      </c>
      <c s="125">
        <f>BE17*Предпосылки!$H124/(BE$8+1-BE$7)</f>
        <v>0</v>
      </c>
      <c s="125">
        <f>BF17*Предпосылки!$H124/(BF$8+1-BF$7)</f>
        <v>0</v>
      </c>
      <c s="125">
        <f>BG17*Предпосылки!$H124/(BG$8+1-BG$7)</f>
        <v>0</v>
      </c>
      <c s="125">
        <f>BH17*Предпосылки!$H124/(BH$8+1-BH$7)</f>
        <v>0</v>
      </c>
      <c s="125">
        <f>BI17*Предпосылки!$H124/(BI$8+1-BI$7)</f>
        <v>0</v>
      </c>
      <c s="125">
        <f>BJ17*Предпосылки!$H124/(BJ$8+1-BJ$7)</f>
        <v>0</v>
      </c>
      <c s="125">
        <f>BK17*Предпосылки!$H124/(BK$8+1-BK$7)</f>
        <v>0</v>
      </c>
      <c s="125">
        <f>BL17*Предпосылки!$H124/(BL$8+1-BL$7)</f>
        <v>0</v>
      </c>
      <c s="125">
        <f>BM17*Предпосылки!$H124/(BM$8+1-BM$7)</f>
        <v>0</v>
      </c>
    </row>
    <row r="41" spans="2:65" ht="15" customHeight="1">
      <c r="B41" s="12" t="str">
        <f t="shared" si="35"/>
        <v>Продукт 4</v>
      </c>
      <c s="124" t="str">
        <f t="shared" si="34"/>
        <v>тыс. руб.</v>
      </c>
      <c s="125"/>
      <c s="125">
        <f>E18*Предпосылки!$H125/(E$8+1-E$7)</f>
        <v>0</v>
      </c>
      <c s="125">
        <f>F18*Предпосылки!$H125/(F$8+1-F$7)</f>
        <v>0</v>
      </c>
      <c s="125">
        <f>G18*Предпосылки!$H125/(G$8+1-G$7)</f>
        <v>0</v>
      </c>
      <c s="125">
        <f>H18*Предпосылки!$H125/(H$8+1-H$7)</f>
        <v>0</v>
      </c>
      <c s="125">
        <f>I18*Предпосылки!$H125/(I$8+1-I$7)</f>
        <v>0</v>
      </c>
      <c s="125">
        <f>J18*Предпосылки!$H125/(J$8+1-J$7)</f>
        <v>0</v>
      </c>
      <c s="125">
        <f>K18*Предпосылки!$H125/(K$8+1-K$7)</f>
        <v>0</v>
      </c>
      <c s="125">
        <f>L18*Предпосылки!$H125/(L$8+1-L$7)</f>
        <v>0</v>
      </c>
      <c s="125">
        <f>M18*Предпосылки!$H125/(M$8+1-M$7)</f>
        <v>0</v>
      </c>
      <c s="125">
        <f>N18*Предпосылки!$H125/(N$8+1-N$7)</f>
        <v>0</v>
      </c>
      <c s="125">
        <f>O18*Предпосылки!$H125/(O$8+1-O$7)</f>
        <v>0</v>
      </c>
      <c s="125">
        <f>P18*Предпосылки!$H125/(P$8+1-P$7)</f>
        <v>0</v>
      </c>
      <c s="125">
        <f>Q18*Предпосылки!$H125/(Q$8+1-Q$7)</f>
        <v>0</v>
      </c>
      <c s="125">
        <f>R18*Предпосылки!$H125/(R$8+1-R$7)</f>
        <v>0</v>
      </c>
      <c s="125">
        <f>S18*Предпосылки!$H125/(S$8+1-S$7)</f>
        <v>0</v>
      </c>
      <c s="125">
        <f>T18*Предпосылки!$H125/(T$8+1-T$7)</f>
        <v>0</v>
      </c>
      <c s="125">
        <f>U18*Предпосылки!$H125/(U$8+1-U$7)</f>
        <v>0</v>
      </c>
      <c s="125">
        <f>V18*Предпосылки!$H125/(V$8+1-V$7)</f>
        <v>0</v>
      </c>
      <c s="125">
        <f>W18*Предпосылки!$H125/(W$8+1-W$7)</f>
        <v>0</v>
      </c>
      <c s="125">
        <f>X18*Предпосылки!$H125/(X$8+1-X$7)</f>
        <v>0</v>
      </c>
      <c s="125">
        <f>Y18*Предпосылки!$H125/(Y$8+1-Y$7)</f>
        <v>0</v>
      </c>
      <c s="125">
        <f>Z18*Предпосылки!$H125/(Z$8+1-Z$7)</f>
        <v>0</v>
      </c>
      <c s="125">
        <f>AA18*Предпосылки!$H125/(AA$8+1-AA$7)</f>
        <v>0</v>
      </c>
      <c s="125">
        <f>AB18*Предпосылки!$H125/(AB$8+1-AB$7)</f>
        <v>0</v>
      </c>
      <c s="125">
        <f>AC18*Предпосылки!$H125/(AC$8+1-AC$7)</f>
        <v>0</v>
      </c>
      <c s="125">
        <f>AD18*Предпосылки!$H125/(AD$8+1-AD$7)</f>
        <v>0</v>
      </c>
      <c s="125">
        <f>AE18*Предпосылки!$H125/(AE$8+1-AE$7)</f>
        <v>0</v>
      </c>
      <c s="125">
        <f>AF18*Предпосылки!$H125/(AF$8+1-AF$7)</f>
        <v>0</v>
      </c>
      <c s="125">
        <f>AG18*Предпосылки!$H125/(AG$8+1-AG$7)</f>
        <v>0</v>
      </c>
      <c s="125">
        <f>AH18*Предпосылки!$H125/(AH$8+1-AH$7)</f>
        <v>0</v>
      </c>
      <c s="125">
        <f>AI18*Предпосылки!$H125/(AI$8+1-AI$7)</f>
        <v>0</v>
      </c>
      <c s="125">
        <f>AJ18*Предпосылки!$H125/(AJ$8+1-AJ$7)</f>
        <v>0</v>
      </c>
      <c s="125">
        <f>AK18*Предпосылки!$H125/(AK$8+1-AK$7)</f>
        <v>0</v>
      </c>
      <c s="125">
        <f>AL18*Предпосылки!$H125/(AL$8+1-AL$7)</f>
        <v>0</v>
      </c>
      <c s="125">
        <f>AM18*Предпосылки!$H125/(AM$8+1-AM$7)</f>
        <v>0</v>
      </c>
      <c s="125">
        <f>AN18*Предпосылки!$H125/(AN$8+1-AN$7)</f>
        <v>0</v>
      </c>
      <c s="125">
        <f>AO18*Предпосылки!$H125/(AO$8+1-AO$7)</f>
        <v>0</v>
      </c>
      <c s="125">
        <f>AP18*Предпосылки!$H125/(AP$8+1-AP$7)</f>
        <v>0</v>
      </c>
      <c s="125">
        <f>AQ18*Предпосылки!$H125/(AQ$8+1-AQ$7)</f>
        <v>0</v>
      </c>
      <c s="125">
        <f>AR18*Предпосылки!$H125/(AR$8+1-AR$7)</f>
        <v>0</v>
      </c>
      <c s="125">
        <f>AS18*Предпосылки!$H125/(AS$8+1-AS$7)</f>
        <v>0</v>
      </c>
      <c s="125">
        <f>AT18*Предпосылки!$H125/(AT$8+1-AT$7)</f>
        <v>0</v>
      </c>
      <c s="125">
        <f>AU18*Предпосылки!$H125/(AU$8+1-AU$7)</f>
        <v>0</v>
      </c>
      <c s="125">
        <f>AV18*Предпосылки!$H125/(AV$8+1-AV$7)</f>
        <v>0</v>
      </c>
      <c s="125">
        <f>AW18*Предпосылки!$H125/(AW$8+1-AW$7)</f>
        <v>0</v>
      </c>
      <c s="125">
        <f>AX18*Предпосылки!$H125/(AX$8+1-AX$7)</f>
        <v>0</v>
      </c>
      <c s="125">
        <f>AY18*Предпосылки!$H125/(AY$8+1-AY$7)</f>
        <v>0</v>
      </c>
      <c s="125">
        <f>AZ18*Предпосылки!$H125/(AZ$8+1-AZ$7)</f>
        <v>0</v>
      </c>
      <c s="125">
        <f>BA18*Предпосылки!$H125/(BA$8+1-BA$7)</f>
        <v>0</v>
      </c>
      <c s="125">
        <f>BB18*Предпосылки!$H125/(BB$8+1-BB$7)</f>
        <v>0</v>
      </c>
      <c s="125">
        <f>BC18*Предпосылки!$H125/(BC$8+1-BC$7)</f>
        <v>0</v>
      </c>
      <c s="125">
        <f>BD18*Предпосылки!$H125/(BD$8+1-BD$7)</f>
        <v>0</v>
      </c>
      <c s="125">
        <f>BE18*Предпосылки!$H125/(BE$8+1-BE$7)</f>
        <v>0</v>
      </c>
      <c s="125">
        <f>BF18*Предпосылки!$H125/(BF$8+1-BF$7)</f>
        <v>0</v>
      </c>
      <c s="125">
        <f>BG18*Предпосылки!$H125/(BG$8+1-BG$7)</f>
        <v>0</v>
      </c>
      <c s="125">
        <f>BH18*Предпосылки!$H125/(BH$8+1-BH$7)</f>
        <v>0</v>
      </c>
      <c s="125">
        <f>BI18*Предпосылки!$H125/(BI$8+1-BI$7)</f>
        <v>0</v>
      </c>
      <c s="125">
        <f>BJ18*Предпосылки!$H125/(BJ$8+1-BJ$7)</f>
        <v>0</v>
      </c>
      <c s="125">
        <f>BK18*Предпосылки!$H125/(BK$8+1-BK$7)</f>
        <v>0</v>
      </c>
      <c s="125">
        <f>BL18*Предпосылки!$H125/(BL$8+1-BL$7)</f>
        <v>0</v>
      </c>
      <c s="125">
        <f>BM18*Предпосылки!$H125/(BM$8+1-BM$7)</f>
        <v>0</v>
      </c>
    </row>
    <row r="42" spans="2:65" ht="15" customHeight="1">
      <c r="B42" s="12" t="str">
        <f t="shared" si="35"/>
        <v>Продукт 5</v>
      </c>
      <c s="124" t="str">
        <f t="shared" si="34"/>
        <v>тыс. руб.</v>
      </c>
      <c s="125"/>
      <c s="125">
        <f>E19*Предпосылки!$H126/(E$8+1-E$7)</f>
        <v>0</v>
      </c>
      <c s="125">
        <f>F19*Предпосылки!$H126/(F$8+1-F$7)</f>
        <v>0</v>
      </c>
      <c s="125">
        <f>G19*Предпосылки!$H126/(G$8+1-G$7)</f>
        <v>0</v>
      </c>
      <c s="125">
        <f>H19*Предпосылки!$H126/(H$8+1-H$7)</f>
        <v>0</v>
      </c>
      <c s="125">
        <f>I19*Предпосылки!$H126/(I$8+1-I$7)</f>
        <v>0</v>
      </c>
      <c s="125">
        <f>J19*Предпосылки!$H126/(J$8+1-J$7)</f>
        <v>0</v>
      </c>
      <c s="125">
        <f>K19*Предпосылки!$H126/(K$8+1-K$7)</f>
        <v>0</v>
      </c>
      <c s="125">
        <f>L19*Предпосылки!$H126/(L$8+1-L$7)</f>
        <v>0</v>
      </c>
      <c s="125">
        <f>M19*Предпосылки!$H126/(M$8+1-M$7)</f>
        <v>0</v>
      </c>
      <c s="125">
        <f>N19*Предпосылки!$H126/(N$8+1-N$7)</f>
        <v>0</v>
      </c>
      <c s="125">
        <f>O19*Предпосылки!$H126/(O$8+1-O$7)</f>
        <v>0</v>
      </c>
      <c s="125">
        <f>P19*Предпосылки!$H126/(P$8+1-P$7)</f>
        <v>0</v>
      </c>
      <c s="125">
        <f>Q19*Предпосылки!$H126/(Q$8+1-Q$7)</f>
        <v>0</v>
      </c>
      <c s="125">
        <f>R19*Предпосылки!$H126/(R$8+1-R$7)</f>
        <v>0</v>
      </c>
      <c s="125">
        <f>S19*Предпосылки!$H126/(S$8+1-S$7)</f>
        <v>0</v>
      </c>
      <c s="125">
        <f>T19*Предпосылки!$H126/(T$8+1-T$7)</f>
        <v>0</v>
      </c>
      <c s="125">
        <f>U19*Предпосылки!$H126/(U$8+1-U$7)</f>
        <v>0</v>
      </c>
      <c s="125">
        <f>V19*Предпосылки!$H126/(V$8+1-V$7)</f>
        <v>0</v>
      </c>
      <c s="125">
        <f>W19*Предпосылки!$H126/(W$8+1-W$7)</f>
        <v>0</v>
      </c>
      <c s="125">
        <f>X19*Предпосылки!$H126/(X$8+1-X$7)</f>
        <v>0</v>
      </c>
      <c s="125">
        <f>Y19*Предпосылки!$H126/(Y$8+1-Y$7)</f>
        <v>0</v>
      </c>
      <c s="125">
        <f>Z19*Предпосылки!$H126/(Z$8+1-Z$7)</f>
        <v>0</v>
      </c>
      <c s="125">
        <f>AA19*Предпосылки!$H126/(AA$8+1-AA$7)</f>
        <v>0</v>
      </c>
      <c s="125">
        <f>AB19*Предпосылки!$H126/(AB$8+1-AB$7)</f>
        <v>0</v>
      </c>
      <c s="125">
        <f>AC19*Предпосылки!$H126/(AC$8+1-AC$7)</f>
        <v>0</v>
      </c>
      <c s="125">
        <f>AD19*Предпосылки!$H126/(AD$8+1-AD$7)</f>
        <v>0</v>
      </c>
      <c s="125">
        <f>AE19*Предпосылки!$H126/(AE$8+1-AE$7)</f>
        <v>0</v>
      </c>
      <c s="125">
        <f>AF19*Предпосылки!$H126/(AF$8+1-AF$7)</f>
        <v>0</v>
      </c>
      <c s="125">
        <f>AG19*Предпосылки!$H126/(AG$8+1-AG$7)</f>
        <v>0</v>
      </c>
      <c s="125">
        <f>AH19*Предпосылки!$H126/(AH$8+1-AH$7)</f>
        <v>0</v>
      </c>
      <c s="125">
        <f>AI19*Предпосылки!$H126/(AI$8+1-AI$7)</f>
        <v>0</v>
      </c>
      <c s="125">
        <f>AJ19*Предпосылки!$H126/(AJ$8+1-AJ$7)</f>
        <v>0</v>
      </c>
      <c s="125">
        <f>AK19*Предпосылки!$H126/(AK$8+1-AK$7)</f>
        <v>0</v>
      </c>
      <c s="125">
        <f>AL19*Предпосылки!$H126/(AL$8+1-AL$7)</f>
        <v>0</v>
      </c>
      <c s="125">
        <f>AM19*Предпосылки!$H126/(AM$8+1-AM$7)</f>
        <v>0</v>
      </c>
      <c s="125">
        <f>AN19*Предпосылки!$H126/(AN$8+1-AN$7)</f>
        <v>0</v>
      </c>
      <c s="125">
        <f>AO19*Предпосылки!$H126/(AO$8+1-AO$7)</f>
        <v>0</v>
      </c>
      <c s="125">
        <f>AP19*Предпосылки!$H126/(AP$8+1-AP$7)</f>
        <v>0</v>
      </c>
      <c s="125">
        <f>AQ19*Предпосылки!$H126/(AQ$8+1-AQ$7)</f>
        <v>0</v>
      </c>
      <c s="125">
        <f>AR19*Предпосылки!$H126/(AR$8+1-AR$7)</f>
        <v>0</v>
      </c>
      <c s="125">
        <f>AS19*Предпосылки!$H126/(AS$8+1-AS$7)</f>
        <v>0</v>
      </c>
      <c s="125">
        <f>AT19*Предпосылки!$H126/(AT$8+1-AT$7)</f>
        <v>0</v>
      </c>
      <c s="125">
        <f>AU19*Предпосылки!$H126/(AU$8+1-AU$7)</f>
        <v>0</v>
      </c>
      <c s="125">
        <f>AV19*Предпосылки!$H126/(AV$8+1-AV$7)</f>
        <v>0</v>
      </c>
      <c s="125">
        <f>AW19*Предпосылки!$H126/(AW$8+1-AW$7)</f>
        <v>0</v>
      </c>
      <c s="125">
        <f>AX19*Предпосылки!$H126/(AX$8+1-AX$7)</f>
        <v>0</v>
      </c>
      <c s="125">
        <f>AY19*Предпосылки!$H126/(AY$8+1-AY$7)</f>
        <v>0</v>
      </c>
      <c s="125">
        <f>AZ19*Предпосылки!$H126/(AZ$8+1-AZ$7)</f>
        <v>0</v>
      </c>
      <c s="125">
        <f>BA19*Предпосылки!$H126/(BA$8+1-BA$7)</f>
        <v>0</v>
      </c>
      <c s="125">
        <f>BB19*Предпосылки!$H126/(BB$8+1-BB$7)</f>
        <v>0</v>
      </c>
      <c s="125">
        <f>BC19*Предпосылки!$H126/(BC$8+1-BC$7)</f>
        <v>0</v>
      </c>
      <c s="125">
        <f>BD19*Предпосылки!$H126/(BD$8+1-BD$7)</f>
        <v>0</v>
      </c>
      <c s="125">
        <f>BE19*Предпосылки!$H126/(BE$8+1-BE$7)</f>
        <v>0</v>
      </c>
      <c s="125">
        <f>BF19*Предпосылки!$H126/(BF$8+1-BF$7)</f>
        <v>0</v>
      </c>
      <c s="125">
        <f>BG19*Предпосылки!$H126/(BG$8+1-BG$7)</f>
        <v>0</v>
      </c>
      <c s="125">
        <f>BH19*Предпосылки!$H126/(BH$8+1-BH$7)</f>
        <v>0</v>
      </c>
      <c s="125">
        <f>BI19*Предпосылки!$H126/(BI$8+1-BI$7)</f>
        <v>0</v>
      </c>
      <c s="125">
        <f>BJ19*Предпосылки!$H126/(BJ$8+1-BJ$7)</f>
        <v>0</v>
      </c>
      <c s="125">
        <f>BK19*Предпосылки!$H126/(BK$8+1-BK$7)</f>
        <v>0</v>
      </c>
      <c s="125">
        <f>BL19*Предпосылки!$H126/(BL$8+1-BL$7)</f>
        <v>0</v>
      </c>
      <c s="125">
        <f>BM19*Предпосылки!$H126/(BM$8+1-BM$7)</f>
        <v>0</v>
      </c>
    </row>
    <row r="43" spans="2:65" ht="15" customHeight="1">
      <c r="B43" s="12" t="str">
        <f t="shared" si="35"/>
        <v>Продукт 6</v>
      </c>
      <c s="124" t="str">
        <f t="shared" si="34"/>
        <v>тыс. руб.</v>
      </c>
      <c s="125"/>
      <c s="125">
        <f>E20*Предпосылки!$H127/(E$8+1-E$7)</f>
        <v>0</v>
      </c>
      <c s="125">
        <f>F20*Предпосылки!$H127/(F$8+1-F$7)</f>
        <v>0</v>
      </c>
      <c s="125">
        <f>G20*Предпосылки!$H127/(G$8+1-G$7)</f>
        <v>0</v>
      </c>
      <c s="125">
        <f>H20*Предпосылки!$H127/(H$8+1-H$7)</f>
        <v>0</v>
      </c>
      <c s="125">
        <f>I20*Предпосылки!$H127/(I$8+1-I$7)</f>
        <v>0</v>
      </c>
      <c s="125">
        <f>J20*Предпосылки!$H127/(J$8+1-J$7)</f>
        <v>0</v>
      </c>
      <c s="125">
        <f>K20*Предпосылки!$H127/(K$8+1-K$7)</f>
        <v>0</v>
      </c>
      <c s="125">
        <f>L20*Предпосылки!$H127/(L$8+1-L$7)</f>
        <v>0</v>
      </c>
      <c s="125">
        <f>M20*Предпосылки!$H127/(M$8+1-M$7)</f>
        <v>0</v>
      </c>
      <c s="125">
        <f>N20*Предпосылки!$H127/(N$8+1-N$7)</f>
        <v>0</v>
      </c>
      <c s="125">
        <f>O20*Предпосылки!$H127/(O$8+1-O$7)</f>
        <v>0</v>
      </c>
      <c s="125">
        <f>P20*Предпосылки!$H127/(P$8+1-P$7)</f>
        <v>0</v>
      </c>
      <c s="125">
        <f>Q20*Предпосылки!$H127/(Q$8+1-Q$7)</f>
        <v>0</v>
      </c>
      <c s="125">
        <f>R20*Предпосылки!$H127/(R$8+1-R$7)</f>
        <v>0</v>
      </c>
      <c s="125">
        <f>S20*Предпосылки!$H127/(S$8+1-S$7)</f>
        <v>0</v>
      </c>
      <c s="125">
        <f>T20*Предпосылки!$H127/(T$8+1-T$7)</f>
        <v>0</v>
      </c>
      <c s="125">
        <f>U20*Предпосылки!$H127/(U$8+1-U$7)</f>
        <v>0</v>
      </c>
      <c s="125">
        <f>V20*Предпосылки!$H127/(V$8+1-V$7)</f>
        <v>0</v>
      </c>
      <c s="125">
        <f>W20*Предпосылки!$H127/(W$8+1-W$7)</f>
        <v>0</v>
      </c>
      <c s="125">
        <f>X20*Предпосылки!$H127/(X$8+1-X$7)</f>
        <v>0</v>
      </c>
      <c s="125">
        <f>Y20*Предпосылки!$H127/(Y$8+1-Y$7)</f>
        <v>0</v>
      </c>
      <c s="125">
        <f>Z20*Предпосылки!$H127/(Z$8+1-Z$7)</f>
        <v>0</v>
      </c>
      <c s="125">
        <f>AA20*Предпосылки!$H127/(AA$8+1-AA$7)</f>
        <v>0</v>
      </c>
      <c s="125">
        <f>AB20*Предпосылки!$H127/(AB$8+1-AB$7)</f>
        <v>0</v>
      </c>
      <c s="125">
        <f>AC20*Предпосылки!$H127/(AC$8+1-AC$7)</f>
        <v>0</v>
      </c>
      <c s="125">
        <f>AD20*Предпосылки!$H127/(AD$8+1-AD$7)</f>
        <v>0</v>
      </c>
      <c s="125">
        <f>AE20*Предпосылки!$H127/(AE$8+1-AE$7)</f>
        <v>0</v>
      </c>
      <c s="125">
        <f>AF20*Предпосылки!$H127/(AF$8+1-AF$7)</f>
        <v>0</v>
      </c>
      <c s="125">
        <f>AG20*Предпосылки!$H127/(AG$8+1-AG$7)</f>
        <v>0</v>
      </c>
      <c s="125">
        <f>AH20*Предпосылки!$H127/(AH$8+1-AH$7)</f>
        <v>0</v>
      </c>
      <c s="125">
        <f>AI20*Предпосылки!$H127/(AI$8+1-AI$7)</f>
        <v>0</v>
      </c>
      <c s="125">
        <f>AJ20*Предпосылки!$H127/(AJ$8+1-AJ$7)</f>
        <v>0</v>
      </c>
      <c s="125">
        <f>AK20*Предпосылки!$H127/(AK$8+1-AK$7)</f>
        <v>0</v>
      </c>
      <c s="125">
        <f>AL20*Предпосылки!$H127/(AL$8+1-AL$7)</f>
        <v>0</v>
      </c>
      <c s="125">
        <f>AM20*Предпосылки!$H127/(AM$8+1-AM$7)</f>
        <v>0</v>
      </c>
      <c s="125">
        <f>AN20*Предпосылки!$H127/(AN$8+1-AN$7)</f>
        <v>0</v>
      </c>
      <c s="125">
        <f>AO20*Предпосылки!$H127/(AO$8+1-AO$7)</f>
        <v>0</v>
      </c>
      <c s="125">
        <f>AP20*Предпосылки!$H127/(AP$8+1-AP$7)</f>
        <v>0</v>
      </c>
      <c s="125">
        <f>AQ20*Предпосылки!$H127/(AQ$8+1-AQ$7)</f>
        <v>0</v>
      </c>
      <c s="125">
        <f>AR20*Предпосылки!$H127/(AR$8+1-AR$7)</f>
        <v>0</v>
      </c>
      <c s="125">
        <f>AS20*Предпосылки!$H127/(AS$8+1-AS$7)</f>
        <v>0</v>
      </c>
      <c s="125">
        <f>AT20*Предпосылки!$H127/(AT$8+1-AT$7)</f>
        <v>0</v>
      </c>
      <c s="125">
        <f>AU20*Предпосылки!$H127/(AU$8+1-AU$7)</f>
        <v>0</v>
      </c>
      <c s="125">
        <f>AV20*Предпосылки!$H127/(AV$8+1-AV$7)</f>
        <v>0</v>
      </c>
      <c s="125">
        <f>AW20*Предпосылки!$H127/(AW$8+1-AW$7)</f>
        <v>0</v>
      </c>
      <c s="125">
        <f>AX20*Предпосылки!$H127/(AX$8+1-AX$7)</f>
        <v>0</v>
      </c>
      <c s="125">
        <f>AY20*Предпосылки!$H127/(AY$8+1-AY$7)</f>
        <v>0</v>
      </c>
      <c s="125">
        <f>AZ20*Предпосылки!$H127/(AZ$8+1-AZ$7)</f>
        <v>0</v>
      </c>
      <c s="125">
        <f>BA20*Предпосылки!$H127/(BA$8+1-BA$7)</f>
        <v>0</v>
      </c>
      <c s="125">
        <f>BB20*Предпосылки!$H127/(BB$8+1-BB$7)</f>
        <v>0</v>
      </c>
      <c s="125">
        <f>BC20*Предпосылки!$H127/(BC$8+1-BC$7)</f>
        <v>0</v>
      </c>
      <c s="125">
        <f>BD20*Предпосылки!$H127/(BD$8+1-BD$7)</f>
        <v>0</v>
      </c>
      <c s="125">
        <f>BE20*Предпосылки!$H127/(BE$8+1-BE$7)</f>
        <v>0</v>
      </c>
      <c s="125">
        <f>BF20*Предпосылки!$H127/(BF$8+1-BF$7)</f>
        <v>0</v>
      </c>
      <c s="125">
        <f>BG20*Предпосылки!$H127/(BG$8+1-BG$7)</f>
        <v>0</v>
      </c>
      <c s="125">
        <f>BH20*Предпосылки!$H127/(BH$8+1-BH$7)</f>
        <v>0</v>
      </c>
      <c s="125">
        <f>BI20*Предпосылки!$H127/(BI$8+1-BI$7)</f>
        <v>0</v>
      </c>
      <c s="125">
        <f>BJ20*Предпосылки!$H127/(BJ$8+1-BJ$7)</f>
        <v>0</v>
      </c>
      <c s="125">
        <f>BK20*Предпосылки!$H127/(BK$8+1-BK$7)</f>
        <v>0</v>
      </c>
      <c s="125">
        <f>BL20*Предпосылки!$H127/(BL$8+1-BL$7)</f>
        <v>0</v>
      </c>
      <c s="125">
        <f>BM20*Предпосылки!$H127/(BM$8+1-BM$7)</f>
        <v>0</v>
      </c>
    </row>
    <row r="44" spans="2:65" ht="15" customHeight="1">
      <c r="B44" s="12" t="str">
        <f t="shared" si="35"/>
        <v>Продукт 7</v>
      </c>
      <c s="124" t="str">
        <f t="shared" si="34"/>
        <v>тыс. руб.</v>
      </c>
      <c s="125"/>
      <c s="125">
        <f>E21*Предпосылки!$H128/(E$8+1-E$7)</f>
        <v>0</v>
      </c>
      <c s="125">
        <f>F21*Предпосылки!$H128/(F$8+1-F$7)</f>
        <v>0</v>
      </c>
      <c s="125">
        <f>G21*Предпосылки!$H128/(G$8+1-G$7)</f>
        <v>0</v>
      </c>
      <c s="125">
        <f>H21*Предпосылки!$H128/(H$8+1-H$7)</f>
        <v>0</v>
      </c>
      <c s="125">
        <f>I21*Предпосылки!$H128/(I$8+1-I$7)</f>
        <v>0</v>
      </c>
      <c s="125">
        <f>J21*Предпосылки!$H128/(J$8+1-J$7)</f>
        <v>0</v>
      </c>
      <c s="125">
        <f>K21*Предпосылки!$H128/(K$8+1-K$7)</f>
        <v>0</v>
      </c>
      <c s="125">
        <f>L21*Предпосылки!$H128/(L$8+1-L$7)</f>
        <v>0</v>
      </c>
      <c s="125">
        <f>M21*Предпосылки!$H128/(M$8+1-M$7)</f>
        <v>0</v>
      </c>
      <c s="125">
        <f>N21*Предпосылки!$H128/(N$8+1-N$7)</f>
        <v>0</v>
      </c>
      <c s="125">
        <f>O21*Предпосылки!$H128/(O$8+1-O$7)</f>
        <v>0</v>
      </c>
      <c s="125">
        <f>P21*Предпосылки!$H128/(P$8+1-P$7)</f>
        <v>0</v>
      </c>
      <c s="125">
        <f>Q21*Предпосылки!$H128/(Q$8+1-Q$7)</f>
        <v>0</v>
      </c>
      <c s="125">
        <f>R21*Предпосылки!$H128/(R$8+1-R$7)</f>
        <v>0</v>
      </c>
      <c s="125">
        <f>S21*Предпосылки!$H128/(S$8+1-S$7)</f>
        <v>0</v>
      </c>
      <c s="125">
        <f>T21*Предпосылки!$H128/(T$8+1-T$7)</f>
        <v>0</v>
      </c>
      <c s="125">
        <f>U21*Предпосылки!$H128/(U$8+1-U$7)</f>
        <v>0</v>
      </c>
      <c s="125">
        <f>V21*Предпосылки!$H128/(V$8+1-V$7)</f>
        <v>0</v>
      </c>
      <c s="125">
        <f>W21*Предпосылки!$H128/(W$8+1-W$7)</f>
        <v>0</v>
      </c>
      <c s="125">
        <f>X21*Предпосылки!$H128/(X$8+1-X$7)</f>
        <v>0</v>
      </c>
      <c s="125">
        <f>Y21*Предпосылки!$H128/(Y$8+1-Y$7)</f>
        <v>0</v>
      </c>
      <c s="125">
        <f>Z21*Предпосылки!$H128/(Z$8+1-Z$7)</f>
        <v>0</v>
      </c>
      <c s="125">
        <f>AA21*Предпосылки!$H128/(AA$8+1-AA$7)</f>
        <v>0</v>
      </c>
      <c s="125">
        <f>AB21*Предпосылки!$H128/(AB$8+1-AB$7)</f>
        <v>0</v>
      </c>
      <c s="125">
        <f>AC21*Предпосылки!$H128/(AC$8+1-AC$7)</f>
        <v>0</v>
      </c>
      <c s="125">
        <f>AD21*Предпосылки!$H128/(AD$8+1-AD$7)</f>
        <v>0</v>
      </c>
      <c s="125">
        <f>AE21*Предпосылки!$H128/(AE$8+1-AE$7)</f>
        <v>0</v>
      </c>
      <c s="125">
        <f>AF21*Предпосылки!$H128/(AF$8+1-AF$7)</f>
        <v>0</v>
      </c>
      <c s="125">
        <f>AG21*Предпосылки!$H128/(AG$8+1-AG$7)</f>
        <v>0</v>
      </c>
      <c s="125">
        <f>AH21*Предпосылки!$H128/(AH$8+1-AH$7)</f>
        <v>0</v>
      </c>
      <c s="125">
        <f>AI21*Предпосылки!$H128/(AI$8+1-AI$7)</f>
        <v>0</v>
      </c>
      <c s="125">
        <f>AJ21*Предпосылки!$H128/(AJ$8+1-AJ$7)</f>
        <v>0</v>
      </c>
      <c s="125">
        <f>AK21*Предпосылки!$H128/(AK$8+1-AK$7)</f>
        <v>0</v>
      </c>
      <c s="125">
        <f>AL21*Предпосылки!$H128/(AL$8+1-AL$7)</f>
        <v>0</v>
      </c>
      <c s="125">
        <f>AM21*Предпосылки!$H128/(AM$8+1-AM$7)</f>
        <v>0</v>
      </c>
      <c s="125">
        <f>AN21*Предпосылки!$H128/(AN$8+1-AN$7)</f>
        <v>0</v>
      </c>
      <c s="125">
        <f>AO21*Предпосылки!$H128/(AO$8+1-AO$7)</f>
        <v>0</v>
      </c>
      <c s="125">
        <f>AP21*Предпосылки!$H128/(AP$8+1-AP$7)</f>
        <v>0</v>
      </c>
      <c s="125">
        <f>AQ21*Предпосылки!$H128/(AQ$8+1-AQ$7)</f>
        <v>0</v>
      </c>
      <c s="125">
        <f>AR21*Предпосылки!$H128/(AR$8+1-AR$7)</f>
        <v>0</v>
      </c>
      <c s="125">
        <f>AS21*Предпосылки!$H128/(AS$8+1-AS$7)</f>
        <v>0</v>
      </c>
      <c s="125">
        <f>AT21*Предпосылки!$H128/(AT$8+1-AT$7)</f>
        <v>0</v>
      </c>
      <c s="125">
        <f>AU21*Предпосылки!$H128/(AU$8+1-AU$7)</f>
        <v>0</v>
      </c>
      <c s="125">
        <f>AV21*Предпосылки!$H128/(AV$8+1-AV$7)</f>
        <v>0</v>
      </c>
      <c s="125">
        <f>AW21*Предпосылки!$H128/(AW$8+1-AW$7)</f>
        <v>0</v>
      </c>
      <c s="125">
        <f>AX21*Предпосылки!$H128/(AX$8+1-AX$7)</f>
        <v>0</v>
      </c>
      <c s="125">
        <f>AY21*Предпосылки!$H128/(AY$8+1-AY$7)</f>
        <v>0</v>
      </c>
      <c s="125">
        <f>AZ21*Предпосылки!$H128/(AZ$8+1-AZ$7)</f>
        <v>0</v>
      </c>
      <c s="125">
        <f>BA21*Предпосылки!$H128/(BA$8+1-BA$7)</f>
        <v>0</v>
      </c>
      <c s="125">
        <f>BB21*Предпосылки!$H128/(BB$8+1-BB$7)</f>
        <v>0</v>
      </c>
      <c s="125">
        <f>BC21*Предпосылки!$H128/(BC$8+1-BC$7)</f>
        <v>0</v>
      </c>
      <c s="125">
        <f>BD21*Предпосылки!$H128/(BD$8+1-BD$7)</f>
        <v>0</v>
      </c>
      <c s="125">
        <f>BE21*Предпосылки!$H128/(BE$8+1-BE$7)</f>
        <v>0</v>
      </c>
      <c s="125">
        <f>BF21*Предпосылки!$H128/(BF$8+1-BF$7)</f>
        <v>0</v>
      </c>
      <c s="125">
        <f>BG21*Предпосылки!$H128/(BG$8+1-BG$7)</f>
        <v>0</v>
      </c>
      <c s="125">
        <f>BH21*Предпосылки!$H128/(BH$8+1-BH$7)</f>
        <v>0</v>
      </c>
      <c s="125">
        <f>BI21*Предпосылки!$H128/(BI$8+1-BI$7)</f>
        <v>0</v>
      </c>
      <c s="125">
        <f>BJ21*Предпосылки!$H128/(BJ$8+1-BJ$7)</f>
        <v>0</v>
      </c>
      <c s="125">
        <f>BK21*Предпосылки!$H128/(BK$8+1-BK$7)</f>
        <v>0</v>
      </c>
      <c s="125">
        <f>BL21*Предпосылки!$H128/(BL$8+1-BL$7)</f>
        <v>0</v>
      </c>
      <c s="125">
        <f>BM21*Предпосылки!$H128/(BM$8+1-BM$7)</f>
        <v>0</v>
      </c>
    </row>
    <row r="45" spans="2:65" ht="15" customHeight="1">
      <c r="B45" s="12" t="str">
        <f t="shared" si="35"/>
        <v>Продукт 8</v>
      </c>
      <c s="124" t="str">
        <f t="shared" si="34"/>
        <v>тыс. руб.</v>
      </c>
      <c s="125"/>
      <c s="125">
        <f>E22*Предпосылки!$H129/(E$8+1-E$7)</f>
        <v>0</v>
      </c>
      <c s="125">
        <f>F22*Предпосылки!$H129/(F$8+1-F$7)</f>
        <v>0</v>
      </c>
      <c s="125">
        <f>G22*Предпосылки!$H129/(G$8+1-G$7)</f>
        <v>0</v>
      </c>
      <c s="125">
        <f>H22*Предпосылки!$H129/(H$8+1-H$7)</f>
        <v>0</v>
      </c>
      <c s="125">
        <f>I22*Предпосылки!$H129/(I$8+1-I$7)</f>
        <v>0</v>
      </c>
      <c s="125">
        <f>J22*Предпосылки!$H129/(J$8+1-J$7)</f>
        <v>0</v>
      </c>
      <c s="125">
        <f>K22*Предпосылки!$H129/(K$8+1-K$7)</f>
        <v>0</v>
      </c>
      <c s="125">
        <f>L22*Предпосылки!$H129/(L$8+1-L$7)</f>
        <v>0</v>
      </c>
      <c s="125">
        <f>M22*Предпосылки!$H129/(M$8+1-M$7)</f>
        <v>0</v>
      </c>
      <c s="125">
        <f>N22*Предпосылки!$H129/(N$8+1-N$7)</f>
        <v>0</v>
      </c>
      <c s="125">
        <f>O22*Предпосылки!$H129/(O$8+1-O$7)</f>
        <v>0</v>
      </c>
      <c s="125">
        <f>P22*Предпосылки!$H129/(P$8+1-P$7)</f>
        <v>0</v>
      </c>
      <c s="125">
        <f>Q22*Предпосылки!$H129/(Q$8+1-Q$7)</f>
        <v>0</v>
      </c>
      <c s="125">
        <f>R22*Предпосылки!$H129/(R$8+1-R$7)</f>
        <v>0</v>
      </c>
      <c s="125">
        <f>S22*Предпосылки!$H129/(S$8+1-S$7)</f>
        <v>0</v>
      </c>
      <c s="125">
        <f>T22*Предпосылки!$H129/(T$8+1-T$7)</f>
        <v>0</v>
      </c>
      <c s="125">
        <f>U22*Предпосылки!$H129/(U$8+1-U$7)</f>
        <v>0</v>
      </c>
      <c s="125">
        <f>V22*Предпосылки!$H129/(V$8+1-V$7)</f>
        <v>0</v>
      </c>
      <c s="125">
        <f>W22*Предпосылки!$H129/(W$8+1-W$7)</f>
        <v>0</v>
      </c>
      <c s="125">
        <f>X22*Предпосылки!$H129/(X$8+1-X$7)</f>
        <v>0</v>
      </c>
      <c s="125">
        <f>Y22*Предпосылки!$H129/(Y$8+1-Y$7)</f>
        <v>0</v>
      </c>
      <c s="125">
        <f>Z22*Предпосылки!$H129/(Z$8+1-Z$7)</f>
        <v>0</v>
      </c>
      <c s="125">
        <f>AA22*Предпосылки!$H129/(AA$8+1-AA$7)</f>
        <v>0</v>
      </c>
      <c s="125">
        <f>AB22*Предпосылки!$H129/(AB$8+1-AB$7)</f>
        <v>0</v>
      </c>
      <c s="125">
        <f>AC22*Предпосылки!$H129/(AC$8+1-AC$7)</f>
        <v>0</v>
      </c>
      <c s="125">
        <f>AD22*Предпосылки!$H129/(AD$8+1-AD$7)</f>
        <v>0</v>
      </c>
      <c s="125">
        <f>AE22*Предпосылки!$H129/(AE$8+1-AE$7)</f>
        <v>0</v>
      </c>
      <c s="125">
        <f>AF22*Предпосылки!$H129/(AF$8+1-AF$7)</f>
        <v>0</v>
      </c>
      <c s="125">
        <f>AG22*Предпосылки!$H129/(AG$8+1-AG$7)</f>
        <v>0</v>
      </c>
      <c s="125">
        <f>AH22*Предпосылки!$H129/(AH$8+1-AH$7)</f>
        <v>0</v>
      </c>
      <c s="125">
        <f>AI22*Предпосылки!$H129/(AI$8+1-AI$7)</f>
        <v>0</v>
      </c>
      <c s="125">
        <f>AJ22*Предпосылки!$H129/(AJ$8+1-AJ$7)</f>
        <v>0</v>
      </c>
      <c s="125">
        <f>AK22*Предпосылки!$H129/(AK$8+1-AK$7)</f>
        <v>0</v>
      </c>
      <c s="125">
        <f>AL22*Предпосылки!$H129/(AL$8+1-AL$7)</f>
        <v>0</v>
      </c>
      <c s="125">
        <f>AM22*Предпосылки!$H129/(AM$8+1-AM$7)</f>
        <v>0</v>
      </c>
      <c s="125">
        <f>AN22*Предпосылки!$H129/(AN$8+1-AN$7)</f>
        <v>0</v>
      </c>
      <c s="125">
        <f>AO22*Предпосылки!$H129/(AO$8+1-AO$7)</f>
        <v>0</v>
      </c>
      <c s="125">
        <f>AP22*Предпосылки!$H129/(AP$8+1-AP$7)</f>
        <v>0</v>
      </c>
      <c s="125">
        <f>AQ22*Предпосылки!$H129/(AQ$8+1-AQ$7)</f>
        <v>0</v>
      </c>
      <c s="125">
        <f>AR22*Предпосылки!$H129/(AR$8+1-AR$7)</f>
        <v>0</v>
      </c>
      <c s="125">
        <f>AS22*Предпосылки!$H129/(AS$8+1-AS$7)</f>
        <v>0</v>
      </c>
      <c s="125">
        <f>AT22*Предпосылки!$H129/(AT$8+1-AT$7)</f>
        <v>0</v>
      </c>
      <c s="125">
        <f>AU22*Предпосылки!$H129/(AU$8+1-AU$7)</f>
        <v>0</v>
      </c>
      <c s="125">
        <f>AV22*Предпосылки!$H129/(AV$8+1-AV$7)</f>
        <v>0</v>
      </c>
      <c s="125">
        <f>AW22*Предпосылки!$H129/(AW$8+1-AW$7)</f>
        <v>0</v>
      </c>
      <c s="125">
        <f>AX22*Предпосылки!$H129/(AX$8+1-AX$7)</f>
        <v>0</v>
      </c>
      <c s="125">
        <f>AY22*Предпосылки!$H129/(AY$8+1-AY$7)</f>
        <v>0</v>
      </c>
      <c s="125">
        <f>AZ22*Предпосылки!$H129/(AZ$8+1-AZ$7)</f>
        <v>0</v>
      </c>
      <c s="125">
        <f>BA22*Предпосылки!$H129/(BA$8+1-BA$7)</f>
        <v>0</v>
      </c>
      <c s="125">
        <f>BB22*Предпосылки!$H129/(BB$8+1-BB$7)</f>
        <v>0</v>
      </c>
      <c s="125">
        <f>BC22*Предпосылки!$H129/(BC$8+1-BC$7)</f>
        <v>0</v>
      </c>
      <c s="125">
        <f>BD22*Предпосылки!$H129/(BD$8+1-BD$7)</f>
        <v>0</v>
      </c>
      <c s="125">
        <f>BE22*Предпосылки!$H129/(BE$8+1-BE$7)</f>
        <v>0</v>
      </c>
      <c s="125">
        <f>BF22*Предпосылки!$H129/(BF$8+1-BF$7)</f>
        <v>0</v>
      </c>
      <c s="125">
        <f>BG22*Предпосылки!$H129/(BG$8+1-BG$7)</f>
        <v>0</v>
      </c>
      <c s="125">
        <f>BH22*Предпосылки!$H129/(BH$8+1-BH$7)</f>
        <v>0</v>
      </c>
      <c s="125">
        <f>BI22*Предпосылки!$H129/(BI$8+1-BI$7)</f>
        <v>0</v>
      </c>
      <c s="125">
        <f>BJ22*Предпосылки!$H129/(BJ$8+1-BJ$7)</f>
        <v>0</v>
      </c>
      <c s="125">
        <f>BK22*Предпосылки!$H129/(BK$8+1-BK$7)</f>
        <v>0</v>
      </c>
      <c s="125">
        <f>BL22*Предпосылки!$H129/(BL$8+1-BL$7)</f>
        <v>0</v>
      </c>
      <c s="125">
        <f>BM22*Предпосылки!$H129/(BM$8+1-BM$7)</f>
        <v>0</v>
      </c>
    </row>
    <row r="46" spans="2:65" ht="15" customHeight="1">
      <c r="B46" s="12" t="str">
        <f t="shared" si="35"/>
        <v>Продукт 9</v>
      </c>
      <c s="124" t="str">
        <f t="shared" si="34"/>
        <v>тыс. руб.</v>
      </c>
      <c s="125"/>
      <c s="125">
        <f>E23*Предпосылки!$H130/(E$8+1-E$7)</f>
        <v>0</v>
      </c>
      <c s="125">
        <f>F23*Предпосылки!$H130/(F$8+1-F$7)</f>
        <v>0</v>
      </c>
      <c s="125">
        <f>G23*Предпосылки!$H130/(G$8+1-G$7)</f>
        <v>0</v>
      </c>
      <c s="125">
        <f>H23*Предпосылки!$H130/(H$8+1-H$7)</f>
        <v>0</v>
      </c>
      <c s="125">
        <f>I23*Предпосылки!$H130/(I$8+1-I$7)</f>
        <v>0</v>
      </c>
      <c s="125">
        <f>J23*Предпосылки!$H130/(J$8+1-J$7)</f>
        <v>0</v>
      </c>
      <c s="125">
        <f>K23*Предпосылки!$H130/(K$8+1-K$7)</f>
        <v>0</v>
      </c>
      <c s="125">
        <f>L23*Предпосылки!$H130/(L$8+1-L$7)</f>
        <v>0</v>
      </c>
      <c s="125">
        <f>M23*Предпосылки!$H130/(M$8+1-M$7)</f>
        <v>0</v>
      </c>
      <c s="125">
        <f>N23*Предпосылки!$H130/(N$8+1-N$7)</f>
        <v>0</v>
      </c>
      <c s="125">
        <f>O23*Предпосылки!$H130/(O$8+1-O$7)</f>
        <v>0</v>
      </c>
      <c s="125">
        <f>P23*Предпосылки!$H130/(P$8+1-P$7)</f>
        <v>0</v>
      </c>
      <c s="125">
        <f>Q23*Предпосылки!$H130/(Q$8+1-Q$7)</f>
        <v>0</v>
      </c>
      <c s="125">
        <f>R23*Предпосылки!$H130/(R$8+1-R$7)</f>
        <v>0</v>
      </c>
      <c s="125">
        <f>S23*Предпосылки!$H130/(S$8+1-S$7)</f>
        <v>0</v>
      </c>
      <c s="125">
        <f>T23*Предпосылки!$H130/(T$8+1-T$7)</f>
        <v>0</v>
      </c>
      <c s="125">
        <f>U23*Предпосылки!$H130/(U$8+1-U$7)</f>
        <v>0</v>
      </c>
      <c s="125">
        <f>V23*Предпосылки!$H130/(V$8+1-V$7)</f>
        <v>0</v>
      </c>
      <c s="125">
        <f>W23*Предпосылки!$H130/(W$8+1-W$7)</f>
        <v>0</v>
      </c>
      <c s="125">
        <f>X23*Предпосылки!$H130/(X$8+1-X$7)</f>
        <v>0</v>
      </c>
      <c s="125">
        <f>Y23*Предпосылки!$H130/(Y$8+1-Y$7)</f>
        <v>0</v>
      </c>
      <c s="125">
        <f>Z23*Предпосылки!$H130/(Z$8+1-Z$7)</f>
        <v>0</v>
      </c>
      <c s="125">
        <f>AA23*Предпосылки!$H130/(AA$8+1-AA$7)</f>
        <v>0</v>
      </c>
      <c s="125">
        <f>AB23*Предпосылки!$H130/(AB$8+1-AB$7)</f>
        <v>0</v>
      </c>
      <c s="125">
        <f>AC23*Предпосылки!$H130/(AC$8+1-AC$7)</f>
        <v>0</v>
      </c>
      <c s="125">
        <f>AD23*Предпосылки!$H130/(AD$8+1-AD$7)</f>
        <v>0</v>
      </c>
      <c s="125">
        <f>AE23*Предпосылки!$H130/(AE$8+1-AE$7)</f>
        <v>0</v>
      </c>
      <c s="125">
        <f>AF23*Предпосылки!$H130/(AF$8+1-AF$7)</f>
        <v>0</v>
      </c>
      <c s="125">
        <f>AG23*Предпосылки!$H130/(AG$8+1-AG$7)</f>
        <v>0</v>
      </c>
      <c s="125">
        <f>AH23*Предпосылки!$H130/(AH$8+1-AH$7)</f>
        <v>0</v>
      </c>
      <c s="125">
        <f>AI23*Предпосылки!$H130/(AI$8+1-AI$7)</f>
        <v>0</v>
      </c>
      <c s="125">
        <f>AJ23*Предпосылки!$H130/(AJ$8+1-AJ$7)</f>
        <v>0</v>
      </c>
      <c s="125">
        <f>AK23*Предпосылки!$H130/(AK$8+1-AK$7)</f>
        <v>0</v>
      </c>
      <c s="125">
        <f>AL23*Предпосылки!$H130/(AL$8+1-AL$7)</f>
        <v>0</v>
      </c>
      <c s="125">
        <f>AM23*Предпосылки!$H130/(AM$8+1-AM$7)</f>
        <v>0</v>
      </c>
      <c s="125">
        <f>AN23*Предпосылки!$H130/(AN$8+1-AN$7)</f>
        <v>0</v>
      </c>
      <c s="125">
        <f>AO23*Предпосылки!$H130/(AO$8+1-AO$7)</f>
        <v>0</v>
      </c>
      <c s="125">
        <f>AP23*Предпосылки!$H130/(AP$8+1-AP$7)</f>
        <v>0</v>
      </c>
      <c s="125">
        <f>AQ23*Предпосылки!$H130/(AQ$8+1-AQ$7)</f>
        <v>0</v>
      </c>
      <c s="125">
        <f>AR23*Предпосылки!$H130/(AR$8+1-AR$7)</f>
        <v>0</v>
      </c>
      <c s="125">
        <f>AS23*Предпосылки!$H130/(AS$8+1-AS$7)</f>
        <v>0</v>
      </c>
      <c s="125">
        <f>AT23*Предпосылки!$H130/(AT$8+1-AT$7)</f>
        <v>0</v>
      </c>
      <c s="125">
        <f>AU23*Предпосылки!$H130/(AU$8+1-AU$7)</f>
        <v>0</v>
      </c>
      <c s="125">
        <f>AV23*Предпосылки!$H130/(AV$8+1-AV$7)</f>
        <v>0</v>
      </c>
      <c s="125">
        <f>AW23*Предпосылки!$H130/(AW$8+1-AW$7)</f>
        <v>0</v>
      </c>
      <c s="125">
        <f>AX23*Предпосылки!$H130/(AX$8+1-AX$7)</f>
        <v>0</v>
      </c>
      <c s="125">
        <f>AY23*Предпосылки!$H130/(AY$8+1-AY$7)</f>
        <v>0</v>
      </c>
      <c s="125">
        <f>AZ23*Предпосылки!$H130/(AZ$8+1-AZ$7)</f>
        <v>0</v>
      </c>
      <c s="125">
        <f>BA23*Предпосылки!$H130/(BA$8+1-BA$7)</f>
        <v>0</v>
      </c>
      <c s="125">
        <f>BB23*Предпосылки!$H130/(BB$8+1-BB$7)</f>
        <v>0</v>
      </c>
      <c s="125">
        <f>BC23*Предпосылки!$H130/(BC$8+1-BC$7)</f>
        <v>0</v>
      </c>
      <c s="125">
        <f>BD23*Предпосылки!$H130/(BD$8+1-BD$7)</f>
        <v>0</v>
      </c>
      <c s="125">
        <f>BE23*Предпосылки!$H130/(BE$8+1-BE$7)</f>
        <v>0</v>
      </c>
      <c s="125">
        <f>BF23*Предпосылки!$H130/(BF$8+1-BF$7)</f>
        <v>0</v>
      </c>
      <c s="125">
        <f>BG23*Предпосылки!$H130/(BG$8+1-BG$7)</f>
        <v>0</v>
      </c>
      <c s="125">
        <f>BH23*Предпосылки!$H130/(BH$8+1-BH$7)</f>
        <v>0</v>
      </c>
      <c s="125">
        <f>BI23*Предпосылки!$H130/(BI$8+1-BI$7)</f>
        <v>0</v>
      </c>
      <c s="125">
        <f>BJ23*Предпосылки!$H130/(BJ$8+1-BJ$7)</f>
        <v>0</v>
      </c>
      <c s="125">
        <f>BK23*Предпосылки!$H130/(BK$8+1-BK$7)</f>
        <v>0</v>
      </c>
      <c s="125">
        <f>BL23*Предпосылки!$H130/(BL$8+1-BL$7)</f>
        <v>0</v>
      </c>
      <c s="125">
        <f>BM23*Предпосылки!$H130/(BM$8+1-BM$7)</f>
        <v>0</v>
      </c>
    </row>
    <row r="47" spans="2:65" ht="15" customHeight="1">
      <c r="B47" s="12" t="str">
        <f t="shared" si="35"/>
        <v>Продукт 10</v>
      </c>
      <c s="124" t="str">
        <f t="shared" si="34"/>
        <v>тыс. руб.</v>
      </c>
      <c s="125"/>
      <c s="125">
        <f>E24*Предпосылки!$H131/(E$8+1-E$7)</f>
        <v>0</v>
      </c>
      <c s="125">
        <f>F24*Предпосылки!$H131/(F$8+1-F$7)</f>
        <v>0</v>
      </c>
      <c s="125">
        <f>G24*Предпосылки!$H131/(G$8+1-G$7)</f>
        <v>0</v>
      </c>
      <c s="125">
        <f>H24*Предпосылки!$H131/(H$8+1-H$7)</f>
        <v>0</v>
      </c>
      <c s="125">
        <f>I24*Предпосылки!$H131/(I$8+1-I$7)</f>
        <v>0</v>
      </c>
      <c s="125">
        <f>J24*Предпосылки!$H131/(J$8+1-J$7)</f>
        <v>0</v>
      </c>
      <c s="125">
        <f>K24*Предпосылки!$H131/(K$8+1-K$7)</f>
        <v>0</v>
      </c>
      <c s="125">
        <f>L24*Предпосылки!$H131/(L$8+1-L$7)</f>
        <v>0</v>
      </c>
      <c s="125">
        <f>M24*Предпосылки!$H131/(M$8+1-M$7)</f>
        <v>0</v>
      </c>
      <c s="125">
        <f>N24*Предпосылки!$H131/(N$8+1-N$7)</f>
        <v>0</v>
      </c>
      <c s="125">
        <f>O24*Предпосылки!$H131/(O$8+1-O$7)</f>
        <v>0</v>
      </c>
      <c s="125">
        <f>P24*Предпосылки!$H131/(P$8+1-P$7)</f>
        <v>0</v>
      </c>
      <c s="125">
        <f>Q24*Предпосылки!$H131/(Q$8+1-Q$7)</f>
        <v>0</v>
      </c>
      <c s="125">
        <f>R24*Предпосылки!$H131/(R$8+1-R$7)</f>
        <v>0</v>
      </c>
      <c s="125">
        <f>S24*Предпосылки!$H131/(S$8+1-S$7)</f>
        <v>0</v>
      </c>
      <c s="125">
        <f>T24*Предпосылки!$H131/(T$8+1-T$7)</f>
        <v>0</v>
      </c>
      <c s="125">
        <f>U24*Предпосылки!$H131/(U$8+1-U$7)</f>
        <v>0</v>
      </c>
      <c s="125">
        <f>V24*Предпосылки!$H131/(V$8+1-V$7)</f>
        <v>0</v>
      </c>
      <c s="125">
        <f>W24*Предпосылки!$H131/(W$8+1-W$7)</f>
        <v>0</v>
      </c>
      <c s="125">
        <f>X24*Предпосылки!$H131/(X$8+1-X$7)</f>
        <v>0</v>
      </c>
      <c s="125">
        <f>Y24*Предпосылки!$H131/(Y$8+1-Y$7)</f>
        <v>0</v>
      </c>
      <c s="125">
        <f>Z24*Предпосылки!$H131/(Z$8+1-Z$7)</f>
        <v>0</v>
      </c>
      <c s="125">
        <f>AA24*Предпосылки!$H131/(AA$8+1-AA$7)</f>
        <v>0</v>
      </c>
      <c s="125">
        <f>AB24*Предпосылки!$H131/(AB$8+1-AB$7)</f>
        <v>0</v>
      </c>
      <c s="125">
        <f>AC24*Предпосылки!$H131/(AC$8+1-AC$7)</f>
        <v>0</v>
      </c>
      <c s="125">
        <f>AD24*Предпосылки!$H131/(AD$8+1-AD$7)</f>
        <v>0</v>
      </c>
      <c s="125">
        <f>AE24*Предпосылки!$H131/(AE$8+1-AE$7)</f>
        <v>0</v>
      </c>
      <c s="125">
        <f>AF24*Предпосылки!$H131/(AF$8+1-AF$7)</f>
        <v>0</v>
      </c>
      <c s="125">
        <f>AG24*Предпосылки!$H131/(AG$8+1-AG$7)</f>
        <v>0</v>
      </c>
      <c s="125">
        <f>AH24*Предпосылки!$H131/(AH$8+1-AH$7)</f>
        <v>0</v>
      </c>
      <c s="125">
        <f>AI24*Предпосылки!$H131/(AI$8+1-AI$7)</f>
        <v>0</v>
      </c>
      <c s="125">
        <f>AJ24*Предпосылки!$H131/(AJ$8+1-AJ$7)</f>
        <v>0</v>
      </c>
      <c s="125">
        <f>AK24*Предпосылки!$H131/(AK$8+1-AK$7)</f>
        <v>0</v>
      </c>
      <c s="125">
        <f>AL24*Предпосылки!$H131/(AL$8+1-AL$7)</f>
        <v>0</v>
      </c>
      <c s="125">
        <f>AM24*Предпосылки!$H131/(AM$8+1-AM$7)</f>
        <v>0</v>
      </c>
      <c s="125">
        <f>AN24*Предпосылки!$H131/(AN$8+1-AN$7)</f>
        <v>0</v>
      </c>
      <c s="125">
        <f>AO24*Предпосылки!$H131/(AO$8+1-AO$7)</f>
        <v>0</v>
      </c>
      <c s="125">
        <f>AP24*Предпосылки!$H131/(AP$8+1-AP$7)</f>
        <v>0</v>
      </c>
      <c s="125">
        <f>AQ24*Предпосылки!$H131/(AQ$8+1-AQ$7)</f>
        <v>0</v>
      </c>
      <c s="125">
        <f>AR24*Предпосылки!$H131/(AR$8+1-AR$7)</f>
        <v>0</v>
      </c>
      <c s="125">
        <f>AS24*Предпосылки!$H131/(AS$8+1-AS$7)</f>
        <v>0</v>
      </c>
      <c s="125">
        <f>AT24*Предпосылки!$H131/(AT$8+1-AT$7)</f>
        <v>0</v>
      </c>
      <c s="125">
        <f>AU24*Предпосылки!$H131/(AU$8+1-AU$7)</f>
        <v>0</v>
      </c>
      <c s="125">
        <f>AV24*Предпосылки!$H131/(AV$8+1-AV$7)</f>
        <v>0</v>
      </c>
      <c s="125">
        <f>AW24*Предпосылки!$H131/(AW$8+1-AW$7)</f>
        <v>0</v>
      </c>
      <c s="125">
        <f>AX24*Предпосылки!$H131/(AX$8+1-AX$7)</f>
        <v>0</v>
      </c>
      <c s="125">
        <f>AY24*Предпосылки!$H131/(AY$8+1-AY$7)</f>
        <v>0</v>
      </c>
      <c s="125">
        <f>AZ24*Предпосылки!$H131/(AZ$8+1-AZ$7)</f>
        <v>0</v>
      </c>
      <c s="125">
        <f>BA24*Предпосылки!$H131/(BA$8+1-BA$7)</f>
        <v>0</v>
      </c>
      <c s="125">
        <f>BB24*Предпосылки!$H131/(BB$8+1-BB$7)</f>
        <v>0</v>
      </c>
      <c s="125">
        <f>BC24*Предпосылки!$H131/(BC$8+1-BC$7)</f>
        <v>0</v>
      </c>
      <c s="125">
        <f>BD24*Предпосылки!$H131/(BD$8+1-BD$7)</f>
        <v>0</v>
      </c>
      <c s="125">
        <f>BE24*Предпосылки!$H131/(BE$8+1-BE$7)</f>
        <v>0</v>
      </c>
      <c s="125">
        <f>BF24*Предпосылки!$H131/(BF$8+1-BF$7)</f>
        <v>0</v>
      </c>
      <c s="125">
        <f>BG24*Предпосылки!$H131/(BG$8+1-BG$7)</f>
        <v>0</v>
      </c>
      <c s="125">
        <f>BH24*Предпосылки!$H131/(BH$8+1-BH$7)</f>
        <v>0</v>
      </c>
      <c s="125">
        <f>BI24*Предпосылки!$H131/(BI$8+1-BI$7)</f>
        <v>0</v>
      </c>
      <c s="125">
        <f>BJ24*Предпосылки!$H131/(BJ$8+1-BJ$7)</f>
        <v>0</v>
      </c>
      <c s="125">
        <f>BK24*Предпосылки!$H131/(BK$8+1-BK$7)</f>
        <v>0</v>
      </c>
      <c s="125">
        <f>BL24*Предпосылки!$H131/(BL$8+1-BL$7)</f>
        <v>0</v>
      </c>
      <c s="125">
        <f>BM24*Предпосылки!$H131/(BM$8+1-BM$7)</f>
        <v>0</v>
      </c>
    </row>
    <row r="48" spans="2:65" ht="15" customHeight="1">
      <c r="B48" s="12" t="str">
        <f t="shared" si="35"/>
        <v>Продукт 11</v>
      </c>
      <c s="124" t="str">
        <f t="shared" si="34"/>
        <v>тыс. руб.</v>
      </c>
      <c s="125"/>
      <c s="125">
        <f>E25*Предпосылки!$H132/(E$8+1-E$7)</f>
        <v>0</v>
      </c>
      <c s="125">
        <f>F25*Предпосылки!$H132/(F$8+1-F$7)</f>
        <v>0</v>
      </c>
      <c s="125">
        <f>G25*Предпосылки!$H132/(G$8+1-G$7)</f>
        <v>0</v>
      </c>
      <c s="125">
        <f>H25*Предпосылки!$H132/(H$8+1-H$7)</f>
        <v>0</v>
      </c>
      <c s="125">
        <f>I25*Предпосылки!$H132/(I$8+1-I$7)</f>
        <v>0</v>
      </c>
      <c s="125">
        <f>J25*Предпосылки!$H132/(J$8+1-J$7)</f>
        <v>0</v>
      </c>
      <c s="125">
        <f>K25*Предпосылки!$H132/(K$8+1-K$7)</f>
        <v>0</v>
      </c>
      <c s="125">
        <f>L25*Предпосылки!$H132/(L$8+1-L$7)</f>
        <v>0</v>
      </c>
      <c s="125">
        <f>M25*Предпосылки!$H132/(M$8+1-M$7)</f>
        <v>0</v>
      </c>
      <c s="125">
        <f>N25*Предпосылки!$H132/(N$8+1-N$7)</f>
        <v>0</v>
      </c>
      <c s="125">
        <f>O25*Предпосылки!$H132/(O$8+1-O$7)</f>
        <v>0</v>
      </c>
      <c s="125">
        <f>P25*Предпосылки!$H132/(P$8+1-P$7)</f>
        <v>0</v>
      </c>
      <c s="125">
        <f>Q25*Предпосылки!$H132/(Q$8+1-Q$7)</f>
        <v>0</v>
      </c>
      <c s="125">
        <f>R25*Предпосылки!$H132/(R$8+1-R$7)</f>
        <v>0</v>
      </c>
      <c s="125">
        <f>S25*Предпосылки!$H132/(S$8+1-S$7)</f>
        <v>0</v>
      </c>
      <c s="125">
        <f>T25*Предпосылки!$H132/(T$8+1-T$7)</f>
        <v>0</v>
      </c>
      <c s="125">
        <f>U25*Предпосылки!$H132/(U$8+1-U$7)</f>
        <v>0</v>
      </c>
      <c s="125">
        <f>V25*Предпосылки!$H132/(V$8+1-V$7)</f>
        <v>0</v>
      </c>
      <c s="125">
        <f>W25*Предпосылки!$H132/(W$8+1-W$7)</f>
        <v>0</v>
      </c>
      <c s="125">
        <f>X25*Предпосылки!$H132/(X$8+1-X$7)</f>
        <v>0</v>
      </c>
      <c s="125">
        <f>Y25*Предпосылки!$H132/(Y$8+1-Y$7)</f>
        <v>0</v>
      </c>
      <c s="125">
        <f>Z25*Предпосылки!$H132/(Z$8+1-Z$7)</f>
        <v>0</v>
      </c>
      <c s="125">
        <f>AA25*Предпосылки!$H132/(AA$8+1-AA$7)</f>
        <v>0</v>
      </c>
      <c s="125">
        <f>AB25*Предпосылки!$H132/(AB$8+1-AB$7)</f>
        <v>0</v>
      </c>
      <c s="125">
        <f>AC25*Предпосылки!$H132/(AC$8+1-AC$7)</f>
        <v>0</v>
      </c>
      <c s="125">
        <f>AD25*Предпосылки!$H132/(AD$8+1-AD$7)</f>
        <v>0</v>
      </c>
      <c s="125">
        <f>AE25*Предпосылки!$H132/(AE$8+1-AE$7)</f>
        <v>0</v>
      </c>
      <c s="125">
        <f>AF25*Предпосылки!$H132/(AF$8+1-AF$7)</f>
        <v>0</v>
      </c>
      <c s="125">
        <f>AG25*Предпосылки!$H132/(AG$8+1-AG$7)</f>
        <v>0</v>
      </c>
      <c s="125">
        <f>AH25*Предпосылки!$H132/(AH$8+1-AH$7)</f>
        <v>0</v>
      </c>
      <c s="125">
        <f>AI25*Предпосылки!$H132/(AI$8+1-AI$7)</f>
        <v>0</v>
      </c>
      <c s="125">
        <f>AJ25*Предпосылки!$H132/(AJ$8+1-AJ$7)</f>
        <v>0</v>
      </c>
      <c s="125">
        <f>AK25*Предпосылки!$H132/(AK$8+1-AK$7)</f>
        <v>0</v>
      </c>
      <c s="125">
        <f>AL25*Предпосылки!$H132/(AL$8+1-AL$7)</f>
        <v>0</v>
      </c>
      <c s="125">
        <f>AM25*Предпосылки!$H132/(AM$8+1-AM$7)</f>
        <v>0</v>
      </c>
      <c s="125">
        <f>AN25*Предпосылки!$H132/(AN$8+1-AN$7)</f>
        <v>0</v>
      </c>
      <c s="125">
        <f>AO25*Предпосылки!$H132/(AO$8+1-AO$7)</f>
        <v>0</v>
      </c>
      <c s="125">
        <f>AP25*Предпосылки!$H132/(AP$8+1-AP$7)</f>
        <v>0</v>
      </c>
      <c s="125">
        <f>AQ25*Предпосылки!$H132/(AQ$8+1-AQ$7)</f>
        <v>0</v>
      </c>
      <c s="125">
        <f>AR25*Предпосылки!$H132/(AR$8+1-AR$7)</f>
        <v>0</v>
      </c>
      <c s="125">
        <f>AS25*Предпосылки!$H132/(AS$8+1-AS$7)</f>
        <v>0</v>
      </c>
      <c s="125">
        <f>AT25*Предпосылки!$H132/(AT$8+1-AT$7)</f>
        <v>0</v>
      </c>
      <c s="125">
        <f>AU25*Предпосылки!$H132/(AU$8+1-AU$7)</f>
        <v>0</v>
      </c>
      <c s="125">
        <f>AV25*Предпосылки!$H132/(AV$8+1-AV$7)</f>
        <v>0</v>
      </c>
      <c s="125">
        <f>AW25*Предпосылки!$H132/(AW$8+1-AW$7)</f>
        <v>0</v>
      </c>
      <c s="125">
        <f>AX25*Предпосылки!$H132/(AX$8+1-AX$7)</f>
        <v>0</v>
      </c>
      <c s="125">
        <f>AY25*Предпосылки!$H132/(AY$8+1-AY$7)</f>
        <v>0</v>
      </c>
      <c s="125">
        <f>AZ25*Предпосылки!$H132/(AZ$8+1-AZ$7)</f>
        <v>0</v>
      </c>
      <c s="125">
        <f>BA25*Предпосылки!$H132/(BA$8+1-BA$7)</f>
        <v>0</v>
      </c>
      <c s="125">
        <f>BB25*Предпосылки!$H132/(BB$8+1-BB$7)</f>
        <v>0</v>
      </c>
      <c s="125">
        <f>BC25*Предпосылки!$H132/(BC$8+1-BC$7)</f>
        <v>0</v>
      </c>
      <c s="125">
        <f>BD25*Предпосылки!$H132/(BD$8+1-BD$7)</f>
        <v>0</v>
      </c>
      <c s="125">
        <f>BE25*Предпосылки!$H132/(BE$8+1-BE$7)</f>
        <v>0</v>
      </c>
      <c s="125">
        <f>BF25*Предпосылки!$H132/(BF$8+1-BF$7)</f>
        <v>0</v>
      </c>
      <c s="125">
        <f>BG25*Предпосылки!$H132/(BG$8+1-BG$7)</f>
        <v>0</v>
      </c>
      <c s="125">
        <f>BH25*Предпосылки!$H132/(BH$8+1-BH$7)</f>
        <v>0</v>
      </c>
      <c s="125">
        <f>BI25*Предпосылки!$H132/(BI$8+1-BI$7)</f>
        <v>0</v>
      </c>
      <c s="125">
        <f>BJ25*Предпосылки!$H132/(BJ$8+1-BJ$7)</f>
        <v>0</v>
      </c>
      <c s="125">
        <f>BK25*Предпосылки!$H132/(BK$8+1-BK$7)</f>
        <v>0</v>
      </c>
      <c s="125">
        <f>BL25*Предпосылки!$H132/(BL$8+1-BL$7)</f>
        <v>0</v>
      </c>
      <c s="125">
        <f>BM25*Предпосылки!$H132/(BM$8+1-BM$7)</f>
        <v>0</v>
      </c>
    </row>
    <row r="49" spans="2:65" ht="15" customHeight="1">
      <c r="B49" s="12" t="str">
        <f t="shared" si="35"/>
        <v>Продукт 12</v>
      </c>
      <c s="124" t="str">
        <f t="shared" si="34"/>
        <v>тыс. руб.</v>
      </c>
      <c s="125"/>
      <c s="125">
        <f>E26*Предпосылки!$H133/(E$8+1-E$7)</f>
        <v>0</v>
      </c>
      <c s="125">
        <f>F26*Предпосылки!$H133/(F$8+1-F$7)</f>
        <v>0</v>
      </c>
      <c s="125">
        <f>G26*Предпосылки!$H133/(G$8+1-G$7)</f>
        <v>0</v>
      </c>
      <c s="125">
        <f>H26*Предпосылки!$H133/(H$8+1-H$7)</f>
        <v>0</v>
      </c>
      <c s="125">
        <f>I26*Предпосылки!$H133/(I$8+1-I$7)</f>
        <v>0</v>
      </c>
      <c s="125">
        <f>J26*Предпосылки!$H133/(J$8+1-J$7)</f>
        <v>0</v>
      </c>
      <c s="125">
        <f>K26*Предпосылки!$H133/(K$8+1-K$7)</f>
        <v>0</v>
      </c>
      <c s="125">
        <f>L26*Предпосылки!$H133/(L$8+1-L$7)</f>
        <v>0</v>
      </c>
      <c s="125">
        <f>M26*Предпосылки!$H133/(M$8+1-M$7)</f>
        <v>0</v>
      </c>
      <c s="125">
        <f>N26*Предпосылки!$H133/(N$8+1-N$7)</f>
        <v>0</v>
      </c>
      <c s="125">
        <f>O26*Предпосылки!$H133/(O$8+1-O$7)</f>
        <v>0</v>
      </c>
      <c s="125">
        <f>P26*Предпосылки!$H133/(P$8+1-P$7)</f>
        <v>0</v>
      </c>
      <c s="125">
        <f>Q26*Предпосылки!$H133/(Q$8+1-Q$7)</f>
        <v>0</v>
      </c>
      <c s="125">
        <f>R26*Предпосылки!$H133/(R$8+1-R$7)</f>
        <v>0</v>
      </c>
      <c s="125">
        <f>S26*Предпосылки!$H133/(S$8+1-S$7)</f>
        <v>0</v>
      </c>
      <c s="125">
        <f>T26*Предпосылки!$H133/(T$8+1-T$7)</f>
        <v>0</v>
      </c>
      <c s="125">
        <f>U26*Предпосылки!$H133/(U$8+1-U$7)</f>
        <v>0</v>
      </c>
      <c s="125">
        <f>V26*Предпосылки!$H133/(V$8+1-V$7)</f>
        <v>0</v>
      </c>
      <c s="125">
        <f>W26*Предпосылки!$H133/(W$8+1-W$7)</f>
        <v>0</v>
      </c>
      <c s="125">
        <f>X26*Предпосылки!$H133/(X$8+1-X$7)</f>
        <v>0</v>
      </c>
      <c s="125">
        <f>Y26*Предпосылки!$H133/(Y$8+1-Y$7)</f>
        <v>0</v>
      </c>
      <c s="125">
        <f>Z26*Предпосылки!$H133/(Z$8+1-Z$7)</f>
        <v>0</v>
      </c>
      <c s="125">
        <f>AA26*Предпосылки!$H133/(AA$8+1-AA$7)</f>
        <v>0</v>
      </c>
      <c s="125">
        <f>AB26*Предпосылки!$H133/(AB$8+1-AB$7)</f>
        <v>0</v>
      </c>
      <c s="125">
        <f>AC26*Предпосылки!$H133/(AC$8+1-AC$7)</f>
        <v>0</v>
      </c>
      <c s="125">
        <f>AD26*Предпосылки!$H133/(AD$8+1-AD$7)</f>
        <v>0</v>
      </c>
      <c s="125">
        <f>AE26*Предпосылки!$H133/(AE$8+1-AE$7)</f>
        <v>0</v>
      </c>
      <c s="125">
        <f>AF26*Предпосылки!$H133/(AF$8+1-AF$7)</f>
        <v>0</v>
      </c>
      <c s="125">
        <f>AG26*Предпосылки!$H133/(AG$8+1-AG$7)</f>
        <v>0</v>
      </c>
      <c s="125">
        <f>AH26*Предпосылки!$H133/(AH$8+1-AH$7)</f>
        <v>0</v>
      </c>
      <c s="125">
        <f>AI26*Предпосылки!$H133/(AI$8+1-AI$7)</f>
        <v>0</v>
      </c>
      <c s="125">
        <f>AJ26*Предпосылки!$H133/(AJ$8+1-AJ$7)</f>
        <v>0</v>
      </c>
      <c s="125">
        <f>AK26*Предпосылки!$H133/(AK$8+1-AK$7)</f>
        <v>0</v>
      </c>
      <c s="125">
        <f>AL26*Предпосылки!$H133/(AL$8+1-AL$7)</f>
        <v>0</v>
      </c>
      <c s="125">
        <f>AM26*Предпосылки!$H133/(AM$8+1-AM$7)</f>
        <v>0</v>
      </c>
      <c s="125">
        <f>AN26*Предпосылки!$H133/(AN$8+1-AN$7)</f>
        <v>0</v>
      </c>
      <c s="125">
        <f>AO26*Предпосылки!$H133/(AO$8+1-AO$7)</f>
        <v>0</v>
      </c>
      <c s="125">
        <f>AP26*Предпосылки!$H133/(AP$8+1-AP$7)</f>
        <v>0</v>
      </c>
      <c s="125">
        <f>AQ26*Предпосылки!$H133/(AQ$8+1-AQ$7)</f>
        <v>0</v>
      </c>
      <c s="125">
        <f>AR26*Предпосылки!$H133/(AR$8+1-AR$7)</f>
        <v>0</v>
      </c>
      <c s="125">
        <f>AS26*Предпосылки!$H133/(AS$8+1-AS$7)</f>
        <v>0</v>
      </c>
      <c s="125">
        <f>AT26*Предпосылки!$H133/(AT$8+1-AT$7)</f>
        <v>0</v>
      </c>
      <c s="125">
        <f>AU26*Предпосылки!$H133/(AU$8+1-AU$7)</f>
        <v>0</v>
      </c>
      <c s="125">
        <f>AV26*Предпосылки!$H133/(AV$8+1-AV$7)</f>
        <v>0</v>
      </c>
      <c s="125">
        <f>AW26*Предпосылки!$H133/(AW$8+1-AW$7)</f>
        <v>0</v>
      </c>
      <c s="125">
        <f>AX26*Предпосылки!$H133/(AX$8+1-AX$7)</f>
        <v>0</v>
      </c>
      <c s="125">
        <f>AY26*Предпосылки!$H133/(AY$8+1-AY$7)</f>
        <v>0</v>
      </c>
      <c s="125">
        <f>AZ26*Предпосылки!$H133/(AZ$8+1-AZ$7)</f>
        <v>0</v>
      </c>
      <c s="125">
        <f>BA26*Предпосылки!$H133/(BA$8+1-BA$7)</f>
        <v>0</v>
      </c>
      <c s="125">
        <f>BB26*Предпосылки!$H133/(BB$8+1-BB$7)</f>
        <v>0</v>
      </c>
      <c s="125">
        <f>BC26*Предпосылки!$H133/(BC$8+1-BC$7)</f>
        <v>0</v>
      </c>
      <c s="125">
        <f>BD26*Предпосылки!$H133/(BD$8+1-BD$7)</f>
        <v>0</v>
      </c>
      <c s="125">
        <f>BE26*Предпосылки!$H133/(BE$8+1-BE$7)</f>
        <v>0</v>
      </c>
      <c s="125">
        <f>BF26*Предпосылки!$H133/(BF$8+1-BF$7)</f>
        <v>0</v>
      </c>
      <c s="125">
        <f>BG26*Предпосылки!$H133/(BG$8+1-BG$7)</f>
        <v>0</v>
      </c>
      <c s="125">
        <f>BH26*Предпосылки!$H133/(BH$8+1-BH$7)</f>
        <v>0</v>
      </c>
      <c s="125">
        <f>BI26*Предпосылки!$H133/(BI$8+1-BI$7)</f>
        <v>0</v>
      </c>
      <c s="125">
        <f>BJ26*Предпосылки!$H133/(BJ$8+1-BJ$7)</f>
        <v>0</v>
      </c>
      <c s="125">
        <f>BK26*Предпосылки!$H133/(BK$8+1-BK$7)</f>
        <v>0</v>
      </c>
      <c s="125">
        <f>BL26*Предпосылки!$H133/(BL$8+1-BL$7)</f>
        <v>0</v>
      </c>
      <c s="125">
        <f>BM26*Предпосылки!$H133/(BM$8+1-BM$7)</f>
        <v>0</v>
      </c>
    </row>
    <row r="50" spans="2:65" ht="15" customHeight="1">
      <c r="B50" s="12" t="str">
        <f t="shared" si="35"/>
        <v>Продукт 13</v>
      </c>
      <c s="124" t="str">
        <f t="shared" si="34"/>
        <v>тыс. руб.</v>
      </c>
      <c s="125"/>
      <c s="125">
        <f>E27*Предпосылки!$H134/(E$8+1-E$7)</f>
        <v>0</v>
      </c>
      <c s="125">
        <f>F27*Предпосылки!$H134/(F$8+1-F$7)</f>
        <v>0</v>
      </c>
      <c s="125">
        <f>G27*Предпосылки!$H134/(G$8+1-G$7)</f>
        <v>0</v>
      </c>
      <c s="125">
        <f>H27*Предпосылки!$H134/(H$8+1-H$7)</f>
        <v>0</v>
      </c>
      <c s="125">
        <f>I27*Предпосылки!$H134/(I$8+1-I$7)</f>
        <v>0</v>
      </c>
      <c s="125">
        <f>J27*Предпосылки!$H134/(J$8+1-J$7)</f>
        <v>0</v>
      </c>
      <c s="125">
        <f>K27*Предпосылки!$H134/(K$8+1-K$7)</f>
        <v>0</v>
      </c>
      <c s="125">
        <f>L27*Предпосылки!$H134/(L$8+1-L$7)</f>
        <v>0</v>
      </c>
      <c s="125">
        <f>M27*Предпосылки!$H134/(M$8+1-M$7)</f>
        <v>0</v>
      </c>
      <c s="125">
        <f>N27*Предпосылки!$H134/(N$8+1-N$7)</f>
        <v>0</v>
      </c>
      <c s="125">
        <f>O27*Предпосылки!$H134/(O$8+1-O$7)</f>
        <v>0</v>
      </c>
      <c s="125">
        <f>P27*Предпосылки!$H134/(P$8+1-P$7)</f>
        <v>0</v>
      </c>
      <c s="125">
        <f>Q27*Предпосылки!$H134/(Q$8+1-Q$7)</f>
        <v>0</v>
      </c>
      <c s="125">
        <f>R27*Предпосылки!$H134/(R$8+1-R$7)</f>
        <v>0</v>
      </c>
      <c s="125">
        <f>S27*Предпосылки!$H134/(S$8+1-S$7)</f>
        <v>0</v>
      </c>
      <c s="125">
        <f>T27*Предпосылки!$H134/(T$8+1-T$7)</f>
        <v>0</v>
      </c>
      <c s="125">
        <f>U27*Предпосылки!$H134/(U$8+1-U$7)</f>
        <v>0</v>
      </c>
      <c s="125">
        <f>V27*Предпосылки!$H134/(V$8+1-V$7)</f>
        <v>0</v>
      </c>
      <c s="125">
        <f>W27*Предпосылки!$H134/(W$8+1-W$7)</f>
        <v>0</v>
      </c>
      <c s="125">
        <f>X27*Предпосылки!$H134/(X$8+1-X$7)</f>
        <v>0</v>
      </c>
      <c s="125">
        <f>Y27*Предпосылки!$H134/(Y$8+1-Y$7)</f>
        <v>0</v>
      </c>
      <c s="125">
        <f>Z27*Предпосылки!$H134/(Z$8+1-Z$7)</f>
        <v>0</v>
      </c>
      <c s="125">
        <f>AA27*Предпосылки!$H134/(AA$8+1-AA$7)</f>
        <v>0</v>
      </c>
      <c s="125">
        <f>AB27*Предпосылки!$H134/(AB$8+1-AB$7)</f>
        <v>0</v>
      </c>
      <c s="125">
        <f>AC27*Предпосылки!$H134/(AC$8+1-AC$7)</f>
        <v>0</v>
      </c>
      <c s="125">
        <f>AD27*Предпосылки!$H134/(AD$8+1-AD$7)</f>
        <v>0</v>
      </c>
      <c s="125">
        <f>AE27*Предпосылки!$H134/(AE$8+1-AE$7)</f>
        <v>0</v>
      </c>
      <c s="125">
        <f>AF27*Предпосылки!$H134/(AF$8+1-AF$7)</f>
        <v>0</v>
      </c>
      <c s="125">
        <f>AG27*Предпосылки!$H134/(AG$8+1-AG$7)</f>
        <v>0</v>
      </c>
      <c s="125">
        <f>AH27*Предпосылки!$H134/(AH$8+1-AH$7)</f>
        <v>0</v>
      </c>
      <c s="125">
        <f>AI27*Предпосылки!$H134/(AI$8+1-AI$7)</f>
        <v>0</v>
      </c>
      <c s="125">
        <f>AJ27*Предпосылки!$H134/(AJ$8+1-AJ$7)</f>
        <v>0</v>
      </c>
      <c s="125">
        <f>AK27*Предпосылки!$H134/(AK$8+1-AK$7)</f>
        <v>0</v>
      </c>
      <c s="125">
        <f>AL27*Предпосылки!$H134/(AL$8+1-AL$7)</f>
        <v>0</v>
      </c>
      <c s="125">
        <f>AM27*Предпосылки!$H134/(AM$8+1-AM$7)</f>
        <v>0</v>
      </c>
      <c s="125">
        <f>AN27*Предпосылки!$H134/(AN$8+1-AN$7)</f>
        <v>0</v>
      </c>
      <c s="125">
        <f>AO27*Предпосылки!$H134/(AO$8+1-AO$7)</f>
        <v>0</v>
      </c>
      <c s="125">
        <f>AP27*Предпосылки!$H134/(AP$8+1-AP$7)</f>
        <v>0</v>
      </c>
      <c s="125">
        <f>AQ27*Предпосылки!$H134/(AQ$8+1-AQ$7)</f>
        <v>0</v>
      </c>
      <c s="125">
        <f>AR27*Предпосылки!$H134/(AR$8+1-AR$7)</f>
        <v>0</v>
      </c>
      <c s="125">
        <f>AS27*Предпосылки!$H134/(AS$8+1-AS$7)</f>
        <v>0</v>
      </c>
      <c s="125">
        <f>AT27*Предпосылки!$H134/(AT$8+1-AT$7)</f>
        <v>0</v>
      </c>
      <c s="125">
        <f>AU27*Предпосылки!$H134/(AU$8+1-AU$7)</f>
        <v>0</v>
      </c>
      <c s="125">
        <f>AV27*Предпосылки!$H134/(AV$8+1-AV$7)</f>
        <v>0</v>
      </c>
      <c s="125">
        <f>AW27*Предпосылки!$H134/(AW$8+1-AW$7)</f>
        <v>0</v>
      </c>
      <c s="125">
        <f>AX27*Предпосылки!$H134/(AX$8+1-AX$7)</f>
        <v>0</v>
      </c>
      <c s="125">
        <f>AY27*Предпосылки!$H134/(AY$8+1-AY$7)</f>
        <v>0</v>
      </c>
      <c s="125">
        <f>AZ27*Предпосылки!$H134/(AZ$8+1-AZ$7)</f>
        <v>0</v>
      </c>
      <c s="125">
        <f>BA27*Предпосылки!$H134/(BA$8+1-BA$7)</f>
        <v>0</v>
      </c>
      <c s="125">
        <f>BB27*Предпосылки!$H134/(BB$8+1-BB$7)</f>
        <v>0</v>
      </c>
      <c s="125">
        <f>BC27*Предпосылки!$H134/(BC$8+1-BC$7)</f>
        <v>0</v>
      </c>
      <c s="125">
        <f>BD27*Предпосылки!$H134/(BD$8+1-BD$7)</f>
        <v>0</v>
      </c>
      <c s="125">
        <f>BE27*Предпосылки!$H134/(BE$8+1-BE$7)</f>
        <v>0</v>
      </c>
      <c s="125">
        <f>BF27*Предпосылки!$H134/(BF$8+1-BF$7)</f>
        <v>0</v>
      </c>
      <c s="125">
        <f>BG27*Предпосылки!$H134/(BG$8+1-BG$7)</f>
        <v>0</v>
      </c>
      <c s="125">
        <f>BH27*Предпосылки!$H134/(BH$8+1-BH$7)</f>
        <v>0</v>
      </c>
      <c s="125">
        <f>BI27*Предпосылки!$H134/(BI$8+1-BI$7)</f>
        <v>0</v>
      </c>
      <c s="125">
        <f>BJ27*Предпосылки!$H134/(BJ$8+1-BJ$7)</f>
        <v>0</v>
      </c>
      <c s="125">
        <f>BK27*Предпосылки!$H134/(BK$8+1-BK$7)</f>
        <v>0</v>
      </c>
      <c s="125">
        <f>BL27*Предпосылки!$H134/(BL$8+1-BL$7)</f>
        <v>0</v>
      </c>
      <c s="125">
        <f>BM27*Предпосылки!$H134/(BM$8+1-BM$7)</f>
        <v>0</v>
      </c>
    </row>
    <row r="51" spans="2:65" ht="15" customHeight="1">
      <c r="B51" s="12" t="str">
        <f t="shared" si="35"/>
        <v>Продукт 14</v>
      </c>
      <c s="124" t="str">
        <f t="shared" si="34"/>
        <v>тыс. руб.</v>
      </c>
      <c s="125"/>
      <c s="125">
        <f>E28*Предпосылки!$H135/(E$8+1-E$7)</f>
        <v>0</v>
      </c>
      <c s="125">
        <f>F28*Предпосылки!$H135/(F$8+1-F$7)</f>
        <v>0</v>
      </c>
      <c s="125">
        <f>G28*Предпосылки!$H135/(G$8+1-G$7)</f>
        <v>0</v>
      </c>
      <c s="125">
        <f>H28*Предпосылки!$H135/(H$8+1-H$7)</f>
        <v>0</v>
      </c>
      <c s="125">
        <f>I28*Предпосылки!$H135/(I$8+1-I$7)</f>
        <v>0</v>
      </c>
      <c s="125">
        <f>J28*Предпосылки!$H135/(J$8+1-J$7)</f>
        <v>0</v>
      </c>
      <c s="125">
        <f>K28*Предпосылки!$H135/(K$8+1-K$7)</f>
        <v>0</v>
      </c>
      <c s="125">
        <f>L28*Предпосылки!$H135/(L$8+1-L$7)</f>
        <v>0</v>
      </c>
      <c s="125">
        <f>M28*Предпосылки!$H135/(M$8+1-M$7)</f>
        <v>0</v>
      </c>
      <c s="125">
        <f>N28*Предпосылки!$H135/(N$8+1-N$7)</f>
        <v>0</v>
      </c>
      <c s="125">
        <f>O28*Предпосылки!$H135/(O$8+1-O$7)</f>
        <v>0</v>
      </c>
      <c s="125">
        <f>P28*Предпосылки!$H135/(P$8+1-P$7)</f>
        <v>0</v>
      </c>
      <c s="125">
        <f>Q28*Предпосылки!$H135/(Q$8+1-Q$7)</f>
        <v>0</v>
      </c>
      <c s="125">
        <f>R28*Предпосылки!$H135/(R$8+1-R$7)</f>
        <v>0</v>
      </c>
      <c s="125">
        <f>S28*Предпосылки!$H135/(S$8+1-S$7)</f>
        <v>0</v>
      </c>
      <c s="125">
        <f>T28*Предпосылки!$H135/(T$8+1-T$7)</f>
        <v>0</v>
      </c>
      <c s="125">
        <f>U28*Предпосылки!$H135/(U$8+1-U$7)</f>
        <v>0</v>
      </c>
      <c s="125">
        <f>V28*Предпосылки!$H135/(V$8+1-V$7)</f>
        <v>0</v>
      </c>
      <c s="125">
        <f>W28*Предпосылки!$H135/(W$8+1-W$7)</f>
        <v>0</v>
      </c>
      <c s="125">
        <f>X28*Предпосылки!$H135/(X$8+1-X$7)</f>
        <v>0</v>
      </c>
      <c s="125">
        <f>Y28*Предпосылки!$H135/(Y$8+1-Y$7)</f>
        <v>0</v>
      </c>
      <c s="125">
        <f>Z28*Предпосылки!$H135/(Z$8+1-Z$7)</f>
        <v>0</v>
      </c>
      <c s="125">
        <f>AA28*Предпосылки!$H135/(AA$8+1-AA$7)</f>
        <v>0</v>
      </c>
      <c s="125">
        <f>AB28*Предпосылки!$H135/(AB$8+1-AB$7)</f>
        <v>0</v>
      </c>
      <c s="125">
        <f>AC28*Предпосылки!$H135/(AC$8+1-AC$7)</f>
        <v>0</v>
      </c>
      <c s="125">
        <f>AD28*Предпосылки!$H135/(AD$8+1-AD$7)</f>
        <v>0</v>
      </c>
      <c s="125">
        <f>AE28*Предпосылки!$H135/(AE$8+1-AE$7)</f>
        <v>0</v>
      </c>
      <c s="125">
        <f>AF28*Предпосылки!$H135/(AF$8+1-AF$7)</f>
        <v>0</v>
      </c>
      <c s="125">
        <f>AG28*Предпосылки!$H135/(AG$8+1-AG$7)</f>
        <v>0</v>
      </c>
      <c s="125">
        <f>AH28*Предпосылки!$H135/(AH$8+1-AH$7)</f>
        <v>0</v>
      </c>
      <c s="125">
        <f>AI28*Предпосылки!$H135/(AI$8+1-AI$7)</f>
        <v>0</v>
      </c>
      <c s="125">
        <f>AJ28*Предпосылки!$H135/(AJ$8+1-AJ$7)</f>
        <v>0</v>
      </c>
      <c s="125">
        <f>AK28*Предпосылки!$H135/(AK$8+1-AK$7)</f>
        <v>0</v>
      </c>
      <c s="125">
        <f>AL28*Предпосылки!$H135/(AL$8+1-AL$7)</f>
        <v>0</v>
      </c>
      <c s="125">
        <f>AM28*Предпосылки!$H135/(AM$8+1-AM$7)</f>
        <v>0</v>
      </c>
      <c s="125">
        <f>AN28*Предпосылки!$H135/(AN$8+1-AN$7)</f>
        <v>0</v>
      </c>
      <c s="125">
        <f>AO28*Предпосылки!$H135/(AO$8+1-AO$7)</f>
        <v>0</v>
      </c>
      <c s="125">
        <f>AP28*Предпосылки!$H135/(AP$8+1-AP$7)</f>
        <v>0</v>
      </c>
      <c s="125">
        <f>AQ28*Предпосылки!$H135/(AQ$8+1-AQ$7)</f>
        <v>0</v>
      </c>
      <c s="125">
        <f>AR28*Предпосылки!$H135/(AR$8+1-AR$7)</f>
        <v>0</v>
      </c>
      <c s="125">
        <f>AS28*Предпосылки!$H135/(AS$8+1-AS$7)</f>
        <v>0</v>
      </c>
      <c s="125">
        <f>AT28*Предпосылки!$H135/(AT$8+1-AT$7)</f>
        <v>0</v>
      </c>
      <c s="125">
        <f>AU28*Предпосылки!$H135/(AU$8+1-AU$7)</f>
        <v>0</v>
      </c>
      <c s="125">
        <f>AV28*Предпосылки!$H135/(AV$8+1-AV$7)</f>
        <v>0</v>
      </c>
      <c s="125">
        <f>AW28*Предпосылки!$H135/(AW$8+1-AW$7)</f>
        <v>0</v>
      </c>
      <c s="125">
        <f>AX28*Предпосылки!$H135/(AX$8+1-AX$7)</f>
        <v>0</v>
      </c>
      <c s="125">
        <f>AY28*Предпосылки!$H135/(AY$8+1-AY$7)</f>
        <v>0</v>
      </c>
      <c s="125">
        <f>AZ28*Предпосылки!$H135/(AZ$8+1-AZ$7)</f>
        <v>0</v>
      </c>
      <c s="125">
        <f>BA28*Предпосылки!$H135/(BA$8+1-BA$7)</f>
        <v>0</v>
      </c>
      <c s="125">
        <f>BB28*Предпосылки!$H135/(BB$8+1-BB$7)</f>
        <v>0</v>
      </c>
      <c s="125">
        <f>BC28*Предпосылки!$H135/(BC$8+1-BC$7)</f>
        <v>0</v>
      </c>
      <c s="125">
        <f>BD28*Предпосылки!$H135/(BD$8+1-BD$7)</f>
        <v>0</v>
      </c>
      <c s="125">
        <f>BE28*Предпосылки!$H135/(BE$8+1-BE$7)</f>
        <v>0</v>
      </c>
      <c s="125">
        <f>BF28*Предпосылки!$H135/(BF$8+1-BF$7)</f>
        <v>0</v>
      </c>
      <c s="125">
        <f>BG28*Предпосылки!$H135/(BG$8+1-BG$7)</f>
        <v>0</v>
      </c>
      <c s="125">
        <f>BH28*Предпосылки!$H135/(BH$8+1-BH$7)</f>
        <v>0</v>
      </c>
      <c s="125">
        <f>BI28*Предпосылки!$H135/(BI$8+1-BI$7)</f>
        <v>0</v>
      </c>
      <c s="125">
        <f>BJ28*Предпосылки!$H135/(BJ$8+1-BJ$7)</f>
        <v>0</v>
      </c>
      <c s="125">
        <f>BK28*Предпосылки!$H135/(BK$8+1-BK$7)</f>
        <v>0</v>
      </c>
      <c s="125">
        <f>BL28*Предпосылки!$H135/(BL$8+1-BL$7)</f>
        <v>0</v>
      </c>
      <c s="125">
        <f>BM28*Предпосылки!$H135/(BM$8+1-BM$7)</f>
        <v>0</v>
      </c>
    </row>
    <row r="52" spans="2:65" ht="15" customHeight="1">
      <c r="B52" s="12" t="str">
        <f t="shared" si="35"/>
        <v>Продукт 15</v>
      </c>
      <c s="124" t="str">
        <f t="shared" si="34"/>
        <v>тыс. руб.</v>
      </c>
      <c s="125"/>
      <c s="125">
        <f>E29*Предпосылки!$H136/(E$8+1-E$7)</f>
        <v>0</v>
      </c>
      <c s="125">
        <f>F29*Предпосылки!$H136/(F$8+1-F$7)</f>
        <v>0</v>
      </c>
      <c s="125">
        <f>G29*Предпосылки!$H136/(G$8+1-G$7)</f>
        <v>0</v>
      </c>
      <c s="125">
        <f>H29*Предпосылки!$H136/(H$8+1-H$7)</f>
        <v>0</v>
      </c>
      <c s="125">
        <f>I29*Предпосылки!$H136/(I$8+1-I$7)</f>
        <v>0</v>
      </c>
      <c s="125">
        <f>J29*Предпосылки!$H136/(J$8+1-J$7)</f>
        <v>0</v>
      </c>
      <c s="125">
        <f>K29*Предпосылки!$H136/(K$8+1-K$7)</f>
        <v>0</v>
      </c>
      <c s="125">
        <f>L29*Предпосылки!$H136/(L$8+1-L$7)</f>
        <v>0</v>
      </c>
      <c s="125">
        <f>M29*Предпосылки!$H136/(M$8+1-M$7)</f>
        <v>0</v>
      </c>
      <c s="125">
        <f>N29*Предпосылки!$H136/(N$8+1-N$7)</f>
        <v>0</v>
      </c>
      <c s="125">
        <f>O29*Предпосылки!$H136/(O$8+1-O$7)</f>
        <v>0</v>
      </c>
      <c s="125">
        <f>P29*Предпосылки!$H136/(P$8+1-P$7)</f>
        <v>0</v>
      </c>
      <c s="125">
        <f>Q29*Предпосылки!$H136/(Q$8+1-Q$7)</f>
        <v>0</v>
      </c>
      <c s="125">
        <f>R29*Предпосылки!$H136/(R$8+1-R$7)</f>
        <v>0</v>
      </c>
      <c s="125">
        <f>S29*Предпосылки!$H136/(S$8+1-S$7)</f>
        <v>0</v>
      </c>
      <c s="125">
        <f>T29*Предпосылки!$H136/(T$8+1-T$7)</f>
        <v>0</v>
      </c>
      <c s="125">
        <f>U29*Предпосылки!$H136/(U$8+1-U$7)</f>
        <v>0</v>
      </c>
      <c s="125">
        <f>V29*Предпосылки!$H136/(V$8+1-V$7)</f>
        <v>0</v>
      </c>
      <c s="125">
        <f>W29*Предпосылки!$H136/(W$8+1-W$7)</f>
        <v>0</v>
      </c>
      <c s="125">
        <f>X29*Предпосылки!$H136/(X$8+1-X$7)</f>
        <v>0</v>
      </c>
      <c s="125">
        <f>Y29*Предпосылки!$H136/(Y$8+1-Y$7)</f>
        <v>0</v>
      </c>
      <c s="125">
        <f>Z29*Предпосылки!$H136/(Z$8+1-Z$7)</f>
        <v>0</v>
      </c>
      <c s="125">
        <f>AA29*Предпосылки!$H136/(AA$8+1-AA$7)</f>
        <v>0</v>
      </c>
      <c s="125">
        <f>AB29*Предпосылки!$H136/(AB$8+1-AB$7)</f>
        <v>0</v>
      </c>
      <c s="125">
        <f>AC29*Предпосылки!$H136/(AC$8+1-AC$7)</f>
        <v>0</v>
      </c>
      <c s="125">
        <f>AD29*Предпосылки!$H136/(AD$8+1-AD$7)</f>
        <v>0</v>
      </c>
      <c s="125">
        <f>AE29*Предпосылки!$H136/(AE$8+1-AE$7)</f>
        <v>0</v>
      </c>
      <c s="125">
        <f>AF29*Предпосылки!$H136/(AF$8+1-AF$7)</f>
        <v>0</v>
      </c>
      <c s="125">
        <f>AG29*Предпосылки!$H136/(AG$8+1-AG$7)</f>
        <v>0</v>
      </c>
      <c s="125">
        <f>AH29*Предпосылки!$H136/(AH$8+1-AH$7)</f>
        <v>0</v>
      </c>
      <c s="125">
        <f>AI29*Предпосылки!$H136/(AI$8+1-AI$7)</f>
        <v>0</v>
      </c>
      <c s="125">
        <f>AJ29*Предпосылки!$H136/(AJ$8+1-AJ$7)</f>
        <v>0</v>
      </c>
      <c s="125">
        <f>AK29*Предпосылки!$H136/(AK$8+1-AK$7)</f>
        <v>0</v>
      </c>
      <c s="125">
        <f>AL29*Предпосылки!$H136/(AL$8+1-AL$7)</f>
        <v>0</v>
      </c>
      <c s="125">
        <f>AM29*Предпосылки!$H136/(AM$8+1-AM$7)</f>
        <v>0</v>
      </c>
      <c s="125">
        <f>AN29*Предпосылки!$H136/(AN$8+1-AN$7)</f>
        <v>0</v>
      </c>
      <c s="125">
        <f>AO29*Предпосылки!$H136/(AO$8+1-AO$7)</f>
        <v>0</v>
      </c>
      <c s="125">
        <f>AP29*Предпосылки!$H136/(AP$8+1-AP$7)</f>
        <v>0</v>
      </c>
      <c s="125">
        <f>AQ29*Предпосылки!$H136/(AQ$8+1-AQ$7)</f>
        <v>0</v>
      </c>
      <c s="125">
        <f>AR29*Предпосылки!$H136/(AR$8+1-AR$7)</f>
        <v>0</v>
      </c>
      <c s="125">
        <f>AS29*Предпосылки!$H136/(AS$8+1-AS$7)</f>
        <v>0</v>
      </c>
      <c s="125">
        <f>AT29*Предпосылки!$H136/(AT$8+1-AT$7)</f>
        <v>0</v>
      </c>
      <c s="125">
        <f>AU29*Предпосылки!$H136/(AU$8+1-AU$7)</f>
        <v>0</v>
      </c>
      <c s="125">
        <f>AV29*Предпосылки!$H136/(AV$8+1-AV$7)</f>
        <v>0</v>
      </c>
      <c s="125">
        <f>AW29*Предпосылки!$H136/(AW$8+1-AW$7)</f>
        <v>0</v>
      </c>
      <c s="125">
        <f>AX29*Предпосылки!$H136/(AX$8+1-AX$7)</f>
        <v>0</v>
      </c>
      <c s="125">
        <f>AY29*Предпосылки!$H136/(AY$8+1-AY$7)</f>
        <v>0</v>
      </c>
      <c s="125">
        <f>AZ29*Предпосылки!$H136/(AZ$8+1-AZ$7)</f>
        <v>0</v>
      </c>
      <c s="125">
        <f>BA29*Предпосылки!$H136/(BA$8+1-BA$7)</f>
        <v>0</v>
      </c>
      <c s="125">
        <f>BB29*Предпосылки!$H136/(BB$8+1-BB$7)</f>
        <v>0</v>
      </c>
      <c s="125">
        <f>BC29*Предпосылки!$H136/(BC$8+1-BC$7)</f>
        <v>0</v>
      </c>
      <c s="125">
        <f>BD29*Предпосылки!$H136/(BD$8+1-BD$7)</f>
        <v>0</v>
      </c>
      <c s="125">
        <f>BE29*Предпосылки!$H136/(BE$8+1-BE$7)</f>
        <v>0</v>
      </c>
      <c s="125">
        <f>BF29*Предпосылки!$H136/(BF$8+1-BF$7)</f>
        <v>0</v>
      </c>
      <c s="125">
        <f>BG29*Предпосылки!$H136/(BG$8+1-BG$7)</f>
        <v>0</v>
      </c>
      <c s="125">
        <f>BH29*Предпосылки!$H136/(BH$8+1-BH$7)</f>
        <v>0</v>
      </c>
      <c s="125">
        <f>BI29*Предпосылки!$H136/(BI$8+1-BI$7)</f>
        <v>0</v>
      </c>
      <c s="125">
        <f>BJ29*Предпосылки!$H136/(BJ$8+1-BJ$7)</f>
        <v>0</v>
      </c>
      <c s="125">
        <f>BK29*Предпосылки!$H136/(BK$8+1-BK$7)</f>
        <v>0</v>
      </c>
      <c s="125">
        <f>BL29*Предпосылки!$H136/(BL$8+1-BL$7)</f>
        <v>0</v>
      </c>
      <c s="125">
        <f>BM29*Предпосылки!$H136/(BM$8+1-BM$7)</f>
        <v>0</v>
      </c>
    </row>
    <row r="53" spans="2:65" ht="15" customHeight="1">
      <c r="B53" s="12" t="str">
        <f t="shared" si="35"/>
        <v>Продукт 16</v>
      </c>
      <c s="124" t="str">
        <f t="shared" si="34"/>
        <v>тыс. руб.</v>
      </c>
      <c s="125"/>
      <c s="125">
        <f>E30*Предпосылки!$H137/(E$8+1-E$7)</f>
        <v>0</v>
      </c>
      <c s="125">
        <f>F30*Предпосылки!$H137/(F$8+1-F$7)</f>
        <v>0</v>
      </c>
      <c s="125">
        <f>G30*Предпосылки!$H137/(G$8+1-G$7)</f>
        <v>0</v>
      </c>
      <c s="125">
        <f>H30*Предпосылки!$H137/(H$8+1-H$7)</f>
        <v>0</v>
      </c>
      <c s="125">
        <f>I30*Предпосылки!$H137/(I$8+1-I$7)</f>
        <v>0</v>
      </c>
      <c s="125">
        <f>J30*Предпосылки!$H137/(J$8+1-J$7)</f>
        <v>0</v>
      </c>
      <c s="125">
        <f>K30*Предпосылки!$H137/(K$8+1-K$7)</f>
        <v>0</v>
      </c>
      <c s="125">
        <f>L30*Предпосылки!$H137/(L$8+1-L$7)</f>
        <v>0</v>
      </c>
      <c s="125">
        <f>M30*Предпосылки!$H137/(M$8+1-M$7)</f>
        <v>0</v>
      </c>
      <c s="125">
        <f>N30*Предпосылки!$H137/(N$8+1-N$7)</f>
        <v>0</v>
      </c>
      <c s="125">
        <f>O30*Предпосылки!$H137/(O$8+1-O$7)</f>
        <v>0</v>
      </c>
      <c s="125">
        <f>P30*Предпосылки!$H137/(P$8+1-P$7)</f>
        <v>0</v>
      </c>
      <c s="125">
        <f>Q30*Предпосылки!$H137/(Q$8+1-Q$7)</f>
        <v>0</v>
      </c>
      <c s="125">
        <f>R30*Предпосылки!$H137/(R$8+1-R$7)</f>
        <v>0</v>
      </c>
      <c s="125">
        <f>S30*Предпосылки!$H137/(S$8+1-S$7)</f>
        <v>0</v>
      </c>
      <c s="125">
        <f>T30*Предпосылки!$H137/(T$8+1-T$7)</f>
        <v>0</v>
      </c>
      <c s="125">
        <f>U30*Предпосылки!$H137/(U$8+1-U$7)</f>
        <v>0</v>
      </c>
      <c s="125">
        <f>V30*Предпосылки!$H137/(V$8+1-V$7)</f>
        <v>0</v>
      </c>
      <c s="125">
        <f>W30*Предпосылки!$H137/(W$8+1-W$7)</f>
        <v>0</v>
      </c>
      <c s="125">
        <f>X30*Предпосылки!$H137/(X$8+1-X$7)</f>
        <v>0</v>
      </c>
      <c s="125">
        <f>Y30*Предпосылки!$H137/(Y$8+1-Y$7)</f>
        <v>0</v>
      </c>
      <c s="125">
        <f>Z30*Предпосылки!$H137/(Z$8+1-Z$7)</f>
        <v>0</v>
      </c>
      <c s="125">
        <f>AA30*Предпосылки!$H137/(AA$8+1-AA$7)</f>
        <v>0</v>
      </c>
      <c s="125">
        <f>AB30*Предпосылки!$H137/(AB$8+1-AB$7)</f>
        <v>0</v>
      </c>
      <c s="125">
        <f>AC30*Предпосылки!$H137/(AC$8+1-AC$7)</f>
        <v>0</v>
      </c>
      <c s="125">
        <f>AD30*Предпосылки!$H137/(AD$8+1-AD$7)</f>
        <v>0</v>
      </c>
      <c s="125">
        <f>AE30*Предпосылки!$H137/(AE$8+1-AE$7)</f>
        <v>0</v>
      </c>
      <c s="125">
        <f>AF30*Предпосылки!$H137/(AF$8+1-AF$7)</f>
        <v>0</v>
      </c>
      <c s="125">
        <f>AG30*Предпосылки!$H137/(AG$8+1-AG$7)</f>
        <v>0</v>
      </c>
      <c s="125">
        <f>AH30*Предпосылки!$H137/(AH$8+1-AH$7)</f>
        <v>0</v>
      </c>
      <c s="125">
        <f>AI30*Предпосылки!$H137/(AI$8+1-AI$7)</f>
        <v>0</v>
      </c>
      <c s="125">
        <f>AJ30*Предпосылки!$H137/(AJ$8+1-AJ$7)</f>
        <v>0</v>
      </c>
      <c s="125">
        <f>AK30*Предпосылки!$H137/(AK$8+1-AK$7)</f>
        <v>0</v>
      </c>
      <c s="125">
        <f>AL30*Предпосылки!$H137/(AL$8+1-AL$7)</f>
        <v>0</v>
      </c>
      <c s="125">
        <f>AM30*Предпосылки!$H137/(AM$8+1-AM$7)</f>
        <v>0</v>
      </c>
      <c s="125">
        <f>AN30*Предпосылки!$H137/(AN$8+1-AN$7)</f>
        <v>0</v>
      </c>
      <c s="125">
        <f>AO30*Предпосылки!$H137/(AO$8+1-AO$7)</f>
        <v>0</v>
      </c>
      <c s="125">
        <f>AP30*Предпосылки!$H137/(AP$8+1-AP$7)</f>
        <v>0</v>
      </c>
      <c s="125">
        <f>AQ30*Предпосылки!$H137/(AQ$8+1-AQ$7)</f>
        <v>0</v>
      </c>
      <c s="125">
        <f>AR30*Предпосылки!$H137/(AR$8+1-AR$7)</f>
        <v>0</v>
      </c>
      <c s="125">
        <f>AS30*Предпосылки!$H137/(AS$8+1-AS$7)</f>
        <v>0</v>
      </c>
      <c s="125">
        <f>AT30*Предпосылки!$H137/(AT$8+1-AT$7)</f>
        <v>0</v>
      </c>
      <c s="125">
        <f>AU30*Предпосылки!$H137/(AU$8+1-AU$7)</f>
        <v>0</v>
      </c>
      <c s="125">
        <f>AV30*Предпосылки!$H137/(AV$8+1-AV$7)</f>
        <v>0</v>
      </c>
      <c s="125">
        <f>AW30*Предпосылки!$H137/(AW$8+1-AW$7)</f>
        <v>0</v>
      </c>
      <c s="125">
        <f>AX30*Предпосылки!$H137/(AX$8+1-AX$7)</f>
        <v>0</v>
      </c>
      <c s="125">
        <f>AY30*Предпосылки!$H137/(AY$8+1-AY$7)</f>
        <v>0</v>
      </c>
      <c s="125">
        <f>AZ30*Предпосылки!$H137/(AZ$8+1-AZ$7)</f>
        <v>0</v>
      </c>
      <c s="125">
        <f>BA30*Предпосылки!$H137/(BA$8+1-BA$7)</f>
        <v>0</v>
      </c>
      <c s="125">
        <f>BB30*Предпосылки!$H137/(BB$8+1-BB$7)</f>
        <v>0</v>
      </c>
      <c s="125">
        <f>BC30*Предпосылки!$H137/(BC$8+1-BC$7)</f>
        <v>0</v>
      </c>
      <c s="125">
        <f>BD30*Предпосылки!$H137/(BD$8+1-BD$7)</f>
        <v>0</v>
      </c>
      <c s="125">
        <f>BE30*Предпосылки!$H137/(BE$8+1-BE$7)</f>
        <v>0</v>
      </c>
      <c s="125">
        <f>BF30*Предпосылки!$H137/(BF$8+1-BF$7)</f>
        <v>0</v>
      </c>
      <c s="125">
        <f>BG30*Предпосылки!$H137/(BG$8+1-BG$7)</f>
        <v>0</v>
      </c>
      <c s="125">
        <f>BH30*Предпосылки!$H137/(BH$8+1-BH$7)</f>
        <v>0</v>
      </c>
      <c s="125">
        <f>BI30*Предпосылки!$H137/(BI$8+1-BI$7)</f>
        <v>0</v>
      </c>
      <c s="125">
        <f>BJ30*Предпосылки!$H137/(BJ$8+1-BJ$7)</f>
        <v>0</v>
      </c>
      <c s="125">
        <f>BK30*Предпосылки!$H137/(BK$8+1-BK$7)</f>
        <v>0</v>
      </c>
      <c s="125">
        <f>BL30*Предпосылки!$H137/(BL$8+1-BL$7)</f>
        <v>0</v>
      </c>
      <c s="125">
        <f>BM30*Предпосылки!$H137/(BM$8+1-BM$7)</f>
        <v>0</v>
      </c>
    </row>
    <row r="54" spans="2:65" ht="15" customHeight="1">
      <c r="B54" s="12" t="str">
        <f t="shared" si="35"/>
        <v>Продукт 17</v>
      </c>
      <c s="124" t="str">
        <f t="shared" si="34"/>
        <v>тыс. руб.</v>
      </c>
      <c s="125"/>
      <c s="125">
        <f>E31*Предпосылки!$H138/(E$8+1-E$7)</f>
        <v>0</v>
      </c>
      <c s="125">
        <f>F31*Предпосылки!$H138/(F$8+1-F$7)</f>
        <v>0</v>
      </c>
      <c s="125">
        <f>G31*Предпосылки!$H138/(G$8+1-G$7)</f>
        <v>0</v>
      </c>
      <c s="125">
        <f>H31*Предпосылки!$H138/(H$8+1-H$7)</f>
        <v>0</v>
      </c>
      <c s="125">
        <f>I31*Предпосылки!$H138/(I$8+1-I$7)</f>
        <v>0</v>
      </c>
      <c s="125">
        <f>J31*Предпосылки!$H138/(J$8+1-J$7)</f>
        <v>0</v>
      </c>
      <c s="125">
        <f>K31*Предпосылки!$H138/(K$8+1-K$7)</f>
        <v>0</v>
      </c>
      <c s="125">
        <f>L31*Предпосылки!$H138/(L$8+1-L$7)</f>
        <v>0</v>
      </c>
      <c s="125">
        <f>M31*Предпосылки!$H138/(M$8+1-M$7)</f>
        <v>0</v>
      </c>
      <c s="125">
        <f>N31*Предпосылки!$H138/(N$8+1-N$7)</f>
        <v>0</v>
      </c>
      <c s="125">
        <f>O31*Предпосылки!$H138/(O$8+1-O$7)</f>
        <v>0</v>
      </c>
      <c s="125">
        <f>P31*Предпосылки!$H138/(P$8+1-P$7)</f>
        <v>0</v>
      </c>
      <c s="125">
        <f>Q31*Предпосылки!$H138/(Q$8+1-Q$7)</f>
        <v>0</v>
      </c>
      <c s="125">
        <f>R31*Предпосылки!$H138/(R$8+1-R$7)</f>
        <v>0</v>
      </c>
      <c s="125">
        <f>S31*Предпосылки!$H138/(S$8+1-S$7)</f>
        <v>0</v>
      </c>
      <c s="125">
        <f>T31*Предпосылки!$H138/(T$8+1-T$7)</f>
        <v>0</v>
      </c>
      <c s="125">
        <f>U31*Предпосылки!$H138/(U$8+1-U$7)</f>
        <v>0</v>
      </c>
      <c s="125">
        <f>V31*Предпосылки!$H138/(V$8+1-V$7)</f>
        <v>0</v>
      </c>
      <c s="125">
        <f>W31*Предпосылки!$H138/(W$8+1-W$7)</f>
        <v>0</v>
      </c>
      <c s="125">
        <f>X31*Предпосылки!$H138/(X$8+1-X$7)</f>
        <v>0</v>
      </c>
      <c s="125">
        <f>Y31*Предпосылки!$H138/(Y$8+1-Y$7)</f>
        <v>0</v>
      </c>
      <c s="125">
        <f>Z31*Предпосылки!$H138/(Z$8+1-Z$7)</f>
        <v>0</v>
      </c>
      <c s="125">
        <f>AA31*Предпосылки!$H138/(AA$8+1-AA$7)</f>
        <v>0</v>
      </c>
      <c s="125">
        <f>AB31*Предпосылки!$H138/(AB$8+1-AB$7)</f>
        <v>0</v>
      </c>
      <c s="125">
        <f>AC31*Предпосылки!$H138/(AC$8+1-AC$7)</f>
        <v>0</v>
      </c>
      <c s="125">
        <f>AD31*Предпосылки!$H138/(AD$8+1-AD$7)</f>
        <v>0</v>
      </c>
      <c s="125">
        <f>AE31*Предпосылки!$H138/(AE$8+1-AE$7)</f>
        <v>0</v>
      </c>
      <c s="125">
        <f>AF31*Предпосылки!$H138/(AF$8+1-AF$7)</f>
        <v>0</v>
      </c>
      <c s="125">
        <f>AG31*Предпосылки!$H138/(AG$8+1-AG$7)</f>
        <v>0</v>
      </c>
      <c s="125">
        <f>AH31*Предпосылки!$H138/(AH$8+1-AH$7)</f>
        <v>0</v>
      </c>
      <c s="125">
        <f>AI31*Предпосылки!$H138/(AI$8+1-AI$7)</f>
        <v>0</v>
      </c>
      <c s="125">
        <f>AJ31*Предпосылки!$H138/(AJ$8+1-AJ$7)</f>
        <v>0</v>
      </c>
      <c s="125">
        <f>AK31*Предпосылки!$H138/(AK$8+1-AK$7)</f>
        <v>0</v>
      </c>
      <c s="125">
        <f>AL31*Предпосылки!$H138/(AL$8+1-AL$7)</f>
        <v>0</v>
      </c>
      <c s="125">
        <f>AM31*Предпосылки!$H138/(AM$8+1-AM$7)</f>
        <v>0</v>
      </c>
      <c s="125">
        <f>AN31*Предпосылки!$H138/(AN$8+1-AN$7)</f>
        <v>0</v>
      </c>
      <c s="125">
        <f>AO31*Предпосылки!$H138/(AO$8+1-AO$7)</f>
        <v>0</v>
      </c>
      <c s="125">
        <f>AP31*Предпосылки!$H138/(AP$8+1-AP$7)</f>
        <v>0</v>
      </c>
      <c s="125">
        <f>AQ31*Предпосылки!$H138/(AQ$8+1-AQ$7)</f>
        <v>0</v>
      </c>
      <c s="125">
        <f>AR31*Предпосылки!$H138/(AR$8+1-AR$7)</f>
        <v>0</v>
      </c>
      <c s="125">
        <f>AS31*Предпосылки!$H138/(AS$8+1-AS$7)</f>
        <v>0</v>
      </c>
      <c s="125">
        <f>AT31*Предпосылки!$H138/(AT$8+1-AT$7)</f>
        <v>0</v>
      </c>
      <c s="125">
        <f>AU31*Предпосылки!$H138/(AU$8+1-AU$7)</f>
        <v>0</v>
      </c>
      <c s="125">
        <f>AV31*Предпосылки!$H138/(AV$8+1-AV$7)</f>
        <v>0</v>
      </c>
      <c s="125">
        <f>AW31*Предпосылки!$H138/(AW$8+1-AW$7)</f>
        <v>0</v>
      </c>
      <c s="125">
        <f>AX31*Предпосылки!$H138/(AX$8+1-AX$7)</f>
        <v>0</v>
      </c>
      <c s="125">
        <f>AY31*Предпосылки!$H138/(AY$8+1-AY$7)</f>
        <v>0</v>
      </c>
      <c s="125">
        <f>AZ31*Предпосылки!$H138/(AZ$8+1-AZ$7)</f>
        <v>0</v>
      </c>
      <c s="125">
        <f>BA31*Предпосылки!$H138/(BA$8+1-BA$7)</f>
        <v>0</v>
      </c>
      <c s="125">
        <f>BB31*Предпосылки!$H138/(BB$8+1-BB$7)</f>
        <v>0</v>
      </c>
      <c s="125">
        <f>BC31*Предпосылки!$H138/(BC$8+1-BC$7)</f>
        <v>0</v>
      </c>
      <c s="125">
        <f>BD31*Предпосылки!$H138/(BD$8+1-BD$7)</f>
        <v>0</v>
      </c>
      <c s="125">
        <f>BE31*Предпосылки!$H138/(BE$8+1-BE$7)</f>
        <v>0</v>
      </c>
      <c s="125">
        <f>BF31*Предпосылки!$H138/(BF$8+1-BF$7)</f>
        <v>0</v>
      </c>
      <c s="125">
        <f>BG31*Предпосылки!$H138/(BG$8+1-BG$7)</f>
        <v>0</v>
      </c>
      <c s="125">
        <f>BH31*Предпосылки!$H138/(BH$8+1-BH$7)</f>
        <v>0</v>
      </c>
      <c s="125">
        <f>BI31*Предпосылки!$H138/(BI$8+1-BI$7)</f>
        <v>0</v>
      </c>
      <c s="125">
        <f>BJ31*Предпосылки!$H138/(BJ$8+1-BJ$7)</f>
        <v>0</v>
      </c>
      <c s="125">
        <f>BK31*Предпосылки!$H138/(BK$8+1-BK$7)</f>
        <v>0</v>
      </c>
      <c s="125">
        <f>BL31*Предпосылки!$H138/(BL$8+1-BL$7)</f>
        <v>0</v>
      </c>
      <c s="125">
        <f>BM31*Предпосылки!$H138/(BM$8+1-BM$7)</f>
        <v>0</v>
      </c>
    </row>
    <row r="55" spans="2:65" ht="15" customHeight="1">
      <c r="B55" s="12" t="str">
        <f t="shared" si="35"/>
        <v>Продукт 18</v>
      </c>
      <c s="124" t="str">
        <f t="shared" si="34"/>
        <v>тыс. руб.</v>
      </c>
      <c s="125"/>
      <c s="125">
        <f>E32*Предпосылки!$H139/(E$8+1-E$7)</f>
        <v>0</v>
      </c>
      <c s="125">
        <f>F32*Предпосылки!$H139/(F$8+1-F$7)</f>
        <v>0</v>
      </c>
      <c s="125">
        <f>G32*Предпосылки!$H139/(G$8+1-G$7)</f>
        <v>0</v>
      </c>
      <c s="125">
        <f>H32*Предпосылки!$H139/(H$8+1-H$7)</f>
        <v>0</v>
      </c>
      <c s="125">
        <f>I32*Предпосылки!$H139/(I$8+1-I$7)</f>
        <v>0</v>
      </c>
      <c s="125">
        <f>J32*Предпосылки!$H139/(J$8+1-J$7)</f>
        <v>0</v>
      </c>
      <c s="125">
        <f>K32*Предпосылки!$H139/(K$8+1-K$7)</f>
        <v>0</v>
      </c>
      <c s="125">
        <f>L32*Предпосылки!$H139/(L$8+1-L$7)</f>
        <v>0</v>
      </c>
      <c s="125">
        <f>M32*Предпосылки!$H139/(M$8+1-M$7)</f>
        <v>0</v>
      </c>
      <c s="125">
        <f>N32*Предпосылки!$H139/(N$8+1-N$7)</f>
        <v>0</v>
      </c>
      <c s="125">
        <f>O32*Предпосылки!$H139/(O$8+1-O$7)</f>
        <v>0</v>
      </c>
      <c s="125">
        <f>P32*Предпосылки!$H139/(P$8+1-P$7)</f>
        <v>0</v>
      </c>
      <c s="125">
        <f>Q32*Предпосылки!$H139/(Q$8+1-Q$7)</f>
        <v>0</v>
      </c>
      <c s="125">
        <f>R32*Предпосылки!$H139/(R$8+1-R$7)</f>
        <v>0</v>
      </c>
      <c s="125">
        <f>S32*Предпосылки!$H139/(S$8+1-S$7)</f>
        <v>0</v>
      </c>
      <c s="125">
        <f>T32*Предпосылки!$H139/(T$8+1-T$7)</f>
        <v>0</v>
      </c>
      <c s="125">
        <f>U32*Предпосылки!$H139/(U$8+1-U$7)</f>
        <v>0</v>
      </c>
      <c s="125">
        <f>V32*Предпосылки!$H139/(V$8+1-V$7)</f>
        <v>0</v>
      </c>
      <c s="125">
        <f>W32*Предпосылки!$H139/(W$8+1-W$7)</f>
        <v>0</v>
      </c>
      <c s="125">
        <f>X32*Предпосылки!$H139/(X$8+1-X$7)</f>
        <v>0</v>
      </c>
      <c s="125">
        <f>Y32*Предпосылки!$H139/(Y$8+1-Y$7)</f>
        <v>0</v>
      </c>
      <c s="125">
        <f>Z32*Предпосылки!$H139/(Z$8+1-Z$7)</f>
        <v>0</v>
      </c>
      <c s="125">
        <f>AA32*Предпосылки!$H139/(AA$8+1-AA$7)</f>
        <v>0</v>
      </c>
      <c s="125">
        <f>AB32*Предпосылки!$H139/(AB$8+1-AB$7)</f>
        <v>0</v>
      </c>
      <c s="125">
        <f>AC32*Предпосылки!$H139/(AC$8+1-AC$7)</f>
        <v>0</v>
      </c>
      <c s="125">
        <f>AD32*Предпосылки!$H139/(AD$8+1-AD$7)</f>
        <v>0</v>
      </c>
      <c s="125">
        <f>AE32*Предпосылки!$H139/(AE$8+1-AE$7)</f>
        <v>0</v>
      </c>
      <c s="125">
        <f>AF32*Предпосылки!$H139/(AF$8+1-AF$7)</f>
        <v>0</v>
      </c>
      <c s="125">
        <f>AG32*Предпосылки!$H139/(AG$8+1-AG$7)</f>
        <v>0</v>
      </c>
      <c s="125">
        <f>AH32*Предпосылки!$H139/(AH$8+1-AH$7)</f>
        <v>0</v>
      </c>
      <c s="125">
        <f>AI32*Предпосылки!$H139/(AI$8+1-AI$7)</f>
        <v>0</v>
      </c>
      <c s="125">
        <f>AJ32*Предпосылки!$H139/(AJ$8+1-AJ$7)</f>
        <v>0</v>
      </c>
      <c s="125">
        <f>AK32*Предпосылки!$H139/(AK$8+1-AK$7)</f>
        <v>0</v>
      </c>
      <c s="125">
        <f>AL32*Предпосылки!$H139/(AL$8+1-AL$7)</f>
        <v>0</v>
      </c>
      <c s="125">
        <f>AM32*Предпосылки!$H139/(AM$8+1-AM$7)</f>
        <v>0</v>
      </c>
      <c s="125">
        <f>AN32*Предпосылки!$H139/(AN$8+1-AN$7)</f>
        <v>0</v>
      </c>
      <c s="125">
        <f>AO32*Предпосылки!$H139/(AO$8+1-AO$7)</f>
        <v>0</v>
      </c>
      <c s="125">
        <f>AP32*Предпосылки!$H139/(AP$8+1-AP$7)</f>
        <v>0</v>
      </c>
      <c s="125">
        <f>AQ32*Предпосылки!$H139/(AQ$8+1-AQ$7)</f>
        <v>0</v>
      </c>
      <c s="125">
        <f>AR32*Предпосылки!$H139/(AR$8+1-AR$7)</f>
        <v>0</v>
      </c>
      <c s="125">
        <f>AS32*Предпосылки!$H139/(AS$8+1-AS$7)</f>
        <v>0</v>
      </c>
      <c s="125">
        <f>AT32*Предпосылки!$H139/(AT$8+1-AT$7)</f>
        <v>0</v>
      </c>
      <c s="125">
        <f>AU32*Предпосылки!$H139/(AU$8+1-AU$7)</f>
        <v>0</v>
      </c>
      <c s="125">
        <f>AV32*Предпосылки!$H139/(AV$8+1-AV$7)</f>
        <v>0</v>
      </c>
      <c s="125">
        <f>AW32*Предпосылки!$H139/(AW$8+1-AW$7)</f>
        <v>0</v>
      </c>
      <c s="125">
        <f>AX32*Предпосылки!$H139/(AX$8+1-AX$7)</f>
        <v>0</v>
      </c>
      <c s="125">
        <f>AY32*Предпосылки!$H139/(AY$8+1-AY$7)</f>
        <v>0</v>
      </c>
      <c s="125">
        <f>AZ32*Предпосылки!$H139/(AZ$8+1-AZ$7)</f>
        <v>0</v>
      </c>
      <c s="125">
        <f>BA32*Предпосылки!$H139/(BA$8+1-BA$7)</f>
        <v>0</v>
      </c>
      <c s="125">
        <f>BB32*Предпосылки!$H139/(BB$8+1-BB$7)</f>
        <v>0</v>
      </c>
      <c s="125">
        <f>BC32*Предпосылки!$H139/(BC$8+1-BC$7)</f>
        <v>0</v>
      </c>
      <c s="125">
        <f>BD32*Предпосылки!$H139/(BD$8+1-BD$7)</f>
        <v>0</v>
      </c>
      <c s="125">
        <f>BE32*Предпосылки!$H139/(BE$8+1-BE$7)</f>
        <v>0</v>
      </c>
      <c s="125">
        <f>BF32*Предпосылки!$H139/(BF$8+1-BF$7)</f>
        <v>0</v>
      </c>
      <c s="125">
        <f>BG32*Предпосылки!$H139/(BG$8+1-BG$7)</f>
        <v>0</v>
      </c>
      <c s="125">
        <f>BH32*Предпосылки!$H139/(BH$8+1-BH$7)</f>
        <v>0</v>
      </c>
      <c s="125">
        <f>BI32*Предпосылки!$H139/(BI$8+1-BI$7)</f>
        <v>0</v>
      </c>
      <c s="125">
        <f>BJ32*Предпосылки!$H139/(BJ$8+1-BJ$7)</f>
        <v>0</v>
      </c>
      <c s="125">
        <f>BK32*Предпосылки!$H139/(BK$8+1-BK$7)</f>
        <v>0</v>
      </c>
      <c s="125">
        <f>BL32*Предпосылки!$H139/(BL$8+1-BL$7)</f>
        <v>0</v>
      </c>
      <c s="125">
        <f>BM32*Предпосылки!$H139/(BM$8+1-BM$7)</f>
        <v>0</v>
      </c>
    </row>
    <row r="56" spans="2:65" ht="15" customHeight="1">
      <c r="B56" s="12" t="str">
        <f t="shared" si="35"/>
        <v>Продукт 19</v>
      </c>
      <c s="124" t="str">
        <f t="shared" si="34"/>
        <v>тыс. руб.</v>
      </c>
      <c s="125"/>
      <c s="125">
        <f>E33*Предпосылки!$H140/(E$8+1-E$7)</f>
        <v>0</v>
      </c>
      <c s="125">
        <f>F33*Предпосылки!$H140/(F$8+1-F$7)</f>
        <v>0</v>
      </c>
      <c s="125">
        <f>G33*Предпосылки!$H140/(G$8+1-G$7)</f>
        <v>0</v>
      </c>
      <c s="125">
        <f>H33*Предпосылки!$H140/(H$8+1-H$7)</f>
        <v>0</v>
      </c>
      <c s="125">
        <f>I33*Предпосылки!$H140/(I$8+1-I$7)</f>
        <v>0</v>
      </c>
      <c s="125">
        <f>J33*Предпосылки!$H140/(J$8+1-J$7)</f>
        <v>0</v>
      </c>
      <c s="125">
        <f>K33*Предпосылки!$H140/(K$8+1-K$7)</f>
        <v>0</v>
      </c>
      <c s="125">
        <f>L33*Предпосылки!$H140/(L$8+1-L$7)</f>
        <v>0</v>
      </c>
      <c s="125">
        <f>M33*Предпосылки!$H140/(M$8+1-M$7)</f>
        <v>0</v>
      </c>
      <c s="125">
        <f>N33*Предпосылки!$H140/(N$8+1-N$7)</f>
        <v>0</v>
      </c>
      <c s="125">
        <f>O33*Предпосылки!$H140/(O$8+1-O$7)</f>
        <v>0</v>
      </c>
      <c s="125">
        <f>P33*Предпосылки!$H140/(P$8+1-P$7)</f>
        <v>0</v>
      </c>
      <c s="125">
        <f>Q33*Предпосылки!$H140/(Q$8+1-Q$7)</f>
        <v>0</v>
      </c>
      <c s="125">
        <f>R33*Предпосылки!$H140/(R$8+1-R$7)</f>
        <v>0</v>
      </c>
      <c s="125">
        <f>S33*Предпосылки!$H140/(S$8+1-S$7)</f>
        <v>0</v>
      </c>
      <c s="125">
        <f>T33*Предпосылки!$H140/(T$8+1-T$7)</f>
        <v>0</v>
      </c>
      <c s="125">
        <f>U33*Предпосылки!$H140/(U$8+1-U$7)</f>
        <v>0</v>
      </c>
      <c s="125">
        <f>V33*Предпосылки!$H140/(V$8+1-V$7)</f>
        <v>0</v>
      </c>
      <c s="125">
        <f>W33*Предпосылки!$H140/(W$8+1-W$7)</f>
        <v>0</v>
      </c>
      <c s="125">
        <f>X33*Предпосылки!$H140/(X$8+1-X$7)</f>
        <v>0</v>
      </c>
      <c s="125">
        <f>Y33*Предпосылки!$H140/(Y$8+1-Y$7)</f>
        <v>0</v>
      </c>
      <c s="125">
        <f>Z33*Предпосылки!$H140/(Z$8+1-Z$7)</f>
        <v>0</v>
      </c>
      <c s="125">
        <f>AA33*Предпосылки!$H140/(AA$8+1-AA$7)</f>
        <v>0</v>
      </c>
      <c s="125">
        <f>AB33*Предпосылки!$H140/(AB$8+1-AB$7)</f>
        <v>0</v>
      </c>
      <c s="125">
        <f>AC33*Предпосылки!$H140/(AC$8+1-AC$7)</f>
        <v>0</v>
      </c>
      <c s="125">
        <f>AD33*Предпосылки!$H140/(AD$8+1-AD$7)</f>
        <v>0</v>
      </c>
      <c s="125">
        <f>AE33*Предпосылки!$H140/(AE$8+1-AE$7)</f>
        <v>0</v>
      </c>
      <c s="125">
        <f>AF33*Предпосылки!$H140/(AF$8+1-AF$7)</f>
        <v>0</v>
      </c>
      <c s="125">
        <f>AG33*Предпосылки!$H140/(AG$8+1-AG$7)</f>
        <v>0</v>
      </c>
      <c s="125">
        <f>AH33*Предпосылки!$H140/(AH$8+1-AH$7)</f>
        <v>0</v>
      </c>
      <c s="125">
        <f>AI33*Предпосылки!$H140/(AI$8+1-AI$7)</f>
        <v>0</v>
      </c>
      <c s="125">
        <f>AJ33*Предпосылки!$H140/(AJ$8+1-AJ$7)</f>
        <v>0</v>
      </c>
      <c s="125">
        <f>AK33*Предпосылки!$H140/(AK$8+1-AK$7)</f>
        <v>0</v>
      </c>
      <c s="125">
        <f>AL33*Предпосылки!$H140/(AL$8+1-AL$7)</f>
        <v>0</v>
      </c>
      <c s="125">
        <f>AM33*Предпосылки!$H140/(AM$8+1-AM$7)</f>
        <v>0</v>
      </c>
      <c s="125">
        <f>AN33*Предпосылки!$H140/(AN$8+1-AN$7)</f>
        <v>0</v>
      </c>
      <c s="125">
        <f>AO33*Предпосылки!$H140/(AO$8+1-AO$7)</f>
        <v>0</v>
      </c>
      <c s="125">
        <f>AP33*Предпосылки!$H140/(AP$8+1-AP$7)</f>
        <v>0</v>
      </c>
      <c s="125">
        <f>AQ33*Предпосылки!$H140/(AQ$8+1-AQ$7)</f>
        <v>0</v>
      </c>
      <c s="125">
        <f>AR33*Предпосылки!$H140/(AR$8+1-AR$7)</f>
        <v>0</v>
      </c>
      <c s="125">
        <f>AS33*Предпосылки!$H140/(AS$8+1-AS$7)</f>
        <v>0</v>
      </c>
      <c s="125">
        <f>AT33*Предпосылки!$H140/(AT$8+1-AT$7)</f>
        <v>0</v>
      </c>
      <c s="125">
        <f>AU33*Предпосылки!$H140/(AU$8+1-AU$7)</f>
        <v>0</v>
      </c>
      <c s="125">
        <f>AV33*Предпосылки!$H140/(AV$8+1-AV$7)</f>
        <v>0</v>
      </c>
      <c s="125">
        <f>AW33*Предпосылки!$H140/(AW$8+1-AW$7)</f>
        <v>0</v>
      </c>
      <c s="125">
        <f>AX33*Предпосылки!$H140/(AX$8+1-AX$7)</f>
        <v>0</v>
      </c>
      <c s="125">
        <f>AY33*Предпосылки!$H140/(AY$8+1-AY$7)</f>
        <v>0</v>
      </c>
      <c s="125">
        <f>AZ33*Предпосылки!$H140/(AZ$8+1-AZ$7)</f>
        <v>0</v>
      </c>
      <c s="125">
        <f>BA33*Предпосылки!$H140/(BA$8+1-BA$7)</f>
        <v>0</v>
      </c>
      <c s="125">
        <f>BB33*Предпосылки!$H140/(BB$8+1-BB$7)</f>
        <v>0</v>
      </c>
      <c s="125">
        <f>BC33*Предпосылки!$H140/(BC$8+1-BC$7)</f>
        <v>0</v>
      </c>
      <c s="125">
        <f>BD33*Предпосылки!$H140/(BD$8+1-BD$7)</f>
        <v>0</v>
      </c>
      <c s="125">
        <f>BE33*Предпосылки!$H140/(BE$8+1-BE$7)</f>
        <v>0</v>
      </c>
      <c s="125">
        <f>BF33*Предпосылки!$H140/(BF$8+1-BF$7)</f>
        <v>0</v>
      </c>
      <c s="125">
        <f>BG33*Предпосылки!$H140/(BG$8+1-BG$7)</f>
        <v>0</v>
      </c>
      <c s="125">
        <f>BH33*Предпосылки!$H140/(BH$8+1-BH$7)</f>
        <v>0</v>
      </c>
      <c s="125">
        <f>BI33*Предпосылки!$H140/(BI$8+1-BI$7)</f>
        <v>0</v>
      </c>
      <c s="125">
        <f>BJ33*Предпосылки!$H140/(BJ$8+1-BJ$7)</f>
        <v>0</v>
      </c>
      <c s="125">
        <f>BK33*Предпосылки!$H140/(BK$8+1-BK$7)</f>
        <v>0</v>
      </c>
      <c s="125">
        <f>BL33*Предпосылки!$H140/(BL$8+1-BL$7)</f>
        <v>0</v>
      </c>
      <c s="125">
        <f>BM33*Предпосылки!$H140/(BM$8+1-BM$7)</f>
        <v>0</v>
      </c>
    </row>
    <row r="57" spans="2:65" ht="15" customHeight="1">
      <c r="B57" s="12" t="str">
        <f t="shared" si="35"/>
        <v>Продукт 20</v>
      </c>
      <c s="124" t="str">
        <f t="shared" si="34"/>
        <v>тыс. руб.</v>
      </c>
      <c s="125"/>
      <c s="125">
        <f>E34*Предпосылки!$H141/(E$8+1-E$7)</f>
        <v>0</v>
      </c>
      <c s="125">
        <f>F34*Предпосылки!$H141/(F$8+1-F$7)</f>
        <v>0</v>
      </c>
      <c s="125">
        <f>G34*Предпосылки!$H141/(G$8+1-G$7)</f>
        <v>0</v>
      </c>
      <c s="125">
        <f>H34*Предпосылки!$H141/(H$8+1-H$7)</f>
        <v>0</v>
      </c>
      <c s="125">
        <f>I34*Предпосылки!$H141/(I$8+1-I$7)</f>
        <v>0</v>
      </c>
      <c s="125">
        <f>J34*Предпосылки!$H141/(J$8+1-J$7)</f>
        <v>0</v>
      </c>
      <c s="125">
        <f>K34*Предпосылки!$H141/(K$8+1-K$7)</f>
        <v>0</v>
      </c>
      <c s="125">
        <f>L34*Предпосылки!$H141/(L$8+1-L$7)</f>
        <v>0</v>
      </c>
      <c s="125">
        <f>M34*Предпосылки!$H141/(M$8+1-M$7)</f>
        <v>0</v>
      </c>
      <c s="125">
        <f>N34*Предпосылки!$H141/(N$8+1-N$7)</f>
        <v>0</v>
      </c>
      <c s="125">
        <f>O34*Предпосылки!$H141/(O$8+1-O$7)</f>
        <v>0</v>
      </c>
      <c s="125">
        <f>P34*Предпосылки!$H141/(P$8+1-P$7)</f>
        <v>0</v>
      </c>
      <c s="125">
        <f>Q34*Предпосылки!$H141/(Q$8+1-Q$7)</f>
        <v>0</v>
      </c>
      <c s="125">
        <f>R34*Предпосылки!$H141/(R$8+1-R$7)</f>
        <v>0</v>
      </c>
      <c s="125">
        <f>S34*Предпосылки!$H141/(S$8+1-S$7)</f>
        <v>0</v>
      </c>
      <c s="125">
        <f>T34*Предпосылки!$H141/(T$8+1-T$7)</f>
        <v>0</v>
      </c>
      <c s="125">
        <f>U34*Предпосылки!$H141/(U$8+1-U$7)</f>
        <v>0</v>
      </c>
      <c s="125">
        <f>V34*Предпосылки!$H141/(V$8+1-V$7)</f>
        <v>0</v>
      </c>
      <c s="125">
        <f>W34*Предпосылки!$H141/(W$8+1-W$7)</f>
        <v>0</v>
      </c>
      <c s="125">
        <f>X34*Предпосылки!$H141/(X$8+1-X$7)</f>
        <v>0</v>
      </c>
      <c s="125">
        <f>Y34*Предпосылки!$H141/(Y$8+1-Y$7)</f>
        <v>0</v>
      </c>
      <c s="125">
        <f>Z34*Предпосылки!$H141/(Z$8+1-Z$7)</f>
        <v>0</v>
      </c>
      <c s="125">
        <f>AA34*Предпосылки!$H141/(AA$8+1-AA$7)</f>
        <v>0</v>
      </c>
      <c s="125">
        <f>AB34*Предпосылки!$H141/(AB$8+1-AB$7)</f>
        <v>0</v>
      </c>
      <c s="125">
        <f>AC34*Предпосылки!$H141/(AC$8+1-AC$7)</f>
        <v>0</v>
      </c>
      <c s="125">
        <f>AD34*Предпосылки!$H141/(AD$8+1-AD$7)</f>
        <v>0</v>
      </c>
      <c s="125">
        <f>AE34*Предпосылки!$H141/(AE$8+1-AE$7)</f>
        <v>0</v>
      </c>
      <c s="125">
        <f>AF34*Предпосылки!$H141/(AF$8+1-AF$7)</f>
        <v>0</v>
      </c>
      <c s="125">
        <f>AG34*Предпосылки!$H141/(AG$8+1-AG$7)</f>
        <v>0</v>
      </c>
      <c s="125">
        <f>AH34*Предпосылки!$H141/(AH$8+1-AH$7)</f>
        <v>0</v>
      </c>
      <c s="125">
        <f>AI34*Предпосылки!$H141/(AI$8+1-AI$7)</f>
        <v>0</v>
      </c>
      <c s="125">
        <f>AJ34*Предпосылки!$H141/(AJ$8+1-AJ$7)</f>
        <v>0</v>
      </c>
      <c s="125">
        <f>AK34*Предпосылки!$H141/(AK$8+1-AK$7)</f>
        <v>0</v>
      </c>
      <c s="125">
        <f>AL34*Предпосылки!$H141/(AL$8+1-AL$7)</f>
        <v>0</v>
      </c>
      <c s="125">
        <f>AM34*Предпосылки!$H141/(AM$8+1-AM$7)</f>
        <v>0</v>
      </c>
      <c s="125">
        <f>AN34*Предпосылки!$H141/(AN$8+1-AN$7)</f>
        <v>0</v>
      </c>
      <c s="125">
        <f>AO34*Предпосылки!$H141/(AO$8+1-AO$7)</f>
        <v>0</v>
      </c>
      <c s="125">
        <f>AP34*Предпосылки!$H141/(AP$8+1-AP$7)</f>
        <v>0</v>
      </c>
      <c s="125">
        <f>AQ34*Предпосылки!$H141/(AQ$8+1-AQ$7)</f>
        <v>0</v>
      </c>
      <c s="125">
        <f>AR34*Предпосылки!$H141/(AR$8+1-AR$7)</f>
        <v>0</v>
      </c>
      <c s="125">
        <f>AS34*Предпосылки!$H141/(AS$8+1-AS$7)</f>
        <v>0</v>
      </c>
      <c s="125">
        <f>AT34*Предпосылки!$H141/(AT$8+1-AT$7)</f>
        <v>0</v>
      </c>
      <c s="125">
        <f>AU34*Предпосылки!$H141/(AU$8+1-AU$7)</f>
        <v>0</v>
      </c>
      <c s="125">
        <f>AV34*Предпосылки!$H141/(AV$8+1-AV$7)</f>
        <v>0</v>
      </c>
      <c s="125">
        <f>AW34*Предпосылки!$H141/(AW$8+1-AW$7)</f>
        <v>0</v>
      </c>
      <c s="125">
        <f>AX34*Предпосылки!$H141/(AX$8+1-AX$7)</f>
        <v>0</v>
      </c>
      <c s="125">
        <f>AY34*Предпосылки!$H141/(AY$8+1-AY$7)</f>
        <v>0</v>
      </c>
      <c s="125">
        <f>AZ34*Предпосылки!$H141/(AZ$8+1-AZ$7)</f>
        <v>0</v>
      </c>
      <c s="125">
        <f>BA34*Предпосылки!$H141/(BA$8+1-BA$7)</f>
        <v>0</v>
      </c>
      <c s="125">
        <f>BB34*Предпосылки!$H141/(BB$8+1-BB$7)</f>
        <v>0</v>
      </c>
      <c s="125">
        <f>BC34*Предпосылки!$H141/(BC$8+1-BC$7)</f>
        <v>0</v>
      </c>
      <c s="125">
        <f>BD34*Предпосылки!$H141/(BD$8+1-BD$7)</f>
        <v>0</v>
      </c>
      <c s="125">
        <f>BE34*Предпосылки!$H141/(BE$8+1-BE$7)</f>
        <v>0</v>
      </c>
      <c s="125">
        <f>BF34*Предпосылки!$H141/(BF$8+1-BF$7)</f>
        <v>0</v>
      </c>
      <c s="125">
        <f>BG34*Предпосылки!$H141/(BG$8+1-BG$7)</f>
        <v>0</v>
      </c>
      <c s="125">
        <f>BH34*Предпосылки!$H141/(BH$8+1-BH$7)</f>
        <v>0</v>
      </c>
      <c s="125">
        <f>BI34*Предпосылки!$H141/(BI$8+1-BI$7)</f>
        <v>0</v>
      </c>
      <c s="125">
        <f>BJ34*Предпосылки!$H141/(BJ$8+1-BJ$7)</f>
        <v>0</v>
      </c>
      <c s="125">
        <f>BK34*Предпосылки!$H141/(BK$8+1-BK$7)</f>
        <v>0</v>
      </c>
      <c s="125">
        <f>BL34*Предпосылки!$H141/(BL$8+1-BL$7)</f>
        <v>0</v>
      </c>
      <c s="125">
        <f>BM34*Предпосылки!$H141/(BM$8+1-BM$7)</f>
        <v>0</v>
      </c>
    </row>
    <row r="58" spans="2:65" ht="15" customHeight="1">
      <c r="B58" s="289" t="s">
        <v>454</v>
      </c>
      <c s="290" t="str">
        <f>Единица_измерения</f>
        <v>тыс. руб.</v>
      </c>
      <c s="276"/>
      <c s="276">
        <f>SUM(E38:E57)</f>
        <v>0</v>
      </c>
      <c s="276">
        <f t="shared" si="36" ref="F58:BM58">SUM(F38:F57)</f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  <c s="276">
        <f t="shared" si="36"/>
        <v>0</v>
      </c>
    </row>
    <row r="59" ht="15" customHeight="1"/>
    <row r="60" spans="2:2" ht="15" customHeight="1">
      <c r="B60" s="24" t="s">
        <v>889</v>
      </c>
    </row>
    <row r="61" spans="2:65" ht="15" customHeight="1">
      <c r="B61" s="12" t="str">
        <f>B38</f>
        <v>Продукт 1</v>
      </c>
      <c s="124" t="str">
        <f t="shared" si="37" ref="C61:C80">Единица_измерения</f>
        <v>тыс. руб.</v>
      </c>
      <c s="125"/>
      <c s="125">
        <f>F38-E38</f>
        <v>0</v>
      </c>
      <c s="125">
        <f t="shared" si="38" ref="F61:BM65">G38-F38</f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</row>
    <row r="62" spans="2:65" ht="15" customHeight="1">
      <c r="B62" s="12" t="str">
        <f t="shared" si="39" ref="B62:B80">B39</f>
        <v>Продукт 2</v>
      </c>
      <c s="124" t="str">
        <f t="shared" si="37"/>
        <v>тыс. руб.</v>
      </c>
      <c s="125"/>
      <c s="125">
        <f t="shared" si="40" ref="E62:E80">F39-E39</f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</row>
    <row r="63" spans="2:65" ht="15" customHeight="1">
      <c r="B63" s="12" t="str">
        <f t="shared" si="39"/>
        <v>Продукт 3</v>
      </c>
      <c s="124" t="str">
        <f t="shared" si="37"/>
        <v>тыс. руб.</v>
      </c>
      <c s="125"/>
      <c s="125">
        <f t="shared" si="40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</row>
    <row r="64" spans="2:65" ht="15" customHeight="1">
      <c r="B64" s="12" t="str">
        <f t="shared" si="39"/>
        <v>Продукт 4</v>
      </c>
      <c s="124" t="str">
        <f t="shared" si="37"/>
        <v>тыс. руб.</v>
      </c>
      <c s="125"/>
      <c s="125">
        <f t="shared" si="40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</row>
    <row r="65" spans="2:65" ht="15" customHeight="1">
      <c r="B65" s="12" t="str">
        <f t="shared" si="39"/>
        <v>Продукт 5</v>
      </c>
      <c s="124" t="str">
        <f t="shared" si="37"/>
        <v>тыс. руб.</v>
      </c>
      <c s="125"/>
      <c s="125">
        <f t="shared" si="40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38"/>
        <v>0</v>
      </c>
      <c s="125">
        <f t="shared" si="41" ref="U65:U80">V42-U42</f>
        <v>0</v>
      </c>
      <c s="125">
        <f t="shared" si="42" ref="V65:V80">W42-V42</f>
        <v>0</v>
      </c>
      <c s="125">
        <f t="shared" si="43" ref="W65:W80">X42-W42</f>
        <v>0</v>
      </c>
      <c s="125">
        <f t="shared" si="44" ref="X65:X80">Y42-X42</f>
        <v>0</v>
      </c>
      <c s="125">
        <f t="shared" si="45" ref="Y65:Y80">Z42-Y42</f>
        <v>0</v>
      </c>
      <c s="125">
        <f t="shared" si="46" ref="Z65:Z80">AA42-Z42</f>
        <v>0</v>
      </c>
      <c s="125">
        <f t="shared" si="47" ref="AA65:AA80">AB42-AA42</f>
        <v>0</v>
      </c>
      <c s="125">
        <f t="shared" si="48" ref="AB65:AB80">AC42-AB42</f>
        <v>0</v>
      </c>
      <c s="125">
        <f t="shared" si="49" ref="AC65:AC80">AD42-AC42</f>
        <v>0</v>
      </c>
      <c s="125">
        <f t="shared" si="50" ref="AD65:AD80">AE42-AD42</f>
        <v>0</v>
      </c>
      <c s="125">
        <f t="shared" si="51" ref="AE65:AE80">AF42-AE42</f>
        <v>0</v>
      </c>
      <c s="125">
        <f t="shared" si="52" ref="AF65:AF80">AG42-AF42</f>
        <v>0</v>
      </c>
      <c s="125">
        <f t="shared" si="53" ref="AG65:AG80">AH42-AG42</f>
        <v>0</v>
      </c>
      <c s="125">
        <f t="shared" si="54" ref="AH65:AH80">AI42-AH42</f>
        <v>0</v>
      </c>
      <c s="125">
        <f t="shared" si="55" ref="AI65:AI80">AJ42-AI42</f>
        <v>0</v>
      </c>
      <c s="125">
        <f t="shared" si="56" ref="AJ65:AJ80">AK42-AJ42</f>
        <v>0</v>
      </c>
      <c s="125">
        <f t="shared" si="57" ref="AK65:AK80">AL42-AK42</f>
        <v>0</v>
      </c>
      <c s="125">
        <f t="shared" si="58" ref="AL65:AL80">AM42-AL42</f>
        <v>0</v>
      </c>
      <c s="125">
        <f t="shared" si="59" ref="AM65:AM80">AN42-AM42</f>
        <v>0</v>
      </c>
      <c s="125">
        <f t="shared" si="60" ref="AN65:AN80">AO42-AN42</f>
        <v>0</v>
      </c>
      <c s="125">
        <f t="shared" si="61" ref="AO65:AO80">AP42-AO42</f>
        <v>0</v>
      </c>
      <c s="125">
        <f t="shared" si="62" ref="AP65:AP80">AQ42-AP42</f>
        <v>0</v>
      </c>
      <c s="125">
        <f t="shared" si="63" ref="AQ65:AQ80">AR42-AQ42</f>
        <v>0</v>
      </c>
      <c s="125">
        <f t="shared" si="64" ref="AR65:AR80">AS42-AR42</f>
        <v>0</v>
      </c>
      <c s="125">
        <f t="shared" si="65" ref="AS65:AS80">AT42-AS42</f>
        <v>0</v>
      </c>
      <c s="125">
        <f t="shared" si="66" ref="AT65:AT80">AU42-AT42</f>
        <v>0</v>
      </c>
      <c s="125">
        <f t="shared" si="67" ref="AU65:AU80">AV42-AU42</f>
        <v>0</v>
      </c>
      <c s="125">
        <f t="shared" si="68" ref="AV65:AV80">AW42-AV42</f>
        <v>0</v>
      </c>
      <c s="125">
        <f t="shared" si="69" ref="AW65:AW80">AX42-AW42</f>
        <v>0</v>
      </c>
      <c s="125">
        <f t="shared" si="70" ref="AX65:AX80">AY42-AX42</f>
        <v>0</v>
      </c>
      <c s="125">
        <f t="shared" si="71" ref="AY65:AY80">AZ42-AY42</f>
        <v>0</v>
      </c>
      <c s="125">
        <f t="shared" si="72" ref="AZ65:AZ80">BA42-AZ42</f>
        <v>0</v>
      </c>
      <c s="125">
        <f t="shared" si="73" ref="BA65:BA80">BB42-BA42</f>
        <v>0</v>
      </c>
      <c s="125">
        <f t="shared" si="74" ref="BB65:BB80">BC42-BB42</f>
        <v>0</v>
      </c>
      <c s="125">
        <f t="shared" si="75" ref="BC65:BC80">BD42-BC42</f>
        <v>0</v>
      </c>
      <c s="125">
        <f t="shared" si="76" ref="BD65:BD80">BE42-BD42</f>
        <v>0</v>
      </c>
      <c s="125">
        <f t="shared" si="77" ref="BE65:BE80">BF42-BE42</f>
        <v>0</v>
      </c>
      <c s="125">
        <f t="shared" si="78" ref="BF65:BF80">BG42-BF42</f>
        <v>0</v>
      </c>
      <c s="125">
        <f t="shared" si="79" ref="BG65:BG80">BH42-BG42</f>
        <v>0</v>
      </c>
      <c s="125">
        <f t="shared" si="80" ref="BH65:BH80">BI42-BH42</f>
        <v>0</v>
      </c>
      <c s="125">
        <f t="shared" si="81" ref="BI65:BI80">BJ42-BI42</f>
        <v>0</v>
      </c>
      <c s="125">
        <f t="shared" si="82" ref="BJ65:BJ80">BK42-BJ42</f>
        <v>0</v>
      </c>
      <c s="125">
        <f t="shared" si="83" ref="BK65:BK80">BL42-BK42</f>
        <v>0</v>
      </c>
      <c s="125">
        <f t="shared" si="84" ref="BL65:BL80">BM42-BL42</f>
        <v>0</v>
      </c>
      <c s="125">
        <f t="shared" si="85" ref="BM65:BM80">BN42-BM42</f>
        <v>0</v>
      </c>
    </row>
    <row r="66" spans="2:65" ht="15" customHeight="1">
      <c r="B66" s="12" t="str">
        <f t="shared" si="39"/>
        <v>Продукт 6</v>
      </c>
      <c s="124" t="str">
        <f t="shared" si="37"/>
        <v>тыс. руб.</v>
      </c>
      <c s="125"/>
      <c s="125">
        <f t="shared" si="40"/>
        <v>0</v>
      </c>
      <c s="125">
        <f t="shared" si="86" ref="F66:F80">G43-F43</f>
        <v>0</v>
      </c>
      <c s="125">
        <f t="shared" si="87" ref="G66:G80">H43-G43</f>
        <v>0</v>
      </c>
      <c s="125">
        <f t="shared" si="88" ref="H66:H80">I43-H43</f>
        <v>0</v>
      </c>
      <c s="125">
        <f t="shared" si="89" ref="I66:I80">J43-I43</f>
        <v>0</v>
      </c>
      <c s="125">
        <f t="shared" si="90" ref="J66:J80">K43-J43</f>
        <v>0</v>
      </c>
      <c s="125">
        <f t="shared" si="91" ref="K66:K80">L43-K43</f>
        <v>0</v>
      </c>
      <c s="125">
        <f t="shared" si="92" ref="L66:L80">M43-L43</f>
        <v>0</v>
      </c>
      <c s="125">
        <f t="shared" si="93" ref="M66:M80">N43-M43</f>
        <v>0</v>
      </c>
      <c s="125">
        <f t="shared" si="94" ref="N66:N80">O43-N43</f>
        <v>0</v>
      </c>
      <c s="125">
        <f t="shared" si="95" ref="O66:O80">P43-O43</f>
        <v>0</v>
      </c>
      <c s="125">
        <f t="shared" si="96" ref="P66:P80">Q43-P43</f>
        <v>0</v>
      </c>
      <c s="125">
        <f t="shared" si="97" ref="Q66:Q80">R43-Q43</f>
        <v>0</v>
      </c>
      <c s="125">
        <f t="shared" si="98" ref="R66:R80">S43-R43</f>
        <v>0</v>
      </c>
      <c s="125">
        <f t="shared" si="99" ref="S66:S80">T43-S43</f>
        <v>0</v>
      </c>
      <c s="125">
        <f t="shared" si="100" ref="T66:T80">U43-T43</f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67" spans="2:65" ht="15" customHeight="1">
      <c r="B67" s="12" t="str">
        <f t="shared" si="39"/>
        <v>Продукт 7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68" spans="2:65" ht="15" customHeight="1">
      <c r="B68" s="12" t="str">
        <f t="shared" si="39"/>
        <v>Продукт 8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69" spans="2:65" ht="15" customHeight="1">
      <c r="B69" s="12" t="str">
        <f t="shared" si="39"/>
        <v>Продукт 9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0" spans="2:65" ht="15" customHeight="1">
      <c r="B70" s="12" t="str">
        <f t="shared" si="39"/>
        <v>Продукт 10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1" spans="2:65" ht="15" customHeight="1">
      <c r="B71" s="12" t="str">
        <f t="shared" si="39"/>
        <v>Продукт 11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2" spans="2:65" ht="15" customHeight="1">
      <c r="B72" s="12" t="str">
        <f t="shared" si="39"/>
        <v>Продукт 12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3" spans="2:65" ht="15" customHeight="1">
      <c r="B73" s="12" t="str">
        <f t="shared" si="39"/>
        <v>Продукт 13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4" spans="2:65" ht="15" customHeight="1">
      <c r="B74" s="12" t="str">
        <f t="shared" si="39"/>
        <v>Продукт 14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5" spans="2:65" ht="15" customHeight="1">
      <c r="B75" s="12" t="str">
        <f t="shared" si="39"/>
        <v>Продукт 15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6" spans="2:65" ht="15" customHeight="1">
      <c r="B76" s="12" t="str">
        <f t="shared" si="39"/>
        <v>Продукт 16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7" spans="2:65" ht="15" customHeight="1">
      <c r="B77" s="12" t="str">
        <f t="shared" si="39"/>
        <v>Продукт 17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8" spans="2:65" ht="15" customHeight="1">
      <c r="B78" s="12" t="str">
        <f t="shared" si="39"/>
        <v>Продукт 18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79" spans="2:65" ht="15" customHeight="1">
      <c r="B79" s="12" t="str">
        <f t="shared" si="39"/>
        <v>Продукт 19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80" spans="2:65" ht="15" customHeight="1">
      <c r="B80" s="12" t="str">
        <f t="shared" si="39"/>
        <v>Продукт 20</v>
      </c>
      <c s="124" t="str">
        <f t="shared" si="37"/>
        <v>тыс. руб.</v>
      </c>
      <c s="125"/>
      <c s="125">
        <f t="shared" si="40"/>
        <v>0</v>
      </c>
      <c s="125">
        <f t="shared" si="86"/>
        <v>0</v>
      </c>
      <c s="125">
        <f t="shared" si="87"/>
        <v>0</v>
      </c>
      <c s="125">
        <f t="shared" si="88"/>
        <v>0</v>
      </c>
      <c s="125">
        <f t="shared" si="89"/>
        <v>0</v>
      </c>
      <c s="125">
        <f t="shared" si="90"/>
        <v>0</v>
      </c>
      <c s="125">
        <f t="shared" si="91"/>
        <v>0</v>
      </c>
      <c s="125">
        <f t="shared" si="92"/>
        <v>0</v>
      </c>
      <c s="125">
        <f t="shared" si="93"/>
        <v>0</v>
      </c>
      <c s="125">
        <f t="shared" si="94"/>
        <v>0</v>
      </c>
      <c s="125">
        <f t="shared" si="95"/>
        <v>0</v>
      </c>
      <c s="125">
        <f t="shared" si="96"/>
        <v>0</v>
      </c>
      <c s="125">
        <f t="shared" si="97"/>
        <v>0</v>
      </c>
      <c s="125">
        <f t="shared" si="98"/>
        <v>0</v>
      </c>
      <c s="125">
        <f t="shared" si="99"/>
        <v>0</v>
      </c>
      <c s="125">
        <f t="shared" si="100"/>
        <v>0</v>
      </c>
      <c s="125">
        <f t="shared" si="41"/>
        <v>0</v>
      </c>
      <c s="125">
        <f t="shared" si="42"/>
        <v>0</v>
      </c>
      <c s="125">
        <f t="shared" si="43"/>
        <v>0</v>
      </c>
      <c s="125">
        <f t="shared" si="44"/>
        <v>0</v>
      </c>
      <c s="125">
        <f t="shared" si="45"/>
        <v>0</v>
      </c>
      <c s="125">
        <f t="shared" si="46"/>
        <v>0</v>
      </c>
      <c s="125">
        <f t="shared" si="47"/>
        <v>0</v>
      </c>
      <c s="125">
        <f t="shared" si="48"/>
        <v>0</v>
      </c>
      <c s="125">
        <f t="shared" si="49"/>
        <v>0</v>
      </c>
      <c s="125">
        <f t="shared" si="50"/>
        <v>0</v>
      </c>
      <c s="125">
        <f t="shared" si="51"/>
        <v>0</v>
      </c>
      <c s="125">
        <f t="shared" si="52"/>
        <v>0</v>
      </c>
      <c s="125">
        <f t="shared" si="53"/>
        <v>0</v>
      </c>
      <c s="125">
        <f t="shared" si="54"/>
        <v>0</v>
      </c>
      <c s="125">
        <f t="shared" si="55"/>
        <v>0</v>
      </c>
      <c s="125">
        <f t="shared" si="56"/>
        <v>0</v>
      </c>
      <c s="125">
        <f t="shared" si="57"/>
        <v>0</v>
      </c>
      <c s="125">
        <f t="shared" si="58"/>
        <v>0</v>
      </c>
      <c s="125">
        <f t="shared" si="59"/>
        <v>0</v>
      </c>
      <c s="125">
        <f t="shared" si="60"/>
        <v>0</v>
      </c>
      <c s="125">
        <f t="shared" si="61"/>
        <v>0</v>
      </c>
      <c s="125">
        <f t="shared" si="62"/>
        <v>0</v>
      </c>
      <c s="125">
        <f t="shared" si="63"/>
        <v>0</v>
      </c>
      <c s="125">
        <f t="shared" si="64"/>
        <v>0</v>
      </c>
      <c s="125">
        <f t="shared" si="65"/>
        <v>0</v>
      </c>
      <c s="125">
        <f t="shared" si="66"/>
        <v>0</v>
      </c>
      <c s="125">
        <f t="shared" si="67"/>
        <v>0</v>
      </c>
      <c s="125">
        <f t="shared" si="68"/>
        <v>0</v>
      </c>
      <c s="125">
        <f t="shared" si="69"/>
        <v>0</v>
      </c>
      <c s="125">
        <f t="shared" si="70"/>
        <v>0</v>
      </c>
      <c s="125">
        <f t="shared" si="71"/>
        <v>0</v>
      </c>
      <c s="125">
        <f t="shared" si="72"/>
        <v>0</v>
      </c>
      <c s="125">
        <f t="shared" si="73"/>
        <v>0</v>
      </c>
      <c s="125">
        <f t="shared" si="74"/>
        <v>0</v>
      </c>
      <c s="125">
        <f t="shared" si="75"/>
        <v>0</v>
      </c>
      <c s="125">
        <f t="shared" si="76"/>
        <v>0</v>
      </c>
      <c s="125">
        <f t="shared" si="77"/>
        <v>0</v>
      </c>
      <c s="125">
        <f t="shared" si="78"/>
        <v>0</v>
      </c>
      <c s="125">
        <f t="shared" si="79"/>
        <v>0</v>
      </c>
      <c s="125">
        <f t="shared" si="80"/>
        <v>0</v>
      </c>
      <c s="125">
        <f t="shared" si="81"/>
        <v>0</v>
      </c>
      <c s="125">
        <f t="shared" si="82"/>
        <v>0</v>
      </c>
      <c s="125">
        <f t="shared" si="83"/>
        <v>0</v>
      </c>
      <c s="125">
        <f t="shared" si="84"/>
        <v>0</v>
      </c>
      <c s="125">
        <f t="shared" si="85"/>
        <v>0</v>
      </c>
    </row>
    <row r="81" spans="2:65" ht="15" customHeight="1">
      <c r="B81" s="289" t="s">
        <v>454</v>
      </c>
      <c s="290" t="str">
        <f>Единица_измерения</f>
        <v>тыс. руб.</v>
      </c>
      <c s="276"/>
      <c s="276">
        <f>SUM(E61:E80)</f>
        <v>0</v>
      </c>
      <c s="276">
        <f t="shared" si="101" ref="F81:AG81">SUM(F61:F80)</f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1"/>
        <v>0</v>
      </c>
      <c s="276">
        <f t="shared" si="102" ref="AH81:BM81">SUM(AH61:AH80)</f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</row>
    <row r="82" ht="15" customHeight="1"/>
    <row r="83" spans="2:2" ht="15" customHeight="1">
      <c r="B83" s="24" t="s">
        <v>890</v>
      </c>
    </row>
    <row r="84" spans="2:65" ht="15" customHeight="1">
      <c r="B84" s="12" t="s">
        <v>827</v>
      </c>
      <c s="124" t="str">
        <f t="shared" si="103" ref="C84:C86">Единица_измерения</f>
        <v>тыс. руб.</v>
      </c>
      <c s="125"/>
      <c s="125">
        <f t="shared" si="104" ref="E84">E58</f>
        <v>0</v>
      </c>
      <c s="125">
        <f t="shared" si="105" ref="F84:BM84">F58</f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  <c s="125">
        <f t="shared" si="105"/>
        <v>0</v>
      </c>
    </row>
    <row r="85" spans="2:65" ht="15" customHeight="1">
      <c r="B85" s="12" t="s">
        <v>891</v>
      </c>
      <c s="124" t="str">
        <f t="shared" si="103"/>
        <v>тыс. руб.</v>
      </c>
      <c s="125"/>
      <c s="125">
        <f t="shared" si="106" ref="E85">E35</f>
        <v>0</v>
      </c>
      <c s="125">
        <f t="shared" si="107" ref="F85:BM85">F35</f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  <c s="125">
        <f t="shared" si="107"/>
        <v>0</v>
      </c>
    </row>
    <row r="86" spans="2:65" ht="15" customHeight="1">
      <c r="B86" s="12" t="s">
        <v>892</v>
      </c>
      <c s="124" t="str">
        <f t="shared" si="103"/>
        <v>тыс. руб.</v>
      </c>
      <c s="125"/>
      <c s="125">
        <f>SUM(E84,E85,-E87)</f>
        <v>0</v>
      </c>
      <c s="125">
        <f t="shared" si="108" ref="F86:BM86">SUM(F84,F85,-F87)</f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  <c s="125">
        <f t="shared" si="108"/>
        <v>0</v>
      </c>
    </row>
    <row r="87" spans="2:65" ht="15" customHeight="1">
      <c r="B87" s="289" t="s">
        <v>830</v>
      </c>
      <c s="290" t="str">
        <f>Единица_измерения</f>
        <v>тыс. руб.</v>
      </c>
      <c s="276"/>
      <c s="276">
        <f>F84</f>
        <v>0</v>
      </c>
      <c s="276">
        <f t="shared" si="109" ref="F87:AI87">G84</f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09"/>
        <v>0</v>
      </c>
      <c s="276">
        <f t="shared" si="110" ref="AJ87">AK84</f>
        <v>0</v>
      </c>
      <c s="276">
        <f t="shared" si="111" ref="AK87">AL84</f>
        <v>0</v>
      </c>
      <c s="276">
        <f t="shared" si="112" ref="AL87">AM84</f>
        <v>0</v>
      </c>
      <c s="276">
        <f t="shared" si="113" ref="AM87">AN84</f>
        <v>0</v>
      </c>
      <c s="276">
        <f t="shared" si="114" ref="AN87">AO84</f>
        <v>0</v>
      </c>
      <c s="276">
        <f t="shared" si="115" ref="AO87">AP84</f>
        <v>0</v>
      </c>
      <c s="276">
        <f t="shared" si="116" ref="AP87">AQ84</f>
        <v>0</v>
      </c>
      <c s="276">
        <f t="shared" si="117" ref="AQ87">AR84</f>
        <v>0</v>
      </c>
      <c s="276">
        <f t="shared" si="118" ref="AR87">AS84</f>
        <v>0</v>
      </c>
      <c s="276">
        <f t="shared" si="119" ref="AS87">AT84</f>
        <v>0</v>
      </c>
      <c s="276">
        <f t="shared" si="120" ref="AT87">AU84</f>
        <v>0</v>
      </c>
      <c s="276">
        <f t="shared" si="121" ref="AU87">AV84</f>
        <v>0</v>
      </c>
      <c s="276">
        <f t="shared" si="122" ref="AV87">AW84</f>
        <v>0</v>
      </c>
      <c s="276">
        <f t="shared" si="123" ref="AW87">AX84</f>
        <v>0</v>
      </c>
      <c s="276">
        <f t="shared" si="124" ref="AX87">AY84</f>
        <v>0</v>
      </c>
      <c s="276">
        <f t="shared" si="125" ref="AY87">AZ84</f>
        <v>0</v>
      </c>
      <c s="276">
        <f t="shared" si="126" ref="AZ87">BA84</f>
        <v>0</v>
      </c>
      <c s="276">
        <f t="shared" si="127" ref="BA87">BB84</f>
        <v>0</v>
      </c>
      <c s="276">
        <f t="shared" si="128" ref="BB87">BC84</f>
        <v>0</v>
      </c>
      <c s="276">
        <f t="shared" si="129" ref="BC87">BD84</f>
        <v>0</v>
      </c>
      <c s="276">
        <f t="shared" si="130" ref="BD87">BE84</f>
        <v>0</v>
      </c>
      <c s="276">
        <f t="shared" si="131" ref="BE87">BF84</f>
        <v>0</v>
      </c>
      <c s="276">
        <f t="shared" si="132" ref="BF87">BG84</f>
        <v>0</v>
      </c>
      <c s="276">
        <f t="shared" si="133" ref="BG87">BH84</f>
        <v>0</v>
      </c>
      <c s="276">
        <f t="shared" si="134" ref="BH87">BI84</f>
        <v>0</v>
      </c>
      <c s="276">
        <f t="shared" si="135" ref="BI87">BJ84</f>
        <v>0</v>
      </c>
      <c s="276">
        <f t="shared" si="136" ref="BJ87">BK84</f>
        <v>0</v>
      </c>
      <c s="276">
        <f t="shared" si="137" ref="BK87">BL84</f>
        <v>0</v>
      </c>
      <c s="276">
        <f t="shared" si="138" ref="BL87">BM84</f>
        <v>0</v>
      </c>
      <c s="276">
        <f t="shared" si="139" ref="BM87">BN84</f>
        <v>0</v>
      </c>
    </row>
    <row r="88" ht="15" customHeight="1"/>
    <row r="89" spans="2:71" ht="21">
      <c r="B89" s="23" t="s">
        <v>893</v>
      </c>
      <c r="D8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0" spans="2:2" ht="15" customHeight="1">
      <c r="B90" s="24" t="s">
        <v>827</v>
      </c>
    </row>
    <row r="91" spans="2:65" ht="15" customHeight="1">
      <c r="B91" s="12" t="str">
        <f>Предпосылки!B150</f>
        <v>Продукт 1</v>
      </c>
      <c s="124" t="str">
        <f t="shared" si="140" ref="C91:C110">Единица_измерения</f>
        <v>тыс. руб.</v>
      </c>
      <c s="125"/>
      <c s="125">
        <f>IF(Предпосылки!$I122&gt;0,D160,E114*(Предпосылки!$I122/(E$8-E$7)))</f>
        <v>0</v>
      </c>
      <c s="125">
        <f>IF(Предпосылки!$I122&gt;0,E160,F114*(Предпосылки!$I122/(F$8-F$7)))</f>
        <v>0</v>
      </c>
      <c s="125">
        <f>IF(Предпосылки!$I122&gt;0,F160,G114*(Предпосылки!$I122/(G$8-G$7)))</f>
        <v>0</v>
      </c>
      <c s="125">
        <f>IF(Предпосылки!$I122&gt;0,G160,H114*(Предпосылки!$I122/(H$8-H$7)))</f>
        <v>0</v>
      </c>
      <c s="125">
        <f>IF(Предпосылки!$I122&gt;0,H160,I114*(Предпосылки!$I122/(I$8-I$7)))</f>
        <v>0</v>
      </c>
      <c s="125">
        <f>IF(Предпосылки!$I122&gt;0,I160,J114*(Предпосылки!$I122/(J$8-J$7)))</f>
        <v>0</v>
      </c>
      <c s="125">
        <f>IF(Предпосылки!$I122&gt;0,J160,K114*(Предпосылки!$I122/(K$8-K$7)))</f>
        <v>0</v>
      </c>
      <c s="125">
        <f>IF(Предпосылки!$I122&gt;0,K160,L114*(Предпосылки!$I122/(L$8-L$7)))</f>
        <v>0</v>
      </c>
      <c s="125">
        <f>IF(Предпосылки!$I122&gt;0,L160,M114*(Предпосылки!$I122/(M$8-M$7)))</f>
        <v>0</v>
      </c>
      <c s="125">
        <f>IF(Предпосылки!$I122&gt;0,M160,N114*(Предпосылки!$I122/(N$8-N$7)))</f>
        <v>0</v>
      </c>
      <c s="125">
        <f>IF(Предпосылки!$I122&gt;0,N160,O114*(Предпосылки!$I122/(O$8-O$7)))</f>
        <v>0</v>
      </c>
      <c s="125">
        <f>IF(Предпосылки!$I122&gt;0,O160,P114*(Предпосылки!$I122/(P$8-P$7)))</f>
        <v>0</v>
      </c>
      <c s="125">
        <f>IF(Предпосылки!$I122&gt;0,P160,Q114*(Предпосылки!$I122/(Q$8-Q$7)))</f>
        <v>0</v>
      </c>
      <c s="125">
        <f>IF(Предпосылки!$I122&gt;0,Q160,R114*(Предпосылки!$I122/(R$8-R$7)))</f>
        <v>0</v>
      </c>
      <c s="125">
        <f>IF(Предпосылки!$I122&gt;0,R160,S114*(Предпосылки!$I122/(S$8-S$7)))</f>
        <v>0</v>
      </c>
      <c s="125">
        <f>IF(Предпосылки!$I122&gt;0,S160,T114*(Предпосылки!$I122/(T$8-T$7)))</f>
        <v>0</v>
      </c>
      <c s="125">
        <f>IF(Предпосылки!$I122&gt;0,T160,U114*(Предпосылки!$I122/(U$8-U$7)))</f>
        <v>0</v>
      </c>
      <c s="125">
        <f>IF(Предпосылки!$I122&gt;0,U160,V114*(Предпосылки!$I122/(V$8-V$7)))</f>
        <v>0</v>
      </c>
      <c s="125">
        <f>IF(Предпосылки!$I122&gt;0,V160,W114*(Предпосылки!$I122/(W$8-W$7)))</f>
        <v>0</v>
      </c>
      <c s="125">
        <f>IF(Предпосылки!$I122&gt;0,W160,X114*(Предпосылки!$I122/(X$8-X$7)))</f>
        <v>0</v>
      </c>
      <c s="125">
        <f>IF(Предпосылки!$I122&gt;0,X160,Y114*(Предпосылки!$I122/(Y$8-Y$7)))</f>
        <v>0</v>
      </c>
      <c s="125">
        <f>IF(Предпосылки!$I122&gt;0,Y160,Z114*(Предпосылки!$I122/(Z$8-Z$7)))</f>
        <v>0</v>
      </c>
      <c s="125">
        <f>IF(Предпосылки!$I122&gt;0,Z160,AA114*(Предпосылки!$I122/(AA$8-AA$7)))</f>
        <v>0</v>
      </c>
      <c s="125">
        <f>IF(Предпосылки!$I122&gt;0,AA160,AB114*(Предпосылки!$I122/(AB$8-AB$7)))</f>
        <v>0</v>
      </c>
      <c s="125">
        <f>IF(Предпосылки!$I122&gt;0,AB160,AC114*(Предпосылки!$I122/(AC$8-AC$7)))</f>
        <v>0</v>
      </c>
      <c s="125">
        <f>IF(Предпосылки!$I122&gt;0,AC160,AD114*(Предпосылки!$I122/(AD$8-AD$7)))</f>
        <v>0</v>
      </c>
      <c s="125">
        <f>IF(Предпосылки!$I122&gt;0,AD160,AE114*(Предпосылки!$I122/(AE$8-AE$7)))</f>
        <v>0</v>
      </c>
      <c s="125">
        <f>IF(Предпосылки!$I122&gt;0,AE160,AF114*(Предпосылки!$I122/(AF$8-AF$7)))</f>
        <v>0</v>
      </c>
      <c s="125">
        <f>IF(Предпосылки!$I122&gt;0,AF160,AG114*(Предпосылки!$I122/(AG$8-AG$7)))</f>
        <v>0</v>
      </c>
      <c s="125">
        <f>IF(Предпосылки!$I122&gt;0,AG160,AH114*(Предпосылки!$I122/(AH$8-AH$7)))</f>
        <v>0</v>
      </c>
      <c s="125">
        <f>IF(Предпосылки!$I122&gt;0,AH160,AI114*(Предпосылки!$I122/(AI$8-AI$7)))</f>
        <v>0</v>
      </c>
      <c s="125">
        <f>IF(Предпосылки!$I122&gt;0,AI160,AJ114*(Предпосылки!$I122/(AJ$8-AJ$7)))</f>
        <v>0</v>
      </c>
      <c s="125">
        <f>IF(Предпосылки!$I122&gt;0,AJ160,AK114*(Предпосылки!$I122/(AK$8-AK$7)))</f>
        <v>0</v>
      </c>
      <c s="125">
        <f>IF(Предпосылки!$I122&gt;0,AK160,AL114*(Предпосылки!$I122/(AL$8-AL$7)))</f>
        <v>0</v>
      </c>
      <c s="125">
        <f>IF(Предпосылки!$I122&gt;0,AL160,AM114*(Предпосылки!$I122/(AM$8-AM$7)))</f>
        <v>0</v>
      </c>
      <c s="125">
        <f>IF(Предпосылки!$I122&gt;0,AM160,AN114*(Предпосылки!$I122/(AN$8-AN$7)))</f>
        <v>0</v>
      </c>
      <c s="125">
        <f>IF(Предпосылки!$I122&gt;0,AN160,AO114*(Предпосылки!$I122/(AO$8-AO$7)))</f>
        <v>0</v>
      </c>
      <c s="125">
        <f>IF(Предпосылки!$I122&gt;0,AO160,AP114*(Предпосылки!$I122/(AP$8-AP$7)))</f>
        <v>0</v>
      </c>
      <c s="125">
        <f>IF(Предпосылки!$I122&gt;0,AP160,AQ114*(Предпосылки!$I122/(AQ$8-AQ$7)))</f>
        <v>0</v>
      </c>
      <c s="125">
        <f>IF(Предпосылки!$I122&gt;0,AQ160,AR114*(Предпосылки!$I122/(AR$8-AR$7)))</f>
        <v>0</v>
      </c>
      <c s="125">
        <f>IF(Предпосылки!$I122&gt;0,AR160,AS114*(Предпосылки!$I122/(AS$8-AS$7)))</f>
        <v>0</v>
      </c>
      <c s="125">
        <f>IF(Предпосылки!$I122&gt;0,AS160,AT114*(Предпосылки!$I122/(AT$8-AT$7)))</f>
        <v>0</v>
      </c>
      <c s="125">
        <f>IF(Предпосылки!$I122&gt;0,AT160,AU114*(Предпосылки!$I122/(AU$8-AU$7)))</f>
        <v>0</v>
      </c>
      <c s="125">
        <f>IF(Предпосылки!$I122&gt;0,AU160,AV114*(Предпосылки!$I122/(AV$8-AV$7)))</f>
        <v>0</v>
      </c>
      <c s="125">
        <f>IF(Предпосылки!$I122&gt;0,AV160,AW114*(Предпосылки!$I122/(AW$8-AW$7)))</f>
        <v>0</v>
      </c>
      <c s="125">
        <f>IF(Предпосылки!$I122&gt;0,AW160,AX114*(Предпосылки!$I122/(AX$8-AX$7)))</f>
        <v>0</v>
      </c>
      <c s="125">
        <f>IF(Предпосылки!$I122&gt;0,AX160,AY114*(Предпосылки!$I122/(AY$8-AY$7)))</f>
        <v>0</v>
      </c>
      <c s="125">
        <f>IF(Предпосылки!$I122&gt;0,AY160,AZ114*(Предпосылки!$I122/(AZ$8-AZ$7)))</f>
        <v>0</v>
      </c>
      <c s="125">
        <f>IF(Предпосылки!$I122&gt;0,AZ160,BA114*(Предпосылки!$I122/(BA$8-BA$7)))</f>
        <v>0</v>
      </c>
      <c s="125">
        <f>IF(Предпосылки!$I122&gt;0,BA160,BB114*(Предпосылки!$I122/(BB$8-BB$7)))</f>
        <v>0</v>
      </c>
      <c s="125">
        <f>IF(Предпосылки!$I122&gt;0,BB160,BC114*(Предпосылки!$I122/(BC$8-BC$7)))</f>
        <v>0</v>
      </c>
      <c s="125">
        <f>IF(Предпосылки!$I122&gt;0,BC160,BD114*(Предпосылки!$I122/(BD$8-BD$7)))</f>
        <v>0</v>
      </c>
      <c s="125">
        <f>IF(Предпосылки!$I122&gt;0,BD160,BE114*(Предпосылки!$I122/(BE$8-BE$7)))</f>
        <v>0</v>
      </c>
      <c s="125">
        <f>IF(Предпосылки!$I122&gt;0,BE160,BF114*(Предпосылки!$I122/(BF$8-BF$7)))</f>
        <v>0</v>
      </c>
      <c s="125">
        <f>IF(Предпосылки!$I122&gt;0,BF160,BG114*(Предпосылки!$I122/(BG$8-BG$7)))</f>
        <v>0</v>
      </c>
      <c s="125">
        <f>IF(Предпосылки!$I122&gt;0,BG160,BH114*(Предпосылки!$I122/(BH$8-BH$7)))</f>
        <v>0</v>
      </c>
      <c s="125">
        <f>IF(Предпосылки!$I122&gt;0,BH160,BI114*(Предпосылки!$I122/(BI$8-BI$7)))</f>
        <v>0</v>
      </c>
      <c s="125">
        <f>IF(Предпосылки!$I122&gt;0,BI160,BJ114*(Предпосылки!$I122/(BJ$8-BJ$7)))</f>
        <v>0</v>
      </c>
      <c s="125">
        <f>IF(Предпосылки!$I122&gt;0,BJ160,BK114*(Предпосылки!$I122/(BK$8-BK$7)))</f>
        <v>0</v>
      </c>
      <c s="125">
        <f>IF(Предпосылки!$I122&gt;0,BK160,BL114*(Предпосылки!$I122/(BL$8-BL$7)))</f>
        <v>0</v>
      </c>
      <c s="125">
        <f>IF(Предпосылки!$I122&gt;0,BL160,BM114*(Предпосылки!$I122/(BM$8-BM$7)))</f>
        <v>0</v>
      </c>
    </row>
    <row r="92" spans="2:65" ht="15" customHeight="1">
      <c r="B92" s="12" t="str">
        <f>Предпосылки!B151</f>
        <v>Продукт 2</v>
      </c>
      <c s="124" t="str">
        <f t="shared" si="140"/>
        <v>тыс. руб.</v>
      </c>
      <c s="125"/>
      <c s="125">
        <f>IF(Предпосылки!$I123&gt;0,D161,E115*(Предпосылки!$I123/(E$8-E$7)))</f>
        <v>0</v>
      </c>
      <c s="125">
        <f>IF(Предпосылки!$I123&gt;0,E161,F115*(Предпосылки!$I123/(F$8-F$7)))</f>
        <v>0</v>
      </c>
      <c s="125">
        <f>IF(Предпосылки!$I123&gt;0,F161,G115*(Предпосылки!$I123/(G$8-G$7)))</f>
        <v>0</v>
      </c>
      <c s="125">
        <f>IF(Предпосылки!$I123&gt;0,G161,H115*(Предпосылки!$I123/(H$8-H$7)))</f>
        <v>0</v>
      </c>
      <c s="125">
        <f>IF(Предпосылки!$I123&gt;0,H161,I115*(Предпосылки!$I123/(I$8-I$7)))</f>
        <v>0</v>
      </c>
      <c s="125">
        <f>IF(Предпосылки!$I123&gt;0,I161,J115*(Предпосылки!$I123/(J$8-J$7)))</f>
        <v>0</v>
      </c>
      <c s="125">
        <f>IF(Предпосылки!$I123&gt;0,J161,K115*(Предпосылки!$I123/(K$8-K$7)))</f>
        <v>0</v>
      </c>
      <c s="125">
        <f>IF(Предпосылки!$I123&gt;0,K161,L115*(Предпосылки!$I123/(L$8-L$7)))</f>
        <v>0</v>
      </c>
      <c s="125">
        <f>IF(Предпосылки!$I123&gt;0,L161,M115*(Предпосылки!$I123/(M$8-M$7)))</f>
        <v>0</v>
      </c>
      <c s="125">
        <f>IF(Предпосылки!$I123&gt;0,M161,N115*(Предпосылки!$I123/(N$8-N$7)))</f>
        <v>0</v>
      </c>
      <c s="125">
        <f>IF(Предпосылки!$I123&gt;0,N161,O115*(Предпосылки!$I123/(O$8-O$7)))</f>
        <v>0</v>
      </c>
      <c s="125">
        <f>IF(Предпосылки!$I123&gt;0,O161,P115*(Предпосылки!$I123/(P$8-P$7)))</f>
        <v>0</v>
      </c>
      <c s="125">
        <f>IF(Предпосылки!$I123&gt;0,P161,Q115*(Предпосылки!$I123/(Q$8-Q$7)))</f>
        <v>0</v>
      </c>
      <c s="125">
        <f>IF(Предпосылки!$I123&gt;0,Q161,R115*(Предпосылки!$I123/(R$8-R$7)))</f>
        <v>0</v>
      </c>
      <c s="125">
        <f>IF(Предпосылки!$I123&gt;0,R161,S115*(Предпосылки!$I123/(S$8-S$7)))</f>
        <v>0</v>
      </c>
      <c s="125">
        <f>IF(Предпосылки!$I123&gt;0,S161,T115*(Предпосылки!$I123/(T$8-T$7)))</f>
        <v>0</v>
      </c>
      <c s="125">
        <f>IF(Предпосылки!$I123&gt;0,T161,U115*(Предпосылки!$I123/(U$8-U$7)))</f>
        <v>0</v>
      </c>
      <c s="125">
        <f>IF(Предпосылки!$I123&gt;0,U161,V115*(Предпосылки!$I123/(V$8-V$7)))</f>
        <v>0</v>
      </c>
      <c s="125">
        <f>IF(Предпосылки!$I123&gt;0,V161,W115*(Предпосылки!$I123/(W$8-W$7)))</f>
        <v>0</v>
      </c>
      <c s="125">
        <f>IF(Предпосылки!$I123&gt;0,W161,X115*(Предпосылки!$I123/(X$8-X$7)))</f>
        <v>0</v>
      </c>
      <c s="125">
        <f>IF(Предпосылки!$I123&gt;0,X161,Y115*(Предпосылки!$I123/(Y$8-Y$7)))</f>
        <v>0</v>
      </c>
      <c s="125">
        <f>IF(Предпосылки!$I123&gt;0,Y161,Z115*(Предпосылки!$I123/(Z$8-Z$7)))</f>
        <v>0</v>
      </c>
      <c s="125">
        <f>IF(Предпосылки!$I123&gt;0,Z161,AA115*(Предпосылки!$I123/(AA$8-AA$7)))</f>
        <v>0</v>
      </c>
      <c s="125">
        <f>IF(Предпосылки!$I123&gt;0,AA161,AB115*(Предпосылки!$I123/(AB$8-AB$7)))</f>
        <v>0</v>
      </c>
      <c s="125">
        <f>IF(Предпосылки!$I123&gt;0,AB161,AC115*(Предпосылки!$I123/(AC$8-AC$7)))</f>
        <v>0</v>
      </c>
      <c s="125">
        <f>IF(Предпосылки!$I123&gt;0,AC161,AD115*(Предпосылки!$I123/(AD$8-AD$7)))</f>
        <v>0</v>
      </c>
      <c s="125">
        <f>IF(Предпосылки!$I123&gt;0,AD161,AE115*(Предпосылки!$I123/(AE$8-AE$7)))</f>
        <v>0</v>
      </c>
      <c s="125">
        <f>IF(Предпосылки!$I123&gt;0,AE161,AF115*(Предпосылки!$I123/(AF$8-AF$7)))</f>
        <v>0</v>
      </c>
      <c s="125">
        <f>IF(Предпосылки!$I123&gt;0,AF161,AG115*(Предпосылки!$I123/(AG$8-AG$7)))</f>
        <v>0</v>
      </c>
      <c s="125">
        <f>IF(Предпосылки!$I123&gt;0,AG161,AH115*(Предпосылки!$I123/(AH$8-AH$7)))</f>
        <v>0</v>
      </c>
      <c s="125">
        <f>IF(Предпосылки!$I123&gt;0,AH161,AI115*(Предпосылки!$I123/(AI$8-AI$7)))</f>
        <v>0</v>
      </c>
      <c s="125">
        <f>IF(Предпосылки!$I123&gt;0,AI161,AJ115*(Предпосылки!$I123/(AJ$8-AJ$7)))</f>
        <v>0</v>
      </c>
      <c s="125">
        <f>IF(Предпосылки!$I123&gt;0,AJ161,AK115*(Предпосылки!$I123/(AK$8-AK$7)))</f>
        <v>0</v>
      </c>
      <c s="125">
        <f>IF(Предпосылки!$I123&gt;0,AK161,AL115*(Предпосылки!$I123/(AL$8-AL$7)))</f>
        <v>0</v>
      </c>
      <c s="125">
        <f>IF(Предпосылки!$I123&gt;0,AL161,AM115*(Предпосылки!$I123/(AM$8-AM$7)))</f>
        <v>0</v>
      </c>
      <c s="125">
        <f>IF(Предпосылки!$I123&gt;0,AM161,AN115*(Предпосылки!$I123/(AN$8-AN$7)))</f>
        <v>0</v>
      </c>
      <c s="125">
        <f>IF(Предпосылки!$I123&gt;0,AN161,AO115*(Предпосылки!$I123/(AO$8-AO$7)))</f>
        <v>0</v>
      </c>
      <c s="125">
        <f>IF(Предпосылки!$I123&gt;0,AO161,AP115*(Предпосылки!$I123/(AP$8-AP$7)))</f>
        <v>0</v>
      </c>
      <c s="125">
        <f>IF(Предпосылки!$I123&gt;0,AP161,AQ115*(Предпосылки!$I123/(AQ$8-AQ$7)))</f>
        <v>0</v>
      </c>
      <c s="125">
        <f>IF(Предпосылки!$I123&gt;0,AQ161,AR115*(Предпосылки!$I123/(AR$8-AR$7)))</f>
        <v>0</v>
      </c>
      <c s="125">
        <f>IF(Предпосылки!$I123&gt;0,AR161,AS115*(Предпосылки!$I123/(AS$8-AS$7)))</f>
        <v>0</v>
      </c>
      <c s="125">
        <f>IF(Предпосылки!$I123&gt;0,AS161,AT115*(Предпосылки!$I123/(AT$8-AT$7)))</f>
        <v>0</v>
      </c>
      <c s="125">
        <f>IF(Предпосылки!$I123&gt;0,AT161,AU115*(Предпосылки!$I123/(AU$8-AU$7)))</f>
        <v>0</v>
      </c>
      <c s="125">
        <f>IF(Предпосылки!$I123&gt;0,AU161,AV115*(Предпосылки!$I123/(AV$8-AV$7)))</f>
        <v>0</v>
      </c>
      <c s="125">
        <f>IF(Предпосылки!$I123&gt;0,AV161,AW115*(Предпосылки!$I123/(AW$8-AW$7)))</f>
        <v>0</v>
      </c>
      <c s="125">
        <f>IF(Предпосылки!$I123&gt;0,AW161,AX115*(Предпосылки!$I123/(AX$8-AX$7)))</f>
        <v>0</v>
      </c>
      <c s="125">
        <f>IF(Предпосылки!$I123&gt;0,AX161,AY115*(Предпосылки!$I123/(AY$8-AY$7)))</f>
        <v>0</v>
      </c>
      <c s="125">
        <f>IF(Предпосылки!$I123&gt;0,AY161,AZ115*(Предпосылки!$I123/(AZ$8-AZ$7)))</f>
        <v>0</v>
      </c>
      <c s="125">
        <f>IF(Предпосылки!$I123&gt;0,AZ161,BA115*(Предпосылки!$I123/(BA$8-BA$7)))</f>
        <v>0</v>
      </c>
      <c s="125">
        <f>IF(Предпосылки!$I123&gt;0,BA161,BB115*(Предпосылки!$I123/(BB$8-BB$7)))</f>
        <v>0</v>
      </c>
      <c s="125">
        <f>IF(Предпосылки!$I123&gt;0,BB161,BC115*(Предпосылки!$I123/(BC$8-BC$7)))</f>
        <v>0</v>
      </c>
      <c s="125">
        <f>IF(Предпосылки!$I123&gt;0,BC161,BD115*(Предпосылки!$I123/(BD$8-BD$7)))</f>
        <v>0</v>
      </c>
      <c s="125">
        <f>IF(Предпосылки!$I123&gt;0,BD161,BE115*(Предпосылки!$I123/(BE$8-BE$7)))</f>
        <v>0</v>
      </c>
      <c s="125">
        <f>IF(Предпосылки!$I123&gt;0,BE161,BF115*(Предпосылки!$I123/(BF$8-BF$7)))</f>
        <v>0</v>
      </c>
      <c s="125">
        <f>IF(Предпосылки!$I123&gt;0,BF161,BG115*(Предпосылки!$I123/(BG$8-BG$7)))</f>
        <v>0</v>
      </c>
      <c s="125">
        <f>IF(Предпосылки!$I123&gt;0,BG161,BH115*(Предпосылки!$I123/(BH$8-BH$7)))</f>
        <v>0</v>
      </c>
      <c s="125">
        <f>IF(Предпосылки!$I123&gt;0,BH161,BI115*(Предпосылки!$I123/(BI$8-BI$7)))</f>
        <v>0</v>
      </c>
      <c s="125">
        <f>IF(Предпосылки!$I123&gt;0,BI161,BJ115*(Предпосылки!$I123/(BJ$8-BJ$7)))</f>
        <v>0</v>
      </c>
      <c s="125">
        <f>IF(Предпосылки!$I123&gt;0,BJ161,BK115*(Предпосылки!$I123/(BK$8-BK$7)))</f>
        <v>0</v>
      </c>
      <c s="125">
        <f>IF(Предпосылки!$I123&gt;0,BK161,BL115*(Предпосылки!$I123/(BL$8-BL$7)))</f>
        <v>0</v>
      </c>
      <c s="125">
        <f>IF(Предпосылки!$I123&gt;0,BL161,BM115*(Предпосылки!$I123/(BM$8-BM$7)))</f>
        <v>0</v>
      </c>
    </row>
    <row r="93" spans="2:65" ht="15" customHeight="1">
      <c r="B93" s="12" t="str">
        <f>Предпосылки!B152</f>
        <v>Продукт 3</v>
      </c>
      <c s="124" t="str">
        <f t="shared" si="140"/>
        <v>тыс. руб.</v>
      </c>
      <c s="125"/>
      <c s="125">
        <f>IF(Предпосылки!$I124&gt;0,D162,E116*(Предпосылки!$I124/(E$8-E$7)))</f>
        <v>0</v>
      </c>
      <c s="125">
        <f>IF(Предпосылки!$I124&gt;0,E162,F116*(Предпосылки!$I124/(F$8-F$7)))</f>
        <v>0</v>
      </c>
      <c s="125">
        <f>IF(Предпосылки!$I124&gt;0,F162,G116*(Предпосылки!$I124/(G$8-G$7)))</f>
        <v>0</v>
      </c>
      <c s="125">
        <f>IF(Предпосылки!$I124&gt;0,G162,H116*(Предпосылки!$I124/(H$8-H$7)))</f>
        <v>0</v>
      </c>
      <c s="125">
        <f>IF(Предпосылки!$I124&gt;0,H162,I116*(Предпосылки!$I124/(I$8-I$7)))</f>
        <v>0</v>
      </c>
      <c s="125">
        <f>IF(Предпосылки!$I124&gt;0,I162,J116*(Предпосылки!$I124/(J$8-J$7)))</f>
        <v>0</v>
      </c>
      <c s="125">
        <f>IF(Предпосылки!$I124&gt;0,J162,K116*(Предпосылки!$I124/(K$8-K$7)))</f>
        <v>0</v>
      </c>
      <c s="125">
        <f>IF(Предпосылки!$I124&gt;0,K162,L116*(Предпосылки!$I124/(L$8-L$7)))</f>
        <v>0</v>
      </c>
      <c s="125">
        <f>IF(Предпосылки!$I124&gt;0,L162,M116*(Предпосылки!$I124/(M$8-M$7)))</f>
        <v>0</v>
      </c>
      <c s="125">
        <f>IF(Предпосылки!$I124&gt;0,M162,N116*(Предпосылки!$I124/(N$8-N$7)))</f>
        <v>0</v>
      </c>
      <c s="125">
        <f>IF(Предпосылки!$I124&gt;0,N162,O116*(Предпосылки!$I124/(O$8-O$7)))</f>
        <v>0</v>
      </c>
      <c s="125">
        <f>IF(Предпосылки!$I124&gt;0,O162,P116*(Предпосылки!$I124/(P$8-P$7)))</f>
        <v>0</v>
      </c>
      <c s="125">
        <f>IF(Предпосылки!$I124&gt;0,P162,Q116*(Предпосылки!$I124/(Q$8-Q$7)))</f>
        <v>0</v>
      </c>
      <c s="125">
        <f>IF(Предпосылки!$I124&gt;0,Q162,R116*(Предпосылки!$I124/(R$8-R$7)))</f>
        <v>0</v>
      </c>
      <c s="125">
        <f>IF(Предпосылки!$I124&gt;0,R162,S116*(Предпосылки!$I124/(S$8-S$7)))</f>
        <v>0</v>
      </c>
      <c s="125">
        <f>IF(Предпосылки!$I124&gt;0,S162,T116*(Предпосылки!$I124/(T$8-T$7)))</f>
        <v>0</v>
      </c>
      <c s="125">
        <f>IF(Предпосылки!$I124&gt;0,T162,U116*(Предпосылки!$I124/(U$8-U$7)))</f>
        <v>0</v>
      </c>
      <c s="125">
        <f>IF(Предпосылки!$I124&gt;0,U162,V116*(Предпосылки!$I124/(V$8-V$7)))</f>
        <v>0</v>
      </c>
      <c s="125">
        <f>IF(Предпосылки!$I124&gt;0,V162,W116*(Предпосылки!$I124/(W$8-W$7)))</f>
        <v>0</v>
      </c>
      <c s="125">
        <f>IF(Предпосылки!$I124&gt;0,W162,X116*(Предпосылки!$I124/(X$8-X$7)))</f>
        <v>0</v>
      </c>
      <c s="125">
        <f>IF(Предпосылки!$I124&gt;0,X162,Y116*(Предпосылки!$I124/(Y$8-Y$7)))</f>
        <v>0</v>
      </c>
      <c s="125">
        <f>IF(Предпосылки!$I124&gt;0,Y162,Z116*(Предпосылки!$I124/(Z$8-Z$7)))</f>
        <v>0</v>
      </c>
      <c s="125">
        <f>IF(Предпосылки!$I124&gt;0,Z162,AA116*(Предпосылки!$I124/(AA$8-AA$7)))</f>
        <v>0</v>
      </c>
      <c s="125">
        <f>IF(Предпосылки!$I124&gt;0,AA162,AB116*(Предпосылки!$I124/(AB$8-AB$7)))</f>
        <v>0</v>
      </c>
      <c s="125">
        <f>IF(Предпосылки!$I124&gt;0,AB162,AC116*(Предпосылки!$I124/(AC$8-AC$7)))</f>
        <v>0</v>
      </c>
      <c s="125">
        <f>IF(Предпосылки!$I124&gt;0,AC162,AD116*(Предпосылки!$I124/(AD$8-AD$7)))</f>
        <v>0</v>
      </c>
      <c s="125">
        <f>IF(Предпосылки!$I124&gt;0,AD162,AE116*(Предпосылки!$I124/(AE$8-AE$7)))</f>
        <v>0</v>
      </c>
      <c s="125">
        <f>IF(Предпосылки!$I124&gt;0,AE162,AF116*(Предпосылки!$I124/(AF$8-AF$7)))</f>
        <v>0</v>
      </c>
      <c s="125">
        <f>IF(Предпосылки!$I124&gt;0,AF162,AG116*(Предпосылки!$I124/(AG$8-AG$7)))</f>
        <v>0</v>
      </c>
      <c s="125">
        <f>IF(Предпосылки!$I124&gt;0,AG162,AH116*(Предпосылки!$I124/(AH$8-AH$7)))</f>
        <v>0</v>
      </c>
      <c s="125">
        <f>IF(Предпосылки!$I124&gt;0,AH162,AI116*(Предпосылки!$I124/(AI$8-AI$7)))</f>
        <v>0</v>
      </c>
      <c s="125">
        <f>IF(Предпосылки!$I124&gt;0,AI162,AJ116*(Предпосылки!$I124/(AJ$8-AJ$7)))</f>
        <v>0</v>
      </c>
      <c s="125">
        <f>IF(Предпосылки!$I124&gt;0,AJ162,AK116*(Предпосылки!$I124/(AK$8-AK$7)))</f>
        <v>0</v>
      </c>
      <c s="125">
        <f>IF(Предпосылки!$I124&gt;0,AK162,AL116*(Предпосылки!$I124/(AL$8-AL$7)))</f>
        <v>0</v>
      </c>
      <c s="125">
        <f>IF(Предпосылки!$I124&gt;0,AL162,AM116*(Предпосылки!$I124/(AM$8-AM$7)))</f>
        <v>0</v>
      </c>
      <c s="125">
        <f>IF(Предпосылки!$I124&gt;0,AM162,AN116*(Предпосылки!$I124/(AN$8-AN$7)))</f>
        <v>0</v>
      </c>
      <c s="125">
        <f>IF(Предпосылки!$I124&gt;0,AN162,AO116*(Предпосылки!$I124/(AO$8-AO$7)))</f>
        <v>0</v>
      </c>
      <c s="125">
        <f>IF(Предпосылки!$I124&gt;0,AO162,AP116*(Предпосылки!$I124/(AP$8-AP$7)))</f>
        <v>0</v>
      </c>
      <c s="125">
        <f>IF(Предпосылки!$I124&gt;0,AP162,AQ116*(Предпосылки!$I124/(AQ$8-AQ$7)))</f>
        <v>0</v>
      </c>
      <c s="125">
        <f>IF(Предпосылки!$I124&gt;0,AQ162,AR116*(Предпосылки!$I124/(AR$8-AR$7)))</f>
        <v>0</v>
      </c>
      <c s="125">
        <f>IF(Предпосылки!$I124&gt;0,AR162,AS116*(Предпосылки!$I124/(AS$8-AS$7)))</f>
        <v>0</v>
      </c>
      <c s="125">
        <f>IF(Предпосылки!$I124&gt;0,AS162,AT116*(Предпосылки!$I124/(AT$8-AT$7)))</f>
        <v>0</v>
      </c>
      <c s="125">
        <f>IF(Предпосылки!$I124&gt;0,AT162,AU116*(Предпосылки!$I124/(AU$8-AU$7)))</f>
        <v>0</v>
      </c>
      <c s="125">
        <f>IF(Предпосылки!$I124&gt;0,AU162,AV116*(Предпосылки!$I124/(AV$8-AV$7)))</f>
        <v>0</v>
      </c>
      <c s="125">
        <f>IF(Предпосылки!$I124&gt;0,AV162,AW116*(Предпосылки!$I124/(AW$8-AW$7)))</f>
        <v>0</v>
      </c>
      <c s="125">
        <f>IF(Предпосылки!$I124&gt;0,AW162,AX116*(Предпосылки!$I124/(AX$8-AX$7)))</f>
        <v>0</v>
      </c>
      <c s="125">
        <f>IF(Предпосылки!$I124&gt;0,AX162,AY116*(Предпосылки!$I124/(AY$8-AY$7)))</f>
        <v>0</v>
      </c>
      <c s="125">
        <f>IF(Предпосылки!$I124&gt;0,AY162,AZ116*(Предпосылки!$I124/(AZ$8-AZ$7)))</f>
        <v>0</v>
      </c>
      <c s="125">
        <f>IF(Предпосылки!$I124&gt;0,AZ162,BA116*(Предпосылки!$I124/(BA$8-BA$7)))</f>
        <v>0</v>
      </c>
      <c s="125">
        <f>IF(Предпосылки!$I124&gt;0,BA162,BB116*(Предпосылки!$I124/(BB$8-BB$7)))</f>
        <v>0</v>
      </c>
      <c s="125">
        <f>IF(Предпосылки!$I124&gt;0,BB162,BC116*(Предпосылки!$I124/(BC$8-BC$7)))</f>
        <v>0</v>
      </c>
      <c s="125">
        <f>IF(Предпосылки!$I124&gt;0,BC162,BD116*(Предпосылки!$I124/(BD$8-BD$7)))</f>
        <v>0</v>
      </c>
      <c s="125">
        <f>IF(Предпосылки!$I124&gt;0,BD162,BE116*(Предпосылки!$I124/(BE$8-BE$7)))</f>
        <v>0</v>
      </c>
      <c s="125">
        <f>IF(Предпосылки!$I124&gt;0,BE162,BF116*(Предпосылки!$I124/(BF$8-BF$7)))</f>
        <v>0</v>
      </c>
      <c s="125">
        <f>IF(Предпосылки!$I124&gt;0,BF162,BG116*(Предпосылки!$I124/(BG$8-BG$7)))</f>
        <v>0</v>
      </c>
      <c s="125">
        <f>IF(Предпосылки!$I124&gt;0,BG162,BH116*(Предпосылки!$I124/(BH$8-BH$7)))</f>
        <v>0</v>
      </c>
      <c s="125">
        <f>IF(Предпосылки!$I124&gt;0,BH162,BI116*(Предпосылки!$I124/(BI$8-BI$7)))</f>
        <v>0</v>
      </c>
      <c s="125">
        <f>IF(Предпосылки!$I124&gt;0,BI162,BJ116*(Предпосылки!$I124/(BJ$8-BJ$7)))</f>
        <v>0</v>
      </c>
      <c s="125">
        <f>IF(Предпосылки!$I124&gt;0,BJ162,BK116*(Предпосылки!$I124/(BK$8-BK$7)))</f>
        <v>0</v>
      </c>
      <c s="125">
        <f>IF(Предпосылки!$I124&gt;0,BK162,BL116*(Предпосылки!$I124/(BL$8-BL$7)))</f>
        <v>0</v>
      </c>
      <c s="125">
        <f>IF(Предпосылки!$I124&gt;0,BL162,BM116*(Предпосылки!$I124/(BM$8-BM$7)))</f>
        <v>0</v>
      </c>
    </row>
    <row r="94" spans="2:65" ht="15" customHeight="1">
      <c r="B94" s="12" t="str">
        <f>Предпосылки!B153</f>
        <v>Продукт 4</v>
      </c>
      <c s="124" t="str">
        <f t="shared" si="140"/>
        <v>тыс. руб.</v>
      </c>
      <c s="125"/>
      <c s="125">
        <f>IF(Предпосылки!$I125&gt;0,D163,E117*(Предпосылки!$I125/(E$8-E$7)))</f>
        <v>0</v>
      </c>
      <c s="125">
        <f>IF(Предпосылки!$I125&gt;0,E163,F117*(Предпосылки!$I125/(F$8-F$7)))</f>
        <v>0</v>
      </c>
      <c s="125">
        <f>IF(Предпосылки!$I125&gt;0,F163,G117*(Предпосылки!$I125/(G$8-G$7)))</f>
        <v>0</v>
      </c>
      <c s="125">
        <f>IF(Предпосылки!$I125&gt;0,G163,H117*(Предпосылки!$I125/(H$8-H$7)))</f>
        <v>0</v>
      </c>
      <c s="125">
        <f>IF(Предпосылки!$I125&gt;0,H163,I117*(Предпосылки!$I125/(I$8-I$7)))</f>
        <v>0</v>
      </c>
      <c s="125">
        <f>IF(Предпосылки!$I125&gt;0,I163,J117*(Предпосылки!$I125/(J$8-J$7)))</f>
        <v>0</v>
      </c>
      <c s="125">
        <f>IF(Предпосылки!$I125&gt;0,J163,K117*(Предпосылки!$I125/(K$8-K$7)))</f>
        <v>0</v>
      </c>
      <c s="125">
        <f>IF(Предпосылки!$I125&gt;0,K163,L117*(Предпосылки!$I125/(L$8-L$7)))</f>
        <v>0</v>
      </c>
      <c s="125">
        <f>IF(Предпосылки!$I125&gt;0,L163,M117*(Предпосылки!$I125/(M$8-M$7)))</f>
        <v>0</v>
      </c>
      <c s="125">
        <f>IF(Предпосылки!$I125&gt;0,M163,N117*(Предпосылки!$I125/(N$8-N$7)))</f>
        <v>0</v>
      </c>
      <c s="125">
        <f>IF(Предпосылки!$I125&gt;0,N163,O117*(Предпосылки!$I125/(O$8-O$7)))</f>
        <v>0</v>
      </c>
      <c s="125">
        <f>IF(Предпосылки!$I125&gt;0,O163,P117*(Предпосылки!$I125/(P$8-P$7)))</f>
        <v>0</v>
      </c>
      <c s="125">
        <f>IF(Предпосылки!$I125&gt;0,P163,Q117*(Предпосылки!$I125/(Q$8-Q$7)))</f>
        <v>0</v>
      </c>
      <c s="125">
        <f>IF(Предпосылки!$I125&gt;0,Q163,R117*(Предпосылки!$I125/(R$8-R$7)))</f>
        <v>0</v>
      </c>
      <c s="125">
        <f>IF(Предпосылки!$I125&gt;0,R163,S117*(Предпосылки!$I125/(S$8-S$7)))</f>
        <v>0</v>
      </c>
      <c s="125">
        <f>IF(Предпосылки!$I125&gt;0,S163,T117*(Предпосылки!$I125/(T$8-T$7)))</f>
        <v>0</v>
      </c>
      <c s="125">
        <f>IF(Предпосылки!$I125&gt;0,T163,U117*(Предпосылки!$I125/(U$8-U$7)))</f>
        <v>0</v>
      </c>
      <c s="125">
        <f>IF(Предпосылки!$I125&gt;0,U163,V117*(Предпосылки!$I125/(V$8-V$7)))</f>
        <v>0</v>
      </c>
      <c s="125">
        <f>IF(Предпосылки!$I125&gt;0,V163,W117*(Предпосылки!$I125/(W$8-W$7)))</f>
        <v>0</v>
      </c>
      <c s="125">
        <f>IF(Предпосылки!$I125&gt;0,W163,X117*(Предпосылки!$I125/(X$8-X$7)))</f>
        <v>0</v>
      </c>
      <c s="125">
        <f>IF(Предпосылки!$I125&gt;0,X163,Y117*(Предпосылки!$I125/(Y$8-Y$7)))</f>
        <v>0</v>
      </c>
      <c s="125">
        <f>IF(Предпосылки!$I125&gt;0,Y163,Z117*(Предпосылки!$I125/(Z$8-Z$7)))</f>
        <v>0</v>
      </c>
      <c s="125">
        <f>IF(Предпосылки!$I125&gt;0,Z163,AA117*(Предпосылки!$I125/(AA$8-AA$7)))</f>
        <v>0</v>
      </c>
      <c s="125">
        <f>IF(Предпосылки!$I125&gt;0,AA163,AB117*(Предпосылки!$I125/(AB$8-AB$7)))</f>
        <v>0</v>
      </c>
      <c s="125">
        <f>IF(Предпосылки!$I125&gt;0,AB163,AC117*(Предпосылки!$I125/(AC$8-AC$7)))</f>
        <v>0</v>
      </c>
      <c s="125">
        <f>IF(Предпосылки!$I125&gt;0,AC163,AD117*(Предпосылки!$I125/(AD$8-AD$7)))</f>
        <v>0</v>
      </c>
      <c s="125">
        <f>IF(Предпосылки!$I125&gt;0,AD163,AE117*(Предпосылки!$I125/(AE$8-AE$7)))</f>
        <v>0</v>
      </c>
      <c s="125">
        <f>IF(Предпосылки!$I125&gt;0,AE163,AF117*(Предпосылки!$I125/(AF$8-AF$7)))</f>
        <v>0</v>
      </c>
      <c s="125">
        <f>IF(Предпосылки!$I125&gt;0,AF163,AG117*(Предпосылки!$I125/(AG$8-AG$7)))</f>
        <v>0</v>
      </c>
      <c s="125">
        <f>IF(Предпосылки!$I125&gt;0,AG163,AH117*(Предпосылки!$I125/(AH$8-AH$7)))</f>
        <v>0</v>
      </c>
      <c s="125">
        <f>IF(Предпосылки!$I125&gt;0,AH163,AI117*(Предпосылки!$I125/(AI$8-AI$7)))</f>
        <v>0</v>
      </c>
      <c s="125">
        <f>IF(Предпосылки!$I125&gt;0,AI163,AJ117*(Предпосылки!$I125/(AJ$8-AJ$7)))</f>
        <v>0</v>
      </c>
      <c s="125">
        <f>IF(Предпосылки!$I125&gt;0,AJ163,AK117*(Предпосылки!$I125/(AK$8-AK$7)))</f>
        <v>0</v>
      </c>
      <c s="125">
        <f>IF(Предпосылки!$I125&gt;0,AK163,AL117*(Предпосылки!$I125/(AL$8-AL$7)))</f>
        <v>0</v>
      </c>
      <c s="125">
        <f>IF(Предпосылки!$I125&gt;0,AL163,AM117*(Предпосылки!$I125/(AM$8-AM$7)))</f>
        <v>0</v>
      </c>
      <c s="125">
        <f>IF(Предпосылки!$I125&gt;0,AM163,AN117*(Предпосылки!$I125/(AN$8-AN$7)))</f>
        <v>0</v>
      </c>
      <c s="125">
        <f>IF(Предпосылки!$I125&gt;0,AN163,AO117*(Предпосылки!$I125/(AO$8-AO$7)))</f>
        <v>0</v>
      </c>
      <c s="125">
        <f>IF(Предпосылки!$I125&gt;0,AO163,AP117*(Предпосылки!$I125/(AP$8-AP$7)))</f>
        <v>0</v>
      </c>
      <c s="125">
        <f>IF(Предпосылки!$I125&gt;0,AP163,AQ117*(Предпосылки!$I125/(AQ$8-AQ$7)))</f>
        <v>0</v>
      </c>
      <c s="125">
        <f>IF(Предпосылки!$I125&gt;0,AQ163,AR117*(Предпосылки!$I125/(AR$8-AR$7)))</f>
        <v>0</v>
      </c>
      <c s="125">
        <f>IF(Предпосылки!$I125&gt;0,AR163,AS117*(Предпосылки!$I125/(AS$8-AS$7)))</f>
        <v>0</v>
      </c>
      <c s="125">
        <f>IF(Предпосылки!$I125&gt;0,AS163,AT117*(Предпосылки!$I125/(AT$8-AT$7)))</f>
        <v>0</v>
      </c>
      <c s="125">
        <f>IF(Предпосылки!$I125&gt;0,AT163,AU117*(Предпосылки!$I125/(AU$8-AU$7)))</f>
        <v>0</v>
      </c>
      <c s="125">
        <f>IF(Предпосылки!$I125&gt;0,AU163,AV117*(Предпосылки!$I125/(AV$8-AV$7)))</f>
        <v>0</v>
      </c>
      <c s="125">
        <f>IF(Предпосылки!$I125&gt;0,AV163,AW117*(Предпосылки!$I125/(AW$8-AW$7)))</f>
        <v>0</v>
      </c>
      <c s="125">
        <f>IF(Предпосылки!$I125&gt;0,AW163,AX117*(Предпосылки!$I125/(AX$8-AX$7)))</f>
        <v>0</v>
      </c>
      <c s="125">
        <f>IF(Предпосылки!$I125&gt;0,AX163,AY117*(Предпосылки!$I125/(AY$8-AY$7)))</f>
        <v>0</v>
      </c>
      <c s="125">
        <f>IF(Предпосылки!$I125&gt;0,AY163,AZ117*(Предпосылки!$I125/(AZ$8-AZ$7)))</f>
        <v>0</v>
      </c>
      <c s="125">
        <f>IF(Предпосылки!$I125&gt;0,AZ163,BA117*(Предпосылки!$I125/(BA$8-BA$7)))</f>
        <v>0</v>
      </c>
      <c s="125">
        <f>IF(Предпосылки!$I125&gt;0,BA163,BB117*(Предпосылки!$I125/(BB$8-BB$7)))</f>
        <v>0</v>
      </c>
      <c s="125">
        <f>IF(Предпосылки!$I125&gt;0,BB163,BC117*(Предпосылки!$I125/(BC$8-BC$7)))</f>
        <v>0</v>
      </c>
      <c s="125">
        <f>IF(Предпосылки!$I125&gt;0,BC163,BD117*(Предпосылки!$I125/(BD$8-BD$7)))</f>
        <v>0</v>
      </c>
      <c s="125">
        <f>IF(Предпосылки!$I125&gt;0,BD163,BE117*(Предпосылки!$I125/(BE$8-BE$7)))</f>
        <v>0</v>
      </c>
      <c s="125">
        <f>IF(Предпосылки!$I125&gt;0,BE163,BF117*(Предпосылки!$I125/(BF$8-BF$7)))</f>
        <v>0</v>
      </c>
      <c s="125">
        <f>IF(Предпосылки!$I125&gt;0,BF163,BG117*(Предпосылки!$I125/(BG$8-BG$7)))</f>
        <v>0</v>
      </c>
      <c s="125">
        <f>IF(Предпосылки!$I125&gt;0,BG163,BH117*(Предпосылки!$I125/(BH$8-BH$7)))</f>
        <v>0</v>
      </c>
      <c s="125">
        <f>IF(Предпосылки!$I125&gt;0,BH163,BI117*(Предпосылки!$I125/(BI$8-BI$7)))</f>
        <v>0</v>
      </c>
      <c s="125">
        <f>IF(Предпосылки!$I125&gt;0,BI163,BJ117*(Предпосылки!$I125/(BJ$8-BJ$7)))</f>
        <v>0</v>
      </c>
      <c s="125">
        <f>IF(Предпосылки!$I125&gt;0,BJ163,BK117*(Предпосылки!$I125/(BK$8-BK$7)))</f>
        <v>0</v>
      </c>
      <c s="125">
        <f>IF(Предпосылки!$I125&gt;0,BK163,BL117*(Предпосылки!$I125/(BL$8-BL$7)))</f>
        <v>0</v>
      </c>
      <c s="125">
        <f>IF(Предпосылки!$I125&gt;0,BL163,BM117*(Предпосылки!$I125/(BM$8-BM$7)))</f>
        <v>0</v>
      </c>
    </row>
    <row r="95" spans="2:65" ht="15" customHeight="1">
      <c r="B95" s="12" t="str">
        <f>Предпосылки!B154</f>
        <v>Продукт 5</v>
      </c>
      <c s="124" t="str">
        <f t="shared" si="140"/>
        <v>тыс. руб.</v>
      </c>
      <c s="125"/>
      <c s="125">
        <f>IF(Предпосылки!$I126&gt;0,D164,E118*(Предпосылки!$I126/(E$8-E$7)))</f>
        <v>0</v>
      </c>
      <c s="125">
        <f>IF(Предпосылки!$I126&gt;0,E164,F118*(Предпосылки!$I126/(F$8-F$7)))</f>
        <v>0</v>
      </c>
      <c s="125">
        <f>IF(Предпосылки!$I126&gt;0,F164,G118*(Предпосылки!$I126/(G$8-G$7)))</f>
        <v>0</v>
      </c>
      <c s="125">
        <f>IF(Предпосылки!$I126&gt;0,G164,H118*(Предпосылки!$I126/(H$8-H$7)))</f>
        <v>0</v>
      </c>
      <c s="125">
        <f>IF(Предпосылки!$I126&gt;0,H164,I118*(Предпосылки!$I126/(I$8-I$7)))</f>
        <v>0</v>
      </c>
      <c s="125">
        <f>IF(Предпосылки!$I126&gt;0,I164,J118*(Предпосылки!$I126/(J$8-J$7)))</f>
        <v>0</v>
      </c>
      <c s="125">
        <f>IF(Предпосылки!$I126&gt;0,J164,K118*(Предпосылки!$I126/(K$8-K$7)))</f>
        <v>0</v>
      </c>
      <c s="125">
        <f>IF(Предпосылки!$I126&gt;0,K164,L118*(Предпосылки!$I126/(L$8-L$7)))</f>
        <v>0</v>
      </c>
      <c s="125">
        <f>IF(Предпосылки!$I126&gt;0,L164,M118*(Предпосылки!$I126/(M$8-M$7)))</f>
        <v>0</v>
      </c>
      <c s="125">
        <f>IF(Предпосылки!$I126&gt;0,M164,N118*(Предпосылки!$I126/(N$8-N$7)))</f>
        <v>0</v>
      </c>
      <c s="125">
        <f>IF(Предпосылки!$I126&gt;0,N164,O118*(Предпосылки!$I126/(O$8-O$7)))</f>
        <v>0</v>
      </c>
      <c s="125">
        <f>IF(Предпосылки!$I126&gt;0,O164,P118*(Предпосылки!$I126/(P$8-P$7)))</f>
        <v>0</v>
      </c>
      <c s="125">
        <f>IF(Предпосылки!$I126&gt;0,P164,Q118*(Предпосылки!$I126/(Q$8-Q$7)))</f>
        <v>0</v>
      </c>
      <c s="125">
        <f>IF(Предпосылки!$I126&gt;0,Q164,R118*(Предпосылки!$I126/(R$8-R$7)))</f>
        <v>0</v>
      </c>
      <c s="125">
        <f>IF(Предпосылки!$I126&gt;0,R164,S118*(Предпосылки!$I126/(S$8-S$7)))</f>
        <v>0</v>
      </c>
      <c s="125">
        <f>IF(Предпосылки!$I126&gt;0,S164,T118*(Предпосылки!$I126/(T$8-T$7)))</f>
        <v>0</v>
      </c>
      <c s="125">
        <f>IF(Предпосылки!$I126&gt;0,T164,U118*(Предпосылки!$I126/(U$8-U$7)))</f>
        <v>0</v>
      </c>
      <c s="125">
        <f>IF(Предпосылки!$I126&gt;0,U164,V118*(Предпосылки!$I126/(V$8-V$7)))</f>
        <v>0</v>
      </c>
      <c s="125">
        <f>IF(Предпосылки!$I126&gt;0,V164,W118*(Предпосылки!$I126/(W$8-W$7)))</f>
        <v>0</v>
      </c>
      <c s="125">
        <f>IF(Предпосылки!$I126&gt;0,W164,X118*(Предпосылки!$I126/(X$8-X$7)))</f>
        <v>0</v>
      </c>
      <c s="125">
        <f>IF(Предпосылки!$I126&gt;0,X164,Y118*(Предпосылки!$I126/(Y$8-Y$7)))</f>
        <v>0</v>
      </c>
      <c s="125">
        <f>IF(Предпосылки!$I126&gt;0,Y164,Z118*(Предпосылки!$I126/(Z$8-Z$7)))</f>
        <v>0</v>
      </c>
      <c s="125">
        <f>IF(Предпосылки!$I126&gt;0,Z164,AA118*(Предпосылки!$I126/(AA$8-AA$7)))</f>
        <v>0</v>
      </c>
      <c s="125">
        <f>IF(Предпосылки!$I126&gt;0,AA164,AB118*(Предпосылки!$I126/(AB$8-AB$7)))</f>
        <v>0</v>
      </c>
      <c s="125">
        <f>IF(Предпосылки!$I126&gt;0,AB164,AC118*(Предпосылки!$I126/(AC$8-AC$7)))</f>
        <v>0</v>
      </c>
      <c s="125">
        <f>IF(Предпосылки!$I126&gt;0,AC164,AD118*(Предпосылки!$I126/(AD$8-AD$7)))</f>
        <v>0</v>
      </c>
      <c s="125">
        <f>IF(Предпосылки!$I126&gt;0,AD164,AE118*(Предпосылки!$I126/(AE$8-AE$7)))</f>
        <v>0</v>
      </c>
      <c s="125">
        <f>IF(Предпосылки!$I126&gt;0,AE164,AF118*(Предпосылки!$I126/(AF$8-AF$7)))</f>
        <v>0</v>
      </c>
      <c s="125">
        <f>IF(Предпосылки!$I126&gt;0,AF164,AG118*(Предпосылки!$I126/(AG$8-AG$7)))</f>
        <v>0</v>
      </c>
      <c s="125">
        <f>IF(Предпосылки!$I126&gt;0,AG164,AH118*(Предпосылки!$I126/(AH$8-AH$7)))</f>
        <v>0</v>
      </c>
      <c s="125">
        <f>IF(Предпосылки!$I126&gt;0,AH164,AI118*(Предпосылки!$I126/(AI$8-AI$7)))</f>
        <v>0</v>
      </c>
      <c s="125">
        <f>IF(Предпосылки!$I126&gt;0,AI164,AJ118*(Предпосылки!$I126/(AJ$8-AJ$7)))</f>
        <v>0</v>
      </c>
      <c s="125">
        <f>IF(Предпосылки!$I126&gt;0,AJ164,AK118*(Предпосылки!$I126/(AK$8-AK$7)))</f>
        <v>0</v>
      </c>
      <c s="125">
        <f>IF(Предпосылки!$I126&gt;0,AK164,AL118*(Предпосылки!$I126/(AL$8-AL$7)))</f>
        <v>0</v>
      </c>
      <c s="125">
        <f>IF(Предпосылки!$I126&gt;0,AL164,AM118*(Предпосылки!$I126/(AM$8-AM$7)))</f>
        <v>0</v>
      </c>
      <c s="125">
        <f>IF(Предпосылки!$I126&gt;0,AM164,AN118*(Предпосылки!$I126/(AN$8-AN$7)))</f>
        <v>0</v>
      </c>
      <c s="125">
        <f>IF(Предпосылки!$I126&gt;0,AN164,AO118*(Предпосылки!$I126/(AO$8-AO$7)))</f>
        <v>0</v>
      </c>
      <c s="125">
        <f>IF(Предпосылки!$I126&gt;0,AO164,AP118*(Предпосылки!$I126/(AP$8-AP$7)))</f>
        <v>0</v>
      </c>
      <c s="125">
        <f>IF(Предпосылки!$I126&gt;0,AP164,AQ118*(Предпосылки!$I126/(AQ$8-AQ$7)))</f>
        <v>0</v>
      </c>
      <c s="125">
        <f>IF(Предпосылки!$I126&gt;0,AQ164,AR118*(Предпосылки!$I126/(AR$8-AR$7)))</f>
        <v>0</v>
      </c>
      <c s="125">
        <f>IF(Предпосылки!$I126&gt;0,AR164,AS118*(Предпосылки!$I126/(AS$8-AS$7)))</f>
        <v>0</v>
      </c>
      <c s="125">
        <f>IF(Предпосылки!$I126&gt;0,AS164,AT118*(Предпосылки!$I126/(AT$8-AT$7)))</f>
        <v>0</v>
      </c>
      <c s="125">
        <f>IF(Предпосылки!$I126&gt;0,AT164,AU118*(Предпосылки!$I126/(AU$8-AU$7)))</f>
        <v>0</v>
      </c>
      <c s="125">
        <f>IF(Предпосылки!$I126&gt;0,AU164,AV118*(Предпосылки!$I126/(AV$8-AV$7)))</f>
        <v>0</v>
      </c>
      <c s="125">
        <f>IF(Предпосылки!$I126&gt;0,AV164,AW118*(Предпосылки!$I126/(AW$8-AW$7)))</f>
        <v>0</v>
      </c>
      <c s="125">
        <f>IF(Предпосылки!$I126&gt;0,AW164,AX118*(Предпосылки!$I126/(AX$8-AX$7)))</f>
        <v>0</v>
      </c>
      <c s="125">
        <f>IF(Предпосылки!$I126&gt;0,AX164,AY118*(Предпосылки!$I126/(AY$8-AY$7)))</f>
        <v>0</v>
      </c>
      <c s="125">
        <f>IF(Предпосылки!$I126&gt;0,AY164,AZ118*(Предпосылки!$I126/(AZ$8-AZ$7)))</f>
        <v>0</v>
      </c>
      <c s="125">
        <f>IF(Предпосылки!$I126&gt;0,AZ164,BA118*(Предпосылки!$I126/(BA$8-BA$7)))</f>
        <v>0</v>
      </c>
      <c s="125">
        <f>IF(Предпосылки!$I126&gt;0,BA164,BB118*(Предпосылки!$I126/(BB$8-BB$7)))</f>
        <v>0</v>
      </c>
      <c s="125">
        <f>IF(Предпосылки!$I126&gt;0,BB164,BC118*(Предпосылки!$I126/(BC$8-BC$7)))</f>
        <v>0</v>
      </c>
      <c s="125">
        <f>IF(Предпосылки!$I126&gt;0,BC164,BD118*(Предпосылки!$I126/(BD$8-BD$7)))</f>
        <v>0</v>
      </c>
      <c s="125">
        <f>IF(Предпосылки!$I126&gt;0,BD164,BE118*(Предпосылки!$I126/(BE$8-BE$7)))</f>
        <v>0</v>
      </c>
      <c s="125">
        <f>IF(Предпосылки!$I126&gt;0,BE164,BF118*(Предпосылки!$I126/(BF$8-BF$7)))</f>
        <v>0</v>
      </c>
      <c s="125">
        <f>IF(Предпосылки!$I126&gt;0,BF164,BG118*(Предпосылки!$I126/(BG$8-BG$7)))</f>
        <v>0</v>
      </c>
      <c s="125">
        <f>IF(Предпосылки!$I126&gt;0,BG164,BH118*(Предпосылки!$I126/(BH$8-BH$7)))</f>
        <v>0</v>
      </c>
      <c s="125">
        <f>IF(Предпосылки!$I126&gt;0,BH164,BI118*(Предпосылки!$I126/(BI$8-BI$7)))</f>
        <v>0</v>
      </c>
      <c s="125">
        <f>IF(Предпосылки!$I126&gt;0,BI164,BJ118*(Предпосылки!$I126/(BJ$8-BJ$7)))</f>
        <v>0</v>
      </c>
      <c s="125">
        <f>IF(Предпосылки!$I126&gt;0,BJ164,BK118*(Предпосылки!$I126/(BK$8-BK$7)))</f>
        <v>0</v>
      </c>
      <c s="125">
        <f>IF(Предпосылки!$I126&gt;0,BK164,BL118*(Предпосылки!$I126/(BL$8-BL$7)))</f>
        <v>0</v>
      </c>
      <c s="125">
        <f>IF(Предпосылки!$I126&gt;0,BL164,BM118*(Предпосылки!$I126/(BM$8-BM$7)))</f>
        <v>0</v>
      </c>
    </row>
    <row r="96" spans="2:65" ht="15" customHeight="1">
      <c r="B96" s="12" t="str">
        <f>Предпосылки!B155</f>
        <v>Продукт 6</v>
      </c>
      <c s="124" t="str">
        <f t="shared" si="140"/>
        <v>тыс. руб.</v>
      </c>
      <c s="125"/>
      <c s="125">
        <f>IF(Предпосылки!$I127&gt;0,D165,E119*(Предпосылки!$I127/(E$8-E$7)))</f>
        <v>0</v>
      </c>
      <c s="125">
        <f>IF(Предпосылки!$I127&gt;0,E165,F119*(Предпосылки!$I127/(F$8-F$7)))</f>
        <v>0</v>
      </c>
      <c s="125">
        <f>IF(Предпосылки!$I127&gt;0,F165,G119*(Предпосылки!$I127/(G$8-G$7)))</f>
        <v>0</v>
      </c>
      <c s="125">
        <f>IF(Предпосылки!$I127&gt;0,G165,H119*(Предпосылки!$I127/(H$8-H$7)))</f>
        <v>0</v>
      </c>
      <c s="125">
        <f>IF(Предпосылки!$I127&gt;0,H165,I119*(Предпосылки!$I127/(I$8-I$7)))</f>
        <v>0</v>
      </c>
      <c s="125">
        <f>IF(Предпосылки!$I127&gt;0,I165,J119*(Предпосылки!$I127/(J$8-J$7)))</f>
        <v>0</v>
      </c>
      <c s="125">
        <f>IF(Предпосылки!$I127&gt;0,J165,K119*(Предпосылки!$I127/(K$8-K$7)))</f>
        <v>0</v>
      </c>
      <c s="125">
        <f>IF(Предпосылки!$I127&gt;0,K165,L119*(Предпосылки!$I127/(L$8-L$7)))</f>
        <v>0</v>
      </c>
      <c s="125">
        <f>IF(Предпосылки!$I127&gt;0,L165,M119*(Предпосылки!$I127/(M$8-M$7)))</f>
        <v>0</v>
      </c>
      <c s="125">
        <f>IF(Предпосылки!$I127&gt;0,M165,N119*(Предпосылки!$I127/(N$8-N$7)))</f>
        <v>0</v>
      </c>
      <c s="125">
        <f>IF(Предпосылки!$I127&gt;0,N165,O119*(Предпосылки!$I127/(O$8-O$7)))</f>
        <v>0</v>
      </c>
      <c s="125">
        <f>IF(Предпосылки!$I127&gt;0,O165,P119*(Предпосылки!$I127/(P$8-P$7)))</f>
        <v>0</v>
      </c>
      <c s="125">
        <f>IF(Предпосылки!$I127&gt;0,P165,Q119*(Предпосылки!$I127/(Q$8-Q$7)))</f>
        <v>0</v>
      </c>
      <c s="125">
        <f>IF(Предпосылки!$I127&gt;0,Q165,R119*(Предпосылки!$I127/(R$8-R$7)))</f>
        <v>0</v>
      </c>
      <c s="125">
        <f>IF(Предпосылки!$I127&gt;0,R165,S119*(Предпосылки!$I127/(S$8-S$7)))</f>
        <v>0</v>
      </c>
      <c s="125">
        <f>IF(Предпосылки!$I127&gt;0,S165,T119*(Предпосылки!$I127/(T$8-T$7)))</f>
        <v>0</v>
      </c>
      <c s="125">
        <f>IF(Предпосылки!$I127&gt;0,T165,U119*(Предпосылки!$I127/(U$8-U$7)))</f>
        <v>0</v>
      </c>
      <c s="125">
        <f>IF(Предпосылки!$I127&gt;0,U165,V119*(Предпосылки!$I127/(V$8-V$7)))</f>
        <v>0</v>
      </c>
      <c s="125">
        <f>IF(Предпосылки!$I127&gt;0,V165,W119*(Предпосылки!$I127/(W$8-W$7)))</f>
        <v>0</v>
      </c>
      <c s="125">
        <f>IF(Предпосылки!$I127&gt;0,W165,X119*(Предпосылки!$I127/(X$8-X$7)))</f>
        <v>0</v>
      </c>
      <c s="125">
        <f>IF(Предпосылки!$I127&gt;0,X165,Y119*(Предпосылки!$I127/(Y$8-Y$7)))</f>
        <v>0</v>
      </c>
      <c s="125">
        <f>IF(Предпосылки!$I127&gt;0,Y165,Z119*(Предпосылки!$I127/(Z$8-Z$7)))</f>
        <v>0</v>
      </c>
      <c s="125">
        <f>IF(Предпосылки!$I127&gt;0,Z165,AA119*(Предпосылки!$I127/(AA$8-AA$7)))</f>
        <v>0</v>
      </c>
      <c s="125">
        <f>IF(Предпосылки!$I127&gt;0,AA165,AB119*(Предпосылки!$I127/(AB$8-AB$7)))</f>
        <v>0</v>
      </c>
      <c s="125">
        <f>IF(Предпосылки!$I127&gt;0,AB165,AC119*(Предпосылки!$I127/(AC$8-AC$7)))</f>
        <v>0</v>
      </c>
      <c s="125">
        <f>IF(Предпосылки!$I127&gt;0,AC165,AD119*(Предпосылки!$I127/(AD$8-AD$7)))</f>
        <v>0</v>
      </c>
      <c s="125">
        <f>IF(Предпосылки!$I127&gt;0,AD165,AE119*(Предпосылки!$I127/(AE$8-AE$7)))</f>
        <v>0</v>
      </c>
      <c s="125">
        <f>IF(Предпосылки!$I127&gt;0,AE165,AF119*(Предпосылки!$I127/(AF$8-AF$7)))</f>
        <v>0</v>
      </c>
      <c s="125">
        <f>IF(Предпосылки!$I127&gt;0,AF165,AG119*(Предпосылки!$I127/(AG$8-AG$7)))</f>
        <v>0</v>
      </c>
      <c s="125">
        <f>IF(Предпосылки!$I127&gt;0,AG165,AH119*(Предпосылки!$I127/(AH$8-AH$7)))</f>
        <v>0</v>
      </c>
      <c s="125">
        <f>IF(Предпосылки!$I127&gt;0,AH165,AI119*(Предпосылки!$I127/(AI$8-AI$7)))</f>
        <v>0</v>
      </c>
      <c s="125">
        <f>IF(Предпосылки!$I127&gt;0,AI165,AJ119*(Предпосылки!$I127/(AJ$8-AJ$7)))</f>
        <v>0</v>
      </c>
      <c s="125">
        <f>IF(Предпосылки!$I127&gt;0,AJ165,AK119*(Предпосылки!$I127/(AK$8-AK$7)))</f>
        <v>0</v>
      </c>
      <c s="125">
        <f>IF(Предпосылки!$I127&gt;0,AK165,AL119*(Предпосылки!$I127/(AL$8-AL$7)))</f>
        <v>0</v>
      </c>
      <c s="125">
        <f>IF(Предпосылки!$I127&gt;0,AL165,AM119*(Предпосылки!$I127/(AM$8-AM$7)))</f>
        <v>0</v>
      </c>
      <c s="125">
        <f>IF(Предпосылки!$I127&gt;0,AM165,AN119*(Предпосылки!$I127/(AN$8-AN$7)))</f>
        <v>0</v>
      </c>
      <c s="125">
        <f>IF(Предпосылки!$I127&gt;0,AN165,AO119*(Предпосылки!$I127/(AO$8-AO$7)))</f>
        <v>0</v>
      </c>
      <c s="125">
        <f>IF(Предпосылки!$I127&gt;0,AO165,AP119*(Предпосылки!$I127/(AP$8-AP$7)))</f>
        <v>0</v>
      </c>
      <c s="125">
        <f>IF(Предпосылки!$I127&gt;0,AP165,AQ119*(Предпосылки!$I127/(AQ$8-AQ$7)))</f>
        <v>0</v>
      </c>
      <c s="125">
        <f>IF(Предпосылки!$I127&gt;0,AQ165,AR119*(Предпосылки!$I127/(AR$8-AR$7)))</f>
        <v>0</v>
      </c>
      <c s="125">
        <f>IF(Предпосылки!$I127&gt;0,AR165,AS119*(Предпосылки!$I127/(AS$8-AS$7)))</f>
        <v>0</v>
      </c>
      <c s="125">
        <f>IF(Предпосылки!$I127&gt;0,AS165,AT119*(Предпосылки!$I127/(AT$8-AT$7)))</f>
        <v>0</v>
      </c>
      <c s="125">
        <f>IF(Предпосылки!$I127&gt;0,AT165,AU119*(Предпосылки!$I127/(AU$8-AU$7)))</f>
        <v>0</v>
      </c>
      <c s="125">
        <f>IF(Предпосылки!$I127&gt;0,AU165,AV119*(Предпосылки!$I127/(AV$8-AV$7)))</f>
        <v>0</v>
      </c>
      <c s="125">
        <f>IF(Предпосылки!$I127&gt;0,AV165,AW119*(Предпосылки!$I127/(AW$8-AW$7)))</f>
        <v>0</v>
      </c>
      <c s="125">
        <f>IF(Предпосылки!$I127&gt;0,AW165,AX119*(Предпосылки!$I127/(AX$8-AX$7)))</f>
        <v>0</v>
      </c>
      <c s="125">
        <f>IF(Предпосылки!$I127&gt;0,AX165,AY119*(Предпосылки!$I127/(AY$8-AY$7)))</f>
        <v>0</v>
      </c>
      <c s="125">
        <f>IF(Предпосылки!$I127&gt;0,AY165,AZ119*(Предпосылки!$I127/(AZ$8-AZ$7)))</f>
        <v>0</v>
      </c>
      <c s="125">
        <f>IF(Предпосылки!$I127&gt;0,AZ165,BA119*(Предпосылки!$I127/(BA$8-BA$7)))</f>
        <v>0</v>
      </c>
      <c s="125">
        <f>IF(Предпосылки!$I127&gt;0,BA165,BB119*(Предпосылки!$I127/(BB$8-BB$7)))</f>
        <v>0</v>
      </c>
      <c s="125">
        <f>IF(Предпосылки!$I127&gt;0,BB165,BC119*(Предпосылки!$I127/(BC$8-BC$7)))</f>
        <v>0</v>
      </c>
      <c s="125">
        <f>IF(Предпосылки!$I127&gt;0,BC165,BD119*(Предпосылки!$I127/(BD$8-BD$7)))</f>
        <v>0</v>
      </c>
      <c s="125">
        <f>IF(Предпосылки!$I127&gt;0,BD165,BE119*(Предпосылки!$I127/(BE$8-BE$7)))</f>
        <v>0</v>
      </c>
      <c s="125">
        <f>IF(Предпосылки!$I127&gt;0,BE165,BF119*(Предпосылки!$I127/(BF$8-BF$7)))</f>
        <v>0</v>
      </c>
      <c s="125">
        <f>IF(Предпосылки!$I127&gt;0,BF165,BG119*(Предпосылки!$I127/(BG$8-BG$7)))</f>
        <v>0</v>
      </c>
      <c s="125">
        <f>IF(Предпосылки!$I127&gt;0,BG165,BH119*(Предпосылки!$I127/(BH$8-BH$7)))</f>
        <v>0</v>
      </c>
      <c s="125">
        <f>IF(Предпосылки!$I127&gt;0,BH165,BI119*(Предпосылки!$I127/(BI$8-BI$7)))</f>
        <v>0</v>
      </c>
      <c s="125">
        <f>IF(Предпосылки!$I127&gt;0,BI165,BJ119*(Предпосылки!$I127/(BJ$8-BJ$7)))</f>
        <v>0</v>
      </c>
      <c s="125">
        <f>IF(Предпосылки!$I127&gt;0,BJ165,BK119*(Предпосылки!$I127/(BK$8-BK$7)))</f>
        <v>0</v>
      </c>
      <c s="125">
        <f>IF(Предпосылки!$I127&gt;0,BK165,BL119*(Предпосылки!$I127/(BL$8-BL$7)))</f>
        <v>0</v>
      </c>
      <c s="125">
        <f>IF(Предпосылки!$I127&gt;0,BL165,BM119*(Предпосылки!$I127/(BM$8-BM$7)))</f>
        <v>0</v>
      </c>
    </row>
    <row r="97" spans="2:65" ht="15" customHeight="1">
      <c r="B97" s="12" t="str">
        <f>Предпосылки!B156</f>
        <v>Продукт 7</v>
      </c>
      <c s="124" t="str">
        <f t="shared" si="140"/>
        <v>тыс. руб.</v>
      </c>
      <c s="125"/>
      <c s="125">
        <f>IF(Предпосылки!$I128&gt;0,D166,E120*(Предпосылки!$I128/(E$8-E$7)))</f>
        <v>0</v>
      </c>
      <c s="125">
        <f>IF(Предпосылки!$I128&gt;0,E166,F120*(Предпосылки!$I128/(F$8-F$7)))</f>
        <v>0</v>
      </c>
      <c s="125">
        <f>IF(Предпосылки!$I128&gt;0,F166,G120*(Предпосылки!$I128/(G$8-G$7)))</f>
        <v>0</v>
      </c>
      <c s="125">
        <f>IF(Предпосылки!$I128&gt;0,G166,H120*(Предпосылки!$I128/(H$8-H$7)))</f>
        <v>0</v>
      </c>
      <c s="125">
        <f>IF(Предпосылки!$I128&gt;0,H166,I120*(Предпосылки!$I128/(I$8-I$7)))</f>
        <v>0</v>
      </c>
      <c s="125">
        <f>IF(Предпосылки!$I128&gt;0,I166,J120*(Предпосылки!$I128/(J$8-J$7)))</f>
        <v>0</v>
      </c>
      <c s="125">
        <f>IF(Предпосылки!$I128&gt;0,J166,K120*(Предпосылки!$I128/(K$8-K$7)))</f>
        <v>0</v>
      </c>
      <c s="125">
        <f>IF(Предпосылки!$I128&gt;0,K166,L120*(Предпосылки!$I128/(L$8-L$7)))</f>
        <v>0</v>
      </c>
      <c s="125">
        <f>IF(Предпосылки!$I128&gt;0,L166,M120*(Предпосылки!$I128/(M$8-M$7)))</f>
        <v>0</v>
      </c>
      <c s="125">
        <f>IF(Предпосылки!$I128&gt;0,M166,N120*(Предпосылки!$I128/(N$8-N$7)))</f>
        <v>0</v>
      </c>
      <c s="125">
        <f>IF(Предпосылки!$I128&gt;0,N166,O120*(Предпосылки!$I128/(O$8-O$7)))</f>
        <v>0</v>
      </c>
      <c s="125">
        <f>IF(Предпосылки!$I128&gt;0,O166,P120*(Предпосылки!$I128/(P$8-P$7)))</f>
        <v>0</v>
      </c>
      <c s="125">
        <f>IF(Предпосылки!$I128&gt;0,P166,Q120*(Предпосылки!$I128/(Q$8-Q$7)))</f>
        <v>0</v>
      </c>
      <c s="125">
        <f>IF(Предпосылки!$I128&gt;0,Q166,R120*(Предпосылки!$I128/(R$8-R$7)))</f>
        <v>0</v>
      </c>
      <c s="125">
        <f>IF(Предпосылки!$I128&gt;0,R166,S120*(Предпосылки!$I128/(S$8-S$7)))</f>
        <v>0</v>
      </c>
      <c s="125">
        <f>IF(Предпосылки!$I128&gt;0,S166,T120*(Предпосылки!$I128/(T$8-T$7)))</f>
        <v>0</v>
      </c>
      <c s="125">
        <f>IF(Предпосылки!$I128&gt;0,T166,U120*(Предпосылки!$I128/(U$8-U$7)))</f>
        <v>0</v>
      </c>
      <c s="125">
        <f>IF(Предпосылки!$I128&gt;0,U166,V120*(Предпосылки!$I128/(V$8-V$7)))</f>
        <v>0</v>
      </c>
      <c s="125">
        <f>IF(Предпосылки!$I128&gt;0,V166,W120*(Предпосылки!$I128/(W$8-W$7)))</f>
        <v>0</v>
      </c>
      <c s="125">
        <f>IF(Предпосылки!$I128&gt;0,W166,X120*(Предпосылки!$I128/(X$8-X$7)))</f>
        <v>0</v>
      </c>
      <c s="125">
        <f>IF(Предпосылки!$I128&gt;0,X166,Y120*(Предпосылки!$I128/(Y$8-Y$7)))</f>
        <v>0</v>
      </c>
      <c s="125">
        <f>IF(Предпосылки!$I128&gt;0,Y166,Z120*(Предпосылки!$I128/(Z$8-Z$7)))</f>
        <v>0</v>
      </c>
      <c s="125">
        <f>IF(Предпосылки!$I128&gt;0,Z166,AA120*(Предпосылки!$I128/(AA$8-AA$7)))</f>
        <v>0</v>
      </c>
      <c s="125">
        <f>IF(Предпосылки!$I128&gt;0,AA166,AB120*(Предпосылки!$I128/(AB$8-AB$7)))</f>
        <v>0</v>
      </c>
      <c s="125">
        <f>IF(Предпосылки!$I128&gt;0,AB166,AC120*(Предпосылки!$I128/(AC$8-AC$7)))</f>
        <v>0</v>
      </c>
      <c s="125">
        <f>IF(Предпосылки!$I128&gt;0,AC166,AD120*(Предпосылки!$I128/(AD$8-AD$7)))</f>
        <v>0</v>
      </c>
      <c s="125">
        <f>IF(Предпосылки!$I128&gt;0,AD166,AE120*(Предпосылки!$I128/(AE$8-AE$7)))</f>
        <v>0</v>
      </c>
      <c s="125">
        <f>IF(Предпосылки!$I128&gt;0,AE166,AF120*(Предпосылки!$I128/(AF$8-AF$7)))</f>
        <v>0</v>
      </c>
      <c s="125">
        <f>IF(Предпосылки!$I128&gt;0,AF166,AG120*(Предпосылки!$I128/(AG$8-AG$7)))</f>
        <v>0</v>
      </c>
      <c s="125">
        <f>IF(Предпосылки!$I128&gt;0,AG166,AH120*(Предпосылки!$I128/(AH$8-AH$7)))</f>
        <v>0</v>
      </c>
      <c s="125">
        <f>IF(Предпосылки!$I128&gt;0,AH166,AI120*(Предпосылки!$I128/(AI$8-AI$7)))</f>
        <v>0</v>
      </c>
      <c s="125">
        <f>IF(Предпосылки!$I128&gt;0,AI166,AJ120*(Предпосылки!$I128/(AJ$8-AJ$7)))</f>
        <v>0</v>
      </c>
      <c s="125">
        <f>IF(Предпосылки!$I128&gt;0,AJ166,AK120*(Предпосылки!$I128/(AK$8-AK$7)))</f>
        <v>0</v>
      </c>
      <c s="125">
        <f>IF(Предпосылки!$I128&gt;0,AK166,AL120*(Предпосылки!$I128/(AL$8-AL$7)))</f>
        <v>0</v>
      </c>
      <c s="125">
        <f>IF(Предпосылки!$I128&gt;0,AL166,AM120*(Предпосылки!$I128/(AM$8-AM$7)))</f>
        <v>0</v>
      </c>
      <c s="125">
        <f>IF(Предпосылки!$I128&gt;0,AM166,AN120*(Предпосылки!$I128/(AN$8-AN$7)))</f>
        <v>0</v>
      </c>
      <c s="125">
        <f>IF(Предпосылки!$I128&gt;0,AN166,AO120*(Предпосылки!$I128/(AO$8-AO$7)))</f>
        <v>0</v>
      </c>
      <c s="125">
        <f>IF(Предпосылки!$I128&gt;0,AO166,AP120*(Предпосылки!$I128/(AP$8-AP$7)))</f>
        <v>0</v>
      </c>
      <c s="125">
        <f>IF(Предпосылки!$I128&gt;0,AP166,AQ120*(Предпосылки!$I128/(AQ$8-AQ$7)))</f>
        <v>0</v>
      </c>
      <c s="125">
        <f>IF(Предпосылки!$I128&gt;0,AQ166,AR120*(Предпосылки!$I128/(AR$8-AR$7)))</f>
        <v>0</v>
      </c>
      <c s="125">
        <f>IF(Предпосылки!$I128&gt;0,AR166,AS120*(Предпосылки!$I128/(AS$8-AS$7)))</f>
        <v>0</v>
      </c>
      <c s="125">
        <f>IF(Предпосылки!$I128&gt;0,AS166,AT120*(Предпосылки!$I128/(AT$8-AT$7)))</f>
        <v>0</v>
      </c>
      <c s="125">
        <f>IF(Предпосылки!$I128&gt;0,AT166,AU120*(Предпосылки!$I128/(AU$8-AU$7)))</f>
        <v>0</v>
      </c>
      <c s="125">
        <f>IF(Предпосылки!$I128&gt;0,AU166,AV120*(Предпосылки!$I128/(AV$8-AV$7)))</f>
        <v>0</v>
      </c>
      <c s="125">
        <f>IF(Предпосылки!$I128&gt;0,AV166,AW120*(Предпосылки!$I128/(AW$8-AW$7)))</f>
        <v>0</v>
      </c>
      <c s="125">
        <f>IF(Предпосылки!$I128&gt;0,AW166,AX120*(Предпосылки!$I128/(AX$8-AX$7)))</f>
        <v>0</v>
      </c>
      <c s="125">
        <f>IF(Предпосылки!$I128&gt;0,AX166,AY120*(Предпосылки!$I128/(AY$8-AY$7)))</f>
        <v>0</v>
      </c>
      <c s="125">
        <f>IF(Предпосылки!$I128&gt;0,AY166,AZ120*(Предпосылки!$I128/(AZ$8-AZ$7)))</f>
        <v>0</v>
      </c>
      <c s="125">
        <f>IF(Предпосылки!$I128&gt;0,AZ166,BA120*(Предпосылки!$I128/(BA$8-BA$7)))</f>
        <v>0</v>
      </c>
      <c s="125">
        <f>IF(Предпосылки!$I128&gt;0,BA166,BB120*(Предпосылки!$I128/(BB$8-BB$7)))</f>
        <v>0</v>
      </c>
      <c s="125">
        <f>IF(Предпосылки!$I128&gt;0,BB166,BC120*(Предпосылки!$I128/(BC$8-BC$7)))</f>
        <v>0</v>
      </c>
      <c s="125">
        <f>IF(Предпосылки!$I128&gt;0,BC166,BD120*(Предпосылки!$I128/(BD$8-BD$7)))</f>
        <v>0</v>
      </c>
      <c s="125">
        <f>IF(Предпосылки!$I128&gt;0,BD166,BE120*(Предпосылки!$I128/(BE$8-BE$7)))</f>
        <v>0</v>
      </c>
      <c s="125">
        <f>IF(Предпосылки!$I128&gt;0,BE166,BF120*(Предпосылки!$I128/(BF$8-BF$7)))</f>
        <v>0</v>
      </c>
      <c s="125">
        <f>IF(Предпосылки!$I128&gt;0,BF166,BG120*(Предпосылки!$I128/(BG$8-BG$7)))</f>
        <v>0</v>
      </c>
      <c s="125">
        <f>IF(Предпосылки!$I128&gt;0,BG166,BH120*(Предпосылки!$I128/(BH$8-BH$7)))</f>
        <v>0</v>
      </c>
      <c s="125">
        <f>IF(Предпосылки!$I128&gt;0,BH166,BI120*(Предпосылки!$I128/(BI$8-BI$7)))</f>
        <v>0</v>
      </c>
      <c s="125">
        <f>IF(Предпосылки!$I128&gt;0,BI166,BJ120*(Предпосылки!$I128/(BJ$8-BJ$7)))</f>
        <v>0</v>
      </c>
      <c s="125">
        <f>IF(Предпосылки!$I128&gt;0,BJ166,BK120*(Предпосылки!$I128/(BK$8-BK$7)))</f>
        <v>0</v>
      </c>
      <c s="125">
        <f>IF(Предпосылки!$I128&gt;0,BK166,BL120*(Предпосылки!$I128/(BL$8-BL$7)))</f>
        <v>0</v>
      </c>
      <c s="125">
        <f>IF(Предпосылки!$I128&gt;0,BL166,BM120*(Предпосылки!$I128/(BM$8-BM$7)))</f>
        <v>0</v>
      </c>
    </row>
    <row r="98" spans="2:65" ht="15" customHeight="1">
      <c r="B98" s="12" t="str">
        <f>Предпосылки!B157</f>
        <v>Продукт 8</v>
      </c>
      <c s="124" t="str">
        <f t="shared" si="140"/>
        <v>тыс. руб.</v>
      </c>
      <c s="125"/>
      <c s="125">
        <f>IF(Предпосылки!$I129&gt;0,D167,E121*(Предпосылки!$I129/(E$8-E$7)))</f>
        <v>0</v>
      </c>
      <c s="125">
        <f>IF(Предпосылки!$I129&gt;0,E167,F121*(Предпосылки!$I129/(F$8-F$7)))</f>
        <v>0</v>
      </c>
      <c s="125">
        <f>IF(Предпосылки!$I129&gt;0,F167,G121*(Предпосылки!$I129/(G$8-G$7)))</f>
        <v>0</v>
      </c>
      <c s="125">
        <f>IF(Предпосылки!$I129&gt;0,G167,H121*(Предпосылки!$I129/(H$8-H$7)))</f>
        <v>0</v>
      </c>
      <c s="125">
        <f>IF(Предпосылки!$I129&gt;0,H167,I121*(Предпосылки!$I129/(I$8-I$7)))</f>
        <v>0</v>
      </c>
      <c s="125">
        <f>IF(Предпосылки!$I129&gt;0,I167,J121*(Предпосылки!$I129/(J$8-J$7)))</f>
        <v>0</v>
      </c>
      <c s="125">
        <f>IF(Предпосылки!$I129&gt;0,J167,K121*(Предпосылки!$I129/(K$8-K$7)))</f>
        <v>0</v>
      </c>
      <c s="125">
        <f>IF(Предпосылки!$I129&gt;0,K167,L121*(Предпосылки!$I129/(L$8-L$7)))</f>
        <v>0</v>
      </c>
      <c s="125">
        <f>IF(Предпосылки!$I129&gt;0,L167,M121*(Предпосылки!$I129/(M$8-M$7)))</f>
        <v>0</v>
      </c>
      <c s="125">
        <f>IF(Предпосылки!$I129&gt;0,M167,N121*(Предпосылки!$I129/(N$8-N$7)))</f>
        <v>0</v>
      </c>
      <c s="125">
        <f>IF(Предпосылки!$I129&gt;0,N167,O121*(Предпосылки!$I129/(O$8-O$7)))</f>
        <v>0</v>
      </c>
      <c s="125">
        <f>IF(Предпосылки!$I129&gt;0,O167,P121*(Предпосылки!$I129/(P$8-P$7)))</f>
        <v>0</v>
      </c>
      <c s="125">
        <f>IF(Предпосылки!$I129&gt;0,P167,Q121*(Предпосылки!$I129/(Q$8-Q$7)))</f>
        <v>0</v>
      </c>
      <c s="125">
        <f>IF(Предпосылки!$I129&gt;0,Q167,R121*(Предпосылки!$I129/(R$8-R$7)))</f>
        <v>0</v>
      </c>
      <c s="125">
        <f>IF(Предпосылки!$I129&gt;0,R167,S121*(Предпосылки!$I129/(S$8-S$7)))</f>
        <v>0</v>
      </c>
      <c s="125">
        <f>IF(Предпосылки!$I129&gt;0,S167,T121*(Предпосылки!$I129/(T$8-T$7)))</f>
        <v>0</v>
      </c>
      <c s="125">
        <f>IF(Предпосылки!$I129&gt;0,T167,U121*(Предпосылки!$I129/(U$8-U$7)))</f>
        <v>0</v>
      </c>
      <c s="125">
        <f>IF(Предпосылки!$I129&gt;0,U167,V121*(Предпосылки!$I129/(V$8-V$7)))</f>
        <v>0</v>
      </c>
      <c s="125">
        <f>IF(Предпосылки!$I129&gt;0,V167,W121*(Предпосылки!$I129/(W$8-W$7)))</f>
        <v>0</v>
      </c>
      <c s="125">
        <f>IF(Предпосылки!$I129&gt;0,W167,X121*(Предпосылки!$I129/(X$8-X$7)))</f>
        <v>0</v>
      </c>
      <c s="125">
        <f>IF(Предпосылки!$I129&gt;0,X167,Y121*(Предпосылки!$I129/(Y$8-Y$7)))</f>
        <v>0</v>
      </c>
      <c s="125">
        <f>IF(Предпосылки!$I129&gt;0,Y167,Z121*(Предпосылки!$I129/(Z$8-Z$7)))</f>
        <v>0</v>
      </c>
      <c s="125">
        <f>IF(Предпосылки!$I129&gt;0,Z167,AA121*(Предпосылки!$I129/(AA$8-AA$7)))</f>
        <v>0</v>
      </c>
      <c s="125">
        <f>IF(Предпосылки!$I129&gt;0,AA167,AB121*(Предпосылки!$I129/(AB$8-AB$7)))</f>
        <v>0</v>
      </c>
      <c s="125">
        <f>IF(Предпосылки!$I129&gt;0,AB167,AC121*(Предпосылки!$I129/(AC$8-AC$7)))</f>
        <v>0</v>
      </c>
      <c s="125">
        <f>IF(Предпосылки!$I129&gt;0,AC167,AD121*(Предпосылки!$I129/(AD$8-AD$7)))</f>
        <v>0</v>
      </c>
      <c s="125">
        <f>IF(Предпосылки!$I129&gt;0,AD167,AE121*(Предпосылки!$I129/(AE$8-AE$7)))</f>
        <v>0</v>
      </c>
      <c s="125">
        <f>IF(Предпосылки!$I129&gt;0,AE167,AF121*(Предпосылки!$I129/(AF$8-AF$7)))</f>
        <v>0</v>
      </c>
      <c s="125">
        <f>IF(Предпосылки!$I129&gt;0,AF167,AG121*(Предпосылки!$I129/(AG$8-AG$7)))</f>
        <v>0</v>
      </c>
      <c s="125">
        <f>IF(Предпосылки!$I129&gt;0,AG167,AH121*(Предпосылки!$I129/(AH$8-AH$7)))</f>
        <v>0</v>
      </c>
      <c s="125">
        <f>IF(Предпосылки!$I129&gt;0,AH167,AI121*(Предпосылки!$I129/(AI$8-AI$7)))</f>
        <v>0</v>
      </c>
      <c s="125">
        <f>IF(Предпосылки!$I129&gt;0,AI167,AJ121*(Предпосылки!$I129/(AJ$8-AJ$7)))</f>
        <v>0</v>
      </c>
      <c s="125">
        <f>IF(Предпосылки!$I129&gt;0,AJ167,AK121*(Предпосылки!$I129/(AK$8-AK$7)))</f>
        <v>0</v>
      </c>
      <c s="125">
        <f>IF(Предпосылки!$I129&gt;0,AK167,AL121*(Предпосылки!$I129/(AL$8-AL$7)))</f>
        <v>0</v>
      </c>
      <c s="125">
        <f>IF(Предпосылки!$I129&gt;0,AL167,AM121*(Предпосылки!$I129/(AM$8-AM$7)))</f>
        <v>0</v>
      </c>
      <c s="125">
        <f>IF(Предпосылки!$I129&gt;0,AM167,AN121*(Предпосылки!$I129/(AN$8-AN$7)))</f>
        <v>0</v>
      </c>
      <c s="125">
        <f>IF(Предпосылки!$I129&gt;0,AN167,AO121*(Предпосылки!$I129/(AO$8-AO$7)))</f>
        <v>0</v>
      </c>
      <c s="125">
        <f>IF(Предпосылки!$I129&gt;0,AO167,AP121*(Предпосылки!$I129/(AP$8-AP$7)))</f>
        <v>0</v>
      </c>
      <c s="125">
        <f>IF(Предпосылки!$I129&gt;0,AP167,AQ121*(Предпосылки!$I129/(AQ$8-AQ$7)))</f>
        <v>0</v>
      </c>
      <c s="125">
        <f>IF(Предпосылки!$I129&gt;0,AQ167,AR121*(Предпосылки!$I129/(AR$8-AR$7)))</f>
        <v>0</v>
      </c>
      <c s="125">
        <f>IF(Предпосылки!$I129&gt;0,AR167,AS121*(Предпосылки!$I129/(AS$8-AS$7)))</f>
        <v>0</v>
      </c>
      <c s="125">
        <f>IF(Предпосылки!$I129&gt;0,AS167,AT121*(Предпосылки!$I129/(AT$8-AT$7)))</f>
        <v>0</v>
      </c>
      <c s="125">
        <f>IF(Предпосылки!$I129&gt;0,AT167,AU121*(Предпосылки!$I129/(AU$8-AU$7)))</f>
        <v>0</v>
      </c>
      <c s="125">
        <f>IF(Предпосылки!$I129&gt;0,AU167,AV121*(Предпосылки!$I129/(AV$8-AV$7)))</f>
        <v>0</v>
      </c>
      <c s="125">
        <f>IF(Предпосылки!$I129&gt;0,AV167,AW121*(Предпосылки!$I129/(AW$8-AW$7)))</f>
        <v>0</v>
      </c>
      <c s="125">
        <f>IF(Предпосылки!$I129&gt;0,AW167,AX121*(Предпосылки!$I129/(AX$8-AX$7)))</f>
        <v>0</v>
      </c>
      <c s="125">
        <f>IF(Предпосылки!$I129&gt;0,AX167,AY121*(Предпосылки!$I129/(AY$8-AY$7)))</f>
        <v>0</v>
      </c>
      <c s="125">
        <f>IF(Предпосылки!$I129&gt;0,AY167,AZ121*(Предпосылки!$I129/(AZ$8-AZ$7)))</f>
        <v>0</v>
      </c>
      <c s="125">
        <f>IF(Предпосылки!$I129&gt;0,AZ167,BA121*(Предпосылки!$I129/(BA$8-BA$7)))</f>
        <v>0</v>
      </c>
      <c s="125">
        <f>IF(Предпосылки!$I129&gt;0,BA167,BB121*(Предпосылки!$I129/(BB$8-BB$7)))</f>
        <v>0</v>
      </c>
      <c s="125">
        <f>IF(Предпосылки!$I129&gt;0,BB167,BC121*(Предпосылки!$I129/(BC$8-BC$7)))</f>
        <v>0</v>
      </c>
      <c s="125">
        <f>IF(Предпосылки!$I129&gt;0,BC167,BD121*(Предпосылки!$I129/(BD$8-BD$7)))</f>
        <v>0</v>
      </c>
      <c s="125">
        <f>IF(Предпосылки!$I129&gt;0,BD167,BE121*(Предпосылки!$I129/(BE$8-BE$7)))</f>
        <v>0</v>
      </c>
      <c s="125">
        <f>IF(Предпосылки!$I129&gt;0,BE167,BF121*(Предпосылки!$I129/(BF$8-BF$7)))</f>
        <v>0</v>
      </c>
      <c s="125">
        <f>IF(Предпосылки!$I129&gt;0,BF167,BG121*(Предпосылки!$I129/(BG$8-BG$7)))</f>
        <v>0</v>
      </c>
      <c s="125">
        <f>IF(Предпосылки!$I129&gt;0,BG167,BH121*(Предпосылки!$I129/(BH$8-BH$7)))</f>
        <v>0</v>
      </c>
      <c s="125">
        <f>IF(Предпосылки!$I129&gt;0,BH167,BI121*(Предпосылки!$I129/(BI$8-BI$7)))</f>
        <v>0</v>
      </c>
      <c s="125">
        <f>IF(Предпосылки!$I129&gt;0,BI167,BJ121*(Предпосылки!$I129/(BJ$8-BJ$7)))</f>
        <v>0</v>
      </c>
      <c s="125">
        <f>IF(Предпосылки!$I129&gt;0,BJ167,BK121*(Предпосылки!$I129/(BK$8-BK$7)))</f>
        <v>0</v>
      </c>
      <c s="125">
        <f>IF(Предпосылки!$I129&gt;0,BK167,BL121*(Предпосылки!$I129/(BL$8-BL$7)))</f>
        <v>0</v>
      </c>
      <c s="125">
        <f>IF(Предпосылки!$I129&gt;0,BL167,BM121*(Предпосылки!$I129/(BM$8-BM$7)))</f>
        <v>0</v>
      </c>
    </row>
    <row r="99" spans="2:65" ht="15" customHeight="1">
      <c r="B99" s="12" t="str">
        <f>Предпосылки!B158</f>
        <v>Продукт 9</v>
      </c>
      <c s="124" t="str">
        <f t="shared" si="140"/>
        <v>тыс. руб.</v>
      </c>
      <c s="125"/>
      <c s="125">
        <f>IF(Предпосылки!$I130&gt;0,D168,E122*(Предпосылки!$I130/(E$8-E$7)))</f>
        <v>0</v>
      </c>
      <c s="125">
        <f>IF(Предпосылки!$I130&gt;0,E168,F122*(Предпосылки!$I130/(F$8-F$7)))</f>
        <v>0</v>
      </c>
      <c s="125">
        <f>IF(Предпосылки!$I130&gt;0,F168,G122*(Предпосылки!$I130/(G$8-G$7)))</f>
        <v>0</v>
      </c>
      <c s="125">
        <f>IF(Предпосылки!$I130&gt;0,G168,H122*(Предпосылки!$I130/(H$8-H$7)))</f>
        <v>0</v>
      </c>
      <c s="125">
        <f>IF(Предпосылки!$I130&gt;0,H168,I122*(Предпосылки!$I130/(I$8-I$7)))</f>
        <v>0</v>
      </c>
      <c s="125">
        <f>IF(Предпосылки!$I130&gt;0,I168,J122*(Предпосылки!$I130/(J$8-J$7)))</f>
        <v>0</v>
      </c>
      <c s="125">
        <f>IF(Предпосылки!$I130&gt;0,J168,K122*(Предпосылки!$I130/(K$8-K$7)))</f>
        <v>0</v>
      </c>
      <c s="125">
        <f>IF(Предпосылки!$I130&gt;0,K168,L122*(Предпосылки!$I130/(L$8-L$7)))</f>
        <v>0</v>
      </c>
      <c s="125">
        <f>IF(Предпосылки!$I130&gt;0,L168,M122*(Предпосылки!$I130/(M$8-M$7)))</f>
        <v>0</v>
      </c>
      <c s="125">
        <f>IF(Предпосылки!$I130&gt;0,M168,N122*(Предпосылки!$I130/(N$8-N$7)))</f>
        <v>0</v>
      </c>
      <c s="125">
        <f>IF(Предпосылки!$I130&gt;0,N168,O122*(Предпосылки!$I130/(O$8-O$7)))</f>
        <v>0</v>
      </c>
      <c s="125">
        <f>IF(Предпосылки!$I130&gt;0,O168,P122*(Предпосылки!$I130/(P$8-P$7)))</f>
        <v>0</v>
      </c>
      <c s="125">
        <f>IF(Предпосылки!$I130&gt;0,P168,Q122*(Предпосылки!$I130/(Q$8-Q$7)))</f>
        <v>0</v>
      </c>
      <c s="125">
        <f>IF(Предпосылки!$I130&gt;0,Q168,R122*(Предпосылки!$I130/(R$8-R$7)))</f>
        <v>0</v>
      </c>
      <c s="125">
        <f>IF(Предпосылки!$I130&gt;0,R168,S122*(Предпосылки!$I130/(S$8-S$7)))</f>
        <v>0</v>
      </c>
      <c s="125">
        <f>IF(Предпосылки!$I130&gt;0,S168,T122*(Предпосылки!$I130/(T$8-T$7)))</f>
        <v>0</v>
      </c>
      <c s="125">
        <f>IF(Предпосылки!$I130&gt;0,T168,U122*(Предпосылки!$I130/(U$8-U$7)))</f>
        <v>0</v>
      </c>
      <c s="125">
        <f>IF(Предпосылки!$I130&gt;0,U168,V122*(Предпосылки!$I130/(V$8-V$7)))</f>
        <v>0</v>
      </c>
      <c s="125">
        <f>IF(Предпосылки!$I130&gt;0,V168,W122*(Предпосылки!$I130/(W$8-W$7)))</f>
        <v>0</v>
      </c>
      <c s="125">
        <f>IF(Предпосылки!$I130&gt;0,W168,X122*(Предпосылки!$I130/(X$8-X$7)))</f>
        <v>0</v>
      </c>
      <c s="125">
        <f>IF(Предпосылки!$I130&gt;0,X168,Y122*(Предпосылки!$I130/(Y$8-Y$7)))</f>
        <v>0</v>
      </c>
      <c s="125">
        <f>IF(Предпосылки!$I130&gt;0,Y168,Z122*(Предпосылки!$I130/(Z$8-Z$7)))</f>
        <v>0</v>
      </c>
      <c s="125">
        <f>IF(Предпосылки!$I130&gt;0,Z168,AA122*(Предпосылки!$I130/(AA$8-AA$7)))</f>
        <v>0</v>
      </c>
      <c s="125">
        <f>IF(Предпосылки!$I130&gt;0,AA168,AB122*(Предпосылки!$I130/(AB$8-AB$7)))</f>
        <v>0</v>
      </c>
      <c s="125">
        <f>IF(Предпосылки!$I130&gt;0,AB168,AC122*(Предпосылки!$I130/(AC$8-AC$7)))</f>
        <v>0</v>
      </c>
      <c s="125">
        <f>IF(Предпосылки!$I130&gt;0,AC168,AD122*(Предпосылки!$I130/(AD$8-AD$7)))</f>
        <v>0</v>
      </c>
      <c s="125">
        <f>IF(Предпосылки!$I130&gt;0,AD168,AE122*(Предпосылки!$I130/(AE$8-AE$7)))</f>
        <v>0</v>
      </c>
      <c s="125">
        <f>IF(Предпосылки!$I130&gt;0,AE168,AF122*(Предпосылки!$I130/(AF$8-AF$7)))</f>
        <v>0</v>
      </c>
      <c s="125">
        <f>IF(Предпосылки!$I130&gt;0,AF168,AG122*(Предпосылки!$I130/(AG$8-AG$7)))</f>
        <v>0</v>
      </c>
      <c s="125">
        <f>IF(Предпосылки!$I130&gt;0,AG168,AH122*(Предпосылки!$I130/(AH$8-AH$7)))</f>
        <v>0</v>
      </c>
      <c s="125">
        <f>IF(Предпосылки!$I130&gt;0,AH168,AI122*(Предпосылки!$I130/(AI$8-AI$7)))</f>
        <v>0</v>
      </c>
      <c s="125">
        <f>IF(Предпосылки!$I130&gt;0,AI168,AJ122*(Предпосылки!$I130/(AJ$8-AJ$7)))</f>
        <v>0</v>
      </c>
      <c s="125">
        <f>IF(Предпосылки!$I130&gt;0,AJ168,AK122*(Предпосылки!$I130/(AK$8-AK$7)))</f>
        <v>0</v>
      </c>
      <c s="125">
        <f>IF(Предпосылки!$I130&gt;0,AK168,AL122*(Предпосылки!$I130/(AL$8-AL$7)))</f>
        <v>0</v>
      </c>
      <c s="125">
        <f>IF(Предпосылки!$I130&gt;0,AL168,AM122*(Предпосылки!$I130/(AM$8-AM$7)))</f>
        <v>0</v>
      </c>
      <c s="125">
        <f>IF(Предпосылки!$I130&gt;0,AM168,AN122*(Предпосылки!$I130/(AN$8-AN$7)))</f>
        <v>0</v>
      </c>
      <c s="125">
        <f>IF(Предпосылки!$I130&gt;0,AN168,AO122*(Предпосылки!$I130/(AO$8-AO$7)))</f>
        <v>0</v>
      </c>
      <c s="125">
        <f>IF(Предпосылки!$I130&gt;0,AO168,AP122*(Предпосылки!$I130/(AP$8-AP$7)))</f>
        <v>0</v>
      </c>
      <c s="125">
        <f>IF(Предпосылки!$I130&gt;0,AP168,AQ122*(Предпосылки!$I130/(AQ$8-AQ$7)))</f>
        <v>0</v>
      </c>
      <c s="125">
        <f>IF(Предпосылки!$I130&gt;0,AQ168,AR122*(Предпосылки!$I130/(AR$8-AR$7)))</f>
        <v>0</v>
      </c>
      <c s="125">
        <f>IF(Предпосылки!$I130&gt;0,AR168,AS122*(Предпосылки!$I130/(AS$8-AS$7)))</f>
        <v>0</v>
      </c>
      <c s="125">
        <f>IF(Предпосылки!$I130&gt;0,AS168,AT122*(Предпосылки!$I130/(AT$8-AT$7)))</f>
        <v>0</v>
      </c>
      <c s="125">
        <f>IF(Предпосылки!$I130&gt;0,AT168,AU122*(Предпосылки!$I130/(AU$8-AU$7)))</f>
        <v>0</v>
      </c>
      <c s="125">
        <f>IF(Предпосылки!$I130&gt;0,AU168,AV122*(Предпосылки!$I130/(AV$8-AV$7)))</f>
        <v>0</v>
      </c>
      <c s="125">
        <f>IF(Предпосылки!$I130&gt;0,AV168,AW122*(Предпосылки!$I130/(AW$8-AW$7)))</f>
        <v>0</v>
      </c>
      <c s="125">
        <f>IF(Предпосылки!$I130&gt;0,AW168,AX122*(Предпосылки!$I130/(AX$8-AX$7)))</f>
        <v>0</v>
      </c>
      <c s="125">
        <f>IF(Предпосылки!$I130&gt;0,AX168,AY122*(Предпосылки!$I130/(AY$8-AY$7)))</f>
        <v>0</v>
      </c>
      <c s="125">
        <f>IF(Предпосылки!$I130&gt;0,AY168,AZ122*(Предпосылки!$I130/(AZ$8-AZ$7)))</f>
        <v>0</v>
      </c>
      <c s="125">
        <f>IF(Предпосылки!$I130&gt;0,AZ168,BA122*(Предпосылки!$I130/(BA$8-BA$7)))</f>
        <v>0</v>
      </c>
      <c s="125">
        <f>IF(Предпосылки!$I130&gt;0,BA168,BB122*(Предпосылки!$I130/(BB$8-BB$7)))</f>
        <v>0</v>
      </c>
      <c s="125">
        <f>IF(Предпосылки!$I130&gt;0,BB168,BC122*(Предпосылки!$I130/(BC$8-BC$7)))</f>
        <v>0</v>
      </c>
      <c s="125">
        <f>IF(Предпосылки!$I130&gt;0,BC168,BD122*(Предпосылки!$I130/(BD$8-BD$7)))</f>
        <v>0</v>
      </c>
      <c s="125">
        <f>IF(Предпосылки!$I130&gt;0,BD168,BE122*(Предпосылки!$I130/(BE$8-BE$7)))</f>
        <v>0</v>
      </c>
      <c s="125">
        <f>IF(Предпосылки!$I130&gt;0,BE168,BF122*(Предпосылки!$I130/(BF$8-BF$7)))</f>
        <v>0</v>
      </c>
      <c s="125">
        <f>IF(Предпосылки!$I130&gt;0,BF168,BG122*(Предпосылки!$I130/(BG$8-BG$7)))</f>
        <v>0</v>
      </c>
      <c s="125">
        <f>IF(Предпосылки!$I130&gt;0,BG168,BH122*(Предпосылки!$I130/(BH$8-BH$7)))</f>
        <v>0</v>
      </c>
      <c s="125">
        <f>IF(Предпосылки!$I130&gt;0,BH168,BI122*(Предпосылки!$I130/(BI$8-BI$7)))</f>
        <v>0</v>
      </c>
      <c s="125">
        <f>IF(Предпосылки!$I130&gt;0,BI168,BJ122*(Предпосылки!$I130/(BJ$8-BJ$7)))</f>
        <v>0</v>
      </c>
      <c s="125">
        <f>IF(Предпосылки!$I130&gt;0,BJ168,BK122*(Предпосылки!$I130/(BK$8-BK$7)))</f>
        <v>0</v>
      </c>
      <c s="125">
        <f>IF(Предпосылки!$I130&gt;0,BK168,BL122*(Предпосылки!$I130/(BL$8-BL$7)))</f>
        <v>0</v>
      </c>
      <c s="125">
        <f>IF(Предпосылки!$I130&gt;0,BL168,BM122*(Предпосылки!$I130/(BM$8-BM$7)))</f>
        <v>0</v>
      </c>
    </row>
    <row r="100" spans="2:65" ht="15" customHeight="1">
      <c r="B100" s="12" t="str">
        <f>Предпосылки!B159</f>
        <v>Продукт 10</v>
      </c>
      <c s="124" t="str">
        <f t="shared" si="140"/>
        <v>тыс. руб.</v>
      </c>
      <c s="125"/>
      <c s="125">
        <f>IF(Предпосылки!$I131&gt;0,D169,E123*(Предпосылки!$I131/(E$8-E$7)))</f>
        <v>0</v>
      </c>
      <c s="125">
        <f>IF(Предпосылки!$I131&gt;0,E169,F123*(Предпосылки!$I131/(F$8-F$7)))</f>
        <v>0</v>
      </c>
      <c s="125">
        <f>IF(Предпосылки!$I131&gt;0,F169,G123*(Предпосылки!$I131/(G$8-G$7)))</f>
        <v>0</v>
      </c>
      <c s="125">
        <f>IF(Предпосылки!$I131&gt;0,G169,H123*(Предпосылки!$I131/(H$8-H$7)))</f>
        <v>0</v>
      </c>
      <c s="125">
        <f>IF(Предпосылки!$I131&gt;0,H169,I123*(Предпосылки!$I131/(I$8-I$7)))</f>
        <v>0</v>
      </c>
      <c s="125">
        <f>IF(Предпосылки!$I131&gt;0,I169,J123*(Предпосылки!$I131/(J$8-J$7)))</f>
        <v>0</v>
      </c>
      <c s="125">
        <f>IF(Предпосылки!$I131&gt;0,J169,K123*(Предпосылки!$I131/(K$8-K$7)))</f>
        <v>0</v>
      </c>
      <c s="125">
        <f>IF(Предпосылки!$I131&gt;0,K169,L123*(Предпосылки!$I131/(L$8-L$7)))</f>
        <v>0</v>
      </c>
      <c s="125">
        <f>IF(Предпосылки!$I131&gt;0,L169,M123*(Предпосылки!$I131/(M$8-M$7)))</f>
        <v>0</v>
      </c>
      <c s="125">
        <f>IF(Предпосылки!$I131&gt;0,M169,N123*(Предпосылки!$I131/(N$8-N$7)))</f>
        <v>0</v>
      </c>
      <c s="125">
        <f>IF(Предпосылки!$I131&gt;0,N169,O123*(Предпосылки!$I131/(O$8-O$7)))</f>
        <v>0</v>
      </c>
      <c s="125">
        <f>IF(Предпосылки!$I131&gt;0,O169,P123*(Предпосылки!$I131/(P$8-P$7)))</f>
        <v>0</v>
      </c>
      <c s="125">
        <f>IF(Предпосылки!$I131&gt;0,P169,Q123*(Предпосылки!$I131/(Q$8-Q$7)))</f>
        <v>0</v>
      </c>
      <c s="125">
        <f>IF(Предпосылки!$I131&gt;0,Q169,R123*(Предпосылки!$I131/(R$8-R$7)))</f>
        <v>0</v>
      </c>
      <c s="125">
        <f>IF(Предпосылки!$I131&gt;0,R169,S123*(Предпосылки!$I131/(S$8-S$7)))</f>
        <v>0</v>
      </c>
      <c s="125">
        <f>IF(Предпосылки!$I131&gt;0,S169,T123*(Предпосылки!$I131/(T$8-T$7)))</f>
        <v>0</v>
      </c>
      <c s="125">
        <f>IF(Предпосылки!$I131&gt;0,T169,U123*(Предпосылки!$I131/(U$8-U$7)))</f>
        <v>0</v>
      </c>
      <c s="125">
        <f>IF(Предпосылки!$I131&gt;0,U169,V123*(Предпосылки!$I131/(V$8-V$7)))</f>
        <v>0</v>
      </c>
      <c s="125">
        <f>IF(Предпосылки!$I131&gt;0,V169,W123*(Предпосылки!$I131/(W$8-W$7)))</f>
        <v>0</v>
      </c>
      <c s="125">
        <f>IF(Предпосылки!$I131&gt;0,W169,X123*(Предпосылки!$I131/(X$8-X$7)))</f>
        <v>0</v>
      </c>
      <c s="125">
        <f>IF(Предпосылки!$I131&gt;0,X169,Y123*(Предпосылки!$I131/(Y$8-Y$7)))</f>
        <v>0</v>
      </c>
      <c s="125">
        <f>IF(Предпосылки!$I131&gt;0,Y169,Z123*(Предпосылки!$I131/(Z$8-Z$7)))</f>
        <v>0</v>
      </c>
      <c s="125">
        <f>IF(Предпосылки!$I131&gt;0,Z169,AA123*(Предпосылки!$I131/(AA$8-AA$7)))</f>
        <v>0</v>
      </c>
      <c s="125">
        <f>IF(Предпосылки!$I131&gt;0,AA169,AB123*(Предпосылки!$I131/(AB$8-AB$7)))</f>
        <v>0</v>
      </c>
      <c s="125">
        <f>IF(Предпосылки!$I131&gt;0,AB169,AC123*(Предпосылки!$I131/(AC$8-AC$7)))</f>
        <v>0</v>
      </c>
      <c s="125">
        <f>IF(Предпосылки!$I131&gt;0,AC169,AD123*(Предпосылки!$I131/(AD$8-AD$7)))</f>
        <v>0</v>
      </c>
      <c s="125">
        <f>IF(Предпосылки!$I131&gt;0,AD169,AE123*(Предпосылки!$I131/(AE$8-AE$7)))</f>
        <v>0</v>
      </c>
      <c s="125">
        <f>IF(Предпосылки!$I131&gt;0,AE169,AF123*(Предпосылки!$I131/(AF$8-AF$7)))</f>
        <v>0</v>
      </c>
      <c s="125">
        <f>IF(Предпосылки!$I131&gt;0,AF169,AG123*(Предпосылки!$I131/(AG$8-AG$7)))</f>
        <v>0</v>
      </c>
      <c s="125">
        <f>IF(Предпосылки!$I131&gt;0,AG169,AH123*(Предпосылки!$I131/(AH$8-AH$7)))</f>
        <v>0</v>
      </c>
      <c s="125">
        <f>IF(Предпосылки!$I131&gt;0,AH169,AI123*(Предпосылки!$I131/(AI$8-AI$7)))</f>
        <v>0</v>
      </c>
      <c s="125">
        <f>IF(Предпосылки!$I131&gt;0,AI169,AJ123*(Предпосылки!$I131/(AJ$8-AJ$7)))</f>
        <v>0</v>
      </c>
      <c s="125">
        <f>IF(Предпосылки!$I131&gt;0,AJ169,AK123*(Предпосылки!$I131/(AK$8-AK$7)))</f>
        <v>0</v>
      </c>
      <c s="125">
        <f>IF(Предпосылки!$I131&gt;0,AK169,AL123*(Предпосылки!$I131/(AL$8-AL$7)))</f>
        <v>0</v>
      </c>
      <c s="125">
        <f>IF(Предпосылки!$I131&gt;0,AL169,AM123*(Предпосылки!$I131/(AM$8-AM$7)))</f>
        <v>0</v>
      </c>
      <c s="125">
        <f>IF(Предпосылки!$I131&gt;0,AM169,AN123*(Предпосылки!$I131/(AN$8-AN$7)))</f>
        <v>0</v>
      </c>
      <c s="125">
        <f>IF(Предпосылки!$I131&gt;0,AN169,AO123*(Предпосылки!$I131/(AO$8-AO$7)))</f>
        <v>0</v>
      </c>
      <c s="125">
        <f>IF(Предпосылки!$I131&gt;0,AO169,AP123*(Предпосылки!$I131/(AP$8-AP$7)))</f>
        <v>0</v>
      </c>
      <c s="125">
        <f>IF(Предпосылки!$I131&gt;0,AP169,AQ123*(Предпосылки!$I131/(AQ$8-AQ$7)))</f>
        <v>0</v>
      </c>
      <c s="125">
        <f>IF(Предпосылки!$I131&gt;0,AQ169,AR123*(Предпосылки!$I131/(AR$8-AR$7)))</f>
        <v>0</v>
      </c>
      <c s="125">
        <f>IF(Предпосылки!$I131&gt;0,AR169,AS123*(Предпосылки!$I131/(AS$8-AS$7)))</f>
        <v>0</v>
      </c>
      <c s="125">
        <f>IF(Предпосылки!$I131&gt;0,AS169,AT123*(Предпосылки!$I131/(AT$8-AT$7)))</f>
        <v>0</v>
      </c>
      <c s="125">
        <f>IF(Предпосылки!$I131&gt;0,AT169,AU123*(Предпосылки!$I131/(AU$8-AU$7)))</f>
        <v>0</v>
      </c>
      <c s="125">
        <f>IF(Предпосылки!$I131&gt;0,AU169,AV123*(Предпосылки!$I131/(AV$8-AV$7)))</f>
        <v>0</v>
      </c>
      <c s="125">
        <f>IF(Предпосылки!$I131&gt;0,AV169,AW123*(Предпосылки!$I131/(AW$8-AW$7)))</f>
        <v>0</v>
      </c>
      <c s="125">
        <f>IF(Предпосылки!$I131&gt;0,AW169,AX123*(Предпосылки!$I131/(AX$8-AX$7)))</f>
        <v>0</v>
      </c>
      <c s="125">
        <f>IF(Предпосылки!$I131&gt;0,AX169,AY123*(Предпосылки!$I131/(AY$8-AY$7)))</f>
        <v>0</v>
      </c>
      <c s="125">
        <f>IF(Предпосылки!$I131&gt;0,AY169,AZ123*(Предпосылки!$I131/(AZ$8-AZ$7)))</f>
        <v>0</v>
      </c>
      <c s="125">
        <f>IF(Предпосылки!$I131&gt;0,AZ169,BA123*(Предпосылки!$I131/(BA$8-BA$7)))</f>
        <v>0</v>
      </c>
      <c s="125">
        <f>IF(Предпосылки!$I131&gt;0,BA169,BB123*(Предпосылки!$I131/(BB$8-BB$7)))</f>
        <v>0</v>
      </c>
      <c s="125">
        <f>IF(Предпосылки!$I131&gt;0,BB169,BC123*(Предпосылки!$I131/(BC$8-BC$7)))</f>
        <v>0</v>
      </c>
      <c s="125">
        <f>IF(Предпосылки!$I131&gt;0,BC169,BD123*(Предпосылки!$I131/(BD$8-BD$7)))</f>
        <v>0</v>
      </c>
      <c s="125">
        <f>IF(Предпосылки!$I131&gt;0,BD169,BE123*(Предпосылки!$I131/(BE$8-BE$7)))</f>
        <v>0</v>
      </c>
      <c s="125">
        <f>IF(Предпосылки!$I131&gt;0,BE169,BF123*(Предпосылки!$I131/(BF$8-BF$7)))</f>
        <v>0</v>
      </c>
      <c s="125">
        <f>IF(Предпосылки!$I131&gt;0,BF169,BG123*(Предпосылки!$I131/(BG$8-BG$7)))</f>
        <v>0</v>
      </c>
      <c s="125">
        <f>IF(Предпосылки!$I131&gt;0,BG169,BH123*(Предпосылки!$I131/(BH$8-BH$7)))</f>
        <v>0</v>
      </c>
      <c s="125">
        <f>IF(Предпосылки!$I131&gt;0,BH169,BI123*(Предпосылки!$I131/(BI$8-BI$7)))</f>
        <v>0</v>
      </c>
      <c s="125">
        <f>IF(Предпосылки!$I131&gt;0,BI169,BJ123*(Предпосылки!$I131/(BJ$8-BJ$7)))</f>
        <v>0</v>
      </c>
      <c s="125">
        <f>IF(Предпосылки!$I131&gt;0,BJ169,BK123*(Предпосылки!$I131/(BK$8-BK$7)))</f>
        <v>0</v>
      </c>
      <c s="125">
        <f>IF(Предпосылки!$I131&gt;0,BK169,BL123*(Предпосылки!$I131/(BL$8-BL$7)))</f>
        <v>0</v>
      </c>
      <c s="125">
        <f>IF(Предпосылки!$I131&gt;0,BL169,BM123*(Предпосылки!$I131/(BM$8-BM$7)))</f>
        <v>0</v>
      </c>
    </row>
    <row r="101" spans="2:65" ht="15" customHeight="1">
      <c r="B101" s="12" t="str">
        <f>Предпосылки!B160</f>
        <v>Продукт 11</v>
      </c>
      <c s="124" t="str">
        <f t="shared" si="140"/>
        <v>тыс. руб.</v>
      </c>
      <c s="125"/>
      <c s="125">
        <f>IF(Предпосылки!$I132&gt;0,D170,E124*(Предпосылки!$I132/(E$8-E$7)))</f>
        <v>0</v>
      </c>
      <c s="125">
        <f>IF(Предпосылки!$I132&gt;0,E170,F124*(Предпосылки!$I132/(F$8-F$7)))</f>
        <v>0</v>
      </c>
      <c s="125">
        <f>IF(Предпосылки!$I132&gt;0,F170,G124*(Предпосылки!$I132/(G$8-G$7)))</f>
        <v>0</v>
      </c>
      <c s="125">
        <f>IF(Предпосылки!$I132&gt;0,G170,H124*(Предпосылки!$I132/(H$8-H$7)))</f>
        <v>0</v>
      </c>
      <c s="125">
        <f>IF(Предпосылки!$I132&gt;0,H170,I124*(Предпосылки!$I132/(I$8-I$7)))</f>
        <v>0</v>
      </c>
      <c s="125">
        <f>IF(Предпосылки!$I132&gt;0,I170,J124*(Предпосылки!$I132/(J$8-J$7)))</f>
        <v>0</v>
      </c>
      <c s="125">
        <f>IF(Предпосылки!$I132&gt;0,J170,K124*(Предпосылки!$I132/(K$8-K$7)))</f>
        <v>0</v>
      </c>
      <c s="125">
        <f>IF(Предпосылки!$I132&gt;0,K170,L124*(Предпосылки!$I132/(L$8-L$7)))</f>
        <v>0</v>
      </c>
      <c s="125">
        <f>IF(Предпосылки!$I132&gt;0,L170,M124*(Предпосылки!$I132/(M$8-M$7)))</f>
        <v>0</v>
      </c>
      <c s="125">
        <f>IF(Предпосылки!$I132&gt;0,M170,N124*(Предпосылки!$I132/(N$8-N$7)))</f>
        <v>0</v>
      </c>
      <c s="125">
        <f>IF(Предпосылки!$I132&gt;0,N170,O124*(Предпосылки!$I132/(O$8-O$7)))</f>
        <v>0</v>
      </c>
      <c s="125">
        <f>IF(Предпосылки!$I132&gt;0,O170,P124*(Предпосылки!$I132/(P$8-P$7)))</f>
        <v>0</v>
      </c>
      <c s="125">
        <f>IF(Предпосылки!$I132&gt;0,P170,Q124*(Предпосылки!$I132/(Q$8-Q$7)))</f>
        <v>0</v>
      </c>
      <c s="125">
        <f>IF(Предпосылки!$I132&gt;0,Q170,R124*(Предпосылки!$I132/(R$8-R$7)))</f>
        <v>0</v>
      </c>
      <c s="125">
        <f>IF(Предпосылки!$I132&gt;0,R170,S124*(Предпосылки!$I132/(S$8-S$7)))</f>
        <v>0</v>
      </c>
      <c s="125">
        <f>IF(Предпосылки!$I132&gt;0,S170,T124*(Предпосылки!$I132/(T$8-T$7)))</f>
        <v>0</v>
      </c>
      <c s="125">
        <f>IF(Предпосылки!$I132&gt;0,T170,U124*(Предпосылки!$I132/(U$8-U$7)))</f>
        <v>0</v>
      </c>
      <c s="125">
        <f>IF(Предпосылки!$I132&gt;0,U170,V124*(Предпосылки!$I132/(V$8-V$7)))</f>
        <v>0</v>
      </c>
      <c s="125">
        <f>IF(Предпосылки!$I132&gt;0,V170,W124*(Предпосылки!$I132/(W$8-W$7)))</f>
        <v>0</v>
      </c>
      <c s="125">
        <f>IF(Предпосылки!$I132&gt;0,W170,X124*(Предпосылки!$I132/(X$8-X$7)))</f>
        <v>0</v>
      </c>
      <c s="125">
        <f>IF(Предпосылки!$I132&gt;0,X170,Y124*(Предпосылки!$I132/(Y$8-Y$7)))</f>
        <v>0</v>
      </c>
      <c s="125">
        <f>IF(Предпосылки!$I132&gt;0,Y170,Z124*(Предпосылки!$I132/(Z$8-Z$7)))</f>
        <v>0</v>
      </c>
      <c s="125">
        <f>IF(Предпосылки!$I132&gt;0,Z170,AA124*(Предпосылки!$I132/(AA$8-AA$7)))</f>
        <v>0</v>
      </c>
      <c s="125">
        <f>IF(Предпосылки!$I132&gt;0,AA170,AB124*(Предпосылки!$I132/(AB$8-AB$7)))</f>
        <v>0</v>
      </c>
      <c s="125">
        <f>IF(Предпосылки!$I132&gt;0,AB170,AC124*(Предпосылки!$I132/(AC$8-AC$7)))</f>
        <v>0</v>
      </c>
      <c s="125">
        <f>IF(Предпосылки!$I132&gt;0,AC170,AD124*(Предпосылки!$I132/(AD$8-AD$7)))</f>
        <v>0</v>
      </c>
      <c s="125">
        <f>IF(Предпосылки!$I132&gt;0,AD170,AE124*(Предпосылки!$I132/(AE$8-AE$7)))</f>
        <v>0</v>
      </c>
      <c s="125">
        <f>IF(Предпосылки!$I132&gt;0,AE170,AF124*(Предпосылки!$I132/(AF$8-AF$7)))</f>
        <v>0</v>
      </c>
      <c s="125">
        <f>IF(Предпосылки!$I132&gt;0,AF170,AG124*(Предпосылки!$I132/(AG$8-AG$7)))</f>
        <v>0</v>
      </c>
      <c s="125">
        <f>IF(Предпосылки!$I132&gt;0,AG170,AH124*(Предпосылки!$I132/(AH$8-AH$7)))</f>
        <v>0</v>
      </c>
      <c s="125">
        <f>IF(Предпосылки!$I132&gt;0,AH170,AI124*(Предпосылки!$I132/(AI$8-AI$7)))</f>
        <v>0</v>
      </c>
      <c s="125">
        <f>IF(Предпосылки!$I132&gt;0,AI170,AJ124*(Предпосылки!$I132/(AJ$8-AJ$7)))</f>
        <v>0</v>
      </c>
      <c s="125">
        <f>IF(Предпосылки!$I132&gt;0,AJ170,AK124*(Предпосылки!$I132/(AK$8-AK$7)))</f>
        <v>0</v>
      </c>
      <c s="125">
        <f>IF(Предпосылки!$I132&gt;0,AK170,AL124*(Предпосылки!$I132/(AL$8-AL$7)))</f>
        <v>0</v>
      </c>
      <c s="125">
        <f>IF(Предпосылки!$I132&gt;0,AL170,AM124*(Предпосылки!$I132/(AM$8-AM$7)))</f>
        <v>0</v>
      </c>
      <c s="125">
        <f>IF(Предпосылки!$I132&gt;0,AM170,AN124*(Предпосылки!$I132/(AN$8-AN$7)))</f>
        <v>0</v>
      </c>
      <c s="125">
        <f>IF(Предпосылки!$I132&gt;0,AN170,AO124*(Предпосылки!$I132/(AO$8-AO$7)))</f>
        <v>0</v>
      </c>
      <c s="125">
        <f>IF(Предпосылки!$I132&gt;0,AO170,AP124*(Предпосылки!$I132/(AP$8-AP$7)))</f>
        <v>0</v>
      </c>
      <c s="125">
        <f>IF(Предпосылки!$I132&gt;0,AP170,AQ124*(Предпосылки!$I132/(AQ$8-AQ$7)))</f>
        <v>0</v>
      </c>
      <c s="125">
        <f>IF(Предпосылки!$I132&gt;0,AQ170,AR124*(Предпосылки!$I132/(AR$8-AR$7)))</f>
        <v>0</v>
      </c>
      <c s="125">
        <f>IF(Предпосылки!$I132&gt;0,AR170,AS124*(Предпосылки!$I132/(AS$8-AS$7)))</f>
        <v>0</v>
      </c>
      <c s="125">
        <f>IF(Предпосылки!$I132&gt;0,AS170,AT124*(Предпосылки!$I132/(AT$8-AT$7)))</f>
        <v>0</v>
      </c>
      <c s="125">
        <f>IF(Предпосылки!$I132&gt;0,AT170,AU124*(Предпосылки!$I132/(AU$8-AU$7)))</f>
        <v>0</v>
      </c>
      <c s="125">
        <f>IF(Предпосылки!$I132&gt;0,AU170,AV124*(Предпосылки!$I132/(AV$8-AV$7)))</f>
        <v>0</v>
      </c>
      <c s="125">
        <f>IF(Предпосылки!$I132&gt;0,AV170,AW124*(Предпосылки!$I132/(AW$8-AW$7)))</f>
        <v>0</v>
      </c>
      <c s="125">
        <f>IF(Предпосылки!$I132&gt;0,AW170,AX124*(Предпосылки!$I132/(AX$8-AX$7)))</f>
        <v>0</v>
      </c>
      <c s="125">
        <f>IF(Предпосылки!$I132&gt;0,AX170,AY124*(Предпосылки!$I132/(AY$8-AY$7)))</f>
        <v>0</v>
      </c>
      <c s="125">
        <f>IF(Предпосылки!$I132&gt;0,AY170,AZ124*(Предпосылки!$I132/(AZ$8-AZ$7)))</f>
        <v>0</v>
      </c>
      <c s="125">
        <f>IF(Предпосылки!$I132&gt;0,AZ170,BA124*(Предпосылки!$I132/(BA$8-BA$7)))</f>
        <v>0</v>
      </c>
      <c s="125">
        <f>IF(Предпосылки!$I132&gt;0,BA170,BB124*(Предпосылки!$I132/(BB$8-BB$7)))</f>
        <v>0</v>
      </c>
      <c s="125">
        <f>IF(Предпосылки!$I132&gt;0,BB170,BC124*(Предпосылки!$I132/(BC$8-BC$7)))</f>
        <v>0</v>
      </c>
      <c s="125">
        <f>IF(Предпосылки!$I132&gt;0,BC170,BD124*(Предпосылки!$I132/(BD$8-BD$7)))</f>
        <v>0</v>
      </c>
      <c s="125">
        <f>IF(Предпосылки!$I132&gt;0,BD170,BE124*(Предпосылки!$I132/(BE$8-BE$7)))</f>
        <v>0</v>
      </c>
      <c s="125">
        <f>IF(Предпосылки!$I132&gt;0,BE170,BF124*(Предпосылки!$I132/(BF$8-BF$7)))</f>
        <v>0</v>
      </c>
      <c s="125">
        <f>IF(Предпосылки!$I132&gt;0,BF170,BG124*(Предпосылки!$I132/(BG$8-BG$7)))</f>
        <v>0</v>
      </c>
      <c s="125">
        <f>IF(Предпосылки!$I132&gt;0,BG170,BH124*(Предпосылки!$I132/(BH$8-BH$7)))</f>
        <v>0</v>
      </c>
      <c s="125">
        <f>IF(Предпосылки!$I132&gt;0,BH170,BI124*(Предпосылки!$I132/(BI$8-BI$7)))</f>
        <v>0</v>
      </c>
      <c s="125">
        <f>IF(Предпосылки!$I132&gt;0,BI170,BJ124*(Предпосылки!$I132/(BJ$8-BJ$7)))</f>
        <v>0</v>
      </c>
      <c s="125">
        <f>IF(Предпосылки!$I132&gt;0,BJ170,BK124*(Предпосылки!$I132/(BK$8-BK$7)))</f>
        <v>0</v>
      </c>
      <c s="125">
        <f>IF(Предпосылки!$I132&gt;0,BK170,BL124*(Предпосылки!$I132/(BL$8-BL$7)))</f>
        <v>0</v>
      </c>
      <c s="125">
        <f>IF(Предпосылки!$I132&gt;0,BL170,BM124*(Предпосылки!$I132/(BM$8-BM$7)))</f>
        <v>0</v>
      </c>
    </row>
    <row r="102" spans="2:65" ht="15" customHeight="1">
      <c r="B102" s="12" t="str">
        <f>Предпосылки!B161</f>
        <v>Продукт 12</v>
      </c>
      <c s="124" t="str">
        <f t="shared" si="140"/>
        <v>тыс. руб.</v>
      </c>
      <c s="125"/>
      <c s="125">
        <f>IF(Предпосылки!$I133&gt;0,D171,E125*(Предпосылки!$I133/(E$8-E$7)))</f>
        <v>0</v>
      </c>
      <c s="125">
        <f>IF(Предпосылки!$I133&gt;0,E171,F125*(Предпосылки!$I133/(F$8-F$7)))</f>
        <v>0</v>
      </c>
      <c s="125">
        <f>IF(Предпосылки!$I133&gt;0,F171,G125*(Предпосылки!$I133/(G$8-G$7)))</f>
        <v>0</v>
      </c>
      <c s="125">
        <f>IF(Предпосылки!$I133&gt;0,G171,H125*(Предпосылки!$I133/(H$8-H$7)))</f>
        <v>0</v>
      </c>
      <c s="125">
        <f>IF(Предпосылки!$I133&gt;0,H171,I125*(Предпосылки!$I133/(I$8-I$7)))</f>
        <v>0</v>
      </c>
      <c s="125">
        <f>IF(Предпосылки!$I133&gt;0,I171,J125*(Предпосылки!$I133/(J$8-J$7)))</f>
        <v>0</v>
      </c>
      <c s="125">
        <f>IF(Предпосылки!$I133&gt;0,J171,K125*(Предпосылки!$I133/(K$8-K$7)))</f>
        <v>0</v>
      </c>
      <c s="125">
        <f>IF(Предпосылки!$I133&gt;0,K171,L125*(Предпосылки!$I133/(L$8-L$7)))</f>
        <v>0</v>
      </c>
      <c s="125">
        <f>IF(Предпосылки!$I133&gt;0,L171,M125*(Предпосылки!$I133/(M$8-M$7)))</f>
        <v>0</v>
      </c>
      <c s="125">
        <f>IF(Предпосылки!$I133&gt;0,M171,N125*(Предпосылки!$I133/(N$8-N$7)))</f>
        <v>0</v>
      </c>
      <c s="125">
        <f>IF(Предпосылки!$I133&gt;0,N171,O125*(Предпосылки!$I133/(O$8-O$7)))</f>
        <v>0</v>
      </c>
      <c s="125">
        <f>IF(Предпосылки!$I133&gt;0,O171,P125*(Предпосылки!$I133/(P$8-P$7)))</f>
        <v>0</v>
      </c>
      <c s="125">
        <f>IF(Предпосылки!$I133&gt;0,P171,Q125*(Предпосылки!$I133/(Q$8-Q$7)))</f>
        <v>0</v>
      </c>
      <c s="125">
        <f>IF(Предпосылки!$I133&gt;0,Q171,R125*(Предпосылки!$I133/(R$8-R$7)))</f>
        <v>0</v>
      </c>
      <c s="125">
        <f>IF(Предпосылки!$I133&gt;0,R171,S125*(Предпосылки!$I133/(S$8-S$7)))</f>
        <v>0</v>
      </c>
      <c s="125">
        <f>IF(Предпосылки!$I133&gt;0,S171,T125*(Предпосылки!$I133/(T$8-T$7)))</f>
        <v>0</v>
      </c>
      <c s="125">
        <f>IF(Предпосылки!$I133&gt;0,T171,U125*(Предпосылки!$I133/(U$8-U$7)))</f>
        <v>0</v>
      </c>
      <c s="125">
        <f>IF(Предпосылки!$I133&gt;0,U171,V125*(Предпосылки!$I133/(V$8-V$7)))</f>
        <v>0</v>
      </c>
      <c s="125">
        <f>IF(Предпосылки!$I133&gt;0,V171,W125*(Предпосылки!$I133/(W$8-W$7)))</f>
        <v>0</v>
      </c>
      <c s="125">
        <f>IF(Предпосылки!$I133&gt;0,W171,X125*(Предпосылки!$I133/(X$8-X$7)))</f>
        <v>0</v>
      </c>
      <c s="125">
        <f>IF(Предпосылки!$I133&gt;0,X171,Y125*(Предпосылки!$I133/(Y$8-Y$7)))</f>
        <v>0</v>
      </c>
      <c s="125">
        <f>IF(Предпосылки!$I133&gt;0,Y171,Z125*(Предпосылки!$I133/(Z$8-Z$7)))</f>
        <v>0</v>
      </c>
      <c s="125">
        <f>IF(Предпосылки!$I133&gt;0,Z171,AA125*(Предпосылки!$I133/(AA$8-AA$7)))</f>
        <v>0</v>
      </c>
      <c s="125">
        <f>IF(Предпосылки!$I133&gt;0,AA171,AB125*(Предпосылки!$I133/(AB$8-AB$7)))</f>
        <v>0</v>
      </c>
      <c s="125">
        <f>IF(Предпосылки!$I133&gt;0,AB171,AC125*(Предпосылки!$I133/(AC$8-AC$7)))</f>
        <v>0</v>
      </c>
      <c s="125">
        <f>IF(Предпосылки!$I133&gt;0,AC171,AD125*(Предпосылки!$I133/(AD$8-AD$7)))</f>
        <v>0</v>
      </c>
      <c s="125">
        <f>IF(Предпосылки!$I133&gt;0,AD171,AE125*(Предпосылки!$I133/(AE$8-AE$7)))</f>
        <v>0</v>
      </c>
      <c s="125">
        <f>IF(Предпосылки!$I133&gt;0,AE171,AF125*(Предпосылки!$I133/(AF$8-AF$7)))</f>
        <v>0</v>
      </c>
      <c s="125">
        <f>IF(Предпосылки!$I133&gt;0,AF171,AG125*(Предпосылки!$I133/(AG$8-AG$7)))</f>
        <v>0</v>
      </c>
      <c s="125">
        <f>IF(Предпосылки!$I133&gt;0,AG171,AH125*(Предпосылки!$I133/(AH$8-AH$7)))</f>
        <v>0</v>
      </c>
      <c s="125">
        <f>IF(Предпосылки!$I133&gt;0,AH171,AI125*(Предпосылки!$I133/(AI$8-AI$7)))</f>
        <v>0</v>
      </c>
      <c s="125">
        <f>IF(Предпосылки!$I133&gt;0,AI171,AJ125*(Предпосылки!$I133/(AJ$8-AJ$7)))</f>
        <v>0</v>
      </c>
      <c s="125">
        <f>IF(Предпосылки!$I133&gt;0,AJ171,AK125*(Предпосылки!$I133/(AK$8-AK$7)))</f>
        <v>0</v>
      </c>
      <c s="125">
        <f>IF(Предпосылки!$I133&gt;0,AK171,AL125*(Предпосылки!$I133/(AL$8-AL$7)))</f>
        <v>0</v>
      </c>
      <c s="125">
        <f>IF(Предпосылки!$I133&gt;0,AL171,AM125*(Предпосылки!$I133/(AM$8-AM$7)))</f>
        <v>0</v>
      </c>
      <c s="125">
        <f>IF(Предпосылки!$I133&gt;0,AM171,AN125*(Предпосылки!$I133/(AN$8-AN$7)))</f>
        <v>0</v>
      </c>
      <c s="125">
        <f>IF(Предпосылки!$I133&gt;0,AN171,AO125*(Предпосылки!$I133/(AO$8-AO$7)))</f>
        <v>0</v>
      </c>
      <c s="125">
        <f>IF(Предпосылки!$I133&gt;0,AO171,AP125*(Предпосылки!$I133/(AP$8-AP$7)))</f>
        <v>0</v>
      </c>
      <c s="125">
        <f>IF(Предпосылки!$I133&gt;0,AP171,AQ125*(Предпосылки!$I133/(AQ$8-AQ$7)))</f>
        <v>0</v>
      </c>
      <c s="125">
        <f>IF(Предпосылки!$I133&gt;0,AQ171,AR125*(Предпосылки!$I133/(AR$8-AR$7)))</f>
        <v>0</v>
      </c>
      <c s="125">
        <f>IF(Предпосылки!$I133&gt;0,AR171,AS125*(Предпосылки!$I133/(AS$8-AS$7)))</f>
        <v>0</v>
      </c>
      <c s="125">
        <f>IF(Предпосылки!$I133&gt;0,AS171,AT125*(Предпосылки!$I133/(AT$8-AT$7)))</f>
        <v>0</v>
      </c>
      <c s="125">
        <f>IF(Предпосылки!$I133&gt;0,AT171,AU125*(Предпосылки!$I133/(AU$8-AU$7)))</f>
        <v>0</v>
      </c>
      <c s="125">
        <f>IF(Предпосылки!$I133&gt;0,AU171,AV125*(Предпосылки!$I133/(AV$8-AV$7)))</f>
        <v>0</v>
      </c>
      <c s="125">
        <f>IF(Предпосылки!$I133&gt;0,AV171,AW125*(Предпосылки!$I133/(AW$8-AW$7)))</f>
        <v>0</v>
      </c>
      <c s="125">
        <f>IF(Предпосылки!$I133&gt;0,AW171,AX125*(Предпосылки!$I133/(AX$8-AX$7)))</f>
        <v>0</v>
      </c>
      <c s="125">
        <f>IF(Предпосылки!$I133&gt;0,AX171,AY125*(Предпосылки!$I133/(AY$8-AY$7)))</f>
        <v>0</v>
      </c>
      <c s="125">
        <f>IF(Предпосылки!$I133&gt;0,AY171,AZ125*(Предпосылки!$I133/(AZ$8-AZ$7)))</f>
        <v>0</v>
      </c>
      <c s="125">
        <f>IF(Предпосылки!$I133&gt;0,AZ171,BA125*(Предпосылки!$I133/(BA$8-BA$7)))</f>
        <v>0</v>
      </c>
      <c s="125">
        <f>IF(Предпосылки!$I133&gt;0,BA171,BB125*(Предпосылки!$I133/(BB$8-BB$7)))</f>
        <v>0</v>
      </c>
      <c s="125">
        <f>IF(Предпосылки!$I133&gt;0,BB171,BC125*(Предпосылки!$I133/(BC$8-BC$7)))</f>
        <v>0</v>
      </c>
      <c s="125">
        <f>IF(Предпосылки!$I133&gt;0,BC171,BD125*(Предпосылки!$I133/(BD$8-BD$7)))</f>
        <v>0</v>
      </c>
      <c s="125">
        <f>IF(Предпосылки!$I133&gt;0,BD171,BE125*(Предпосылки!$I133/(BE$8-BE$7)))</f>
        <v>0</v>
      </c>
      <c s="125">
        <f>IF(Предпосылки!$I133&gt;0,BE171,BF125*(Предпосылки!$I133/(BF$8-BF$7)))</f>
        <v>0</v>
      </c>
      <c s="125">
        <f>IF(Предпосылки!$I133&gt;0,BF171,BG125*(Предпосылки!$I133/(BG$8-BG$7)))</f>
        <v>0</v>
      </c>
      <c s="125">
        <f>IF(Предпосылки!$I133&gt;0,BG171,BH125*(Предпосылки!$I133/(BH$8-BH$7)))</f>
        <v>0</v>
      </c>
      <c s="125">
        <f>IF(Предпосылки!$I133&gt;0,BH171,BI125*(Предпосылки!$I133/(BI$8-BI$7)))</f>
        <v>0</v>
      </c>
      <c s="125">
        <f>IF(Предпосылки!$I133&gt;0,BI171,BJ125*(Предпосылки!$I133/(BJ$8-BJ$7)))</f>
        <v>0</v>
      </c>
      <c s="125">
        <f>IF(Предпосылки!$I133&gt;0,BJ171,BK125*(Предпосылки!$I133/(BK$8-BK$7)))</f>
        <v>0</v>
      </c>
      <c s="125">
        <f>IF(Предпосылки!$I133&gt;0,BK171,BL125*(Предпосылки!$I133/(BL$8-BL$7)))</f>
        <v>0</v>
      </c>
      <c s="125">
        <f>IF(Предпосылки!$I133&gt;0,BL171,BM125*(Предпосылки!$I133/(BM$8-BM$7)))</f>
        <v>0</v>
      </c>
    </row>
    <row r="103" spans="2:65" ht="15" customHeight="1">
      <c r="B103" s="12" t="str">
        <f>Предпосылки!B162</f>
        <v>Продукт 13</v>
      </c>
      <c s="124" t="str">
        <f t="shared" si="140"/>
        <v>тыс. руб.</v>
      </c>
      <c s="125"/>
      <c s="125">
        <f>IF(Предпосылки!$I134&gt;0,D172,E126*(Предпосылки!$I134/(E$8-E$7)))</f>
        <v>0</v>
      </c>
      <c s="125">
        <f>IF(Предпосылки!$I134&gt;0,E172,F126*(Предпосылки!$I134/(F$8-F$7)))</f>
        <v>0</v>
      </c>
      <c s="125">
        <f>IF(Предпосылки!$I134&gt;0,F172,G126*(Предпосылки!$I134/(G$8-G$7)))</f>
        <v>0</v>
      </c>
      <c s="125">
        <f>IF(Предпосылки!$I134&gt;0,G172,H126*(Предпосылки!$I134/(H$8-H$7)))</f>
        <v>0</v>
      </c>
      <c s="125">
        <f>IF(Предпосылки!$I134&gt;0,H172,I126*(Предпосылки!$I134/(I$8-I$7)))</f>
        <v>0</v>
      </c>
      <c s="125">
        <f>IF(Предпосылки!$I134&gt;0,I172,J126*(Предпосылки!$I134/(J$8-J$7)))</f>
        <v>0</v>
      </c>
      <c s="125">
        <f>IF(Предпосылки!$I134&gt;0,J172,K126*(Предпосылки!$I134/(K$8-K$7)))</f>
        <v>0</v>
      </c>
      <c s="125">
        <f>IF(Предпосылки!$I134&gt;0,K172,L126*(Предпосылки!$I134/(L$8-L$7)))</f>
        <v>0</v>
      </c>
      <c s="125">
        <f>IF(Предпосылки!$I134&gt;0,L172,M126*(Предпосылки!$I134/(M$8-M$7)))</f>
        <v>0</v>
      </c>
      <c s="125">
        <f>IF(Предпосылки!$I134&gt;0,M172,N126*(Предпосылки!$I134/(N$8-N$7)))</f>
        <v>0</v>
      </c>
      <c s="125">
        <f>IF(Предпосылки!$I134&gt;0,N172,O126*(Предпосылки!$I134/(O$8-O$7)))</f>
        <v>0</v>
      </c>
      <c s="125">
        <f>IF(Предпосылки!$I134&gt;0,O172,P126*(Предпосылки!$I134/(P$8-P$7)))</f>
        <v>0</v>
      </c>
      <c s="125">
        <f>IF(Предпосылки!$I134&gt;0,P172,Q126*(Предпосылки!$I134/(Q$8-Q$7)))</f>
        <v>0</v>
      </c>
      <c s="125">
        <f>IF(Предпосылки!$I134&gt;0,Q172,R126*(Предпосылки!$I134/(R$8-R$7)))</f>
        <v>0</v>
      </c>
      <c s="125">
        <f>IF(Предпосылки!$I134&gt;0,R172,S126*(Предпосылки!$I134/(S$8-S$7)))</f>
        <v>0</v>
      </c>
      <c s="125">
        <f>IF(Предпосылки!$I134&gt;0,S172,T126*(Предпосылки!$I134/(T$8-T$7)))</f>
        <v>0</v>
      </c>
      <c s="125">
        <f>IF(Предпосылки!$I134&gt;0,T172,U126*(Предпосылки!$I134/(U$8-U$7)))</f>
        <v>0</v>
      </c>
      <c s="125">
        <f>IF(Предпосылки!$I134&gt;0,U172,V126*(Предпосылки!$I134/(V$8-V$7)))</f>
        <v>0</v>
      </c>
      <c s="125">
        <f>IF(Предпосылки!$I134&gt;0,V172,W126*(Предпосылки!$I134/(W$8-W$7)))</f>
        <v>0</v>
      </c>
      <c s="125">
        <f>IF(Предпосылки!$I134&gt;0,W172,X126*(Предпосылки!$I134/(X$8-X$7)))</f>
        <v>0</v>
      </c>
      <c s="125">
        <f>IF(Предпосылки!$I134&gt;0,X172,Y126*(Предпосылки!$I134/(Y$8-Y$7)))</f>
        <v>0</v>
      </c>
      <c s="125">
        <f>IF(Предпосылки!$I134&gt;0,Y172,Z126*(Предпосылки!$I134/(Z$8-Z$7)))</f>
        <v>0</v>
      </c>
      <c s="125">
        <f>IF(Предпосылки!$I134&gt;0,Z172,AA126*(Предпосылки!$I134/(AA$8-AA$7)))</f>
        <v>0</v>
      </c>
      <c s="125">
        <f>IF(Предпосылки!$I134&gt;0,AA172,AB126*(Предпосылки!$I134/(AB$8-AB$7)))</f>
        <v>0</v>
      </c>
      <c s="125">
        <f>IF(Предпосылки!$I134&gt;0,AB172,AC126*(Предпосылки!$I134/(AC$8-AC$7)))</f>
        <v>0</v>
      </c>
      <c s="125">
        <f>IF(Предпосылки!$I134&gt;0,AC172,AD126*(Предпосылки!$I134/(AD$8-AD$7)))</f>
        <v>0</v>
      </c>
      <c s="125">
        <f>IF(Предпосылки!$I134&gt;0,AD172,AE126*(Предпосылки!$I134/(AE$8-AE$7)))</f>
        <v>0</v>
      </c>
      <c s="125">
        <f>IF(Предпосылки!$I134&gt;0,AE172,AF126*(Предпосылки!$I134/(AF$8-AF$7)))</f>
        <v>0</v>
      </c>
      <c s="125">
        <f>IF(Предпосылки!$I134&gt;0,AF172,AG126*(Предпосылки!$I134/(AG$8-AG$7)))</f>
        <v>0</v>
      </c>
      <c s="125">
        <f>IF(Предпосылки!$I134&gt;0,AG172,AH126*(Предпосылки!$I134/(AH$8-AH$7)))</f>
        <v>0</v>
      </c>
      <c s="125">
        <f>IF(Предпосылки!$I134&gt;0,AH172,AI126*(Предпосылки!$I134/(AI$8-AI$7)))</f>
        <v>0</v>
      </c>
      <c s="125">
        <f>IF(Предпосылки!$I134&gt;0,AI172,AJ126*(Предпосылки!$I134/(AJ$8-AJ$7)))</f>
        <v>0</v>
      </c>
      <c s="125">
        <f>IF(Предпосылки!$I134&gt;0,AJ172,AK126*(Предпосылки!$I134/(AK$8-AK$7)))</f>
        <v>0</v>
      </c>
      <c s="125">
        <f>IF(Предпосылки!$I134&gt;0,AK172,AL126*(Предпосылки!$I134/(AL$8-AL$7)))</f>
        <v>0</v>
      </c>
      <c s="125">
        <f>IF(Предпосылки!$I134&gt;0,AL172,AM126*(Предпосылки!$I134/(AM$8-AM$7)))</f>
        <v>0</v>
      </c>
      <c s="125">
        <f>IF(Предпосылки!$I134&gt;0,AM172,AN126*(Предпосылки!$I134/(AN$8-AN$7)))</f>
        <v>0</v>
      </c>
      <c s="125">
        <f>IF(Предпосылки!$I134&gt;0,AN172,AO126*(Предпосылки!$I134/(AO$8-AO$7)))</f>
        <v>0</v>
      </c>
      <c s="125">
        <f>IF(Предпосылки!$I134&gt;0,AO172,AP126*(Предпосылки!$I134/(AP$8-AP$7)))</f>
        <v>0</v>
      </c>
      <c s="125">
        <f>IF(Предпосылки!$I134&gt;0,AP172,AQ126*(Предпосылки!$I134/(AQ$8-AQ$7)))</f>
        <v>0</v>
      </c>
      <c s="125">
        <f>IF(Предпосылки!$I134&gt;0,AQ172,AR126*(Предпосылки!$I134/(AR$8-AR$7)))</f>
        <v>0</v>
      </c>
      <c s="125">
        <f>IF(Предпосылки!$I134&gt;0,AR172,AS126*(Предпосылки!$I134/(AS$8-AS$7)))</f>
        <v>0</v>
      </c>
      <c s="125">
        <f>IF(Предпосылки!$I134&gt;0,AS172,AT126*(Предпосылки!$I134/(AT$8-AT$7)))</f>
        <v>0</v>
      </c>
      <c s="125">
        <f>IF(Предпосылки!$I134&gt;0,AT172,AU126*(Предпосылки!$I134/(AU$8-AU$7)))</f>
        <v>0</v>
      </c>
      <c s="125">
        <f>IF(Предпосылки!$I134&gt;0,AU172,AV126*(Предпосылки!$I134/(AV$8-AV$7)))</f>
        <v>0</v>
      </c>
      <c s="125">
        <f>IF(Предпосылки!$I134&gt;0,AV172,AW126*(Предпосылки!$I134/(AW$8-AW$7)))</f>
        <v>0</v>
      </c>
      <c s="125">
        <f>IF(Предпосылки!$I134&gt;0,AW172,AX126*(Предпосылки!$I134/(AX$8-AX$7)))</f>
        <v>0</v>
      </c>
      <c s="125">
        <f>IF(Предпосылки!$I134&gt;0,AX172,AY126*(Предпосылки!$I134/(AY$8-AY$7)))</f>
        <v>0</v>
      </c>
      <c s="125">
        <f>IF(Предпосылки!$I134&gt;0,AY172,AZ126*(Предпосылки!$I134/(AZ$8-AZ$7)))</f>
        <v>0</v>
      </c>
      <c s="125">
        <f>IF(Предпосылки!$I134&gt;0,AZ172,BA126*(Предпосылки!$I134/(BA$8-BA$7)))</f>
        <v>0</v>
      </c>
      <c s="125">
        <f>IF(Предпосылки!$I134&gt;0,BA172,BB126*(Предпосылки!$I134/(BB$8-BB$7)))</f>
        <v>0</v>
      </c>
      <c s="125">
        <f>IF(Предпосылки!$I134&gt;0,BB172,BC126*(Предпосылки!$I134/(BC$8-BC$7)))</f>
        <v>0</v>
      </c>
      <c s="125">
        <f>IF(Предпосылки!$I134&gt;0,BC172,BD126*(Предпосылки!$I134/(BD$8-BD$7)))</f>
        <v>0</v>
      </c>
      <c s="125">
        <f>IF(Предпосылки!$I134&gt;0,BD172,BE126*(Предпосылки!$I134/(BE$8-BE$7)))</f>
        <v>0</v>
      </c>
      <c s="125">
        <f>IF(Предпосылки!$I134&gt;0,BE172,BF126*(Предпосылки!$I134/(BF$8-BF$7)))</f>
        <v>0</v>
      </c>
      <c s="125">
        <f>IF(Предпосылки!$I134&gt;0,BF172,BG126*(Предпосылки!$I134/(BG$8-BG$7)))</f>
        <v>0</v>
      </c>
      <c s="125">
        <f>IF(Предпосылки!$I134&gt;0,BG172,BH126*(Предпосылки!$I134/(BH$8-BH$7)))</f>
        <v>0</v>
      </c>
      <c s="125">
        <f>IF(Предпосылки!$I134&gt;0,BH172,BI126*(Предпосылки!$I134/(BI$8-BI$7)))</f>
        <v>0</v>
      </c>
      <c s="125">
        <f>IF(Предпосылки!$I134&gt;0,BI172,BJ126*(Предпосылки!$I134/(BJ$8-BJ$7)))</f>
        <v>0</v>
      </c>
      <c s="125">
        <f>IF(Предпосылки!$I134&gt;0,BJ172,BK126*(Предпосылки!$I134/(BK$8-BK$7)))</f>
        <v>0</v>
      </c>
      <c s="125">
        <f>IF(Предпосылки!$I134&gt;0,BK172,BL126*(Предпосылки!$I134/(BL$8-BL$7)))</f>
        <v>0</v>
      </c>
      <c s="125">
        <f>IF(Предпосылки!$I134&gt;0,BL172,BM126*(Предпосылки!$I134/(BM$8-BM$7)))</f>
        <v>0</v>
      </c>
    </row>
    <row r="104" spans="2:65" ht="15" customHeight="1">
      <c r="B104" s="12" t="str">
        <f>Предпосылки!B163</f>
        <v>Продукт 14</v>
      </c>
      <c s="124" t="str">
        <f t="shared" si="140"/>
        <v>тыс. руб.</v>
      </c>
      <c s="125"/>
      <c s="125">
        <f>IF(Предпосылки!$I135&gt;0,D173,E127*(Предпосылки!$I135/(E$8-E$7)))</f>
        <v>0</v>
      </c>
      <c s="125">
        <f>IF(Предпосылки!$I135&gt;0,E173,F127*(Предпосылки!$I135/(F$8-F$7)))</f>
        <v>0</v>
      </c>
      <c s="125">
        <f>IF(Предпосылки!$I135&gt;0,F173,G127*(Предпосылки!$I135/(G$8-G$7)))</f>
        <v>0</v>
      </c>
      <c s="125">
        <f>IF(Предпосылки!$I135&gt;0,G173,H127*(Предпосылки!$I135/(H$8-H$7)))</f>
        <v>0</v>
      </c>
      <c s="125">
        <f>IF(Предпосылки!$I135&gt;0,H173,I127*(Предпосылки!$I135/(I$8-I$7)))</f>
        <v>0</v>
      </c>
      <c s="125">
        <f>IF(Предпосылки!$I135&gt;0,I173,J127*(Предпосылки!$I135/(J$8-J$7)))</f>
        <v>0</v>
      </c>
      <c s="125">
        <f>IF(Предпосылки!$I135&gt;0,J173,K127*(Предпосылки!$I135/(K$8-K$7)))</f>
        <v>0</v>
      </c>
      <c s="125">
        <f>IF(Предпосылки!$I135&gt;0,K173,L127*(Предпосылки!$I135/(L$8-L$7)))</f>
        <v>0</v>
      </c>
      <c s="125">
        <f>IF(Предпосылки!$I135&gt;0,L173,M127*(Предпосылки!$I135/(M$8-M$7)))</f>
        <v>0</v>
      </c>
      <c s="125">
        <f>IF(Предпосылки!$I135&gt;0,M173,N127*(Предпосылки!$I135/(N$8-N$7)))</f>
        <v>0</v>
      </c>
      <c s="125">
        <f>IF(Предпосылки!$I135&gt;0,N173,O127*(Предпосылки!$I135/(O$8-O$7)))</f>
        <v>0</v>
      </c>
      <c s="125">
        <f>IF(Предпосылки!$I135&gt;0,O173,P127*(Предпосылки!$I135/(P$8-P$7)))</f>
        <v>0</v>
      </c>
      <c s="125">
        <f>IF(Предпосылки!$I135&gt;0,P173,Q127*(Предпосылки!$I135/(Q$8-Q$7)))</f>
        <v>0</v>
      </c>
      <c s="125">
        <f>IF(Предпосылки!$I135&gt;0,Q173,R127*(Предпосылки!$I135/(R$8-R$7)))</f>
        <v>0</v>
      </c>
      <c s="125">
        <f>IF(Предпосылки!$I135&gt;0,R173,S127*(Предпосылки!$I135/(S$8-S$7)))</f>
        <v>0</v>
      </c>
      <c s="125">
        <f>IF(Предпосылки!$I135&gt;0,S173,T127*(Предпосылки!$I135/(T$8-T$7)))</f>
        <v>0</v>
      </c>
      <c s="125">
        <f>IF(Предпосылки!$I135&gt;0,T173,U127*(Предпосылки!$I135/(U$8-U$7)))</f>
        <v>0</v>
      </c>
      <c s="125">
        <f>IF(Предпосылки!$I135&gt;0,U173,V127*(Предпосылки!$I135/(V$8-V$7)))</f>
        <v>0</v>
      </c>
      <c s="125">
        <f>IF(Предпосылки!$I135&gt;0,V173,W127*(Предпосылки!$I135/(W$8-W$7)))</f>
        <v>0</v>
      </c>
      <c s="125">
        <f>IF(Предпосылки!$I135&gt;0,W173,X127*(Предпосылки!$I135/(X$8-X$7)))</f>
        <v>0</v>
      </c>
      <c s="125">
        <f>IF(Предпосылки!$I135&gt;0,X173,Y127*(Предпосылки!$I135/(Y$8-Y$7)))</f>
        <v>0</v>
      </c>
      <c s="125">
        <f>IF(Предпосылки!$I135&gt;0,Y173,Z127*(Предпосылки!$I135/(Z$8-Z$7)))</f>
        <v>0</v>
      </c>
      <c s="125">
        <f>IF(Предпосылки!$I135&gt;0,Z173,AA127*(Предпосылки!$I135/(AA$8-AA$7)))</f>
        <v>0</v>
      </c>
      <c s="125">
        <f>IF(Предпосылки!$I135&gt;0,AA173,AB127*(Предпосылки!$I135/(AB$8-AB$7)))</f>
        <v>0</v>
      </c>
      <c s="125">
        <f>IF(Предпосылки!$I135&gt;0,AB173,AC127*(Предпосылки!$I135/(AC$8-AC$7)))</f>
        <v>0</v>
      </c>
      <c s="125">
        <f>IF(Предпосылки!$I135&gt;0,AC173,AD127*(Предпосылки!$I135/(AD$8-AD$7)))</f>
        <v>0</v>
      </c>
      <c s="125">
        <f>IF(Предпосылки!$I135&gt;0,AD173,AE127*(Предпосылки!$I135/(AE$8-AE$7)))</f>
        <v>0</v>
      </c>
      <c s="125">
        <f>IF(Предпосылки!$I135&gt;0,AE173,AF127*(Предпосылки!$I135/(AF$8-AF$7)))</f>
        <v>0</v>
      </c>
      <c s="125">
        <f>IF(Предпосылки!$I135&gt;0,AF173,AG127*(Предпосылки!$I135/(AG$8-AG$7)))</f>
        <v>0</v>
      </c>
      <c s="125">
        <f>IF(Предпосылки!$I135&gt;0,AG173,AH127*(Предпосылки!$I135/(AH$8-AH$7)))</f>
        <v>0</v>
      </c>
      <c s="125">
        <f>IF(Предпосылки!$I135&gt;0,AH173,AI127*(Предпосылки!$I135/(AI$8-AI$7)))</f>
        <v>0</v>
      </c>
      <c s="125">
        <f>IF(Предпосылки!$I135&gt;0,AI173,AJ127*(Предпосылки!$I135/(AJ$8-AJ$7)))</f>
        <v>0</v>
      </c>
      <c s="125">
        <f>IF(Предпосылки!$I135&gt;0,AJ173,AK127*(Предпосылки!$I135/(AK$8-AK$7)))</f>
        <v>0</v>
      </c>
      <c s="125">
        <f>IF(Предпосылки!$I135&gt;0,AK173,AL127*(Предпосылки!$I135/(AL$8-AL$7)))</f>
        <v>0</v>
      </c>
      <c s="125">
        <f>IF(Предпосылки!$I135&gt;0,AL173,AM127*(Предпосылки!$I135/(AM$8-AM$7)))</f>
        <v>0</v>
      </c>
      <c s="125">
        <f>IF(Предпосылки!$I135&gt;0,AM173,AN127*(Предпосылки!$I135/(AN$8-AN$7)))</f>
        <v>0</v>
      </c>
      <c s="125">
        <f>IF(Предпосылки!$I135&gt;0,AN173,AO127*(Предпосылки!$I135/(AO$8-AO$7)))</f>
        <v>0</v>
      </c>
      <c s="125">
        <f>IF(Предпосылки!$I135&gt;0,AO173,AP127*(Предпосылки!$I135/(AP$8-AP$7)))</f>
        <v>0</v>
      </c>
      <c s="125">
        <f>IF(Предпосылки!$I135&gt;0,AP173,AQ127*(Предпосылки!$I135/(AQ$8-AQ$7)))</f>
        <v>0</v>
      </c>
      <c s="125">
        <f>IF(Предпосылки!$I135&gt;0,AQ173,AR127*(Предпосылки!$I135/(AR$8-AR$7)))</f>
        <v>0</v>
      </c>
      <c s="125">
        <f>IF(Предпосылки!$I135&gt;0,AR173,AS127*(Предпосылки!$I135/(AS$8-AS$7)))</f>
        <v>0</v>
      </c>
      <c s="125">
        <f>IF(Предпосылки!$I135&gt;0,AS173,AT127*(Предпосылки!$I135/(AT$8-AT$7)))</f>
        <v>0</v>
      </c>
      <c s="125">
        <f>IF(Предпосылки!$I135&gt;0,AT173,AU127*(Предпосылки!$I135/(AU$8-AU$7)))</f>
        <v>0</v>
      </c>
      <c s="125">
        <f>IF(Предпосылки!$I135&gt;0,AU173,AV127*(Предпосылки!$I135/(AV$8-AV$7)))</f>
        <v>0</v>
      </c>
      <c s="125">
        <f>IF(Предпосылки!$I135&gt;0,AV173,AW127*(Предпосылки!$I135/(AW$8-AW$7)))</f>
        <v>0</v>
      </c>
      <c s="125">
        <f>IF(Предпосылки!$I135&gt;0,AW173,AX127*(Предпосылки!$I135/(AX$8-AX$7)))</f>
        <v>0</v>
      </c>
      <c s="125">
        <f>IF(Предпосылки!$I135&gt;0,AX173,AY127*(Предпосылки!$I135/(AY$8-AY$7)))</f>
        <v>0</v>
      </c>
      <c s="125">
        <f>IF(Предпосылки!$I135&gt;0,AY173,AZ127*(Предпосылки!$I135/(AZ$8-AZ$7)))</f>
        <v>0</v>
      </c>
      <c s="125">
        <f>IF(Предпосылки!$I135&gt;0,AZ173,BA127*(Предпосылки!$I135/(BA$8-BA$7)))</f>
        <v>0</v>
      </c>
      <c s="125">
        <f>IF(Предпосылки!$I135&gt;0,BA173,BB127*(Предпосылки!$I135/(BB$8-BB$7)))</f>
        <v>0</v>
      </c>
      <c s="125">
        <f>IF(Предпосылки!$I135&gt;0,BB173,BC127*(Предпосылки!$I135/(BC$8-BC$7)))</f>
        <v>0</v>
      </c>
      <c s="125">
        <f>IF(Предпосылки!$I135&gt;0,BC173,BD127*(Предпосылки!$I135/(BD$8-BD$7)))</f>
        <v>0</v>
      </c>
      <c s="125">
        <f>IF(Предпосылки!$I135&gt;0,BD173,BE127*(Предпосылки!$I135/(BE$8-BE$7)))</f>
        <v>0</v>
      </c>
      <c s="125">
        <f>IF(Предпосылки!$I135&gt;0,BE173,BF127*(Предпосылки!$I135/(BF$8-BF$7)))</f>
        <v>0</v>
      </c>
      <c s="125">
        <f>IF(Предпосылки!$I135&gt;0,BF173,BG127*(Предпосылки!$I135/(BG$8-BG$7)))</f>
        <v>0</v>
      </c>
      <c s="125">
        <f>IF(Предпосылки!$I135&gt;0,BG173,BH127*(Предпосылки!$I135/(BH$8-BH$7)))</f>
        <v>0</v>
      </c>
      <c s="125">
        <f>IF(Предпосылки!$I135&gt;0,BH173,BI127*(Предпосылки!$I135/(BI$8-BI$7)))</f>
        <v>0</v>
      </c>
      <c s="125">
        <f>IF(Предпосылки!$I135&gt;0,BI173,BJ127*(Предпосылки!$I135/(BJ$8-BJ$7)))</f>
        <v>0</v>
      </c>
      <c s="125">
        <f>IF(Предпосылки!$I135&gt;0,BJ173,BK127*(Предпосылки!$I135/(BK$8-BK$7)))</f>
        <v>0</v>
      </c>
      <c s="125">
        <f>IF(Предпосылки!$I135&gt;0,BK173,BL127*(Предпосылки!$I135/(BL$8-BL$7)))</f>
        <v>0</v>
      </c>
      <c s="125">
        <f>IF(Предпосылки!$I135&gt;0,BL173,BM127*(Предпосылки!$I135/(BM$8-BM$7)))</f>
        <v>0</v>
      </c>
    </row>
    <row r="105" spans="2:65" ht="15" customHeight="1">
      <c r="B105" s="12" t="str">
        <f>Предпосылки!B164</f>
        <v>Продукт 15</v>
      </c>
      <c s="124" t="str">
        <f t="shared" si="140"/>
        <v>тыс. руб.</v>
      </c>
      <c s="125"/>
      <c s="125">
        <f>IF(Предпосылки!$I136&gt;0,D174,E128*(Предпосылки!$I136/(E$8-E$7)))</f>
        <v>0</v>
      </c>
      <c s="125">
        <f>IF(Предпосылки!$I136&gt;0,E174,F128*(Предпосылки!$I136/(F$8-F$7)))</f>
        <v>0</v>
      </c>
      <c s="125">
        <f>IF(Предпосылки!$I136&gt;0,F174,G128*(Предпосылки!$I136/(G$8-G$7)))</f>
        <v>0</v>
      </c>
      <c s="125">
        <f>IF(Предпосылки!$I136&gt;0,G174,H128*(Предпосылки!$I136/(H$8-H$7)))</f>
        <v>0</v>
      </c>
      <c s="125">
        <f>IF(Предпосылки!$I136&gt;0,H174,I128*(Предпосылки!$I136/(I$8-I$7)))</f>
        <v>0</v>
      </c>
      <c s="125">
        <f>IF(Предпосылки!$I136&gt;0,I174,J128*(Предпосылки!$I136/(J$8-J$7)))</f>
        <v>0</v>
      </c>
      <c s="125">
        <f>IF(Предпосылки!$I136&gt;0,J174,K128*(Предпосылки!$I136/(K$8-K$7)))</f>
        <v>0</v>
      </c>
      <c s="125">
        <f>IF(Предпосылки!$I136&gt;0,K174,L128*(Предпосылки!$I136/(L$8-L$7)))</f>
        <v>0</v>
      </c>
      <c s="125">
        <f>IF(Предпосылки!$I136&gt;0,L174,M128*(Предпосылки!$I136/(M$8-M$7)))</f>
        <v>0</v>
      </c>
      <c s="125">
        <f>IF(Предпосылки!$I136&gt;0,M174,N128*(Предпосылки!$I136/(N$8-N$7)))</f>
        <v>0</v>
      </c>
      <c s="125">
        <f>IF(Предпосылки!$I136&gt;0,N174,O128*(Предпосылки!$I136/(O$8-O$7)))</f>
        <v>0</v>
      </c>
      <c s="125">
        <f>IF(Предпосылки!$I136&gt;0,O174,P128*(Предпосылки!$I136/(P$8-P$7)))</f>
        <v>0</v>
      </c>
      <c s="125">
        <f>IF(Предпосылки!$I136&gt;0,P174,Q128*(Предпосылки!$I136/(Q$8-Q$7)))</f>
        <v>0</v>
      </c>
      <c s="125">
        <f>IF(Предпосылки!$I136&gt;0,Q174,R128*(Предпосылки!$I136/(R$8-R$7)))</f>
        <v>0</v>
      </c>
      <c s="125">
        <f>IF(Предпосылки!$I136&gt;0,R174,S128*(Предпосылки!$I136/(S$8-S$7)))</f>
        <v>0</v>
      </c>
      <c s="125">
        <f>IF(Предпосылки!$I136&gt;0,S174,T128*(Предпосылки!$I136/(T$8-T$7)))</f>
        <v>0</v>
      </c>
      <c s="125">
        <f>IF(Предпосылки!$I136&gt;0,T174,U128*(Предпосылки!$I136/(U$8-U$7)))</f>
        <v>0</v>
      </c>
      <c s="125">
        <f>IF(Предпосылки!$I136&gt;0,U174,V128*(Предпосылки!$I136/(V$8-V$7)))</f>
        <v>0</v>
      </c>
      <c s="125">
        <f>IF(Предпосылки!$I136&gt;0,V174,W128*(Предпосылки!$I136/(W$8-W$7)))</f>
        <v>0</v>
      </c>
      <c s="125">
        <f>IF(Предпосылки!$I136&gt;0,W174,X128*(Предпосылки!$I136/(X$8-X$7)))</f>
        <v>0</v>
      </c>
      <c s="125">
        <f>IF(Предпосылки!$I136&gt;0,X174,Y128*(Предпосылки!$I136/(Y$8-Y$7)))</f>
        <v>0</v>
      </c>
      <c s="125">
        <f>IF(Предпосылки!$I136&gt;0,Y174,Z128*(Предпосылки!$I136/(Z$8-Z$7)))</f>
        <v>0</v>
      </c>
      <c s="125">
        <f>IF(Предпосылки!$I136&gt;0,Z174,AA128*(Предпосылки!$I136/(AA$8-AA$7)))</f>
        <v>0</v>
      </c>
      <c s="125">
        <f>IF(Предпосылки!$I136&gt;0,AA174,AB128*(Предпосылки!$I136/(AB$8-AB$7)))</f>
        <v>0</v>
      </c>
      <c s="125">
        <f>IF(Предпосылки!$I136&gt;0,AB174,AC128*(Предпосылки!$I136/(AC$8-AC$7)))</f>
        <v>0</v>
      </c>
      <c s="125">
        <f>IF(Предпосылки!$I136&gt;0,AC174,AD128*(Предпосылки!$I136/(AD$8-AD$7)))</f>
        <v>0</v>
      </c>
      <c s="125">
        <f>IF(Предпосылки!$I136&gt;0,AD174,AE128*(Предпосылки!$I136/(AE$8-AE$7)))</f>
        <v>0</v>
      </c>
      <c s="125">
        <f>IF(Предпосылки!$I136&gt;0,AE174,AF128*(Предпосылки!$I136/(AF$8-AF$7)))</f>
        <v>0</v>
      </c>
      <c s="125">
        <f>IF(Предпосылки!$I136&gt;0,AF174,AG128*(Предпосылки!$I136/(AG$8-AG$7)))</f>
        <v>0</v>
      </c>
      <c s="125">
        <f>IF(Предпосылки!$I136&gt;0,AG174,AH128*(Предпосылки!$I136/(AH$8-AH$7)))</f>
        <v>0</v>
      </c>
      <c s="125">
        <f>IF(Предпосылки!$I136&gt;0,AH174,AI128*(Предпосылки!$I136/(AI$8-AI$7)))</f>
        <v>0</v>
      </c>
      <c s="125">
        <f>IF(Предпосылки!$I136&gt;0,AI174,AJ128*(Предпосылки!$I136/(AJ$8-AJ$7)))</f>
        <v>0</v>
      </c>
      <c s="125">
        <f>IF(Предпосылки!$I136&gt;0,AJ174,AK128*(Предпосылки!$I136/(AK$8-AK$7)))</f>
        <v>0</v>
      </c>
      <c s="125">
        <f>IF(Предпосылки!$I136&gt;0,AK174,AL128*(Предпосылки!$I136/(AL$8-AL$7)))</f>
        <v>0</v>
      </c>
      <c s="125">
        <f>IF(Предпосылки!$I136&gt;0,AL174,AM128*(Предпосылки!$I136/(AM$8-AM$7)))</f>
        <v>0</v>
      </c>
      <c s="125">
        <f>IF(Предпосылки!$I136&gt;0,AM174,AN128*(Предпосылки!$I136/(AN$8-AN$7)))</f>
        <v>0</v>
      </c>
      <c s="125">
        <f>IF(Предпосылки!$I136&gt;0,AN174,AO128*(Предпосылки!$I136/(AO$8-AO$7)))</f>
        <v>0</v>
      </c>
      <c s="125">
        <f>IF(Предпосылки!$I136&gt;0,AO174,AP128*(Предпосылки!$I136/(AP$8-AP$7)))</f>
        <v>0</v>
      </c>
      <c s="125">
        <f>IF(Предпосылки!$I136&gt;0,AP174,AQ128*(Предпосылки!$I136/(AQ$8-AQ$7)))</f>
        <v>0</v>
      </c>
      <c s="125">
        <f>IF(Предпосылки!$I136&gt;0,AQ174,AR128*(Предпосылки!$I136/(AR$8-AR$7)))</f>
        <v>0</v>
      </c>
      <c s="125">
        <f>IF(Предпосылки!$I136&gt;0,AR174,AS128*(Предпосылки!$I136/(AS$8-AS$7)))</f>
        <v>0</v>
      </c>
      <c s="125">
        <f>IF(Предпосылки!$I136&gt;0,AS174,AT128*(Предпосылки!$I136/(AT$8-AT$7)))</f>
        <v>0</v>
      </c>
      <c s="125">
        <f>IF(Предпосылки!$I136&gt;0,AT174,AU128*(Предпосылки!$I136/(AU$8-AU$7)))</f>
        <v>0</v>
      </c>
      <c s="125">
        <f>IF(Предпосылки!$I136&gt;0,AU174,AV128*(Предпосылки!$I136/(AV$8-AV$7)))</f>
        <v>0</v>
      </c>
      <c s="125">
        <f>IF(Предпосылки!$I136&gt;0,AV174,AW128*(Предпосылки!$I136/(AW$8-AW$7)))</f>
        <v>0</v>
      </c>
      <c s="125">
        <f>IF(Предпосылки!$I136&gt;0,AW174,AX128*(Предпосылки!$I136/(AX$8-AX$7)))</f>
        <v>0</v>
      </c>
      <c s="125">
        <f>IF(Предпосылки!$I136&gt;0,AX174,AY128*(Предпосылки!$I136/(AY$8-AY$7)))</f>
        <v>0</v>
      </c>
      <c s="125">
        <f>IF(Предпосылки!$I136&gt;0,AY174,AZ128*(Предпосылки!$I136/(AZ$8-AZ$7)))</f>
        <v>0</v>
      </c>
      <c s="125">
        <f>IF(Предпосылки!$I136&gt;0,AZ174,BA128*(Предпосылки!$I136/(BA$8-BA$7)))</f>
        <v>0</v>
      </c>
      <c s="125">
        <f>IF(Предпосылки!$I136&gt;0,BA174,BB128*(Предпосылки!$I136/(BB$8-BB$7)))</f>
        <v>0</v>
      </c>
      <c s="125">
        <f>IF(Предпосылки!$I136&gt;0,BB174,BC128*(Предпосылки!$I136/(BC$8-BC$7)))</f>
        <v>0</v>
      </c>
      <c s="125">
        <f>IF(Предпосылки!$I136&gt;0,BC174,BD128*(Предпосылки!$I136/(BD$8-BD$7)))</f>
        <v>0</v>
      </c>
      <c s="125">
        <f>IF(Предпосылки!$I136&gt;0,BD174,BE128*(Предпосылки!$I136/(BE$8-BE$7)))</f>
        <v>0</v>
      </c>
      <c s="125">
        <f>IF(Предпосылки!$I136&gt;0,BE174,BF128*(Предпосылки!$I136/(BF$8-BF$7)))</f>
        <v>0</v>
      </c>
      <c s="125">
        <f>IF(Предпосылки!$I136&gt;0,BF174,BG128*(Предпосылки!$I136/(BG$8-BG$7)))</f>
        <v>0</v>
      </c>
      <c s="125">
        <f>IF(Предпосылки!$I136&gt;0,BG174,BH128*(Предпосылки!$I136/(BH$8-BH$7)))</f>
        <v>0</v>
      </c>
      <c s="125">
        <f>IF(Предпосылки!$I136&gt;0,BH174,BI128*(Предпосылки!$I136/(BI$8-BI$7)))</f>
        <v>0</v>
      </c>
      <c s="125">
        <f>IF(Предпосылки!$I136&gt;0,BI174,BJ128*(Предпосылки!$I136/(BJ$8-BJ$7)))</f>
        <v>0</v>
      </c>
      <c s="125">
        <f>IF(Предпосылки!$I136&gt;0,BJ174,BK128*(Предпосылки!$I136/(BK$8-BK$7)))</f>
        <v>0</v>
      </c>
      <c s="125">
        <f>IF(Предпосылки!$I136&gt;0,BK174,BL128*(Предпосылки!$I136/(BL$8-BL$7)))</f>
        <v>0</v>
      </c>
      <c s="125">
        <f>IF(Предпосылки!$I136&gt;0,BL174,BM128*(Предпосылки!$I136/(BM$8-BM$7)))</f>
        <v>0</v>
      </c>
    </row>
    <row r="106" spans="2:65" ht="15" customHeight="1">
      <c r="B106" s="12" t="str">
        <f>Предпосылки!B165</f>
        <v>Продукт 16</v>
      </c>
      <c s="124" t="str">
        <f t="shared" si="140"/>
        <v>тыс. руб.</v>
      </c>
      <c s="125"/>
      <c s="125">
        <f>IF(Предпосылки!$I137&gt;0,D175,E129*(Предпосылки!$I137/(E$8-E$7)))</f>
        <v>0</v>
      </c>
      <c s="125">
        <f>IF(Предпосылки!$I137&gt;0,E175,F129*(Предпосылки!$I137/(F$8-F$7)))</f>
        <v>0</v>
      </c>
      <c s="125">
        <f>IF(Предпосылки!$I137&gt;0,F175,G129*(Предпосылки!$I137/(G$8-G$7)))</f>
        <v>0</v>
      </c>
      <c s="125">
        <f>IF(Предпосылки!$I137&gt;0,G175,H129*(Предпосылки!$I137/(H$8-H$7)))</f>
        <v>0</v>
      </c>
      <c s="125">
        <f>IF(Предпосылки!$I137&gt;0,H175,I129*(Предпосылки!$I137/(I$8-I$7)))</f>
        <v>0</v>
      </c>
      <c s="125">
        <f>IF(Предпосылки!$I137&gt;0,I175,J129*(Предпосылки!$I137/(J$8-J$7)))</f>
        <v>0</v>
      </c>
      <c s="125">
        <f>IF(Предпосылки!$I137&gt;0,J175,K129*(Предпосылки!$I137/(K$8-K$7)))</f>
        <v>0</v>
      </c>
      <c s="125">
        <f>IF(Предпосылки!$I137&gt;0,K175,L129*(Предпосылки!$I137/(L$8-L$7)))</f>
        <v>0</v>
      </c>
      <c s="125">
        <f>IF(Предпосылки!$I137&gt;0,L175,M129*(Предпосылки!$I137/(M$8-M$7)))</f>
        <v>0</v>
      </c>
      <c s="125">
        <f>IF(Предпосылки!$I137&gt;0,M175,N129*(Предпосылки!$I137/(N$8-N$7)))</f>
        <v>0</v>
      </c>
      <c s="125">
        <f>IF(Предпосылки!$I137&gt;0,N175,O129*(Предпосылки!$I137/(O$8-O$7)))</f>
        <v>0</v>
      </c>
      <c s="125">
        <f>IF(Предпосылки!$I137&gt;0,O175,P129*(Предпосылки!$I137/(P$8-P$7)))</f>
        <v>0</v>
      </c>
      <c s="125">
        <f>IF(Предпосылки!$I137&gt;0,P175,Q129*(Предпосылки!$I137/(Q$8-Q$7)))</f>
        <v>0</v>
      </c>
      <c s="125">
        <f>IF(Предпосылки!$I137&gt;0,Q175,R129*(Предпосылки!$I137/(R$8-R$7)))</f>
        <v>0</v>
      </c>
      <c s="125">
        <f>IF(Предпосылки!$I137&gt;0,R175,S129*(Предпосылки!$I137/(S$8-S$7)))</f>
        <v>0</v>
      </c>
      <c s="125">
        <f>IF(Предпосылки!$I137&gt;0,S175,T129*(Предпосылки!$I137/(T$8-T$7)))</f>
        <v>0</v>
      </c>
      <c s="125">
        <f>IF(Предпосылки!$I137&gt;0,T175,U129*(Предпосылки!$I137/(U$8-U$7)))</f>
        <v>0</v>
      </c>
      <c s="125">
        <f>IF(Предпосылки!$I137&gt;0,U175,V129*(Предпосылки!$I137/(V$8-V$7)))</f>
        <v>0</v>
      </c>
      <c s="125">
        <f>IF(Предпосылки!$I137&gt;0,V175,W129*(Предпосылки!$I137/(W$8-W$7)))</f>
        <v>0</v>
      </c>
      <c s="125">
        <f>IF(Предпосылки!$I137&gt;0,W175,X129*(Предпосылки!$I137/(X$8-X$7)))</f>
        <v>0</v>
      </c>
      <c s="125">
        <f>IF(Предпосылки!$I137&gt;0,X175,Y129*(Предпосылки!$I137/(Y$8-Y$7)))</f>
        <v>0</v>
      </c>
      <c s="125">
        <f>IF(Предпосылки!$I137&gt;0,Y175,Z129*(Предпосылки!$I137/(Z$8-Z$7)))</f>
        <v>0</v>
      </c>
      <c s="125">
        <f>IF(Предпосылки!$I137&gt;0,Z175,AA129*(Предпосылки!$I137/(AA$8-AA$7)))</f>
        <v>0</v>
      </c>
      <c s="125">
        <f>IF(Предпосылки!$I137&gt;0,AA175,AB129*(Предпосылки!$I137/(AB$8-AB$7)))</f>
        <v>0</v>
      </c>
      <c s="125">
        <f>IF(Предпосылки!$I137&gt;0,AB175,AC129*(Предпосылки!$I137/(AC$8-AC$7)))</f>
        <v>0</v>
      </c>
      <c s="125">
        <f>IF(Предпосылки!$I137&gt;0,AC175,AD129*(Предпосылки!$I137/(AD$8-AD$7)))</f>
        <v>0</v>
      </c>
      <c s="125">
        <f>IF(Предпосылки!$I137&gt;0,AD175,AE129*(Предпосылки!$I137/(AE$8-AE$7)))</f>
        <v>0</v>
      </c>
      <c s="125">
        <f>IF(Предпосылки!$I137&gt;0,AE175,AF129*(Предпосылки!$I137/(AF$8-AF$7)))</f>
        <v>0</v>
      </c>
      <c s="125">
        <f>IF(Предпосылки!$I137&gt;0,AF175,AG129*(Предпосылки!$I137/(AG$8-AG$7)))</f>
        <v>0</v>
      </c>
      <c s="125">
        <f>IF(Предпосылки!$I137&gt;0,AG175,AH129*(Предпосылки!$I137/(AH$8-AH$7)))</f>
        <v>0</v>
      </c>
      <c s="125">
        <f>IF(Предпосылки!$I137&gt;0,AH175,AI129*(Предпосылки!$I137/(AI$8-AI$7)))</f>
        <v>0</v>
      </c>
      <c s="125">
        <f>IF(Предпосылки!$I137&gt;0,AI175,AJ129*(Предпосылки!$I137/(AJ$8-AJ$7)))</f>
        <v>0</v>
      </c>
      <c s="125">
        <f>IF(Предпосылки!$I137&gt;0,AJ175,AK129*(Предпосылки!$I137/(AK$8-AK$7)))</f>
        <v>0</v>
      </c>
      <c s="125">
        <f>IF(Предпосылки!$I137&gt;0,AK175,AL129*(Предпосылки!$I137/(AL$8-AL$7)))</f>
        <v>0</v>
      </c>
      <c s="125">
        <f>IF(Предпосылки!$I137&gt;0,AL175,AM129*(Предпосылки!$I137/(AM$8-AM$7)))</f>
        <v>0</v>
      </c>
      <c s="125">
        <f>IF(Предпосылки!$I137&gt;0,AM175,AN129*(Предпосылки!$I137/(AN$8-AN$7)))</f>
        <v>0</v>
      </c>
      <c s="125">
        <f>IF(Предпосылки!$I137&gt;0,AN175,AO129*(Предпосылки!$I137/(AO$8-AO$7)))</f>
        <v>0</v>
      </c>
      <c s="125">
        <f>IF(Предпосылки!$I137&gt;0,AO175,AP129*(Предпосылки!$I137/(AP$8-AP$7)))</f>
        <v>0</v>
      </c>
      <c s="125">
        <f>IF(Предпосылки!$I137&gt;0,AP175,AQ129*(Предпосылки!$I137/(AQ$8-AQ$7)))</f>
        <v>0</v>
      </c>
      <c s="125">
        <f>IF(Предпосылки!$I137&gt;0,AQ175,AR129*(Предпосылки!$I137/(AR$8-AR$7)))</f>
        <v>0</v>
      </c>
      <c s="125">
        <f>IF(Предпосылки!$I137&gt;0,AR175,AS129*(Предпосылки!$I137/(AS$8-AS$7)))</f>
        <v>0</v>
      </c>
      <c s="125">
        <f>IF(Предпосылки!$I137&gt;0,AS175,AT129*(Предпосылки!$I137/(AT$8-AT$7)))</f>
        <v>0</v>
      </c>
      <c s="125">
        <f>IF(Предпосылки!$I137&gt;0,AT175,AU129*(Предпосылки!$I137/(AU$8-AU$7)))</f>
        <v>0</v>
      </c>
      <c s="125">
        <f>IF(Предпосылки!$I137&gt;0,AU175,AV129*(Предпосылки!$I137/(AV$8-AV$7)))</f>
        <v>0</v>
      </c>
      <c s="125">
        <f>IF(Предпосылки!$I137&gt;0,AV175,AW129*(Предпосылки!$I137/(AW$8-AW$7)))</f>
        <v>0</v>
      </c>
      <c s="125">
        <f>IF(Предпосылки!$I137&gt;0,AW175,AX129*(Предпосылки!$I137/(AX$8-AX$7)))</f>
        <v>0</v>
      </c>
      <c s="125">
        <f>IF(Предпосылки!$I137&gt;0,AX175,AY129*(Предпосылки!$I137/(AY$8-AY$7)))</f>
        <v>0</v>
      </c>
      <c s="125">
        <f>IF(Предпосылки!$I137&gt;0,AY175,AZ129*(Предпосылки!$I137/(AZ$8-AZ$7)))</f>
        <v>0</v>
      </c>
      <c s="125">
        <f>IF(Предпосылки!$I137&gt;0,AZ175,BA129*(Предпосылки!$I137/(BA$8-BA$7)))</f>
        <v>0</v>
      </c>
      <c s="125">
        <f>IF(Предпосылки!$I137&gt;0,BA175,BB129*(Предпосылки!$I137/(BB$8-BB$7)))</f>
        <v>0</v>
      </c>
      <c s="125">
        <f>IF(Предпосылки!$I137&gt;0,BB175,BC129*(Предпосылки!$I137/(BC$8-BC$7)))</f>
        <v>0</v>
      </c>
      <c s="125">
        <f>IF(Предпосылки!$I137&gt;0,BC175,BD129*(Предпосылки!$I137/(BD$8-BD$7)))</f>
        <v>0</v>
      </c>
      <c s="125">
        <f>IF(Предпосылки!$I137&gt;0,BD175,BE129*(Предпосылки!$I137/(BE$8-BE$7)))</f>
        <v>0</v>
      </c>
      <c s="125">
        <f>IF(Предпосылки!$I137&gt;0,BE175,BF129*(Предпосылки!$I137/(BF$8-BF$7)))</f>
        <v>0</v>
      </c>
      <c s="125">
        <f>IF(Предпосылки!$I137&gt;0,BF175,BG129*(Предпосылки!$I137/(BG$8-BG$7)))</f>
        <v>0</v>
      </c>
      <c s="125">
        <f>IF(Предпосылки!$I137&gt;0,BG175,BH129*(Предпосылки!$I137/(BH$8-BH$7)))</f>
        <v>0</v>
      </c>
      <c s="125">
        <f>IF(Предпосылки!$I137&gt;0,BH175,BI129*(Предпосылки!$I137/(BI$8-BI$7)))</f>
        <v>0</v>
      </c>
      <c s="125">
        <f>IF(Предпосылки!$I137&gt;0,BI175,BJ129*(Предпосылки!$I137/(BJ$8-BJ$7)))</f>
        <v>0</v>
      </c>
      <c s="125">
        <f>IF(Предпосылки!$I137&gt;0,BJ175,BK129*(Предпосылки!$I137/(BK$8-BK$7)))</f>
        <v>0</v>
      </c>
      <c s="125">
        <f>IF(Предпосылки!$I137&gt;0,BK175,BL129*(Предпосылки!$I137/(BL$8-BL$7)))</f>
        <v>0</v>
      </c>
      <c s="125">
        <f>IF(Предпосылки!$I137&gt;0,BL175,BM129*(Предпосылки!$I137/(BM$8-BM$7)))</f>
        <v>0</v>
      </c>
    </row>
    <row r="107" spans="2:65" ht="15" customHeight="1">
      <c r="B107" s="12" t="str">
        <f>Предпосылки!B166</f>
        <v>Продукт 17</v>
      </c>
      <c s="124" t="str">
        <f t="shared" si="140"/>
        <v>тыс. руб.</v>
      </c>
      <c s="125"/>
      <c s="125">
        <f>IF(Предпосылки!$I138&gt;0,D176,E130*(Предпосылки!$I138/(E$8-E$7)))</f>
        <v>0</v>
      </c>
      <c s="125">
        <f>IF(Предпосылки!$I138&gt;0,E176,F130*(Предпосылки!$I138/(F$8-F$7)))</f>
        <v>0</v>
      </c>
      <c s="125">
        <f>IF(Предпосылки!$I138&gt;0,F176,G130*(Предпосылки!$I138/(G$8-G$7)))</f>
        <v>0</v>
      </c>
      <c s="125">
        <f>IF(Предпосылки!$I138&gt;0,G176,H130*(Предпосылки!$I138/(H$8-H$7)))</f>
        <v>0</v>
      </c>
      <c s="125">
        <f>IF(Предпосылки!$I138&gt;0,H176,I130*(Предпосылки!$I138/(I$8-I$7)))</f>
        <v>0</v>
      </c>
      <c s="125">
        <f>IF(Предпосылки!$I138&gt;0,I176,J130*(Предпосылки!$I138/(J$8-J$7)))</f>
        <v>0</v>
      </c>
      <c s="125">
        <f>IF(Предпосылки!$I138&gt;0,J176,K130*(Предпосылки!$I138/(K$8-K$7)))</f>
        <v>0</v>
      </c>
      <c s="125">
        <f>IF(Предпосылки!$I138&gt;0,K176,L130*(Предпосылки!$I138/(L$8-L$7)))</f>
        <v>0</v>
      </c>
      <c s="125">
        <f>IF(Предпосылки!$I138&gt;0,L176,M130*(Предпосылки!$I138/(M$8-M$7)))</f>
        <v>0</v>
      </c>
      <c s="125">
        <f>IF(Предпосылки!$I138&gt;0,M176,N130*(Предпосылки!$I138/(N$8-N$7)))</f>
        <v>0</v>
      </c>
      <c s="125">
        <f>IF(Предпосылки!$I138&gt;0,N176,O130*(Предпосылки!$I138/(O$8-O$7)))</f>
        <v>0</v>
      </c>
      <c s="125">
        <f>IF(Предпосылки!$I138&gt;0,O176,P130*(Предпосылки!$I138/(P$8-P$7)))</f>
        <v>0</v>
      </c>
      <c s="125">
        <f>IF(Предпосылки!$I138&gt;0,P176,Q130*(Предпосылки!$I138/(Q$8-Q$7)))</f>
        <v>0</v>
      </c>
      <c s="125">
        <f>IF(Предпосылки!$I138&gt;0,Q176,R130*(Предпосылки!$I138/(R$8-R$7)))</f>
        <v>0</v>
      </c>
      <c s="125">
        <f>IF(Предпосылки!$I138&gt;0,R176,S130*(Предпосылки!$I138/(S$8-S$7)))</f>
        <v>0</v>
      </c>
      <c s="125">
        <f>IF(Предпосылки!$I138&gt;0,S176,T130*(Предпосылки!$I138/(T$8-T$7)))</f>
        <v>0</v>
      </c>
      <c s="125">
        <f>IF(Предпосылки!$I138&gt;0,T176,U130*(Предпосылки!$I138/(U$8-U$7)))</f>
        <v>0</v>
      </c>
      <c s="125">
        <f>IF(Предпосылки!$I138&gt;0,U176,V130*(Предпосылки!$I138/(V$8-V$7)))</f>
        <v>0</v>
      </c>
      <c s="125">
        <f>IF(Предпосылки!$I138&gt;0,V176,W130*(Предпосылки!$I138/(W$8-W$7)))</f>
        <v>0</v>
      </c>
      <c s="125">
        <f>IF(Предпосылки!$I138&gt;0,W176,X130*(Предпосылки!$I138/(X$8-X$7)))</f>
        <v>0</v>
      </c>
      <c s="125">
        <f>IF(Предпосылки!$I138&gt;0,X176,Y130*(Предпосылки!$I138/(Y$8-Y$7)))</f>
        <v>0</v>
      </c>
      <c s="125">
        <f>IF(Предпосылки!$I138&gt;0,Y176,Z130*(Предпосылки!$I138/(Z$8-Z$7)))</f>
        <v>0</v>
      </c>
      <c s="125">
        <f>IF(Предпосылки!$I138&gt;0,Z176,AA130*(Предпосылки!$I138/(AA$8-AA$7)))</f>
        <v>0</v>
      </c>
      <c s="125">
        <f>IF(Предпосылки!$I138&gt;0,AA176,AB130*(Предпосылки!$I138/(AB$8-AB$7)))</f>
        <v>0</v>
      </c>
      <c s="125">
        <f>IF(Предпосылки!$I138&gt;0,AB176,AC130*(Предпосылки!$I138/(AC$8-AC$7)))</f>
        <v>0</v>
      </c>
      <c s="125">
        <f>IF(Предпосылки!$I138&gt;0,AC176,AD130*(Предпосылки!$I138/(AD$8-AD$7)))</f>
        <v>0</v>
      </c>
      <c s="125">
        <f>IF(Предпосылки!$I138&gt;0,AD176,AE130*(Предпосылки!$I138/(AE$8-AE$7)))</f>
        <v>0</v>
      </c>
      <c s="125">
        <f>IF(Предпосылки!$I138&gt;0,AE176,AF130*(Предпосылки!$I138/(AF$8-AF$7)))</f>
        <v>0</v>
      </c>
      <c s="125">
        <f>IF(Предпосылки!$I138&gt;0,AF176,AG130*(Предпосылки!$I138/(AG$8-AG$7)))</f>
        <v>0</v>
      </c>
      <c s="125">
        <f>IF(Предпосылки!$I138&gt;0,AG176,AH130*(Предпосылки!$I138/(AH$8-AH$7)))</f>
        <v>0</v>
      </c>
      <c s="125">
        <f>IF(Предпосылки!$I138&gt;0,AH176,AI130*(Предпосылки!$I138/(AI$8-AI$7)))</f>
        <v>0</v>
      </c>
      <c s="125">
        <f>IF(Предпосылки!$I138&gt;0,AI176,AJ130*(Предпосылки!$I138/(AJ$8-AJ$7)))</f>
        <v>0</v>
      </c>
      <c s="125">
        <f>IF(Предпосылки!$I138&gt;0,AJ176,AK130*(Предпосылки!$I138/(AK$8-AK$7)))</f>
        <v>0</v>
      </c>
      <c s="125">
        <f>IF(Предпосылки!$I138&gt;0,AK176,AL130*(Предпосылки!$I138/(AL$8-AL$7)))</f>
        <v>0</v>
      </c>
      <c s="125">
        <f>IF(Предпосылки!$I138&gt;0,AL176,AM130*(Предпосылки!$I138/(AM$8-AM$7)))</f>
        <v>0</v>
      </c>
      <c s="125">
        <f>IF(Предпосылки!$I138&gt;0,AM176,AN130*(Предпосылки!$I138/(AN$8-AN$7)))</f>
        <v>0</v>
      </c>
      <c s="125">
        <f>IF(Предпосылки!$I138&gt;0,AN176,AO130*(Предпосылки!$I138/(AO$8-AO$7)))</f>
        <v>0</v>
      </c>
      <c s="125">
        <f>IF(Предпосылки!$I138&gt;0,AO176,AP130*(Предпосылки!$I138/(AP$8-AP$7)))</f>
        <v>0</v>
      </c>
      <c s="125">
        <f>IF(Предпосылки!$I138&gt;0,AP176,AQ130*(Предпосылки!$I138/(AQ$8-AQ$7)))</f>
        <v>0</v>
      </c>
      <c s="125">
        <f>IF(Предпосылки!$I138&gt;0,AQ176,AR130*(Предпосылки!$I138/(AR$8-AR$7)))</f>
        <v>0</v>
      </c>
      <c s="125">
        <f>IF(Предпосылки!$I138&gt;0,AR176,AS130*(Предпосылки!$I138/(AS$8-AS$7)))</f>
        <v>0</v>
      </c>
      <c s="125">
        <f>IF(Предпосылки!$I138&gt;0,AS176,AT130*(Предпосылки!$I138/(AT$8-AT$7)))</f>
        <v>0</v>
      </c>
      <c s="125">
        <f>IF(Предпосылки!$I138&gt;0,AT176,AU130*(Предпосылки!$I138/(AU$8-AU$7)))</f>
        <v>0</v>
      </c>
      <c s="125">
        <f>IF(Предпосылки!$I138&gt;0,AU176,AV130*(Предпосылки!$I138/(AV$8-AV$7)))</f>
        <v>0</v>
      </c>
      <c s="125">
        <f>IF(Предпосылки!$I138&gt;0,AV176,AW130*(Предпосылки!$I138/(AW$8-AW$7)))</f>
        <v>0</v>
      </c>
      <c s="125">
        <f>IF(Предпосылки!$I138&gt;0,AW176,AX130*(Предпосылки!$I138/(AX$8-AX$7)))</f>
        <v>0</v>
      </c>
      <c s="125">
        <f>IF(Предпосылки!$I138&gt;0,AX176,AY130*(Предпосылки!$I138/(AY$8-AY$7)))</f>
        <v>0</v>
      </c>
      <c s="125">
        <f>IF(Предпосылки!$I138&gt;0,AY176,AZ130*(Предпосылки!$I138/(AZ$8-AZ$7)))</f>
        <v>0</v>
      </c>
      <c s="125">
        <f>IF(Предпосылки!$I138&gt;0,AZ176,BA130*(Предпосылки!$I138/(BA$8-BA$7)))</f>
        <v>0</v>
      </c>
      <c s="125">
        <f>IF(Предпосылки!$I138&gt;0,BA176,BB130*(Предпосылки!$I138/(BB$8-BB$7)))</f>
        <v>0</v>
      </c>
      <c s="125">
        <f>IF(Предпосылки!$I138&gt;0,BB176,BC130*(Предпосылки!$I138/(BC$8-BC$7)))</f>
        <v>0</v>
      </c>
      <c s="125">
        <f>IF(Предпосылки!$I138&gt;0,BC176,BD130*(Предпосылки!$I138/(BD$8-BD$7)))</f>
        <v>0</v>
      </c>
      <c s="125">
        <f>IF(Предпосылки!$I138&gt;0,BD176,BE130*(Предпосылки!$I138/(BE$8-BE$7)))</f>
        <v>0</v>
      </c>
      <c s="125">
        <f>IF(Предпосылки!$I138&gt;0,BE176,BF130*(Предпосылки!$I138/(BF$8-BF$7)))</f>
        <v>0</v>
      </c>
      <c s="125">
        <f>IF(Предпосылки!$I138&gt;0,BF176,BG130*(Предпосылки!$I138/(BG$8-BG$7)))</f>
        <v>0</v>
      </c>
      <c s="125">
        <f>IF(Предпосылки!$I138&gt;0,BG176,BH130*(Предпосылки!$I138/(BH$8-BH$7)))</f>
        <v>0</v>
      </c>
      <c s="125">
        <f>IF(Предпосылки!$I138&gt;0,BH176,BI130*(Предпосылки!$I138/(BI$8-BI$7)))</f>
        <v>0</v>
      </c>
      <c s="125">
        <f>IF(Предпосылки!$I138&gt;0,BI176,BJ130*(Предпосылки!$I138/(BJ$8-BJ$7)))</f>
        <v>0</v>
      </c>
      <c s="125">
        <f>IF(Предпосылки!$I138&gt;0,BJ176,BK130*(Предпосылки!$I138/(BK$8-BK$7)))</f>
        <v>0</v>
      </c>
      <c s="125">
        <f>IF(Предпосылки!$I138&gt;0,BK176,BL130*(Предпосылки!$I138/(BL$8-BL$7)))</f>
        <v>0</v>
      </c>
      <c s="125">
        <f>IF(Предпосылки!$I138&gt;0,BL176,BM130*(Предпосылки!$I138/(BM$8-BM$7)))</f>
        <v>0</v>
      </c>
    </row>
    <row r="108" spans="2:65" ht="15" customHeight="1">
      <c r="B108" s="12" t="str">
        <f>Предпосылки!B167</f>
        <v>Продукт 18</v>
      </c>
      <c s="124" t="str">
        <f t="shared" si="140"/>
        <v>тыс. руб.</v>
      </c>
      <c s="125"/>
      <c s="125">
        <f>IF(Предпосылки!$I139&gt;0,D177,E131*(Предпосылки!$I139/(E$8-E$7)))</f>
        <v>0</v>
      </c>
      <c s="125">
        <f>IF(Предпосылки!$I139&gt;0,E177,F131*(Предпосылки!$I139/(F$8-F$7)))</f>
        <v>0</v>
      </c>
      <c s="125">
        <f>IF(Предпосылки!$I139&gt;0,F177,G131*(Предпосылки!$I139/(G$8-G$7)))</f>
        <v>0</v>
      </c>
      <c s="125">
        <f>IF(Предпосылки!$I139&gt;0,G177,H131*(Предпосылки!$I139/(H$8-H$7)))</f>
        <v>0</v>
      </c>
      <c s="125">
        <f>IF(Предпосылки!$I139&gt;0,H177,I131*(Предпосылки!$I139/(I$8-I$7)))</f>
        <v>0</v>
      </c>
      <c s="125">
        <f>IF(Предпосылки!$I139&gt;0,I177,J131*(Предпосылки!$I139/(J$8-J$7)))</f>
        <v>0</v>
      </c>
      <c s="125">
        <f>IF(Предпосылки!$I139&gt;0,J177,K131*(Предпосылки!$I139/(K$8-K$7)))</f>
        <v>0</v>
      </c>
      <c s="125">
        <f>IF(Предпосылки!$I139&gt;0,K177,L131*(Предпосылки!$I139/(L$8-L$7)))</f>
        <v>0</v>
      </c>
      <c s="125">
        <f>IF(Предпосылки!$I139&gt;0,L177,M131*(Предпосылки!$I139/(M$8-M$7)))</f>
        <v>0</v>
      </c>
      <c s="125">
        <f>IF(Предпосылки!$I139&gt;0,M177,N131*(Предпосылки!$I139/(N$8-N$7)))</f>
        <v>0</v>
      </c>
      <c s="125">
        <f>IF(Предпосылки!$I139&gt;0,N177,O131*(Предпосылки!$I139/(O$8-O$7)))</f>
        <v>0</v>
      </c>
      <c s="125">
        <f>IF(Предпосылки!$I139&gt;0,O177,P131*(Предпосылки!$I139/(P$8-P$7)))</f>
        <v>0</v>
      </c>
      <c s="125">
        <f>IF(Предпосылки!$I139&gt;0,P177,Q131*(Предпосылки!$I139/(Q$8-Q$7)))</f>
        <v>0</v>
      </c>
      <c s="125">
        <f>IF(Предпосылки!$I139&gt;0,Q177,R131*(Предпосылки!$I139/(R$8-R$7)))</f>
        <v>0</v>
      </c>
      <c s="125">
        <f>IF(Предпосылки!$I139&gt;0,R177,S131*(Предпосылки!$I139/(S$8-S$7)))</f>
        <v>0</v>
      </c>
      <c s="125">
        <f>IF(Предпосылки!$I139&gt;0,S177,T131*(Предпосылки!$I139/(T$8-T$7)))</f>
        <v>0</v>
      </c>
      <c s="125">
        <f>IF(Предпосылки!$I139&gt;0,T177,U131*(Предпосылки!$I139/(U$8-U$7)))</f>
        <v>0</v>
      </c>
      <c s="125">
        <f>IF(Предпосылки!$I139&gt;0,U177,V131*(Предпосылки!$I139/(V$8-V$7)))</f>
        <v>0</v>
      </c>
      <c s="125">
        <f>IF(Предпосылки!$I139&gt;0,V177,W131*(Предпосылки!$I139/(W$8-W$7)))</f>
        <v>0</v>
      </c>
      <c s="125">
        <f>IF(Предпосылки!$I139&gt;0,W177,X131*(Предпосылки!$I139/(X$8-X$7)))</f>
        <v>0</v>
      </c>
      <c s="125">
        <f>IF(Предпосылки!$I139&gt;0,X177,Y131*(Предпосылки!$I139/(Y$8-Y$7)))</f>
        <v>0</v>
      </c>
      <c s="125">
        <f>IF(Предпосылки!$I139&gt;0,Y177,Z131*(Предпосылки!$I139/(Z$8-Z$7)))</f>
        <v>0</v>
      </c>
      <c s="125">
        <f>IF(Предпосылки!$I139&gt;0,Z177,AA131*(Предпосылки!$I139/(AA$8-AA$7)))</f>
        <v>0</v>
      </c>
      <c s="125">
        <f>IF(Предпосылки!$I139&gt;0,AA177,AB131*(Предпосылки!$I139/(AB$8-AB$7)))</f>
        <v>0</v>
      </c>
      <c s="125">
        <f>IF(Предпосылки!$I139&gt;0,AB177,AC131*(Предпосылки!$I139/(AC$8-AC$7)))</f>
        <v>0</v>
      </c>
      <c s="125">
        <f>IF(Предпосылки!$I139&gt;0,AC177,AD131*(Предпосылки!$I139/(AD$8-AD$7)))</f>
        <v>0</v>
      </c>
      <c s="125">
        <f>IF(Предпосылки!$I139&gt;0,AD177,AE131*(Предпосылки!$I139/(AE$8-AE$7)))</f>
        <v>0</v>
      </c>
      <c s="125">
        <f>IF(Предпосылки!$I139&gt;0,AE177,AF131*(Предпосылки!$I139/(AF$8-AF$7)))</f>
        <v>0</v>
      </c>
      <c s="125">
        <f>IF(Предпосылки!$I139&gt;0,AF177,AG131*(Предпосылки!$I139/(AG$8-AG$7)))</f>
        <v>0</v>
      </c>
      <c s="125">
        <f>IF(Предпосылки!$I139&gt;0,AG177,AH131*(Предпосылки!$I139/(AH$8-AH$7)))</f>
        <v>0</v>
      </c>
      <c s="125">
        <f>IF(Предпосылки!$I139&gt;0,AH177,AI131*(Предпосылки!$I139/(AI$8-AI$7)))</f>
        <v>0</v>
      </c>
      <c s="125">
        <f>IF(Предпосылки!$I139&gt;0,AI177,AJ131*(Предпосылки!$I139/(AJ$8-AJ$7)))</f>
        <v>0</v>
      </c>
      <c s="125">
        <f>IF(Предпосылки!$I139&gt;0,AJ177,AK131*(Предпосылки!$I139/(AK$8-AK$7)))</f>
        <v>0</v>
      </c>
      <c s="125">
        <f>IF(Предпосылки!$I139&gt;0,AK177,AL131*(Предпосылки!$I139/(AL$8-AL$7)))</f>
        <v>0</v>
      </c>
      <c s="125">
        <f>IF(Предпосылки!$I139&gt;0,AL177,AM131*(Предпосылки!$I139/(AM$8-AM$7)))</f>
        <v>0</v>
      </c>
      <c s="125">
        <f>IF(Предпосылки!$I139&gt;0,AM177,AN131*(Предпосылки!$I139/(AN$8-AN$7)))</f>
        <v>0</v>
      </c>
      <c s="125">
        <f>IF(Предпосылки!$I139&gt;0,AN177,AO131*(Предпосылки!$I139/(AO$8-AO$7)))</f>
        <v>0</v>
      </c>
      <c s="125">
        <f>IF(Предпосылки!$I139&gt;0,AO177,AP131*(Предпосылки!$I139/(AP$8-AP$7)))</f>
        <v>0</v>
      </c>
      <c s="125">
        <f>IF(Предпосылки!$I139&gt;0,AP177,AQ131*(Предпосылки!$I139/(AQ$8-AQ$7)))</f>
        <v>0</v>
      </c>
      <c s="125">
        <f>IF(Предпосылки!$I139&gt;0,AQ177,AR131*(Предпосылки!$I139/(AR$8-AR$7)))</f>
        <v>0</v>
      </c>
      <c s="125">
        <f>IF(Предпосылки!$I139&gt;0,AR177,AS131*(Предпосылки!$I139/(AS$8-AS$7)))</f>
        <v>0</v>
      </c>
      <c s="125">
        <f>IF(Предпосылки!$I139&gt;0,AS177,AT131*(Предпосылки!$I139/(AT$8-AT$7)))</f>
        <v>0</v>
      </c>
      <c s="125">
        <f>IF(Предпосылки!$I139&gt;0,AT177,AU131*(Предпосылки!$I139/(AU$8-AU$7)))</f>
        <v>0</v>
      </c>
      <c s="125">
        <f>IF(Предпосылки!$I139&gt;0,AU177,AV131*(Предпосылки!$I139/(AV$8-AV$7)))</f>
        <v>0</v>
      </c>
      <c s="125">
        <f>IF(Предпосылки!$I139&gt;0,AV177,AW131*(Предпосылки!$I139/(AW$8-AW$7)))</f>
        <v>0</v>
      </c>
      <c s="125">
        <f>IF(Предпосылки!$I139&gt;0,AW177,AX131*(Предпосылки!$I139/(AX$8-AX$7)))</f>
        <v>0</v>
      </c>
      <c s="125">
        <f>IF(Предпосылки!$I139&gt;0,AX177,AY131*(Предпосылки!$I139/(AY$8-AY$7)))</f>
        <v>0</v>
      </c>
      <c s="125">
        <f>IF(Предпосылки!$I139&gt;0,AY177,AZ131*(Предпосылки!$I139/(AZ$8-AZ$7)))</f>
        <v>0</v>
      </c>
      <c s="125">
        <f>IF(Предпосылки!$I139&gt;0,AZ177,BA131*(Предпосылки!$I139/(BA$8-BA$7)))</f>
        <v>0</v>
      </c>
      <c s="125">
        <f>IF(Предпосылки!$I139&gt;0,BA177,BB131*(Предпосылки!$I139/(BB$8-BB$7)))</f>
        <v>0</v>
      </c>
      <c s="125">
        <f>IF(Предпосылки!$I139&gt;0,BB177,BC131*(Предпосылки!$I139/(BC$8-BC$7)))</f>
        <v>0</v>
      </c>
      <c s="125">
        <f>IF(Предпосылки!$I139&gt;0,BC177,BD131*(Предпосылки!$I139/(BD$8-BD$7)))</f>
        <v>0</v>
      </c>
      <c s="125">
        <f>IF(Предпосылки!$I139&gt;0,BD177,BE131*(Предпосылки!$I139/(BE$8-BE$7)))</f>
        <v>0</v>
      </c>
      <c s="125">
        <f>IF(Предпосылки!$I139&gt;0,BE177,BF131*(Предпосылки!$I139/(BF$8-BF$7)))</f>
        <v>0</v>
      </c>
      <c s="125">
        <f>IF(Предпосылки!$I139&gt;0,BF177,BG131*(Предпосылки!$I139/(BG$8-BG$7)))</f>
        <v>0</v>
      </c>
      <c s="125">
        <f>IF(Предпосылки!$I139&gt;0,BG177,BH131*(Предпосылки!$I139/(BH$8-BH$7)))</f>
        <v>0</v>
      </c>
      <c s="125">
        <f>IF(Предпосылки!$I139&gt;0,BH177,BI131*(Предпосылки!$I139/(BI$8-BI$7)))</f>
        <v>0</v>
      </c>
      <c s="125">
        <f>IF(Предпосылки!$I139&gt;0,BI177,BJ131*(Предпосылки!$I139/(BJ$8-BJ$7)))</f>
        <v>0</v>
      </c>
      <c s="125">
        <f>IF(Предпосылки!$I139&gt;0,BJ177,BK131*(Предпосылки!$I139/(BK$8-BK$7)))</f>
        <v>0</v>
      </c>
      <c s="125">
        <f>IF(Предпосылки!$I139&gt;0,BK177,BL131*(Предпосылки!$I139/(BL$8-BL$7)))</f>
        <v>0</v>
      </c>
      <c s="125">
        <f>IF(Предпосылки!$I139&gt;0,BL177,BM131*(Предпосылки!$I139/(BM$8-BM$7)))</f>
        <v>0</v>
      </c>
    </row>
    <row r="109" spans="2:65" ht="15" customHeight="1">
      <c r="B109" s="12" t="str">
        <f>Предпосылки!B168</f>
        <v>Продукт 19</v>
      </c>
      <c s="124" t="str">
        <f t="shared" si="140"/>
        <v>тыс. руб.</v>
      </c>
      <c s="125"/>
      <c s="125">
        <f>IF(Предпосылки!$I140&gt;0,D178,E132*(Предпосылки!$I140/(E$8-E$7)))</f>
        <v>0</v>
      </c>
      <c s="125">
        <f>IF(Предпосылки!$I140&gt;0,E178,F132*(Предпосылки!$I140/(F$8-F$7)))</f>
        <v>0</v>
      </c>
      <c s="125">
        <f>IF(Предпосылки!$I140&gt;0,F178,G132*(Предпосылки!$I140/(G$8-G$7)))</f>
        <v>0</v>
      </c>
      <c s="125">
        <f>IF(Предпосылки!$I140&gt;0,G178,H132*(Предпосылки!$I140/(H$8-H$7)))</f>
        <v>0</v>
      </c>
      <c s="125">
        <f>IF(Предпосылки!$I140&gt;0,H178,I132*(Предпосылки!$I140/(I$8-I$7)))</f>
        <v>0</v>
      </c>
      <c s="125">
        <f>IF(Предпосылки!$I140&gt;0,I178,J132*(Предпосылки!$I140/(J$8-J$7)))</f>
        <v>0</v>
      </c>
      <c s="125">
        <f>IF(Предпосылки!$I140&gt;0,J178,K132*(Предпосылки!$I140/(K$8-K$7)))</f>
        <v>0</v>
      </c>
      <c s="125">
        <f>IF(Предпосылки!$I140&gt;0,K178,L132*(Предпосылки!$I140/(L$8-L$7)))</f>
        <v>0</v>
      </c>
      <c s="125">
        <f>IF(Предпосылки!$I140&gt;0,L178,M132*(Предпосылки!$I140/(M$8-M$7)))</f>
        <v>0</v>
      </c>
      <c s="125">
        <f>IF(Предпосылки!$I140&gt;0,M178,N132*(Предпосылки!$I140/(N$8-N$7)))</f>
        <v>0</v>
      </c>
      <c s="125">
        <f>IF(Предпосылки!$I140&gt;0,N178,O132*(Предпосылки!$I140/(O$8-O$7)))</f>
        <v>0</v>
      </c>
      <c s="125">
        <f>IF(Предпосылки!$I140&gt;0,O178,P132*(Предпосылки!$I140/(P$8-P$7)))</f>
        <v>0</v>
      </c>
      <c s="125">
        <f>IF(Предпосылки!$I140&gt;0,P178,Q132*(Предпосылки!$I140/(Q$8-Q$7)))</f>
        <v>0</v>
      </c>
      <c s="125">
        <f>IF(Предпосылки!$I140&gt;0,Q178,R132*(Предпосылки!$I140/(R$8-R$7)))</f>
        <v>0</v>
      </c>
      <c s="125">
        <f>IF(Предпосылки!$I140&gt;0,R178,S132*(Предпосылки!$I140/(S$8-S$7)))</f>
        <v>0</v>
      </c>
      <c s="125">
        <f>IF(Предпосылки!$I140&gt;0,S178,T132*(Предпосылки!$I140/(T$8-T$7)))</f>
        <v>0</v>
      </c>
      <c s="125">
        <f>IF(Предпосылки!$I140&gt;0,T178,U132*(Предпосылки!$I140/(U$8-U$7)))</f>
        <v>0</v>
      </c>
      <c s="125">
        <f>IF(Предпосылки!$I140&gt;0,U178,V132*(Предпосылки!$I140/(V$8-V$7)))</f>
        <v>0</v>
      </c>
      <c s="125">
        <f>IF(Предпосылки!$I140&gt;0,V178,W132*(Предпосылки!$I140/(W$8-W$7)))</f>
        <v>0</v>
      </c>
      <c s="125">
        <f>IF(Предпосылки!$I140&gt;0,W178,X132*(Предпосылки!$I140/(X$8-X$7)))</f>
        <v>0</v>
      </c>
      <c s="125">
        <f>IF(Предпосылки!$I140&gt;0,X178,Y132*(Предпосылки!$I140/(Y$8-Y$7)))</f>
        <v>0</v>
      </c>
      <c s="125">
        <f>IF(Предпосылки!$I140&gt;0,Y178,Z132*(Предпосылки!$I140/(Z$8-Z$7)))</f>
        <v>0</v>
      </c>
      <c s="125">
        <f>IF(Предпосылки!$I140&gt;0,Z178,AA132*(Предпосылки!$I140/(AA$8-AA$7)))</f>
        <v>0</v>
      </c>
      <c s="125">
        <f>IF(Предпосылки!$I140&gt;0,AA178,AB132*(Предпосылки!$I140/(AB$8-AB$7)))</f>
        <v>0</v>
      </c>
      <c s="125">
        <f>IF(Предпосылки!$I140&gt;0,AB178,AC132*(Предпосылки!$I140/(AC$8-AC$7)))</f>
        <v>0</v>
      </c>
      <c s="125">
        <f>IF(Предпосылки!$I140&gt;0,AC178,AD132*(Предпосылки!$I140/(AD$8-AD$7)))</f>
        <v>0</v>
      </c>
      <c s="125">
        <f>IF(Предпосылки!$I140&gt;0,AD178,AE132*(Предпосылки!$I140/(AE$8-AE$7)))</f>
        <v>0</v>
      </c>
      <c s="125">
        <f>IF(Предпосылки!$I140&gt;0,AE178,AF132*(Предпосылки!$I140/(AF$8-AF$7)))</f>
        <v>0</v>
      </c>
      <c s="125">
        <f>IF(Предпосылки!$I140&gt;0,AF178,AG132*(Предпосылки!$I140/(AG$8-AG$7)))</f>
        <v>0</v>
      </c>
      <c s="125">
        <f>IF(Предпосылки!$I140&gt;0,AG178,AH132*(Предпосылки!$I140/(AH$8-AH$7)))</f>
        <v>0</v>
      </c>
      <c s="125">
        <f>IF(Предпосылки!$I140&gt;0,AH178,AI132*(Предпосылки!$I140/(AI$8-AI$7)))</f>
        <v>0</v>
      </c>
      <c s="125">
        <f>IF(Предпосылки!$I140&gt;0,AI178,AJ132*(Предпосылки!$I140/(AJ$8-AJ$7)))</f>
        <v>0</v>
      </c>
      <c s="125">
        <f>IF(Предпосылки!$I140&gt;0,AJ178,AK132*(Предпосылки!$I140/(AK$8-AK$7)))</f>
        <v>0</v>
      </c>
      <c s="125">
        <f>IF(Предпосылки!$I140&gt;0,AK178,AL132*(Предпосылки!$I140/(AL$8-AL$7)))</f>
        <v>0</v>
      </c>
      <c s="125">
        <f>IF(Предпосылки!$I140&gt;0,AL178,AM132*(Предпосылки!$I140/(AM$8-AM$7)))</f>
        <v>0</v>
      </c>
      <c s="125">
        <f>IF(Предпосылки!$I140&gt;0,AM178,AN132*(Предпосылки!$I140/(AN$8-AN$7)))</f>
        <v>0</v>
      </c>
      <c s="125">
        <f>IF(Предпосылки!$I140&gt;0,AN178,AO132*(Предпосылки!$I140/(AO$8-AO$7)))</f>
        <v>0</v>
      </c>
      <c s="125">
        <f>IF(Предпосылки!$I140&gt;0,AO178,AP132*(Предпосылки!$I140/(AP$8-AP$7)))</f>
        <v>0</v>
      </c>
      <c s="125">
        <f>IF(Предпосылки!$I140&gt;0,AP178,AQ132*(Предпосылки!$I140/(AQ$8-AQ$7)))</f>
        <v>0</v>
      </c>
      <c s="125">
        <f>IF(Предпосылки!$I140&gt;0,AQ178,AR132*(Предпосылки!$I140/(AR$8-AR$7)))</f>
        <v>0</v>
      </c>
      <c s="125">
        <f>IF(Предпосылки!$I140&gt;0,AR178,AS132*(Предпосылки!$I140/(AS$8-AS$7)))</f>
        <v>0</v>
      </c>
      <c s="125">
        <f>IF(Предпосылки!$I140&gt;0,AS178,AT132*(Предпосылки!$I140/(AT$8-AT$7)))</f>
        <v>0</v>
      </c>
      <c s="125">
        <f>IF(Предпосылки!$I140&gt;0,AT178,AU132*(Предпосылки!$I140/(AU$8-AU$7)))</f>
        <v>0</v>
      </c>
      <c s="125">
        <f>IF(Предпосылки!$I140&gt;0,AU178,AV132*(Предпосылки!$I140/(AV$8-AV$7)))</f>
        <v>0</v>
      </c>
      <c s="125">
        <f>IF(Предпосылки!$I140&gt;0,AV178,AW132*(Предпосылки!$I140/(AW$8-AW$7)))</f>
        <v>0</v>
      </c>
      <c s="125">
        <f>IF(Предпосылки!$I140&gt;0,AW178,AX132*(Предпосылки!$I140/(AX$8-AX$7)))</f>
        <v>0</v>
      </c>
      <c s="125">
        <f>IF(Предпосылки!$I140&gt;0,AX178,AY132*(Предпосылки!$I140/(AY$8-AY$7)))</f>
        <v>0</v>
      </c>
      <c s="125">
        <f>IF(Предпосылки!$I140&gt;0,AY178,AZ132*(Предпосылки!$I140/(AZ$8-AZ$7)))</f>
        <v>0</v>
      </c>
      <c s="125">
        <f>IF(Предпосылки!$I140&gt;0,AZ178,BA132*(Предпосылки!$I140/(BA$8-BA$7)))</f>
        <v>0</v>
      </c>
      <c s="125">
        <f>IF(Предпосылки!$I140&gt;0,BA178,BB132*(Предпосылки!$I140/(BB$8-BB$7)))</f>
        <v>0</v>
      </c>
      <c s="125">
        <f>IF(Предпосылки!$I140&gt;0,BB178,BC132*(Предпосылки!$I140/(BC$8-BC$7)))</f>
        <v>0</v>
      </c>
      <c s="125">
        <f>IF(Предпосылки!$I140&gt;0,BC178,BD132*(Предпосылки!$I140/(BD$8-BD$7)))</f>
        <v>0</v>
      </c>
      <c s="125">
        <f>IF(Предпосылки!$I140&gt;0,BD178,BE132*(Предпосылки!$I140/(BE$8-BE$7)))</f>
        <v>0</v>
      </c>
      <c s="125">
        <f>IF(Предпосылки!$I140&gt;0,BE178,BF132*(Предпосылки!$I140/(BF$8-BF$7)))</f>
        <v>0</v>
      </c>
      <c s="125">
        <f>IF(Предпосылки!$I140&gt;0,BF178,BG132*(Предпосылки!$I140/(BG$8-BG$7)))</f>
        <v>0</v>
      </c>
      <c s="125">
        <f>IF(Предпосылки!$I140&gt;0,BG178,BH132*(Предпосылки!$I140/(BH$8-BH$7)))</f>
        <v>0</v>
      </c>
      <c s="125">
        <f>IF(Предпосылки!$I140&gt;0,BH178,BI132*(Предпосылки!$I140/(BI$8-BI$7)))</f>
        <v>0</v>
      </c>
      <c s="125">
        <f>IF(Предпосылки!$I140&gt;0,BI178,BJ132*(Предпосылки!$I140/(BJ$8-BJ$7)))</f>
        <v>0</v>
      </c>
      <c s="125">
        <f>IF(Предпосылки!$I140&gt;0,BJ178,BK132*(Предпосылки!$I140/(BK$8-BK$7)))</f>
        <v>0</v>
      </c>
      <c s="125">
        <f>IF(Предпосылки!$I140&gt;0,BK178,BL132*(Предпосылки!$I140/(BL$8-BL$7)))</f>
        <v>0</v>
      </c>
      <c s="125">
        <f>IF(Предпосылки!$I140&gt;0,BL178,BM132*(Предпосылки!$I140/(BM$8-BM$7)))</f>
        <v>0</v>
      </c>
    </row>
    <row r="110" spans="2:65" ht="15" customHeight="1">
      <c r="B110" s="12" t="str">
        <f>Предпосылки!B169</f>
        <v>Продукт 20</v>
      </c>
      <c s="124" t="str">
        <f t="shared" si="140"/>
        <v>тыс. руб.</v>
      </c>
      <c s="125"/>
      <c s="125">
        <f>IF(Предпосылки!$I141&gt;0,D179,E133*(Предпосылки!$I141/(E$8-E$7)))</f>
        <v>0</v>
      </c>
      <c s="125">
        <f>IF(Предпосылки!$I141&gt;0,E179,F133*(Предпосылки!$I141/(F$8-F$7)))</f>
        <v>0</v>
      </c>
      <c s="125">
        <f>IF(Предпосылки!$I141&gt;0,F179,G133*(Предпосылки!$I141/(G$8-G$7)))</f>
        <v>0</v>
      </c>
      <c s="125">
        <f>IF(Предпосылки!$I141&gt;0,G179,H133*(Предпосылки!$I141/(H$8-H$7)))</f>
        <v>0</v>
      </c>
      <c s="125">
        <f>IF(Предпосылки!$I141&gt;0,H179,I133*(Предпосылки!$I141/(I$8-I$7)))</f>
        <v>0</v>
      </c>
      <c s="125">
        <f>IF(Предпосылки!$I141&gt;0,I179,J133*(Предпосылки!$I141/(J$8-J$7)))</f>
        <v>0</v>
      </c>
      <c s="125">
        <f>IF(Предпосылки!$I141&gt;0,J179,K133*(Предпосылки!$I141/(K$8-K$7)))</f>
        <v>0</v>
      </c>
      <c s="125">
        <f>IF(Предпосылки!$I141&gt;0,K179,L133*(Предпосылки!$I141/(L$8-L$7)))</f>
        <v>0</v>
      </c>
      <c s="125">
        <f>IF(Предпосылки!$I141&gt;0,L179,M133*(Предпосылки!$I141/(M$8-M$7)))</f>
        <v>0</v>
      </c>
      <c s="125">
        <f>IF(Предпосылки!$I141&gt;0,M179,N133*(Предпосылки!$I141/(N$8-N$7)))</f>
        <v>0</v>
      </c>
      <c s="125">
        <f>IF(Предпосылки!$I141&gt;0,N179,O133*(Предпосылки!$I141/(O$8-O$7)))</f>
        <v>0</v>
      </c>
      <c s="125">
        <f>IF(Предпосылки!$I141&gt;0,O179,P133*(Предпосылки!$I141/(P$8-P$7)))</f>
        <v>0</v>
      </c>
      <c s="125">
        <f>IF(Предпосылки!$I141&gt;0,P179,Q133*(Предпосылки!$I141/(Q$8-Q$7)))</f>
        <v>0</v>
      </c>
      <c s="125">
        <f>IF(Предпосылки!$I141&gt;0,Q179,R133*(Предпосылки!$I141/(R$8-R$7)))</f>
        <v>0</v>
      </c>
      <c s="125">
        <f>IF(Предпосылки!$I141&gt;0,R179,S133*(Предпосылки!$I141/(S$8-S$7)))</f>
        <v>0</v>
      </c>
      <c s="125">
        <f>IF(Предпосылки!$I141&gt;0,S179,T133*(Предпосылки!$I141/(T$8-T$7)))</f>
        <v>0</v>
      </c>
      <c s="125">
        <f>IF(Предпосылки!$I141&gt;0,T179,U133*(Предпосылки!$I141/(U$8-U$7)))</f>
        <v>0</v>
      </c>
      <c s="125">
        <f>IF(Предпосылки!$I141&gt;0,U179,V133*(Предпосылки!$I141/(V$8-V$7)))</f>
        <v>0</v>
      </c>
      <c s="125">
        <f>IF(Предпосылки!$I141&gt;0,V179,W133*(Предпосылки!$I141/(W$8-W$7)))</f>
        <v>0</v>
      </c>
      <c s="125">
        <f>IF(Предпосылки!$I141&gt;0,W179,X133*(Предпосылки!$I141/(X$8-X$7)))</f>
        <v>0</v>
      </c>
      <c s="125">
        <f>IF(Предпосылки!$I141&gt;0,X179,Y133*(Предпосылки!$I141/(Y$8-Y$7)))</f>
        <v>0</v>
      </c>
      <c s="125">
        <f>IF(Предпосылки!$I141&gt;0,Y179,Z133*(Предпосылки!$I141/(Z$8-Z$7)))</f>
        <v>0</v>
      </c>
      <c s="125">
        <f>IF(Предпосылки!$I141&gt;0,Z179,AA133*(Предпосылки!$I141/(AA$8-AA$7)))</f>
        <v>0</v>
      </c>
      <c s="125">
        <f>IF(Предпосылки!$I141&gt;0,AA179,AB133*(Предпосылки!$I141/(AB$8-AB$7)))</f>
        <v>0</v>
      </c>
      <c s="125">
        <f>IF(Предпосылки!$I141&gt;0,AB179,AC133*(Предпосылки!$I141/(AC$8-AC$7)))</f>
        <v>0</v>
      </c>
      <c s="125">
        <f>IF(Предпосылки!$I141&gt;0,AC179,AD133*(Предпосылки!$I141/(AD$8-AD$7)))</f>
        <v>0</v>
      </c>
      <c s="125">
        <f>IF(Предпосылки!$I141&gt;0,AD179,AE133*(Предпосылки!$I141/(AE$8-AE$7)))</f>
        <v>0</v>
      </c>
      <c s="125">
        <f>IF(Предпосылки!$I141&gt;0,AE179,AF133*(Предпосылки!$I141/(AF$8-AF$7)))</f>
        <v>0</v>
      </c>
      <c s="125">
        <f>IF(Предпосылки!$I141&gt;0,AF179,AG133*(Предпосылки!$I141/(AG$8-AG$7)))</f>
        <v>0</v>
      </c>
      <c s="125">
        <f>IF(Предпосылки!$I141&gt;0,AG179,AH133*(Предпосылки!$I141/(AH$8-AH$7)))</f>
        <v>0</v>
      </c>
      <c s="125">
        <f>IF(Предпосылки!$I141&gt;0,AH179,AI133*(Предпосылки!$I141/(AI$8-AI$7)))</f>
        <v>0</v>
      </c>
      <c s="125">
        <f>IF(Предпосылки!$I141&gt;0,AI179,AJ133*(Предпосылки!$I141/(AJ$8-AJ$7)))</f>
        <v>0</v>
      </c>
      <c s="125">
        <f>IF(Предпосылки!$I141&gt;0,AJ179,AK133*(Предпосылки!$I141/(AK$8-AK$7)))</f>
        <v>0</v>
      </c>
      <c s="125">
        <f>IF(Предпосылки!$I141&gt;0,AK179,AL133*(Предпосылки!$I141/(AL$8-AL$7)))</f>
        <v>0</v>
      </c>
      <c s="125">
        <f>IF(Предпосылки!$I141&gt;0,AL179,AM133*(Предпосылки!$I141/(AM$8-AM$7)))</f>
        <v>0</v>
      </c>
      <c s="125">
        <f>IF(Предпосылки!$I141&gt;0,AM179,AN133*(Предпосылки!$I141/(AN$8-AN$7)))</f>
        <v>0</v>
      </c>
      <c s="125">
        <f>IF(Предпосылки!$I141&gt;0,AN179,AO133*(Предпосылки!$I141/(AO$8-AO$7)))</f>
        <v>0</v>
      </c>
      <c s="125">
        <f>IF(Предпосылки!$I141&gt;0,AO179,AP133*(Предпосылки!$I141/(AP$8-AP$7)))</f>
        <v>0</v>
      </c>
      <c s="125">
        <f>IF(Предпосылки!$I141&gt;0,AP179,AQ133*(Предпосылки!$I141/(AQ$8-AQ$7)))</f>
        <v>0</v>
      </c>
      <c s="125">
        <f>IF(Предпосылки!$I141&gt;0,AQ179,AR133*(Предпосылки!$I141/(AR$8-AR$7)))</f>
        <v>0</v>
      </c>
      <c s="125">
        <f>IF(Предпосылки!$I141&gt;0,AR179,AS133*(Предпосылки!$I141/(AS$8-AS$7)))</f>
        <v>0</v>
      </c>
      <c s="125">
        <f>IF(Предпосылки!$I141&gt;0,AS179,AT133*(Предпосылки!$I141/(AT$8-AT$7)))</f>
        <v>0</v>
      </c>
      <c s="125">
        <f>IF(Предпосылки!$I141&gt;0,AT179,AU133*(Предпосылки!$I141/(AU$8-AU$7)))</f>
        <v>0</v>
      </c>
      <c s="125">
        <f>IF(Предпосылки!$I141&gt;0,AU179,AV133*(Предпосылки!$I141/(AV$8-AV$7)))</f>
        <v>0</v>
      </c>
      <c s="125">
        <f>IF(Предпосылки!$I141&gt;0,AV179,AW133*(Предпосылки!$I141/(AW$8-AW$7)))</f>
        <v>0</v>
      </c>
      <c s="125">
        <f>IF(Предпосылки!$I141&gt;0,AW179,AX133*(Предпосылки!$I141/(AX$8-AX$7)))</f>
        <v>0</v>
      </c>
      <c s="125">
        <f>IF(Предпосылки!$I141&gt;0,AX179,AY133*(Предпосылки!$I141/(AY$8-AY$7)))</f>
        <v>0</v>
      </c>
      <c s="125">
        <f>IF(Предпосылки!$I141&gt;0,AY179,AZ133*(Предпосылки!$I141/(AZ$8-AZ$7)))</f>
        <v>0</v>
      </c>
      <c s="125">
        <f>IF(Предпосылки!$I141&gt;0,AZ179,BA133*(Предпосылки!$I141/(BA$8-BA$7)))</f>
        <v>0</v>
      </c>
      <c s="125">
        <f>IF(Предпосылки!$I141&gt;0,BA179,BB133*(Предпосылки!$I141/(BB$8-BB$7)))</f>
        <v>0</v>
      </c>
      <c s="125">
        <f>IF(Предпосылки!$I141&gt;0,BB179,BC133*(Предпосылки!$I141/(BC$8-BC$7)))</f>
        <v>0</v>
      </c>
      <c s="125">
        <f>IF(Предпосылки!$I141&gt;0,BC179,BD133*(Предпосылки!$I141/(BD$8-BD$7)))</f>
        <v>0</v>
      </c>
      <c s="125">
        <f>IF(Предпосылки!$I141&gt;0,BD179,BE133*(Предпосылки!$I141/(BE$8-BE$7)))</f>
        <v>0</v>
      </c>
      <c s="125">
        <f>IF(Предпосылки!$I141&gt;0,BE179,BF133*(Предпосылки!$I141/(BF$8-BF$7)))</f>
        <v>0</v>
      </c>
      <c s="125">
        <f>IF(Предпосылки!$I141&gt;0,BF179,BG133*(Предпосылки!$I141/(BG$8-BG$7)))</f>
        <v>0</v>
      </c>
      <c s="125">
        <f>IF(Предпосылки!$I141&gt;0,BG179,BH133*(Предпосылки!$I141/(BH$8-BH$7)))</f>
        <v>0</v>
      </c>
      <c s="125">
        <f>IF(Предпосылки!$I141&gt;0,BH179,BI133*(Предпосылки!$I141/(BI$8-BI$7)))</f>
        <v>0</v>
      </c>
      <c s="125">
        <f>IF(Предпосылки!$I141&gt;0,BI179,BJ133*(Предпосылки!$I141/(BJ$8-BJ$7)))</f>
        <v>0</v>
      </c>
      <c s="125">
        <f>IF(Предпосылки!$I141&gt;0,BJ179,BK133*(Предпосылки!$I141/(BK$8-BK$7)))</f>
        <v>0</v>
      </c>
      <c s="125">
        <f>IF(Предпосылки!$I141&gt;0,BK179,BL133*(Предпосылки!$I141/(BL$8-BL$7)))</f>
        <v>0</v>
      </c>
      <c s="125">
        <f>IF(Предпосылки!$I141&gt;0,BL179,BM133*(Предпосылки!$I141/(BM$8-BM$7)))</f>
        <v>0</v>
      </c>
    </row>
    <row r="111" spans="2:65" ht="15" customHeight="1">
      <c r="B111" s="289" t="s">
        <v>454</v>
      </c>
      <c s="290" t="str">
        <f>Единица_измерения</f>
        <v>тыс. руб.</v>
      </c>
      <c s="276"/>
      <c s="276">
        <f t="shared" si="141" ref="E111:AG111">SUM(E91:E110)</f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1"/>
        <v>0</v>
      </c>
      <c s="276">
        <f t="shared" si="142" ref="AH111:BM111">SUM(AH91:AH110)</f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  <c s="276">
        <f t="shared" si="142"/>
        <v>0</v>
      </c>
    </row>
    <row r="112" ht="15" customHeight="1"/>
    <row r="113" spans="2:2" ht="15" customHeight="1">
      <c r="B113" s="24" t="s">
        <v>894</v>
      </c>
    </row>
    <row r="114" spans="2:65" ht="15" customHeight="1">
      <c r="B114" s="12" t="str">
        <f>B91</f>
        <v>Продукт 1</v>
      </c>
      <c s="124" t="str">
        <f t="shared" si="143" ref="C114:C133">Единица_измерения</f>
        <v>тыс. руб.</v>
      </c>
      <c s="125"/>
      <c s="125">
        <f>SUM(Продажи!E66,-Продажи!E89)</f>
        <v>0</v>
      </c>
      <c s="125">
        <f>SUM(Продажи!F66,-Продажи!F89)</f>
        <v>0</v>
      </c>
      <c s="125">
        <f>SUM(Продажи!G66,-Продажи!G89)</f>
        <v>0</v>
      </c>
      <c s="125">
        <f>SUM(Продажи!H66,-Продажи!H89)</f>
        <v>0</v>
      </c>
      <c s="125">
        <f>SUM(Продажи!I66,-Продажи!I89)</f>
        <v>0</v>
      </c>
      <c s="125">
        <f>SUM(Продажи!J66,-Продажи!J89)</f>
        <v>0</v>
      </c>
      <c s="125">
        <f>SUM(Продажи!K66,-Продажи!K89)</f>
        <v>0</v>
      </c>
      <c s="125">
        <f>SUM(Продажи!L66,-Продажи!L89)</f>
        <v>0</v>
      </c>
      <c s="125">
        <f>SUM(Продажи!M66,-Продажи!M89)</f>
        <v>0</v>
      </c>
      <c s="125">
        <f>SUM(Продажи!N66,-Продажи!N89)</f>
        <v>0</v>
      </c>
      <c s="125">
        <f>SUM(Продажи!O66,-Продажи!O89)</f>
        <v>0</v>
      </c>
      <c s="125">
        <f>SUM(Продажи!P66,-Продажи!P89)</f>
        <v>0</v>
      </c>
      <c s="125">
        <f>SUM(Продажи!Q66,-Продажи!Q89)</f>
        <v>0</v>
      </c>
      <c s="125">
        <f>SUM(Продажи!R66,-Продажи!R89)</f>
        <v>0</v>
      </c>
      <c s="125">
        <f>SUM(Продажи!S66,-Продажи!S89)</f>
        <v>0</v>
      </c>
      <c s="125">
        <f>SUM(Продажи!T66,-Продажи!T89)</f>
        <v>0</v>
      </c>
      <c s="125">
        <f>SUM(Продажи!U66,-Продажи!U89)</f>
        <v>0</v>
      </c>
      <c s="125">
        <f>SUM(Продажи!V66,-Продажи!V89)</f>
        <v>0</v>
      </c>
      <c s="125">
        <f>SUM(Продажи!W66,-Продажи!W89)</f>
        <v>0</v>
      </c>
      <c s="125">
        <f>SUM(Продажи!X66,-Продажи!X89)</f>
        <v>0</v>
      </c>
      <c s="125">
        <f>SUM(Продажи!Y66,-Продажи!Y89)</f>
        <v>0</v>
      </c>
      <c s="125">
        <f>SUM(Продажи!Z66,-Продажи!Z89)</f>
        <v>0</v>
      </c>
      <c s="125">
        <f>SUM(Продажи!AA66,-Продажи!AA89)</f>
        <v>0</v>
      </c>
      <c s="125">
        <f>SUM(Продажи!AB66,-Продажи!AB89)</f>
        <v>0</v>
      </c>
      <c s="125">
        <f>SUM(Продажи!AC66,-Продажи!AC89)</f>
        <v>0</v>
      </c>
      <c s="125">
        <f>SUM(Продажи!AD66,-Продажи!AD89)</f>
        <v>0</v>
      </c>
      <c s="125">
        <f>SUM(Продажи!AE66,-Продажи!AE89)</f>
        <v>0</v>
      </c>
      <c s="125">
        <f>SUM(Продажи!AF66,-Продажи!AF89)</f>
        <v>0</v>
      </c>
      <c s="125">
        <f>SUM(Продажи!AG66,-Продажи!AG89)</f>
        <v>0</v>
      </c>
      <c s="125">
        <f>SUM(Продажи!AH66,-Продажи!AH89)</f>
        <v>0</v>
      </c>
      <c s="125">
        <f>SUM(Продажи!AI66,-Продажи!AI89)</f>
        <v>0</v>
      </c>
      <c s="125">
        <f>SUM(Продажи!AJ66,-Продажи!AJ89)</f>
        <v>0</v>
      </c>
      <c s="125">
        <f>SUM(Продажи!AK66,-Продажи!AK89)</f>
        <v>0</v>
      </c>
      <c s="125">
        <f>SUM(Продажи!AL66,-Продажи!AL89)</f>
        <v>0</v>
      </c>
      <c s="125">
        <f>SUM(Продажи!AM66,-Продажи!AM89)</f>
        <v>0</v>
      </c>
      <c s="125">
        <f>SUM(Продажи!AN66,-Продажи!AN89)</f>
        <v>0</v>
      </c>
      <c s="125">
        <f>SUM(Продажи!AO66,-Продажи!AO89)</f>
        <v>0</v>
      </c>
      <c s="125">
        <f>SUM(Продажи!AP66,-Продажи!AP89)</f>
        <v>0</v>
      </c>
      <c s="125">
        <f>SUM(Продажи!AQ66,-Продажи!AQ89)</f>
        <v>0</v>
      </c>
      <c s="125">
        <f>SUM(Продажи!AR66,-Продажи!AR89)</f>
        <v>0</v>
      </c>
      <c s="125">
        <f>SUM(Продажи!AS66,-Продажи!AS89)</f>
        <v>0</v>
      </c>
      <c s="125">
        <f>SUM(Продажи!AT66,-Продажи!AT89)</f>
        <v>0</v>
      </c>
      <c s="125">
        <f>SUM(Продажи!AU66,-Продажи!AU89)</f>
        <v>0</v>
      </c>
      <c s="125">
        <f>SUM(Продажи!AV66,-Продажи!AV89)</f>
        <v>0</v>
      </c>
      <c s="125">
        <f>SUM(Продажи!AW66,-Продажи!AW89)</f>
        <v>0</v>
      </c>
      <c s="125">
        <f>SUM(Продажи!AX66,-Продажи!AX89)</f>
        <v>0</v>
      </c>
      <c s="125">
        <f>SUM(Продажи!AY66,-Продажи!AY89)</f>
        <v>0</v>
      </c>
      <c s="125">
        <f>SUM(Продажи!AZ66,-Продажи!AZ89)</f>
        <v>0</v>
      </c>
      <c s="125">
        <f>SUM(Продажи!BA66,-Продажи!BA89)</f>
        <v>0</v>
      </c>
      <c s="125">
        <f>SUM(Продажи!BB66,-Продажи!BB89)</f>
        <v>0</v>
      </c>
      <c s="125">
        <f>SUM(Продажи!BC66,-Продажи!BC89)</f>
        <v>0</v>
      </c>
      <c s="125">
        <f>SUM(Продажи!BD66,-Продажи!BD89)</f>
        <v>0</v>
      </c>
      <c s="125">
        <f>SUM(Продажи!BE66,-Продажи!BE89)</f>
        <v>0</v>
      </c>
      <c s="125">
        <f>SUM(Продажи!BF66,-Продажи!BF89)</f>
        <v>0</v>
      </c>
      <c s="125">
        <f>SUM(Продажи!BG66,-Продажи!BG89)</f>
        <v>0</v>
      </c>
      <c s="125">
        <f>SUM(Продажи!BH66,-Продажи!BH89)</f>
        <v>0</v>
      </c>
      <c s="125">
        <f>SUM(Продажи!BI66,-Продажи!BI89)</f>
        <v>0</v>
      </c>
      <c s="125">
        <f>SUM(Продажи!BJ66,-Продажи!BJ89)</f>
        <v>0</v>
      </c>
      <c s="125">
        <f>SUM(Продажи!BK66,-Продажи!BK89)</f>
        <v>0</v>
      </c>
      <c s="125">
        <f>SUM(Продажи!BL66,-Продажи!BL89)</f>
        <v>0</v>
      </c>
      <c s="125">
        <f>SUM(Продажи!BM66,-Продажи!BM89)</f>
        <v>0</v>
      </c>
    </row>
    <row r="115" spans="2:65" ht="15" customHeight="1">
      <c r="B115" s="12" t="str">
        <f t="shared" si="144" ref="B115:B133">B92</f>
        <v>Продукт 2</v>
      </c>
      <c s="124" t="str">
        <f t="shared" si="143"/>
        <v>тыс. руб.</v>
      </c>
      <c s="125"/>
      <c s="125">
        <f>SUM(Продажи!E67,-Продажи!E90)</f>
        <v>0</v>
      </c>
      <c s="125">
        <f>SUM(Продажи!F67,-Продажи!F90)</f>
        <v>0</v>
      </c>
      <c s="125">
        <f>SUM(Продажи!G67,-Продажи!G90)</f>
        <v>0</v>
      </c>
      <c s="125">
        <f>SUM(Продажи!H67,-Продажи!H90)</f>
        <v>0</v>
      </c>
      <c s="125">
        <f>SUM(Продажи!I67,-Продажи!I90)</f>
        <v>0</v>
      </c>
      <c s="125">
        <f>SUM(Продажи!J67,-Продажи!J90)</f>
        <v>0</v>
      </c>
      <c s="125">
        <f>SUM(Продажи!K67,-Продажи!K90)</f>
        <v>0</v>
      </c>
      <c s="125">
        <f>SUM(Продажи!L67,-Продажи!L90)</f>
        <v>0</v>
      </c>
      <c s="125">
        <f>SUM(Продажи!M67,-Продажи!M90)</f>
        <v>0</v>
      </c>
      <c s="125">
        <f>SUM(Продажи!N67,-Продажи!N90)</f>
        <v>0</v>
      </c>
      <c s="125">
        <f>SUM(Продажи!O67,-Продажи!O90)</f>
        <v>0</v>
      </c>
      <c s="125">
        <f>SUM(Продажи!P67,-Продажи!P90)</f>
        <v>0</v>
      </c>
      <c s="125">
        <f>SUM(Продажи!Q67,-Продажи!Q90)</f>
        <v>0</v>
      </c>
      <c s="125">
        <f>SUM(Продажи!R67,-Продажи!R90)</f>
        <v>0</v>
      </c>
      <c s="125">
        <f>SUM(Продажи!S67,-Продажи!S90)</f>
        <v>0</v>
      </c>
      <c s="125">
        <f>SUM(Продажи!T67,-Продажи!T90)</f>
        <v>0</v>
      </c>
      <c s="125">
        <f>SUM(Продажи!U67,-Продажи!U90)</f>
        <v>0</v>
      </c>
      <c s="125">
        <f>SUM(Продажи!V67,-Продажи!V90)</f>
        <v>0</v>
      </c>
      <c s="125">
        <f>SUM(Продажи!W67,-Продажи!W90)</f>
        <v>0</v>
      </c>
      <c s="125">
        <f>SUM(Продажи!X67,-Продажи!X90)</f>
        <v>0</v>
      </c>
      <c s="125">
        <f>SUM(Продажи!Y67,-Продажи!Y90)</f>
        <v>0</v>
      </c>
      <c s="125">
        <f>SUM(Продажи!Z67,-Продажи!Z90)</f>
        <v>0</v>
      </c>
      <c s="125">
        <f>SUM(Продажи!AA67,-Продажи!AA90)</f>
        <v>0</v>
      </c>
      <c s="125">
        <f>SUM(Продажи!AB67,-Продажи!AB90)</f>
        <v>0</v>
      </c>
      <c s="125">
        <f>SUM(Продажи!AC67,-Продажи!AC90)</f>
        <v>0</v>
      </c>
      <c s="125">
        <f>SUM(Продажи!AD67,-Продажи!AD90)</f>
        <v>0</v>
      </c>
      <c s="125">
        <f>SUM(Продажи!AE67,-Продажи!AE90)</f>
        <v>0</v>
      </c>
      <c s="125">
        <f>SUM(Продажи!AF67,-Продажи!AF90)</f>
        <v>0</v>
      </c>
      <c s="125">
        <f>SUM(Продажи!AG67,-Продажи!AG90)</f>
        <v>0</v>
      </c>
      <c s="125">
        <f>SUM(Продажи!AH67,-Продажи!AH90)</f>
        <v>0</v>
      </c>
      <c s="125">
        <f>SUM(Продажи!AI67,-Продажи!AI90)</f>
        <v>0</v>
      </c>
      <c s="125">
        <f>SUM(Продажи!AJ67,-Продажи!AJ90)</f>
        <v>0</v>
      </c>
      <c s="125">
        <f>SUM(Продажи!AK67,-Продажи!AK90)</f>
        <v>0</v>
      </c>
      <c s="125">
        <f>SUM(Продажи!AL67,-Продажи!AL90)</f>
        <v>0</v>
      </c>
      <c s="125">
        <f>SUM(Продажи!AM67,-Продажи!AM90)</f>
        <v>0</v>
      </c>
      <c s="125">
        <f>SUM(Продажи!AN67,-Продажи!AN90)</f>
        <v>0</v>
      </c>
      <c s="125">
        <f>SUM(Продажи!AO67,-Продажи!AO90)</f>
        <v>0</v>
      </c>
      <c s="125">
        <f>SUM(Продажи!AP67,-Продажи!AP90)</f>
        <v>0</v>
      </c>
      <c s="125">
        <f>SUM(Продажи!AQ67,-Продажи!AQ90)</f>
        <v>0</v>
      </c>
      <c s="125">
        <f>SUM(Продажи!AR67,-Продажи!AR90)</f>
        <v>0</v>
      </c>
      <c s="125">
        <f>SUM(Продажи!AS67,-Продажи!AS90)</f>
        <v>0</v>
      </c>
      <c s="125">
        <f>SUM(Продажи!AT67,-Продажи!AT90)</f>
        <v>0</v>
      </c>
      <c s="125">
        <f>SUM(Продажи!AU67,-Продажи!AU90)</f>
        <v>0</v>
      </c>
      <c s="125">
        <f>SUM(Продажи!AV67,-Продажи!AV90)</f>
        <v>0</v>
      </c>
      <c s="125">
        <f>SUM(Продажи!AW67,-Продажи!AW90)</f>
        <v>0</v>
      </c>
      <c s="125">
        <f>SUM(Продажи!AX67,-Продажи!AX90)</f>
        <v>0</v>
      </c>
      <c s="125">
        <f>SUM(Продажи!AY67,-Продажи!AY90)</f>
        <v>0</v>
      </c>
      <c s="125">
        <f>SUM(Продажи!AZ67,-Продажи!AZ90)</f>
        <v>0</v>
      </c>
      <c s="125">
        <f>SUM(Продажи!BA67,-Продажи!BA90)</f>
        <v>0</v>
      </c>
      <c s="125">
        <f>SUM(Продажи!BB67,-Продажи!BB90)</f>
        <v>0</v>
      </c>
      <c s="125">
        <f>SUM(Продажи!BC67,-Продажи!BC90)</f>
        <v>0</v>
      </c>
      <c s="125">
        <f>SUM(Продажи!BD67,-Продажи!BD90)</f>
        <v>0</v>
      </c>
      <c s="125">
        <f>SUM(Продажи!BE67,-Продажи!BE90)</f>
        <v>0</v>
      </c>
      <c s="125">
        <f>SUM(Продажи!BF67,-Продажи!BF90)</f>
        <v>0</v>
      </c>
      <c s="125">
        <f>SUM(Продажи!BG67,-Продажи!BG90)</f>
        <v>0</v>
      </c>
      <c s="125">
        <f>SUM(Продажи!BH67,-Продажи!BH90)</f>
        <v>0</v>
      </c>
      <c s="125">
        <f>SUM(Продажи!BI67,-Продажи!BI90)</f>
        <v>0</v>
      </c>
      <c s="125">
        <f>SUM(Продажи!BJ67,-Продажи!BJ90)</f>
        <v>0</v>
      </c>
      <c s="125">
        <f>SUM(Продажи!BK67,-Продажи!BK90)</f>
        <v>0</v>
      </c>
      <c s="125">
        <f>SUM(Продажи!BL67,-Продажи!BL90)</f>
        <v>0</v>
      </c>
      <c s="125">
        <f>SUM(Продажи!BM67,-Продажи!BM90)</f>
        <v>0</v>
      </c>
    </row>
    <row r="116" spans="2:65" ht="15" customHeight="1">
      <c r="B116" s="12" t="str">
        <f t="shared" si="144"/>
        <v>Продукт 3</v>
      </c>
      <c s="124" t="str">
        <f t="shared" si="143"/>
        <v>тыс. руб.</v>
      </c>
      <c s="125"/>
      <c s="125">
        <f>SUM(Продажи!E68,-Продажи!E91)</f>
        <v>0</v>
      </c>
      <c s="125">
        <f>SUM(Продажи!F68,-Продажи!F91)</f>
        <v>0</v>
      </c>
      <c s="125">
        <f>SUM(Продажи!G68,-Продажи!G91)</f>
        <v>0</v>
      </c>
      <c s="125">
        <f>SUM(Продажи!H68,-Продажи!H91)</f>
        <v>0</v>
      </c>
      <c s="125">
        <f>SUM(Продажи!I68,-Продажи!I91)</f>
        <v>0</v>
      </c>
      <c s="125">
        <f>SUM(Продажи!J68,-Продажи!J91)</f>
        <v>0</v>
      </c>
      <c s="125">
        <f>SUM(Продажи!K68,-Продажи!K91)</f>
        <v>0</v>
      </c>
      <c s="125">
        <f>SUM(Продажи!L68,-Продажи!L91)</f>
        <v>0</v>
      </c>
      <c s="125">
        <f>SUM(Продажи!M68,-Продажи!M91)</f>
        <v>0</v>
      </c>
      <c s="125">
        <f>SUM(Продажи!N68,-Продажи!N91)</f>
        <v>0</v>
      </c>
      <c s="125">
        <f>SUM(Продажи!O68,-Продажи!O91)</f>
        <v>0</v>
      </c>
      <c s="125">
        <f>SUM(Продажи!P68,-Продажи!P91)</f>
        <v>0</v>
      </c>
      <c s="125">
        <f>SUM(Продажи!Q68,-Продажи!Q91)</f>
        <v>0</v>
      </c>
      <c s="125">
        <f>SUM(Продажи!R68,-Продажи!R91)</f>
        <v>0</v>
      </c>
      <c s="125">
        <f>SUM(Продажи!S68,-Продажи!S91)</f>
        <v>0</v>
      </c>
      <c s="125">
        <f>SUM(Продажи!T68,-Продажи!T91)</f>
        <v>0</v>
      </c>
      <c s="125">
        <f>SUM(Продажи!U68,-Продажи!U91)</f>
        <v>0</v>
      </c>
      <c s="125">
        <f>SUM(Продажи!V68,-Продажи!V91)</f>
        <v>0</v>
      </c>
      <c s="125">
        <f>SUM(Продажи!W68,-Продажи!W91)</f>
        <v>0</v>
      </c>
      <c s="125">
        <f>SUM(Продажи!X68,-Продажи!X91)</f>
        <v>0</v>
      </c>
      <c s="125">
        <f>SUM(Продажи!Y68,-Продажи!Y91)</f>
        <v>0</v>
      </c>
      <c s="125">
        <f>SUM(Продажи!Z68,-Продажи!Z91)</f>
        <v>0</v>
      </c>
      <c s="125">
        <f>SUM(Продажи!AA68,-Продажи!AA91)</f>
        <v>0</v>
      </c>
      <c s="125">
        <f>SUM(Продажи!AB68,-Продажи!AB91)</f>
        <v>0</v>
      </c>
      <c s="125">
        <f>SUM(Продажи!AC68,-Продажи!AC91)</f>
        <v>0</v>
      </c>
      <c s="125">
        <f>SUM(Продажи!AD68,-Продажи!AD91)</f>
        <v>0</v>
      </c>
      <c s="125">
        <f>SUM(Продажи!AE68,-Продажи!AE91)</f>
        <v>0</v>
      </c>
      <c s="125">
        <f>SUM(Продажи!AF68,-Продажи!AF91)</f>
        <v>0</v>
      </c>
      <c s="125">
        <f>SUM(Продажи!AG68,-Продажи!AG91)</f>
        <v>0</v>
      </c>
      <c s="125">
        <f>SUM(Продажи!AH68,-Продажи!AH91)</f>
        <v>0</v>
      </c>
      <c s="125">
        <f>SUM(Продажи!AI68,-Продажи!AI91)</f>
        <v>0</v>
      </c>
      <c s="125">
        <f>SUM(Продажи!AJ68,-Продажи!AJ91)</f>
        <v>0</v>
      </c>
      <c s="125">
        <f>SUM(Продажи!AK68,-Продажи!AK91)</f>
        <v>0</v>
      </c>
      <c s="125">
        <f>SUM(Продажи!AL68,-Продажи!AL91)</f>
        <v>0</v>
      </c>
      <c s="125">
        <f>SUM(Продажи!AM68,-Продажи!AM91)</f>
        <v>0</v>
      </c>
      <c s="125">
        <f>SUM(Продажи!AN68,-Продажи!AN91)</f>
        <v>0</v>
      </c>
      <c s="125">
        <f>SUM(Продажи!AO68,-Продажи!AO91)</f>
        <v>0</v>
      </c>
      <c s="125">
        <f>SUM(Продажи!AP68,-Продажи!AP91)</f>
        <v>0</v>
      </c>
      <c s="125">
        <f>SUM(Продажи!AQ68,-Продажи!AQ91)</f>
        <v>0</v>
      </c>
      <c s="125">
        <f>SUM(Продажи!AR68,-Продажи!AR91)</f>
        <v>0</v>
      </c>
      <c s="125">
        <f>SUM(Продажи!AS68,-Продажи!AS91)</f>
        <v>0</v>
      </c>
      <c s="125">
        <f>SUM(Продажи!AT68,-Продажи!AT91)</f>
        <v>0</v>
      </c>
      <c s="125">
        <f>SUM(Продажи!AU68,-Продажи!AU91)</f>
        <v>0</v>
      </c>
      <c s="125">
        <f>SUM(Продажи!AV68,-Продажи!AV91)</f>
        <v>0</v>
      </c>
      <c s="125">
        <f>SUM(Продажи!AW68,-Продажи!AW91)</f>
        <v>0</v>
      </c>
      <c s="125">
        <f>SUM(Продажи!AX68,-Продажи!AX91)</f>
        <v>0</v>
      </c>
      <c s="125">
        <f>SUM(Продажи!AY68,-Продажи!AY91)</f>
        <v>0</v>
      </c>
      <c s="125">
        <f>SUM(Продажи!AZ68,-Продажи!AZ91)</f>
        <v>0</v>
      </c>
      <c s="125">
        <f>SUM(Продажи!BA68,-Продажи!BA91)</f>
        <v>0</v>
      </c>
      <c s="125">
        <f>SUM(Продажи!BB68,-Продажи!BB91)</f>
        <v>0</v>
      </c>
      <c s="125">
        <f>SUM(Продажи!BC68,-Продажи!BC91)</f>
        <v>0</v>
      </c>
      <c s="125">
        <f>SUM(Продажи!BD68,-Продажи!BD91)</f>
        <v>0</v>
      </c>
      <c s="125">
        <f>SUM(Продажи!BE68,-Продажи!BE91)</f>
        <v>0</v>
      </c>
      <c s="125">
        <f>SUM(Продажи!BF68,-Продажи!BF91)</f>
        <v>0</v>
      </c>
      <c s="125">
        <f>SUM(Продажи!BG68,-Продажи!BG91)</f>
        <v>0</v>
      </c>
      <c s="125">
        <f>SUM(Продажи!BH68,-Продажи!BH91)</f>
        <v>0</v>
      </c>
      <c s="125">
        <f>SUM(Продажи!BI68,-Продажи!BI91)</f>
        <v>0</v>
      </c>
      <c s="125">
        <f>SUM(Продажи!BJ68,-Продажи!BJ91)</f>
        <v>0</v>
      </c>
      <c s="125">
        <f>SUM(Продажи!BK68,-Продажи!BK91)</f>
        <v>0</v>
      </c>
      <c s="125">
        <f>SUM(Продажи!BL68,-Продажи!BL91)</f>
        <v>0</v>
      </c>
      <c s="125">
        <f>SUM(Продажи!BM68,-Продажи!BM91)</f>
        <v>0</v>
      </c>
    </row>
    <row r="117" spans="2:65" ht="15" customHeight="1">
      <c r="B117" s="12" t="str">
        <f t="shared" si="144"/>
        <v>Продукт 4</v>
      </c>
      <c s="124" t="str">
        <f t="shared" si="143"/>
        <v>тыс. руб.</v>
      </c>
      <c s="125"/>
      <c s="125">
        <f>SUM(Продажи!E69,-Продажи!E92)</f>
        <v>0</v>
      </c>
      <c s="125">
        <f>SUM(Продажи!F69,-Продажи!F92)</f>
        <v>0</v>
      </c>
      <c s="125">
        <f>SUM(Продажи!G69,-Продажи!G92)</f>
        <v>0</v>
      </c>
      <c s="125">
        <f>SUM(Продажи!H69,-Продажи!H92)</f>
        <v>0</v>
      </c>
      <c s="125">
        <f>SUM(Продажи!I69,-Продажи!I92)</f>
        <v>0</v>
      </c>
      <c s="125">
        <f>SUM(Продажи!J69,-Продажи!J92)</f>
        <v>0</v>
      </c>
      <c s="125">
        <f>SUM(Продажи!K69,-Продажи!K92)</f>
        <v>0</v>
      </c>
      <c s="125">
        <f>SUM(Продажи!L69,-Продажи!L92)</f>
        <v>0</v>
      </c>
      <c s="125">
        <f>SUM(Продажи!M69,-Продажи!M92)</f>
        <v>0</v>
      </c>
      <c s="125">
        <f>SUM(Продажи!N69,-Продажи!N92)</f>
        <v>0</v>
      </c>
      <c s="125">
        <f>SUM(Продажи!O69,-Продажи!O92)</f>
        <v>0</v>
      </c>
      <c s="125">
        <f>SUM(Продажи!P69,-Продажи!P92)</f>
        <v>0</v>
      </c>
      <c s="125">
        <f>SUM(Продажи!Q69,-Продажи!Q92)</f>
        <v>0</v>
      </c>
      <c s="125">
        <f>SUM(Продажи!R69,-Продажи!R92)</f>
        <v>0</v>
      </c>
      <c s="125">
        <f>SUM(Продажи!S69,-Продажи!S92)</f>
        <v>0</v>
      </c>
      <c s="125">
        <f>SUM(Продажи!T69,-Продажи!T92)</f>
        <v>0</v>
      </c>
      <c s="125">
        <f>SUM(Продажи!U69,-Продажи!U92)</f>
        <v>0</v>
      </c>
      <c s="125">
        <f>SUM(Продажи!V69,-Продажи!V92)</f>
        <v>0</v>
      </c>
      <c s="125">
        <f>SUM(Продажи!W69,-Продажи!W92)</f>
        <v>0</v>
      </c>
      <c s="125">
        <f>SUM(Продажи!X69,-Продажи!X92)</f>
        <v>0</v>
      </c>
      <c s="125">
        <f>SUM(Продажи!Y69,-Продажи!Y92)</f>
        <v>0</v>
      </c>
      <c s="125">
        <f>SUM(Продажи!Z69,-Продажи!Z92)</f>
        <v>0</v>
      </c>
      <c s="125">
        <f>SUM(Продажи!AA69,-Продажи!AA92)</f>
        <v>0</v>
      </c>
      <c s="125">
        <f>SUM(Продажи!AB69,-Продажи!AB92)</f>
        <v>0</v>
      </c>
      <c s="125">
        <f>SUM(Продажи!AC69,-Продажи!AC92)</f>
        <v>0</v>
      </c>
      <c s="125">
        <f>SUM(Продажи!AD69,-Продажи!AD92)</f>
        <v>0</v>
      </c>
      <c s="125">
        <f>SUM(Продажи!AE69,-Продажи!AE92)</f>
        <v>0</v>
      </c>
      <c s="125">
        <f>SUM(Продажи!AF69,-Продажи!AF92)</f>
        <v>0</v>
      </c>
      <c s="125">
        <f>SUM(Продажи!AG69,-Продажи!AG92)</f>
        <v>0</v>
      </c>
      <c s="125">
        <f>SUM(Продажи!AH69,-Продажи!AH92)</f>
        <v>0</v>
      </c>
      <c s="125">
        <f>SUM(Продажи!AI69,-Продажи!AI92)</f>
        <v>0</v>
      </c>
      <c s="125">
        <f>SUM(Продажи!AJ69,-Продажи!AJ92)</f>
        <v>0</v>
      </c>
      <c s="125">
        <f>SUM(Продажи!AK69,-Продажи!AK92)</f>
        <v>0</v>
      </c>
      <c s="125">
        <f>SUM(Продажи!AL69,-Продажи!AL92)</f>
        <v>0</v>
      </c>
      <c s="125">
        <f>SUM(Продажи!AM69,-Продажи!AM92)</f>
        <v>0</v>
      </c>
      <c s="125">
        <f>SUM(Продажи!AN69,-Продажи!AN92)</f>
        <v>0</v>
      </c>
      <c s="125">
        <f>SUM(Продажи!AO69,-Продажи!AO92)</f>
        <v>0</v>
      </c>
      <c s="125">
        <f>SUM(Продажи!AP69,-Продажи!AP92)</f>
        <v>0</v>
      </c>
      <c s="125">
        <f>SUM(Продажи!AQ69,-Продажи!AQ92)</f>
        <v>0</v>
      </c>
      <c s="125">
        <f>SUM(Продажи!AR69,-Продажи!AR92)</f>
        <v>0</v>
      </c>
      <c s="125">
        <f>SUM(Продажи!AS69,-Продажи!AS92)</f>
        <v>0</v>
      </c>
      <c s="125">
        <f>SUM(Продажи!AT69,-Продажи!AT92)</f>
        <v>0</v>
      </c>
      <c s="125">
        <f>SUM(Продажи!AU69,-Продажи!AU92)</f>
        <v>0</v>
      </c>
      <c s="125">
        <f>SUM(Продажи!AV69,-Продажи!AV92)</f>
        <v>0</v>
      </c>
      <c s="125">
        <f>SUM(Продажи!AW69,-Продажи!AW92)</f>
        <v>0</v>
      </c>
      <c s="125">
        <f>SUM(Продажи!AX69,-Продажи!AX92)</f>
        <v>0</v>
      </c>
      <c s="125">
        <f>SUM(Продажи!AY69,-Продажи!AY92)</f>
        <v>0</v>
      </c>
      <c s="125">
        <f>SUM(Продажи!AZ69,-Продажи!AZ92)</f>
        <v>0</v>
      </c>
      <c s="125">
        <f>SUM(Продажи!BA69,-Продажи!BA92)</f>
        <v>0</v>
      </c>
      <c s="125">
        <f>SUM(Продажи!BB69,-Продажи!BB92)</f>
        <v>0</v>
      </c>
      <c s="125">
        <f>SUM(Продажи!BC69,-Продажи!BC92)</f>
        <v>0</v>
      </c>
      <c s="125">
        <f>SUM(Продажи!BD69,-Продажи!BD92)</f>
        <v>0</v>
      </c>
      <c s="125">
        <f>SUM(Продажи!BE69,-Продажи!BE92)</f>
        <v>0</v>
      </c>
      <c s="125">
        <f>SUM(Продажи!BF69,-Продажи!BF92)</f>
        <v>0</v>
      </c>
      <c s="125">
        <f>SUM(Продажи!BG69,-Продажи!BG92)</f>
        <v>0</v>
      </c>
      <c s="125">
        <f>SUM(Продажи!BH69,-Продажи!BH92)</f>
        <v>0</v>
      </c>
      <c s="125">
        <f>SUM(Продажи!BI69,-Продажи!BI92)</f>
        <v>0</v>
      </c>
      <c s="125">
        <f>SUM(Продажи!BJ69,-Продажи!BJ92)</f>
        <v>0</v>
      </c>
      <c s="125">
        <f>SUM(Продажи!BK69,-Продажи!BK92)</f>
        <v>0</v>
      </c>
      <c s="125">
        <f>SUM(Продажи!BL69,-Продажи!BL92)</f>
        <v>0</v>
      </c>
      <c s="125">
        <f>SUM(Продажи!BM69,-Продажи!BM92)</f>
        <v>0</v>
      </c>
    </row>
    <row r="118" spans="2:65" ht="15" customHeight="1">
      <c r="B118" s="12" t="str">
        <f t="shared" si="144"/>
        <v>Продукт 5</v>
      </c>
      <c s="124" t="str">
        <f t="shared" si="143"/>
        <v>тыс. руб.</v>
      </c>
      <c s="125"/>
      <c s="125">
        <f>SUM(Продажи!E70,-Продажи!E93)</f>
        <v>0</v>
      </c>
      <c s="125">
        <f>SUM(Продажи!F70,-Продажи!F93)</f>
        <v>0</v>
      </c>
      <c s="125">
        <f>SUM(Продажи!G70,-Продажи!G93)</f>
        <v>0</v>
      </c>
      <c s="125">
        <f>SUM(Продажи!H70,-Продажи!H93)</f>
        <v>0</v>
      </c>
      <c s="125">
        <f>SUM(Продажи!I70,-Продажи!I93)</f>
        <v>0</v>
      </c>
      <c s="125">
        <f>SUM(Продажи!J70,-Продажи!J93)</f>
        <v>0</v>
      </c>
      <c s="125">
        <f>SUM(Продажи!K70,-Продажи!K93)</f>
        <v>0</v>
      </c>
      <c s="125">
        <f>SUM(Продажи!L70,-Продажи!L93)</f>
        <v>0</v>
      </c>
      <c s="125">
        <f>SUM(Продажи!M70,-Продажи!M93)</f>
        <v>0</v>
      </c>
      <c s="125">
        <f>SUM(Продажи!N70,-Продажи!N93)</f>
        <v>0</v>
      </c>
      <c s="125">
        <f>SUM(Продажи!O70,-Продажи!O93)</f>
        <v>0</v>
      </c>
      <c s="125">
        <f>SUM(Продажи!P70,-Продажи!P93)</f>
        <v>0</v>
      </c>
      <c s="125">
        <f>SUM(Продажи!Q70,-Продажи!Q93)</f>
        <v>0</v>
      </c>
      <c s="125">
        <f>SUM(Продажи!R70,-Продажи!R93)</f>
        <v>0</v>
      </c>
      <c s="125">
        <f>SUM(Продажи!S70,-Продажи!S93)</f>
        <v>0</v>
      </c>
      <c s="125">
        <f>SUM(Продажи!T70,-Продажи!T93)</f>
        <v>0</v>
      </c>
      <c s="125">
        <f>SUM(Продажи!U70,-Продажи!U93)</f>
        <v>0</v>
      </c>
      <c s="125">
        <f>SUM(Продажи!V70,-Продажи!V93)</f>
        <v>0</v>
      </c>
      <c s="125">
        <f>SUM(Продажи!W70,-Продажи!W93)</f>
        <v>0</v>
      </c>
      <c s="125">
        <f>SUM(Продажи!X70,-Продажи!X93)</f>
        <v>0</v>
      </c>
      <c s="125">
        <f>SUM(Продажи!Y70,-Продажи!Y93)</f>
        <v>0</v>
      </c>
      <c s="125">
        <f>SUM(Продажи!Z70,-Продажи!Z93)</f>
        <v>0</v>
      </c>
      <c s="125">
        <f>SUM(Продажи!AA70,-Продажи!AA93)</f>
        <v>0</v>
      </c>
      <c s="125">
        <f>SUM(Продажи!AB70,-Продажи!AB93)</f>
        <v>0</v>
      </c>
      <c s="125">
        <f>SUM(Продажи!AC70,-Продажи!AC93)</f>
        <v>0</v>
      </c>
      <c s="125">
        <f>SUM(Продажи!AD70,-Продажи!AD93)</f>
        <v>0</v>
      </c>
      <c s="125">
        <f>SUM(Продажи!AE70,-Продажи!AE93)</f>
        <v>0</v>
      </c>
      <c s="125">
        <f>SUM(Продажи!AF70,-Продажи!AF93)</f>
        <v>0</v>
      </c>
      <c s="125">
        <f>SUM(Продажи!AG70,-Продажи!AG93)</f>
        <v>0</v>
      </c>
      <c s="125">
        <f>SUM(Продажи!AH70,-Продажи!AH93)</f>
        <v>0</v>
      </c>
      <c s="125">
        <f>SUM(Продажи!AI70,-Продажи!AI93)</f>
        <v>0</v>
      </c>
      <c s="125">
        <f>SUM(Продажи!AJ70,-Продажи!AJ93)</f>
        <v>0</v>
      </c>
      <c s="125">
        <f>SUM(Продажи!AK70,-Продажи!AK93)</f>
        <v>0</v>
      </c>
      <c s="125">
        <f>SUM(Продажи!AL70,-Продажи!AL93)</f>
        <v>0</v>
      </c>
      <c s="125">
        <f>SUM(Продажи!AM70,-Продажи!AM93)</f>
        <v>0</v>
      </c>
      <c s="125">
        <f>SUM(Продажи!AN70,-Продажи!AN93)</f>
        <v>0</v>
      </c>
      <c s="125">
        <f>SUM(Продажи!AO70,-Продажи!AO93)</f>
        <v>0</v>
      </c>
      <c s="125">
        <f>SUM(Продажи!AP70,-Продажи!AP93)</f>
        <v>0</v>
      </c>
      <c s="125">
        <f>SUM(Продажи!AQ70,-Продажи!AQ93)</f>
        <v>0</v>
      </c>
      <c s="125">
        <f>SUM(Продажи!AR70,-Продажи!AR93)</f>
        <v>0</v>
      </c>
      <c s="125">
        <f>SUM(Продажи!AS70,-Продажи!AS93)</f>
        <v>0</v>
      </c>
      <c s="125">
        <f>SUM(Продажи!AT70,-Продажи!AT93)</f>
        <v>0</v>
      </c>
      <c s="125">
        <f>SUM(Продажи!AU70,-Продажи!AU93)</f>
        <v>0</v>
      </c>
      <c s="125">
        <f>SUM(Продажи!AV70,-Продажи!AV93)</f>
        <v>0</v>
      </c>
      <c s="125">
        <f>SUM(Продажи!AW70,-Продажи!AW93)</f>
        <v>0</v>
      </c>
      <c s="125">
        <f>SUM(Продажи!AX70,-Продажи!AX93)</f>
        <v>0</v>
      </c>
      <c s="125">
        <f>SUM(Продажи!AY70,-Продажи!AY93)</f>
        <v>0</v>
      </c>
      <c s="125">
        <f>SUM(Продажи!AZ70,-Продажи!AZ93)</f>
        <v>0</v>
      </c>
      <c s="125">
        <f>SUM(Продажи!BA70,-Продажи!BA93)</f>
        <v>0</v>
      </c>
      <c s="125">
        <f>SUM(Продажи!BB70,-Продажи!BB93)</f>
        <v>0</v>
      </c>
      <c s="125">
        <f>SUM(Продажи!BC70,-Продажи!BC93)</f>
        <v>0</v>
      </c>
      <c s="125">
        <f>SUM(Продажи!BD70,-Продажи!BD93)</f>
        <v>0</v>
      </c>
      <c s="125">
        <f>SUM(Продажи!BE70,-Продажи!BE93)</f>
        <v>0</v>
      </c>
      <c s="125">
        <f>SUM(Продажи!BF70,-Продажи!BF93)</f>
        <v>0</v>
      </c>
      <c s="125">
        <f>SUM(Продажи!BG70,-Продажи!BG93)</f>
        <v>0</v>
      </c>
      <c s="125">
        <f>SUM(Продажи!BH70,-Продажи!BH93)</f>
        <v>0</v>
      </c>
      <c s="125">
        <f>SUM(Продажи!BI70,-Продажи!BI93)</f>
        <v>0</v>
      </c>
      <c s="125">
        <f>SUM(Продажи!BJ70,-Продажи!BJ93)</f>
        <v>0</v>
      </c>
      <c s="125">
        <f>SUM(Продажи!BK70,-Продажи!BK93)</f>
        <v>0</v>
      </c>
      <c s="125">
        <f>SUM(Продажи!BL70,-Продажи!BL93)</f>
        <v>0</v>
      </c>
      <c s="125">
        <f>SUM(Продажи!BM70,-Продажи!BM93)</f>
        <v>0</v>
      </c>
    </row>
    <row r="119" spans="2:65" ht="15" customHeight="1">
      <c r="B119" s="12" t="str">
        <f t="shared" si="144"/>
        <v>Продукт 6</v>
      </c>
      <c s="124" t="str">
        <f t="shared" si="143"/>
        <v>тыс. руб.</v>
      </c>
      <c s="125"/>
      <c s="125">
        <f>SUM(Продажи!E71,-Продажи!E94)</f>
        <v>0</v>
      </c>
      <c s="125">
        <f>SUM(Продажи!F71,-Продажи!F94)</f>
        <v>0</v>
      </c>
      <c s="125">
        <f>SUM(Продажи!G71,-Продажи!G94)</f>
        <v>0</v>
      </c>
      <c s="125">
        <f>SUM(Продажи!H71,-Продажи!H94)</f>
        <v>0</v>
      </c>
      <c s="125">
        <f>SUM(Продажи!I71,-Продажи!I94)</f>
        <v>0</v>
      </c>
      <c s="125">
        <f>SUM(Продажи!J71,-Продажи!J94)</f>
        <v>0</v>
      </c>
      <c s="125">
        <f>SUM(Продажи!K71,-Продажи!K94)</f>
        <v>0</v>
      </c>
      <c s="125">
        <f>SUM(Продажи!L71,-Продажи!L94)</f>
        <v>0</v>
      </c>
      <c s="125">
        <f>SUM(Продажи!M71,-Продажи!M94)</f>
        <v>0</v>
      </c>
      <c s="125">
        <f>SUM(Продажи!N71,-Продажи!N94)</f>
        <v>0</v>
      </c>
      <c s="125">
        <f>SUM(Продажи!O71,-Продажи!O94)</f>
        <v>0</v>
      </c>
      <c s="125">
        <f>SUM(Продажи!P71,-Продажи!P94)</f>
        <v>0</v>
      </c>
      <c s="125">
        <f>SUM(Продажи!Q71,-Продажи!Q94)</f>
        <v>0</v>
      </c>
      <c s="125">
        <f>SUM(Продажи!R71,-Продажи!R94)</f>
        <v>0</v>
      </c>
      <c s="125">
        <f>SUM(Продажи!S71,-Продажи!S94)</f>
        <v>0</v>
      </c>
      <c s="125">
        <f>SUM(Продажи!T71,-Продажи!T94)</f>
        <v>0</v>
      </c>
      <c s="125">
        <f>SUM(Продажи!U71,-Продажи!U94)</f>
        <v>0</v>
      </c>
      <c s="125">
        <f>SUM(Продажи!V71,-Продажи!V94)</f>
        <v>0</v>
      </c>
      <c s="125">
        <f>SUM(Продажи!W71,-Продажи!W94)</f>
        <v>0</v>
      </c>
      <c s="125">
        <f>SUM(Продажи!X71,-Продажи!X94)</f>
        <v>0</v>
      </c>
      <c s="125">
        <f>SUM(Продажи!Y71,-Продажи!Y94)</f>
        <v>0</v>
      </c>
      <c s="125">
        <f>SUM(Продажи!Z71,-Продажи!Z94)</f>
        <v>0</v>
      </c>
      <c s="125">
        <f>SUM(Продажи!AA71,-Продажи!AA94)</f>
        <v>0</v>
      </c>
      <c s="125">
        <f>SUM(Продажи!AB71,-Продажи!AB94)</f>
        <v>0</v>
      </c>
      <c s="125">
        <f>SUM(Продажи!AC71,-Продажи!AC94)</f>
        <v>0</v>
      </c>
      <c s="125">
        <f>SUM(Продажи!AD71,-Продажи!AD94)</f>
        <v>0</v>
      </c>
      <c s="125">
        <f>SUM(Продажи!AE71,-Продажи!AE94)</f>
        <v>0</v>
      </c>
      <c s="125">
        <f>SUM(Продажи!AF71,-Продажи!AF94)</f>
        <v>0</v>
      </c>
      <c s="125">
        <f>SUM(Продажи!AG71,-Продажи!AG94)</f>
        <v>0</v>
      </c>
      <c s="125">
        <f>SUM(Продажи!AH71,-Продажи!AH94)</f>
        <v>0</v>
      </c>
      <c s="125">
        <f>SUM(Продажи!AI71,-Продажи!AI94)</f>
        <v>0</v>
      </c>
      <c s="125">
        <f>SUM(Продажи!AJ71,-Продажи!AJ94)</f>
        <v>0</v>
      </c>
      <c s="125">
        <f>SUM(Продажи!AK71,-Продажи!AK94)</f>
        <v>0</v>
      </c>
      <c s="125">
        <f>SUM(Продажи!AL71,-Продажи!AL94)</f>
        <v>0</v>
      </c>
      <c s="125">
        <f>SUM(Продажи!AM71,-Продажи!AM94)</f>
        <v>0</v>
      </c>
      <c s="125">
        <f>SUM(Продажи!AN71,-Продажи!AN94)</f>
        <v>0</v>
      </c>
      <c s="125">
        <f>SUM(Продажи!AO71,-Продажи!AO94)</f>
        <v>0</v>
      </c>
      <c s="125">
        <f>SUM(Продажи!AP71,-Продажи!AP94)</f>
        <v>0</v>
      </c>
      <c s="125">
        <f>SUM(Продажи!AQ71,-Продажи!AQ94)</f>
        <v>0</v>
      </c>
      <c s="125">
        <f>SUM(Продажи!AR71,-Продажи!AR94)</f>
        <v>0</v>
      </c>
      <c s="125">
        <f>SUM(Продажи!AS71,-Продажи!AS94)</f>
        <v>0</v>
      </c>
      <c s="125">
        <f>SUM(Продажи!AT71,-Продажи!AT94)</f>
        <v>0</v>
      </c>
      <c s="125">
        <f>SUM(Продажи!AU71,-Продажи!AU94)</f>
        <v>0</v>
      </c>
      <c s="125">
        <f>SUM(Продажи!AV71,-Продажи!AV94)</f>
        <v>0</v>
      </c>
      <c s="125">
        <f>SUM(Продажи!AW71,-Продажи!AW94)</f>
        <v>0</v>
      </c>
      <c s="125">
        <f>SUM(Продажи!AX71,-Продажи!AX94)</f>
        <v>0</v>
      </c>
      <c s="125">
        <f>SUM(Продажи!AY71,-Продажи!AY94)</f>
        <v>0</v>
      </c>
      <c s="125">
        <f>SUM(Продажи!AZ71,-Продажи!AZ94)</f>
        <v>0</v>
      </c>
      <c s="125">
        <f>SUM(Продажи!BA71,-Продажи!BA94)</f>
        <v>0</v>
      </c>
      <c s="125">
        <f>SUM(Продажи!BB71,-Продажи!BB94)</f>
        <v>0</v>
      </c>
      <c s="125">
        <f>SUM(Продажи!BC71,-Продажи!BC94)</f>
        <v>0</v>
      </c>
      <c s="125">
        <f>SUM(Продажи!BD71,-Продажи!BD94)</f>
        <v>0</v>
      </c>
      <c s="125">
        <f>SUM(Продажи!BE71,-Продажи!BE94)</f>
        <v>0</v>
      </c>
      <c s="125">
        <f>SUM(Продажи!BF71,-Продажи!BF94)</f>
        <v>0</v>
      </c>
      <c s="125">
        <f>SUM(Продажи!BG71,-Продажи!BG94)</f>
        <v>0</v>
      </c>
      <c s="125">
        <f>SUM(Продажи!BH71,-Продажи!BH94)</f>
        <v>0</v>
      </c>
      <c s="125">
        <f>SUM(Продажи!BI71,-Продажи!BI94)</f>
        <v>0</v>
      </c>
      <c s="125">
        <f>SUM(Продажи!BJ71,-Продажи!BJ94)</f>
        <v>0</v>
      </c>
      <c s="125">
        <f>SUM(Продажи!BK71,-Продажи!BK94)</f>
        <v>0</v>
      </c>
      <c s="125">
        <f>SUM(Продажи!BL71,-Продажи!BL94)</f>
        <v>0</v>
      </c>
      <c s="125">
        <f>SUM(Продажи!BM71,-Продажи!BM94)</f>
        <v>0</v>
      </c>
    </row>
    <row r="120" spans="2:65" ht="15" customHeight="1">
      <c r="B120" s="12" t="str">
        <f t="shared" si="144"/>
        <v>Продукт 7</v>
      </c>
      <c s="124" t="str">
        <f t="shared" si="143"/>
        <v>тыс. руб.</v>
      </c>
      <c s="125"/>
      <c s="125">
        <f>SUM(Продажи!E72,-Продажи!E95)</f>
        <v>0</v>
      </c>
      <c s="125">
        <f>SUM(Продажи!F72,-Продажи!F95)</f>
        <v>0</v>
      </c>
      <c s="125">
        <f>SUM(Продажи!G72,-Продажи!G95)</f>
        <v>0</v>
      </c>
      <c s="125">
        <f>SUM(Продажи!H72,-Продажи!H95)</f>
        <v>0</v>
      </c>
      <c s="125">
        <f>SUM(Продажи!I72,-Продажи!I95)</f>
        <v>0</v>
      </c>
      <c s="125">
        <f>SUM(Продажи!J72,-Продажи!J95)</f>
        <v>0</v>
      </c>
      <c s="125">
        <f>SUM(Продажи!K72,-Продажи!K95)</f>
        <v>0</v>
      </c>
      <c s="125">
        <f>SUM(Продажи!L72,-Продажи!L95)</f>
        <v>0</v>
      </c>
      <c s="125">
        <f>SUM(Продажи!M72,-Продажи!M95)</f>
        <v>0</v>
      </c>
      <c s="125">
        <f>SUM(Продажи!N72,-Продажи!N95)</f>
        <v>0</v>
      </c>
      <c s="125">
        <f>SUM(Продажи!O72,-Продажи!O95)</f>
        <v>0</v>
      </c>
      <c s="125">
        <f>SUM(Продажи!P72,-Продажи!P95)</f>
        <v>0</v>
      </c>
      <c s="125">
        <f>SUM(Продажи!Q72,-Продажи!Q95)</f>
        <v>0</v>
      </c>
      <c s="125">
        <f>SUM(Продажи!R72,-Продажи!R95)</f>
        <v>0</v>
      </c>
      <c s="125">
        <f>SUM(Продажи!S72,-Продажи!S95)</f>
        <v>0</v>
      </c>
      <c s="125">
        <f>SUM(Продажи!T72,-Продажи!T95)</f>
        <v>0</v>
      </c>
      <c s="125">
        <f>SUM(Продажи!U72,-Продажи!U95)</f>
        <v>0</v>
      </c>
      <c s="125">
        <f>SUM(Продажи!V72,-Продажи!V95)</f>
        <v>0</v>
      </c>
      <c s="125">
        <f>SUM(Продажи!W72,-Продажи!W95)</f>
        <v>0</v>
      </c>
      <c s="125">
        <f>SUM(Продажи!X72,-Продажи!X95)</f>
        <v>0</v>
      </c>
      <c s="125">
        <f>SUM(Продажи!Y72,-Продажи!Y95)</f>
        <v>0</v>
      </c>
      <c s="125">
        <f>SUM(Продажи!Z72,-Продажи!Z95)</f>
        <v>0</v>
      </c>
      <c s="125">
        <f>SUM(Продажи!AA72,-Продажи!AA95)</f>
        <v>0</v>
      </c>
      <c s="125">
        <f>SUM(Продажи!AB72,-Продажи!AB95)</f>
        <v>0</v>
      </c>
      <c s="125">
        <f>SUM(Продажи!AC72,-Продажи!AC95)</f>
        <v>0</v>
      </c>
      <c s="125">
        <f>SUM(Продажи!AD72,-Продажи!AD95)</f>
        <v>0</v>
      </c>
      <c s="125">
        <f>SUM(Продажи!AE72,-Продажи!AE95)</f>
        <v>0</v>
      </c>
      <c s="125">
        <f>SUM(Продажи!AF72,-Продажи!AF95)</f>
        <v>0</v>
      </c>
      <c s="125">
        <f>SUM(Продажи!AG72,-Продажи!AG95)</f>
        <v>0</v>
      </c>
      <c s="125">
        <f>SUM(Продажи!AH72,-Продажи!AH95)</f>
        <v>0</v>
      </c>
      <c s="125">
        <f>SUM(Продажи!AI72,-Продажи!AI95)</f>
        <v>0</v>
      </c>
      <c s="125">
        <f>SUM(Продажи!AJ72,-Продажи!AJ95)</f>
        <v>0</v>
      </c>
      <c s="125">
        <f>SUM(Продажи!AK72,-Продажи!AK95)</f>
        <v>0</v>
      </c>
      <c s="125">
        <f>SUM(Продажи!AL72,-Продажи!AL95)</f>
        <v>0</v>
      </c>
      <c s="125">
        <f>SUM(Продажи!AM72,-Продажи!AM95)</f>
        <v>0</v>
      </c>
      <c s="125">
        <f>SUM(Продажи!AN72,-Продажи!AN95)</f>
        <v>0</v>
      </c>
      <c s="125">
        <f>SUM(Продажи!AO72,-Продажи!AO95)</f>
        <v>0</v>
      </c>
      <c s="125">
        <f>SUM(Продажи!AP72,-Продажи!AP95)</f>
        <v>0</v>
      </c>
      <c s="125">
        <f>SUM(Продажи!AQ72,-Продажи!AQ95)</f>
        <v>0</v>
      </c>
      <c s="125">
        <f>SUM(Продажи!AR72,-Продажи!AR95)</f>
        <v>0</v>
      </c>
      <c s="125">
        <f>SUM(Продажи!AS72,-Продажи!AS95)</f>
        <v>0</v>
      </c>
      <c s="125">
        <f>SUM(Продажи!AT72,-Продажи!AT95)</f>
        <v>0</v>
      </c>
      <c s="125">
        <f>SUM(Продажи!AU72,-Продажи!AU95)</f>
        <v>0</v>
      </c>
      <c s="125">
        <f>SUM(Продажи!AV72,-Продажи!AV95)</f>
        <v>0</v>
      </c>
      <c s="125">
        <f>SUM(Продажи!AW72,-Продажи!AW95)</f>
        <v>0</v>
      </c>
      <c s="125">
        <f>SUM(Продажи!AX72,-Продажи!AX95)</f>
        <v>0</v>
      </c>
      <c s="125">
        <f>SUM(Продажи!AY72,-Продажи!AY95)</f>
        <v>0</v>
      </c>
      <c s="125">
        <f>SUM(Продажи!AZ72,-Продажи!AZ95)</f>
        <v>0</v>
      </c>
      <c s="125">
        <f>SUM(Продажи!BA72,-Продажи!BA95)</f>
        <v>0</v>
      </c>
      <c s="125">
        <f>SUM(Продажи!BB72,-Продажи!BB95)</f>
        <v>0</v>
      </c>
      <c s="125">
        <f>SUM(Продажи!BC72,-Продажи!BC95)</f>
        <v>0</v>
      </c>
      <c s="125">
        <f>SUM(Продажи!BD72,-Продажи!BD95)</f>
        <v>0</v>
      </c>
      <c s="125">
        <f>SUM(Продажи!BE72,-Продажи!BE95)</f>
        <v>0</v>
      </c>
      <c s="125">
        <f>SUM(Продажи!BF72,-Продажи!BF95)</f>
        <v>0</v>
      </c>
      <c s="125">
        <f>SUM(Продажи!BG72,-Продажи!BG95)</f>
        <v>0</v>
      </c>
      <c s="125">
        <f>SUM(Продажи!BH72,-Продажи!BH95)</f>
        <v>0</v>
      </c>
      <c s="125">
        <f>SUM(Продажи!BI72,-Продажи!BI95)</f>
        <v>0</v>
      </c>
      <c s="125">
        <f>SUM(Продажи!BJ72,-Продажи!BJ95)</f>
        <v>0</v>
      </c>
      <c s="125">
        <f>SUM(Продажи!BK72,-Продажи!BK95)</f>
        <v>0</v>
      </c>
      <c s="125">
        <f>SUM(Продажи!BL72,-Продажи!BL95)</f>
        <v>0</v>
      </c>
      <c s="125">
        <f>SUM(Продажи!BM72,-Продажи!BM95)</f>
        <v>0</v>
      </c>
    </row>
    <row r="121" spans="2:65" ht="15" customHeight="1">
      <c r="B121" s="12" t="str">
        <f t="shared" si="144"/>
        <v>Продукт 8</v>
      </c>
      <c s="124" t="str">
        <f t="shared" si="143"/>
        <v>тыс. руб.</v>
      </c>
      <c s="125"/>
      <c s="125">
        <f>SUM(Продажи!E73,-Продажи!E96)</f>
        <v>0</v>
      </c>
      <c s="125">
        <f>SUM(Продажи!F73,-Продажи!F96)</f>
        <v>0</v>
      </c>
      <c s="125">
        <f>SUM(Продажи!G73,-Продажи!G96)</f>
        <v>0</v>
      </c>
      <c s="125">
        <f>SUM(Продажи!H73,-Продажи!H96)</f>
        <v>0</v>
      </c>
      <c s="125">
        <f>SUM(Продажи!I73,-Продажи!I96)</f>
        <v>0</v>
      </c>
      <c s="125">
        <f>SUM(Продажи!J73,-Продажи!J96)</f>
        <v>0</v>
      </c>
      <c s="125">
        <f>SUM(Продажи!K73,-Продажи!K96)</f>
        <v>0</v>
      </c>
      <c s="125">
        <f>SUM(Продажи!L73,-Продажи!L96)</f>
        <v>0</v>
      </c>
      <c s="125">
        <f>SUM(Продажи!M73,-Продажи!M96)</f>
        <v>0</v>
      </c>
      <c s="125">
        <f>SUM(Продажи!N73,-Продажи!N96)</f>
        <v>0</v>
      </c>
      <c s="125">
        <f>SUM(Продажи!O73,-Продажи!O96)</f>
        <v>0</v>
      </c>
      <c s="125">
        <f>SUM(Продажи!P73,-Продажи!P96)</f>
        <v>0</v>
      </c>
      <c s="125">
        <f>SUM(Продажи!Q73,-Продажи!Q96)</f>
        <v>0</v>
      </c>
      <c s="125">
        <f>SUM(Продажи!R73,-Продажи!R96)</f>
        <v>0</v>
      </c>
      <c s="125">
        <f>SUM(Продажи!S73,-Продажи!S96)</f>
        <v>0</v>
      </c>
      <c s="125">
        <f>SUM(Продажи!T73,-Продажи!T96)</f>
        <v>0</v>
      </c>
      <c s="125">
        <f>SUM(Продажи!U73,-Продажи!U96)</f>
        <v>0</v>
      </c>
      <c s="125">
        <f>SUM(Продажи!V73,-Продажи!V96)</f>
        <v>0</v>
      </c>
      <c s="125">
        <f>SUM(Продажи!W73,-Продажи!W96)</f>
        <v>0</v>
      </c>
      <c s="125">
        <f>SUM(Продажи!X73,-Продажи!X96)</f>
        <v>0</v>
      </c>
      <c s="125">
        <f>SUM(Продажи!Y73,-Продажи!Y96)</f>
        <v>0</v>
      </c>
      <c s="125">
        <f>SUM(Продажи!Z73,-Продажи!Z96)</f>
        <v>0</v>
      </c>
      <c s="125">
        <f>SUM(Продажи!AA73,-Продажи!AA96)</f>
        <v>0</v>
      </c>
      <c s="125">
        <f>SUM(Продажи!AB73,-Продажи!AB96)</f>
        <v>0</v>
      </c>
      <c s="125">
        <f>SUM(Продажи!AC73,-Продажи!AC96)</f>
        <v>0</v>
      </c>
      <c s="125">
        <f>SUM(Продажи!AD73,-Продажи!AD96)</f>
        <v>0</v>
      </c>
      <c s="125">
        <f>SUM(Продажи!AE73,-Продажи!AE96)</f>
        <v>0</v>
      </c>
      <c s="125">
        <f>SUM(Продажи!AF73,-Продажи!AF96)</f>
        <v>0</v>
      </c>
      <c s="125">
        <f>SUM(Продажи!AG73,-Продажи!AG96)</f>
        <v>0</v>
      </c>
      <c s="125">
        <f>SUM(Продажи!AH73,-Продажи!AH96)</f>
        <v>0</v>
      </c>
      <c s="125">
        <f>SUM(Продажи!AI73,-Продажи!AI96)</f>
        <v>0</v>
      </c>
      <c s="125">
        <f>SUM(Продажи!AJ73,-Продажи!AJ96)</f>
        <v>0</v>
      </c>
      <c s="125">
        <f>SUM(Продажи!AK73,-Продажи!AK96)</f>
        <v>0</v>
      </c>
      <c s="125">
        <f>SUM(Продажи!AL73,-Продажи!AL96)</f>
        <v>0</v>
      </c>
      <c s="125">
        <f>SUM(Продажи!AM73,-Продажи!AM96)</f>
        <v>0</v>
      </c>
      <c s="125">
        <f>SUM(Продажи!AN73,-Продажи!AN96)</f>
        <v>0</v>
      </c>
      <c s="125">
        <f>SUM(Продажи!AO73,-Продажи!AO96)</f>
        <v>0</v>
      </c>
      <c s="125">
        <f>SUM(Продажи!AP73,-Продажи!AP96)</f>
        <v>0</v>
      </c>
      <c s="125">
        <f>SUM(Продажи!AQ73,-Продажи!AQ96)</f>
        <v>0</v>
      </c>
      <c s="125">
        <f>SUM(Продажи!AR73,-Продажи!AR96)</f>
        <v>0</v>
      </c>
      <c s="125">
        <f>SUM(Продажи!AS73,-Продажи!AS96)</f>
        <v>0</v>
      </c>
      <c s="125">
        <f>SUM(Продажи!AT73,-Продажи!AT96)</f>
        <v>0</v>
      </c>
      <c s="125">
        <f>SUM(Продажи!AU73,-Продажи!AU96)</f>
        <v>0</v>
      </c>
      <c s="125">
        <f>SUM(Продажи!AV73,-Продажи!AV96)</f>
        <v>0</v>
      </c>
      <c s="125">
        <f>SUM(Продажи!AW73,-Продажи!AW96)</f>
        <v>0</v>
      </c>
      <c s="125">
        <f>SUM(Продажи!AX73,-Продажи!AX96)</f>
        <v>0</v>
      </c>
      <c s="125">
        <f>SUM(Продажи!AY73,-Продажи!AY96)</f>
        <v>0</v>
      </c>
      <c s="125">
        <f>SUM(Продажи!AZ73,-Продажи!AZ96)</f>
        <v>0</v>
      </c>
      <c s="125">
        <f>SUM(Продажи!BA73,-Продажи!BA96)</f>
        <v>0</v>
      </c>
      <c s="125">
        <f>SUM(Продажи!BB73,-Продажи!BB96)</f>
        <v>0</v>
      </c>
      <c s="125">
        <f>SUM(Продажи!BC73,-Продажи!BC96)</f>
        <v>0</v>
      </c>
      <c s="125">
        <f>SUM(Продажи!BD73,-Продажи!BD96)</f>
        <v>0</v>
      </c>
      <c s="125">
        <f>SUM(Продажи!BE73,-Продажи!BE96)</f>
        <v>0</v>
      </c>
      <c s="125">
        <f>SUM(Продажи!BF73,-Продажи!BF96)</f>
        <v>0</v>
      </c>
      <c s="125">
        <f>SUM(Продажи!BG73,-Продажи!BG96)</f>
        <v>0</v>
      </c>
      <c s="125">
        <f>SUM(Продажи!BH73,-Продажи!BH96)</f>
        <v>0</v>
      </c>
      <c s="125">
        <f>SUM(Продажи!BI73,-Продажи!BI96)</f>
        <v>0</v>
      </c>
      <c s="125">
        <f>SUM(Продажи!BJ73,-Продажи!BJ96)</f>
        <v>0</v>
      </c>
      <c s="125">
        <f>SUM(Продажи!BK73,-Продажи!BK96)</f>
        <v>0</v>
      </c>
      <c s="125">
        <f>SUM(Продажи!BL73,-Продажи!BL96)</f>
        <v>0</v>
      </c>
      <c s="125">
        <f>SUM(Продажи!BM73,-Продажи!BM96)</f>
        <v>0</v>
      </c>
    </row>
    <row r="122" spans="2:65" ht="15" customHeight="1">
      <c r="B122" s="12" t="str">
        <f t="shared" si="144"/>
        <v>Продукт 9</v>
      </c>
      <c s="124" t="str">
        <f t="shared" si="143"/>
        <v>тыс. руб.</v>
      </c>
      <c s="125"/>
      <c s="125">
        <f>SUM(Продажи!E74,-Продажи!E97)</f>
        <v>0</v>
      </c>
      <c s="125">
        <f>SUM(Продажи!F74,-Продажи!F97)</f>
        <v>0</v>
      </c>
      <c s="125">
        <f>SUM(Продажи!G74,-Продажи!G97)</f>
        <v>0</v>
      </c>
      <c s="125">
        <f>SUM(Продажи!H74,-Продажи!H97)</f>
        <v>0</v>
      </c>
      <c s="125">
        <f>SUM(Продажи!I74,-Продажи!I97)</f>
        <v>0</v>
      </c>
      <c s="125">
        <f>SUM(Продажи!J74,-Продажи!J97)</f>
        <v>0</v>
      </c>
      <c s="125">
        <f>SUM(Продажи!K74,-Продажи!K97)</f>
        <v>0</v>
      </c>
      <c s="125">
        <f>SUM(Продажи!L74,-Продажи!L97)</f>
        <v>0</v>
      </c>
      <c s="125">
        <f>SUM(Продажи!M74,-Продажи!M97)</f>
        <v>0</v>
      </c>
      <c s="125">
        <f>SUM(Продажи!N74,-Продажи!N97)</f>
        <v>0</v>
      </c>
      <c s="125">
        <f>SUM(Продажи!O74,-Продажи!O97)</f>
        <v>0</v>
      </c>
      <c s="125">
        <f>SUM(Продажи!P74,-Продажи!P97)</f>
        <v>0</v>
      </c>
      <c s="125">
        <f>SUM(Продажи!Q74,-Продажи!Q97)</f>
        <v>0</v>
      </c>
      <c s="125">
        <f>SUM(Продажи!R74,-Продажи!R97)</f>
        <v>0</v>
      </c>
      <c s="125">
        <f>SUM(Продажи!S74,-Продажи!S97)</f>
        <v>0</v>
      </c>
      <c s="125">
        <f>SUM(Продажи!T74,-Продажи!T97)</f>
        <v>0</v>
      </c>
      <c s="125">
        <f>SUM(Продажи!U74,-Продажи!U97)</f>
        <v>0</v>
      </c>
      <c s="125">
        <f>SUM(Продажи!V74,-Продажи!V97)</f>
        <v>0</v>
      </c>
      <c s="125">
        <f>SUM(Продажи!W74,-Продажи!W97)</f>
        <v>0</v>
      </c>
      <c s="125">
        <f>SUM(Продажи!X74,-Продажи!X97)</f>
        <v>0</v>
      </c>
      <c s="125">
        <f>SUM(Продажи!Y74,-Продажи!Y97)</f>
        <v>0</v>
      </c>
      <c s="125">
        <f>SUM(Продажи!Z74,-Продажи!Z97)</f>
        <v>0</v>
      </c>
      <c s="125">
        <f>SUM(Продажи!AA74,-Продажи!AA97)</f>
        <v>0</v>
      </c>
      <c s="125">
        <f>SUM(Продажи!AB74,-Продажи!AB97)</f>
        <v>0</v>
      </c>
      <c s="125">
        <f>SUM(Продажи!AC74,-Продажи!AC97)</f>
        <v>0</v>
      </c>
      <c s="125">
        <f>SUM(Продажи!AD74,-Продажи!AD97)</f>
        <v>0</v>
      </c>
      <c s="125">
        <f>SUM(Продажи!AE74,-Продажи!AE97)</f>
        <v>0</v>
      </c>
      <c s="125">
        <f>SUM(Продажи!AF74,-Продажи!AF97)</f>
        <v>0</v>
      </c>
      <c s="125">
        <f>SUM(Продажи!AG74,-Продажи!AG97)</f>
        <v>0</v>
      </c>
      <c s="125">
        <f>SUM(Продажи!AH74,-Продажи!AH97)</f>
        <v>0</v>
      </c>
      <c s="125">
        <f>SUM(Продажи!AI74,-Продажи!AI97)</f>
        <v>0</v>
      </c>
      <c s="125">
        <f>SUM(Продажи!AJ74,-Продажи!AJ97)</f>
        <v>0</v>
      </c>
      <c s="125">
        <f>SUM(Продажи!AK74,-Продажи!AK97)</f>
        <v>0</v>
      </c>
      <c s="125">
        <f>SUM(Продажи!AL74,-Продажи!AL97)</f>
        <v>0</v>
      </c>
      <c s="125">
        <f>SUM(Продажи!AM74,-Продажи!AM97)</f>
        <v>0</v>
      </c>
      <c s="125">
        <f>SUM(Продажи!AN74,-Продажи!AN97)</f>
        <v>0</v>
      </c>
      <c s="125">
        <f>SUM(Продажи!AO74,-Продажи!AO97)</f>
        <v>0</v>
      </c>
      <c s="125">
        <f>SUM(Продажи!AP74,-Продажи!AP97)</f>
        <v>0</v>
      </c>
      <c s="125">
        <f>SUM(Продажи!AQ74,-Продажи!AQ97)</f>
        <v>0</v>
      </c>
      <c s="125">
        <f>SUM(Продажи!AR74,-Продажи!AR97)</f>
        <v>0</v>
      </c>
      <c s="125">
        <f>SUM(Продажи!AS74,-Продажи!AS97)</f>
        <v>0</v>
      </c>
      <c s="125">
        <f>SUM(Продажи!AT74,-Продажи!AT97)</f>
        <v>0</v>
      </c>
      <c s="125">
        <f>SUM(Продажи!AU74,-Продажи!AU97)</f>
        <v>0</v>
      </c>
      <c s="125">
        <f>SUM(Продажи!AV74,-Продажи!AV97)</f>
        <v>0</v>
      </c>
      <c s="125">
        <f>SUM(Продажи!AW74,-Продажи!AW97)</f>
        <v>0</v>
      </c>
      <c s="125">
        <f>SUM(Продажи!AX74,-Продажи!AX97)</f>
        <v>0</v>
      </c>
      <c s="125">
        <f>SUM(Продажи!AY74,-Продажи!AY97)</f>
        <v>0</v>
      </c>
      <c s="125">
        <f>SUM(Продажи!AZ74,-Продажи!AZ97)</f>
        <v>0</v>
      </c>
      <c s="125">
        <f>SUM(Продажи!BA74,-Продажи!BA97)</f>
        <v>0</v>
      </c>
      <c s="125">
        <f>SUM(Продажи!BB74,-Продажи!BB97)</f>
        <v>0</v>
      </c>
      <c s="125">
        <f>SUM(Продажи!BC74,-Продажи!BC97)</f>
        <v>0</v>
      </c>
      <c s="125">
        <f>SUM(Продажи!BD74,-Продажи!BD97)</f>
        <v>0</v>
      </c>
      <c s="125">
        <f>SUM(Продажи!BE74,-Продажи!BE97)</f>
        <v>0</v>
      </c>
      <c s="125">
        <f>SUM(Продажи!BF74,-Продажи!BF97)</f>
        <v>0</v>
      </c>
      <c s="125">
        <f>SUM(Продажи!BG74,-Продажи!BG97)</f>
        <v>0</v>
      </c>
      <c s="125">
        <f>SUM(Продажи!BH74,-Продажи!BH97)</f>
        <v>0</v>
      </c>
      <c s="125">
        <f>SUM(Продажи!BI74,-Продажи!BI97)</f>
        <v>0</v>
      </c>
      <c s="125">
        <f>SUM(Продажи!BJ74,-Продажи!BJ97)</f>
        <v>0</v>
      </c>
      <c s="125">
        <f>SUM(Продажи!BK74,-Продажи!BK97)</f>
        <v>0</v>
      </c>
      <c s="125">
        <f>SUM(Продажи!BL74,-Продажи!BL97)</f>
        <v>0</v>
      </c>
      <c s="125">
        <f>SUM(Продажи!BM74,-Продажи!BM97)</f>
        <v>0</v>
      </c>
    </row>
    <row r="123" spans="2:65" ht="15" customHeight="1">
      <c r="B123" s="12" t="str">
        <f t="shared" si="144"/>
        <v>Продукт 10</v>
      </c>
      <c s="124" t="str">
        <f t="shared" si="143"/>
        <v>тыс. руб.</v>
      </c>
      <c s="125"/>
      <c s="125">
        <f>SUM(Продажи!E75,-Продажи!E98)</f>
        <v>0</v>
      </c>
      <c s="125">
        <f>SUM(Продажи!F75,-Продажи!F98)</f>
        <v>0</v>
      </c>
      <c s="125">
        <f>SUM(Продажи!G75,-Продажи!G98)</f>
        <v>0</v>
      </c>
      <c s="125">
        <f>SUM(Продажи!H75,-Продажи!H98)</f>
        <v>0</v>
      </c>
      <c s="125">
        <f>SUM(Продажи!I75,-Продажи!I98)</f>
        <v>0</v>
      </c>
      <c s="125">
        <f>SUM(Продажи!J75,-Продажи!J98)</f>
        <v>0</v>
      </c>
      <c s="125">
        <f>SUM(Продажи!K75,-Продажи!K98)</f>
        <v>0</v>
      </c>
      <c s="125">
        <f>SUM(Продажи!L75,-Продажи!L98)</f>
        <v>0</v>
      </c>
      <c s="125">
        <f>SUM(Продажи!M75,-Продажи!M98)</f>
        <v>0</v>
      </c>
      <c s="125">
        <f>SUM(Продажи!N75,-Продажи!N98)</f>
        <v>0</v>
      </c>
      <c s="125">
        <f>SUM(Продажи!O75,-Продажи!O98)</f>
        <v>0</v>
      </c>
      <c s="125">
        <f>SUM(Продажи!P75,-Продажи!P98)</f>
        <v>0</v>
      </c>
      <c s="125">
        <f>SUM(Продажи!Q75,-Продажи!Q98)</f>
        <v>0</v>
      </c>
      <c s="125">
        <f>SUM(Продажи!R75,-Продажи!R98)</f>
        <v>0</v>
      </c>
      <c s="125">
        <f>SUM(Продажи!S75,-Продажи!S98)</f>
        <v>0</v>
      </c>
      <c s="125">
        <f>SUM(Продажи!T75,-Продажи!T98)</f>
        <v>0</v>
      </c>
      <c s="125">
        <f>SUM(Продажи!U75,-Продажи!U98)</f>
        <v>0</v>
      </c>
      <c s="125">
        <f>SUM(Продажи!V75,-Продажи!V98)</f>
        <v>0</v>
      </c>
      <c s="125">
        <f>SUM(Продажи!W75,-Продажи!W98)</f>
        <v>0</v>
      </c>
      <c s="125">
        <f>SUM(Продажи!X75,-Продажи!X98)</f>
        <v>0</v>
      </c>
      <c s="125">
        <f>SUM(Продажи!Y75,-Продажи!Y98)</f>
        <v>0</v>
      </c>
      <c s="125">
        <f>SUM(Продажи!Z75,-Продажи!Z98)</f>
        <v>0</v>
      </c>
      <c s="125">
        <f>SUM(Продажи!AA75,-Продажи!AA98)</f>
        <v>0</v>
      </c>
      <c s="125">
        <f>SUM(Продажи!AB75,-Продажи!AB98)</f>
        <v>0</v>
      </c>
      <c s="125">
        <f>SUM(Продажи!AC75,-Продажи!AC98)</f>
        <v>0</v>
      </c>
      <c s="125">
        <f>SUM(Продажи!AD75,-Продажи!AD98)</f>
        <v>0</v>
      </c>
      <c s="125">
        <f>SUM(Продажи!AE75,-Продажи!AE98)</f>
        <v>0</v>
      </c>
      <c s="125">
        <f>SUM(Продажи!AF75,-Продажи!AF98)</f>
        <v>0</v>
      </c>
      <c s="125">
        <f>SUM(Продажи!AG75,-Продажи!AG98)</f>
        <v>0</v>
      </c>
      <c s="125">
        <f>SUM(Продажи!AH75,-Продажи!AH98)</f>
        <v>0</v>
      </c>
      <c s="125">
        <f>SUM(Продажи!AI75,-Продажи!AI98)</f>
        <v>0</v>
      </c>
      <c s="125">
        <f>SUM(Продажи!AJ75,-Продажи!AJ98)</f>
        <v>0</v>
      </c>
      <c s="125">
        <f>SUM(Продажи!AK75,-Продажи!AK98)</f>
        <v>0</v>
      </c>
      <c s="125">
        <f>SUM(Продажи!AL75,-Продажи!AL98)</f>
        <v>0</v>
      </c>
      <c s="125">
        <f>SUM(Продажи!AM75,-Продажи!AM98)</f>
        <v>0</v>
      </c>
      <c s="125">
        <f>SUM(Продажи!AN75,-Продажи!AN98)</f>
        <v>0</v>
      </c>
      <c s="125">
        <f>SUM(Продажи!AO75,-Продажи!AO98)</f>
        <v>0</v>
      </c>
      <c s="125">
        <f>SUM(Продажи!AP75,-Продажи!AP98)</f>
        <v>0</v>
      </c>
      <c s="125">
        <f>SUM(Продажи!AQ75,-Продажи!AQ98)</f>
        <v>0</v>
      </c>
      <c s="125">
        <f>SUM(Продажи!AR75,-Продажи!AR98)</f>
        <v>0</v>
      </c>
      <c s="125">
        <f>SUM(Продажи!AS75,-Продажи!AS98)</f>
        <v>0</v>
      </c>
      <c s="125">
        <f>SUM(Продажи!AT75,-Продажи!AT98)</f>
        <v>0</v>
      </c>
      <c s="125">
        <f>SUM(Продажи!AU75,-Продажи!AU98)</f>
        <v>0</v>
      </c>
      <c s="125">
        <f>SUM(Продажи!AV75,-Продажи!AV98)</f>
        <v>0</v>
      </c>
      <c s="125">
        <f>SUM(Продажи!AW75,-Продажи!AW98)</f>
        <v>0</v>
      </c>
      <c s="125">
        <f>SUM(Продажи!AX75,-Продажи!AX98)</f>
        <v>0</v>
      </c>
      <c s="125">
        <f>SUM(Продажи!AY75,-Продажи!AY98)</f>
        <v>0</v>
      </c>
      <c s="125">
        <f>SUM(Продажи!AZ75,-Продажи!AZ98)</f>
        <v>0</v>
      </c>
      <c s="125">
        <f>SUM(Продажи!BA75,-Продажи!BA98)</f>
        <v>0</v>
      </c>
      <c s="125">
        <f>SUM(Продажи!BB75,-Продажи!BB98)</f>
        <v>0</v>
      </c>
      <c s="125">
        <f>SUM(Продажи!BC75,-Продажи!BC98)</f>
        <v>0</v>
      </c>
      <c s="125">
        <f>SUM(Продажи!BD75,-Продажи!BD98)</f>
        <v>0</v>
      </c>
      <c s="125">
        <f>SUM(Продажи!BE75,-Продажи!BE98)</f>
        <v>0</v>
      </c>
      <c s="125">
        <f>SUM(Продажи!BF75,-Продажи!BF98)</f>
        <v>0</v>
      </c>
      <c s="125">
        <f>SUM(Продажи!BG75,-Продажи!BG98)</f>
        <v>0</v>
      </c>
      <c s="125">
        <f>SUM(Продажи!BH75,-Продажи!BH98)</f>
        <v>0</v>
      </c>
      <c s="125">
        <f>SUM(Продажи!BI75,-Продажи!BI98)</f>
        <v>0</v>
      </c>
      <c s="125">
        <f>SUM(Продажи!BJ75,-Продажи!BJ98)</f>
        <v>0</v>
      </c>
      <c s="125">
        <f>SUM(Продажи!BK75,-Продажи!BK98)</f>
        <v>0</v>
      </c>
      <c s="125">
        <f>SUM(Продажи!BL75,-Продажи!BL98)</f>
        <v>0</v>
      </c>
      <c s="125">
        <f>SUM(Продажи!BM75,-Продажи!BM98)</f>
        <v>0</v>
      </c>
    </row>
    <row r="124" spans="2:65" ht="15" customHeight="1">
      <c r="B124" s="12" t="str">
        <f t="shared" si="144"/>
        <v>Продукт 11</v>
      </c>
      <c s="124" t="str">
        <f t="shared" si="143"/>
        <v>тыс. руб.</v>
      </c>
      <c s="125"/>
      <c s="125">
        <f>SUM(Продажи!E76,-Продажи!E99)</f>
        <v>0</v>
      </c>
      <c s="125">
        <f>SUM(Продажи!F76,-Продажи!F99)</f>
        <v>0</v>
      </c>
      <c s="125">
        <f>SUM(Продажи!G76,-Продажи!G99)</f>
        <v>0</v>
      </c>
      <c s="125">
        <f>SUM(Продажи!H76,-Продажи!H99)</f>
        <v>0</v>
      </c>
      <c s="125">
        <f>SUM(Продажи!I76,-Продажи!I99)</f>
        <v>0</v>
      </c>
      <c s="125">
        <f>SUM(Продажи!J76,-Продажи!J99)</f>
        <v>0</v>
      </c>
      <c s="125">
        <f>SUM(Продажи!K76,-Продажи!K99)</f>
        <v>0</v>
      </c>
      <c s="125">
        <f>SUM(Продажи!L76,-Продажи!L99)</f>
        <v>0</v>
      </c>
      <c s="125">
        <f>SUM(Продажи!M76,-Продажи!M99)</f>
        <v>0</v>
      </c>
      <c s="125">
        <f>SUM(Продажи!N76,-Продажи!N99)</f>
        <v>0</v>
      </c>
      <c s="125">
        <f>SUM(Продажи!O76,-Продажи!O99)</f>
        <v>0</v>
      </c>
      <c s="125">
        <f>SUM(Продажи!P76,-Продажи!P99)</f>
        <v>0</v>
      </c>
      <c s="125">
        <f>SUM(Продажи!Q76,-Продажи!Q99)</f>
        <v>0</v>
      </c>
      <c s="125">
        <f>SUM(Продажи!R76,-Продажи!R99)</f>
        <v>0</v>
      </c>
      <c s="125">
        <f>SUM(Продажи!S76,-Продажи!S99)</f>
        <v>0</v>
      </c>
      <c s="125">
        <f>SUM(Продажи!T76,-Продажи!T99)</f>
        <v>0</v>
      </c>
      <c s="125">
        <f>SUM(Продажи!U76,-Продажи!U99)</f>
        <v>0</v>
      </c>
      <c s="125">
        <f>SUM(Продажи!V76,-Продажи!V99)</f>
        <v>0</v>
      </c>
      <c s="125">
        <f>SUM(Продажи!W76,-Продажи!W99)</f>
        <v>0</v>
      </c>
      <c s="125">
        <f>SUM(Продажи!X76,-Продажи!X99)</f>
        <v>0</v>
      </c>
      <c s="125">
        <f>SUM(Продажи!Y76,-Продажи!Y99)</f>
        <v>0</v>
      </c>
      <c s="125">
        <f>SUM(Продажи!Z76,-Продажи!Z99)</f>
        <v>0</v>
      </c>
      <c s="125">
        <f>SUM(Продажи!AA76,-Продажи!AA99)</f>
        <v>0</v>
      </c>
      <c s="125">
        <f>SUM(Продажи!AB76,-Продажи!AB99)</f>
        <v>0</v>
      </c>
      <c s="125">
        <f>SUM(Продажи!AC76,-Продажи!AC99)</f>
        <v>0</v>
      </c>
      <c s="125">
        <f>SUM(Продажи!AD76,-Продажи!AD99)</f>
        <v>0</v>
      </c>
      <c s="125">
        <f>SUM(Продажи!AE76,-Продажи!AE99)</f>
        <v>0</v>
      </c>
      <c s="125">
        <f>SUM(Продажи!AF76,-Продажи!AF99)</f>
        <v>0</v>
      </c>
      <c s="125">
        <f>SUM(Продажи!AG76,-Продажи!AG99)</f>
        <v>0</v>
      </c>
      <c s="125">
        <f>SUM(Продажи!AH76,-Продажи!AH99)</f>
        <v>0</v>
      </c>
      <c s="125">
        <f>SUM(Продажи!AI76,-Продажи!AI99)</f>
        <v>0</v>
      </c>
      <c s="125">
        <f>SUM(Продажи!AJ76,-Продажи!AJ99)</f>
        <v>0</v>
      </c>
      <c s="125">
        <f>SUM(Продажи!AK76,-Продажи!AK99)</f>
        <v>0</v>
      </c>
      <c s="125">
        <f>SUM(Продажи!AL76,-Продажи!AL99)</f>
        <v>0</v>
      </c>
      <c s="125">
        <f>SUM(Продажи!AM76,-Продажи!AM99)</f>
        <v>0</v>
      </c>
      <c s="125">
        <f>SUM(Продажи!AN76,-Продажи!AN99)</f>
        <v>0</v>
      </c>
      <c s="125">
        <f>SUM(Продажи!AO76,-Продажи!AO99)</f>
        <v>0</v>
      </c>
      <c s="125">
        <f>SUM(Продажи!AP76,-Продажи!AP99)</f>
        <v>0</v>
      </c>
      <c s="125">
        <f>SUM(Продажи!AQ76,-Продажи!AQ99)</f>
        <v>0</v>
      </c>
      <c s="125">
        <f>SUM(Продажи!AR76,-Продажи!AR99)</f>
        <v>0</v>
      </c>
      <c s="125">
        <f>SUM(Продажи!AS76,-Продажи!AS99)</f>
        <v>0</v>
      </c>
      <c s="125">
        <f>SUM(Продажи!AT76,-Продажи!AT99)</f>
        <v>0</v>
      </c>
      <c s="125">
        <f>SUM(Продажи!AU76,-Продажи!AU99)</f>
        <v>0</v>
      </c>
      <c s="125">
        <f>SUM(Продажи!AV76,-Продажи!AV99)</f>
        <v>0</v>
      </c>
      <c s="125">
        <f>SUM(Продажи!AW76,-Продажи!AW99)</f>
        <v>0</v>
      </c>
      <c s="125">
        <f>SUM(Продажи!AX76,-Продажи!AX99)</f>
        <v>0</v>
      </c>
      <c s="125">
        <f>SUM(Продажи!AY76,-Продажи!AY99)</f>
        <v>0</v>
      </c>
      <c s="125">
        <f>SUM(Продажи!AZ76,-Продажи!AZ99)</f>
        <v>0</v>
      </c>
      <c s="125">
        <f>SUM(Продажи!BA76,-Продажи!BA99)</f>
        <v>0</v>
      </c>
      <c s="125">
        <f>SUM(Продажи!BB76,-Продажи!BB99)</f>
        <v>0</v>
      </c>
      <c s="125">
        <f>SUM(Продажи!BC76,-Продажи!BC99)</f>
        <v>0</v>
      </c>
      <c s="125">
        <f>SUM(Продажи!BD76,-Продажи!BD99)</f>
        <v>0</v>
      </c>
      <c s="125">
        <f>SUM(Продажи!BE76,-Продажи!BE99)</f>
        <v>0</v>
      </c>
      <c s="125">
        <f>SUM(Продажи!BF76,-Продажи!BF99)</f>
        <v>0</v>
      </c>
      <c s="125">
        <f>SUM(Продажи!BG76,-Продажи!BG99)</f>
        <v>0</v>
      </c>
      <c s="125">
        <f>SUM(Продажи!BH76,-Продажи!BH99)</f>
        <v>0</v>
      </c>
      <c s="125">
        <f>SUM(Продажи!BI76,-Продажи!BI99)</f>
        <v>0</v>
      </c>
      <c s="125">
        <f>SUM(Продажи!BJ76,-Продажи!BJ99)</f>
        <v>0</v>
      </c>
      <c s="125">
        <f>SUM(Продажи!BK76,-Продажи!BK99)</f>
        <v>0</v>
      </c>
      <c s="125">
        <f>SUM(Продажи!BL76,-Продажи!BL99)</f>
        <v>0</v>
      </c>
      <c s="125">
        <f>SUM(Продажи!BM76,-Продажи!BM99)</f>
        <v>0</v>
      </c>
    </row>
    <row r="125" spans="2:65" ht="15" customHeight="1">
      <c r="B125" s="12" t="str">
        <f t="shared" si="144"/>
        <v>Продукт 12</v>
      </c>
      <c s="124" t="str">
        <f t="shared" si="143"/>
        <v>тыс. руб.</v>
      </c>
      <c s="125"/>
      <c s="125">
        <f>SUM(Продажи!E77,-Продажи!E100)</f>
        <v>0</v>
      </c>
      <c s="125">
        <f>SUM(Продажи!F77,-Продажи!F100)</f>
        <v>0</v>
      </c>
      <c s="125">
        <f>SUM(Продажи!G77,-Продажи!G100)</f>
        <v>0</v>
      </c>
      <c s="125">
        <f>SUM(Продажи!H77,-Продажи!H100)</f>
        <v>0</v>
      </c>
      <c s="125">
        <f>SUM(Продажи!I77,-Продажи!I100)</f>
        <v>0</v>
      </c>
      <c s="125">
        <f>SUM(Продажи!J77,-Продажи!J100)</f>
        <v>0</v>
      </c>
      <c s="125">
        <f>SUM(Продажи!K77,-Продажи!K100)</f>
        <v>0</v>
      </c>
      <c s="125">
        <f>SUM(Продажи!L77,-Продажи!L100)</f>
        <v>0</v>
      </c>
      <c s="125">
        <f>SUM(Продажи!M77,-Продажи!M100)</f>
        <v>0</v>
      </c>
      <c s="125">
        <f>SUM(Продажи!N77,-Продажи!N100)</f>
        <v>0</v>
      </c>
      <c s="125">
        <f>SUM(Продажи!O77,-Продажи!O100)</f>
        <v>0</v>
      </c>
      <c s="125">
        <f>SUM(Продажи!P77,-Продажи!P100)</f>
        <v>0</v>
      </c>
      <c s="125">
        <f>SUM(Продажи!Q77,-Продажи!Q100)</f>
        <v>0</v>
      </c>
      <c s="125">
        <f>SUM(Продажи!R77,-Продажи!R100)</f>
        <v>0</v>
      </c>
      <c s="125">
        <f>SUM(Продажи!S77,-Продажи!S100)</f>
        <v>0</v>
      </c>
      <c s="125">
        <f>SUM(Продажи!T77,-Продажи!T100)</f>
        <v>0</v>
      </c>
      <c s="125">
        <f>SUM(Продажи!U77,-Продажи!U100)</f>
        <v>0</v>
      </c>
      <c s="125">
        <f>SUM(Продажи!V77,-Продажи!V100)</f>
        <v>0</v>
      </c>
      <c s="125">
        <f>SUM(Продажи!W77,-Продажи!W100)</f>
        <v>0</v>
      </c>
      <c s="125">
        <f>SUM(Продажи!X77,-Продажи!X100)</f>
        <v>0</v>
      </c>
      <c s="125">
        <f>SUM(Продажи!Y77,-Продажи!Y100)</f>
        <v>0</v>
      </c>
      <c s="125">
        <f>SUM(Продажи!Z77,-Продажи!Z100)</f>
        <v>0</v>
      </c>
      <c s="125">
        <f>SUM(Продажи!AA77,-Продажи!AA100)</f>
        <v>0</v>
      </c>
      <c s="125">
        <f>SUM(Продажи!AB77,-Продажи!AB100)</f>
        <v>0</v>
      </c>
      <c s="125">
        <f>SUM(Продажи!AC77,-Продажи!AC100)</f>
        <v>0</v>
      </c>
      <c s="125">
        <f>SUM(Продажи!AD77,-Продажи!AD100)</f>
        <v>0</v>
      </c>
      <c s="125">
        <f>SUM(Продажи!AE77,-Продажи!AE100)</f>
        <v>0</v>
      </c>
      <c s="125">
        <f>SUM(Продажи!AF77,-Продажи!AF100)</f>
        <v>0</v>
      </c>
      <c s="125">
        <f>SUM(Продажи!AG77,-Продажи!AG100)</f>
        <v>0</v>
      </c>
      <c s="125">
        <f>SUM(Продажи!AH77,-Продажи!AH100)</f>
        <v>0</v>
      </c>
      <c s="125">
        <f>SUM(Продажи!AI77,-Продажи!AI100)</f>
        <v>0</v>
      </c>
      <c s="125">
        <f>SUM(Продажи!AJ77,-Продажи!AJ100)</f>
        <v>0</v>
      </c>
      <c s="125">
        <f>SUM(Продажи!AK77,-Продажи!AK100)</f>
        <v>0</v>
      </c>
      <c s="125">
        <f>SUM(Продажи!AL77,-Продажи!AL100)</f>
        <v>0</v>
      </c>
      <c s="125">
        <f>SUM(Продажи!AM77,-Продажи!AM100)</f>
        <v>0</v>
      </c>
      <c s="125">
        <f>SUM(Продажи!AN77,-Продажи!AN100)</f>
        <v>0</v>
      </c>
      <c s="125">
        <f>SUM(Продажи!AO77,-Продажи!AO100)</f>
        <v>0</v>
      </c>
      <c s="125">
        <f>SUM(Продажи!AP77,-Продажи!AP100)</f>
        <v>0</v>
      </c>
      <c s="125">
        <f>SUM(Продажи!AQ77,-Продажи!AQ100)</f>
        <v>0</v>
      </c>
      <c s="125">
        <f>SUM(Продажи!AR77,-Продажи!AR100)</f>
        <v>0</v>
      </c>
      <c s="125">
        <f>SUM(Продажи!AS77,-Продажи!AS100)</f>
        <v>0</v>
      </c>
      <c s="125">
        <f>SUM(Продажи!AT77,-Продажи!AT100)</f>
        <v>0</v>
      </c>
      <c s="125">
        <f>SUM(Продажи!AU77,-Продажи!AU100)</f>
        <v>0</v>
      </c>
      <c s="125">
        <f>SUM(Продажи!AV77,-Продажи!AV100)</f>
        <v>0</v>
      </c>
      <c s="125">
        <f>SUM(Продажи!AW77,-Продажи!AW100)</f>
        <v>0</v>
      </c>
      <c s="125">
        <f>SUM(Продажи!AX77,-Продажи!AX100)</f>
        <v>0</v>
      </c>
      <c s="125">
        <f>SUM(Продажи!AY77,-Продажи!AY100)</f>
        <v>0</v>
      </c>
      <c s="125">
        <f>SUM(Продажи!AZ77,-Продажи!AZ100)</f>
        <v>0</v>
      </c>
      <c s="125">
        <f>SUM(Продажи!BA77,-Продажи!BA100)</f>
        <v>0</v>
      </c>
      <c s="125">
        <f>SUM(Продажи!BB77,-Продажи!BB100)</f>
        <v>0</v>
      </c>
      <c s="125">
        <f>SUM(Продажи!BC77,-Продажи!BC100)</f>
        <v>0</v>
      </c>
      <c s="125">
        <f>SUM(Продажи!BD77,-Продажи!BD100)</f>
        <v>0</v>
      </c>
      <c s="125">
        <f>SUM(Продажи!BE77,-Продажи!BE100)</f>
        <v>0</v>
      </c>
      <c s="125">
        <f>SUM(Продажи!BF77,-Продажи!BF100)</f>
        <v>0</v>
      </c>
      <c s="125">
        <f>SUM(Продажи!BG77,-Продажи!BG100)</f>
        <v>0</v>
      </c>
      <c s="125">
        <f>SUM(Продажи!BH77,-Продажи!BH100)</f>
        <v>0</v>
      </c>
      <c s="125">
        <f>SUM(Продажи!BI77,-Продажи!BI100)</f>
        <v>0</v>
      </c>
      <c s="125">
        <f>SUM(Продажи!BJ77,-Продажи!BJ100)</f>
        <v>0</v>
      </c>
      <c s="125">
        <f>SUM(Продажи!BK77,-Продажи!BK100)</f>
        <v>0</v>
      </c>
      <c s="125">
        <f>SUM(Продажи!BL77,-Продажи!BL100)</f>
        <v>0</v>
      </c>
      <c s="125">
        <f>SUM(Продажи!BM77,-Продажи!BM100)</f>
        <v>0</v>
      </c>
    </row>
    <row r="126" spans="2:65" ht="15" customHeight="1">
      <c r="B126" s="12" t="str">
        <f t="shared" si="144"/>
        <v>Продукт 13</v>
      </c>
      <c s="124" t="str">
        <f t="shared" si="143"/>
        <v>тыс. руб.</v>
      </c>
      <c s="125"/>
      <c s="125">
        <f>SUM(Продажи!E78,-Продажи!E101)</f>
        <v>0</v>
      </c>
      <c s="125">
        <f>SUM(Продажи!F78,-Продажи!F101)</f>
        <v>0</v>
      </c>
      <c s="125">
        <f>SUM(Продажи!G78,-Продажи!G101)</f>
        <v>0</v>
      </c>
      <c s="125">
        <f>SUM(Продажи!H78,-Продажи!H101)</f>
        <v>0</v>
      </c>
      <c s="125">
        <f>SUM(Продажи!I78,-Продажи!I101)</f>
        <v>0</v>
      </c>
      <c s="125">
        <f>SUM(Продажи!J78,-Продажи!J101)</f>
        <v>0</v>
      </c>
      <c s="125">
        <f>SUM(Продажи!K78,-Продажи!K101)</f>
        <v>0</v>
      </c>
      <c s="125">
        <f>SUM(Продажи!L78,-Продажи!L101)</f>
        <v>0</v>
      </c>
      <c s="125">
        <f>SUM(Продажи!M78,-Продажи!M101)</f>
        <v>0</v>
      </c>
      <c s="125">
        <f>SUM(Продажи!N78,-Продажи!N101)</f>
        <v>0</v>
      </c>
      <c s="125">
        <f>SUM(Продажи!O78,-Продажи!O101)</f>
        <v>0</v>
      </c>
      <c s="125">
        <f>SUM(Продажи!P78,-Продажи!P101)</f>
        <v>0</v>
      </c>
      <c s="125">
        <f>SUM(Продажи!Q78,-Продажи!Q101)</f>
        <v>0</v>
      </c>
      <c s="125">
        <f>SUM(Продажи!R78,-Продажи!R101)</f>
        <v>0</v>
      </c>
      <c s="125">
        <f>SUM(Продажи!S78,-Продажи!S101)</f>
        <v>0</v>
      </c>
      <c s="125">
        <f>SUM(Продажи!T78,-Продажи!T101)</f>
        <v>0</v>
      </c>
      <c s="125">
        <f>SUM(Продажи!U78,-Продажи!U101)</f>
        <v>0</v>
      </c>
      <c s="125">
        <f>SUM(Продажи!V78,-Продажи!V101)</f>
        <v>0</v>
      </c>
      <c s="125">
        <f>SUM(Продажи!W78,-Продажи!W101)</f>
        <v>0</v>
      </c>
      <c s="125">
        <f>SUM(Продажи!X78,-Продажи!X101)</f>
        <v>0</v>
      </c>
      <c s="125">
        <f>SUM(Продажи!Y78,-Продажи!Y101)</f>
        <v>0</v>
      </c>
      <c s="125">
        <f>SUM(Продажи!Z78,-Продажи!Z101)</f>
        <v>0</v>
      </c>
      <c s="125">
        <f>SUM(Продажи!AA78,-Продажи!AA101)</f>
        <v>0</v>
      </c>
      <c s="125">
        <f>SUM(Продажи!AB78,-Продажи!AB101)</f>
        <v>0</v>
      </c>
      <c s="125">
        <f>SUM(Продажи!AC78,-Продажи!AC101)</f>
        <v>0</v>
      </c>
      <c s="125">
        <f>SUM(Продажи!AD78,-Продажи!AD101)</f>
        <v>0</v>
      </c>
      <c s="125">
        <f>SUM(Продажи!AE78,-Продажи!AE101)</f>
        <v>0</v>
      </c>
      <c s="125">
        <f>SUM(Продажи!AF78,-Продажи!AF101)</f>
        <v>0</v>
      </c>
      <c s="125">
        <f>SUM(Продажи!AG78,-Продажи!AG101)</f>
        <v>0</v>
      </c>
      <c s="125">
        <f>SUM(Продажи!AH78,-Продажи!AH101)</f>
        <v>0</v>
      </c>
      <c s="125">
        <f>SUM(Продажи!AI78,-Продажи!AI101)</f>
        <v>0</v>
      </c>
      <c s="125">
        <f>SUM(Продажи!AJ78,-Продажи!AJ101)</f>
        <v>0</v>
      </c>
      <c s="125">
        <f>SUM(Продажи!AK78,-Продажи!AK101)</f>
        <v>0</v>
      </c>
      <c s="125">
        <f>SUM(Продажи!AL78,-Продажи!AL101)</f>
        <v>0</v>
      </c>
      <c s="125">
        <f>SUM(Продажи!AM78,-Продажи!AM101)</f>
        <v>0</v>
      </c>
      <c s="125">
        <f>SUM(Продажи!AN78,-Продажи!AN101)</f>
        <v>0</v>
      </c>
      <c s="125">
        <f>SUM(Продажи!AO78,-Продажи!AO101)</f>
        <v>0</v>
      </c>
      <c s="125">
        <f>SUM(Продажи!AP78,-Продажи!AP101)</f>
        <v>0</v>
      </c>
      <c s="125">
        <f>SUM(Продажи!AQ78,-Продажи!AQ101)</f>
        <v>0</v>
      </c>
      <c s="125">
        <f>SUM(Продажи!AR78,-Продажи!AR101)</f>
        <v>0</v>
      </c>
      <c s="125">
        <f>SUM(Продажи!AS78,-Продажи!AS101)</f>
        <v>0</v>
      </c>
      <c s="125">
        <f>SUM(Продажи!AT78,-Продажи!AT101)</f>
        <v>0</v>
      </c>
      <c s="125">
        <f>SUM(Продажи!AU78,-Продажи!AU101)</f>
        <v>0</v>
      </c>
      <c s="125">
        <f>SUM(Продажи!AV78,-Продажи!AV101)</f>
        <v>0</v>
      </c>
      <c s="125">
        <f>SUM(Продажи!AW78,-Продажи!AW101)</f>
        <v>0</v>
      </c>
      <c s="125">
        <f>SUM(Продажи!AX78,-Продажи!AX101)</f>
        <v>0</v>
      </c>
      <c s="125">
        <f>SUM(Продажи!AY78,-Продажи!AY101)</f>
        <v>0</v>
      </c>
      <c s="125">
        <f>SUM(Продажи!AZ78,-Продажи!AZ101)</f>
        <v>0</v>
      </c>
      <c s="125">
        <f>SUM(Продажи!BA78,-Продажи!BA101)</f>
        <v>0</v>
      </c>
      <c s="125">
        <f>SUM(Продажи!BB78,-Продажи!BB101)</f>
        <v>0</v>
      </c>
      <c s="125">
        <f>SUM(Продажи!BC78,-Продажи!BC101)</f>
        <v>0</v>
      </c>
      <c s="125">
        <f>SUM(Продажи!BD78,-Продажи!BD101)</f>
        <v>0</v>
      </c>
      <c s="125">
        <f>SUM(Продажи!BE78,-Продажи!BE101)</f>
        <v>0</v>
      </c>
      <c s="125">
        <f>SUM(Продажи!BF78,-Продажи!BF101)</f>
        <v>0</v>
      </c>
      <c s="125">
        <f>SUM(Продажи!BG78,-Продажи!BG101)</f>
        <v>0</v>
      </c>
      <c s="125">
        <f>SUM(Продажи!BH78,-Продажи!BH101)</f>
        <v>0</v>
      </c>
      <c s="125">
        <f>SUM(Продажи!BI78,-Продажи!BI101)</f>
        <v>0</v>
      </c>
      <c s="125">
        <f>SUM(Продажи!BJ78,-Продажи!BJ101)</f>
        <v>0</v>
      </c>
      <c s="125">
        <f>SUM(Продажи!BK78,-Продажи!BK101)</f>
        <v>0</v>
      </c>
      <c s="125">
        <f>SUM(Продажи!BL78,-Продажи!BL101)</f>
        <v>0</v>
      </c>
      <c s="125">
        <f>SUM(Продажи!BM78,-Продажи!BM101)</f>
        <v>0</v>
      </c>
    </row>
    <row r="127" spans="2:65" ht="15" customHeight="1">
      <c r="B127" s="12" t="str">
        <f t="shared" si="144"/>
        <v>Продукт 14</v>
      </c>
      <c s="124" t="str">
        <f t="shared" si="143"/>
        <v>тыс. руб.</v>
      </c>
      <c s="125"/>
      <c s="125">
        <f>SUM(Продажи!E79,-Продажи!E102)</f>
        <v>0</v>
      </c>
      <c s="125">
        <f>SUM(Продажи!F79,-Продажи!F102)</f>
        <v>0</v>
      </c>
      <c s="125">
        <f>SUM(Продажи!G79,-Продажи!G102)</f>
        <v>0</v>
      </c>
      <c s="125">
        <f>SUM(Продажи!H79,-Продажи!H102)</f>
        <v>0</v>
      </c>
      <c s="125">
        <f>SUM(Продажи!I79,-Продажи!I102)</f>
        <v>0</v>
      </c>
      <c s="125">
        <f>SUM(Продажи!J79,-Продажи!J102)</f>
        <v>0</v>
      </c>
      <c s="125">
        <f>SUM(Продажи!K79,-Продажи!K102)</f>
        <v>0</v>
      </c>
      <c s="125">
        <f>SUM(Продажи!L79,-Продажи!L102)</f>
        <v>0</v>
      </c>
      <c s="125">
        <f>SUM(Продажи!M79,-Продажи!M102)</f>
        <v>0</v>
      </c>
      <c s="125">
        <f>SUM(Продажи!N79,-Продажи!N102)</f>
        <v>0</v>
      </c>
      <c s="125">
        <f>SUM(Продажи!O79,-Продажи!O102)</f>
        <v>0</v>
      </c>
      <c s="125">
        <f>SUM(Продажи!P79,-Продажи!P102)</f>
        <v>0</v>
      </c>
      <c s="125">
        <f>SUM(Продажи!Q79,-Продажи!Q102)</f>
        <v>0</v>
      </c>
      <c s="125">
        <f>SUM(Продажи!R79,-Продажи!R102)</f>
        <v>0</v>
      </c>
      <c s="125">
        <f>SUM(Продажи!S79,-Продажи!S102)</f>
        <v>0</v>
      </c>
      <c s="125">
        <f>SUM(Продажи!T79,-Продажи!T102)</f>
        <v>0</v>
      </c>
      <c s="125">
        <f>SUM(Продажи!U79,-Продажи!U102)</f>
        <v>0</v>
      </c>
      <c s="125">
        <f>SUM(Продажи!V79,-Продажи!V102)</f>
        <v>0</v>
      </c>
      <c s="125">
        <f>SUM(Продажи!W79,-Продажи!W102)</f>
        <v>0</v>
      </c>
      <c s="125">
        <f>SUM(Продажи!X79,-Продажи!X102)</f>
        <v>0</v>
      </c>
      <c s="125">
        <f>SUM(Продажи!Y79,-Продажи!Y102)</f>
        <v>0</v>
      </c>
      <c s="125">
        <f>SUM(Продажи!Z79,-Продажи!Z102)</f>
        <v>0</v>
      </c>
      <c s="125">
        <f>SUM(Продажи!AA79,-Продажи!AA102)</f>
        <v>0</v>
      </c>
      <c s="125">
        <f>SUM(Продажи!AB79,-Продажи!AB102)</f>
        <v>0</v>
      </c>
      <c s="125">
        <f>SUM(Продажи!AC79,-Продажи!AC102)</f>
        <v>0</v>
      </c>
      <c s="125">
        <f>SUM(Продажи!AD79,-Продажи!AD102)</f>
        <v>0</v>
      </c>
      <c s="125">
        <f>SUM(Продажи!AE79,-Продажи!AE102)</f>
        <v>0</v>
      </c>
      <c s="125">
        <f>SUM(Продажи!AF79,-Продажи!AF102)</f>
        <v>0</v>
      </c>
      <c s="125">
        <f>SUM(Продажи!AG79,-Продажи!AG102)</f>
        <v>0</v>
      </c>
      <c s="125">
        <f>SUM(Продажи!AH79,-Продажи!AH102)</f>
        <v>0</v>
      </c>
      <c s="125">
        <f>SUM(Продажи!AI79,-Продажи!AI102)</f>
        <v>0</v>
      </c>
      <c s="125">
        <f>SUM(Продажи!AJ79,-Продажи!AJ102)</f>
        <v>0</v>
      </c>
      <c s="125">
        <f>SUM(Продажи!AK79,-Продажи!AK102)</f>
        <v>0</v>
      </c>
      <c s="125">
        <f>SUM(Продажи!AL79,-Продажи!AL102)</f>
        <v>0</v>
      </c>
      <c s="125">
        <f>SUM(Продажи!AM79,-Продажи!AM102)</f>
        <v>0</v>
      </c>
      <c s="125">
        <f>SUM(Продажи!AN79,-Продажи!AN102)</f>
        <v>0</v>
      </c>
      <c s="125">
        <f>SUM(Продажи!AO79,-Продажи!AO102)</f>
        <v>0</v>
      </c>
      <c s="125">
        <f>SUM(Продажи!AP79,-Продажи!AP102)</f>
        <v>0</v>
      </c>
      <c s="125">
        <f>SUM(Продажи!AQ79,-Продажи!AQ102)</f>
        <v>0</v>
      </c>
      <c s="125">
        <f>SUM(Продажи!AR79,-Продажи!AR102)</f>
        <v>0</v>
      </c>
      <c s="125">
        <f>SUM(Продажи!AS79,-Продажи!AS102)</f>
        <v>0</v>
      </c>
      <c s="125">
        <f>SUM(Продажи!AT79,-Продажи!AT102)</f>
        <v>0</v>
      </c>
      <c s="125">
        <f>SUM(Продажи!AU79,-Продажи!AU102)</f>
        <v>0</v>
      </c>
      <c s="125">
        <f>SUM(Продажи!AV79,-Продажи!AV102)</f>
        <v>0</v>
      </c>
      <c s="125">
        <f>SUM(Продажи!AW79,-Продажи!AW102)</f>
        <v>0</v>
      </c>
      <c s="125">
        <f>SUM(Продажи!AX79,-Продажи!AX102)</f>
        <v>0</v>
      </c>
      <c s="125">
        <f>SUM(Продажи!AY79,-Продажи!AY102)</f>
        <v>0</v>
      </c>
      <c s="125">
        <f>SUM(Продажи!AZ79,-Продажи!AZ102)</f>
        <v>0</v>
      </c>
      <c s="125">
        <f>SUM(Продажи!BA79,-Продажи!BA102)</f>
        <v>0</v>
      </c>
      <c s="125">
        <f>SUM(Продажи!BB79,-Продажи!BB102)</f>
        <v>0</v>
      </c>
      <c s="125">
        <f>SUM(Продажи!BC79,-Продажи!BC102)</f>
        <v>0</v>
      </c>
      <c s="125">
        <f>SUM(Продажи!BD79,-Продажи!BD102)</f>
        <v>0</v>
      </c>
      <c s="125">
        <f>SUM(Продажи!BE79,-Продажи!BE102)</f>
        <v>0</v>
      </c>
      <c s="125">
        <f>SUM(Продажи!BF79,-Продажи!BF102)</f>
        <v>0</v>
      </c>
      <c s="125">
        <f>SUM(Продажи!BG79,-Продажи!BG102)</f>
        <v>0</v>
      </c>
      <c s="125">
        <f>SUM(Продажи!BH79,-Продажи!BH102)</f>
        <v>0</v>
      </c>
      <c s="125">
        <f>SUM(Продажи!BI79,-Продажи!BI102)</f>
        <v>0</v>
      </c>
      <c s="125">
        <f>SUM(Продажи!BJ79,-Продажи!BJ102)</f>
        <v>0</v>
      </c>
      <c s="125">
        <f>SUM(Продажи!BK79,-Продажи!BK102)</f>
        <v>0</v>
      </c>
      <c s="125">
        <f>SUM(Продажи!BL79,-Продажи!BL102)</f>
        <v>0</v>
      </c>
      <c s="125">
        <f>SUM(Продажи!BM79,-Продажи!BM102)</f>
        <v>0</v>
      </c>
    </row>
    <row r="128" spans="2:65" ht="15" customHeight="1">
      <c r="B128" s="12" t="str">
        <f t="shared" si="144"/>
        <v>Продукт 15</v>
      </c>
      <c s="124" t="str">
        <f t="shared" si="143"/>
        <v>тыс. руб.</v>
      </c>
      <c s="125"/>
      <c s="125">
        <f>SUM(Продажи!E80,-Продажи!E103)</f>
        <v>0</v>
      </c>
      <c s="125">
        <f>SUM(Продажи!F80,-Продажи!F103)</f>
        <v>0</v>
      </c>
      <c s="125">
        <f>SUM(Продажи!G80,-Продажи!G103)</f>
        <v>0</v>
      </c>
      <c s="125">
        <f>SUM(Продажи!H80,-Продажи!H103)</f>
        <v>0</v>
      </c>
      <c s="125">
        <f>SUM(Продажи!I80,-Продажи!I103)</f>
        <v>0</v>
      </c>
      <c s="125">
        <f>SUM(Продажи!J80,-Продажи!J103)</f>
        <v>0</v>
      </c>
      <c s="125">
        <f>SUM(Продажи!K80,-Продажи!K103)</f>
        <v>0</v>
      </c>
      <c s="125">
        <f>SUM(Продажи!L80,-Продажи!L103)</f>
        <v>0</v>
      </c>
      <c s="125">
        <f>SUM(Продажи!M80,-Продажи!M103)</f>
        <v>0</v>
      </c>
      <c s="125">
        <f>SUM(Продажи!N80,-Продажи!N103)</f>
        <v>0</v>
      </c>
      <c s="125">
        <f>SUM(Продажи!O80,-Продажи!O103)</f>
        <v>0</v>
      </c>
      <c s="125">
        <f>SUM(Продажи!P80,-Продажи!P103)</f>
        <v>0</v>
      </c>
      <c s="125">
        <f>SUM(Продажи!Q80,-Продажи!Q103)</f>
        <v>0</v>
      </c>
      <c s="125">
        <f>SUM(Продажи!R80,-Продажи!R103)</f>
        <v>0</v>
      </c>
      <c s="125">
        <f>SUM(Продажи!S80,-Продажи!S103)</f>
        <v>0</v>
      </c>
      <c s="125">
        <f>SUM(Продажи!T80,-Продажи!T103)</f>
        <v>0</v>
      </c>
      <c s="125">
        <f>SUM(Продажи!U80,-Продажи!U103)</f>
        <v>0</v>
      </c>
      <c s="125">
        <f>SUM(Продажи!V80,-Продажи!V103)</f>
        <v>0</v>
      </c>
      <c s="125">
        <f>SUM(Продажи!W80,-Продажи!W103)</f>
        <v>0</v>
      </c>
      <c s="125">
        <f>SUM(Продажи!X80,-Продажи!X103)</f>
        <v>0</v>
      </c>
      <c s="125">
        <f>SUM(Продажи!Y80,-Продажи!Y103)</f>
        <v>0</v>
      </c>
      <c s="125">
        <f>SUM(Продажи!Z80,-Продажи!Z103)</f>
        <v>0</v>
      </c>
      <c s="125">
        <f>SUM(Продажи!AA80,-Продажи!AA103)</f>
        <v>0</v>
      </c>
      <c s="125">
        <f>SUM(Продажи!AB80,-Продажи!AB103)</f>
        <v>0</v>
      </c>
      <c s="125">
        <f>SUM(Продажи!AC80,-Продажи!AC103)</f>
        <v>0</v>
      </c>
      <c s="125">
        <f>SUM(Продажи!AD80,-Продажи!AD103)</f>
        <v>0</v>
      </c>
      <c s="125">
        <f>SUM(Продажи!AE80,-Продажи!AE103)</f>
        <v>0</v>
      </c>
      <c s="125">
        <f>SUM(Продажи!AF80,-Продажи!AF103)</f>
        <v>0</v>
      </c>
      <c s="125">
        <f>SUM(Продажи!AG80,-Продажи!AG103)</f>
        <v>0</v>
      </c>
      <c s="125">
        <f>SUM(Продажи!AH80,-Продажи!AH103)</f>
        <v>0</v>
      </c>
      <c s="125">
        <f>SUM(Продажи!AI80,-Продажи!AI103)</f>
        <v>0</v>
      </c>
      <c s="125">
        <f>SUM(Продажи!AJ80,-Продажи!AJ103)</f>
        <v>0</v>
      </c>
      <c s="125">
        <f>SUM(Продажи!AK80,-Продажи!AK103)</f>
        <v>0</v>
      </c>
      <c s="125">
        <f>SUM(Продажи!AL80,-Продажи!AL103)</f>
        <v>0</v>
      </c>
      <c s="125">
        <f>SUM(Продажи!AM80,-Продажи!AM103)</f>
        <v>0</v>
      </c>
      <c s="125">
        <f>SUM(Продажи!AN80,-Продажи!AN103)</f>
        <v>0</v>
      </c>
      <c s="125">
        <f>SUM(Продажи!AO80,-Продажи!AO103)</f>
        <v>0</v>
      </c>
      <c s="125">
        <f>SUM(Продажи!AP80,-Продажи!AP103)</f>
        <v>0</v>
      </c>
      <c s="125">
        <f>SUM(Продажи!AQ80,-Продажи!AQ103)</f>
        <v>0</v>
      </c>
      <c s="125">
        <f>SUM(Продажи!AR80,-Продажи!AR103)</f>
        <v>0</v>
      </c>
      <c s="125">
        <f>SUM(Продажи!AS80,-Продажи!AS103)</f>
        <v>0</v>
      </c>
      <c s="125">
        <f>SUM(Продажи!AT80,-Продажи!AT103)</f>
        <v>0</v>
      </c>
      <c s="125">
        <f>SUM(Продажи!AU80,-Продажи!AU103)</f>
        <v>0</v>
      </c>
      <c s="125">
        <f>SUM(Продажи!AV80,-Продажи!AV103)</f>
        <v>0</v>
      </c>
      <c s="125">
        <f>SUM(Продажи!AW80,-Продажи!AW103)</f>
        <v>0</v>
      </c>
      <c s="125">
        <f>SUM(Продажи!AX80,-Продажи!AX103)</f>
        <v>0</v>
      </c>
      <c s="125">
        <f>SUM(Продажи!AY80,-Продажи!AY103)</f>
        <v>0</v>
      </c>
      <c s="125">
        <f>SUM(Продажи!AZ80,-Продажи!AZ103)</f>
        <v>0</v>
      </c>
      <c s="125">
        <f>SUM(Продажи!BA80,-Продажи!BA103)</f>
        <v>0</v>
      </c>
      <c s="125">
        <f>SUM(Продажи!BB80,-Продажи!BB103)</f>
        <v>0</v>
      </c>
      <c s="125">
        <f>SUM(Продажи!BC80,-Продажи!BC103)</f>
        <v>0</v>
      </c>
      <c s="125">
        <f>SUM(Продажи!BD80,-Продажи!BD103)</f>
        <v>0</v>
      </c>
      <c s="125">
        <f>SUM(Продажи!BE80,-Продажи!BE103)</f>
        <v>0</v>
      </c>
      <c s="125">
        <f>SUM(Продажи!BF80,-Продажи!BF103)</f>
        <v>0</v>
      </c>
      <c s="125">
        <f>SUM(Продажи!BG80,-Продажи!BG103)</f>
        <v>0</v>
      </c>
      <c s="125">
        <f>SUM(Продажи!BH80,-Продажи!BH103)</f>
        <v>0</v>
      </c>
      <c s="125">
        <f>SUM(Продажи!BI80,-Продажи!BI103)</f>
        <v>0</v>
      </c>
      <c s="125">
        <f>SUM(Продажи!BJ80,-Продажи!BJ103)</f>
        <v>0</v>
      </c>
      <c s="125">
        <f>SUM(Продажи!BK80,-Продажи!BK103)</f>
        <v>0</v>
      </c>
      <c s="125">
        <f>SUM(Продажи!BL80,-Продажи!BL103)</f>
        <v>0</v>
      </c>
      <c s="125">
        <f>SUM(Продажи!BM80,-Продажи!BM103)</f>
        <v>0</v>
      </c>
    </row>
    <row r="129" spans="2:65" ht="15" customHeight="1">
      <c r="B129" s="12" t="str">
        <f t="shared" si="144"/>
        <v>Продукт 16</v>
      </c>
      <c s="124" t="str">
        <f t="shared" si="143"/>
        <v>тыс. руб.</v>
      </c>
      <c s="125"/>
      <c s="125">
        <f>SUM(Продажи!E81,-Продажи!E104)</f>
        <v>0</v>
      </c>
      <c s="125">
        <f>SUM(Продажи!F81,-Продажи!F104)</f>
        <v>0</v>
      </c>
      <c s="125">
        <f>SUM(Продажи!G81,-Продажи!G104)</f>
        <v>0</v>
      </c>
      <c s="125">
        <f>SUM(Продажи!H81,-Продажи!H104)</f>
        <v>0</v>
      </c>
      <c s="125">
        <f>SUM(Продажи!I81,-Продажи!I104)</f>
        <v>0</v>
      </c>
      <c s="125">
        <f>SUM(Продажи!J81,-Продажи!J104)</f>
        <v>0</v>
      </c>
      <c s="125">
        <f>SUM(Продажи!K81,-Продажи!K104)</f>
        <v>0</v>
      </c>
      <c s="125">
        <f>SUM(Продажи!L81,-Продажи!L104)</f>
        <v>0</v>
      </c>
      <c s="125">
        <f>SUM(Продажи!M81,-Продажи!M104)</f>
        <v>0</v>
      </c>
      <c s="125">
        <f>SUM(Продажи!N81,-Продажи!N104)</f>
        <v>0</v>
      </c>
      <c s="125">
        <f>SUM(Продажи!O81,-Продажи!O104)</f>
        <v>0</v>
      </c>
      <c s="125">
        <f>SUM(Продажи!P81,-Продажи!P104)</f>
        <v>0</v>
      </c>
      <c s="125">
        <f>SUM(Продажи!Q81,-Продажи!Q104)</f>
        <v>0</v>
      </c>
      <c s="125">
        <f>SUM(Продажи!R81,-Продажи!R104)</f>
        <v>0</v>
      </c>
      <c s="125">
        <f>SUM(Продажи!S81,-Продажи!S104)</f>
        <v>0</v>
      </c>
      <c s="125">
        <f>SUM(Продажи!T81,-Продажи!T104)</f>
        <v>0</v>
      </c>
      <c s="125">
        <f>SUM(Продажи!U81,-Продажи!U104)</f>
        <v>0</v>
      </c>
      <c s="125">
        <f>SUM(Продажи!V81,-Продажи!V104)</f>
        <v>0</v>
      </c>
      <c s="125">
        <f>SUM(Продажи!W81,-Продажи!W104)</f>
        <v>0</v>
      </c>
      <c s="125">
        <f>SUM(Продажи!X81,-Продажи!X104)</f>
        <v>0</v>
      </c>
      <c s="125">
        <f>SUM(Продажи!Y81,-Продажи!Y104)</f>
        <v>0</v>
      </c>
      <c s="125">
        <f>SUM(Продажи!Z81,-Продажи!Z104)</f>
        <v>0</v>
      </c>
      <c s="125">
        <f>SUM(Продажи!AA81,-Продажи!AA104)</f>
        <v>0</v>
      </c>
      <c s="125">
        <f>SUM(Продажи!AB81,-Продажи!AB104)</f>
        <v>0</v>
      </c>
      <c s="125">
        <f>SUM(Продажи!AC81,-Продажи!AC104)</f>
        <v>0</v>
      </c>
      <c s="125">
        <f>SUM(Продажи!AD81,-Продажи!AD104)</f>
        <v>0</v>
      </c>
      <c s="125">
        <f>SUM(Продажи!AE81,-Продажи!AE104)</f>
        <v>0</v>
      </c>
      <c s="125">
        <f>SUM(Продажи!AF81,-Продажи!AF104)</f>
        <v>0</v>
      </c>
      <c s="125">
        <f>SUM(Продажи!AG81,-Продажи!AG104)</f>
        <v>0</v>
      </c>
      <c s="125">
        <f>SUM(Продажи!AH81,-Продажи!AH104)</f>
        <v>0</v>
      </c>
      <c s="125">
        <f>SUM(Продажи!AI81,-Продажи!AI104)</f>
        <v>0</v>
      </c>
      <c s="125">
        <f>SUM(Продажи!AJ81,-Продажи!AJ104)</f>
        <v>0</v>
      </c>
      <c s="125">
        <f>SUM(Продажи!AK81,-Продажи!AK104)</f>
        <v>0</v>
      </c>
      <c s="125">
        <f>SUM(Продажи!AL81,-Продажи!AL104)</f>
        <v>0</v>
      </c>
      <c s="125">
        <f>SUM(Продажи!AM81,-Продажи!AM104)</f>
        <v>0</v>
      </c>
      <c s="125">
        <f>SUM(Продажи!AN81,-Продажи!AN104)</f>
        <v>0</v>
      </c>
      <c s="125">
        <f>SUM(Продажи!AO81,-Продажи!AO104)</f>
        <v>0</v>
      </c>
      <c s="125">
        <f>SUM(Продажи!AP81,-Продажи!AP104)</f>
        <v>0</v>
      </c>
      <c s="125">
        <f>SUM(Продажи!AQ81,-Продажи!AQ104)</f>
        <v>0</v>
      </c>
      <c s="125">
        <f>SUM(Продажи!AR81,-Продажи!AR104)</f>
        <v>0</v>
      </c>
      <c s="125">
        <f>SUM(Продажи!AS81,-Продажи!AS104)</f>
        <v>0</v>
      </c>
      <c s="125">
        <f>SUM(Продажи!AT81,-Продажи!AT104)</f>
        <v>0</v>
      </c>
      <c s="125">
        <f>SUM(Продажи!AU81,-Продажи!AU104)</f>
        <v>0</v>
      </c>
      <c s="125">
        <f>SUM(Продажи!AV81,-Продажи!AV104)</f>
        <v>0</v>
      </c>
      <c s="125">
        <f>SUM(Продажи!AW81,-Продажи!AW104)</f>
        <v>0</v>
      </c>
      <c s="125">
        <f>SUM(Продажи!AX81,-Продажи!AX104)</f>
        <v>0</v>
      </c>
      <c s="125">
        <f>SUM(Продажи!AY81,-Продажи!AY104)</f>
        <v>0</v>
      </c>
      <c s="125">
        <f>SUM(Продажи!AZ81,-Продажи!AZ104)</f>
        <v>0</v>
      </c>
      <c s="125">
        <f>SUM(Продажи!BA81,-Продажи!BA104)</f>
        <v>0</v>
      </c>
      <c s="125">
        <f>SUM(Продажи!BB81,-Продажи!BB104)</f>
        <v>0</v>
      </c>
      <c s="125">
        <f>SUM(Продажи!BC81,-Продажи!BC104)</f>
        <v>0</v>
      </c>
      <c s="125">
        <f>SUM(Продажи!BD81,-Продажи!BD104)</f>
        <v>0</v>
      </c>
      <c s="125">
        <f>SUM(Продажи!BE81,-Продажи!BE104)</f>
        <v>0</v>
      </c>
      <c s="125">
        <f>SUM(Продажи!BF81,-Продажи!BF104)</f>
        <v>0</v>
      </c>
      <c s="125">
        <f>SUM(Продажи!BG81,-Продажи!BG104)</f>
        <v>0</v>
      </c>
      <c s="125">
        <f>SUM(Продажи!BH81,-Продажи!BH104)</f>
        <v>0</v>
      </c>
      <c s="125">
        <f>SUM(Продажи!BI81,-Продажи!BI104)</f>
        <v>0</v>
      </c>
      <c s="125">
        <f>SUM(Продажи!BJ81,-Продажи!BJ104)</f>
        <v>0</v>
      </c>
      <c s="125">
        <f>SUM(Продажи!BK81,-Продажи!BK104)</f>
        <v>0</v>
      </c>
      <c s="125">
        <f>SUM(Продажи!BL81,-Продажи!BL104)</f>
        <v>0</v>
      </c>
      <c s="125">
        <f>SUM(Продажи!BM81,-Продажи!BM104)</f>
        <v>0</v>
      </c>
    </row>
    <row r="130" spans="2:65" ht="15" customHeight="1">
      <c r="B130" s="12" t="str">
        <f t="shared" si="144"/>
        <v>Продукт 17</v>
      </c>
      <c s="124" t="str">
        <f t="shared" si="143"/>
        <v>тыс. руб.</v>
      </c>
      <c s="125"/>
      <c s="125">
        <f>SUM(Продажи!E82,-Продажи!E105)</f>
        <v>0</v>
      </c>
      <c s="125">
        <f>SUM(Продажи!F82,-Продажи!F105)</f>
        <v>0</v>
      </c>
      <c s="125">
        <f>SUM(Продажи!G82,-Продажи!G105)</f>
        <v>0</v>
      </c>
      <c s="125">
        <f>SUM(Продажи!H82,-Продажи!H105)</f>
        <v>0</v>
      </c>
      <c s="125">
        <f>SUM(Продажи!I82,-Продажи!I105)</f>
        <v>0</v>
      </c>
      <c s="125">
        <f>SUM(Продажи!J82,-Продажи!J105)</f>
        <v>0</v>
      </c>
      <c s="125">
        <f>SUM(Продажи!K82,-Продажи!K105)</f>
        <v>0</v>
      </c>
      <c s="125">
        <f>SUM(Продажи!L82,-Продажи!L105)</f>
        <v>0</v>
      </c>
      <c s="125">
        <f>SUM(Продажи!M82,-Продажи!M105)</f>
        <v>0</v>
      </c>
      <c s="125">
        <f>SUM(Продажи!N82,-Продажи!N105)</f>
        <v>0</v>
      </c>
      <c s="125">
        <f>SUM(Продажи!O82,-Продажи!O105)</f>
        <v>0</v>
      </c>
      <c s="125">
        <f>SUM(Продажи!P82,-Продажи!P105)</f>
        <v>0</v>
      </c>
      <c s="125">
        <f>SUM(Продажи!Q82,-Продажи!Q105)</f>
        <v>0</v>
      </c>
      <c s="125">
        <f>SUM(Продажи!R82,-Продажи!R105)</f>
        <v>0</v>
      </c>
      <c s="125">
        <f>SUM(Продажи!S82,-Продажи!S105)</f>
        <v>0</v>
      </c>
      <c s="125">
        <f>SUM(Продажи!T82,-Продажи!T105)</f>
        <v>0</v>
      </c>
      <c s="125">
        <f>SUM(Продажи!U82,-Продажи!U105)</f>
        <v>0</v>
      </c>
      <c s="125">
        <f>SUM(Продажи!V82,-Продажи!V105)</f>
        <v>0</v>
      </c>
      <c s="125">
        <f>SUM(Продажи!W82,-Продажи!W105)</f>
        <v>0</v>
      </c>
      <c s="125">
        <f>SUM(Продажи!X82,-Продажи!X105)</f>
        <v>0</v>
      </c>
      <c s="125">
        <f>SUM(Продажи!Y82,-Продажи!Y105)</f>
        <v>0</v>
      </c>
      <c s="125">
        <f>SUM(Продажи!Z82,-Продажи!Z105)</f>
        <v>0</v>
      </c>
      <c s="125">
        <f>SUM(Продажи!AA82,-Продажи!AA105)</f>
        <v>0</v>
      </c>
      <c s="125">
        <f>SUM(Продажи!AB82,-Продажи!AB105)</f>
        <v>0</v>
      </c>
      <c s="125">
        <f>SUM(Продажи!AC82,-Продажи!AC105)</f>
        <v>0</v>
      </c>
      <c s="125">
        <f>SUM(Продажи!AD82,-Продажи!AD105)</f>
        <v>0</v>
      </c>
      <c s="125">
        <f>SUM(Продажи!AE82,-Продажи!AE105)</f>
        <v>0</v>
      </c>
      <c s="125">
        <f>SUM(Продажи!AF82,-Продажи!AF105)</f>
        <v>0</v>
      </c>
      <c s="125">
        <f>SUM(Продажи!AG82,-Продажи!AG105)</f>
        <v>0</v>
      </c>
      <c s="125">
        <f>SUM(Продажи!AH82,-Продажи!AH105)</f>
        <v>0</v>
      </c>
      <c s="125">
        <f>SUM(Продажи!AI82,-Продажи!AI105)</f>
        <v>0</v>
      </c>
      <c s="125">
        <f>SUM(Продажи!AJ82,-Продажи!AJ105)</f>
        <v>0</v>
      </c>
      <c s="125">
        <f>SUM(Продажи!AK82,-Продажи!AK105)</f>
        <v>0</v>
      </c>
      <c s="125">
        <f>SUM(Продажи!AL82,-Продажи!AL105)</f>
        <v>0</v>
      </c>
      <c s="125">
        <f>SUM(Продажи!AM82,-Продажи!AM105)</f>
        <v>0</v>
      </c>
      <c s="125">
        <f>SUM(Продажи!AN82,-Продажи!AN105)</f>
        <v>0</v>
      </c>
      <c s="125">
        <f>SUM(Продажи!AO82,-Продажи!AO105)</f>
        <v>0</v>
      </c>
      <c s="125">
        <f>SUM(Продажи!AP82,-Продажи!AP105)</f>
        <v>0</v>
      </c>
      <c s="125">
        <f>SUM(Продажи!AQ82,-Продажи!AQ105)</f>
        <v>0</v>
      </c>
      <c s="125">
        <f>SUM(Продажи!AR82,-Продажи!AR105)</f>
        <v>0</v>
      </c>
      <c s="125">
        <f>SUM(Продажи!AS82,-Продажи!AS105)</f>
        <v>0</v>
      </c>
      <c s="125">
        <f>SUM(Продажи!AT82,-Продажи!AT105)</f>
        <v>0</v>
      </c>
      <c s="125">
        <f>SUM(Продажи!AU82,-Продажи!AU105)</f>
        <v>0</v>
      </c>
      <c s="125">
        <f>SUM(Продажи!AV82,-Продажи!AV105)</f>
        <v>0</v>
      </c>
      <c s="125">
        <f>SUM(Продажи!AW82,-Продажи!AW105)</f>
        <v>0</v>
      </c>
      <c s="125">
        <f>SUM(Продажи!AX82,-Продажи!AX105)</f>
        <v>0</v>
      </c>
      <c s="125">
        <f>SUM(Продажи!AY82,-Продажи!AY105)</f>
        <v>0</v>
      </c>
      <c s="125">
        <f>SUM(Продажи!AZ82,-Продажи!AZ105)</f>
        <v>0</v>
      </c>
      <c s="125">
        <f>SUM(Продажи!BA82,-Продажи!BA105)</f>
        <v>0</v>
      </c>
      <c s="125">
        <f>SUM(Продажи!BB82,-Продажи!BB105)</f>
        <v>0</v>
      </c>
      <c s="125">
        <f>SUM(Продажи!BC82,-Продажи!BC105)</f>
        <v>0</v>
      </c>
      <c s="125">
        <f>SUM(Продажи!BD82,-Продажи!BD105)</f>
        <v>0</v>
      </c>
      <c s="125">
        <f>SUM(Продажи!BE82,-Продажи!BE105)</f>
        <v>0</v>
      </c>
      <c s="125">
        <f>SUM(Продажи!BF82,-Продажи!BF105)</f>
        <v>0</v>
      </c>
      <c s="125">
        <f>SUM(Продажи!BG82,-Продажи!BG105)</f>
        <v>0</v>
      </c>
      <c s="125">
        <f>SUM(Продажи!BH82,-Продажи!BH105)</f>
        <v>0</v>
      </c>
      <c s="125">
        <f>SUM(Продажи!BI82,-Продажи!BI105)</f>
        <v>0</v>
      </c>
      <c s="125">
        <f>SUM(Продажи!BJ82,-Продажи!BJ105)</f>
        <v>0</v>
      </c>
      <c s="125">
        <f>SUM(Продажи!BK82,-Продажи!BK105)</f>
        <v>0</v>
      </c>
      <c s="125">
        <f>SUM(Продажи!BL82,-Продажи!BL105)</f>
        <v>0</v>
      </c>
      <c s="125">
        <f>SUM(Продажи!BM82,-Продажи!BM105)</f>
        <v>0</v>
      </c>
    </row>
    <row r="131" spans="2:65" ht="15" customHeight="1">
      <c r="B131" s="12" t="str">
        <f t="shared" si="144"/>
        <v>Продукт 18</v>
      </c>
      <c s="124" t="str">
        <f t="shared" si="143"/>
        <v>тыс. руб.</v>
      </c>
      <c s="125"/>
      <c s="125">
        <f>SUM(Продажи!E83,-Продажи!E106)</f>
        <v>0</v>
      </c>
      <c s="125">
        <f>SUM(Продажи!F83,-Продажи!F106)</f>
        <v>0</v>
      </c>
      <c s="125">
        <f>SUM(Продажи!G83,-Продажи!G106)</f>
        <v>0</v>
      </c>
      <c s="125">
        <f>SUM(Продажи!H83,-Продажи!H106)</f>
        <v>0</v>
      </c>
      <c s="125">
        <f>SUM(Продажи!I83,-Продажи!I106)</f>
        <v>0</v>
      </c>
      <c s="125">
        <f>SUM(Продажи!J83,-Продажи!J106)</f>
        <v>0</v>
      </c>
      <c s="125">
        <f>SUM(Продажи!K83,-Продажи!K106)</f>
        <v>0</v>
      </c>
      <c s="125">
        <f>SUM(Продажи!L83,-Продажи!L106)</f>
        <v>0</v>
      </c>
      <c s="125">
        <f>SUM(Продажи!M83,-Продажи!M106)</f>
        <v>0</v>
      </c>
      <c s="125">
        <f>SUM(Продажи!N83,-Продажи!N106)</f>
        <v>0</v>
      </c>
      <c s="125">
        <f>SUM(Продажи!O83,-Продажи!O106)</f>
        <v>0</v>
      </c>
      <c s="125">
        <f>SUM(Продажи!P83,-Продажи!P106)</f>
        <v>0</v>
      </c>
      <c s="125">
        <f>SUM(Продажи!Q83,-Продажи!Q106)</f>
        <v>0</v>
      </c>
      <c s="125">
        <f>SUM(Продажи!R83,-Продажи!R106)</f>
        <v>0</v>
      </c>
      <c s="125">
        <f>SUM(Продажи!S83,-Продажи!S106)</f>
        <v>0</v>
      </c>
      <c s="125">
        <f>SUM(Продажи!T83,-Продажи!T106)</f>
        <v>0</v>
      </c>
      <c s="125">
        <f>SUM(Продажи!U83,-Продажи!U106)</f>
        <v>0</v>
      </c>
      <c s="125">
        <f>SUM(Продажи!V83,-Продажи!V106)</f>
        <v>0</v>
      </c>
      <c s="125">
        <f>SUM(Продажи!W83,-Продажи!W106)</f>
        <v>0</v>
      </c>
      <c s="125">
        <f>SUM(Продажи!X83,-Продажи!X106)</f>
        <v>0</v>
      </c>
      <c s="125">
        <f>SUM(Продажи!Y83,-Продажи!Y106)</f>
        <v>0</v>
      </c>
      <c s="125">
        <f>SUM(Продажи!Z83,-Продажи!Z106)</f>
        <v>0</v>
      </c>
      <c s="125">
        <f>SUM(Продажи!AA83,-Продажи!AA106)</f>
        <v>0</v>
      </c>
      <c s="125">
        <f>SUM(Продажи!AB83,-Продажи!AB106)</f>
        <v>0</v>
      </c>
      <c s="125">
        <f>SUM(Продажи!AC83,-Продажи!AC106)</f>
        <v>0</v>
      </c>
      <c s="125">
        <f>SUM(Продажи!AD83,-Продажи!AD106)</f>
        <v>0</v>
      </c>
      <c s="125">
        <f>SUM(Продажи!AE83,-Продажи!AE106)</f>
        <v>0</v>
      </c>
      <c s="125">
        <f>SUM(Продажи!AF83,-Продажи!AF106)</f>
        <v>0</v>
      </c>
      <c s="125">
        <f>SUM(Продажи!AG83,-Продажи!AG106)</f>
        <v>0</v>
      </c>
      <c s="125">
        <f>SUM(Продажи!AH83,-Продажи!AH106)</f>
        <v>0</v>
      </c>
      <c s="125">
        <f>SUM(Продажи!AI83,-Продажи!AI106)</f>
        <v>0</v>
      </c>
      <c s="125">
        <f>SUM(Продажи!AJ83,-Продажи!AJ106)</f>
        <v>0</v>
      </c>
      <c s="125">
        <f>SUM(Продажи!AK83,-Продажи!AK106)</f>
        <v>0</v>
      </c>
      <c s="125">
        <f>SUM(Продажи!AL83,-Продажи!AL106)</f>
        <v>0</v>
      </c>
      <c s="125">
        <f>SUM(Продажи!AM83,-Продажи!AM106)</f>
        <v>0</v>
      </c>
      <c s="125">
        <f>SUM(Продажи!AN83,-Продажи!AN106)</f>
        <v>0</v>
      </c>
      <c s="125">
        <f>SUM(Продажи!AO83,-Продажи!AO106)</f>
        <v>0</v>
      </c>
      <c s="125">
        <f>SUM(Продажи!AP83,-Продажи!AP106)</f>
        <v>0</v>
      </c>
      <c s="125">
        <f>SUM(Продажи!AQ83,-Продажи!AQ106)</f>
        <v>0</v>
      </c>
      <c s="125">
        <f>SUM(Продажи!AR83,-Продажи!AR106)</f>
        <v>0</v>
      </c>
      <c s="125">
        <f>SUM(Продажи!AS83,-Продажи!AS106)</f>
        <v>0</v>
      </c>
      <c s="125">
        <f>SUM(Продажи!AT83,-Продажи!AT106)</f>
        <v>0</v>
      </c>
      <c s="125">
        <f>SUM(Продажи!AU83,-Продажи!AU106)</f>
        <v>0</v>
      </c>
      <c s="125">
        <f>SUM(Продажи!AV83,-Продажи!AV106)</f>
        <v>0</v>
      </c>
      <c s="125">
        <f>SUM(Продажи!AW83,-Продажи!AW106)</f>
        <v>0</v>
      </c>
      <c s="125">
        <f>SUM(Продажи!AX83,-Продажи!AX106)</f>
        <v>0</v>
      </c>
      <c s="125">
        <f>SUM(Продажи!AY83,-Продажи!AY106)</f>
        <v>0</v>
      </c>
      <c s="125">
        <f>SUM(Продажи!AZ83,-Продажи!AZ106)</f>
        <v>0</v>
      </c>
      <c s="125">
        <f>SUM(Продажи!BA83,-Продажи!BA106)</f>
        <v>0</v>
      </c>
      <c s="125">
        <f>SUM(Продажи!BB83,-Продажи!BB106)</f>
        <v>0</v>
      </c>
      <c s="125">
        <f>SUM(Продажи!BC83,-Продажи!BC106)</f>
        <v>0</v>
      </c>
      <c s="125">
        <f>SUM(Продажи!BD83,-Продажи!BD106)</f>
        <v>0</v>
      </c>
      <c s="125">
        <f>SUM(Продажи!BE83,-Продажи!BE106)</f>
        <v>0</v>
      </c>
      <c s="125">
        <f>SUM(Продажи!BF83,-Продажи!BF106)</f>
        <v>0</v>
      </c>
      <c s="125">
        <f>SUM(Продажи!BG83,-Продажи!BG106)</f>
        <v>0</v>
      </c>
      <c s="125">
        <f>SUM(Продажи!BH83,-Продажи!BH106)</f>
        <v>0</v>
      </c>
      <c s="125">
        <f>SUM(Продажи!BI83,-Продажи!BI106)</f>
        <v>0</v>
      </c>
      <c s="125">
        <f>SUM(Продажи!BJ83,-Продажи!BJ106)</f>
        <v>0</v>
      </c>
      <c s="125">
        <f>SUM(Продажи!BK83,-Продажи!BK106)</f>
        <v>0</v>
      </c>
      <c s="125">
        <f>SUM(Продажи!BL83,-Продажи!BL106)</f>
        <v>0</v>
      </c>
      <c s="125">
        <f>SUM(Продажи!BM83,-Продажи!BM106)</f>
        <v>0</v>
      </c>
    </row>
    <row r="132" spans="2:65" ht="15" customHeight="1">
      <c r="B132" s="12" t="str">
        <f t="shared" si="144"/>
        <v>Продукт 19</v>
      </c>
      <c s="124" t="str">
        <f t="shared" si="143"/>
        <v>тыс. руб.</v>
      </c>
      <c s="125"/>
      <c s="125">
        <f>SUM(Продажи!E84,-Продажи!E107)</f>
        <v>0</v>
      </c>
      <c s="125">
        <f>SUM(Продажи!F84,-Продажи!F107)</f>
        <v>0</v>
      </c>
      <c s="125">
        <f>SUM(Продажи!G84,-Продажи!G107)</f>
        <v>0</v>
      </c>
      <c s="125">
        <f>SUM(Продажи!H84,-Продажи!H107)</f>
        <v>0</v>
      </c>
      <c s="125">
        <f>SUM(Продажи!I84,-Продажи!I107)</f>
        <v>0</v>
      </c>
      <c s="125">
        <f>SUM(Продажи!J84,-Продажи!J107)</f>
        <v>0</v>
      </c>
      <c s="125">
        <f>SUM(Продажи!K84,-Продажи!K107)</f>
        <v>0</v>
      </c>
      <c s="125">
        <f>SUM(Продажи!L84,-Продажи!L107)</f>
        <v>0</v>
      </c>
      <c s="125">
        <f>SUM(Продажи!M84,-Продажи!M107)</f>
        <v>0</v>
      </c>
      <c s="125">
        <f>SUM(Продажи!N84,-Продажи!N107)</f>
        <v>0</v>
      </c>
      <c s="125">
        <f>SUM(Продажи!O84,-Продажи!O107)</f>
        <v>0</v>
      </c>
      <c s="125">
        <f>SUM(Продажи!P84,-Продажи!P107)</f>
        <v>0</v>
      </c>
      <c s="125">
        <f>SUM(Продажи!Q84,-Продажи!Q107)</f>
        <v>0</v>
      </c>
      <c s="125">
        <f>SUM(Продажи!R84,-Продажи!R107)</f>
        <v>0</v>
      </c>
      <c s="125">
        <f>SUM(Продажи!S84,-Продажи!S107)</f>
        <v>0</v>
      </c>
      <c s="125">
        <f>SUM(Продажи!T84,-Продажи!T107)</f>
        <v>0</v>
      </c>
      <c s="125">
        <f>SUM(Продажи!U84,-Продажи!U107)</f>
        <v>0</v>
      </c>
      <c s="125">
        <f>SUM(Продажи!V84,-Продажи!V107)</f>
        <v>0</v>
      </c>
      <c s="125">
        <f>SUM(Продажи!W84,-Продажи!W107)</f>
        <v>0</v>
      </c>
      <c s="125">
        <f>SUM(Продажи!X84,-Продажи!X107)</f>
        <v>0</v>
      </c>
      <c s="125">
        <f>SUM(Продажи!Y84,-Продажи!Y107)</f>
        <v>0</v>
      </c>
      <c s="125">
        <f>SUM(Продажи!Z84,-Продажи!Z107)</f>
        <v>0</v>
      </c>
      <c s="125">
        <f>SUM(Продажи!AA84,-Продажи!AA107)</f>
        <v>0</v>
      </c>
      <c s="125">
        <f>SUM(Продажи!AB84,-Продажи!AB107)</f>
        <v>0</v>
      </c>
      <c s="125">
        <f>SUM(Продажи!AC84,-Продажи!AC107)</f>
        <v>0</v>
      </c>
      <c s="125">
        <f>SUM(Продажи!AD84,-Продажи!AD107)</f>
        <v>0</v>
      </c>
      <c s="125">
        <f>SUM(Продажи!AE84,-Продажи!AE107)</f>
        <v>0</v>
      </c>
      <c s="125">
        <f>SUM(Продажи!AF84,-Продажи!AF107)</f>
        <v>0</v>
      </c>
      <c s="125">
        <f>SUM(Продажи!AG84,-Продажи!AG107)</f>
        <v>0</v>
      </c>
      <c s="125">
        <f>SUM(Продажи!AH84,-Продажи!AH107)</f>
        <v>0</v>
      </c>
      <c s="125">
        <f>SUM(Продажи!AI84,-Продажи!AI107)</f>
        <v>0</v>
      </c>
      <c s="125">
        <f>SUM(Продажи!AJ84,-Продажи!AJ107)</f>
        <v>0</v>
      </c>
      <c s="125">
        <f>SUM(Продажи!AK84,-Продажи!AK107)</f>
        <v>0</v>
      </c>
      <c s="125">
        <f>SUM(Продажи!AL84,-Продажи!AL107)</f>
        <v>0</v>
      </c>
      <c s="125">
        <f>SUM(Продажи!AM84,-Продажи!AM107)</f>
        <v>0</v>
      </c>
      <c s="125">
        <f>SUM(Продажи!AN84,-Продажи!AN107)</f>
        <v>0</v>
      </c>
      <c s="125">
        <f>SUM(Продажи!AO84,-Продажи!AO107)</f>
        <v>0</v>
      </c>
      <c s="125">
        <f>SUM(Продажи!AP84,-Продажи!AP107)</f>
        <v>0</v>
      </c>
      <c s="125">
        <f>SUM(Продажи!AQ84,-Продажи!AQ107)</f>
        <v>0</v>
      </c>
      <c s="125">
        <f>SUM(Продажи!AR84,-Продажи!AR107)</f>
        <v>0</v>
      </c>
      <c s="125">
        <f>SUM(Продажи!AS84,-Продажи!AS107)</f>
        <v>0</v>
      </c>
      <c s="125">
        <f>SUM(Продажи!AT84,-Продажи!AT107)</f>
        <v>0</v>
      </c>
      <c s="125">
        <f>SUM(Продажи!AU84,-Продажи!AU107)</f>
        <v>0</v>
      </c>
      <c s="125">
        <f>SUM(Продажи!AV84,-Продажи!AV107)</f>
        <v>0</v>
      </c>
      <c s="125">
        <f>SUM(Продажи!AW84,-Продажи!AW107)</f>
        <v>0</v>
      </c>
      <c s="125">
        <f>SUM(Продажи!AX84,-Продажи!AX107)</f>
        <v>0</v>
      </c>
      <c s="125">
        <f>SUM(Продажи!AY84,-Продажи!AY107)</f>
        <v>0</v>
      </c>
      <c s="125">
        <f>SUM(Продажи!AZ84,-Продажи!AZ107)</f>
        <v>0</v>
      </c>
      <c s="125">
        <f>SUM(Продажи!BA84,-Продажи!BA107)</f>
        <v>0</v>
      </c>
      <c s="125">
        <f>SUM(Продажи!BB84,-Продажи!BB107)</f>
        <v>0</v>
      </c>
      <c s="125">
        <f>SUM(Продажи!BC84,-Продажи!BC107)</f>
        <v>0</v>
      </c>
      <c s="125">
        <f>SUM(Продажи!BD84,-Продажи!BD107)</f>
        <v>0</v>
      </c>
      <c s="125">
        <f>SUM(Продажи!BE84,-Продажи!BE107)</f>
        <v>0</v>
      </c>
      <c s="125">
        <f>SUM(Продажи!BF84,-Продажи!BF107)</f>
        <v>0</v>
      </c>
      <c s="125">
        <f>SUM(Продажи!BG84,-Продажи!BG107)</f>
        <v>0</v>
      </c>
      <c s="125">
        <f>SUM(Продажи!BH84,-Продажи!BH107)</f>
        <v>0</v>
      </c>
      <c s="125">
        <f>SUM(Продажи!BI84,-Продажи!BI107)</f>
        <v>0</v>
      </c>
      <c s="125">
        <f>SUM(Продажи!BJ84,-Продажи!BJ107)</f>
        <v>0</v>
      </c>
      <c s="125">
        <f>SUM(Продажи!BK84,-Продажи!BK107)</f>
        <v>0</v>
      </c>
      <c s="125">
        <f>SUM(Продажи!BL84,-Продажи!BL107)</f>
        <v>0</v>
      </c>
      <c s="125">
        <f>SUM(Продажи!BM84,-Продажи!BM107)</f>
        <v>0</v>
      </c>
    </row>
    <row r="133" spans="2:65" ht="15" customHeight="1">
      <c r="B133" s="12" t="str">
        <f t="shared" si="144"/>
        <v>Продукт 20</v>
      </c>
      <c s="124" t="str">
        <f t="shared" si="143"/>
        <v>тыс. руб.</v>
      </c>
      <c s="125"/>
      <c s="125">
        <f>SUM(Продажи!E85,-Продажи!E108)</f>
        <v>0</v>
      </c>
      <c s="125">
        <f>SUM(Продажи!F85,-Продажи!F108)</f>
        <v>0</v>
      </c>
      <c s="125">
        <f>SUM(Продажи!G85,-Продажи!G108)</f>
        <v>0</v>
      </c>
      <c s="125">
        <f>SUM(Продажи!H85,-Продажи!H108)</f>
        <v>0</v>
      </c>
      <c s="125">
        <f>SUM(Продажи!I85,-Продажи!I108)</f>
        <v>0</v>
      </c>
      <c s="125">
        <f>SUM(Продажи!J85,-Продажи!J108)</f>
        <v>0</v>
      </c>
      <c s="125">
        <f>SUM(Продажи!K85,-Продажи!K108)</f>
        <v>0</v>
      </c>
      <c s="125">
        <f>SUM(Продажи!L85,-Продажи!L108)</f>
        <v>0</v>
      </c>
      <c s="125">
        <f>SUM(Продажи!M85,-Продажи!M108)</f>
        <v>0</v>
      </c>
      <c s="125">
        <f>SUM(Продажи!N85,-Продажи!N108)</f>
        <v>0</v>
      </c>
      <c s="125">
        <f>SUM(Продажи!O85,-Продажи!O108)</f>
        <v>0</v>
      </c>
      <c s="125">
        <f>SUM(Продажи!P85,-Продажи!P108)</f>
        <v>0</v>
      </c>
      <c s="125">
        <f>SUM(Продажи!Q85,-Продажи!Q108)</f>
        <v>0</v>
      </c>
      <c s="125">
        <f>SUM(Продажи!R85,-Продажи!R108)</f>
        <v>0</v>
      </c>
      <c s="125">
        <f>SUM(Продажи!S85,-Продажи!S108)</f>
        <v>0</v>
      </c>
      <c s="125">
        <f>SUM(Продажи!T85,-Продажи!T108)</f>
        <v>0</v>
      </c>
      <c s="125">
        <f>SUM(Продажи!U85,-Продажи!U108)</f>
        <v>0</v>
      </c>
      <c s="125">
        <f>SUM(Продажи!V85,-Продажи!V108)</f>
        <v>0</v>
      </c>
      <c s="125">
        <f>SUM(Продажи!W85,-Продажи!W108)</f>
        <v>0</v>
      </c>
      <c s="125">
        <f>SUM(Продажи!X85,-Продажи!X108)</f>
        <v>0</v>
      </c>
      <c s="125">
        <f>SUM(Продажи!Y85,-Продажи!Y108)</f>
        <v>0</v>
      </c>
      <c s="125">
        <f>SUM(Продажи!Z85,-Продажи!Z108)</f>
        <v>0</v>
      </c>
      <c s="125">
        <f>SUM(Продажи!AA85,-Продажи!AA108)</f>
        <v>0</v>
      </c>
      <c s="125">
        <f>SUM(Продажи!AB85,-Продажи!AB108)</f>
        <v>0</v>
      </c>
      <c s="125">
        <f>SUM(Продажи!AC85,-Продажи!AC108)</f>
        <v>0</v>
      </c>
      <c s="125">
        <f>SUM(Продажи!AD85,-Продажи!AD108)</f>
        <v>0</v>
      </c>
      <c s="125">
        <f>SUM(Продажи!AE85,-Продажи!AE108)</f>
        <v>0</v>
      </c>
      <c s="125">
        <f>SUM(Продажи!AF85,-Продажи!AF108)</f>
        <v>0</v>
      </c>
      <c s="125">
        <f>SUM(Продажи!AG85,-Продажи!AG108)</f>
        <v>0</v>
      </c>
      <c s="125">
        <f>SUM(Продажи!AH85,-Продажи!AH108)</f>
        <v>0</v>
      </c>
      <c s="125">
        <f>SUM(Продажи!AI85,-Продажи!AI108)</f>
        <v>0</v>
      </c>
      <c s="125">
        <f>SUM(Продажи!AJ85,-Продажи!AJ108)</f>
        <v>0</v>
      </c>
      <c s="125">
        <f>SUM(Продажи!AK85,-Продажи!AK108)</f>
        <v>0</v>
      </c>
      <c s="125">
        <f>SUM(Продажи!AL85,-Продажи!AL108)</f>
        <v>0</v>
      </c>
      <c s="125">
        <f>SUM(Продажи!AM85,-Продажи!AM108)</f>
        <v>0</v>
      </c>
      <c s="125">
        <f>SUM(Продажи!AN85,-Продажи!AN108)</f>
        <v>0</v>
      </c>
      <c s="125">
        <f>SUM(Продажи!AO85,-Продажи!AO108)</f>
        <v>0</v>
      </c>
      <c s="125">
        <f>SUM(Продажи!AP85,-Продажи!AP108)</f>
        <v>0</v>
      </c>
      <c s="125">
        <f>SUM(Продажи!AQ85,-Продажи!AQ108)</f>
        <v>0</v>
      </c>
      <c s="125">
        <f>SUM(Продажи!AR85,-Продажи!AR108)</f>
        <v>0</v>
      </c>
      <c s="125">
        <f>SUM(Продажи!AS85,-Продажи!AS108)</f>
        <v>0</v>
      </c>
      <c s="125">
        <f>SUM(Продажи!AT85,-Продажи!AT108)</f>
        <v>0</v>
      </c>
      <c s="125">
        <f>SUM(Продажи!AU85,-Продажи!AU108)</f>
        <v>0</v>
      </c>
      <c s="125">
        <f>SUM(Продажи!AV85,-Продажи!AV108)</f>
        <v>0</v>
      </c>
      <c s="125">
        <f>SUM(Продажи!AW85,-Продажи!AW108)</f>
        <v>0</v>
      </c>
      <c s="125">
        <f>SUM(Продажи!AX85,-Продажи!AX108)</f>
        <v>0</v>
      </c>
      <c s="125">
        <f>SUM(Продажи!AY85,-Продажи!AY108)</f>
        <v>0</v>
      </c>
      <c s="125">
        <f>SUM(Продажи!AZ85,-Продажи!AZ108)</f>
        <v>0</v>
      </c>
      <c s="125">
        <f>SUM(Продажи!BA85,-Продажи!BA108)</f>
        <v>0</v>
      </c>
      <c s="125">
        <f>SUM(Продажи!BB85,-Продажи!BB108)</f>
        <v>0</v>
      </c>
      <c s="125">
        <f>SUM(Продажи!BC85,-Продажи!BC108)</f>
        <v>0</v>
      </c>
      <c s="125">
        <f>SUM(Продажи!BD85,-Продажи!BD108)</f>
        <v>0</v>
      </c>
      <c s="125">
        <f>SUM(Продажи!BE85,-Продажи!BE108)</f>
        <v>0</v>
      </c>
      <c s="125">
        <f>SUM(Продажи!BF85,-Продажи!BF108)</f>
        <v>0</v>
      </c>
      <c s="125">
        <f>SUM(Продажи!BG85,-Продажи!BG108)</f>
        <v>0</v>
      </c>
      <c s="125">
        <f>SUM(Продажи!BH85,-Продажи!BH108)</f>
        <v>0</v>
      </c>
      <c s="125">
        <f>SUM(Продажи!BI85,-Продажи!BI108)</f>
        <v>0</v>
      </c>
      <c s="125">
        <f>SUM(Продажи!BJ85,-Продажи!BJ108)</f>
        <v>0</v>
      </c>
      <c s="125">
        <f>SUM(Продажи!BK85,-Продажи!BK108)</f>
        <v>0</v>
      </c>
      <c s="125">
        <f>SUM(Продажи!BL85,-Продажи!BL108)</f>
        <v>0</v>
      </c>
      <c s="125">
        <f>SUM(Продажи!BM85,-Продажи!BM108)</f>
        <v>0</v>
      </c>
    </row>
    <row r="134" spans="2:65" ht="15" customHeight="1">
      <c r="B134" s="289" t="s">
        <v>454</v>
      </c>
      <c s="290" t="str">
        <f>Единица_измерения</f>
        <v>тыс. руб.</v>
      </c>
      <c s="276"/>
      <c s="276">
        <f>SUM(E114:E133)</f>
        <v>0</v>
      </c>
      <c s="276">
        <f t="shared" si="145" ref="F134:AG134">SUM(F114:F133)</f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5"/>
        <v>0</v>
      </c>
      <c s="276">
        <f t="shared" si="146" ref="AH134:BM134">SUM(AH114:AH133)</f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  <c s="276">
        <f t="shared" si="146"/>
        <v>0</v>
      </c>
    </row>
    <row r="135" ht="15" customHeight="1"/>
    <row r="136" spans="2:2" ht="15" customHeight="1">
      <c r="B136" s="24" t="s">
        <v>895</v>
      </c>
    </row>
    <row r="137" spans="2:65" ht="15" customHeight="1">
      <c r="B137" s="12" t="str">
        <f>B114</f>
        <v>Продукт 1</v>
      </c>
      <c s="124" t="str">
        <f t="shared" si="147" ref="C137:C156">Единица_измерения</f>
        <v>тыс. руб.</v>
      </c>
      <c s="125"/>
      <c s="125">
        <f t="shared" si="148" ref="E137">SUM(E160,-E91,-E114)</f>
        <v>0</v>
      </c>
      <c s="125">
        <f t="shared" si="149" ref="F137:BM137">SUM(F160,-F91,-F114)</f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  <c s="125">
        <f t="shared" si="149"/>
        <v>0</v>
      </c>
    </row>
    <row r="138" spans="2:65" ht="15" customHeight="1">
      <c r="B138" s="12" t="str">
        <f t="shared" si="150" ref="B138:B156">B115</f>
        <v>Продукт 2</v>
      </c>
      <c s="124" t="str">
        <f t="shared" si="147"/>
        <v>тыс. руб.</v>
      </c>
      <c s="125"/>
      <c s="125">
        <f t="shared" si="151" ref="E138">SUM(E161,-E92,-E115)</f>
        <v>0</v>
      </c>
      <c s="125">
        <f t="shared" si="152" ref="F138:BM138">SUM(F161,-F92,-F115)</f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  <c s="125">
        <f t="shared" si="152"/>
        <v>0</v>
      </c>
    </row>
    <row r="139" spans="2:65" ht="15" customHeight="1">
      <c r="B139" s="12" t="str">
        <f t="shared" si="150"/>
        <v>Продукт 3</v>
      </c>
      <c s="124" t="str">
        <f t="shared" si="147"/>
        <v>тыс. руб.</v>
      </c>
      <c s="125"/>
      <c s="125">
        <f t="shared" si="153" ref="E139">SUM(E162,-E93,-E116)</f>
        <v>0</v>
      </c>
      <c s="125">
        <f t="shared" si="154" ref="F139:BM139">SUM(F162,-F93,-F116)</f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  <c s="125">
        <f t="shared" si="154"/>
        <v>0</v>
      </c>
    </row>
    <row r="140" spans="2:65" ht="15" customHeight="1">
      <c r="B140" s="12" t="str">
        <f t="shared" si="150"/>
        <v>Продукт 4</v>
      </c>
      <c s="124" t="str">
        <f t="shared" si="147"/>
        <v>тыс. руб.</v>
      </c>
      <c s="125"/>
      <c s="125">
        <f t="shared" si="155" ref="E140">SUM(E163,-E94,-E117)</f>
        <v>0</v>
      </c>
      <c s="125">
        <f t="shared" si="156" ref="F140:BM140">SUM(F163,-F94,-F117)</f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  <c s="125">
        <f t="shared" si="156"/>
        <v>0</v>
      </c>
    </row>
    <row r="141" spans="2:65" ht="15" customHeight="1">
      <c r="B141" s="12" t="str">
        <f t="shared" si="150"/>
        <v>Продукт 5</v>
      </c>
      <c s="124" t="str">
        <f t="shared" si="147"/>
        <v>тыс. руб.</v>
      </c>
      <c s="125"/>
      <c s="125">
        <f t="shared" si="157" ref="E141">SUM(E164,-E95,-E118)</f>
        <v>0</v>
      </c>
      <c s="125">
        <f t="shared" si="158" ref="F141:BM141">SUM(F164,-F95,-F118)</f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  <c s="125">
        <f t="shared" si="158"/>
        <v>0</v>
      </c>
    </row>
    <row r="142" spans="2:65" ht="15" customHeight="1">
      <c r="B142" s="12" t="str">
        <f t="shared" si="150"/>
        <v>Продукт 6</v>
      </c>
      <c s="124" t="str">
        <f t="shared" si="147"/>
        <v>тыс. руб.</v>
      </c>
      <c s="125"/>
      <c s="125">
        <f t="shared" si="159" ref="E142">SUM(E165,-E96,-E119)</f>
        <v>0</v>
      </c>
      <c s="125">
        <f t="shared" si="160" ref="F142:BM142">SUM(F165,-F96,-F119)</f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  <c s="125">
        <f t="shared" si="160"/>
        <v>0</v>
      </c>
    </row>
    <row r="143" spans="2:65" ht="15" customHeight="1">
      <c r="B143" s="12" t="str">
        <f t="shared" si="150"/>
        <v>Продукт 7</v>
      </c>
      <c s="124" t="str">
        <f t="shared" si="147"/>
        <v>тыс. руб.</v>
      </c>
      <c s="125"/>
      <c s="125">
        <f t="shared" si="161" ref="E143">SUM(E166,-E97,-E120)</f>
        <v>0</v>
      </c>
      <c s="125">
        <f t="shared" si="162" ref="F143:BM143">SUM(F166,-F97,-F120)</f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  <c s="125">
        <f t="shared" si="162"/>
        <v>0</v>
      </c>
    </row>
    <row r="144" spans="2:65" ht="15" customHeight="1">
      <c r="B144" s="12" t="str">
        <f t="shared" si="150"/>
        <v>Продукт 8</v>
      </c>
      <c s="124" t="str">
        <f t="shared" si="147"/>
        <v>тыс. руб.</v>
      </c>
      <c s="125"/>
      <c s="125">
        <f t="shared" si="163" ref="E144">SUM(E167,-E98,-E121)</f>
        <v>0</v>
      </c>
      <c s="125">
        <f t="shared" si="164" ref="F144:BM144">SUM(F167,-F98,-F121)</f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  <c s="125">
        <f t="shared" si="164"/>
        <v>0</v>
      </c>
    </row>
    <row r="145" spans="2:65" ht="15" customHeight="1">
      <c r="B145" s="12" t="str">
        <f t="shared" si="150"/>
        <v>Продукт 9</v>
      </c>
      <c s="124" t="str">
        <f t="shared" si="147"/>
        <v>тыс. руб.</v>
      </c>
      <c s="125"/>
      <c s="125">
        <f t="shared" si="165" ref="E145">SUM(E168,-E99,-E122)</f>
        <v>0</v>
      </c>
      <c s="125">
        <f t="shared" si="166" ref="F145:BM145">SUM(F168,-F99,-F122)</f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  <c s="125">
        <f t="shared" si="166"/>
        <v>0</v>
      </c>
    </row>
    <row r="146" spans="2:65" ht="15" customHeight="1">
      <c r="B146" s="12" t="str">
        <f t="shared" si="150"/>
        <v>Продукт 10</v>
      </c>
      <c s="124" t="str">
        <f t="shared" si="147"/>
        <v>тыс. руб.</v>
      </c>
      <c s="125"/>
      <c s="125">
        <f t="shared" si="167" ref="E146">SUM(E169,-E100,-E123)</f>
        <v>0</v>
      </c>
      <c s="125">
        <f t="shared" si="168" ref="F146:BM146">SUM(F169,-F100,-F123)</f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  <c s="125">
        <f t="shared" si="168"/>
        <v>0</v>
      </c>
    </row>
    <row r="147" spans="2:65" ht="15" customHeight="1">
      <c r="B147" s="12" t="str">
        <f t="shared" si="150"/>
        <v>Продукт 11</v>
      </c>
      <c s="124" t="str">
        <f t="shared" si="147"/>
        <v>тыс. руб.</v>
      </c>
      <c s="125"/>
      <c s="125">
        <f t="shared" si="169" ref="E147">SUM(E170,-E101,-E124)</f>
        <v>0</v>
      </c>
      <c s="125">
        <f t="shared" si="170" ref="F147:BM147">SUM(F170,-F101,-F124)</f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  <c s="125">
        <f t="shared" si="170"/>
        <v>0</v>
      </c>
    </row>
    <row r="148" spans="2:65" ht="15" customHeight="1">
      <c r="B148" s="12" t="str">
        <f t="shared" si="150"/>
        <v>Продукт 12</v>
      </c>
      <c s="124" t="str">
        <f t="shared" si="147"/>
        <v>тыс. руб.</v>
      </c>
      <c s="125"/>
      <c s="125">
        <f t="shared" si="171" ref="E148">SUM(E171,-E102,-E125)</f>
        <v>0</v>
      </c>
      <c s="125">
        <f t="shared" si="172" ref="F148:BM148">SUM(F171,-F102,-F125)</f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  <c s="125">
        <f t="shared" si="172"/>
        <v>0</v>
      </c>
    </row>
    <row r="149" spans="2:65" ht="15" customHeight="1">
      <c r="B149" s="12" t="str">
        <f t="shared" si="150"/>
        <v>Продукт 13</v>
      </c>
      <c s="124" t="str">
        <f t="shared" si="147"/>
        <v>тыс. руб.</v>
      </c>
      <c s="125"/>
      <c s="125">
        <f t="shared" si="173" ref="E149">SUM(E172,-E103,-E126)</f>
        <v>0</v>
      </c>
      <c s="125">
        <f t="shared" si="174" ref="F149:BM149">SUM(F172,-F103,-F126)</f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  <c s="125">
        <f t="shared" si="174"/>
        <v>0</v>
      </c>
    </row>
    <row r="150" spans="2:65" ht="15" customHeight="1">
      <c r="B150" s="12" t="str">
        <f t="shared" si="150"/>
        <v>Продукт 14</v>
      </c>
      <c s="124" t="str">
        <f t="shared" si="147"/>
        <v>тыс. руб.</v>
      </c>
      <c s="125"/>
      <c s="125">
        <f t="shared" si="175" ref="E150">SUM(E173,-E104,-E127)</f>
        <v>0</v>
      </c>
      <c s="125">
        <f t="shared" si="176" ref="F150:BM150">SUM(F173,-F104,-F127)</f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  <c s="125">
        <f t="shared" si="176"/>
        <v>0</v>
      </c>
    </row>
    <row r="151" spans="2:65" ht="15" customHeight="1">
      <c r="B151" s="12" t="str">
        <f t="shared" si="150"/>
        <v>Продукт 15</v>
      </c>
      <c s="124" t="str">
        <f t="shared" si="147"/>
        <v>тыс. руб.</v>
      </c>
      <c s="125"/>
      <c s="125">
        <f t="shared" si="177" ref="E151">SUM(E174,-E105,-E128)</f>
        <v>0</v>
      </c>
      <c s="125">
        <f t="shared" si="178" ref="F151:BM151">SUM(F174,-F105,-F128)</f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  <c s="125">
        <f t="shared" si="178"/>
        <v>0</v>
      </c>
    </row>
    <row r="152" spans="2:65" ht="15" customHeight="1">
      <c r="B152" s="12" t="str">
        <f t="shared" si="150"/>
        <v>Продукт 16</v>
      </c>
      <c s="124" t="str">
        <f t="shared" si="147"/>
        <v>тыс. руб.</v>
      </c>
      <c s="125"/>
      <c s="125">
        <f t="shared" si="179" ref="E152">SUM(E175,-E106,-E129)</f>
        <v>0</v>
      </c>
      <c s="125">
        <f t="shared" si="180" ref="F152:BM152">SUM(F175,-F106,-F129)</f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  <c s="125">
        <f t="shared" si="180"/>
        <v>0</v>
      </c>
    </row>
    <row r="153" spans="2:65" ht="15" customHeight="1">
      <c r="B153" s="12" t="str">
        <f t="shared" si="150"/>
        <v>Продукт 17</v>
      </c>
      <c s="124" t="str">
        <f t="shared" si="147"/>
        <v>тыс. руб.</v>
      </c>
      <c s="125"/>
      <c s="125">
        <f t="shared" si="181" ref="E153">SUM(E176,-E107,-E130)</f>
        <v>0</v>
      </c>
      <c s="125">
        <f t="shared" si="182" ref="F153:BM153">SUM(F176,-F107,-F130)</f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  <c s="125">
        <f t="shared" si="182"/>
        <v>0</v>
      </c>
    </row>
    <row r="154" spans="2:65" ht="15" customHeight="1">
      <c r="B154" s="12" t="str">
        <f t="shared" si="150"/>
        <v>Продукт 18</v>
      </c>
      <c s="124" t="str">
        <f t="shared" si="147"/>
        <v>тыс. руб.</v>
      </c>
      <c s="125"/>
      <c s="125">
        <f t="shared" si="183" ref="E154">SUM(E177,-E108,-E131)</f>
        <v>0</v>
      </c>
      <c s="125">
        <f t="shared" si="184" ref="F154:BM154">SUM(F177,-F108,-F131)</f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  <c s="125">
        <f t="shared" si="184"/>
        <v>0</v>
      </c>
    </row>
    <row r="155" spans="2:65" ht="15" customHeight="1">
      <c r="B155" s="12" t="str">
        <f t="shared" si="150"/>
        <v>Продукт 19</v>
      </c>
      <c s="124" t="str">
        <f t="shared" si="147"/>
        <v>тыс. руб.</v>
      </c>
      <c s="125"/>
      <c s="125">
        <f t="shared" si="185" ref="E155">SUM(E178,-E109,-E132)</f>
        <v>0</v>
      </c>
      <c s="125">
        <f t="shared" si="186" ref="F155:BM155">SUM(F178,-F109,-F132)</f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  <c s="125">
        <f t="shared" si="186"/>
        <v>0</v>
      </c>
    </row>
    <row r="156" spans="2:65" ht="15" customHeight="1">
      <c r="B156" s="12" t="str">
        <f t="shared" si="150"/>
        <v>Продукт 20</v>
      </c>
      <c s="124" t="str">
        <f t="shared" si="147"/>
        <v>тыс. руб.</v>
      </c>
      <c s="125"/>
      <c s="125">
        <f t="shared" si="187" ref="E156">SUM(E179,-E110,-E133)</f>
        <v>0</v>
      </c>
      <c s="125">
        <f t="shared" si="188" ref="F156:BM156">SUM(F179,-F110,-F133)</f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  <c s="125">
        <f t="shared" si="188"/>
        <v>0</v>
      </c>
    </row>
    <row r="157" spans="2:65" ht="15" customHeight="1">
      <c r="B157" s="289" t="s">
        <v>454</v>
      </c>
      <c s="290" t="str">
        <f>Единица_измерения</f>
        <v>тыс. руб.</v>
      </c>
      <c s="276"/>
      <c s="276">
        <f t="shared" si="189" ref="E157:AG157">SUM(E137:E156)</f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89"/>
        <v>0</v>
      </c>
      <c s="276">
        <f t="shared" si="190" ref="AH157:BM157">SUM(AH137:AH156)</f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  <c s="276">
        <f t="shared" si="190"/>
        <v>0</v>
      </c>
    </row>
    <row r="158" ht="15" customHeight="1"/>
    <row r="159" spans="2:2" ht="15" customHeight="1">
      <c r="B159" s="24" t="s">
        <v>830</v>
      </c>
    </row>
    <row r="160" spans="2:65" ht="15" customHeight="1">
      <c r="B160" s="12" t="str">
        <f>B137</f>
        <v>Продукт 1</v>
      </c>
      <c s="124" t="str">
        <f t="shared" si="191" ref="C160:C179">Единица_измерения</f>
        <v>тыс. руб.</v>
      </c>
      <c s="125"/>
      <c s="125">
        <f>IF(Предпосылки!$I122&lt;0,F91,E114*(Предпосылки!$I122/(E$8+1-E$7)))</f>
        <v>0</v>
      </c>
      <c s="125">
        <f>IF(Предпосылки!$I122&lt;0,G91,F114*(Предпосылки!$I122/(F$8+1-F$7)))</f>
        <v>0</v>
      </c>
      <c s="125">
        <f>IF(Предпосылки!$I122&lt;0,H91,G114*(Предпосылки!$I122/(G$8+1-G$7)))</f>
        <v>0</v>
      </c>
      <c s="125">
        <f>IF(Предпосылки!$I122&lt;0,I91,H114*(Предпосылки!$I122/(H$8+1-H$7)))</f>
        <v>0</v>
      </c>
      <c s="125">
        <f>IF(Предпосылки!$I122&lt;0,J91,I114*(Предпосылки!$I122/(I$8+1-I$7)))</f>
        <v>0</v>
      </c>
      <c s="125">
        <f>IF(Предпосылки!$I122&lt;0,K91,J114*(Предпосылки!$I122/(J$8+1-J$7)))</f>
        <v>0</v>
      </c>
      <c s="125">
        <f>IF(Предпосылки!$I122&lt;0,L91,K114*(Предпосылки!$I122/(K$8+1-K$7)))</f>
        <v>0</v>
      </c>
      <c s="125">
        <f>IF(Предпосылки!$I122&lt;0,M91,L114*(Предпосылки!$I122/(L$8+1-L$7)))</f>
        <v>0</v>
      </c>
      <c s="125">
        <f>IF(Предпосылки!$I122&lt;0,N91,M114*(Предпосылки!$I122/(M$8+1-M$7)))</f>
        <v>0</v>
      </c>
      <c s="125">
        <f>IF(Предпосылки!$I122&lt;0,O91,N114*(Предпосылки!$I122/(N$8+1-N$7)))</f>
        <v>0</v>
      </c>
      <c s="125">
        <f>IF(Предпосылки!$I122&lt;0,P91,O114*(Предпосылки!$I122/(O$8+1-O$7)))</f>
        <v>0</v>
      </c>
      <c s="125">
        <f>IF(Предпосылки!$I122&lt;0,Q91,P114*(Предпосылки!$I122/(P$8+1-P$7)))</f>
        <v>0</v>
      </c>
      <c s="125">
        <f>IF(Предпосылки!$I122&lt;0,R91,Q114*(Предпосылки!$I122/(Q$8+1-Q$7)))</f>
        <v>0</v>
      </c>
      <c s="125">
        <f>IF(Предпосылки!$I122&lt;0,S91,R114*(Предпосылки!$I122/(R$8+1-R$7)))</f>
        <v>0</v>
      </c>
      <c s="125">
        <f>IF(Предпосылки!$I122&lt;0,T91,S114*(Предпосылки!$I122/(S$8+1-S$7)))</f>
        <v>0</v>
      </c>
      <c s="125">
        <f>IF(Предпосылки!$I122&lt;0,U91,T114*(Предпосылки!$I122/(T$8+1-T$7)))</f>
        <v>0</v>
      </c>
      <c s="125">
        <f>IF(Предпосылки!$I122&lt;0,V91,U114*(Предпосылки!$I122/(U$8+1-U$7)))</f>
        <v>0</v>
      </c>
      <c s="125">
        <f>IF(Предпосылки!$I122&lt;0,W91,V114*(Предпосылки!$I122/(V$8+1-V$7)))</f>
        <v>0</v>
      </c>
      <c s="125">
        <f>IF(Предпосылки!$I122&lt;0,X91,W114*(Предпосылки!$I122/(W$8+1-W$7)))</f>
        <v>0</v>
      </c>
      <c s="125">
        <f>IF(Предпосылки!$I122&lt;0,Y91,X114*(Предпосылки!$I122/(X$8+1-X$7)))</f>
        <v>0</v>
      </c>
      <c s="125">
        <f>IF(Предпосылки!$I122&lt;0,Z91,Y114*(Предпосылки!$I122/(Y$8+1-Y$7)))</f>
        <v>0</v>
      </c>
      <c s="125">
        <f>IF(Предпосылки!$I122&lt;0,AA91,Z114*(Предпосылки!$I122/(Z$8+1-Z$7)))</f>
        <v>0</v>
      </c>
      <c s="125">
        <f>IF(Предпосылки!$I122&lt;0,AB91,AA114*(Предпосылки!$I122/(AA$8+1-AA$7)))</f>
        <v>0</v>
      </c>
      <c s="125">
        <f>IF(Предпосылки!$I122&lt;0,AC91,AB114*(Предпосылки!$I122/(AB$8+1-AB$7)))</f>
        <v>0</v>
      </c>
      <c s="125">
        <f>IF(Предпосылки!$I122&lt;0,AD91,AC114*(Предпосылки!$I122/(AC$8+1-AC$7)))</f>
        <v>0</v>
      </c>
      <c s="125">
        <f>IF(Предпосылки!$I122&lt;0,AE91,AD114*(Предпосылки!$I122/(AD$8+1-AD$7)))</f>
        <v>0</v>
      </c>
      <c s="125">
        <f>IF(Предпосылки!$I122&lt;0,AF91,AE114*(Предпосылки!$I122/(AE$8+1-AE$7)))</f>
        <v>0</v>
      </c>
      <c s="125">
        <f>IF(Предпосылки!$I122&lt;0,AG91,AF114*(Предпосылки!$I122/(AF$8+1-AF$7)))</f>
        <v>0</v>
      </c>
      <c s="125">
        <f>IF(Предпосылки!$I122&lt;0,AH91,AG114*(Предпосылки!$I122/(AG$8+1-AG$7)))</f>
        <v>0</v>
      </c>
      <c s="125">
        <f>IF(Предпосылки!$I122&lt;0,AI91,AH114*(Предпосылки!$I122/(AH$8+1-AH$7)))</f>
        <v>0</v>
      </c>
      <c s="125">
        <f>IF(Предпосылки!$I122&lt;0,AJ91,AI114*(Предпосылки!$I122/(AI$8+1-AI$7)))</f>
        <v>0</v>
      </c>
      <c s="125">
        <f>IF(Предпосылки!$I122&lt;0,AK91,AJ114*(Предпосылки!$I122/(AJ$8+1-AJ$7)))</f>
        <v>0</v>
      </c>
      <c s="125">
        <f>IF(Предпосылки!$I122&lt;0,AL91,AK114*(Предпосылки!$I122/(AK$8+1-AK$7)))</f>
        <v>0</v>
      </c>
      <c s="125">
        <f>IF(Предпосылки!$I122&lt;0,AM91,AL114*(Предпосылки!$I122/(AL$8+1-AL$7)))</f>
        <v>0</v>
      </c>
      <c s="125">
        <f>IF(Предпосылки!$I122&lt;0,AN91,AM114*(Предпосылки!$I122/(AM$8+1-AM$7)))</f>
        <v>0</v>
      </c>
      <c s="125">
        <f>IF(Предпосылки!$I122&lt;0,AO91,AN114*(Предпосылки!$I122/(AN$8+1-AN$7)))</f>
        <v>0</v>
      </c>
      <c s="125">
        <f>IF(Предпосылки!$I122&lt;0,AP91,AO114*(Предпосылки!$I122/(AO$8+1-AO$7)))</f>
        <v>0</v>
      </c>
      <c s="125">
        <f>IF(Предпосылки!$I122&lt;0,AQ91,AP114*(Предпосылки!$I122/(AP$8+1-AP$7)))</f>
        <v>0</v>
      </c>
      <c s="125">
        <f>IF(Предпосылки!$I122&lt;0,AR91,AQ114*(Предпосылки!$I122/(AQ$8+1-AQ$7)))</f>
        <v>0</v>
      </c>
      <c s="125">
        <f>IF(Предпосылки!$I122&lt;0,AS91,AR114*(Предпосылки!$I122/(AR$8+1-AR$7)))</f>
        <v>0</v>
      </c>
      <c s="125">
        <f>IF(Предпосылки!$I122&lt;0,AT91,AS114*(Предпосылки!$I122/(AS$8+1-AS$7)))</f>
        <v>0</v>
      </c>
      <c s="125">
        <f>IF(Предпосылки!$I122&lt;0,AU91,AT114*(Предпосылки!$I122/(AT$8+1-AT$7)))</f>
        <v>0</v>
      </c>
      <c s="125">
        <f>IF(Предпосылки!$I122&lt;0,AV91,AU114*(Предпосылки!$I122/(AU$8+1-AU$7)))</f>
        <v>0</v>
      </c>
      <c s="125">
        <f>IF(Предпосылки!$I122&lt;0,AW91,AV114*(Предпосылки!$I122/(AV$8+1-AV$7)))</f>
        <v>0</v>
      </c>
      <c s="125">
        <f>IF(Предпосылки!$I122&lt;0,AX91,AW114*(Предпосылки!$I122/(AW$8+1-AW$7)))</f>
        <v>0</v>
      </c>
      <c s="125">
        <f>IF(Предпосылки!$I122&lt;0,AY91,AX114*(Предпосылки!$I122/(AX$8+1-AX$7)))</f>
        <v>0</v>
      </c>
      <c s="125">
        <f>IF(Предпосылки!$I122&lt;0,AZ91,AY114*(Предпосылки!$I122/(AY$8+1-AY$7)))</f>
        <v>0</v>
      </c>
      <c s="125">
        <f>IF(Предпосылки!$I122&lt;0,BA91,AZ114*(Предпосылки!$I122/(AZ$8+1-AZ$7)))</f>
        <v>0</v>
      </c>
      <c s="125">
        <f>IF(Предпосылки!$I122&lt;0,BB91,BA114*(Предпосылки!$I122/(BA$8+1-BA$7)))</f>
        <v>0</v>
      </c>
      <c s="125">
        <f>IF(Предпосылки!$I122&lt;0,BC91,BB114*(Предпосылки!$I122/(BB$8+1-BB$7)))</f>
        <v>0</v>
      </c>
      <c s="125">
        <f>IF(Предпосылки!$I122&lt;0,BD91,BC114*(Предпосылки!$I122/(BC$8+1-BC$7)))</f>
        <v>0</v>
      </c>
      <c s="125">
        <f>IF(Предпосылки!$I122&lt;0,BE91,BD114*(Предпосылки!$I122/(BD$8+1-BD$7)))</f>
        <v>0</v>
      </c>
      <c s="125">
        <f>IF(Предпосылки!$I122&lt;0,BF91,BE114*(Предпосылки!$I122/(BE$8+1-BE$7)))</f>
        <v>0</v>
      </c>
      <c s="125">
        <f>IF(Предпосылки!$I122&lt;0,BG91,BF114*(Предпосылки!$I122/(BF$8+1-BF$7)))</f>
        <v>0</v>
      </c>
      <c s="125">
        <f>IF(Предпосылки!$I122&lt;0,BH91,BG114*(Предпосылки!$I122/(BG$8+1-BG$7)))</f>
        <v>0</v>
      </c>
      <c s="125">
        <f>IF(Предпосылки!$I122&lt;0,BI91,BH114*(Предпосылки!$I122/(BH$8+1-BH$7)))</f>
        <v>0</v>
      </c>
      <c s="125">
        <f>IF(Предпосылки!$I122&lt;0,BJ91,BI114*(Предпосылки!$I122/(BI$8+1-BI$7)))</f>
        <v>0</v>
      </c>
      <c s="125">
        <f>IF(Предпосылки!$I122&lt;0,BK91,BJ114*(Предпосылки!$I122/(BJ$8+1-BJ$7)))</f>
        <v>0</v>
      </c>
      <c s="125">
        <f>IF(Предпосылки!$I122&lt;0,BL91,BK114*(Предпосылки!$I122/(BK$8+1-BK$7)))</f>
        <v>0</v>
      </c>
      <c s="125">
        <f>IF(Предпосылки!$I122&lt;0,BM91,BL114*(Предпосылки!$I122/(BL$8+1-BL$7)))</f>
        <v>0</v>
      </c>
      <c s="125">
        <f>IF(Предпосылки!$I122&lt;0,BN91,BM114*(Предпосылки!$I122/(BM$8+1-BM$7)))</f>
        <v>0</v>
      </c>
    </row>
    <row r="161" spans="2:65" ht="15" customHeight="1">
      <c r="B161" s="12" t="str">
        <f t="shared" si="192" ref="B161:B179">B138</f>
        <v>Продукт 2</v>
      </c>
      <c s="124" t="str">
        <f t="shared" si="191"/>
        <v>тыс. руб.</v>
      </c>
      <c s="125"/>
      <c s="125">
        <f>IF(Предпосылки!$I123&lt;0,F92,E115*(Предпосылки!$I123/(E$8+1-E$7)))</f>
        <v>0</v>
      </c>
      <c s="125">
        <f>IF(Предпосылки!$I123&lt;0,G92,F115*(Предпосылки!$I123/(F$8+1-F$7)))</f>
        <v>0</v>
      </c>
      <c s="125">
        <f>IF(Предпосылки!$I123&lt;0,H92,G115*(Предпосылки!$I123/(G$8+1-G$7)))</f>
        <v>0</v>
      </c>
      <c s="125">
        <f>IF(Предпосылки!$I123&lt;0,I92,H115*(Предпосылки!$I123/(H$8+1-H$7)))</f>
        <v>0</v>
      </c>
      <c s="125">
        <f>IF(Предпосылки!$I123&lt;0,J92,I115*(Предпосылки!$I123/(I$8+1-I$7)))</f>
        <v>0</v>
      </c>
      <c s="125">
        <f>IF(Предпосылки!$I123&lt;0,K92,J115*(Предпосылки!$I123/(J$8+1-J$7)))</f>
        <v>0</v>
      </c>
      <c s="125">
        <f>IF(Предпосылки!$I123&lt;0,L92,K115*(Предпосылки!$I123/(K$8+1-K$7)))</f>
        <v>0</v>
      </c>
      <c s="125">
        <f>IF(Предпосылки!$I123&lt;0,M92,L115*(Предпосылки!$I123/(L$8+1-L$7)))</f>
        <v>0</v>
      </c>
      <c s="125">
        <f>IF(Предпосылки!$I123&lt;0,N92,M115*(Предпосылки!$I123/(M$8+1-M$7)))</f>
        <v>0</v>
      </c>
      <c s="125">
        <f>IF(Предпосылки!$I123&lt;0,O92,N115*(Предпосылки!$I123/(N$8+1-N$7)))</f>
        <v>0</v>
      </c>
      <c s="125">
        <f>IF(Предпосылки!$I123&lt;0,P92,O115*(Предпосылки!$I123/(O$8+1-O$7)))</f>
        <v>0</v>
      </c>
      <c s="125">
        <f>IF(Предпосылки!$I123&lt;0,Q92,P115*(Предпосылки!$I123/(P$8+1-P$7)))</f>
        <v>0</v>
      </c>
      <c s="125">
        <f>IF(Предпосылки!$I123&lt;0,R92,Q115*(Предпосылки!$I123/(Q$8+1-Q$7)))</f>
        <v>0</v>
      </c>
      <c s="125">
        <f>IF(Предпосылки!$I123&lt;0,S92,R115*(Предпосылки!$I123/(R$8+1-R$7)))</f>
        <v>0</v>
      </c>
      <c s="125">
        <f>IF(Предпосылки!$I123&lt;0,T92,S115*(Предпосылки!$I123/(S$8+1-S$7)))</f>
        <v>0</v>
      </c>
      <c s="125">
        <f>IF(Предпосылки!$I123&lt;0,U92,T115*(Предпосылки!$I123/(T$8+1-T$7)))</f>
        <v>0</v>
      </c>
      <c s="125">
        <f>IF(Предпосылки!$I123&lt;0,V92,U115*(Предпосылки!$I123/(U$8+1-U$7)))</f>
        <v>0</v>
      </c>
      <c s="125">
        <f>IF(Предпосылки!$I123&lt;0,W92,V115*(Предпосылки!$I123/(V$8+1-V$7)))</f>
        <v>0</v>
      </c>
      <c s="125">
        <f>IF(Предпосылки!$I123&lt;0,X92,W115*(Предпосылки!$I123/(W$8+1-W$7)))</f>
        <v>0</v>
      </c>
      <c s="125">
        <f>IF(Предпосылки!$I123&lt;0,Y92,X115*(Предпосылки!$I123/(X$8+1-X$7)))</f>
        <v>0</v>
      </c>
      <c s="125">
        <f>IF(Предпосылки!$I123&lt;0,Z92,Y115*(Предпосылки!$I123/(Y$8+1-Y$7)))</f>
        <v>0</v>
      </c>
      <c s="125">
        <f>IF(Предпосылки!$I123&lt;0,AA92,Z115*(Предпосылки!$I123/(Z$8+1-Z$7)))</f>
        <v>0</v>
      </c>
      <c s="125">
        <f>IF(Предпосылки!$I123&lt;0,AB92,AA115*(Предпосылки!$I123/(AA$8+1-AA$7)))</f>
        <v>0</v>
      </c>
      <c s="125">
        <f>IF(Предпосылки!$I123&lt;0,AC92,AB115*(Предпосылки!$I123/(AB$8+1-AB$7)))</f>
        <v>0</v>
      </c>
      <c s="125">
        <f>IF(Предпосылки!$I123&lt;0,AD92,AC115*(Предпосылки!$I123/(AC$8+1-AC$7)))</f>
        <v>0</v>
      </c>
      <c s="125">
        <f>IF(Предпосылки!$I123&lt;0,AE92,AD115*(Предпосылки!$I123/(AD$8+1-AD$7)))</f>
        <v>0</v>
      </c>
      <c s="125">
        <f>IF(Предпосылки!$I123&lt;0,AF92,AE115*(Предпосылки!$I123/(AE$8+1-AE$7)))</f>
        <v>0</v>
      </c>
      <c s="125">
        <f>IF(Предпосылки!$I123&lt;0,AG92,AF115*(Предпосылки!$I123/(AF$8+1-AF$7)))</f>
        <v>0</v>
      </c>
      <c s="125">
        <f>IF(Предпосылки!$I123&lt;0,AH92,AG115*(Предпосылки!$I123/(AG$8+1-AG$7)))</f>
        <v>0</v>
      </c>
      <c s="125">
        <f>IF(Предпосылки!$I123&lt;0,AI92,AH115*(Предпосылки!$I123/(AH$8+1-AH$7)))</f>
        <v>0</v>
      </c>
      <c s="125">
        <f>IF(Предпосылки!$I123&lt;0,AJ92,AI115*(Предпосылки!$I123/(AI$8+1-AI$7)))</f>
        <v>0</v>
      </c>
      <c s="125">
        <f>IF(Предпосылки!$I123&lt;0,AK92,AJ115*(Предпосылки!$I123/(AJ$8+1-AJ$7)))</f>
        <v>0</v>
      </c>
      <c s="125">
        <f>IF(Предпосылки!$I123&lt;0,AL92,AK115*(Предпосылки!$I123/(AK$8+1-AK$7)))</f>
        <v>0</v>
      </c>
      <c s="125">
        <f>IF(Предпосылки!$I123&lt;0,AM92,AL115*(Предпосылки!$I123/(AL$8+1-AL$7)))</f>
        <v>0</v>
      </c>
      <c s="125">
        <f>IF(Предпосылки!$I123&lt;0,AN92,AM115*(Предпосылки!$I123/(AM$8+1-AM$7)))</f>
        <v>0</v>
      </c>
      <c s="125">
        <f>IF(Предпосылки!$I123&lt;0,AO92,AN115*(Предпосылки!$I123/(AN$8+1-AN$7)))</f>
        <v>0</v>
      </c>
      <c s="125">
        <f>IF(Предпосылки!$I123&lt;0,AP92,AO115*(Предпосылки!$I123/(AO$8+1-AO$7)))</f>
        <v>0</v>
      </c>
      <c s="125">
        <f>IF(Предпосылки!$I123&lt;0,AQ92,AP115*(Предпосылки!$I123/(AP$8+1-AP$7)))</f>
        <v>0</v>
      </c>
      <c s="125">
        <f>IF(Предпосылки!$I123&lt;0,AR92,AQ115*(Предпосылки!$I123/(AQ$8+1-AQ$7)))</f>
        <v>0</v>
      </c>
      <c s="125">
        <f>IF(Предпосылки!$I123&lt;0,AS92,AR115*(Предпосылки!$I123/(AR$8+1-AR$7)))</f>
        <v>0</v>
      </c>
      <c s="125">
        <f>IF(Предпосылки!$I123&lt;0,AT92,AS115*(Предпосылки!$I123/(AS$8+1-AS$7)))</f>
        <v>0</v>
      </c>
      <c s="125">
        <f>IF(Предпосылки!$I123&lt;0,AU92,AT115*(Предпосылки!$I123/(AT$8+1-AT$7)))</f>
        <v>0</v>
      </c>
      <c s="125">
        <f>IF(Предпосылки!$I123&lt;0,AV92,AU115*(Предпосылки!$I123/(AU$8+1-AU$7)))</f>
        <v>0</v>
      </c>
      <c s="125">
        <f>IF(Предпосылки!$I123&lt;0,AW92,AV115*(Предпосылки!$I123/(AV$8+1-AV$7)))</f>
        <v>0</v>
      </c>
      <c s="125">
        <f>IF(Предпосылки!$I123&lt;0,AX92,AW115*(Предпосылки!$I123/(AW$8+1-AW$7)))</f>
        <v>0</v>
      </c>
      <c s="125">
        <f>IF(Предпосылки!$I123&lt;0,AY92,AX115*(Предпосылки!$I123/(AX$8+1-AX$7)))</f>
        <v>0</v>
      </c>
      <c s="125">
        <f>IF(Предпосылки!$I123&lt;0,AZ92,AY115*(Предпосылки!$I123/(AY$8+1-AY$7)))</f>
        <v>0</v>
      </c>
      <c s="125">
        <f>IF(Предпосылки!$I123&lt;0,BA92,AZ115*(Предпосылки!$I123/(AZ$8+1-AZ$7)))</f>
        <v>0</v>
      </c>
      <c s="125">
        <f>IF(Предпосылки!$I123&lt;0,BB92,BA115*(Предпосылки!$I123/(BA$8+1-BA$7)))</f>
        <v>0</v>
      </c>
      <c s="125">
        <f>IF(Предпосылки!$I123&lt;0,BC92,BB115*(Предпосылки!$I123/(BB$8+1-BB$7)))</f>
        <v>0</v>
      </c>
      <c s="125">
        <f>IF(Предпосылки!$I123&lt;0,BD92,BC115*(Предпосылки!$I123/(BC$8+1-BC$7)))</f>
        <v>0</v>
      </c>
      <c s="125">
        <f>IF(Предпосылки!$I123&lt;0,BE92,BD115*(Предпосылки!$I123/(BD$8+1-BD$7)))</f>
        <v>0</v>
      </c>
      <c s="125">
        <f>IF(Предпосылки!$I123&lt;0,BF92,BE115*(Предпосылки!$I123/(BE$8+1-BE$7)))</f>
        <v>0</v>
      </c>
      <c s="125">
        <f>IF(Предпосылки!$I123&lt;0,BG92,BF115*(Предпосылки!$I123/(BF$8+1-BF$7)))</f>
        <v>0</v>
      </c>
      <c s="125">
        <f>IF(Предпосылки!$I123&lt;0,BH92,BG115*(Предпосылки!$I123/(BG$8+1-BG$7)))</f>
        <v>0</v>
      </c>
      <c s="125">
        <f>IF(Предпосылки!$I123&lt;0,BI92,BH115*(Предпосылки!$I123/(BH$8+1-BH$7)))</f>
        <v>0</v>
      </c>
      <c s="125">
        <f>IF(Предпосылки!$I123&lt;0,BJ92,BI115*(Предпосылки!$I123/(BI$8+1-BI$7)))</f>
        <v>0</v>
      </c>
      <c s="125">
        <f>IF(Предпосылки!$I123&lt;0,BK92,BJ115*(Предпосылки!$I123/(BJ$8+1-BJ$7)))</f>
        <v>0</v>
      </c>
      <c s="125">
        <f>IF(Предпосылки!$I123&lt;0,BL92,BK115*(Предпосылки!$I123/(BK$8+1-BK$7)))</f>
        <v>0</v>
      </c>
      <c s="125">
        <f>IF(Предпосылки!$I123&lt;0,BM92,BL115*(Предпосылки!$I123/(BL$8+1-BL$7)))</f>
        <v>0</v>
      </c>
      <c s="125">
        <f>IF(Предпосылки!$I123&lt;0,BN92,BM115*(Предпосылки!$I123/(BM$8+1-BM$7)))</f>
        <v>0</v>
      </c>
    </row>
    <row r="162" spans="2:65" ht="15" customHeight="1">
      <c r="B162" s="12" t="str">
        <f t="shared" si="192"/>
        <v>Продукт 3</v>
      </c>
      <c s="124" t="str">
        <f t="shared" si="191"/>
        <v>тыс. руб.</v>
      </c>
      <c s="125"/>
      <c s="125">
        <f>IF(Предпосылки!$I124&lt;0,F93,E116*(Предпосылки!$I124/(E$8+1-E$7)))</f>
        <v>0</v>
      </c>
      <c s="125">
        <f>IF(Предпосылки!$I124&lt;0,G93,F116*(Предпосылки!$I124/(F$8+1-F$7)))</f>
        <v>0</v>
      </c>
      <c s="125">
        <f>IF(Предпосылки!$I124&lt;0,H93,G116*(Предпосылки!$I124/(G$8+1-G$7)))</f>
        <v>0</v>
      </c>
      <c s="125">
        <f>IF(Предпосылки!$I124&lt;0,I93,H116*(Предпосылки!$I124/(H$8+1-H$7)))</f>
        <v>0</v>
      </c>
      <c s="125">
        <f>IF(Предпосылки!$I124&lt;0,J93,I116*(Предпосылки!$I124/(I$8+1-I$7)))</f>
        <v>0</v>
      </c>
      <c s="125">
        <f>IF(Предпосылки!$I124&lt;0,K93,J116*(Предпосылки!$I124/(J$8+1-J$7)))</f>
        <v>0</v>
      </c>
      <c s="125">
        <f>IF(Предпосылки!$I124&lt;0,L93,K116*(Предпосылки!$I124/(K$8+1-K$7)))</f>
        <v>0</v>
      </c>
      <c s="125">
        <f>IF(Предпосылки!$I124&lt;0,M93,L116*(Предпосылки!$I124/(L$8+1-L$7)))</f>
        <v>0</v>
      </c>
      <c s="125">
        <f>IF(Предпосылки!$I124&lt;0,N93,M116*(Предпосылки!$I124/(M$8+1-M$7)))</f>
        <v>0</v>
      </c>
      <c s="125">
        <f>IF(Предпосылки!$I124&lt;0,O93,N116*(Предпосылки!$I124/(N$8+1-N$7)))</f>
        <v>0</v>
      </c>
      <c s="125">
        <f>IF(Предпосылки!$I124&lt;0,P93,O116*(Предпосылки!$I124/(O$8+1-O$7)))</f>
        <v>0</v>
      </c>
      <c s="125">
        <f>IF(Предпосылки!$I124&lt;0,Q93,P116*(Предпосылки!$I124/(P$8+1-P$7)))</f>
        <v>0</v>
      </c>
      <c s="125">
        <f>IF(Предпосылки!$I124&lt;0,R93,Q116*(Предпосылки!$I124/(Q$8+1-Q$7)))</f>
        <v>0</v>
      </c>
      <c s="125">
        <f>IF(Предпосылки!$I124&lt;0,S93,R116*(Предпосылки!$I124/(R$8+1-R$7)))</f>
        <v>0</v>
      </c>
      <c s="125">
        <f>IF(Предпосылки!$I124&lt;0,T93,S116*(Предпосылки!$I124/(S$8+1-S$7)))</f>
        <v>0</v>
      </c>
      <c s="125">
        <f>IF(Предпосылки!$I124&lt;0,U93,T116*(Предпосылки!$I124/(T$8+1-T$7)))</f>
        <v>0</v>
      </c>
      <c s="125">
        <f>IF(Предпосылки!$I124&lt;0,V93,U116*(Предпосылки!$I124/(U$8+1-U$7)))</f>
        <v>0</v>
      </c>
      <c s="125">
        <f>IF(Предпосылки!$I124&lt;0,W93,V116*(Предпосылки!$I124/(V$8+1-V$7)))</f>
        <v>0</v>
      </c>
      <c s="125">
        <f>IF(Предпосылки!$I124&lt;0,X93,W116*(Предпосылки!$I124/(W$8+1-W$7)))</f>
        <v>0</v>
      </c>
      <c s="125">
        <f>IF(Предпосылки!$I124&lt;0,Y93,X116*(Предпосылки!$I124/(X$8+1-X$7)))</f>
        <v>0</v>
      </c>
      <c s="125">
        <f>IF(Предпосылки!$I124&lt;0,Z93,Y116*(Предпосылки!$I124/(Y$8+1-Y$7)))</f>
        <v>0</v>
      </c>
      <c s="125">
        <f>IF(Предпосылки!$I124&lt;0,AA93,Z116*(Предпосылки!$I124/(Z$8+1-Z$7)))</f>
        <v>0</v>
      </c>
      <c s="125">
        <f>IF(Предпосылки!$I124&lt;0,AB93,AA116*(Предпосылки!$I124/(AA$8+1-AA$7)))</f>
        <v>0</v>
      </c>
      <c s="125">
        <f>IF(Предпосылки!$I124&lt;0,AC93,AB116*(Предпосылки!$I124/(AB$8+1-AB$7)))</f>
        <v>0</v>
      </c>
      <c s="125">
        <f>IF(Предпосылки!$I124&lt;0,AD93,AC116*(Предпосылки!$I124/(AC$8+1-AC$7)))</f>
        <v>0</v>
      </c>
      <c s="125">
        <f>IF(Предпосылки!$I124&lt;0,AE93,AD116*(Предпосылки!$I124/(AD$8+1-AD$7)))</f>
        <v>0</v>
      </c>
      <c s="125">
        <f>IF(Предпосылки!$I124&lt;0,AF93,AE116*(Предпосылки!$I124/(AE$8+1-AE$7)))</f>
        <v>0</v>
      </c>
      <c s="125">
        <f>IF(Предпосылки!$I124&lt;0,AG93,AF116*(Предпосылки!$I124/(AF$8+1-AF$7)))</f>
        <v>0</v>
      </c>
      <c s="125">
        <f>IF(Предпосылки!$I124&lt;0,AH93,AG116*(Предпосылки!$I124/(AG$8+1-AG$7)))</f>
        <v>0</v>
      </c>
      <c s="125">
        <f>IF(Предпосылки!$I124&lt;0,AI93,AH116*(Предпосылки!$I124/(AH$8+1-AH$7)))</f>
        <v>0</v>
      </c>
      <c s="125">
        <f>IF(Предпосылки!$I124&lt;0,AJ93,AI116*(Предпосылки!$I124/(AI$8+1-AI$7)))</f>
        <v>0</v>
      </c>
      <c s="125">
        <f>IF(Предпосылки!$I124&lt;0,AK93,AJ116*(Предпосылки!$I124/(AJ$8+1-AJ$7)))</f>
        <v>0</v>
      </c>
      <c s="125">
        <f>IF(Предпосылки!$I124&lt;0,AL93,AK116*(Предпосылки!$I124/(AK$8+1-AK$7)))</f>
        <v>0</v>
      </c>
      <c s="125">
        <f>IF(Предпосылки!$I124&lt;0,AM93,AL116*(Предпосылки!$I124/(AL$8+1-AL$7)))</f>
        <v>0</v>
      </c>
      <c s="125">
        <f>IF(Предпосылки!$I124&lt;0,AN93,AM116*(Предпосылки!$I124/(AM$8+1-AM$7)))</f>
        <v>0</v>
      </c>
      <c s="125">
        <f>IF(Предпосылки!$I124&lt;0,AO93,AN116*(Предпосылки!$I124/(AN$8+1-AN$7)))</f>
        <v>0</v>
      </c>
      <c s="125">
        <f>IF(Предпосылки!$I124&lt;0,AP93,AO116*(Предпосылки!$I124/(AO$8+1-AO$7)))</f>
        <v>0</v>
      </c>
      <c s="125">
        <f>IF(Предпосылки!$I124&lt;0,AQ93,AP116*(Предпосылки!$I124/(AP$8+1-AP$7)))</f>
        <v>0</v>
      </c>
      <c s="125">
        <f>IF(Предпосылки!$I124&lt;0,AR93,AQ116*(Предпосылки!$I124/(AQ$8+1-AQ$7)))</f>
        <v>0</v>
      </c>
      <c s="125">
        <f>IF(Предпосылки!$I124&lt;0,AS93,AR116*(Предпосылки!$I124/(AR$8+1-AR$7)))</f>
        <v>0</v>
      </c>
      <c s="125">
        <f>IF(Предпосылки!$I124&lt;0,AT93,AS116*(Предпосылки!$I124/(AS$8+1-AS$7)))</f>
        <v>0</v>
      </c>
      <c s="125">
        <f>IF(Предпосылки!$I124&lt;0,AU93,AT116*(Предпосылки!$I124/(AT$8+1-AT$7)))</f>
        <v>0</v>
      </c>
      <c s="125">
        <f>IF(Предпосылки!$I124&lt;0,AV93,AU116*(Предпосылки!$I124/(AU$8+1-AU$7)))</f>
        <v>0</v>
      </c>
      <c s="125">
        <f>IF(Предпосылки!$I124&lt;0,AW93,AV116*(Предпосылки!$I124/(AV$8+1-AV$7)))</f>
        <v>0</v>
      </c>
      <c s="125">
        <f>IF(Предпосылки!$I124&lt;0,AX93,AW116*(Предпосылки!$I124/(AW$8+1-AW$7)))</f>
        <v>0</v>
      </c>
      <c s="125">
        <f>IF(Предпосылки!$I124&lt;0,AY93,AX116*(Предпосылки!$I124/(AX$8+1-AX$7)))</f>
        <v>0</v>
      </c>
      <c s="125">
        <f>IF(Предпосылки!$I124&lt;0,AZ93,AY116*(Предпосылки!$I124/(AY$8+1-AY$7)))</f>
        <v>0</v>
      </c>
      <c s="125">
        <f>IF(Предпосылки!$I124&lt;0,BA93,AZ116*(Предпосылки!$I124/(AZ$8+1-AZ$7)))</f>
        <v>0</v>
      </c>
      <c s="125">
        <f>IF(Предпосылки!$I124&lt;0,BB93,BA116*(Предпосылки!$I124/(BA$8+1-BA$7)))</f>
        <v>0</v>
      </c>
      <c s="125">
        <f>IF(Предпосылки!$I124&lt;0,BC93,BB116*(Предпосылки!$I124/(BB$8+1-BB$7)))</f>
        <v>0</v>
      </c>
      <c s="125">
        <f>IF(Предпосылки!$I124&lt;0,BD93,BC116*(Предпосылки!$I124/(BC$8+1-BC$7)))</f>
        <v>0</v>
      </c>
      <c s="125">
        <f>IF(Предпосылки!$I124&lt;0,BE93,BD116*(Предпосылки!$I124/(BD$8+1-BD$7)))</f>
        <v>0</v>
      </c>
      <c s="125">
        <f>IF(Предпосылки!$I124&lt;0,BF93,BE116*(Предпосылки!$I124/(BE$8+1-BE$7)))</f>
        <v>0</v>
      </c>
      <c s="125">
        <f>IF(Предпосылки!$I124&lt;0,BG93,BF116*(Предпосылки!$I124/(BF$8+1-BF$7)))</f>
        <v>0</v>
      </c>
      <c s="125">
        <f>IF(Предпосылки!$I124&lt;0,BH93,BG116*(Предпосылки!$I124/(BG$8+1-BG$7)))</f>
        <v>0</v>
      </c>
      <c s="125">
        <f>IF(Предпосылки!$I124&lt;0,BI93,BH116*(Предпосылки!$I124/(BH$8+1-BH$7)))</f>
        <v>0</v>
      </c>
      <c s="125">
        <f>IF(Предпосылки!$I124&lt;0,BJ93,BI116*(Предпосылки!$I124/(BI$8+1-BI$7)))</f>
        <v>0</v>
      </c>
      <c s="125">
        <f>IF(Предпосылки!$I124&lt;0,BK93,BJ116*(Предпосылки!$I124/(BJ$8+1-BJ$7)))</f>
        <v>0</v>
      </c>
      <c s="125">
        <f>IF(Предпосылки!$I124&lt;0,BL93,BK116*(Предпосылки!$I124/(BK$8+1-BK$7)))</f>
        <v>0</v>
      </c>
      <c s="125">
        <f>IF(Предпосылки!$I124&lt;0,BM93,BL116*(Предпосылки!$I124/(BL$8+1-BL$7)))</f>
        <v>0</v>
      </c>
      <c s="125">
        <f>IF(Предпосылки!$I124&lt;0,BN93,BM116*(Предпосылки!$I124/(BM$8+1-BM$7)))</f>
        <v>0</v>
      </c>
    </row>
    <row r="163" spans="2:65" ht="15" customHeight="1">
      <c r="B163" s="12" t="str">
        <f t="shared" si="192"/>
        <v>Продукт 4</v>
      </c>
      <c s="124" t="str">
        <f t="shared" si="191"/>
        <v>тыс. руб.</v>
      </c>
      <c s="125"/>
      <c s="125">
        <f>IF(Предпосылки!$I125&lt;0,F94,E117*(Предпосылки!$I125/(E$8+1-E$7)))</f>
        <v>0</v>
      </c>
      <c s="125">
        <f>IF(Предпосылки!$I125&lt;0,G94,F117*(Предпосылки!$I125/(F$8+1-F$7)))</f>
        <v>0</v>
      </c>
      <c s="125">
        <f>IF(Предпосылки!$I125&lt;0,H94,G117*(Предпосылки!$I125/(G$8+1-G$7)))</f>
        <v>0</v>
      </c>
      <c s="125">
        <f>IF(Предпосылки!$I125&lt;0,I94,H117*(Предпосылки!$I125/(H$8+1-H$7)))</f>
        <v>0</v>
      </c>
      <c s="125">
        <f>IF(Предпосылки!$I125&lt;0,J94,I117*(Предпосылки!$I125/(I$8+1-I$7)))</f>
        <v>0</v>
      </c>
      <c s="125">
        <f>IF(Предпосылки!$I125&lt;0,K94,J117*(Предпосылки!$I125/(J$8+1-J$7)))</f>
        <v>0</v>
      </c>
      <c s="125">
        <f>IF(Предпосылки!$I125&lt;0,L94,K117*(Предпосылки!$I125/(K$8+1-K$7)))</f>
        <v>0</v>
      </c>
      <c s="125">
        <f>IF(Предпосылки!$I125&lt;0,M94,L117*(Предпосылки!$I125/(L$8+1-L$7)))</f>
        <v>0</v>
      </c>
      <c s="125">
        <f>IF(Предпосылки!$I125&lt;0,N94,M117*(Предпосылки!$I125/(M$8+1-M$7)))</f>
        <v>0</v>
      </c>
      <c s="125">
        <f>IF(Предпосылки!$I125&lt;0,O94,N117*(Предпосылки!$I125/(N$8+1-N$7)))</f>
        <v>0</v>
      </c>
      <c s="125">
        <f>IF(Предпосылки!$I125&lt;0,P94,O117*(Предпосылки!$I125/(O$8+1-O$7)))</f>
        <v>0</v>
      </c>
      <c s="125">
        <f>IF(Предпосылки!$I125&lt;0,Q94,P117*(Предпосылки!$I125/(P$8+1-P$7)))</f>
        <v>0</v>
      </c>
      <c s="125">
        <f>IF(Предпосылки!$I125&lt;0,R94,Q117*(Предпосылки!$I125/(Q$8+1-Q$7)))</f>
        <v>0</v>
      </c>
      <c s="125">
        <f>IF(Предпосылки!$I125&lt;0,S94,R117*(Предпосылки!$I125/(R$8+1-R$7)))</f>
        <v>0</v>
      </c>
      <c s="125">
        <f>IF(Предпосылки!$I125&lt;0,T94,S117*(Предпосылки!$I125/(S$8+1-S$7)))</f>
        <v>0</v>
      </c>
      <c s="125">
        <f>IF(Предпосылки!$I125&lt;0,U94,T117*(Предпосылки!$I125/(T$8+1-T$7)))</f>
        <v>0</v>
      </c>
      <c s="125">
        <f>IF(Предпосылки!$I125&lt;0,V94,U117*(Предпосылки!$I125/(U$8+1-U$7)))</f>
        <v>0</v>
      </c>
      <c s="125">
        <f>IF(Предпосылки!$I125&lt;0,W94,V117*(Предпосылки!$I125/(V$8+1-V$7)))</f>
        <v>0</v>
      </c>
      <c s="125">
        <f>IF(Предпосылки!$I125&lt;0,X94,W117*(Предпосылки!$I125/(W$8+1-W$7)))</f>
        <v>0</v>
      </c>
      <c s="125">
        <f>IF(Предпосылки!$I125&lt;0,Y94,X117*(Предпосылки!$I125/(X$8+1-X$7)))</f>
        <v>0</v>
      </c>
      <c s="125">
        <f>IF(Предпосылки!$I125&lt;0,Z94,Y117*(Предпосылки!$I125/(Y$8+1-Y$7)))</f>
        <v>0</v>
      </c>
      <c s="125">
        <f>IF(Предпосылки!$I125&lt;0,AA94,Z117*(Предпосылки!$I125/(Z$8+1-Z$7)))</f>
        <v>0</v>
      </c>
      <c s="125">
        <f>IF(Предпосылки!$I125&lt;0,AB94,AA117*(Предпосылки!$I125/(AA$8+1-AA$7)))</f>
        <v>0</v>
      </c>
      <c s="125">
        <f>IF(Предпосылки!$I125&lt;0,AC94,AB117*(Предпосылки!$I125/(AB$8+1-AB$7)))</f>
        <v>0</v>
      </c>
      <c s="125">
        <f>IF(Предпосылки!$I125&lt;0,AD94,AC117*(Предпосылки!$I125/(AC$8+1-AC$7)))</f>
        <v>0</v>
      </c>
      <c s="125">
        <f>IF(Предпосылки!$I125&lt;0,AE94,AD117*(Предпосылки!$I125/(AD$8+1-AD$7)))</f>
        <v>0</v>
      </c>
      <c s="125">
        <f>IF(Предпосылки!$I125&lt;0,AF94,AE117*(Предпосылки!$I125/(AE$8+1-AE$7)))</f>
        <v>0</v>
      </c>
      <c s="125">
        <f>IF(Предпосылки!$I125&lt;0,AG94,AF117*(Предпосылки!$I125/(AF$8+1-AF$7)))</f>
        <v>0</v>
      </c>
      <c s="125">
        <f>IF(Предпосылки!$I125&lt;0,AH94,AG117*(Предпосылки!$I125/(AG$8+1-AG$7)))</f>
        <v>0</v>
      </c>
      <c s="125">
        <f>IF(Предпосылки!$I125&lt;0,AI94,AH117*(Предпосылки!$I125/(AH$8+1-AH$7)))</f>
        <v>0</v>
      </c>
      <c s="125">
        <f>IF(Предпосылки!$I125&lt;0,AJ94,AI117*(Предпосылки!$I125/(AI$8+1-AI$7)))</f>
        <v>0</v>
      </c>
      <c s="125">
        <f>IF(Предпосылки!$I125&lt;0,AK94,AJ117*(Предпосылки!$I125/(AJ$8+1-AJ$7)))</f>
        <v>0</v>
      </c>
      <c s="125">
        <f>IF(Предпосылки!$I125&lt;0,AL94,AK117*(Предпосылки!$I125/(AK$8+1-AK$7)))</f>
        <v>0</v>
      </c>
      <c s="125">
        <f>IF(Предпосылки!$I125&lt;0,AM94,AL117*(Предпосылки!$I125/(AL$8+1-AL$7)))</f>
        <v>0</v>
      </c>
      <c s="125">
        <f>IF(Предпосылки!$I125&lt;0,AN94,AM117*(Предпосылки!$I125/(AM$8+1-AM$7)))</f>
        <v>0</v>
      </c>
      <c s="125">
        <f>IF(Предпосылки!$I125&lt;0,AO94,AN117*(Предпосылки!$I125/(AN$8+1-AN$7)))</f>
        <v>0</v>
      </c>
      <c s="125">
        <f>IF(Предпосылки!$I125&lt;0,AP94,AO117*(Предпосылки!$I125/(AO$8+1-AO$7)))</f>
        <v>0</v>
      </c>
      <c s="125">
        <f>IF(Предпосылки!$I125&lt;0,AQ94,AP117*(Предпосылки!$I125/(AP$8+1-AP$7)))</f>
        <v>0</v>
      </c>
      <c s="125">
        <f>IF(Предпосылки!$I125&lt;0,AR94,AQ117*(Предпосылки!$I125/(AQ$8+1-AQ$7)))</f>
        <v>0</v>
      </c>
      <c s="125">
        <f>IF(Предпосылки!$I125&lt;0,AS94,AR117*(Предпосылки!$I125/(AR$8+1-AR$7)))</f>
        <v>0</v>
      </c>
      <c s="125">
        <f>IF(Предпосылки!$I125&lt;0,AT94,AS117*(Предпосылки!$I125/(AS$8+1-AS$7)))</f>
        <v>0</v>
      </c>
      <c s="125">
        <f>IF(Предпосылки!$I125&lt;0,AU94,AT117*(Предпосылки!$I125/(AT$8+1-AT$7)))</f>
        <v>0</v>
      </c>
      <c s="125">
        <f>IF(Предпосылки!$I125&lt;0,AV94,AU117*(Предпосылки!$I125/(AU$8+1-AU$7)))</f>
        <v>0</v>
      </c>
      <c s="125">
        <f>IF(Предпосылки!$I125&lt;0,AW94,AV117*(Предпосылки!$I125/(AV$8+1-AV$7)))</f>
        <v>0</v>
      </c>
      <c s="125">
        <f>IF(Предпосылки!$I125&lt;0,AX94,AW117*(Предпосылки!$I125/(AW$8+1-AW$7)))</f>
        <v>0</v>
      </c>
      <c s="125">
        <f>IF(Предпосылки!$I125&lt;0,AY94,AX117*(Предпосылки!$I125/(AX$8+1-AX$7)))</f>
        <v>0</v>
      </c>
      <c s="125">
        <f>IF(Предпосылки!$I125&lt;0,AZ94,AY117*(Предпосылки!$I125/(AY$8+1-AY$7)))</f>
        <v>0</v>
      </c>
      <c s="125">
        <f>IF(Предпосылки!$I125&lt;0,BA94,AZ117*(Предпосылки!$I125/(AZ$8+1-AZ$7)))</f>
        <v>0</v>
      </c>
      <c s="125">
        <f>IF(Предпосылки!$I125&lt;0,BB94,BA117*(Предпосылки!$I125/(BA$8+1-BA$7)))</f>
        <v>0</v>
      </c>
      <c s="125">
        <f>IF(Предпосылки!$I125&lt;0,BC94,BB117*(Предпосылки!$I125/(BB$8+1-BB$7)))</f>
        <v>0</v>
      </c>
      <c s="125">
        <f>IF(Предпосылки!$I125&lt;0,BD94,BC117*(Предпосылки!$I125/(BC$8+1-BC$7)))</f>
        <v>0</v>
      </c>
      <c s="125">
        <f>IF(Предпосылки!$I125&lt;0,BE94,BD117*(Предпосылки!$I125/(BD$8+1-BD$7)))</f>
        <v>0</v>
      </c>
      <c s="125">
        <f>IF(Предпосылки!$I125&lt;0,BF94,BE117*(Предпосылки!$I125/(BE$8+1-BE$7)))</f>
        <v>0</v>
      </c>
      <c s="125">
        <f>IF(Предпосылки!$I125&lt;0,BG94,BF117*(Предпосылки!$I125/(BF$8+1-BF$7)))</f>
        <v>0</v>
      </c>
      <c s="125">
        <f>IF(Предпосылки!$I125&lt;0,BH94,BG117*(Предпосылки!$I125/(BG$8+1-BG$7)))</f>
        <v>0</v>
      </c>
      <c s="125">
        <f>IF(Предпосылки!$I125&lt;0,BI94,BH117*(Предпосылки!$I125/(BH$8+1-BH$7)))</f>
        <v>0</v>
      </c>
      <c s="125">
        <f>IF(Предпосылки!$I125&lt;0,BJ94,BI117*(Предпосылки!$I125/(BI$8+1-BI$7)))</f>
        <v>0</v>
      </c>
      <c s="125">
        <f>IF(Предпосылки!$I125&lt;0,BK94,BJ117*(Предпосылки!$I125/(BJ$8+1-BJ$7)))</f>
        <v>0</v>
      </c>
      <c s="125">
        <f>IF(Предпосылки!$I125&lt;0,BL94,BK117*(Предпосылки!$I125/(BK$8+1-BK$7)))</f>
        <v>0</v>
      </c>
      <c s="125">
        <f>IF(Предпосылки!$I125&lt;0,BM94,BL117*(Предпосылки!$I125/(BL$8+1-BL$7)))</f>
        <v>0</v>
      </c>
      <c s="125">
        <f>IF(Предпосылки!$I125&lt;0,BN94,BM117*(Предпосылки!$I125/(BM$8+1-BM$7)))</f>
        <v>0</v>
      </c>
    </row>
    <row r="164" spans="2:65" ht="15" customHeight="1">
      <c r="B164" s="12" t="str">
        <f t="shared" si="192"/>
        <v>Продукт 5</v>
      </c>
      <c s="124" t="str">
        <f t="shared" si="191"/>
        <v>тыс. руб.</v>
      </c>
      <c s="125"/>
      <c s="125">
        <f>IF(Предпосылки!$I126&lt;0,F95,E118*(Предпосылки!$I126/(E$8+1-E$7)))</f>
        <v>0</v>
      </c>
      <c s="125">
        <f>IF(Предпосылки!$I126&lt;0,G95,F118*(Предпосылки!$I126/(F$8+1-F$7)))</f>
        <v>0</v>
      </c>
      <c s="125">
        <f>IF(Предпосылки!$I126&lt;0,H95,G118*(Предпосылки!$I126/(G$8+1-G$7)))</f>
        <v>0</v>
      </c>
      <c s="125">
        <f>IF(Предпосылки!$I126&lt;0,I95,H118*(Предпосылки!$I126/(H$8+1-H$7)))</f>
        <v>0</v>
      </c>
      <c s="125">
        <f>IF(Предпосылки!$I126&lt;0,J95,I118*(Предпосылки!$I126/(I$8+1-I$7)))</f>
        <v>0</v>
      </c>
      <c s="125">
        <f>IF(Предпосылки!$I126&lt;0,K95,J118*(Предпосылки!$I126/(J$8+1-J$7)))</f>
        <v>0</v>
      </c>
      <c s="125">
        <f>IF(Предпосылки!$I126&lt;0,L95,K118*(Предпосылки!$I126/(K$8+1-K$7)))</f>
        <v>0</v>
      </c>
      <c s="125">
        <f>IF(Предпосылки!$I126&lt;0,M95,L118*(Предпосылки!$I126/(L$8+1-L$7)))</f>
        <v>0</v>
      </c>
      <c s="125">
        <f>IF(Предпосылки!$I126&lt;0,N95,M118*(Предпосылки!$I126/(M$8+1-M$7)))</f>
        <v>0</v>
      </c>
      <c s="125">
        <f>IF(Предпосылки!$I126&lt;0,O95,N118*(Предпосылки!$I126/(N$8+1-N$7)))</f>
        <v>0</v>
      </c>
      <c s="125">
        <f>IF(Предпосылки!$I126&lt;0,P95,O118*(Предпосылки!$I126/(O$8+1-O$7)))</f>
        <v>0</v>
      </c>
      <c s="125">
        <f>IF(Предпосылки!$I126&lt;0,Q95,P118*(Предпосылки!$I126/(P$8+1-P$7)))</f>
        <v>0</v>
      </c>
      <c s="125">
        <f>IF(Предпосылки!$I126&lt;0,R95,Q118*(Предпосылки!$I126/(Q$8+1-Q$7)))</f>
        <v>0</v>
      </c>
      <c s="125">
        <f>IF(Предпосылки!$I126&lt;0,S95,R118*(Предпосылки!$I126/(R$8+1-R$7)))</f>
        <v>0</v>
      </c>
      <c s="125">
        <f>IF(Предпосылки!$I126&lt;0,T95,S118*(Предпосылки!$I126/(S$8+1-S$7)))</f>
        <v>0</v>
      </c>
      <c s="125">
        <f>IF(Предпосылки!$I126&lt;0,U95,T118*(Предпосылки!$I126/(T$8+1-T$7)))</f>
        <v>0</v>
      </c>
      <c s="125">
        <f>IF(Предпосылки!$I126&lt;0,V95,U118*(Предпосылки!$I126/(U$8+1-U$7)))</f>
        <v>0</v>
      </c>
      <c s="125">
        <f>IF(Предпосылки!$I126&lt;0,W95,V118*(Предпосылки!$I126/(V$8+1-V$7)))</f>
        <v>0</v>
      </c>
      <c s="125">
        <f>IF(Предпосылки!$I126&lt;0,X95,W118*(Предпосылки!$I126/(W$8+1-W$7)))</f>
        <v>0</v>
      </c>
      <c s="125">
        <f>IF(Предпосылки!$I126&lt;0,Y95,X118*(Предпосылки!$I126/(X$8+1-X$7)))</f>
        <v>0</v>
      </c>
      <c s="125">
        <f>IF(Предпосылки!$I126&lt;0,Z95,Y118*(Предпосылки!$I126/(Y$8+1-Y$7)))</f>
        <v>0</v>
      </c>
      <c s="125">
        <f>IF(Предпосылки!$I126&lt;0,AA95,Z118*(Предпосылки!$I126/(Z$8+1-Z$7)))</f>
        <v>0</v>
      </c>
      <c s="125">
        <f>IF(Предпосылки!$I126&lt;0,AB95,AA118*(Предпосылки!$I126/(AA$8+1-AA$7)))</f>
        <v>0</v>
      </c>
      <c s="125">
        <f>IF(Предпосылки!$I126&lt;0,AC95,AB118*(Предпосылки!$I126/(AB$8+1-AB$7)))</f>
        <v>0</v>
      </c>
      <c s="125">
        <f>IF(Предпосылки!$I126&lt;0,AD95,AC118*(Предпосылки!$I126/(AC$8+1-AC$7)))</f>
        <v>0</v>
      </c>
      <c s="125">
        <f>IF(Предпосылки!$I126&lt;0,AE95,AD118*(Предпосылки!$I126/(AD$8+1-AD$7)))</f>
        <v>0</v>
      </c>
      <c s="125">
        <f>IF(Предпосылки!$I126&lt;0,AF95,AE118*(Предпосылки!$I126/(AE$8+1-AE$7)))</f>
        <v>0</v>
      </c>
      <c s="125">
        <f>IF(Предпосылки!$I126&lt;0,AG95,AF118*(Предпосылки!$I126/(AF$8+1-AF$7)))</f>
        <v>0</v>
      </c>
      <c s="125">
        <f>IF(Предпосылки!$I126&lt;0,AH95,AG118*(Предпосылки!$I126/(AG$8+1-AG$7)))</f>
        <v>0</v>
      </c>
      <c s="125">
        <f>IF(Предпосылки!$I126&lt;0,AI95,AH118*(Предпосылки!$I126/(AH$8+1-AH$7)))</f>
        <v>0</v>
      </c>
      <c s="125">
        <f>IF(Предпосылки!$I126&lt;0,AJ95,AI118*(Предпосылки!$I126/(AI$8+1-AI$7)))</f>
        <v>0</v>
      </c>
      <c s="125">
        <f>IF(Предпосылки!$I126&lt;0,AK95,AJ118*(Предпосылки!$I126/(AJ$8+1-AJ$7)))</f>
        <v>0</v>
      </c>
      <c s="125">
        <f>IF(Предпосылки!$I126&lt;0,AL95,AK118*(Предпосылки!$I126/(AK$8+1-AK$7)))</f>
        <v>0</v>
      </c>
      <c s="125">
        <f>IF(Предпосылки!$I126&lt;0,AM95,AL118*(Предпосылки!$I126/(AL$8+1-AL$7)))</f>
        <v>0</v>
      </c>
      <c s="125">
        <f>IF(Предпосылки!$I126&lt;0,AN95,AM118*(Предпосылки!$I126/(AM$8+1-AM$7)))</f>
        <v>0</v>
      </c>
      <c s="125">
        <f>IF(Предпосылки!$I126&lt;0,AO95,AN118*(Предпосылки!$I126/(AN$8+1-AN$7)))</f>
        <v>0</v>
      </c>
      <c s="125">
        <f>IF(Предпосылки!$I126&lt;0,AP95,AO118*(Предпосылки!$I126/(AO$8+1-AO$7)))</f>
        <v>0</v>
      </c>
      <c s="125">
        <f>IF(Предпосылки!$I126&lt;0,AQ95,AP118*(Предпосылки!$I126/(AP$8+1-AP$7)))</f>
        <v>0</v>
      </c>
      <c s="125">
        <f>IF(Предпосылки!$I126&lt;0,AR95,AQ118*(Предпосылки!$I126/(AQ$8+1-AQ$7)))</f>
        <v>0</v>
      </c>
      <c s="125">
        <f>IF(Предпосылки!$I126&lt;0,AS95,AR118*(Предпосылки!$I126/(AR$8+1-AR$7)))</f>
        <v>0</v>
      </c>
      <c s="125">
        <f>IF(Предпосылки!$I126&lt;0,AT95,AS118*(Предпосылки!$I126/(AS$8+1-AS$7)))</f>
        <v>0</v>
      </c>
      <c s="125">
        <f>IF(Предпосылки!$I126&lt;0,AU95,AT118*(Предпосылки!$I126/(AT$8+1-AT$7)))</f>
        <v>0</v>
      </c>
      <c s="125">
        <f>IF(Предпосылки!$I126&lt;0,AV95,AU118*(Предпосылки!$I126/(AU$8+1-AU$7)))</f>
        <v>0</v>
      </c>
      <c s="125">
        <f>IF(Предпосылки!$I126&lt;0,AW95,AV118*(Предпосылки!$I126/(AV$8+1-AV$7)))</f>
        <v>0</v>
      </c>
      <c s="125">
        <f>IF(Предпосылки!$I126&lt;0,AX95,AW118*(Предпосылки!$I126/(AW$8+1-AW$7)))</f>
        <v>0</v>
      </c>
      <c s="125">
        <f>IF(Предпосылки!$I126&lt;0,AY95,AX118*(Предпосылки!$I126/(AX$8+1-AX$7)))</f>
        <v>0</v>
      </c>
      <c s="125">
        <f>IF(Предпосылки!$I126&lt;0,AZ95,AY118*(Предпосылки!$I126/(AY$8+1-AY$7)))</f>
        <v>0</v>
      </c>
      <c s="125">
        <f>IF(Предпосылки!$I126&lt;0,BA95,AZ118*(Предпосылки!$I126/(AZ$8+1-AZ$7)))</f>
        <v>0</v>
      </c>
      <c s="125">
        <f>IF(Предпосылки!$I126&lt;0,BB95,BA118*(Предпосылки!$I126/(BA$8+1-BA$7)))</f>
        <v>0</v>
      </c>
      <c s="125">
        <f>IF(Предпосылки!$I126&lt;0,BC95,BB118*(Предпосылки!$I126/(BB$8+1-BB$7)))</f>
        <v>0</v>
      </c>
      <c s="125">
        <f>IF(Предпосылки!$I126&lt;0,BD95,BC118*(Предпосылки!$I126/(BC$8+1-BC$7)))</f>
        <v>0</v>
      </c>
      <c s="125">
        <f>IF(Предпосылки!$I126&lt;0,BE95,BD118*(Предпосылки!$I126/(BD$8+1-BD$7)))</f>
        <v>0</v>
      </c>
      <c s="125">
        <f>IF(Предпосылки!$I126&lt;0,BF95,BE118*(Предпосылки!$I126/(BE$8+1-BE$7)))</f>
        <v>0</v>
      </c>
      <c s="125">
        <f>IF(Предпосылки!$I126&lt;0,BG95,BF118*(Предпосылки!$I126/(BF$8+1-BF$7)))</f>
        <v>0</v>
      </c>
      <c s="125">
        <f>IF(Предпосылки!$I126&lt;0,BH95,BG118*(Предпосылки!$I126/(BG$8+1-BG$7)))</f>
        <v>0</v>
      </c>
      <c s="125">
        <f>IF(Предпосылки!$I126&lt;0,BI95,BH118*(Предпосылки!$I126/(BH$8+1-BH$7)))</f>
        <v>0</v>
      </c>
      <c s="125">
        <f>IF(Предпосылки!$I126&lt;0,BJ95,BI118*(Предпосылки!$I126/(BI$8+1-BI$7)))</f>
        <v>0</v>
      </c>
      <c s="125">
        <f>IF(Предпосылки!$I126&lt;0,BK95,BJ118*(Предпосылки!$I126/(BJ$8+1-BJ$7)))</f>
        <v>0</v>
      </c>
      <c s="125">
        <f>IF(Предпосылки!$I126&lt;0,BL95,BK118*(Предпосылки!$I126/(BK$8+1-BK$7)))</f>
        <v>0</v>
      </c>
      <c s="125">
        <f>IF(Предпосылки!$I126&lt;0,BM95,BL118*(Предпосылки!$I126/(BL$8+1-BL$7)))</f>
        <v>0</v>
      </c>
      <c s="125">
        <f>IF(Предпосылки!$I126&lt;0,BN95,BM118*(Предпосылки!$I126/(BM$8+1-BM$7)))</f>
        <v>0</v>
      </c>
    </row>
    <row r="165" spans="2:65" ht="15" customHeight="1">
      <c r="B165" s="12" t="str">
        <f t="shared" si="192"/>
        <v>Продукт 6</v>
      </c>
      <c s="124" t="str">
        <f t="shared" si="191"/>
        <v>тыс. руб.</v>
      </c>
      <c s="125"/>
      <c s="125">
        <f>IF(Предпосылки!$I127&lt;0,F96,E119*(Предпосылки!$I127/(E$8+1-E$7)))</f>
        <v>0</v>
      </c>
      <c s="125">
        <f>IF(Предпосылки!$I127&lt;0,G96,F119*(Предпосылки!$I127/(F$8+1-F$7)))</f>
        <v>0</v>
      </c>
      <c s="125">
        <f>IF(Предпосылки!$I127&lt;0,H96,G119*(Предпосылки!$I127/(G$8+1-G$7)))</f>
        <v>0</v>
      </c>
      <c s="125">
        <f>IF(Предпосылки!$I127&lt;0,I96,H119*(Предпосылки!$I127/(H$8+1-H$7)))</f>
        <v>0</v>
      </c>
      <c s="125">
        <f>IF(Предпосылки!$I127&lt;0,J96,I119*(Предпосылки!$I127/(I$8+1-I$7)))</f>
        <v>0</v>
      </c>
      <c s="125">
        <f>IF(Предпосылки!$I127&lt;0,K96,J119*(Предпосылки!$I127/(J$8+1-J$7)))</f>
        <v>0</v>
      </c>
      <c s="125">
        <f>IF(Предпосылки!$I127&lt;0,L96,K119*(Предпосылки!$I127/(K$8+1-K$7)))</f>
        <v>0</v>
      </c>
      <c s="125">
        <f>IF(Предпосылки!$I127&lt;0,M96,L119*(Предпосылки!$I127/(L$8+1-L$7)))</f>
        <v>0</v>
      </c>
      <c s="125">
        <f>IF(Предпосылки!$I127&lt;0,N96,M119*(Предпосылки!$I127/(M$8+1-M$7)))</f>
        <v>0</v>
      </c>
      <c s="125">
        <f>IF(Предпосылки!$I127&lt;0,O96,N119*(Предпосылки!$I127/(N$8+1-N$7)))</f>
        <v>0</v>
      </c>
      <c s="125">
        <f>IF(Предпосылки!$I127&lt;0,P96,O119*(Предпосылки!$I127/(O$8+1-O$7)))</f>
        <v>0</v>
      </c>
      <c s="125">
        <f>IF(Предпосылки!$I127&lt;0,Q96,P119*(Предпосылки!$I127/(P$8+1-P$7)))</f>
        <v>0</v>
      </c>
      <c s="125">
        <f>IF(Предпосылки!$I127&lt;0,R96,Q119*(Предпосылки!$I127/(Q$8+1-Q$7)))</f>
        <v>0</v>
      </c>
      <c s="125">
        <f>IF(Предпосылки!$I127&lt;0,S96,R119*(Предпосылки!$I127/(R$8+1-R$7)))</f>
        <v>0</v>
      </c>
      <c s="125">
        <f>IF(Предпосылки!$I127&lt;0,T96,S119*(Предпосылки!$I127/(S$8+1-S$7)))</f>
        <v>0</v>
      </c>
      <c s="125">
        <f>IF(Предпосылки!$I127&lt;0,U96,T119*(Предпосылки!$I127/(T$8+1-T$7)))</f>
        <v>0</v>
      </c>
      <c s="125">
        <f>IF(Предпосылки!$I127&lt;0,V96,U119*(Предпосылки!$I127/(U$8+1-U$7)))</f>
        <v>0</v>
      </c>
      <c s="125">
        <f>IF(Предпосылки!$I127&lt;0,W96,V119*(Предпосылки!$I127/(V$8+1-V$7)))</f>
        <v>0</v>
      </c>
      <c s="125">
        <f>IF(Предпосылки!$I127&lt;0,X96,W119*(Предпосылки!$I127/(W$8+1-W$7)))</f>
        <v>0</v>
      </c>
      <c s="125">
        <f>IF(Предпосылки!$I127&lt;0,Y96,X119*(Предпосылки!$I127/(X$8+1-X$7)))</f>
        <v>0</v>
      </c>
      <c s="125">
        <f>IF(Предпосылки!$I127&lt;0,Z96,Y119*(Предпосылки!$I127/(Y$8+1-Y$7)))</f>
        <v>0</v>
      </c>
      <c s="125">
        <f>IF(Предпосылки!$I127&lt;0,AA96,Z119*(Предпосылки!$I127/(Z$8+1-Z$7)))</f>
        <v>0</v>
      </c>
      <c s="125">
        <f>IF(Предпосылки!$I127&lt;0,AB96,AA119*(Предпосылки!$I127/(AA$8+1-AA$7)))</f>
        <v>0</v>
      </c>
      <c s="125">
        <f>IF(Предпосылки!$I127&lt;0,AC96,AB119*(Предпосылки!$I127/(AB$8+1-AB$7)))</f>
        <v>0</v>
      </c>
      <c s="125">
        <f>IF(Предпосылки!$I127&lt;0,AD96,AC119*(Предпосылки!$I127/(AC$8+1-AC$7)))</f>
        <v>0</v>
      </c>
      <c s="125">
        <f>IF(Предпосылки!$I127&lt;0,AE96,AD119*(Предпосылки!$I127/(AD$8+1-AD$7)))</f>
        <v>0</v>
      </c>
      <c s="125">
        <f>IF(Предпосылки!$I127&lt;0,AF96,AE119*(Предпосылки!$I127/(AE$8+1-AE$7)))</f>
        <v>0</v>
      </c>
      <c s="125">
        <f>IF(Предпосылки!$I127&lt;0,AG96,AF119*(Предпосылки!$I127/(AF$8+1-AF$7)))</f>
        <v>0</v>
      </c>
      <c s="125">
        <f>IF(Предпосылки!$I127&lt;0,AH96,AG119*(Предпосылки!$I127/(AG$8+1-AG$7)))</f>
        <v>0</v>
      </c>
      <c s="125">
        <f>IF(Предпосылки!$I127&lt;0,AI96,AH119*(Предпосылки!$I127/(AH$8+1-AH$7)))</f>
        <v>0</v>
      </c>
      <c s="125">
        <f>IF(Предпосылки!$I127&lt;0,AJ96,AI119*(Предпосылки!$I127/(AI$8+1-AI$7)))</f>
        <v>0</v>
      </c>
      <c s="125">
        <f>IF(Предпосылки!$I127&lt;0,AK96,AJ119*(Предпосылки!$I127/(AJ$8+1-AJ$7)))</f>
        <v>0</v>
      </c>
      <c s="125">
        <f>IF(Предпосылки!$I127&lt;0,AL96,AK119*(Предпосылки!$I127/(AK$8+1-AK$7)))</f>
        <v>0</v>
      </c>
      <c s="125">
        <f>IF(Предпосылки!$I127&lt;0,AM96,AL119*(Предпосылки!$I127/(AL$8+1-AL$7)))</f>
        <v>0</v>
      </c>
      <c s="125">
        <f>IF(Предпосылки!$I127&lt;0,AN96,AM119*(Предпосылки!$I127/(AM$8+1-AM$7)))</f>
        <v>0</v>
      </c>
      <c s="125">
        <f>IF(Предпосылки!$I127&lt;0,AO96,AN119*(Предпосылки!$I127/(AN$8+1-AN$7)))</f>
        <v>0</v>
      </c>
      <c s="125">
        <f>IF(Предпосылки!$I127&lt;0,AP96,AO119*(Предпосылки!$I127/(AO$8+1-AO$7)))</f>
        <v>0</v>
      </c>
      <c s="125">
        <f>IF(Предпосылки!$I127&lt;0,AQ96,AP119*(Предпосылки!$I127/(AP$8+1-AP$7)))</f>
        <v>0</v>
      </c>
      <c s="125">
        <f>IF(Предпосылки!$I127&lt;0,AR96,AQ119*(Предпосылки!$I127/(AQ$8+1-AQ$7)))</f>
        <v>0</v>
      </c>
      <c s="125">
        <f>IF(Предпосылки!$I127&lt;0,AS96,AR119*(Предпосылки!$I127/(AR$8+1-AR$7)))</f>
        <v>0</v>
      </c>
      <c s="125">
        <f>IF(Предпосылки!$I127&lt;0,AT96,AS119*(Предпосылки!$I127/(AS$8+1-AS$7)))</f>
        <v>0</v>
      </c>
      <c s="125">
        <f>IF(Предпосылки!$I127&lt;0,AU96,AT119*(Предпосылки!$I127/(AT$8+1-AT$7)))</f>
        <v>0</v>
      </c>
      <c s="125">
        <f>IF(Предпосылки!$I127&lt;0,AV96,AU119*(Предпосылки!$I127/(AU$8+1-AU$7)))</f>
        <v>0</v>
      </c>
      <c s="125">
        <f>IF(Предпосылки!$I127&lt;0,AW96,AV119*(Предпосылки!$I127/(AV$8+1-AV$7)))</f>
        <v>0</v>
      </c>
      <c s="125">
        <f>IF(Предпосылки!$I127&lt;0,AX96,AW119*(Предпосылки!$I127/(AW$8+1-AW$7)))</f>
        <v>0</v>
      </c>
      <c s="125">
        <f>IF(Предпосылки!$I127&lt;0,AY96,AX119*(Предпосылки!$I127/(AX$8+1-AX$7)))</f>
        <v>0</v>
      </c>
      <c s="125">
        <f>IF(Предпосылки!$I127&lt;0,AZ96,AY119*(Предпосылки!$I127/(AY$8+1-AY$7)))</f>
        <v>0</v>
      </c>
      <c s="125">
        <f>IF(Предпосылки!$I127&lt;0,BA96,AZ119*(Предпосылки!$I127/(AZ$8+1-AZ$7)))</f>
        <v>0</v>
      </c>
      <c s="125">
        <f>IF(Предпосылки!$I127&lt;0,BB96,BA119*(Предпосылки!$I127/(BA$8+1-BA$7)))</f>
        <v>0</v>
      </c>
      <c s="125">
        <f>IF(Предпосылки!$I127&lt;0,BC96,BB119*(Предпосылки!$I127/(BB$8+1-BB$7)))</f>
        <v>0</v>
      </c>
      <c s="125">
        <f>IF(Предпосылки!$I127&lt;0,BD96,BC119*(Предпосылки!$I127/(BC$8+1-BC$7)))</f>
        <v>0</v>
      </c>
      <c s="125">
        <f>IF(Предпосылки!$I127&lt;0,BE96,BD119*(Предпосылки!$I127/(BD$8+1-BD$7)))</f>
        <v>0</v>
      </c>
      <c s="125">
        <f>IF(Предпосылки!$I127&lt;0,BF96,BE119*(Предпосылки!$I127/(BE$8+1-BE$7)))</f>
        <v>0</v>
      </c>
      <c s="125">
        <f>IF(Предпосылки!$I127&lt;0,BG96,BF119*(Предпосылки!$I127/(BF$8+1-BF$7)))</f>
        <v>0</v>
      </c>
      <c s="125">
        <f>IF(Предпосылки!$I127&lt;0,BH96,BG119*(Предпосылки!$I127/(BG$8+1-BG$7)))</f>
        <v>0</v>
      </c>
      <c s="125">
        <f>IF(Предпосылки!$I127&lt;0,BI96,BH119*(Предпосылки!$I127/(BH$8+1-BH$7)))</f>
        <v>0</v>
      </c>
      <c s="125">
        <f>IF(Предпосылки!$I127&lt;0,BJ96,BI119*(Предпосылки!$I127/(BI$8+1-BI$7)))</f>
        <v>0</v>
      </c>
      <c s="125">
        <f>IF(Предпосылки!$I127&lt;0,BK96,BJ119*(Предпосылки!$I127/(BJ$8+1-BJ$7)))</f>
        <v>0</v>
      </c>
      <c s="125">
        <f>IF(Предпосылки!$I127&lt;0,BL96,BK119*(Предпосылки!$I127/(BK$8+1-BK$7)))</f>
        <v>0</v>
      </c>
      <c s="125">
        <f>IF(Предпосылки!$I127&lt;0,BM96,BL119*(Предпосылки!$I127/(BL$8+1-BL$7)))</f>
        <v>0</v>
      </c>
      <c s="125">
        <f>IF(Предпосылки!$I127&lt;0,BN96,BM119*(Предпосылки!$I127/(BM$8+1-BM$7)))</f>
        <v>0</v>
      </c>
    </row>
    <row r="166" spans="2:65" ht="15" customHeight="1">
      <c r="B166" s="12" t="str">
        <f t="shared" si="192"/>
        <v>Продукт 7</v>
      </c>
      <c s="124" t="str">
        <f t="shared" si="191"/>
        <v>тыс. руб.</v>
      </c>
      <c s="125"/>
      <c s="125">
        <f>IF(Предпосылки!$I128&lt;0,F97,E120*(Предпосылки!$I128/(E$8+1-E$7)))</f>
        <v>0</v>
      </c>
      <c s="125">
        <f>IF(Предпосылки!$I128&lt;0,G97,F120*(Предпосылки!$I128/(F$8+1-F$7)))</f>
        <v>0</v>
      </c>
      <c s="125">
        <f>IF(Предпосылки!$I128&lt;0,H97,G120*(Предпосылки!$I128/(G$8+1-G$7)))</f>
        <v>0</v>
      </c>
      <c s="125">
        <f>IF(Предпосылки!$I128&lt;0,I97,H120*(Предпосылки!$I128/(H$8+1-H$7)))</f>
        <v>0</v>
      </c>
      <c s="125">
        <f>IF(Предпосылки!$I128&lt;0,J97,I120*(Предпосылки!$I128/(I$8+1-I$7)))</f>
        <v>0</v>
      </c>
      <c s="125">
        <f>IF(Предпосылки!$I128&lt;0,K97,J120*(Предпосылки!$I128/(J$8+1-J$7)))</f>
        <v>0</v>
      </c>
      <c s="125">
        <f>IF(Предпосылки!$I128&lt;0,L97,K120*(Предпосылки!$I128/(K$8+1-K$7)))</f>
        <v>0</v>
      </c>
      <c s="125">
        <f>IF(Предпосылки!$I128&lt;0,M97,L120*(Предпосылки!$I128/(L$8+1-L$7)))</f>
        <v>0</v>
      </c>
      <c s="125">
        <f>IF(Предпосылки!$I128&lt;0,N97,M120*(Предпосылки!$I128/(M$8+1-M$7)))</f>
        <v>0</v>
      </c>
      <c s="125">
        <f>IF(Предпосылки!$I128&lt;0,O97,N120*(Предпосылки!$I128/(N$8+1-N$7)))</f>
        <v>0</v>
      </c>
      <c s="125">
        <f>IF(Предпосылки!$I128&lt;0,P97,O120*(Предпосылки!$I128/(O$8+1-O$7)))</f>
        <v>0</v>
      </c>
      <c s="125">
        <f>IF(Предпосылки!$I128&lt;0,Q97,P120*(Предпосылки!$I128/(P$8+1-P$7)))</f>
        <v>0</v>
      </c>
      <c s="125">
        <f>IF(Предпосылки!$I128&lt;0,R97,Q120*(Предпосылки!$I128/(Q$8+1-Q$7)))</f>
        <v>0</v>
      </c>
      <c s="125">
        <f>IF(Предпосылки!$I128&lt;0,S97,R120*(Предпосылки!$I128/(R$8+1-R$7)))</f>
        <v>0</v>
      </c>
      <c s="125">
        <f>IF(Предпосылки!$I128&lt;0,T97,S120*(Предпосылки!$I128/(S$8+1-S$7)))</f>
        <v>0</v>
      </c>
      <c s="125">
        <f>IF(Предпосылки!$I128&lt;0,U97,T120*(Предпосылки!$I128/(T$8+1-T$7)))</f>
        <v>0</v>
      </c>
      <c s="125">
        <f>IF(Предпосылки!$I128&lt;0,V97,U120*(Предпосылки!$I128/(U$8+1-U$7)))</f>
        <v>0</v>
      </c>
      <c s="125">
        <f>IF(Предпосылки!$I128&lt;0,W97,V120*(Предпосылки!$I128/(V$8+1-V$7)))</f>
        <v>0</v>
      </c>
      <c s="125">
        <f>IF(Предпосылки!$I128&lt;0,X97,W120*(Предпосылки!$I128/(W$8+1-W$7)))</f>
        <v>0</v>
      </c>
      <c s="125">
        <f>IF(Предпосылки!$I128&lt;0,Y97,X120*(Предпосылки!$I128/(X$8+1-X$7)))</f>
        <v>0</v>
      </c>
      <c s="125">
        <f>IF(Предпосылки!$I128&lt;0,Z97,Y120*(Предпосылки!$I128/(Y$8+1-Y$7)))</f>
        <v>0</v>
      </c>
      <c s="125">
        <f>IF(Предпосылки!$I128&lt;0,AA97,Z120*(Предпосылки!$I128/(Z$8+1-Z$7)))</f>
        <v>0</v>
      </c>
      <c s="125">
        <f>IF(Предпосылки!$I128&lt;0,AB97,AA120*(Предпосылки!$I128/(AA$8+1-AA$7)))</f>
        <v>0</v>
      </c>
      <c s="125">
        <f>IF(Предпосылки!$I128&lt;0,AC97,AB120*(Предпосылки!$I128/(AB$8+1-AB$7)))</f>
        <v>0</v>
      </c>
      <c s="125">
        <f>IF(Предпосылки!$I128&lt;0,AD97,AC120*(Предпосылки!$I128/(AC$8+1-AC$7)))</f>
        <v>0</v>
      </c>
      <c s="125">
        <f>IF(Предпосылки!$I128&lt;0,AE97,AD120*(Предпосылки!$I128/(AD$8+1-AD$7)))</f>
        <v>0</v>
      </c>
      <c s="125">
        <f>IF(Предпосылки!$I128&lt;0,AF97,AE120*(Предпосылки!$I128/(AE$8+1-AE$7)))</f>
        <v>0</v>
      </c>
      <c s="125">
        <f>IF(Предпосылки!$I128&lt;0,AG97,AF120*(Предпосылки!$I128/(AF$8+1-AF$7)))</f>
        <v>0</v>
      </c>
      <c s="125">
        <f>IF(Предпосылки!$I128&lt;0,AH97,AG120*(Предпосылки!$I128/(AG$8+1-AG$7)))</f>
        <v>0</v>
      </c>
      <c s="125">
        <f>IF(Предпосылки!$I128&lt;0,AI97,AH120*(Предпосылки!$I128/(AH$8+1-AH$7)))</f>
        <v>0</v>
      </c>
      <c s="125">
        <f>IF(Предпосылки!$I128&lt;0,AJ97,AI120*(Предпосылки!$I128/(AI$8+1-AI$7)))</f>
        <v>0</v>
      </c>
      <c s="125">
        <f>IF(Предпосылки!$I128&lt;0,AK97,AJ120*(Предпосылки!$I128/(AJ$8+1-AJ$7)))</f>
        <v>0</v>
      </c>
      <c s="125">
        <f>IF(Предпосылки!$I128&lt;0,AL97,AK120*(Предпосылки!$I128/(AK$8+1-AK$7)))</f>
        <v>0</v>
      </c>
      <c s="125">
        <f>IF(Предпосылки!$I128&lt;0,AM97,AL120*(Предпосылки!$I128/(AL$8+1-AL$7)))</f>
        <v>0</v>
      </c>
      <c s="125">
        <f>IF(Предпосылки!$I128&lt;0,AN97,AM120*(Предпосылки!$I128/(AM$8+1-AM$7)))</f>
        <v>0</v>
      </c>
      <c s="125">
        <f>IF(Предпосылки!$I128&lt;0,AO97,AN120*(Предпосылки!$I128/(AN$8+1-AN$7)))</f>
        <v>0</v>
      </c>
      <c s="125">
        <f>IF(Предпосылки!$I128&lt;0,AP97,AO120*(Предпосылки!$I128/(AO$8+1-AO$7)))</f>
        <v>0</v>
      </c>
      <c s="125">
        <f>IF(Предпосылки!$I128&lt;0,AQ97,AP120*(Предпосылки!$I128/(AP$8+1-AP$7)))</f>
        <v>0</v>
      </c>
      <c s="125">
        <f>IF(Предпосылки!$I128&lt;0,AR97,AQ120*(Предпосылки!$I128/(AQ$8+1-AQ$7)))</f>
        <v>0</v>
      </c>
      <c s="125">
        <f>IF(Предпосылки!$I128&lt;0,AS97,AR120*(Предпосылки!$I128/(AR$8+1-AR$7)))</f>
        <v>0</v>
      </c>
      <c s="125">
        <f>IF(Предпосылки!$I128&lt;0,AT97,AS120*(Предпосылки!$I128/(AS$8+1-AS$7)))</f>
        <v>0</v>
      </c>
      <c s="125">
        <f>IF(Предпосылки!$I128&lt;0,AU97,AT120*(Предпосылки!$I128/(AT$8+1-AT$7)))</f>
        <v>0</v>
      </c>
      <c s="125">
        <f>IF(Предпосылки!$I128&lt;0,AV97,AU120*(Предпосылки!$I128/(AU$8+1-AU$7)))</f>
        <v>0</v>
      </c>
      <c s="125">
        <f>IF(Предпосылки!$I128&lt;0,AW97,AV120*(Предпосылки!$I128/(AV$8+1-AV$7)))</f>
        <v>0</v>
      </c>
      <c s="125">
        <f>IF(Предпосылки!$I128&lt;0,AX97,AW120*(Предпосылки!$I128/(AW$8+1-AW$7)))</f>
        <v>0</v>
      </c>
      <c s="125">
        <f>IF(Предпосылки!$I128&lt;0,AY97,AX120*(Предпосылки!$I128/(AX$8+1-AX$7)))</f>
        <v>0</v>
      </c>
      <c s="125">
        <f>IF(Предпосылки!$I128&lt;0,AZ97,AY120*(Предпосылки!$I128/(AY$8+1-AY$7)))</f>
        <v>0</v>
      </c>
      <c s="125">
        <f>IF(Предпосылки!$I128&lt;0,BA97,AZ120*(Предпосылки!$I128/(AZ$8+1-AZ$7)))</f>
        <v>0</v>
      </c>
      <c s="125">
        <f>IF(Предпосылки!$I128&lt;0,BB97,BA120*(Предпосылки!$I128/(BA$8+1-BA$7)))</f>
        <v>0</v>
      </c>
      <c s="125">
        <f>IF(Предпосылки!$I128&lt;0,BC97,BB120*(Предпосылки!$I128/(BB$8+1-BB$7)))</f>
        <v>0</v>
      </c>
      <c s="125">
        <f>IF(Предпосылки!$I128&lt;0,BD97,BC120*(Предпосылки!$I128/(BC$8+1-BC$7)))</f>
        <v>0</v>
      </c>
      <c s="125">
        <f>IF(Предпосылки!$I128&lt;0,BE97,BD120*(Предпосылки!$I128/(BD$8+1-BD$7)))</f>
        <v>0</v>
      </c>
      <c s="125">
        <f>IF(Предпосылки!$I128&lt;0,BF97,BE120*(Предпосылки!$I128/(BE$8+1-BE$7)))</f>
        <v>0</v>
      </c>
      <c s="125">
        <f>IF(Предпосылки!$I128&lt;0,BG97,BF120*(Предпосылки!$I128/(BF$8+1-BF$7)))</f>
        <v>0</v>
      </c>
      <c s="125">
        <f>IF(Предпосылки!$I128&lt;0,BH97,BG120*(Предпосылки!$I128/(BG$8+1-BG$7)))</f>
        <v>0</v>
      </c>
      <c s="125">
        <f>IF(Предпосылки!$I128&lt;0,BI97,BH120*(Предпосылки!$I128/(BH$8+1-BH$7)))</f>
        <v>0</v>
      </c>
      <c s="125">
        <f>IF(Предпосылки!$I128&lt;0,BJ97,BI120*(Предпосылки!$I128/(BI$8+1-BI$7)))</f>
        <v>0</v>
      </c>
      <c s="125">
        <f>IF(Предпосылки!$I128&lt;0,BK97,BJ120*(Предпосылки!$I128/(BJ$8+1-BJ$7)))</f>
        <v>0</v>
      </c>
      <c s="125">
        <f>IF(Предпосылки!$I128&lt;0,BL97,BK120*(Предпосылки!$I128/(BK$8+1-BK$7)))</f>
        <v>0</v>
      </c>
      <c s="125">
        <f>IF(Предпосылки!$I128&lt;0,BM97,BL120*(Предпосылки!$I128/(BL$8+1-BL$7)))</f>
        <v>0</v>
      </c>
      <c s="125">
        <f>IF(Предпосылки!$I128&lt;0,BN97,BM120*(Предпосылки!$I128/(BM$8+1-BM$7)))</f>
        <v>0</v>
      </c>
    </row>
    <row r="167" spans="2:65" ht="15" customHeight="1">
      <c r="B167" s="12" t="str">
        <f t="shared" si="192"/>
        <v>Продукт 8</v>
      </c>
      <c s="124" t="str">
        <f t="shared" si="191"/>
        <v>тыс. руб.</v>
      </c>
      <c s="125"/>
      <c s="125">
        <f>IF(Предпосылки!$I129&lt;0,F98,E121*(Предпосылки!$I129/(E$8+1-E$7)))</f>
        <v>0</v>
      </c>
      <c s="125">
        <f>IF(Предпосылки!$I129&lt;0,G98,F121*(Предпосылки!$I129/(F$8+1-F$7)))</f>
        <v>0</v>
      </c>
      <c s="125">
        <f>IF(Предпосылки!$I129&lt;0,H98,G121*(Предпосылки!$I129/(G$8+1-G$7)))</f>
        <v>0</v>
      </c>
      <c s="125">
        <f>IF(Предпосылки!$I129&lt;0,I98,H121*(Предпосылки!$I129/(H$8+1-H$7)))</f>
        <v>0</v>
      </c>
      <c s="125">
        <f>IF(Предпосылки!$I129&lt;0,J98,I121*(Предпосылки!$I129/(I$8+1-I$7)))</f>
        <v>0</v>
      </c>
      <c s="125">
        <f>IF(Предпосылки!$I129&lt;0,K98,J121*(Предпосылки!$I129/(J$8+1-J$7)))</f>
        <v>0</v>
      </c>
      <c s="125">
        <f>IF(Предпосылки!$I129&lt;0,L98,K121*(Предпосылки!$I129/(K$8+1-K$7)))</f>
        <v>0</v>
      </c>
      <c s="125">
        <f>IF(Предпосылки!$I129&lt;0,M98,L121*(Предпосылки!$I129/(L$8+1-L$7)))</f>
        <v>0</v>
      </c>
      <c s="125">
        <f>IF(Предпосылки!$I129&lt;0,N98,M121*(Предпосылки!$I129/(M$8+1-M$7)))</f>
        <v>0</v>
      </c>
      <c s="125">
        <f>IF(Предпосылки!$I129&lt;0,O98,N121*(Предпосылки!$I129/(N$8+1-N$7)))</f>
        <v>0</v>
      </c>
      <c s="125">
        <f>IF(Предпосылки!$I129&lt;0,P98,O121*(Предпосылки!$I129/(O$8+1-O$7)))</f>
        <v>0</v>
      </c>
      <c s="125">
        <f>IF(Предпосылки!$I129&lt;0,Q98,P121*(Предпосылки!$I129/(P$8+1-P$7)))</f>
        <v>0</v>
      </c>
      <c s="125">
        <f>IF(Предпосылки!$I129&lt;0,R98,Q121*(Предпосылки!$I129/(Q$8+1-Q$7)))</f>
        <v>0</v>
      </c>
      <c s="125">
        <f>IF(Предпосылки!$I129&lt;0,S98,R121*(Предпосылки!$I129/(R$8+1-R$7)))</f>
        <v>0</v>
      </c>
      <c s="125">
        <f>IF(Предпосылки!$I129&lt;0,T98,S121*(Предпосылки!$I129/(S$8+1-S$7)))</f>
        <v>0</v>
      </c>
      <c s="125">
        <f>IF(Предпосылки!$I129&lt;0,U98,T121*(Предпосылки!$I129/(T$8+1-T$7)))</f>
        <v>0</v>
      </c>
      <c s="125">
        <f>IF(Предпосылки!$I129&lt;0,V98,U121*(Предпосылки!$I129/(U$8+1-U$7)))</f>
        <v>0</v>
      </c>
      <c s="125">
        <f>IF(Предпосылки!$I129&lt;0,W98,V121*(Предпосылки!$I129/(V$8+1-V$7)))</f>
        <v>0</v>
      </c>
      <c s="125">
        <f>IF(Предпосылки!$I129&lt;0,X98,W121*(Предпосылки!$I129/(W$8+1-W$7)))</f>
        <v>0</v>
      </c>
      <c s="125">
        <f>IF(Предпосылки!$I129&lt;0,Y98,X121*(Предпосылки!$I129/(X$8+1-X$7)))</f>
        <v>0</v>
      </c>
      <c s="125">
        <f>IF(Предпосылки!$I129&lt;0,Z98,Y121*(Предпосылки!$I129/(Y$8+1-Y$7)))</f>
        <v>0</v>
      </c>
      <c s="125">
        <f>IF(Предпосылки!$I129&lt;0,AA98,Z121*(Предпосылки!$I129/(Z$8+1-Z$7)))</f>
        <v>0</v>
      </c>
      <c s="125">
        <f>IF(Предпосылки!$I129&lt;0,AB98,AA121*(Предпосылки!$I129/(AA$8+1-AA$7)))</f>
        <v>0</v>
      </c>
      <c s="125">
        <f>IF(Предпосылки!$I129&lt;0,AC98,AB121*(Предпосылки!$I129/(AB$8+1-AB$7)))</f>
        <v>0</v>
      </c>
      <c s="125">
        <f>IF(Предпосылки!$I129&lt;0,AD98,AC121*(Предпосылки!$I129/(AC$8+1-AC$7)))</f>
        <v>0</v>
      </c>
      <c s="125">
        <f>IF(Предпосылки!$I129&lt;0,AE98,AD121*(Предпосылки!$I129/(AD$8+1-AD$7)))</f>
        <v>0</v>
      </c>
      <c s="125">
        <f>IF(Предпосылки!$I129&lt;0,AF98,AE121*(Предпосылки!$I129/(AE$8+1-AE$7)))</f>
        <v>0</v>
      </c>
      <c s="125">
        <f>IF(Предпосылки!$I129&lt;0,AG98,AF121*(Предпосылки!$I129/(AF$8+1-AF$7)))</f>
        <v>0</v>
      </c>
      <c s="125">
        <f>IF(Предпосылки!$I129&lt;0,AH98,AG121*(Предпосылки!$I129/(AG$8+1-AG$7)))</f>
        <v>0</v>
      </c>
      <c s="125">
        <f>IF(Предпосылки!$I129&lt;0,AI98,AH121*(Предпосылки!$I129/(AH$8+1-AH$7)))</f>
        <v>0</v>
      </c>
      <c s="125">
        <f>IF(Предпосылки!$I129&lt;0,AJ98,AI121*(Предпосылки!$I129/(AI$8+1-AI$7)))</f>
        <v>0</v>
      </c>
      <c s="125">
        <f>IF(Предпосылки!$I129&lt;0,AK98,AJ121*(Предпосылки!$I129/(AJ$8+1-AJ$7)))</f>
        <v>0</v>
      </c>
      <c s="125">
        <f>IF(Предпосылки!$I129&lt;0,AL98,AK121*(Предпосылки!$I129/(AK$8+1-AK$7)))</f>
        <v>0</v>
      </c>
      <c s="125">
        <f>IF(Предпосылки!$I129&lt;0,AM98,AL121*(Предпосылки!$I129/(AL$8+1-AL$7)))</f>
        <v>0</v>
      </c>
      <c s="125">
        <f>IF(Предпосылки!$I129&lt;0,AN98,AM121*(Предпосылки!$I129/(AM$8+1-AM$7)))</f>
        <v>0</v>
      </c>
      <c s="125">
        <f>IF(Предпосылки!$I129&lt;0,AO98,AN121*(Предпосылки!$I129/(AN$8+1-AN$7)))</f>
        <v>0</v>
      </c>
      <c s="125">
        <f>IF(Предпосылки!$I129&lt;0,AP98,AO121*(Предпосылки!$I129/(AO$8+1-AO$7)))</f>
        <v>0</v>
      </c>
      <c s="125">
        <f>IF(Предпосылки!$I129&lt;0,AQ98,AP121*(Предпосылки!$I129/(AP$8+1-AP$7)))</f>
        <v>0</v>
      </c>
      <c s="125">
        <f>IF(Предпосылки!$I129&lt;0,AR98,AQ121*(Предпосылки!$I129/(AQ$8+1-AQ$7)))</f>
        <v>0</v>
      </c>
      <c s="125">
        <f>IF(Предпосылки!$I129&lt;0,AS98,AR121*(Предпосылки!$I129/(AR$8+1-AR$7)))</f>
        <v>0</v>
      </c>
      <c s="125">
        <f>IF(Предпосылки!$I129&lt;0,AT98,AS121*(Предпосылки!$I129/(AS$8+1-AS$7)))</f>
        <v>0</v>
      </c>
      <c s="125">
        <f>IF(Предпосылки!$I129&lt;0,AU98,AT121*(Предпосылки!$I129/(AT$8+1-AT$7)))</f>
        <v>0</v>
      </c>
      <c s="125">
        <f>IF(Предпосылки!$I129&lt;0,AV98,AU121*(Предпосылки!$I129/(AU$8+1-AU$7)))</f>
        <v>0</v>
      </c>
      <c s="125">
        <f>IF(Предпосылки!$I129&lt;0,AW98,AV121*(Предпосылки!$I129/(AV$8+1-AV$7)))</f>
        <v>0</v>
      </c>
      <c s="125">
        <f>IF(Предпосылки!$I129&lt;0,AX98,AW121*(Предпосылки!$I129/(AW$8+1-AW$7)))</f>
        <v>0</v>
      </c>
      <c s="125">
        <f>IF(Предпосылки!$I129&lt;0,AY98,AX121*(Предпосылки!$I129/(AX$8+1-AX$7)))</f>
        <v>0</v>
      </c>
      <c s="125">
        <f>IF(Предпосылки!$I129&lt;0,AZ98,AY121*(Предпосылки!$I129/(AY$8+1-AY$7)))</f>
        <v>0</v>
      </c>
      <c s="125">
        <f>IF(Предпосылки!$I129&lt;0,BA98,AZ121*(Предпосылки!$I129/(AZ$8+1-AZ$7)))</f>
        <v>0</v>
      </c>
      <c s="125">
        <f>IF(Предпосылки!$I129&lt;0,BB98,BA121*(Предпосылки!$I129/(BA$8+1-BA$7)))</f>
        <v>0</v>
      </c>
      <c s="125">
        <f>IF(Предпосылки!$I129&lt;0,BC98,BB121*(Предпосылки!$I129/(BB$8+1-BB$7)))</f>
        <v>0</v>
      </c>
      <c s="125">
        <f>IF(Предпосылки!$I129&lt;0,BD98,BC121*(Предпосылки!$I129/(BC$8+1-BC$7)))</f>
        <v>0</v>
      </c>
      <c s="125">
        <f>IF(Предпосылки!$I129&lt;0,BE98,BD121*(Предпосылки!$I129/(BD$8+1-BD$7)))</f>
        <v>0</v>
      </c>
      <c s="125">
        <f>IF(Предпосылки!$I129&lt;0,BF98,BE121*(Предпосылки!$I129/(BE$8+1-BE$7)))</f>
        <v>0</v>
      </c>
      <c s="125">
        <f>IF(Предпосылки!$I129&lt;0,BG98,BF121*(Предпосылки!$I129/(BF$8+1-BF$7)))</f>
        <v>0</v>
      </c>
      <c s="125">
        <f>IF(Предпосылки!$I129&lt;0,BH98,BG121*(Предпосылки!$I129/(BG$8+1-BG$7)))</f>
        <v>0</v>
      </c>
      <c s="125">
        <f>IF(Предпосылки!$I129&lt;0,BI98,BH121*(Предпосылки!$I129/(BH$8+1-BH$7)))</f>
        <v>0</v>
      </c>
      <c s="125">
        <f>IF(Предпосылки!$I129&lt;0,BJ98,BI121*(Предпосылки!$I129/(BI$8+1-BI$7)))</f>
        <v>0</v>
      </c>
      <c s="125">
        <f>IF(Предпосылки!$I129&lt;0,BK98,BJ121*(Предпосылки!$I129/(BJ$8+1-BJ$7)))</f>
        <v>0</v>
      </c>
      <c s="125">
        <f>IF(Предпосылки!$I129&lt;0,BL98,BK121*(Предпосылки!$I129/(BK$8+1-BK$7)))</f>
        <v>0</v>
      </c>
      <c s="125">
        <f>IF(Предпосылки!$I129&lt;0,BM98,BL121*(Предпосылки!$I129/(BL$8+1-BL$7)))</f>
        <v>0</v>
      </c>
      <c s="125">
        <f>IF(Предпосылки!$I129&lt;0,BN98,BM121*(Предпосылки!$I129/(BM$8+1-BM$7)))</f>
        <v>0</v>
      </c>
    </row>
    <row r="168" spans="2:65" ht="15" customHeight="1">
      <c r="B168" s="12" t="str">
        <f t="shared" si="192"/>
        <v>Продукт 9</v>
      </c>
      <c s="124" t="str">
        <f t="shared" si="191"/>
        <v>тыс. руб.</v>
      </c>
      <c s="125"/>
      <c s="125">
        <f>IF(Предпосылки!$I130&lt;0,F99,E122*(Предпосылки!$I130/(E$8+1-E$7)))</f>
        <v>0</v>
      </c>
      <c s="125">
        <f>IF(Предпосылки!$I130&lt;0,G99,F122*(Предпосылки!$I130/(F$8+1-F$7)))</f>
        <v>0</v>
      </c>
      <c s="125">
        <f>IF(Предпосылки!$I130&lt;0,H99,G122*(Предпосылки!$I130/(G$8+1-G$7)))</f>
        <v>0</v>
      </c>
      <c s="125">
        <f>IF(Предпосылки!$I130&lt;0,I99,H122*(Предпосылки!$I130/(H$8+1-H$7)))</f>
        <v>0</v>
      </c>
      <c s="125">
        <f>IF(Предпосылки!$I130&lt;0,J99,I122*(Предпосылки!$I130/(I$8+1-I$7)))</f>
        <v>0</v>
      </c>
      <c s="125">
        <f>IF(Предпосылки!$I130&lt;0,K99,J122*(Предпосылки!$I130/(J$8+1-J$7)))</f>
        <v>0</v>
      </c>
      <c s="125">
        <f>IF(Предпосылки!$I130&lt;0,L99,K122*(Предпосылки!$I130/(K$8+1-K$7)))</f>
        <v>0</v>
      </c>
      <c s="125">
        <f>IF(Предпосылки!$I130&lt;0,M99,L122*(Предпосылки!$I130/(L$8+1-L$7)))</f>
        <v>0</v>
      </c>
      <c s="125">
        <f>IF(Предпосылки!$I130&lt;0,N99,M122*(Предпосылки!$I130/(M$8+1-M$7)))</f>
        <v>0</v>
      </c>
      <c s="125">
        <f>IF(Предпосылки!$I130&lt;0,O99,N122*(Предпосылки!$I130/(N$8+1-N$7)))</f>
        <v>0</v>
      </c>
      <c s="125">
        <f>IF(Предпосылки!$I130&lt;0,P99,O122*(Предпосылки!$I130/(O$8+1-O$7)))</f>
        <v>0</v>
      </c>
      <c s="125">
        <f>IF(Предпосылки!$I130&lt;0,Q99,P122*(Предпосылки!$I130/(P$8+1-P$7)))</f>
        <v>0</v>
      </c>
      <c s="125">
        <f>IF(Предпосылки!$I130&lt;0,R99,Q122*(Предпосылки!$I130/(Q$8+1-Q$7)))</f>
        <v>0</v>
      </c>
      <c s="125">
        <f>IF(Предпосылки!$I130&lt;0,S99,R122*(Предпосылки!$I130/(R$8+1-R$7)))</f>
        <v>0</v>
      </c>
      <c s="125">
        <f>IF(Предпосылки!$I130&lt;0,T99,S122*(Предпосылки!$I130/(S$8+1-S$7)))</f>
        <v>0</v>
      </c>
      <c s="125">
        <f>IF(Предпосылки!$I130&lt;0,U99,T122*(Предпосылки!$I130/(T$8+1-T$7)))</f>
        <v>0</v>
      </c>
      <c s="125">
        <f>IF(Предпосылки!$I130&lt;0,V99,U122*(Предпосылки!$I130/(U$8+1-U$7)))</f>
        <v>0</v>
      </c>
      <c s="125">
        <f>IF(Предпосылки!$I130&lt;0,W99,V122*(Предпосылки!$I130/(V$8+1-V$7)))</f>
        <v>0</v>
      </c>
      <c s="125">
        <f>IF(Предпосылки!$I130&lt;0,X99,W122*(Предпосылки!$I130/(W$8+1-W$7)))</f>
        <v>0</v>
      </c>
      <c s="125">
        <f>IF(Предпосылки!$I130&lt;0,Y99,X122*(Предпосылки!$I130/(X$8+1-X$7)))</f>
        <v>0</v>
      </c>
      <c s="125">
        <f>IF(Предпосылки!$I130&lt;0,Z99,Y122*(Предпосылки!$I130/(Y$8+1-Y$7)))</f>
        <v>0</v>
      </c>
      <c s="125">
        <f>IF(Предпосылки!$I130&lt;0,AA99,Z122*(Предпосылки!$I130/(Z$8+1-Z$7)))</f>
        <v>0</v>
      </c>
      <c s="125">
        <f>IF(Предпосылки!$I130&lt;0,AB99,AA122*(Предпосылки!$I130/(AA$8+1-AA$7)))</f>
        <v>0</v>
      </c>
      <c s="125">
        <f>IF(Предпосылки!$I130&lt;0,AC99,AB122*(Предпосылки!$I130/(AB$8+1-AB$7)))</f>
        <v>0</v>
      </c>
      <c s="125">
        <f>IF(Предпосылки!$I130&lt;0,AD99,AC122*(Предпосылки!$I130/(AC$8+1-AC$7)))</f>
        <v>0</v>
      </c>
      <c s="125">
        <f>IF(Предпосылки!$I130&lt;0,AE99,AD122*(Предпосылки!$I130/(AD$8+1-AD$7)))</f>
        <v>0</v>
      </c>
      <c s="125">
        <f>IF(Предпосылки!$I130&lt;0,AF99,AE122*(Предпосылки!$I130/(AE$8+1-AE$7)))</f>
        <v>0</v>
      </c>
      <c s="125">
        <f>IF(Предпосылки!$I130&lt;0,AG99,AF122*(Предпосылки!$I130/(AF$8+1-AF$7)))</f>
        <v>0</v>
      </c>
      <c s="125">
        <f>IF(Предпосылки!$I130&lt;0,AH99,AG122*(Предпосылки!$I130/(AG$8+1-AG$7)))</f>
        <v>0</v>
      </c>
      <c s="125">
        <f>IF(Предпосылки!$I130&lt;0,AI99,AH122*(Предпосылки!$I130/(AH$8+1-AH$7)))</f>
        <v>0</v>
      </c>
      <c s="125">
        <f>IF(Предпосылки!$I130&lt;0,AJ99,AI122*(Предпосылки!$I130/(AI$8+1-AI$7)))</f>
        <v>0</v>
      </c>
      <c s="125">
        <f>IF(Предпосылки!$I130&lt;0,AK99,AJ122*(Предпосылки!$I130/(AJ$8+1-AJ$7)))</f>
        <v>0</v>
      </c>
      <c s="125">
        <f>IF(Предпосылки!$I130&lt;0,AL99,AK122*(Предпосылки!$I130/(AK$8+1-AK$7)))</f>
        <v>0</v>
      </c>
      <c s="125">
        <f>IF(Предпосылки!$I130&lt;0,AM99,AL122*(Предпосылки!$I130/(AL$8+1-AL$7)))</f>
        <v>0</v>
      </c>
      <c s="125">
        <f>IF(Предпосылки!$I130&lt;0,AN99,AM122*(Предпосылки!$I130/(AM$8+1-AM$7)))</f>
        <v>0</v>
      </c>
      <c s="125">
        <f>IF(Предпосылки!$I130&lt;0,AO99,AN122*(Предпосылки!$I130/(AN$8+1-AN$7)))</f>
        <v>0</v>
      </c>
      <c s="125">
        <f>IF(Предпосылки!$I130&lt;0,AP99,AO122*(Предпосылки!$I130/(AO$8+1-AO$7)))</f>
        <v>0</v>
      </c>
      <c s="125">
        <f>IF(Предпосылки!$I130&lt;0,AQ99,AP122*(Предпосылки!$I130/(AP$8+1-AP$7)))</f>
        <v>0</v>
      </c>
      <c s="125">
        <f>IF(Предпосылки!$I130&lt;0,AR99,AQ122*(Предпосылки!$I130/(AQ$8+1-AQ$7)))</f>
        <v>0</v>
      </c>
      <c s="125">
        <f>IF(Предпосылки!$I130&lt;0,AS99,AR122*(Предпосылки!$I130/(AR$8+1-AR$7)))</f>
        <v>0</v>
      </c>
      <c s="125">
        <f>IF(Предпосылки!$I130&lt;0,AT99,AS122*(Предпосылки!$I130/(AS$8+1-AS$7)))</f>
        <v>0</v>
      </c>
      <c s="125">
        <f>IF(Предпосылки!$I130&lt;0,AU99,AT122*(Предпосылки!$I130/(AT$8+1-AT$7)))</f>
        <v>0</v>
      </c>
      <c s="125">
        <f>IF(Предпосылки!$I130&lt;0,AV99,AU122*(Предпосылки!$I130/(AU$8+1-AU$7)))</f>
        <v>0</v>
      </c>
      <c s="125">
        <f>IF(Предпосылки!$I130&lt;0,AW99,AV122*(Предпосылки!$I130/(AV$8+1-AV$7)))</f>
        <v>0</v>
      </c>
      <c s="125">
        <f>IF(Предпосылки!$I130&lt;0,AX99,AW122*(Предпосылки!$I130/(AW$8+1-AW$7)))</f>
        <v>0</v>
      </c>
      <c s="125">
        <f>IF(Предпосылки!$I130&lt;0,AY99,AX122*(Предпосылки!$I130/(AX$8+1-AX$7)))</f>
        <v>0</v>
      </c>
      <c s="125">
        <f>IF(Предпосылки!$I130&lt;0,AZ99,AY122*(Предпосылки!$I130/(AY$8+1-AY$7)))</f>
        <v>0</v>
      </c>
      <c s="125">
        <f>IF(Предпосылки!$I130&lt;0,BA99,AZ122*(Предпосылки!$I130/(AZ$8+1-AZ$7)))</f>
        <v>0</v>
      </c>
      <c s="125">
        <f>IF(Предпосылки!$I130&lt;0,BB99,BA122*(Предпосылки!$I130/(BA$8+1-BA$7)))</f>
        <v>0</v>
      </c>
      <c s="125">
        <f>IF(Предпосылки!$I130&lt;0,BC99,BB122*(Предпосылки!$I130/(BB$8+1-BB$7)))</f>
        <v>0</v>
      </c>
      <c s="125">
        <f>IF(Предпосылки!$I130&lt;0,BD99,BC122*(Предпосылки!$I130/(BC$8+1-BC$7)))</f>
        <v>0</v>
      </c>
      <c s="125">
        <f>IF(Предпосылки!$I130&lt;0,BE99,BD122*(Предпосылки!$I130/(BD$8+1-BD$7)))</f>
        <v>0</v>
      </c>
      <c s="125">
        <f>IF(Предпосылки!$I130&lt;0,BF99,BE122*(Предпосылки!$I130/(BE$8+1-BE$7)))</f>
        <v>0</v>
      </c>
      <c s="125">
        <f>IF(Предпосылки!$I130&lt;0,BG99,BF122*(Предпосылки!$I130/(BF$8+1-BF$7)))</f>
        <v>0</v>
      </c>
      <c s="125">
        <f>IF(Предпосылки!$I130&lt;0,BH99,BG122*(Предпосылки!$I130/(BG$8+1-BG$7)))</f>
        <v>0</v>
      </c>
      <c s="125">
        <f>IF(Предпосылки!$I130&lt;0,BI99,BH122*(Предпосылки!$I130/(BH$8+1-BH$7)))</f>
        <v>0</v>
      </c>
      <c s="125">
        <f>IF(Предпосылки!$I130&lt;0,BJ99,BI122*(Предпосылки!$I130/(BI$8+1-BI$7)))</f>
        <v>0</v>
      </c>
      <c s="125">
        <f>IF(Предпосылки!$I130&lt;0,BK99,BJ122*(Предпосылки!$I130/(BJ$8+1-BJ$7)))</f>
        <v>0</v>
      </c>
      <c s="125">
        <f>IF(Предпосылки!$I130&lt;0,BL99,BK122*(Предпосылки!$I130/(BK$8+1-BK$7)))</f>
        <v>0</v>
      </c>
      <c s="125">
        <f>IF(Предпосылки!$I130&lt;0,BM99,BL122*(Предпосылки!$I130/(BL$8+1-BL$7)))</f>
        <v>0</v>
      </c>
      <c s="125">
        <f>IF(Предпосылки!$I130&lt;0,BN99,BM122*(Предпосылки!$I130/(BM$8+1-BM$7)))</f>
        <v>0</v>
      </c>
    </row>
    <row r="169" spans="2:65" ht="15" customHeight="1">
      <c r="B169" s="12" t="str">
        <f t="shared" si="192"/>
        <v>Продукт 10</v>
      </c>
      <c s="124" t="str">
        <f t="shared" si="191"/>
        <v>тыс. руб.</v>
      </c>
      <c s="125"/>
      <c s="125">
        <f>IF(Предпосылки!$I131&lt;0,F100,E123*(Предпосылки!$I131/(E$8+1-E$7)))</f>
        <v>0</v>
      </c>
      <c s="125">
        <f>IF(Предпосылки!$I131&lt;0,G100,F123*(Предпосылки!$I131/(F$8+1-F$7)))</f>
        <v>0</v>
      </c>
      <c s="125">
        <f>IF(Предпосылки!$I131&lt;0,H100,G123*(Предпосылки!$I131/(G$8+1-G$7)))</f>
        <v>0</v>
      </c>
      <c s="125">
        <f>IF(Предпосылки!$I131&lt;0,I100,H123*(Предпосылки!$I131/(H$8+1-H$7)))</f>
        <v>0</v>
      </c>
      <c s="125">
        <f>IF(Предпосылки!$I131&lt;0,J100,I123*(Предпосылки!$I131/(I$8+1-I$7)))</f>
        <v>0</v>
      </c>
      <c s="125">
        <f>IF(Предпосылки!$I131&lt;0,K100,J123*(Предпосылки!$I131/(J$8+1-J$7)))</f>
        <v>0</v>
      </c>
      <c s="125">
        <f>IF(Предпосылки!$I131&lt;0,L100,K123*(Предпосылки!$I131/(K$8+1-K$7)))</f>
        <v>0</v>
      </c>
      <c s="125">
        <f>IF(Предпосылки!$I131&lt;0,M100,L123*(Предпосылки!$I131/(L$8+1-L$7)))</f>
        <v>0</v>
      </c>
      <c s="125">
        <f>IF(Предпосылки!$I131&lt;0,N100,M123*(Предпосылки!$I131/(M$8+1-M$7)))</f>
        <v>0</v>
      </c>
      <c s="125">
        <f>IF(Предпосылки!$I131&lt;0,O100,N123*(Предпосылки!$I131/(N$8+1-N$7)))</f>
        <v>0</v>
      </c>
      <c s="125">
        <f>IF(Предпосылки!$I131&lt;0,P100,O123*(Предпосылки!$I131/(O$8+1-O$7)))</f>
        <v>0</v>
      </c>
      <c s="125">
        <f>IF(Предпосылки!$I131&lt;0,Q100,P123*(Предпосылки!$I131/(P$8+1-P$7)))</f>
        <v>0</v>
      </c>
      <c s="125">
        <f>IF(Предпосылки!$I131&lt;0,R100,Q123*(Предпосылки!$I131/(Q$8+1-Q$7)))</f>
        <v>0</v>
      </c>
      <c s="125">
        <f>IF(Предпосылки!$I131&lt;0,S100,R123*(Предпосылки!$I131/(R$8+1-R$7)))</f>
        <v>0</v>
      </c>
      <c s="125">
        <f>IF(Предпосылки!$I131&lt;0,T100,S123*(Предпосылки!$I131/(S$8+1-S$7)))</f>
        <v>0</v>
      </c>
      <c s="125">
        <f>IF(Предпосылки!$I131&lt;0,U100,T123*(Предпосылки!$I131/(T$8+1-T$7)))</f>
        <v>0</v>
      </c>
      <c s="125">
        <f>IF(Предпосылки!$I131&lt;0,V100,U123*(Предпосылки!$I131/(U$8+1-U$7)))</f>
        <v>0</v>
      </c>
      <c s="125">
        <f>IF(Предпосылки!$I131&lt;0,W100,V123*(Предпосылки!$I131/(V$8+1-V$7)))</f>
        <v>0</v>
      </c>
      <c s="125">
        <f>IF(Предпосылки!$I131&lt;0,X100,W123*(Предпосылки!$I131/(W$8+1-W$7)))</f>
        <v>0</v>
      </c>
      <c s="125">
        <f>IF(Предпосылки!$I131&lt;0,Y100,X123*(Предпосылки!$I131/(X$8+1-X$7)))</f>
        <v>0</v>
      </c>
      <c s="125">
        <f>IF(Предпосылки!$I131&lt;0,Z100,Y123*(Предпосылки!$I131/(Y$8+1-Y$7)))</f>
        <v>0</v>
      </c>
      <c s="125">
        <f>IF(Предпосылки!$I131&lt;0,AA100,Z123*(Предпосылки!$I131/(Z$8+1-Z$7)))</f>
        <v>0</v>
      </c>
      <c s="125">
        <f>IF(Предпосылки!$I131&lt;0,AB100,AA123*(Предпосылки!$I131/(AA$8+1-AA$7)))</f>
        <v>0</v>
      </c>
      <c s="125">
        <f>IF(Предпосылки!$I131&lt;0,AC100,AB123*(Предпосылки!$I131/(AB$8+1-AB$7)))</f>
        <v>0</v>
      </c>
      <c s="125">
        <f>IF(Предпосылки!$I131&lt;0,AD100,AC123*(Предпосылки!$I131/(AC$8+1-AC$7)))</f>
        <v>0</v>
      </c>
      <c s="125">
        <f>IF(Предпосылки!$I131&lt;0,AE100,AD123*(Предпосылки!$I131/(AD$8+1-AD$7)))</f>
        <v>0</v>
      </c>
      <c s="125">
        <f>IF(Предпосылки!$I131&lt;0,AF100,AE123*(Предпосылки!$I131/(AE$8+1-AE$7)))</f>
        <v>0</v>
      </c>
      <c s="125">
        <f>IF(Предпосылки!$I131&lt;0,AG100,AF123*(Предпосылки!$I131/(AF$8+1-AF$7)))</f>
        <v>0</v>
      </c>
      <c s="125">
        <f>IF(Предпосылки!$I131&lt;0,AH100,AG123*(Предпосылки!$I131/(AG$8+1-AG$7)))</f>
        <v>0</v>
      </c>
      <c s="125">
        <f>IF(Предпосылки!$I131&lt;0,AI100,AH123*(Предпосылки!$I131/(AH$8+1-AH$7)))</f>
        <v>0</v>
      </c>
      <c s="125">
        <f>IF(Предпосылки!$I131&lt;0,AJ100,AI123*(Предпосылки!$I131/(AI$8+1-AI$7)))</f>
        <v>0</v>
      </c>
      <c s="125">
        <f>IF(Предпосылки!$I131&lt;0,AK100,AJ123*(Предпосылки!$I131/(AJ$8+1-AJ$7)))</f>
        <v>0</v>
      </c>
      <c s="125">
        <f>IF(Предпосылки!$I131&lt;0,AL100,AK123*(Предпосылки!$I131/(AK$8+1-AK$7)))</f>
        <v>0</v>
      </c>
      <c s="125">
        <f>IF(Предпосылки!$I131&lt;0,AM100,AL123*(Предпосылки!$I131/(AL$8+1-AL$7)))</f>
        <v>0</v>
      </c>
      <c s="125">
        <f>IF(Предпосылки!$I131&lt;0,AN100,AM123*(Предпосылки!$I131/(AM$8+1-AM$7)))</f>
        <v>0</v>
      </c>
      <c s="125">
        <f>IF(Предпосылки!$I131&lt;0,AO100,AN123*(Предпосылки!$I131/(AN$8+1-AN$7)))</f>
        <v>0</v>
      </c>
      <c s="125">
        <f>IF(Предпосылки!$I131&lt;0,AP100,AO123*(Предпосылки!$I131/(AO$8+1-AO$7)))</f>
        <v>0</v>
      </c>
      <c s="125">
        <f>IF(Предпосылки!$I131&lt;0,AQ100,AP123*(Предпосылки!$I131/(AP$8+1-AP$7)))</f>
        <v>0</v>
      </c>
      <c s="125">
        <f>IF(Предпосылки!$I131&lt;0,AR100,AQ123*(Предпосылки!$I131/(AQ$8+1-AQ$7)))</f>
        <v>0</v>
      </c>
      <c s="125">
        <f>IF(Предпосылки!$I131&lt;0,AS100,AR123*(Предпосылки!$I131/(AR$8+1-AR$7)))</f>
        <v>0</v>
      </c>
      <c s="125">
        <f>IF(Предпосылки!$I131&lt;0,AT100,AS123*(Предпосылки!$I131/(AS$8+1-AS$7)))</f>
        <v>0</v>
      </c>
      <c s="125">
        <f>IF(Предпосылки!$I131&lt;0,AU100,AT123*(Предпосылки!$I131/(AT$8+1-AT$7)))</f>
        <v>0</v>
      </c>
      <c s="125">
        <f>IF(Предпосылки!$I131&lt;0,AV100,AU123*(Предпосылки!$I131/(AU$8+1-AU$7)))</f>
        <v>0</v>
      </c>
      <c s="125">
        <f>IF(Предпосылки!$I131&lt;0,AW100,AV123*(Предпосылки!$I131/(AV$8+1-AV$7)))</f>
        <v>0</v>
      </c>
      <c s="125">
        <f>IF(Предпосылки!$I131&lt;0,AX100,AW123*(Предпосылки!$I131/(AW$8+1-AW$7)))</f>
        <v>0</v>
      </c>
      <c s="125">
        <f>IF(Предпосылки!$I131&lt;0,AY100,AX123*(Предпосылки!$I131/(AX$8+1-AX$7)))</f>
        <v>0</v>
      </c>
      <c s="125">
        <f>IF(Предпосылки!$I131&lt;0,AZ100,AY123*(Предпосылки!$I131/(AY$8+1-AY$7)))</f>
        <v>0</v>
      </c>
      <c s="125">
        <f>IF(Предпосылки!$I131&lt;0,BA100,AZ123*(Предпосылки!$I131/(AZ$8+1-AZ$7)))</f>
        <v>0</v>
      </c>
      <c s="125">
        <f>IF(Предпосылки!$I131&lt;0,BB100,BA123*(Предпосылки!$I131/(BA$8+1-BA$7)))</f>
        <v>0</v>
      </c>
      <c s="125">
        <f>IF(Предпосылки!$I131&lt;0,BC100,BB123*(Предпосылки!$I131/(BB$8+1-BB$7)))</f>
        <v>0</v>
      </c>
      <c s="125">
        <f>IF(Предпосылки!$I131&lt;0,BD100,BC123*(Предпосылки!$I131/(BC$8+1-BC$7)))</f>
        <v>0</v>
      </c>
      <c s="125">
        <f>IF(Предпосылки!$I131&lt;0,BE100,BD123*(Предпосылки!$I131/(BD$8+1-BD$7)))</f>
        <v>0</v>
      </c>
      <c s="125">
        <f>IF(Предпосылки!$I131&lt;0,BF100,BE123*(Предпосылки!$I131/(BE$8+1-BE$7)))</f>
        <v>0</v>
      </c>
      <c s="125">
        <f>IF(Предпосылки!$I131&lt;0,BG100,BF123*(Предпосылки!$I131/(BF$8+1-BF$7)))</f>
        <v>0</v>
      </c>
      <c s="125">
        <f>IF(Предпосылки!$I131&lt;0,BH100,BG123*(Предпосылки!$I131/(BG$8+1-BG$7)))</f>
        <v>0</v>
      </c>
      <c s="125">
        <f>IF(Предпосылки!$I131&lt;0,BI100,BH123*(Предпосылки!$I131/(BH$8+1-BH$7)))</f>
        <v>0</v>
      </c>
      <c s="125">
        <f>IF(Предпосылки!$I131&lt;0,BJ100,BI123*(Предпосылки!$I131/(BI$8+1-BI$7)))</f>
        <v>0</v>
      </c>
      <c s="125">
        <f>IF(Предпосылки!$I131&lt;0,BK100,BJ123*(Предпосылки!$I131/(BJ$8+1-BJ$7)))</f>
        <v>0</v>
      </c>
      <c s="125">
        <f>IF(Предпосылки!$I131&lt;0,BL100,BK123*(Предпосылки!$I131/(BK$8+1-BK$7)))</f>
        <v>0</v>
      </c>
      <c s="125">
        <f>IF(Предпосылки!$I131&lt;0,BM100,BL123*(Предпосылки!$I131/(BL$8+1-BL$7)))</f>
        <v>0</v>
      </c>
      <c s="125">
        <f>IF(Предпосылки!$I131&lt;0,BN100,BM123*(Предпосылки!$I131/(BM$8+1-BM$7)))</f>
        <v>0</v>
      </c>
    </row>
    <row r="170" spans="2:65" ht="15" customHeight="1">
      <c r="B170" s="12" t="str">
        <f t="shared" si="192"/>
        <v>Продукт 11</v>
      </c>
      <c s="124" t="str">
        <f t="shared" si="191"/>
        <v>тыс. руб.</v>
      </c>
      <c s="125"/>
      <c s="125">
        <f>IF(Предпосылки!$I132&lt;0,F101,E124*(Предпосылки!$I132/(E$8+1-E$7)))</f>
        <v>0</v>
      </c>
      <c s="125">
        <f>IF(Предпосылки!$I132&lt;0,G101,F124*(Предпосылки!$I132/(F$8+1-F$7)))</f>
        <v>0</v>
      </c>
      <c s="125">
        <f>IF(Предпосылки!$I132&lt;0,H101,G124*(Предпосылки!$I132/(G$8+1-G$7)))</f>
        <v>0</v>
      </c>
      <c s="125">
        <f>IF(Предпосылки!$I132&lt;0,I101,H124*(Предпосылки!$I132/(H$8+1-H$7)))</f>
        <v>0</v>
      </c>
      <c s="125">
        <f>IF(Предпосылки!$I132&lt;0,J101,I124*(Предпосылки!$I132/(I$8+1-I$7)))</f>
        <v>0</v>
      </c>
      <c s="125">
        <f>IF(Предпосылки!$I132&lt;0,K101,J124*(Предпосылки!$I132/(J$8+1-J$7)))</f>
        <v>0</v>
      </c>
      <c s="125">
        <f>IF(Предпосылки!$I132&lt;0,L101,K124*(Предпосылки!$I132/(K$8+1-K$7)))</f>
        <v>0</v>
      </c>
      <c s="125">
        <f>IF(Предпосылки!$I132&lt;0,M101,L124*(Предпосылки!$I132/(L$8+1-L$7)))</f>
        <v>0</v>
      </c>
      <c s="125">
        <f>IF(Предпосылки!$I132&lt;0,N101,M124*(Предпосылки!$I132/(M$8+1-M$7)))</f>
        <v>0</v>
      </c>
      <c s="125">
        <f>IF(Предпосылки!$I132&lt;0,O101,N124*(Предпосылки!$I132/(N$8+1-N$7)))</f>
        <v>0</v>
      </c>
      <c s="125">
        <f>IF(Предпосылки!$I132&lt;0,P101,O124*(Предпосылки!$I132/(O$8+1-O$7)))</f>
        <v>0</v>
      </c>
      <c s="125">
        <f>IF(Предпосылки!$I132&lt;0,Q101,P124*(Предпосылки!$I132/(P$8+1-P$7)))</f>
        <v>0</v>
      </c>
      <c s="125">
        <f>IF(Предпосылки!$I132&lt;0,R101,Q124*(Предпосылки!$I132/(Q$8+1-Q$7)))</f>
        <v>0</v>
      </c>
      <c s="125">
        <f>IF(Предпосылки!$I132&lt;0,S101,R124*(Предпосылки!$I132/(R$8+1-R$7)))</f>
        <v>0</v>
      </c>
      <c s="125">
        <f>IF(Предпосылки!$I132&lt;0,T101,S124*(Предпосылки!$I132/(S$8+1-S$7)))</f>
        <v>0</v>
      </c>
      <c s="125">
        <f>IF(Предпосылки!$I132&lt;0,U101,T124*(Предпосылки!$I132/(T$8+1-T$7)))</f>
        <v>0</v>
      </c>
      <c s="125">
        <f>IF(Предпосылки!$I132&lt;0,V101,U124*(Предпосылки!$I132/(U$8+1-U$7)))</f>
        <v>0</v>
      </c>
      <c s="125">
        <f>IF(Предпосылки!$I132&lt;0,W101,V124*(Предпосылки!$I132/(V$8+1-V$7)))</f>
        <v>0</v>
      </c>
      <c s="125">
        <f>IF(Предпосылки!$I132&lt;0,X101,W124*(Предпосылки!$I132/(W$8+1-W$7)))</f>
        <v>0</v>
      </c>
      <c s="125">
        <f>IF(Предпосылки!$I132&lt;0,Y101,X124*(Предпосылки!$I132/(X$8+1-X$7)))</f>
        <v>0</v>
      </c>
      <c s="125">
        <f>IF(Предпосылки!$I132&lt;0,Z101,Y124*(Предпосылки!$I132/(Y$8+1-Y$7)))</f>
        <v>0</v>
      </c>
      <c s="125">
        <f>IF(Предпосылки!$I132&lt;0,AA101,Z124*(Предпосылки!$I132/(Z$8+1-Z$7)))</f>
        <v>0</v>
      </c>
      <c s="125">
        <f>IF(Предпосылки!$I132&lt;0,AB101,AA124*(Предпосылки!$I132/(AA$8+1-AA$7)))</f>
        <v>0</v>
      </c>
      <c s="125">
        <f>IF(Предпосылки!$I132&lt;0,AC101,AB124*(Предпосылки!$I132/(AB$8+1-AB$7)))</f>
        <v>0</v>
      </c>
      <c s="125">
        <f>IF(Предпосылки!$I132&lt;0,AD101,AC124*(Предпосылки!$I132/(AC$8+1-AC$7)))</f>
        <v>0</v>
      </c>
      <c s="125">
        <f>IF(Предпосылки!$I132&lt;0,AE101,AD124*(Предпосылки!$I132/(AD$8+1-AD$7)))</f>
        <v>0</v>
      </c>
      <c s="125">
        <f>IF(Предпосылки!$I132&lt;0,AF101,AE124*(Предпосылки!$I132/(AE$8+1-AE$7)))</f>
        <v>0</v>
      </c>
      <c s="125">
        <f>IF(Предпосылки!$I132&lt;0,AG101,AF124*(Предпосылки!$I132/(AF$8+1-AF$7)))</f>
        <v>0</v>
      </c>
      <c s="125">
        <f>IF(Предпосылки!$I132&lt;0,AH101,AG124*(Предпосылки!$I132/(AG$8+1-AG$7)))</f>
        <v>0</v>
      </c>
      <c s="125">
        <f>IF(Предпосылки!$I132&lt;0,AI101,AH124*(Предпосылки!$I132/(AH$8+1-AH$7)))</f>
        <v>0</v>
      </c>
      <c s="125">
        <f>IF(Предпосылки!$I132&lt;0,AJ101,AI124*(Предпосылки!$I132/(AI$8+1-AI$7)))</f>
        <v>0</v>
      </c>
      <c s="125">
        <f>IF(Предпосылки!$I132&lt;0,AK101,AJ124*(Предпосылки!$I132/(AJ$8+1-AJ$7)))</f>
        <v>0</v>
      </c>
      <c s="125">
        <f>IF(Предпосылки!$I132&lt;0,AL101,AK124*(Предпосылки!$I132/(AK$8+1-AK$7)))</f>
        <v>0</v>
      </c>
      <c s="125">
        <f>IF(Предпосылки!$I132&lt;0,AM101,AL124*(Предпосылки!$I132/(AL$8+1-AL$7)))</f>
        <v>0</v>
      </c>
      <c s="125">
        <f>IF(Предпосылки!$I132&lt;0,AN101,AM124*(Предпосылки!$I132/(AM$8+1-AM$7)))</f>
        <v>0</v>
      </c>
      <c s="125">
        <f>IF(Предпосылки!$I132&lt;0,AO101,AN124*(Предпосылки!$I132/(AN$8+1-AN$7)))</f>
        <v>0</v>
      </c>
      <c s="125">
        <f>IF(Предпосылки!$I132&lt;0,AP101,AO124*(Предпосылки!$I132/(AO$8+1-AO$7)))</f>
        <v>0</v>
      </c>
      <c s="125">
        <f>IF(Предпосылки!$I132&lt;0,AQ101,AP124*(Предпосылки!$I132/(AP$8+1-AP$7)))</f>
        <v>0</v>
      </c>
      <c s="125">
        <f>IF(Предпосылки!$I132&lt;0,AR101,AQ124*(Предпосылки!$I132/(AQ$8+1-AQ$7)))</f>
        <v>0</v>
      </c>
      <c s="125">
        <f>IF(Предпосылки!$I132&lt;0,AS101,AR124*(Предпосылки!$I132/(AR$8+1-AR$7)))</f>
        <v>0</v>
      </c>
      <c s="125">
        <f>IF(Предпосылки!$I132&lt;0,AT101,AS124*(Предпосылки!$I132/(AS$8+1-AS$7)))</f>
        <v>0</v>
      </c>
      <c s="125">
        <f>IF(Предпосылки!$I132&lt;0,AU101,AT124*(Предпосылки!$I132/(AT$8+1-AT$7)))</f>
        <v>0</v>
      </c>
      <c s="125">
        <f>IF(Предпосылки!$I132&lt;0,AV101,AU124*(Предпосылки!$I132/(AU$8+1-AU$7)))</f>
        <v>0</v>
      </c>
      <c s="125">
        <f>IF(Предпосылки!$I132&lt;0,AW101,AV124*(Предпосылки!$I132/(AV$8+1-AV$7)))</f>
        <v>0</v>
      </c>
      <c s="125">
        <f>IF(Предпосылки!$I132&lt;0,AX101,AW124*(Предпосылки!$I132/(AW$8+1-AW$7)))</f>
        <v>0</v>
      </c>
      <c s="125">
        <f>IF(Предпосылки!$I132&lt;0,AY101,AX124*(Предпосылки!$I132/(AX$8+1-AX$7)))</f>
        <v>0</v>
      </c>
      <c s="125">
        <f>IF(Предпосылки!$I132&lt;0,AZ101,AY124*(Предпосылки!$I132/(AY$8+1-AY$7)))</f>
        <v>0</v>
      </c>
      <c s="125">
        <f>IF(Предпосылки!$I132&lt;0,BA101,AZ124*(Предпосылки!$I132/(AZ$8+1-AZ$7)))</f>
        <v>0</v>
      </c>
      <c s="125">
        <f>IF(Предпосылки!$I132&lt;0,BB101,BA124*(Предпосылки!$I132/(BA$8+1-BA$7)))</f>
        <v>0</v>
      </c>
      <c s="125">
        <f>IF(Предпосылки!$I132&lt;0,BC101,BB124*(Предпосылки!$I132/(BB$8+1-BB$7)))</f>
        <v>0</v>
      </c>
      <c s="125">
        <f>IF(Предпосылки!$I132&lt;0,BD101,BC124*(Предпосылки!$I132/(BC$8+1-BC$7)))</f>
        <v>0</v>
      </c>
      <c s="125">
        <f>IF(Предпосылки!$I132&lt;0,BE101,BD124*(Предпосылки!$I132/(BD$8+1-BD$7)))</f>
        <v>0</v>
      </c>
      <c s="125">
        <f>IF(Предпосылки!$I132&lt;0,BF101,BE124*(Предпосылки!$I132/(BE$8+1-BE$7)))</f>
        <v>0</v>
      </c>
      <c s="125">
        <f>IF(Предпосылки!$I132&lt;0,BG101,BF124*(Предпосылки!$I132/(BF$8+1-BF$7)))</f>
        <v>0</v>
      </c>
      <c s="125">
        <f>IF(Предпосылки!$I132&lt;0,BH101,BG124*(Предпосылки!$I132/(BG$8+1-BG$7)))</f>
        <v>0</v>
      </c>
      <c s="125">
        <f>IF(Предпосылки!$I132&lt;0,BI101,BH124*(Предпосылки!$I132/(BH$8+1-BH$7)))</f>
        <v>0</v>
      </c>
      <c s="125">
        <f>IF(Предпосылки!$I132&lt;0,BJ101,BI124*(Предпосылки!$I132/(BI$8+1-BI$7)))</f>
        <v>0</v>
      </c>
      <c s="125">
        <f>IF(Предпосылки!$I132&lt;0,BK101,BJ124*(Предпосылки!$I132/(BJ$8+1-BJ$7)))</f>
        <v>0</v>
      </c>
      <c s="125">
        <f>IF(Предпосылки!$I132&lt;0,BL101,BK124*(Предпосылки!$I132/(BK$8+1-BK$7)))</f>
        <v>0</v>
      </c>
      <c s="125">
        <f>IF(Предпосылки!$I132&lt;0,BM101,BL124*(Предпосылки!$I132/(BL$8+1-BL$7)))</f>
        <v>0</v>
      </c>
      <c s="125">
        <f>IF(Предпосылки!$I132&lt;0,BN101,BM124*(Предпосылки!$I132/(BM$8+1-BM$7)))</f>
        <v>0</v>
      </c>
    </row>
    <row r="171" spans="2:65" ht="15" customHeight="1">
      <c r="B171" s="12" t="str">
        <f t="shared" si="192"/>
        <v>Продукт 12</v>
      </c>
      <c s="124" t="str">
        <f t="shared" si="191"/>
        <v>тыс. руб.</v>
      </c>
      <c s="125"/>
      <c s="125">
        <f>IF(Предпосылки!$I133&lt;0,F102,E125*(Предпосылки!$I133/(E$8+1-E$7)))</f>
        <v>0</v>
      </c>
      <c s="125">
        <f>IF(Предпосылки!$I133&lt;0,G102,F125*(Предпосылки!$I133/(F$8+1-F$7)))</f>
        <v>0</v>
      </c>
      <c s="125">
        <f>IF(Предпосылки!$I133&lt;0,H102,G125*(Предпосылки!$I133/(G$8+1-G$7)))</f>
        <v>0</v>
      </c>
      <c s="125">
        <f>IF(Предпосылки!$I133&lt;0,I102,H125*(Предпосылки!$I133/(H$8+1-H$7)))</f>
        <v>0</v>
      </c>
      <c s="125">
        <f>IF(Предпосылки!$I133&lt;0,J102,I125*(Предпосылки!$I133/(I$8+1-I$7)))</f>
        <v>0</v>
      </c>
      <c s="125">
        <f>IF(Предпосылки!$I133&lt;0,K102,J125*(Предпосылки!$I133/(J$8+1-J$7)))</f>
        <v>0</v>
      </c>
      <c s="125">
        <f>IF(Предпосылки!$I133&lt;0,L102,K125*(Предпосылки!$I133/(K$8+1-K$7)))</f>
        <v>0</v>
      </c>
      <c s="125">
        <f>IF(Предпосылки!$I133&lt;0,M102,L125*(Предпосылки!$I133/(L$8+1-L$7)))</f>
        <v>0</v>
      </c>
      <c s="125">
        <f>IF(Предпосылки!$I133&lt;0,N102,M125*(Предпосылки!$I133/(M$8+1-M$7)))</f>
        <v>0</v>
      </c>
      <c s="125">
        <f>IF(Предпосылки!$I133&lt;0,O102,N125*(Предпосылки!$I133/(N$8+1-N$7)))</f>
        <v>0</v>
      </c>
      <c s="125">
        <f>IF(Предпосылки!$I133&lt;0,P102,O125*(Предпосылки!$I133/(O$8+1-O$7)))</f>
        <v>0</v>
      </c>
      <c s="125">
        <f>IF(Предпосылки!$I133&lt;0,Q102,P125*(Предпосылки!$I133/(P$8+1-P$7)))</f>
        <v>0</v>
      </c>
      <c s="125">
        <f>IF(Предпосылки!$I133&lt;0,R102,Q125*(Предпосылки!$I133/(Q$8+1-Q$7)))</f>
        <v>0</v>
      </c>
      <c s="125">
        <f>IF(Предпосылки!$I133&lt;0,S102,R125*(Предпосылки!$I133/(R$8+1-R$7)))</f>
        <v>0</v>
      </c>
      <c s="125">
        <f>IF(Предпосылки!$I133&lt;0,T102,S125*(Предпосылки!$I133/(S$8+1-S$7)))</f>
        <v>0</v>
      </c>
      <c s="125">
        <f>IF(Предпосылки!$I133&lt;0,U102,T125*(Предпосылки!$I133/(T$8+1-T$7)))</f>
        <v>0</v>
      </c>
      <c s="125">
        <f>IF(Предпосылки!$I133&lt;0,V102,U125*(Предпосылки!$I133/(U$8+1-U$7)))</f>
        <v>0</v>
      </c>
      <c s="125">
        <f>IF(Предпосылки!$I133&lt;0,W102,V125*(Предпосылки!$I133/(V$8+1-V$7)))</f>
        <v>0</v>
      </c>
      <c s="125">
        <f>IF(Предпосылки!$I133&lt;0,X102,W125*(Предпосылки!$I133/(W$8+1-W$7)))</f>
        <v>0</v>
      </c>
      <c s="125">
        <f>IF(Предпосылки!$I133&lt;0,Y102,X125*(Предпосылки!$I133/(X$8+1-X$7)))</f>
        <v>0</v>
      </c>
      <c s="125">
        <f>IF(Предпосылки!$I133&lt;0,Z102,Y125*(Предпосылки!$I133/(Y$8+1-Y$7)))</f>
        <v>0</v>
      </c>
      <c s="125">
        <f>IF(Предпосылки!$I133&lt;0,AA102,Z125*(Предпосылки!$I133/(Z$8+1-Z$7)))</f>
        <v>0</v>
      </c>
      <c s="125">
        <f>IF(Предпосылки!$I133&lt;0,AB102,AA125*(Предпосылки!$I133/(AA$8+1-AA$7)))</f>
        <v>0</v>
      </c>
      <c s="125">
        <f>IF(Предпосылки!$I133&lt;0,AC102,AB125*(Предпосылки!$I133/(AB$8+1-AB$7)))</f>
        <v>0</v>
      </c>
      <c s="125">
        <f>IF(Предпосылки!$I133&lt;0,AD102,AC125*(Предпосылки!$I133/(AC$8+1-AC$7)))</f>
        <v>0</v>
      </c>
      <c s="125">
        <f>IF(Предпосылки!$I133&lt;0,AE102,AD125*(Предпосылки!$I133/(AD$8+1-AD$7)))</f>
        <v>0</v>
      </c>
      <c s="125">
        <f>IF(Предпосылки!$I133&lt;0,AF102,AE125*(Предпосылки!$I133/(AE$8+1-AE$7)))</f>
        <v>0</v>
      </c>
      <c s="125">
        <f>IF(Предпосылки!$I133&lt;0,AG102,AF125*(Предпосылки!$I133/(AF$8+1-AF$7)))</f>
        <v>0</v>
      </c>
      <c s="125">
        <f>IF(Предпосылки!$I133&lt;0,AH102,AG125*(Предпосылки!$I133/(AG$8+1-AG$7)))</f>
        <v>0</v>
      </c>
      <c s="125">
        <f>IF(Предпосылки!$I133&lt;0,AI102,AH125*(Предпосылки!$I133/(AH$8+1-AH$7)))</f>
        <v>0</v>
      </c>
      <c s="125">
        <f>IF(Предпосылки!$I133&lt;0,AJ102,AI125*(Предпосылки!$I133/(AI$8+1-AI$7)))</f>
        <v>0</v>
      </c>
      <c s="125">
        <f>IF(Предпосылки!$I133&lt;0,AK102,AJ125*(Предпосылки!$I133/(AJ$8+1-AJ$7)))</f>
        <v>0</v>
      </c>
      <c s="125">
        <f>IF(Предпосылки!$I133&lt;0,AL102,AK125*(Предпосылки!$I133/(AK$8+1-AK$7)))</f>
        <v>0</v>
      </c>
      <c s="125">
        <f>IF(Предпосылки!$I133&lt;0,AM102,AL125*(Предпосылки!$I133/(AL$8+1-AL$7)))</f>
        <v>0</v>
      </c>
      <c s="125">
        <f>IF(Предпосылки!$I133&lt;0,AN102,AM125*(Предпосылки!$I133/(AM$8+1-AM$7)))</f>
        <v>0</v>
      </c>
      <c s="125">
        <f>IF(Предпосылки!$I133&lt;0,AO102,AN125*(Предпосылки!$I133/(AN$8+1-AN$7)))</f>
        <v>0</v>
      </c>
      <c s="125">
        <f>IF(Предпосылки!$I133&lt;0,AP102,AO125*(Предпосылки!$I133/(AO$8+1-AO$7)))</f>
        <v>0</v>
      </c>
      <c s="125">
        <f>IF(Предпосылки!$I133&lt;0,AQ102,AP125*(Предпосылки!$I133/(AP$8+1-AP$7)))</f>
        <v>0</v>
      </c>
      <c s="125">
        <f>IF(Предпосылки!$I133&lt;0,AR102,AQ125*(Предпосылки!$I133/(AQ$8+1-AQ$7)))</f>
        <v>0</v>
      </c>
      <c s="125">
        <f>IF(Предпосылки!$I133&lt;0,AS102,AR125*(Предпосылки!$I133/(AR$8+1-AR$7)))</f>
        <v>0</v>
      </c>
      <c s="125">
        <f>IF(Предпосылки!$I133&lt;0,AT102,AS125*(Предпосылки!$I133/(AS$8+1-AS$7)))</f>
        <v>0</v>
      </c>
      <c s="125">
        <f>IF(Предпосылки!$I133&lt;0,AU102,AT125*(Предпосылки!$I133/(AT$8+1-AT$7)))</f>
        <v>0</v>
      </c>
      <c s="125">
        <f>IF(Предпосылки!$I133&lt;0,AV102,AU125*(Предпосылки!$I133/(AU$8+1-AU$7)))</f>
        <v>0</v>
      </c>
      <c s="125">
        <f>IF(Предпосылки!$I133&lt;0,AW102,AV125*(Предпосылки!$I133/(AV$8+1-AV$7)))</f>
        <v>0</v>
      </c>
      <c s="125">
        <f>IF(Предпосылки!$I133&lt;0,AX102,AW125*(Предпосылки!$I133/(AW$8+1-AW$7)))</f>
        <v>0</v>
      </c>
      <c s="125">
        <f>IF(Предпосылки!$I133&lt;0,AY102,AX125*(Предпосылки!$I133/(AX$8+1-AX$7)))</f>
        <v>0</v>
      </c>
      <c s="125">
        <f>IF(Предпосылки!$I133&lt;0,AZ102,AY125*(Предпосылки!$I133/(AY$8+1-AY$7)))</f>
        <v>0</v>
      </c>
      <c s="125">
        <f>IF(Предпосылки!$I133&lt;0,BA102,AZ125*(Предпосылки!$I133/(AZ$8+1-AZ$7)))</f>
        <v>0</v>
      </c>
      <c s="125">
        <f>IF(Предпосылки!$I133&lt;0,BB102,BA125*(Предпосылки!$I133/(BA$8+1-BA$7)))</f>
        <v>0</v>
      </c>
      <c s="125">
        <f>IF(Предпосылки!$I133&lt;0,BC102,BB125*(Предпосылки!$I133/(BB$8+1-BB$7)))</f>
        <v>0</v>
      </c>
      <c s="125">
        <f>IF(Предпосылки!$I133&lt;0,BD102,BC125*(Предпосылки!$I133/(BC$8+1-BC$7)))</f>
        <v>0</v>
      </c>
      <c s="125">
        <f>IF(Предпосылки!$I133&lt;0,BE102,BD125*(Предпосылки!$I133/(BD$8+1-BD$7)))</f>
        <v>0</v>
      </c>
      <c s="125">
        <f>IF(Предпосылки!$I133&lt;0,BF102,BE125*(Предпосылки!$I133/(BE$8+1-BE$7)))</f>
        <v>0</v>
      </c>
      <c s="125">
        <f>IF(Предпосылки!$I133&lt;0,BG102,BF125*(Предпосылки!$I133/(BF$8+1-BF$7)))</f>
        <v>0</v>
      </c>
      <c s="125">
        <f>IF(Предпосылки!$I133&lt;0,BH102,BG125*(Предпосылки!$I133/(BG$8+1-BG$7)))</f>
        <v>0</v>
      </c>
      <c s="125">
        <f>IF(Предпосылки!$I133&lt;0,BI102,BH125*(Предпосылки!$I133/(BH$8+1-BH$7)))</f>
        <v>0</v>
      </c>
      <c s="125">
        <f>IF(Предпосылки!$I133&lt;0,BJ102,BI125*(Предпосылки!$I133/(BI$8+1-BI$7)))</f>
        <v>0</v>
      </c>
      <c s="125">
        <f>IF(Предпосылки!$I133&lt;0,BK102,BJ125*(Предпосылки!$I133/(BJ$8+1-BJ$7)))</f>
        <v>0</v>
      </c>
      <c s="125">
        <f>IF(Предпосылки!$I133&lt;0,BL102,BK125*(Предпосылки!$I133/(BK$8+1-BK$7)))</f>
        <v>0</v>
      </c>
      <c s="125">
        <f>IF(Предпосылки!$I133&lt;0,BM102,BL125*(Предпосылки!$I133/(BL$8+1-BL$7)))</f>
        <v>0</v>
      </c>
      <c s="125">
        <f>IF(Предпосылки!$I133&lt;0,BN102,BM125*(Предпосылки!$I133/(BM$8+1-BM$7)))</f>
        <v>0</v>
      </c>
    </row>
    <row r="172" spans="2:65" ht="15" customHeight="1">
      <c r="B172" s="12" t="str">
        <f t="shared" si="192"/>
        <v>Продукт 13</v>
      </c>
      <c s="124" t="str">
        <f t="shared" si="191"/>
        <v>тыс. руб.</v>
      </c>
      <c s="125"/>
      <c s="125">
        <f>IF(Предпосылки!$I134&lt;0,F103,E126*(Предпосылки!$I134/(E$8+1-E$7)))</f>
        <v>0</v>
      </c>
      <c s="125">
        <f>IF(Предпосылки!$I134&lt;0,G103,F126*(Предпосылки!$I134/(F$8+1-F$7)))</f>
        <v>0</v>
      </c>
      <c s="125">
        <f>IF(Предпосылки!$I134&lt;0,H103,G126*(Предпосылки!$I134/(G$8+1-G$7)))</f>
        <v>0</v>
      </c>
      <c s="125">
        <f>IF(Предпосылки!$I134&lt;0,I103,H126*(Предпосылки!$I134/(H$8+1-H$7)))</f>
        <v>0</v>
      </c>
      <c s="125">
        <f>IF(Предпосылки!$I134&lt;0,J103,I126*(Предпосылки!$I134/(I$8+1-I$7)))</f>
        <v>0</v>
      </c>
      <c s="125">
        <f>IF(Предпосылки!$I134&lt;0,K103,J126*(Предпосылки!$I134/(J$8+1-J$7)))</f>
        <v>0</v>
      </c>
      <c s="125">
        <f>IF(Предпосылки!$I134&lt;0,L103,K126*(Предпосылки!$I134/(K$8+1-K$7)))</f>
        <v>0</v>
      </c>
      <c s="125">
        <f>IF(Предпосылки!$I134&lt;0,M103,L126*(Предпосылки!$I134/(L$8+1-L$7)))</f>
        <v>0</v>
      </c>
      <c s="125">
        <f>IF(Предпосылки!$I134&lt;0,N103,M126*(Предпосылки!$I134/(M$8+1-M$7)))</f>
        <v>0</v>
      </c>
      <c s="125">
        <f>IF(Предпосылки!$I134&lt;0,O103,N126*(Предпосылки!$I134/(N$8+1-N$7)))</f>
        <v>0</v>
      </c>
      <c s="125">
        <f>IF(Предпосылки!$I134&lt;0,P103,O126*(Предпосылки!$I134/(O$8+1-O$7)))</f>
        <v>0</v>
      </c>
      <c s="125">
        <f>IF(Предпосылки!$I134&lt;0,Q103,P126*(Предпосылки!$I134/(P$8+1-P$7)))</f>
        <v>0</v>
      </c>
      <c s="125">
        <f>IF(Предпосылки!$I134&lt;0,R103,Q126*(Предпосылки!$I134/(Q$8+1-Q$7)))</f>
        <v>0</v>
      </c>
      <c s="125">
        <f>IF(Предпосылки!$I134&lt;0,S103,R126*(Предпосылки!$I134/(R$8+1-R$7)))</f>
        <v>0</v>
      </c>
      <c s="125">
        <f>IF(Предпосылки!$I134&lt;0,T103,S126*(Предпосылки!$I134/(S$8+1-S$7)))</f>
        <v>0</v>
      </c>
      <c s="125">
        <f>IF(Предпосылки!$I134&lt;0,U103,T126*(Предпосылки!$I134/(T$8+1-T$7)))</f>
        <v>0</v>
      </c>
      <c s="125">
        <f>IF(Предпосылки!$I134&lt;0,V103,U126*(Предпосылки!$I134/(U$8+1-U$7)))</f>
        <v>0</v>
      </c>
      <c s="125">
        <f>IF(Предпосылки!$I134&lt;0,W103,V126*(Предпосылки!$I134/(V$8+1-V$7)))</f>
        <v>0</v>
      </c>
      <c s="125">
        <f>IF(Предпосылки!$I134&lt;0,X103,W126*(Предпосылки!$I134/(W$8+1-W$7)))</f>
        <v>0</v>
      </c>
      <c s="125">
        <f>IF(Предпосылки!$I134&lt;0,Y103,X126*(Предпосылки!$I134/(X$8+1-X$7)))</f>
        <v>0</v>
      </c>
      <c s="125">
        <f>IF(Предпосылки!$I134&lt;0,Z103,Y126*(Предпосылки!$I134/(Y$8+1-Y$7)))</f>
        <v>0</v>
      </c>
      <c s="125">
        <f>IF(Предпосылки!$I134&lt;0,AA103,Z126*(Предпосылки!$I134/(Z$8+1-Z$7)))</f>
        <v>0</v>
      </c>
      <c s="125">
        <f>IF(Предпосылки!$I134&lt;0,AB103,AA126*(Предпосылки!$I134/(AA$8+1-AA$7)))</f>
        <v>0</v>
      </c>
      <c s="125">
        <f>IF(Предпосылки!$I134&lt;0,AC103,AB126*(Предпосылки!$I134/(AB$8+1-AB$7)))</f>
        <v>0</v>
      </c>
      <c s="125">
        <f>IF(Предпосылки!$I134&lt;0,AD103,AC126*(Предпосылки!$I134/(AC$8+1-AC$7)))</f>
        <v>0</v>
      </c>
      <c s="125">
        <f>IF(Предпосылки!$I134&lt;0,AE103,AD126*(Предпосылки!$I134/(AD$8+1-AD$7)))</f>
        <v>0</v>
      </c>
      <c s="125">
        <f>IF(Предпосылки!$I134&lt;0,AF103,AE126*(Предпосылки!$I134/(AE$8+1-AE$7)))</f>
        <v>0</v>
      </c>
      <c s="125">
        <f>IF(Предпосылки!$I134&lt;0,AG103,AF126*(Предпосылки!$I134/(AF$8+1-AF$7)))</f>
        <v>0</v>
      </c>
      <c s="125">
        <f>IF(Предпосылки!$I134&lt;0,AH103,AG126*(Предпосылки!$I134/(AG$8+1-AG$7)))</f>
        <v>0</v>
      </c>
      <c s="125">
        <f>IF(Предпосылки!$I134&lt;0,AI103,AH126*(Предпосылки!$I134/(AH$8+1-AH$7)))</f>
        <v>0</v>
      </c>
      <c s="125">
        <f>IF(Предпосылки!$I134&lt;0,AJ103,AI126*(Предпосылки!$I134/(AI$8+1-AI$7)))</f>
        <v>0</v>
      </c>
      <c s="125">
        <f>IF(Предпосылки!$I134&lt;0,AK103,AJ126*(Предпосылки!$I134/(AJ$8+1-AJ$7)))</f>
        <v>0</v>
      </c>
      <c s="125">
        <f>IF(Предпосылки!$I134&lt;0,AL103,AK126*(Предпосылки!$I134/(AK$8+1-AK$7)))</f>
        <v>0</v>
      </c>
      <c s="125">
        <f>IF(Предпосылки!$I134&lt;0,AM103,AL126*(Предпосылки!$I134/(AL$8+1-AL$7)))</f>
        <v>0</v>
      </c>
      <c s="125">
        <f>IF(Предпосылки!$I134&lt;0,AN103,AM126*(Предпосылки!$I134/(AM$8+1-AM$7)))</f>
        <v>0</v>
      </c>
      <c s="125">
        <f>IF(Предпосылки!$I134&lt;0,AO103,AN126*(Предпосылки!$I134/(AN$8+1-AN$7)))</f>
        <v>0</v>
      </c>
      <c s="125">
        <f>IF(Предпосылки!$I134&lt;0,AP103,AO126*(Предпосылки!$I134/(AO$8+1-AO$7)))</f>
        <v>0</v>
      </c>
      <c s="125">
        <f>IF(Предпосылки!$I134&lt;0,AQ103,AP126*(Предпосылки!$I134/(AP$8+1-AP$7)))</f>
        <v>0</v>
      </c>
      <c s="125">
        <f>IF(Предпосылки!$I134&lt;0,AR103,AQ126*(Предпосылки!$I134/(AQ$8+1-AQ$7)))</f>
        <v>0</v>
      </c>
      <c s="125">
        <f>IF(Предпосылки!$I134&lt;0,AS103,AR126*(Предпосылки!$I134/(AR$8+1-AR$7)))</f>
        <v>0</v>
      </c>
      <c s="125">
        <f>IF(Предпосылки!$I134&lt;0,AT103,AS126*(Предпосылки!$I134/(AS$8+1-AS$7)))</f>
        <v>0</v>
      </c>
      <c s="125">
        <f>IF(Предпосылки!$I134&lt;0,AU103,AT126*(Предпосылки!$I134/(AT$8+1-AT$7)))</f>
        <v>0</v>
      </c>
      <c s="125">
        <f>IF(Предпосылки!$I134&lt;0,AV103,AU126*(Предпосылки!$I134/(AU$8+1-AU$7)))</f>
        <v>0</v>
      </c>
      <c s="125">
        <f>IF(Предпосылки!$I134&lt;0,AW103,AV126*(Предпосылки!$I134/(AV$8+1-AV$7)))</f>
        <v>0</v>
      </c>
      <c s="125">
        <f>IF(Предпосылки!$I134&lt;0,AX103,AW126*(Предпосылки!$I134/(AW$8+1-AW$7)))</f>
        <v>0</v>
      </c>
      <c s="125">
        <f>IF(Предпосылки!$I134&lt;0,AY103,AX126*(Предпосылки!$I134/(AX$8+1-AX$7)))</f>
        <v>0</v>
      </c>
      <c s="125">
        <f>IF(Предпосылки!$I134&lt;0,AZ103,AY126*(Предпосылки!$I134/(AY$8+1-AY$7)))</f>
        <v>0</v>
      </c>
      <c s="125">
        <f>IF(Предпосылки!$I134&lt;0,BA103,AZ126*(Предпосылки!$I134/(AZ$8+1-AZ$7)))</f>
        <v>0</v>
      </c>
      <c s="125">
        <f>IF(Предпосылки!$I134&lt;0,BB103,BA126*(Предпосылки!$I134/(BA$8+1-BA$7)))</f>
        <v>0</v>
      </c>
      <c s="125">
        <f>IF(Предпосылки!$I134&lt;0,BC103,BB126*(Предпосылки!$I134/(BB$8+1-BB$7)))</f>
        <v>0</v>
      </c>
      <c s="125">
        <f>IF(Предпосылки!$I134&lt;0,BD103,BC126*(Предпосылки!$I134/(BC$8+1-BC$7)))</f>
        <v>0</v>
      </c>
      <c s="125">
        <f>IF(Предпосылки!$I134&lt;0,BE103,BD126*(Предпосылки!$I134/(BD$8+1-BD$7)))</f>
        <v>0</v>
      </c>
      <c s="125">
        <f>IF(Предпосылки!$I134&lt;0,BF103,BE126*(Предпосылки!$I134/(BE$8+1-BE$7)))</f>
        <v>0</v>
      </c>
      <c s="125">
        <f>IF(Предпосылки!$I134&lt;0,BG103,BF126*(Предпосылки!$I134/(BF$8+1-BF$7)))</f>
        <v>0</v>
      </c>
      <c s="125">
        <f>IF(Предпосылки!$I134&lt;0,BH103,BG126*(Предпосылки!$I134/(BG$8+1-BG$7)))</f>
        <v>0</v>
      </c>
      <c s="125">
        <f>IF(Предпосылки!$I134&lt;0,BI103,BH126*(Предпосылки!$I134/(BH$8+1-BH$7)))</f>
        <v>0</v>
      </c>
      <c s="125">
        <f>IF(Предпосылки!$I134&lt;0,BJ103,BI126*(Предпосылки!$I134/(BI$8+1-BI$7)))</f>
        <v>0</v>
      </c>
      <c s="125">
        <f>IF(Предпосылки!$I134&lt;0,BK103,BJ126*(Предпосылки!$I134/(BJ$8+1-BJ$7)))</f>
        <v>0</v>
      </c>
      <c s="125">
        <f>IF(Предпосылки!$I134&lt;0,BL103,BK126*(Предпосылки!$I134/(BK$8+1-BK$7)))</f>
        <v>0</v>
      </c>
      <c s="125">
        <f>IF(Предпосылки!$I134&lt;0,BM103,BL126*(Предпосылки!$I134/(BL$8+1-BL$7)))</f>
        <v>0</v>
      </c>
      <c s="125">
        <f>IF(Предпосылки!$I134&lt;0,BN103,BM126*(Предпосылки!$I134/(BM$8+1-BM$7)))</f>
        <v>0</v>
      </c>
    </row>
    <row r="173" spans="2:65" ht="15" customHeight="1">
      <c r="B173" s="12" t="str">
        <f t="shared" si="192"/>
        <v>Продукт 14</v>
      </c>
      <c s="124" t="str">
        <f t="shared" si="191"/>
        <v>тыс. руб.</v>
      </c>
      <c s="125"/>
      <c s="125">
        <f>IF(Предпосылки!$I135&lt;0,F104,E127*(Предпосылки!$I135/(E$8+1-E$7)))</f>
        <v>0</v>
      </c>
      <c s="125">
        <f>IF(Предпосылки!$I135&lt;0,G104,F127*(Предпосылки!$I135/(F$8+1-F$7)))</f>
        <v>0</v>
      </c>
      <c s="125">
        <f>IF(Предпосылки!$I135&lt;0,H104,G127*(Предпосылки!$I135/(G$8+1-G$7)))</f>
        <v>0</v>
      </c>
      <c s="125">
        <f>IF(Предпосылки!$I135&lt;0,I104,H127*(Предпосылки!$I135/(H$8+1-H$7)))</f>
        <v>0</v>
      </c>
      <c s="125">
        <f>IF(Предпосылки!$I135&lt;0,J104,I127*(Предпосылки!$I135/(I$8+1-I$7)))</f>
        <v>0</v>
      </c>
      <c s="125">
        <f>IF(Предпосылки!$I135&lt;0,K104,J127*(Предпосылки!$I135/(J$8+1-J$7)))</f>
        <v>0</v>
      </c>
      <c s="125">
        <f>IF(Предпосылки!$I135&lt;0,L104,K127*(Предпосылки!$I135/(K$8+1-K$7)))</f>
        <v>0</v>
      </c>
      <c s="125">
        <f>IF(Предпосылки!$I135&lt;0,M104,L127*(Предпосылки!$I135/(L$8+1-L$7)))</f>
        <v>0</v>
      </c>
      <c s="125">
        <f>IF(Предпосылки!$I135&lt;0,N104,M127*(Предпосылки!$I135/(M$8+1-M$7)))</f>
        <v>0</v>
      </c>
      <c s="125">
        <f>IF(Предпосылки!$I135&lt;0,O104,N127*(Предпосылки!$I135/(N$8+1-N$7)))</f>
        <v>0</v>
      </c>
      <c s="125">
        <f>IF(Предпосылки!$I135&lt;0,P104,O127*(Предпосылки!$I135/(O$8+1-O$7)))</f>
        <v>0</v>
      </c>
      <c s="125">
        <f>IF(Предпосылки!$I135&lt;0,Q104,P127*(Предпосылки!$I135/(P$8+1-P$7)))</f>
        <v>0</v>
      </c>
      <c s="125">
        <f>IF(Предпосылки!$I135&lt;0,R104,Q127*(Предпосылки!$I135/(Q$8+1-Q$7)))</f>
        <v>0</v>
      </c>
      <c s="125">
        <f>IF(Предпосылки!$I135&lt;0,S104,R127*(Предпосылки!$I135/(R$8+1-R$7)))</f>
        <v>0</v>
      </c>
      <c s="125">
        <f>IF(Предпосылки!$I135&lt;0,T104,S127*(Предпосылки!$I135/(S$8+1-S$7)))</f>
        <v>0</v>
      </c>
      <c s="125">
        <f>IF(Предпосылки!$I135&lt;0,U104,T127*(Предпосылки!$I135/(T$8+1-T$7)))</f>
        <v>0</v>
      </c>
      <c s="125">
        <f>IF(Предпосылки!$I135&lt;0,V104,U127*(Предпосылки!$I135/(U$8+1-U$7)))</f>
        <v>0</v>
      </c>
      <c s="125">
        <f>IF(Предпосылки!$I135&lt;0,W104,V127*(Предпосылки!$I135/(V$8+1-V$7)))</f>
        <v>0</v>
      </c>
      <c s="125">
        <f>IF(Предпосылки!$I135&lt;0,X104,W127*(Предпосылки!$I135/(W$8+1-W$7)))</f>
        <v>0</v>
      </c>
      <c s="125">
        <f>IF(Предпосылки!$I135&lt;0,Y104,X127*(Предпосылки!$I135/(X$8+1-X$7)))</f>
        <v>0</v>
      </c>
      <c s="125">
        <f>IF(Предпосылки!$I135&lt;0,Z104,Y127*(Предпосылки!$I135/(Y$8+1-Y$7)))</f>
        <v>0</v>
      </c>
      <c s="125">
        <f>IF(Предпосылки!$I135&lt;0,AA104,Z127*(Предпосылки!$I135/(Z$8+1-Z$7)))</f>
        <v>0</v>
      </c>
      <c s="125">
        <f>IF(Предпосылки!$I135&lt;0,AB104,AA127*(Предпосылки!$I135/(AA$8+1-AA$7)))</f>
        <v>0</v>
      </c>
      <c s="125">
        <f>IF(Предпосылки!$I135&lt;0,AC104,AB127*(Предпосылки!$I135/(AB$8+1-AB$7)))</f>
        <v>0</v>
      </c>
      <c s="125">
        <f>IF(Предпосылки!$I135&lt;0,AD104,AC127*(Предпосылки!$I135/(AC$8+1-AC$7)))</f>
        <v>0</v>
      </c>
      <c s="125">
        <f>IF(Предпосылки!$I135&lt;0,AE104,AD127*(Предпосылки!$I135/(AD$8+1-AD$7)))</f>
        <v>0</v>
      </c>
      <c s="125">
        <f>IF(Предпосылки!$I135&lt;0,AF104,AE127*(Предпосылки!$I135/(AE$8+1-AE$7)))</f>
        <v>0</v>
      </c>
      <c s="125">
        <f>IF(Предпосылки!$I135&lt;0,AG104,AF127*(Предпосылки!$I135/(AF$8+1-AF$7)))</f>
        <v>0</v>
      </c>
      <c s="125">
        <f>IF(Предпосылки!$I135&lt;0,AH104,AG127*(Предпосылки!$I135/(AG$8+1-AG$7)))</f>
        <v>0</v>
      </c>
      <c s="125">
        <f>IF(Предпосылки!$I135&lt;0,AI104,AH127*(Предпосылки!$I135/(AH$8+1-AH$7)))</f>
        <v>0</v>
      </c>
      <c s="125">
        <f>IF(Предпосылки!$I135&lt;0,AJ104,AI127*(Предпосылки!$I135/(AI$8+1-AI$7)))</f>
        <v>0</v>
      </c>
      <c s="125">
        <f>IF(Предпосылки!$I135&lt;0,AK104,AJ127*(Предпосылки!$I135/(AJ$8+1-AJ$7)))</f>
        <v>0</v>
      </c>
      <c s="125">
        <f>IF(Предпосылки!$I135&lt;0,AL104,AK127*(Предпосылки!$I135/(AK$8+1-AK$7)))</f>
        <v>0</v>
      </c>
      <c s="125">
        <f>IF(Предпосылки!$I135&lt;0,AM104,AL127*(Предпосылки!$I135/(AL$8+1-AL$7)))</f>
        <v>0</v>
      </c>
      <c s="125">
        <f>IF(Предпосылки!$I135&lt;0,AN104,AM127*(Предпосылки!$I135/(AM$8+1-AM$7)))</f>
        <v>0</v>
      </c>
      <c s="125">
        <f>IF(Предпосылки!$I135&lt;0,AO104,AN127*(Предпосылки!$I135/(AN$8+1-AN$7)))</f>
        <v>0</v>
      </c>
      <c s="125">
        <f>IF(Предпосылки!$I135&lt;0,AP104,AO127*(Предпосылки!$I135/(AO$8+1-AO$7)))</f>
        <v>0</v>
      </c>
      <c s="125">
        <f>IF(Предпосылки!$I135&lt;0,AQ104,AP127*(Предпосылки!$I135/(AP$8+1-AP$7)))</f>
        <v>0</v>
      </c>
      <c s="125">
        <f>IF(Предпосылки!$I135&lt;0,AR104,AQ127*(Предпосылки!$I135/(AQ$8+1-AQ$7)))</f>
        <v>0</v>
      </c>
      <c s="125">
        <f>IF(Предпосылки!$I135&lt;0,AS104,AR127*(Предпосылки!$I135/(AR$8+1-AR$7)))</f>
        <v>0</v>
      </c>
      <c s="125">
        <f>IF(Предпосылки!$I135&lt;0,AT104,AS127*(Предпосылки!$I135/(AS$8+1-AS$7)))</f>
        <v>0</v>
      </c>
      <c s="125">
        <f>IF(Предпосылки!$I135&lt;0,AU104,AT127*(Предпосылки!$I135/(AT$8+1-AT$7)))</f>
        <v>0</v>
      </c>
      <c s="125">
        <f>IF(Предпосылки!$I135&lt;0,AV104,AU127*(Предпосылки!$I135/(AU$8+1-AU$7)))</f>
        <v>0</v>
      </c>
      <c s="125">
        <f>IF(Предпосылки!$I135&lt;0,AW104,AV127*(Предпосылки!$I135/(AV$8+1-AV$7)))</f>
        <v>0</v>
      </c>
      <c s="125">
        <f>IF(Предпосылки!$I135&lt;0,AX104,AW127*(Предпосылки!$I135/(AW$8+1-AW$7)))</f>
        <v>0</v>
      </c>
      <c s="125">
        <f>IF(Предпосылки!$I135&lt;0,AY104,AX127*(Предпосылки!$I135/(AX$8+1-AX$7)))</f>
        <v>0</v>
      </c>
      <c s="125">
        <f>IF(Предпосылки!$I135&lt;0,AZ104,AY127*(Предпосылки!$I135/(AY$8+1-AY$7)))</f>
        <v>0</v>
      </c>
      <c s="125">
        <f>IF(Предпосылки!$I135&lt;0,BA104,AZ127*(Предпосылки!$I135/(AZ$8+1-AZ$7)))</f>
        <v>0</v>
      </c>
      <c s="125">
        <f>IF(Предпосылки!$I135&lt;0,BB104,BA127*(Предпосылки!$I135/(BA$8+1-BA$7)))</f>
        <v>0</v>
      </c>
      <c s="125">
        <f>IF(Предпосылки!$I135&lt;0,BC104,BB127*(Предпосылки!$I135/(BB$8+1-BB$7)))</f>
        <v>0</v>
      </c>
      <c s="125">
        <f>IF(Предпосылки!$I135&lt;0,BD104,BC127*(Предпосылки!$I135/(BC$8+1-BC$7)))</f>
        <v>0</v>
      </c>
      <c s="125">
        <f>IF(Предпосылки!$I135&lt;0,BE104,BD127*(Предпосылки!$I135/(BD$8+1-BD$7)))</f>
        <v>0</v>
      </c>
      <c s="125">
        <f>IF(Предпосылки!$I135&lt;0,BF104,BE127*(Предпосылки!$I135/(BE$8+1-BE$7)))</f>
        <v>0</v>
      </c>
      <c s="125">
        <f>IF(Предпосылки!$I135&lt;0,BG104,BF127*(Предпосылки!$I135/(BF$8+1-BF$7)))</f>
        <v>0</v>
      </c>
      <c s="125">
        <f>IF(Предпосылки!$I135&lt;0,BH104,BG127*(Предпосылки!$I135/(BG$8+1-BG$7)))</f>
        <v>0</v>
      </c>
      <c s="125">
        <f>IF(Предпосылки!$I135&lt;0,BI104,BH127*(Предпосылки!$I135/(BH$8+1-BH$7)))</f>
        <v>0</v>
      </c>
      <c s="125">
        <f>IF(Предпосылки!$I135&lt;0,BJ104,BI127*(Предпосылки!$I135/(BI$8+1-BI$7)))</f>
        <v>0</v>
      </c>
      <c s="125">
        <f>IF(Предпосылки!$I135&lt;0,BK104,BJ127*(Предпосылки!$I135/(BJ$8+1-BJ$7)))</f>
        <v>0</v>
      </c>
      <c s="125">
        <f>IF(Предпосылки!$I135&lt;0,BL104,BK127*(Предпосылки!$I135/(BK$8+1-BK$7)))</f>
        <v>0</v>
      </c>
      <c s="125">
        <f>IF(Предпосылки!$I135&lt;0,BM104,BL127*(Предпосылки!$I135/(BL$8+1-BL$7)))</f>
        <v>0</v>
      </c>
      <c s="125">
        <f>IF(Предпосылки!$I135&lt;0,BN104,BM127*(Предпосылки!$I135/(BM$8+1-BM$7)))</f>
        <v>0</v>
      </c>
    </row>
    <row r="174" spans="2:65" ht="15" customHeight="1">
      <c r="B174" s="12" t="str">
        <f t="shared" si="192"/>
        <v>Продукт 15</v>
      </c>
      <c s="124" t="str">
        <f t="shared" si="191"/>
        <v>тыс. руб.</v>
      </c>
      <c s="125"/>
      <c s="125">
        <f>IF(Предпосылки!$I136&lt;0,F105,E128*(Предпосылки!$I136/(E$8+1-E$7)))</f>
        <v>0</v>
      </c>
      <c s="125">
        <f>IF(Предпосылки!$I136&lt;0,G105,F128*(Предпосылки!$I136/(F$8+1-F$7)))</f>
        <v>0</v>
      </c>
      <c s="125">
        <f>IF(Предпосылки!$I136&lt;0,H105,G128*(Предпосылки!$I136/(G$8+1-G$7)))</f>
        <v>0</v>
      </c>
      <c s="125">
        <f>IF(Предпосылки!$I136&lt;0,I105,H128*(Предпосылки!$I136/(H$8+1-H$7)))</f>
        <v>0</v>
      </c>
      <c s="125">
        <f>IF(Предпосылки!$I136&lt;0,J105,I128*(Предпосылки!$I136/(I$8+1-I$7)))</f>
        <v>0</v>
      </c>
      <c s="125">
        <f>IF(Предпосылки!$I136&lt;0,K105,J128*(Предпосылки!$I136/(J$8+1-J$7)))</f>
        <v>0</v>
      </c>
      <c s="125">
        <f>IF(Предпосылки!$I136&lt;0,L105,K128*(Предпосылки!$I136/(K$8+1-K$7)))</f>
        <v>0</v>
      </c>
      <c s="125">
        <f>IF(Предпосылки!$I136&lt;0,M105,L128*(Предпосылки!$I136/(L$8+1-L$7)))</f>
        <v>0</v>
      </c>
      <c s="125">
        <f>IF(Предпосылки!$I136&lt;0,N105,M128*(Предпосылки!$I136/(M$8+1-M$7)))</f>
        <v>0</v>
      </c>
      <c s="125">
        <f>IF(Предпосылки!$I136&lt;0,O105,N128*(Предпосылки!$I136/(N$8+1-N$7)))</f>
        <v>0</v>
      </c>
      <c s="125">
        <f>IF(Предпосылки!$I136&lt;0,P105,O128*(Предпосылки!$I136/(O$8+1-O$7)))</f>
        <v>0</v>
      </c>
      <c s="125">
        <f>IF(Предпосылки!$I136&lt;0,Q105,P128*(Предпосылки!$I136/(P$8+1-P$7)))</f>
        <v>0</v>
      </c>
      <c s="125">
        <f>IF(Предпосылки!$I136&lt;0,R105,Q128*(Предпосылки!$I136/(Q$8+1-Q$7)))</f>
        <v>0</v>
      </c>
      <c s="125">
        <f>IF(Предпосылки!$I136&lt;0,S105,R128*(Предпосылки!$I136/(R$8+1-R$7)))</f>
        <v>0</v>
      </c>
      <c s="125">
        <f>IF(Предпосылки!$I136&lt;0,T105,S128*(Предпосылки!$I136/(S$8+1-S$7)))</f>
        <v>0</v>
      </c>
      <c s="125">
        <f>IF(Предпосылки!$I136&lt;0,U105,T128*(Предпосылки!$I136/(T$8+1-T$7)))</f>
        <v>0</v>
      </c>
      <c s="125">
        <f>IF(Предпосылки!$I136&lt;0,V105,U128*(Предпосылки!$I136/(U$8+1-U$7)))</f>
        <v>0</v>
      </c>
      <c s="125">
        <f>IF(Предпосылки!$I136&lt;0,W105,V128*(Предпосылки!$I136/(V$8+1-V$7)))</f>
        <v>0</v>
      </c>
      <c s="125">
        <f>IF(Предпосылки!$I136&lt;0,X105,W128*(Предпосылки!$I136/(W$8+1-W$7)))</f>
        <v>0</v>
      </c>
      <c s="125">
        <f>IF(Предпосылки!$I136&lt;0,Y105,X128*(Предпосылки!$I136/(X$8+1-X$7)))</f>
        <v>0</v>
      </c>
      <c s="125">
        <f>IF(Предпосылки!$I136&lt;0,Z105,Y128*(Предпосылки!$I136/(Y$8+1-Y$7)))</f>
        <v>0</v>
      </c>
      <c s="125">
        <f>IF(Предпосылки!$I136&lt;0,AA105,Z128*(Предпосылки!$I136/(Z$8+1-Z$7)))</f>
        <v>0</v>
      </c>
      <c s="125">
        <f>IF(Предпосылки!$I136&lt;0,AB105,AA128*(Предпосылки!$I136/(AA$8+1-AA$7)))</f>
        <v>0</v>
      </c>
      <c s="125">
        <f>IF(Предпосылки!$I136&lt;0,AC105,AB128*(Предпосылки!$I136/(AB$8+1-AB$7)))</f>
        <v>0</v>
      </c>
      <c s="125">
        <f>IF(Предпосылки!$I136&lt;0,AD105,AC128*(Предпосылки!$I136/(AC$8+1-AC$7)))</f>
        <v>0</v>
      </c>
      <c s="125">
        <f>IF(Предпосылки!$I136&lt;0,AE105,AD128*(Предпосылки!$I136/(AD$8+1-AD$7)))</f>
        <v>0</v>
      </c>
      <c s="125">
        <f>IF(Предпосылки!$I136&lt;0,AF105,AE128*(Предпосылки!$I136/(AE$8+1-AE$7)))</f>
        <v>0</v>
      </c>
      <c s="125">
        <f>IF(Предпосылки!$I136&lt;0,AG105,AF128*(Предпосылки!$I136/(AF$8+1-AF$7)))</f>
        <v>0</v>
      </c>
      <c s="125">
        <f>IF(Предпосылки!$I136&lt;0,AH105,AG128*(Предпосылки!$I136/(AG$8+1-AG$7)))</f>
        <v>0</v>
      </c>
      <c s="125">
        <f>IF(Предпосылки!$I136&lt;0,AI105,AH128*(Предпосылки!$I136/(AH$8+1-AH$7)))</f>
        <v>0</v>
      </c>
      <c s="125">
        <f>IF(Предпосылки!$I136&lt;0,AJ105,AI128*(Предпосылки!$I136/(AI$8+1-AI$7)))</f>
        <v>0</v>
      </c>
      <c s="125">
        <f>IF(Предпосылки!$I136&lt;0,AK105,AJ128*(Предпосылки!$I136/(AJ$8+1-AJ$7)))</f>
        <v>0</v>
      </c>
      <c s="125">
        <f>IF(Предпосылки!$I136&lt;0,AL105,AK128*(Предпосылки!$I136/(AK$8+1-AK$7)))</f>
        <v>0</v>
      </c>
      <c s="125">
        <f>IF(Предпосылки!$I136&lt;0,AM105,AL128*(Предпосылки!$I136/(AL$8+1-AL$7)))</f>
        <v>0</v>
      </c>
      <c s="125">
        <f>IF(Предпосылки!$I136&lt;0,AN105,AM128*(Предпосылки!$I136/(AM$8+1-AM$7)))</f>
        <v>0</v>
      </c>
      <c s="125">
        <f>IF(Предпосылки!$I136&lt;0,AO105,AN128*(Предпосылки!$I136/(AN$8+1-AN$7)))</f>
        <v>0</v>
      </c>
      <c s="125">
        <f>IF(Предпосылки!$I136&lt;0,AP105,AO128*(Предпосылки!$I136/(AO$8+1-AO$7)))</f>
        <v>0</v>
      </c>
      <c s="125">
        <f>IF(Предпосылки!$I136&lt;0,AQ105,AP128*(Предпосылки!$I136/(AP$8+1-AP$7)))</f>
        <v>0</v>
      </c>
      <c s="125">
        <f>IF(Предпосылки!$I136&lt;0,AR105,AQ128*(Предпосылки!$I136/(AQ$8+1-AQ$7)))</f>
        <v>0</v>
      </c>
      <c s="125">
        <f>IF(Предпосылки!$I136&lt;0,AS105,AR128*(Предпосылки!$I136/(AR$8+1-AR$7)))</f>
        <v>0</v>
      </c>
      <c s="125">
        <f>IF(Предпосылки!$I136&lt;0,AT105,AS128*(Предпосылки!$I136/(AS$8+1-AS$7)))</f>
        <v>0</v>
      </c>
      <c s="125">
        <f>IF(Предпосылки!$I136&lt;0,AU105,AT128*(Предпосылки!$I136/(AT$8+1-AT$7)))</f>
        <v>0</v>
      </c>
      <c s="125">
        <f>IF(Предпосылки!$I136&lt;0,AV105,AU128*(Предпосылки!$I136/(AU$8+1-AU$7)))</f>
        <v>0</v>
      </c>
      <c s="125">
        <f>IF(Предпосылки!$I136&lt;0,AW105,AV128*(Предпосылки!$I136/(AV$8+1-AV$7)))</f>
        <v>0</v>
      </c>
      <c s="125">
        <f>IF(Предпосылки!$I136&lt;0,AX105,AW128*(Предпосылки!$I136/(AW$8+1-AW$7)))</f>
        <v>0</v>
      </c>
      <c s="125">
        <f>IF(Предпосылки!$I136&lt;0,AY105,AX128*(Предпосылки!$I136/(AX$8+1-AX$7)))</f>
        <v>0</v>
      </c>
      <c s="125">
        <f>IF(Предпосылки!$I136&lt;0,AZ105,AY128*(Предпосылки!$I136/(AY$8+1-AY$7)))</f>
        <v>0</v>
      </c>
      <c s="125">
        <f>IF(Предпосылки!$I136&lt;0,BA105,AZ128*(Предпосылки!$I136/(AZ$8+1-AZ$7)))</f>
        <v>0</v>
      </c>
      <c s="125">
        <f>IF(Предпосылки!$I136&lt;0,BB105,BA128*(Предпосылки!$I136/(BA$8+1-BA$7)))</f>
        <v>0</v>
      </c>
      <c s="125">
        <f>IF(Предпосылки!$I136&lt;0,BC105,BB128*(Предпосылки!$I136/(BB$8+1-BB$7)))</f>
        <v>0</v>
      </c>
      <c s="125">
        <f>IF(Предпосылки!$I136&lt;0,BD105,BC128*(Предпосылки!$I136/(BC$8+1-BC$7)))</f>
        <v>0</v>
      </c>
      <c s="125">
        <f>IF(Предпосылки!$I136&lt;0,BE105,BD128*(Предпосылки!$I136/(BD$8+1-BD$7)))</f>
        <v>0</v>
      </c>
      <c s="125">
        <f>IF(Предпосылки!$I136&lt;0,BF105,BE128*(Предпосылки!$I136/(BE$8+1-BE$7)))</f>
        <v>0</v>
      </c>
      <c s="125">
        <f>IF(Предпосылки!$I136&lt;0,BG105,BF128*(Предпосылки!$I136/(BF$8+1-BF$7)))</f>
        <v>0</v>
      </c>
      <c s="125">
        <f>IF(Предпосылки!$I136&lt;0,BH105,BG128*(Предпосылки!$I136/(BG$8+1-BG$7)))</f>
        <v>0</v>
      </c>
      <c s="125">
        <f>IF(Предпосылки!$I136&lt;0,BI105,BH128*(Предпосылки!$I136/(BH$8+1-BH$7)))</f>
        <v>0</v>
      </c>
      <c s="125">
        <f>IF(Предпосылки!$I136&lt;0,BJ105,BI128*(Предпосылки!$I136/(BI$8+1-BI$7)))</f>
        <v>0</v>
      </c>
      <c s="125">
        <f>IF(Предпосылки!$I136&lt;0,BK105,BJ128*(Предпосылки!$I136/(BJ$8+1-BJ$7)))</f>
        <v>0</v>
      </c>
      <c s="125">
        <f>IF(Предпосылки!$I136&lt;0,BL105,BK128*(Предпосылки!$I136/(BK$8+1-BK$7)))</f>
        <v>0</v>
      </c>
      <c s="125">
        <f>IF(Предпосылки!$I136&lt;0,BM105,BL128*(Предпосылки!$I136/(BL$8+1-BL$7)))</f>
        <v>0</v>
      </c>
      <c s="125">
        <f>IF(Предпосылки!$I136&lt;0,BN105,BM128*(Предпосылки!$I136/(BM$8+1-BM$7)))</f>
        <v>0</v>
      </c>
    </row>
    <row r="175" spans="2:65" ht="15" customHeight="1">
      <c r="B175" s="12" t="str">
        <f t="shared" si="192"/>
        <v>Продукт 16</v>
      </c>
      <c s="124" t="str">
        <f t="shared" si="191"/>
        <v>тыс. руб.</v>
      </c>
      <c s="125"/>
      <c s="125">
        <f>IF(Предпосылки!$I137&lt;0,F106,E129*(Предпосылки!$I137/(E$8+1-E$7)))</f>
        <v>0</v>
      </c>
      <c s="125">
        <f>IF(Предпосылки!$I137&lt;0,G106,F129*(Предпосылки!$I137/(F$8+1-F$7)))</f>
        <v>0</v>
      </c>
      <c s="125">
        <f>IF(Предпосылки!$I137&lt;0,H106,G129*(Предпосылки!$I137/(G$8+1-G$7)))</f>
        <v>0</v>
      </c>
      <c s="125">
        <f>IF(Предпосылки!$I137&lt;0,I106,H129*(Предпосылки!$I137/(H$8+1-H$7)))</f>
        <v>0</v>
      </c>
      <c s="125">
        <f>IF(Предпосылки!$I137&lt;0,J106,I129*(Предпосылки!$I137/(I$8+1-I$7)))</f>
        <v>0</v>
      </c>
      <c s="125">
        <f>IF(Предпосылки!$I137&lt;0,K106,J129*(Предпосылки!$I137/(J$8+1-J$7)))</f>
        <v>0</v>
      </c>
      <c s="125">
        <f>IF(Предпосылки!$I137&lt;0,L106,K129*(Предпосылки!$I137/(K$8+1-K$7)))</f>
        <v>0</v>
      </c>
      <c s="125">
        <f>IF(Предпосылки!$I137&lt;0,M106,L129*(Предпосылки!$I137/(L$8+1-L$7)))</f>
        <v>0</v>
      </c>
      <c s="125">
        <f>IF(Предпосылки!$I137&lt;0,N106,M129*(Предпосылки!$I137/(M$8+1-M$7)))</f>
        <v>0</v>
      </c>
      <c s="125">
        <f>IF(Предпосылки!$I137&lt;0,O106,N129*(Предпосылки!$I137/(N$8+1-N$7)))</f>
        <v>0</v>
      </c>
      <c s="125">
        <f>IF(Предпосылки!$I137&lt;0,P106,O129*(Предпосылки!$I137/(O$8+1-O$7)))</f>
        <v>0</v>
      </c>
      <c s="125">
        <f>IF(Предпосылки!$I137&lt;0,Q106,P129*(Предпосылки!$I137/(P$8+1-P$7)))</f>
        <v>0</v>
      </c>
      <c s="125">
        <f>IF(Предпосылки!$I137&lt;0,R106,Q129*(Предпосылки!$I137/(Q$8+1-Q$7)))</f>
        <v>0</v>
      </c>
      <c s="125">
        <f>IF(Предпосылки!$I137&lt;0,S106,R129*(Предпосылки!$I137/(R$8+1-R$7)))</f>
        <v>0</v>
      </c>
      <c s="125">
        <f>IF(Предпосылки!$I137&lt;0,T106,S129*(Предпосылки!$I137/(S$8+1-S$7)))</f>
        <v>0</v>
      </c>
      <c s="125">
        <f>IF(Предпосылки!$I137&lt;0,U106,T129*(Предпосылки!$I137/(T$8+1-T$7)))</f>
        <v>0</v>
      </c>
      <c s="125">
        <f>IF(Предпосылки!$I137&lt;0,V106,U129*(Предпосылки!$I137/(U$8+1-U$7)))</f>
        <v>0</v>
      </c>
      <c s="125">
        <f>IF(Предпосылки!$I137&lt;0,W106,V129*(Предпосылки!$I137/(V$8+1-V$7)))</f>
        <v>0</v>
      </c>
      <c s="125">
        <f>IF(Предпосылки!$I137&lt;0,X106,W129*(Предпосылки!$I137/(W$8+1-W$7)))</f>
        <v>0</v>
      </c>
      <c s="125">
        <f>IF(Предпосылки!$I137&lt;0,Y106,X129*(Предпосылки!$I137/(X$8+1-X$7)))</f>
        <v>0</v>
      </c>
      <c s="125">
        <f>IF(Предпосылки!$I137&lt;0,Z106,Y129*(Предпосылки!$I137/(Y$8+1-Y$7)))</f>
        <v>0</v>
      </c>
      <c s="125">
        <f>IF(Предпосылки!$I137&lt;0,AA106,Z129*(Предпосылки!$I137/(Z$8+1-Z$7)))</f>
        <v>0</v>
      </c>
      <c s="125">
        <f>IF(Предпосылки!$I137&lt;0,AB106,AA129*(Предпосылки!$I137/(AA$8+1-AA$7)))</f>
        <v>0</v>
      </c>
      <c s="125">
        <f>IF(Предпосылки!$I137&lt;0,AC106,AB129*(Предпосылки!$I137/(AB$8+1-AB$7)))</f>
        <v>0</v>
      </c>
      <c s="125">
        <f>IF(Предпосылки!$I137&lt;0,AD106,AC129*(Предпосылки!$I137/(AC$8+1-AC$7)))</f>
        <v>0</v>
      </c>
      <c s="125">
        <f>IF(Предпосылки!$I137&lt;0,AE106,AD129*(Предпосылки!$I137/(AD$8+1-AD$7)))</f>
        <v>0</v>
      </c>
      <c s="125">
        <f>IF(Предпосылки!$I137&lt;0,AF106,AE129*(Предпосылки!$I137/(AE$8+1-AE$7)))</f>
        <v>0</v>
      </c>
      <c s="125">
        <f>IF(Предпосылки!$I137&lt;0,AG106,AF129*(Предпосылки!$I137/(AF$8+1-AF$7)))</f>
        <v>0</v>
      </c>
      <c s="125">
        <f>IF(Предпосылки!$I137&lt;0,AH106,AG129*(Предпосылки!$I137/(AG$8+1-AG$7)))</f>
        <v>0</v>
      </c>
      <c s="125">
        <f>IF(Предпосылки!$I137&lt;0,AI106,AH129*(Предпосылки!$I137/(AH$8+1-AH$7)))</f>
        <v>0</v>
      </c>
      <c s="125">
        <f>IF(Предпосылки!$I137&lt;0,AJ106,AI129*(Предпосылки!$I137/(AI$8+1-AI$7)))</f>
        <v>0</v>
      </c>
      <c s="125">
        <f>IF(Предпосылки!$I137&lt;0,AK106,AJ129*(Предпосылки!$I137/(AJ$8+1-AJ$7)))</f>
        <v>0</v>
      </c>
      <c s="125">
        <f>IF(Предпосылки!$I137&lt;0,AL106,AK129*(Предпосылки!$I137/(AK$8+1-AK$7)))</f>
        <v>0</v>
      </c>
      <c s="125">
        <f>IF(Предпосылки!$I137&lt;0,AM106,AL129*(Предпосылки!$I137/(AL$8+1-AL$7)))</f>
        <v>0</v>
      </c>
      <c s="125">
        <f>IF(Предпосылки!$I137&lt;0,AN106,AM129*(Предпосылки!$I137/(AM$8+1-AM$7)))</f>
        <v>0</v>
      </c>
      <c s="125">
        <f>IF(Предпосылки!$I137&lt;0,AO106,AN129*(Предпосылки!$I137/(AN$8+1-AN$7)))</f>
        <v>0</v>
      </c>
      <c s="125">
        <f>IF(Предпосылки!$I137&lt;0,AP106,AO129*(Предпосылки!$I137/(AO$8+1-AO$7)))</f>
        <v>0</v>
      </c>
      <c s="125">
        <f>IF(Предпосылки!$I137&lt;0,AQ106,AP129*(Предпосылки!$I137/(AP$8+1-AP$7)))</f>
        <v>0</v>
      </c>
      <c s="125">
        <f>IF(Предпосылки!$I137&lt;0,AR106,AQ129*(Предпосылки!$I137/(AQ$8+1-AQ$7)))</f>
        <v>0</v>
      </c>
      <c s="125">
        <f>IF(Предпосылки!$I137&lt;0,AS106,AR129*(Предпосылки!$I137/(AR$8+1-AR$7)))</f>
        <v>0</v>
      </c>
      <c s="125">
        <f>IF(Предпосылки!$I137&lt;0,AT106,AS129*(Предпосылки!$I137/(AS$8+1-AS$7)))</f>
        <v>0</v>
      </c>
      <c s="125">
        <f>IF(Предпосылки!$I137&lt;0,AU106,AT129*(Предпосылки!$I137/(AT$8+1-AT$7)))</f>
        <v>0</v>
      </c>
      <c s="125">
        <f>IF(Предпосылки!$I137&lt;0,AV106,AU129*(Предпосылки!$I137/(AU$8+1-AU$7)))</f>
        <v>0</v>
      </c>
      <c s="125">
        <f>IF(Предпосылки!$I137&lt;0,AW106,AV129*(Предпосылки!$I137/(AV$8+1-AV$7)))</f>
        <v>0</v>
      </c>
      <c s="125">
        <f>IF(Предпосылки!$I137&lt;0,AX106,AW129*(Предпосылки!$I137/(AW$8+1-AW$7)))</f>
        <v>0</v>
      </c>
      <c s="125">
        <f>IF(Предпосылки!$I137&lt;0,AY106,AX129*(Предпосылки!$I137/(AX$8+1-AX$7)))</f>
        <v>0</v>
      </c>
      <c s="125">
        <f>IF(Предпосылки!$I137&lt;0,AZ106,AY129*(Предпосылки!$I137/(AY$8+1-AY$7)))</f>
        <v>0</v>
      </c>
      <c s="125">
        <f>IF(Предпосылки!$I137&lt;0,BA106,AZ129*(Предпосылки!$I137/(AZ$8+1-AZ$7)))</f>
        <v>0</v>
      </c>
      <c s="125">
        <f>IF(Предпосылки!$I137&lt;0,BB106,BA129*(Предпосылки!$I137/(BA$8+1-BA$7)))</f>
        <v>0</v>
      </c>
      <c s="125">
        <f>IF(Предпосылки!$I137&lt;0,BC106,BB129*(Предпосылки!$I137/(BB$8+1-BB$7)))</f>
        <v>0</v>
      </c>
      <c s="125">
        <f>IF(Предпосылки!$I137&lt;0,BD106,BC129*(Предпосылки!$I137/(BC$8+1-BC$7)))</f>
        <v>0</v>
      </c>
      <c s="125">
        <f>IF(Предпосылки!$I137&lt;0,BE106,BD129*(Предпосылки!$I137/(BD$8+1-BD$7)))</f>
        <v>0</v>
      </c>
      <c s="125">
        <f>IF(Предпосылки!$I137&lt;0,BF106,BE129*(Предпосылки!$I137/(BE$8+1-BE$7)))</f>
        <v>0</v>
      </c>
      <c s="125">
        <f>IF(Предпосылки!$I137&lt;0,BG106,BF129*(Предпосылки!$I137/(BF$8+1-BF$7)))</f>
        <v>0</v>
      </c>
      <c s="125">
        <f>IF(Предпосылки!$I137&lt;0,BH106,BG129*(Предпосылки!$I137/(BG$8+1-BG$7)))</f>
        <v>0</v>
      </c>
      <c s="125">
        <f>IF(Предпосылки!$I137&lt;0,BI106,BH129*(Предпосылки!$I137/(BH$8+1-BH$7)))</f>
        <v>0</v>
      </c>
      <c s="125">
        <f>IF(Предпосылки!$I137&lt;0,BJ106,BI129*(Предпосылки!$I137/(BI$8+1-BI$7)))</f>
        <v>0</v>
      </c>
      <c s="125">
        <f>IF(Предпосылки!$I137&lt;0,BK106,BJ129*(Предпосылки!$I137/(BJ$8+1-BJ$7)))</f>
        <v>0</v>
      </c>
      <c s="125">
        <f>IF(Предпосылки!$I137&lt;0,BL106,BK129*(Предпосылки!$I137/(BK$8+1-BK$7)))</f>
        <v>0</v>
      </c>
      <c s="125">
        <f>IF(Предпосылки!$I137&lt;0,BM106,BL129*(Предпосылки!$I137/(BL$8+1-BL$7)))</f>
        <v>0</v>
      </c>
      <c s="125">
        <f>IF(Предпосылки!$I137&lt;0,BN106,BM129*(Предпосылки!$I137/(BM$8+1-BM$7)))</f>
        <v>0</v>
      </c>
    </row>
    <row r="176" spans="2:65" ht="15" customHeight="1">
      <c r="B176" s="12" t="str">
        <f t="shared" si="192"/>
        <v>Продукт 17</v>
      </c>
      <c s="124" t="str">
        <f t="shared" si="191"/>
        <v>тыс. руб.</v>
      </c>
      <c s="125"/>
      <c s="125">
        <f>IF(Предпосылки!$I138&lt;0,F107,E130*(Предпосылки!$I138/(E$8+1-E$7)))</f>
        <v>0</v>
      </c>
      <c s="125">
        <f>IF(Предпосылки!$I138&lt;0,G107,F130*(Предпосылки!$I138/(F$8+1-F$7)))</f>
        <v>0</v>
      </c>
      <c s="125">
        <f>IF(Предпосылки!$I138&lt;0,H107,G130*(Предпосылки!$I138/(G$8+1-G$7)))</f>
        <v>0</v>
      </c>
      <c s="125">
        <f>IF(Предпосылки!$I138&lt;0,I107,H130*(Предпосылки!$I138/(H$8+1-H$7)))</f>
        <v>0</v>
      </c>
      <c s="125">
        <f>IF(Предпосылки!$I138&lt;0,J107,I130*(Предпосылки!$I138/(I$8+1-I$7)))</f>
        <v>0</v>
      </c>
      <c s="125">
        <f>IF(Предпосылки!$I138&lt;0,K107,J130*(Предпосылки!$I138/(J$8+1-J$7)))</f>
        <v>0</v>
      </c>
      <c s="125">
        <f>IF(Предпосылки!$I138&lt;0,L107,K130*(Предпосылки!$I138/(K$8+1-K$7)))</f>
        <v>0</v>
      </c>
      <c s="125">
        <f>IF(Предпосылки!$I138&lt;0,M107,L130*(Предпосылки!$I138/(L$8+1-L$7)))</f>
        <v>0</v>
      </c>
      <c s="125">
        <f>IF(Предпосылки!$I138&lt;0,N107,M130*(Предпосылки!$I138/(M$8+1-M$7)))</f>
        <v>0</v>
      </c>
      <c s="125">
        <f>IF(Предпосылки!$I138&lt;0,O107,N130*(Предпосылки!$I138/(N$8+1-N$7)))</f>
        <v>0</v>
      </c>
      <c s="125">
        <f>IF(Предпосылки!$I138&lt;0,P107,O130*(Предпосылки!$I138/(O$8+1-O$7)))</f>
        <v>0</v>
      </c>
      <c s="125">
        <f>IF(Предпосылки!$I138&lt;0,Q107,P130*(Предпосылки!$I138/(P$8+1-P$7)))</f>
        <v>0</v>
      </c>
      <c s="125">
        <f>IF(Предпосылки!$I138&lt;0,R107,Q130*(Предпосылки!$I138/(Q$8+1-Q$7)))</f>
        <v>0</v>
      </c>
      <c s="125">
        <f>IF(Предпосылки!$I138&lt;0,S107,R130*(Предпосылки!$I138/(R$8+1-R$7)))</f>
        <v>0</v>
      </c>
      <c s="125">
        <f>IF(Предпосылки!$I138&lt;0,T107,S130*(Предпосылки!$I138/(S$8+1-S$7)))</f>
        <v>0</v>
      </c>
      <c s="125">
        <f>IF(Предпосылки!$I138&lt;0,U107,T130*(Предпосылки!$I138/(T$8+1-T$7)))</f>
        <v>0</v>
      </c>
      <c s="125">
        <f>IF(Предпосылки!$I138&lt;0,V107,U130*(Предпосылки!$I138/(U$8+1-U$7)))</f>
        <v>0</v>
      </c>
      <c s="125">
        <f>IF(Предпосылки!$I138&lt;0,W107,V130*(Предпосылки!$I138/(V$8+1-V$7)))</f>
        <v>0</v>
      </c>
      <c s="125">
        <f>IF(Предпосылки!$I138&lt;0,X107,W130*(Предпосылки!$I138/(W$8+1-W$7)))</f>
        <v>0</v>
      </c>
      <c s="125">
        <f>IF(Предпосылки!$I138&lt;0,Y107,X130*(Предпосылки!$I138/(X$8+1-X$7)))</f>
        <v>0</v>
      </c>
      <c s="125">
        <f>IF(Предпосылки!$I138&lt;0,Z107,Y130*(Предпосылки!$I138/(Y$8+1-Y$7)))</f>
        <v>0</v>
      </c>
      <c s="125">
        <f>IF(Предпосылки!$I138&lt;0,AA107,Z130*(Предпосылки!$I138/(Z$8+1-Z$7)))</f>
        <v>0</v>
      </c>
      <c s="125">
        <f>IF(Предпосылки!$I138&lt;0,AB107,AA130*(Предпосылки!$I138/(AA$8+1-AA$7)))</f>
        <v>0</v>
      </c>
      <c s="125">
        <f>IF(Предпосылки!$I138&lt;0,AC107,AB130*(Предпосылки!$I138/(AB$8+1-AB$7)))</f>
        <v>0</v>
      </c>
      <c s="125">
        <f>IF(Предпосылки!$I138&lt;0,AD107,AC130*(Предпосылки!$I138/(AC$8+1-AC$7)))</f>
        <v>0</v>
      </c>
      <c s="125">
        <f>IF(Предпосылки!$I138&lt;0,AE107,AD130*(Предпосылки!$I138/(AD$8+1-AD$7)))</f>
        <v>0</v>
      </c>
      <c s="125">
        <f>IF(Предпосылки!$I138&lt;0,AF107,AE130*(Предпосылки!$I138/(AE$8+1-AE$7)))</f>
        <v>0</v>
      </c>
      <c s="125">
        <f>IF(Предпосылки!$I138&lt;0,AG107,AF130*(Предпосылки!$I138/(AF$8+1-AF$7)))</f>
        <v>0</v>
      </c>
      <c s="125">
        <f>IF(Предпосылки!$I138&lt;0,AH107,AG130*(Предпосылки!$I138/(AG$8+1-AG$7)))</f>
        <v>0</v>
      </c>
      <c s="125">
        <f>IF(Предпосылки!$I138&lt;0,AI107,AH130*(Предпосылки!$I138/(AH$8+1-AH$7)))</f>
        <v>0</v>
      </c>
      <c s="125">
        <f>IF(Предпосылки!$I138&lt;0,AJ107,AI130*(Предпосылки!$I138/(AI$8+1-AI$7)))</f>
        <v>0</v>
      </c>
      <c s="125">
        <f>IF(Предпосылки!$I138&lt;0,AK107,AJ130*(Предпосылки!$I138/(AJ$8+1-AJ$7)))</f>
        <v>0</v>
      </c>
      <c s="125">
        <f>IF(Предпосылки!$I138&lt;0,AL107,AK130*(Предпосылки!$I138/(AK$8+1-AK$7)))</f>
        <v>0</v>
      </c>
      <c s="125">
        <f>IF(Предпосылки!$I138&lt;0,AM107,AL130*(Предпосылки!$I138/(AL$8+1-AL$7)))</f>
        <v>0</v>
      </c>
      <c s="125">
        <f>IF(Предпосылки!$I138&lt;0,AN107,AM130*(Предпосылки!$I138/(AM$8+1-AM$7)))</f>
        <v>0</v>
      </c>
      <c s="125">
        <f>IF(Предпосылки!$I138&lt;0,AO107,AN130*(Предпосылки!$I138/(AN$8+1-AN$7)))</f>
        <v>0</v>
      </c>
      <c s="125">
        <f>IF(Предпосылки!$I138&lt;0,AP107,AO130*(Предпосылки!$I138/(AO$8+1-AO$7)))</f>
        <v>0</v>
      </c>
      <c s="125">
        <f>IF(Предпосылки!$I138&lt;0,AQ107,AP130*(Предпосылки!$I138/(AP$8+1-AP$7)))</f>
        <v>0</v>
      </c>
      <c s="125">
        <f>IF(Предпосылки!$I138&lt;0,AR107,AQ130*(Предпосылки!$I138/(AQ$8+1-AQ$7)))</f>
        <v>0</v>
      </c>
      <c s="125">
        <f>IF(Предпосылки!$I138&lt;0,AS107,AR130*(Предпосылки!$I138/(AR$8+1-AR$7)))</f>
        <v>0</v>
      </c>
      <c s="125">
        <f>IF(Предпосылки!$I138&lt;0,AT107,AS130*(Предпосылки!$I138/(AS$8+1-AS$7)))</f>
        <v>0</v>
      </c>
      <c s="125">
        <f>IF(Предпосылки!$I138&lt;0,AU107,AT130*(Предпосылки!$I138/(AT$8+1-AT$7)))</f>
        <v>0</v>
      </c>
      <c s="125">
        <f>IF(Предпосылки!$I138&lt;0,AV107,AU130*(Предпосылки!$I138/(AU$8+1-AU$7)))</f>
        <v>0</v>
      </c>
      <c s="125">
        <f>IF(Предпосылки!$I138&lt;0,AW107,AV130*(Предпосылки!$I138/(AV$8+1-AV$7)))</f>
        <v>0</v>
      </c>
      <c s="125">
        <f>IF(Предпосылки!$I138&lt;0,AX107,AW130*(Предпосылки!$I138/(AW$8+1-AW$7)))</f>
        <v>0</v>
      </c>
      <c s="125">
        <f>IF(Предпосылки!$I138&lt;0,AY107,AX130*(Предпосылки!$I138/(AX$8+1-AX$7)))</f>
        <v>0</v>
      </c>
      <c s="125">
        <f>IF(Предпосылки!$I138&lt;0,AZ107,AY130*(Предпосылки!$I138/(AY$8+1-AY$7)))</f>
        <v>0</v>
      </c>
      <c s="125">
        <f>IF(Предпосылки!$I138&lt;0,BA107,AZ130*(Предпосылки!$I138/(AZ$8+1-AZ$7)))</f>
        <v>0</v>
      </c>
      <c s="125">
        <f>IF(Предпосылки!$I138&lt;0,BB107,BA130*(Предпосылки!$I138/(BA$8+1-BA$7)))</f>
        <v>0</v>
      </c>
      <c s="125">
        <f>IF(Предпосылки!$I138&lt;0,BC107,BB130*(Предпосылки!$I138/(BB$8+1-BB$7)))</f>
        <v>0</v>
      </c>
      <c s="125">
        <f>IF(Предпосылки!$I138&lt;0,BD107,BC130*(Предпосылки!$I138/(BC$8+1-BC$7)))</f>
        <v>0</v>
      </c>
      <c s="125">
        <f>IF(Предпосылки!$I138&lt;0,BE107,BD130*(Предпосылки!$I138/(BD$8+1-BD$7)))</f>
        <v>0</v>
      </c>
      <c s="125">
        <f>IF(Предпосылки!$I138&lt;0,BF107,BE130*(Предпосылки!$I138/(BE$8+1-BE$7)))</f>
        <v>0</v>
      </c>
      <c s="125">
        <f>IF(Предпосылки!$I138&lt;0,BG107,BF130*(Предпосылки!$I138/(BF$8+1-BF$7)))</f>
        <v>0</v>
      </c>
      <c s="125">
        <f>IF(Предпосылки!$I138&lt;0,BH107,BG130*(Предпосылки!$I138/(BG$8+1-BG$7)))</f>
        <v>0</v>
      </c>
      <c s="125">
        <f>IF(Предпосылки!$I138&lt;0,BI107,BH130*(Предпосылки!$I138/(BH$8+1-BH$7)))</f>
        <v>0</v>
      </c>
      <c s="125">
        <f>IF(Предпосылки!$I138&lt;0,BJ107,BI130*(Предпосылки!$I138/(BI$8+1-BI$7)))</f>
        <v>0</v>
      </c>
      <c s="125">
        <f>IF(Предпосылки!$I138&lt;0,BK107,BJ130*(Предпосылки!$I138/(BJ$8+1-BJ$7)))</f>
        <v>0</v>
      </c>
      <c s="125">
        <f>IF(Предпосылки!$I138&lt;0,BL107,BK130*(Предпосылки!$I138/(BK$8+1-BK$7)))</f>
        <v>0</v>
      </c>
      <c s="125">
        <f>IF(Предпосылки!$I138&lt;0,BM107,BL130*(Предпосылки!$I138/(BL$8+1-BL$7)))</f>
        <v>0</v>
      </c>
      <c s="125">
        <f>IF(Предпосылки!$I138&lt;0,BN107,BM130*(Предпосылки!$I138/(BM$8+1-BM$7)))</f>
        <v>0</v>
      </c>
    </row>
    <row r="177" spans="2:65" ht="15" customHeight="1">
      <c r="B177" s="12" t="str">
        <f t="shared" si="192"/>
        <v>Продукт 18</v>
      </c>
      <c s="124" t="str">
        <f t="shared" si="191"/>
        <v>тыс. руб.</v>
      </c>
      <c s="125"/>
      <c s="125">
        <f>IF(Предпосылки!$I139&lt;0,F108,E131*(Предпосылки!$I139/(E$8+1-E$7)))</f>
        <v>0</v>
      </c>
      <c s="125">
        <f>IF(Предпосылки!$I139&lt;0,G108,F131*(Предпосылки!$I139/(F$8+1-F$7)))</f>
        <v>0</v>
      </c>
      <c s="125">
        <f>IF(Предпосылки!$I139&lt;0,H108,G131*(Предпосылки!$I139/(G$8+1-G$7)))</f>
        <v>0</v>
      </c>
      <c s="125">
        <f>IF(Предпосылки!$I139&lt;0,I108,H131*(Предпосылки!$I139/(H$8+1-H$7)))</f>
        <v>0</v>
      </c>
      <c s="125">
        <f>IF(Предпосылки!$I139&lt;0,J108,I131*(Предпосылки!$I139/(I$8+1-I$7)))</f>
        <v>0</v>
      </c>
      <c s="125">
        <f>IF(Предпосылки!$I139&lt;0,K108,J131*(Предпосылки!$I139/(J$8+1-J$7)))</f>
        <v>0</v>
      </c>
      <c s="125">
        <f>IF(Предпосылки!$I139&lt;0,L108,K131*(Предпосылки!$I139/(K$8+1-K$7)))</f>
        <v>0</v>
      </c>
      <c s="125">
        <f>IF(Предпосылки!$I139&lt;0,M108,L131*(Предпосылки!$I139/(L$8+1-L$7)))</f>
        <v>0</v>
      </c>
      <c s="125">
        <f>IF(Предпосылки!$I139&lt;0,N108,M131*(Предпосылки!$I139/(M$8+1-M$7)))</f>
        <v>0</v>
      </c>
      <c s="125">
        <f>IF(Предпосылки!$I139&lt;0,O108,N131*(Предпосылки!$I139/(N$8+1-N$7)))</f>
        <v>0</v>
      </c>
      <c s="125">
        <f>IF(Предпосылки!$I139&lt;0,P108,O131*(Предпосылки!$I139/(O$8+1-O$7)))</f>
        <v>0</v>
      </c>
      <c s="125">
        <f>IF(Предпосылки!$I139&lt;0,Q108,P131*(Предпосылки!$I139/(P$8+1-P$7)))</f>
        <v>0</v>
      </c>
      <c s="125">
        <f>IF(Предпосылки!$I139&lt;0,R108,Q131*(Предпосылки!$I139/(Q$8+1-Q$7)))</f>
        <v>0</v>
      </c>
      <c s="125">
        <f>IF(Предпосылки!$I139&lt;0,S108,R131*(Предпосылки!$I139/(R$8+1-R$7)))</f>
        <v>0</v>
      </c>
      <c s="125">
        <f>IF(Предпосылки!$I139&lt;0,T108,S131*(Предпосылки!$I139/(S$8+1-S$7)))</f>
        <v>0</v>
      </c>
      <c s="125">
        <f>IF(Предпосылки!$I139&lt;0,U108,T131*(Предпосылки!$I139/(T$8+1-T$7)))</f>
        <v>0</v>
      </c>
      <c s="125">
        <f>IF(Предпосылки!$I139&lt;0,V108,U131*(Предпосылки!$I139/(U$8+1-U$7)))</f>
        <v>0</v>
      </c>
      <c s="125">
        <f>IF(Предпосылки!$I139&lt;0,W108,V131*(Предпосылки!$I139/(V$8+1-V$7)))</f>
        <v>0</v>
      </c>
      <c s="125">
        <f>IF(Предпосылки!$I139&lt;0,X108,W131*(Предпосылки!$I139/(W$8+1-W$7)))</f>
        <v>0</v>
      </c>
      <c s="125">
        <f>IF(Предпосылки!$I139&lt;0,Y108,X131*(Предпосылки!$I139/(X$8+1-X$7)))</f>
        <v>0</v>
      </c>
      <c s="125">
        <f>IF(Предпосылки!$I139&lt;0,Z108,Y131*(Предпосылки!$I139/(Y$8+1-Y$7)))</f>
        <v>0</v>
      </c>
      <c s="125">
        <f>IF(Предпосылки!$I139&lt;0,AA108,Z131*(Предпосылки!$I139/(Z$8+1-Z$7)))</f>
        <v>0</v>
      </c>
      <c s="125">
        <f>IF(Предпосылки!$I139&lt;0,AB108,AA131*(Предпосылки!$I139/(AA$8+1-AA$7)))</f>
        <v>0</v>
      </c>
      <c s="125">
        <f>IF(Предпосылки!$I139&lt;0,AC108,AB131*(Предпосылки!$I139/(AB$8+1-AB$7)))</f>
        <v>0</v>
      </c>
      <c s="125">
        <f>IF(Предпосылки!$I139&lt;0,AD108,AC131*(Предпосылки!$I139/(AC$8+1-AC$7)))</f>
        <v>0</v>
      </c>
      <c s="125">
        <f>IF(Предпосылки!$I139&lt;0,AE108,AD131*(Предпосылки!$I139/(AD$8+1-AD$7)))</f>
        <v>0</v>
      </c>
      <c s="125">
        <f>IF(Предпосылки!$I139&lt;0,AF108,AE131*(Предпосылки!$I139/(AE$8+1-AE$7)))</f>
        <v>0</v>
      </c>
      <c s="125">
        <f>IF(Предпосылки!$I139&lt;0,AG108,AF131*(Предпосылки!$I139/(AF$8+1-AF$7)))</f>
        <v>0</v>
      </c>
      <c s="125">
        <f>IF(Предпосылки!$I139&lt;0,AH108,AG131*(Предпосылки!$I139/(AG$8+1-AG$7)))</f>
        <v>0</v>
      </c>
      <c s="125">
        <f>IF(Предпосылки!$I139&lt;0,AI108,AH131*(Предпосылки!$I139/(AH$8+1-AH$7)))</f>
        <v>0</v>
      </c>
      <c s="125">
        <f>IF(Предпосылки!$I139&lt;0,AJ108,AI131*(Предпосылки!$I139/(AI$8+1-AI$7)))</f>
        <v>0</v>
      </c>
      <c s="125">
        <f>IF(Предпосылки!$I139&lt;0,AK108,AJ131*(Предпосылки!$I139/(AJ$8+1-AJ$7)))</f>
        <v>0</v>
      </c>
      <c s="125">
        <f>IF(Предпосылки!$I139&lt;0,AL108,AK131*(Предпосылки!$I139/(AK$8+1-AK$7)))</f>
        <v>0</v>
      </c>
      <c s="125">
        <f>IF(Предпосылки!$I139&lt;0,AM108,AL131*(Предпосылки!$I139/(AL$8+1-AL$7)))</f>
        <v>0</v>
      </c>
      <c s="125">
        <f>IF(Предпосылки!$I139&lt;0,AN108,AM131*(Предпосылки!$I139/(AM$8+1-AM$7)))</f>
        <v>0</v>
      </c>
      <c s="125">
        <f>IF(Предпосылки!$I139&lt;0,AO108,AN131*(Предпосылки!$I139/(AN$8+1-AN$7)))</f>
        <v>0</v>
      </c>
      <c s="125">
        <f>IF(Предпосылки!$I139&lt;0,AP108,AO131*(Предпосылки!$I139/(AO$8+1-AO$7)))</f>
        <v>0</v>
      </c>
      <c s="125">
        <f>IF(Предпосылки!$I139&lt;0,AQ108,AP131*(Предпосылки!$I139/(AP$8+1-AP$7)))</f>
        <v>0</v>
      </c>
      <c s="125">
        <f>IF(Предпосылки!$I139&lt;0,AR108,AQ131*(Предпосылки!$I139/(AQ$8+1-AQ$7)))</f>
        <v>0</v>
      </c>
      <c s="125">
        <f>IF(Предпосылки!$I139&lt;0,AS108,AR131*(Предпосылки!$I139/(AR$8+1-AR$7)))</f>
        <v>0</v>
      </c>
      <c s="125">
        <f>IF(Предпосылки!$I139&lt;0,AT108,AS131*(Предпосылки!$I139/(AS$8+1-AS$7)))</f>
        <v>0</v>
      </c>
      <c s="125">
        <f>IF(Предпосылки!$I139&lt;0,AU108,AT131*(Предпосылки!$I139/(AT$8+1-AT$7)))</f>
        <v>0</v>
      </c>
      <c s="125">
        <f>IF(Предпосылки!$I139&lt;0,AV108,AU131*(Предпосылки!$I139/(AU$8+1-AU$7)))</f>
        <v>0</v>
      </c>
      <c s="125">
        <f>IF(Предпосылки!$I139&lt;0,AW108,AV131*(Предпосылки!$I139/(AV$8+1-AV$7)))</f>
        <v>0</v>
      </c>
      <c s="125">
        <f>IF(Предпосылки!$I139&lt;0,AX108,AW131*(Предпосылки!$I139/(AW$8+1-AW$7)))</f>
        <v>0</v>
      </c>
      <c s="125">
        <f>IF(Предпосылки!$I139&lt;0,AY108,AX131*(Предпосылки!$I139/(AX$8+1-AX$7)))</f>
        <v>0</v>
      </c>
      <c s="125">
        <f>IF(Предпосылки!$I139&lt;0,AZ108,AY131*(Предпосылки!$I139/(AY$8+1-AY$7)))</f>
        <v>0</v>
      </c>
      <c s="125">
        <f>IF(Предпосылки!$I139&lt;0,BA108,AZ131*(Предпосылки!$I139/(AZ$8+1-AZ$7)))</f>
        <v>0</v>
      </c>
      <c s="125">
        <f>IF(Предпосылки!$I139&lt;0,BB108,BA131*(Предпосылки!$I139/(BA$8+1-BA$7)))</f>
        <v>0</v>
      </c>
      <c s="125">
        <f>IF(Предпосылки!$I139&lt;0,BC108,BB131*(Предпосылки!$I139/(BB$8+1-BB$7)))</f>
        <v>0</v>
      </c>
      <c s="125">
        <f>IF(Предпосылки!$I139&lt;0,BD108,BC131*(Предпосылки!$I139/(BC$8+1-BC$7)))</f>
        <v>0</v>
      </c>
      <c s="125">
        <f>IF(Предпосылки!$I139&lt;0,BE108,BD131*(Предпосылки!$I139/(BD$8+1-BD$7)))</f>
        <v>0</v>
      </c>
      <c s="125">
        <f>IF(Предпосылки!$I139&lt;0,BF108,BE131*(Предпосылки!$I139/(BE$8+1-BE$7)))</f>
        <v>0</v>
      </c>
      <c s="125">
        <f>IF(Предпосылки!$I139&lt;0,BG108,BF131*(Предпосылки!$I139/(BF$8+1-BF$7)))</f>
        <v>0</v>
      </c>
      <c s="125">
        <f>IF(Предпосылки!$I139&lt;0,BH108,BG131*(Предпосылки!$I139/(BG$8+1-BG$7)))</f>
        <v>0</v>
      </c>
      <c s="125">
        <f>IF(Предпосылки!$I139&lt;0,BI108,BH131*(Предпосылки!$I139/(BH$8+1-BH$7)))</f>
        <v>0</v>
      </c>
      <c s="125">
        <f>IF(Предпосылки!$I139&lt;0,BJ108,BI131*(Предпосылки!$I139/(BI$8+1-BI$7)))</f>
        <v>0</v>
      </c>
      <c s="125">
        <f>IF(Предпосылки!$I139&lt;0,BK108,BJ131*(Предпосылки!$I139/(BJ$8+1-BJ$7)))</f>
        <v>0</v>
      </c>
      <c s="125">
        <f>IF(Предпосылки!$I139&lt;0,BL108,BK131*(Предпосылки!$I139/(BK$8+1-BK$7)))</f>
        <v>0</v>
      </c>
      <c s="125">
        <f>IF(Предпосылки!$I139&lt;0,BM108,BL131*(Предпосылки!$I139/(BL$8+1-BL$7)))</f>
        <v>0</v>
      </c>
      <c s="125">
        <f>IF(Предпосылки!$I139&lt;0,BN108,BM131*(Предпосылки!$I139/(BM$8+1-BM$7)))</f>
        <v>0</v>
      </c>
    </row>
    <row r="178" spans="2:65" ht="15" customHeight="1">
      <c r="B178" s="12" t="str">
        <f t="shared" si="192"/>
        <v>Продукт 19</v>
      </c>
      <c s="124" t="str">
        <f t="shared" si="191"/>
        <v>тыс. руб.</v>
      </c>
      <c s="125"/>
      <c s="125">
        <f>IF(Предпосылки!$I140&lt;0,F109,E132*(Предпосылки!$I140/(E$8+1-E$7)))</f>
        <v>0</v>
      </c>
      <c s="125">
        <f>IF(Предпосылки!$I140&lt;0,G109,F132*(Предпосылки!$I140/(F$8+1-F$7)))</f>
        <v>0</v>
      </c>
      <c s="125">
        <f>IF(Предпосылки!$I140&lt;0,H109,G132*(Предпосылки!$I140/(G$8+1-G$7)))</f>
        <v>0</v>
      </c>
      <c s="125">
        <f>IF(Предпосылки!$I140&lt;0,I109,H132*(Предпосылки!$I140/(H$8+1-H$7)))</f>
        <v>0</v>
      </c>
      <c s="125">
        <f>IF(Предпосылки!$I140&lt;0,J109,I132*(Предпосылки!$I140/(I$8+1-I$7)))</f>
        <v>0</v>
      </c>
      <c s="125">
        <f>IF(Предпосылки!$I140&lt;0,K109,J132*(Предпосылки!$I140/(J$8+1-J$7)))</f>
        <v>0</v>
      </c>
      <c s="125">
        <f>IF(Предпосылки!$I140&lt;0,L109,K132*(Предпосылки!$I140/(K$8+1-K$7)))</f>
        <v>0</v>
      </c>
      <c s="125">
        <f>IF(Предпосылки!$I140&lt;0,M109,L132*(Предпосылки!$I140/(L$8+1-L$7)))</f>
        <v>0</v>
      </c>
      <c s="125">
        <f>IF(Предпосылки!$I140&lt;0,N109,M132*(Предпосылки!$I140/(M$8+1-M$7)))</f>
        <v>0</v>
      </c>
      <c s="125">
        <f>IF(Предпосылки!$I140&lt;0,O109,N132*(Предпосылки!$I140/(N$8+1-N$7)))</f>
        <v>0</v>
      </c>
      <c s="125">
        <f>IF(Предпосылки!$I140&lt;0,P109,O132*(Предпосылки!$I140/(O$8+1-O$7)))</f>
        <v>0</v>
      </c>
      <c s="125">
        <f>IF(Предпосылки!$I140&lt;0,Q109,P132*(Предпосылки!$I140/(P$8+1-P$7)))</f>
        <v>0</v>
      </c>
      <c s="125">
        <f>IF(Предпосылки!$I140&lt;0,R109,Q132*(Предпосылки!$I140/(Q$8+1-Q$7)))</f>
        <v>0</v>
      </c>
      <c s="125">
        <f>IF(Предпосылки!$I140&lt;0,S109,R132*(Предпосылки!$I140/(R$8+1-R$7)))</f>
        <v>0</v>
      </c>
      <c s="125">
        <f>IF(Предпосылки!$I140&lt;0,T109,S132*(Предпосылки!$I140/(S$8+1-S$7)))</f>
        <v>0</v>
      </c>
      <c s="125">
        <f>IF(Предпосылки!$I140&lt;0,U109,T132*(Предпосылки!$I140/(T$8+1-T$7)))</f>
        <v>0</v>
      </c>
      <c s="125">
        <f>IF(Предпосылки!$I140&lt;0,V109,U132*(Предпосылки!$I140/(U$8+1-U$7)))</f>
        <v>0</v>
      </c>
      <c s="125">
        <f>IF(Предпосылки!$I140&lt;0,W109,V132*(Предпосылки!$I140/(V$8+1-V$7)))</f>
        <v>0</v>
      </c>
      <c s="125">
        <f>IF(Предпосылки!$I140&lt;0,X109,W132*(Предпосылки!$I140/(W$8+1-W$7)))</f>
        <v>0</v>
      </c>
      <c s="125">
        <f>IF(Предпосылки!$I140&lt;0,Y109,X132*(Предпосылки!$I140/(X$8+1-X$7)))</f>
        <v>0</v>
      </c>
      <c s="125">
        <f>IF(Предпосылки!$I140&lt;0,Z109,Y132*(Предпосылки!$I140/(Y$8+1-Y$7)))</f>
        <v>0</v>
      </c>
      <c s="125">
        <f>IF(Предпосылки!$I140&lt;0,AA109,Z132*(Предпосылки!$I140/(Z$8+1-Z$7)))</f>
        <v>0</v>
      </c>
      <c s="125">
        <f>IF(Предпосылки!$I140&lt;0,AB109,AA132*(Предпосылки!$I140/(AA$8+1-AA$7)))</f>
        <v>0</v>
      </c>
      <c s="125">
        <f>IF(Предпосылки!$I140&lt;0,AC109,AB132*(Предпосылки!$I140/(AB$8+1-AB$7)))</f>
        <v>0</v>
      </c>
      <c s="125">
        <f>IF(Предпосылки!$I140&lt;0,AD109,AC132*(Предпосылки!$I140/(AC$8+1-AC$7)))</f>
        <v>0</v>
      </c>
      <c s="125">
        <f>IF(Предпосылки!$I140&lt;0,AE109,AD132*(Предпосылки!$I140/(AD$8+1-AD$7)))</f>
        <v>0</v>
      </c>
      <c s="125">
        <f>IF(Предпосылки!$I140&lt;0,AF109,AE132*(Предпосылки!$I140/(AE$8+1-AE$7)))</f>
        <v>0</v>
      </c>
      <c s="125">
        <f>IF(Предпосылки!$I140&lt;0,AG109,AF132*(Предпосылки!$I140/(AF$8+1-AF$7)))</f>
        <v>0</v>
      </c>
      <c s="125">
        <f>IF(Предпосылки!$I140&lt;0,AH109,AG132*(Предпосылки!$I140/(AG$8+1-AG$7)))</f>
        <v>0</v>
      </c>
      <c s="125">
        <f>IF(Предпосылки!$I140&lt;0,AI109,AH132*(Предпосылки!$I140/(AH$8+1-AH$7)))</f>
        <v>0</v>
      </c>
      <c s="125">
        <f>IF(Предпосылки!$I140&lt;0,AJ109,AI132*(Предпосылки!$I140/(AI$8+1-AI$7)))</f>
        <v>0</v>
      </c>
      <c s="125">
        <f>IF(Предпосылки!$I140&lt;0,AK109,AJ132*(Предпосылки!$I140/(AJ$8+1-AJ$7)))</f>
        <v>0</v>
      </c>
      <c s="125">
        <f>IF(Предпосылки!$I140&lt;0,AL109,AK132*(Предпосылки!$I140/(AK$8+1-AK$7)))</f>
        <v>0</v>
      </c>
      <c s="125">
        <f>IF(Предпосылки!$I140&lt;0,AM109,AL132*(Предпосылки!$I140/(AL$8+1-AL$7)))</f>
        <v>0</v>
      </c>
      <c s="125">
        <f>IF(Предпосылки!$I140&lt;0,AN109,AM132*(Предпосылки!$I140/(AM$8+1-AM$7)))</f>
        <v>0</v>
      </c>
      <c s="125">
        <f>IF(Предпосылки!$I140&lt;0,AO109,AN132*(Предпосылки!$I140/(AN$8+1-AN$7)))</f>
        <v>0</v>
      </c>
      <c s="125">
        <f>IF(Предпосылки!$I140&lt;0,AP109,AO132*(Предпосылки!$I140/(AO$8+1-AO$7)))</f>
        <v>0</v>
      </c>
      <c s="125">
        <f>IF(Предпосылки!$I140&lt;0,AQ109,AP132*(Предпосылки!$I140/(AP$8+1-AP$7)))</f>
        <v>0</v>
      </c>
      <c s="125">
        <f>IF(Предпосылки!$I140&lt;0,AR109,AQ132*(Предпосылки!$I140/(AQ$8+1-AQ$7)))</f>
        <v>0</v>
      </c>
      <c s="125">
        <f>IF(Предпосылки!$I140&lt;0,AS109,AR132*(Предпосылки!$I140/(AR$8+1-AR$7)))</f>
        <v>0</v>
      </c>
      <c s="125">
        <f>IF(Предпосылки!$I140&lt;0,AT109,AS132*(Предпосылки!$I140/(AS$8+1-AS$7)))</f>
        <v>0</v>
      </c>
      <c s="125">
        <f>IF(Предпосылки!$I140&lt;0,AU109,AT132*(Предпосылки!$I140/(AT$8+1-AT$7)))</f>
        <v>0</v>
      </c>
      <c s="125">
        <f>IF(Предпосылки!$I140&lt;0,AV109,AU132*(Предпосылки!$I140/(AU$8+1-AU$7)))</f>
        <v>0</v>
      </c>
      <c s="125">
        <f>IF(Предпосылки!$I140&lt;0,AW109,AV132*(Предпосылки!$I140/(AV$8+1-AV$7)))</f>
        <v>0</v>
      </c>
      <c s="125">
        <f>IF(Предпосылки!$I140&lt;0,AX109,AW132*(Предпосылки!$I140/(AW$8+1-AW$7)))</f>
        <v>0</v>
      </c>
      <c s="125">
        <f>IF(Предпосылки!$I140&lt;0,AY109,AX132*(Предпосылки!$I140/(AX$8+1-AX$7)))</f>
        <v>0</v>
      </c>
      <c s="125">
        <f>IF(Предпосылки!$I140&lt;0,AZ109,AY132*(Предпосылки!$I140/(AY$8+1-AY$7)))</f>
        <v>0</v>
      </c>
      <c s="125">
        <f>IF(Предпосылки!$I140&lt;0,BA109,AZ132*(Предпосылки!$I140/(AZ$8+1-AZ$7)))</f>
        <v>0</v>
      </c>
      <c s="125">
        <f>IF(Предпосылки!$I140&lt;0,BB109,BA132*(Предпосылки!$I140/(BA$8+1-BA$7)))</f>
        <v>0</v>
      </c>
      <c s="125">
        <f>IF(Предпосылки!$I140&lt;0,BC109,BB132*(Предпосылки!$I140/(BB$8+1-BB$7)))</f>
        <v>0</v>
      </c>
      <c s="125">
        <f>IF(Предпосылки!$I140&lt;0,BD109,BC132*(Предпосылки!$I140/(BC$8+1-BC$7)))</f>
        <v>0</v>
      </c>
      <c s="125">
        <f>IF(Предпосылки!$I140&lt;0,BE109,BD132*(Предпосылки!$I140/(BD$8+1-BD$7)))</f>
        <v>0</v>
      </c>
      <c s="125">
        <f>IF(Предпосылки!$I140&lt;0,BF109,BE132*(Предпосылки!$I140/(BE$8+1-BE$7)))</f>
        <v>0</v>
      </c>
      <c s="125">
        <f>IF(Предпосылки!$I140&lt;0,BG109,BF132*(Предпосылки!$I140/(BF$8+1-BF$7)))</f>
        <v>0</v>
      </c>
      <c s="125">
        <f>IF(Предпосылки!$I140&lt;0,BH109,BG132*(Предпосылки!$I140/(BG$8+1-BG$7)))</f>
        <v>0</v>
      </c>
      <c s="125">
        <f>IF(Предпосылки!$I140&lt;0,BI109,BH132*(Предпосылки!$I140/(BH$8+1-BH$7)))</f>
        <v>0</v>
      </c>
      <c s="125">
        <f>IF(Предпосылки!$I140&lt;0,BJ109,BI132*(Предпосылки!$I140/(BI$8+1-BI$7)))</f>
        <v>0</v>
      </c>
      <c s="125">
        <f>IF(Предпосылки!$I140&lt;0,BK109,BJ132*(Предпосылки!$I140/(BJ$8+1-BJ$7)))</f>
        <v>0</v>
      </c>
      <c s="125">
        <f>IF(Предпосылки!$I140&lt;0,BL109,BK132*(Предпосылки!$I140/(BK$8+1-BK$7)))</f>
        <v>0</v>
      </c>
      <c s="125">
        <f>IF(Предпосылки!$I140&lt;0,BM109,BL132*(Предпосылки!$I140/(BL$8+1-BL$7)))</f>
        <v>0</v>
      </c>
      <c s="125">
        <f>IF(Предпосылки!$I140&lt;0,BN109,BM132*(Предпосылки!$I140/(BM$8+1-BM$7)))</f>
        <v>0</v>
      </c>
    </row>
    <row r="179" spans="2:65" ht="15" customHeight="1">
      <c r="B179" s="12" t="str">
        <f t="shared" si="192"/>
        <v>Продукт 20</v>
      </c>
      <c s="124" t="str">
        <f t="shared" si="191"/>
        <v>тыс. руб.</v>
      </c>
      <c s="125"/>
      <c s="125">
        <f>IF(Предпосылки!$I141&lt;0,F110,E133*(Предпосылки!$I141/(E$8+1-E$7)))</f>
        <v>0</v>
      </c>
      <c s="125">
        <f>IF(Предпосылки!$I141&lt;0,G110,F133*(Предпосылки!$I141/(F$8+1-F$7)))</f>
        <v>0</v>
      </c>
      <c s="125">
        <f>IF(Предпосылки!$I141&lt;0,H110,G133*(Предпосылки!$I141/(G$8+1-G$7)))</f>
        <v>0</v>
      </c>
      <c s="125">
        <f>IF(Предпосылки!$I141&lt;0,I110,H133*(Предпосылки!$I141/(H$8+1-H$7)))</f>
        <v>0</v>
      </c>
      <c s="125">
        <f>IF(Предпосылки!$I141&lt;0,J110,I133*(Предпосылки!$I141/(I$8+1-I$7)))</f>
        <v>0</v>
      </c>
      <c s="125">
        <f>IF(Предпосылки!$I141&lt;0,K110,J133*(Предпосылки!$I141/(J$8+1-J$7)))</f>
        <v>0</v>
      </c>
      <c s="125">
        <f>IF(Предпосылки!$I141&lt;0,L110,K133*(Предпосылки!$I141/(K$8+1-K$7)))</f>
        <v>0</v>
      </c>
      <c s="125">
        <f>IF(Предпосылки!$I141&lt;0,M110,L133*(Предпосылки!$I141/(L$8+1-L$7)))</f>
        <v>0</v>
      </c>
      <c s="125">
        <f>IF(Предпосылки!$I141&lt;0,N110,M133*(Предпосылки!$I141/(M$8+1-M$7)))</f>
        <v>0</v>
      </c>
      <c s="125">
        <f>IF(Предпосылки!$I141&lt;0,O110,N133*(Предпосылки!$I141/(N$8+1-N$7)))</f>
        <v>0</v>
      </c>
      <c s="125">
        <f>IF(Предпосылки!$I141&lt;0,P110,O133*(Предпосылки!$I141/(O$8+1-O$7)))</f>
        <v>0</v>
      </c>
      <c s="125">
        <f>IF(Предпосылки!$I141&lt;0,Q110,P133*(Предпосылки!$I141/(P$8+1-P$7)))</f>
        <v>0</v>
      </c>
      <c s="125">
        <f>IF(Предпосылки!$I141&lt;0,R110,Q133*(Предпосылки!$I141/(Q$8+1-Q$7)))</f>
        <v>0</v>
      </c>
      <c s="125">
        <f>IF(Предпосылки!$I141&lt;0,S110,R133*(Предпосылки!$I141/(R$8+1-R$7)))</f>
        <v>0</v>
      </c>
      <c s="125">
        <f>IF(Предпосылки!$I141&lt;0,T110,S133*(Предпосылки!$I141/(S$8+1-S$7)))</f>
        <v>0</v>
      </c>
      <c s="125">
        <f>IF(Предпосылки!$I141&lt;0,U110,T133*(Предпосылки!$I141/(T$8+1-T$7)))</f>
        <v>0</v>
      </c>
      <c s="125">
        <f>IF(Предпосылки!$I141&lt;0,V110,U133*(Предпосылки!$I141/(U$8+1-U$7)))</f>
        <v>0</v>
      </c>
      <c s="125">
        <f>IF(Предпосылки!$I141&lt;0,W110,V133*(Предпосылки!$I141/(V$8+1-V$7)))</f>
        <v>0</v>
      </c>
      <c s="125">
        <f>IF(Предпосылки!$I141&lt;0,X110,W133*(Предпосылки!$I141/(W$8+1-W$7)))</f>
        <v>0</v>
      </c>
      <c s="125">
        <f>IF(Предпосылки!$I141&lt;0,Y110,X133*(Предпосылки!$I141/(X$8+1-X$7)))</f>
        <v>0</v>
      </c>
      <c s="125">
        <f>IF(Предпосылки!$I141&lt;0,Z110,Y133*(Предпосылки!$I141/(Y$8+1-Y$7)))</f>
        <v>0</v>
      </c>
      <c s="125">
        <f>IF(Предпосылки!$I141&lt;0,AA110,Z133*(Предпосылки!$I141/(Z$8+1-Z$7)))</f>
        <v>0</v>
      </c>
      <c s="125">
        <f>IF(Предпосылки!$I141&lt;0,AB110,AA133*(Предпосылки!$I141/(AA$8+1-AA$7)))</f>
        <v>0</v>
      </c>
      <c s="125">
        <f>IF(Предпосылки!$I141&lt;0,AC110,AB133*(Предпосылки!$I141/(AB$8+1-AB$7)))</f>
        <v>0</v>
      </c>
      <c s="125">
        <f>IF(Предпосылки!$I141&lt;0,AD110,AC133*(Предпосылки!$I141/(AC$8+1-AC$7)))</f>
        <v>0</v>
      </c>
      <c s="125">
        <f>IF(Предпосылки!$I141&lt;0,AE110,AD133*(Предпосылки!$I141/(AD$8+1-AD$7)))</f>
        <v>0</v>
      </c>
      <c s="125">
        <f>IF(Предпосылки!$I141&lt;0,AF110,AE133*(Предпосылки!$I141/(AE$8+1-AE$7)))</f>
        <v>0</v>
      </c>
      <c s="125">
        <f>IF(Предпосылки!$I141&lt;0,AG110,AF133*(Предпосылки!$I141/(AF$8+1-AF$7)))</f>
        <v>0</v>
      </c>
      <c s="125">
        <f>IF(Предпосылки!$I141&lt;0,AH110,AG133*(Предпосылки!$I141/(AG$8+1-AG$7)))</f>
        <v>0</v>
      </c>
      <c s="125">
        <f>IF(Предпосылки!$I141&lt;0,AI110,AH133*(Предпосылки!$I141/(AH$8+1-AH$7)))</f>
        <v>0</v>
      </c>
      <c s="125">
        <f>IF(Предпосылки!$I141&lt;0,AJ110,AI133*(Предпосылки!$I141/(AI$8+1-AI$7)))</f>
        <v>0</v>
      </c>
      <c s="125">
        <f>IF(Предпосылки!$I141&lt;0,AK110,AJ133*(Предпосылки!$I141/(AJ$8+1-AJ$7)))</f>
        <v>0</v>
      </c>
      <c s="125">
        <f>IF(Предпосылки!$I141&lt;0,AL110,AK133*(Предпосылки!$I141/(AK$8+1-AK$7)))</f>
        <v>0</v>
      </c>
      <c s="125">
        <f>IF(Предпосылки!$I141&lt;0,AM110,AL133*(Предпосылки!$I141/(AL$8+1-AL$7)))</f>
        <v>0</v>
      </c>
      <c s="125">
        <f>IF(Предпосылки!$I141&lt;0,AN110,AM133*(Предпосылки!$I141/(AM$8+1-AM$7)))</f>
        <v>0</v>
      </c>
      <c s="125">
        <f>IF(Предпосылки!$I141&lt;0,AO110,AN133*(Предпосылки!$I141/(AN$8+1-AN$7)))</f>
        <v>0</v>
      </c>
      <c s="125">
        <f>IF(Предпосылки!$I141&lt;0,AP110,AO133*(Предпосылки!$I141/(AO$8+1-AO$7)))</f>
        <v>0</v>
      </c>
      <c s="125">
        <f>IF(Предпосылки!$I141&lt;0,AQ110,AP133*(Предпосылки!$I141/(AP$8+1-AP$7)))</f>
        <v>0</v>
      </c>
      <c s="125">
        <f>IF(Предпосылки!$I141&lt;0,AR110,AQ133*(Предпосылки!$I141/(AQ$8+1-AQ$7)))</f>
        <v>0</v>
      </c>
      <c s="125">
        <f>IF(Предпосылки!$I141&lt;0,AS110,AR133*(Предпосылки!$I141/(AR$8+1-AR$7)))</f>
        <v>0</v>
      </c>
      <c s="125">
        <f>IF(Предпосылки!$I141&lt;0,AT110,AS133*(Предпосылки!$I141/(AS$8+1-AS$7)))</f>
        <v>0</v>
      </c>
      <c s="125">
        <f>IF(Предпосылки!$I141&lt;0,AU110,AT133*(Предпосылки!$I141/(AT$8+1-AT$7)))</f>
        <v>0</v>
      </c>
      <c s="125">
        <f>IF(Предпосылки!$I141&lt;0,AV110,AU133*(Предпосылки!$I141/(AU$8+1-AU$7)))</f>
        <v>0</v>
      </c>
      <c s="125">
        <f>IF(Предпосылки!$I141&lt;0,AW110,AV133*(Предпосылки!$I141/(AV$8+1-AV$7)))</f>
        <v>0</v>
      </c>
      <c s="125">
        <f>IF(Предпосылки!$I141&lt;0,AX110,AW133*(Предпосылки!$I141/(AW$8+1-AW$7)))</f>
        <v>0</v>
      </c>
      <c s="125">
        <f>IF(Предпосылки!$I141&lt;0,AY110,AX133*(Предпосылки!$I141/(AX$8+1-AX$7)))</f>
        <v>0</v>
      </c>
      <c s="125">
        <f>IF(Предпосылки!$I141&lt;0,AZ110,AY133*(Предпосылки!$I141/(AY$8+1-AY$7)))</f>
        <v>0</v>
      </c>
      <c s="125">
        <f>IF(Предпосылки!$I141&lt;0,BA110,AZ133*(Предпосылки!$I141/(AZ$8+1-AZ$7)))</f>
        <v>0</v>
      </c>
      <c s="125">
        <f>IF(Предпосылки!$I141&lt;0,BB110,BA133*(Предпосылки!$I141/(BA$8+1-BA$7)))</f>
        <v>0</v>
      </c>
      <c s="125">
        <f>IF(Предпосылки!$I141&lt;0,BC110,BB133*(Предпосылки!$I141/(BB$8+1-BB$7)))</f>
        <v>0</v>
      </c>
      <c s="125">
        <f>IF(Предпосылки!$I141&lt;0,BD110,BC133*(Предпосылки!$I141/(BC$8+1-BC$7)))</f>
        <v>0</v>
      </c>
      <c s="125">
        <f>IF(Предпосылки!$I141&lt;0,BE110,BD133*(Предпосылки!$I141/(BD$8+1-BD$7)))</f>
        <v>0</v>
      </c>
      <c s="125">
        <f>IF(Предпосылки!$I141&lt;0,BF110,BE133*(Предпосылки!$I141/(BE$8+1-BE$7)))</f>
        <v>0</v>
      </c>
      <c s="125">
        <f>IF(Предпосылки!$I141&lt;0,BG110,BF133*(Предпосылки!$I141/(BF$8+1-BF$7)))</f>
        <v>0</v>
      </c>
      <c s="125">
        <f>IF(Предпосылки!$I141&lt;0,BH110,BG133*(Предпосылки!$I141/(BG$8+1-BG$7)))</f>
        <v>0</v>
      </c>
      <c s="125">
        <f>IF(Предпосылки!$I141&lt;0,BI110,BH133*(Предпосылки!$I141/(BH$8+1-BH$7)))</f>
        <v>0</v>
      </c>
      <c s="125">
        <f>IF(Предпосылки!$I141&lt;0,BJ110,BI133*(Предпосылки!$I141/(BI$8+1-BI$7)))</f>
        <v>0</v>
      </c>
      <c s="125">
        <f>IF(Предпосылки!$I141&lt;0,BK110,BJ133*(Предпосылки!$I141/(BJ$8+1-BJ$7)))</f>
        <v>0</v>
      </c>
      <c s="125">
        <f>IF(Предпосылки!$I141&lt;0,BL110,BK133*(Предпосылки!$I141/(BK$8+1-BK$7)))</f>
        <v>0</v>
      </c>
      <c s="125">
        <f>IF(Предпосылки!$I141&lt;0,BM110,BL133*(Предпосылки!$I141/(BL$8+1-BL$7)))</f>
        <v>0</v>
      </c>
      <c s="125">
        <f>IF(Предпосылки!$I141&lt;0,BN110,BM133*(Предпосылки!$I141/(BM$8+1-BM$7)))</f>
        <v>0</v>
      </c>
    </row>
    <row r="180" spans="2:65" ht="15" customHeight="1">
      <c r="B180" s="289" t="s">
        <v>454</v>
      </c>
      <c s="290" t="str">
        <f>Единица_измерения</f>
        <v>тыс. руб.</v>
      </c>
      <c s="276"/>
      <c s="276">
        <f>SUM(E160:E179)</f>
        <v>0</v>
      </c>
      <c s="276">
        <f t="shared" si="193" ref="F180:AI180">SUM(F160:F179)</f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3"/>
        <v>0</v>
      </c>
      <c s="276">
        <f t="shared" si="194" ref="AJ180:BM180">SUM(AJ160:AJ179)</f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  <c s="276">
        <f t="shared" si="194"/>
        <v>0</v>
      </c>
    </row>
    <row r="181" spans="2:65" ht="15" customHeight="1">
      <c r="B181" s="12" t="s">
        <v>896</v>
      </c>
      <c s="124" t="str">
        <f>Единица_измерения</f>
        <v>тыс. руб.</v>
      </c>
      <c s="125"/>
      <c s="125">
        <f>MAX(0,E180)</f>
        <v>0</v>
      </c>
      <c s="125">
        <f t="shared" si="195" ref="F181:BM181">MAX(0,F180)</f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  <c s="125">
        <f t="shared" si="195"/>
        <v>0</v>
      </c>
    </row>
    <row r="182" spans="2:65" ht="15" customHeight="1">
      <c r="B182" s="12" t="s">
        <v>897</v>
      </c>
      <c s="124" t="str">
        <f>Единица_измерения</f>
        <v>тыс. руб.</v>
      </c>
      <c s="125"/>
      <c s="125">
        <f>-MIN(0,E180)</f>
        <v>0</v>
      </c>
      <c s="125">
        <f t="shared" si="196" ref="F182:BM182">-MIN(0,F180)</f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  <c s="125">
        <f t="shared" si="196"/>
        <v>0</v>
      </c>
    </row>
    <row r="183" ht="15" customHeight="1"/>
    <row r="184" spans="2:71" ht="21">
      <c r="B184" s="23" t="s">
        <v>898</v>
      </c>
      <c r="D18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85" spans="2:65" ht="15" customHeight="1">
      <c r="B185" s="12" t="str">
        <f>B160</f>
        <v>Продукт 1</v>
      </c>
      <c s="124" t="str">
        <f t="shared" si="197" ref="C185:C205">Единица_измерения</f>
        <v>тыс. руб.</v>
      </c>
      <c s="125"/>
      <c s="125">
        <f>-E137*(1+IFERROR(INDEX(E$10:E$11,Предпосылки!$K122,),0))</f>
        <v>0</v>
      </c>
      <c s="125">
        <f>-F137*(1+IFERROR(INDEX(F$10:F$11,Предпосылки!$K122,),0))</f>
        <v>0</v>
      </c>
      <c s="125">
        <f>-G137*(1+IFERROR(INDEX(G$10:G$11,Предпосылки!$K122,),0))</f>
        <v>0</v>
      </c>
      <c s="125">
        <f>-H137*(1+IFERROR(INDEX(H$10:H$11,Предпосылки!$K122,),0))</f>
        <v>0</v>
      </c>
      <c s="125">
        <f>-I137*(1+IFERROR(INDEX(I$10:I$11,Предпосылки!$K122,),0))</f>
        <v>0</v>
      </c>
      <c s="125">
        <f>-J137*(1+IFERROR(INDEX(J$10:J$11,Предпосылки!$K122,),0))</f>
        <v>0</v>
      </c>
      <c s="125">
        <f>-K137*(1+IFERROR(INDEX(K$10:K$11,Предпосылки!$K122,),0))</f>
        <v>0</v>
      </c>
      <c s="125">
        <f>-L137*(1+IFERROR(INDEX(L$10:L$11,Предпосылки!$K122,),0))</f>
        <v>0</v>
      </c>
      <c s="125">
        <f>-M137*(1+IFERROR(INDEX(M$10:M$11,Предпосылки!$K122,),0))</f>
        <v>0</v>
      </c>
      <c s="125">
        <f>-N137*(1+IFERROR(INDEX(N$10:N$11,Предпосылки!$K122,),0))</f>
        <v>0</v>
      </c>
      <c s="125">
        <f>-O137*(1+IFERROR(INDEX(O$10:O$11,Предпосылки!$K122,),0))</f>
        <v>0</v>
      </c>
      <c s="125">
        <f>-P137*(1+IFERROR(INDEX(P$10:P$11,Предпосылки!$K122,),0))</f>
        <v>0</v>
      </c>
      <c s="125">
        <f>-Q137*(1+IFERROR(INDEX(Q$10:Q$11,Предпосылки!$K122,),0))</f>
        <v>0</v>
      </c>
      <c s="125">
        <f>-R137*(1+IFERROR(INDEX(R$10:R$11,Предпосылки!$K122,),0))</f>
        <v>0</v>
      </c>
      <c s="125">
        <f>-S137*(1+IFERROR(INDEX(S$10:S$11,Предпосылки!$K122,),0))</f>
        <v>0</v>
      </c>
      <c s="125">
        <f>-T137*(1+IFERROR(INDEX(T$10:T$11,Предпосылки!$K122,),0))</f>
        <v>0</v>
      </c>
      <c s="125">
        <f>-U137*(1+IFERROR(INDEX(U$10:U$11,Предпосылки!$K122,),0))</f>
        <v>0</v>
      </c>
      <c s="125">
        <f>-V137*(1+IFERROR(INDEX(V$10:V$11,Предпосылки!$K122,),0))</f>
        <v>0</v>
      </c>
      <c s="125">
        <f>-W137*(1+IFERROR(INDEX(W$10:W$11,Предпосылки!$K122,),0))</f>
        <v>0</v>
      </c>
      <c s="125">
        <f>-X137*(1+IFERROR(INDEX(X$10:X$11,Предпосылки!$K122,),0))</f>
        <v>0</v>
      </c>
      <c s="125">
        <f>-Y137*(1+IFERROR(INDEX(Y$10:Y$11,Предпосылки!$K122,),0))</f>
        <v>0</v>
      </c>
      <c s="125">
        <f>-Z137*(1+IFERROR(INDEX(Z$10:Z$11,Предпосылки!$K122,),0))</f>
        <v>0</v>
      </c>
      <c s="125">
        <f>-AA137*(1+IFERROR(INDEX(AA$10:AA$11,Предпосылки!$K122,),0))</f>
        <v>0</v>
      </c>
      <c s="125">
        <f>-AB137*(1+IFERROR(INDEX(AB$10:AB$11,Предпосылки!$K122,),0))</f>
        <v>0</v>
      </c>
      <c s="125">
        <f>-AC137*(1+IFERROR(INDEX(AC$10:AC$11,Предпосылки!$K122,),0))</f>
        <v>0</v>
      </c>
      <c s="125">
        <f>-AD137*(1+IFERROR(INDEX(AD$10:AD$11,Предпосылки!$K122,),0))</f>
        <v>0</v>
      </c>
      <c s="125">
        <f>-AE137*(1+IFERROR(INDEX(AE$10:AE$11,Предпосылки!$K122,),0))</f>
        <v>0</v>
      </c>
      <c s="125">
        <f>-AF137*(1+IFERROR(INDEX(AF$10:AF$11,Предпосылки!$K122,),0))</f>
        <v>0</v>
      </c>
      <c s="125">
        <f>-AG137*(1+IFERROR(INDEX(AG$10:AG$11,Предпосылки!$K122,),0))</f>
        <v>0</v>
      </c>
      <c s="125">
        <f>-AH137*(1+IFERROR(INDEX(AH$10:AH$11,Предпосылки!$K122,),0))</f>
        <v>0</v>
      </c>
      <c s="125">
        <f>-AI137*(1+IFERROR(INDEX(AI$10:AI$11,Предпосылки!$K122,),0))</f>
        <v>0</v>
      </c>
      <c s="125">
        <f>-AJ137*(1+IFERROR(INDEX(AJ$10:AJ$11,Предпосылки!$K122,),0))</f>
        <v>0</v>
      </c>
      <c s="125">
        <f>-AK137*(1+IFERROR(INDEX(AK$10:AK$11,Предпосылки!$K122,),0))</f>
        <v>0</v>
      </c>
      <c s="125">
        <f>-AL137*(1+IFERROR(INDEX(AL$10:AL$11,Предпосылки!$K122,),0))</f>
        <v>0</v>
      </c>
      <c s="125">
        <f>-AM137*(1+IFERROR(INDEX(AM$10:AM$11,Предпосылки!$K122,),0))</f>
        <v>0</v>
      </c>
      <c s="125">
        <f>-AN137*(1+IFERROR(INDEX(AN$10:AN$11,Предпосылки!$K122,),0))</f>
        <v>0</v>
      </c>
      <c s="125">
        <f>-AO137*(1+IFERROR(INDEX(AO$10:AO$11,Предпосылки!$K122,),0))</f>
        <v>0</v>
      </c>
      <c s="125">
        <f>-AP137*(1+IFERROR(INDEX(AP$10:AP$11,Предпосылки!$K122,),0))</f>
        <v>0</v>
      </c>
      <c s="125">
        <f>-AQ137*(1+IFERROR(INDEX(AQ$10:AQ$11,Предпосылки!$K122,),0))</f>
        <v>0</v>
      </c>
      <c s="125">
        <f>-AR137*(1+IFERROR(INDEX(AR$10:AR$11,Предпосылки!$K122,),0))</f>
        <v>0</v>
      </c>
      <c s="125">
        <f>-AS137*(1+IFERROR(INDEX(AS$10:AS$11,Предпосылки!$K122,),0))</f>
        <v>0</v>
      </c>
      <c s="125">
        <f>-AT137*(1+IFERROR(INDEX(AT$10:AT$11,Предпосылки!$K122,),0))</f>
        <v>0</v>
      </c>
      <c s="125">
        <f>-AU137*(1+IFERROR(INDEX(AU$10:AU$11,Предпосылки!$K122,),0))</f>
        <v>0</v>
      </c>
      <c s="125">
        <f>-AV137*(1+IFERROR(INDEX(AV$10:AV$11,Предпосылки!$K122,),0))</f>
        <v>0</v>
      </c>
      <c s="125">
        <f>-AW137*(1+IFERROR(INDEX(AW$10:AW$11,Предпосылки!$K122,),0))</f>
        <v>0</v>
      </c>
      <c s="125">
        <f>-AX137*(1+IFERROR(INDEX(AX$10:AX$11,Предпосылки!$K122,),0))</f>
        <v>0</v>
      </c>
      <c s="125">
        <f>-AY137*(1+IFERROR(INDEX(AY$10:AY$11,Предпосылки!$K122,),0))</f>
        <v>0</v>
      </c>
      <c s="125">
        <f>-AZ137*(1+IFERROR(INDEX(AZ$10:AZ$11,Предпосылки!$K122,),0))</f>
        <v>0</v>
      </c>
      <c s="125">
        <f>-BA137*(1+IFERROR(INDEX(BA$10:BA$11,Предпосылки!$K122,),0))</f>
        <v>0</v>
      </c>
      <c s="125">
        <f>-BB137*(1+IFERROR(INDEX(BB$10:BB$11,Предпосылки!$K122,),0))</f>
        <v>0</v>
      </c>
      <c s="125">
        <f>-BC137*(1+IFERROR(INDEX(BC$10:BC$11,Предпосылки!$K122,),0))</f>
        <v>0</v>
      </c>
      <c s="125">
        <f>-BD137*(1+IFERROR(INDEX(BD$10:BD$11,Предпосылки!$K122,),0))</f>
        <v>0</v>
      </c>
      <c s="125">
        <f>-BE137*(1+IFERROR(INDEX(BE$10:BE$11,Предпосылки!$K122,),0))</f>
        <v>0</v>
      </c>
      <c s="125">
        <f>-BF137*(1+IFERROR(INDEX(BF$10:BF$11,Предпосылки!$K122,),0))</f>
        <v>0</v>
      </c>
      <c s="125">
        <f>-BG137*(1+IFERROR(INDEX(BG$10:BG$11,Предпосылки!$K122,),0))</f>
        <v>0</v>
      </c>
      <c s="125">
        <f>-BH137*(1+IFERROR(INDEX(BH$10:BH$11,Предпосылки!$K122,),0))</f>
        <v>0</v>
      </c>
      <c s="125">
        <f>-BI137*(1+IFERROR(INDEX(BI$10:BI$11,Предпосылки!$K122,),0))</f>
        <v>0</v>
      </c>
      <c s="125">
        <f>-BJ137*(1+IFERROR(INDEX(BJ$10:BJ$11,Предпосылки!$K122,),0))</f>
        <v>0</v>
      </c>
      <c s="125">
        <f>-BK137*(1+IFERROR(INDEX(BK$10:BK$11,Предпосылки!$K122,),0))</f>
        <v>0</v>
      </c>
      <c s="125">
        <f>-BL137*(1+IFERROR(INDEX(BL$10:BL$11,Предпосылки!$K122,),0))</f>
        <v>0</v>
      </c>
      <c s="125">
        <f>-BM137*(1+IFERROR(INDEX(BM$10:BM$11,Предпосылки!$K122,),0))</f>
        <v>0</v>
      </c>
    </row>
    <row r="186" spans="2:65" ht="15" customHeight="1">
      <c r="B186" s="12" t="str">
        <f t="shared" si="198" ref="B186:B204">B161</f>
        <v>Продукт 2</v>
      </c>
      <c s="124" t="str">
        <f t="shared" si="197"/>
        <v>тыс. руб.</v>
      </c>
      <c s="125"/>
      <c s="125">
        <f>-E138*(1+IFERROR(INDEX(E$10:E$11,Предпосылки!$K123,),0))</f>
        <v>0</v>
      </c>
      <c s="125">
        <f>-F138*(1+IFERROR(INDEX(F$10:F$11,Предпосылки!$K123,),0))</f>
        <v>0</v>
      </c>
      <c s="125">
        <f>-G138*(1+IFERROR(INDEX(G$10:G$11,Предпосылки!$K123,),0))</f>
        <v>0</v>
      </c>
      <c s="125">
        <f>-H138*(1+IFERROR(INDEX(H$10:H$11,Предпосылки!$K123,),0))</f>
        <v>0</v>
      </c>
      <c s="125">
        <f>-I138*(1+IFERROR(INDEX(I$10:I$11,Предпосылки!$K123,),0))</f>
        <v>0</v>
      </c>
      <c s="125">
        <f>-J138*(1+IFERROR(INDEX(J$10:J$11,Предпосылки!$K123,),0))</f>
        <v>0</v>
      </c>
      <c s="125">
        <f>-K138*(1+IFERROR(INDEX(K$10:K$11,Предпосылки!$K123,),0))</f>
        <v>0</v>
      </c>
      <c s="125">
        <f>-L138*(1+IFERROR(INDEX(L$10:L$11,Предпосылки!$K123,),0))</f>
        <v>0</v>
      </c>
      <c s="125">
        <f>-M138*(1+IFERROR(INDEX(M$10:M$11,Предпосылки!$K123,),0))</f>
        <v>0</v>
      </c>
      <c s="125">
        <f>-N138*(1+IFERROR(INDEX(N$10:N$11,Предпосылки!$K123,),0))</f>
        <v>0</v>
      </c>
      <c s="125">
        <f>-O138*(1+IFERROR(INDEX(O$10:O$11,Предпосылки!$K123,),0))</f>
        <v>0</v>
      </c>
      <c s="125">
        <f>-P138*(1+IFERROR(INDEX(P$10:P$11,Предпосылки!$K123,),0))</f>
        <v>0</v>
      </c>
      <c s="125">
        <f>-Q138*(1+IFERROR(INDEX(Q$10:Q$11,Предпосылки!$K123,),0))</f>
        <v>0</v>
      </c>
      <c s="125">
        <f>-R138*(1+IFERROR(INDEX(R$10:R$11,Предпосылки!$K123,),0))</f>
        <v>0</v>
      </c>
      <c s="125">
        <f>-S138*(1+IFERROR(INDEX(S$10:S$11,Предпосылки!$K123,),0))</f>
        <v>0</v>
      </c>
      <c s="125">
        <f>-T138*(1+IFERROR(INDEX(T$10:T$11,Предпосылки!$K123,),0))</f>
        <v>0</v>
      </c>
      <c s="125">
        <f>-U138*(1+IFERROR(INDEX(U$10:U$11,Предпосылки!$K123,),0))</f>
        <v>0</v>
      </c>
      <c s="125">
        <f>-V138*(1+IFERROR(INDEX(V$10:V$11,Предпосылки!$K123,),0))</f>
        <v>0</v>
      </c>
      <c s="125">
        <f>-W138*(1+IFERROR(INDEX(W$10:W$11,Предпосылки!$K123,),0))</f>
        <v>0</v>
      </c>
      <c s="125">
        <f>-X138*(1+IFERROR(INDEX(X$10:X$11,Предпосылки!$K123,),0))</f>
        <v>0</v>
      </c>
      <c s="125">
        <f>-Y138*(1+IFERROR(INDEX(Y$10:Y$11,Предпосылки!$K123,),0))</f>
        <v>0</v>
      </c>
      <c s="125">
        <f>-Z138*(1+IFERROR(INDEX(Z$10:Z$11,Предпосылки!$K123,),0))</f>
        <v>0</v>
      </c>
      <c s="125">
        <f>-AA138*(1+IFERROR(INDEX(AA$10:AA$11,Предпосылки!$K123,),0))</f>
        <v>0</v>
      </c>
      <c s="125">
        <f>-AB138*(1+IFERROR(INDEX(AB$10:AB$11,Предпосылки!$K123,),0))</f>
        <v>0</v>
      </c>
      <c s="125">
        <f>-AC138*(1+IFERROR(INDEX(AC$10:AC$11,Предпосылки!$K123,),0))</f>
        <v>0</v>
      </c>
      <c s="125">
        <f>-AD138*(1+IFERROR(INDEX(AD$10:AD$11,Предпосылки!$K123,),0))</f>
        <v>0</v>
      </c>
      <c s="125">
        <f>-AE138*(1+IFERROR(INDEX(AE$10:AE$11,Предпосылки!$K123,),0))</f>
        <v>0</v>
      </c>
      <c s="125">
        <f>-AF138*(1+IFERROR(INDEX(AF$10:AF$11,Предпосылки!$K123,),0))</f>
        <v>0</v>
      </c>
      <c s="125">
        <f>-AG138*(1+IFERROR(INDEX(AG$10:AG$11,Предпосылки!$K123,),0))</f>
        <v>0</v>
      </c>
      <c s="125">
        <f>-AH138*(1+IFERROR(INDEX(AH$10:AH$11,Предпосылки!$K123,),0))</f>
        <v>0</v>
      </c>
      <c s="125">
        <f>-AI138*(1+IFERROR(INDEX(AI$10:AI$11,Предпосылки!$K123,),0))</f>
        <v>0</v>
      </c>
      <c s="125">
        <f>-AJ138*(1+IFERROR(INDEX(AJ$10:AJ$11,Предпосылки!$K123,),0))</f>
        <v>0</v>
      </c>
      <c s="125">
        <f>-AK138*(1+IFERROR(INDEX(AK$10:AK$11,Предпосылки!$K123,),0))</f>
        <v>0</v>
      </c>
      <c s="125">
        <f>-AL138*(1+IFERROR(INDEX(AL$10:AL$11,Предпосылки!$K123,),0))</f>
        <v>0</v>
      </c>
      <c s="125">
        <f>-AM138*(1+IFERROR(INDEX(AM$10:AM$11,Предпосылки!$K123,),0))</f>
        <v>0</v>
      </c>
      <c s="125">
        <f>-AN138*(1+IFERROR(INDEX(AN$10:AN$11,Предпосылки!$K123,),0))</f>
        <v>0</v>
      </c>
      <c s="125">
        <f>-AO138*(1+IFERROR(INDEX(AO$10:AO$11,Предпосылки!$K123,),0))</f>
        <v>0</v>
      </c>
      <c s="125">
        <f>-AP138*(1+IFERROR(INDEX(AP$10:AP$11,Предпосылки!$K123,),0))</f>
        <v>0</v>
      </c>
      <c s="125">
        <f>-AQ138*(1+IFERROR(INDEX(AQ$10:AQ$11,Предпосылки!$K123,),0))</f>
        <v>0</v>
      </c>
      <c s="125">
        <f>-AR138*(1+IFERROR(INDEX(AR$10:AR$11,Предпосылки!$K123,),0))</f>
        <v>0</v>
      </c>
      <c s="125">
        <f>-AS138*(1+IFERROR(INDEX(AS$10:AS$11,Предпосылки!$K123,),0))</f>
        <v>0</v>
      </c>
      <c s="125">
        <f>-AT138*(1+IFERROR(INDEX(AT$10:AT$11,Предпосылки!$K123,),0))</f>
        <v>0</v>
      </c>
      <c s="125">
        <f>-AU138*(1+IFERROR(INDEX(AU$10:AU$11,Предпосылки!$K123,),0))</f>
        <v>0</v>
      </c>
      <c s="125">
        <f>-AV138*(1+IFERROR(INDEX(AV$10:AV$11,Предпосылки!$K123,),0))</f>
        <v>0</v>
      </c>
      <c s="125">
        <f>-AW138*(1+IFERROR(INDEX(AW$10:AW$11,Предпосылки!$K123,),0))</f>
        <v>0</v>
      </c>
      <c s="125">
        <f>-AX138*(1+IFERROR(INDEX(AX$10:AX$11,Предпосылки!$K123,),0))</f>
        <v>0</v>
      </c>
      <c s="125">
        <f>-AY138*(1+IFERROR(INDEX(AY$10:AY$11,Предпосылки!$K123,),0))</f>
        <v>0</v>
      </c>
      <c s="125">
        <f>-AZ138*(1+IFERROR(INDEX(AZ$10:AZ$11,Предпосылки!$K123,),0))</f>
        <v>0</v>
      </c>
      <c s="125">
        <f>-BA138*(1+IFERROR(INDEX(BA$10:BA$11,Предпосылки!$K123,),0))</f>
        <v>0</v>
      </c>
      <c s="125">
        <f>-BB138*(1+IFERROR(INDEX(BB$10:BB$11,Предпосылки!$K123,),0))</f>
        <v>0</v>
      </c>
      <c s="125">
        <f>-BC138*(1+IFERROR(INDEX(BC$10:BC$11,Предпосылки!$K123,),0))</f>
        <v>0</v>
      </c>
      <c s="125">
        <f>-BD138*(1+IFERROR(INDEX(BD$10:BD$11,Предпосылки!$K123,),0))</f>
        <v>0</v>
      </c>
      <c s="125">
        <f>-BE138*(1+IFERROR(INDEX(BE$10:BE$11,Предпосылки!$K123,),0))</f>
        <v>0</v>
      </c>
      <c s="125">
        <f>-BF138*(1+IFERROR(INDEX(BF$10:BF$11,Предпосылки!$K123,),0))</f>
        <v>0</v>
      </c>
      <c s="125">
        <f>-BG138*(1+IFERROR(INDEX(BG$10:BG$11,Предпосылки!$K123,),0))</f>
        <v>0</v>
      </c>
      <c s="125">
        <f>-BH138*(1+IFERROR(INDEX(BH$10:BH$11,Предпосылки!$K123,),0))</f>
        <v>0</v>
      </c>
      <c s="125">
        <f>-BI138*(1+IFERROR(INDEX(BI$10:BI$11,Предпосылки!$K123,),0))</f>
        <v>0</v>
      </c>
      <c s="125">
        <f>-BJ138*(1+IFERROR(INDEX(BJ$10:BJ$11,Предпосылки!$K123,),0))</f>
        <v>0</v>
      </c>
      <c s="125">
        <f>-BK138*(1+IFERROR(INDEX(BK$10:BK$11,Предпосылки!$K123,),0))</f>
        <v>0</v>
      </c>
      <c s="125">
        <f>-BL138*(1+IFERROR(INDEX(BL$10:BL$11,Предпосылки!$K123,),0))</f>
        <v>0</v>
      </c>
      <c s="125">
        <f>-BM138*(1+IFERROR(INDEX(BM$10:BM$11,Предпосылки!$K123,),0))</f>
        <v>0</v>
      </c>
    </row>
    <row r="187" spans="2:65" ht="15" customHeight="1">
      <c r="B187" s="12" t="str">
        <f t="shared" si="198"/>
        <v>Продукт 3</v>
      </c>
      <c s="124" t="str">
        <f t="shared" si="197"/>
        <v>тыс. руб.</v>
      </c>
      <c s="125"/>
      <c s="125">
        <f>-E139*(1+IFERROR(INDEX(E$10:E$11,Предпосылки!$K124,),0))</f>
        <v>0</v>
      </c>
      <c s="125">
        <f>-F139*(1+IFERROR(INDEX(F$10:F$11,Предпосылки!$K124,),0))</f>
        <v>0</v>
      </c>
      <c s="125">
        <f>-G139*(1+IFERROR(INDEX(G$10:G$11,Предпосылки!$K124,),0))</f>
        <v>0</v>
      </c>
      <c s="125">
        <f>-H139*(1+IFERROR(INDEX(H$10:H$11,Предпосылки!$K124,),0))</f>
        <v>0</v>
      </c>
      <c s="125">
        <f>-I139*(1+IFERROR(INDEX(I$10:I$11,Предпосылки!$K124,),0))</f>
        <v>0</v>
      </c>
      <c s="125">
        <f>-J139*(1+IFERROR(INDEX(J$10:J$11,Предпосылки!$K124,),0))</f>
        <v>0</v>
      </c>
      <c s="125">
        <f>-K139*(1+IFERROR(INDEX(K$10:K$11,Предпосылки!$K124,),0))</f>
        <v>0</v>
      </c>
      <c s="125">
        <f>-L139*(1+IFERROR(INDEX(L$10:L$11,Предпосылки!$K124,),0))</f>
        <v>0</v>
      </c>
      <c s="125">
        <f>-M139*(1+IFERROR(INDEX(M$10:M$11,Предпосылки!$K124,),0))</f>
        <v>0</v>
      </c>
      <c s="125">
        <f>-N139*(1+IFERROR(INDEX(N$10:N$11,Предпосылки!$K124,),0))</f>
        <v>0</v>
      </c>
      <c s="125">
        <f>-O139*(1+IFERROR(INDEX(O$10:O$11,Предпосылки!$K124,),0))</f>
        <v>0</v>
      </c>
      <c s="125">
        <f>-P139*(1+IFERROR(INDEX(P$10:P$11,Предпосылки!$K124,),0))</f>
        <v>0</v>
      </c>
      <c s="125">
        <f>-Q139*(1+IFERROR(INDEX(Q$10:Q$11,Предпосылки!$K124,),0))</f>
        <v>0</v>
      </c>
      <c s="125">
        <f>-R139*(1+IFERROR(INDEX(R$10:R$11,Предпосылки!$K124,),0))</f>
        <v>0</v>
      </c>
      <c s="125">
        <f>-S139*(1+IFERROR(INDEX(S$10:S$11,Предпосылки!$K124,),0))</f>
        <v>0</v>
      </c>
      <c s="125">
        <f>-T139*(1+IFERROR(INDEX(T$10:T$11,Предпосылки!$K124,),0))</f>
        <v>0</v>
      </c>
      <c s="125">
        <f>-U139*(1+IFERROR(INDEX(U$10:U$11,Предпосылки!$K124,),0))</f>
        <v>0</v>
      </c>
      <c s="125">
        <f>-V139*(1+IFERROR(INDEX(V$10:V$11,Предпосылки!$K124,),0))</f>
        <v>0</v>
      </c>
      <c s="125">
        <f>-W139*(1+IFERROR(INDEX(W$10:W$11,Предпосылки!$K124,),0))</f>
        <v>0</v>
      </c>
      <c s="125">
        <f>-X139*(1+IFERROR(INDEX(X$10:X$11,Предпосылки!$K124,),0))</f>
        <v>0</v>
      </c>
      <c s="125">
        <f>-Y139*(1+IFERROR(INDEX(Y$10:Y$11,Предпосылки!$K124,),0))</f>
        <v>0</v>
      </c>
      <c s="125">
        <f>-Z139*(1+IFERROR(INDEX(Z$10:Z$11,Предпосылки!$K124,),0))</f>
        <v>0</v>
      </c>
      <c s="125">
        <f>-AA139*(1+IFERROR(INDEX(AA$10:AA$11,Предпосылки!$K124,),0))</f>
        <v>0</v>
      </c>
      <c s="125">
        <f>-AB139*(1+IFERROR(INDEX(AB$10:AB$11,Предпосылки!$K124,),0))</f>
        <v>0</v>
      </c>
      <c s="125">
        <f>-AC139*(1+IFERROR(INDEX(AC$10:AC$11,Предпосылки!$K124,),0))</f>
        <v>0</v>
      </c>
      <c s="125">
        <f>-AD139*(1+IFERROR(INDEX(AD$10:AD$11,Предпосылки!$K124,),0))</f>
        <v>0</v>
      </c>
      <c s="125">
        <f>-AE139*(1+IFERROR(INDEX(AE$10:AE$11,Предпосылки!$K124,),0))</f>
        <v>0</v>
      </c>
      <c s="125">
        <f>-AF139*(1+IFERROR(INDEX(AF$10:AF$11,Предпосылки!$K124,),0))</f>
        <v>0</v>
      </c>
      <c s="125">
        <f>-AG139*(1+IFERROR(INDEX(AG$10:AG$11,Предпосылки!$K124,),0))</f>
        <v>0</v>
      </c>
      <c s="125">
        <f>-AH139*(1+IFERROR(INDEX(AH$10:AH$11,Предпосылки!$K124,),0))</f>
        <v>0</v>
      </c>
      <c s="125">
        <f>-AI139*(1+IFERROR(INDEX(AI$10:AI$11,Предпосылки!$K124,),0))</f>
        <v>0</v>
      </c>
      <c s="125">
        <f>-AJ139*(1+IFERROR(INDEX(AJ$10:AJ$11,Предпосылки!$K124,),0))</f>
        <v>0</v>
      </c>
      <c s="125">
        <f>-AK139*(1+IFERROR(INDEX(AK$10:AK$11,Предпосылки!$K124,),0))</f>
        <v>0</v>
      </c>
      <c s="125">
        <f>-AL139*(1+IFERROR(INDEX(AL$10:AL$11,Предпосылки!$K124,),0))</f>
        <v>0</v>
      </c>
      <c s="125">
        <f>-AM139*(1+IFERROR(INDEX(AM$10:AM$11,Предпосылки!$K124,),0))</f>
        <v>0</v>
      </c>
      <c s="125">
        <f>-AN139*(1+IFERROR(INDEX(AN$10:AN$11,Предпосылки!$K124,),0))</f>
        <v>0</v>
      </c>
      <c s="125">
        <f>-AO139*(1+IFERROR(INDEX(AO$10:AO$11,Предпосылки!$K124,),0))</f>
        <v>0</v>
      </c>
      <c s="125">
        <f>-AP139*(1+IFERROR(INDEX(AP$10:AP$11,Предпосылки!$K124,),0))</f>
        <v>0</v>
      </c>
      <c s="125">
        <f>-AQ139*(1+IFERROR(INDEX(AQ$10:AQ$11,Предпосылки!$K124,),0))</f>
        <v>0</v>
      </c>
      <c s="125">
        <f>-AR139*(1+IFERROR(INDEX(AR$10:AR$11,Предпосылки!$K124,),0))</f>
        <v>0</v>
      </c>
      <c s="125">
        <f>-AS139*(1+IFERROR(INDEX(AS$10:AS$11,Предпосылки!$K124,),0))</f>
        <v>0</v>
      </c>
      <c s="125">
        <f>-AT139*(1+IFERROR(INDEX(AT$10:AT$11,Предпосылки!$K124,),0))</f>
        <v>0</v>
      </c>
      <c s="125">
        <f>-AU139*(1+IFERROR(INDEX(AU$10:AU$11,Предпосылки!$K124,),0))</f>
        <v>0</v>
      </c>
      <c s="125">
        <f>-AV139*(1+IFERROR(INDEX(AV$10:AV$11,Предпосылки!$K124,),0))</f>
        <v>0</v>
      </c>
      <c s="125">
        <f>-AW139*(1+IFERROR(INDEX(AW$10:AW$11,Предпосылки!$K124,),0))</f>
        <v>0</v>
      </c>
      <c s="125">
        <f>-AX139*(1+IFERROR(INDEX(AX$10:AX$11,Предпосылки!$K124,),0))</f>
        <v>0</v>
      </c>
      <c s="125">
        <f>-AY139*(1+IFERROR(INDEX(AY$10:AY$11,Предпосылки!$K124,),0))</f>
        <v>0</v>
      </c>
      <c s="125">
        <f>-AZ139*(1+IFERROR(INDEX(AZ$10:AZ$11,Предпосылки!$K124,),0))</f>
        <v>0</v>
      </c>
      <c s="125">
        <f>-BA139*(1+IFERROR(INDEX(BA$10:BA$11,Предпосылки!$K124,),0))</f>
        <v>0</v>
      </c>
      <c s="125">
        <f>-BB139*(1+IFERROR(INDEX(BB$10:BB$11,Предпосылки!$K124,),0))</f>
        <v>0</v>
      </c>
      <c s="125">
        <f>-BC139*(1+IFERROR(INDEX(BC$10:BC$11,Предпосылки!$K124,),0))</f>
        <v>0</v>
      </c>
      <c s="125">
        <f>-BD139*(1+IFERROR(INDEX(BD$10:BD$11,Предпосылки!$K124,),0))</f>
        <v>0</v>
      </c>
      <c s="125">
        <f>-BE139*(1+IFERROR(INDEX(BE$10:BE$11,Предпосылки!$K124,),0))</f>
        <v>0</v>
      </c>
      <c s="125">
        <f>-BF139*(1+IFERROR(INDEX(BF$10:BF$11,Предпосылки!$K124,),0))</f>
        <v>0</v>
      </c>
      <c s="125">
        <f>-BG139*(1+IFERROR(INDEX(BG$10:BG$11,Предпосылки!$K124,),0))</f>
        <v>0</v>
      </c>
      <c s="125">
        <f>-BH139*(1+IFERROR(INDEX(BH$10:BH$11,Предпосылки!$K124,),0))</f>
        <v>0</v>
      </c>
      <c s="125">
        <f>-BI139*(1+IFERROR(INDEX(BI$10:BI$11,Предпосылки!$K124,),0))</f>
        <v>0</v>
      </c>
      <c s="125">
        <f>-BJ139*(1+IFERROR(INDEX(BJ$10:BJ$11,Предпосылки!$K124,),0))</f>
        <v>0</v>
      </c>
      <c s="125">
        <f>-BK139*(1+IFERROR(INDEX(BK$10:BK$11,Предпосылки!$K124,),0))</f>
        <v>0</v>
      </c>
      <c s="125">
        <f>-BL139*(1+IFERROR(INDEX(BL$10:BL$11,Предпосылки!$K124,),0))</f>
        <v>0</v>
      </c>
      <c s="125">
        <f>-BM139*(1+IFERROR(INDEX(BM$10:BM$11,Предпосылки!$K124,),0))</f>
        <v>0</v>
      </c>
    </row>
    <row r="188" spans="2:65" ht="15" customHeight="1">
      <c r="B188" s="12" t="str">
        <f t="shared" si="198"/>
        <v>Продукт 4</v>
      </c>
      <c s="124" t="str">
        <f t="shared" si="197"/>
        <v>тыс. руб.</v>
      </c>
      <c s="125"/>
      <c s="125">
        <f>-E140*(1+IFERROR(INDEX(E$10:E$11,Предпосылки!$K125,),0))</f>
        <v>0</v>
      </c>
      <c s="125">
        <f>-F140*(1+IFERROR(INDEX(F$10:F$11,Предпосылки!$K125,),0))</f>
        <v>0</v>
      </c>
      <c s="125">
        <f>-G140*(1+IFERROR(INDEX(G$10:G$11,Предпосылки!$K125,),0))</f>
        <v>0</v>
      </c>
      <c s="125">
        <f>-H140*(1+IFERROR(INDEX(H$10:H$11,Предпосылки!$K125,),0))</f>
        <v>0</v>
      </c>
      <c s="125">
        <f>-I140*(1+IFERROR(INDEX(I$10:I$11,Предпосылки!$K125,),0))</f>
        <v>0</v>
      </c>
      <c s="125">
        <f>-J140*(1+IFERROR(INDEX(J$10:J$11,Предпосылки!$K125,),0))</f>
        <v>0</v>
      </c>
      <c s="125">
        <f>-K140*(1+IFERROR(INDEX(K$10:K$11,Предпосылки!$K125,),0))</f>
        <v>0</v>
      </c>
      <c s="125">
        <f>-L140*(1+IFERROR(INDEX(L$10:L$11,Предпосылки!$K125,),0))</f>
        <v>0</v>
      </c>
      <c s="125">
        <f>-M140*(1+IFERROR(INDEX(M$10:M$11,Предпосылки!$K125,),0))</f>
        <v>0</v>
      </c>
      <c s="125">
        <f>-N140*(1+IFERROR(INDEX(N$10:N$11,Предпосылки!$K125,),0))</f>
        <v>0</v>
      </c>
      <c s="125">
        <f>-O140*(1+IFERROR(INDEX(O$10:O$11,Предпосылки!$K125,),0))</f>
        <v>0</v>
      </c>
      <c s="125">
        <f>-P140*(1+IFERROR(INDEX(P$10:P$11,Предпосылки!$K125,),0))</f>
        <v>0</v>
      </c>
      <c s="125">
        <f>-Q140*(1+IFERROR(INDEX(Q$10:Q$11,Предпосылки!$K125,),0))</f>
        <v>0</v>
      </c>
      <c s="125">
        <f>-R140*(1+IFERROR(INDEX(R$10:R$11,Предпосылки!$K125,),0))</f>
        <v>0</v>
      </c>
      <c s="125">
        <f>-S140*(1+IFERROR(INDEX(S$10:S$11,Предпосылки!$K125,),0))</f>
        <v>0</v>
      </c>
      <c s="125">
        <f>-T140*(1+IFERROR(INDEX(T$10:T$11,Предпосылки!$K125,),0))</f>
        <v>0</v>
      </c>
      <c s="125">
        <f>-U140*(1+IFERROR(INDEX(U$10:U$11,Предпосылки!$K125,),0))</f>
        <v>0</v>
      </c>
      <c s="125">
        <f>-V140*(1+IFERROR(INDEX(V$10:V$11,Предпосылки!$K125,),0))</f>
        <v>0</v>
      </c>
      <c s="125">
        <f>-W140*(1+IFERROR(INDEX(W$10:W$11,Предпосылки!$K125,),0))</f>
        <v>0</v>
      </c>
      <c s="125">
        <f>-X140*(1+IFERROR(INDEX(X$10:X$11,Предпосылки!$K125,),0))</f>
        <v>0</v>
      </c>
      <c s="125">
        <f>-Y140*(1+IFERROR(INDEX(Y$10:Y$11,Предпосылки!$K125,),0))</f>
        <v>0</v>
      </c>
      <c s="125">
        <f>-Z140*(1+IFERROR(INDEX(Z$10:Z$11,Предпосылки!$K125,),0))</f>
        <v>0</v>
      </c>
      <c s="125">
        <f>-AA140*(1+IFERROR(INDEX(AA$10:AA$11,Предпосылки!$K125,),0))</f>
        <v>0</v>
      </c>
      <c s="125">
        <f>-AB140*(1+IFERROR(INDEX(AB$10:AB$11,Предпосылки!$K125,),0))</f>
        <v>0</v>
      </c>
      <c s="125">
        <f>-AC140*(1+IFERROR(INDEX(AC$10:AC$11,Предпосылки!$K125,),0))</f>
        <v>0</v>
      </c>
      <c s="125">
        <f>-AD140*(1+IFERROR(INDEX(AD$10:AD$11,Предпосылки!$K125,),0))</f>
        <v>0</v>
      </c>
      <c s="125">
        <f>-AE140*(1+IFERROR(INDEX(AE$10:AE$11,Предпосылки!$K125,),0))</f>
        <v>0</v>
      </c>
      <c s="125">
        <f>-AF140*(1+IFERROR(INDEX(AF$10:AF$11,Предпосылки!$K125,),0))</f>
        <v>0</v>
      </c>
      <c s="125">
        <f>-AG140*(1+IFERROR(INDEX(AG$10:AG$11,Предпосылки!$K125,),0))</f>
        <v>0</v>
      </c>
      <c s="125">
        <f>-AH140*(1+IFERROR(INDEX(AH$10:AH$11,Предпосылки!$K125,),0))</f>
        <v>0</v>
      </c>
      <c s="125">
        <f>-AI140*(1+IFERROR(INDEX(AI$10:AI$11,Предпосылки!$K125,),0))</f>
        <v>0</v>
      </c>
      <c s="125">
        <f>-AJ140*(1+IFERROR(INDEX(AJ$10:AJ$11,Предпосылки!$K125,),0))</f>
        <v>0</v>
      </c>
      <c s="125">
        <f>-AK140*(1+IFERROR(INDEX(AK$10:AK$11,Предпосылки!$K125,),0))</f>
        <v>0</v>
      </c>
      <c s="125">
        <f>-AL140*(1+IFERROR(INDEX(AL$10:AL$11,Предпосылки!$K125,),0))</f>
        <v>0</v>
      </c>
      <c s="125">
        <f>-AM140*(1+IFERROR(INDEX(AM$10:AM$11,Предпосылки!$K125,),0))</f>
        <v>0</v>
      </c>
      <c s="125">
        <f>-AN140*(1+IFERROR(INDEX(AN$10:AN$11,Предпосылки!$K125,),0))</f>
        <v>0</v>
      </c>
      <c s="125">
        <f>-AO140*(1+IFERROR(INDEX(AO$10:AO$11,Предпосылки!$K125,),0))</f>
        <v>0</v>
      </c>
      <c s="125">
        <f>-AP140*(1+IFERROR(INDEX(AP$10:AP$11,Предпосылки!$K125,),0))</f>
        <v>0</v>
      </c>
      <c s="125">
        <f>-AQ140*(1+IFERROR(INDEX(AQ$10:AQ$11,Предпосылки!$K125,),0))</f>
        <v>0</v>
      </c>
      <c s="125">
        <f>-AR140*(1+IFERROR(INDEX(AR$10:AR$11,Предпосылки!$K125,),0))</f>
        <v>0</v>
      </c>
      <c s="125">
        <f>-AS140*(1+IFERROR(INDEX(AS$10:AS$11,Предпосылки!$K125,),0))</f>
        <v>0</v>
      </c>
      <c s="125">
        <f>-AT140*(1+IFERROR(INDEX(AT$10:AT$11,Предпосылки!$K125,),0))</f>
        <v>0</v>
      </c>
      <c s="125">
        <f>-AU140*(1+IFERROR(INDEX(AU$10:AU$11,Предпосылки!$K125,),0))</f>
        <v>0</v>
      </c>
      <c s="125">
        <f>-AV140*(1+IFERROR(INDEX(AV$10:AV$11,Предпосылки!$K125,),0))</f>
        <v>0</v>
      </c>
      <c s="125">
        <f>-AW140*(1+IFERROR(INDEX(AW$10:AW$11,Предпосылки!$K125,),0))</f>
        <v>0</v>
      </c>
      <c s="125">
        <f>-AX140*(1+IFERROR(INDEX(AX$10:AX$11,Предпосылки!$K125,),0))</f>
        <v>0</v>
      </c>
      <c s="125">
        <f>-AY140*(1+IFERROR(INDEX(AY$10:AY$11,Предпосылки!$K125,),0))</f>
        <v>0</v>
      </c>
      <c s="125">
        <f>-AZ140*(1+IFERROR(INDEX(AZ$10:AZ$11,Предпосылки!$K125,),0))</f>
        <v>0</v>
      </c>
      <c s="125">
        <f>-BA140*(1+IFERROR(INDEX(BA$10:BA$11,Предпосылки!$K125,),0))</f>
        <v>0</v>
      </c>
      <c s="125">
        <f>-BB140*(1+IFERROR(INDEX(BB$10:BB$11,Предпосылки!$K125,),0))</f>
        <v>0</v>
      </c>
      <c s="125">
        <f>-BC140*(1+IFERROR(INDEX(BC$10:BC$11,Предпосылки!$K125,),0))</f>
        <v>0</v>
      </c>
      <c s="125">
        <f>-BD140*(1+IFERROR(INDEX(BD$10:BD$11,Предпосылки!$K125,),0))</f>
        <v>0</v>
      </c>
      <c s="125">
        <f>-BE140*(1+IFERROR(INDEX(BE$10:BE$11,Предпосылки!$K125,),0))</f>
        <v>0</v>
      </c>
      <c s="125">
        <f>-BF140*(1+IFERROR(INDEX(BF$10:BF$11,Предпосылки!$K125,),0))</f>
        <v>0</v>
      </c>
      <c s="125">
        <f>-BG140*(1+IFERROR(INDEX(BG$10:BG$11,Предпосылки!$K125,),0))</f>
        <v>0</v>
      </c>
      <c s="125">
        <f>-BH140*(1+IFERROR(INDEX(BH$10:BH$11,Предпосылки!$K125,),0))</f>
        <v>0</v>
      </c>
      <c s="125">
        <f>-BI140*(1+IFERROR(INDEX(BI$10:BI$11,Предпосылки!$K125,),0))</f>
        <v>0</v>
      </c>
      <c s="125">
        <f>-BJ140*(1+IFERROR(INDEX(BJ$10:BJ$11,Предпосылки!$K125,),0))</f>
        <v>0</v>
      </c>
      <c s="125">
        <f>-BK140*(1+IFERROR(INDEX(BK$10:BK$11,Предпосылки!$K125,),0))</f>
        <v>0</v>
      </c>
      <c s="125">
        <f>-BL140*(1+IFERROR(INDEX(BL$10:BL$11,Предпосылки!$K125,),0))</f>
        <v>0</v>
      </c>
      <c s="125">
        <f>-BM140*(1+IFERROR(INDEX(BM$10:BM$11,Предпосылки!$K125,),0))</f>
        <v>0</v>
      </c>
    </row>
    <row r="189" spans="2:65" ht="15" customHeight="1">
      <c r="B189" s="12" t="str">
        <f t="shared" si="198"/>
        <v>Продукт 5</v>
      </c>
      <c s="124" t="str">
        <f t="shared" si="197"/>
        <v>тыс. руб.</v>
      </c>
      <c s="125"/>
      <c s="125">
        <f>-E141*(1+IFERROR(INDEX(E$10:E$11,Предпосылки!$K126,),0))</f>
        <v>0</v>
      </c>
      <c s="125">
        <f>-F141*(1+IFERROR(INDEX(F$10:F$11,Предпосылки!$K126,),0))</f>
        <v>0</v>
      </c>
      <c s="125">
        <f>-G141*(1+IFERROR(INDEX(G$10:G$11,Предпосылки!$K126,),0))</f>
        <v>0</v>
      </c>
      <c s="125">
        <f>-H141*(1+IFERROR(INDEX(H$10:H$11,Предпосылки!$K126,),0))</f>
        <v>0</v>
      </c>
      <c s="125">
        <f>-I141*(1+IFERROR(INDEX(I$10:I$11,Предпосылки!$K126,),0))</f>
        <v>0</v>
      </c>
      <c s="125">
        <f>-J141*(1+IFERROR(INDEX(J$10:J$11,Предпосылки!$K126,),0))</f>
        <v>0</v>
      </c>
      <c s="125">
        <f>-K141*(1+IFERROR(INDEX(K$10:K$11,Предпосылки!$K126,),0))</f>
        <v>0</v>
      </c>
      <c s="125">
        <f>-L141*(1+IFERROR(INDEX(L$10:L$11,Предпосылки!$K126,),0))</f>
        <v>0</v>
      </c>
      <c s="125">
        <f>-M141*(1+IFERROR(INDEX(M$10:M$11,Предпосылки!$K126,),0))</f>
        <v>0</v>
      </c>
      <c s="125">
        <f>-N141*(1+IFERROR(INDEX(N$10:N$11,Предпосылки!$K126,),0))</f>
        <v>0</v>
      </c>
      <c s="125">
        <f>-O141*(1+IFERROR(INDEX(O$10:O$11,Предпосылки!$K126,),0))</f>
        <v>0</v>
      </c>
      <c s="125">
        <f>-P141*(1+IFERROR(INDEX(P$10:P$11,Предпосылки!$K126,),0))</f>
        <v>0</v>
      </c>
      <c s="125">
        <f>-Q141*(1+IFERROR(INDEX(Q$10:Q$11,Предпосылки!$K126,),0))</f>
        <v>0</v>
      </c>
      <c s="125">
        <f>-R141*(1+IFERROR(INDEX(R$10:R$11,Предпосылки!$K126,),0))</f>
        <v>0</v>
      </c>
      <c s="125">
        <f>-S141*(1+IFERROR(INDEX(S$10:S$11,Предпосылки!$K126,),0))</f>
        <v>0</v>
      </c>
      <c s="125">
        <f>-T141*(1+IFERROR(INDEX(T$10:T$11,Предпосылки!$K126,),0))</f>
        <v>0</v>
      </c>
      <c s="125">
        <f>-U141*(1+IFERROR(INDEX(U$10:U$11,Предпосылки!$K126,),0))</f>
        <v>0</v>
      </c>
      <c s="125">
        <f>-V141*(1+IFERROR(INDEX(V$10:V$11,Предпосылки!$K126,),0))</f>
        <v>0</v>
      </c>
      <c s="125">
        <f>-W141*(1+IFERROR(INDEX(W$10:W$11,Предпосылки!$K126,),0))</f>
        <v>0</v>
      </c>
      <c s="125">
        <f>-X141*(1+IFERROR(INDEX(X$10:X$11,Предпосылки!$K126,),0))</f>
        <v>0</v>
      </c>
      <c s="125">
        <f>-Y141*(1+IFERROR(INDEX(Y$10:Y$11,Предпосылки!$K126,),0))</f>
        <v>0</v>
      </c>
      <c s="125">
        <f>-Z141*(1+IFERROR(INDEX(Z$10:Z$11,Предпосылки!$K126,),0))</f>
        <v>0</v>
      </c>
      <c s="125">
        <f>-AA141*(1+IFERROR(INDEX(AA$10:AA$11,Предпосылки!$K126,),0))</f>
        <v>0</v>
      </c>
      <c s="125">
        <f>-AB141*(1+IFERROR(INDEX(AB$10:AB$11,Предпосылки!$K126,),0))</f>
        <v>0</v>
      </c>
      <c s="125">
        <f>-AC141*(1+IFERROR(INDEX(AC$10:AC$11,Предпосылки!$K126,),0))</f>
        <v>0</v>
      </c>
      <c s="125">
        <f>-AD141*(1+IFERROR(INDEX(AD$10:AD$11,Предпосылки!$K126,),0))</f>
        <v>0</v>
      </c>
      <c s="125">
        <f>-AE141*(1+IFERROR(INDEX(AE$10:AE$11,Предпосылки!$K126,),0))</f>
        <v>0</v>
      </c>
      <c s="125">
        <f>-AF141*(1+IFERROR(INDEX(AF$10:AF$11,Предпосылки!$K126,),0))</f>
        <v>0</v>
      </c>
      <c s="125">
        <f>-AG141*(1+IFERROR(INDEX(AG$10:AG$11,Предпосылки!$K126,),0))</f>
        <v>0</v>
      </c>
      <c s="125">
        <f>-AH141*(1+IFERROR(INDEX(AH$10:AH$11,Предпосылки!$K126,),0))</f>
        <v>0</v>
      </c>
      <c s="125">
        <f>-AI141*(1+IFERROR(INDEX(AI$10:AI$11,Предпосылки!$K126,),0))</f>
        <v>0</v>
      </c>
      <c s="125">
        <f>-AJ141*(1+IFERROR(INDEX(AJ$10:AJ$11,Предпосылки!$K126,),0))</f>
        <v>0</v>
      </c>
      <c s="125">
        <f>-AK141*(1+IFERROR(INDEX(AK$10:AK$11,Предпосылки!$K126,),0))</f>
        <v>0</v>
      </c>
      <c s="125">
        <f>-AL141*(1+IFERROR(INDEX(AL$10:AL$11,Предпосылки!$K126,),0))</f>
        <v>0</v>
      </c>
      <c s="125">
        <f>-AM141*(1+IFERROR(INDEX(AM$10:AM$11,Предпосылки!$K126,),0))</f>
        <v>0</v>
      </c>
      <c s="125">
        <f>-AN141*(1+IFERROR(INDEX(AN$10:AN$11,Предпосылки!$K126,),0))</f>
        <v>0</v>
      </c>
      <c s="125">
        <f>-AO141*(1+IFERROR(INDEX(AO$10:AO$11,Предпосылки!$K126,),0))</f>
        <v>0</v>
      </c>
      <c s="125">
        <f>-AP141*(1+IFERROR(INDEX(AP$10:AP$11,Предпосылки!$K126,),0))</f>
        <v>0</v>
      </c>
      <c s="125">
        <f>-AQ141*(1+IFERROR(INDEX(AQ$10:AQ$11,Предпосылки!$K126,),0))</f>
        <v>0</v>
      </c>
      <c s="125">
        <f>-AR141*(1+IFERROR(INDEX(AR$10:AR$11,Предпосылки!$K126,),0))</f>
        <v>0</v>
      </c>
      <c s="125">
        <f>-AS141*(1+IFERROR(INDEX(AS$10:AS$11,Предпосылки!$K126,),0))</f>
        <v>0</v>
      </c>
      <c s="125">
        <f>-AT141*(1+IFERROR(INDEX(AT$10:AT$11,Предпосылки!$K126,),0))</f>
        <v>0</v>
      </c>
      <c s="125">
        <f>-AU141*(1+IFERROR(INDEX(AU$10:AU$11,Предпосылки!$K126,),0))</f>
        <v>0</v>
      </c>
      <c s="125">
        <f>-AV141*(1+IFERROR(INDEX(AV$10:AV$11,Предпосылки!$K126,),0))</f>
        <v>0</v>
      </c>
      <c s="125">
        <f>-AW141*(1+IFERROR(INDEX(AW$10:AW$11,Предпосылки!$K126,),0))</f>
        <v>0</v>
      </c>
      <c s="125">
        <f>-AX141*(1+IFERROR(INDEX(AX$10:AX$11,Предпосылки!$K126,),0))</f>
        <v>0</v>
      </c>
      <c s="125">
        <f>-AY141*(1+IFERROR(INDEX(AY$10:AY$11,Предпосылки!$K126,),0))</f>
        <v>0</v>
      </c>
      <c s="125">
        <f>-AZ141*(1+IFERROR(INDEX(AZ$10:AZ$11,Предпосылки!$K126,),0))</f>
        <v>0</v>
      </c>
      <c s="125">
        <f>-BA141*(1+IFERROR(INDEX(BA$10:BA$11,Предпосылки!$K126,),0))</f>
        <v>0</v>
      </c>
      <c s="125">
        <f>-BB141*(1+IFERROR(INDEX(BB$10:BB$11,Предпосылки!$K126,),0))</f>
        <v>0</v>
      </c>
      <c s="125">
        <f>-BC141*(1+IFERROR(INDEX(BC$10:BC$11,Предпосылки!$K126,),0))</f>
        <v>0</v>
      </c>
      <c s="125">
        <f>-BD141*(1+IFERROR(INDEX(BD$10:BD$11,Предпосылки!$K126,),0))</f>
        <v>0</v>
      </c>
      <c s="125">
        <f>-BE141*(1+IFERROR(INDEX(BE$10:BE$11,Предпосылки!$K126,),0))</f>
        <v>0</v>
      </c>
      <c s="125">
        <f>-BF141*(1+IFERROR(INDEX(BF$10:BF$11,Предпосылки!$K126,),0))</f>
        <v>0</v>
      </c>
      <c s="125">
        <f>-BG141*(1+IFERROR(INDEX(BG$10:BG$11,Предпосылки!$K126,),0))</f>
        <v>0</v>
      </c>
      <c s="125">
        <f>-BH141*(1+IFERROR(INDEX(BH$10:BH$11,Предпосылки!$K126,),0))</f>
        <v>0</v>
      </c>
      <c s="125">
        <f>-BI141*(1+IFERROR(INDEX(BI$10:BI$11,Предпосылки!$K126,),0))</f>
        <v>0</v>
      </c>
      <c s="125">
        <f>-BJ141*(1+IFERROR(INDEX(BJ$10:BJ$11,Предпосылки!$K126,),0))</f>
        <v>0</v>
      </c>
      <c s="125">
        <f>-BK141*(1+IFERROR(INDEX(BK$10:BK$11,Предпосылки!$K126,),0))</f>
        <v>0</v>
      </c>
      <c s="125">
        <f>-BL141*(1+IFERROR(INDEX(BL$10:BL$11,Предпосылки!$K126,),0))</f>
        <v>0</v>
      </c>
      <c s="125">
        <f>-BM141*(1+IFERROR(INDEX(BM$10:BM$11,Предпосылки!$K126,),0))</f>
        <v>0</v>
      </c>
    </row>
    <row r="190" spans="2:65" ht="15" customHeight="1">
      <c r="B190" s="12" t="str">
        <f t="shared" si="198"/>
        <v>Продукт 6</v>
      </c>
      <c s="124" t="str">
        <f t="shared" si="197"/>
        <v>тыс. руб.</v>
      </c>
      <c s="125"/>
      <c s="125">
        <f>-E142*(1+IFERROR(INDEX(E$10:E$11,Предпосылки!$K127,),0))</f>
        <v>0</v>
      </c>
      <c s="125">
        <f>-F142*(1+IFERROR(INDEX(F$10:F$11,Предпосылки!$K127,),0))</f>
        <v>0</v>
      </c>
      <c s="125">
        <f>-G142*(1+IFERROR(INDEX(G$10:G$11,Предпосылки!$K127,),0))</f>
        <v>0</v>
      </c>
      <c s="125">
        <f>-H142*(1+IFERROR(INDEX(H$10:H$11,Предпосылки!$K127,),0))</f>
        <v>0</v>
      </c>
      <c s="125">
        <f>-I142*(1+IFERROR(INDEX(I$10:I$11,Предпосылки!$K127,),0))</f>
        <v>0</v>
      </c>
      <c s="125">
        <f>-J142*(1+IFERROR(INDEX(J$10:J$11,Предпосылки!$K127,),0))</f>
        <v>0</v>
      </c>
      <c s="125">
        <f>-K142*(1+IFERROR(INDEX(K$10:K$11,Предпосылки!$K127,),0))</f>
        <v>0</v>
      </c>
      <c s="125">
        <f>-L142*(1+IFERROR(INDEX(L$10:L$11,Предпосылки!$K127,),0))</f>
        <v>0</v>
      </c>
      <c s="125">
        <f>-M142*(1+IFERROR(INDEX(M$10:M$11,Предпосылки!$K127,),0))</f>
        <v>0</v>
      </c>
      <c s="125">
        <f>-N142*(1+IFERROR(INDEX(N$10:N$11,Предпосылки!$K127,),0))</f>
        <v>0</v>
      </c>
      <c s="125">
        <f>-O142*(1+IFERROR(INDEX(O$10:O$11,Предпосылки!$K127,),0))</f>
        <v>0</v>
      </c>
      <c s="125">
        <f>-P142*(1+IFERROR(INDEX(P$10:P$11,Предпосылки!$K127,),0))</f>
        <v>0</v>
      </c>
      <c s="125">
        <f>-Q142*(1+IFERROR(INDEX(Q$10:Q$11,Предпосылки!$K127,),0))</f>
        <v>0</v>
      </c>
      <c s="125">
        <f>-R142*(1+IFERROR(INDEX(R$10:R$11,Предпосылки!$K127,),0))</f>
        <v>0</v>
      </c>
      <c s="125">
        <f>-S142*(1+IFERROR(INDEX(S$10:S$11,Предпосылки!$K127,),0))</f>
        <v>0</v>
      </c>
      <c s="125">
        <f>-T142*(1+IFERROR(INDEX(T$10:T$11,Предпосылки!$K127,),0))</f>
        <v>0</v>
      </c>
      <c s="125">
        <f>-U142*(1+IFERROR(INDEX(U$10:U$11,Предпосылки!$K127,),0))</f>
        <v>0</v>
      </c>
      <c s="125">
        <f>-V142*(1+IFERROR(INDEX(V$10:V$11,Предпосылки!$K127,),0))</f>
        <v>0</v>
      </c>
      <c s="125">
        <f>-W142*(1+IFERROR(INDEX(W$10:W$11,Предпосылки!$K127,),0))</f>
        <v>0</v>
      </c>
      <c s="125">
        <f>-X142*(1+IFERROR(INDEX(X$10:X$11,Предпосылки!$K127,),0))</f>
        <v>0</v>
      </c>
      <c s="125">
        <f>-Y142*(1+IFERROR(INDEX(Y$10:Y$11,Предпосылки!$K127,),0))</f>
        <v>0</v>
      </c>
      <c s="125">
        <f>-Z142*(1+IFERROR(INDEX(Z$10:Z$11,Предпосылки!$K127,),0))</f>
        <v>0</v>
      </c>
      <c s="125">
        <f>-AA142*(1+IFERROR(INDEX(AA$10:AA$11,Предпосылки!$K127,),0))</f>
        <v>0</v>
      </c>
      <c s="125">
        <f>-AB142*(1+IFERROR(INDEX(AB$10:AB$11,Предпосылки!$K127,),0))</f>
        <v>0</v>
      </c>
      <c s="125">
        <f>-AC142*(1+IFERROR(INDEX(AC$10:AC$11,Предпосылки!$K127,),0))</f>
        <v>0</v>
      </c>
      <c s="125">
        <f>-AD142*(1+IFERROR(INDEX(AD$10:AD$11,Предпосылки!$K127,),0))</f>
        <v>0</v>
      </c>
      <c s="125">
        <f>-AE142*(1+IFERROR(INDEX(AE$10:AE$11,Предпосылки!$K127,),0))</f>
        <v>0</v>
      </c>
      <c s="125">
        <f>-AF142*(1+IFERROR(INDEX(AF$10:AF$11,Предпосылки!$K127,),0))</f>
        <v>0</v>
      </c>
      <c s="125">
        <f>-AG142*(1+IFERROR(INDEX(AG$10:AG$11,Предпосылки!$K127,),0))</f>
        <v>0</v>
      </c>
      <c s="125">
        <f>-AH142*(1+IFERROR(INDEX(AH$10:AH$11,Предпосылки!$K127,),0))</f>
        <v>0</v>
      </c>
      <c s="125">
        <f>-AI142*(1+IFERROR(INDEX(AI$10:AI$11,Предпосылки!$K127,),0))</f>
        <v>0</v>
      </c>
      <c s="125">
        <f>-AJ142*(1+IFERROR(INDEX(AJ$10:AJ$11,Предпосылки!$K127,),0))</f>
        <v>0</v>
      </c>
      <c s="125">
        <f>-AK142*(1+IFERROR(INDEX(AK$10:AK$11,Предпосылки!$K127,),0))</f>
        <v>0</v>
      </c>
      <c s="125">
        <f>-AL142*(1+IFERROR(INDEX(AL$10:AL$11,Предпосылки!$K127,),0))</f>
        <v>0</v>
      </c>
      <c s="125">
        <f>-AM142*(1+IFERROR(INDEX(AM$10:AM$11,Предпосылки!$K127,),0))</f>
        <v>0</v>
      </c>
      <c s="125">
        <f>-AN142*(1+IFERROR(INDEX(AN$10:AN$11,Предпосылки!$K127,),0))</f>
        <v>0</v>
      </c>
      <c s="125">
        <f>-AO142*(1+IFERROR(INDEX(AO$10:AO$11,Предпосылки!$K127,),0))</f>
        <v>0</v>
      </c>
      <c s="125">
        <f>-AP142*(1+IFERROR(INDEX(AP$10:AP$11,Предпосылки!$K127,),0))</f>
        <v>0</v>
      </c>
      <c s="125">
        <f>-AQ142*(1+IFERROR(INDEX(AQ$10:AQ$11,Предпосылки!$K127,),0))</f>
        <v>0</v>
      </c>
      <c s="125">
        <f>-AR142*(1+IFERROR(INDEX(AR$10:AR$11,Предпосылки!$K127,),0))</f>
        <v>0</v>
      </c>
      <c s="125">
        <f>-AS142*(1+IFERROR(INDEX(AS$10:AS$11,Предпосылки!$K127,),0))</f>
        <v>0</v>
      </c>
      <c s="125">
        <f>-AT142*(1+IFERROR(INDEX(AT$10:AT$11,Предпосылки!$K127,),0))</f>
        <v>0</v>
      </c>
      <c s="125">
        <f>-AU142*(1+IFERROR(INDEX(AU$10:AU$11,Предпосылки!$K127,),0))</f>
        <v>0</v>
      </c>
      <c s="125">
        <f>-AV142*(1+IFERROR(INDEX(AV$10:AV$11,Предпосылки!$K127,),0))</f>
        <v>0</v>
      </c>
      <c s="125">
        <f>-AW142*(1+IFERROR(INDEX(AW$10:AW$11,Предпосылки!$K127,),0))</f>
        <v>0</v>
      </c>
      <c s="125">
        <f>-AX142*(1+IFERROR(INDEX(AX$10:AX$11,Предпосылки!$K127,),0))</f>
        <v>0</v>
      </c>
      <c s="125">
        <f>-AY142*(1+IFERROR(INDEX(AY$10:AY$11,Предпосылки!$K127,),0))</f>
        <v>0</v>
      </c>
      <c s="125">
        <f>-AZ142*(1+IFERROR(INDEX(AZ$10:AZ$11,Предпосылки!$K127,),0))</f>
        <v>0</v>
      </c>
      <c s="125">
        <f>-BA142*(1+IFERROR(INDEX(BA$10:BA$11,Предпосылки!$K127,),0))</f>
        <v>0</v>
      </c>
      <c s="125">
        <f>-BB142*(1+IFERROR(INDEX(BB$10:BB$11,Предпосылки!$K127,),0))</f>
        <v>0</v>
      </c>
      <c s="125">
        <f>-BC142*(1+IFERROR(INDEX(BC$10:BC$11,Предпосылки!$K127,),0))</f>
        <v>0</v>
      </c>
      <c s="125">
        <f>-BD142*(1+IFERROR(INDEX(BD$10:BD$11,Предпосылки!$K127,),0))</f>
        <v>0</v>
      </c>
      <c s="125">
        <f>-BE142*(1+IFERROR(INDEX(BE$10:BE$11,Предпосылки!$K127,),0))</f>
        <v>0</v>
      </c>
      <c s="125">
        <f>-BF142*(1+IFERROR(INDEX(BF$10:BF$11,Предпосылки!$K127,),0))</f>
        <v>0</v>
      </c>
      <c s="125">
        <f>-BG142*(1+IFERROR(INDEX(BG$10:BG$11,Предпосылки!$K127,),0))</f>
        <v>0</v>
      </c>
      <c s="125">
        <f>-BH142*(1+IFERROR(INDEX(BH$10:BH$11,Предпосылки!$K127,),0))</f>
        <v>0</v>
      </c>
      <c s="125">
        <f>-BI142*(1+IFERROR(INDEX(BI$10:BI$11,Предпосылки!$K127,),0))</f>
        <v>0</v>
      </c>
      <c s="125">
        <f>-BJ142*(1+IFERROR(INDEX(BJ$10:BJ$11,Предпосылки!$K127,),0))</f>
        <v>0</v>
      </c>
      <c s="125">
        <f>-BK142*(1+IFERROR(INDEX(BK$10:BK$11,Предпосылки!$K127,),0))</f>
        <v>0</v>
      </c>
      <c s="125">
        <f>-BL142*(1+IFERROR(INDEX(BL$10:BL$11,Предпосылки!$K127,),0))</f>
        <v>0</v>
      </c>
      <c s="125">
        <f>-BM142*(1+IFERROR(INDEX(BM$10:BM$11,Предпосылки!$K127,),0))</f>
        <v>0</v>
      </c>
    </row>
    <row r="191" spans="2:65" ht="15" customHeight="1">
      <c r="B191" s="12" t="str">
        <f t="shared" si="198"/>
        <v>Продукт 7</v>
      </c>
      <c s="124" t="str">
        <f t="shared" si="197"/>
        <v>тыс. руб.</v>
      </c>
      <c s="125"/>
      <c s="125">
        <f>-E143*(1+IFERROR(INDEX(E$10:E$11,Предпосылки!$K128,),0))</f>
        <v>0</v>
      </c>
      <c s="125">
        <f>-F143*(1+IFERROR(INDEX(F$10:F$11,Предпосылки!$K128,),0))</f>
        <v>0</v>
      </c>
      <c s="125">
        <f>-G143*(1+IFERROR(INDEX(G$10:G$11,Предпосылки!$K128,),0))</f>
        <v>0</v>
      </c>
      <c s="125">
        <f>-H143*(1+IFERROR(INDEX(H$10:H$11,Предпосылки!$K128,),0))</f>
        <v>0</v>
      </c>
      <c s="125">
        <f>-I143*(1+IFERROR(INDEX(I$10:I$11,Предпосылки!$K128,),0))</f>
        <v>0</v>
      </c>
      <c s="125">
        <f>-J143*(1+IFERROR(INDEX(J$10:J$11,Предпосылки!$K128,),0))</f>
        <v>0</v>
      </c>
      <c s="125">
        <f>-K143*(1+IFERROR(INDEX(K$10:K$11,Предпосылки!$K128,),0))</f>
        <v>0</v>
      </c>
      <c s="125">
        <f>-L143*(1+IFERROR(INDEX(L$10:L$11,Предпосылки!$K128,),0))</f>
        <v>0</v>
      </c>
      <c s="125">
        <f>-M143*(1+IFERROR(INDEX(M$10:M$11,Предпосылки!$K128,),0))</f>
        <v>0</v>
      </c>
      <c s="125">
        <f>-N143*(1+IFERROR(INDEX(N$10:N$11,Предпосылки!$K128,),0))</f>
        <v>0</v>
      </c>
      <c s="125">
        <f>-O143*(1+IFERROR(INDEX(O$10:O$11,Предпосылки!$K128,),0))</f>
        <v>0</v>
      </c>
      <c s="125">
        <f>-P143*(1+IFERROR(INDEX(P$10:P$11,Предпосылки!$K128,),0))</f>
        <v>0</v>
      </c>
      <c s="125">
        <f>-Q143*(1+IFERROR(INDEX(Q$10:Q$11,Предпосылки!$K128,),0))</f>
        <v>0</v>
      </c>
      <c s="125">
        <f>-R143*(1+IFERROR(INDEX(R$10:R$11,Предпосылки!$K128,),0))</f>
        <v>0</v>
      </c>
      <c s="125">
        <f>-S143*(1+IFERROR(INDEX(S$10:S$11,Предпосылки!$K128,),0))</f>
        <v>0</v>
      </c>
      <c s="125">
        <f>-T143*(1+IFERROR(INDEX(T$10:T$11,Предпосылки!$K128,),0))</f>
        <v>0</v>
      </c>
      <c s="125">
        <f>-U143*(1+IFERROR(INDEX(U$10:U$11,Предпосылки!$K128,),0))</f>
        <v>0</v>
      </c>
      <c s="125">
        <f>-V143*(1+IFERROR(INDEX(V$10:V$11,Предпосылки!$K128,),0))</f>
        <v>0</v>
      </c>
      <c s="125">
        <f>-W143*(1+IFERROR(INDEX(W$10:W$11,Предпосылки!$K128,),0))</f>
        <v>0</v>
      </c>
      <c s="125">
        <f>-X143*(1+IFERROR(INDEX(X$10:X$11,Предпосылки!$K128,),0))</f>
        <v>0</v>
      </c>
      <c s="125">
        <f>-Y143*(1+IFERROR(INDEX(Y$10:Y$11,Предпосылки!$K128,),0))</f>
        <v>0</v>
      </c>
      <c s="125">
        <f>-Z143*(1+IFERROR(INDEX(Z$10:Z$11,Предпосылки!$K128,),0))</f>
        <v>0</v>
      </c>
      <c s="125">
        <f>-AA143*(1+IFERROR(INDEX(AA$10:AA$11,Предпосылки!$K128,),0))</f>
        <v>0</v>
      </c>
      <c s="125">
        <f>-AB143*(1+IFERROR(INDEX(AB$10:AB$11,Предпосылки!$K128,),0))</f>
        <v>0</v>
      </c>
      <c s="125">
        <f>-AC143*(1+IFERROR(INDEX(AC$10:AC$11,Предпосылки!$K128,),0))</f>
        <v>0</v>
      </c>
      <c s="125">
        <f>-AD143*(1+IFERROR(INDEX(AD$10:AD$11,Предпосылки!$K128,),0))</f>
        <v>0</v>
      </c>
      <c s="125">
        <f>-AE143*(1+IFERROR(INDEX(AE$10:AE$11,Предпосылки!$K128,),0))</f>
        <v>0</v>
      </c>
      <c s="125">
        <f>-AF143*(1+IFERROR(INDEX(AF$10:AF$11,Предпосылки!$K128,),0))</f>
        <v>0</v>
      </c>
      <c s="125">
        <f>-AG143*(1+IFERROR(INDEX(AG$10:AG$11,Предпосылки!$K128,),0))</f>
        <v>0</v>
      </c>
      <c s="125">
        <f>-AH143*(1+IFERROR(INDEX(AH$10:AH$11,Предпосылки!$K128,),0))</f>
        <v>0</v>
      </c>
      <c s="125">
        <f>-AI143*(1+IFERROR(INDEX(AI$10:AI$11,Предпосылки!$K128,),0))</f>
        <v>0</v>
      </c>
      <c s="125">
        <f>-AJ143*(1+IFERROR(INDEX(AJ$10:AJ$11,Предпосылки!$K128,),0))</f>
        <v>0</v>
      </c>
      <c s="125">
        <f>-AK143*(1+IFERROR(INDEX(AK$10:AK$11,Предпосылки!$K128,),0))</f>
        <v>0</v>
      </c>
      <c s="125">
        <f>-AL143*(1+IFERROR(INDEX(AL$10:AL$11,Предпосылки!$K128,),0))</f>
        <v>0</v>
      </c>
      <c s="125">
        <f>-AM143*(1+IFERROR(INDEX(AM$10:AM$11,Предпосылки!$K128,),0))</f>
        <v>0</v>
      </c>
      <c s="125">
        <f>-AN143*(1+IFERROR(INDEX(AN$10:AN$11,Предпосылки!$K128,),0))</f>
        <v>0</v>
      </c>
      <c s="125">
        <f>-AO143*(1+IFERROR(INDEX(AO$10:AO$11,Предпосылки!$K128,),0))</f>
        <v>0</v>
      </c>
      <c s="125">
        <f>-AP143*(1+IFERROR(INDEX(AP$10:AP$11,Предпосылки!$K128,),0))</f>
        <v>0</v>
      </c>
      <c s="125">
        <f>-AQ143*(1+IFERROR(INDEX(AQ$10:AQ$11,Предпосылки!$K128,),0))</f>
        <v>0</v>
      </c>
      <c s="125">
        <f>-AR143*(1+IFERROR(INDEX(AR$10:AR$11,Предпосылки!$K128,),0))</f>
        <v>0</v>
      </c>
      <c s="125">
        <f>-AS143*(1+IFERROR(INDEX(AS$10:AS$11,Предпосылки!$K128,),0))</f>
        <v>0</v>
      </c>
      <c s="125">
        <f>-AT143*(1+IFERROR(INDEX(AT$10:AT$11,Предпосылки!$K128,),0))</f>
        <v>0</v>
      </c>
      <c s="125">
        <f>-AU143*(1+IFERROR(INDEX(AU$10:AU$11,Предпосылки!$K128,),0))</f>
        <v>0</v>
      </c>
      <c s="125">
        <f>-AV143*(1+IFERROR(INDEX(AV$10:AV$11,Предпосылки!$K128,),0))</f>
        <v>0</v>
      </c>
      <c s="125">
        <f>-AW143*(1+IFERROR(INDEX(AW$10:AW$11,Предпосылки!$K128,),0))</f>
        <v>0</v>
      </c>
      <c s="125">
        <f>-AX143*(1+IFERROR(INDEX(AX$10:AX$11,Предпосылки!$K128,),0))</f>
        <v>0</v>
      </c>
      <c s="125">
        <f>-AY143*(1+IFERROR(INDEX(AY$10:AY$11,Предпосылки!$K128,),0))</f>
        <v>0</v>
      </c>
      <c s="125">
        <f>-AZ143*(1+IFERROR(INDEX(AZ$10:AZ$11,Предпосылки!$K128,),0))</f>
        <v>0</v>
      </c>
      <c s="125">
        <f>-BA143*(1+IFERROR(INDEX(BA$10:BA$11,Предпосылки!$K128,),0))</f>
        <v>0</v>
      </c>
      <c s="125">
        <f>-BB143*(1+IFERROR(INDEX(BB$10:BB$11,Предпосылки!$K128,),0))</f>
        <v>0</v>
      </c>
      <c s="125">
        <f>-BC143*(1+IFERROR(INDEX(BC$10:BC$11,Предпосылки!$K128,),0))</f>
        <v>0</v>
      </c>
      <c s="125">
        <f>-BD143*(1+IFERROR(INDEX(BD$10:BD$11,Предпосылки!$K128,),0))</f>
        <v>0</v>
      </c>
      <c s="125">
        <f>-BE143*(1+IFERROR(INDEX(BE$10:BE$11,Предпосылки!$K128,),0))</f>
        <v>0</v>
      </c>
      <c s="125">
        <f>-BF143*(1+IFERROR(INDEX(BF$10:BF$11,Предпосылки!$K128,),0))</f>
        <v>0</v>
      </c>
      <c s="125">
        <f>-BG143*(1+IFERROR(INDEX(BG$10:BG$11,Предпосылки!$K128,),0))</f>
        <v>0</v>
      </c>
      <c s="125">
        <f>-BH143*(1+IFERROR(INDEX(BH$10:BH$11,Предпосылки!$K128,),0))</f>
        <v>0</v>
      </c>
      <c s="125">
        <f>-BI143*(1+IFERROR(INDEX(BI$10:BI$11,Предпосылки!$K128,),0))</f>
        <v>0</v>
      </c>
      <c s="125">
        <f>-BJ143*(1+IFERROR(INDEX(BJ$10:BJ$11,Предпосылки!$K128,),0))</f>
        <v>0</v>
      </c>
      <c s="125">
        <f>-BK143*(1+IFERROR(INDEX(BK$10:BK$11,Предпосылки!$K128,),0))</f>
        <v>0</v>
      </c>
      <c s="125">
        <f>-BL143*(1+IFERROR(INDEX(BL$10:BL$11,Предпосылки!$K128,),0))</f>
        <v>0</v>
      </c>
      <c s="125">
        <f>-BM143*(1+IFERROR(INDEX(BM$10:BM$11,Предпосылки!$K128,),0))</f>
        <v>0</v>
      </c>
    </row>
    <row r="192" spans="2:65" ht="15" customHeight="1">
      <c r="B192" s="12" t="str">
        <f t="shared" si="198"/>
        <v>Продукт 8</v>
      </c>
      <c s="124" t="str">
        <f t="shared" si="197"/>
        <v>тыс. руб.</v>
      </c>
      <c s="125"/>
      <c s="125">
        <f>-E144*(1+IFERROR(INDEX(E$10:E$11,Предпосылки!$K129,),0))</f>
        <v>0</v>
      </c>
      <c s="125">
        <f>-F144*(1+IFERROR(INDEX(F$10:F$11,Предпосылки!$K129,),0))</f>
        <v>0</v>
      </c>
      <c s="125">
        <f>-G144*(1+IFERROR(INDEX(G$10:G$11,Предпосылки!$K129,),0))</f>
        <v>0</v>
      </c>
      <c s="125">
        <f>-H144*(1+IFERROR(INDEX(H$10:H$11,Предпосылки!$K129,),0))</f>
        <v>0</v>
      </c>
      <c s="125">
        <f>-I144*(1+IFERROR(INDEX(I$10:I$11,Предпосылки!$K129,),0))</f>
        <v>0</v>
      </c>
      <c s="125">
        <f>-J144*(1+IFERROR(INDEX(J$10:J$11,Предпосылки!$K129,),0))</f>
        <v>0</v>
      </c>
      <c s="125">
        <f>-K144*(1+IFERROR(INDEX(K$10:K$11,Предпосылки!$K129,),0))</f>
        <v>0</v>
      </c>
      <c s="125">
        <f>-L144*(1+IFERROR(INDEX(L$10:L$11,Предпосылки!$K129,),0))</f>
        <v>0</v>
      </c>
      <c s="125">
        <f>-M144*(1+IFERROR(INDEX(M$10:M$11,Предпосылки!$K129,),0))</f>
        <v>0</v>
      </c>
      <c s="125">
        <f>-N144*(1+IFERROR(INDEX(N$10:N$11,Предпосылки!$K129,),0))</f>
        <v>0</v>
      </c>
      <c s="125">
        <f>-O144*(1+IFERROR(INDEX(O$10:O$11,Предпосылки!$K129,),0))</f>
        <v>0</v>
      </c>
      <c s="125">
        <f>-P144*(1+IFERROR(INDEX(P$10:P$11,Предпосылки!$K129,),0))</f>
        <v>0</v>
      </c>
      <c s="125">
        <f>-Q144*(1+IFERROR(INDEX(Q$10:Q$11,Предпосылки!$K129,),0))</f>
        <v>0</v>
      </c>
      <c s="125">
        <f>-R144*(1+IFERROR(INDEX(R$10:R$11,Предпосылки!$K129,),0))</f>
        <v>0</v>
      </c>
      <c s="125">
        <f>-S144*(1+IFERROR(INDEX(S$10:S$11,Предпосылки!$K129,),0))</f>
        <v>0</v>
      </c>
      <c s="125">
        <f>-T144*(1+IFERROR(INDEX(T$10:T$11,Предпосылки!$K129,),0))</f>
        <v>0</v>
      </c>
      <c s="125">
        <f>-U144*(1+IFERROR(INDEX(U$10:U$11,Предпосылки!$K129,),0))</f>
        <v>0</v>
      </c>
      <c s="125">
        <f>-V144*(1+IFERROR(INDEX(V$10:V$11,Предпосылки!$K129,),0))</f>
        <v>0</v>
      </c>
      <c s="125">
        <f>-W144*(1+IFERROR(INDEX(W$10:W$11,Предпосылки!$K129,),0))</f>
        <v>0</v>
      </c>
      <c s="125">
        <f>-X144*(1+IFERROR(INDEX(X$10:X$11,Предпосылки!$K129,),0))</f>
        <v>0</v>
      </c>
      <c s="125">
        <f>-Y144*(1+IFERROR(INDEX(Y$10:Y$11,Предпосылки!$K129,),0))</f>
        <v>0</v>
      </c>
      <c s="125">
        <f>-Z144*(1+IFERROR(INDEX(Z$10:Z$11,Предпосылки!$K129,),0))</f>
        <v>0</v>
      </c>
      <c s="125">
        <f>-AA144*(1+IFERROR(INDEX(AA$10:AA$11,Предпосылки!$K129,),0))</f>
        <v>0</v>
      </c>
      <c s="125">
        <f>-AB144*(1+IFERROR(INDEX(AB$10:AB$11,Предпосылки!$K129,),0))</f>
        <v>0</v>
      </c>
      <c s="125">
        <f>-AC144*(1+IFERROR(INDEX(AC$10:AC$11,Предпосылки!$K129,),0))</f>
        <v>0</v>
      </c>
      <c s="125">
        <f>-AD144*(1+IFERROR(INDEX(AD$10:AD$11,Предпосылки!$K129,),0))</f>
        <v>0</v>
      </c>
      <c s="125">
        <f>-AE144*(1+IFERROR(INDEX(AE$10:AE$11,Предпосылки!$K129,),0))</f>
        <v>0</v>
      </c>
      <c s="125">
        <f>-AF144*(1+IFERROR(INDEX(AF$10:AF$11,Предпосылки!$K129,),0))</f>
        <v>0</v>
      </c>
      <c s="125">
        <f>-AG144*(1+IFERROR(INDEX(AG$10:AG$11,Предпосылки!$K129,),0))</f>
        <v>0</v>
      </c>
      <c s="125">
        <f>-AH144*(1+IFERROR(INDEX(AH$10:AH$11,Предпосылки!$K129,),0))</f>
        <v>0</v>
      </c>
      <c s="125">
        <f>-AI144*(1+IFERROR(INDEX(AI$10:AI$11,Предпосылки!$K129,),0))</f>
        <v>0</v>
      </c>
      <c s="125">
        <f>-AJ144*(1+IFERROR(INDEX(AJ$10:AJ$11,Предпосылки!$K129,),0))</f>
        <v>0</v>
      </c>
      <c s="125">
        <f>-AK144*(1+IFERROR(INDEX(AK$10:AK$11,Предпосылки!$K129,),0))</f>
        <v>0</v>
      </c>
      <c s="125">
        <f>-AL144*(1+IFERROR(INDEX(AL$10:AL$11,Предпосылки!$K129,),0))</f>
        <v>0</v>
      </c>
      <c s="125">
        <f>-AM144*(1+IFERROR(INDEX(AM$10:AM$11,Предпосылки!$K129,),0))</f>
        <v>0</v>
      </c>
      <c s="125">
        <f>-AN144*(1+IFERROR(INDEX(AN$10:AN$11,Предпосылки!$K129,),0))</f>
        <v>0</v>
      </c>
      <c s="125">
        <f>-AO144*(1+IFERROR(INDEX(AO$10:AO$11,Предпосылки!$K129,),0))</f>
        <v>0</v>
      </c>
      <c s="125">
        <f>-AP144*(1+IFERROR(INDEX(AP$10:AP$11,Предпосылки!$K129,),0))</f>
        <v>0</v>
      </c>
      <c s="125">
        <f>-AQ144*(1+IFERROR(INDEX(AQ$10:AQ$11,Предпосылки!$K129,),0))</f>
        <v>0</v>
      </c>
      <c s="125">
        <f>-AR144*(1+IFERROR(INDEX(AR$10:AR$11,Предпосылки!$K129,),0))</f>
        <v>0</v>
      </c>
      <c s="125">
        <f>-AS144*(1+IFERROR(INDEX(AS$10:AS$11,Предпосылки!$K129,),0))</f>
        <v>0</v>
      </c>
      <c s="125">
        <f>-AT144*(1+IFERROR(INDEX(AT$10:AT$11,Предпосылки!$K129,),0))</f>
        <v>0</v>
      </c>
      <c s="125">
        <f>-AU144*(1+IFERROR(INDEX(AU$10:AU$11,Предпосылки!$K129,),0))</f>
        <v>0</v>
      </c>
      <c s="125">
        <f>-AV144*(1+IFERROR(INDEX(AV$10:AV$11,Предпосылки!$K129,),0))</f>
        <v>0</v>
      </c>
      <c s="125">
        <f>-AW144*(1+IFERROR(INDEX(AW$10:AW$11,Предпосылки!$K129,),0))</f>
        <v>0</v>
      </c>
      <c s="125">
        <f>-AX144*(1+IFERROR(INDEX(AX$10:AX$11,Предпосылки!$K129,),0))</f>
        <v>0</v>
      </c>
      <c s="125">
        <f>-AY144*(1+IFERROR(INDEX(AY$10:AY$11,Предпосылки!$K129,),0))</f>
        <v>0</v>
      </c>
      <c s="125">
        <f>-AZ144*(1+IFERROR(INDEX(AZ$10:AZ$11,Предпосылки!$K129,),0))</f>
        <v>0</v>
      </c>
      <c s="125">
        <f>-BA144*(1+IFERROR(INDEX(BA$10:BA$11,Предпосылки!$K129,),0))</f>
        <v>0</v>
      </c>
      <c s="125">
        <f>-BB144*(1+IFERROR(INDEX(BB$10:BB$11,Предпосылки!$K129,),0))</f>
        <v>0</v>
      </c>
      <c s="125">
        <f>-BC144*(1+IFERROR(INDEX(BC$10:BC$11,Предпосылки!$K129,),0))</f>
        <v>0</v>
      </c>
      <c s="125">
        <f>-BD144*(1+IFERROR(INDEX(BD$10:BD$11,Предпосылки!$K129,),0))</f>
        <v>0</v>
      </c>
      <c s="125">
        <f>-BE144*(1+IFERROR(INDEX(BE$10:BE$11,Предпосылки!$K129,),0))</f>
        <v>0</v>
      </c>
      <c s="125">
        <f>-BF144*(1+IFERROR(INDEX(BF$10:BF$11,Предпосылки!$K129,),0))</f>
        <v>0</v>
      </c>
      <c s="125">
        <f>-BG144*(1+IFERROR(INDEX(BG$10:BG$11,Предпосылки!$K129,),0))</f>
        <v>0</v>
      </c>
      <c s="125">
        <f>-BH144*(1+IFERROR(INDEX(BH$10:BH$11,Предпосылки!$K129,),0))</f>
        <v>0</v>
      </c>
      <c s="125">
        <f>-BI144*(1+IFERROR(INDEX(BI$10:BI$11,Предпосылки!$K129,),0))</f>
        <v>0</v>
      </c>
      <c s="125">
        <f>-BJ144*(1+IFERROR(INDEX(BJ$10:BJ$11,Предпосылки!$K129,),0))</f>
        <v>0</v>
      </c>
      <c s="125">
        <f>-BK144*(1+IFERROR(INDEX(BK$10:BK$11,Предпосылки!$K129,),0))</f>
        <v>0</v>
      </c>
      <c s="125">
        <f>-BL144*(1+IFERROR(INDEX(BL$10:BL$11,Предпосылки!$K129,),0))</f>
        <v>0</v>
      </c>
      <c s="125">
        <f>-BM144*(1+IFERROR(INDEX(BM$10:BM$11,Предпосылки!$K129,),0))</f>
        <v>0</v>
      </c>
    </row>
    <row r="193" spans="2:65" ht="15" customHeight="1">
      <c r="B193" s="12" t="str">
        <f t="shared" si="198"/>
        <v>Продукт 9</v>
      </c>
      <c s="124" t="str">
        <f t="shared" si="197"/>
        <v>тыс. руб.</v>
      </c>
      <c s="125"/>
      <c s="125">
        <f>-E145*(1+IFERROR(INDEX(E$10:E$11,Предпосылки!$K130,),0))</f>
        <v>0</v>
      </c>
      <c s="125">
        <f>-F145*(1+IFERROR(INDEX(F$10:F$11,Предпосылки!$K130,),0))</f>
        <v>0</v>
      </c>
      <c s="125">
        <f>-G145*(1+IFERROR(INDEX(G$10:G$11,Предпосылки!$K130,),0))</f>
        <v>0</v>
      </c>
      <c s="125">
        <f>-H145*(1+IFERROR(INDEX(H$10:H$11,Предпосылки!$K130,),0))</f>
        <v>0</v>
      </c>
      <c s="125">
        <f>-I145*(1+IFERROR(INDEX(I$10:I$11,Предпосылки!$K130,),0))</f>
        <v>0</v>
      </c>
      <c s="125">
        <f>-J145*(1+IFERROR(INDEX(J$10:J$11,Предпосылки!$K130,),0))</f>
        <v>0</v>
      </c>
      <c s="125">
        <f>-K145*(1+IFERROR(INDEX(K$10:K$11,Предпосылки!$K130,),0))</f>
        <v>0</v>
      </c>
      <c s="125">
        <f>-L145*(1+IFERROR(INDEX(L$10:L$11,Предпосылки!$K130,),0))</f>
        <v>0</v>
      </c>
      <c s="125">
        <f>-M145*(1+IFERROR(INDEX(M$10:M$11,Предпосылки!$K130,),0))</f>
        <v>0</v>
      </c>
      <c s="125">
        <f>-N145*(1+IFERROR(INDEX(N$10:N$11,Предпосылки!$K130,),0))</f>
        <v>0</v>
      </c>
      <c s="125">
        <f>-O145*(1+IFERROR(INDEX(O$10:O$11,Предпосылки!$K130,),0))</f>
        <v>0</v>
      </c>
      <c s="125">
        <f>-P145*(1+IFERROR(INDEX(P$10:P$11,Предпосылки!$K130,),0))</f>
        <v>0</v>
      </c>
      <c s="125">
        <f>-Q145*(1+IFERROR(INDEX(Q$10:Q$11,Предпосылки!$K130,),0))</f>
        <v>0</v>
      </c>
      <c s="125">
        <f>-R145*(1+IFERROR(INDEX(R$10:R$11,Предпосылки!$K130,),0))</f>
        <v>0</v>
      </c>
      <c s="125">
        <f>-S145*(1+IFERROR(INDEX(S$10:S$11,Предпосылки!$K130,),0))</f>
        <v>0</v>
      </c>
      <c s="125">
        <f>-T145*(1+IFERROR(INDEX(T$10:T$11,Предпосылки!$K130,),0))</f>
        <v>0</v>
      </c>
      <c s="125">
        <f>-U145*(1+IFERROR(INDEX(U$10:U$11,Предпосылки!$K130,),0))</f>
        <v>0</v>
      </c>
      <c s="125">
        <f>-V145*(1+IFERROR(INDEX(V$10:V$11,Предпосылки!$K130,),0))</f>
        <v>0</v>
      </c>
      <c s="125">
        <f>-W145*(1+IFERROR(INDEX(W$10:W$11,Предпосылки!$K130,),0))</f>
        <v>0</v>
      </c>
      <c s="125">
        <f>-X145*(1+IFERROR(INDEX(X$10:X$11,Предпосылки!$K130,),0))</f>
        <v>0</v>
      </c>
      <c s="125">
        <f>-Y145*(1+IFERROR(INDEX(Y$10:Y$11,Предпосылки!$K130,),0))</f>
        <v>0</v>
      </c>
      <c s="125">
        <f>-Z145*(1+IFERROR(INDEX(Z$10:Z$11,Предпосылки!$K130,),0))</f>
        <v>0</v>
      </c>
      <c s="125">
        <f>-AA145*(1+IFERROR(INDEX(AA$10:AA$11,Предпосылки!$K130,),0))</f>
        <v>0</v>
      </c>
      <c s="125">
        <f>-AB145*(1+IFERROR(INDEX(AB$10:AB$11,Предпосылки!$K130,),0))</f>
        <v>0</v>
      </c>
      <c s="125">
        <f>-AC145*(1+IFERROR(INDEX(AC$10:AC$11,Предпосылки!$K130,),0))</f>
        <v>0</v>
      </c>
      <c s="125">
        <f>-AD145*(1+IFERROR(INDEX(AD$10:AD$11,Предпосылки!$K130,),0))</f>
        <v>0</v>
      </c>
      <c s="125">
        <f>-AE145*(1+IFERROR(INDEX(AE$10:AE$11,Предпосылки!$K130,),0))</f>
        <v>0</v>
      </c>
      <c s="125">
        <f>-AF145*(1+IFERROR(INDEX(AF$10:AF$11,Предпосылки!$K130,),0))</f>
        <v>0</v>
      </c>
      <c s="125">
        <f>-AG145*(1+IFERROR(INDEX(AG$10:AG$11,Предпосылки!$K130,),0))</f>
        <v>0</v>
      </c>
      <c s="125">
        <f>-AH145*(1+IFERROR(INDEX(AH$10:AH$11,Предпосылки!$K130,),0))</f>
        <v>0</v>
      </c>
      <c s="125">
        <f>-AI145*(1+IFERROR(INDEX(AI$10:AI$11,Предпосылки!$K130,),0))</f>
        <v>0</v>
      </c>
      <c s="125">
        <f>-AJ145*(1+IFERROR(INDEX(AJ$10:AJ$11,Предпосылки!$K130,),0))</f>
        <v>0</v>
      </c>
      <c s="125">
        <f>-AK145*(1+IFERROR(INDEX(AK$10:AK$11,Предпосылки!$K130,),0))</f>
        <v>0</v>
      </c>
      <c s="125">
        <f>-AL145*(1+IFERROR(INDEX(AL$10:AL$11,Предпосылки!$K130,),0))</f>
        <v>0</v>
      </c>
      <c s="125">
        <f>-AM145*(1+IFERROR(INDEX(AM$10:AM$11,Предпосылки!$K130,),0))</f>
        <v>0</v>
      </c>
      <c s="125">
        <f>-AN145*(1+IFERROR(INDEX(AN$10:AN$11,Предпосылки!$K130,),0))</f>
        <v>0</v>
      </c>
      <c s="125">
        <f>-AO145*(1+IFERROR(INDEX(AO$10:AO$11,Предпосылки!$K130,),0))</f>
        <v>0</v>
      </c>
      <c s="125">
        <f>-AP145*(1+IFERROR(INDEX(AP$10:AP$11,Предпосылки!$K130,),0))</f>
        <v>0</v>
      </c>
      <c s="125">
        <f>-AQ145*(1+IFERROR(INDEX(AQ$10:AQ$11,Предпосылки!$K130,),0))</f>
        <v>0</v>
      </c>
      <c s="125">
        <f>-AR145*(1+IFERROR(INDEX(AR$10:AR$11,Предпосылки!$K130,),0))</f>
        <v>0</v>
      </c>
      <c s="125">
        <f>-AS145*(1+IFERROR(INDEX(AS$10:AS$11,Предпосылки!$K130,),0))</f>
        <v>0</v>
      </c>
      <c s="125">
        <f>-AT145*(1+IFERROR(INDEX(AT$10:AT$11,Предпосылки!$K130,),0))</f>
        <v>0</v>
      </c>
      <c s="125">
        <f>-AU145*(1+IFERROR(INDEX(AU$10:AU$11,Предпосылки!$K130,),0))</f>
        <v>0</v>
      </c>
      <c s="125">
        <f>-AV145*(1+IFERROR(INDEX(AV$10:AV$11,Предпосылки!$K130,),0))</f>
        <v>0</v>
      </c>
      <c s="125">
        <f>-AW145*(1+IFERROR(INDEX(AW$10:AW$11,Предпосылки!$K130,),0))</f>
        <v>0</v>
      </c>
      <c s="125">
        <f>-AX145*(1+IFERROR(INDEX(AX$10:AX$11,Предпосылки!$K130,),0))</f>
        <v>0</v>
      </c>
      <c s="125">
        <f>-AY145*(1+IFERROR(INDEX(AY$10:AY$11,Предпосылки!$K130,),0))</f>
        <v>0</v>
      </c>
      <c s="125">
        <f>-AZ145*(1+IFERROR(INDEX(AZ$10:AZ$11,Предпосылки!$K130,),0))</f>
        <v>0</v>
      </c>
      <c s="125">
        <f>-BA145*(1+IFERROR(INDEX(BA$10:BA$11,Предпосылки!$K130,),0))</f>
        <v>0</v>
      </c>
      <c s="125">
        <f>-BB145*(1+IFERROR(INDEX(BB$10:BB$11,Предпосылки!$K130,),0))</f>
        <v>0</v>
      </c>
      <c s="125">
        <f>-BC145*(1+IFERROR(INDEX(BC$10:BC$11,Предпосылки!$K130,),0))</f>
        <v>0</v>
      </c>
      <c s="125">
        <f>-BD145*(1+IFERROR(INDEX(BD$10:BD$11,Предпосылки!$K130,),0))</f>
        <v>0</v>
      </c>
      <c s="125">
        <f>-BE145*(1+IFERROR(INDEX(BE$10:BE$11,Предпосылки!$K130,),0))</f>
        <v>0</v>
      </c>
      <c s="125">
        <f>-BF145*(1+IFERROR(INDEX(BF$10:BF$11,Предпосылки!$K130,),0))</f>
        <v>0</v>
      </c>
      <c s="125">
        <f>-BG145*(1+IFERROR(INDEX(BG$10:BG$11,Предпосылки!$K130,),0))</f>
        <v>0</v>
      </c>
      <c s="125">
        <f>-BH145*(1+IFERROR(INDEX(BH$10:BH$11,Предпосылки!$K130,),0))</f>
        <v>0</v>
      </c>
      <c s="125">
        <f>-BI145*(1+IFERROR(INDEX(BI$10:BI$11,Предпосылки!$K130,),0))</f>
        <v>0</v>
      </c>
      <c s="125">
        <f>-BJ145*(1+IFERROR(INDEX(BJ$10:BJ$11,Предпосылки!$K130,),0))</f>
        <v>0</v>
      </c>
      <c s="125">
        <f>-BK145*(1+IFERROR(INDEX(BK$10:BK$11,Предпосылки!$K130,),0))</f>
        <v>0</v>
      </c>
      <c s="125">
        <f>-BL145*(1+IFERROR(INDEX(BL$10:BL$11,Предпосылки!$K130,),0))</f>
        <v>0</v>
      </c>
      <c s="125">
        <f>-BM145*(1+IFERROR(INDEX(BM$10:BM$11,Предпосылки!$K130,),0))</f>
        <v>0</v>
      </c>
    </row>
    <row r="194" spans="2:65" ht="15" customHeight="1">
      <c r="B194" s="12" t="str">
        <f t="shared" si="198"/>
        <v>Продукт 10</v>
      </c>
      <c s="124" t="str">
        <f t="shared" si="197"/>
        <v>тыс. руб.</v>
      </c>
      <c s="125"/>
      <c s="125">
        <f>-E146*(1+IFERROR(INDEX(E$10:E$11,Предпосылки!$K131,),0))</f>
        <v>0</v>
      </c>
      <c s="125">
        <f>-F146*(1+IFERROR(INDEX(F$10:F$11,Предпосылки!$K131,),0))</f>
        <v>0</v>
      </c>
      <c s="125">
        <f>-G146*(1+IFERROR(INDEX(G$10:G$11,Предпосылки!$K131,),0))</f>
        <v>0</v>
      </c>
      <c s="125">
        <f>-H146*(1+IFERROR(INDEX(H$10:H$11,Предпосылки!$K131,),0))</f>
        <v>0</v>
      </c>
      <c s="125">
        <f>-I146*(1+IFERROR(INDEX(I$10:I$11,Предпосылки!$K131,),0))</f>
        <v>0</v>
      </c>
      <c s="125">
        <f>-J146*(1+IFERROR(INDEX(J$10:J$11,Предпосылки!$K131,),0))</f>
        <v>0</v>
      </c>
      <c s="125">
        <f>-K146*(1+IFERROR(INDEX(K$10:K$11,Предпосылки!$K131,),0))</f>
        <v>0</v>
      </c>
      <c s="125">
        <f>-L146*(1+IFERROR(INDEX(L$10:L$11,Предпосылки!$K131,),0))</f>
        <v>0</v>
      </c>
      <c s="125">
        <f>-M146*(1+IFERROR(INDEX(M$10:M$11,Предпосылки!$K131,),0))</f>
        <v>0</v>
      </c>
      <c s="125">
        <f>-N146*(1+IFERROR(INDEX(N$10:N$11,Предпосылки!$K131,),0))</f>
        <v>0</v>
      </c>
      <c s="125">
        <f>-O146*(1+IFERROR(INDEX(O$10:O$11,Предпосылки!$K131,),0))</f>
        <v>0</v>
      </c>
      <c s="125">
        <f>-P146*(1+IFERROR(INDEX(P$10:P$11,Предпосылки!$K131,),0))</f>
        <v>0</v>
      </c>
      <c s="125">
        <f>-Q146*(1+IFERROR(INDEX(Q$10:Q$11,Предпосылки!$K131,),0))</f>
        <v>0</v>
      </c>
      <c s="125">
        <f>-R146*(1+IFERROR(INDEX(R$10:R$11,Предпосылки!$K131,),0))</f>
        <v>0</v>
      </c>
      <c s="125">
        <f>-S146*(1+IFERROR(INDEX(S$10:S$11,Предпосылки!$K131,),0))</f>
        <v>0</v>
      </c>
      <c s="125">
        <f>-T146*(1+IFERROR(INDEX(T$10:T$11,Предпосылки!$K131,),0))</f>
        <v>0</v>
      </c>
      <c s="125">
        <f>-U146*(1+IFERROR(INDEX(U$10:U$11,Предпосылки!$K131,),0))</f>
        <v>0</v>
      </c>
      <c s="125">
        <f>-V146*(1+IFERROR(INDEX(V$10:V$11,Предпосылки!$K131,),0))</f>
        <v>0</v>
      </c>
      <c s="125">
        <f>-W146*(1+IFERROR(INDEX(W$10:W$11,Предпосылки!$K131,),0))</f>
        <v>0</v>
      </c>
      <c s="125">
        <f>-X146*(1+IFERROR(INDEX(X$10:X$11,Предпосылки!$K131,),0))</f>
        <v>0</v>
      </c>
      <c s="125">
        <f>-Y146*(1+IFERROR(INDEX(Y$10:Y$11,Предпосылки!$K131,),0))</f>
        <v>0</v>
      </c>
      <c s="125">
        <f>-Z146*(1+IFERROR(INDEX(Z$10:Z$11,Предпосылки!$K131,),0))</f>
        <v>0</v>
      </c>
      <c s="125">
        <f>-AA146*(1+IFERROR(INDEX(AA$10:AA$11,Предпосылки!$K131,),0))</f>
        <v>0</v>
      </c>
      <c s="125">
        <f>-AB146*(1+IFERROR(INDEX(AB$10:AB$11,Предпосылки!$K131,),0))</f>
        <v>0</v>
      </c>
      <c s="125">
        <f>-AC146*(1+IFERROR(INDEX(AC$10:AC$11,Предпосылки!$K131,),0))</f>
        <v>0</v>
      </c>
      <c s="125">
        <f>-AD146*(1+IFERROR(INDEX(AD$10:AD$11,Предпосылки!$K131,),0))</f>
        <v>0</v>
      </c>
      <c s="125">
        <f>-AE146*(1+IFERROR(INDEX(AE$10:AE$11,Предпосылки!$K131,),0))</f>
        <v>0</v>
      </c>
      <c s="125">
        <f>-AF146*(1+IFERROR(INDEX(AF$10:AF$11,Предпосылки!$K131,),0))</f>
        <v>0</v>
      </c>
      <c s="125">
        <f>-AG146*(1+IFERROR(INDEX(AG$10:AG$11,Предпосылки!$K131,),0))</f>
        <v>0</v>
      </c>
      <c s="125">
        <f>-AH146*(1+IFERROR(INDEX(AH$10:AH$11,Предпосылки!$K131,),0))</f>
        <v>0</v>
      </c>
      <c s="125">
        <f>-AI146*(1+IFERROR(INDEX(AI$10:AI$11,Предпосылки!$K131,),0))</f>
        <v>0</v>
      </c>
      <c s="125">
        <f>-AJ146*(1+IFERROR(INDEX(AJ$10:AJ$11,Предпосылки!$K131,),0))</f>
        <v>0</v>
      </c>
      <c s="125">
        <f>-AK146*(1+IFERROR(INDEX(AK$10:AK$11,Предпосылки!$K131,),0))</f>
        <v>0</v>
      </c>
      <c s="125">
        <f>-AL146*(1+IFERROR(INDEX(AL$10:AL$11,Предпосылки!$K131,),0))</f>
        <v>0</v>
      </c>
      <c s="125">
        <f>-AM146*(1+IFERROR(INDEX(AM$10:AM$11,Предпосылки!$K131,),0))</f>
        <v>0</v>
      </c>
      <c s="125">
        <f>-AN146*(1+IFERROR(INDEX(AN$10:AN$11,Предпосылки!$K131,),0))</f>
        <v>0</v>
      </c>
      <c s="125">
        <f>-AO146*(1+IFERROR(INDEX(AO$10:AO$11,Предпосылки!$K131,),0))</f>
        <v>0</v>
      </c>
      <c s="125">
        <f>-AP146*(1+IFERROR(INDEX(AP$10:AP$11,Предпосылки!$K131,),0))</f>
        <v>0</v>
      </c>
      <c s="125">
        <f>-AQ146*(1+IFERROR(INDEX(AQ$10:AQ$11,Предпосылки!$K131,),0))</f>
        <v>0</v>
      </c>
      <c s="125">
        <f>-AR146*(1+IFERROR(INDEX(AR$10:AR$11,Предпосылки!$K131,),0))</f>
        <v>0</v>
      </c>
      <c s="125">
        <f>-AS146*(1+IFERROR(INDEX(AS$10:AS$11,Предпосылки!$K131,),0))</f>
        <v>0</v>
      </c>
      <c s="125">
        <f>-AT146*(1+IFERROR(INDEX(AT$10:AT$11,Предпосылки!$K131,),0))</f>
        <v>0</v>
      </c>
      <c s="125">
        <f>-AU146*(1+IFERROR(INDEX(AU$10:AU$11,Предпосылки!$K131,),0))</f>
        <v>0</v>
      </c>
      <c s="125">
        <f>-AV146*(1+IFERROR(INDEX(AV$10:AV$11,Предпосылки!$K131,),0))</f>
        <v>0</v>
      </c>
      <c s="125">
        <f>-AW146*(1+IFERROR(INDEX(AW$10:AW$11,Предпосылки!$K131,),0))</f>
        <v>0</v>
      </c>
      <c s="125">
        <f>-AX146*(1+IFERROR(INDEX(AX$10:AX$11,Предпосылки!$K131,),0))</f>
        <v>0</v>
      </c>
      <c s="125">
        <f>-AY146*(1+IFERROR(INDEX(AY$10:AY$11,Предпосылки!$K131,),0))</f>
        <v>0</v>
      </c>
      <c s="125">
        <f>-AZ146*(1+IFERROR(INDEX(AZ$10:AZ$11,Предпосылки!$K131,),0))</f>
        <v>0</v>
      </c>
      <c s="125">
        <f>-BA146*(1+IFERROR(INDEX(BA$10:BA$11,Предпосылки!$K131,),0))</f>
        <v>0</v>
      </c>
      <c s="125">
        <f>-BB146*(1+IFERROR(INDEX(BB$10:BB$11,Предпосылки!$K131,),0))</f>
        <v>0</v>
      </c>
      <c s="125">
        <f>-BC146*(1+IFERROR(INDEX(BC$10:BC$11,Предпосылки!$K131,),0))</f>
        <v>0</v>
      </c>
      <c s="125">
        <f>-BD146*(1+IFERROR(INDEX(BD$10:BD$11,Предпосылки!$K131,),0))</f>
        <v>0</v>
      </c>
      <c s="125">
        <f>-BE146*(1+IFERROR(INDEX(BE$10:BE$11,Предпосылки!$K131,),0))</f>
        <v>0</v>
      </c>
      <c s="125">
        <f>-BF146*(1+IFERROR(INDEX(BF$10:BF$11,Предпосылки!$K131,),0))</f>
        <v>0</v>
      </c>
      <c s="125">
        <f>-BG146*(1+IFERROR(INDEX(BG$10:BG$11,Предпосылки!$K131,),0))</f>
        <v>0</v>
      </c>
      <c s="125">
        <f>-BH146*(1+IFERROR(INDEX(BH$10:BH$11,Предпосылки!$K131,),0))</f>
        <v>0</v>
      </c>
      <c s="125">
        <f>-BI146*(1+IFERROR(INDEX(BI$10:BI$11,Предпосылки!$K131,),0))</f>
        <v>0</v>
      </c>
      <c s="125">
        <f>-BJ146*(1+IFERROR(INDEX(BJ$10:BJ$11,Предпосылки!$K131,),0))</f>
        <v>0</v>
      </c>
      <c s="125">
        <f>-BK146*(1+IFERROR(INDEX(BK$10:BK$11,Предпосылки!$K131,),0))</f>
        <v>0</v>
      </c>
      <c s="125">
        <f>-BL146*(1+IFERROR(INDEX(BL$10:BL$11,Предпосылки!$K131,),0))</f>
        <v>0</v>
      </c>
      <c s="125">
        <f>-BM146*(1+IFERROR(INDEX(BM$10:BM$11,Предпосылки!$K131,),0))</f>
        <v>0</v>
      </c>
    </row>
    <row r="195" spans="2:65" ht="15" customHeight="1">
      <c r="B195" s="12" t="str">
        <f t="shared" si="198"/>
        <v>Продукт 11</v>
      </c>
      <c s="124" t="str">
        <f t="shared" si="197"/>
        <v>тыс. руб.</v>
      </c>
      <c s="125"/>
      <c s="125">
        <f>-E147*(1+IFERROR(INDEX(E$10:E$11,Предпосылки!$K132,),0))</f>
        <v>0</v>
      </c>
      <c s="125">
        <f>-F147*(1+IFERROR(INDEX(F$10:F$11,Предпосылки!$K132,),0))</f>
        <v>0</v>
      </c>
      <c s="125">
        <f>-G147*(1+IFERROR(INDEX(G$10:G$11,Предпосылки!$K132,),0))</f>
        <v>0</v>
      </c>
      <c s="125">
        <f>-H147*(1+IFERROR(INDEX(H$10:H$11,Предпосылки!$K132,),0))</f>
        <v>0</v>
      </c>
      <c s="125">
        <f>-I147*(1+IFERROR(INDEX(I$10:I$11,Предпосылки!$K132,),0))</f>
        <v>0</v>
      </c>
      <c s="125">
        <f>-J147*(1+IFERROR(INDEX(J$10:J$11,Предпосылки!$K132,),0))</f>
        <v>0</v>
      </c>
      <c s="125">
        <f>-K147*(1+IFERROR(INDEX(K$10:K$11,Предпосылки!$K132,),0))</f>
        <v>0</v>
      </c>
      <c s="125">
        <f>-L147*(1+IFERROR(INDEX(L$10:L$11,Предпосылки!$K132,),0))</f>
        <v>0</v>
      </c>
      <c s="125">
        <f>-M147*(1+IFERROR(INDEX(M$10:M$11,Предпосылки!$K132,),0))</f>
        <v>0</v>
      </c>
      <c s="125">
        <f>-N147*(1+IFERROR(INDEX(N$10:N$11,Предпосылки!$K132,),0))</f>
        <v>0</v>
      </c>
      <c s="125">
        <f>-O147*(1+IFERROR(INDEX(O$10:O$11,Предпосылки!$K132,),0))</f>
        <v>0</v>
      </c>
      <c s="125">
        <f>-P147*(1+IFERROR(INDEX(P$10:P$11,Предпосылки!$K132,),0))</f>
        <v>0</v>
      </c>
      <c s="125">
        <f>-Q147*(1+IFERROR(INDEX(Q$10:Q$11,Предпосылки!$K132,),0))</f>
        <v>0</v>
      </c>
      <c s="125">
        <f>-R147*(1+IFERROR(INDEX(R$10:R$11,Предпосылки!$K132,),0))</f>
        <v>0</v>
      </c>
      <c s="125">
        <f>-S147*(1+IFERROR(INDEX(S$10:S$11,Предпосылки!$K132,),0))</f>
        <v>0</v>
      </c>
      <c s="125">
        <f>-T147*(1+IFERROR(INDEX(T$10:T$11,Предпосылки!$K132,),0))</f>
        <v>0</v>
      </c>
      <c s="125">
        <f>-U147*(1+IFERROR(INDEX(U$10:U$11,Предпосылки!$K132,),0))</f>
        <v>0</v>
      </c>
      <c s="125">
        <f>-V147*(1+IFERROR(INDEX(V$10:V$11,Предпосылки!$K132,),0))</f>
        <v>0</v>
      </c>
      <c s="125">
        <f>-W147*(1+IFERROR(INDEX(W$10:W$11,Предпосылки!$K132,),0))</f>
        <v>0</v>
      </c>
      <c s="125">
        <f>-X147*(1+IFERROR(INDEX(X$10:X$11,Предпосылки!$K132,),0))</f>
        <v>0</v>
      </c>
      <c s="125">
        <f>-Y147*(1+IFERROR(INDEX(Y$10:Y$11,Предпосылки!$K132,),0))</f>
        <v>0</v>
      </c>
      <c s="125">
        <f>-Z147*(1+IFERROR(INDEX(Z$10:Z$11,Предпосылки!$K132,),0))</f>
        <v>0</v>
      </c>
      <c s="125">
        <f>-AA147*(1+IFERROR(INDEX(AA$10:AA$11,Предпосылки!$K132,),0))</f>
        <v>0</v>
      </c>
      <c s="125">
        <f>-AB147*(1+IFERROR(INDEX(AB$10:AB$11,Предпосылки!$K132,),0))</f>
        <v>0</v>
      </c>
      <c s="125">
        <f>-AC147*(1+IFERROR(INDEX(AC$10:AC$11,Предпосылки!$K132,),0))</f>
        <v>0</v>
      </c>
      <c s="125">
        <f>-AD147*(1+IFERROR(INDEX(AD$10:AD$11,Предпосылки!$K132,),0))</f>
        <v>0</v>
      </c>
      <c s="125">
        <f>-AE147*(1+IFERROR(INDEX(AE$10:AE$11,Предпосылки!$K132,),0))</f>
        <v>0</v>
      </c>
      <c s="125">
        <f>-AF147*(1+IFERROR(INDEX(AF$10:AF$11,Предпосылки!$K132,),0))</f>
        <v>0</v>
      </c>
      <c s="125">
        <f>-AG147*(1+IFERROR(INDEX(AG$10:AG$11,Предпосылки!$K132,),0))</f>
        <v>0</v>
      </c>
      <c s="125">
        <f>-AH147*(1+IFERROR(INDEX(AH$10:AH$11,Предпосылки!$K132,),0))</f>
        <v>0</v>
      </c>
      <c s="125">
        <f>-AI147*(1+IFERROR(INDEX(AI$10:AI$11,Предпосылки!$K132,),0))</f>
        <v>0</v>
      </c>
      <c s="125">
        <f>-AJ147*(1+IFERROR(INDEX(AJ$10:AJ$11,Предпосылки!$K132,),0))</f>
        <v>0</v>
      </c>
      <c s="125">
        <f>-AK147*(1+IFERROR(INDEX(AK$10:AK$11,Предпосылки!$K132,),0))</f>
        <v>0</v>
      </c>
      <c s="125">
        <f>-AL147*(1+IFERROR(INDEX(AL$10:AL$11,Предпосылки!$K132,),0))</f>
        <v>0</v>
      </c>
      <c s="125">
        <f>-AM147*(1+IFERROR(INDEX(AM$10:AM$11,Предпосылки!$K132,),0))</f>
        <v>0</v>
      </c>
      <c s="125">
        <f>-AN147*(1+IFERROR(INDEX(AN$10:AN$11,Предпосылки!$K132,),0))</f>
        <v>0</v>
      </c>
      <c s="125">
        <f>-AO147*(1+IFERROR(INDEX(AO$10:AO$11,Предпосылки!$K132,),0))</f>
        <v>0</v>
      </c>
      <c s="125">
        <f>-AP147*(1+IFERROR(INDEX(AP$10:AP$11,Предпосылки!$K132,),0))</f>
        <v>0</v>
      </c>
      <c s="125">
        <f>-AQ147*(1+IFERROR(INDEX(AQ$10:AQ$11,Предпосылки!$K132,),0))</f>
        <v>0</v>
      </c>
      <c s="125">
        <f>-AR147*(1+IFERROR(INDEX(AR$10:AR$11,Предпосылки!$K132,),0))</f>
        <v>0</v>
      </c>
      <c s="125">
        <f>-AS147*(1+IFERROR(INDEX(AS$10:AS$11,Предпосылки!$K132,),0))</f>
        <v>0</v>
      </c>
      <c s="125">
        <f>-AT147*(1+IFERROR(INDEX(AT$10:AT$11,Предпосылки!$K132,),0))</f>
        <v>0</v>
      </c>
      <c s="125">
        <f>-AU147*(1+IFERROR(INDEX(AU$10:AU$11,Предпосылки!$K132,),0))</f>
        <v>0</v>
      </c>
      <c s="125">
        <f>-AV147*(1+IFERROR(INDEX(AV$10:AV$11,Предпосылки!$K132,),0))</f>
        <v>0</v>
      </c>
      <c s="125">
        <f>-AW147*(1+IFERROR(INDEX(AW$10:AW$11,Предпосылки!$K132,),0))</f>
        <v>0</v>
      </c>
      <c s="125">
        <f>-AX147*(1+IFERROR(INDEX(AX$10:AX$11,Предпосылки!$K132,),0))</f>
        <v>0</v>
      </c>
      <c s="125">
        <f>-AY147*(1+IFERROR(INDEX(AY$10:AY$11,Предпосылки!$K132,),0))</f>
        <v>0</v>
      </c>
      <c s="125">
        <f>-AZ147*(1+IFERROR(INDEX(AZ$10:AZ$11,Предпосылки!$K132,),0))</f>
        <v>0</v>
      </c>
      <c s="125">
        <f>-BA147*(1+IFERROR(INDEX(BA$10:BA$11,Предпосылки!$K132,),0))</f>
        <v>0</v>
      </c>
      <c s="125">
        <f>-BB147*(1+IFERROR(INDEX(BB$10:BB$11,Предпосылки!$K132,),0))</f>
        <v>0</v>
      </c>
      <c s="125">
        <f>-BC147*(1+IFERROR(INDEX(BC$10:BC$11,Предпосылки!$K132,),0))</f>
        <v>0</v>
      </c>
      <c s="125">
        <f>-BD147*(1+IFERROR(INDEX(BD$10:BD$11,Предпосылки!$K132,),0))</f>
        <v>0</v>
      </c>
      <c s="125">
        <f>-BE147*(1+IFERROR(INDEX(BE$10:BE$11,Предпосылки!$K132,),0))</f>
        <v>0</v>
      </c>
      <c s="125">
        <f>-BF147*(1+IFERROR(INDEX(BF$10:BF$11,Предпосылки!$K132,),0))</f>
        <v>0</v>
      </c>
      <c s="125">
        <f>-BG147*(1+IFERROR(INDEX(BG$10:BG$11,Предпосылки!$K132,),0))</f>
        <v>0</v>
      </c>
      <c s="125">
        <f>-BH147*(1+IFERROR(INDEX(BH$10:BH$11,Предпосылки!$K132,),0))</f>
        <v>0</v>
      </c>
      <c s="125">
        <f>-BI147*(1+IFERROR(INDEX(BI$10:BI$11,Предпосылки!$K132,),0))</f>
        <v>0</v>
      </c>
      <c s="125">
        <f>-BJ147*(1+IFERROR(INDEX(BJ$10:BJ$11,Предпосылки!$K132,),0))</f>
        <v>0</v>
      </c>
      <c s="125">
        <f>-BK147*(1+IFERROR(INDEX(BK$10:BK$11,Предпосылки!$K132,),0))</f>
        <v>0</v>
      </c>
      <c s="125">
        <f>-BL147*(1+IFERROR(INDEX(BL$10:BL$11,Предпосылки!$K132,),0))</f>
        <v>0</v>
      </c>
      <c s="125">
        <f>-BM147*(1+IFERROR(INDEX(BM$10:BM$11,Предпосылки!$K132,),0))</f>
        <v>0</v>
      </c>
    </row>
    <row r="196" spans="2:65" ht="15" customHeight="1">
      <c r="B196" s="12" t="str">
        <f t="shared" si="198"/>
        <v>Продукт 12</v>
      </c>
      <c s="124" t="str">
        <f t="shared" si="197"/>
        <v>тыс. руб.</v>
      </c>
      <c s="125"/>
      <c s="125">
        <f>-E148*(1+IFERROR(INDEX(E$10:E$11,Предпосылки!$K133,),0))</f>
        <v>0</v>
      </c>
      <c s="125">
        <f>-F148*(1+IFERROR(INDEX(F$10:F$11,Предпосылки!$K133,),0))</f>
        <v>0</v>
      </c>
      <c s="125">
        <f>-G148*(1+IFERROR(INDEX(G$10:G$11,Предпосылки!$K133,),0))</f>
        <v>0</v>
      </c>
      <c s="125">
        <f>-H148*(1+IFERROR(INDEX(H$10:H$11,Предпосылки!$K133,),0))</f>
        <v>0</v>
      </c>
      <c s="125">
        <f>-I148*(1+IFERROR(INDEX(I$10:I$11,Предпосылки!$K133,),0))</f>
        <v>0</v>
      </c>
      <c s="125">
        <f>-J148*(1+IFERROR(INDEX(J$10:J$11,Предпосылки!$K133,),0))</f>
        <v>0</v>
      </c>
      <c s="125">
        <f>-K148*(1+IFERROR(INDEX(K$10:K$11,Предпосылки!$K133,),0))</f>
        <v>0</v>
      </c>
      <c s="125">
        <f>-L148*(1+IFERROR(INDEX(L$10:L$11,Предпосылки!$K133,),0))</f>
        <v>0</v>
      </c>
      <c s="125">
        <f>-M148*(1+IFERROR(INDEX(M$10:M$11,Предпосылки!$K133,),0))</f>
        <v>0</v>
      </c>
      <c s="125">
        <f>-N148*(1+IFERROR(INDEX(N$10:N$11,Предпосылки!$K133,),0))</f>
        <v>0</v>
      </c>
      <c s="125">
        <f>-O148*(1+IFERROR(INDEX(O$10:O$11,Предпосылки!$K133,),0))</f>
        <v>0</v>
      </c>
      <c s="125">
        <f>-P148*(1+IFERROR(INDEX(P$10:P$11,Предпосылки!$K133,),0))</f>
        <v>0</v>
      </c>
      <c s="125">
        <f>-Q148*(1+IFERROR(INDEX(Q$10:Q$11,Предпосылки!$K133,),0))</f>
        <v>0</v>
      </c>
      <c s="125">
        <f>-R148*(1+IFERROR(INDEX(R$10:R$11,Предпосылки!$K133,),0))</f>
        <v>0</v>
      </c>
      <c s="125">
        <f>-S148*(1+IFERROR(INDEX(S$10:S$11,Предпосылки!$K133,),0))</f>
        <v>0</v>
      </c>
      <c s="125">
        <f>-T148*(1+IFERROR(INDEX(T$10:T$11,Предпосылки!$K133,),0))</f>
        <v>0</v>
      </c>
      <c s="125">
        <f>-U148*(1+IFERROR(INDEX(U$10:U$11,Предпосылки!$K133,),0))</f>
        <v>0</v>
      </c>
      <c s="125">
        <f>-V148*(1+IFERROR(INDEX(V$10:V$11,Предпосылки!$K133,),0))</f>
        <v>0</v>
      </c>
      <c s="125">
        <f>-W148*(1+IFERROR(INDEX(W$10:W$11,Предпосылки!$K133,),0))</f>
        <v>0</v>
      </c>
      <c s="125">
        <f>-X148*(1+IFERROR(INDEX(X$10:X$11,Предпосылки!$K133,),0))</f>
        <v>0</v>
      </c>
      <c s="125">
        <f>-Y148*(1+IFERROR(INDEX(Y$10:Y$11,Предпосылки!$K133,),0))</f>
        <v>0</v>
      </c>
      <c s="125">
        <f>-Z148*(1+IFERROR(INDEX(Z$10:Z$11,Предпосылки!$K133,),0))</f>
        <v>0</v>
      </c>
      <c s="125">
        <f>-AA148*(1+IFERROR(INDEX(AA$10:AA$11,Предпосылки!$K133,),0))</f>
        <v>0</v>
      </c>
      <c s="125">
        <f>-AB148*(1+IFERROR(INDEX(AB$10:AB$11,Предпосылки!$K133,),0))</f>
        <v>0</v>
      </c>
      <c s="125">
        <f>-AC148*(1+IFERROR(INDEX(AC$10:AC$11,Предпосылки!$K133,),0))</f>
        <v>0</v>
      </c>
      <c s="125">
        <f>-AD148*(1+IFERROR(INDEX(AD$10:AD$11,Предпосылки!$K133,),0))</f>
        <v>0</v>
      </c>
      <c s="125">
        <f>-AE148*(1+IFERROR(INDEX(AE$10:AE$11,Предпосылки!$K133,),0))</f>
        <v>0</v>
      </c>
      <c s="125">
        <f>-AF148*(1+IFERROR(INDEX(AF$10:AF$11,Предпосылки!$K133,),0))</f>
        <v>0</v>
      </c>
      <c s="125">
        <f>-AG148*(1+IFERROR(INDEX(AG$10:AG$11,Предпосылки!$K133,),0))</f>
        <v>0</v>
      </c>
      <c s="125">
        <f>-AH148*(1+IFERROR(INDEX(AH$10:AH$11,Предпосылки!$K133,),0))</f>
        <v>0</v>
      </c>
      <c s="125">
        <f>-AI148*(1+IFERROR(INDEX(AI$10:AI$11,Предпосылки!$K133,),0))</f>
        <v>0</v>
      </c>
      <c s="125">
        <f>-AJ148*(1+IFERROR(INDEX(AJ$10:AJ$11,Предпосылки!$K133,),0))</f>
        <v>0</v>
      </c>
      <c s="125">
        <f>-AK148*(1+IFERROR(INDEX(AK$10:AK$11,Предпосылки!$K133,),0))</f>
        <v>0</v>
      </c>
      <c s="125">
        <f>-AL148*(1+IFERROR(INDEX(AL$10:AL$11,Предпосылки!$K133,),0))</f>
        <v>0</v>
      </c>
      <c s="125">
        <f>-AM148*(1+IFERROR(INDEX(AM$10:AM$11,Предпосылки!$K133,),0))</f>
        <v>0</v>
      </c>
      <c s="125">
        <f>-AN148*(1+IFERROR(INDEX(AN$10:AN$11,Предпосылки!$K133,),0))</f>
        <v>0</v>
      </c>
      <c s="125">
        <f>-AO148*(1+IFERROR(INDEX(AO$10:AO$11,Предпосылки!$K133,),0))</f>
        <v>0</v>
      </c>
      <c s="125">
        <f>-AP148*(1+IFERROR(INDEX(AP$10:AP$11,Предпосылки!$K133,),0))</f>
        <v>0</v>
      </c>
      <c s="125">
        <f>-AQ148*(1+IFERROR(INDEX(AQ$10:AQ$11,Предпосылки!$K133,),0))</f>
        <v>0</v>
      </c>
      <c s="125">
        <f>-AR148*(1+IFERROR(INDEX(AR$10:AR$11,Предпосылки!$K133,),0))</f>
        <v>0</v>
      </c>
      <c s="125">
        <f>-AS148*(1+IFERROR(INDEX(AS$10:AS$11,Предпосылки!$K133,),0))</f>
        <v>0</v>
      </c>
      <c s="125">
        <f>-AT148*(1+IFERROR(INDEX(AT$10:AT$11,Предпосылки!$K133,),0))</f>
        <v>0</v>
      </c>
      <c s="125">
        <f>-AU148*(1+IFERROR(INDEX(AU$10:AU$11,Предпосылки!$K133,),0))</f>
        <v>0</v>
      </c>
      <c s="125">
        <f>-AV148*(1+IFERROR(INDEX(AV$10:AV$11,Предпосылки!$K133,),0))</f>
        <v>0</v>
      </c>
      <c s="125">
        <f>-AW148*(1+IFERROR(INDEX(AW$10:AW$11,Предпосылки!$K133,),0))</f>
        <v>0</v>
      </c>
      <c s="125">
        <f>-AX148*(1+IFERROR(INDEX(AX$10:AX$11,Предпосылки!$K133,),0))</f>
        <v>0</v>
      </c>
      <c s="125">
        <f>-AY148*(1+IFERROR(INDEX(AY$10:AY$11,Предпосылки!$K133,),0))</f>
        <v>0</v>
      </c>
      <c s="125">
        <f>-AZ148*(1+IFERROR(INDEX(AZ$10:AZ$11,Предпосылки!$K133,),0))</f>
        <v>0</v>
      </c>
      <c s="125">
        <f>-BA148*(1+IFERROR(INDEX(BA$10:BA$11,Предпосылки!$K133,),0))</f>
        <v>0</v>
      </c>
      <c s="125">
        <f>-BB148*(1+IFERROR(INDEX(BB$10:BB$11,Предпосылки!$K133,),0))</f>
        <v>0</v>
      </c>
      <c s="125">
        <f>-BC148*(1+IFERROR(INDEX(BC$10:BC$11,Предпосылки!$K133,),0))</f>
        <v>0</v>
      </c>
      <c s="125">
        <f>-BD148*(1+IFERROR(INDEX(BD$10:BD$11,Предпосылки!$K133,),0))</f>
        <v>0</v>
      </c>
      <c s="125">
        <f>-BE148*(1+IFERROR(INDEX(BE$10:BE$11,Предпосылки!$K133,),0))</f>
        <v>0</v>
      </c>
      <c s="125">
        <f>-BF148*(1+IFERROR(INDEX(BF$10:BF$11,Предпосылки!$K133,),0))</f>
        <v>0</v>
      </c>
      <c s="125">
        <f>-BG148*(1+IFERROR(INDEX(BG$10:BG$11,Предпосылки!$K133,),0))</f>
        <v>0</v>
      </c>
      <c s="125">
        <f>-BH148*(1+IFERROR(INDEX(BH$10:BH$11,Предпосылки!$K133,),0))</f>
        <v>0</v>
      </c>
      <c s="125">
        <f>-BI148*(1+IFERROR(INDEX(BI$10:BI$11,Предпосылки!$K133,),0))</f>
        <v>0</v>
      </c>
      <c s="125">
        <f>-BJ148*(1+IFERROR(INDEX(BJ$10:BJ$11,Предпосылки!$K133,),0))</f>
        <v>0</v>
      </c>
      <c s="125">
        <f>-BK148*(1+IFERROR(INDEX(BK$10:BK$11,Предпосылки!$K133,),0))</f>
        <v>0</v>
      </c>
      <c s="125">
        <f>-BL148*(1+IFERROR(INDEX(BL$10:BL$11,Предпосылки!$K133,),0))</f>
        <v>0</v>
      </c>
      <c s="125">
        <f>-BM148*(1+IFERROR(INDEX(BM$10:BM$11,Предпосылки!$K133,),0))</f>
        <v>0</v>
      </c>
    </row>
    <row r="197" spans="2:65" ht="15" customHeight="1">
      <c r="B197" s="12" t="str">
        <f t="shared" si="198"/>
        <v>Продукт 13</v>
      </c>
      <c s="124" t="str">
        <f t="shared" si="197"/>
        <v>тыс. руб.</v>
      </c>
      <c s="125"/>
      <c s="125">
        <f>-E149*(1+IFERROR(INDEX(E$10:E$11,Предпосылки!$K134,),0))</f>
        <v>0</v>
      </c>
      <c s="125">
        <f>-F149*(1+IFERROR(INDEX(F$10:F$11,Предпосылки!$K134,),0))</f>
        <v>0</v>
      </c>
      <c s="125">
        <f>-G149*(1+IFERROR(INDEX(G$10:G$11,Предпосылки!$K134,),0))</f>
        <v>0</v>
      </c>
      <c s="125">
        <f>-H149*(1+IFERROR(INDEX(H$10:H$11,Предпосылки!$K134,),0))</f>
        <v>0</v>
      </c>
      <c s="125">
        <f>-I149*(1+IFERROR(INDEX(I$10:I$11,Предпосылки!$K134,),0))</f>
        <v>0</v>
      </c>
      <c s="125">
        <f>-J149*(1+IFERROR(INDEX(J$10:J$11,Предпосылки!$K134,),0))</f>
        <v>0</v>
      </c>
      <c s="125">
        <f>-K149*(1+IFERROR(INDEX(K$10:K$11,Предпосылки!$K134,),0))</f>
        <v>0</v>
      </c>
      <c s="125">
        <f>-L149*(1+IFERROR(INDEX(L$10:L$11,Предпосылки!$K134,),0))</f>
        <v>0</v>
      </c>
      <c s="125">
        <f>-M149*(1+IFERROR(INDEX(M$10:M$11,Предпосылки!$K134,),0))</f>
        <v>0</v>
      </c>
      <c s="125">
        <f>-N149*(1+IFERROR(INDEX(N$10:N$11,Предпосылки!$K134,),0))</f>
        <v>0</v>
      </c>
      <c s="125">
        <f>-O149*(1+IFERROR(INDEX(O$10:O$11,Предпосылки!$K134,),0))</f>
        <v>0</v>
      </c>
      <c s="125">
        <f>-P149*(1+IFERROR(INDEX(P$10:P$11,Предпосылки!$K134,),0))</f>
        <v>0</v>
      </c>
      <c s="125">
        <f>-Q149*(1+IFERROR(INDEX(Q$10:Q$11,Предпосылки!$K134,),0))</f>
        <v>0</v>
      </c>
      <c s="125">
        <f>-R149*(1+IFERROR(INDEX(R$10:R$11,Предпосылки!$K134,),0))</f>
        <v>0</v>
      </c>
      <c s="125">
        <f>-S149*(1+IFERROR(INDEX(S$10:S$11,Предпосылки!$K134,),0))</f>
        <v>0</v>
      </c>
      <c s="125">
        <f>-T149*(1+IFERROR(INDEX(T$10:T$11,Предпосылки!$K134,),0))</f>
        <v>0</v>
      </c>
      <c s="125">
        <f>-U149*(1+IFERROR(INDEX(U$10:U$11,Предпосылки!$K134,),0))</f>
        <v>0</v>
      </c>
      <c s="125">
        <f>-V149*(1+IFERROR(INDEX(V$10:V$11,Предпосылки!$K134,),0))</f>
        <v>0</v>
      </c>
      <c s="125">
        <f>-W149*(1+IFERROR(INDEX(W$10:W$11,Предпосылки!$K134,),0))</f>
        <v>0</v>
      </c>
      <c s="125">
        <f>-X149*(1+IFERROR(INDEX(X$10:X$11,Предпосылки!$K134,),0))</f>
        <v>0</v>
      </c>
      <c s="125">
        <f>-Y149*(1+IFERROR(INDEX(Y$10:Y$11,Предпосылки!$K134,),0))</f>
        <v>0</v>
      </c>
      <c s="125">
        <f>-Z149*(1+IFERROR(INDEX(Z$10:Z$11,Предпосылки!$K134,),0))</f>
        <v>0</v>
      </c>
      <c s="125">
        <f>-AA149*(1+IFERROR(INDEX(AA$10:AA$11,Предпосылки!$K134,),0))</f>
        <v>0</v>
      </c>
      <c s="125">
        <f>-AB149*(1+IFERROR(INDEX(AB$10:AB$11,Предпосылки!$K134,),0))</f>
        <v>0</v>
      </c>
      <c s="125">
        <f>-AC149*(1+IFERROR(INDEX(AC$10:AC$11,Предпосылки!$K134,),0))</f>
        <v>0</v>
      </c>
      <c s="125">
        <f>-AD149*(1+IFERROR(INDEX(AD$10:AD$11,Предпосылки!$K134,),0))</f>
        <v>0</v>
      </c>
      <c s="125">
        <f>-AE149*(1+IFERROR(INDEX(AE$10:AE$11,Предпосылки!$K134,),0))</f>
        <v>0</v>
      </c>
      <c s="125">
        <f>-AF149*(1+IFERROR(INDEX(AF$10:AF$11,Предпосылки!$K134,),0))</f>
        <v>0</v>
      </c>
      <c s="125">
        <f>-AG149*(1+IFERROR(INDEX(AG$10:AG$11,Предпосылки!$K134,),0))</f>
        <v>0</v>
      </c>
      <c s="125">
        <f>-AH149*(1+IFERROR(INDEX(AH$10:AH$11,Предпосылки!$K134,),0))</f>
        <v>0</v>
      </c>
      <c s="125">
        <f>-AI149*(1+IFERROR(INDEX(AI$10:AI$11,Предпосылки!$K134,),0))</f>
        <v>0</v>
      </c>
      <c s="125">
        <f>-AJ149*(1+IFERROR(INDEX(AJ$10:AJ$11,Предпосылки!$K134,),0))</f>
        <v>0</v>
      </c>
      <c s="125">
        <f>-AK149*(1+IFERROR(INDEX(AK$10:AK$11,Предпосылки!$K134,),0))</f>
        <v>0</v>
      </c>
      <c s="125">
        <f>-AL149*(1+IFERROR(INDEX(AL$10:AL$11,Предпосылки!$K134,),0))</f>
        <v>0</v>
      </c>
      <c s="125">
        <f>-AM149*(1+IFERROR(INDEX(AM$10:AM$11,Предпосылки!$K134,),0))</f>
        <v>0</v>
      </c>
      <c s="125">
        <f>-AN149*(1+IFERROR(INDEX(AN$10:AN$11,Предпосылки!$K134,),0))</f>
        <v>0</v>
      </c>
      <c s="125">
        <f>-AO149*(1+IFERROR(INDEX(AO$10:AO$11,Предпосылки!$K134,),0))</f>
        <v>0</v>
      </c>
      <c s="125">
        <f>-AP149*(1+IFERROR(INDEX(AP$10:AP$11,Предпосылки!$K134,),0))</f>
        <v>0</v>
      </c>
      <c s="125">
        <f>-AQ149*(1+IFERROR(INDEX(AQ$10:AQ$11,Предпосылки!$K134,),0))</f>
        <v>0</v>
      </c>
      <c s="125">
        <f>-AR149*(1+IFERROR(INDEX(AR$10:AR$11,Предпосылки!$K134,),0))</f>
        <v>0</v>
      </c>
      <c s="125">
        <f>-AS149*(1+IFERROR(INDEX(AS$10:AS$11,Предпосылки!$K134,),0))</f>
        <v>0</v>
      </c>
      <c s="125">
        <f>-AT149*(1+IFERROR(INDEX(AT$10:AT$11,Предпосылки!$K134,),0))</f>
        <v>0</v>
      </c>
      <c s="125">
        <f>-AU149*(1+IFERROR(INDEX(AU$10:AU$11,Предпосылки!$K134,),0))</f>
        <v>0</v>
      </c>
      <c s="125">
        <f>-AV149*(1+IFERROR(INDEX(AV$10:AV$11,Предпосылки!$K134,),0))</f>
        <v>0</v>
      </c>
      <c s="125">
        <f>-AW149*(1+IFERROR(INDEX(AW$10:AW$11,Предпосылки!$K134,),0))</f>
        <v>0</v>
      </c>
      <c s="125">
        <f>-AX149*(1+IFERROR(INDEX(AX$10:AX$11,Предпосылки!$K134,),0))</f>
        <v>0</v>
      </c>
      <c s="125">
        <f>-AY149*(1+IFERROR(INDEX(AY$10:AY$11,Предпосылки!$K134,),0))</f>
        <v>0</v>
      </c>
      <c s="125">
        <f>-AZ149*(1+IFERROR(INDEX(AZ$10:AZ$11,Предпосылки!$K134,),0))</f>
        <v>0</v>
      </c>
      <c s="125">
        <f>-BA149*(1+IFERROR(INDEX(BA$10:BA$11,Предпосылки!$K134,),0))</f>
        <v>0</v>
      </c>
      <c s="125">
        <f>-BB149*(1+IFERROR(INDEX(BB$10:BB$11,Предпосылки!$K134,),0))</f>
        <v>0</v>
      </c>
      <c s="125">
        <f>-BC149*(1+IFERROR(INDEX(BC$10:BC$11,Предпосылки!$K134,),0))</f>
        <v>0</v>
      </c>
      <c s="125">
        <f>-BD149*(1+IFERROR(INDEX(BD$10:BD$11,Предпосылки!$K134,),0))</f>
        <v>0</v>
      </c>
      <c s="125">
        <f>-BE149*(1+IFERROR(INDEX(BE$10:BE$11,Предпосылки!$K134,),0))</f>
        <v>0</v>
      </c>
      <c s="125">
        <f>-BF149*(1+IFERROR(INDEX(BF$10:BF$11,Предпосылки!$K134,),0))</f>
        <v>0</v>
      </c>
      <c s="125">
        <f>-BG149*(1+IFERROR(INDEX(BG$10:BG$11,Предпосылки!$K134,),0))</f>
        <v>0</v>
      </c>
      <c s="125">
        <f>-BH149*(1+IFERROR(INDEX(BH$10:BH$11,Предпосылки!$K134,),0))</f>
        <v>0</v>
      </c>
      <c s="125">
        <f>-BI149*(1+IFERROR(INDEX(BI$10:BI$11,Предпосылки!$K134,),0))</f>
        <v>0</v>
      </c>
      <c s="125">
        <f>-BJ149*(1+IFERROR(INDEX(BJ$10:BJ$11,Предпосылки!$K134,),0))</f>
        <v>0</v>
      </c>
      <c s="125">
        <f>-BK149*(1+IFERROR(INDEX(BK$10:BK$11,Предпосылки!$K134,),0))</f>
        <v>0</v>
      </c>
      <c s="125">
        <f>-BL149*(1+IFERROR(INDEX(BL$10:BL$11,Предпосылки!$K134,),0))</f>
        <v>0</v>
      </c>
      <c s="125">
        <f>-BM149*(1+IFERROR(INDEX(BM$10:BM$11,Предпосылки!$K134,),0))</f>
        <v>0</v>
      </c>
    </row>
    <row r="198" spans="2:65" ht="15" customHeight="1">
      <c r="B198" s="12" t="str">
        <f t="shared" si="198"/>
        <v>Продукт 14</v>
      </c>
      <c s="124" t="str">
        <f t="shared" si="197"/>
        <v>тыс. руб.</v>
      </c>
      <c s="125"/>
      <c s="125">
        <f>-E150*(1+IFERROR(INDEX(E$10:E$11,Предпосылки!$K135,),0))</f>
        <v>0</v>
      </c>
      <c s="125">
        <f>-F150*(1+IFERROR(INDEX(F$10:F$11,Предпосылки!$K135,),0))</f>
        <v>0</v>
      </c>
      <c s="125">
        <f>-G150*(1+IFERROR(INDEX(G$10:G$11,Предпосылки!$K135,),0))</f>
        <v>0</v>
      </c>
      <c s="125">
        <f>-H150*(1+IFERROR(INDEX(H$10:H$11,Предпосылки!$K135,),0))</f>
        <v>0</v>
      </c>
      <c s="125">
        <f>-I150*(1+IFERROR(INDEX(I$10:I$11,Предпосылки!$K135,),0))</f>
        <v>0</v>
      </c>
      <c s="125">
        <f>-J150*(1+IFERROR(INDEX(J$10:J$11,Предпосылки!$K135,),0))</f>
        <v>0</v>
      </c>
      <c s="125">
        <f>-K150*(1+IFERROR(INDEX(K$10:K$11,Предпосылки!$K135,),0))</f>
        <v>0</v>
      </c>
      <c s="125">
        <f>-L150*(1+IFERROR(INDEX(L$10:L$11,Предпосылки!$K135,),0))</f>
        <v>0</v>
      </c>
      <c s="125">
        <f>-M150*(1+IFERROR(INDEX(M$10:M$11,Предпосылки!$K135,),0))</f>
        <v>0</v>
      </c>
      <c s="125">
        <f>-N150*(1+IFERROR(INDEX(N$10:N$11,Предпосылки!$K135,),0))</f>
        <v>0</v>
      </c>
      <c s="125">
        <f>-O150*(1+IFERROR(INDEX(O$10:O$11,Предпосылки!$K135,),0))</f>
        <v>0</v>
      </c>
      <c s="125">
        <f>-P150*(1+IFERROR(INDEX(P$10:P$11,Предпосылки!$K135,),0))</f>
        <v>0</v>
      </c>
      <c s="125">
        <f>-Q150*(1+IFERROR(INDEX(Q$10:Q$11,Предпосылки!$K135,),0))</f>
        <v>0</v>
      </c>
      <c s="125">
        <f>-R150*(1+IFERROR(INDEX(R$10:R$11,Предпосылки!$K135,),0))</f>
        <v>0</v>
      </c>
      <c s="125">
        <f>-S150*(1+IFERROR(INDEX(S$10:S$11,Предпосылки!$K135,),0))</f>
        <v>0</v>
      </c>
      <c s="125">
        <f>-T150*(1+IFERROR(INDEX(T$10:T$11,Предпосылки!$K135,),0))</f>
        <v>0</v>
      </c>
      <c s="125">
        <f>-U150*(1+IFERROR(INDEX(U$10:U$11,Предпосылки!$K135,),0))</f>
        <v>0</v>
      </c>
      <c s="125">
        <f>-V150*(1+IFERROR(INDEX(V$10:V$11,Предпосылки!$K135,),0))</f>
        <v>0</v>
      </c>
      <c s="125">
        <f>-W150*(1+IFERROR(INDEX(W$10:W$11,Предпосылки!$K135,),0))</f>
        <v>0</v>
      </c>
      <c s="125">
        <f>-X150*(1+IFERROR(INDEX(X$10:X$11,Предпосылки!$K135,),0))</f>
        <v>0</v>
      </c>
      <c s="125">
        <f>-Y150*(1+IFERROR(INDEX(Y$10:Y$11,Предпосылки!$K135,),0))</f>
        <v>0</v>
      </c>
      <c s="125">
        <f>-Z150*(1+IFERROR(INDEX(Z$10:Z$11,Предпосылки!$K135,),0))</f>
        <v>0</v>
      </c>
      <c s="125">
        <f>-AA150*(1+IFERROR(INDEX(AA$10:AA$11,Предпосылки!$K135,),0))</f>
        <v>0</v>
      </c>
      <c s="125">
        <f>-AB150*(1+IFERROR(INDEX(AB$10:AB$11,Предпосылки!$K135,),0))</f>
        <v>0</v>
      </c>
      <c s="125">
        <f>-AC150*(1+IFERROR(INDEX(AC$10:AC$11,Предпосылки!$K135,),0))</f>
        <v>0</v>
      </c>
      <c s="125">
        <f>-AD150*(1+IFERROR(INDEX(AD$10:AD$11,Предпосылки!$K135,),0))</f>
        <v>0</v>
      </c>
      <c s="125">
        <f>-AE150*(1+IFERROR(INDEX(AE$10:AE$11,Предпосылки!$K135,),0))</f>
        <v>0</v>
      </c>
      <c s="125">
        <f>-AF150*(1+IFERROR(INDEX(AF$10:AF$11,Предпосылки!$K135,),0))</f>
        <v>0</v>
      </c>
      <c s="125">
        <f>-AG150*(1+IFERROR(INDEX(AG$10:AG$11,Предпосылки!$K135,),0))</f>
        <v>0</v>
      </c>
      <c s="125">
        <f>-AH150*(1+IFERROR(INDEX(AH$10:AH$11,Предпосылки!$K135,),0))</f>
        <v>0</v>
      </c>
      <c s="125">
        <f>-AI150*(1+IFERROR(INDEX(AI$10:AI$11,Предпосылки!$K135,),0))</f>
        <v>0</v>
      </c>
      <c s="125">
        <f>-AJ150*(1+IFERROR(INDEX(AJ$10:AJ$11,Предпосылки!$K135,),0))</f>
        <v>0</v>
      </c>
      <c s="125">
        <f>-AK150*(1+IFERROR(INDEX(AK$10:AK$11,Предпосылки!$K135,),0))</f>
        <v>0</v>
      </c>
      <c s="125">
        <f>-AL150*(1+IFERROR(INDEX(AL$10:AL$11,Предпосылки!$K135,),0))</f>
        <v>0</v>
      </c>
      <c s="125">
        <f>-AM150*(1+IFERROR(INDEX(AM$10:AM$11,Предпосылки!$K135,),0))</f>
        <v>0</v>
      </c>
      <c s="125">
        <f>-AN150*(1+IFERROR(INDEX(AN$10:AN$11,Предпосылки!$K135,),0))</f>
        <v>0</v>
      </c>
      <c s="125">
        <f>-AO150*(1+IFERROR(INDEX(AO$10:AO$11,Предпосылки!$K135,),0))</f>
        <v>0</v>
      </c>
      <c s="125">
        <f>-AP150*(1+IFERROR(INDEX(AP$10:AP$11,Предпосылки!$K135,),0))</f>
        <v>0</v>
      </c>
      <c s="125">
        <f>-AQ150*(1+IFERROR(INDEX(AQ$10:AQ$11,Предпосылки!$K135,),0))</f>
        <v>0</v>
      </c>
      <c s="125">
        <f>-AR150*(1+IFERROR(INDEX(AR$10:AR$11,Предпосылки!$K135,),0))</f>
        <v>0</v>
      </c>
      <c s="125">
        <f>-AS150*(1+IFERROR(INDEX(AS$10:AS$11,Предпосылки!$K135,),0))</f>
        <v>0</v>
      </c>
      <c s="125">
        <f>-AT150*(1+IFERROR(INDEX(AT$10:AT$11,Предпосылки!$K135,),0))</f>
        <v>0</v>
      </c>
      <c s="125">
        <f>-AU150*(1+IFERROR(INDEX(AU$10:AU$11,Предпосылки!$K135,),0))</f>
        <v>0</v>
      </c>
      <c s="125">
        <f>-AV150*(1+IFERROR(INDEX(AV$10:AV$11,Предпосылки!$K135,),0))</f>
        <v>0</v>
      </c>
      <c s="125">
        <f>-AW150*(1+IFERROR(INDEX(AW$10:AW$11,Предпосылки!$K135,),0))</f>
        <v>0</v>
      </c>
      <c s="125">
        <f>-AX150*(1+IFERROR(INDEX(AX$10:AX$11,Предпосылки!$K135,),0))</f>
        <v>0</v>
      </c>
      <c s="125">
        <f>-AY150*(1+IFERROR(INDEX(AY$10:AY$11,Предпосылки!$K135,),0))</f>
        <v>0</v>
      </c>
      <c s="125">
        <f>-AZ150*(1+IFERROR(INDEX(AZ$10:AZ$11,Предпосылки!$K135,),0))</f>
        <v>0</v>
      </c>
      <c s="125">
        <f>-BA150*(1+IFERROR(INDEX(BA$10:BA$11,Предпосылки!$K135,),0))</f>
        <v>0</v>
      </c>
      <c s="125">
        <f>-BB150*(1+IFERROR(INDEX(BB$10:BB$11,Предпосылки!$K135,),0))</f>
        <v>0</v>
      </c>
      <c s="125">
        <f>-BC150*(1+IFERROR(INDEX(BC$10:BC$11,Предпосылки!$K135,),0))</f>
        <v>0</v>
      </c>
      <c s="125">
        <f>-BD150*(1+IFERROR(INDEX(BD$10:BD$11,Предпосылки!$K135,),0))</f>
        <v>0</v>
      </c>
      <c s="125">
        <f>-BE150*(1+IFERROR(INDEX(BE$10:BE$11,Предпосылки!$K135,),0))</f>
        <v>0</v>
      </c>
      <c s="125">
        <f>-BF150*(1+IFERROR(INDEX(BF$10:BF$11,Предпосылки!$K135,),0))</f>
        <v>0</v>
      </c>
      <c s="125">
        <f>-BG150*(1+IFERROR(INDEX(BG$10:BG$11,Предпосылки!$K135,),0))</f>
        <v>0</v>
      </c>
      <c s="125">
        <f>-BH150*(1+IFERROR(INDEX(BH$10:BH$11,Предпосылки!$K135,),0))</f>
        <v>0</v>
      </c>
      <c s="125">
        <f>-BI150*(1+IFERROR(INDEX(BI$10:BI$11,Предпосылки!$K135,),0))</f>
        <v>0</v>
      </c>
      <c s="125">
        <f>-BJ150*(1+IFERROR(INDEX(BJ$10:BJ$11,Предпосылки!$K135,),0))</f>
        <v>0</v>
      </c>
      <c s="125">
        <f>-BK150*(1+IFERROR(INDEX(BK$10:BK$11,Предпосылки!$K135,),0))</f>
        <v>0</v>
      </c>
      <c s="125">
        <f>-BL150*(1+IFERROR(INDEX(BL$10:BL$11,Предпосылки!$K135,),0))</f>
        <v>0</v>
      </c>
      <c s="125">
        <f>-BM150*(1+IFERROR(INDEX(BM$10:BM$11,Предпосылки!$K135,),0))</f>
        <v>0</v>
      </c>
    </row>
    <row r="199" spans="2:65" ht="15" customHeight="1">
      <c r="B199" s="12" t="str">
        <f t="shared" si="198"/>
        <v>Продукт 15</v>
      </c>
      <c s="124" t="str">
        <f t="shared" si="197"/>
        <v>тыс. руб.</v>
      </c>
      <c s="125"/>
      <c s="125">
        <f>-E151*(1+IFERROR(INDEX(E$10:E$11,Предпосылки!$K136,),0))</f>
        <v>0</v>
      </c>
      <c s="125">
        <f>-F151*(1+IFERROR(INDEX(F$10:F$11,Предпосылки!$K136,),0))</f>
        <v>0</v>
      </c>
      <c s="125">
        <f>-G151*(1+IFERROR(INDEX(G$10:G$11,Предпосылки!$K136,),0))</f>
        <v>0</v>
      </c>
      <c s="125">
        <f>-H151*(1+IFERROR(INDEX(H$10:H$11,Предпосылки!$K136,),0))</f>
        <v>0</v>
      </c>
      <c s="125">
        <f>-I151*(1+IFERROR(INDEX(I$10:I$11,Предпосылки!$K136,),0))</f>
        <v>0</v>
      </c>
      <c s="125">
        <f>-J151*(1+IFERROR(INDEX(J$10:J$11,Предпосылки!$K136,),0))</f>
        <v>0</v>
      </c>
      <c s="125">
        <f>-K151*(1+IFERROR(INDEX(K$10:K$11,Предпосылки!$K136,),0))</f>
        <v>0</v>
      </c>
      <c s="125">
        <f>-L151*(1+IFERROR(INDEX(L$10:L$11,Предпосылки!$K136,),0))</f>
        <v>0</v>
      </c>
      <c s="125">
        <f>-M151*(1+IFERROR(INDEX(M$10:M$11,Предпосылки!$K136,),0))</f>
        <v>0</v>
      </c>
      <c s="125">
        <f>-N151*(1+IFERROR(INDEX(N$10:N$11,Предпосылки!$K136,),0))</f>
        <v>0</v>
      </c>
      <c s="125">
        <f>-O151*(1+IFERROR(INDEX(O$10:O$11,Предпосылки!$K136,),0))</f>
        <v>0</v>
      </c>
      <c s="125">
        <f>-P151*(1+IFERROR(INDEX(P$10:P$11,Предпосылки!$K136,),0))</f>
        <v>0</v>
      </c>
      <c s="125">
        <f>-Q151*(1+IFERROR(INDEX(Q$10:Q$11,Предпосылки!$K136,),0))</f>
        <v>0</v>
      </c>
      <c s="125">
        <f>-R151*(1+IFERROR(INDEX(R$10:R$11,Предпосылки!$K136,),0))</f>
        <v>0</v>
      </c>
      <c s="125">
        <f>-S151*(1+IFERROR(INDEX(S$10:S$11,Предпосылки!$K136,),0))</f>
        <v>0</v>
      </c>
      <c s="125">
        <f>-T151*(1+IFERROR(INDEX(T$10:T$11,Предпосылки!$K136,),0))</f>
        <v>0</v>
      </c>
      <c s="125">
        <f>-U151*(1+IFERROR(INDEX(U$10:U$11,Предпосылки!$K136,),0))</f>
        <v>0</v>
      </c>
      <c s="125">
        <f>-V151*(1+IFERROR(INDEX(V$10:V$11,Предпосылки!$K136,),0))</f>
        <v>0</v>
      </c>
      <c s="125">
        <f>-W151*(1+IFERROR(INDEX(W$10:W$11,Предпосылки!$K136,),0))</f>
        <v>0</v>
      </c>
      <c s="125">
        <f>-X151*(1+IFERROR(INDEX(X$10:X$11,Предпосылки!$K136,),0))</f>
        <v>0</v>
      </c>
      <c s="125">
        <f>-Y151*(1+IFERROR(INDEX(Y$10:Y$11,Предпосылки!$K136,),0))</f>
        <v>0</v>
      </c>
      <c s="125">
        <f>-Z151*(1+IFERROR(INDEX(Z$10:Z$11,Предпосылки!$K136,),0))</f>
        <v>0</v>
      </c>
      <c s="125">
        <f>-AA151*(1+IFERROR(INDEX(AA$10:AA$11,Предпосылки!$K136,),0))</f>
        <v>0</v>
      </c>
      <c s="125">
        <f>-AB151*(1+IFERROR(INDEX(AB$10:AB$11,Предпосылки!$K136,),0))</f>
        <v>0</v>
      </c>
      <c s="125">
        <f>-AC151*(1+IFERROR(INDEX(AC$10:AC$11,Предпосылки!$K136,),0))</f>
        <v>0</v>
      </c>
      <c s="125">
        <f>-AD151*(1+IFERROR(INDEX(AD$10:AD$11,Предпосылки!$K136,),0))</f>
        <v>0</v>
      </c>
      <c s="125">
        <f>-AE151*(1+IFERROR(INDEX(AE$10:AE$11,Предпосылки!$K136,),0))</f>
        <v>0</v>
      </c>
      <c s="125">
        <f>-AF151*(1+IFERROR(INDEX(AF$10:AF$11,Предпосылки!$K136,),0))</f>
        <v>0</v>
      </c>
      <c s="125">
        <f>-AG151*(1+IFERROR(INDEX(AG$10:AG$11,Предпосылки!$K136,),0))</f>
        <v>0</v>
      </c>
      <c s="125">
        <f>-AH151*(1+IFERROR(INDEX(AH$10:AH$11,Предпосылки!$K136,),0))</f>
        <v>0</v>
      </c>
      <c s="125">
        <f>-AI151*(1+IFERROR(INDEX(AI$10:AI$11,Предпосылки!$K136,),0))</f>
        <v>0</v>
      </c>
      <c s="125">
        <f>-AJ151*(1+IFERROR(INDEX(AJ$10:AJ$11,Предпосылки!$K136,),0))</f>
        <v>0</v>
      </c>
      <c s="125">
        <f>-AK151*(1+IFERROR(INDEX(AK$10:AK$11,Предпосылки!$K136,),0))</f>
        <v>0</v>
      </c>
      <c s="125">
        <f>-AL151*(1+IFERROR(INDEX(AL$10:AL$11,Предпосылки!$K136,),0))</f>
        <v>0</v>
      </c>
      <c s="125">
        <f>-AM151*(1+IFERROR(INDEX(AM$10:AM$11,Предпосылки!$K136,),0))</f>
        <v>0</v>
      </c>
      <c s="125">
        <f>-AN151*(1+IFERROR(INDEX(AN$10:AN$11,Предпосылки!$K136,),0))</f>
        <v>0</v>
      </c>
      <c s="125">
        <f>-AO151*(1+IFERROR(INDEX(AO$10:AO$11,Предпосылки!$K136,),0))</f>
        <v>0</v>
      </c>
      <c s="125">
        <f>-AP151*(1+IFERROR(INDEX(AP$10:AP$11,Предпосылки!$K136,),0))</f>
        <v>0</v>
      </c>
      <c s="125">
        <f>-AQ151*(1+IFERROR(INDEX(AQ$10:AQ$11,Предпосылки!$K136,),0))</f>
        <v>0</v>
      </c>
      <c s="125">
        <f>-AR151*(1+IFERROR(INDEX(AR$10:AR$11,Предпосылки!$K136,),0))</f>
        <v>0</v>
      </c>
      <c s="125">
        <f>-AS151*(1+IFERROR(INDEX(AS$10:AS$11,Предпосылки!$K136,),0))</f>
        <v>0</v>
      </c>
      <c s="125">
        <f>-AT151*(1+IFERROR(INDEX(AT$10:AT$11,Предпосылки!$K136,),0))</f>
        <v>0</v>
      </c>
      <c s="125">
        <f>-AU151*(1+IFERROR(INDEX(AU$10:AU$11,Предпосылки!$K136,),0))</f>
        <v>0</v>
      </c>
      <c s="125">
        <f>-AV151*(1+IFERROR(INDEX(AV$10:AV$11,Предпосылки!$K136,),0))</f>
        <v>0</v>
      </c>
      <c s="125">
        <f>-AW151*(1+IFERROR(INDEX(AW$10:AW$11,Предпосылки!$K136,),0))</f>
        <v>0</v>
      </c>
      <c s="125">
        <f>-AX151*(1+IFERROR(INDEX(AX$10:AX$11,Предпосылки!$K136,),0))</f>
        <v>0</v>
      </c>
      <c s="125">
        <f>-AY151*(1+IFERROR(INDEX(AY$10:AY$11,Предпосылки!$K136,),0))</f>
        <v>0</v>
      </c>
      <c s="125">
        <f>-AZ151*(1+IFERROR(INDEX(AZ$10:AZ$11,Предпосылки!$K136,),0))</f>
        <v>0</v>
      </c>
      <c s="125">
        <f>-BA151*(1+IFERROR(INDEX(BA$10:BA$11,Предпосылки!$K136,),0))</f>
        <v>0</v>
      </c>
      <c s="125">
        <f>-BB151*(1+IFERROR(INDEX(BB$10:BB$11,Предпосылки!$K136,),0))</f>
        <v>0</v>
      </c>
      <c s="125">
        <f>-BC151*(1+IFERROR(INDEX(BC$10:BC$11,Предпосылки!$K136,),0))</f>
        <v>0</v>
      </c>
      <c s="125">
        <f>-BD151*(1+IFERROR(INDEX(BD$10:BD$11,Предпосылки!$K136,),0))</f>
        <v>0</v>
      </c>
      <c s="125">
        <f>-BE151*(1+IFERROR(INDEX(BE$10:BE$11,Предпосылки!$K136,),0))</f>
        <v>0</v>
      </c>
      <c s="125">
        <f>-BF151*(1+IFERROR(INDEX(BF$10:BF$11,Предпосылки!$K136,),0))</f>
        <v>0</v>
      </c>
      <c s="125">
        <f>-BG151*(1+IFERROR(INDEX(BG$10:BG$11,Предпосылки!$K136,),0))</f>
        <v>0</v>
      </c>
      <c s="125">
        <f>-BH151*(1+IFERROR(INDEX(BH$10:BH$11,Предпосылки!$K136,),0))</f>
        <v>0</v>
      </c>
      <c s="125">
        <f>-BI151*(1+IFERROR(INDEX(BI$10:BI$11,Предпосылки!$K136,),0))</f>
        <v>0</v>
      </c>
      <c s="125">
        <f>-BJ151*(1+IFERROR(INDEX(BJ$10:BJ$11,Предпосылки!$K136,),0))</f>
        <v>0</v>
      </c>
      <c s="125">
        <f>-BK151*(1+IFERROR(INDEX(BK$10:BK$11,Предпосылки!$K136,),0))</f>
        <v>0</v>
      </c>
      <c s="125">
        <f>-BL151*(1+IFERROR(INDEX(BL$10:BL$11,Предпосылки!$K136,),0))</f>
        <v>0</v>
      </c>
      <c s="125">
        <f>-BM151*(1+IFERROR(INDEX(BM$10:BM$11,Предпосылки!$K136,),0))</f>
        <v>0</v>
      </c>
    </row>
    <row r="200" spans="2:65" ht="15" customHeight="1">
      <c r="B200" s="12" t="str">
        <f t="shared" si="198"/>
        <v>Продукт 16</v>
      </c>
      <c s="124" t="str">
        <f t="shared" si="197"/>
        <v>тыс. руб.</v>
      </c>
      <c s="125"/>
      <c s="125">
        <f>-E152*(1+IFERROR(INDEX(E$10:E$11,Предпосылки!$K137,),0))</f>
        <v>0</v>
      </c>
      <c s="125">
        <f>-F152*(1+IFERROR(INDEX(F$10:F$11,Предпосылки!$K137,),0))</f>
        <v>0</v>
      </c>
      <c s="125">
        <f>-G152*(1+IFERROR(INDEX(G$10:G$11,Предпосылки!$K137,),0))</f>
        <v>0</v>
      </c>
      <c s="125">
        <f>-H152*(1+IFERROR(INDEX(H$10:H$11,Предпосылки!$K137,),0))</f>
        <v>0</v>
      </c>
      <c s="125">
        <f>-I152*(1+IFERROR(INDEX(I$10:I$11,Предпосылки!$K137,),0))</f>
        <v>0</v>
      </c>
      <c s="125">
        <f>-J152*(1+IFERROR(INDEX(J$10:J$11,Предпосылки!$K137,),0))</f>
        <v>0</v>
      </c>
      <c s="125">
        <f>-K152*(1+IFERROR(INDEX(K$10:K$11,Предпосылки!$K137,),0))</f>
        <v>0</v>
      </c>
      <c s="125">
        <f>-L152*(1+IFERROR(INDEX(L$10:L$11,Предпосылки!$K137,),0))</f>
        <v>0</v>
      </c>
      <c s="125">
        <f>-M152*(1+IFERROR(INDEX(M$10:M$11,Предпосылки!$K137,),0))</f>
        <v>0</v>
      </c>
      <c s="125">
        <f>-N152*(1+IFERROR(INDEX(N$10:N$11,Предпосылки!$K137,),0))</f>
        <v>0</v>
      </c>
      <c s="125">
        <f>-O152*(1+IFERROR(INDEX(O$10:O$11,Предпосылки!$K137,),0))</f>
        <v>0</v>
      </c>
      <c s="125">
        <f>-P152*(1+IFERROR(INDEX(P$10:P$11,Предпосылки!$K137,),0))</f>
        <v>0</v>
      </c>
      <c s="125">
        <f>-Q152*(1+IFERROR(INDEX(Q$10:Q$11,Предпосылки!$K137,),0))</f>
        <v>0</v>
      </c>
      <c s="125">
        <f>-R152*(1+IFERROR(INDEX(R$10:R$11,Предпосылки!$K137,),0))</f>
        <v>0</v>
      </c>
      <c s="125">
        <f>-S152*(1+IFERROR(INDEX(S$10:S$11,Предпосылки!$K137,),0))</f>
        <v>0</v>
      </c>
      <c s="125">
        <f>-T152*(1+IFERROR(INDEX(T$10:T$11,Предпосылки!$K137,),0))</f>
        <v>0</v>
      </c>
      <c s="125">
        <f>-U152*(1+IFERROR(INDEX(U$10:U$11,Предпосылки!$K137,),0))</f>
        <v>0</v>
      </c>
      <c s="125">
        <f>-V152*(1+IFERROR(INDEX(V$10:V$11,Предпосылки!$K137,),0))</f>
        <v>0</v>
      </c>
      <c s="125">
        <f>-W152*(1+IFERROR(INDEX(W$10:W$11,Предпосылки!$K137,),0))</f>
        <v>0</v>
      </c>
      <c s="125">
        <f>-X152*(1+IFERROR(INDEX(X$10:X$11,Предпосылки!$K137,),0))</f>
        <v>0</v>
      </c>
      <c s="125">
        <f>-Y152*(1+IFERROR(INDEX(Y$10:Y$11,Предпосылки!$K137,),0))</f>
        <v>0</v>
      </c>
      <c s="125">
        <f>-Z152*(1+IFERROR(INDEX(Z$10:Z$11,Предпосылки!$K137,),0))</f>
        <v>0</v>
      </c>
      <c s="125">
        <f>-AA152*(1+IFERROR(INDEX(AA$10:AA$11,Предпосылки!$K137,),0))</f>
        <v>0</v>
      </c>
      <c s="125">
        <f>-AB152*(1+IFERROR(INDEX(AB$10:AB$11,Предпосылки!$K137,),0))</f>
        <v>0</v>
      </c>
      <c s="125">
        <f>-AC152*(1+IFERROR(INDEX(AC$10:AC$11,Предпосылки!$K137,),0))</f>
        <v>0</v>
      </c>
      <c s="125">
        <f>-AD152*(1+IFERROR(INDEX(AD$10:AD$11,Предпосылки!$K137,),0))</f>
        <v>0</v>
      </c>
      <c s="125">
        <f>-AE152*(1+IFERROR(INDEX(AE$10:AE$11,Предпосылки!$K137,),0))</f>
        <v>0</v>
      </c>
      <c s="125">
        <f>-AF152*(1+IFERROR(INDEX(AF$10:AF$11,Предпосылки!$K137,),0))</f>
        <v>0</v>
      </c>
      <c s="125">
        <f>-AG152*(1+IFERROR(INDEX(AG$10:AG$11,Предпосылки!$K137,),0))</f>
        <v>0</v>
      </c>
      <c s="125">
        <f>-AH152*(1+IFERROR(INDEX(AH$10:AH$11,Предпосылки!$K137,),0))</f>
        <v>0</v>
      </c>
      <c s="125">
        <f>-AI152*(1+IFERROR(INDEX(AI$10:AI$11,Предпосылки!$K137,),0))</f>
        <v>0</v>
      </c>
      <c s="125">
        <f>-AJ152*(1+IFERROR(INDEX(AJ$10:AJ$11,Предпосылки!$K137,),0))</f>
        <v>0</v>
      </c>
      <c s="125">
        <f>-AK152*(1+IFERROR(INDEX(AK$10:AK$11,Предпосылки!$K137,),0))</f>
        <v>0</v>
      </c>
      <c s="125">
        <f>-AL152*(1+IFERROR(INDEX(AL$10:AL$11,Предпосылки!$K137,),0))</f>
        <v>0</v>
      </c>
      <c s="125">
        <f>-AM152*(1+IFERROR(INDEX(AM$10:AM$11,Предпосылки!$K137,),0))</f>
        <v>0</v>
      </c>
      <c s="125">
        <f>-AN152*(1+IFERROR(INDEX(AN$10:AN$11,Предпосылки!$K137,),0))</f>
        <v>0</v>
      </c>
      <c s="125">
        <f>-AO152*(1+IFERROR(INDEX(AO$10:AO$11,Предпосылки!$K137,),0))</f>
        <v>0</v>
      </c>
      <c s="125">
        <f>-AP152*(1+IFERROR(INDEX(AP$10:AP$11,Предпосылки!$K137,),0))</f>
        <v>0</v>
      </c>
      <c s="125">
        <f>-AQ152*(1+IFERROR(INDEX(AQ$10:AQ$11,Предпосылки!$K137,),0))</f>
        <v>0</v>
      </c>
      <c s="125">
        <f>-AR152*(1+IFERROR(INDEX(AR$10:AR$11,Предпосылки!$K137,),0))</f>
        <v>0</v>
      </c>
      <c s="125">
        <f>-AS152*(1+IFERROR(INDEX(AS$10:AS$11,Предпосылки!$K137,),0))</f>
        <v>0</v>
      </c>
      <c s="125">
        <f>-AT152*(1+IFERROR(INDEX(AT$10:AT$11,Предпосылки!$K137,),0))</f>
        <v>0</v>
      </c>
      <c s="125">
        <f>-AU152*(1+IFERROR(INDEX(AU$10:AU$11,Предпосылки!$K137,),0))</f>
        <v>0</v>
      </c>
      <c s="125">
        <f>-AV152*(1+IFERROR(INDEX(AV$10:AV$11,Предпосылки!$K137,),0))</f>
        <v>0</v>
      </c>
      <c s="125">
        <f>-AW152*(1+IFERROR(INDEX(AW$10:AW$11,Предпосылки!$K137,),0))</f>
        <v>0</v>
      </c>
      <c s="125">
        <f>-AX152*(1+IFERROR(INDEX(AX$10:AX$11,Предпосылки!$K137,),0))</f>
        <v>0</v>
      </c>
      <c s="125">
        <f>-AY152*(1+IFERROR(INDEX(AY$10:AY$11,Предпосылки!$K137,),0))</f>
        <v>0</v>
      </c>
      <c s="125">
        <f>-AZ152*(1+IFERROR(INDEX(AZ$10:AZ$11,Предпосылки!$K137,),0))</f>
        <v>0</v>
      </c>
      <c s="125">
        <f>-BA152*(1+IFERROR(INDEX(BA$10:BA$11,Предпосылки!$K137,),0))</f>
        <v>0</v>
      </c>
      <c s="125">
        <f>-BB152*(1+IFERROR(INDEX(BB$10:BB$11,Предпосылки!$K137,),0))</f>
        <v>0</v>
      </c>
      <c s="125">
        <f>-BC152*(1+IFERROR(INDEX(BC$10:BC$11,Предпосылки!$K137,),0))</f>
        <v>0</v>
      </c>
      <c s="125">
        <f>-BD152*(1+IFERROR(INDEX(BD$10:BD$11,Предпосылки!$K137,),0))</f>
        <v>0</v>
      </c>
      <c s="125">
        <f>-BE152*(1+IFERROR(INDEX(BE$10:BE$11,Предпосылки!$K137,),0))</f>
        <v>0</v>
      </c>
      <c s="125">
        <f>-BF152*(1+IFERROR(INDEX(BF$10:BF$11,Предпосылки!$K137,),0))</f>
        <v>0</v>
      </c>
      <c s="125">
        <f>-BG152*(1+IFERROR(INDEX(BG$10:BG$11,Предпосылки!$K137,),0))</f>
        <v>0</v>
      </c>
      <c s="125">
        <f>-BH152*(1+IFERROR(INDEX(BH$10:BH$11,Предпосылки!$K137,),0))</f>
        <v>0</v>
      </c>
      <c s="125">
        <f>-BI152*(1+IFERROR(INDEX(BI$10:BI$11,Предпосылки!$K137,),0))</f>
        <v>0</v>
      </c>
      <c s="125">
        <f>-BJ152*(1+IFERROR(INDEX(BJ$10:BJ$11,Предпосылки!$K137,),0))</f>
        <v>0</v>
      </c>
      <c s="125">
        <f>-BK152*(1+IFERROR(INDEX(BK$10:BK$11,Предпосылки!$K137,),0))</f>
        <v>0</v>
      </c>
      <c s="125">
        <f>-BL152*(1+IFERROR(INDEX(BL$10:BL$11,Предпосылки!$K137,),0))</f>
        <v>0</v>
      </c>
      <c s="125">
        <f>-BM152*(1+IFERROR(INDEX(BM$10:BM$11,Предпосылки!$K137,),0))</f>
        <v>0</v>
      </c>
    </row>
    <row r="201" spans="2:65" ht="15" customHeight="1">
      <c r="B201" s="12" t="str">
        <f t="shared" si="198"/>
        <v>Продукт 17</v>
      </c>
      <c s="124" t="str">
        <f t="shared" si="197"/>
        <v>тыс. руб.</v>
      </c>
      <c s="125"/>
      <c s="125">
        <f>-E153*(1+IFERROR(INDEX(E$10:E$11,Предпосылки!$K138,),0))</f>
        <v>0</v>
      </c>
      <c s="125">
        <f>-F153*(1+IFERROR(INDEX(F$10:F$11,Предпосылки!$K138,),0))</f>
        <v>0</v>
      </c>
      <c s="125">
        <f>-G153*(1+IFERROR(INDEX(G$10:G$11,Предпосылки!$K138,),0))</f>
        <v>0</v>
      </c>
      <c s="125">
        <f>-H153*(1+IFERROR(INDEX(H$10:H$11,Предпосылки!$K138,),0))</f>
        <v>0</v>
      </c>
      <c s="125">
        <f>-I153*(1+IFERROR(INDEX(I$10:I$11,Предпосылки!$K138,),0))</f>
        <v>0</v>
      </c>
      <c s="125">
        <f>-J153*(1+IFERROR(INDEX(J$10:J$11,Предпосылки!$K138,),0))</f>
        <v>0</v>
      </c>
      <c s="125">
        <f>-K153*(1+IFERROR(INDEX(K$10:K$11,Предпосылки!$K138,),0))</f>
        <v>0</v>
      </c>
      <c s="125">
        <f>-L153*(1+IFERROR(INDEX(L$10:L$11,Предпосылки!$K138,),0))</f>
        <v>0</v>
      </c>
      <c s="125">
        <f>-M153*(1+IFERROR(INDEX(M$10:M$11,Предпосылки!$K138,),0))</f>
        <v>0</v>
      </c>
      <c s="125">
        <f>-N153*(1+IFERROR(INDEX(N$10:N$11,Предпосылки!$K138,),0))</f>
        <v>0</v>
      </c>
      <c s="125">
        <f>-O153*(1+IFERROR(INDEX(O$10:O$11,Предпосылки!$K138,),0))</f>
        <v>0</v>
      </c>
      <c s="125">
        <f>-P153*(1+IFERROR(INDEX(P$10:P$11,Предпосылки!$K138,),0))</f>
        <v>0</v>
      </c>
      <c s="125">
        <f>-Q153*(1+IFERROR(INDEX(Q$10:Q$11,Предпосылки!$K138,),0))</f>
        <v>0</v>
      </c>
      <c s="125">
        <f>-R153*(1+IFERROR(INDEX(R$10:R$11,Предпосылки!$K138,),0))</f>
        <v>0</v>
      </c>
      <c s="125">
        <f>-S153*(1+IFERROR(INDEX(S$10:S$11,Предпосылки!$K138,),0))</f>
        <v>0</v>
      </c>
      <c s="125">
        <f>-T153*(1+IFERROR(INDEX(T$10:T$11,Предпосылки!$K138,),0))</f>
        <v>0</v>
      </c>
      <c s="125">
        <f>-U153*(1+IFERROR(INDEX(U$10:U$11,Предпосылки!$K138,),0))</f>
        <v>0</v>
      </c>
      <c s="125">
        <f>-V153*(1+IFERROR(INDEX(V$10:V$11,Предпосылки!$K138,),0))</f>
        <v>0</v>
      </c>
      <c s="125">
        <f>-W153*(1+IFERROR(INDEX(W$10:W$11,Предпосылки!$K138,),0))</f>
        <v>0</v>
      </c>
      <c s="125">
        <f>-X153*(1+IFERROR(INDEX(X$10:X$11,Предпосылки!$K138,),0))</f>
        <v>0</v>
      </c>
      <c s="125">
        <f>-Y153*(1+IFERROR(INDEX(Y$10:Y$11,Предпосылки!$K138,),0))</f>
        <v>0</v>
      </c>
      <c s="125">
        <f>-Z153*(1+IFERROR(INDEX(Z$10:Z$11,Предпосылки!$K138,),0))</f>
        <v>0</v>
      </c>
      <c s="125">
        <f>-AA153*(1+IFERROR(INDEX(AA$10:AA$11,Предпосылки!$K138,),0))</f>
        <v>0</v>
      </c>
      <c s="125">
        <f>-AB153*(1+IFERROR(INDEX(AB$10:AB$11,Предпосылки!$K138,),0))</f>
        <v>0</v>
      </c>
      <c s="125">
        <f>-AC153*(1+IFERROR(INDEX(AC$10:AC$11,Предпосылки!$K138,),0))</f>
        <v>0</v>
      </c>
      <c s="125">
        <f>-AD153*(1+IFERROR(INDEX(AD$10:AD$11,Предпосылки!$K138,),0))</f>
        <v>0</v>
      </c>
      <c s="125">
        <f>-AE153*(1+IFERROR(INDEX(AE$10:AE$11,Предпосылки!$K138,),0))</f>
        <v>0</v>
      </c>
      <c s="125">
        <f>-AF153*(1+IFERROR(INDEX(AF$10:AF$11,Предпосылки!$K138,),0))</f>
        <v>0</v>
      </c>
      <c s="125">
        <f>-AG153*(1+IFERROR(INDEX(AG$10:AG$11,Предпосылки!$K138,),0))</f>
        <v>0</v>
      </c>
      <c s="125">
        <f>-AH153*(1+IFERROR(INDEX(AH$10:AH$11,Предпосылки!$K138,),0))</f>
        <v>0</v>
      </c>
      <c s="125">
        <f>-AI153*(1+IFERROR(INDEX(AI$10:AI$11,Предпосылки!$K138,),0))</f>
        <v>0</v>
      </c>
      <c s="125">
        <f>-AJ153*(1+IFERROR(INDEX(AJ$10:AJ$11,Предпосылки!$K138,),0))</f>
        <v>0</v>
      </c>
      <c s="125">
        <f>-AK153*(1+IFERROR(INDEX(AK$10:AK$11,Предпосылки!$K138,),0))</f>
        <v>0</v>
      </c>
      <c s="125">
        <f>-AL153*(1+IFERROR(INDEX(AL$10:AL$11,Предпосылки!$K138,),0))</f>
        <v>0</v>
      </c>
      <c s="125">
        <f>-AM153*(1+IFERROR(INDEX(AM$10:AM$11,Предпосылки!$K138,),0))</f>
        <v>0</v>
      </c>
      <c s="125">
        <f>-AN153*(1+IFERROR(INDEX(AN$10:AN$11,Предпосылки!$K138,),0))</f>
        <v>0</v>
      </c>
      <c s="125">
        <f>-AO153*(1+IFERROR(INDEX(AO$10:AO$11,Предпосылки!$K138,),0))</f>
        <v>0</v>
      </c>
      <c s="125">
        <f>-AP153*(1+IFERROR(INDEX(AP$10:AP$11,Предпосылки!$K138,),0))</f>
        <v>0</v>
      </c>
      <c s="125">
        <f>-AQ153*(1+IFERROR(INDEX(AQ$10:AQ$11,Предпосылки!$K138,),0))</f>
        <v>0</v>
      </c>
      <c s="125">
        <f>-AR153*(1+IFERROR(INDEX(AR$10:AR$11,Предпосылки!$K138,),0))</f>
        <v>0</v>
      </c>
      <c s="125">
        <f>-AS153*(1+IFERROR(INDEX(AS$10:AS$11,Предпосылки!$K138,),0))</f>
        <v>0</v>
      </c>
      <c s="125">
        <f>-AT153*(1+IFERROR(INDEX(AT$10:AT$11,Предпосылки!$K138,),0))</f>
        <v>0</v>
      </c>
      <c s="125">
        <f>-AU153*(1+IFERROR(INDEX(AU$10:AU$11,Предпосылки!$K138,),0))</f>
        <v>0</v>
      </c>
      <c s="125">
        <f>-AV153*(1+IFERROR(INDEX(AV$10:AV$11,Предпосылки!$K138,),0))</f>
        <v>0</v>
      </c>
      <c s="125">
        <f>-AW153*(1+IFERROR(INDEX(AW$10:AW$11,Предпосылки!$K138,),0))</f>
        <v>0</v>
      </c>
      <c s="125">
        <f>-AX153*(1+IFERROR(INDEX(AX$10:AX$11,Предпосылки!$K138,),0))</f>
        <v>0</v>
      </c>
      <c s="125">
        <f>-AY153*(1+IFERROR(INDEX(AY$10:AY$11,Предпосылки!$K138,),0))</f>
        <v>0</v>
      </c>
      <c s="125">
        <f>-AZ153*(1+IFERROR(INDEX(AZ$10:AZ$11,Предпосылки!$K138,),0))</f>
        <v>0</v>
      </c>
      <c s="125">
        <f>-BA153*(1+IFERROR(INDEX(BA$10:BA$11,Предпосылки!$K138,),0))</f>
        <v>0</v>
      </c>
      <c s="125">
        <f>-BB153*(1+IFERROR(INDEX(BB$10:BB$11,Предпосылки!$K138,),0))</f>
        <v>0</v>
      </c>
      <c s="125">
        <f>-BC153*(1+IFERROR(INDEX(BC$10:BC$11,Предпосылки!$K138,),0))</f>
        <v>0</v>
      </c>
      <c s="125">
        <f>-BD153*(1+IFERROR(INDEX(BD$10:BD$11,Предпосылки!$K138,),0))</f>
        <v>0</v>
      </c>
      <c s="125">
        <f>-BE153*(1+IFERROR(INDEX(BE$10:BE$11,Предпосылки!$K138,),0))</f>
        <v>0</v>
      </c>
      <c s="125">
        <f>-BF153*(1+IFERROR(INDEX(BF$10:BF$11,Предпосылки!$K138,),0))</f>
        <v>0</v>
      </c>
      <c s="125">
        <f>-BG153*(1+IFERROR(INDEX(BG$10:BG$11,Предпосылки!$K138,),0))</f>
        <v>0</v>
      </c>
      <c s="125">
        <f>-BH153*(1+IFERROR(INDEX(BH$10:BH$11,Предпосылки!$K138,),0))</f>
        <v>0</v>
      </c>
      <c s="125">
        <f>-BI153*(1+IFERROR(INDEX(BI$10:BI$11,Предпосылки!$K138,),0))</f>
        <v>0</v>
      </c>
      <c s="125">
        <f>-BJ153*(1+IFERROR(INDEX(BJ$10:BJ$11,Предпосылки!$K138,),0))</f>
        <v>0</v>
      </c>
      <c s="125">
        <f>-BK153*(1+IFERROR(INDEX(BK$10:BK$11,Предпосылки!$K138,),0))</f>
        <v>0</v>
      </c>
      <c s="125">
        <f>-BL153*(1+IFERROR(INDEX(BL$10:BL$11,Предпосылки!$K138,),0))</f>
        <v>0</v>
      </c>
      <c s="125">
        <f>-BM153*(1+IFERROR(INDEX(BM$10:BM$11,Предпосылки!$K138,),0))</f>
        <v>0</v>
      </c>
    </row>
    <row r="202" spans="2:65" ht="15" customHeight="1">
      <c r="B202" s="12" t="str">
        <f t="shared" si="198"/>
        <v>Продукт 18</v>
      </c>
      <c s="124" t="str">
        <f t="shared" si="197"/>
        <v>тыс. руб.</v>
      </c>
      <c s="125"/>
      <c s="125">
        <f>-E154*(1+IFERROR(INDEX(E$10:E$11,Предпосылки!$K139,),0))</f>
        <v>0</v>
      </c>
      <c s="125">
        <f>-F154*(1+IFERROR(INDEX(F$10:F$11,Предпосылки!$K139,),0))</f>
        <v>0</v>
      </c>
      <c s="125">
        <f>-G154*(1+IFERROR(INDEX(G$10:G$11,Предпосылки!$K139,),0))</f>
        <v>0</v>
      </c>
      <c s="125">
        <f>-H154*(1+IFERROR(INDEX(H$10:H$11,Предпосылки!$K139,),0))</f>
        <v>0</v>
      </c>
      <c s="125">
        <f>-I154*(1+IFERROR(INDEX(I$10:I$11,Предпосылки!$K139,),0))</f>
        <v>0</v>
      </c>
      <c s="125">
        <f>-J154*(1+IFERROR(INDEX(J$10:J$11,Предпосылки!$K139,),0))</f>
        <v>0</v>
      </c>
      <c s="125">
        <f>-K154*(1+IFERROR(INDEX(K$10:K$11,Предпосылки!$K139,),0))</f>
        <v>0</v>
      </c>
      <c s="125">
        <f>-L154*(1+IFERROR(INDEX(L$10:L$11,Предпосылки!$K139,),0))</f>
        <v>0</v>
      </c>
      <c s="125">
        <f>-M154*(1+IFERROR(INDEX(M$10:M$11,Предпосылки!$K139,),0))</f>
        <v>0</v>
      </c>
      <c s="125">
        <f>-N154*(1+IFERROR(INDEX(N$10:N$11,Предпосылки!$K139,),0))</f>
        <v>0</v>
      </c>
      <c s="125">
        <f>-O154*(1+IFERROR(INDEX(O$10:O$11,Предпосылки!$K139,),0))</f>
        <v>0</v>
      </c>
      <c s="125">
        <f>-P154*(1+IFERROR(INDEX(P$10:P$11,Предпосылки!$K139,),0))</f>
        <v>0</v>
      </c>
      <c s="125">
        <f>-Q154*(1+IFERROR(INDEX(Q$10:Q$11,Предпосылки!$K139,),0))</f>
        <v>0</v>
      </c>
      <c s="125">
        <f>-R154*(1+IFERROR(INDEX(R$10:R$11,Предпосылки!$K139,),0))</f>
        <v>0</v>
      </c>
      <c s="125">
        <f>-S154*(1+IFERROR(INDEX(S$10:S$11,Предпосылки!$K139,),0))</f>
        <v>0</v>
      </c>
      <c s="125">
        <f>-T154*(1+IFERROR(INDEX(T$10:T$11,Предпосылки!$K139,),0))</f>
        <v>0</v>
      </c>
      <c s="125">
        <f>-U154*(1+IFERROR(INDEX(U$10:U$11,Предпосылки!$K139,),0))</f>
        <v>0</v>
      </c>
      <c s="125">
        <f>-V154*(1+IFERROR(INDEX(V$10:V$11,Предпосылки!$K139,),0))</f>
        <v>0</v>
      </c>
      <c s="125">
        <f>-W154*(1+IFERROR(INDEX(W$10:W$11,Предпосылки!$K139,),0))</f>
        <v>0</v>
      </c>
      <c s="125">
        <f>-X154*(1+IFERROR(INDEX(X$10:X$11,Предпосылки!$K139,),0))</f>
        <v>0</v>
      </c>
      <c s="125">
        <f>-Y154*(1+IFERROR(INDEX(Y$10:Y$11,Предпосылки!$K139,),0))</f>
        <v>0</v>
      </c>
      <c s="125">
        <f>-Z154*(1+IFERROR(INDEX(Z$10:Z$11,Предпосылки!$K139,),0))</f>
        <v>0</v>
      </c>
      <c s="125">
        <f>-AA154*(1+IFERROR(INDEX(AA$10:AA$11,Предпосылки!$K139,),0))</f>
        <v>0</v>
      </c>
      <c s="125">
        <f>-AB154*(1+IFERROR(INDEX(AB$10:AB$11,Предпосылки!$K139,),0))</f>
        <v>0</v>
      </c>
      <c s="125">
        <f>-AC154*(1+IFERROR(INDEX(AC$10:AC$11,Предпосылки!$K139,),0))</f>
        <v>0</v>
      </c>
      <c s="125">
        <f>-AD154*(1+IFERROR(INDEX(AD$10:AD$11,Предпосылки!$K139,),0))</f>
        <v>0</v>
      </c>
      <c s="125">
        <f>-AE154*(1+IFERROR(INDEX(AE$10:AE$11,Предпосылки!$K139,),0))</f>
        <v>0</v>
      </c>
      <c s="125">
        <f>-AF154*(1+IFERROR(INDEX(AF$10:AF$11,Предпосылки!$K139,),0))</f>
        <v>0</v>
      </c>
      <c s="125">
        <f>-AG154*(1+IFERROR(INDEX(AG$10:AG$11,Предпосылки!$K139,),0))</f>
        <v>0</v>
      </c>
      <c s="125">
        <f>-AH154*(1+IFERROR(INDEX(AH$10:AH$11,Предпосылки!$K139,),0))</f>
        <v>0</v>
      </c>
      <c s="125">
        <f>-AI154*(1+IFERROR(INDEX(AI$10:AI$11,Предпосылки!$K139,),0))</f>
        <v>0</v>
      </c>
      <c s="125">
        <f>-AJ154*(1+IFERROR(INDEX(AJ$10:AJ$11,Предпосылки!$K139,),0))</f>
        <v>0</v>
      </c>
      <c s="125">
        <f>-AK154*(1+IFERROR(INDEX(AK$10:AK$11,Предпосылки!$K139,),0))</f>
        <v>0</v>
      </c>
      <c s="125">
        <f>-AL154*(1+IFERROR(INDEX(AL$10:AL$11,Предпосылки!$K139,),0))</f>
        <v>0</v>
      </c>
      <c s="125">
        <f>-AM154*(1+IFERROR(INDEX(AM$10:AM$11,Предпосылки!$K139,),0))</f>
        <v>0</v>
      </c>
      <c s="125">
        <f>-AN154*(1+IFERROR(INDEX(AN$10:AN$11,Предпосылки!$K139,),0))</f>
        <v>0</v>
      </c>
      <c s="125">
        <f>-AO154*(1+IFERROR(INDEX(AO$10:AO$11,Предпосылки!$K139,),0))</f>
        <v>0</v>
      </c>
      <c s="125">
        <f>-AP154*(1+IFERROR(INDEX(AP$10:AP$11,Предпосылки!$K139,),0))</f>
        <v>0</v>
      </c>
      <c s="125">
        <f>-AQ154*(1+IFERROR(INDEX(AQ$10:AQ$11,Предпосылки!$K139,),0))</f>
        <v>0</v>
      </c>
      <c s="125">
        <f>-AR154*(1+IFERROR(INDEX(AR$10:AR$11,Предпосылки!$K139,),0))</f>
        <v>0</v>
      </c>
      <c s="125">
        <f>-AS154*(1+IFERROR(INDEX(AS$10:AS$11,Предпосылки!$K139,),0))</f>
        <v>0</v>
      </c>
      <c s="125">
        <f>-AT154*(1+IFERROR(INDEX(AT$10:AT$11,Предпосылки!$K139,),0))</f>
        <v>0</v>
      </c>
      <c s="125">
        <f>-AU154*(1+IFERROR(INDEX(AU$10:AU$11,Предпосылки!$K139,),0))</f>
        <v>0</v>
      </c>
      <c s="125">
        <f>-AV154*(1+IFERROR(INDEX(AV$10:AV$11,Предпосылки!$K139,),0))</f>
        <v>0</v>
      </c>
      <c s="125">
        <f>-AW154*(1+IFERROR(INDEX(AW$10:AW$11,Предпосылки!$K139,),0))</f>
        <v>0</v>
      </c>
      <c s="125">
        <f>-AX154*(1+IFERROR(INDEX(AX$10:AX$11,Предпосылки!$K139,),0))</f>
        <v>0</v>
      </c>
      <c s="125">
        <f>-AY154*(1+IFERROR(INDEX(AY$10:AY$11,Предпосылки!$K139,),0))</f>
        <v>0</v>
      </c>
      <c s="125">
        <f>-AZ154*(1+IFERROR(INDEX(AZ$10:AZ$11,Предпосылки!$K139,),0))</f>
        <v>0</v>
      </c>
      <c s="125">
        <f>-BA154*(1+IFERROR(INDEX(BA$10:BA$11,Предпосылки!$K139,),0))</f>
        <v>0</v>
      </c>
      <c s="125">
        <f>-BB154*(1+IFERROR(INDEX(BB$10:BB$11,Предпосылки!$K139,),0))</f>
        <v>0</v>
      </c>
      <c s="125">
        <f>-BC154*(1+IFERROR(INDEX(BC$10:BC$11,Предпосылки!$K139,),0))</f>
        <v>0</v>
      </c>
      <c s="125">
        <f>-BD154*(1+IFERROR(INDEX(BD$10:BD$11,Предпосылки!$K139,),0))</f>
        <v>0</v>
      </c>
      <c s="125">
        <f>-BE154*(1+IFERROR(INDEX(BE$10:BE$11,Предпосылки!$K139,),0))</f>
        <v>0</v>
      </c>
      <c s="125">
        <f>-BF154*(1+IFERROR(INDEX(BF$10:BF$11,Предпосылки!$K139,),0))</f>
        <v>0</v>
      </c>
      <c s="125">
        <f>-BG154*(1+IFERROR(INDEX(BG$10:BG$11,Предпосылки!$K139,),0))</f>
        <v>0</v>
      </c>
      <c s="125">
        <f>-BH154*(1+IFERROR(INDEX(BH$10:BH$11,Предпосылки!$K139,),0))</f>
        <v>0</v>
      </c>
      <c s="125">
        <f>-BI154*(1+IFERROR(INDEX(BI$10:BI$11,Предпосылки!$K139,),0))</f>
        <v>0</v>
      </c>
      <c s="125">
        <f>-BJ154*(1+IFERROR(INDEX(BJ$10:BJ$11,Предпосылки!$K139,),0))</f>
        <v>0</v>
      </c>
      <c s="125">
        <f>-BK154*(1+IFERROR(INDEX(BK$10:BK$11,Предпосылки!$K139,),0))</f>
        <v>0</v>
      </c>
      <c s="125">
        <f>-BL154*(1+IFERROR(INDEX(BL$10:BL$11,Предпосылки!$K139,),0))</f>
        <v>0</v>
      </c>
      <c s="125">
        <f>-BM154*(1+IFERROR(INDEX(BM$10:BM$11,Предпосылки!$K139,),0))</f>
        <v>0</v>
      </c>
    </row>
    <row r="203" spans="2:65" ht="15" customHeight="1">
      <c r="B203" s="12" t="str">
        <f t="shared" si="198"/>
        <v>Продукт 19</v>
      </c>
      <c s="124" t="str">
        <f t="shared" si="197"/>
        <v>тыс. руб.</v>
      </c>
      <c s="125"/>
      <c s="125">
        <f>-E155*(1+IFERROR(INDEX(E$10:E$11,Предпосылки!$K140,),0))</f>
        <v>0</v>
      </c>
      <c s="125">
        <f>-F155*(1+IFERROR(INDEX(F$10:F$11,Предпосылки!$K140,),0))</f>
        <v>0</v>
      </c>
      <c s="125">
        <f>-G155*(1+IFERROR(INDEX(G$10:G$11,Предпосылки!$K140,),0))</f>
        <v>0</v>
      </c>
      <c s="125">
        <f>-H155*(1+IFERROR(INDEX(H$10:H$11,Предпосылки!$K140,),0))</f>
        <v>0</v>
      </c>
      <c s="125">
        <f>-I155*(1+IFERROR(INDEX(I$10:I$11,Предпосылки!$K140,),0))</f>
        <v>0</v>
      </c>
      <c s="125">
        <f>-J155*(1+IFERROR(INDEX(J$10:J$11,Предпосылки!$K140,),0))</f>
        <v>0</v>
      </c>
      <c s="125">
        <f>-K155*(1+IFERROR(INDEX(K$10:K$11,Предпосылки!$K140,),0))</f>
        <v>0</v>
      </c>
      <c s="125">
        <f>-L155*(1+IFERROR(INDEX(L$10:L$11,Предпосылки!$K140,),0))</f>
        <v>0</v>
      </c>
      <c s="125">
        <f>-M155*(1+IFERROR(INDEX(M$10:M$11,Предпосылки!$K140,),0))</f>
        <v>0</v>
      </c>
      <c s="125">
        <f>-N155*(1+IFERROR(INDEX(N$10:N$11,Предпосылки!$K140,),0))</f>
        <v>0</v>
      </c>
      <c s="125">
        <f>-O155*(1+IFERROR(INDEX(O$10:O$11,Предпосылки!$K140,),0))</f>
        <v>0</v>
      </c>
      <c s="125">
        <f>-P155*(1+IFERROR(INDEX(P$10:P$11,Предпосылки!$K140,),0))</f>
        <v>0</v>
      </c>
      <c s="125">
        <f>-Q155*(1+IFERROR(INDEX(Q$10:Q$11,Предпосылки!$K140,),0))</f>
        <v>0</v>
      </c>
      <c s="125">
        <f>-R155*(1+IFERROR(INDEX(R$10:R$11,Предпосылки!$K140,),0))</f>
        <v>0</v>
      </c>
      <c s="125">
        <f>-S155*(1+IFERROR(INDEX(S$10:S$11,Предпосылки!$K140,),0))</f>
        <v>0</v>
      </c>
      <c s="125">
        <f>-T155*(1+IFERROR(INDEX(T$10:T$11,Предпосылки!$K140,),0))</f>
        <v>0</v>
      </c>
      <c s="125">
        <f>-U155*(1+IFERROR(INDEX(U$10:U$11,Предпосылки!$K140,),0))</f>
        <v>0</v>
      </c>
      <c s="125">
        <f>-V155*(1+IFERROR(INDEX(V$10:V$11,Предпосылки!$K140,),0))</f>
        <v>0</v>
      </c>
      <c s="125">
        <f>-W155*(1+IFERROR(INDEX(W$10:W$11,Предпосылки!$K140,),0))</f>
        <v>0</v>
      </c>
      <c s="125">
        <f>-X155*(1+IFERROR(INDEX(X$10:X$11,Предпосылки!$K140,),0))</f>
        <v>0</v>
      </c>
      <c s="125">
        <f>-Y155*(1+IFERROR(INDEX(Y$10:Y$11,Предпосылки!$K140,),0))</f>
        <v>0</v>
      </c>
      <c s="125">
        <f>-Z155*(1+IFERROR(INDEX(Z$10:Z$11,Предпосылки!$K140,),0))</f>
        <v>0</v>
      </c>
      <c s="125">
        <f>-AA155*(1+IFERROR(INDEX(AA$10:AA$11,Предпосылки!$K140,),0))</f>
        <v>0</v>
      </c>
      <c s="125">
        <f>-AB155*(1+IFERROR(INDEX(AB$10:AB$11,Предпосылки!$K140,),0))</f>
        <v>0</v>
      </c>
      <c s="125">
        <f>-AC155*(1+IFERROR(INDEX(AC$10:AC$11,Предпосылки!$K140,),0))</f>
        <v>0</v>
      </c>
      <c s="125">
        <f>-AD155*(1+IFERROR(INDEX(AD$10:AD$11,Предпосылки!$K140,),0))</f>
        <v>0</v>
      </c>
      <c s="125">
        <f>-AE155*(1+IFERROR(INDEX(AE$10:AE$11,Предпосылки!$K140,),0))</f>
        <v>0</v>
      </c>
      <c s="125">
        <f>-AF155*(1+IFERROR(INDEX(AF$10:AF$11,Предпосылки!$K140,),0))</f>
        <v>0</v>
      </c>
      <c s="125">
        <f>-AG155*(1+IFERROR(INDEX(AG$10:AG$11,Предпосылки!$K140,),0))</f>
        <v>0</v>
      </c>
      <c s="125">
        <f>-AH155*(1+IFERROR(INDEX(AH$10:AH$11,Предпосылки!$K140,),0))</f>
        <v>0</v>
      </c>
      <c s="125">
        <f>-AI155*(1+IFERROR(INDEX(AI$10:AI$11,Предпосылки!$K140,),0))</f>
        <v>0</v>
      </c>
      <c s="125">
        <f>-AJ155*(1+IFERROR(INDEX(AJ$10:AJ$11,Предпосылки!$K140,),0))</f>
        <v>0</v>
      </c>
      <c s="125">
        <f>-AK155*(1+IFERROR(INDEX(AK$10:AK$11,Предпосылки!$K140,),0))</f>
        <v>0</v>
      </c>
      <c s="125">
        <f>-AL155*(1+IFERROR(INDEX(AL$10:AL$11,Предпосылки!$K140,),0))</f>
        <v>0</v>
      </c>
      <c s="125">
        <f>-AM155*(1+IFERROR(INDEX(AM$10:AM$11,Предпосылки!$K140,),0))</f>
        <v>0</v>
      </c>
      <c s="125">
        <f>-AN155*(1+IFERROR(INDEX(AN$10:AN$11,Предпосылки!$K140,),0))</f>
        <v>0</v>
      </c>
      <c s="125">
        <f>-AO155*(1+IFERROR(INDEX(AO$10:AO$11,Предпосылки!$K140,),0))</f>
        <v>0</v>
      </c>
      <c s="125">
        <f>-AP155*(1+IFERROR(INDEX(AP$10:AP$11,Предпосылки!$K140,),0))</f>
        <v>0</v>
      </c>
      <c s="125">
        <f>-AQ155*(1+IFERROR(INDEX(AQ$10:AQ$11,Предпосылки!$K140,),0))</f>
        <v>0</v>
      </c>
      <c s="125">
        <f>-AR155*(1+IFERROR(INDEX(AR$10:AR$11,Предпосылки!$K140,),0))</f>
        <v>0</v>
      </c>
      <c s="125">
        <f>-AS155*(1+IFERROR(INDEX(AS$10:AS$11,Предпосылки!$K140,),0))</f>
        <v>0</v>
      </c>
      <c s="125">
        <f>-AT155*(1+IFERROR(INDEX(AT$10:AT$11,Предпосылки!$K140,),0))</f>
        <v>0</v>
      </c>
      <c s="125">
        <f>-AU155*(1+IFERROR(INDEX(AU$10:AU$11,Предпосылки!$K140,),0))</f>
        <v>0</v>
      </c>
      <c s="125">
        <f>-AV155*(1+IFERROR(INDEX(AV$10:AV$11,Предпосылки!$K140,),0))</f>
        <v>0</v>
      </c>
      <c s="125">
        <f>-AW155*(1+IFERROR(INDEX(AW$10:AW$11,Предпосылки!$K140,),0))</f>
        <v>0</v>
      </c>
      <c s="125">
        <f>-AX155*(1+IFERROR(INDEX(AX$10:AX$11,Предпосылки!$K140,),0))</f>
        <v>0</v>
      </c>
      <c s="125">
        <f>-AY155*(1+IFERROR(INDEX(AY$10:AY$11,Предпосылки!$K140,),0))</f>
        <v>0</v>
      </c>
      <c s="125">
        <f>-AZ155*(1+IFERROR(INDEX(AZ$10:AZ$11,Предпосылки!$K140,),0))</f>
        <v>0</v>
      </c>
      <c s="125">
        <f>-BA155*(1+IFERROR(INDEX(BA$10:BA$11,Предпосылки!$K140,),0))</f>
        <v>0</v>
      </c>
      <c s="125">
        <f>-BB155*(1+IFERROR(INDEX(BB$10:BB$11,Предпосылки!$K140,),0))</f>
        <v>0</v>
      </c>
      <c s="125">
        <f>-BC155*(1+IFERROR(INDEX(BC$10:BC$11,Предпосылки!$K140,),0))</f>
        <v>0</v>
      </c>
      <c s="125">
        <f>-BD155*(1+IFERROR(INDEX(BD$10:BD$11,Предпосылки!$K140,),0))</f>
        <v>0</v>
      </c>
      <c s="125">
        <f>-BE155*(1+IFERROR(INDEX(BE$10:BE$11,Предпосылки!$K140,),0))</f>
        <v>0</v>
      </c>
      <c s="125">
        <f>-BF155*(1+IFERROR(INDEX(BF$10:BF$11,Предпосылки!$K140,),0))</f>
        <v>0</v>
      </c>
      <c s="125">
        <f>-BG155*(1+IFERROR(INDEX(BG$10:BG$11,Предпосылки!$K140,),0))</f>
        <v>0</v>
      </c>
      <c s="125">
        <f>-BH155*(1+IFERROR(INDEX(BH$10:BH$11,Предпосылки!$K140,),0))</f>
        <v>0</v>
      </c>
      <c s="125">
        <f>-BI155*(1+IFERROR(INDEX(BI$10:BI$11,Предпосылки!$K140,),0))</f>
        <v>0</v>
      </c>
      <c s="125">
        <f>-BJ155*(1+IFERROR(INDEX(BJ$10:BJ$11,Предпосылки!$K140,),0))</f>
        <v>0</v>
      </c>
      <c s="125">
        <f>-BK155*(1+IFERROR(INDEX(BK$10:BK$11,Предпосылки!$K140,),0))</f>
        <v>0</v>
      </c>
      <c s="125">
        <f>-BL155*(1+IFERROR(INDEX(BL$10:BL$11,Предпосылки!$K140,),0))</f>
        <v>0</v>
      </c>
      <c s="125">
        <f>-BM155*(1+IFERROR(INDEX(BM$10:BM$11,Предпосылки!$K140,),0))</f>
        <v>0</v>
      </c>
    </row>
    <row r="204" spans="2:65" ht="15" customHeight="1">
      <c r="B204" s="12" t="str">
        <f t="shared" si="198"/>
        <v>Продукт 20</v>
      </c>
      <c s="124" t="str">
        <f t="shared" si="197"/>
        <v>тыс. руб.</v>
      </c>
      <c s="125"/>
      <c s="125">
        <f>-E156*(1+IFERROR(INDEX(E$10:E$11,Предпосылки!$K141,),0))</f>
        <v>0</v>
      </c>
      <c s="125">
        <f>-F156*(1+IFERROR(INDEX(F$10:F$11,Предпосылки!$K141,),0))</f>
        <v>0</v>
      </c>
      <c s="125">
        <f>-G156*(1+IFERROR(INDEX(G$10:G$11,Предпосылки!$K141,),0))</f>
        <v>0</v>
      </c>
      <c s="125">
        <f>-H156*(1+IFERROR(INDEX(H$10:H$11,Предпосылки!$K141,),0))</f>
        <v>0</v>
      </c>
      <c s="125">
        <f>-I156*(1+IFERROR(INDEX(I$10:I$11,Предпосылки!$K141,),0))</f>
        <v>0</v>
      </c>
      <c s="125">
        <f>-J156*(1+IFERROR(INDEX(J$10:J$11,Предпосылки!$K141,),0))</f>
        <v>0</v>
      </c>
      <c s="125">
        <f>-K156*(1+IFERROR(INDEX(K$10:K$11,Предпосылки!$K141,),0))</f>
        <v>0</v>
      </c>
      <c s="125">
        <f>-L156*(1+IFERROR(INDEX(L$10:L$11,Предпосылки!$K141,),0))</f>
        <v>0</v>
      </c>
      <c s="125">
        <f>-M156*(1+IFERROR(INDEX(M$10:M$11,Предпосылки!$K141,),0))</f>
        <v>0</v>
      </c>
      <c s="125">
        <f>-N156*(1+IFERROR(INDEX(N$10:N$11,Предпосылки!$K141,),0))</f>
        <v>0</v>
      </c>
      <c s="125">
        <f>-O156*(1+IFERROR(INDEX(O$10:O$11,Предпосылки!$K141,),0))</f>
        <v>0</v>
      </c>
      <c s="125">
        <f>-P156*(1+IFERROR(INDEX(P$10:P$11,Предпосылки!$K141,),0))</f>
        <v>0</v>
      </c>
      <c s="125">
        <f>-Q156*(1+IFERROR(INDEX(Q$10:Q$11,Предпосылки!$K141,),0))</f>
        <v>0</v>
      </c>
      <c s="125">
        <f>-R156*(1+IFERROR(INDEX(R$10:R$11,Предпосылки!$K141,),0))</f>
        <v>0</v>
      </c>
      <c s="125">
        <f>-S156*(1+IFERROR(INDEX(S$10:S$11,Предпосылки!$K141,),0))</f>
        <v>0</v>
      </c>
      <c s="125">
        <f>-T156*(1+IFERROR(INDEX(T$10:T$11,Предпосылки!$K141,),0))</f>
        <v>0</v>
      </c>
      <c s="125">
        <f>-U156*(1+IFERROR(INDEX(U$10:U$11,Предпосылки!$K141,),0))</f>
        <v>0</v>
      </c>
      <c s="125">
        <f>-V156*(1+IFERROR(INDEX(V$10:V$11,Предпосылки!$K141,),0))</f>
        <v>0</v>
      </c>
      <c s="125">
        <f>-W156*(1+IFERROR(INDEX(W$10:W$11,Предпосылки!$K141,),0))</f>
        <v>0</v>
      </c>
      <c s="125">
        <f>-X156*(1+IFERROR(INDEX(X$10:X$11,Предпосылки!$K141,),0))</f>
        <v>0</v>
      </c>
      <c s="125">
        <f>-Y156*(1+IFERROR(INDEX(Y$10:Y$11,Предпосылки!$K141,),0))</f>
        <v>0</v>
      </c>
      <c s="125">
        <f>-Z156*(1+IFERROR(INDEX(Z$10:Z$11,Предпосылки!$K141,),0))</f>
        <v>0</v>
      </c>
      <c s="125">
        <f>-AA156*(1+IFERROR(INDEX(AA$10:AA$11,Предпосылки!$K141,),0))</f>
        <v>0</v>
      </c>
      <c s="125">
        <f>-AB156*(1+IFERROR(INDEX(AB$10:AB$11,Предпосылки!$K141,),0))</f>
        <v>0</v>
      </c>
      <c s="125">
        <f>-AC156*(1+IFERROR(INDEX(AC$10:AC$11,Предпосылки!$K141,),0))</f>
        <v>0</v>
      </c>
      <c s="125">
        <f>-AD156*(1+IFERROR(INDEX(AD$10:AD$11,Предпосылки!$K141,),0))</f>
        <v>0</v>
      </c>
      <c s="125">
        <f>-AE156*(1+IFERROR(INDEX(AE$10:AE$11,Предпосылки!$K141,),0))</f>
        <v>0</v>
      </c>
      <c s="125">
        <f>-AF156*(1+IFERROR(INDEX(AF$10:AF$11,Предпосылки!$K141,),0))</f>
        <v>0</v>
      </c>
      <c s="125">
        <f>-AG156*(1+IFERROR(INDEX(AG$10:AG$11,Предпосылки!$K141,),0))</f>
        <v>0</v>
      </c>
      <c s="125">
        <f>-AH156*(1+IFERROR(INDEX(AH$10:AH$11,Предпосылки!$K141,),0))</f>
        <v>0</v>
      </c>
      <c s="125">
        <f>-AI156*(1+IFERROR(INDEX(AI$10:AI$11,Предпосылки!$K141,),0))</f>
        <v>0</v>
      </c>
      <c s="125">
        <f>-AJ156*(1+IFERROR(INDEX(AJ$10:AJ$11,Предпосылки!$K141,),0))</f>
        <v>0</v>
      </c>
      <c s="125">
        <f>-AK156*(1+IFERROR(INDEX(AK$10:AK$11,Предпосылки!$K141,),0))</f>
        <v>0</v>
      </c>
      <c s="125">
        <f>-AL156*(1+IFERROR(INDEX(AL$10:AL$11,Предпосылки!$K141,),0))</f>
        <v>0</v>
      </c>
      <c s="125">
        <f>-AM156*(1+IFERROR(INDEX(AM$10:AM$11,Предпосылки!$K141,),0))</f>
        <v>0</v>
      </c>
      <c s="125">
        <f>-AN156*(1+IFERROR(INDEX(AN$10:AN$11,Предпосылки!$K141,),0))</f>
        <v>0</v>
      </c>
      <c s="125">
        <f>-AO156*(1+IFERROR(INDEX(AO$10:AO$11,Предпосылки!$K141,),0))</f>
        <v>0</v>
      </c>
      <c s="125">
        <f>-AP156*(1+IFERROR(INDEX(AP$10:AP$11,Предпосылки!$K141,),0))</f>
        <v>0</v>
      </c>
      <c s="125">
        <f>-AQ156*(1+IFERROR(INDEX(AQ$10:AQ$11,Предпосылки!$K141,),0))</f>
        <v>0</v>
      </c>
      <c s="125">
        <f>-AR156*(1+IFERROR(INDEX(AR$10:AR$11,Предпосылки!$K141,),0))</f>
        <v>0</v>
      </c>
      <c s="125">
        <f>-AS156*(1+IFERROR(INDEX(AS$10:AS$11,Предпосылки!$K141,),0))</f>
        <v>0</v>
      </c>
      <c s="125">
        <f>-AT156*(1+IFERROR(INDEX(AT$10:AT$11,Предпосылки!$K141,),0))</f>
        <v>0</v>
      </c>
      <c s="125">
        <f>-AU156*(1+IFERROR(INDEX(AU$10:AU$11,Предпосылки!$K141,),0))</f>
        <v>0</v>
      </c>
      <c s="125">
        <f>-AV156*(1+IFERROR(INDEX(AV$10:AV$11,Предпосылки!$K141,),0))</f>
        <v>0</v>
      </c>
      <c s="125">
        <f>-AW156*(1+IFERROR(INDEX(AW$10:AW$11,Предпосылки!$K141,),0))</f>
        <v>0</v>
      </c>
      <c s="125">
        <f>-AX156*(1+IFERROR(INDEX(AX$10:AX$11,Предпосылки!$K141,),0))</f>
        <v>0</v>
      </c>
      <c s="125">
        <f>-AY156*(1+IFERROR(INDEX(AY$10:AY$11,Предпосылки!$K141,),0))</f>
        <v>0</v>
      </c>
      <c s="125">
        <f>-AZ156*(1+IFERROR(INDEX(AZ$10:AZ$11,Предпосылки!$K141,),0))</f>
        <v>0</v>
      </c>
      <c s="125">
        <f>-BA156*(1+IFERROR(INDEX(BA$10:BA$11,Предпосылки!$K141,),0))</f>
        <v>0</v>
      </c>
      <c s="125">
        <f>-BB156*(1+IFERROR(INDEX(BB$10:BB$11,Предпосылки!$K141,),0))</f>
        <v>0</v>
      </c>
      <c s="125">
        <f>-BC156*(1+IFERROR(INDEX(BC$10:BC$11,Предпосылки!$K141,),0))</f>
        <v>0</v>
      </c>
      <c s="125">
        <f>-BD156*(1+IFERROR(INDEX(BD$10:BD$11,Предпосылки!$K141,),0))</f>
        <v>0</v>
      </c>
      <c s="125">
        <f>-BE156*(1+IFERROR(INDEX(BE$10:BE$11,Предпосылки!$K141,),0))</f>
        <v>0</v>
      </c>
      <c s="125">
        <f>-BF156*(1+IFERROR(INDEX(BF$10:BF$11,Предпосылки!$K141,),0))</f>
        <v>0</v>
      </c>
      <c s="125">
        <f>-BG156*(1+IFERROR(INDEX(BG$10:BG$11,Предпосылки!$K141,),0))</f>
        <v>0</v>
      </c>
      <c s="125">
        <f>-BH156*(1+IFERROR(INDEX(BH$10:BH$11,Предпосылки!$K141,),0))</f>
        <v>0</v>
      </c>
      <c s="125">
        <f>-BI156*(1+IFERROR(INDEX(BI$10:BI$11,Предпосылки!$K141,),0))</f>
        <v>0</v>
      </c>
      <c s="125">
        <f>-BJ156*(1+IFERROR(INDEX(BJ$10:BJ$11,Предпосылки!$K141,),0))</f>
        <v>0</v>
      </c>
      <c s="125">
        <f>-BK156*(1+IFERROR(INDEX(BK$10:BK$11,Предпосылки!$K141,),0))</f>
        <v>0</v>
      </c>
      <c s="125">
        <f>-BL156*(1+IFERROR(INDEX(BL$10:BL$11,Предпосылки!$K141,),0))</f>
        <v>0</v>
      </c>
      <c s="125">
        <f>-BM156*(1+IFERROR(INDEX(BM$10:BM$11,Предпосылки!$K141,),0))</f>
        <v>0</v>
      </c>
    </row>
    <row r="205" spans="2:65" ht="15" customHeight="1">
      <c r="B205" s="289" t="s">
        <v>454</v>
      </c>
      <c s="290" t="str">
        <f t="shared" si="197"/>
        <v>тыс. руб.</v>
      </c>
      <c s="276"/>
      <c s="276">
        <f>SUM(E185:E204)</f>
        <v>0</v>
      </c>
      <c s="276">
        <f t="shared" si="199" ref="F205:AG205">SUM(F185:F204)</f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199"/>
        <v>0</v>
      </c>
      <c s="276">
        <f t="shared" si="200" ref="AH205:BM205">SUM(AH185:AH204)</f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  <c s="276">
        <f t="shared" si="200"/>
        <v>0</v>
      </c>
    </row>
    <row r="206" ht="15" customHeight="1"/>
    <row r="207" spans="2:71" ht="21">
      <c r="B207" s="23" t="s">
        <v>899</v>
      </c>
      <c r="D20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08" spans="2:2" ht="15" customHeight="1">
      <c r="B208" s="24" t="s">
        <v>827</v>
      </c>
    </row>
    <row r="209" spans="2:65" ht="15" customHeight="1">
      <c r="B209" s="12" t="str">
        <f>IF(ISBLANK(Предпосылки!B201),"-",Предпосылки!B201)</f>
        <v>Операционные затраты 1</v>
      </c>
      <c s="124" t="str">
        <f t="shared" si="201" ref="C209:C229">Единица_измерения</f>
        <v>тыс. руб.</v>
      </c>
      <c s="125"/>
      <c s="125">
        <f>IF(Предпосылки!$G201&gt;0,D278,E232*(Предпосылки!$G201/(E$8+1-E$7)))</f>
        <v>0</v>
      </c>
      <c s="125">
        <f>IF(Предпосылки!$G201&gt;0,E278,F232*(Предпосылки!$G201/(F$8+1-F$7)))</f>
        <v>0</v>
      </c>
      <c s="125">
        <f>IF(Предпосылки!$G201&gt;0,F278,G232*(Предпосылки!$G201/(G$8+1-G$7)))</f>
        <v>0</v>
      </c>
      <c s="125">
        <f>IF(Предпосылки!$G201&gt;0,G278,H232*(Предпосылки!$G201/(H$8+1-H$7)))</f>
        <v>0</v>
      </c>
      <c s="125">
        <f>IF(Предпосылки!$G201&gt;0,H278,I232*(Предпосылки!$G201/(I$8+1-I$7)))</f>
        <v>0</v>
      </c>
      <c s="125">
        <f>IF(Предпосылки!$G201&gt;0,I278,J232*(Предпосылки!$G201/(J$8+1-J$7)))</f>
        <v>0</v>
      </c>
      <c s="125">
        <f>IF(Предпосылки!$G201&gt;0,J278,K232*(Предпосылки!$G201/(K$8+1-K$7)))</f>
        <v>0</v>
      </c>
      <c s="125">
        <f>IF(Предпосылки!$G201&gt;0,K278,L232*(Предпосылки!$G201/(L$8+1-L$7)))</f>
        <v>0</v>
      </c>
      <c s="125">
        <f>IF(Предпосылки!$G201&gt;0,L278,M232*(Предпосылки!$G201/(M$8+1-M$7)))</f>
        <v>0</v>
      </c>
      <c s="125">
        <f>IF(Предпосылки!$G201&gt;0,M278,N232*(Предпосылки!$G201/(N$8+1-N$7)))</f>
        <v>0</v>
      </c>
      <c s="125">
        <f>IF(Предпосылки!$G201&gt;0,N278,O232*(Предпосылки!$G201/(O$8+1-O$7)))</f>
        <v>0</v>
      </c>
      <c s="125">
        <f>IF(Предпосылки!$G201&gt;0,O278,P232*(Предпосылки!$G201/(P$8+1-P$7)))</f>
        <v>0</v>
      </c>
      <c s="125">
        <f>IF(Предпосылки!$G201&gt;0,P278,Q232*(Предпосылки!$G201/(Q$8+1-Q$7)))</f>
        <v>0</v>
      </c>
      <c s="125">
        <f>IF(Предпосылки!$G201&gt;0,Q278,R232*(Предпосылки!$G201/(R$8+1-R$7)))</f>
        <v>0</v>
      </c>
      <c s="125">
        <f>IF(Предпосылки!$G201&gt;0,R278,S232*(Предпосылки!$G201/(S$8+1-S$7)))</f>
        <v>0</v>
      </c>
      <c s="125">
        <f>IF(Предпосылки!$G201&gt;0,S278,T232*(Предпосылки!$G201/(T$8+1-T$7)))</f>
        <v>0</v>
      </c>
      <c s="125">
        <f>IF(Предпосылки!$G201&gt;0,T278,U232*(Предпосылки!$G201/(U$8+1-U$7)))</f>
        <v>0</v>
      </c>
      <c s="125">
        <f>IF(Предпосылки!$G201&gt;0,U278,V232*(Предпосылки!$G201/(V$8+1-V$7)))</f>
        <v>0</v>
      </c>
      <c s="125">
        <f>IF(Предпосылки!$G201&gt;0,V278,W232*(Предпосылки!$G201/(W$8+1-W$7)))</f>
        <v>0</v>
      </c>
      <c s="125">
        <f>IF(Предпосылки!$G201&gt;0,W278,X232*(Предпосылки!$G201/(X$8+1-X$7)))</f>
        <v>0</v>
      </c>
      <c s="125">
        <f>IF(Предпосылки!$G201&gt;0,X278,Y232*(Предпосылки!$G201/(Y$8+1-Y$7)))</f>
        <v>0</v>
      </c>
      <c s="125">
        <f>IF(Предпосылки!$G201&gt;0,Y278,Z232*(Предпосылки!$G201/(Z$8+1-Z$7)))</f>
        <v>0</v>
      </c>
      <c s="125">
        <f>IF(Предпосылки!$G201&gt;0,Z278,AA232*(Предпосылки!$G201/(AA$8+1-AA$7)))</f>
        <v>0</v>
      </c>
      <c s="125">
        <f>IF(Предпосылки!$G201&gt;0,AA278,AB232*(Предпосылки!$G201/(AB$8+1-AB$7)))</f>
        <v>0</v>
      </c>
      <c s="125">
        <f>IF(Предпосылки!$G201&gt;0,AB278,AC232*(Предпосылки!$G201/(AC$8+1-AC$7)))</f>
        <v>0</v>
      </c>
      <c s="125">
        <f>IF(Предпосылки!$G201&gt;0,AC278,AD232*(Предпосылки!$G201/(AD$8+1-AD$7)))</f>
        <v>0</v>
      </c>
      <c s="125">
        <f>IF(Предпосылки!$G201&gt;0,AD278,AE232*(Предпосылки!$G201/(AE$8+1-AE$7)))</f>
        <v>0</v>
      </c>
      <c s="125">
        <f>IF(Предпосылки!$G201&gt;0,AE278,AF232*(Предпосылки!$G201/(AF$8+1-AF$7)))</f>
        <v>0</v>
      </c>
      <c s="125">
        <f>IF(Предпосылки!$G201&gt;0,AF278,AG232*(Предпосылки!$G201/(AG$8+1-AG$7)))</f>
        <v>0</v>
      </c>
      <c s="125">
        <f>IF(Предпосылки!$G201&gt;0,AG278,AH232*(Предпосылки!$G201/(AH$8+1-AH$7)))</f>
        <v>0</v>
      </c>
      <c s="125">
        <f>IF(Предпосылки!$G201&gt;0,AH278,AI232*(Предпосылки!$G201/(AI$8+1-AI$7)))</f>
        <v>0</v>
      </c>
      <c s="125">
        <f>IF(Предпосылки!$G201&gt;0,AI278,AJ232*(Предпосылки!$G201/(AJ$8+1-AJ$7)))</f>
        <v>0</v>
      </c>
      <c s="125">
        <f>IF(Предпосылки!$G201&gt;0,AJ278,AK232*(Предпосылки!$G201/(AK$8+1-AK$7)))</f>
        <v>0</v>
      </c>
      <c s="125">
        <f>IF(Предпосылки!$G201&gt;0,AK278,AL232*(Предпосылки!$G201/(AL$8+1-AL$7)))</f>
        <v>0</v>
      </c>
      <c s="125">
        <f>IF(Предпосылки!$G201&gt;0,AL278,AM232*(Предпосылки!$G201/(AM$8+1-AM$7)))</f>
        <v>0</v>
      </c>
      <c s="125">
        <f>IF(Предпосылки!$G201&gt;0,AM278,AN232*(Предпосылки!$G201/(AN$8+1-AN$7)))</f>
        <v>0</v>
      </c>
      <c s="125">
        <f>IF(Предпосылки!$G201&gt;0,AN278,AO232*(Предпосылки!$G201/(AO$8+1-AO$7)))</f>
        <v>0</v>
      </c>
      <c s="125">
        <f>IF(Предпосылки!$G201&gt;0,AO278,AP232*(Предпосылки!$G201/(AP$8+1-AP$7)))</f>
        <v>0</v>
      </c>
      <c s="125">
        <f>IF(Предпосылки!$G201&gt;0,AP278,AQ232*(Предпосылки!$G201/(AQ$8+1-AQ$7)))</f>
        <v>0</v>
      </c>
      <c s="125">
        <f>IF(Предпосылки!$G201&gt;0,AQ278,AR232*(Предпосылки!$G201/(AR$8+1-AR$7)))</f>
        <v>0</v>
      </c>
      <c s="125">
        <f>IF(Предпосылки!$G201&gt;0,AR278,AS232*(Предпосылки!$G201/(AS$8+1-AS$7)))</f>
        <v>0</v>
      </c>
      <c s="125">
        <f>IF(Предпосылки!$G201&gt;0,AS278,AT232*(Предпосылки!$G201/(AT$8+1-AT$7)))</f>
        <v>0</v>
      </c>
      <c s="125">
        <f>IF(Предпосылки!$G201&gt;0,AT278,AU232*(Предпосылки!$G201/(AU$8+1-AU$7)))</f>
        <v>0</v>
      </c>
      <c s="125">
        <f>IF(Предпосылки!$G201&gt;0,AU278,AV232*(Предпосылки!$G201/(AV$8+1-AV$7)))</f>
        <v>0</v>
      </c>
      <c s="125">
        <f>IF(Предпосылки!$G201&gt;0,AV278,AW232*(Предпосылки!$G201/(AW$8+1-AW$7)))</f>
        <v>0</v>
      </c>
      <c s="125">
        <f>IF(Предпосылки!$G201&gt;0,AW278,AX232*(Предпосылки!$G201/(AX$8+1-AX$7)))</f>
        <v>0</v>
      </c>
      <c s="125">
        <f>IF(Предпосылки!$G201&gt;0,AX278,AY232*(Предпосылки!$G201/(AY$8+1-AY$7)))</f>
        <v>0</v>
      </c>
      <c s="125">
        <f>IF(Предпосылки!$G201&gt;0,AY278,AZ232*(Предпосылки!$G201/(AZ$8+1-AZ$7)))</f>
        <v>0</v>
      </c>
      <c s="125">
        <f>IF(Предпосылки!$G201&gt;0,AZ278,BA232*(Предпосылки!$G201/(BA$8+1-BA$7)))</f>
        <v>0</v>
      </c>
      <c s="125">
        <f>IF(Предпосылки!$G201&gt;0,BA278,BB232*(Предпосылки!$G201/(BB$8+1-BB$7)))</f>
        <v>0</v>
      </c>
      <c s="125">
        <f>IF(Предпосылки!$G201&gt;0,BB278,BC232*(Предпосылки!$G201/(BC$8+1-BC$7)))</f>
        <v>0</v>
      </c>
      <c s="125">
        <f>IF(Предпосылки!$G201&gt;0,BC278,BD232*(Предпосылки!$G201/(BD$8+1-BD$7)))</f>
        <v>0</v>
      </c>
      <c s="125">
        <f>IF(Предпосылки!$G201&gt;0,BD278,BE232*(Предпосылки!$G201/(BE$8+1-BE$7)))</f>
        <v>0</v>
      </c>
      <c s="125">
        <f>IF(Предпосылки!$G201&gt;0,BE278,BF232*(Предпосылки!$G201/(BF$8+1-BF$7)))</f>
        <v>0</v>
      </c>
      <c s="125">
        <f>IF(Предпосылки!$G201&gt;0,BF278,BG232*(Предпосылки!$G201/(BG$8+1-BG$7)))</f>
        <v>0</v>
      </c>
      <c s="125">
        <f>IF(Предпосылки!$G201&gt;0,BG278,BH232*(Предпосылки!$G201/(BH$8+1-BH$7)))</f>
        <v>0</v>
      </c>
      <c s="125">
        <f>IF(Предпосылки!$G201&gt;0,BH278,BI232*(Предпосылки!$G201/(BI$8+1-BI$7)))</f>
        <v>0</v>
      </c>
      <c s="125">
        <f>IF(Предпосылки!$G201&gt;0,BI278,BJ232*(Предпосылки!$G201/(BJ$8+1-BJ$7)))</f>
        <v>0</v>
      </c>
      <c s="125">
        <f>IF(Предпосылки!$G201&gt;0,BJ278,BK232*(Предпосылки!$G201/(BK$8+1-BK$7)))</f>
        <v>0</v>
      </c>
      <c s="125">
        <f>IF(Предпосылки!$G201&gt;0,BK278,BL232*(Предпосылки!$G201/(BL$8+1-BL$7)))</f>
        <v>0</v>
      </c>
      <c s="125">
        <f>IF(Предпосылки!$G201&gt;0,BL278,BM232*(Предпосылки!$G201/(BM$8+1-BM$7)))</f>
        <v>0</v>
      </c>
    </row>
    <row r="210" spans="2:65" ht="15" customHeight="1">
      <c r="B210" s="12" t="str">
        <f>IF(ISBLANK(Предпосылки!B202),"-",Предпосылки!B202)</f>
        <v>Операционные затраты 2</v>
      </c>
      <c s="124" t="str">
        <f t="shared" si="201"/>
        <v>тыс. руб.</v>
      </c>
      <c s="125"/>
      <c s="125">
        <f>IF(Предпосылки!$G202&gt;0,D279,E233*(Предпосылки!$G202/(E$8+1-E$7)))</f>
        <v>0</v>
      </c>
      <c s="125">
        <f>IF(Предпосылки!$G202&gt;0,E279,F233*(Предпосылки!$G202/(F$8+1-F$7)))</f>
        <v>0</v>
      </c>
      <c s="125">
        <f>IF(Предпосылки!$G202&gt;0,F279,G233*(Предпосылки!$G202/(G$8+1-G$7)))</f>
        <v>0</v>
      </c>
      <c s="125">
        <f>IF(Предпосылки!$G202&gt;0,G279,H233*(Предпосылки!$G202/(H$8+1-H$7)))</f>
        <v>0</v>
      </c>
      <c s="125">
        <f>IF(Предпосылки!$G202&gt;0,H279,I233*(Предпосылки!$G202/(I$8+1-I$7)))</f>
        <v>0</v>
      </c>
      <c s="125">
        <f>IF(Предпосылки!$G202&gt;0,I279,J233*(Предпосылки!$G202/(J$8+1-J$7)))</f>
        <v>0</v>
      </c>
      <c s="125">
        <f>IF(Предпосылки!$G202&gt;0,J279,K233*(Предпосылки!$G202/(K$8+1-K$7)))</f>
        <v>0</v>
      </c>
      <c s="125">
        <f>IF(Предпосылки!$G202&gt;0,K279,L233*(Предпосылки!$G202/(L$8+1-L$7)))</f>
        <v>0</v>
      </c>
      <c s="125">
        <f>IF(Предпосылки!$G202&gt;0,L279,M233*(Предпосылки!$G202/(M$8+1-M$7)))</f>
        <v>0</v>
      </c>
      <c s="125">
        <f>IF(Предпосылки!$G202&gt;0,M279,N233*(Предпосылки!$G202/(N$8+1-N$7)))</f>
        <v>0</v>
      </c>
      <c s="125">
        <f>IF(Предпосылки!$G202&gt;0,N279,O233*(Предпосылки!$G202/(O$8+1-O$7)))</f>
        <v>0</v>
      </c>
      <c s="125">
        <f>IF(Предпосылки!$G202&gt;0,O279,P233*(Предпосылки!$G202/(P$8+1-P$7)))</f>
        <v>0</v>
      </c>
      <c s="125">
        <f>IF(Предпосылки!$G202&gt;0,P279,Q233*(Предпосылки!$G202/(Q$8+1-Q$7)))</f>
        <v>0</v>
      </c>
      <c s="125">
        <f>IF(Предпосылки!$G202&gt;0,Q279,R233*(Предпосылки!$G202/(R$8+1-R$7)))</f>
        <v>0</v>
      </c>
      <c s="125">
        <f>IF(Предпосылки!$G202&gt;0,R279,S233*(Предпосылки!$G202/(S$8+1-S$7)))</f>
        <v>0</v>
      </c>
      <c s="125">
        <f>IF(Предпосылки!$G202&gt;0,S279,T233*(Предпосылки!$G202/(T$8+1-T$7)))</f>
        <v>0</v>
      </c>
      <c s="125">
        <f>IF(Предпосылки!$G202&gt;0,T279,U233*(Предпосылки!$G202/(U$8+1-U$7)))</f>
        <v>0</v>
      </c>
      <c s="125">
        <f>IF(Предпосылки!$G202&gt;0,U279,V233*(Предпосылки!$G202/(V$8+1-V$7)))</f>
        <v>0</v>
      </c>
      <c s="125">
        <f>IF(Предпосылки!$G202&gt;0,V279,W233*(Предпосылки!$G202/(W$8+1-W$7)))</f>
        <v>0</v>
      </c>
      <c s="125">
        <f>IF(Предпосылки!$G202&gt;0,W279,X233*(Предпосылки!$G202/(X$8+1-X$7)))</f>
        <v>0</v>
      </c>
      <c s="125">
        <f>IF(Предпосылки!$G202&gt;0,X279,Y233*(Предпосылки!$G202/(Y$8+1-Y$7)))</f>
        <v>0</v>
      </c>
      <c s="125">
        <f>IF(Предпосылки!$G202&gt;0,Y279,Z233*(Предпосылки!$G202/(Z$8+1-Z$7)))</f>
        <v>0</v>
      </c>
      <c s="125">
        <f>IF(Предпосылки!$G202&gt;0,Z279,AA233*(Предпосылки!$G202/(AA$8+1-AA$7)))</f>
        <v>0</v>
      </c>
      <c s="125">
        <f>IF(Предпосылки!$G202&gt;0,AA279,AB233*(Предпосылки!$G202/(AB$8+1-AB$7)))</f>
        <v>0</v>
      </c>
      <c s="125">
        <f>IF(Предпосылки!$G202&gt;0,AB279,AC233*(Предпосылки!$G202/(AC$8+1-AC$7)))</f>
        <v>0</v>
      </c>
      <c s="125">
        <f>IF(Предпосылки!$G202&gt;0,AC279,AD233*(Предпосылки!$G202/(AD$8+1-AD$7)))</f>
        <v>0</v>
      </c>
      <c s="125">
        <f>IF(Предпосылки!$G202&gt;0,AD279,AE233*(Предпосылки!$G202/(AE$8+1-AE$7)))</f>
        <v>0</v>
      </c>
      <c s="125">
        <f>IF(Предпосылки!$G202&gt;0,AE279,AF233*(Предпосылки!$G202/(AF$8+1-AF$7)))</f>
        <v>0</v>
      </c>
      <c s="125">
        <f>IF(Предпосылки!$G202&gt;0,AF279,AG233*(Предпосылки!$G202/(AG$8+1-AG$7)))</f>
        <v>0</v>
      </c>
      <c s="125">
        <f>IF(Предпосылки!$G202&gt;0,AG279,AH233*(Предпосылки!$G202/(AH$8+1-AH$7)))</f>
        <v>0</v>
      </c>
      <c s="125">
        <f>IF(Предпосылки!$G202&gt;0,AH279,AI233*(Предпосылки!$G202/(AI$8+1-AI$7)))</f>
        <v>0</v>
      </c>
      <c s="125">
        <f>IF(Предпосылки!$G202&gt;0,AI279,AJ233*(Предпосылки!$G202/(AJ$8+1-AJ$7)))</f>
        <v>0</v>
      </c>
      <c s="125">
        <f>IF(Предпосылки!$G202&gt;0,AJ279,AK233*(Предпосылки!$G202/(AK$8+1-AK$7)))</f>
        <v>0</v>
      </c>
      <c s="125">
        <f>IF(Предпосылки!$G202&gt;0,AK279,AL233*(Предпосылки!$G202/(AL$8+1-AL$7)))</f>
        <v>0</v>
      </c>
      <c s="125">
        <f>IF(Предпосылки!$G202&gt;0,AL279,AM233*(Предпосылки!$G202/(AM$8+1-AM$7)))</f>
        <v>0</v>
      </c>
      <c s="125">
        <f>IF(Предпосылки!$G202&gt;0,AM279,AN233*(Предпосылки!$G202/(AN$8+1-AN$7)))</f>
        <v>0</v>
      </c>
      <c s="125">
        <f>IF(Предпосылки!$G202&gt;0,AN279,AO233*(Предпосылки!$G202/(AO$8+1-AO$7)))</f>
        <v>0</v>
      </c>
      <c s="125">
        <f>IF(Предпосылки!$G202&gt;0,AO279,AP233*(Предпосылки!$G202/(AP$8+1-AP$7)))</f>
        <v>0</v>
      </c>
      <c s="125">
        <f>IF(Предпосылки!$G202&gt;0,AP279,AQ233*(Предпосылки!$G202/(AQ$8+1-AQ$7)))</f>
        <v>0</v>
      </c>
      <c s="125">
        <f>IF(Предпосылки!$G202&gt;0,AQ279,AR233*(Предпосылки!$G202/(AR$8+1-AR$7)))</f>
        <v>0</v>
      </c>
      <c s="125">
        <f>IF(Предпосылки!$G202&gt;0,AR279,AS233*(Предпосылки!$G202/(AS$8+1-AS$7)))</f>
        <v>0</v>
      </c>
      <c s="125">
        <f>IF(Предпосылки!$G202&gt;0,AS279,AT233*(Предпосылки!$G202/(AT$8+1-AT$7)))</f>
        <v>0</v>
      </c>
      <c s="125">
        <f>IF(Предпосылки!$G202&gt;0,AT279,AU233*(Предпосылки!$G202/(AU$8+1-AU$7)))</f>
        <v>0</v>
      </c>
      <c s="125">
        <f>IF(Предпосылки!$G202&gt;0,AU279,AV233*(Предпосылки!$G202/(AV$8+1-AV$7)))</f>
        <v>0</v>
      </c>
      <c s="125">
        <f>IF(Предпосылки!$G202&gt;0,AV279,AW233*(Предпосылки!$G202/(AW$8+1-AW$7)))</f>
        <v>0</v>
      </c>
      <c s="125">
        <f>IF(Предпосылки!$G202&gt;0,AW279,AX233*(Предпосылки!$G202/(AX$8+1-AX$7)))</f>
        <v>0</v>
      </c>
      <c s="125">
        <f>IF(Предпосылки!$G202&gt;0,AX279,AY233*(Предпосылки!$G202/(AY$8+1-AY$7)))</f>
        <v>0</v>
      </c>
      <c s="125">
        <f>IF(Предпосылки!$G202&gt;0,AY279,AZ233*(Предпосылки!$G202/(AZ$8+1-AZ$7)))</f>
        <v>0</v>
      </c>
      <c s="125">
        <f>IF(Предпосылки!$G202&gt;0,AZ279,BA233*(Предпосылки!$G202/(BA$8+1-BA$7)))</f>
        <v>0</v>
      </c>
      <c s="125">
        <f>IF(Предпосылки!$G202&gt;0,BA279,BB233*(Предпосылки!$G202/(BB$8+1-BB$7)))</f>
        <v>0</v>
      </c>
      <c s="125">
        <f>IF(Предпосылки!$G202&gt;0,BB279,BC233*(Предпосылки!$G202/(BC$8+1-BC$7)))</f>
        <v>0</v>
      </c>
      <c s="125">
        <f>IF(Предпосылки!$G202&gt;0,BC279,BD233*(Предпосылки!$G202/(BD$8+1-BD$7)))</f>
        <v>0</v>
      </c>
      <c s="125">
        <f>IF(Предпосылки!$G202&gt;0,BD279,BE233*(Предпосылки!$G202/(BE$8+1-BE$7)))</f>
        <v>0</v>
      </c>
      <c s="125">
        <f>IF(Предпосылки!$G202&gt;0,BE279,BF233*(Предпосылки!$G202/(BF$8+1-BF$7)))</f>
        <v>0</v>
      </c>
      <c s="125">
        <f>IF(Предпосылки!$G202&gt;0,BF279,BG233*(Предпосылки!$G202/(BG$8+1-BG$7)))</f>
        <v>0</v>
      </c>
      <c s="125">
        <f>IF(Предпосылки!$G202&gt;0,BG279,BH233*(Предпосылки!$G202/(BH$8+1-BH$7)))</f>
        <v>0</v>
      </c>
      <c s="125">
        <f>IF(Предпосылки!$G202&gt;0,BH279,BI233*(Предпосылки!$G202/(BI$8+1-BI$7)))</f>
        <v>0</v>
      </c>
      <c s="125">
        <f>IF(Предпосылки!$G202&gt;0,BI279,BJ233*(Предпосылки!$G202/(BJ$8+1-BJ$7)))</f>
        <v>0</v>
      </c>
      <c s="125">
        <f>IF(Предпосылки!$G202&gt;0,BJ279,BK233*(Предпосылки!$G202/(BK$8+1-BK$7)))</f>
        <v>0</v>
      </c>
      <c s="125">
        <f>IF(Предпосылки!$G202&gt;0,BK279,BL233*(Предпосылки!$G202/(BL$8+1-BL$7)))</f>
        <v>0</v>
      </c>
      <c s="125">
        <f>IF(Предпосылки!$G202&gt;0,BL279,BM233*(Предпосылки!$G202/(BM$8+1-BM$7)))</f>
        <v>0</v>
      </c>
    </row>
    <row r="211" spans="2:65" ht="15" customHeight="1">
      <c r="B211" s="12" t="str">
        <f>IF(ISBLANK(Предпосылки!B203),"-",Предпосылки!B203)</f>
        <v>Операционные затраты 3</v>
      </c>
      <c s="124" t="str">
        <f t="shared" si="201"/>
        <v>тыс. руб.</v>
      </c>
      <c s="125"/>
      <c s="125">
        <f>IF(Предпосылки!$G203&gt;0,D280,E234*(Предпосылки!$G203/(E$8+1-E$7)))</f>
        <v>0</v>
      </c>
      <c s="125">
        <f>IF(Предпосылки!$G203&gt;0,E280,F234*(Предпосылки!$G203/(F$8+1-F$7)))</f>
        <v>0</v>
      </c>
      <c s="125">
        <f>IF(Предпосылки!$G203&gt;0,F280,G234*(Предпосылки!$G203/(G$8+1-G$7)))</f>
        <v>0</v>
      </c>
      <c s="125">
        <f>IF(Предпосылки!$G203&gt;0,G280,H234*(Предпосылки!$G203/(H$8+1-H$7)))</f>
        <v>0</v>
      </c>
      <c s="125">
        <f>IF(Предпосылки!$G203&gt;0,H280,I234*(Предпосылки!$G203/(I$8+1-I$7)))</f>
        <v>0</v>
      </c>
      <c s="125">
        <f>IF(Предпосылки!$G203&gt;0,I280,J234*(Предпосылки!$G203/(J$8+1-J$7)))</f>
        <v>0</v>
      </c>
      <c s="125">
        <f>IF(Предпосылки!$G203&gt;0,J280,K234*(Предпосылки!$G203/(K$8+1-K$7)))</f>
        <v>0</v>
      </c>
      <c s="125">
        <f>IF(Предпосылки!$G203&gt;0,K280,L234*(Предпосылки!$G203/(L$8+1-L$7)))</f>
        <v>0</v>
      </c>
      <c s="125">
        <f>IF(Предпосылки!$G203&gt;0,L280,M234*(Предпосылки!$G203/(M$8+1-M$7)))</f>
        <v>0</v>
      </c>
      <c s="125">
        <f>IF(Предпосылки!$G203&gt;0,M280,N234*(Предпосылки!$G203/(N$8+1-N$7)))</f>
        <v>0</v>
      </c>
      <c s="125">
        <f>IF(Предпосылки!$G203&gt;0,N280,O234*(Предпосылки!$G203/(O$8+1-O$7)))</f>
        <v>0</v>
      </c>
      <c s="125">
        <f>IF(Предпосылки!$G203&gt;0,O280,P234*(Предпосылки!$G203/(P$8+1-P$7)))</f>
        <v>0</v>
      </c>
      <c s="125">
        <f>IF(Предпосылки!$G203&gt;0,P280,Q234*(Предпосылки!$G203/(Q$8+1-Q$7)))</f>
        <v>0</v>
      </c>
      <c s="125">
        <f>IF(Предпосылки!$G203&gt;0,Q280,R234*(Предпосылки!$G203/(R$8+1-R$7)))</f>
        <v>0</v>
      </c>
      <c s="125">
        <f>IF(Предпосылки!$G203&gt;0,R280,S234*(Предпосылки!$G203/(S$8+1-S$7)))</f>
        <v>0</v>
      </c>
      <c s="125">
        <f>IF(Предпосылки!$G203&gt;0,S280,T234*(Предпосылки!$G203/(T$8+1-T$7)))</f>
        <v>0</v>
      </c>
      <c s="125">
        <f>IF(Предпосылки!$G203&gt;0,T280,U234*(Предпосылки!$G203/(U$8+1-U$7)))</f>
        <v>0</v>
      </c>
      <c s="125">
        <f>IF(Предпосылки!$G203&gt;0,U280,V234*(Предпосылки!$G203/(V$8+1-V$7)))</f>
        <v>0</v>
      </c>
      <c s="125">
        <f>IF(Предпосылки!$G203&gt;0,V280,W234*(Предпосылки!$G203/(W$8+1-W$7)))</f>
        <v>0</v>
      </c>
      <c s="125">
        <f>IF(Предпосылки!$G203&gt;0,W280,X234*(Предпосылки!$G203/(X$8+1-X$7)))</f>
        <v>0</v>
      </c>
      <c s="125">
        <f>IF(Предпосылки!$G203&gt;0,X280,Y234*(Предпосылки!$G203/(Y$8+1-Y$7)))</f>
        <v>0</v>
      </c>
      <c s="125">
        <f>IF(Предпосылки!$G203&gt;0,Y280,Z234*(Предпосылки!$G203/(Z$8+1-Z$7)))</f>
        <v>0</v>
      </c>
      <c s="125">
        <f>IF(Предпосылки!$G203&gt;0,Z280,AA234*(Предпосылки!$G203/(AA$8+1-AA$7)))</f>
        <v>0</v>
      </c>
      <c s="125">
        <f>IF(Предпосылки!$G203&gt;0,AA280,AB234*(Предпосылки!$G203/(AB$8+1-AB$7)))</f>
        <v>0</v>
      </c>
      <c s="125">
        <f>IF(Предпосылки!$G203&gt;0,AB280,AC234*(Предпосылки!$G203/(AC$8+1-AC$7)))</f>
        <v>0</v>
      </c>
      <c s="125">
        <f>IF(Предпосылки!$G203&gt;0,AC280,AD234*(Предпосылки!$G203/(AD$8+1-AD$7)))</f>
        <v>0</v>
      </c>
      <c s="125">
        <f>IF(Предпосылки!$G203&gt;0,AD280,AE234*(Предпосылки!$G203/(AE$8+1-AE$7)))</f>
        <v>0</v>
      </c>
      <c s="125">
        <f>IF(Предпосылки!$G203&gt;0,AE280,AF234*(Предпосылки!$G203/(AF$8+1-AF$7)))</f>
        <v>0</v>
      </c>
      <c s="125">
        <f>IF(Предпосылки!$G203&gt;0,AF280,AG234*(Предпосылки!$G203/(AG$8+1-AG$7)))</f>
        <v>0</v>
      </c>
      <c s="125">
        <f>IF(Предпосылки!$G203&gt;0,AG280,AH234*(Предпосылки!$G203/(AH$8+1-AH$7)))</f>
        <v>0</v>
      </c>
      <c s="125">
        <f>IF(Предпосылки!$G203&gt;0,AH280,AI234*(Предпосылки!$G203/(AI$8+1-AI$7)))</f>
        <v>0</v>
      </c>
      <c s="125">
        <f>IF(Предпосылки!$G203&gt;0,AI280,AJ234*(Предпосылки!$G203/(AJ$8+1-AJ$7)))</f>
        <v>0</v>
      </c>
      <c s="125">
        <f>IF(Предпосылки!$G203&gt;0,AJ280,AK234*(Предпосылки!$G203/(AK$8+1-AK$7)))</f>
        <v>0</v>
      </c>
      <c s="125">
        <f>IF(Предпосылки!$G203&gt;0,AK280,AL234*(Предпосылки!$G203/(AL$8+1-AL$7)))</f>
        <v>0</v>
      </c>
      <c s="125">
        <f>IF(Предпосылки!$G203&gt;0,AL280,AM234*(Предпосылки!$G203/(AM$8+1-AM$7)))</f>
        <v>0</v>
      </c>
      <c s="125">
        <f>IF(Предпосылки!$G203&gt;0,AM280,AN234*(Предпосылки!$G203/(AN$8+1-AN$7)))</f>
        <v>0</v>
      </c>
      <c s="125">
        <f>IF(Предпосылки!$G203&gt;0,AN280,AO234*(Предпосылки!$G203/(AO$8+1-AO$7)))</f>
        <v>0</v>
      </c>
      <c s="125">
        <f>IF(Предпосылки!$G203&gt;0,AO280,AP234*(Предпосылки!$G203/(AP$8+1-AP$7)))</f>
        <v>0</v>
      </c>
      <c s="125">
        <f>IF(Предпосылки!$G203&gt;0,AP280,AQ234*(Предпосылки!$G203/(AQ$8+1-AQ$7)))</f>
        <v>0</v>
      </c>
      <c s="125">
        <f>IF(Предпосылки!$G203&gt;0,AQ280,AR234*(Предпосылки!$G203/(AR$8+1-AR$7)))</f>
        <v>0</v>
      </c>
      <c s="125">
        <f>IF(Предпосылки!$G203&gt;0,AR280,AS234*(Предпосылки!$G203/(AS$8+1-AS$7)))</f>
        <v>0</v>
      </c>
      <c s="125">
        <f>IF(Предпосылки!$G203&gt;0,AS280,AT234*(Предпосылки!$G203/(AT$8+1-AT$7)))</f>
        <v>0</v>
      </c>
      <c s="125">
        <f>IF(Предпосылки!$G203&gt;0,AT280,AU234*(Предпосылки!$G203/(AU$8+1-AU$7)))</f>
        <v>0</v>
      </c>
      <c s="125">
        <f>IF(Предпосылки!$G203&gt;0,AU280,AV234*(Предпосылки!$G203/(AV$8+1-AV$7)))</f>
        <v>0</v>
      </c>
      <c s="125">
        <f>IF(Предпосылки!$G203&gt;0,AV280,AW234*(Предпосылки!$G203/(AW$8+1-AW$7)))</f>
        <v>0</v>
      </c>
      <c s="125">
        <f>IF(Предпосылки!$G203&gt;0,AW280,AX234*(Предпосылки!$G203/(AX$8+1-AX$7)))</f>
        <v>0</v>
      </c>
      <c s="125">
        <f>IF(Предпосылки!$G203&gt;0,AX280,AY234*(Предпосылки!$G203/(AY$8+1-AY$7)))</f>
        <v>0</v>
      </c>
      <c s="125">
        <f>IF(Предпосылки!$G203&gt;0,AY280,AZ234*(Предпосылки!$G203/(AZ$8+1-AZ$7)))</f>
        <v>0</v>
      </c>
      <c s="125">
        <f>IF(Предпосылки!$G203&gt;0,AZ280,BA234*(Предпосылки!$G203/(BA$8+1-BA$7)))</f>
        <v>0</v>
      </c>
      <c s="125">
        <f>IF(Предпосылки!$G203&gt;0,BA280,BB234*(Предпосылки!$G203/(BB$8+1-BB$7)))</f>
        <v>0</v>
      </c>
      <c s="125">
        <f>IF(Предпосылки!$G203&gt;0,BB280,BC234*(Предпосылки!$G203/(BC$8+1-BC$7)))</f>
        <v>0</v>
      </c>
      <c s="125">
        <f>IF(Предпосылки!$G203&gt;0,BC280,BD234*(Предпосылки!$G203/(BD$8+1-BD$7)))</f>
        <v>0</v>
      </c>
      <c s="125">
        <f>IF(Предпосылки!$G203&gt;0,BD280,BE234*(Предпосылки!$G203/(BE$8+1-BE$7)))</f>
        <v>0</v>
      </c>
      <c s="125">
        <f>IF(Предпосылки!$G203&gt;0,BE280,BF234*(Предпосылки!$G203/(BF$8+1-BF$7)))</f>
        <v>0</v>
      </c>
      <c s="125">
        <f>IF(Предпосылки!$G203&gt;0,BF280,BG234*(Предпосылки!$G203/(BG$8+1-BG$7)))</f>
        <v>0</v>
      </c>
      <c s="125">
        <f>IF(Предпосылки!$G203&gt;0,BG280,BH234*(Предпосылки!$G203/(BH$8+1-BH$7)))</f>
        <v>0</v>
      </c>
      <c s="125">
        <f>IF(Предпосылки!$G203&gt;0,BH280,BI234*(Предпосылки!$G203/(BI$8+1-BI$7)))</f>
        <v>0</v>
      </c>
      <c s="125">
        <f>IF(Предпосылки!$G203&gt;0,BI280,BJ234*(Предпосылки!$G203/(BJ$8+1-BJ$7)))</f>
        <v>0</v>
      </c>
      <c s="125">
        <f>IF(Предпосылки!$G203&gt;0,BJ280,BK234*(Предпосылки!$G203/(BK$8+1-BK$7)))</f>
        <v>0</v>
      </c>
      <c s="125">
        <f>IF(Предпосылки!$G203&gt;0,BK280,BL234*(Предпосылки!$G203/(BL$8+1-BL$7)))</f>
        <v>0</v>
      </c>
      <c s="125">
        <f>IF(Предпосылки!$G203&gt;0,BL280,BM234*(Предпосылки!$G203/(BM$8+1-BM$7)))</f>
        <v>0</v>
      </c>
    </row>
    <row r="212" spans="2:65" ht="15" customHeight="1">
      <c r="B212" s="12" t="str">
        <f>IF(ISBLANK(Предпосылки!B204),"-",Предпосылки!B204)</f>
        <v>Операционные затраты 4</v>
      </c>
      <c s="124" t="str">
        <f t="shared" si="201"/>
        <v>тыс. руб.</v>
      </c>
      <c s="125"/>
      <c s="125">
        <f>IF(Предпосылки!$G204&gt;0,D281,E235*(Предпосылки!$G204/(E$8+1-E$7)))</f>
        <v>0</v>
      </c>
      <c s="125">
        <f>IF(Предпосылки!$G204&gt;0,E281,F235*(Предпосылки!$G204/(F$8+1-F$7)))</f>
        <v>0</v>
      </c>
      <c s="125">
        <f>IF(Предпосылки!$G204&gt;0,F281,G235*(Предпосылки!$G204/(G$8+1-G$7)))</f>
        <v>0</v>
      </c>
      <c s="125">
        <f>IF(Предпосылки!$G204&gt;0,G281,H235*(Предпосылки!$G204/(H$8+1-H$7)))</f>
        <v>0</v>
      </c>
      <c s="125">
        <f>IF(Предпосылки!$G204&gt;0,H281,I235*(Предпосылки!$G204/(I$8+1-I$7)))</f>
        <v>0</v>
      </c>
      <c s="125">
        <f>IF(Предпосылки!$G204&gt;0,I281,J235*(Предпосылки!$G204/(J$8+1-J$7)))</f>
        <v>0</v>
      </c>
      <c s="125">
        <f>IF(Предпосылки!$G204&gt;0,J281,K235*(Предпосылки!$G204/(K$8+1-K$7)))</f>
        <v>0</v>
      </c>
      <c s="125">
        <f>IF(Предпосылки!$G204&gt;0,K281,L235*(Предпосылки!$G204/(L$8+1-L$7)))</f>
        <v>0</v>
      </c>
      <c s="125">
        <f>IF(Предпосылки!$G204&gt;0,L281,M235*(Предпосылки!$G204/(M$8+1-M$7)))</f>
        <v>0</v>
      </c>
      <c s="125">
        <f>IF(Предпосылки!$G204&gt;0,M281,N235*(Предпосылки!$G204/(N$8+1-N$7)))</f>
        <v>0</v>
      </c>
      <c s="125">
        <f>IF(Предпосылки!$G204&gt;0,N281,O235*(Предпосылки!$G204/(O$8+1-O$7)))</f>
        <v>0</v>
      </c>
      <c s="125">
        <f>IF(Предпосылки!$G204&gt;0,O281,P235*(Предпосылки!$G204/(P$8+1-P$7)))</f>
        <v>0</v>
      </c>
      <c s="125">
        <f>IF(Предпосылки!$G204&gt;0,P281,Q235*(Предпосылки!$G204/(Q$8+1-Q$7)))</f>
        <v>0</v>
      </c>
      <c s="125">
        <f>IF(Предпосылки!$G204&gt;0,Q281,R235*(Предпосылки!$G204/(R$8+1-R$7)))</f>
        <v>0</v>
      </c>
      <c s="125">
        <f>IF(Предпосылки!$G204&gt;0,R281,S235*(Предпосылки!$G204/(S$8+1-S$7)))</f>
        <v>0</v>
      </c>
      <c s="125">
        <f>IF(Предпосылки!$G204&gt;0,S281,T235*(Предпосылки!$G204/(T$8+1-T$7)))</f>
        <v>0</v>
      </c>
      <c s="125">
        <f>IF(Предпосылки!$G204&gt;0,T281,U235*(Предпосылки!$G204/(U$8+1-U$7)))</f>
        <v>0</v>
      </c>
      <c s="125">
        <f>IF(Предпосылки!$G204&gt;0,U281,V235*(Предпосылки!$G204/(V$8+1-V$7)))</f>
        <v>0</v>
      </c>
      <c s="125">
        <f>IF(Предпосылки!$G204&gt;0,V281,W235*(Предпосылки!$G204/(W$8+1-W$7)))</f>
        <v>0</v>
      </c>
      <c s="125">
        <f>IF(Предпосылки!$G204&gt;0,W281,X235*(Предпосылки!$G204/(X$8+1-X$7)))</f>
        <v>0</v>
      </c>
      <c s="125">
        <f>IF(Предпосылки!$G204&gt;0,X281,Y235*(Предпосылки!$G204/(Y$8+1-Y$7)))</f>
        <v>0</v>
      </c>
      <c s="125">
        <f>IF(Предпосылки!$G204&gt;0,Y281,Z235*(Предпосылки!$G204/(Z$8+1-Z$7)))</f>
        <v>0</v>
      </c>
      <c s="125">
        <f>IF(Предпосылки!$G204&gt;0,Z281,AA235*(Предпосылки!$G204/(AA$8+1-AA$7)))</f>
        <v>0</v>
      </c>
      <c s="125">
        <f>IF(Предпосылки!$G204&gt;0,AA281,AB235*(Предпосылки!$G204/(AB$8+1-AB$7)))</f>
        <v>0</v>
      </c>
      <c s="125">
        <f>IF(Предпосылки!$G204&gt;0,AB281,AC235*(Предпосылки!$G204/(AC$8+1-AC$7)))</f>
        <v>0</v>
      </c>
      <c s="125">
        <f>IF(Предпосылки!$G204&gt;0,AC281,AD235*(Предпосылки!$G204/(AD$8+1-AD$7)))</f>
        <v>0</v>
      </c>
      <c s="125">
        <f>IF(Предпосылки!$G204&gt;0,AD281,AE235*(Предпосылки!$G204/(AE$8+1-AE$7)))</f>
        <v>0</v>
      </c>
      <c s="125">
        <f>IF(Предпосылки!$G204&gt;0,AE281,AF235*(Предпосылки!$G204/(AF$8+1-AF$7)))</f>
        <v>0</v>
      </c>
      <c s="125">
        <f>IF(Предпосылки!$G204&gt;0,AF281,AG235*(Предпосылки!$G204/(AG$8+1-AG$7)))</f>
        <v>0</v>
      </c>
      <c s="125">
        <f>IF(Предпосылки!$G204&gt;0,AG281,AH235*(Предпосылки!$G204/(AH$8+1-AH$7)))</f>
        <v>0</v>
      </c>
      <c s="125">
        <f>IF(Предпосылки!$G204&gt;0,AH281,AI235*(Предпосылки!$G204/(AI$8+1-AI$7)))</f>
        <v>0</v>
      </c>
      <c s="125">
        <f>IF(Предпосылки!$G204&gt;0,AI281,AJ235*(Предпосылки!$G204/(AJ$8+1-AJ$7)))</f>
        <v>0</v>
      </c>
      <c s="125">
        <f>IF(Предпосылки!$G204&gt;0,AJ281,AK235*(Предпосылки!$G204/(AK$8+1-AK$7)))</f>
        <v>0</v>
      </c>
      <c s="125">
        <f>IF(Предпосылки!$G204&gt;0,AK281,AL235*(Предпосылки!$G204/(AL$8+1-AL$7)))</f>
        <v>0</v>
      </c>
      <c s="125">
        <f>IF(Предпосылки!$G204&gt;0,AL281,AM235*(Предпосылки!$G204/(AM$8+1-AM$7)))</f>
        <v>0</v>
      </c>
      <c s="125">
        <f>IF(Предпосылки!$G204&gt;0,AM281,AN235*(Предпосылки!$G204/(AN$8+1-AN$7)))</f>
        <v>0</v>
      </c>
      <c s="125">
        <f>IF(Предпосылки!$G204&gt;0,AN281,AO235*(Предпосылки!$G204/(AO$8+1-AO$7)))</f>
        <v>0</v>
      </c>
      <c s="125">
        <f>IF(Предпосылки!$G204&gt;0,AO281,AP235*(Предпосылки!$G204/(AP$8+1-AP$7)))</f>
        <v>0</v>
      </c>
      <c s="125">
        <f>IF(Предпосылки!$G204&gt;0,AP281,AQ235*(Предпосылки!$G204/(AQ$8+1-AQ$7)))</f>
        <v>0</v>
      </c>
      <c s="125">
        <f>IF(Предпосылки!$G204&gt;0,AQ281,AR235*(Предпосылки!$G204/(AR$8+1-AR$7)))</f>
        <v>0</v>
      </c>
      <c s="125">
        <f>IF(Предпосылки!$G204&gt;0,AR281,AS235*(Предпосылки!$G204/(AS$8+1-AS$7)))</f>
        <v>0</v>
      </c>
      <c s="125">
        <f>IF(Предпосылки!$G204&gt;0,AS281,AT235*(Предпосылки!$G204/(AT$8+1-AT$7)))</f>
        <v>0</v>
      </c>
      <c s="125">
        <f>IF(Предпосылки!$G204&gt;0,AT281,AU235*(Предпосылки!$G204/(AU$8+1-AU$7)))</f>
        <v>0</v>
      </c>
      <c s="125">
        <f>IF(Предпосылки!$G204&gt;0,AU281,AV235*(Предпосылки!$G204/(AV$8+1-AV$7)))</f>
        <v>0</v>
      </c>
      <c s="125">
        <f>IF(Предпосылки!$G204&gt;0,AV281,AW235*(Предпосылки!$G204/(AW$8+1-AW$7)))</f>
        <v>0</v>
      </c>
      <c s="125">
        <f>IF(Предпосылки!$G204&gt;0,AW281,AX235*(Предпосылки!$G204/(AX$8+1-AX$7)))</f>
        <v>0</v>
      </c>
      <c s="125">
        <f>IF(Предпосылки!$G204&gt;0,AX281,AY235*(Предпосылки!$G204/(AY$8+1-AY$7)))</f>
        <v>0</v>
      </c>
      <c s="125">
        <f>IF(Предпосылки!$G204&gt;0,AY281,AZ235*(Предпосылки!$G204/(AZ$8+1-AZ$7)))</f>
        <v>0</v>
      </c>
      <c s="125">
        <f>IF(Предпосылки!$G204&gt;0,AZ281,BA235*(Предпосылки!$G204/(BA$8+1-BA$7)))</f>
        <v>0</v>
      </c>
      <c s="125">
        <f>IF(Предпосылки!$G204&gt;0,BA281,BB235*(Предпосылки!$G204/(BB$8+1-BB$7)))</f>
        <v>0</v>
      </c>
      <c s="125">
        <f>IF(Предпосылки!$G204&gt;0,BB281,BC235*(Предпосылки!$G204/(BC$8+1-BC$7)))</f>
        <v>0</v>
      </c>
      <c s="125">
        <f>IF(Предпосылки!$G204&gt;0,BC281,BD235*(Предпосылки!$G204/(BD$8+1-BD$7)))</f>
        <v>0</v>
      </c>
      <c s="125">
        <f>IF(Предпосылки!$G204&gt;0,BD281,BE235*(Предпосылки!$G204/(BE$8+1-BE$7)))</f>
        <v>0</v>
      </c>
      <c s="125">
        <f>IF(Предпосылки!$G204&gt;0,BE281,BF235*(Предпосылки!$G204/(BF$8+1-BF$7)))</f>
        <v>0</v>
      </c>
      <c s="125">
        <f>IF(Предпосылки!$G204&gt;0,BF281,BG235*(Предпосылки!$G204/(BG$8+1-BG$7)))</f>
        <v>0</v>
      </c>
      <c s="125">
        <f>IF(Предпосылки!$G204&gt;0,BG281,BH235*(Предпосылки!$G204/(BH$8+1-BH$7)))</f>
        <v>0</v>
      </c>
      <c s="125">
        <f>IF(Предпосылки!$G204&gt;0,BH281,BI235*(Предпосылки!$G204/(BI$8+1-BI$7)))</f>
        <v>0</v>
      </c>
      <c s="125">
        <f>IF(Предпосылки!$G204&gt;0,BI281,BJ235*(Предпосылки!$G204/(BJ$8+1-BJ$7)))</f>
        <v>0</v>
      </c>
      <c s="125">
        <f>IF(Предпосылки!$G204&gt;0,BJ281,BK235*(Предпосылки!$G204/(BK$8+1-BK$7)))</f>
        <v>0</v>
      </c>
      <c s="125">
        <f>IF(Предпосылки!$G204&gt;0,BK281,BL235*(Предпосылки!$G204/(BL$8+1-BL$7)))</f>
        <v>0</v>
      </c>
      <c s="125">
        <f>IF(Предпосылки!$G204&gt;0,BL281,BM235*(Предпосылки!$G204/(BM$8+1-BM$7)))</f>
        <v>0</v>
      </c>
    </row>
    <row r="213" spans="2:65" ht="15" customHeight="1">
      <c r="B213" s="12" t="str">
        <f>IF(ISBLANK(Предпосылки!B205),"-",Предпосылки!B205)</f>
        <v>Операционные затраты 5</v>
      </c>
      <c s="124" t="str">
        <f t="shared" si="201"/>
        <v>тыс. руб.</v>
      </c>
      <c s="125"/>
      <c s="125">
        <f>IF(Предпосылки!$G205&gt;0,D282,E236*(Предпосылки!$G205/(E$8+1-E$7)))</f>
        <v>0</v>
      </c>
      <c s="125">
        <f>IF(Предпосылки!$G205&gt;0,E282,F236*(Предпосылки!$G205/(F$8+1-F$7)))</f>
        <v>0</v>
      </c>
      <c s="125">
        <f>IF(Предпосылки!$G205&gt;0,F282,G236*(Предпосылки!$G205/(G$8+1-G$7)))</f>
        <v>0</v>
      </c>
      <c s="125">
        <f>IF(Предпосылки!$G205&gt;0,G282,H236*(Предпосылки!$G205/(H$8+1-H$7)))</f>
        <v>0</v>
      </c>
      <c s="125">
        <f>IF(Предпосылки!$G205&gt;0,H282,I236*(Предпосылки!$G205/(I$8+1-I$7)))</f>
        <v>0</v>
      </c>
      <c s="125">
        <f>IF(Предпосылки!$G205&gt;0,I282,J236*(Предпосылки!$G205/(J$8+1-J$7)))</f>
        <v>0</v>
      </c>
      <c s="125">
        <f>IF(Предпосылки!$G205&gt;0,J282,K236*(Предпосылки!$G205/(K$8+1-K$7)))</f>
        <v>0</v>
      </c>
      <c s="125">
        <f>IF(Предпосылки!$G205&gt;0,K282,L236*(Предпосылки!$G205/(L$8+1-L$7)))</f>
        <v>0</v>
      </c>
      <c s="125">
        <f>IF(Предпосылки!$G205&gt;0,L282,M236*(Предпосылки!$G205/(M$8+1-M$7)))</f>
        <v>0</v>
      </c>
      <c s="125">
        <f>IF(Предпосылки!$G205&gt;0,M282,N236*(Предпосылки!$G205/(N$8+1-N$7)))</f>
        <v>0</v>
      </c>
      <c s="125">
        <f>IF(Предпосылки!$G205&gt;0,N282,O236*(Предпосылки!$G205/(O$8+1-O$7)))</f>
        <v>0</v>
      </c>
      <c s="125">
        <f>IF(Предпосылки!$G205&gt;0,O282,P236*(Предпосылки!$G205/(P$8+1-P$7)))</f>
        <v>0</v>
      </c>
      <c s="125">
        <f>IF(Предпосылки!$G205&gt;0,P282,Q236*(Предпосылки!$G205/(Q$8+1-Q$7)))</f>
        <v>0</v>
      </c>
      <c s="125">
        <f>IF(Предпосылки!$G205&gt;0,Q282,R236*(Предпосылки!$G205/(R$8+1-R$7)))</f>
        <v>0</v>
      </c>
      <c s="125">
        <f>IF(Предпосылки!$G205&gt;0,R282,S236*(Предпосылки!$G205/(S$8+1-S$7)))</f>
        <v>0</v>
      </c>
      <c s="125">
        <f>IF(Предпосылки!$G205&gt;0,S282,T236*(Предпосылки!$G205/(T$8+1-T$7)))</f>
        <v>0</v>
      </c>
      <c s="125">
        <f>IF(Предпосылки!$G205&gt;0,T282,U236*(Предпосылки!$G205/(U$8+1-U$7)))</f>
        <v>0</v>
      </c>
      <c s="125">
        <f>IF(Предпосылки!$G205&gt;0,U282,V236*(Предпосылки!$G205/(V$8+1-V$7)))</f>
        <v>0</v>
      </c>
      <c s="125">
        <f>IF(Предпосылки!$G205&gt;0,V282,W236*(Предпосылки!$G205/(W$8+1-W$7)))</f>
        <v>0</v>
      </c>
      <c s="125">
        <f>IF(Предпосылки!$G205&gt;0,W282,X236*(Предпосылки!$G205/(X$8+1-X$7)))</f>
        <v>0</v>
      </c>
      <c s="125">
        <f>IF(Предпосылки!$G205&gt;0,X282,Y236*(Предпосылки!$G205/(Y$8+1-Y$7)))</f>
        <v>0</v>
      </c>
      <c s="125">
        <f>IF(Предпосылки!$G205&gt;0,Y282,Z236*(Предпосылки!$G205/(Z$8+1-Z$7)))</f>
        <v>0</v>
      </c>
      <c s="125">
        <f>IF(Предпосылки!$G205&gt;0,Z282,AA236*(Предпосылки!$G205/(AA$8+1-AA$7)))</f>
        <v>0</v>
      </c>
      <c s="125">
        <f>IF(Предпосылки!$G205&gt;0,AA282,AB236*(Предпосылки!$G205/(AB$8+1-AB$7)))</f>
        <v>0</v>
      </c>
      <c s="125">
        <f>IF(Предпосылки!$G205&gt;0,AB282,AC236*(Предпосылки!$G205/(AC$8+1-AC$7)))</f>
        <v>0</v>
      </c>
      <c s="125">
        <f>IF(Предпосылки!$G205&gt;0,AC282,AD236*(Предпосылки!$G205/(AD$8+1-AD$7)))</f>
        <v>0</v>
      </c>
      <c s="125">
        <f>IF(Предпосылки!$G205&gt;0,AD282,AE236*(Предпосылки!$G205/(AE$8+1-AE$7)))</f>
        <v>0</v>
      </c>
      <c s="125">
        <f>IF(Предпосылки!$G205&gt;0,AE282,AF236*(Предпосылки!$G205/(AF$8+1-AF$7)))</f>
        <v>0</v>
      </c>
      <c s="125">
        <f>IF(Предпосылки!$G205&gt;0,AF282,AG236*(Предпосылки!$G205/(AG$8+1-AG$7)))</f>
        <v>0</v>
      </c>
      <c s="125">
        <f>IF(Предпосылки!$G205&gt;0,AG282,AH236*(Предпосылки!$G205/(AH$8+1-AH$7)))</f>
        <v>0</v>
      </c>
      <c s="125">
        <f>IF(Предпосылки!$G205&gt;0,AH282,AI236*(Предпосылки!$G205/(AI$8+1-AI$7)))</f>
        <v>0</v>
      </c>
      <c s="125">
        <f>IF(Предпосылки!$G205&gt;0,AI282,AJ236*(Предпосылки!$G205/(AJ$8+1-AJ$7)))</f>
        <v>0</v>
      </c>
      <c s="125">
        <f>IF(Предпосылки!$G205&gt;0,AJ282,AK236*(Предпосылки!$G205/(AK$8+1-AK$7)))</f>
        <v>0</v>
      </c>
      <c s="125">
        <f>IF(Предпосылки!$G205&gt;0,AK282,AL236*(Предпосылки!$G205/(AL$8+1-AL$7)))</f>
        <v>0</v>
      </c>
      <c s="125">
        <f>IF(Предпосылки!$G205&gt;0,AL282,AM236*(Предпосылки!$G205/(AM$8+1-AM$7)))</f>
        <v>0</v>
      </c>
      <c s="125">
        <f>IF(Предпосылки!$G205&gt;0,AM282,AN236*(Предпосылки!$G205/(AN$8+1-AN$7)))</f>
        <v>0</v>
      </c>
      <c s="125">
        <f>IF(Предпосылки!$G205&gt;0,AN282,AO236*(Предпосылки!$G205/(AO$8+1-AO$7)))</f>
        <v>0</v>
      </c>
      <c s="125">
        <f>IF(Предпосылки!$G205&gt;0,AO282,AP236*(Предпосылки!$G205/(AP$8+1-AP$7)))</f>
        <v>0</v>
      </c>
      <c s="125">
        <f>IF(Предпосылки!$G205&gt;0,AP282,AQ236*(Предпосылки!$G205/(AQ$8+1-AQ$7)))</f>
        <v>0</v>
      </c>
      <c s="125">
        <f>IF(Предпосылки!$G205&gt;0,AQ282,AR236*(Предпосылки!$G205/(AR$8+1-AR$7)))</f>
        <v>0</v>
      </c>
      <c s="125">
        <f>IF(Предпосылки!$G205&gt;0,AR282,AS236*(Предпосылки!$G205/(AS$8+1-AS$7)))</f>
        <v>0</v>
      </c>
      <c s="125">
        <f>IF(Предпосылки!$G205&gt;0,AS282,AT236*(Предпосылки!$G205/(AT$8+1-AT$7)))</f>
        <v>0</v>
      </c>
      <c s="125">
        <f>IF(Предпосылки!$G205&gt;0,AT282,AU236*(Предпосылки!$G205/(AU$8+1-AU$7)))</f>
        <v>0</v>
      </c>
      <c s="125">
        <f>IF(Предпосылки!$G205&gt;0,AU282,AV236*(Предпосылки!$G205/(AV$8+1-AV$7)))</f>
        <v>0</v>
      </c>
      <c s="125">
        <f>IF(Предпосылки!$G205&gt;0,AV282,AW236*(Предпосылки!$G205/(AW$8+1-AW$7)))</f>
        <v>0</v>
      </c>
      <c s="125">
        <f>IF(Предпосылки!$G205&gt;0,AW282,AX236*(Предпосылки!$G205/(AX$8+1-AX$7)))</f>
        <v>0</v>
      </c>
      <c s="125">
        <f>IF(Предпосылки!$G205&gt;0,AX282,AY236*(Предпосылки!$G205/(AY$8+1-AY$7)))</f>
        <v>0</v>
      </c>
      <c s="125">
        <f>IF(Предпосылки!$G205&gt;0,AY282,AZ236*(Предпосылки!$G205/(AZ$8+1-AZ$7)))</f>
        <v>0</v>
      </c>
      <c s="125">
        <f>IF(Предпосылки!$G205&gt;0,AZ282,BA236*(Предпосылки!$G205/(BA$8+1-BA$7)))</f>
        <v>0</v>
      </c>
      <c s="125">
        <f>IF(Предпосылки!$G205&gt;0,BA282,BB236*(Предпосылки!$G205/(BB$8+1-BB$7)))</f>
        <v>0</v>
      </c>
      <c s="125">
        <f>IF(Предпосылки!$G205&gt;0,BB282,BC236*(Предпосылки!$G205/(BC$8+1-BC$7)))</f>
        <v>0</v>
      </c>
      <c s="125">
        <f>IF(Предпосылки!$G205&gt;0,BC282,BD236*(Предпосылки!$G205/(BD$8+1-BD$7)))</f>
        <v>0</v>
      </c>
      <c s="125">
        <f>IF(Предпосылки!$G205&gt;0,BD282,BE236*(Предпосылки!$G205/(BE$8+1-BE$7)))</f>
        <v>0</v>
      </c>
      <c s="125">
        <f>IF(Предпосылки!$G205&gt;0,BE282,BF236*(Предпосылки!$G205/(BF$8+1-BF$7)))</f>
        <v>0</v>
      </c>
      <c s="125">
        <f>IF(Предпосылки!$G205&gt;0,BF282,BG236*(Предпосылки!$G205/(BG$8+1-BG$7)))</f>
        <v>0</v>
      </c>
      <c s="125">
        <f>IF(Предпосылки!$G205&gt;0,BG282,BH236*(Предпосылки!$G205/(BH$8+1-BH$7)))</f>
        <v>0</v>
      </c>
      <c s="125">
        <f>IF(Предпосылки!$G205&gt;0,BH282,BI236*(Предпосылки!$G205/(BI$8+1-BI$7)))</f>
        <v>0</v>
      </c>
      <c s="125">
        <f>IF(Предпосылки!$G205&gt;0,BI282,BJ236*(Предпосылки!$G205/(BJ$8+1-BJ$7)))</f>
        <v>0</v>
      </c>
      <c s="125">
        <f>IF(Предпосылки!$G205&gt;0,BJ282,BK236*(Предпосылки!$G205/(BK$8+1-BK$7)))</f>
        <v>0</v>
      </c>
      <c s="125">
        <f>IF(Предпосылки!$G205&gt;0,BK282,BL236*(Предпосылки!$G205/(BL$8+1-BL$7)))</f>
        <v>0</v>
      </c>
      <c s="125">
        <f>IF(Предпосылки!$G205&gt;0,BL282,BM236*(Предпосылки!$G205/(BM$8+1-BM$7)))</f>
        <v>0</v>
      </c>
    </row>
    <row r="214" spans="2:65" ht="15" customHeight="1">
      <c r="B214" s="12" t="str">
        <f>IF(ISBLANK(Предпосылки!B206),"-",Предпосылки!B206)</f>
        <v>Операционные затраты 6</v>
      </c>
      <c s="124" t="str">
        <f t="shared" si="201"/>
        <v>тыс. руб.</v>
      </c>
      <c s="125"/>
      <c s="125">
        <f>IF(Предпосылки!$G206&gt;0,D283,E237*(Предпосылки!$G206/(E$8+1-E$7)))</f>
        <v>0</v>
      </c>
      <c s="125">
        <f>IF(Предпосылки!$G206&gt;0,E283,F237*(Предпосылки!$G206/(F$8+1-F$7)))</f>
        <v>0</v>
      </c>
      <c s="125">
        <f>IF(Предпосылки!$G206&gt;0,F283,G237*(Предпосылки!$G206/(G$8+1-G$7)))</f>
        <v>0</v>
      </c>
      <c s="125">
        <f>IF(Предпосылки!$G206&gt;0,G283,H237*(Предпосылки!$G206/(H$8+1-H$7)))</f>
        <v>0</v>
      </c>
      <c s="125">
        <f>IF(Предпосылки!$G206&gt;0,H283,I237*(Предпосылки!$G206/(I$8+1-I$7)))</f>
        <v>0</v>
      </c>
      <c s="125">
        <f>IF(Предпосылки!$G206&gt;0,I283,J237*(Предпосылки!$G206/(J$8+1-J$7)))</f>
        <v>0</v>
      </c>
      <c s="125">
        <f>IF(Предпосылки!$G206&gt;0,J283,K237*(Предпосылки!$G206/(K$8+1-K$7)))</f>
        <v>0</v>
      </c>
      <c s="125">
        <f>IF(Предпосылки!$G206&gt;0,K283,L237*(Предпосылки!$G206/(L$8+1-L$7)))</f>
        <v>0</v>
      </c>
      <c s="125">
        <f>IF(Предпосылки!$G206&gt;0,L283,M237*(Предпосылки!$G206/(M$8+1-M$7)))</f>
        <v>0</v>
      </c>
      <c s="125">
        <f>IF(Предпосылки!$G206&gt;0,M283,N237*(Предпосылки!$G206/(N$8+1-N$7)))</f>
        <v>0</v>
      </c>
      <c s="125">
        <f>IF(Предпосылки!$G206&gt;0,N283,O237*(Предпосылки!$G206/(O$8+1-O$7)))</f>
        <v>0</v>
      </c>
      <c s="125">
        <f>IF(Предпосылки!$G206&gt;0,O283,P237*(Предпосылки!$G206/(P$8+1-P$7)))</f>
        <v>0</v>
      </c>
      <c s="125">
        <f>IF(Предпосылки!$G206&gt;0,P283,Q237*(Предпосылки!$G206/(Q$8+1-Q$7)))</f>
        <v>0</v>
      </c>
      <c s="125">
        <f>IF(Предпосылки!$G206&gt;0,Q283,R237*(Предпосылки!$G206/(R$8+1-R$7)))</f>
        <v>0</v>
      </c>
      <c s="125">
        <f>IF(Предпосылки!$G206&gt;0,R283,S237*(Предпосылки!$G206/(S$8+1-S$7)))</f>
        <v>0</v>
      </c>
      <c s="125">
        <f>IF(Предпосылки!$G206&gt;0,S283,T237*(Предпосылки!$G206/(T$8+1-T$7)))</f>
        <v>0</v>
      </c>
      <c s="125">
        <f>IF(Предпосылки!$G206&gt;0,T283,U237*(Предпосылки!$G206/(U$8+1-U$7)))</f>
        <v>0</v>
      </c>
      <c s="125">
        <f>IF(Предпосылки!$G206&gt;0,U283,V237*(Предпосылки!$G206/(V$8+1-V$7)))</f>
        <v>0</v>
      </c>
      <c s="125">
        <f>IF(Предпосылки!$G206&gt;0,V283,W237*(Предпосылки!$G206/(W$8+1-W$7)))</f>
        <v>0</v>
      </c>
      <c s="125">
        <f>IF(Предпосылки!$G206&gt;0,W283,X237*(Предпосылки!$G206/(X$8+1-X$7)))</f>
        <v>0</v>
      </c>
      <c s="125">
        <f>IF(Предпосылки!$G206&gt;0,X283,Y237*(Предпосылки!$G206/(Y$8+1-Y$7)))</f>
        <v>0</v>
      </c>
      <c s="125">
        <f>IF(Предпосылки!$G206&gt;0,Y283,Z237*(Предпосылки!$G206/(Z$8+1-Z$7)))</f>
        <v>0</v>
      </c>
      <c s="125">
        <f>IF(Предпосылки!$G206&gt;0,Z283,AA237*(Предпосылки!$G206/(AA$8+1-AA$7)))</f>
        <v>0</v>
      </c>
      <c s="125">
        <f>IF(Предпосылки!$G206&gt;0,AA283,AB237*(Предпосылки!$G206/(AB$8+1-AB$7)))</f>
        <v>0</v>
      </c>
      <c s="125">
        <f>IF(Предпосылки!$G206&gt;0,AB283,AC237*(Предпосылки!$G206/(AC$8+1-AC$7)))</f>
        <v>0</v>
      </c>
      <c s="125">
        <f>IF(Предпосылки!$G206&gt;0,AC283,AD237*(Предпосылки!$G206/(AD$8+1-AD$7)))</f>
        <v>0</v>
      </c>
      <c s="125">
        <f>IF(Предпосылки!$G206&gt;0,AD283,AE237*(Предпосылки!$G206/(AE$8+1-AE$7)))</f>
        <v>0</v>
      </c>
      <c s="125">
        <f>IF(Предпосылки!$G206&gt;0,AE283,AF237*(Предпосылки!$G206/(AF$8+1-AF$7)))</f>
        <v>0</v>
      </c>
      <c s="125">
        <f>IF(Предпосылки!$G206&gt;0,AF283,AG237*(Предпосылки!$G206/(AG$8+1-AG$7)))</f>
        <v>0</v>
      </c>
      <c s="125">
        <f>IF(Предпосылки!$G206&gt;0,AG283,AH237*(Предпосылки!$G206/(AH$8+1-AH$7)))</f>
        <v>0</v>
      </c>
      <c s="125">
        <f>IF(Предпосылки!$G206&gt;0,AH283,AI237*(Предпосылки!$G206/(AI$8+1-AI$7)))</f>
        <v>0</v>
      </c>
      <c s="125">
        <f>IF(Предпосылки!$G206&gt;0,AI283,AJ237*(Предпосылки!$G206/(AJ$8+1-AJ$7)))</f>
        <v>0</v>
      </c>
      <c s="125">
        <f>IF(Предпосылки!$G206&gt;0,AJ283,AK237*(Предпосылки!$G206/(AK$8+1-AK$7)))</f>
        <v>0</v>
      </c>
      <c s="125">
        <f>IF(Предпосылки!$G206&gt;0,AK283,AL237*(Предпосылки!$G206/(AL$8+1-AL$7)))</f>
        <v>0</v>
      </c>
      <c s="125">
        <f>IF(Предпосылки!$G206&gt;0,AL283,AM237*(Предпосылки!$G206/(AM$8+1-AM$7)))</f>
        <v>0</v>
      </c>
      <c s="125">
        <f>IF(Предпосылки!$G206&gt;0,AM283,AN237*(Предпосылки!$G206/(AN$8+1-AN$7)))</f>
        <v>0</v>
      </c>
      <c s="125">
        <f>IF(Предпосылки!$G206&gt;0,AN283,AO237*(Предпосылки!$G206/(AO$8+1-AO$7)))</f>
        <v>0</v>
      </c>
      <c s="125">
        <f>IF(Предпосылки!$G206&gt;0,AO283,AP237*(Предпосылки!$G206/(AP$8+1-AP$7)))</f>
        <v>0</v>
      </c>
      <c s="125">
        <f>IF(Предпосылки!$G206&gt;0,AP283,AQ237*(Предпосылки!$G206/(AQ$8+1-AQ$7)))</f>
        <v>0</v>
      </c>
      <c s="125">
        <f>IF(Предпосылки!$G206&gt;0,AQ283,AR237*(Предпосылки!$G206/(AR$8+1-AR$7)))</f>
        <v>0</v>
      </c>
      <c s="125">
        <f>IF(Предпосылки!$G206&gt;0,AR283,AS237*(Предпосылки!$G206/(AS$8+1-AS$7)))</f>
        <v>0</v>
      </c>
      <c s="125">
        <f>IF(Предпосылки!$G206&gt;0,AS283,AT237*(Предпосылки!$G206/(AT$8+1-AT$7)))</f>
        <v>0</v>
      </c>
      <c s="125">
        <f>IF(Предпосылки!$G206&gt;0,AT283,AU237*(Предпосылки!$G206/(AU$8+1-AU$7)))</f>
        <v>0</v>
      </c>
      <c s="125">
        <f>IF(Предпосылки!$G206&gt;0,AU283,AV237*(Предпосылки!$G206/(AV$8+1-AV$7)))</f>
        <v>0</v>
      </c>
      <c s="125">
        <f>IF(Предпосылки!$G206&gt;0,AV283,AW237*(Предпосылки!$G206/(AW$8+1-AW$7)))</f>
        <v>0</v>
      </c>
      <c s="125">
        <f>IF(Предпосылки!$G206&gt;0,AW283,AX237*(Предпосылки!$G206/(AX$8+1-AX$7)))</f>
        <v>0</v>
      </c>
      <c s="125">
        <f>IF(Предпосылки!$G206&gt;0,AX283,AY237*(Предпосылки!$G206/(AY$8+1-AY$7)))</f>
        <v>0</v>
      </c>
      <c s="125">
        <f>IF(Предпосылки!$G206&gt;0,AY283,AZ237*(Предпосылки!$G206/(AZ$8+1-AZ$7)))</f>
        <v>0</v>
      </c>
      <c s="125">
        <f>IF(Предпосылки!$G206&gt;0,AZ283,BA237*(Предпосылки!$G206/(BA$8+1-BA$7)))</f>
        <v>0</v>
      </c>
      <c s="125">
        <f>IF(Предпосылки!$G206&gt;0,BA283,BB237*(Предпосылки!$G206/(BB$8+1-BB$7)))</f>
        <v>0</v>
      </c>
      <c s="125">
        <f>IF(Предпосылки!$G206&gt;0,BB283,BC237*(Предпосылки!$G206/(BC$8+1-BC$7)))</f>
        <v>0</v>
      </c>
      <c s="125">
        <f>IF(Предпосылки!$G206&gt;0,BC283,BD237*(Предпосылки!$G206/(BD$8+1-BD$7)))</f>
        <v>0</v>
      </c>
      <c s="125">
        <f>IF(Предпосылки!$G206&gt;0,BD283,BE237*(Предпосылки!$G206/(BE$8+1-BE$7)))</f>
        <v>0</v>
      </c>
      <c s="125">
        <f>IF(Предпосылки!$G206&gt;0,BE283,BF237*(Предпосылки!$G206/(BF$8+1-BF$7)))</f>
        <v>0</v>
      </c>
      <c s="125">
        <f>IF(Предпосылки!$G206&gt;0,BF283,BG237*(Предпосылки!$G206/(BG$8+1-BG$7)))</f>
        <v>0</v>
      </c>
      <c s="125">
        <f>IF(Предпосылки!$G206&gt;0,BG283,BH237*(Предпосылки!$G206/(BH$8+1-BH$7)))</f>
        <v>0</v>
      </c>
      <c s="125">
        <f>IF(Предпосылки!$G206&gt;0,BH283,BI237*(Предпосылки!$G206/(BI$8+1-BI$7)))</f>
        <v>0</v>
      </c>
      <c s="125">
        <f>IF(Предпосылки!$G206&gt;0,BI283,BJ237*(Предпосылки!$G206/(BJ$8+1-BJ$7)))</f>
        <v>0</v>
      </c>
      <c s="125">
        <f>IF(Предпосылки!$G206&gt;0,BJ283,BK237*(Предпосылки!$G206/(BK$8+1-BK$7)))</f>
        <v>0</v>
      </c>
      <c s="125">
        <f>IF(Предпосылки!$G206&gt;0,BK283,BL237*(Предпосылки!$G206/(BL$8+1-BL$7)))</f>
        <v>0</v>
      </c>
      <c s="125">
        <f>IF(Предпосылки!$G206&gt;0,BL283,BM237*(Предпосылки!$G206/(BM$8+1-BM$7)))</f>
        <v>0</v>
      </c>
    </row>
    <row r="215" spans="2:65" ht="15" customHeight="1">
      <c r="B215" s="12" t="str">
        <f>IF(ISBLANK(Предпосылки!B207),"-",Предпосылки!B207)</f>
        <v>Операционные затраты 7</v>
      </c>
      <c s="124" t="str">
        <f t="shared" si="201"/>
        <v>тыс. руб.</v>
      </c>
      <c s="125"/>
      <c s="125">
        <f>IF(Предпосылки!$G207&gt;0,D284,E238*(Предпосылки!$G207/(E$8+1-E$7)))</f>
        <v>0</v>
      </c>
      <c s="125">
        <f>IF(Предпосылки!$G207&gt;0,E284,F238*(Предпосылки!$G207/(F$8+1-F$7)))</f>
        <v>0</v>
      </c>
      <c s="125">
        <f>IF(Предпосылки!$G207&gt;0,F284,G238*(Предпосылки!$G207/(G$8+1-G$7)))</f>
        <v>0</v>
      </c>
      <c s="125">
        <f>IF(Предпосылки!$G207&gt;0,G284,H238*(Предпосылки!$G207/(H$8+1-H$7)))</f>
        <v>0</v>
      </c>
      <c s="125">
        <f>IF(Предпосылки!$G207&gt;0,H284,I238*(Предпосылки!$G207/(I$8+1-I$7)))</f>
        <v>0</v>
      </c>
      <c s="125">
        <f>IF(Предпосылки!$G207&gt;0,I284,J238*(Предпосылки!$G207/(J$8+1-J$7)))</f>
        <v>0</v>
      </c>
      <c s="125">
        <f>IF(Предпосылки!$G207&gt;0,J284,K238*(Предпосылки!$G207/(K$8+1-K$7)))</f>
        <v>0</v>
      </c>
      <c s="125">
        <f>IF(Предпосылки!$G207&gt;0,K284,L238*(Предпосылки!$G207/(L$8+1-L$7)))</f>
        <v>0</v>
      </c>
      <c s="125">
        <f>IF(Предпосылки!$G207&gt;0,L284,M238*(Предпосылки!$G207/(M$8+1-M$7)))</f>
        <v>0</v>
      </c>
      <c s="125">
        <f>IF(Предпосылки!$G207&gt;0,M284,N238*(Предпосылки!$G207/(N$8+1-N$7)))</f>
        <v>0</v>
      </c>
      <c s="125">
        <f>IF(Предпосылки!$G207&gt;0,N284,O238*(Предпосылки!$G207/(O$8+1-O$7)))</f>
        <v>0</v>
      </c>
      <c s="125">
        <f>IF(Предпосылки!$G207&gt;0,O284,P238*(Предпосылки!$G207/(P$8+1-P$7)))</f>
        <v>0</v>
      </c>
      <c s="125">
        <f>IF(Предпосылки!$G207&gt;0,P284,Q238*(Предпосылки!$G207/(Q$8+1-Q$7)))</f>
        <v>0</v>
      </c>
      <c s="125">
        <f>IF(Предпосылки!$G207&gt;0,Q284,R238*(Предпосылки!$G207/(R$8+1-R$7)))</f>
        <v>0</v>
      </c>
      <c s="125">
        <f>IF(Предпосылки!$G207&gt;0,R284,S238*(Предпосылки!$G207/(S$8+1-S$7)))</f>
        <v>0</v>
      </c>
      <c s="125">
        <f>IF(Предпосылки!$G207&gt;0,S284,T238*(Предпосылки!$G207/(T$8+1-T$7)))</f>
        <v>0</v>
      </c>
      <c s="125">
        <f>IF(Предпосылки!$G207&gt;0,T284,U238*(Предпосылки!$G207/(U$8+1-U$7)))</f>
        <v>0</v>
      </c>
      <c s="125">
        <f>IF(Предпосылки!$G207&gt;0,U284,V238*(Предпосылки!$G207/(V$8+1-V$7)))</f>
        <v>0</v>
      </c>
      <c s="125">
        <f>IF(Предпосылки!$G207&gt;0,V284,W238*(Предпосылки!$G207/(W$8+1-W$7)))</f>
        <v>0</v>
      </c>
      <c s="125">
        <f>IF(Предпосылки!$G207&gt;0,W284,X238*(Предпосылки!$G207/(X$8+1-X$7)))</f>
        <v>0</v>
      </c>
      <c s="125">
        <f>IF(Предпосылки!$G207&gt;0,X284,Y238*(Предпосылки!$G207/(Y$8+1-Y$7)))</f>
        <v>0</v>
      </c>
      <c s="125">
        <f>IF(Предпосылки!$G207&gt;0,Y284,Z238*(Предпосылки!$G207/(Z$8+1-Z$7)))</f>
        <v>0</v>
      </c>
      <c s="125">
        <f>IF(Предпосылки!$G207&gt;0,Z284,AA238*(Предпосылки!$G207/(AA$8+1-AA$7)))</f>
        <v>0</v>
      </c>
      <c s="125">
        <f>IF(Предпосылки!$G207&gt;0,AA284,AB238*(Предпосылки!$G207/(AB$8+1-AB$7)))</f>
        <v>0</v>
      </c>
      <c s="125">
        <f>IF(Предпосылки!$G207&gt;0,AB284,AC238*(Предпосылки!$G207/(AC$8+1-AC$7)))</f>
        <v>0</v>
      </c>
      <c s="125">
        <f>IF(Предпосылки!$G207&gt;0,AC284,AD238*(Предпосылки!$G207/(AD$8+1-AD$7)))</f>
        <v>0</v>
      </c>
      <c s="125">
        <f>IF(Предпосылки!$G207&gt;0,AD284,AE238*(Предпосылки!$G207/(AE$8+1-AE$7)))</f>
        <v>0</v>
      </c>
      <c s="125">
        <f>IF(Предпосылки!$G207&gt;0,AE284,AF238*(Предпосылки!$G207/(AF$8+1-AF$7)))</f>
        <v>0</v>
      </c>
      <c s="125">
        <f>IF(Предпосылки!$G207&gt;0,AF284,AG238*(Предпосылки!$G207/(AG$8+1-AG$7)))</f>
        <v>0</v>
      </c>
      <c s="125">
        <f>IF(Предпосылки!$G207&gt;0,AG284,AH238*(Предпосылки!$G207/(AH$8+1-AH$7)))</f>
        <v>0</v>
      </c>
      <c s="125">
        <f>IF(Предпосылки!$G207&gt;0,AH284,AI238*(Предпосылки!$G207/(AI$8+1-AI$7)))</f>
        <v>0</v>
      </c>
      <c s="125">
        <f>IF(Предпосылки!$G207&gt;0,AI284,AJ238*(Предпосылки!$G207/(AJ$8+1-AJ$7)))</f>
        <v>0</v>
      </c>
      <c s="125">
        <f>IF(Предпосылки!$G207&gt;0,AJ284,AK238*(Предпосылки!$G207/(AK$8+1-AK$7)))</f>
        <v>0</v>
      </c>
      <c s="125">
        <f>IF(Предпосылки!$G207&gt;0,AK284,AL238*(Предпосылки!$G207/(AL$8+1-AL$7)))</f>
        <v>0</v>
      </c>
      <c s="125">
        <f>IF(Предпосылки!$G207&gt;0,AL284,AM238*(Предпосылки!$G207/(AM$8+1-AM$7)))</f>
        <v>0</v>
      </c>
      <c s="125">
        <f>IF(Предпосылки!$G207&gt;0,AM284,AN238*(Предпосылки!$G207/(AN$8+1-AN$7)))</f>
        <v>0</v>
      </c>
      <c s="125">
        <f>IF(Предпосылки!$G207&gt;0,AN284,AO238*(Предпосылки!$G207/(AO$8+1-AO$7)))</f>
        <v>0</v>
      </c>
      <c s="125">
        <f>IF(Предпосылки!$G207&gt;0,AO284,AP238*(Предпосылки!$G207/(AP$8+1-AP$7)))</f>
        <v>0</v>
      </c>
      <c s="125">
        <f>IF(Предпосылки!$G207&gt;0,AP284,AQ238*(Предпосылки!$G207/(AQ$8+1-AQ$7)))</f>
        <v>0</v>
      </c>
      <c s="125">
        <f>IF(Предпосылки!$G207&gt;0,AQ284,AR238*(Предпосылки!$G207/(AR$8+1-AR$7)))</f>
        <v>0</v>
      </c>
      <c s="125">
        <f>IF(Предпосылки!$G207&gt;0,AR284,AS238*(Предпосылки!$G207/(AS$8+1-AS$7)))</f>
        <v>0</v>
      </c>
      <c s="125">
        <f>IF(Предпосылки!$G207&gt;0,AS284,AT238*(Предпосылки!$G207/(AT$8+1-AT$7)))</f>
        <v>0</v>
      </c>
      <c s="125">
        <f>IF(Предпосылки!$G207&gt;0,AT284,AU238*(Предпосылки!$G207/(AU$8+1-AU$7)))</f>
        <v>0</v>
      </c>
      <c s="125">
        <f>IF(Предпосылки!$G207&gt;0,AU284,AV238*(Предпосылки!$G207/(AV$8+1-AV$7)))</f>
        <v>0</v>
      </c>
      <c s="125">
        <f>IF(Предпосылки!$G207&gt;0,AV284,AW238*(Предпосылки!$G207/(AW$8+1-AW$7)))</f>
        <v>0</v>
      </c>
      <c s="125">
        <f>IF(Предпосылки!$G207&gt;0,AW284,AX238*(Предпосылки!$G207/(AX$8+1-AX$7)))</f>
        <v>0</v>
      </c>
      <c s="125">
        <f>IF(Предпосылки!$G207&gt;0,AX284,AY238*(Предпосылки!$G207/(AY$8+1-AY$7)))</f>
        <v>0</v>
      </c>
      <c s="125">
        <f>IF(Предпосылки!$G207&gt;0,AY284,AZ238*(Предпосылки!$G207/(AZ$8+1-AZ$7)))</f>
        <v>0</v>
      </c>
      <c s="125">
        <f>IF(Предпосылки!$G207&gt;0,AZ284,BA238*(Предпосылки!$G207/(BA$8+1-BA$7)))</f>
        <v>0</v>
      </c>
      <c s="125">
        <f>IF(Предпосылки!$G207&gt;0,BA284,BB238*(Предпосылки!$G207/(BB$8+1-BB$7)))</f>
        <v>0</v>
      </c>
      <c s="125">
        <f>IF(Предпосылки!$G207&gt;0,BB284,BC238*(Предпосылки!$G207/(BC$8+1-BC$7)))</f>
        <v>0</v>
      </c>
      <c s="125">
        <f>IF(Предпосылки!$G207&gt;0,BC284,BD238*(Предпосылки!$G207/(BD$8+1-BD$7)))</f>
        <v>0</v>
      </c>
      <c s="125">
        <f>IF(Предпосылки!$G207&gt;0,BD284,BE238*(Предпосылки!$G207/(BE$8+1-BE$7)))</f>
        <v>0</v>
      </c>
      <c s="125">
        <f>IF(Предпосылки!$G207&gt;0,BE284,BF238*(Предпосылки!$G207/(BF$8+1-BF$7)))</f>
        <v>0</v>
      </c>
      <c s="125">
        <f>IF(Предпосылки!$G207&gt;0,BF284,BG238*(Предпосылки!$G207/(BG$8+1-BG$7)))</f>
        <v>0</v>
      </c>
      <c s="125">
        <f>IF(Предпосылки!$G207&gt;0,BG284,BH238*(Предпосылки!$G207/(BH$8+1-BH$7)))</f>
        <v>0</v>
      </c>
      <c s="125">
        <f>IF(Предпосылки!$G207&gt;0,BH284,BI238*(Предпосылки!$G207/(BI$8+1-BI$7)))</f>
        <v>0</v>
      </c>
      <c s="125">
        <f>IF(Предпосылки!$G207&gt;0,BI284,BJ238*(Предпосылки!$G207/(BJ$8+1-BJ$7)))</f>
        <v>0</v>
      </c>
      <c s="125">
        <f>IF(Предпосылки!$G207&gt;0,BJ284,BK238*(Предпосылки!$G207/(BK$8+1-BK$7)))</f>
        <v>0</v>
      </c>
      <c s="125">
        <f>IF(Предпосылки!$G207&gt;0,BK284,BL238*(Предпосылки!$G207/(BL$8+1-BL$7)))</f>
        <v>0</v>
      </c>
      <c s="125">
        <f>IF(Предпосылки!$G207&gt;0,BL284,BM238*(Предпосылки!$G207/(BM$8+1-BM$7)))</f>
        <v>0</v>
      </c>
    </row>
    <row r="216" spans="2:65" ht="15" customHeight="1">
      <c r="B216" s="12" t="str">
        <f>IF(ISBLANK(Предпосылки!B208),"-",Предпосылки!B208)</f>
        <v>Операционные затраты 8</v>
      </c>
      <c s="124" t="str">
        <f t="shared" si="201"/>
        <v>тыс. руб.</v>
      </c>
      <c s="125"/>
      <c s="125">
        <f>IF(Предпосылки!$G208&gt;0,D285,E239*(Предпосылки!$G208/(E$8+1-E$7)))</f>
        <v>0</v>
      </c>
      <c s="125">
        <f>IF(Предпосылки!$G208&gt;0,E285,F239*(Предпосылки!$G208/(F$8+1-F$7)))</f>
        <v>0</v>
      </c>
      <c s="125">
        <f>IF(Предпосылки!$G208&gt;0,F285,G239*(Предпосылки!$G208/(G$8+1-G$7)))</f>
        <v>0</v>
      </c>
      <c s="125">
        <f>IF(Предпосылки!$G208&gt;0,G285,H239*(Предпосылки!$G208/(H$8+1-H$7)))</f>
        <v>0</v>
      </c>
      <c s="125">
        <f>IF(Предпосылки!$G208&gt;0,H285,I239*(Предпосылки!$G208/(I$8+1-I$7)))</f>
        <v>0</v>
      </c>
      <c s="125">
        <f>IF(Предпосылки!$G208&gt;0,I285,J239*(Предпосылки!$G208/(J$8+1-J$7)))</f>
        <v>0</v>
      </c>
      <c s="125">
        <f>IF(Предпосылки!$G208&gt;0,J285,K239*(Предпосылки!$G208/(K$8+1-K$7)))</f>
        <v>0</v>
      </c>
      <c s="125">
        <f>IF(Предпосылки!$G208&gt;0,K285,L239*(Предпосылки!$G208/(L$8+1-L$7)))</f>
        <v>0</v>
      </c>
      <c s="125">
        <f>IF(Предпосылки!$G208&gt;0,L285,M239*(Предпосылки!$G208/(M$8+1-M$7)))</f>
        <v>0</v>
      </c>
      <c s="125">
        <f>IF(Предпосылки!$G208&gt;0,M285,N239*(Предпосылки!$G208/(N$8+1-N$7)))</f>
        <v>0</v>
      </c>
      <c s="125">
        <f>IF(Предпосылки!$G208&gt;0,N285,O239*(Предпосылки!$G208/(O$8+1-O$7)))</f>
        <v>0</v>
      </c>
      <c s="125">
        <f>IF(Предпосылки!$G208&gt;0,O285,P239*(Предпосылки!$G208/(P$8+1-P$7)))</f>
        <v>0</v>
      </c>
      <c s="125">
        <f>IF(Предпосылки!$G208&gt;0,P285,Q239*(Предпосылки!$G208/(Q$8+1-Q$7)))</f>
        <v>0</v>
      </c>
      <c s="125">
        <f>IF(Предпосылки!$G208&gt;0,Q285,R239*(Предпосылки!$G208/(R$8+1-R$7)))</f>
        <v>0</v>
      </c>
      <c s="125">
        <f>IF(Предпосылки!$G208&gt;0,R285,S239*(Предпосылки!$G208/(S$8+1-S$7)))</f>
        <v>0</v>
      </c>
      <c s="125">
        <f>IF(Предпосылки!$G208&gt;0,S285,T239*(Предпосылки!$G208/(T$8+1-T$7)))</f>
        <v>0</v>
      </c>
      <c s="125">
        <f>IF(Предпосылки!$G208&gt;0,T285,U239*(Предпосылки!$G208/(U$8+1-U$7)))</f>
        <v>0</v>
      </c>
      <c s="125">
        <f>IF(Предпосылки!$G208&gt;0,U285,V239*(Предпосылки!$G208/(V$8+1-V$7)))</f>
        <v>0</v>
      </c>
      <c s="125">
        <f>IF(Предпосылки!$G208&gt;0,V285,W239*(Предпосылки!$G208/(W$8+1-W$7)))</f>
        <v>0</v>
      </c>
      <c s="125">
        <f>IF(Предпосылки!$G208&gt;0,W285,X239*(Предпосылки!$G208/(X$8+1-X$7)))</f>
        <v>0</v>
      </c>
      <c s="125">
        <f>IF(Предпосылки!$G208&gt;0,X285,Y239*(Предпосылки!$G208/(Y$8+1-Y$7)))</f>
        <v>0</v>
      </c>
      <c s="125">
        <f>IF(Предпосылки!$G208&gt;0,Y285,Z239*(Предпосылки!$G208/(Z$8+1-Z$7)))</f>
        <v>0</v>
      </c>
      <c s="125">
        <f>IF(Предпосылки!$G208&gt;0,Z285,AA239*(Предпосылки!$G208/(AA$8+1-AA$7)))</f>
        <v>0</v>
      </c>
      <c s="125">
        <f>IF(Предпосылки!$G208&gt;0,AA285,AB239*(Предпосылки!$G208/(AB$8+1-AB$7)))</f>
        <v>0</v>
      </c>
      <c s="125">
        <f>IF(Предпосылки!$G208&gt;0,AB285,AC239*(Предпосылки!$G208/(AC$8+1-AC$7)))</f>
        <v>0</v>
      </c>
      <c s="125">
        <f>IF(Предпосылки!$G208&gt;0,AC285,AD239*(Предпосылки!$G208/(AD$8+1-AD$7)))</f>
        <v>0</v>
      </c>
      <c s="125">
        <f>IF(Предпосылки!$G208&gt;0,AD285,AE239*(Предпосылки!$G208/(AE$8+1-AE$7)))</f>
        <v>0</v>
      </c>
      <c s="125">
        <f>IF(Предпосылки!$G208&gt;0,AE285,AF239*(Предпосылки!$G208/(AF$8+1-AF$7)))</f>
        <v>0</v>
      </c>
      <c s="125">
        <f>IF(Предпосылки!$G208&gt;0,AF285,AG239*(Предпосылки!$G208/(AG$8+1-AG$7)))</f>
        <v>0</v>
      </c>
      <c s="125">
        <f>IF(Предпосылки!$G208&gt;0,AG285,AH239*(Предпосылки!$G208/(AH$8+1-AH$7)))</f>
        <v>0</v>
      </c>
      <c s="125">
        <f>IF(Предпосылки!$G208&gt;0,AH285,AI239*(Предпосылки!$G208/(AI$8+1-AI$7)))</f>
        <v>0</v>
      </c>
      <c s="125">
        <f>IF(Предпосылки!$G208&gt;0,AI285,AJ239*(Предпосылки!$G208/(AJ$8+1-AJ$7)))</f>
        <v>0</v>
      </c>
      <c s="125">
        <f>IF(Предпосылки!$G208&gt;0,AJ285,AK239*(Предпосылки!$G208/(AK$8+1-AK$7)))</f>
        <v>0</v>
      </c>
      <c s="125">
        <f>IF(Предпосылки!$G208&gt;0,AK285,AL239*(Предпосылки!$G208/(AL$8+1-AL$7)))</f>
        <v>0</v>
      </c>
      <c s="125">
        <f>IF(Предпосылки!$G208&gt;0,AL285,AM239*(Предпосылки!$G208/(AM$8+1-AM$7)))</f>
        <v>0</v>
      </c>
      <c s="125">
        <f>IF(Предпосылки!$G208&gt;0,AM285,AN239*(Предпосылки!$G208/(AN$8+1-AN$7)))</f>
        <v>0</v>
      </c>
      <c s="125">
        <f>IF(Предпосылки!$G208&gt;0,AN285,AO239*(Предпосылки!$G208/(AO$8+1-AO$7)))</f>
        <v>0</v>
      </c>
      <c s="125">
        <f>IF(Предпосылки!$G208&gt;0,AO285,AP239*(Предпосылки!$G208/(AP$8+1-AP$7)))</f>
        <v>0</v>
      </c>
      <c s="125">
        <f>IF(Предпосылки!$G208&gt;0,AP285,AQ239*(Предпосылки!$G208/(AQ$8+1-AQ$7)))</f>
        <v>0</v>
      </c>
      <c s="125">
        <f>IF(Предпосылки!$G208&gt;0,AQ285,AR239*(Предпосылки!$G208/(AR$8+1-AR$7)))</f>
        <v>0</v>
      </c>
      <c s="125">
        <f>IF(Предпосылки!$G208&gt;0,AR285,AS239*(Предпосылки!$G208/(AS$8+1-AS$7)))</f>
        <v>0</v>
      </c>
      <c s="125">
        <f>IF(Предпосылки!$G208&gt;0,AS285,AT239*(Предпосылки!$G208/(AT$8+1-AT$7)))</f>
        <v>0</v>
      </c>
      <c s="125">
        <f>IF(Предпосылки!$G208&gt;0,AT285,AU239*(Предпосылки!$G208/(AU$8+1-AU$7)))</f>
        <v>0</v>
      </c>
      <c s="125">
        <f>IF(Предпосылки!$G208&gt;0,AU285,AV239*(Предпосылки!$G208/(AV$8+1-AV$7)))</f>
        <v>0</v>
      </c>
      <c s="125">
        <f>IF(Предпосылки!$G208&gt;0,AV285,AW239*(Предпосылки!$G208/(AW$8+1-AW$7)))</f>
        <v>0</v>
      </c>
      <c s="125">
        <f>IF(Предпосылки!$G208&gt;0,AW285,AX239*(Предпосылки!$G208/(AX$8+1-AX$7)))</f>
        <v>0</v>
      </c>
      <c s="125">
        <f>IF(Предпосылки!$G208&gt;0,AX285,AY239*(Предпосылки!$G208/(AY$8+1-AY$7)))</f>
        <v>0</v>
      </c>
      <c s="125">
        <f>IF(Предпосылки!$G208&gt;0,AY285,AZ239*(Предпосылки!$G208/(AZ$8+1-AZ$7)))</f>
        <v>0</v>
      </c>
      <c s="125">
        <f>IF(Предпосылки!$G208&gt;0,AZ285,BA239*(Предпосылки!$G208/(BA$8+1-BA$7)))</f>
        <v>0</v>
      </c>
      <c s="125">
        <f>IF(Предпосылки!$G208&gt;0,BA285,BB239*(Предпосылки!$G208/(BB$8+1-BB$7)))</f>
        <v>0</v>
      </c>
      <c s="125">
        <f>IF(Предпосылки!$G208&gt;0,BB285,BC239*(Предпосылки!$G208/(BC$8+1-BC$7)))</f>
        <v>0</v>
      </c>
      <c s="125">
        <f>IF(Предпосылки!$G208&gt;0,BC285,BD239*(Предпосылки!$G208/(BD$8+1-BD$7)))</f>
        <v>0</v>
      </c>
      <c s="125">
        <f>IF(Предпосылки!$G208&gt;0,BD285,BE239*(Предпосылки!$G208/(BE$8+1-BE$7)))</f>
        <v>0</v>
      </c>
      <c s="125">
        <f>IF(Предпосылки!$G208&gt;0,BE285,BF239*(Предпосылки!$G208/(BF$8+1-BF$7)))</f>
        <v>0</v>
      </c>
      <c s="125">
        <f>IF(Предпосылки!$G208&gt;0,BF285,BG239*(Предпосылки!$G208/(BG$8+1-BG$7)))</f>
        <v>0</v>
      </c>
      <c s="125">
        <f>IF(Предпосылки!$G208&gt;0,BG285,BH239*(Предпосылки!$G208/(BH$8+1-BH$7)))</f>
        <v>0</v>
      </c>
      <c s="125">
        <f>IF(Предпосылки!$G208&gt;0,BH285,BI239*(Предпосылки!$G208/(BI$8+1-BI$7)))</f>
        <v>0</v>
      </c>
      <c s="125">
        <f>IF(Предпосылки!$G208&gt;0,BI285,BJ239*(Предпосылки!$G208/(BJ$8+1-BJ$7)))</f>
        <v>0</v>
      </c>
      <c s="125">
        <f>IF(Предпосылки!$G208&gt;0,BJ285,BK239*(Предпосылки!$G208/(BK$8+1-BK$7)))</f>
        <v>0</v>
      </c>
      <c s="125">
        <f>IF(Предпосылки!$G208&gt;0,BK285,BL239*(Предпосылки!$G208/(BL$8+1-BL$7)))</f>
        <v>0</v>
      </c>
      <c s="125">
        <f>IF(Предпосылки!$G208&gt;0,BL285,BM239*(Предпосылки!$G208/(BM$8+1-BM$7)))</f>
        <v>0</v>
      </c>
    </row>
    <row r="217" spans="2:65" ht="15" customHeight="1">
      <c r="B217" s="12" t="str">
        <f>IF(ISBLANK(Предпосылки!B209),"-",Предпосылки!B209)</f>
        <v>Операционные затраты 9</v>
      </c>
      <c s="124" t="str">
        <f t="shared" si="201"/>
        <v>тыс. руб.</v>
      </c>
      <c s="125"/>
      <c s="125">
        <f>IF(Предпосылки!$G209&gt;0,D286,E240*(Предпосылки!$G209/(E$8+1-E$7)))</f>
        <v>0</v>
      </c>
      <c s="125">
        <f>IF(Предпосылки!$G209&gt;0,E286,F240*(Предпосылки!$G209/(F$8+1-F$7)))</f>
        <v>0</v>
      </c>
      <c s="125">
        <f>IF(Предпосылки!$G209&gt;0,F286,G240*(Предпосылки!$G209/(G$8+1-G$7)))</f>
        <v>0</v>
      </c>
      <c s="125">
        <f>IF(Предпосылки!$G209&gt;0,G286,H240*(Предпосылки!$G209/(H$8+1-H$7)))</f>
        <v>0</v>
      </c>
      <c s="125">
        <f>IF(Предпосылки!$G209&gt;0,H286,I240*(Предпосылки!$G209/(I$8+1-I$7)))</f>
        <v>0</v>
      </c>
      <c s="125">
        <f>IF(Предпосылки!$G209&gt;0,I286,J240*(Предпосылки!$G209/(J$8+1-J$7)))</f>
        <v>0</v>
      </c>
      <c s="125">
        <f>IF(Предпосылки!$G209&gt;0,J286,K240*(Предпосылки!$G209/(K$8+1-K$7)))</f>
        <v>0</v>
      </c>
      <c s="125">
        <f>IF(Предпосылки!$G209&gt;0,K286,L240*(Предпосылки!$G209/(L$8+1-L$7)))</f>
        <v>0</v>
      </c>
      <c s="125">
        <f>IF(Предпосылки!$G209&gt;0,L286,M240*(Предпосылки!$G209/(M$8+1-M$7)))</f>
        <v>0</v>
      </c>
      <c s="125">
        <f>IF(Предпосылки!$G209&gt;0,M286,N240*(Предпосылки!$G209/(N$8+1-N$7)))</f>
        <v>0</v>
      </c>
      <c s="125">
        <f>IF(Предпосылки!$G209&gt;0,N286,O240*(Предпосылки!$G209/(O$8+1-O$7)))</f>
        <v>0</v>
      </c>
      <c s="125">
        <f>IF(Предпосылки!$G209&gt;0,O286,P240*(Предпосылки!$G209/(P$8+1-P$7)))</f>
        <v>0</v>
      </c>
      <c s="125">
        <f>IF(Предпосылки!$G209&gt;0,P286,Q240*(Предпосылки!$G209/(Q$8+1-Q$7)))</f>
        <v>0</v>
      </c>
      <c s="125">
        <f>IF(Предпосылки!$G209&gt;0,Q286,R240*(Предпосылки!$G209/(R$8+1-R$7)))</f>
        <v>0</v>
      </c>
      <c s="125">
        <f>IF(Предпосылки!$G209&gt;0,R286,S240*(Предпосылки!$G209/(S$8+1-S$7)))</f>
        <v>0</v>
      </c>
      <c s="125">
        <f>IF(Предпосылки!$G209&gt;0,S286,T240*(Предпосылки!$G209/(T$8+1-T$7)))</f>
        <v>0</v>
      </c>
      <c s="125">
        <f>IF(Предпосылки!$G209&gt;0,T286,U240*(Предпосылки!$G209/(U$8+1-U$7)))</f>
        <v>0</v>
      </c>
      <c s="125">
        <f>IF(Предпосылки!$G209&gt;0,U286,V240*(Предпосылки!$G209/(V$8+1-V$7)))</f>
        <v>0</v>
      </c>
      <c s="125">
        <f>IF(Предпосылки!$G209&gt;0,V286,W240*(Предпосылки!$G209/(W$8+1-W$7)))</f>
        <v>0</v>
      </c>
      <c s="125">
        <f>IF(Предпосылки!$G209&gt;0,W286,X240*(Предпосылки!$G209/(X$8+1-X$7)))</f>
        <v>0</v>
      </c>
      <c s="125">
        <f>IF(Предпосылки!$G209&gt;0,X286,Y240*(Предпосылки!$G209/(Y$8+1-Y$7)))</f>
        <v>0</v>
      </c>
      <c s="125">
        <f>IF(Предпосылки!$G209&gt;0,Y286,Z240*(Предпосылки!$G209/(Z$8+1-Z$7)))</f>
        <v>0</v>
      </c>
      <c s="125">
        <f>IF(Предпосылки!$G209&gt;0,Z286,AA240*(Предпосылки!$G209/(AA$8+1-AA$7)))</f>
        <v>0</v>
      </c>
      <c s="125">
        <f>IF(Предпосылки!$G209&gt;0,AA286,AB240*(Предпосылки!$G209/(AB$8+1-AB$7)))</f>
        <v>0</v>
      </c>
      <c s="125">
        <f>IF(Предпосылки!$G209&gt;0,AB286,AC240*(Предпосылки!$G209/(AC$8+1-AC$7)))</f>
        <v>0</v>
      </c>
      <c s="125">
        <f>IF(Предпосылки!$G209&gt;0,AC286,AD240*(Предпосылки!$G209/(AD$8+1-AD$7)))</f>
        <v>0</v>
      </c>
      <c s="125">
        <f>IF(Предпосылки!$G209&gt;0,AD286,AE240*(Предпосылки!$G209/(AE$8+1-AE$7)))</f>
        <v>0</v>
      </c>
      <c s="125">
        <f>IF(Предпосылки!$G209&gt;0,AE286,AF240*(Предпосылки!$G209/(AF$8+1-AF$7)))</f>
        <v>0</v>
      </c>
      <c s="125">
        <f>IF(Предпосылки!$G209&gt;0,AF286,AG240*(Предпосылки!$G209/(AG$8+1-AG$7)))</f>
        <v>0</v>
      </c>
      <c s="125">
        <f>IF(Предпосылки!$G209&gt;0,AG286,AH240*(Предпосылки!$G209/(AH$8+1-AH$7)))</f>
        <v>0</v>
      </c>
      <c s="125">
        <f>IF(Предпосылки!$G209&gt;0,AH286,AI240*(Предпосылки!$G209/(AI$8+1-AI$7)))</f>
        <v>0</v>
      </c>
      <c s="125">
        <f>IF(Предпосылки!$G209&gt;0,AI286,AJ240*(Предпосылки!$G209/(AJ$8+1-AJ$7)))</f>
        <v>0</v>
      </c>
      <c s="125">
        <f>IF(Предпосылки!$G209&gt;0,AJ286,AK240*(Предпосылки!$G209/(AK$8+1-AK$7)))</f>
        <v>0</v>
      </c>
      <c s="125">
        <f>IF(Предпосылки!$G209&gt;0,AK286,AL240*(Предпосылки!$G209/(AL$8+1-AL$7)))</f>
        <v>0</v>
      </c>
      <c s="125">
        <f>IF(Предпосылки!$G209&gt;0,AL286,AM240*(Предпосылки!$G209/(AM$8+1-AM$7)))</f>
        <v>0</v>
      </c>
      <c s="125">
        <f>IF(Предпосылки!$G209&gt;0,AM286,AN240*(Предпосылки!$G209/(AN$8+1-AN$7)))</f>
        <v>0</v>
      </c>
      <c s="125">
        <f>IF(Предпосылки!$G209&gt;0,AN286,AO240*(Предпосылки!$G209/(AO$8+1-AO$7)))</f>
        <v>0</v>
      </c>
      <c s="125">
        <f>IF(Предпосылки!$G209&gt;0,AO286,AP240*(Предпосылки!$G209/(AP$8+1-AP$7)))</f>
        <v>0</v>
      </c>
      <c s="125">
        <f>IF(Предпосылки!$G209&gt;0,AP286,AQ240*(Предпосылки!$G209/(AQ$8+1-AQ$7)))</f>
        <v>0</v>
      </c>
      <c s="125">
        <f>IF(Предпосылки!$G209&gt;0,AQ286,AR240*(Предпосылки!$G209/(AR$8+1-AR$7)))</f>
        <v>0</v>
      </c>
      <c s="125">
        <f>IF(Предпосылки!$G209&gt;0,AR286,AS240*(Предпосылки!$G209/(AS$8+1-AS$7)))</f>
        <v>0</v>
      </c>
      <c s="125">
        <f>IF(Предпосылки!$G209&gt;0,AS286,AT240*(Предпосылки!$G209/(AT$8+1-AT$7)))</f>
        <v>0</v>
      </c>
      <c s="125">
        <f>IF(Предпосылки!$G209&gt;0,AT286,AU240*(Предпосылки!$G209/(AU$8+1-AU$7)))</f>
        <v>0</v>
      </c>
      <c s="125">
        <f>IF(Предпосылки!$G209&gt;0,AU286,AV240*(Предпосылки!$G209/(AV$8+1-AV$7)))</f>
        <v>0</v>
      </c>
      <c s="125">
        <f>IF(Предпосылки!$G209&gt;0,AV286,AW240*(Предпосылки!$G209/(AW$8+1-AW$7)))</f>
        <v>0</v>
      </c>
      <c s="125">
        <f>IF(Предпосылки!$G209&gt;0,AW286,AX240*(Предпосылки!$G209/(AX$8+1-AX$7)))</f>
        <v>0</v>
      </c>
      <c s="125">
        <f>IF(Предпосылки!$G209&gt;0,AX286,AY240*(Предпосылки!$G209/(AY$8+1-AY$7)))</f>
        <v>0</v>
      </c>
      <c s="125">
        <f>IF(Предпосылки!$G209&gt;0,AY286,AZ240*(Предпосылки!$G209/(AZ$8+1-AZ$7)))</f>
        <v>0</v>
      </c>
      <c s="125">
        <f>IF(Предпосылки!$G209&gt;0,AZ286,BA240*(Предпосылки!$G209/(BA$8+1-BA$7)))</f>
        <v>0</v>
      </c>
      <c s="125">
        <f>IF(Предпосылки!$G209&gt;0,BA286,BB240*(Предпосылки!$G209/(BB$8+1-BB$7)))</f>
        <v>0</v>
      </c>
      <c s="125">
        <f>IF(Предпосылки!$G209&gt;0,BB286,BC240*(Предпосылки!$G209/(BC$8+1-BC$7)))</f>
        <v>0</v>
      </c>
      <c s="125">
        <f>IF(Предпосылки!$G209&gt;0,BC286,BD240*(Предпосылки!$G209/(BD$8+1-BD$7)))</f>
        <v>0</v>
      </c>
      <c s="125">
        <f>IF(Предпосылки!$G209&gt;0,BD286,BE240*(Предпосылки!$G209/(BE$8+1-BE$7)))</f>
        <v>0</v>
      </c>
      <c s="125">
        <f>IF(Предпосылки!$G209&gt;0,BE286,BF240*(Предпосылки!$G209/(BF$8+1-BF$7)))</f>
        <v>0</v>
      </c>
      <c s="125">
        <f>IF(Предпосылки!$G209&gt;0,BF286,BG240*(Предпосылки!$G209/(BG$8+1-BG$7)))</f>
        <v>0</v>
      </c>
      <c s="125">
        <f>IF(Предпосылки!$G209&gt;0,BG286,BH240*(Предпосылки!$G209/(BH$8+1-BH$7)))</f>
        <v>0</v>
      </c>
      <c s="125">
        <f>IF(Предпосылки!$G209&gt;0,BH286,BI240*(Предпосылки!$G209/(BI$8+1-BI$7)))</f>
        <v>0</v>
      </c>
      <c s="125">
        <f>IF(Предпосылки!$G209&gt;0,BI286,BJ240*(Предпосылки!$G209/(BJ$8+1-BJ$7)))</f>
        <v>0</v>
      </c>
      <c s="125">
        <f>IF(Предпосылки!$G209&gt;0,BJ286,BK240*(Предпосылки!$G209/(BK$8+1-BK$7)))</f>
        <v>0</v>
      </c>
      <c s="125">
        <f>IF(Предпосылки!$G209&gt;0,BK286,BL240*(Предпосылки!$G209/(BL$8+1-BL$7)))</f>
        <v>0</v>
      </c>
      <c s="125">
        <f>IF(Предпосылки!$G209&gt;0,BL286,BM240*(Предпосылки!$G209/(BM$8+1-BM$7)))</f>
        <v>0</v>
      </c>
    </row>
    <row r="218" spans="2:65" ht="15" customHeight="1">
      <c r="B218" s="12" t="str">
        <f>IF(ISBLANK(Предпосылки!B210),"-",Предпосылки!B210)</f>
        <v>Операционные затраты 10</v>
      </c>
      <c s="124" t="str">
        <f t="shared" si="201"/>
        <v>тыс. руб.</v>
      </c>
      <c s="125"/>
      <c s="125">
        <f>IF(Предпосылки!$G210&gt;0,D287,E241*(Предпосылки!$G210/(E$8+1-E$7)))</f>
        <v>0</v>
      </c>
      <c s="125">
        <f>IF(Предпосылки!$G210&gt;0,E287,F241*(Предпосылки!$G210/(F$8+1-F$7)))</f>
        <v>0</v>
      </c>
      <c s="125">
        <f>IF(Предпосылки!$G210&gt;0,F287,G241*(Предпосылки!$G210/(G$8+1-G$7)))</f>
        <v>0</v>
      </c>
      <c s="125">
        <f>IF(Предпосылки!$G210&gt;0,G287,H241*(Предпосылки!$G210/(H$8+1-H$7)))</f>
        <v>0</v>
      </c>
      <c s="125">
        <f>IF(Предпосылки!$G210&gt;0,H287,I241*(Предпосылки!$G210/(I$8+1-I$7)))</f>
        <v>0</v>
      </c>
      <c s="125">
        <f>IF(Предпосылки!$G210&gt;0,I287,J241*(Предпосылки!$G210/(J$8+1-J$7)))</f>
        <v>0</v>
      </c>
      <c s="125">
        <f>IF(Предпосылки!$G210&gt;0,J287,K241*(Предпосылки!$G210/(K$8+1-K$7)))</f>
        <v>0</v>
      </c>
      <c s="125">
        <f>IF(Предпосылки!$G210&gt;0,K287,L241*(Предпосылки!$G210/(L$8+1-L$7)))</f>
        <v>0</v>
      </c>
      <c s="125">
        <f>IF(Предпосылки!$G210&gt;0,L287,M241*(Предпосылки!$G210/(M$8+1-M$7)))</f>
        <v>0</v>
      </c>
      <c s="125">
        <f>IF(Предпосылки!$G210&gt;0,M287,N241*(Предпосылки!$G210/(N$8+1-N$7)))</f>
        <v>0</v>
      </c>
      <c s="125">
        <f>IF(Предпосылки!$G210&gt;0,N287,O241*(Предпосылки!$G210/(O$8+1-O$7)))</f>
        <v>0</v>
      </c>
      <c s="125">
        <f>IF(Предпосылки!$G210&gt;0,O287,P241*(Предпосылки!$G210/(P$8+1-P$7)))</f>
        <v>0</v>
      </c>
      <c s="125">
        <f>IF(Предпосылки!$G210&gt;0,P287,Q241*(Предпосылки!$G210/(Q$8+1-Q$7)))</f>
        <v>0</v>
      </c>
      <c s="125">
        <f>IF(Предпосылки!$G210&gt;0,Q287,R241*(Предпосылки!$G210/(R$8+1-R$7)))</f>
        <v>0</v>
      </c>
      <c s="125">
        <f>IF(Предпосылки!$G210&gt;0,R287,S241*(Предпосылки!$G210/(S$8+1-S$7)))</f>
        <v>0</v>
      </c>
      <c s="125">
        <f>IF(Предпосылки!$G210&gt;0,S287,T241*(Предпосылки!$G210/(T$8+1-T$7)))</f>
        <v>0</v>
      </c>
      <c s="125">
        <f>IF(Предпосылки!$G210&gt;0,T287,U241*(Предпосылки!$G210/(U$8+1-U$7)))</f>
        <v>0</v>
      </c>
      <c s="125">
        <f>IF(Предпосылки!$G210&gt;0,U287,V241*(Предпосылки!$G210/(V$8+1-V$7)))</f>
        <v>0</v>
      </c>
      <c s="125">
        <f>IF(Предпосылки!$G210&gt;0,V287,W241*(Предпосылки!$G210/(W$8+1-W$7)))</f>
        <v>0</v>
      </c>
      <c s="125">
        <f>IF(Предпосылки!$G210&gt;0,W287,X241*(Предпосылки!$G210/(X$8+1-X$7)))</f>
        <v>0</v>
      </c>
      <c s="125">
        <f>IF(Предпосылки!$G210&gt;0,X287,Y241*(Предпосылки!$G210/(Y$8+1-Y$7)))</f>
        <v>0</v>
      </c>
      <c s="125">
        <f>IF(Предпосылки!$G210&gt;0,Y287,Z241*(Предпосылки!$G210/(Z$8+1-Z$7)))</f>
        <v>0</v>
      </c>
      <c s="125">
        <f>IF(Предпосылки!$G210&gt;0,Z287,AA241*(Предпосылки!$G210/(AA$8+1-AA$7)))</f>
        <v>0</v>
      </c>
      <c s="125">
        <f>IF(Предпосылки!$G210&gt;0,AA287,AB241*(Предпосылки!$G210/(AB$8+1-AB$7)))</f>
        <v>0</v>
      </c>
      <c s="125">
        <f>IF(Предпосылки!$G210&gt;0,AB287,AC241*(Предпосылки!$G210/(AC$8+1-AC$7)))</f>
        <v>0</v>
      </c>
      <c s="125">
        <f>IF(Предпосылки!$G210&gt;0,AC287,AD241*(Предпосылки!$G210/(AD$8+1-AD$7)))</f>
        <v>0</v>
      </c>
      <c s="125">
        <f>IF(Предпосылки!$G210&gt;0,AD287,AE241*(Предпосылки!$G210/(AE$8+1-AE$7)))</f>
        <v>0</v>
      </c>
      <c s="125">
        <f>IF(Предпосылки!$G210&gt;0,AE287,AF241*(Предпосылки!$G210/(AF$8+1-AF$7)))</f>
        <v>0</v>
      </c>
      <c s="125">
        <f>IF(Предпосылки!$G210&gt;0,AF287,AG241*(Предпосылки!$G210/(AG$8+1-AG$7)))</f>
        <v>0</v>
      </c>
      <c s="125">
        <f>IF(Предпосылки!$G210&gt;0,AG287,AH241*(Предпосылки!$G210/(AH$8+1-AH$7)))</f>
        <v>0</v>
      </c>
      <c s="125">
        <f>IF(Предпосылки!$G210&gt;0,AH287,AI241*(Предпосылки!$G210/(AI$8+1-AI$7)))</f>
        <v>0</v>
      </c>
      <c s="125">
        <f>IF(Предпосылки!$G210&gt;0,AI287,AJ241*(Предпосылки!$G210/(AJ$8+1-AJ$7)))</f>
        <v>0</v>
      </c>
      <c s="125">
        <f>IF(Предпосылки!$G210&gt;0,AJ287,AK241*(Предпосылки!$G210/(AK$8+1-AK$7)))</f>
        <v>0</v>
      </c>
      <c s="125">
        <f>IF(Предпосылки!$G210&gt;0,AK287,AL241*(Предпосылки!$G210/(AL$8+1-AL$7)))</f>
        <v>0</v>
      </c>
      <c s="125">
        <f>IF(Предпосылки!$G210&gt;0,AL287,AM241*(Предпосылки!$G210/(AM$8+1-AM$7)))</f>
        <v>0</v>
      </c>
      <c s="125">
        <f>IF(Предпосылки!$G210&gt;0,AM287,AN241*(Предпосылки!$G210/(AN$8+1-AN$7)))</f>
        <v>0</v>
      </c>
      <c s="125">
        <f>IF(Предпосылки!$G210&gt;0,AN287,AO241*(Предпосылки!$G210/(AO$8+1-AO$7)))</f>
        <v>0</v>
      </c>
      <c s="125">
        <f>IF(Предпосылки!$G210&gt;0,AO287,AP241*(Предпосылки!$G210/(AP$8+1-AP$7)))</f>
        <v>0</v>
      </c>
      <c s="125">
        <f>IF(Предпосылки!$G210&gt;0,AP287,AQ241*(Предпосылки!$G210/(AQ$8+1-AQ$7)))</f>
        <v>0</v>
      </c>
      <c s="125">
        <f>IF(Предпосылки!$G210&gt;0,AQ287,AR241*(Предпосылки!$G210/(AR$8+1-AR$7)))</f>
        <v>0</v>
      </c>
      <c s="125">
        <f>IF(Предпосылки!$G210&gt;0,AR287,AS241*(Предпосылки!$G210/(AS$8+1-AS$7)))</f>
        <v>0</v>
      </c>
      <c s="125">
        <f>IF(Предпосылки!$G210&gt;0,AS287,AT241*(Предпосылки!$G210/(AT$8+1-AT$7)))</f>
        <v>0</v>
      </c>
      <c s="125">
        <f>IF(Предпосылки!$G210&gt;0,AT287,AU241*(Предпосылки!$G210/(AU$8+1-AU$7)))</f>
        <v>0</v>
      </c>
      <c s="125">
        <f>IF(Предпосылки!$G210&gt;0,AU287,AV241*(Предпосылки!$G210/(AV$8+1-AV$7)))</f>
        <v>0</v>
      </c>
      <c s="125">
        <f>IF(Предпосылки!$G210&gt;0,AV287,AW241*(Предпосылки!$G210/(AW$8+1-AW$7)))</f>
        <v>0</v>
      </c>
      <c s="125">
        <f>IF(Предпосылки!$G210&gt;0,AW287,AX241*(Предпосылки!$G210/(AX$8+1-AX$7)))</f>
        <v>0</v>
      </c>
      <c s="125">
        <f>IF(Предпосылки!$G210&gt;0,AX287,AY241*(Предпосылки!$G210/(AY$8+1-AY$7)))</f>
        <v>0</v>
      </c>
      <c s="125">
        <f>IF(Предпосылки!$G210&gt;0,AY287,AZ241*(Предпосылки!$G210/(AZ$8+1-AZ$7)))</f>
        <v>0</v>
      </c>
      <c s="125">
        <f>IF(Предпосылки!$G210&gt;0,AZ287,BA241*(Предпосылки!$G210/(BA$8+1-BA$7)))</f>
        <v>0</v>
      </c>
      <c s="125">
        <f>IF(Предпосылки!$G210&gt;0,BA287,BB241*(Предпосылки!$G210/(BB$8+1-BB$7)))</f>
        <v>0</v>
      </c>
      <c s="125">
        <f>IF(Предпосылки!$G210&gt;0,BB287,BC241*(Предпосылки!$G210/(BC$8+1-BC$7)))</f>
        <v>0</v>
      </c>
      <c s="125">
        <f>IF(Предпосылки!$G210&gt;0,BC287,BD241*(Предпосылки!$G210/(BD$8+1-BD$7)))</f>
        <v>0</v>
      </c>
      <c s="125">
        <f>IF(Предпосылки!$G210&gt;0,BD287,BE241*(Предпосылки!$G210/(BE$8+1-BE$7)))</f>
        <v>0</v>
      </c>
      <c s="125">
        <f>IF(Предпосылки!$G210&gt;0,BE287,BF241*(Предпосылки!$G210/(BF$8+1-BF$7)))</f>
        <v>0</v>
      </c>
      <c s="125">
        <f>IF(Предпосылки!$G210&gt;0,BF287,BG241*(Предпосылки!$G210/(BG$8+1-BG$7)))</f>
        <v>0</v>
      </c>
      <c s="125">
        <f>IF(Предпосылки!$G210&gt;0,BG287,BH241*(Предпосылки!$G210/(BH$8+1-BH$7)))</f>
        <v>0</v>
      </c>
      <c s="125">
        <f>IF(Предпосылки!$G210&gt;0,BH287,BI241*(Предпосылки!$G210/(BI$8+1-BI$7)))</f>
        <v>0</v>
      </c>
      <c s="125">
        <f>IF(Предпосылки!$G210&gt;0,BI287,BJ241*(Предпосылки!$G210/(BJ$8+1-BJ$7)))</f>
        <v>0</v>
      </c>
      <c s="125">
        <f>IF(Предпосылки!$G210&gt;0,BJ287,BK241*(Предпосылки!$G210/(BK$8+1-BK$7)))</f>
        <v>0</v>
      </c>
      <c s="125">
        <f>IF(Предпосылки!$G210&gt;0,BK287,BL241*(Предпосылки!$G210/(BL$8+1-BL$7)))</f>
        <v>0</v>
      </c>
      <c s="125">
        <f>IF(Предпосылки!$G210&gt;0,BL287,BM241*(Предпосылки!$G210/(BM$8+1-BM$7)))</f>
        <v>0</v>
      </c>
    </row>
    <row r="219" spans="2:65" ht="15" customHeight="1">
      <c r="B219" s="12" t="str">
        <f>IF(ISBLANK(Предпосылки!B211),"-",Предпосылки!B211)</f>
        <v>Операционные затраты 11</v>
      </c>
      <c s="124" t="str">
        <f t="shared" si="201"/>
        <v>тыс. руб.</v>
      </c>
      <c s="125"/>
      <c s="125">
        <f>IF(Предпосылки!$G211&gt;0,D288,E242*(Предпосылки!$G211/(E$8+1-E$7)))</f>
        <v>0</v>
      </c>
      <c s="125">
        <f>IF(Предпосылки!$G211&gt;0,E288,F242*(Предпосылки!$G211/(F$8+1-F$7)))</f>
        <v>0</v>
      </c>
      <c s="125">
        <f>IF(Предпосылки!$G211&gt;0,F288,G242*(Предпосылки!$G211/(G$8+1-G$7)))</f>
        <v>0</v>
      </c>
      <c s="125">
        <f>IF(Предпосылки!$G211&gt;0,G288,H242*(Предпосылки!$G211/(H$8+1-H$7)))</f>
        <v>0</v>
      </c>
      <c s="125">
        <f>IF(Предпосылки!$G211&gt;0,H288,I242*(Предпосылки!$G211/(I$8+1-I$7)))</f>
        <v>0</v>
      </c>
      <c s="125">
        <f>IF(Предпосылки!$G211&gt;0,I288,J242*(Предпосылки!$G211/(J$8+1-J$7)))</f>
        <v>0</v>
      </c>
      <c s="125">
        <f>IF(Предпосылки!$G211&gt;0,J288,K242*(Предпосылки!$G211/(K$8+1-K$7)))</f>
        <v>0</v>
      </c>
      <c s="125">
        <f>IF(Предпосылки!$G211&gt;0,K288,L242*(Предпосылки!$G211/(L$8+1-L$7)))</f>
        <v>0</v>
      </c>
      <c s="125">
        <f>IF(Предпосылки!$G211&gt;0,L288,M242*(Предпосылки!$G211/(M$8+1-M$7)))</f>
        <v>0</v>
      </c>
      <c s="125">
        <f>IF(Предпосылки!$G211&gt;0,M288,N242*(Предпосылки!$G211/(N$8+1-N$7)))</f>
        <v>0</v>
      </c>
      <c s="125">
        <f>IF(Предпосылки!$G211&gt;0,N288,O242*(Предпосылки!$G211/(O$8+1-O$7)))</f>
        <v>0</v>
      </c>
      <c s="125">
        <f>IF(Предпосылки!$G211&gt;0,O288,P242*(Предпосылки!$G211/(P$8+1-P$7)))</f>
        <v>0</v>
      </c>
      <c s="125">
        <f>IF(Предпосылки!$G211&gt;0,P288,Q242*(Предпосылки!$G211/(Q$8+1-Q$7)))</f>
        <v>0</v>
      </c>
      <c s="125">
        <f>IF(Предпосылки!$G211&gt;0,Q288,R242*(Предпосылки!$G211/(R$8+1-R$7)))</f>
        <v>0</v>
      </c>
      <c s="125">
        <f>IF(Предпосылки!$G211&gt;0,R288,S242*(Предпосылки!$G211/(S$8+1-S$7)))</f>
        <v>0</v>
      </c>
      <c s="125">
        <f>IF(Предпосылки!$G211&gt;0,S288,T242*(Предпосылки!$G211/(T$8+1-T$7)))</f>
        <v>0</v>
      </c>
      <c s="125">
        <f>IF(Предпосылки!$G211&gt;0,T288,U242*(Предпосылки!$G211/(U$8+1-U$7)))</f>
        <v>0</v>
      </c>
      <c s="125">
        <f>IF(Предпосылки!$G211&gt;0,U288,V242*(Предпосылки!$G211/(V$8+1-V$7)))</f>
        <v>0</v>
      </c>
      <c s="125">
        <f>IF(Предпосылки!$G211&gt;0,V288,W242*(Предпосылки!$G211/(W$8+1-W$7)))</f>
        <v>0</v>
      </c>
      <c s="125">
        <f>IF(Предпосылки!$G211&gt;0,W288,X242*(Предпосылки!$G211/(X$8+1-X$7)))</f>
        <v>0</v>
      </c>
      <c s="125">
        <f>IF(Предпосылки!$G211&gt;0,X288,Y242*(Предпосылки!$G211/(Y$8+1-Y$7)))</f>
        <v>0</v>
      </c>
      <c s="125">
        <f>IF(Предпосылки!$G211&gt;0,Y288,Z242*(Предпосылки!$G211/(Z$8+1-Z$7)))</f>
        <v>0</v>
      </c>
      <c s="125">
        <f>IF(Предпосылки!$G211&gt;0,Z288,AA242*(Предпосылки!$G211/(AA$8+1-AA$7)))</f>
        <v>0</v>
      </c>
      <c s="125">
        <f>IF(Предпосылки!$G211&gt;0,AA288,AB242*(Предпосылки!$G211/(AB$8+1-AB$7)))</f>
        <v>0</v>
      </c>
      <c s="125">
        <f>IF(Предпосылки!$G211&gt;0,AB288,AC242*(Предпосылки!$G211/(AC$8+1-AC$7)))</f>
        <v>0</v>
      </c>
      <c s="125">
        <f>IF(Предпосылки!$G211&gt;0,AC288,AD242*(Предпосылки!$G211/(AD$8+1-AD$7)))</f>
        <v>0</v>
      </c>
      <c s="125">
        <f>IF(Предпосылки!$G211&gt;0,AD288,AE242*(Предпосылки!$G211/(AE$8+1-AE$7)))</f>
        <v>0</v>
      </c>
      <c s="125">
        <f>IF(Предпосылки!$G211&gt;0,AE288,AF242*(Предпосылки!$G211/(AF$8+1-AF$7)))</f>
        <v>0</v>
      </c>
      <c s="125">
        <f>IF(Предпосылки!$G211&gt;0,AF288,AG242*(Предпосылки!$G211/(AG$8+1-AG$7)))</f>
        <v>0</v>
      </c>
      <c s="125">
        <f>IF(Предпосылки!$G211&gt;0,AG288,AH242*(Предпосылки!$G211/(AH$8+1-AH$7)))</f>
        <v>0</v>
      </c>
      <c s="125">
        <f>IF(Предпосылки!$G211&gt;0,AH288,AI242*(Предпосылки!$G211/(AI$8+1-AI$7)))</f>
        <v>0</v>
      </c>
      <c s="125">
        <f>IF(Предпосылки!$G211&gt;0,AI288,AJ242*(Предпосылки!$G211/(AJ$8+1-AJ$7)))</f>
        <v>0</v>
      </c>
      <c s="125">
        <f>IF(Предпосылки!$G211&gt;0,AJ288,AK242*(Предпосылки!$G211/(AK$8+1-AK$7)))</f>
        <v>0</v>
      </c>
      <c s="125">
        <f>IF(Предпосылки!$G211&gt;0,AK288,AL242*(Предпосылки!$G211/(AL$8+1-AL$7)))</f>
        <v>0</v>
      </c>
      <c s="125">
        <f>IF(Предпосылки!$G211&gt;0,AL288,AM242*(Предпосылки!$G211/(AM$8+1-AM$7)))</f>
        <v>0</v>
      </c>
      <c s="125">
        <f>IF(Предпосылки!$G211&gt;0,AM288,AN242*(Предпосылки!$G211/(AN$8+1-AN$7)))</f>
        <v>0</v>
      </c>
      <c s="125">
        <f>IF(Предпосылки!$G211&gt;0,AN288,AO242*(Предпосылки!$G211/(AO$8+1-AO$7)))</f>
        <v>0</v>
      </c>
      <c s="125">
        <f>IF(Предпосылки!$G211&gt;0,AO288,AP242*(Предпосылки!$G211/(AP$8+1-AP$7)))</f>
        <v>0</v>
      </c>
      <c s="125">
        <f>IF(Предпосылки!$G211&gt;0,AP288,AQ242*(Предпосылки!$G211/(AQ$8+1-AQ$7)))</f>
        <v>0</v>
      </c>
      <c s="125">
        <f>IF(Предпосылки!$G211&gt;0,AQ288,AR242*(Предпосылки!$G211/(AR$8+1-AR$7)))</f>
        <v>0</v>
      </c>
      <c s="125">
        <f>IF(Предпосылки!$G211&gt;0,AR288,AS242*(Предпосылки!$G211/(AS$8+1-AS$7)))</f>
        <v>0</v>
      </c>
      <c s="125">
        <f>IF(Предпосылки!$G211&gt;0,AS288,AT242*(Предпосылки!$G211/(AT$8+1-AT$7)))</f>
        <v>0</v>
      </c>
      <c s="125">
        <f>IF(Предпосылки!$G211&gt;0,AT288,AU242*(Предпосылки!$G211/(AU$8+1-AU$7)))</f>
        <v>0</v>
      </c>
      <c s="125">
        <f>IF(Предпосылки!$G211&gt;0,AU288,AV242*(Предпосылки!$G211/(AV$8+1-AV$7)))</f>
        <v>0</v>
      </c>
      <c s="125">
        <f>IF(Предпосылки!$G211&gt;0,AV288,AW242*(Предпосылки!$G211/(AW$8+1-AW$7)))</f>
        <v>0</v>
      </c>
      <c s="125">
        <f>IF(Предпосылки!$G211&gt;0,AW288,AX242*(Предпосылки!$G211/(AX$8+1-AX$7)))</f>
        <v>0</v>
      </c>
      <c s="125">
        <f>IF(Предпосылки!$G211&gt;0,AX288,AY242*(Предпосылки!$G211/(AY$8+1-AY$7)))</f>
        <v>0</v>
      </c>
      <c s="125">
        <f>IF(Предпосылки!$G211&gt;0,AY288,AZ242*(Предпосылки!$G211/(AZ$8+1-AZ$7)))</f>
        <v>0</v>
      </c>
      <c s="125">
        <f>IF(Предпосылки!$G211&gt;0,AZ288,BA242*(Предпосылки!$G211/(BA$8+1-BA$7)))</f>
        <v>0</v>
      </c>
      <c s="125">
        <f>IF(Предпосылки!$G211&gt;0,BA288,BB242*(Предпосылки!$G211/(BB$8+1-BB$7)))</f>
        <v>0</v>
      </c>
      <c s="125">
        <f>IF(Предпосылки!$G211&gt;0,BB288,BC242*(Предпосылки!$G211/(BC$8+1-BC$7)))</f>
        <v>0</v>
      </c>
      <c s="125">
        <f>IF(Предпосылки!$G211&gt;0,BC288,BD242*(Предпосылки!$G211/(BD$8+1-BD$7)))</f>
        <v>0</v>
      </c>
      <c s="125">
        <f>IF(Предпосылки!$G211&gt;0,BD288,BE242*(Предпосылки!$G211/(BE$8+1-BE$7)))</f>
        <v>0</v>
      </c>
      <c s="125">
        <f>IF(Предпосылки!$G211&gt;0,BE288,BF242*(Предпосылки!$G211/(BF$8+1-BF$7)))</f>
        <v>0</v>
      </c>
      <c s="125">
        <f>IF(Предпосылки!$G211&gt;0,BF288,BG242*(Предпосылки!$G211/(BG$8+1-BG$7)))</f>
        <v>0</v>
      </c>
      <c s="125">
        <f>IF(Предпосылки!$G211&gt;0,BG288,BH242*(Предпосылки!$G211/(BH$8+1-BH$7)))</f>
        <v>0</v>
      </c>
      <c s="125">
        <f>IF(Предпосылки!$G211&gt;0,BH288,BI242*(Предпосылки!$G211/(BI$8+1-BI$7)))</f>
        <v>0</v>
      </c>
      <c s="125">
        <f>IF(Предпосылки!$G211&gt;0,BI288,BJ242*(Предпосылки!$G211/(BJ$8+1-BJ$7)))</f>
        <v>0</v>
      </c>
      <c s="125">
        <f>IF(Предпосылки!$G211&gt;0,BJ288,BK242*(Предпосылки!$G211/(BK$8+1-BK$7)))</f>
        <v>0</v>
      </c>
      <c s="125">
        <f>IF(Предпосылки!$G211&gt;0,BK288,BL242*(Предпосылки!$G211/(BL$8+1-BL$7)))</f>
        <v>0</v>
      </c>
      <c s="125">
        <f>IF(Предпосылки!$G211&gt;0,BL288,BM242*(Предпосылки!$G211/(BM$8+1-BM$7)))</f>
        <v>0</v>
      </c>
    </row>
    <row r="220" spans="2:65" ht="15" customHeight="1">
      <c r="B220" s="12" t="str">
        <f>IF(ISBLANK(Предпосылки!B212),"-",Предпосылки!B212)</f>
        <v>Операционные затраты 12</v>
      </c>
      <c s="124" t="str">
        <f t="shared" si="201"/>
        <v>тыс. руб.</v>
      </c>
      <c s="125"/>
      <c s="125">
        <f>IF(Предпосылки!$G212&gt;0,D289,E243*(Предпосылки!$G212/(E$8+1-E$7)))</f>
        <v>0</v>
      </c>
      <c s="125">
        <f>IF(Предпосылки!$G212&gt;0,E289,F243*(Предпосылки!$G212/(F$8+1-F$7)))</f>
        <v>0</v>
      </c>
      <c s="125">
        <f>IF(Предпосылки!$G212&gt;0,F289,G243*(Предпосылки!$G212/(G$8+1-G$7)))</f>
        <v>0</v>
      </c>
      <c s="125">
        <f>IF(Предпосылки!$G212&gt;0,G289,H243*(Предпосылки!$G212/(H$8+1-H$7)))</f>
        <v>0</v>
      </c>
      <c s="125">
        <f>IF(Предпосылки!$G212&gt;0,H289,I243*(Предпосылки!$G212/(I$8+1-I$7)))</f>
        <v>0</v>
      </c>
      <c s="125">
        <f>IF(Предпосылки!$G212&gt;0,I289,J243*(Предпосылки!$G212/(J$8+1-J$7)))</f>
        <v>0</v>
      </c>
      <c s="125">
        <f>IF(Предпосылки!$G212&gt;0,J289,K243*(Предпосылки!$G212/(K$8+1-K$7)))</f>
        <v>0</v>
      </c>
      <c s="125">
        <f>IF(Предпосылки!$G212&gt;0,K289,L243*(Предпосылки!$G212/(L$8+1-L$7)))</f>
        <v>0</v>
      </c>
      <c s="125">
        <f>IF(Предпосылки!$G212&gt;0,L289,M243*(Предпосылки!$G212/(M$8+1-M$7)))</f>
        <v>0</v>
      </c>
      <c s="125">
        <f>IF(Предпосылки!$G212&gt;0,M289,N243*(Предпосылки!$G212/(N$8+1-N$7)))</f>
        <v>0</v>
      </c>
      <c s="125">
        <f>IF(Предпосылки!$G212&gt;0,N289,O243*(Предпосылки!$G212/(O$8+1-O$7)))</f>
        <v>0</v>
      </c>
      <c s="125">
        <f>IF(Предпосылки!$G212&gt;0,O289,P243*(Предпосылки!$G212/(P$8+1-P$7)))</f>
        <v>0</v>
      </c>
      <c s="125">
        <f>IF(Предпосылки!$G212&gt;0,P289,Q243*(Предпосылки!$G212/(Q$8+1-Q$7)))</f>
        <v>0</v>
      </c>
      <c s="125">
        <f>IF(Предпосылки!$G212&gt;0,Q289,R243*(Предпосылки!$G212/(R$8+1-R$7)))</f>
        <v>0</v>
      </c>
      <c s="125">
        <f>IF(Предпосылки!$G212&gt;0,R289,S243*(Предпосылки!$G212/(S$8+1-S$7)))</f>
        <v>0</v>
      </c>
      <c s="125">
        <f>IF(Предпосылки!$G212&gt;0,S289,T243*(Предпосылки!$G212/(T$8+1-T$7)))</f>
        <v>0</v>
      </c>
      <c s="125">
        <f>IF(Предпосылки!$G212&gt;0,T289,U243*(Предпосылки!$G212/(U$8+1-U$7)))</f>
        <v>0</v>
      </c>
      <c s="125">
        <f>IF(Предпосылки!$G212&gt;0,U289,V243*(Предпосылки!$G212/(V$8+1-V$7)))</f>
        <v>0</v>
      </c>
      <c s="125">
        <f>IF(Предпосылки!$G212&gt;0,V289,W243*(Предпосылки!$G212/(W$8+1-W$7)))</f>
        <v>0</v>
      </c>
      <c s="125">
        <f>IF(Предпосылки!$G212&gt;0,W289,X243*(Предпосылки!$G212/(X$8+1-X$7)))</f>
        <v>0</v>
      </c>
      <c s="125">
        <f>IF(Предпосылки!$G212&gt;0,X289,Y243*(Предпосылки!$G212/(Y$8+1-Y$7)))</f>
        <v>0</v>
      </c>
      <c s="125">
        <f>IF(Предпосылки!$G212&gt;0,Y289,Z243*(Предпосылки!$G212/(Z$8+1-Z$7)))</f>
        <v>0</v>
      </c>
      <c s="125">
        <f>IF(Предпосылки!$G212&gt;0,Z289,AA243*(Предпосылки!$G212/(AA$8+1-AA$7)))</f>
        <v>0</v>
      </c>
      <c s="125">
        <f>IF(Предпосылки!$G212&gt;0,AA289,AB243*(Предпосылки!$G212/(AB$8+1-AB$7)))</f>
        <v>0</v>
      </c>
      <c s="125">
        <f>IF(Предпосылки!$G212&gt;0,AB289,AC243*(Предпосылки!$G212/(AC$8+1-AC$7)))</f>
        <v>0</v>
      </c>
      <c s="125">
        <f>IF(Предпосылки!$G212&gt;0,AC289,AD243*(Предпосылки!$G212/(AD$8+1-AD$7)))</f>
        <v>0</v>
      </c>
      <c s="125">
        <f>IF(Предпосылки!$G212&gt;0,AD289,AE243*(Предпосылки!$G212/(AE$8+1-AE$7)))</f>
        <v>0</v>
      </c>
      <c s="125">
        <f>IF(Предпосылки!$G212&gt;0,AE289,AF243*(Предпосылки!$G212/(AF$8+1-AF$7)))</f>
        <v>0</v>
      </c>
      <c s="125">
        <f>IF(Предпосылки!$G212&gt;0,AF289,AG243*(Предпосылки!$G212/(AG$8+1-AG$7)))</f>
        <v>0</v>
      </c>
      <c s="125">
        <f>IF(Предпосылки!$G212&gt;0,AG289,AH243*(Предпосылки!$G212/(AH$8+1-AH$7)))</f>
        <v>0</v>
      </c>
      <c s="125">
        <f>IF(Предпосылки!$G212&gt;0,AH289,AI243*(Предпосылки!$G212/(AI$8+1-AI$7)))</f>
        <v>0</v>
      </c>
      <c s="125">
        <f>IF(Предпосылки!$G212&gt;0,AI289,AJ243*(Предпосылки!$G212/(AJ$8+1-AJ$7)))</f>
        <v>0</v>
      </c>
      <c s="125">
        <f>IF(Предпосылки!$G212&gt;0,AJ289,AK243*(Предпосылки!$G212/(AK$8+1-AK$7)))</f>
        <v>0</v>
      </c>
      <c s="125">
        <f>IF(Предпосылки!$G212&gt;0,AK289,AL243*(Предпосылки!$G212/(AL$8+1-AL$7)))</f>
        <v>0</v>
      </c>
      <c s="125">
        <f>IF(Предпосылки!$G212&gt;0,AL289,AM243*(Предпосылки!$G212/(AM$8+1-AM$7)))</f>
        <v>0</v>
      </c>
      <c s="125">
        <f>IF(Предпосылки!$G212&gt;0,AM289,AN243*(Предпосылки!$G212/(AN$8+1-AN$7)))</f>
        <v>0</v>
      </c>
      <c s="125">
        <f>IF(Предпосылки!$G212&gt;0,AN289,AO243*(Предпосылки!$G212/(AO$8+1-AO$7)))</f>
        <v>0</v>
      </c>
      <c s="125">
        <f>IF(Предпосылки!$G212&gt;0,AO289,AP243*(Предпосылки!$G212/(AP$8+1-AP$7)))</f>
        <v>0</v>
      </c>
      <c s="125">
        <f>IF(Предпосылки!$G212&gt;0,AP289,AQ243*(Предпосылки!$G212/(AQ$8+1-AQ$7)))</f>
        <v>0</v>
      </c>
      <c s="125">
        <f>IF(Предпосылки!$G212&gt;0,AQ289,AR243*(Предпосылки!$G212/(AR$8+1-AR$7)))</f>
        <v>0</v>
      </c>
      <c s="125">
        <f>IF(Предпосылки!$G212&gt;0,AR289,AS243*(Предпосылки!$G212/(AS$8+1-AS$7)))</f>
        <v>0</v>
      </c>
      <c s="125">
        <f>IF(Предпосылки!$G212&gt;0,AS289,AT243*(Предпосылки!$G212/(AT$8+1-AT$7)))</f>
        <v>0</v>
      </c>
      <c s="125">
        <f>IF(Предпосылки!$G212&gt;0,AT289,AU243*(Предпосылки!$G212/(AU$8+1-AU$7)))</f>
        <v>0</v>
      </c>
      <c s="125">
        <f>IF(Предпосылки!$G212&gt;0,AU289,AV243*(Предпосылки!$G212/(AV$8+1-AV$7)))</f>
        <v>0</v>
      </c>
      <c s="125">
        <f>IF(Предпосылки!$G212&gt;0,AV289,AW243*(Предпосылки!$G212/(AW$8+1-AW$7)))</f>
        <v>0</v>
      </c>
      <c s="125">
        <f>IF(Предпосылки!$G212&gt;0,AW289,AX243*(Предпосылки!$G212/(AX$8+1-AX$7)))</f>
        <v>0</v>
      </c>
      <c s="125">
        <f>IF(Предпосылки!$G212&gt;0,AX289,AY243*(Предпосылки!$G212/(AY$8+1-AY$7)))</f>
        <v>0</v>
      </c>
      <c s="125">
        <f>IF(Предпосылки!$G212&gt;0,AY289,AZ243*(Предпосылки!$G212/(AZ$8+1-AZ$7)))</f>
        <v>0</v>
      </c>
      <c s="125">
        <f>IF(Предпосылки!$G212&gt;0,AZ289,BA243*(Предпосылки!$G212/(BA$8+1-BA$7)))</f>
        <v>0</v>
      </c>
      <c s="125">
        <f>IF(Предпосылки!$G212&gt;0,BA289,BB243*(Предпосылки!$G212/(BB$8+1-BB$7)))</f>
        <v>0</v>
      </c>
      <c s="125">
        <f>IF(Предпосылки!$G212&gt;0,BB289,BC243*(Предпосылки!$G212/(BC$8+1-BC$7)))</f>
        <v>0</v>
      </c>
      <c s="125">
        <f>IF(Предпосылки!$G212&gt;0,BC289,BD243*(Предпосылки!$G212/(BD$8+1-BD$7)))</f>
        <v>0</v>
      </c>
      <c s="125">
        <f>IF(Предпосылки!$G212&gt;0,BD289,BE243*(Предпосылки!$G212/(BE$8+1-BE$7)))</f>
        <v>0</v>
      </c>
      <c s="125">
        <f>IF(Предпосылки!$G212&gt;0,BE289,BF243*(Предпосылки!$G212/(BF$8+1-BF$7)))</f>
        <v>0</v>
      </c>
      <c s="125">
        <f>IF(Предпосылки!$G212&gt;0,BF289,BG243*(Предпосылки!$G212/(BG$8+1-BG$7)))</f>
        <v>0</v>
      </c>
      <c s="125">
        <f>IF(Предпосылки!$G212&gt;0,BG289,BH243*(Предпосылки!$G212/(BH$8+1-BH$7)))</f>
        <v>0</v>
      </c>
      <c s="125">
        <f>IF(Предпосылки!$G212&gt;0,BH289,BI243*(Предпосылки!$G212/(BI$8+1-BI$7)))</f>
        <v>0</v>
      </c>
      <c s="125">
        <f>IF(Предпосылки!$G212&gt;0,BI289,BJ243*(Предпосылки!$G212/(BJ$8+1-BJ$7)))</f>
        <v>0</v>
      </c>
      <c s="125">
        <f>IF(Предпосылки!$G212&gt;0,BJ289,BK243*(Предпосылки!$G212/(BK$8+1-BK$7)))</f>
        <v>0</v>
      </c>
      <c s="125">
        <f>IF(Предпосылки!$G212&gt;0,BK289,BL243*(Предпосылки!$G212/(BL$8+1-BL$7)))</f>
        <v>0</v>
      </c>
      <c s="125">
        <f>IF(Предпосылки!$G212&gt;0,BL289,BM243*(Предпосылки!$G212/(BM$8+1-BM$7)))</f>
        <v>0</v>
      </c>
    </row>
    <row r="221" spans="2:65" ht="15" customHeight="1">
      <c r="B221" s="12" t="str">
        <f>IF(ISBLANK(Предпосылки!B213),"-",Предпосылки!B213)</f>
        <v>Операционные затраты 13</v>
      </c>
      <c s="124" t="str">
        <f t="shared" si="201"/>
        <v>тыс. руб.</v>
      </c>
      <c s="125"/>
      <c s="125">
        <f>IF(Предпосылки!$G213&gt;0,D290,E244*(Предпосылки!$G213/(E$8+1-E$7)))</f>
        <v>0</v>
      </c>
      <c s="125">
        <f>IF(Предпосылки!$G213&gt;0,E290,F244*(Предпосылки!$G213/(F$8+1-F$7)))</f>
        <v>0</v>
      </c>
      <c s="125">
        <f>IF(Предпосылки!$G213&gt;0,F290,G244*(Предпосылки!$G213/(G$8+1-G$7)))</f>
        <v>0</v>
      </c>
      <c s="125">
        <f>IF(Предпосылки!$G213&gt;0,G290,H244*(Предпосылки!$G213/(H$8+1-H$7)))</f>
        <v>0</v>
      </c>
      <c s="125">
        <f>IF(Предпосылки!$G213&gt;0,H290,I244*(Предпосылки!$G213/(I$8+1-I$7)))</f>
        <v>0</v>
      </c>
      <c s="125">
        <f>IF(Предпосылки!$G213&gt;0,I290,J244*(Предпосылки!$G213/(J$8+1-J$7)))</f>
        <v>0</v>
      </c>
      <c s="125">
        <f>IF(Предпосылки!$G213&gt;0,J290,K244*(Предпосылки!$G213/(K$8+1-K$7)))</f>
        <v>0</v>
      </c>
      <c s="125">
        <f>IF(Предпосылки!$G213&gt;0,K290,L244*(Предпосылки!$G213/(L$8+1-L$7)))</f>
        <v>0</v>
      </c>
      <c s="125">
        <f>IF(Предпосылки!$G213&gt;0,L290,M244*(Предпосылки!$G213/(M$8+1-M$7)))</f>
        <v>0</v>
      </c>
      <c s="125">
        <f>IF(Предпосылки!$G213&gt;0,M290,N244*(Предпосылки!$G213/(N$8+1-N$7)))</f>
        <v>0</v>
      </c>
      <c s="125">
        <f>IF(Предпосылки!$G213&gt;0,N290,O244*(Предпосылки!$G213/(O$8+1-O$7)))</f>
        <v>0</v>
      </c>
      <c s="125">
        <f>IF(Предпосылки!$G213&gt;0,O290,P244*(Предпосылки!$G213/(P$8+1-P$7)))</f>
        <v>0</v>
      </c>
      <c s="125">
        <f>IF(Предпосылки!$G213&gt;0,P290,Q244*(Предпосылки!$G213/(Q$8+1-Q$7)))</f>
        <v>0</v>
      </c>
      <c s="125">
        <f>IF(Предпосылки!$G213&gt;0,Q290,R244*(Предпосылки!$G213/(R$8+1-R$7)))</f>
        <v>0</v>
      </c>
      <c s="125">
        <f>IF(Предпосылки!$G213&gt;0,R290,S244*(Предпосылки!$G213/(S$8+1-S$7)))</f>
        <v>0</v>
      </c>
      <c s="125">
        <f>IF(Предпосылки!$G213&gt;0,S290,T244*(Предпосылки!$G213/(T$8+1-T$7)))</f>
        <v>0</v>
      </c>
      <c s="125">
        <f>IF(Предпосылки!$G213&gt;0,T290,U244*(Предпосылки!$G213/(U$8+1-U$7)))</f>
        <v>0</v>
      </c>
      <c s="125">
        <f>IF(Предпосылки!$G213&gt;0,U290,V244*(Предпосылки!$G213/(V$8+1-V$7)))</f>
        <v>0</v>
      </c>
      <c s="125">
        <f>IF(Предпосылки!$G213&gt;0,V290,W244*(Предпосылки!$G213/(W$8+1-W$7)))</f>
        <v>0</v>
      </c>
      <c s="125">
        <f>IF(Предпосылки!$G213&gt;0,W290,X244*(Предпосылки!$G213/(X$8+1-X$7)))</f>
        <v>0</v>
      </c>
      <c s="125">
        <f>IF(Предпосылки!$G213&gt;0,X290,Y244*(Предпосылки!$G213/(Y$8+1-Y$7)))</f>
        <v>0</v>
      </c>
      <c s="125">
        <f>IF(Предпосылки!$G213&gt;0,Y290,Z244*(Предпосылки!$G213/(Z$8+1-Z$7)))</f>
        <v>0</v>
      </c>
      <c s="125">
        <f>IF(Предпосылки!$G213&gt;0,Z290,AA244*(Предпосылки!$G213/(AA$8+1-AA$7)))</f>
        <v>0</v>
      </c>
      <c s="125">
        <f>IF(Предпосылки!$G213&gt;0,AA290,AB244*(Предпосылки!$G213/(AB$8+1-AB$7)))</f>
        <v>0</v>
      </c>
      <c s="125">
        <f>IF(Предпосылки!$G213&gt;0,AB290,AC244*(Предпосылки!$G213/(AC$8+1-AC$7)))</f>
        <v>0</v>
      </c>
      <c s="125">
        <f>IF(Предпосылки!$G213&gt;0,AC290,AD244*(Предпосылки!$G213/(AD$8+1-AD$7)))</f>
        <v>0</v>
      </c>
      <c s="125">
        <f>IF(Предпосылки!$G213&gt;0,AD290,AE244*(Предпосылки!$G213/(AE$8+1-AE$7)))</f>
        <v>0</v>
      </c>
      <c s="125">
        <f>IF(Предпосылки!$G213&gt;0,AE290,AF244*(Предпосылки!$G213/(AF$8+1-AF$7)))</f>
        <v>0</v>
      </c>
      <c s="125">
        <f>IF(Предпосылки!$G213&gt;0,AF290,AG244*(Предпосылки!$G213/(AG$8+1-AG$7)))</f>
        <v>0</v>
      </c>
      <c s="125">
        <f>IF(Предпосылки!$G213&gt;0,AG290,AH244*(Предпосылки!$G213/(AH$8+1-AH$7)))</f>
        <v>0</v>
      </c>
      <c s="125">
        <f>IF(Предпосылки!$G213&gt;0,AH290,AI244*(Предпосылки!$G213/(AI$8+1-AI$7)))</f>
        <v>0</v>
      </c>
      <c s="125">
        <f>IF(Предпосылки!$G213&gt;0,AI290,AJ244*(Предпосылки!$G213/(AJ$8+1-AJ$7)))</f>
        <v>0</v>
      </c>
      <c s="125">
        <f>IF(Предпосылки!$G213&gt;0,AJ290,AK244*(Предпосылки!$G213/(AK$8+1-AK$7)))</f>
        <v>0</v>
      </c>
      <c s="125">
        <f>IF(Предпосылки!$G213&gt;0,AK290,AL244*(Предпосылки!$G213/(AL$8+1-AL$7)))</f>
        <v>0</v>
      </c>
      <c s="125">
        <f>IF(Предпосылки!$G213&gt;0,AL290,AM244*(Предпосылки!$G213/(AM$8+1-AM$7)))</f>
        <v>0</v>
      </c>
      <c s="125">
        <f>IF(Предпосылки!$G213&gt;0,AM290,AN244*(Предпосылки!$G213/(AN$8+1-AN$7)))</f>
        <v>0</v>
      </c>
      <c s="125">
        <f>IF(Предпосылки!$G213&gt;0,AN290,AO244*(Предпосылки!$G213/(AO$8+1-AO$7)))</f>
        <v>0</v>
      </c>
      <c s="125">
        <f>IF(Предпосылки!$G213&gt;0,AO290,AP244*(Предпосылки!$G213/(AP$8+1-AP$7)))</f>
        <v>0</v>
      </c>
      <c s="125">
        <f>IF(Предпосылки!$G213&gt;0,AP290,AQ244*(Предпосылки!$G213/(AQ$8+1-AQ$7)))</f>
        <v>0</v>
      </c>
      <c s="125">
        <f>IF(Предпосылки!$G213&gt;0,AQ290,AR244*(Предпосылки!$G213/(AR$8+1-AR$7)))</f>
        <v>0</v>
      </c>
      <c s="125">
        <f>IF(Предпосылки!$G213&gt;0,AR290,AS244*(Предпосылки!$G213/(AS$8+1-AS$7)))</f>
        <v>0</v>
      </c>
      <c s="125">
        <f>IF(Предпосылки!$G213&gt;0,AS290,AT244*(Предпосылки!$G213/(AT$8+1-AT$7)))</f>
        <v>0</v>
      </c>
      <c s="125">
        <f>IF(Предпосылки!$G213&gt;0,AT290,AU244*(Предпосылки!$G213/(AU$8+1-AU$7)))</f>
        <v>0</v>
      </c>
      <c s="125">
        <f>IF(Предпосылки!$G213&gt;0,AU290,AV244*(Предпосылки!$G213/(AV$8+1-AV$7)))</f>
        <v>0</v>
      </c>
      <c s="125">
        <f>IF(Предпосылки!$G213&gt;0,AV290,AW244*(Предпосылки!$G213/(AW$8+1-AW$7)))</f>
        <v>0</v>
      </c>
      <c s="125">
        <f>IF(Предпосылки!$G213&gt;0,AW290,AX244*(Предпосылки!$G213/(AX$8+1-AX$7)))</f>
        <v>0</v>
      </c>
      <c s="125">
        <f>IF(Предпосылки!$G213&gt;0,AX290,AY244*(Предпосылки!$G213/(AY$8+1-AY$7)))</f>
        <v>0</v>
      </c>
      <c s="125">
        <f>IF(Предпосылки!$G213&gt;0,AY290,AZ244*(Предпосылки!$G213/(AZ$8+1-AZ$7)))</f>
        <v>0</v>
      </c>
      <c s="125">
        <f>IF(Предпосылки!$G213&gt;0,AZ290,BA244*(Предпосылки!$G213/(BA$8+1-BA$7)))</f>
        <v>0</v>
      </c>
      <c s="125">
        <f>IF(Предпосылки!$G213&gt;0,BA290,BB244*(Предпосылки!$G213/(BB$8+1-BB$7)))</f>
        <v>0</v>
      </c>
      <c s="125">
        <f>IF(Предпосылки!$G213&gt;0,BB290,BC244*(Предпосылки!$G213/(BC$8+1-BC$7)))</f>
        <v>0</v>
      </c>
      <c s="125">
        <f>IF(Предпосылки!$G213&gt;0,BC290,BD244*(Предпосылки!$G213/(BD$8+1-BD$7)))</f>
        <v>0</v>
      </c>
      <c s="125">
        <f>IF(Предпосылки!$G213&gt;0,BD290,BE244*(Предпосылки!$G213/(BE$8+1-BE$7)))</f>
        <v>0</v>
      </c>
      <c s="125">
        <f>IF(Предпосылки!$G213&gt;0,BE290,BF244*(Предпосылки!$G213/(BF$8+1-BF$7)))</f>
        <v>0</v>
      </c>
      <c s="125">
        <f>IF(Предпосылки!$G213&gt;0,BF290,BG244*(Предпосылки!$G213/(BG$8+1-BG$7)))</f>
        <v>0</v>
      </c>
      <c s="125">
        <f>IF(Предпосылки!$G213&gt;0,BG290,BH244*(Предпосылки!$G213/(BH$8+1-BH$7)))</f>
        <v>0</v>
      </c>
      <c s="125">
        <f>IF(Предпосылки!$G213&gt;0,BH290,BI244*(Предпосылки!$G213/(BI$8+1-BI$7)))</f>
        <v>0</v>
      </c>
      <c s="125">
        <f>IF(Предпосылки!$G213&gt;0,BI290,BJ244*(Предпосылки!$G213/(BJ$8+1-BJ$7)))</f>
        <v>0</v>
      </c>
      <c s="125">
        <f>IF(Предпосылки!$G213&gt;0,BJ290,BK244*(Предпосылки!$G213/(BK$8+1-BK$7)))</f>
        <v>0</v>
      </c>
      <c s="125">
        <f>IF(Предпосылки!$G213&gt;0,BK290,BL244*(Предпосылки!$G213/(BL$8+1-BL$7)))</f>
        <v>0</v>
      </c>
      <c s="125">
        <f>IF(Предпосылки!$G213&gt;0,BL290,BM244*(Предпосылки!$G213/(BM$8+1-BM$7)))</f>
        <v>0</v>
      </c>
    </row>
    <row r="222" spans="2:65" ht="15" customHeight="1">
      <c r="B222" s="12" t="str">
        <f>IF(ISBLANK(Предпосылки!B214),"-",Предпосылки!B214)</f>
        <v>Операционные затраты 14</v>
      </c>
      <c s="124" t="str">
        <f t="shared" si="201"/>
        <v>тыс. руб.</v>
      </c>
      <c s="125"/>
      <c s="125">
        <f>IF(Предпосылки!$G214&gt;0,D291,E245*(Предпосылки!$G214/(E$8+1-E$7)))</f>
        <v>0</v>
      </c>
      <c s="125">
        <f>IF(Предпосылки!$G214&gt;0,E291,F245*(Предпосылки!$G214/(F$8+1-F$7)))</f>
        <v>0</v>
      </c>
      <c s="125">
        <f>IF(Предпосылки!$G214&gt;0,F291,G245*(Предпосылки!$G214/(G$8+1-G$7)))</f>
        <v>0</v>
      </c>
      <c s="125">
        <f>IF(Предпосылки!$G214&gt;0,G291,H245*(Предпосылки!$G214/(H$8+1-H$7)))</f>
        <v>0</v>
      </c>
      <c s="125">
        <f>IF(Предпосылки!$G214&gt;0,H291,I245*(Предпосылки!$G214/(I$8+1-I$7)))</f>
        <v>0</v>
      </c>
      <c s="125">
        <f>IF(Предпосылки!$G214&gt;0,I291,J245*(Предпосылки!$G214/(J$8+1-J$7)))</f>
        <v>0</v>
      </c>
      <c s="125">
        <f>IF(Предпосылки!$G214&gt;0,J291,K245*(Предпосылки!$G214/(K$8+1-K$7)))</f>
        <v>0</v>
      </c>
      <c s="125">
        <f>IF(Предпосылки!$G214&gt;0,K291,L245*(Предпосылки!$G214/(L$8+1-L$7)))</f>
        <v>0</v>
      </c>
      <c s="125">
        <f>IF(Предпосылки!$G214&gt;0,L291,M245*(Предпосылки!$G214/(M$8+1-M$7)))</f>
        <v>0</v>
      </c>
      <c s="125">
        <f>IF(Предпосылки!$G214&gt;0,M291,N245*(Предпосылки!$G214/(N$8+1-N$7)))</f>
        <v>0</v>
      </c>
      <c s="125">
        <f>IF(Предпосылки!$G214&gt;0,N291,O245*(Предпосылки!$G214/(O$8+1-O$7)))</f>
        <v>0</v>
      </c>
      <c s="125">
        <f>IF(Предпосылки!$G214&gt;0,O291,P245*(Предпосылки!$G214/(P$8+1-P$7)))</f>
        <v>0</v>
      </c>
      <c s="125">
        <f>IF(Предпосылки!$G214&gt;0,P291,Q245*(Предпосылки!$G214/(Q$8+1-Q$7)))</f>
        <v>0</v>
      </c>
      <c s="125">
        <f>IF(Предпосылки!$G214&gt;0,Q291,R245*(Предпосылки!$G214/(R$8+1-R$7)))</f>
        <v>0</v>
      </c>
      <c s="125">
        <f>IF(Предпосылки!$G214&gt;0,R291,S245*(Предпосылки!$G214/(S$8+1-S$7)))</f>
        <v>0</v>
      </c>
      <c s="125">
        <f>IF(Предпосылки!$G214&gt;0,S291,T245*(Предпосылки!$G214/(T$8+1-T$7)))</f>
        <v>0</v>
      </c>
      <c s="125">
        <f>IF(Предпосылки!$G214&gt;0,T291,U245*(Предпосылки!$G214/(U$8+1-U$7)))</f>
        <v>0</v>
      </c>
      <c s="125">
        <f>IF(Предпосылки!$G214&gt;0,U291,V245*(Предпосылки!$G214/(V$8+1-V$7)))</f>
        <v>0</v>
      </c>
      <c s="125">
        <f>IF(Предпосылки!$G214&gt;0,V291,W245*(Предпосылки!$G214/(W$8+1-W$7)))</f>
        <v>0</v>
      </c>
      <c s="125">
        <f>IF(Предпосылки!$G214&gt;0,W291,X245*(Предпосылки!$G214/(X$8+1-X$7)))</f>
        <v>0</v>
      </c>
      <c s="125">
        <f>IF(Предпосылки!$G214&gt;0,X291,Y245*(Предпосылки!$G214/(Y$8+1-Y$7)))</f>
        <v>0</v>
      </c>
      <c s="125">
        <f>IF(Предпосылки!$G214&gt;0,Y291,Z245*(Предпосылки!$G214/(Z$8+1-Z$7)))</f>
        <v>0</v>
      </c>
      <c s="125">
        <f>IF(Предпосылки!$G214&gt;0,Z291,AA245*(Предпосылки!$G214/(AA$8+1-AA$7)))</f>
        <v>0</v>
      </c>
      <c s="125">
        <f>IF(Предпосылки!$G214&gt;0,AA291,AB245*(Предпосылки!$G214/(AB$8+1-AB$7)))</f>
        <v>0</v>
      </c>
      <c s="125">
        <f>IF(Предпосылки!$G214&gt;0,AB291,AC245*(Предпосылки!$G214/(AC$8+1-AC$7)))</f>
        <v>0</v>
      </c>
      <c s="125">
        <f>IF(Предпосылки!$G214&gt;0,AC291,AD245*(Предпосылки!$G214/(AD$8+1-AD$7)))</f>
        <v>0</v>
      </c>
      <c s="125">
        <f>IF(Предпосылки!$G214&gt;0,AD291,AE245*(Предпосылки!$G214/(AE$8+1-AE$7)))</f>
        <v>0</v>
      </c>
      <c s="125">
        <f>IF(Предпосылки!$G214&gt;0,AE291,AF245*(Предпосылки!$G214/(AF$8+1-AF$7)))</f>
        <v>0</v>
      </c>
      <c s="125">
        <f>IF(Предпосылки!$G214&gt;0,AF291,AG245*(Предпосылки!$G214/(AG$8+1-AG$7)))</f>
        <v>0</v>
      </c>
      <c s="125">
        <f>IF(Предпосылки!$G214&gt;0,AG291,AH245*(Предпосылки!$G214/(AH$8+1-AH$7)))</f>
        <v>0</v>
      </c>
      <c s="125">
        <f>IF(Предпосылки!$G214&gt;0,AH291,AI245*(Предпосылки!$G214/(AI$8+1-AI$7)))</f>
        <v>0</v>
      </c>
      <c s="125">
        <f>IF(Предпосылки!$G214&gt;0,AI291,AJ245*(Предпосылки!$G214/(AJ$8+1-AJ$7)))</f>
        <v>0</v>
      </c>
      <c s="125">
        <f>IF(Предпосылки!$G214&gt;0,AJ291,AK245*(Предпосылки!$G214/(AK$8+1-AK$7)))</f>
        <v>0</v>
      </c>
      <c s="125">
        <f>IF(Предпосылки!$G214&gt;0,AK291,AL245*(Предпосылки!$G214/(AL$8+1-AL$7)))</f>
        <v>0</v>
      </c>
      <c s="125">
        <f>IF(Предпосылки!$G214&gt;0,AL291,AM245*(Предпосылки!$G214/(AM$8+1-AM$7)))</f>
        <v>0</v>
      </c>
      <c s="125">
        <f>IF(Предпосылки!$G214&gt;0,AM291,AN245*(Предпосылки!$G214/(AN$8+1-AN$7)))</f>
        <v>0</v>
      </c>
      <c s="125">
        <f>IF(Предпосылки!$G214&gt;0,AN291,AO245*(Предпосылки!$G214/(AO$8+1-AO$7)))</f>
        <v>0</v>
      </c>
      <c s="125">
        <f>IF(Предпосылки!$G214&gt;0,AO291,AP245*(Предпосылки!$G214/(AP$8+1-AP$7)))</f>
        <v>0</v>
      </c>
      <c s="125">
        <f>IF(Предпосылки!$G214&gt;0,AP291,AQ245*(Предпосылки!$G214/(AQ$8+1-AQ$7)))</f>
        <v>0</v>
      </c>
      <c s="125">
        <f>IF(Предпосылки!$G214&gt;0,AQ291,AR245*(Предпосылки!$G214/(AR$8+1-AR$7)))</f>
        <v>0</v>
      </c>
      <c s="125">
        <f>IF(Предпосылки!$G214&gt;0,AR291,AS245*(Предпосылки!$G214/(AS$8+1-AS$7)))</f>
        <v>0</v>
      </c>
      <c s="125">
        <f>IF(Предпосылки!$G214&gt;0,AS291,AT245*(Предпосылки!$G214/(AT$8+1-AT$7)))</f>
        <v>0</v>
      </c>
      <c s="125">
        <f>IF(Предпосылки!$G214&gt;0,AT291,AU245*(Предпосылки!$G214/(AU$8+1-AU$7)))</f>
        <v>0</v>
      </c>
      <c s="125">
        <f>IF(Предпосылки!$G214&gt;0,AU291,AV245*(Предпосылки!$G214/(AV$8+1-AV$7)))</f>
        <v>0</v>
      </c>
      <c s="125">
        <f>IF(Предпосылки!$G214&gt;0,AV291,AW245*(Предпосылки!$G214/(AW$8+1-AW$7)))</f>
        <v>0</v>
      </c>
      <c s="125">
        <f>IF(Предпосылки!$G214&gt;0,AW291,AX245*(Предпосылки!$G214/(AX$8+1-AX$7)))</f>
        <v>0</v>
      </c>
      <c s="125">
        <f>IF(Предпосылки!$G214&gt;0,AX291,AY245*(Предпосылки!$G214/(AY$8+1-AY$7)))</f>
        <v>0</v>
      </c>
      <c s="125">
        <f>IF(Предпосылки!$G214&gt;0,AY291,AZ245*(Предпосылки!$G214/(AZ$8+1-AZ$7)))</f>
        <v>0</v>
      </c>
      <c s="125">
        <f>IF(Предпосылки!$G214&gt;0,AZ291,BA245*(Предпосылки!$G214/(BA$8+1-BA$7)))</f>
        <v>0</v>
      </c>
      <c s="125">
        <f>IF(Предпосылки!$G214&gt;0,BA291,BB245*(Предпосылки!$G214/(BB$8+1-BB$7)))</f>
        <v>0</v>
      </c>
      <c s="125">
        <f>IF(Предпосылки!$G214&gt;0,BB291,BC245*(Предпосылки!$G214/(BC$8+1-BC$7)))</f>
        <v>0</v>
      </c>
      <c s="125">
        <f>IF(Предпосылки!$G214&gt;0,BC291,BD245*(Предпосылки!$G214/(BD$8+1-BD$7)))</f>
        <v>0</v>
      </c>
      <c s="125">
        <f>IF(Предпосылки!$G214&gt;0,BD291,BE245*(Предпосылки!$G214/(BE$8+1-BE$7)))</f>
        <v>0</v>
      </c>
      <c s="125">
        <f>IF(Предпосылки!$G214&gt;0,BE291,BF245*(Предпосылки!$G214/(BF$8+1-BF$7)))</f>
        <v>0</v>
      </c>
      <c s="125">
        <f>IF(Предпосылки!$G214&gt;0,BF291,BG245*(Предпосылки!$G214/(BG$8+1-BG$7)))</f>
        <v>0</v>
      </c>
      <c s="125">
        <f>IF(Предпосылки!$G214&gt;0,BG291,BH245*(Предпосылки!$G214/(BH$8+1-BH$7)))</f>
        <v>0</v>
      </c>
      <c s="125">
        <f>IF(Предпосылки!$G214&gt;0,BH291,BI245*(Предпосылки!$G214/(BI$8+1-BI$7)))</f>
        <v>0</v>
      </c>
      <c s="125">
        <f>IF(Предпосылки!$G214&gt;0,BI291,BJ245*(Предпосылки!$G214/(BJ$8+1-BJ$7)))</f>
        <v>0</v>
      </c>
      <c s="125">
        <f>IF(Предпосылки!$G214&gt;0,BJ291,BK245*(Предпосылки!$G214/(BK$8+1-BK$7)))</f>
        <v>0</v>
      </c>
      <c s="125">
        <f>IF(Предпосылки!$G214&gt;0,BK291,BL245*(Предпосылки!$G214/(BL$8+1-BL$7)))</f>
        <v>0</v>
      </c>
      <c s="125">
        <f>IF(Предпосылки!$G214&gt;0,BL291,BM245*(Предпосылки!$G214/(BM$8+1-BM$7)))</f>
        <v>0</v>
      </c>
    </row>
    <row r="223" spans="2:65" ht="15" customHeight="1">
      <c r="B223" s="12" t="str">
        <f>IF(ISBLANK(Предпосылки!B215),"-",Предпосылки!B215)</f>
        <v>Операционные затраты 15</v>
      </c>
      <c s="124" t="str">
        <f t="shared" si="201"/>
        <v>тыс. руб.</v>
      </c>
      <c s="125"/>
      <c s="125">
        <f>IF(Предпосылки!$G215&gt;0,D292,E246*(Предпосылки!$G215/(E$8+1-E$7)))</f>
        <v>0</v>
      </c>
      <c s="125">
        <f>IF(Предпосылки!$G215&gt;0,E292,F246*(Предпосылки!$G215/(F$8+1-F$7)))</f>
        <v>0</v>
      </c>
      <c s="125">
        <f>IF(Предпосылки!$G215&gt;0,F292,G246*(Предпосылки!$G215/(G$8+1-G$7)))</f>
        <v>0</v>
      </c>
      <c s="125">
        <f>IF(Предпосылки!$G215&gt;0,G292,H246*(Предпосылки!$G215/(H$8+1-H$7)))</f>
        <v>0</v>
      </c>
      <c s="125">
        <f>IF(Предпосылки!$G215&gt;0,H292,I246*(Предпосылки!$G215/(I$8+1-I$7)))</f>
        <v>0</v>
      </c>
      <c s="125">
        <f>IF(Предпосылки!$G215&gt;0,I292,J246*(Предпосылки!$G215/(J$8+1-J$7)))</f>
        <v>0</v>
      </c>
      <c s="125">
        <f>IF(Предпосылки!$G215&gt;0,J292,K246*(Предпосылки!$G215/(K$8+1-K$7)))</f>
        <v>0</v>
      </c>
      <c s="125">
        <f>IF(Предпосылки!$G215&gt;0,K292,L246*(Предпосылки!$G215/(L$8+1-L$7)))</f>
        <v>0</v>
      </c>
      <c s="125">
        <f>IF(Предпосылки!$G215&gt;0,L292,M246*(Предпосылки!$G215/(M$8+1-M$7)))</f>
        <v>0</v>
      </c>
      <c s="125">
        <f>IF(Предпосылки!$G215&gt;0,M292,N246*(Предпосылки!$G215/(N$8+1-N$7)))</f>
        <v>0</v>
      </c>
      <c s="125">
        <f>IF(Предпосылки!$G215&gt;0,N292,O246*(Предпосылки!$G215/(O$8+1-O$7)))</f>
        <v>0</v>
      </c>
      <c s="125">
        <f>IF(Предпосылки!$G215&gt;0,O292,P246*(Предпосылки!$G215/(P$8+1-P$7)))</f>
        <v>0</v>
      </c>
      <c s="125">
        <f>IF(Предпосылки!$G215&gt;0,P292,Q246*(Предпосылки!$G215/(Q$8+1-Q$7)))</f>
        <v>0</v>
      </c>
      <c s="125">
        <f>IF(Предпосылки!$G215&gt;0,Q292,R246*(Предпосылки!$G215/(R$8+1-R$7)))</f>
        <v>0</v>
      </c>
      <c s="125">
        <f>IF(Предпосылки!$G215&gt;0,R292,S246*(Предпосылки!$G215/(S$8+1-S$7)))</f>
        <v>0</v>
      </c>
      <c s="125">
        <f>IF(Предпосылки!$G215&gt;0,S292,T246*(Предпосылки!$G215/(T$8+1-T$7)))</f>
        <v>0</v>
      </c>
      <c s="125">
        <f>IF(Предпосылки!$G215&gt;0,T292,U246*(Предпосылки!$G215/(U$8+1-U$7)))</f>
        <v>0</v>
      </c>
      <c s="125">
        <f>IF(Предпосылки!$G215&gt;0,U292,V246*(Предпосылки!$G215/(V$8+1-V$7)))</f>
        <v>0</v>
      </c>
      <c s="125">
        <f>IF(Предпосылки!$G215&gt;0,V292,W246*(Предпосылки!$G215/(W$8+1-W$7)))</f>
        <v>0</v>
      </c>
      <c s="125">
        <f>IF(Предпосылки!$G215&gt;0,W292,X246*(Предпосылки!$G215/(X$8+1-X$7)))</f>
        <v>0</v>
      </c>
      <c s="125">
        <f>IF(Предпосылки!$G215&gt;0,X292,Y246*(Предпосылки!$G215/(Y$8+1-Y$7)))</f>
        <v>0</v>
      </c>
      <c s="125">
        <f>IF(Предпосылки!$G215&gt;0,Y292,Z246*(Предпосылки!$G215/(Z$8+1-Z$7)))</f>
        <v>0</v>
      </c>
      <c s="125">
        <f>IF(Предпосылки!$G215&gt;0,Z292,AA246*(Предпосылки!$G215/(AA$8+1-AA$7)))</f>
        <v>0</v>
      </c>
      <c s="125">
        <f>IF(Предпосылки!$G215&gt;0,AA292,AB246*(Предпосылки!$G215/(AB$8+1-AB$7)))</f>
        <v>0</v>
      </c>
      <c s="125">
        <f>IF(Предпосылки!$G215&gt;0,AB292,AC246*(Предпосылки!$G215/(AC$8+1-AC$7)))</f>
        <v>0</v>
      </c>
      <c s="125">
        <f>IF(Предпосылки!$G215&gt;0,AC292,AD246*(Предпосылки!$G215/(AD$8+1-AD$7)))</f>
        <v>0</v>
      </c>
      <c s="125">
        <f>IF(Предпосылки!$G215&gt;0,AD292,AE246*(Предпосылки!$G215/(AE$8+1-AE$7)))</f>
        <v>0</v>
      </c>
      <c s="125">
        <f>IF(Предпосылки!$G215&gt;0,AE292,AF246*(Предпосылки!$G215/(AF$8+1-AF$7)))</f>
        <v>0</v>
      </c>
      <c s="125">
        <f>IF(Предпосылки!$G215&gt;0,AF292,AG246*(Предпосылки!$G215/(AG$8+1-AG$7)))</f>
        <v>0</v>
      </c>
      <c s="125">
        <f>IF(Предпосылки!$G215&gt;0,AG292,AH246*(Предпосылки!$G215/(AH$8+1-AH$7)))</f>
        <v>0</v>
      </c>
      <c s="125">
        <f>IF(Предпосылки!$G215&gt;0,AH292,AI246*(Предпосылки!$G215/(AI$8+1-AI$7)))</f>
        <v>0</v>
      </c>
      <c s="125">
        <f>IF(Предпосылки!$G215&gt;0,AI292,AJ246*(Предпосылки!$G215/(AJ$8+1-AJ$7)))</f>
        <v>0</v>
      </c>
      <c s="125">
        <f>IF(Предпосылки!$G215&gt;0,AJ292,AK246*(Предпосылки!$G215/(AK$8+1-AK$7)))</f>
        <v>0</v>
      </c>
      <c s="125">
        <f>IF(Предпосылки!$G215&gt;0,AK292,AL246*(Предпосылки!$G215/(AL$8+1-AL$7)))</f>
        <v>0</v>
      </c>
      <c s="125">
        <f>IF(Предпосылки!$G215&gt;0,AL292,AM246*(Предпосылки!$G215/(AM$8+1-AM$7)))</f>
        <v>0</v>
      </c>
      <c s="125">
        <f>IF(Предпосылки!$G215&gt;0,AM292,AN246*(Предпосылки!$G215/(AN$8+1-AN$7)))</f>
        <v>0</v>
      </c>
      <c s="125">
        <f>IF(Предпосылки!$G215&gt;0,AN292,AO246*(Предпосылки!$G215/(AO$8+1-AO$7)))</f>
        <v>0</v>
      </c>
      <c s="125">
        <f>IF(Предпосылки!$G215&gt;0,AO292,AP246*(Предпосылки!$G215/(AP$8+1-AP$7)))</f>
        <v>0</v>
      </c>
      <c s="125">
        <f>IF(Предпосылки!$G215&gt;0,AP292,AQ246*(Предпосылки!$G215/(AQ$8+1-AQ$7)))</f>
        <v>0</v>
      </c>
      <c s="125">
        <f>IF(Предпосылки!$G215&gt;0,AQ292,AR246*(Предпосылки!$G215/(AR$8+1-AR$7)))</f>
        <v>0</v>
      </c>
      <c s="125">
        <f>IF(Предпосылки!$G215&gt;0,AR292,AS246*(Предпосылки!$G215/(AS$8+1-AS$7)))</f>
        <v>0</v>
      </c>
      <c s="125">
        <f>IF(Предпосылки!$G215&gt;0,AS292,AT246*(Предпосылки!$G215/(AT$8+1-AT$7)))</f>
        <v>0</v>
      </c>
      <c s="125">
        <f>IF(Предпосылки!$G215&gt;0,AT292,AU246*(Предпосылки!$G215/(AU$8+1-AU$7)))</f>
        <v>0</v>
      </c>
      <c s="125">
        <f>IF(Предпосылки!$G215&gt;0,AU292,AV246*(Предпосылки!$G215/(AV$8+1-AV$7)))</f>
        <v>0</v>
      </c>
      <c s="125">
        <f>IF(Предпосылки!$G215&gt;0,AV292,AW246*(Предпосылки!$G215/(AW$8+1-AW$7)))</f>
        <v>0</v>
      </c>
      <c s="125">
        <f>IF(Предпосылки!$G215&gt;0,AW292,AX246*(Предпосылки!$G215/(AX$8+1-AX$7)))</f>
        <v>0</v>
      </c>
      <c s="125">
        <f>IF(Предпосылки!$G215&gt;0,AX292,AY246*(Предпосылки!$G215/(AY$8+1-AY$7)))</f>
        <v>0</v>
      </c>
      <c s="125">
        <f>IF(Предпосылки!$G215&gt;0,AY292,AZ246*(Предпосылки!$G215/(AZ$8+1-AZ$7)))</f>
        <v>0</v>
      </c>
      <c s="125">
        <f>IF(Предпосылки!$G215&gt;0,AZ292,BA246*(Предпосылки!$G215/(BA$8+1-BA$7)))</f>
        <v>0</v>
      </c>
      <c s="125">
        <f>IF(Предпосылки!$G215&gt;0,BA292,BB246*(Предпосылки!$G215/(BB$8+1-BB$7)))</f>
        <v>0</v>
      </c>
      <c s="125">
        <f>IF(Предпосылки!$G215&gt;0,BB292,BC246*(Предпосылки!$G215/(BC$8+1-BC$7)))</f>
        <v>0</v>
      </c>
      <c s="125">
        <f>IF(Предпосылки!$G215&gt;0,BC292,BD246*(Предпосылки!$G215/(BD$8+1-BD$7)))</f>
        <v>0</v>
      </c>
      <c s="125">
        <f>IF(Предпосылки!$G215&gt;0,BD292,BE246*(Предпосылки!$G215/(BE$8+1-BE$7)))</f>
        <v>0</v>
      </c>
      <c s="125">
        <f>IF(Предпосылки!$G215&gt;0,BE292,BF246*(Предпосылки!$G215/(BF$8+1-BF$7)))</f>
        <v>0</v>
      </c>
      <c s="125">
        <f>IF(Предпосылки!$G215&gt;0,BF292,BG246*(Предпосылки!$G215/(BG$8+1-BG$7)))</f>
        <v>0</v>
      </c>
      <c s="125">
        <f>IF(Предпосылки!$G215&gt;0,BG292,BH246*(Предпосылки!$G215/(BH$8+1-BH$7)))</f>
        <v>0</v>
      </c>
      <c s="125">
        <f>IF(Предпосылки!$G215&gt;0,BH292,BI246*(Предпосылки!$G215/(BI$8+1-BI$7)))</f>
        <v>0</v>
      </c>
      <c s="125">
        <f>IF(Предпосылки!$G215&gt;0,BI292,BJ246*(Предпосылки!$G215/(BJ$8+1-BJ$7)))</f>
        <v>0</v>
      </c>
      <c s="125">
        <f>IF(Предпосылки!$G215&gt;0,BJ292,BK246*(Предпосылки!$G215/(BK$8+1-BK$7)))</f>
        <v>0</v>
      </c>
      <c s="125">
        <f>IF(Предпосылки!$G215&gt;0,BK292,BL246*(Предпосылки!$G215/(BL$8+1-BL$7)))</f>
        <v>0</v>
      </c>
      <c s="125">
        <f>IF(Предпосылки!$G215&gt;0,BL292,BM246*(Предпосылки!$G215/(BM$8+1-BM$7)))</f>
        <v>0</v>
      </c>
    </row>
    <row r="224" spans="2:65" ht="15" customHeight="1">
      <c r="B224" s="12" t="str">
        <f>IF(ISBLANK(Предпосылки!B216),"-",Предпосылки!B216)</f>
        <v>Операционные затраты 16</v>
      </c>
      <c s="124" t="str">
        <f t="shared" si="201"/>
        <v>тыс. руб.</v>
      </c>
      <c s="125"/>
      <c s="125">
        <f>IF(Предпосылки!$G216&gt;0,D293,E247*(Предпосылки!$G216/(E$8+1-E$7)))</f>
        <v>0</v>
      </c>
      <c s="125">
        <f>IF(Предпосылки!$G216&gt;0,E293,F247*(Предпосылки!$G216/(F$8+1-F$7)))</f>
        <v>0</v>
      </c>
      <c s="125">
        <f>IF(Предпосылки!$G216&gt;0,F293,G247*(Предпосылки!$G216/(G$8+1-G$7)))</f>
        <v>0</v>
      </c>
      <c s="125">
        <f>IF(Предпосылки!$G216&gt;0,G293,H247*(Предпосылки!$G216/(H$8+1-H$7)))</f>
        <v>0</v>
      </c>
      <c s="125">
        <f>IF(Предпосылки!$G216&gt;0,H293,I247*(Предпосылки!$G216/(I$8+1-I$7)))</f>
        <v>0</v>
      </c>
      <c s="125">
        <f>IF(Предпосылки!$G216&gt;0,I293,J247*(Предпосылки!$G216/(J$8+1-J$7)))</f>
        <v>0</v>
      </c>
      <c s="125">
        <f>IF(Предпосылки!$G216&gt;0,J293,K247*(Предпосылки!$G216/(K$8+1-K$7)))</f>
        <v>0</v>
      </c>
      <c s="125">
        <f>IF(Предпосылки!$G216&gt;0,K293,L247*(Предпосылки!$G216/(L$8+1-L$7)))</f>
        <v>0</v>
      </c>
      <c s="125">
        <f>IF(Предпосылки!$G216&gt;0,L293,M247*(Предпосылки!$G216/(M$8+1-M$7)))</f>
        <v>0</v>
      </c>
      <c s="125">
        <f>IF(Предпосылки!$G216&gt;0,M293,N247*(Предпосылки!$G216/(N$8+1-N$7)))</f>
        <v>0</v>
      </c>
      <c s="125">
        <f>IF(Предпосылки!$G216&gt;0,N293,O247*(Предпосылки!$G216/(O$8+1-O$7)))</f>
        <v>0</v>
      </c>
      <c s="125">
        <f>IF(Предпосылки!$G216&gt;0,O293,P247*(Предпосылки!$G216/(P$8+1-P$7)))</f>
        <v>0</v>
      </c>
      <c s="125">
        <f>IF(Предпосылки!$G216&gt;0,P293,Q247*(Предпосылки!$G216/(Q$8+1-Q$7)))</f>
        <v>0</v>
      </c>
      <c s="125">
        <f>IF(Предпосылки!$G216&gt;0,Q293,R247*(Предпосылки!$G216/(R$8+1-R$7)))</f>
        <v>0</v>
      </c>
      <c s="125">
        <f>IF(Предпосылки!$G216&gt;0,R293,S247*(Предпосылки!$G216/(S$8+1-S$7)))</f>
        <v>0</v>
      </c>
      <c s="125">
        <f>IF(Предпосылки!$G216&gt;0,S293,T247*(Предпосылки!$G216/(T$8+1-T$7)))</f>
        <v>0</v>
      </c>
      <c s="125">
        <f>IF(Предпосылки!$G216&gt;0,T293,U247*(Предпосылки!$G216/(U$8+1-U$7)))</f>
        <v>0</v>
      </c>
      <c s="125">
        <f>IF(Предпосылки!$G216&gt;0,U293,V247*(Предпосылки!$G216/(V$8+1-V$7)))</f>
        <v>0</v>
      </c>
      <c s="125">
        <f>IF(Предпосылки!$G216&gt;0,V293,W247*(Предпосылки!$G216/(W$8+1-W$7)))</f>
        <v>0</v>
      </c>
      <c s="125">
        <f>IF(Предпосылки!$G216&gt;0,W293,X247*(Предпосылки!$G216/(X$8+1-X$7)))</f>
        <v>0</v>
      </c>
      <c s="125">
        <f>IF(Предпосылки!$G216&gt;0,X293,Y247*(Предпосылки!$G216/(Y$8+1-Y$7)))</f>
        <v>0</v>
      </c>
      <c s="125">
        <f>IF(Предпосылки!$G216&gt;0,Y293,Z247*(Предпосылки!$G216/(Z$8+1-Z$7)))</f>
        <v>0</v>
      </c>
      <c s="125">
        <f>IF(Предпосылки!$G216&gt;0,Z293,AA247*(Предпосылки!$G216/(AA$8+1-AA$7)))</f>
        <v>0</v>
      </c>
      <c s="125">
        <f>IF(Предпосылки!$G216&gt;0,AA293,AB247*(Предпосылки!$G216/(AB$8+1-AB$7)))</f>
        <v>0</v>
      </c>
      <c s="125">
        <f>IF(Предпосылки!$G216&gt;0,AB293,AC247*(Предпосылки!$G216/(AC$8+1-AC$7)))</f>
        <v>0</v>
      </c>
      <c s="125">
        <f>IF(Предпосылки!$G216&gt;0,AC293,AD247*(Предпосылки!$G216/(AD$8+1-AD$7)))</f>
        <v>0</v>
      </c>
      <c s="125">
        <f>IF(Предпосылки!$G216&gt;0,AD293,AE247*(Предпосылки!$G216/(AE$8+1-AE$7)))</f>
        <v>0</v>
      </c>
      <c s="125">
        <f>IF(Предпосылки!$G216&gt;0,AE293,AF247*(Предпосылки!$G216/(AF$8+1-AF$7)))</f>
        <v>0</v>
      </c>
      <c s="125">
        <f>IF(Предпосылки!$G216&gt;0,AF293,AG247*(Предпосылки!$G216/(AG$8+1-AG$7)))</f>
        <v>0</v>
      </c>
      <c s="125">
        <f>IF(Предпосылки!$G216&gt;0,AG293,AH247*(Предпосылки!$G216/(AH$8+1-AH$7)))</f>
        <v>0</v>
      </c>
      <c s="125">
        <f>IF(Предпосылки!$G216&gt;0,AH293,AI247*(Предпосылки!$G216/(AI$8+1-AI$7)))</f>
        <v>0</v>
      </c>
      <c s="125">
        <f>IF(Предпосылки!$G216&gt;0,AI293,AJ247*(Предпосылки!$G216/(AJ$8+1-AJ$7)))</f>
        <v>0</v>
      </c>
      <c s="125">
        <f>IF(Предпосылки!$G216&gt;0,AJ293,AK247*(Предпосылки!$G216/(AK$8+1-AK$7)))</f>
        <v>0</v>
      </c>
      <c s="125">
        <f>IF(Предпосылки!$G216&gt;0,AK293,AL247*(Предпосылки!$G216/(AL$8+1-AL$7)))</f>
        <v>0</v>
      </c>
      <c s="125">
        <f>IF(Предпосылки!$G216&gt;0,AL293,AM247*(Предпосылки!$G216/(AM$8+1-AM$7)))</f>
        <v>0</v>
      </c>
      <c s="125">
        <f>IF(Предпосылки!$G216&gt;0,AM293,AN247*(Предпосылки!$G216/(AN$8+1-AN$7)))</f>
        <v>0</v>
      </c>
      <c s="125">
        <f>IF(Предпосылки!$G216&gt;0,AN293,AO247*(Предпосылки!$G216/(AO$8+1-AO$7)))</f>
        <v>0</v>
      </c>
      <c s="125">
        <f>IF(Предпосылки!$G216&gt;0,AO293,AP247*(Предпосылки!$G216/(AP$8+1-AP$7)))</f>
        <v>0</v>
      </c>
      <c s="125">
        <f>IF(Предпосылки!$G216&gt;0,AP293,AQ247*(Предпосылки!$G216/(AQ$8+1-AQ$7)))</f>
        <v>0</v>
      </c>
      <c s="125">
        <f>IF(Предпосылки!$G216&gt;0,AQ293,AR247*(Предпосылки!$G216/(AR$8+1-AR$7)))</f>
        <v>0</v>
      </c>
      <c s="125">
        <f>IF(Предпосылки!$G216&gt;0,AR293,AS247*(Предпосылки!$G216/(AS$8+1-AS$7)))</f>
        <v>0</v>
      </c>
      <c s="125">
        <f>IF(Предпосылки!$G216&gt;0,AS293,AT247*(Предпосылки!$G216/(AT$8+1-AT$7)))</f>
        <v>0</v>
      </c>
      <c s="125">
        <f>IF(Предпосылки!$G216&gt;0,AT293,AU247*(Предпосылки!$G216/(AU$8+1-AU$7)))</f>
        <v>0</v>
      </c>
      <c s="125">
        <f>IF(Предпосылки!$G216&gt;0,AU293,AV247*(Предпосылки!$G216/(AV$8+1-AV$7)))</f>
        <v>0</v>
      </c>
      <c s="125">
        <f>IF(Предпосылки!$G216&gt;0,AV293,AW247*(Предпосылки!$G216/(AW$8+1-AW$7)))</f>
        <v>0</v>
      </c>
      <c s="125">
        <f>IF(Предпосылки!$G216&gt;0,AW293,AX247*(Предпосылки!$G216/(AX$8+1-AX$7)))</f>
        <v>0</v>
      </c>
      <c s="125">
        <f>IF(Предпосылки!$G216&gt;0,AX293,AY247*(Предпосылки!$G216/(AY$8+1-AY$7)))</f>
        <v>0</v>
      </c>
      <c s="125">
        <f>IF(Предпосылки!$G216&gt;0,AY293,AZ247*(Предпосылки!$G216/(AZ$8+1-AZ$7)))</f>
        <v>0</v>
      </c>
      <c s="125">
        <f>IF(Предпосылки!$G216&gt;0,AZ293,BA247*(Предпосылки!$G216/(BA$8+1-BA$7)))</f>
        <v>0</v>
      </c>
      <c s="125">
        <f>IF(Предпосылки!$G216&gt;0,BA293,BB247*(Предпосылки!$G216/(BB$8+1-BB$7)))</f>
        <v>0</v>
      </c>
      <c s="125">
        <f>IF(Предпосылки!$G216&gt;0,BB293,BC247*(Предпосылки!$G216/(BC$8+1-BC$7)))</f>
        <v>0</v>
      </c>
      <c s="125">
        <f>IF(Предпосылки!$G216&gt;0,BC293,BD247*(Предпосылки!$G216/(BD$8+1-BD$7)))</f>
        <v>0</v>
      </c>
      <c s="125">
        <f>IF(Предпосылки!$G216&gt;0,BD293,BE247*(Предпосылки!$G216/(BE$8+1-BE$7)))</f>
        <v>0</v>
      </c>
      <c s="125">
        <f>IF(Предпосылки!$G216&gt;0,BE293,BF247*(Предпосылки!$G216/(BF$8+1-BF$7)))</f>
        <v>0</v>
      </c>
      <c s="125">
        <f>IF(Предпосылки!$G216&gt;0,BF293,BG247*(Предпосылки!$G216/(BG$8+1-BG$7)))</f>
        <v>0</v>
      </c>
      <c s="125">
        <f>IF(Предпосылки!$G216&gt;0,BG293,BH247*(Предпосылки!$G216/(BH$8+1-BH$7)))</f>
        <v>0</v>
      </c>
      <c s="125">
        <f>IF(Предпосылки!$G216&gt;0,BH293,BI247*(Предпосылки!$G216/(BI$8+1-BI$7)))</f>
        <v>0</v>
      </c>
      <c s="125">
        <f>IF(Предпосылки!$G216&gt;0,BI293,BJ247*(Предпосылки!$G216/(BJ$8+1-BJ$7)))</f>
        <v>0</v>
      </c>
      <c s="125">
        <f>IF(Предпосылки!$G216&gt;0,BJ293,BK247*(Предпосылки!$G216/(BK$8+1-BK$7)))</f>
        <v>0</v>
      </c>
      <c s="125">
        <f>IF(Предпосылки!$G216&gt;0,BK293,BL247*(Предпосылки!$G216/(BL$8+1-BL$7)))</f>
        <v>0</v>
      </c>
      <c s="125">
        <f>IF(Предпосылки!$G216&gt;0,BL293,BM247*(Предпосылки!$G216/(BM$8+1-BM$7)))</f>
        <v>0</v>
      </c>
    </row>
    <row r="225" spans="2:65" ht="15" customHeight="1">
      <c r="B225" s="12" t="str">
        <f>IF(ISBLANK(Предпосылки!B217),"-",Предпосылки!B217)</f>
        <v>Операционные затраты 17</v>
      </c>
      <c s="124" t="str">
        <f t="shared" si="201"/>
        <v>тыс. руб.</v>
      </c>
      <c s="125"/>
      <c s="125">
        <f>IF(Предпосылки!$G217&gt;0,D294,E248*(Предпосылки!$G217/(E$8+1-E$7)))</f>
        <v>0</v>
      </c>
      <c s="125">
        <f>IF(Предпосылки!$G217&gt;0,E294,F248*(Предпосылки!$G217/(F$8+1-F$7)))</f>
        <v>0</v>
      </c>
      <c s="125">
        <f>IF(Предпосылки!$G217&gt;0,F294,G248*(Предпосылки!$G217/(G$8+1-G$7)))</f>
        <v>0</v>
      </c>
      <c s="125">
        <f>IF(Предпосылки!$G217&gt;0,G294,H248*(Предпосылки!$G217/(H$8+1-H$7)))</f>
        <v>0</v>
      </c>
      <c s="125">
        <f>IF(Предпосылки!$G217&gt;0,H294,I248*(Предпосылки!$G217/(I$8+1-I$7)))</f>
        <v>0</v>
      </c>
      <c s="125">
        <f>IF(Предпосылки!$G217&gt;0,I294,J248*(Предпосылки!$G217/(J$8+1-J$7)))</f>
        <v>0</v>
      </c>
      <c s="125">
        <f>IF(Предпосылки!$G217&gt;0,J294,K248*(Предпосылки!$G217/(K$8+1-K$7)))</f>
        <v>0</v>
      </c>
      <c s="125">
        <f>IF(Предпосылки!$G217&gt;0,K294,L248*(Предпосылки!$G217/(L$8+1-L$7)))</f>
        <v>0</v>
      </c>
      <c s="125">
        <f>IF(Предпосылки!$G217&gt;0,L294,M248*(Предпосылки!$G217/(M$8+1-M$7)))</f>
        <v>0</v>
      </c>
      <c s="125">
        <f>IF(Предпосылки!$G217&gt;0,M294,N248*(Предпосылки!$G217/(N$8+1-N$7)))</f>
        <v>0</v>
      </c>
      <c s="125">
        <f>IF(Предпосылки!$G217&gt;0,N294,O248*(Предпосылки!$G217/(O$8+1-O$7)))</f>
        <v>0</v>
      </c>
      <c s="125">
        <f>IF(Предпосылки!$G217&gt;0,O294,P248*(Предпосылки!$G217/(P$8+1-P$7)))</f>
        <v>0</v>
      </c>
      <c s="125">
        <f>IF(Предпосылки!$G217&gt;0,P294,Q248*(Предпосылки!$G217/(Q$8+1-Q$7)))</f>
        <v>0</v>
      </c>
      <c s="125">
        <f>IF(Предпосылки!$G217&gt;0,Q294,R248*(Предпосылки!$G217/(R$8+1-R$7)))</f>
        <v>0</v>
      </c>
      <c s="125">
        <f>IF(Предпосылки!$G217&gt;0,R294,S248*(Предпосылки!$G217/(S$8+1-S$7)))</f>
        <v>0</v>
      </c>
      <c s="125">
        <f>IF(Предпосылки!$G217&gt;0,S294,T248*(Предпосылки!$G217/(T$8+1-T$7)))</f>
        <v>0</v>
      </c>
      <c s="125">
        <f>IF(Предпосылки!$G217&gt;0,T294,U248*(Предпосылки!$G217/(U$8+1-U$7)))</f>
        <v>0</v>
      </c>
      <c s="125">
        <f>IF(Предпосылки!$G217&gt;0,U294,V248*(Предпосылки!$G217/(V$8+1-V$7)))</f>
        <v>0</v>
      </c>
      <c s="125">
        <f>IF(Предпосылки!$G217&gt;0,V294,W248*(Предпосылки!$G217/(W$8+1-W$7)))</f>
        <v>0</v>
      </c>
      <c s="125">
        <f>IF(Предпосылки!$G217&gt;0,W294,X248*(Предпосылки!$G217/(X$8+1-X$7)))</f>
        <v>0</v>
      </c>
      <c s="125">
        <f>IF(Предпосылки!$G217&gt;0,X294,Y248*(Предпосылки!$G217/(Y$8+1-Y$7)))</f>
        <v>0</v>
      </c>
      <c s="125">
        <f>IF(Предпосылки!$G217&gt;0,Y294,Z248*(Предпосылки!$G217/(Z$8+1-Z$7)))</f>
        <v>0</v>
      </c>
      <c s="125">
        <f>IF(Предпосылки!$G217&gt;0,Z294,AA248*(Предпосылки!$G217/(AA$8+1-AA$7)))</f>
        <v>0</v>
      </c>
      <c s="125">
        <f>IF(Предпосылки!$G217&gt;0,AA294,AB248*(Предпосылки!$G217/(AB$8+1-AB$7)))</f>
        <v>0</v>
      </c>
      <c s="125">
        <f>IF(Предпосылки!$G217&gt;0,AB294,AC248*(Предпосылки!$G217/(AC$8+1-AC$7)))</f>
        <v>0</v>
      </c>
      <c s="125">
        <f>IF(Предпосылки!$G217&gt;0,AC294,AD248*(Предпосылки!$G217/(AD$8+1-AD$7)))</f>
        <v>0</v>
      </c>
      <c s="125">
        <f>IF(Предпосылки!$G217&gt;0,AD294,AE248*(Предпосылки!$G217/(AE$8+1-AE$7)))</f>
        <v>0</v>
      </c>
      <c s="125">
        <f>IF(Предпосылки!$G217&gt;0,AE294,AF248*(Предпосылки!$G217/(AF$8+1-AF$7)))</f>
        <v>0</v>
      </c>
      <c s="125">
        <f>IF(Предпосылки!$G217&gt;0,AF294,AG248*(Предпосылки!$G217/(AG$8+1-AG$7)))</f>
        <v>0</v>
      </c>
      <c s="125">
        <f>IF(Предпосылки!$G217&gt;0,AG294,AH248*(Предпосылки!$G217/(AH$8+1-AH$7)))</f>
        <v>0</v>
      </c>
      <c s="125">
        <f>IF(Предпосылки!$G217&gt;0,AH294,AI248*(Предпосылки!$G217/(AI$8+1-AI$7)))</f>
        <v>0</v>
      </c>
      <c s="125">
        <f>IF(Предпосылки!$G217&gt;0,AI294,AJ248*(Предпосылки!$G217/(AJ$8+1-AJ$7)))</f>
        <v>0</v>
      </c>
      <c s="125">
        <f>IF(Предпосылки!$G217&gt;0,AJ294,AK248*(Предпосылки!$G217/(AK$8+1-AK$7)))</f>
        <v>0</v>
      </c>
      <c s="125">
        <f>IF(Предпосылки!$G217&gt;0,AK294,AL248*(Предпосылки!$G217/(AL$8+1-AL$7)))</f>
        <v>0</v>
      </c>
      <c s="125">
        <f>IF(Предпосылки!$G217&gt;0,AL294,AM248*(Предпосылки!$G217/(AM$8+1-AM$7)))</f>
        <v>0</v>
      </c>
      <c s="125">
        <f>IF(Предпосылки!$G217&gt;0,AM294,AN248*(Предпосылки!$G217/(AN$8+1-AN$7)))</f>
        <v>0</v>
      </c>
      <c s="125">
        <f>IF(Предпосылки!$G217&gt;0,AN294,AO248*(Предпосылки!$G217/(AO$8+1-AO$7)))</f>
        <v>0</v>
      </c>
      <c s="125">
        <f>IF(Предпосылки!$G217&gt;0,AO294,AP248*(Предпосылки!$G217/(AP$8+1-AP$7)))</f>
        <v>0</v>
      </c>
      <c s="125">
        <f>IF(Предпосылки!$G217&gt;0,AP294,AQ248*(Предпосылки!$G217/(AQ$8+1-AQ$7)))</f>
        <v>0</v>
      </c>
      <c s="125">
        <f>IF(Предпосылки!$G217&gt;0,AQ294,AR248*(Предпосылки!$G217/(AR$8+1-AR$7)))</f>
        <v>0</v>
      </c>
      <c s="125">
        <f>IF(Предпосылки!$G217&gt;0,AR294,AS248*(Предпосылки!$G217/(AS$8+1-AS$7)))</f>
        <v>0</v>
      </c>
      <c s="125">
        <f>IF(Предпосылки!$G217&gt;0,AS294,AT248*(Предпосылки!$G217/(AT$8+1-AT$7)))</f>
        <v>0</v>
      </c>
      <c s="125">
        <f>IF(Предпосылки!$G217&gt;0,AT294,AU248*(Предпосылки!$G217/(AU$8+1-AU$7)))</f>
        <v>0</v>
      </c>
      <c s="125">
        <f>IF(Предпосылки!$G217&gt;0,AU294,AV248*(Предпосылки!$G217/(AV$8+1-AV$7)))</f>
        <v>0</v>
      </c>
      <c s="125">
        <f>IF(Предпосылки!$G217&gt;0,AV294,AW248*(Предпосылки!$G217/(AW$8+1-AW$7)))</f>
        <v>0</v>
      </c>
      <c s="125">
        <f>IF(Предпосылки!$G217&gt;0,AW294,AX248*(Предпосылки!$G217/(AX$8+1-AX$7)))</f>
        <v>0</v>
      </c>
      <c s="125">
        <f>IF(Предпосылки!$G217&gt;0,AX294,AY248*(Предпосылки!$G217/(AY$8+1-AY$7)))</f>
        <v>0</v>
      </c>
      <c s="125">
        <f>IF(Предпосылки!$G217&gt;0,AY294,AZ248*(Предпосылки!$G217/(AZ$8+1-AZ$7)))</f>
        <v>0</v>
      </c>
      <c s="125">
        <f>IF(Предпосылки!$G217&gt;0,AZ294,BA248*(Предпосылки!$G217/(BA$8+1-BA$7)))</f>
        <v>0</v>
      </c>
      <c s="125">
        <f>IF(Предпосылки!$G217&gt;0,BA294,BB248*(Предпосылки!$G217/(BB$8+1-BB$7)))</f>
        <v>0</v>
      </c>
      <c s="125">
        <f>IF(Предпосылки!$G217&gt;0,BB294,BC248*(Предпосылки!$G217/(BC$8+1-BC$7)))</f>
        <v>0</v>
      </c>
      <c s="125">
        <f>IF(Предпосылки!$G217&gt;0,BC294,BD248*(Предпосылки!$G217/(BD$8+1-BD$7)))</f>
        <v>0</v>
      </c>
      <c s="125">
        <f>IF(Предпосылки!$G217&gt;0,BD294,BE248*(Предпосылки!$G217/(BE$8+1-BE$7)))</f>
        <v>0</v>
      </c>
      <c s="125">
        <f>IF(Предпосылки!$G217&gt;0,BE294,BF248*(Предпосылки!$G217/(BF$8+1-BF$7)))</f>
        <v>0</v>
      </c>
      <c s="125">
        <f>IF(Предпосылки!$G217&gt;0,BF294,BG248*(Предпосылки!$G217/(BG$8+1-BG$7)))</f>
        <v>0</v>
      </c>
      <c s="125">
        <f>IF(Предпосылки!$G217&gt;0,BG294,BH248*(Предпосылки!$G217/(BH$8+1-BH$7)))</f>
        <v>0</v>
      </c>
      <c s="125">
        <f>IF(Предпосылки!$G217&gt;0,BH294,BI248*(Предпосылки!$G217/(BI$8+1-BI$7)))</f>
        <v>0</v>
      </c>
      <c s="125">
        <f>IF(Предпосылки!$G217&gt;0,BI294,BJ248*(Предпосылки!$G217/(BJ$8+1-BJ$7)))</f>
        <v>0</v>
      </c>
      <c s="125">
        <f>IF(Предпосылки!$G217&gt;0,BJ294,BK248*(Предпосылки!$G217/(BK$8+1-BK$7)))</f>
        <v>0</v>
      </c>
      <c s="125">
        <f>IF(Предпосылки!$G217&gt;0,BK294,BL248*(Предпосылки!$G217/(BL$8+1-BL$7)))</f>
        <v>0</v>
      </c>
      <c s="125">
        <f>IF(Предпосылки!$G217&gt;0,BL294,BM248*(Предпосылки!$G217/(BM$8+1-BM$7)))</f>
        <v>0</v>
      </c>
    </row>
    <row r="226" spans="2:65" ht="15" customHeight="1">
      <c r="B226" s="12" t="str">
        <f>IF(ISBLANK(Предпосылки!B218),"-",Предпосылки!B218)</f>
        <v>Операционные затраты 18</v>
      </c>
      <c s="124" t="str">
        <f t="shared" si="201"/>
        <v>тыс. руб.</v>
      </c>
      <c s="125"/>
      <c s="125">
        <f>IF(Предпосылки!$G218&gt;0,D295,E249*(Предпосылки!$G218/(E$8+1-E$7)))</f>
        <v>0</v>
      </c>
      <c s="125">
        <f>IF(Предпосылки!$G218&gt;0,E295,F249*(Предпосылки!$G218/(F$8+1-F$7)))</f>
        <v>0</v>
      </c>
      <c s="125">
        <f>IF(Предпосылки!$G218&gt;0,F295,G249*(Предпосылки!$G218/(G$8+1-G$7)))</f>
        <v>0</v>
      </c>
      <c s="125">
        <f>IF(Предпосылки!$G218&gt;0,G295,H249*(Предпосылки!$G218/(H$8+1-H$7)))</f>
        <v>0</v>
      </c>
      <c s="125">
        <f>IF(Предпосылки!$G218&gt;0,H295,I249*(Предпосылки!$G218/(I$8+1-I$7)))</f>
        <v>0</v>
      </c>
      <c s="125">
        <f>IF(Предпосылки!$G218&gt;0,I295,J249*(Предпосылки!$G218/(J$8+1-J$7)))</f>
        <v>0</v>
      </c>
      <c s="125">
        <f>IF(Предпосылки!$G218&gt;0,J295,K249*(Предпосылки!$G218/(K$8+1-K$7)))</f>
        <v>0</v>
      </c>
      <c s="125">
        <f>IF(Предпосылки!$G218&gt;0,K295,L249*(Предпосылки!$G218/(L$8+1-L$7)))</f>
        <v>0</v>
      </c>
      <c s="125">
        <f>IF(Предпосылки!$G218&gt;0,L295,M249*(Предпосылки!$G218/(M$8+1-M$7)))</f>
        <v>0</v>
      </c>
      <c s="125">
        <f>IF(Предпосылки!$G218&gt;0,M295,N249*(Предпосылки!$G218/(N$8+1-N$7)))</f>
        <v>0</v>
      </c>
      <c s="125">
        <f>IF(Предпосылки!$G218&gt;0,N295,O249*(Предпосылки!$G218/(O$8+1-O$7)))</f>
        <v>0</v>
      </c>
      <c s="125">
        <f>IF(Предпосылки!$G218&gt;0,O295,P249*(Предпосылки!$G218/(P$8+1-P$7)))</f>
        <v>0</v>
      </c>
      <c s="125">
        <f>IF(Предпосылки!$G218&gt;0,P295,Q249*(Предпосылки!$G218/(Q$8+1-Q$7)))</f>
        <v>0</v>
      </c>
      <c s="125">
        <f>IF(Предпосылки!$G218&gt;0,Q295,R249*(Предпосылки!$G218/(R$8+1-R$7)))</f>
        <v>0</v>
      </c>
      <c s="125">
        <f>IF(Предпосылки!$G218&gt;0,R295,S249*(Предпосылки!$G218/(S$8+1-S$7)))</f>
        <v>0</v>
      </c>
      <c s="125">
        <f>IF(Предпосылки!$G218&gt;0,S295,T249*(Предпосылки!$G218/(T$8+1-T$7)))</f>
        <v>0</v>
      </c>
      <c s="125">
        <f>IF(Предпосылки!$G218&gt;0,T295,U249*(Предпосылки!$G218/(U$8+1-U$7)))</f>
        <v>0</v>
      </c>
      <c s="125">
        <f>IF(Предпосылки!$G218&gt;0,U295,V249*(Предпосылки!$G218/(V$8+1-V$7)))</f>
        <v>0</v>
      </c>
      <c s="125">
        <f>IF(Предпосылки!$G218&gt;0,V295,W249*(Предпосылки!$G218/(W$8+1-W$7)))</f>
        <v>0</v>
      </c>
      <c s="125">
        <f>IF(Предпосылки!$G218&gt;0,W295,X249*(Предпосылки!$G218/(X$8+1-X$7)))</f>
        <v>0</v>
      </c>
      <c s="125">
        <f>IF(Предпосылки!$G218&gt;0,X295,Y249*(Предпосылки!$G218/(Y$8+1-Y$7)))</f>
        <v>0</v>
      </c>
      <c s="125">
        <f>IF(Предпосылки!$G218&gt;0,Y295,Z249*(Предпосылки!$G218/(Z$8+1-Z$7)))</f>
        <v>0</v>
      </c>
      <c s="125">
        <f>IF(Предпосылки!$G218&gt;0,Z295,AA249*(Предпосылки!$G218/(AA$8+1-AA$7)))</f>
        <v>0</v>
      </c>
      <c s="125">
        <f>IF(Предпосылки!$G218&gt;0,AA295,AB249*(Предпосылки!$G218/(AB$8+1-AB$7)))</f>
        <v>0</v>
      </c>
      <c s="125">
        <f>IF(Предпосылки!$G218&gt;0,AB295,AC249*(Предпосылки!$G218/(AC$8+1-AC$7)))</f>
        <v>0</v>
      </c>
      <c s="125">
        <f>IF(Предпосылки!$G218&gt;0,AC295,AD249*(Предпосылки!$G218/(AD$8+1-AD$7)))</f>
        <v>0</v>
      </c>
      <c s="125">
        <f>IF(Предпосылки!$G218&gt;0,AD295,AE249*(Предпосылки!$G218/(AE$8+1-AE$7)))</f>
        <v>0</v>
      </c>
      <c s="125">
        <f>IF(Предпосылки!$G218&gt;0,AE295,AF249*(Предпосылки!$G218/(AF$8+1-AF$7)))</f>
        <v>0</v>
      </c>
      <c s="125">
        <f>IF(Предпосылки!$G218&gt;0,AF295,AG249*(Предпосылки!$G218/(AG$8+1-AG$7)))</f>
        <v>0</v>
      </c>
      <c s="125">
        <f>IF(Предпосылки!$G218&gt;0,AG295,AH249*(Предпосылки!$G218/(AH$8+1-AH$7)))</f>
        <v>0</v>
      </c>
      <c s="125">
        <f>IF(Предпосылки!$G218&gt;0,AH295,AI249*(Предпосылки!$G218/(AI$8+1-AI$7)))</f>
        <v>0</v>
      </c>
      <c s="125">
        <f>IF(Предпосылки!$G218&gt;0,AI295,AJ249*(Предпосылки!$G218/(AJ$8+1-AJ$7)))</f>
        <v>0</v>
      </c>
      <c s="125">
        <f>IF(Предпосылки!$G218&gt;0,AJ295,AK249*(Предпосылки!$G218/(AK$8+1-AK$7)))</f>
        <v>0</v>
      </c>
      <c s="125">
        <f>IF(Предпосылки!$G218&gt;0,AK295,AL249*(Предпосылки!$G218/(AL$8+1-AL$7)))</f>
        <v>0</v>
      </c>
      <c s="125">
        <f>IF(Предпосылки!$G218&gt;0,AL295,AM249*(Предпосылки!$G218/(AM$8+1-AM$7)))</f>
        <v>0</v>
      </c>
      <c s="125">
        <f>IF(Предпосылки!$G218&gt;0,AM295,AN249*(Предпосылки!$G218/(AN$8+1-AN$7)))</f>
        <v>0</v>
      </c>
      <c s="125">
        <f>IF(Предпосылки!$G218&gt;0,AN295,AO249*(Предпосылки!$G218/(AO$8+1-AO$7)))</f>
        <v>0</v>
      </c>
      <c s="125">
        <f>IF(Предпосылки!$G218&gt;0,AO295,AP249*(Предпосылки!$G218/(AP$8+1-AP$7)))</f>
        <v>0</v>
      </c>
      <c s="125">
        <f>IF(Предпосылки!$G218&gt;0,AP295,AQ249*(Предпосылки!$G218/(AQ$8+1-AQ$7)))</f>
        <v>0</v>
      </c>
      <c s="125">
        <f>IF(Предпосылки!$G218&gt;0,AQ295,AR249*(Предпосылки!$G218/(AR$8+1-AR$7)))</f>
        <v>0</v>
      </c>
      <c s="125">
        <f>IF(Предпосылки!$G218&gt;0,AR295,AS249*(Предпосылки!$G218/(AS$8+1-AS$7)))</f>
        <v>0</v>
      </c>
      <c s="125">
        <f>IF(Предпосылки!$G218&gt;0,AS295,AT249*(Предпосылки!$G218/(AT$8+1-AT$7)))</f>
        <v>0</v>
      </c>
      <c s="125">
        <f>IF(Предпосылки!$G218&gt;0,AT295,AU249*(Предпосылки!$G218/(AU$8+1-AU$7)))</f>
        <v>0</v>
      </c>
      <c s="125">
        <f>IF(Предпосылки!$G218&gt;0,AU295,AV249*(Предпосылки!$G218/(AV$8+1-AV$7)))</f>
        <v>0</v>
      </c>
      <c s="125">
        <f>IF(Предпосылки!$G218&gt;0,AV295,AW249*(Предпосылки!$G218/(AW$8+1-AW$7)))</f>
        <v>0</v>
      </c>
      <c s="125">
        <f>IF(Предпосылки!$G218&gt;0,AW295,AX249*(Предпосылки!$G218/(AX$8+1-AX$7)))</f>
        <v>0</v>
      </c>
      <c s="125">
        <f>IF(Предпосылки!$G218&gt;0,AX295,AY249*(Предпосылки!$G218/(AY$8+1-AY$7)))</f>
        <v>0</v>
      </c>
      <c s="125">
        <f>IF(Предпосылки!$G218&gt;0,AY295,AZ249*(Предпосылки!$G218/(AZ$8+1-AZ$7)))</f>
        <v>0</v>
      </c>
      <c s="125">
        <f>IF(Предпосылки!$G218&gt;0,AZ295,BA249*(Предпосылки!$G218/(BA$8+1-BA$7)))</f>
        <v>0</v>
      </c>
      <c s="125">
        <f>IF(Предпосылки!$G218&gt;0,BA295,BB249*(Предпосылки!$G218/(BB$8+1-BB$7)))</f>
        <v>0</v>
      </c>
      <c s="125">
        <f>IF(Предпосылки!$G218&gt;0,BB295,BC249*(Предпосылки!$G218/(BC$8+1-BC$7)))</f>
        <v>0</v>
      </c>
      <c s="125">
        <f>IF(Предпосылки!$G218&gt;0,BC295,BD249*(Предпосылки!$G218/(BD$8+1-BD$7)))</f>
        <v>0</v>
      </c>
      <c s="125">
        <f>IF(Предпосылки!$G218&gt;0,BD295,BE249*(Предпосылки!$G218/(BE$8+1-BE$7)))</f>
        <v>0</v>
      </c>
      <c s="125">
        <f>IF(Предпосылки!$G218&gt;0,BE295,BF249*(Предпосылки!$G218/(BF$8+1-BF$7)))</f>
        <v>0</v>
      </c>
      <c s="125">
        <f>IF(Предпосылки!$G218&gt;0,BF295,BG249*(Предпосылки!$G218/(BG$8+1-BG$7)))</f>
        <v>0</v>
      </c>
      <c s="125">
        <f>IF(Предпосылки!$G218&gt;0,BG295,BH249*(Предпосылки!$G218/(BH$8+1-BH$7)))</f>
        <v>0</v>
      </c>
      <c s="125">
        <f>IF(Предпосылки!$G218&gt;0,BH295,BI249*(Предпосылки!$G218/(BI$8+1-BI$7)))</f>
        <v>0</v>
      </c>
      <c s="125">
        <f>IF(Предпосылки!$G218&gt;0,BI295,BJ249*(Предпосылки!$G218/(BJ$8+1-BJ$7)))</f>
        <v>0</v>
      </c>
      <c s="125">
        <f>IF(Предпосылки!$G218&gt;0,BJ295,BK249*(Предпосылки!$G218/(BK$8+1-BK$7)))</f>
        <v>0</v>
      </c>
      <c s="125">
        <f>IF(Предпосылки!$G218&gt;0,BK295,BL249*(Предпосылки!$G218/(BL$8+1-BL$7)))</f>
        <v>0</v>
      </c>
      <c s="125">
        <f>IF(Предпосылки!$G218&gt;0,BL295,BM249*(Предпосылки!$G218/(BM$8+1-BM$7)))</f>
        <v>0</v>
      </c>
    </row>
    <row r="227" spans="2:65" ht="15" customHeight="1">
      <c r="B227" s="12" t="str">
        <f>IF(ISBLANK(Предпосылки!B219),"-",Предпосылки!B219)</f>
        <v>Операционные затраты 19</v>
      </c>
      <c s="124" t="str">
        <f t="shared" si="201"/>
        <v>тыс. руб.</v>
      </c>
      <c s="125"/>
      <c s="125">
        <f>IF(Предпосылки!$G219&gt;0,D296,E250*(Предпосылки!$G219/(E$8+1-E$7)))</f>
        <v>0</v>
      </c>
      <c s="125">
        <f>IF(Предпосылки!$G219&gt;0,E296,F250*(Предпосылки!$G219/(F$8+1-F$7)))</f>
        <v>0</v>
      </c>
      <c s="125">
        <f>IF(Предпосылки!$G219&gt;0,F296,G250*(Предпосылки!$G219/(G$8+1-G$7)))</f>
        <v>0</v>
      </c>
      <c s="125">
        <f>IF(Предпосылки!$G219&gt;0,G296,H250*(Предпосылки!$G219/(H$8+1-H$7)))</f>
        <v>0</v>
      </c>
      <c s="125">
        <f>IF(Предпосылки!$G219&gt;0,H296,I250*(Предпосылки!$G219/(I$8+1-I$7)))</f>
        <v>0</v>
      </c>
      <c s="125">
        <f>IF(Предпосылки!$G219&gt;0,I296,J250*(Предпосылки!$G219/(J$8+1-J$7)))</f>
        <v>0</v>
      </c>
      <c s="125">
        <f>IF(Предпосылки!$G219&gt;0,J296,K250*(Предпосылки!$G219/(K$8+1-K$7)))</f>
        <v>0</v>
      </c>
      <c s="125">
        <f>IF(Предпосылки!$G219&gt;0,K296,L250*(Предпосылки!$G219/(L$8+1-L$7)))</f>
        <v>0</v>
      </c>
      <c s="125">
        <f>IF(Предпосылки!$G219&gt;0,L296,M250*(Предпосылки!$G219/(M$8+1-M$7)))</f>
        <v>0</v>
      </c>
      <c s="125">
        <f>IF(Предпосылки!$G219&gt;0,M296,N250*(Предпосылки!$G219/(N$8+1-N$7)))</f>
        <v>0</v>
      </c>
      <c s="125">
        <f>IF(Предпосылки!$G219&gt;0,N296,O250*(Предпосылки!$G219/(O$8+1-O$7)))</f>
        <v>0</v>
      </c>
      <c s="125">
        <f>IF(Предпосылки!$G219&gt;0,O296,P250*(Предпосылки!$G219/(P$8+1-P$7)))</f>
        <v>0</v>
      </c>
      <c s="125">
        <f>IF(Предпосылки!$G219&gt;0,P296,Q250*(Предпосылки!$G219/(Q$8+1-Q$7)))</f>
        <v>0</v>
      </c>
      <c s="125">
        <f>IF(Предпосылки!$G219&gt;0,Q296,R250*(Предпосылки!$G219/(R$8+1-R$7)))</f>
        <v>0</v>
      </c>
      <c s="125">
        <f>IF(Предпосылки!$G219&gt;0,R296,S250*(Предпосылки!$G219/(S$8+1-S$7)))</f>
        <v>0</v>
      </c>
      <c s="125">
        <f>IF(Предпосылки!$G219&gt;0,S296,T250*(Предпосылки!$G219/(T$8+1-T$7)))</f>
        <v>0</v>
      </c>
      <c s="125">
        <f>IF(Предпосылки!$G219&gt;0,T296,U250*(Предпосылки!$G219/(U$8+1-U$7)))</f>
        <v>0</v>
      </c>
      <c s="125">
        <f>IF(Предпосылки!$G219&gt;0,U296,V250*(Предпосылки!$G219/(V$8+1-V$7)))</f>
        <v>0</v>
      </c>
      <c s="125">
        <f>IF(Предпосылки!$G219&gt;0,V296,W250*(Предпосылки!$G219/(W$8+1-W$7)))</f>
        <v>0</v>
      </c>
      <c s="125">
        <f>IF(Предпосылки!$G219&gt;0,W296,X250*(Предпосылки!$G219/(X$8+1-X$7)))</f>
        <v>0</v>
      </c>
      <c s="125">
        <f>IF(Предпосылки!$G219&gt;0,X296,Y250*(Предпосылки!$G219/(Y$8+1-Y$7)))</f>
        <v>0</v>
      </c>
      <c s="125">
        <f>IF(Предпосылки!$G219&gt;0,Y296,Z250*(Предпосылки!$G219/(Z$8+1-Z$7)))</f>
        <v>0</v>
      </c>
      <c s="125">
        <f>IF(Предпосылки!$G219&gt;0,Z296,AA250*(Предпосылки!$G219/(AA$8+1-AA$7)))</f>
        <v>0</v>
      </c>
      <c s="125">
        <f>IF(Предпосылки!$G219&gt;0,AA296,AB250*(Предпосылки!$G219/(AB$8+1-AB$7)))</f>
        <v>0</v>
      </c>
      <c s="125">
        <f>IF(Предпосылки!$G219&gt;0,AB296,AC250*(Предпосылки!$G219/(AC$8+1-AC$7)))</f>
        <v>0</v>
      </c>
      <c s="125">
        <f>IF(Предпосылки!$G219&gt;0,AC296,AD250*(Предпосылки!$G219/(AD$8+1-AD$7)))</f>
        <v>0</v>
      </c>
      <c s="125">
        <f>IF(Предпосылки!$G219&gt;0,AD296,AE250*(Предпосылки!$G219/(AE$8+1-AE$7)))</f>
        <v>0</v>
      </c>
      <c s="125">
        <f>IF(Предпосылки!$G219&gt;0,AE296,AF250*(Предпосылки!$G219/(AF$8+1-AF$7)))</f>
        <v>0</v>
      </c>
      <c s="125">
        <f>IF(Предпосылки!$G219&gt;0,AF296,AG250*(Предпосылки!$G219/(AG$8+1-AG$7)))</f>
        <v>0</v>
      </c>
      <c s="125">
        <f>IF(Предпосылки!$G219&gt;0,AG296,AH250*(Предпосылки!$G219/(AH$8+1-AH$7)))</f>
        <v>0</v>
      </c>
      <c s="125">
        <f>IF(Предпосылки!$G219&gt;0,AH296,AI250*(Предпосылки!$G219/(AI$8+1-AI$7)))</f>
        <v>0</v>
      </c>
      <c s="125">
        <f>IF(Предпосылки!$G219&gt;0,AI296,AJ250*(Предпосылки!$G219/(AJ$8+1-AJ$7)))</f>
        <v>0</v>
      </c>
      <c s="125">
        <f>IF(Предпосылки!$G219&gt;0,AJ296,AK250*(Предпосылки!$G219/(AK$8+1-AK$7)))</f>
        <v>0</v>
      </c>
      <c s="125">
        <f>IF(Предпосылки!$G219&gt;0,AK296,AL250*(Предпосылки!$G219/(AL$8+1-AL$7)))</f>
        <v>0</v>
      </c>
      <c s="125">
        <f>IF(Предпосылки!$G219&gt;0,AL296,AM250*(Предпосылки!$G219/(AM$8+1-AM$7)))</f>
        <v>0</v>
      </c>
      <c s="125">
        <f>IF(Предпосылки!$G219&gt;0,AM296,AN250*(Предпосылки!$G219/(AN$8+1-AN$7)))</f>
        <v>0</v>
      </c>
      <c s="125">
        <f>IF(Предпосылки!$G219&gt;0,AN296,AO250*(Предпосылки!$G219/(AO$8+1-AO$7)))</f>
        <v>0</v>
      </c>
      <c s="125">
        <f>IF(Предпосылки!$G219&gt;0,AO296,AP250*(Предпосылки!$G219/(AP$8+1-AP$7)))</f>
        <v>0</v>
      </c>
      <c s="125">
        <f>IF(Предпосылки!$G219&gt;0,AP296,AQ250*(Предпосылки!$G219/(AQ$8+1-AQ$7)))</f>
        <v>0</v>
      </c>
      <c s="125">
        <f>IF(Предпосылки!$G219&gt;0,AQ296,AR250*(Предпосылки!$G219/(AR$8+1-AR$7)))</f>
        <v>0</v>
      </c>
      <c s="125">
        <f>IF(Предпосылки!$G219&gt;0,AR296,AS250*(Предпосылки!$G219/(AS$8+1-AS$7)))</f>
        <v>0</v>
      </c>
      <c s="125">
        <f>IF(Предпосылки!$G219&gt;0,AS296,AT250*(Предпосылки!$G219/(AT$8+1-AT$7)))</f>
        <v>0</v>
      </c>
      <c s="125">
        <f>IF(Предпосылки!$G219&gt;0,AT296,AU250*(Предпосылки!$G219/(AU$8+1-AU$7)))</f>
        <v>0</v>
      </c>
      <c s="125">
        <f>IF(Предпосылки!$G219&gt;0,AU296,AV250*(Предпосылки!$G219/(AV$8+1-AV$7)))</f>
        <v>0</v>
      </c>
      <c s="125">
        <f>IF(Предпосылки!$G219&gt;0,AV296,AW250*(Предпосылки!$G219/(AW$8+1-AW$7)))</f>
        <v>0</v>
      </c>
      <c s="125">
        <f>IF(Предпосылки!$G219&gt;0,AW296,AX250*(Предпосылки!$G219/(AX$8+1-AX$7)))</f>
        <v>0</v>
      </c>
      <c s="125">
        <f>IF(Предпосылки!$G219&gt;0,AX296,AY250*(Предпосылки!$G219/(AY$8+1-AY$7)))</f>
        <v>0</v>
      </c>
      <c s="125">
        <f>IF(Предпосылки!$G219&gt;0,AY296,AZ250*(Предпосылки!$G219/(AZ$8+1-AZ$7)))</f>
        <v>0</v>
      </c>
      <c s="125">
        <f>IF(Предпосылки!$G219&gt;0,AZ296,BA250*(Предпосылки!$G219/(BA$8+1-BA$7)))</f>
        <v>0</v>
      </c>
      <c s="125">
        <f>IF(Предпосылки!$G219&gt;0,BA296,BB250*(Предпосылки!$G219/(BB$8+1-BB$7)))</f>
        <v>0</v>
      </c>
      <c s="125">
        <f>IF(Предпосылки!$G219&gt;0,BB296,BC250*(Предпосылки!$G219/(BC$8+1-BC$7)))</f>
        <v>0</v>
      </c>
      <c s="125">
        <f>IF(Предпосылки!$G219&gt;0,BC296,BD250*(Предпосылки!$G219/(BD$8+1-BD$7)))</f>
        <v>0</v>
      </c>
      <c s="125">
        <f>IF(Предпосылки!$G219&gt;0,BD296,BE250*(Предпосылки!$G219/(BE$8+1-BE$7)))</f>
        <v>0</v>
      </c>
      <c s="125">
        <f>IF(Предпосылки!$G219&gt;0,BE296,BF250*(Предпосылки!$G219/(BF$8+1-BF$7)))</f>
        <v>0</v>
      </c>
      <c s="125">
        <f>IF(Предпосылки!$G219&gt;0,BF296,BG250*(Предпосылки!$G219/(BG$8+1-BG$7)))</f>
        <v>0</v>
      </c>
      <c s="125">
        <f>IF(Предпосылки!$G219&gt;0,BG296,BH250*(Предпосылки!$G219/(BH$8+1-BH$7)))</f>
        <v>0</v>
      </c>
      <c s="125">
        <f>IF(Предпосылки!$G219&gt;0,BH296,BI250*(Предпосылки!$G219/(BI$8+1-BI$7)))</f>
        <v>0</v>
      </c>
      <c s="125">
        <f>IF(Предпосылки!$G219&gt;0,BI296,BJ250*(Предпосылки!$G219/(BJ$8+1-BJ$7)))</f>
        <v>0</v>
      </c>
      <c s="125">
        <f>IF(Предпосылки!$G219&gt;0,BJ296,BK250*(Предпосылки!$G219/(BK$8+1-BK$7)))</f>
        <v>0</v>
      </c>
      <c s="125">
        <f>IF(Предпосылки!$G219&gt;0,BK296,BL250*(Предпосылки!$G219/(BL$8+1-BL$7)))</f>
        <v>0</v>
      </c>
      <c s="125">
        <f>IF(Предпосылки!$G219&gt;0,BL296,BM250*(Предпосылки!$G219/(BM$8+1-BM$7)))</f>
        <v>0</v>
      </c>
    </row>
    <row r="228" spans="2:65" ht="15" customHeight="1">
      <c r="B228" s="12" t="str">
        <f>IF(ISBLANK(Предпосылки!B220),"-",Предпосылки!B220)</f>
        <v>Операционные затраты 20</v>
      </c>
      <c s="124" t="str">
        <f t="shared" si="201"/>
        <v>тыс. руб.</v>
      </c>
      <c s="125"/>
      <c s="125">
        <f>IF(Предпосылки!$G220&gt;0,D297,E251*(Предпосылки!$G220/(E$8+1-E$7)))</f>
        <v>0</v>
      </c>
      <c s="125">
        <f>IF(Предпосылки!$G220&gt;0,E297,F251*(Предпосылки!$G220/(F$8+1-F$7)))</f>
        <v>0</v>
      </c>
      <c s="125">
        <f>IF(Предпосылки!$G220&gt;0,F297,G251*(Предпосылки!$G220/(G$8+1-G$7)))</f>
        <v>0</v>
      </c>
      <c s="125">
        <f>IF(Предпосылки!$G220&gt;0,G297,H251*(Предпосылки!$G220/(H$8+1-H$7)))</f>
        <v>0</v>
      </c>
      <c s="125">
        <f>IF(Предпосылки!$G220&gt;0,H297,I251*(Предпосылки!$G220/(I$8+1-I$7)))</f>
        <v>0</v>
      </c>
      <c s="125">
        <f>IF(Предпосылки!$G220&gt;0,I297,J251*(Предпосылки!$G220/(J$8+1-J$7)))</f>
        <v>0</v>
      </c>
      <c s="125">
        <f>IF(Предпосылки!$G220&gt;0,J297,K251*(Предпосылки!$G220/(K$8+1-K$7)))</f>
        <v>0</v>
      </c>
      <c s="125">
        <f>IF(Предпосылки!$G220&gt;0,K297,L251*(Предпосылки!$G220/(L$8+1-L$7)))</f>
        <v>0</v>
      </c>
      <c s="125">
        <f>IF(Предпосылки!$G220&gt;0,L297,M251*(Предпосылки!$G220/(M$8+1-M$7)))</f>
        <v>0</v>
      </c>
      <c s="125">
        <f>IF(Предпосылки!$G220&gt;0,M297,N251*(Предпосылки!$G220/(N$8+1-N$7)))</f>
        <v>0</v>
      </c>
      <c s="125">
        <f>IF(Предпосылки!$G220&gt;0,N297,O251*(Предпосылки!$G220/(O$8+1-O$7)))</f>
        <v>0</v>
      </c>
      <c s="125">
        <f>IF(Предпосылки!$G220&gt;0,O297,P251*(Предпосылки!$G220/(P$8+1-P$7)))</f>
        <v>0</v>
      </c>
      <c s="125">
        <f>IF(Предпосылки!$G220&gt;0,P297,Q251*(Предпосылки!$G220/(Q$8+1-Q$7)))</f>
        <v>0</v>
      </c>
      <c s="125">
        <f>IF(Предпосылки!$G220&gt;0,Q297,R251*(Предпосылки!$G220/(R$8+1-R$7)))</f>
        <v>0</v>
      </c>
      <c s="125">
        <f>IF(Предпосылки!$G220&gt;0,R297,S251*(Предпосылки!$G220/(S$8+1-S$7)))</f>
        <v>0</v>
      </c>
      <c s="125">
        <f>IF(Предпосылки!$G220&gt;0,S297,T251*(Предпосылки!$G220/(T$8+1-T$7)))</f>
        <v>0</v>
      </c>
      <c s="125">
        <f>IF(Предпосылки!$G220&gt;0,T297,U251*(Предпосылки!$G220/(U$8+1-U$7)))</f>
        <v>0</v>
      </c>
      <c s="125">
        <f>IF(Предпосылки!$G220&gt;0,U297,V251*(Предпосылки!$G220/(V$8+1-V$7)))</f>
        <v>0</v>
      </c>
      <c s="125">
        <f>IF(Предпосылки!$G220&gt;0,V297,W251*(Предпосылки!$G220/(W$8+1-W$7)))</f>
        <v>0</v>
      </c>
      <c s="125">
        <f>IF(Предпосылки!$G220&gt;0,W297,X251*(Предпосылки!$G220/(X$8+1-X$7)))</f>
        <v>0</v>
      </c>
      <c s="125">
        <f>IF(Предпосылки!$G220&gt;0,X297,Y251*(Предпосылки!$G220/(Y$8+1-Y$7)))</f>
        <v>0</v>
      </c>
      <c s="125">
        <f>IF(Предпосылки!$G220&gt;0,Y297,Z251*(Предпосылки!$G220/(Z$8+1-Z$7)))</f>
        <v>0</v>
      </c>
      <c s="125">
        <f>IF(Предпосылки!$G220&gt;0,Z297,AA251*(Предпосылки!$G220/(AA$8+1-AA$7)))</f>
        <v>0</v>
      </c>
      <c s="125">
        <f>IF(Предпосылки!$G220&gt;0,AA297,AB251*(Предпосылки!$G220/(AB$8+1-AB$7)))</f>
        <v>0</v>
      </c>
      <c s="125">
        <f>IF(Предпосылки!$G220&gt;0,AB297,AC251*(Предпосылки!$G220/(AC$8+1-AC$7)))</f>
        <v>0</v>
      </c>
      <c s="125">
        <f>IF(Предпосылки!$G220&gt;0,AC297,AD251*(Предпосылки!$G220/(AD$8+1-AD$7)))</f>
        <v>0</v>
      </c>
      <c s="125">
        <f>IF(Предпосылки!$G220&gt;0,AD297,AE251*(Предпосылки!$G220/(AE$8+1-AE$7)))</f>
        <v>0</v>
      </c>
      <c s="125">
        <f>IF(Предпосылки!$G220&gt;0,AE297,AF251*(Предпосылки!$G220/(AF$8+1-AF$7)))</f>
        <v>0</v>
      </c>
      <c s="125">
        <f>IF(Предпосылки!$G220&gt;0,AF297,AG251*(Предпосылки!$G220/(AG$8+1-AG$7)))</f>
        <v>0</v>
      </c>
      <c s="125">
        <f>IF(Предпосылки!$G220&gt;0,AG297,AH251*(Предпосылки!$G220/(AH$8+1-AH$7)))</f>
        <v>0</v>
      </c>
      <c s="125">
        <f>IF(Предпосылки!$G220&gt;0,AH297,AI251*(Предпосылки!$G220/(AI$8+1-AI$7)))</f>
        <v>0</v>
      </c>
      <c s="125">
        <f>IF(Предпосылки!$G220&gt;0,AI297,AJ251*(Предпосылки!$G220/(AJ$8+1-AJ$7)))</f>
        <v>0</v>
      </c>
      <c s="125">
        <f>IF(Предпосылки!$G220&gt;0,AJ297,AK251*(Предпосылки!$G220/(AK$8+1-AK$7)))</f>
        <v>0</v>
      </c>
      <c s="125">
        <f>IF(Предпосылки!$G220&gt;0,AK297,AL251*(Предпосылки!$G220/(AL$8+1-AL$7)))</f>
        <v>0</v>
      </c>
      <c s="125">
        <f>IF(Предпосылки!$G220&gt;0,AL297,AM251*(Предпосылки!$G220/(AM$8+1-AM$7)))</f>
        <v>0</v>
      </c>
      <c s="125">
        <f>IF(Предпосылки!$G220&gt;0,AM297,AN251*(Предпосылки!$G220/(AN$8+1-AN$7)))</f>
        <v>0</v>
      </c>
      <c s="125">
        <f>IF(Предпосылки!$G220&gt;0,AN297,AO251*(Предпосылки!$G220/(AO$8+1-AO$7)))</f>
        <v>0</v>
      </c>
      <c s="125">
        <f>IF(Предпосылки!$G220&gt;0,AO297,AP251*(Предпосылки!$G220/(AP$8+1-AP$7)))</f>
        <v>0</v>
      </c>
      <c s="125">
        <f>IF(Предпосылки!$G220&gt;0,AP297,AQ251*(Предпосылки!$G220/(AQ$8+1-AQ$7)))</f>
        <v>0</v>
      </c>
      <c s="125">
        <f>IF(Предпосылки!$G220&gt;0,AQ297,AR251*(Предпосылки!$G220/(AR$8+1-AR$7)))</f>
        <v>0</v>
      </c>
      <c s="125">
        <f>IF(Предпосылки!$G220&gt;0,AR297,AS251*(Предпосылки!$G220/(AS$8+1-AS$7)))</f>
        <v>0</v>
      </c>
      <c s="125">
        <f>IF(Предпосылки!$G220&gt;0,AS297,AT251*(Предпосылки!$G220/(AT$8+1-AT$7)))</f>
        <v>0</v>
      </c>
      <c s="125">
        <f>IF(Предпосылки!$G220&gt;0,AT297,AU251*(Предпосылки!$G220/(AU$8+1-AU$7)))</f>
        <v>0</v>
      </c>
      <c s="125">
        <f>IF(Предпосылки!$G220&gt;0,AU297,AV251*(Предпосылки!$G220/(AV$8+1-AV$7)))</f>
        <v>0</v>
      </c>
      <c s="125">
        <f>IF(Предпосылки!$G220&gt;0,AV297,AW251*(Предпосылки!$G220/(AW$8+1-AW$7)))</f>
        <v>0</v>
      </c>
      <c s="125">
        <f>IF(Предпосылки!$G220&gt;0,AW297,AX251*(Предпосылки!$G220/(AX$8+1-AX$7)))</f>
        <v>0</v>
      </c>
      <c s="125">
        <f>IF(Предпосылки!$G220&gt;0,AX297,AY251*(Предпосылки!$G220/(AY$8+1-AY$7)))</f>
        <v>0</v>
      </c>
      <c s="125">
        <f>IF(Предпосылки!$G220&gt;0,AY297,AZ251*(Предпосылки!$G220/(AZ$8+1-AZ$7)))</f>
        <v>0</v>
      </c>
      <c s="125">
        <f>IF(Предпосылки!$G220&gt;0,AZ297,BA251*(Предпосылки!$G220/(BA$8+1-BA$7)))</f>
        <v>0</v>
      </c>
      <c s="125">
        <f>IF(Предпосылки!$G220&gt;0,BA297,BB251*(Предпосылки!$G220/(BB$8+1-BB$7)))</f>
        <v>0</v>
      </c>
      <c s="125">
        <f>IF(Предпосылки!$G220&gt;0,BB297,BC251*(Предпосылки!$G220/(BC$8+1-BC$7)))</f>
        <v>0</v>
      </c>
      <c s="125">
        <f>IF(Предпосылки!$G220&gt;0,BC297,BD251*(Предпосылки!$G220/(BD$8+1-BD$7)))</f>
        <v>0</v>
      </c>
      <c s="125">
        <f>IF(Предпосылки!$G220&gt;0,BD297,BE251*(Предпосылки!$G220/(BE$8+1-BE$7)))</f>
        <v>0</v>
      </c>
      <c s="125">
        <f>IF(Предпосылки!$G220&gt;0,BE297,BF251*(Предпосылки!$G220/(BF$8+1-BF$7)))</f>
        <v>0</v>
      </c>
      <c s="125">
        <f>IF(Предпосылки!$G220&gt;0,BF297,BG251*(Предпосылки!$G220/(BG$8+1-BG$7)))</f>
        <v>0</v>
      </c>
      <c s="125">
        <f>IF(Предпосылки!$G220&gt;0,BG297,BH251*(Предпосылки!$G220/(BH$8+1-BH$7)))</f>
        <v>0</v>
      </c>
      <c s="125">
        <f>IF(Предпосылки!$G220&gt;0,BH297,BI251*(Предпосылки!$G220/(BI$8+1-BI$7)))</f>
        <v>0</v>
      </c>
      <c s="125">
        <f>IF(Предпосылки!$G220&gt;0,BI297,BJ251*(Предпосылки!$G220/(BJ$8+1-BJ$7)))</f>
        <v>0</v>
      </c>
      <c s="125">
        <f>IF(Предпосылки!$G220&gt;0,BJ297,BK251*(Предпосылки!$G220/(BK$8+1-BK$7)))</f>
        <v>0</v>
      </c>
      <c s="125">
        <f>IF(Предпосылки!$G220&gt;0,BK297,BL251*(Предпосылки!$G220/(BL$8+1-BL$7)))</f>
        <v>0</v>
      </c>
      <c s="125">
        <f>IF(Предпосылки!$G220&gt;0,BL297,BM251*(Предпосылки!$G220/(BM$8+1-BM$7)))</f>
        <v>0</v>
      </c>
    </row>
    <row r="229" spans="2:65" ht="15" customHeight="1">
      <c r="B229" s="289" t="s">
        <v>454</v>
      </c>
      <c s="290" t="str">
        <f t="shared" si="201"/>
        <v>тыс. руб.</v>
      </c>
      <c s="276"/>
      <c s="276">
        <f t="shared" si="202" ref="E229:AG229">SUM(E209:E228)</f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2"/>
        <v>0</v>
      </c>
      <c s="276">
        <f t="shared" si="203" ref="AH229:BM229">SUM(AH209:AH228)</f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  <c s="276">
        <f t="shared" si="203"/>
        <v>0</v>
      </c>
    </row>
    <row r="230" ht="15" customHeight="1"/>
    <row r="231" spans="2:2" ht="15" customHeight="1">
      <c r="B231" s="24" t="s">
        <v>887</v>
      </c>
    </row>
    <row r="232" spans="2:65" ht="15" customHeight="1">
      <c r="B232" s="12" t="str">
        <f t="shared" si="204" ref="B232:B251">B209</f>
        <v>Операционные затраты 1</v>
      </c>
      <c s="124" t="str">
        <f t="shared" si="205" ref="C232:C252">Единица_измерения</f>
        <v>тыс. руб.</v>
      </c>
      <c s="125"/>
      <c s="125">
        <f>'Операционные затраты'!E578</f>
        <v>0</v>
      </c>
      <c s="125">
        <f>'Операционные затраты'!F578</f>
        <v>0</v>
      </c>
      <c s="125">
        <f>'Операционные затраты'!G578</f>
        <v>0</v>
      </c>
      <c s="125">
        <f>'Операционные затраты'!H578</f>
        <v>0</v>
      </c>
      <c s="125">
        <f>'Операционные затраты'!I578</f>
        <v>0</v>
      </c>
      <c s="125">
        <f>'Операционные затраты'!J578</f>
        <v>0</v>
      </c>
      <c s="125">
        <f>'Операционные затраты'!K578</f>
        <v>0</v>
      </c>
      <c s="125">
        <f>'Операционные затраты'!L578</f>
        <v>0</v>
      </c>
      <c s="125">
        <f>'Операционные затраты'!M578</f>
        <v>0</v>
      </c>
      <c s="125">
        <f>'Операционные затраты'!N578</f>
        <v>0</v>
      </c>
      <c s="125">
        <f>'Операционные затраты'!O578</f>
        <v>0</v>
      </c>
      <c s="125">
        <f>'Операционные затраты'!P578</f>
        <v>0</v>
      </c>
      <c s="125">
        <f>'Операционные затраты'!Q578</f>
        <v>0</v>
      </c>
      <c s="125">
        <f>'Операционные затраты'!R578</f>
        <v>0</v>
      </c>
      <c s="125">
        <f>'Операционные затраты'!S578</f>
        <v>0</v>
      </c>
      <c s="125">
        <f>'Операционные затраты'!T578</f>
        <v>0</v>
      </c>
      <c s="125">
        <f>'Операционные затраты'!U578</f>
        <v>0</v>
      </c>
      <c s="125">
        <f>'Операционные затраты'!V578</f>
        <v>0</v>
      </c>
      <c s="125">
        <f>'Операционные затраты'!W578</f>
        <v>0</v>
      </c>
      <c s="125">
        <f>'Операционные затраты'!X578</f>
        <v>0</v>
      </c>
      <c s="125">
        <f>'Операционные затраты'!Y578</f>
        <v>0</v>
      </c>
      <c s="125">
        <f>'Операционные затраты'!Z578</f>
        <v>0</v>
      </c>
      <c s="125">
        <f>'Операционные затраты'!AA578</f>
        <v>0</v>
      </c>
      <c s="125">
        <f>'Операционные затраты'!AB578</f>
        <v>0</v>
      </c>
      <c s="125">
        <f>'Операционные затраты'!AC578</f>
        <v>0</v>
      </c>
      <c s="125">
        <f>'Операционные затраты'!AD578</f>
        <v>0</v>
      </c>
      <c s="125">
        <f>'Операционные затраты'!AE578</f>
        <v>0</v>
      </c>
      <c s="125">
        <f>'Операционные затраты'!AF578</f>
        <v>0</v>
      </c>
      <c s="125">
        <f>'Операционные затраты'!AG578</f>
        <v>0</v>
      </c>
      <c s="125">
        <f>'Операционные затраты'!AH578</f>
        <v>0</v>
      </c>
      <c s="125">
        <f>'Операционные затраты'!AI578</f>
        <v>0</v>
      </c>
      <c s="125">
        <f>'Операционные затраты'!AJ578</f>
        <v>0</v>
      </c>
      <c s="125">
        <f>'Операционные затраты'!AK578</f>
        <v>0</v>
      </c>
      <c s="125">
        <f>'Операционные затраты'!AL578</f>
        <v>0</v>
      </c>
      <c s="125">
        <f>'Операционные затраты'!AM578</f>
        <v>0</v>
      </c>
      <c s="125">
        <f>'Операционные затраты'!AN578</f>
        <v>0</v>
      </c>
      <c s="125">
        <f>'Операционные затраты'!AO578</f>
        <v>0</v>
      </c>
      <c s="125">
        <f>'Операционные затраты'!AP578</f>
        <v>0</v>
      </c>
      <c s="125">
        <f>'Операционные затраты'!AQ578</f>
        <v>0</v>
      </c>
      <c s="125">
        <f>'Операционные затраты'!AR578</f>
        <v>0</v>
      </c>
      <c s="125">
        <f>'Операционные затраты'!AS578</f>
        <v>0</v>
      </c>
      <c s="125">
        <f>'Операционные затраты'!AT578</f>
        <v>0</v>
      </c>
      <c s="125">
        <f>'Операционные затраты'!AU578</f>
        <v>0</v>
      </c>
      <c s="125">
        <f>'Операционные затраты'!AV578</f>
        <v>0</v>
      </c>
      <c s="125">
        <f>'Операционные затраты'!AW578</f>
        <v>0</v>
      </c>
      <c s="125">
        <f>'Операционные затраты'!AX578</f>
        <v>0</v>
      </c>
      <c s="125">
        <f>'Операционные затраты'!AY578</f>
        <v>0</v>
      </c>
      <c s="125">
        <f>'Операционные затраты'!AZ578</f>
        <v>0</v>
      </c>
      <c s="125">
        <f>'Операционные затраты'!BA578</f>
        <v>0</v>
      </c>
      <c s="125">
        <f>'Операционные затраты'!BB578</f>
        <v>0</v>
      </c>
      <c s="125">
        <f>'Операционные затраты'!BC578</f>
        <v>0</v>
      </c>
      <c s="125">
        <f>'Операционные затраты'!BD578</f>
        <v>0</v>
      </c>
      <c s="125">
        <f>'Операционные затраты'!BE578</f>
        <v>0</v>
      </c>
      <c s="125">
        <f>'Операционные затраты'!BF578</f>
        <v>0</v>
      </c>
      <c s="125">
        <f>'Операционные затраты'!BG578</f>
        <v>0</v>
      </c>
      <c s="125">
        <f>'Операционные затраты'!BH578</f>
        <v>0</v>
      </c>
      <c s="125">
        <f>'Операционные затраты'!BI578</f>
        <v>0</v>
      </c>
      <c s="125">
        <f>'Операционные затраты'!BJ578</f>
        <v>0</v>
      </c>
      <c s="125">
        <f>'Операционные затраты'!BK578</f>
        <v>0</v>
      </c>
      <c s="125">
        <f>'Операционные затраты'!BL578</f>
        <v>0</v>
      </c>
      <c s="125">
        <f>'Операционные затраты'!BM578</f>
        <v>0</v>
      </c>
    </row>
    <row r="233" spans="2:65" ht="15" customHeight="1">
      <c r="B233" s="12" t="str">
        <f t="shared" si="204"/>
        <v>Операционные затраты 2</v>
      </c>
      <c s="124" t="str">
        <f t="shared" si="205"/>
        <v>тыс. руб.</v>
      </c>
      <c s="125"/>
      <c s="125">
        <f>'Операционные затраты'!E579</f>
        <v>0</v>
      </c>
      <c s="125">
        <f>'Операционные затраты'!F579</f>
        <v>0</v>
      </c>
      <c s="125">
        <f>'Операционные затраты'!G579</f>
        <v>0</v>
      </c>
      <c s="125">
        <f>'Операционные затраты'!H579</f>
        <v>0</v>
      </c>
      <c s="125">
        <f>'Операционные затраты'!I579</f>
        <v>0</v>
      </c>
      <c s="125">
        <f>'Операционные затраты'!J579</f>
        <v>0</v>
      </c>
      <c s="125">
        <f>'Операционные затраты'!K579</f>
        <v>0</v>
      </c>
      <c s="125">
        <f>'Операционные затраты'!L579</f>
        <v>0</v>
      </c>
      <c s="125">
        <f>'Операционные затраты'!M579</f>
        <v>0</v>
      </c>
      <c s="125">
        <f>'Операционные затраты'!N579</f>
        <v>0</v>
      </c>
      <c s="125">
        <f>'Операционные затраты'!O579</f>
        <v>0</v>
      </c>
      <c s="125">
        <f>'Операционные затраты'!P579</f>
        <v>0</v>
      </c>
      <c s="125">
        <f>'Операционные затраты'!Q579</f>
        <v>0</v>
      </c>
      <c s="125">
        <f>'Операционные затраты'!R579</f>
        <v>0</v>
      </c>
      <c s="125">
        <f>'Операционные затраты'!S579</f>
        <v>0</v>
      </c>
      <c s="125">
        <f>'Операционные затраты'!T579</f>
        <v>0</v>
      </c>
      <c s="125">
        <f>'Операционные затраты'!U579</f>
        <v>0</v>
      </c>
      <c s="125">
        <f>'Операционные затраты'!V579</f>
        <v>0</v>
      </c>
      <c s="125">
        <f>'Операционные затраты'!W579</f>
        <v>0</v>
      </c>
      <c s="125">
        <f>'Операционные затраты'!X579</f>
        <v>0</v>
      </c>
      <c s="125">
        <f>'Операционные затраты'!Y579</f>
        <v>0</v>
      </c>
      <c s="125">
        <f>'Операционные затраты'!Z579</f>
        <v>0</v>
      </c>
      <c s="125">
        <f>'Операционные затраты'!AA579</f>
        <v>0</v>
      </c>
      <c s="125">
        <f>'Операционные затраты'!AB579</f>
        <v>0</v>
      </c>
      <c s="125">
        <f>'Операционные затраты'!AC579</f>
        <v>0</v>
      </c>
      <c s="125">
        <f>'Операционные затраты'!AD579</f>
        <v>0</v>
      </c>
      <c s="125">
        <f>'Операционные затраты'!AE579</f>
        <v>0</v>
      </c>
      <c s="125">
        <f>'Операционные затраты'!AF579</f>
        <v>0</v>
      </c>
      <c s="125">
        <f>'Операционные затраты'!AG579</f>
        <v>0</v>
      </c>
      <c s="125">
        <f>'Операционные затраты'!AH579</f>
        <v>0</v>
      </c>
      <c s="125">
        <f>'Операционные затраты'!AI579</f>
        <v>0</v>
      </c>
      <c s="125">
        <f>'Операционные затраты'!AJ579</f>
        <v>0</v>
      </c>
      <c s="125">
        <f>'Операционные затраты'!AK579</f>
        <v>0</v>
      </c>
      <c s="125">
        <f>'Операционные затраты'!AL579</f>
        <v>0</v>
      </c>
      <c s="125">
        <f>'Операционные затраты'!AM579</f>
        <v>0</v>
      </c>
      <c s="125">
        <f>'Операционные затраты'!AN579</f>
        <v>0</v>
      </c>
      <c s="125">
        <f>'Операционные затраты'!AO579</f>
        <v>0</v>
      </c>
      <c s="125">
        <f>'Операционные затраты'!AP579</f>
        <v>0</v>
      </c>
      <c s="125">
        <f>'Операционные затраты'!AQ579</f>
        <v>0</v>
      </c>
      <c s="125">
        <f>'Операционные затраты'!AR579</f>
        <v>0</v>
      </c>
      <c s="125">
        <f>'Операционные затраты'!AS579</f>
        <v>0</v>
      </c>
      <c s="125">
        <f>'Операционные затраты'!AT579</f>
        <v>0</v>
      </c>
      <c s="125">
        <f>'Операционные затраты'!AU579</f>
        <v>0</v>
      </c>
      <c s="125">
        <f>'Операционные затраты'!AV579</f>
        <v>0</v>
      </c>
      <c s="125">
        <f>'Операционные затраты'!AW579</f>
        <v>0</v>
      </c>
      <c s="125">
        <f>'Операционные затраты'!AX579</f>
        <v>0</v>
      </c>
      <c s="125">
        <f>'Операционные затраты'!AY579</f>
        <v>0</v>
      </c>
      <c s="125">
        <f>'Операционные затраты'!AZ579</f>
        <v>0</v>
      </c>
      <c s="125">
        <f>'Операционные затраты'!BA579</f>
        <v>0</v>
      </c>
      <c s="125">
        <f>'Операционные затраты'!BB579</f>
        <v>0</v>
      </c>
      <c s="125">
        <f>'Операционные затраты'!BC579</f>
        <v>0</v>
      </c>
      <c s="125">
        <f>'Операционные затраты'!BD579</f>
        <v>0</v>
      </c>
      <c s="125">
        <f>'Операционные затраты'!BE579</f>
        <v>0</v>
      </c>
      <c s="125">
        <f>'Операционные затраты'!BF579</f>
        <v>0</v>
      </c>
      <c s="125">
        <f>'Операционные затраты'!BG579</f>
        <v>0</v>
      </c>
      <c s="125">
        <f>'Операционные затраты'!BH579</f>
        <v>0</v>
      </c>
      <c s="125">
        <f>'Операционные затраты'!BI579</f>
        <v>0</v>
      </c>
      <c s="125">
        <f>'Операционные затраты'!BJ579</f>
        <v>0</v>
      </c>
      <c s="125">
        <f>'Операционные затраты'!BK579</f>
        <v>0</v>
      </c>
      <c s="125">
        <f>'Операционные затраты'!BL579</f>
        <v>0</v>
      </c>
      <c s="125">
        <f>'Операционные затраты'!BM579</f>
        <v>0</v>
      </c>
    </row>
    <row r="234" spans="2:65" ht="15" customHeight="1">
      <c r="B234" s="12" t="str">
        <f t="shared" si="204"/>
        <v>Операционные затраты 3</v>
      </c>
      <c s="124" t="str">
        <f t="shared" si="205"/>
        <v>тыс. руб.</v>
      </c>
      <c s="125"/>
      <c s="125">
        <f>'Операционные затраты'!E580</f>
        <v>0</v>
      </c>
      <c s="125">
        <f>'Операционные затраты'!F580</f>
        <v>0</v>
      </c>
      <c s="125">
        <f>'Операционные затраты'!G580</f>
        <v>0</v>
      </c>
      <c s="125">
        <f>'Операционные затраты'!H580</f>
        <v>0</v>
      </c>
      <c s="125">
        <f>'Операционные затраты'!I580</f>
        <v>0</v>
      </c>
      <c s="125">
        <f>'Операционные затраты'!J580</f>
        <v>0</v>
      </c>
      <c s="125">
        <f>'Операционные затраты'!K580</f>
        <v>0</v>
      </c>
      <c s="125">
        <f>'Операционные затраты'!L580</f>
        <v>0</v>
      </c>
      <c s="125">
        <f>'Операционные затраты'!M580</f>
        <v>0</v>
      </c>
      <c s="125">
        <f>'Операционные затраты'!N580</f>
        <v>0</v>
      </c>
      <c s="125">
        <f>'Операционные затраты'!O580</f>
        <v>0</v>
      </c>
      <c s="125">
        <f>'Операционные затраты'!P580</f>
        <v>0</v>
      </c>
      <c s="125">
        <f>'Операционные затраты'!Q580</f>
        <v>0</v>
      </c>
      <c s="125">
        <f>'Операционные затраты'!R580</f>
        <v>0</v>
      </c>
      <c s="125">
        <f>'Операционные затраты'!S580</f>
        <v>0</v>
      </c>
      <c s="125">
        <f>'Операционные затраты'!T580</f>
        <v>0</v>
      </c>
      <c s="125">
        <f>'Операционные затраты'!U580</f>
        <v>0</v>
      </c>
      <c s="125">
        <f>'Операционные затраты'!V580</f>
        <v>0</v>
      </c>
      <c s="125">
        <f>'Операционные затраты'!W580</f>
        <v>0</v>
      </c>
      <c s="125">
        <f>'Операционные затраты'!X580</f>
        <v>0</v>
      </c>
      <c s="125">
        <f>'Операционные затраты'!Y580</f>
        <v>0</v>
      </c>
      <c s="125">
        <f>'Операционные затраты'!Z580</f>
        <v>0</v>
      </c>
      <c s="125">
        <f>'Операционные затраты'!AA580</f>
        <v>0</v>
      </c>
      <c s="125">
        <f>'Операционные затраты'!AB580</f>
        <v>0</v>
      </c>
      <c s="125">
        <f>'Операционные затраты'!AC580</f>
        <v>0</v>
      </c>
      <c s="125">
        <f>'Операционные затраты'!AD580</f>
        <v>0</v>
      </c>
      <c s="125">
        <f>'Операционные затраты'!AE580</f>
        <v>0</v>
      </c>
      <c s="125">
        <f>'Операционные затраты'!AF580</f>
        <v>0</v>
      </c>
      <c s="125">
        <f>'Операционные затраты'!AG580</f>
        <v>0</v>
      </c>
      <c s="125">
        <f>'Операционные затраты'!AH580</f>
        <v>0</v>
      </c>
      <c s="125">
        <f>'Операционные затраты'!AI580</f>
        <v>0</v>
      </c>
      <c s="125">
        <f>'Операционные затраты'!AJ580</f>
        <v>0</v>
      </c>
      <c s="125">
        <f>'Операционные затраты'!AK580</f>
        <v>0</v>
      </c>
      <c s="125">
        <f>'Операционные затраты'!AL580</f>
        <v>0</v>
      </c>
      <c s="125">
        <f>'Операционные затраты'!AM580</f>
        <v>0</v>
      </c>
      <c s="125">
        <f>'Операционные затраты'!AN580</f>
        <v>0</v>
      </c>
      <c s="125">
        <f>'Операционные затраты'!AO580</f>
        <v>0</v>
      </c>
      <c s="125">
        <f>'Операционные затраты'!AP580</f>
        <v>0</v>
      </c>
      <c s="125">
        <f>'Операционные затраты'!AQ580</f>
        <v>0</v>
      </c>
      <c s="125">
        <f>'Операционные затраты'!AR580</f>
        <v>0</v>
      </c>
      <c s="125">
        <f>'Операционные затраты'!AS580</f>
        <v>0</v>
      </c>
      <c s="125">
        <f>'Операционные затраты'!AT580</f>
        <v>0</v>
      </c>
      <c s="125">
        <f>'Операционные затраты'!AU580</f>
        <v>0</v>
      </c>
      <c s="125">
        <f>'Операционные затраты'!AV580</f>
        <v>0</v>
      </c>
      <c s="125">
        <f>'Операционные затраты'!AW580</f>
        <v>0</v>
      </c>
      <c s="125">
        <f>'Операционные затраты'!AX580</f>
        <v>0</v>
      </c>
      <c s="125">
        <f>'Операционные затраты'!AY580</f>
        <v>0</v>
      </c>
      <c s="125">
        <f>'Операционные затраты'!AZ580</f>
        <v>0</v>
      </c>
      <c s="125">
        <f>'Операционные затраты'!BA580</f>
        <v>0</v>
      </c>
      <c s="125">
        <f>'Операционные затраты'!BB580</f>
        <v>0</v>
      </c>
      <c s="125">
        <f>'Операционные затраты'!BC580</f>
        <v>0</v>
      </c>
      <c s="125">
        <f>'Операционные затраты'!BD580</f>
        <v>0</v>
      </c>
      <c s="125">
        <f>'Операционные затраты'!BE580</f>
        <v>0</v>
      </c>
      <c s="125">
        <f>'Операционные затраты'!BF580</f>
        <v>0</v>
      </c>
      <c s="125">
        <f>'Операционные затраты'!BG580</f>
        <v>0</v>
      </c>
      <c s="125">
        <f>'Операционные затраты'!BH580</f>
        <v>0</v>
      </c>
      <c s="125">
        <f>'Операционные затраты'!BI580</f>
        <v>0</v>
      </c>
      <c s="125">
        <f>'Операционные затраты'!BJ580</f>
        <v>0</v>
      </c>
      <c s="125">
        <f>'Операционные затраты'!BK580</f>
        <v>0</v>
      </c>
      <c s="125">
        <f>'Операционные затраты'!BL580</f>
        <v>0</v>
      </c>
      <c s="125">
        <f>'Операционные затраты'!BM580</f>
        <v>0</v>
      </c>
    </row>
    <row r="235" spans="2:65" ht="15" customHeight="1">
      <c r="B235" s="12" t="str">
        <f t="shared" si="204"/>
        <v>Операционные затраты 4</v>
      </c>
      <c s="124" t="str">
        <f t="shared" si="205"/>
        <v>тыс. руб.</v>
      </c>
      <c s="125"/>
      <c s="125">
        <f>'Операционные затраты'!E581</f>
        <v>0</v>
      </c>
      <c s="125">
        <f>'Операционные затраты'!F581</f>
        <v>0</v>
      </c>
      <c s="125">
        <f>'Операционные затраты'!G581</f>
        <v>0</v>
      </c>
      <c s="125">
        <f>'Операционные затраты'!H581</f>
        <v>0</v>
      </c>
      <c s="125">
        <f>'Операционные затраты'!I581</f>
        <v>0</v>
      </c>
      <c s="125">
        <f>'Операционные затраты'!J581</f>
        <v>0</v>
      </c>
      <c s="125">
        <f>'Операционные затраты'!K581</f>
        <v>0</v>
      </c>
      <c s="125">
        <f>'Операционные затраты'!L581</f>
        <v>0</v>
      </c>
      <c s="125">
        <f>'Операционные затраты'!M581</f>
        <v>0</v>
      </c>
      <c s="125">
        <f>'Операционные затраты'!N581</f>
        <v>0</v>
      </c>
      <c s="125">
        <f>'Операционные затраты'!O581</f>
        <v>0</v>
      </c>
      <c s="125">
        <f>'Операционные затраты'!P581</f>
        <v>0</v>
      </c>
      <c s="125">
        <f>'Операционные затраты'!Q581</f>
        <v>0</v>
      </c>
      <c s="125">
        <f>'Операционные затраты'!R581</f>
        <v>0</v>
      </c>
      <c s="125">
        <f>'Операционные затраты'!S581</f>
        <v>0</v>
      </c>
      <c s="125">
        <f>'Операционные затраты'!T581</f>
        <v>0</v>
      </c>
      <c s="125">
        <f>'Операционные затраты'!U581</f>
        <v>0</v>
      </c>
      <c s="125">
        <f>'Операционные затраты'!V581</f>
        <v>0</v>
      </c>
      <c s="125">
        <f>'Операционные затраты'!W581</f>
        <v>0</v>
      </c>
      <c s="125">
        <f>'Операционные затраты'!X581</f>
        <v>0</v>
      </c>
      <c s="125">
        <f>'Операционные затраты'!Y581</f>
        <v>0</v>
      </c>
      <c s="125">
        <f>'Операционные затраты'!Z581</f>
        <v>0</v>
      </c>
      <c s="125">
        <f>'Операционные затраты'!AA581</f>
        <v>0</v>
      </c>
      <c s="125">
        <f>'Операционные затраты'!AB581</f>
        <v>0</v>
      </c>
      <c s="125">
        <f>'Операционные затраты'!AC581</f>
        <v>0</v>
      </c>
      <c s="125">
        <f>'Операционные затраты'!AD581</f>
        <v>0</v>
      </c>
      <c s="125">
        <f>'Операционные затраты'!AE581</f>
        <v>0</v>
      </c>
      <c s="125">
        <f>'Операционные затраты'!AF581</f>
        <v>0</v>
      </c>
      <c s="125">
        <f>'Операционные затраты'!AG581</f>
        <v>0</v>
      </c>
      <c s="125">
        <f>'Операционные затраты'!AH581</f>
        <v>0</v>
      </c>
      <c s="125">
        <f>'Операционные затраты'!AI581</f>
        <v>0</v>
      </c>
      <c s="125">
        <f>'Операционные затраты'!AJ581</f>
        <v>0</v>
      </c>
      <c s="125">
        <f>'Операционные затраты'!AK581</f>
        <v>0</v>
      </c>
      <c s="125">
        <f>'Операционные затраты'!AL581</f>
        <v>0</v>
      </c>
      <c s="125">
        <f>'Операционные затраты'!AM581</f>
        <v>0</v>
      </c>
      <c s="125">
        <f>'Операционные затраты'!AN581</f>
        <v>0</v>
      </c>
      <c s="125">
        <f>'Операционные затраты'!AO581</f>
        <v>0</v>
      </c>
      <c s="125">
        <f>'Операционные затраты'!AP581</f>
        <v>0</v>
      </c>
      <c s="125">
        <f>'Операционные затраты'!AQ581</f>
        <v>0</v>
      </c>
      <c s="125">
        <f>'Операционные затраты'!AR581</f>
        <v>0</v>
      </c>
      <c s="125">
        <f>'Операционные затраты'!AS581</f>
        <v>0</v>
      </c>
      <c s="125">
        <f>'Операционные затраты'!AT581</f>
        <v>0</v>
      </c>
      <c s="125">
        <f>'Операционные затраты'!AU581</f>
        <v>0</v>
      </c>
      <c s="125">
        <f>'Операционные затраты'!AV581</f>
        <v>0</v>
      </c>
      <c s="125">
        <f>'Операционные затраты'!AW581</f>
        <v>0</v>
      </c>
      <c s="125">
        <f>'Операционные затраты'!AX581</f>
        <v>0</v>
      </c>
      <c s="125">
        <f>'Операционные затраты'!AY581</f>
        <v>0</v>
      </c>
      <c s="125">
        <f>'Операционные затраты'!AZ581</f>
        <v>0</v>
      </c>
      <c s="125">
        <f>'Операционные затраты'!BA581</f>
        <v>0</v>
      </c>
      <c s="125">
        <f>'Операционные затраты'!BB581</f>
        <v>0</v>
      </c>
      <c s="125">
        <f>'Операционные затраты'!BC581</f>
        <v>0</v>
      </c>
      <c s="125">
        <f>'Операционные затраты'!BD581</f>
        <v>0</v>
      </c>
      <c s="125">
        <f>'Операционные затраты'!BE581</f>
        <v>0</v>
      </c>
      <c s="125">
        <f>'Операционные затраты'!BF581</f>
        <v>0</v>
      </c>
      <c s="125">
        <f>'Операционные затраты'!BG581</f>
        <v>0</v>
      </c>
      <c s="125">
        <f>'Операционные затраты'!BH581</f>
        <v>0</v>
      </c>
      <c s="125">
        <f>'Операционные затраты'!BI581</f>
        <v>0</v>
      </c>
      <c s="125">
        <f>'Операционные затраты'!BJ581</f>
        <v>0</v>
      </c>
      <c s="125">
        <f>'Операционные затраты'!BK581</f>
        <v>0</v>
      </c>
      <c s="125">
        <f>'Операционные затраты'!BL581</f>
        <v>0</v>
      </c>
      <c s="125">
        <f>'Операционные затраты'!BM581</f>
        <v>0</v>
      </c>
    </row>
    <row r="236" spans="2:65" ht="15" customHeight="1">
      <c r="B236" s="12" t="str">
        <f t="shared" si="204"/>
        <v>Операционные затраты 5</v>
      </c>
      <c s="124" t="str">
        <f t="shared" si="205"/>
        <v>тыс. руб.</v>
      </c>
      <c s="125"/>
      <c s="125">
        <f>'Операционные затраты'!E582</f>
        <v>0</v>
      </c>
      <c s="125">
        <f>'Операционные затраты'!F582</f>
        <v>0</v>
      </c>
      <c s="125">
        <f>'Операционные затраты'!G582</f>
        <v>0</v>
      </c>
      <c s="125">
        <f>'Операционные затраты'!H582</f>
        <v>0</v>
      </c>
      <c s="125">
        <f>'Операционные затраты'!I582</f>
        <v>0</v>
      </c>
      <c s="125">
        <f>'Операционные затраты'!J582</f>
        <v>0</v>
      </c>
      <c s="125">
        <f>'Операционные затраты'!K582</f>
        <v>0</v>
      </c>
      <c s="125">
        <f>'Операционные затраты'!L582</f>
        <v>0</v>
      </c>
      <c s="125">
        <f>'Операционные затраты'!M582</f>
        <v>0</v>
      </c>
      <c s="125">
        <f>'Операционные затраты'!N582</f>
        <v>0</v>
      </c>
      <c s="125">
        <f>'Операционные затраты'!O582</f>
        <v>0</v>
      </c>
      <c s="125">
        <f>'Операционные затраты'!P582</f>
        <v>0</v>
      </c>
      <c s="125">
        <f>'Операционные затраты'!Q582</f>
        <v>0</v>
      </c>
      <c s="125">
        <f>'Операционные затраты'!R582</f>
        <v>0</v>
      </c>
      <c s="125">
        <f>'Операционные затраты'!S582</f>
        <v>0</v>
      </c>
      <c s="125">
        <f>'Операционные затраты'!T582</f>
        <v>0</v>
      </c>
      <c s="125">
        <f>'Операционные затраты'!U582</f>
        <v>0</v>
      </c>
      <c s="125">
        <f>'Операционные затраты'!V582</f>
        <v>0</v>
      </c>
      <c s="125">
        <f>'Операционные затраты'!W582</f>
        <v>0</v>
      </c>
      <c s="125">
        <f>'Операционные затраты'!X582</f>
        <v>0</v>
      </c>
      <c s="125">
        <f>'Операционные затраты'!Y582</f>
        <v>0</v>
      </c>
      <c s="125">
        <f>'Операционные затраты'!Z582</f>
        <v>0</v>
      </c>
      <c s="125">
        <f>'Операционные затраты'!AA582</f>
        <v>0</v>
      </c>
      <c s="125">
        <f>'Операционные затраты'!AB582</f>
        <v>0</v>
      </c>
      <c s="125">
        <f>'Операционные затраты'!AC582</f>
        <v>0</v>
      </c>
      <c s="125">
        <f>'Операционные затраты'!AD582</f>
        <v>0</v>
      </c>
      <c s="125">
        <f>'Операционные затраты'!AE582</f>
        <v>0</v>
      </c>
      <c s="125">
        <f>'Операционные затраты'!AF582</f>
        <v>0</v>
      </c>
      <c s="125">
        <f>'Операционные затраты'!AG582</f>
        <v>0</v>
      </c>
      <c s="125">
        <f>'Операционные затраты'!AH582</f>
        <v>0</v>
      </c>
      <c s="125">
        <f>'Операционные затраты'!AI582</f>
        <v>0</v>
      </c>
      <c s="125">
        <f>'Операционные затраты'!AJ582</f>
        <v>0</v>
      </c>
      <c s="125">
        <f>'Операционные затраты'!AK582</f>
        <v>0</v>
      </c>
      <c s="125">
        <f>'Операционные затраты'!AL582</f>
        <v>0</v>
      </c>
      <c s="125">
        <f>'Операционные затраты'!AM582</f>
        <v>0</v>
      </c>
      <c s="125">
        <f>'Операционные затраты'!AN582</f>
        <v>0</v>
      </c>
      <c s="125">
        <f>'Операционные затраты'!AO582</f>
        <v>0</v>
      </c>
      <c s="125">
        <f>'Операционные затраты'!AP582</f>
        <v>0</v>
      </c>
      <c s="125">
        <f>'Операционные затраты'!AQ582</f>
        <v>0</v>
      </c>
      <c s="125">
        <f>'Операционные затраты'!AR582</f>
        <v>0</v>
      </c>
      <c s="125">
        <f>'Операционные затраты'!AS582</f>
        <v>0</v>
      </c>
      <c s="125">
        <f>'Операционные затраты'!AT582</f>
        <v>0</v>
      </c>
      <c s="125">
        <f>'Операционные затраты'!AU582</f>
        <v>0</v>
      </c>
      <c s="125">
        <f>'Операционные затраты'!AV582</f>
        <v>0</v>
      </c>
      <c s="125">
        <f>'Операционные затраты'!AW582</f>
        <v>0</v>
      </c>
      <c s="125">
        <f>'Операционные затраты'!AX582</f>
        <v>0</v>
      </c>
      <c s="125">
        <f>'Операционные затраты'!AY582</f>
        <v>0</v>
      </c>
      <c s="125">
        <f>'Операционные затраты'!AZ582</f>
        <v>0</v>
      </c>
      <c s="125">
        <f>'Операционные затраты'!BA582</f>
        <v>0</v>
      </c>
      <c s="125">
        <f>'Операционные затраты'!BB582</f>
        <v>0</v>
      </c>
      <c s="125">
        <f>'Операционные затраты'!BC582</f>
        <v>0</v>
      </c>
      <c s="125">
        <f>'Операционные затраты'!BD582</f>
        <v>0</v>
      </c>
      <c s="125">
        <f>'Операционные затраты'!BE582</f>
        <v>0</v>
      </c>
      <c s="125">
        <f>'Операционные затраты'!BF582</f>
        <v>0</v>
      </c>
      <c s="125">
        <f>'Операционные затраты'!BG582</f>
        <v>0</v>
      </c>
      <c s="125">
        <f>'Операционные затраты'!BH582</f>
        <v>0</v>
      </c>
      <c s="125">
        <f>'Операционные затраты'!BI582</f>
        <v>0</v>
      </c>
      <c s="125">
        <f>'Операционные затраты'!BJ582</f>
        <v>0</v>
      </c>
      <c s="125">
        <f>'Операционные затраты'!BK582</f>
        <v>0</v>
      </c>
      <c s="125">
        <f>'Операционные затраты'!BL582</f>
        <v>0</v>
      </c>
      <c s="125">
        <f>'Операционные затраты'!BM582</f>
        <v>0</v>
      </c>
    </row>
    <row r="237" spans="2:65" ht="15" customHeight="1">
      <c r="B237" s="12" t="str">
        <f t="shared" si="204"/>
        <v>Операционные затраты 6</v>
      </c>
      <c s="124" t="str">
        <f t="shared" si="205"/>
        <v>тыс. руб.</v>
      </c>
      <c s="125"/>
      <c s="125">
        <f>'Операционные затраты'!E583</f>
        <v>0</v>
      </c>
      <c s="125">
        <f>'Операционные затраты'!F583</f>
        <v>0</v>
      </c>
      <c s="125">
        <f>'Операционные затраты'!G583</f>
        <v>0</v>
      </c>
      <c s="125">
        <f>'Операционные затраты'!H583</f>
        <v>0</v>
      </c>
      <c s="125">
        <f>'Операционные затраты'!I583</f>
        <v>0</v>
      </c>
      <c s="125">
        <f>'Операционные затраты'!J583</f>
        <v>0</v>
      </c>
      <c s="125">
        <f>'Операционные затраты'!K583</f>
        <v>0</v>
      </c>
      <c s="125">
        <f>'Операционные затраты'!L583</f>
        <v>0</v>
      </c>
      <c s="125">
        <f>'Операционные затраты'!M583</f>
        <v>0</v>
      </c>
      <c s="125">
        <f>'Операционные затраты'!N583</f>
        <v>0</v>
      </c>
      <c s="125">
        <f>'Операционные затраты'!O583</f>
        <v>0</v>
      </c>
      <c s="125">
        <f>'Операционные затраты'!P583</f>
        <v>0</v>
      </c>
      <c s="125">
        <f>'Операционные затраты'!Q583</f>
        <v>0</v>
      </c>
      <c s="125">
        <f>'Операционные затраты'!R583</f>
        <v>0</v>
      </c>
      <c s="125">
        <f>'Операционные затраты'!S583</f>
        <v>0</v>
      </c>
      <c s="125">
        <f>'Операционные затраты'!T583</f>
        <v>0</v>
      </c>
      <c s="125">
        <f>'Операционные затраты'!U583</f>
        <v>0</v>
      </c>
      <c s="125">
        <f>'Операционные затраты'!V583</f>
        <v>0</v>
      </c>
      <c s="125">
        <f>'Операционные затраты'!W583</f>
        <v>0</v>
      </c>
      <c s="125">
        <f>'Операционные затраты'!X583</f>
        <v>0</v>
      </c>
      <c s="125">
        <f>'Операционные затраты'!Y583</f>
        <v>0</v>
      </c>
      <c s="125">
        <f>'Операционные затраты'!Z583</f>
        <v>0</v>
      </c>
      <c s="125">
        <f>'Операционные затраты'!AA583</f>
        <v>0</v>
      </c>
      <c s="125">
        <f>'Операционные затраты'!AB583</f>
        <v>0</v>
      </c>
      <c s="125">
        <f>'Операционные затраты'!AC583</f>
        <v>0</v>
      </c>
      <c s="125">
        <f>'Операционные затраты'!AD583</f>
        <v>0</v>
      </c>
      <c s="125">
        <f>'Операционные затраты'!AE583</f>
        <v>0</v>
      </c>
      <c s="125">
        <f>'Операционные затраты'!AF583</f>
        <v>0</v>
      </c>
      <c s="125">
        <f>'Операционные затраты'!AG583</f>
        <v>0</v>
      </c>
      <c s="125">
        <f>'Операционные затраты'!AH583</f>
        <v>0</v>
      </c>
      <c s="125">
        <f>'Операционные затраты'!AI583</f>
        <v>0</v>
      </c>
      <c s="125">
        <f>'Операционные затраты'!AJ583</f>
        <v>0</v>
      </c>
      <c s="125">
        <f>'Операционные затраты'!AK583</f>
        <v>0</v>
      </c>
      <c s="125">
        <f>'Операционные затраты'!AL583</f>
        <v>0</v>
      </c>
      <c s="125">
        <f>'Операционные затраты'!AM583</f>
        <v>0</v>
      </c>
      <c s="125">
        <f>'Операционные затраты'!AN583</f>
        <v>0</v>
      </c>
      <c s="125">
        <f>'Операционные затраты'!AO583</f>
        <v>0</v>
      </c>
      <c s="125">
        <f>'Операционные затраты'!AP583</f>
        <v>0</v>
      </c>
      <c s="125">
        <f>'Операционные затраты'!AQ583</f>
        <v>0</v>
      </c>
      <c s="125">
        <f>'Операционные затраты'!AR583</f>
        <v>0</v>
      </c>
      <c s="125">
        <f>'Операционные затраты'!AS583</f>
        <v>0</v>
      </c>
      <c s="125">
        <f>'Операционные затраты'!AT583</f>
        <v>0</v>
      </c>
      <c s="125">
        <f>'Операционные затраты'!AU583</f>
        <v>0</v>
      </c>
      <c s="125">
        <f>'Операционные затраты'!AV583</f>
        <v>0</v>
      </c>
      <c s="125">
        <f>'Операционные затраты'!AW583</f>
        <v>0</v>
      </c>
      <c s="125">
        <f>'Операционные затраты'!AX583</f>
        <v>0</v>
      </c>
      <c s="125">
        <f>'Операционные затраты'!AY583</f>
        <v>0</v>
      </c>
      <c s="125">
        <f>'Операционные затраты'!AZ583</f>
        <v>0</v>
      </c>
      <c s="125">
        <f>'Операционные затраты'!BA583</f>
        <v>0</v>
      </c>
      <c s="125">
        <f>'Операционные затраты'!BB583</f>
        <v>0</v>
      </c>
      <c s="125">
        <f>'Операционные затраты'!BC583</f>
        <v>0</v>
      </c>
      <c s="125">
        <f>'Операционные затраты'!BD583</f>
        <v>0</v>
      </c>
      <c s="125">
        <f>'Операционные затраты'!BE583</f>
        <v>0</v>
      </c>
      <c s="125">
        <f>'Операционные затраты'!BF583</f>
        <v>0</v>
      </c>
      <c s="125">
        <f>'Операционные затраты'!BG583</f>
        <v>0</v>
      </c>
      <c s="125">
        <f>'Операционные затраты'!BH583</f>
        <v>0</v>
      </c>
      <c s="125">
        <f>'Операционные затраты'!BI583</f>
        <v>0</v>
      </c>
      <c s="125">
        <f>'Операционные затраты'!BJ583</f>
        <v>0</v>
      </c>
      <c s="125">
        <f>'Операционные затраты'!BK583</f>
        <v>0</v>
      </c>
      <c s="125">
        <f>'Операционные затраты'!BL583</f>
        <v>0</v>
      </c>
      <c s="125">
        <f>'Операционные затраты'!BM583</f>
        <v>0</v>
      </c>
    </row>
    <row r="238" spans="2:65" ht="15" customHeight="1">
      <c r="B238" s="12" t="str">
        <f t="shared" si="204"/>
        <v>Операционные затраты 7</v>
      </c>
      <c s="124" t="str">
        <f t="shared" si="205"/>
        <v>тыс. руб.</v>
      </c>
      <c s="125"/>
      <c s="125">
        <f>'Операционные затраты'!E584</f>
        <v>0</v>
      </c>
      <c s="125">
        <f>'Операционные затраты'!F584</f>
        <v>0</v>
      </c>
      <c s="125">
        <f>'Операционные затраты'!G584</f>
        <v>0</v>
      </c>
      <c s="125">
        <f>'Операционные затраты'!H584</f>
        <v>0</v>
      </c>
      <c s="125">
        <f>'Операционные затраты'!I584</f>
        <v>0</v>
      </c>
      <c s="125">
        <f>'Операционные затраты'!J584</f>
        <v>0</v>
      </c>
      <c s="125">
        <f>'Операционные затраты'!K584</f>
        <v>0</v>
      </c>
      <c s="125">
        <f>'Операционные затраты'!L584</f>
        <v>0</v>
      </c>
      <c s="125">
        <f>'Операционные затраты'!M584</f>
        <v>0</v>
      </c>
      <c s="125">
        <f>'Операционные затраты'!N584</f>
        <v>0</v>
      </c>
      <c s="125">
        <f>'Операционные затраты'!O584</f>
        <v>0</v>
      </c>
      <c s="125">
        <f>'Операционные затраты'!P584</f>
        <v>0</v>
      </c>
      <c s="125">
        <f>'Операционные затраты'!Q584</f>
        <v>0</v>
      </c>
      <c s="125">
        <f>'Операционные затраты'!R584</f>
        <v>0</v>
      </c>
      <c s="125">
        <f>'Операционные затраты'!S584</f>
        <v>0</v>
      </c>
      <c s="125">
        <f>'Операционные затраты'!T584</f>
        <v>0</v>
      </c>
      <c s="125">
        <f>'Операционные затраты'!U584</f>
        <v>0</v>
      </c>
      <c s="125">
        <f>'Операционные затраты'!V584</f>
        <v>0</v>
      </c>
      <c s="125">
        <f>'Операционные затраты'!W584</f>
        <v>0</v>
      </c>
      <c s="125">
        <f>'Операционные затраты'!X584</f>
        <v>0</v>
      </c>
      <c s="125">
        <f>'Операционные затраты'!Y584</f>
        <v>0</v>
      </c>
      <c s="125">
        <f>'Операционные затраты'!Z584</f>
        <v>0</v>
      </c>
      <c s="125">
        <f>'Операционные затраты'!AA584</f>
        <v>0</v>
      </c>
      <c s="125">
        <f>'Операционные затраты'!AB584</f>
        <v>0</v>
      </c>
      <c s="125">
        <f>'Операционные затраты'!AC584</f>
        <v>0</v>
      </c>
      <c s="125">
        <f>'Операционные затраты'!AD584</f>
        <v>0</v>
      </c>
      <c s="125">
        <f>'Операционные затраты'!AE584</f>
        <v>0</v>
      </c>
      <c s="125">
        <f>'Операционные затраты'!AF584</f>
        <v>0</v>
      </c>
      <c s="125">
        <f>'Операционные затраты'!AG584</f>
        <v>0</v>
      </c>
      <c s="125">
        <f>'Операционные затраты'!AH584</f>
        <v>0</v>
      </c>
      <c s="125">
        <f>'Операционные затраты'!AI584</f>
        <v>0</v>
      </c>
      <c s="125">
        <f>'Операционные затраты'!AJ584</f>
        <v>0</v>
      </c>
      <c s="125">
        <f>'Операционные затраты'!AK584</f>
        <v>0</v>
      </c>
      <c s="125">
        <f>'Операционные затраты'!AL584</f>
        <v>0</v>
      </c>
      <c s="125">
        <f>'Операционные затраты'!AM584</f>
        <v>0</v>
      </c>
      <c s="125">
        <f>'Операционные затраты'!AN584</f>
        <v>0</v>
      </c>
      <c s="125">
        <f>'Операционные затраты'!AO584</f>
        <v>0</v>
      </c>
      <c s="125">
        <f>'Операционные затраты'!AP584</f>
        <v>0</v>
      </c>
      <c s="125">
        <f>'Операционные затраты'!AQ584</f>
        <v>0</v>
      </c>
      <c s="125">
        <f>'Операционные затраты'!AR584</f>
        <v>0</v>
      </c>
      <c s="125">
        <f>'Операционные затраты'!AS584</f>
        <v>0</v>
      </c>
      <c s="125">
        <f>'Операционные затраты'!AT584</f>
        <v>0</v>
      </c>
      <c s="125">
        <f>'Операционные затраты'!AU584</f>
        <v>0</v>
      </c>
      <c s="125">
        <f>'Операционные затраты'!AV584</f>
        <v>0</v>
      </c>
      <c s="125">
        <f>'Операционные затраты'!AW584</f>
        <v>0</v>
      </c>
      <c s="125">
        <f>'Операционные затраты'!AX584</f>
        <v>0</v>
      </c>
      <c s="125">
        <f>'Операционные затраты'!AY584</f>
        <v>0</v>
      </c>
      <c s="125">
        <f>'Операционные затраты'!AZ584</f>
        <v>0</v>
      </c>
      <c s="125">
        <f>'Операционные затраты'!BA584</f>
        <v>0</v>
      </c>
      <c s="125">
        <f>'Операционные затраты'!BB584</f>
        <v>0</v>
      </c>
      <c s="125">
        <f>'Операционные затраты'!BC584</f>
        <v>0</v>
      </c>
      <c s="125">
        <f>'Операционные затраты'!BD584</f>
        <v>0</v>
      </c>
      <c s="125">
        <f>'Операционные затраты'!BE584</f>
        <v>0</v>
      </c>
      <c s="125">
        <f>'Операционные затраты'!BF584</f>
        <v>0</v>
      </c>
      <c s="125">
        <f>'Операционные затраты'!BG584</f>
        <v>0</v>
      </c>
      <c s="125">
        <f>'Операционные затраты'!BH584</f>
        <v>0</v>
      </c>
      <c s="125">
        <f>'Операционные затраты'!BI584</f>
        <v>0</v>
      </c>
      <c s="125">
        <f>'Операционные затраты'!BJ584</f>
        <v>0</v>
      </c>
      <c s="125">
        <f>'Операционные затраты'!BK584</f>
        <v>0</v>
      </c>
      <c s="125">
        <f>'Операционные затраты'!BL584</f>
        <v>0</v>
      </c>
      <c s="125">
        <f>'Операционные затраты'!BM584</f>
        <v>0</v>
      </c>
    </row>
    <row r="239" spans="2:65" ht="15" customHeight="1">
      <c r="B239" s="12" t="str">
        <f t="shared" si="204"/>
        <v>Операционные затраты 8</v>
      </c>
      <c s="124" t="str">
        <f t="shared" si="205"/>
        <v>тыс. руб.</v>
      </c>
      <c s="125"/>
      <c s="125">
        <f>'Операционные затраты'!E585</f>
        <v>0</v>
      </c>
      <c s="125">
        <f>'Операционные затраты'!F585</f>
        <v>0</v>
      </c>
      <c s="125">
        <f>'Операционные затраты'!G585</f>
        <v>0</v>
      </c>
      <c s="125">
        <f>'Операционные затраты'!H585</f>
        <v>0</v>
      </c>
      <c s="125">
        <f>'Операционные затраты'!I585</f>
        <v>0</v>
      </c>
      <c s="125">
        <f>'Операционные затраты'!J585</f>
        <v>0</v>
      </c>
      <c s="125">
        <f>'Операционные затраты'!K585</f>
        <v>0</v>
      </c>
      <c s="125">
        <f>'Операционные затраты'!L585</f>
        <v>0</v>
      </c>
      <c s="125">
        <f>'Операционные затраты'!M585</f>
        <v>0</v>
      </c>
      <c s="125">
        <f>'Операционные затраты'!N585</f>
        <v>0</v>
      </c>
      <c s="125">
        <f>'Операционные затраты'!O585</f>
        <v>0</v>
      </c>
      <c s="125">
        <f>'Операционные затраты'!P585</f>
        <v>0</v>
      </c>
      <c s="125">
        <f>'Операционные затраты'!Q585</f>
        <v>0</v>
      </c>
      <c s="125">
        <f>'Операционные затраты'!R585</f>
        <v>0</v>
      </c>
      <c s="125">
        <f>'Операционные затраты'!S585</f>
        <v>0</v>
      </c>
      <c s="125">
        <f>'Операционные затраты'!T585</f>
        <v>0</v>
      </c>
      <c s="125">
        <f>'Операционные затраты'!U585</f>
        <v>0</v>
      </c>
      <c s="125">
        <f>'Операционные затраты'!V585</f>
        <v>0</v>
      </c>
      <c s="125">
        <f>'Операционные затраты'!W585</f>
        <v>0</v>
      </c>
      <c s="125">
        <f>'Операционные затраты'!X585</f>
        <v>0</v>
      </c>
      <c s="125">
        <f>'Операционные затраты'!Y585</f>
        <v>0</v>
      </c>
      <c s="125">
        <f>'Операционные затраты'!Z585</f>
        <v>0</v>
      </c>
      <c s="125">
        <f>'Операционные затраты'!AA585</f>
        <v>0</v>
      </c>
      <c s="125">
        <f>'Операционные затраты'!AB585</f>
        <v>0</v>
      </c>
      <c s="125">
        <f>'Операционные затраты'!AC585</f>
        <v>0</v>
      </c>
      <c s="125">
        <f>'Операционные затраты'!AD585</f>
        <v>0</v>
      </c>
      <c s="125">
        <f>'Операционные затраты'!AE585</f>
        <v>0</v>
      </c>
      <c s="125">
        <f>'Операционные затраты'!AF585</f>
        <v>0</v>
      </c>
      <c s="125">
        <f>'Операционные затраты'!AG585</f>
        <v>0</v>
      </c>
      <c s="125">
        <f>'Операционные затраты'!AH585</f>
        <v>0</v>
      </c>
      <c s="125">
        <f>'Операционные затраты'!AI585</f>
        <v>0</v>
      </c>
      <c s="125">
        <f>'Операционные затраты'!AJ585</f>
        <v>0</v>
      </c>
      <c s="125">
        <f>'Операционные затраты'!AK585</f>
        <v>0</v>
      </c>
      <c s="125">
        <f>'Операционные затраты'!AL585</f>
        <v>0</v>
      </c>
      <c s="125">
        <f>'Операционные затраты'!AM585</f>
        <v>0</v>
      </c>
      <c s="125">
        <f>'Операционные затраты'!AN585</f>
        <v>0</v>
      </c>
      <c s="125">
        <f>'Операционные затраты'!AO585</f>
        <v>0</v>
      </c>
      <c s="125">
        <f>'Операционные затраты'!AP585</f>
        <v>0</v>
      </c>
      <c s="125">
        <f>'Операционные затраты'!AQ585</f>
        <v>0</v>
      </c>
      <c s="125">
        <f>'Операционные затраты'!AR585</f>
        <v>0</v>
      </c>
      <c s="125">
        <f>'Операционные затраты'!AS585</f>
        <v>0</v>
      </c>
      <c s="125">
        <f>'Операционные затраты'!AT585</f>
        <v>0</v>
      </c>
      <c s="125">
        <f>'Операционные затраты'!AU585</f>
        <v>0</v>
      </c>
      <c s="125">
        <f>'Операционные затраты'!AV585</f>
        <v>0</v>
      </c>
      <c s="125">
        <f>'Операционные затраты'!AW585</f>
        <v>0</v>
      </c>
      <c s="125">
        <f>'Операционные затраты'!AX585</f>
        <v>0</v>
      </c>
      <c s="125">
        <f>'Операционные затраты'!AY585</f>
        <v>0</v>
      </c>
      <c s="125">
        <f>'Операционные затраты'!AZ585</f>
        <v>0</v>
      </c>
      <c s="125">
        <f>'Операционные затраты'!BA585</f>
        <v>0</v>
      </c>
      <c s="125">
        <f>'Операционные затраты'!BB585</f>
        <v>0</v>
      </c>
      <c s="125">
        <f>'Операционные затраты'!BC585</f>
        <v>0</v>
      </c>
      <c s="125">
        <f>'Операционные затраты'!BD585</f>
        <v>0</v>
      </c>
      <c s="125">
        <f>'Операционные затраты'!BE585</f>
        <v>0</v>
      </c>
      <c s="125">
        <f>'Операционные затраты'!BF585</f>
        <v>0</v>
      </c>
      <c s="125">
        <f>'Операционные затраты'!BG585</f>
        <v>0</v>
      </c>
      <c s="125">
        <f>'Операционные затраты'!BH585</f>
        <v>0</v>
      </c>
      <c s="125">
        <f>'Операционные затраты'!BI585</f>
        <v>0</v>
      </c>
      <c s="125">
        <f>'Операционные затраты'!BJ585</f>
        <v>0</v>
      </c>
      <c s="125">
        <f>'Операционные затраты'!BK585</f>
        <v>0</v>
      </c>
      <c s="125">
        <f>'Операционные затраты'!BL585</f>
        <v>0</v>
      </c>
      <c s="125">
        <f>'Операционные затраты'!BM585</f>
        <v>0</v>
      </c>
    </row>
    <row r="240" spans="2:65" ht="15" customHeight="1">
      <c r="B240" s="12" t="str">
        <f t="shared" si="204"/>
        <v>Операционные затраты 9</v>
      </c>
      <c s="124" t="str">
        <f t="shared" si="205"/>
        <v>тыс. руб.</v>
      </c>
      <c s="125"/>
      <c s="125">
        <f>'Операционные затраты'!E586</f>
        <v>0</v>
      </c>
      <c s="125">
        <f>'Операционные затраты'!F586</f>
        <v>0</v>
      </c>
      <c s="125">
        <f>'Операционные затраты'!G586</f>
        <v>0</v>
      </c>
      <c s="125">
        <f>'Операционные затраты'!H586</f>
        <v>0</v>
      </c>
      <c s="125">
        <f>'Операционные затраты'!I586</f>
        <v>0</v>
      </c>
      <c s="125">
        <f>'Операционные затраты'!J586</f>
        <v>0</v>
      </c>
      <c s="125">
        <f>'Операционные затраты'!K586</f>
        <v>0</v>
      </c>
      <c s="125">
        <f>'Операционные затраты'!L586</f>
        <v>0</v>
      </c>
      <c s="125">
        <f>'Операционные затраты'!M586</f>
        <v>0</v>
      </c>
      <c s="125">
        <f>'Операционные затраты'!N586</f>
        <v>0</v>
      </c>
      <c s="125">
        <f>'Операционные затраты'!O586</f>
        <v>0</v>
      </c>
      <c s="125">
        <f>'Операционные затраты'!P586</f>
        <v>0</v>
      </c>
      <c s="125">
        <f>'Операционные затраты'!Q586</f>
        <v>0</v>
      </c>
      <c s="125">
        <f>'Операционные затраты'!R586</f>
        <v>0</v>
      </c>
      <c s="125">
        <f>'Операционные затраты'!S586</f>
        <v>0</v>
      </c>
      <c s="125">
        <f>'Операционные затраты'!T586</f>
        <v>0</v>
      </c>
      <c s="125">
        <f>'Операционные затраты'!U586</f>
        <v>0</v>
      </c>
      <c s="125">
        <f>'Операционные затраты'!V586</f>
        <v>0</v>
      </c>
      <c s="125">
        <f>'Операционные затраты'!W586</f>
        <v>0</v>
      </c>
      <c s="125">
        <f>'Операционные затраты'!X586</f>
        <v>0</v>
      </c>
      <c s="125">
        <f>'Операционные затраты'!Y586</f>
        <v>0</v>
      </c>
      <c s="125">
        <f>'Операционные затраты'!Z586</f>
        <v>0</v>
      </c>
      <c s="125">
        <f>'Операционные затраты'!AA586</f>
        <v>0</v>
      </c>
      <c s="125">
        <f>'Операционные затраты'!AB586</f>
        <v>0</v>
      </c>
      <c s="125">
        <f>'Операционные затраты'!AC586</f>
        <v>0</v>
      </c>
      <c s="125">
        <f>'Операционные затраты'!AD586</f>
        <v>0</v>
      </c>
      <c s="125">
        <f>'Операционные затраты'!AE586</f>
        <v>0</v>
      </c>
      <c s="125">
        <f>'Операционные затраты'!AF586</f>
        <v>0</v>
      </c>
      <c s="125">
        <f>'Операционные затраты'!AG586</f>
        <v>0</v>
      </c>
      <c s="125">
        <f>'Операционные затраты'!AH586</f>
        <v>0</v>
      </c>
      <c s="125">
        <f>'Операционные затраты'!AI586</f>
        <v>0</v>
      </c>
      <c s="125">
        <f>'Операционные затраты'!AJ586</f>
        <v>0</v>
      </c>
      <c s="125">
        <f>'Операционные затраты'!AK586</f>
        <v>0</v>
      </c>
      <c s="125">
        <f>'Операционные затраты'!AL586</f>
        <v>0</v>
      </c>
      <c s="125">
        <f>'Операционные затраты'!AM586</f>
        <v>0</v>
      </c>
      <c s="125">
        <f>'Операционные затраты'!AN586</f>
        <v>0</v>
      </c>
      <c s="125">
        <f>'Операционные затраты'!AO586</f>
        <v>0</v>
      </c>
      <c s="125">
        <f>'Операционные затраты'!AP586</f>
        <v>0</v>
      </c>
      <c s="125">
        <f>'Операционные затраты'!AQ586</f>
        <v>0</v>
      </c>
      <c s="125">
        <f>'Операционные затраты'!AR586</f>
        <v>0</v>
      </c>
      <c s="125">
        <f>'Операционные затраты'!AS586</f>
        <v>0</v>
      </c>
      <c s="125">
        <f>'Операционные затраты'!AT586</f>
        <v>0</v>
      </c>
      <c s="125">
        <f>'Операционные затраты'!AU586</f>
        <v>0</v>
      </c>
      <c s="125">
        <f>'Операционные затраты'!AV586</f>
        <v>0</v>
      </c>
      <c s="125">
        <f>'Операционные затраты'!AW586</f>
        <v>0</v>
      </c>
      <c s="125">
        <f>'Операционные затраты'!AX586</f>
        <v>0</v>
      </c>
      <c s="125">
        <f>'Операционные затраты'!AY586</f>
        <v>0</v>
      </c>
      <c s="125">
        <f>'Операционные затраты'!AZ586</f>
        <v>0</v>
      </c>
      <c s="125">
        <f>'Операционные затраты'!BA586</f>
        <v>0</v>
      </c>
      <c s="125">
        <f>'Операционные затраты'!BB586</f>
        <v>0</v>
      </c>
      <c s="125">
        <f>'Операционные затраты'!BC586</f>
        <v>0</v>
      </c>
      <c s="125">
        <f>'Операционные затраты'!BD586</f>
        <v>0</v>
      </c>
      <c s="125">
        <f>'Операционные затраты'!BE586</f>
        <v>0</v>
      </c>
      <c s="125">
        <f>'Операционные затраты'!BF586</f>
        <v>0</v>
      </c>
      <c s="125">
        <f>'Операционные затраты'!BG586</f>
        <v>0</v>
      </c>
      <c s="125">
        <f>'Операционные затраты'!BH586</f>
        <v>0</v>
      </c>
      <c s="125">
        <f>'Операционные затраты'!BI586</f>
        <v>0</v>
      </c>
      <c s="125">
        <f>'Операционные затраты'!BJ586</f>
        <v>0</v>
      </c>
      <c s="125">
        <f>'Операционные затраты'!BK586</f>
        <v>0</v>
      </c>
      <c s="125">
        <f>'Операционные затраты'!BL586</f>
        <v>0</v>
      </c>
      <c s="125">
        <f>'Операционные затраты'!BM586</f>
        <v>0</v>
      </c>
    </row>
    <row r="241" spans="2:65" ht="15" customHeight="1">
      <c r="B241" s="12" t="str">
        <f t="shared" si="204"/>
        <v>Операционные затраты 10</v>
      </c>
      <c s="124" t="str">
        <f t="shared" si="205"/>
        <v>тыс. руб.</v>
      </c>
      <c s="125"/>
      <c s="125">
        <f>'Операционные затраты'!E587</f>
        <v>0</v>
      </c>
      <c s="125">
        <f>'Операционные затраты'!F587</f>
        <v>0</v>
      </c>
      <c s="125">
        <f>'Операционные затраты'!G587</f>
        <v>0</v>
      </c>
      <c s="125">
        <f>'Операционные затраты'!H587</f>
        <v>0</v>
      </c>
      <c s="125">
        <f>'Операционные затраты'!I587</f>
        <v>0</v>
      </c>
      <c s="125">
        <f>'Операционные затраты'!J587</f>
        <v>0</v>
      </c>
      <c s="125">
        <f>'Операционные затраты'!K587</f>
        <v>0</v>
      </c>
      <c s="125">
        <f>'Операционные затраты'!L587</f>
        <v>0</v>
      </c>
      <c s="125">
        <f>'Операционные затраты'!M587</f>
        <v>0</v>
      </c>
      <c s="125">
        <f>'Операционные затраты'!N587</f>
        <v>0</v>
      </c>
      <c s="125">
        <f>'Операционные затраты'!O587</f>
        <v>0</v>
      </c>
      <c s="125">
        <f>'Операционные затраты'!P587</f>
        <v>0</v>
      </c>
      <c s="125">
        <f>'Операционные затраты'!Q587</f>
        <v>0</v>
      </c>
      <c s="125">
        <f>'Операционные затраты'!R587</f>
        <v>0</v>
      </c>
      <c s="125">
        <f>'Операционные затраты'!S587</f>
        <v>0</v>
      </c>
      <c s="125">
        <f>'Операционные затраты'!T587</f>
        <v>0</v>
      </c>
      <c s="125">
        <f>'Операционные затраты'!U587</f>
        <v>0</v>
      </c>
      <c s="125">
        <f>'Операционные затраты'!V587</f>
        <v>0</v>
      </c>
      <c s="125">
        <f>'Операционные затраты'!W587</f>
        <v>0</v>
      </c>
      <c s="125">
        <f>'Операционные затраты'!X587</f>
        <v>0</v>
      </c>
      <c s="125">
        <f>'Операционные затраты'!Y587</f>
        <v>0</v>
      </c>
      <c s="125">
        <f>'Операционные затраты'!Z587</f>
        <v>0</v>
      </c>
      <c s="125">
        <f>'Операционные затраты'!AA587</f>
        <v>0</v>
      </c>
      <c s="125">
        <f>'Операционные затраты'!AB587</f>
        <v>0</v>
      </c>
      <c s="125">
        <f>'Операционные затраты'!AC587</f>
        <v>0</v>
      </c>
      <c s="125">
        <f>'Операционные затраты'!AD587</f>
        <v>0</v>
      </c>
      <c s="125">
        <f>'Операционные затраты'!AE587</f>
        <v>0</v>
      </c>
      <c s="125">
        <f>'Операционные затраты'!AF587</f>
        <v>0</v>
      </c>
      <c s="125">
        <f>'Операционные затраты'!AG587</f>
        <v>0</v>
      </c>
      <c s="125">
        <f>'Операционные затраты'!AH587</f>
        <v>0</v>
      </c>
      <c s="125">
        <f>'Операционные затраты'!AI587</f>
        <v>0</v>
      </c>
      <c s="125">
        <f>'Операционные затраты'!AJ587</f>
        <v>0</v>
      </c>
      <c s="125">
        <f>'Операционные затраты'!AK587</f>
        <v>0</v>
      </c>
      <c s="125">
        <f>'Операционные затраты'!AL587</f>
        <v>0</v>
      </c>
      <c s="125">
        <f>'Операционные затраты'!AM587</f>
        <v>0</v>
      </c>
      <c s="125">
        <f>'Операционные затраты'!AN587</f>
        <v>0</v>
      </c>
      <c s="125">
        <f>'Операционные затраты'!AO587</f>
        <v>0</v>
      </c>
      <c s="125">
        <f>'Операционные затраты'!AP587</f>
        <v>0</v>
      </c>
      <c s="125">
        <f>'Операционные затраты'!AQ587</f>
        <v>0</v>
      </c>
      <c s="125">
        <f>'Операционные затраты'!AR587</f>
        <v>0</v>
      </c>
      <c s="125">
        <f>'Операционные затраты'!AS587</f>
        <v>0</v>
      </c>
      <c s="125">
        <f>'Операционные затраты'!AT587</f>
        <v>0</v>
      </c>
      <c s="125">
        <f>'Операционные затраты'!AU587</f>
        <v>0</v>
      </c>
      <c s="125">
        <f>'Операционные затраты'!AV587</f>
        <v>0</v>
      </c>
      <c s="125">
        <f>'Операционные затраты'!AW587</f>
        <v>0</v>
      </c>
      <c s="125">
        <f>'Операционные затраты'!AX587</f>
        <v>0</v>
      </c>
      <c s="125">
        <f>'Операционные затраты'!AY587</f>
        <v>0</v>
      </c>
      <c s="125">
        <f>'Операционные затраты'!AZ587</f>
        <v>0</v>
      </c>
      <c s="125">
        <f>'Операционные затраты'!BA587</f>
        <v>0</v>
      </c>
      <c s="125">
        <f>'Операционные затраты'!BB587</f>
        <v>0</v>
      </c>
      <c s="125">
        <f>'Операционные затраты'!BC587</f>
        <v>0</v>
      </c>
      <c s="125">
        <f>'Операционные затраты'!BD587</f>
        <v>0</v>
      </c>
      <c s="125">
        <f>'Операционные затраты'!BE587</f>
        <v>0</v>
      </c>
      <c s="125">
        <f>'Операционные затраты'!BF587</f>
        <v>0</v>
      </c>
      <c s="125">
        <f>'Операционные затраты'!BG587</f>
        <v>0</v>
      </c>
      <c s="125">
        <f>'Операционные затраты'!BH587</f>
        <v>0</v>
      </c>
      <c s="125">
        <f>'Операционные затраты'!BI587</f>
        <v>0</v>
      </c>
      <c s="125">
        <f>'Операционные затраты'!BJ587</f>
        <v>0</v>
      </c>
      <c s="125">
        <f>'Операционные затраты'!BK587</f>
        <v>0</v>
      </c>
      <c s="125">
        <f>'Операционные затраты'!BL587</f>
        <v>0</v>
      </c>
      <c s="125">
        <f>'Операционные затраты'!BM587</f>
        <v>0</v>
      </c>
    </row>
    <row r="242" spans="2:65" ht="15" customHeight="1">
      <c r="B242" s="12" t="str">
        <f t="shared" si="204"/>
        <v>Операционные затраты 11</v>
      </c>
      <c s="124" t="str">
        <f t="shared" si="205"/>
        <v>тыс. руб.</v>
      </c>
      <c s="125"/>
      <c s="125">
        <f>'Операционные затраты'!E588</f>
        <v>0</v>
      </c>
      <c s="125">
        <f>'Операционные затраты'!F588</f>
        <v>0</v>
      </c>
      <c s="125">
        <f>'Операционные затраты'!G588</f>
        <v>0</v>
      </c>
      <c s="125">
        <f>'Операционные затраты'!H588</f>
        <v>0</v>
      </c>
      <c s="125">
        <f>'Операционные затраты'!I588</f>
        <v>0</v>
      </c>
      <c s="125">
        <f>'Операционные затраты'!J588</f>
        <v>0</v>
      </c>
      <c s="125">
        <f>'Операционные затраты'!K588</f>
        <v>0</v>
      </c>
      <c s="125">
        <f>'Операционные затраты'!L588</f>
        <v>0</v>
      </c>
      <c s="125">
        <f>'Операционные затраты'!M588</f>
        <v>0</v>
      </c>
      <c s="125">
        <f>'Операционные затраты'!N588</f>
        <v>0</v>
      </c>
      <c s="125">
        <f>'Операционные затраты'!O588</f>
        <v>0</v>
      </c>
      <c s="125">
        <f>'Операционные затраты'!P588</f>
        <v>0</v>
      </c>
      <c s="125">
        <f>'Операционные затраты'!Q588</f>
        <v>0</v>
      </c>
      <c s="125">
        <f>'Операционные затраты'!R588</f>
        <v>0</v>
      </c>
      <c s="125">
        <f>'Операционные затраты'!S588</f>
        <v>0</v>
      </c>
      <c s="125">
        <f>'Операционные затраты'!T588</f>
        <v>0</v>
      </c>
      <c s="125">
        <f>'Операционные затраты'!U588</f>
        <v>0</v>
      </c>
      <c s="125">
        <f>'Операционные затраты'!V588</f>
        <v>0</v>
      </c>
      <c s="125">
        <f>'Операционные затраты'!W588</f>
        <v>0</v>
      </c>
      <c s="125">
        <f>'Операционные затраты'!X588</f>
        <v>0</v>
      </c>
      <c s="125">
        <f>'Операционные затраты'!Y588</f>
        <v>0</v>
      </c>
      <c s="125">
        <f>'Операционные затраты'!Z588</f>
        <v>0</v>
      </c>
      <c s="125">
        <f>'Операционные затраты'!AA588</f>
        <v>0</v>
      </c>
      <c s="125">
        <f>'Операционные затраты'!AB588</f>
        <v>0</v>
      </c>
      <c s="125">
        <f>'Операционные затраты'!AC588</f>
        <v>0</v>
      </c>
      <c s="125">
        <f>'Операционные затраты'!AD588</f>
        <v>0</v>
      </c>
      <c s="125">
        <f>'Операционные затраты'!AE588</f>
        <v>0</v>
      </c>
      <c s="125">
        <f>'Операционные затраты'!AF588</f>
        <v>0</v>
      </c>
      <c s="125">
        <f>'Операционные затраты'!AG588</f>
        <v>0</v>
      </c>
      <c s="125">
        <f>'Операционные затраты'!AH588</f>
        <v>0</v>
      </c>
      <c s="125">
        <f>'Операционные затраты'!AI588</f>
        <v>0</v>
      </c>
      <c s="125">
        <f>'Операционные затраты'!AJ588</f>
        <v>0</v>
      </c>
      <c s="125">
        <f>'Операционные затраты'!AK588</f>
        <v>0</v>
      </c>
      <c s="125">
        <f>'Операционные затраты'!AL588</f>
        <v>0</v>
      </c>
      <c s="125">
        <f>'Операционные затраты'!AM588</f>
        <v>0</v>
      </c>
      <c s="125">
        <f>'Операционные затраты'!AN588</f>
        <v>0</v>
      </c>
      <c s="125">
        <f>'Операционные затраты'!AO588</f>
        <v>0</v>
      </c>
      <c s="125">
        <f>'Операционные затраты'!AP588</f>
        <v>0</v>
      </c>
      <c s="125">
        <f>'Операционные затраты'!AQ588</f>
        <v>0</v>
      </c>
      <c s="125">
        <f>'Операционные затраты'!AR588</f>
        <v>0</v>
      </c>
      <c s="125">
        <f>'Операционные затраты'!AS588</f>
        <v>0</v>
      </c>
      <c s="125">
        <f>'Операционные затраты'!AT588</f>
        <v>0</v>
      </c>
      <c s="125">
        <f>'Операционные затраты'!AU588</f>
        <v>0</v>
      </c>
      <c s="125">
        <f>'Операционные затраты'!AV588</f>
        <v>0</v>
      </c>
      <c s="125">
        <f>'Операционные затраты'!AW588</f>
        <v>0</v>
      </c>
      <c s="125">
        <f>'Операционные затраты'!AX588</f>
        <v>0</v>
      </c>
      <c s="125">
        <f>'Операционные затраты'!AY588</f>
        <v>0</v>
      </c>
      <c s="125">
        <f>'Операционные затраты'!AZ588</f>
        <v>0</v>
      </c>
      <c s="125">
        <f>'Операционные затраты'!BA588</f>
        <v>0</v>
      </c>
      <c s="125">
        <f>'Операционные затраты'!BB588</f>
        <v>0</v>
      </c>
      <c s="125">
        <f>'Операционные затраты'!BC588</f>
        <v>0</v>
      </c>
      <c s="125">
        <f>'Операционные затраты'!BD588</f>
        <v>0</v>
      </c>
      <c s="125">
        <f>'Операционные затраты'!BE588</f>
        <v>0</v>
      </c>
      <c s="125">
        <f>'Операционные затраты'!BF588</f>
        <v>0</v>
      </c>
      <c s="125">
        <f>'Операционные затраты'!BG588</f>
        <v>0</v>
      </c>
      <c s="125">
        <f>'Операционные затраты'!BH588</f>
        <v>0</v>
      </c>
      <c s="125">
        <f>'Операционные затраты'!BI588</f>
        <v>0</v>
      </c>
      <c s="125">
        <f>'Операционные затраты'!BJ588</f>
        <v>0</v>
      </c>
      <c s="125">
        <f>'Операционные затраты'!BK588</f>
        <v>0</v>
      </c>
      <c s="125">
        <f>'Операционные затраты'!BL588</f>
        <v>0</v>
      </c>
      <c s="125">
        <f>'Операционные затраты'!BM588</f>
        <v>0</v>
      </c>
    </row>
    <row r="243" spans="2:65" ht="15" customHeight="1">
      <c r="B243" s="12" t="str">
        <f t="shared" si="204"/>
        <v>Операционные затраты 12</v>
      </c>
      <c s="124" t="str">
        <f t="shared" si="205"/>
        <v>тыс. руб.</v>
      </c>
      <c s="125"/>
      <c s="125">
        <f>'Операционные затраты'!E589</f>
        <v>0</v>
      </c>
      <c s="125">
        <f>'Операционные затраты'!F589</f>
        <v>0</v>
      </c>
      <c s="125">
        <f>'Операционные затраты'!G589</f>
        <v>0</v>
      </c>
      <c s="125">
        <f>'Операционные затраты'!H589</f>
        <v>0</v>
      </c>
      <c s="125">
        <f>'Операционные затраты'!I589</f>
        <v>0</v>
      </c>
      <c s="125">
        <f>'Операционные затраты'!J589</f>
        <v>0</v>
      </c>
      <c s="125">
        <f>'Операционные затраты'!K589</f>
        <v>0</v>
      </c>
      <c s="125">
        <f>'Операционные затраты'!L589</f>
        <v>0</v>
      </c>
      <c s="125">
        <f>'Операционные затраты'!M589</f>
        <v>0</v>
      </c>
      <c s="125">
        <f>'Операционные затраты'!N589</f>
        <v>0</v>
      </c>
      <c s="125">
        <f>'Операционные затраты'!O589</f>
        <v>0</v>
      </c>
      <c s="125">
        <f>'Операционные затраты'!P589</f>
        <v>0</v>
      </c>
      <c s="125">
        <f>'Операционные затраты'!Q589</f>
        <v>0</v>
      </c>
      <c s="125">
        <f>'Операционные затраты'!R589</f>
        <v>0</v>
      </c>
      <c s="125">
        <f>'Операционные затраты'!S589</f>
        <v>0</v>
      </c>
      <c s="125">
        <f>'Операционные затраты'!T589</f>
        <v>0</v>
      </c>
      <c s="125">
        <f>'Операционные затраты'!U589</f>
        <v>0</v>
      </c>
      <c s="125">
        <f>'Операционные затраты'!V589</f>
        <v>0</v>
      </c>
      <c s="125">
        <f>'Операционные затраты'!W589</f>
        <v>0</v>
      </c>
      <c s="125">
        <f>'Операционные затраты'!X589</f>
        <v>0</v>
      </c>
      <c s="125">
        <f>'Операционные затраты'!Y589</f>
        <v>0</v>
      </c>
      <c s="125">
        <f>'Операционные затраты'!Z589</f>
        <v>0</v>
      </c>
      <c s="125">
        <f>'Операционные затраты'!AA589</f>
        <v>0</v>
      </c>
      <c s="125">
        <f>'Операционные затраты'!AB589</f>
        <v>0</v>
      </c>
      <c s="125">
        <f>'Операционные затраты'!AC589</f>
        <v>0</v>
      </c>
      <c s="125">
        <f>'Операционные затраты'!AD589</f>
        <v>0</v>
      </c>
      <c s="125">
        <f>'Операционные затраты'!AE589</f>
        <v>0</v>
      </c>
      <c s="125">
        <f>'Операционные затраты'!AF589</f>
        <v>0</v>
      </c>
      <c s="125">
        <f>'Операционные затраты'!AG589</f>
        <v>0</v>
      </c>
      <c s="125">
        <f>'Операционные затраты'!AH589</f>
        <v>0</v>
      </c>
      <c s="125">
        <f>'Операционные затраты'!AI589</f>
        <v>0</v>
      </c>
      <c s="125">
        <f>'Операционные затраты'!AJ589</f>
        <v>0</v>
      </c>
      <c s="125">
        <f>'Операционные затраты'!AK589</f>
        <v>0</v>
      </c>
      <c s="125">
        <f>'Операционные затраты'!AL589</f>
        <v>0</v>
      </c>
      <c s="125">
        <f>'Операционные затраты'!AM589</f>
        <v>0</v>
      </c>
      <c s="125">
        <f>'Операционные затраты'!AN589</f>
        <v>0</v>
      </c>
      <c s="125">
        <f>'Операционные затраты'!AO589</f>
        <v>0</v>
      </c>
      <c s="125">
        <f>'Операционные затраты'!AP589</f>
        <v>0</v>
      </c>
      <c s="125">
        <f>'Операционные затраты'!AQ589</f>
        <v>0</v>
      </c>
      <c s="125">
        <f>'Операционные затраты'!AR589</f>
        <v>0</v>
      </c>
      <c s="125">
        <f>'Операционные затраты'!AS589</f>
        <v>0</v>
      </c>
      <c s="125">
        <f>'Операционные затраты'!AT589</f>
        <v>0</v>
      </c>
      <c s="125">
        <f>'Операционные затраты'!AU589</f>
        <v>0</v>
      </c>
      <c s="125">
        <f>'Операционные затраты'!AV589</f>
        <v>0</v>
      </c>
      <c s="125">
        <f>'Операционные затраты'!AW589</f>
        <v>0</v>
      </c>
      <c s="125">
        <f>'Операционные затраты'!AX589</f>
        <v>0</v>
      </c>
      <c s="125">
        <f>'Операционные затраты'!AY589</f>
        <v>0</v>
      </c>
      <c s="125">
        <f>'Операционные затраты'!AZ589</f>
        <v>0</v>
      </c>
      <c s="125">
        <f>'Операционные затраты'!BA589</f>
        <v>0</v>
      </c>
      <c s="125">
        <f>'Операционные затраты'!BB589</f>
        <v>0</v>
      </c>
      <c s="125">
        <f>'Операционные затраты'!BC589</f>
        <v>0</v>
      </c>
      <c s="125">
        <f>'Операционные затраты'!BD589</f>
        <v>0</v>
      </c>
      <c s="125">
        <f>'Операционные затраты'!BE589</f>
        <v>0</v>
      </c>
      <c s="125">
        <f>'Операционные затраты'!BF589</f>
        <v>0</v>
      </c>
      <c s="125">
        <f>'Операционные затраты'!BG589</f>
        <v>0</v>
      </c>
      <c s="125">
        <f>'Операционные затраты'!BH589</f>
        <v>0</v>
      </c>
      <c s="125">
        <f>'Операционные затраты'!BI589</f>
        <v>0</v>
      </c>
      <c s="125">
        <f>'Операционные затраты'!BJ589</f>
        <v>0</v>
      </c>
      <c s="125">
        <f>'Операционные затраты'!BK589</f>
        <v>0</v>
      </c>
      <c s="125">
        <f>'Операционные затраты'!BL589</f>
        <v>0</v>
      </c>
      <c s="125">
        <f>'Операционные затраты'!BM589</f>
        <v>0</v>
      </c>
    </row>
    <row r="244" spans="2:65" ht="15" customHeight="1">
      <c r="B244" s="12" t="str">
        <f t="shared" si="204"/>
        <v>Операционные затраты 13</v>
      </c>
      <c s="124" t="str">
        <f t="shared" si="205"/>
        <v>тыс. руб.</v>
      </c>
      <c s="125"/>
      <c s="125">
        <f>'Операционные затраты'!E590</f>
        <v>0</v>
      </c>
      <c s="125">
        <f>'Операционные затраты'!F590</f>
        <v>0</v>
      </c>
      <c s="125">
        <f>'Операционные затраты'!G590</f>
        <v>0</v>
      </c>
      <c s="125">
        <f>'Операционные затраты'!H590</f>
        <v>0</v>
      </c>
      <c s="125">
        <f>'Операционные затраты'!I590</f>
        <v>0</v>
      </c>
      <c s="125">
        <f>'Операционные затраты'!J590</f>
        <v>0</v>
      </c>
      <c s="125">
        <f>'Операционные затраты'!K590</f>
        <v>0</v>
      </c>
      <c s="125">
        <f>'Операционные затраты'!L590</f>
        <v>0</v>
      </c>
      <c s="125">
        <f>'Операционные затраты'!M590</f>
        <v>0</v>
      </c>
      <c s="125">
        <f>'Операционные затраты'!N590</f>
        <v>0</v>
      </c>
      <c s="125">
        <f>'Операционные затраты'!O590</f>
        <v>0</v>
      </c>
      <c s="125">
        <f>'Операционные затраты'!P590</f>
        <v>0</v>
      </c>
      <c s="125">
        <f>'Операционные затраты'!Q590</f>
        <v>0</v>
      </c>
      <c s="125">
        <f>'Операционные затраты'!R590</f>
        <v>0</v>
      </c>
      <c s="125">
        <f>'Операционные затраты'!S590</f>
        <v>0</v>
      </c>
      <c s="125">
        <f>'Операционные затраты'!T590</f>
        <v>0</v>
      </c>
      <c s="125">
        <f>'Операционные затраты'!U590</f>
        <v>0</v>
      </c>
      <c s="125">
        <f>'Операционные затраты'!V590</f>
        <v>0</v>
      </c>
      <c s="125">
        <f>'Операционные затраты'!W590</f>
        <v>0</v>
      </c>
      <c s="125">
        <f>'Операционные затраты'!X590</f>
        <v>0</v>
      </c>
      <c s="125">
        <f>'Операционные затраты'!Y590</f>
        <v>0</v>
      </c>
      <c s="125">
        <f>'Операционные затраты'!Z590</f>
        <v>0</v>
      </c>
      <c s="125">
        <f>'Операционные затраты'!AA590</f>
        <v>0</v>
      </c>
      <c s="125">
        <f>'Операционные затраты'!AB590</f>
        <v>0</v>
      </c>
      <c s="125">
        <f>'Операционные затраты'!AC590</f>
        <v>0</v>
      </c>
      <c s="125">
        <f>'Операционные затраты'!AD590</f>
        <v>0</v>
      </c>
      <c s="125">
        <f>'Операционные затраты'!AE590</f>
        <v>0</v>
      </c>
      <c s="125">
        <f>'Операционные затраты'!AF590</f>
        <v>0</v>
      </c>
      <c s="125">
        <f>'Операционные затраты'!AG590</f>
        <v>0</v>
      </c>
      <c s="125">
        <f>'Операционные затраты'!AH590</f>
        <v>0</v>
      </c>
      <c s="125">
        <f>'Операционные затраты'!AI590</f>
        <v>0</v>
      </c>
      <c s="125">
        <f>'Операционные затраты'!AJ590</f>
        <v>0</v>
      </c>
      <c s="125">
        <f>'Операционные затраты'!AK590</f>
        <v>0</v>
      </c>
      <c s="125">
        <f>'Операционные затраты'!AL590</f>
        <v>0</v>
      </c>
      <c s="125">
        <f>'Операционные затраты'!AM590</f>
        <v>0</v>
      </c>
      <c s="125">
        <f>'Операционные затраты'!AN590</f>
        <v>0</v>
      </c>
      <c s="125">
        <f>'Операционные затраты'!AO590</f>
        <v>0</v>
      </c>
      <c s="125">
        <f>'Операционные затраты'!AP590</f>
        <v>0</v>
      </c>
      <c s="125">
        <f>'Операционные затраты'!AQ590</f>
        <v>0</v>
      </c>
      <c s="125">
        <f>'Операционные затраты'!AR590</f>
        <v>0</v>
      </c>
      <c s="125">
        <f>'Операционные затраты'!AS590</f>
        <v>0</v>
      </c>
      <c s="125">
        <f>'Операционные затраты'!AT590</f>
        <v>0</v>
      </c>
      <c s="125">
        <f>'Операционные затраты'!AU590</f>
        <v>0</v>
      </c>
      <c s="125">
        <f>'Операционные затраты'!AV590</f>
        <v>0</v>
      </c>
      <c s="125">
        <f>'Операционные затраты'!AW590</f>
        <v>0</v>
      </c>
      <c s="125">
        <f>'Операционные затраты'!AX590</f>
        <v>0</v>
      </c>
      <c s="125">
        <f>'Операционные затраты'!AY590</f>
        <v>0</v>
      </c>
      <c s="125">
        <f>'Операционные затраты'!AZ590</f>
        <v>0</v>
      </c>
      <c s="125">
        <f>'Операционные затраты'!BA590</f>
        <v>0</v>
      </c>
      <c s="125">
        <f>'Операционные затраты'!BB590</f>
        <v>0</v>
      </c>
      <c s="125">
        <f>'Операционные затраты'!BC590</f>
        <v>0</v>
      </c>
      <c s="125">
        <f>'Операционные затраты'!BD590</f>
        <v>0</v>
      </c>
      <c s="125">
        <f>'Операционные затраты'!BE590</f>
        <v>0</v>
      </c>
      <c s="125">
        <f>'Операционные затраты'!BF590</f>
        <v>0</v>
      </c>
      <c s="125">
        <f>'Операционные затраты'!BG590</f>
        <v>0</v>
      </c>
      <c s="125">
        <f>'Операционные затраты'!BH590</f>
        <v>0</v>
      </c>
      <c s="125">
        <f>'Операционные затраты'!BI590</f>
        <v>0</v>
      </c>
      <c s="125">
        <f>'Операционные затраты'!BJ590</f>
        <v>0</v>
      </c>
      <c s="125">
        <f>'Операционные затраты'!BK590</f>
        <v>0</v>
      </c>
      <c s="125">
        <f>'Операционные затраты'!BL590</f>
        <v>0</v>
      </c>
      <c s="125">
        <f>'Операционные затраты'!BM590</f>
        <v>0</v>
      </c>
    </row>
    <row r="245" spans="2:65" ht="15" customHeight="1">
      <c r="B245" s="12" t="str">
        <f t="shared" si="204"/>
        <v>Операционные затраты 14</v>
      </c>
      <c s="124" t="str">
        <f t="shared" si="205"/>
        <v>тыс. руб.</v>
      </c>
      <c s="125"/>
      <c s="125">
        <f>'Операционные затраты'!E591</f>
        <v>0</v>
      </c>
      <c s="125">
        <f>'Операционные затраты'!F591</f>
        <v>0</v>
      </c>
      <c s="125">
        <f>'Операционные затраты'!G591</f>
        <v>0</v>
      </c>
      <c s="125">
        <f>'Операционные затраты'!H591</f>
        <v>0</v>
      </c>
      <c s="125">
        <f>'Операционные затраты'!I591</f>
        <v>0</v>
      </c>
      <c s="125">
        <f>'Операционные затраты'!J591</f>
        <v>0</v>
      </c>
      <c s="125">
        <f>'Операционные затраты'!K591</f>
        <v>0</v>
      </c>
      <c s="125">
        <f>'Операционные затраты'!L591</f>
        <v>0</v>
      </c>
      <c s="125">
        <f>'Операционные затраты'!M591</f>
        <v>0</v>
      </c>
      <c s="125">
        <f>'Операционные затраты'!N591</f>
        <v>0</v>
      </c>
      <c s="125">
        <f>'Операционные затраты'!O591</f>
        <v>0</v>
      </c>
      <c s="125">
        <f>'Операционные затраты'!P591</f>
        <v>0</v>
      </c>
      <c s="125">
        <f>'Операционные затраты'!Q591</f>
        <v>0</v>
      </c>
      <c s="125">
        <f>'Операционные затраты'!R591</f>
        <v>0</v>
      </c>
      <c s="125">
        <f>'Операционные затраты'!S591</f>
        <v>0</v>
      </c>
      <c s="125">
        <f>'Операционные затраты'!T591</f>
        <v>0</v>
      </c>
      <c s="125">
        <f>'Операционные затраты'!U591</f>
        <v>0</v>
      </c>
      <c s="125">
        <f>'Операционные затраты'!V591</f>
        <v>0</v>
      </c>
      <c s="125">
        <f>'Операционные затраты'!W591</f>
        <v>0</v>
      </c>
      <c s="125">
        <f>'Операционные затраты'!X591</f>
        <v>0</v>
      </c>
      <c s="125">
        <f>'Операционные затраты'!Y591</f>
        <v>0</v>
      </c>
      <c s="125">
        <f>'Операционные затраты'!Z591</f>
        <v>0</v>
      </c>
      <c s="125">
        <f>'Операционные затраты'!AA591</f>
        <v>0</v>
      </c>
      <c s="125">
        <f>'Операционные затраты'!AB591</f>
        <v>0</v>
      </c>
      <c s="125">
        <f>'Операционные затраты'!AC591</f>
        <v>0</v>
      </c>
      <c s="125">
        <f>'Операционные затраты'!AD591</f>
        <v>0</v>
      </c>
      <c s="125">
        <f>'Операционные затраты'!AE591</f>
        <v>0</v>
      </c>
      <c s="125">
        <f>'Операционные затраты'!AF591</f>
        <v>0</v>
      </c>
      <c s="125">
        <f>'Операционные затраты'!AG591</f>
        <v>0</v>
      </c>
      <c s="125">
        <f>'Операционные затраты'!AH591</f>
        <v>0</v>
      </c>
      <c s="125">
        <f>'Операционные затраты'!AI591</f>
        <v>0</v>
      </c>
      <c s="125">
        <f>'Операционные затраты'!AJ591</f>
        <v>0</v>
      </c>
      <c s="125">
        <f>'Операционные затраты'!AK591</f>
        <v>0</v>
      </c>
      <c s="125">
        <f>'Операционные затраты'!AL591</f>
        <v>0</v>
      </c>
      <c s="125">
        <f>'Операционные затраты'!AM591</f>
        <v>0</v>
      </c>
      <c s="125">
        <f>'Операционные затраты'!AN591</f>
        <v>0</v>
      </c>
      <c s="125">
        <f>'Операционные затраты'!AO591</f>
        <v>0</v>
      </c>
      <c s="125">
        <f>'Операционные затраты'!AP591</f>
        <v>0</v>
      </c>
      <c s="125">
        <f>'Операционные затраты'!AQ591</f>
        <v>0</v>
      </c>
      <c s="125">
        <f>'Операционные затраты'!AR591</f>
        <v>0</v>
      </c>
      <c s="125">
        <f>'Операционные затраты'!AS591</f>
        <v>0</v>
      </c>
      <c s="125">
        <f>'Операционные затраты'!AT591</f>
        <v>0</v>
      </c>
      <c s="125">
        <f>'Операционные затраты'!AU591</f>
        <v>0</v>
      </c>
      <c s="125">
        <f>'Операционные затраты'!AV591</f>
        <v>0</v>
      </c>
      <c s="125">
        <f>'Операционные затраты'!AW591</f>
        <v>0</v>
      </c>
      <c s="125">
        <f>'Операционные затраты'!AX591</f>
        <v>0</v>
      </c>
      <c s="125">
        <f>'Операционные затраты'!AY591</f>
        <v>0</v>
      </c>
      <c s="125">
        <f>'Операционные затраты'!AZ591</f>
        <v>0</v>
      </c>
      <c s="125">
        <f>'Операционные затраты'!BA591</f>
        <v>0</v>
      </c>
      <c s="125">
        <f>'Операционные затраты'!BB591</f>
        <v>0</v>
      </c>
      <c s="125">
        <f>'Операционные затраты'!BC591</f>
        <v>0</v>
      </c>
      <c s="125">
        <f>'Операционные затраты'!BD591</f>
        <v>0</v>
      </c>
      <c s="125">
        <f>'Операционные затраты'!BE591</f>
        <v>0</v>
      </c>
      <c s="125">
        <f>'Операционные затраты'!BF591</f>
        <v>0</v>
      </c>
      <c s="125">
        <f>'Операционные затраты'!BG591</f>
        <v>0</v>
      </c>
      <c s="125">
        <f>'Операционные затраты'!BH591</f>
        <v>0</v>
      </c>
      <c s="125">
        <f>'Операционные затраты'!BI591</f>
        <v>0</v>
      </c>
      <c s="125">
        <f>'Операционные затраты'!BJ591</f>
        <v>0</v>
      </c>
      <c s="125">
        <f>'Операционные затраты'!BK591</f>
        <v>0</v>
      </c>
      <c s="125">
        <f>'Операционные затраты'!BL591</f>
        <v>0</v>
      </c>
      <c s="125">
        <f>'Операционные затраты'!BM591</f>
        <v>0</v>
      </c>
    </row>
    <row r="246" spans="2:65" ht="15" customHeight="1">
      <c r="B246" s="12" t="str">
        <f t="shared" si="204"/>
        <v>Операционные затраты 15</v>
      </c>
      <c s="124" t="str">
        <f t="shared" si="205"/>
        <v>тыс. руб.</v>
      </c>
      <c s="125"/>
      <c s="125">
        <f>'Операционные затраты'!E592</f>
        <v>0</v>
      </c>
      <c s="125">
        <f>'Операционные затраты'!F592</f>
        <v>0</v>
      </c>
      <c s="125">
        <f>'Операционные затраты'!G592</f>
        <v>0</v>
      </c>
      <c s="125">
        <f>'Операционные затраты'!H592</f>
        <v>0</v>
      </c>
      <c s="125">
        <f>'Операционные затраты'!I592</f>
        <v>0</v>
      </c>
      <c s="125">
        <f>'Операционные затраты'!J592</f>
        <v>0</v>
      </c>
      <c s="125">
        <f>'Операционные затраты'!K592</f>
        <v>0</v>
      </c>
      <c s="125">
        <f>'Операционные затраты'!L592</f>
        <v>0</v>
      </c>
      <c s="125">
        <f>'Операционные затраты'!M592</f>
        <v>0</v>
      </c>
      <c s="125">
        <f>'Операционные затраты'!N592</f>
        <v>0</v>
      </c>
      <c s="125">
        <f>'Операционные затраты'!O592</f>
        <v>0</v>
      </c>
      <c s="125">
        <f>'Операционные затраты'!P592</f>
        <v>0</v>
      </c>
      <c s="125">
        <f>'Операционные затраты'!Q592</f>
        <v>0</v>
      </c>
      <c s="125">
        <f>'Операционные затраты'!R592</f>
        <v>0</v>
      </c>
      <c s="125">
        <f>'Операционные затраты'!S592</f>
        <v>0</v>
      </c>
      <c s="125">
        <f>'Операционные затраты'!T592</f>
        <v>0</v>
      </c>
      <c s="125">
        <f>'Операционные затраты'!U592</f>
        <v>0</v>
      </c>
      <c s="125">
        <f>'Операционные затраты'!V592</f>
        <v>0</v>
      </c>
      <c s="125">
        <f>'Операционные затраты'!W592</f>
        <v>0</v>
      </c>
      <c s="125">
        <f>'Операционные затраты'!X592</f>
        <v>0</v>
      </c>
      <c s="125">
        <f>'Операционные затраты'!Y592</f>
        <v>0</v>
      </c>
      <c s="125">
        <f>'Операционные затраты'!Z592</f>
        <v>0</v>
      </c>
      <c s="125">
        <f>'Операционные затраты'!AA592</f>
        <v>0</v>
      </c>
      <c s="125">
        <f>'Операционные затраты'!AB592</f>
        <v>0</v>
      </c>
      <c s="125">
        <f>'Операционные затраты'!AC592</f>
        <v>0</v>
      </c>
      <c s="125">
        <f>'Операционные затраты'!AD592</f>
        <v>0</v>
      </c>
      <c s="125">
        <f>'Операционные затраты'!AE592</f>
        <v>0</v>
      </c>
      <c s="125">
        <f>'Операционные затраты'!AF592</f>
        <v>0</v>
      </c>
      <c s="125">
        <f>'Операционные затраты'!AG592</f>
        <v>0</v>
      </c>
      <c s="125">
        <f>'Операционные затраты'!AH592</f>
        <v>0</v>
      </c>
      <c s="125">
        <f>'Операционные затраты'!AI592</f>
        <v>0</v>
      </c>
      <c s="125">
        <f>'Операционные затраты'!AJ592</f>
        <v>0</v>
      </c>
      <c s="125">
        <f>'Операционные затраты'!AK592</f>
        <v>0</v>
      </c>
      <c s="125">
        <f>'Операционные затраты'!AL592</f>
        <v>0</v>
      </c>
      <c s="125">
        <f>'Операционные затраты'!AM592</f>
        <v>0</v>
      </c>
      <c s="125">
        <f>'Операционные затраты'!AN592</f>
        <v>0</v>
      </c>
      <c s="125">
        <f>'Операционные затраты'!AO592</f>
        <v>0</v>
      </c>
      <c s="125">
        <f>'Операционные затраты'!AP592</f>
        <v>0</v>
      </c>
      <c s="125">
        <f>'Операционные затраты'!AQ592</f>
        <v>0</v>
      </c>
      <c s="125">
        <f>'Операционные затраты'!AR592</f>
        <v>0</v>
      </c>
      <c s="125">
        <f>'Операционные затраты'!AS592</f>
        <v>0</v>
      </c>
      <c s="125">
        <f>'Операционные затраты'!AT592</f>
        <v>0</v>
      </c>
      <c s="125">
        <f>'Операционные затраты'!AU592</f>
        <v>0</v>
      </c>
      <c s="125">
        <f>'Операционные затраты'!AV592</f>
        <v>0</v>
      </c>
      <c s="125">
        <f>'Операционные затраты'!AW592</f>
        <v>0</v>
      </c>
      <c s="125">
        <f>'Операционные затраты'!AX592</f>
        <v>0</v>
      </c>
      <c s="125">
        <f>'Операционные затраты'!AY592</f>
        <v>0</v>
      </c>
      <c s="125">
        <f>'Операционные затраты'!AZ592</f>
        <v>0</v>
      </c>
      <c s="125">
        <f>'Операционные затраты'!BA592</f>
        <v>0</v>
      </c>
      <c s="125">
        <f>'Операционные затраты'!BB592</f>
        <v>0</v>
      </c>
      <c s="125">
        <f>'Операционные затраты'!BC592</f>
        <v>0</v>
      </c>
      <c s="125">
        <f>'Операционные затраты'!BD592</f>
        <v>0</v>
      </c>
      <c s="125">
        <f>'Операционные затраты'!BE592</f>
        <v>0</v>
      </c>
      <c s="125">
        <f>'Операционные затраты'!BF592</f>
        <v>0</v>
      </c>
      <c s="125">
        <f>'Операционные затраты'!BG592</f>
        <v>0</v>
      </c>
      <c s="125">
        <f>'Операционные затраты'!BH592</f>
        <v>0</v>
      </c>
      <c s="125">
        <f>'Операционные затраты'!BI592</f>
        <v>0</v>
      </c>
      <c s="125">
        <f>'Операционные затраты'!BJ592</f>
        <v>0</v>
      </c>
      <c s="125">
        <f>'Операционные затраты'!BK592</f>
        <v>0</v>
      </c>
      <c s="125">
        <f>'Операционные затраты'!BL592</f>
        <v>0</v>
      </c>
      <c s="125">
        <f>'Операционные затраты'!BM592</f>
        <v>0</v>
      </c>
    </row>
    <row r="247" spans="2:65" ht="15" customHeight="1">
      <c r="B247" s="12" t="str">
        <f t="shared" si="204"/>
        <v>Операционные затраты 16</v>
      </c>
      <c s="124" t="str">
        <f t="shared" si="205"/>
        <v>тыс. руб.</v>
      </c>
      <c s="125"/>
      <c s="125">
        <f>'Операционные затраты'!E593</f>
        <v>0</v>
      </c>
      <c s="125">
        <f>'Операционные затраты'!F593</f>
        <v>0</v>
      </c>
      <c s="125">
        <f>'Операционные затраты'!G593</f>
        <v>0</v>
      </c>
      <c s="125">
        <f>'Операционные затраты'!H593</f>
        <v>0</v>
      </c>
      <c s="125">
        <f>'Операционные затраты'!I593</f>
        <v>0</v>
      </c>
      <c s="125">
        <f>'Операционные затраты'!J593</f>
        <v>0</v>
      </c>
      <c s="125">
        <f>'Операционные затраты'!K593</f>
        <v>0</v>
      </c>
      <c s="125">
        <f>'Операционные затраты'!L593</f>
        <v>0</v>
      </c>
      <c s="125">
        <f>'Операционные затраты'!M593</f>
        <v>0</v>
      </c>
      <c s="125">
        <f>'Операционные затраты'!N593</f>
        <v>0</v>
      </c>
      <c s="125">
        <f>'Операционные затраты'!O593</f>
        <v>0</v>
      </c>
      <c s="125">
        <f>'Операционные затраты'!P593</f>
        <v>0</v>
      </c>
      <c s="125">
        <f>'Операционные затраты'!Q593</f>
        <v>0</v>
      </c>
      <c s="125">
        <f>'Операционные затраты'!R593</f>
        <v>0</v>
      </c>
      <c s="125">
        <f>'Операционные затраты'!S593</f>
        <v>0</v>
      </c>
      <c s="125">
        <f>'Операционные затраты'!T593</f>
        <v>0</v>
      </c>
      <c s="125">
        <f>'Операционные затраты'!U593</f>
        <v>0</v>
      </c>
      <c s="125">
        <f>'Операционные затраты'!V593</f>
        <v>0</v>
      </c>
      <c s="125">
        <f>'Операционные затраты'!W593</f>
        <v>0</v>
      </c>
      <c s="125">
        <f>'Операционные затраты'!X593</f>
        <v>0</v>
      </c>
      <c s="125">
        <f>'Операционные затраты'!Y593</f>
        <v>0</v>
      </c>
      <c s="125">
        <f>'Операционные затраты'!Z593</f>
        <v>0</v>
      </c>
      <c s="125">
        <f>'Операционные затраты'!AA593</f>
        <v>0</v>
      </c>
      <c s="125">
        <f>'Операционные затраты'!AB593</f>
        <v>0</v>
      </c>
      <c s="125">
        <f>'Операционные затраты'!AC593</f>
        <v>0</v>
      </c>
      <c s="125">
        <f>'Операционные затраты'!AD593</f>
        <v>0</v>
      </c>
      <c s="125">
        <f>'Операционные затраты'!AE593</f>
        <v>0</v>
      </c>
      <c s="125">
        <f>'Операционные затраты'!AF593</f>
        <v>0</v>
      </c>
      <c s="125">
        <f>'Операционные затраты'!AG593</f>
        <v>0</v>
      </c>
      <c s="125">
        <f>'Операционные затраты'!AH593</f>
        <v>0</v>
      </c>
      <c s="125">
        <f>'Операционные затраты'!AI593</f>
        <v>0</v>
      </c>
      <c s="125">
        <f>'Операционные затраты'!AJ593</f>
        <v>0</v>
      </c>
      <c s="125">
        <f>'Операционные затраты'!AK593</f>
        <v>0</v>
      </c>
      <c s="125">
        <f>'Операционные затраты'!AL593</f>
        <v>0</v>
      </c>
      <c s="125">
        <f>'Операционные затраты'!AM593</f>
        <v>0</v>
      </c>
      <c s="125">
        <f>'Операционные затраты'!AN593</f>
        <v>0</v>
      </c>
      <c s="125">
        <f>'Операционные затраты'!AO593</f>
        <v>0</v>
      </c>
      <c s="125">
        <f>'Операционные затраты'!AP593</f>
        <v>0</v>
      </c>
      <c s="125">
        <f>'Операционные затраты'!AQ593</f>
        <v>0</v>
      </c>
      <c s="125">
        <f>'Операционные затраты'!AR593</f>
        <v>0</v>
      </c>
      <c s="125">
        <f>'Операционные затраты'!AS593</f>
        <v>0</v>
      </c>
      <c s="125">
        <f>'Операционные затраты'!AT593</f>
        <v>0</v>
      </c>
      <c s="125">
        <f>'Операционные затраты'!AU593</f>
        <v>0</v>
      </c>
      <c s="125">
        <f>'Операционные затраты'!AV593</f>
        <v>0</v>
      </c>
      <c s="125">
        <f>'Операционные затраты'!AW593</f>
        <v>0</v>
      </c>
      <c s="125">
        <f>'Операционные затраты'!AX593</f>
        <v>0</v>
      </c>
      <c s="125">
        <f>'Операционные затраты'!AY593</f>
        <v>0</v>
      </c>
      <c s="125">
        <f>'Операционные затраты'!AZ593</f>
        <v>0</v>
      </c>
      <c s="125">
        <f>'Операционные затраты'!BA593</f>
        <v>0</v>
      </c>
      <c s="125">
        <f>'Операционные затраты'!BB593</f>
        <v>0</v>
      </c>
      <c s="125">
        <f>'Операционные затраты'!BC593</f>
        <v>0</v>
      </c>
      <c s="125">
        <f>'Операционные затраты'!BD593</f>
        <v>0</v>
      </c>
      <c s="125">
        <f>'Операционные затраты'!BE593</f>
        <v>0</v>
      </c>
      <c s="125">
        <f>'Операционные затраты'!BF593</f>
        <v>0</v>
      </c>
      <c s="125">
        <f>'Операционные затраты'!BG593</f>
        <v>0</v>
      </c>
      <c s="125">
        <f>'Операционные затраты'!BH593</f>
        <v>0</v>
      </c>
      <c s="125">
        <f>'Операционные затраты'!BI593</f>
        <v>0</v>
      </c>
      <c s="125">
        <f>'Операционные затраты'!BJ593</f>
        <v>0</v>
      </c>
      <c s="125">
        <f>'Операционные затраты'!BK593</f>
        <v>0</v>
      </c>
      <c s="125">
        <f>'Операционные затраты'!BL593</f>
        <v>0</v>
      </c>
      <c s="125">
        <f>'Операционные затраты'!BM593</f>
        <v>0</v>
      </c>
    </row>
    <row r="248" spans="2:65" ht="15" customHeight="1">
      <c r="B248" s="12" t="str">
        <f t="shared" si="204"/>
        <v>Операционные затраты 17</v>
      </c>
      <c s="124" t="str">
        <f t="shared" si="205"/>
        <v>тыс. руб.</v>
      </c>
      <c s="125"/>
      <c s="125">
        <f>'Операционные затраты'!E594</f>
        <v>0</v>
      </c>
      <c s="125">
        <f>'Операционные затраты'!F594</f>
        <v>0</v>
      </c>
      <c s="125">
        <f>'Операционные затраты'!G594</f>
        <v>0</v>
      </c>
      <c s="125">
        <f>'Операционные затраты'!H594</f>
        <v>0</v>
      </c>
      <c s="125">
        <f>'Операционные затраты'!I594</f>
        <v>0</v>
      </c>
      <c s="125">
        <f>'Операционные затраты'!J594</f>
        <v>0</v>
      </c>
      <c s="125">
        <f>'Операционные затраты'!K594</f>
        <v>0</v>
      </c>
      <c s="125">
        <f>'Операционные затраты'!L594</f>
        <v>0</v>
      </c>
      <c s="125">
        <f>'Операционные затраты'!M594</f>
        <v>0</v>
      </c>
      <c s="125">
        <f>'Операционные затраты'!N594</f>
        <v>0</v>
      </c>
      <c s="125">
        <f>'Операционные затраты'!O594</f>
        <v>0</v>
      </c>
      <c s="125">
        <f>'Операционные затраты'!P594</f>
        <v>0</v>
      </c>
      <c s="125">
        <f>'Операционные затраты'!Q594</f>
        <v>0</v>
      </c>
      <c s="125">
        <f>'Операционные затраты'!R594</f>
        <v>0</v>
      </c>
      <c s="125">
        <f>'Операционные затраты'!S594</f>
        <v>0</v>
      </c>
      <c s="125">
        <f>'Операционные затраты'!T594</f>
        <v>0</v>
      </c>
      <c s="125">
        <f>'Операционные затраты'!U594</f>
        <v>0</v>
      </c>
      <c s="125">
        <f>'Операционные затраты'!V594</f>
        <v>0</v>
      </c>
      <c s="125">
        <f>'Операционные затраты'!W594</f>
        <v>0</v>
      </c>
      <c s="125">
        <f>'Операционные затраты'!X594</f>
        <v>0</v>
      </c>
      <c s="125">
        <f>'Операционные затраты'!Y594</f>
        <v>0</v>
      </c>
      <c s="125">
        <f>'Операционные затраты'!Z594</f>
        <v>0</v>
      </c>
      <c s="125">
        <f>'Операционные затраты'!AA594</f>
        <v>0</v>
      </c>
      <c s="125">
        <f>'Операционные затраты'!AB594</f>
        <v>0</v>
      </c>
      <c s="125">
        <f>'Операционные затраты'!AC594</f>
        <v>0</v>
      </c>
      <c s="125">
        <f>'Операционные затраты'!AD594</f>
        <v>0</v>
      </c>
      <c s="125">
        <f>'Операционные затраты'!AE594</f>
        <v>0</v>
      </c>
      <c s="125">
        <f>'Операционные затраты'!AF594</f>
        <v>0</v>
      </c>
      <c s="125">
        <f>'Операционные затраты'!AG594</f>
        <v>0</v>
      </c>
      <c s="125">
        <f>'Операционные затраты'!AH594</f>
        <v>0</v>
      </c>
      <c s="125">
        <f>'Операционные затраты'!AI594</f>
        <v>0</v>
      </c>
      <c s="125">
        <f>'Операционные затраты'!AJ594</f>
        <v>0</v>
      </c>
      <c s="125">
        <f>'Операционные затраты'!AK594</f>
        <v>0</v>
      </c>
      <c s="125">
        <f>'Операционные затраты'!AL594</f>
        <v>0</v>
      </c>
      <c s="125">
        <f>'Операционные затраты'!AM594</f>
        <v>0</v>
      </c>
      <c s="125">
        <f>'Операционные затраты'!AN594</f>
        <v>0</v>
      </c>
      <c s="125">
        <f>'Операционные затраты'!AO594</f>
        <v>0</v>
      </c>
      <c s="125">
        <f>'Операционные затраты'!AP594</f>
        <v>0</v>
      </c>
      <c s="125">
        <f>'Операционные затраты'!AQ594</f>
        <v>0</v>
      </c>
      <c s="125">
        <f>'Операционные затраты'!AR594</f>
        <v>0</v>
      </c>
      <c s="125">
        <f>'Операционные затраты'!AS594</f>
        <v>0</v>
      </c>
      <c s="125">
        <f>'Операционные затраты'!AT594</f>
        <v>0</v>
      </c>
      <c s="125">
        <f>'Операционные затраты'!AU594</f>
        <v>0</v>
      </c>
      <c s="125">
        <f>'Операционные затраты'!AV594</f>
        <v>0</v>
      </c>
      <c s="125">
        <f>'Операционные затраты'!AW594</f>
        <v>0</v>
      </c>
      <c s="125">
        <f>'Операционные затраты'!AX594</f>
        <v>0</v>
      </c>
      <c s="125">
        <f>'Операционные затраты'!AY594</f>
        <v>0</v>
      </c>
      <c s="125">
        <f>'Операционные затраты'!AZ594</f>
        <v>0</v>
      </c>
      <c s="125">
        <f>'Операционные затраты'!BA594</f>
        <v>0</v>
      </c>
      <c s="125">
        <f>'Операционные затраты'!BB594</f>
        <v>0</v>
      </c>
      <c s="125">
        <f>'Операционные затраты'!BC594</f>
        <v>0</v>
      </c>
      <c s="125">
        <f>'Операционные затраты'!BD594</f>
        <v>0</v>
      </c>
      <c s="125">
        <f>'Операционные затраты'!BE594</f>
        <v>0</v>
      </c>
      <c s="125">
        <f>'Операционные затраты'!BF594</f>
        <v>0</v>
      </c>
      <c s="125">
        <f>'Операционные затраты'!BG594</f>
        <v>0</v>
      </c>
      <c s="125">
        <f>'Операционные затраты'!BH594</f>
        <v>0</v>
      </c>
      <c s="125">
        <f>'Операционные затраты'!BI594</f>
        <v>0</v>
      </c>
      <c s="125">
        <f>'Операционные затраты'!BJ594</f>
        <v>0</v>
      </c>
      <c s="125">
        <f>'Операционные затраты'!BK594</f>
        <v>0</v>
      </c>
      <c s="125">
        <f>'Операционные затраты'!BL594</f>
        <v>0</v>
      </c>
      <c s="125">
        <f>'Операционные затраты'!BM594</f>
        <v>0</v>
      </c>
    </row>
    <row r="249" spans="2:65" ht="15" customHeight="1">
      <c r="B249" s="12" t="str">
        <f t="shared" si="204"/>
        <v>Операционные затраты 18</v>
      </c>
      <c s="124" t="str">
        <f t="shared" si="205"/>
        <v>тыс. руб.</v>
      </c>
      <c s="125"/>
      <c s="125">
        <f>'Операционные затраты'!E595</f>
        <v>0</v>
      </c>
      <c s="125">
        <f>'Операционные затраты'!F595</f>
        <v>0</v>
      </c>
      <c s="125">
        <f>'Операционные затраты'!G595</f>
        <v>0</v>
      </c>
      <c s="125">
        <f>'Операционные затраты'!H595</f>
        <v>0</v>
      </c>
      <c s="125">
        <f>'Операционные затраты'!I595</f>
        <v>0</v>
      </c>
      <c s="125">
        <f>'Операционные затраты'!J595</f>
        <v>0</v>
      </c>
      <c s="125">
        <f>'Операционные затраты'!K595</f>
        <v>0</v>
      </c>
      <c s="125">
        <f>'Операционные затраты'!L595</f>
        <v>0</v>
      </c>
      <c s="125">
        <f>'Операционные затраты'!M595</f>
        <v>0</v>
      </c>
      <c s="125">
        <f>'Операционные затраты'!N595</f>
        <v>0</v>
      </c>
      <c s="125">
        <f>'Операционные затраты'!O595</f>
        <v>0</v>
      </c>
      <c s="125">
        <f>'Операционные затраты'!P595</f>
        <v>0</v>
      </c>
      <c s="125">
        <f>'Операционные затраты'!Q595</f>
        <v>0</v>
      </c>
      <c s="125">
        <f>'Операционные затраты'!R595</f>
        <v>0</v>
      </c>
      <c s="125">
        <f>'Операционные затраты'!S595</f>
        <v>0</v>
      </c>
      <c s="125">
        <f>'Операционные затраты'!T595</f>
        <v>0</v>
      </c>
      <c s="125">
        <f>'Операционные затраты'!U595</f>
        <v>0</v>
      </c>
      <c s="125">
        <f>'Операционные затраты'!V595</f>
        <v>0</v>
      </c>
      <c s="125">
        <f>'Операционные затраты'!W595</f>
        <v>0</v>
      </c>
      <c s="125">
        <f>'Операционные затраты'!X595</f>
        <v>0</v>
      </c>
      <c s="125">
        <f>'Операционные затраты'!Y595</f>
        <v>0</v>
      </c>
      <c s="125">
        <f>'Операционные затраты'!Z595</f>
        <v>0</v>
      </c>
      <c s="125">
        <f>'Операционные затраты'!AA595</f>
        <v>0</v>
      </c>
      <c s="125">
        <f>'Операционные затраты'!AB595</f>
        <v>0</v>
      </c>
      <c s="125">
        <f>'Операционные затраты'!AC595</f>
        <v>0</v>
      </c>
      <c s="125">
        <f>'Операционные затраты'!AD595</f>
        <v>0</v>
      </c>
      <c s="125">
        <f>'Операционные затраты'!AE595</f>
        <v>0</v>
      </c>
      <c s="125">
        <f>'Операционные затраты'!AF595</f>
        <v>0</v>
      </c>
      <c s="125">
        <f>'Операционные затраты'!AG595</f>
        <v>0</v>
      </c>
      <c s="125">
        <f>'Операционные затраты'!AH595</f>
        <v>0</v>
      </c>
      <c s="125">
        <f>'Операционные затраты'!AI595</f>
        <v>0</v>
      </c>
      <c s="125">
        <f>'Операционные затраты'!AJ595</f>
        <v>0</v>
      </c>
      <c s="125">
        <f>'Операционные затраты'!AK595</f>
        <v>0</v>
      </c>
      <c s="125">
        <f>'Операционные затраты'!AL595</f>
        <v>0</v>
      </c>
      <c s="125">
        <f>'Операционные затраты'!AM595</f>
        <v>0</v>
      </c>
      <c s="125">
        <f>'Операционные затраты'!AN595</f>
        <v>0</v>
      </c>
      <c s="125">
        <f>'Операционные затраты'!AO595</f>
        <v>0</v>
      </c>
      <c s="125">
        <f>'Операционные затраты'!AP595</f>
        <v>0</v>
      </c>
      <c s="125">
        <f>'Операционные затраты'!AQ595</f>
        <v>0</v>
      </c>
      <c s="125">
        <f>'Операционные затраты'!AR595</f>
        <v>0</v>
      </c>
      <c s="125">
        <f>'Операционные затраты'!AS595</f>
        <v>0</v>
      </c>
      <c s="125">
        <f>'Операционные затраты'!AT595</f>
        <v>0</v>
      </c>
      <c s="125">
        <f>'Операционные затраты'!AU595</f>
        <v>0</v>
      </c>
      <c s="125">
        <f>'Операционные затраты'!AV595</f>
        <v>0</v>
      </c>
      <c s="125">
        <f>'Операционные затраты'!AW595</f>
        <v>0</v>
      </c>
      <c s="125">
        <f>'Операционные затраты'!AX595</f>
        <v>0</v>
      </c>
      <c s="125">
        <f>'Операционные затраты'!AY595</f>
        <v>0</v>
      </c>
      <c s="125">
        <f>'Операционные затраты'!AZ595</f>
        <v>0</v>
      </c>
      <c s="125">
        <f>'Операционные затраты'!BA595</f>
        <v>0</v>
      </c>
      <c s="125">
        <f>'Операционные затраты'!BB595</f>
        <v>0</v>
      </c>
      <c s="125">
        <f>'Операционные затраты'!BC595</f>
        <v>0</v>
      </c>
      <c s="125">
        <f>'Операционные затраты'!BD595</f>
        <v>0</v>
      </c>
      <c s="125">
        <f>'Операционные затраты'!BE595</f>
        <v>0</v>
      </c>
      <c s="125">
        <f>'Операционные затраты'!BF595</f>
        <v>0</v>
      </c>
      <c s="125">
        <f>'Операционные затраты'!BG595</f>
        <v>0</v>
      </c>
      <c s="125">
        <f>'Операционные затраты'!BH595</f>
        <v>0</v>
      </c>
      <c s="125">
        <f>'Операционные затраты'!BI595</f>
        <v>0</v>
      </c>
      <c s="125">
        <f>'Операционные затраты'!BJ595</f>
        <v>0</v>
      </c>
      <c s="125">
        <f>'Операционные затраты'!BK595</f>
        <v>0</v>
      </c>
      <c s="125">
        <f>'Операционные затраты'!BL595</f>
        <v>0</v>
      </c>
      <c s="125">
        <f>'Операционные затраты'!BM595</f>
        <v>0</v>
      </c>
    </row>
    <row r="250" spans="2:65" ht="15" customHeight="1">
      <c r="B250" s="12" t="str">
        <f t="shared" si="204"/>
        <v>Операционные затраты 19</v>
      </c>
      <c s="124" t="str">
        <f t="shared" si="205"/>
        <v>тыс. руб.</v>
      </c>
      <c s="125"/>
      <c s="125">
        <f>'Операционные затраты'!E596</f>
        <v>0</v>
      </c>
      <c s="125">
        <f>'Операционные затраты'!F596</f>
        <v>0</v>
      </c>
      <c s="125">
        <f>'Операционные затраты'!G596</f>
        <v>0</v>
      </c>
      <c s="125">
        <f>'Операционные затраты'!H596</f>
        <v>0</v>
      </c>
      <c s="125">
        <f>'Операционные затраты'!I596</f>
        <v>0</v>
      </c>
      <c s="125">
        <f>'Операционные затраты'!J596</f>
        <v>0</v>
      </c>
      <c s="125">
        <f>'Операционные затраты'!K596</f>
        <v>0</v>
      </c>
      <c s="125">
        <f>'Операционные затраты'!L596</f>
        <v>0</v>
      </c>
      <c s="125">
        <f>'Операционные затраты'!M596</f>
        <v>0</v>
      </c>
      <c s="125">
        <f>'Операционные затраты'!N596</f>
        <v>0</v>
      </c>
      <c s="125">
        <f>'Операционные затраты'!O596</f>
        <v>0</v>
      </c>
      <c s="125">
        <f>'Операционные затраты'!P596</f>
        <v>0</v>
      </c>
      <c s="125">
        <f>'Операционные затраты'!Q596</f>
        <v>0</v>
      </c>
      <c s="125">
        <f>'Операционные затраты'!R596</f>
        <v>0</v>
      </c>
      <c s="125">
        <f>'Операционные затраты'!S596</f>
        <v>0</v>
      </c>
      <c s="125">
        <f>'Операционные затраты'!T596</f>
        <v>0</v>
      </c>
      <c s="125">
        <f>'Операционные затраты'!U596</f>
        <v>0</v>
      </c>
      <c s="125">
        <f>'Операционные затраты'!V596</f>
        <v>0</v>
      </c>
      <c s="125">
        <f>'Операционные затраты'!W596</f>
        <v>0</v>
      </c>
      <c s="125">
        <f>'Операционные затраты'!X596</f>
        <v>0</v>
      </c>
      <c s="125">
        <f>'Операционные затраты'!Y596</f>
        <v>0</v>
      </c>
      <c s="125">
        <f>'Операционные затраты'!Z596</f>
        <v>0</v>
      </c>
      <c s="125">
        <f>'Операционные затраты'!AA596</f>
        <v>0</v>
      </c>
      <c s="125">
        <f>'Операционные затраты'!AB596</f>
        <v>0</v>
      </c>
      <c s="125">
        <f>'Операционные затраты'!AC596</f>
        <v>0</v>
      </c>
      <c s="125">
        <f>'Операционные затраты'!AD596</f>
        <v>0</v>
      </c>
      <c s="125">
        <f>'Операционные затраты'!AE596</f>
        <v>0</v>
      </c>
      <c s="125">
        <f>'Операционные затраты'!AF596</f>
        <v>0</v>
      </c>
      <c s="125">
        <f>'Операционные затраты'!AG596</f>
        <v>0</v>
      </c>
      <c s="125">
        <f>'Операционные затраты'!AH596</f>
        <v>0</v>
      </c>
      <c s="125">
        <f>'Операционные затраты'!AI596</f>
        <v>0</v>
      </c>
      <c s="125">
        <f>'Операционные затраты'!AJ596</f>
        <v>0</v>
      </c>
      <c s="125">
        <f>'Операционные затраты'!AK596</f>
        <v>0</v>
      </c>
      <c s="125">
        <f>'Операционные затраты'!AL596</f>
        <v>0</v>
      </c>
      <c s="125">
        <f>'Операционные затраты'!AM596</f>
        <v>0</v>
      </c>
      <c s="125">
        <f>'Операционные затраты'!AN596</f>
        <v>0</v>
      </c>
      <c s="125">
        <f>'Операционные затраты'!AO596</f>
        <v>0</v>
      </c>
      <c s="125">
        <f>'Операционные затраты'!AP596</f>
        <v>0</v>
      </c>
      <c s="125">
        <f>'Операционные затраты'!AQ596</f>
        <v>0</v>
      </c>
      <c s="125">
        <f>'Операционные затраты'!AR596</f>
        <v>0</v>
      </c>
      <c s="125">
        <f>'Операционные затраты'!AS596</f>
        <v>0</v>
      </c>
      <c s="125">
        <f>'Операционные затраты'!AT596</f>
        <v>0</v>
      </c>
      <c s="125">
        <f>'Операционные затраты'!AU596</f>
        <v>0</v>
      </c>
      <c s="125">
        <f>'Операционные затраты'!AV596</f>
        <v>0</v>
      </c>
      <c s="125">
        <f>'Операционные затраты'!AW596</f>
        <v>0</v>
      </c>
      <c s="125">
        <f>'Операционные затраты'!AX596</f>
        <v>0</v>
      </c>
      <c s="125">
        <f>'Операционные затраты'!AY596</f>
        <v>0</v>
      </c>
      <c s="125">
        <f>'Операционные затраты'!AZ596</f>
        <v>0</v>
      </c>
      <c s="125">
        <f>'Операционные затраты'!BA596</f>
        <v>0</v>
      </c>
      <c s="125">
        <f>'Операционные затраты'!BB596</f>
        <v>0</v>
      </c>
      <c s="125">
        <f>'Операционные затраты'!BC596</f>
        <v>0</v>
      </c>
      <c s="125">
        <f>'Операционные затраты'!BD596</f>
        <v>0</v>
      </c>
      <c s="125">
        <f>'Операционные затраты'!BE596</f>
        <v>0</v>
      </c>
      <c s="125">
        <f>'Операционные затраты'!BF596</f>
        <v>0</v>
      </c>
      <c s="125">
        <f>'Операционные затраты'!BG596</f>
        <v>0</v>
      </c>
      <c s="125">
        <f>'Операционные затраты'!BH596</f>
        <v>0</v>
      </c>
      <c s="125">
        <f>'Операционные затраты'!BI596</f>
        <v>0</v>
      </c>
      <c s="125">
        <f>'Операционные затраты'!BJ596</f>
        <v>0</v>
      </c>
      <c s="125">
        <f>'Операционные затраты'!BK596</f>
        <v>0</v>
      </c>
      <c s="125">
        <f>'Операционные затраты'!BL596</f>
        <v>0</v>
      </c>
      <c s="125">
        <f>'Операционные затраты'!BM596</f>
        <v>0</v>
      </c>
    </row>
    <row r="251" spans="2:65" ht="15" customHeight="1">
      <c r="B251" s="12" t="str">
        <f t="shared" si="204"/>
        <v>Операционные затраты 20</v>
      </c>
      <c s="124" t="str">
        <f t="shared" si="205"/>
        <v>тыс. руб.</v>
      </c>
      <c s="125"/>
      <c s="125">
        <f>'Операционные затраты'!E597</f>
        <v>0</v>
      </c>
      <c s="125">
        <f>'Операционные затраты'!F597</f>
        <v>0</v>
      </c>
      <c s="125">
        <f>'Операционные затраты'!G597</f>
        <v>0</v>
      </c>
      <c s="125">
        <f>'Операционные затраты'!H597</f>
        <v>0</v>
      </c>
      <c s="125">
        <f>'Операционные затраты'!I597</f>
        <v>0</v>
      </c>
      <c s="125">
        <f>'Операционные затраты'!J597</f>
        <v>0</v>
      </c>
      <c s="125">
        <f>'Операционные затраты'!K597</f>
        <v>0</v>
      </c>
      <c s="125">
        <f>'Операционные затраты'!L597</f>
        <v>0</v>
      </c>
      <c s="125">
        <f>'Операционные затраты'!M597</f>
        <v>0</v>
      </c>
      <c s="125">
        <f>'Операционные затраты'!N597</f>
        <v>0</v>
      </c>
      <c s="125">
        <f>'Операционные затраты'!O597</f>
        <v>0</v>
      </c>
      <c s="125">
        <f>'Операционные затраты'!P597</f>
        <v>0</v>
      </c>
      <c s="125">
        <f>'Операционные затраты'!Q597</f>
        <v>0</v>
      </c>
      <c s="125">
        <f>'Операционные затраты'!R597</f>
        <v>0</v>
      </c>
      <c s="125">
        <f>'Операционные затраты'!S597</f>
        <v>0</v>
      </c>
      <c s="125">
        <f>'Операционные затраты'!T597</f>
        <v>0</v>
      </c>
      <c s="125">
        <f>'Операционные затраты'!U597</f>
        <v>0</v>
      </c>
      <c s="125">
        <f>'Операционные затраты'!V597</f>
        <v>0</v>
      </c>
      <c s="125">
        <f>'Операционные затраты'!W597</f>
        <v>0</v>
      </c>
      <c s="125">
        <f>'Операционные затраты'!X597</f>
        <v>0</v>
      </c>
      <c s="125">
        <f>'Операционные затраты'!Y597</f>
        <v>0</v>
      </c>
      <c s="125">
        <f>'Операционные затраты'!Z597</f>
        <v>0</v>
      </c>
      <c s="125">
        <f>'Операционные затраты'!AA597</f>
        <v>0</v>
      </c>
      <c s="125">
        <f>'Операционные затраты'!AB597</f>
        <v>0</v>
      </c>
      <c s="125">
        <f>'Операционные затраты'!AC597</f>
        <v>0</v>
      </c>
      <c s="125">
        <f>'Операционные затраты'!AD597</f>
        <v>0</v>
      </c>
      <c s="125">
        <f>'Операционные затраты'!AE597</f>
        <v>0</v>
      </c>
      <c s="125">
        <f>'Операционные затраты'!AF597</f>
        <v>0</v>
      </c>
      <c s="125">
        <f>'Операционные затраты'!AG597</f>
        <v>0</v>
      </c>
      <c s="125">
        <f>'Операционные затраты'!AH597</f>
        <v>0</v>
      </c>
      <c s="125">
        <f>'Операционные затраты'!AI597</f>
        <v>0</v>
      </c>
      <c s="125">
        <f>'Операционные затраты'!AJ597</f>
        <v>0</v>
      </c>
      <c s="125">
        <f>'Операционные затраты'!AK597</f>
        <v>0</v>
      </c>
      <c s="125">
        <f>'Операционные затраты'!AL597</f>
        <v>0</v>
      </c>
      <c s="125">
        <f>'Операционные затраты'!AM597</f>
        <v>0</v>
      </c>
      <c s="125">
        <f>'Операционные затраты'!AN597</f>
        <v>0</v>
      </c>
      <c s="125">
        <f>'Операционные затраты'!AO597</f>
        <v>0</v>
      </c>
      <c s="125">
        <f>'Операционные затраты'!AP597</f>
        <v>0</v>
      </c>
      <c s="125">
        <f>'Операционные затраты'!AQ597</f>
        <v>0</v>
      </c>
      <c s="125">
        <f>'Операционные затраты'!AR597</f>
        <v>0</v>
      </c>
      <c s="125">
        <f>'Операционные затраты'!AS597</f>
        <v>0</v>
      </c>
      <c s="125">
        <f>'Операционные затраты'!AT597</f>
        <v>0</v>
      </c>
      <c s="125">
        <f>'Операционные затраты'!AU597</f>
        <v>0</v>
      </c>
      <c s="125">
        <f>'Операционные затраты'!AV597</f>
        <v>0</v>
      </c>
      <c s="125">
        <f>'Операционные затраты'!AW597</f>
        <v>0</v>
      </c>
      <c s="125">
        <f>'Операционные затраты'!AX597</f>
        <v>0</v>
      </c>
      <c s="125">
        <f>'Операционные затраты'!AY597</f>
        <v>0</v>
      </c>
      <c s="125">
        <f>'Операционные затраты'!AZ597</f>
        <v>0</v>
      </c>
      <c s="125">
        <f>'Операционные затраты'!BA597</f>
        <v>0</v>
      </c>
      <c s="125">
        <f>'Операционные затраты'!BB597</f>
        <v>0</v>
      </c>
      <c s="125">
        <f>'Операционные затраты'!BC597</f>
        <v>0</v>
      </c>
      <c s="125">
        <f>'Операционные затраты'!BD597</f>
        <v>0</v>
      </c>
      <c s="125">
        <f>'Операционные затраты'!BE597</f>
        <v>0</v>
      </c>
      <c s="125">
        <f>'Операционные затраты'!BF597</f>
        <v>0</v>
      </c>
      <c s="125">
        <f>'Операционные затраты'!BG597</f>
        <v>0</v>
      </c>
      <c s="125">
        <f>'Операционные затраты'!BH597</f>
        <v>0</v>
      </c>
      <c s="125">
        <f>'Операционные затраты'!BI597</f>
        <v>0</v>
      </c>
      <c s="125">
        <f>'Операционные затраты'!BJ597</f>
        <v>0</v>
      </c>
      <c s="125">
        <f>'Операционные затраты'!BK597</f>
        <v>0</v>
      </c>
      <c s="125">
        <f>'Операционные затраты'!BL597</f>
        <v>0</v>
      </c>
      <c s="125">
        <f>'Операционные затраты'!BM597</f>
        <v>0</v>
      </c>
    </row>
    <row r="252" spans="2:65" ht="15" customHeight="1">
      <c r="B252" s="289" t="s">
        <v>454</v>
      </c>
      <c s="290" t="str">
        <f t="shared" si="205"/>
        <v>тыс. руб.</v>
      </c>
      <c s="276"/>
      <c s="276">
        <f>SUM(E232:E251)</f>
        <v>0</v>
      </c>
      <c s="276">
        <f t="shared" si="206" ref="F252:AG252">SUM(F232:F251)</f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6"/>
        <v>0</v>
      </c>
      <c s="276">
        <f t="shared" si="207" ref="AH252:BM252">SUM(AH232:AH251)</f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  <c s="276">
        <f t="shared" si="207"/>
        <v>0</v>
      </c>
    </row>
    <row r="253" ht="15" customHeight="1"/>
    <row r="254" spans="2:2" ht="15" customHeight="1">
      <c r="B254" s="24" t="s">
        <v>900</v>
      </c>
    </row>
    <row r="255" spans="2:65" ht="15" customHeight="1">
      <c r="B255" s="12" t="str">
        <f t="shared" si="208" ref="B255:B274">B232</f>
        <v>Операционные затраты 1</v>
      </c>
      <c s="124" t="str">
        <f t="shared" si="209" ref="C255:C275">Единица_измерения</f>
        <v>тыс. руб.</v>
      </c>
      <c s="125"/>
      <c s="125">
        <f>SUM(E278,-E209,-E232)</f>
        <v>0</v>
      </c>
      <c s="125">
        <f t="shared" si="210" ref="F255:BM255">SUM(F278,-F209,-F232)</f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  <c s="125">
        <f t="shared" si="210"/>
        <v>0</v>
      </c>
    </row>
    <row r="256" spans="2:65" ht="15" customHeight="1">
      <c r="B256" s="12" t="str">
        <f t="shared" si="208"/>
        <v>Операционные затраты 2</v>
      </c>
      <c s="124" t="str">
        <f t="shared" si="209"/>
        <v>тыс. руб.</v>
      </c>
      <c s="125"/>
      <c s="125">
        <f t="shared" si="211" ref="E256">SUM(E279,-E210,-E233)</f>
        <v>0</v>
      </c>
      <c s="125">
        <f t="shared" si="212" ref="F256:BM256">SUM(F279,-F210,-F233)</f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  <c s="125">
        <f t="shared" si="212"/>
        <v>0</v>
      </c>
    </row>
    <row r="257" spans="2:65" ht="15" customHeight="1">
      <c r="B257" s="12" t="str">
        <f t="shared" si="208"/>
        <v>Операционные затраты 3</v>
      </c>
      <c s="124" t="str">
        <f t="shared" si="209"/>
        <v>тыс. руб.</v>
      </c>
      <c s="125"/>
      <c s="125">
        <f t="shared" si="213" ref="E257">SUM(E280,-E211,-E234)</f>
        <v>0</v>
      </c>
      <c s="125">
        <f t="shared" si="214" ref="F257:BM257">SUM(F280,-F211,-F234)</f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  <c s="125">
        <f t="shared" si="214"/>
        <v>0</v>
      </c>
    </row>
    <row r="258" spans="2:65" ht="15" customHeight="1">
      <c r="B258" s="12" t="str">
        <f t="shared" si="208"/>
        <v>Операционные затраты 4</v>
      </c>
      <c s="124" t="str">
        <f t="shared" si="209"/>
        <v>тыс. руб.</v>
      </c>
      <c s="125"/>
      <c s="125">
        <f t="shared" si="215" ref="E258">SUM(E281,-E212,-E235)</f>
        <v>0</v>
      </c>
      <c s="125">
        <f t="shared" si="216" ref="F258:BM258">SUM(F281,-F212,-F235)</f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  <c s="125">
        <f t="shared" si="216"/>
        <v>0</v>
      </c>
    </row>
    <row r="259" spans="2:65" ht="15" customHeight="1">
      <c r="B259" s="12" t="str">
        <f t="shared" si="208"/>
        <v>Операционные затраты 5</v>
      </c>
      <c s="124" t="str">
        <f t="shared" si="209"/>
        <v>тыс. руб.</v>
      </c>
      <c s="125"/>
      <c s="125">
        <f t="shared" si="217" ref="E259">SUM(E282,-E213,-E236)</f>
        <v>0</v>
      </c>
      <c s="125">
        <f t="shared" si="218" ref="F259:BM259">SUM(F282,-F213,-F236)</f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  <c s="125">
        <f t="shared" si="218"/>
        <v>0</v>
      </c>
    </row>
    <row r="260" spans="2:65" ht="15" customHeight="1">
      <c r="B260" s="12" t="str">
        <f t="shared" si="208"/>
        <v>Операционные затраты 6</v>
      </c>
      <c s="124" t="str">
        <f t="shared" si="209"/>
        <v>тыс. руб.</v>
      </c>
      <c s="125"/>
      <c s="125">
        <f t="shared" si="219" ref="E260">SUM(E283,-E214,-E237)</f>
        <v>0</v>
      </c>
      <c s="125">
        <f t="shared" si="220" ref="F260:BM260">SUM(F283,-F214,-F237)</f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  <c s="125">
        <f t="shared" si="220"/>
        <v>0</v>
      </c>
    </row>
    <row r="261" spans="2:65" ht="15" customHeight="1">
      <c r="B261" s="12" t="str">
        <f t="shared" si="208"/>
        <v>Операционные затраты 7</v>
      </c>
      <c s="124" t="str">
        <f t="shared" si="209"/>
        <v>тыс. руб.</v>
      </c>
      <c s="125"/>
      <c s="125">
        <f t="shared" si="221" ref="E261">SUM(E284,-E215,-E238)</f>
        <v>0</v>
      </c>
      <c s="125">
        <f t="shared" si="222" ref="F261:BM261">SUM(F284,-F215,-F238)</f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  <c s="125">
        <f t="shared" si="222"/>
        <v>0</v>
      </c>
    </row>
    <row r="262" spans="2:65" ht="15" customHeight="1">
      <c r="B262" s="12" t="str">
        <f t="shared" si="208"/>
        <v>Операционные затраты 8</v>
      </c>
      <c s="124" t="str">
        <f t="shared" si="209"/>
        <v>тыс. руб.</v>
      </c>
      <c s="125"/>
      <c s="125">
        <f t="shared" si="223" ref="E262">SUM(E285,-E216,-E239)</f>
        <v>0</v>
      </c>
      <c s="125">
        <f t="shared" si="224" ref="F262:BM262">SUM(F285,-F216,-F239)</f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  <c s="125">
        <f t="shared" si="224"/>
        <v>0</v>
      </c>
    </row>
    <row r="263" spans="2:65" ht="15" customHeight="1">
      <c r="B263" s="12" t="str">
        <f t="shared" si="208"/>
        <v>Операционные затраты 9</v>
      </c>
      <c s="124" t="str">
        <f t="shared" si="209"/>
        <v>тыс. руб.</v>
      </c>
      <c s="125"/>
      <c s="125">
        <f t="shared" si="225" ref="E263">SUM(E286,-E217,-E240)</f>
        <v>0</v>
      </c>
      <c s="125">
        <f t="shared" si="226" ref="F263:BM263">SUM(F286,-F217,-F240)</f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  <c s="125">
        <f t="shared" si="226"/>
        <v>0</v>
      </c>
    </row>
    <row r="264" spans="2:65" ht="15" customHeight="1">
      <c r="B264" s="12" t="str">
        <f t="shared" si="208"/>
        <v>Операционные затраты 10</v>
      </c>
      <c s="124" t="str">
        <f t="shared" si="209"/>
        <v>тыс. руб.</v>
      </c>
      <c s="125"/>
      <c s="125">
        <f t="shared" si="227" ref="E264">SUM(E287,-E218,-E241)</f>
        <v>0</v>
      </c>
      <c s="125">
        <f t="shared" si="228" ref="F264:BM264">SUM(F287,-F218,-F241)</f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  <c s="125">
        <f t="shared" si="228"/>
        <v>0</v>
      </c>
    </row>
    <row r="265" spans="2:65" ht="15" customHeight="1">
      <c r="B265" s="12" t="str">
        <f t="shared" si="208"/>
        <v>Операционные затраты 11</v>
      </c>
      <c s="124" t="str">
        <f t="shared" si="209"/>
        <v>тыс. руб.</v>
      </c>
      <c s="125"/>
      <c s="125">
        <f t="shared" si="229" ref="E265">SUM(E288,-E219,-E242)</f>
        <v>0</v>
      </c>
      <c s="125">
        <f t="shared" si="230" ref="F265:BM265">SUM(F288,-F219,-F242)</f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  <c s="125">
        <f t="shared" si="230"/>
        <v>0</v>
      </c>
    </row>
    <row r="266" spans="2:65" ht="15" customHeight="1">
      <c r="B266" s="12" t="str">
        <f t="shared" si="208"/>
        <v>Операционные затраты 12</v>
      </c>
      <c s="124" t="str">
        <f t="shared" si="209"/>
        <v>тыс. руб.</v>
      </c>
      <c s="125"/>
      <c s="125">
        <f t="shared" si="231" ref="E266">SUM(E289,-E220,-E243)</f>
        <v>0</v>
      </c>
      <c s="125">
        <f t="shared" si="232" ref="F266:BM266">SUM(F289,-F220,-F243)</f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  <c s="125">
        <f t="shared" si="232"/>
        <v>0</v>
      </c>
    </row>
    <row r="267" spans="2:65" ht="15" customHeight="1">
      <c r="B267" s="12" t="str">
        <f t="shared" si="208"/>
        <v>Операционные затраты 13</v>
      </c>
      <c s="124" t="str">
        <f t="shared" si="209"/>
        <v>тыс. руб.</v>
      </c>
      <c s="125"/>
      <c s="125">
        <f t="shared" si="233" ref="E267">SUM(E290,-E221,-E244)</f>
        <v>0</v>
      </c>
      <c s="125">
        <f t="shared" si="234" ref="F267:BM267">SUM(F290,-F221,-F244)</f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  <c s="125">
        <f t="shared" si="234"/>
        <v>0</v>
      </c>
    </row>
    <row r="268" spans="2:65" ht="15" customHeight="1">
      <c r="B268" s="12" t="str">
        <f t="shared" si="208"/>
        <v>Операционные затраты 14</v>
      </c>
      <c s="124" t="str">
        <f t="shared" si="209"/>
        <v>тыс. руб.</v>
      </c>
      <c s="125"/>
      <c s="125">
        <f t="shared" si="235" ref="E268">SUM(E291,-E222,-E245)</f>
        <v>0</v>
      </c>
      <c s="125">
        <f t="shared" si="236" ref="F268:BM268">SUM(F291,-F222,-F245)</f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  <c s="125">
        <f t="shared" si="236"/>
        <v>0</v>
      </c>
    </row>
    <row r="269" spans="2:65" ht="15" customHeight="1">
      <c r="B269" s="12" t="str">
        <f t="shared" si="208"/>
        <v>Операционные затраты 15</v>
      </c>
      <c s="124" t="str">
        <f t="shared" si="209"/>
        <v>тыс. руб.</v>
      </c>
      <c s="125"/>
      <c s="125">
        <f t="shared" si="237" ref="E269">SUM(E292,-E223,-E246)</f>
        <v>0</v>
      </c>
      <c s="125">
        <f t="shared" si="238" ref="F269:BM269">SUM(F292,-F223,-F246)</f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  <c s="125">
        <f t="shared" si="238"/>
        <v>0</v>
      </c>
    </row>
    <row r="270" spans="2:65" ht="15" customHeight="1">
      <c r="B270" s="12" t="str">
        <f t="shared" si="208"/>
        <v>Операционные затраты 16</v>
      </c>
      <c s="124" t="str">
        <f t="shared" si="209"/>
        <v>тыс. руб.</v>
      </c>
      <c s="125"/>
      <c s="125">
        <f t="shared" si="239" ref="E270">SUM(E293,-E224,-E247)</f>
        <v>0</v>
      </c>
      <c s="125">
        <f t="shared" si="240" ref="F270:BM270">SUM(F293,-F224,-F247)</f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  <c s="125">
        <f t="shared" si="240"/>
        <v>0</v>
      </c>
    </row>
    <row r="271" spans="2:65" ht="15" customHeight="1">
      <c r="B271" s="12" t="str">
        <f t="shared" si="208"/>
        <v>Операционные затраты 17</v>
      </c>
      <c s="124" t="str">
        <f t="shared" si="209"/>
        <v>тыс. руб.</v>
      </c>
      <c s="125"/>
      <c s="125">
        <f t="shared" si="241" ref="E271">SUM(E294,-E225,-E248)</f>
        <v>0</v>
      </c>
      <c s="125">
        <f t="shared" si="242" ref="F271:BM271">SUM(F294,-F225,-F248)</f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  <c s="125">
        <f t="shared" si="242"/>
        <v>0</v>
      </c>
    </row>
    <row r="272" spans="2:65" ht="15" customHeight="1">
      <c r="B272" s="12" t="str">
        <f t="shared" si="208"/>
        <v>Операционные затраты 18</v>
      </c>
      <c s="124" t="str">
        <f t="shared" si="209"/>
        <v>тыс. руб.</v>
      </c>
      <c s="125"/>
      <c s="125">
        <f t="shared" si="243" ref="E272">SUM(E295,-E226,-E249)</f>
        <v>0</v>
      </c>
      <c s="125">
        <f t="shared" si="244" ref="F272:BM272">SUM(F295,-F226,-F249)</f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  <c s="125">
        <f t="shared" si="244"/>
        <v>0</v>
      </c>
    </row>
    <row r="273" spans="2:65" ht="15" customHeight="1">
      <c r="B273" s="12" t="str">
        <f t="shared" si="208"/>
        <v>Операционные затраты 19</v>
      </c>
      <c s="124" t="str">
        <f t="shared" si="209"/>
        <v>тыс. руб.</v>
      </c>
      <c s="125"/>
      <c s="125">
        <f t="shared" si="245" ref="E273">SUM(E296,-E227,-E250)</f>
        <v>0</v>
      </c>
      <c s="125">
        <f t="shared" si="246" ref="F273:BM273">SUM(F296,-F227,-F250)</f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  <c s="125">
        <f t="shared" si="246"/>
        <v>0</v>
      </c>
    </row>
    <row r="274" spans="2:65" ht="15" customHeight="1">
      <c r="B274" s="12" t="str">
        <f t="shared" si="208"/>
        <v>Операционные затраты 20</v>
      </c>
      <c s="124" t="str">
        <f t="shared" si="209"/>
        <v>тыс. руб.</v>
      </c>
      <c s="125"/>
      <c s="125">
        <f t="shared" si="247" ref="E274">SUM(E297,-E228,-E251)</f>
        <v>0</v>
      </c>
      <c s="125">
        <f t="shared" si="248" ref="F274:BM274">SUM(F297,-F228,-F251)</f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  <c s="125">
        <f t="shared" si="248"/>
        <v>0</v>
      </c>
    </row>
    <row r="275" spans="2:65" ht="15" customHeight="1">
      <c r="B275" s="289" t="s">
        <v>454</v>
      </c>
      <c s="290" t="str">
        <f t="shared" si="209"/>
        <v>тыс. руб.</v>
      </c>
      <c s="276"/>
      <c s="276">
        <f>SUM(E255:E274)</f>
        <v>0</v>
      </c>
      <c s="276">
        <f t="shared" si="249" ref="F275:AG275">SUM(F255:F274)</f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49"/>
        <v>0</v>
      </c>
      <c s="276">
        <f t="shared" si="250" ref="AH275:BM275">SUM(AH255:AH274)</f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  <c s="276">
        <f t="shared" si="250"/>
        <v>0</v>
      </c>
    </row>
    <row r="276" ht="15" customHeight="1"/>
    <row r="277" spans="2:2" ht="15" customHeight="1">
      <c r="B277" s="24" t="s">
        <v>830</v>
      </c>
    </row>
    <row r="278" spans="2:65" ht="15" customHeight="1">
      <c r="B278" s="12" t="str">
        <f t="shared" si="251" ref="B278:B297">B255</f>
        <v>Операционные затраты 1</v>
      </c>
      <c s="124" t="str">
        <f t="shared" si="252" ref="C278:C297">Единица_измерения</f>
        <v>тыс. руб.</v>
      </c>
      <c s="125"/>
      <c s="125">
        <f>IF(Предпосылки!$G201&lt;0,F209,E232*(Предпосылки!$G201/(E$8+1-E$7)))</f>
        <v>0</v>
      </c>
      <c s="125">
        <f>IF(Предпосылки!$G201&lt;0,G209,F232*(Предпосылки!$G201/(F$8+1-F$7)))</f>
        <v>0</v>
      </c>
      <c s="125">
        <f>IF(Предпосылки!$G201&lt;0,H209,G232*(Предпосылки!$G201/(G$8+1-G$7)))</f>
        <v>0</v>
      </c>
      <c s="125">
        <f>IF(Предпосылки!$G201&lt;0,I209,H232*(Предпосылки!$G201/(H$8+1-H$7)))</f>
        <v>0</v>
      </c>
      <c s="125">
        <f>IF(Предпосылки!$G201&lt;0,J209,I232*(Предпосылки!$G201/(I$8+1-I$7)))</f>
        <v>0</v>
      </c>
      <c s="125">
        <f>IF(Предпосылки!$G201&lt;0,K209,J232*(Предпосылки!$G201/(J$8+1-J$7)))</f>
        <v>0</v>
      </c>
      <c s="125">
        <f>IF(Предпосылки!$G201&lt;0,L209,K232*(Предпосылки!$G201/(K$8+1-K$7)))</f>
        <v>0</v>
      </c>
      <c s="125">
        <f>IF(Предпосылки!$G201&lt;0,M209,L232*(Предпосылки!$G201/(L$8+1-L$7)))</f>
        <v>0</v>
      </c>
      <c s="125">
        <f>IF(Предпосылки!$G201&lt;0,N209,M232*(Предпосылки!$G201/(M$8+1-M$7)))</f>
        <v>0</v>
      </c>
      <c s="125">
        <f>IF(Предпосылки!$G201&lt;0,O209,N232*(Предпосылки!$G201/(N$8+1-N$7)))</f>
        <v>0</v>
      </c>
      <c s="125">
        <f>IF(Предпосылки!$G201&lt;0,P209,O232*(Предпосылки!$G201/(O$8+1-O$7)))</f>
        <v>0</v>
      </c>
      <c s="125">
        <f>IF(Предпосылки!$G201&lt;0,Q209,P232*(Предпосылки!$G201/(P$8+1-P$7)))</f>
        <v>0</v>
      </c>
      <c s="125">
        <f>IF(Предпосылки!$G201&lt;0,R209,Q232*(Предпосылки!$G201/(Q$8+1-Q$7)))</f>
        <v>0</v>
      </c>
      <c s="125">
        <f>IF(Предпосылки!$G201&lt;0,S209,R232*(Предпосылки!$G201/(R$8+1-R$7)))</f>
        <v>0</v>
      </c>
      <c s="125">
        <f>IF(Предпосылки!$G201&lt;0,T209,S232*(Предпосылки!$G201/(S$8+1-S$7)))</f>
        <v>0</v>
      </c>
      <c s="125">
        <f>IF(Предпосылки!$G201&lt;0,U209,T232*(Предпосылки!$G201/(T$8+1-T$7)))</f>
        <v>0</v>
      </c>
      <c s="125">
        <f>IF(Предпосылки!$G201&lt;0,V209,U232*(Предпосылки!$G201/(U$8+1-U$7)))</f>
        <v>0</v>
      </c>
      <c s="125">
        <f>IF(Предпосылки!$G201&lt;0,W209,V232*(Предпосылки!$G201/(V$8+1-V$7)))</f>
        <v>0</v>
      </c>
      <c s="125">
        <f>IF(Предпосылки!$G201&lt;0,X209,W232*(Предпосылки!$G201/(W$8+1-W$7)))</f>
        <v>0</v>
      </c>
      <c s="125">
        <f>IF(Предпосылки!$G201&lt;0,Y209,X232*(Предпосылки!$G201/(X$8+1-X$7)))</f>
        <v>0</v>
      </c>
      <c s="125">
        <f>IF(Предпосылки!$G201&lt;0,Z209,Y232*(Предпосылки!$G201/(Y$8+1-Y$7)))</f>
        <v>0</v>
      </c>
      <c s="125">
        <f>IF(Предпосылки!$G201&lt;0,AA209,Z232*(Предпосылки!$G201/(Z$8+1-Z$7)))</f>
        <v>0</v>
      </c>
      <c s="125">
        <f>IF(Предпосылки!$G201&lt;0,AB209,AA232*(Предпосылки!$G201/(AA$8+1-AA$7)))</f>
        <v>0</v>
      </c>
      <c s="125">
        <f>IF(Предпосылки!$G201&lt;0,AC209,AB232*(Предпосылки!$G201/(AB$8+1-AB$7)))</f>
        <v>0</v>
      </c>
      <c s="125">
        <f>IF(Предпосылки!$G201&lt;0,AD209,AC232*(Предпосылки!$G201/(AC$8+1-AC$7)))</f>
        <v>0</v>
      </c>
      <c s="125">
        <f>IF(Предпосылки!$G201&lt;0,AE209,AD232*(Предпосылки!$G201/(AD$8+1-AD$7)))</f>
        <v>0</v>
      </c>
      <c s="125">
        <f>IF(Предпосылки!$G201&lt;0,AF209,AE232*(Предпосылки!$G201/(AE$8+1-AE$7)))</f>
        <v>0</v>
      </c>
      <c s="125">
        <f>IF(Предпосылки!$G201&lt;0,AG209,AF232*(Предпосылки!$G201/(AF$8+1-AF$7)))</f>
        <v>0</v>
      </c>
      <c s="125">
        <f>IF(Предпосылки!$G201&lt;0,AH209,AG232*(Предпосылки!$G201/(AG$8+1-AG$7)))</f>
        <v>0</v>
      </c>
      <c s="125">
        <f>IF(Предпосылки!$G201&lt;0,AI209,AH232*(Предпосылки!$G201/(AH$8+1-AH$7)))</f>
        <v>0</v>
      </c>
      <c s="125">
        <f>IF(Предпосылки!$G201&lt;0,AJ209,AI232*(Предпосылки!$G201/(AI$8+1-AI$7)))</f>
        <v>0</v>
      </c>
      <c s="125">
        <f>IF(Предпосылки!$G201&lt;0,AK209,AJ232*(Предпосылки!$G201/(AJ$8+1-AJ$7)))</f>
        <v>0</v>
      </c>
      <c s="125">
        <f>IF(Предпосылки!$G201&lt;0,AL209,AK232*(Предпосылки!$G201/(AK$8+1-AK$7)))</f>
        <v>0</v>
      </c>
      <c s="125">
        <f>IF(Предпосылки!$G201&lt;0,AM209,AL232*(Предпосылки!$G201/(AL$8+1-AL$7)))</f>
        <v>0</v>
      </c>
      <c s="125">
        <f>IF(Предпосылки!$G201&lt;0,AN209,AM232*(Предпосылки!$G201/(AM$8+1-AM$7)))</f>
        <v>0</v>
      </c>
      <c s="125">
        <f>IF(Предпосылки!$G201&lt;0,AO209,AN232*(Предпосылки!$G201/(AN$8+1-AN$7)))</f>
        <v>0</v>
      </c>
      <c s="125">
        <f>IF(Предпосылки!$G201&lt;0,AP209,AO232*(Предпосылки!$G201/(AO$8+1-AO$7)))</f>
        <v>0</v>
      </c>
      <c s="125">
        <f>IF(Предпосылки!$G201&lt;0,AQ209,AP232*(Предпосылки!$G201/(AP$8+1-AP$7)))</f>
        <v>0</v>
      </c>
      <c s="125">
        <f>IF(Предпосылки!$G201&lt;0,AR209,AQ232*(Предпосылки!$G201/(AQ$8+1-AQ$7)))</f>
        <v>0</v>
      </c>
      <c s="125">
        <f>IF(Предпосылки!$G201&lt;0,AS209,AR232*(Предпосылки!$G201/(AR$8+1-AR$7)))</f>
        <v>0</v>
      </c>
      <c s="125">
        <f>IF(Предпосылки!$G201&lt;0,AT209,AS232*(Предпосылки!$G201/(AS$8+1-AS$7)))</f>
        <v>0</v>
      </c>
      <c s="125">
        <f>IF(Предпосылки!$G201&lt;0,AU209,AT232*(Предпосылки!$G201/(AT$8+1-AT$7)))</f>
        <v>0</v>
      </c>
      <c s="125">
        <f>IF(Предпосылки!$G201&lt;0,AV209,AU232*(Предпосылки!$G201/(AU$8+1-AU$7)))</f>
        <v>0</v>
      </c>
      <c s="125">
        <f>IF(Предпосылки!$G201&lt;0,AW209,AV232*(Предпосылки!$G201/(AV$8+1-AV$7)))</f>
        <v>0</v>
      </c>
      <c s="125">
        <f>IF(Предпосылки!$G201&lt;0,AX209,AW232*(Предпосылки!$G201/(AW$8+1-AW$7)))</f>
        <v>0</v>
      </c>
      <c s="125">
        <f>IF(Предпосылки!$G201&lt;0,AY209,AX232*(Предпосылки!$G201/(AX$8+1-AX$7)))</f>
        <v>0</v>
      </c>
      <c s="125">
        <f>IF(Предпосылки!$G201&lt;0,AZ209,AY232*(Предпосылки!$G201/(AY$8+1-AY$7)))</f>
        <v>0</v>
      </c>
      <c s="125">
        <f>IF(Предпосылки!$G201&lt;0,BA209,AZ232*(Предпосылки!$G201/(AZ$8+1-AZ$7)))</f>
        <v>0</v>
      </c>
      <c s="125">
        <f>IF(Предпосылки!$G201&lt;0,BB209,BA232*(Предпосылки!$G201/(BA$8+1-BA$7)))</f>
        <v>0</v>
      </c>
      <c s="125">
        <f>IF(Предпосылки!$G201&lt;0,BC209,BB232*(Предпосылки!$G201/(BB$8+1-BB$7)))</f>
        <v>0</v>
      </c>
      <c s="125">
        <f>IF(Предпосылки!$G201&lt;0,BD209,BC232*(Предпосылки!$G201/(BC$8+1-BC$7)))</f>
        <v>0</v>
      </c>
      <c s="125">
        <f>IF(Предпосылки!$G201&lt;0,BE209,BD232*(Предпосылки!$G201/(BD$8+1-BD$7)))</f>
        <v>0</v>
      </c>
      <c s="125">
        <f>IF(Предпосылки!$G201&lt;0,BF209,BE232*(Предпосылки!$G201/(BE$8+1-BE$7)))</f>
        <v>0</v>
      </c>
      <c s="125">
        <f>IF(Предпосылки!$G201&lt;0,BG209,BF232*(Предпосылки!$G201/(BF$8+1-BF$7)))</f>
        <v>0</v>
      </c>
      <c s="125">
        <f>IF(Предпосылки!$G201&lt;0,BH209,BG232*(Предпосылки!$G201/(BG$8+1-BG$7)))</f>
        <v>0</v>
      </c>
      <c s="125">
        <f>IF(Предпосылки!$G201&lt;0,BI209,BH232*(Предпосылки!$G201/(BH$8+1-BH$7)))</f>
        <v>0</v>
      </c>
      <c s="125">
        <f>IF(Предпосылки!$G201&lt;0,BJ209,BI232*(Предпосылки!$G201/(BI$8+1-BI$7)))</f>
        <v>0</v>
      </c>
      <c s="125">
        <f>IF(Предпосылки!$G201&lt;0,BK209,BJ232*(Предпосылки!$G201/(BJ$8+1-BJ$7)))</f>
        <v>0</v>
      </c>
      <c s="125">
        <f>IF(Предпосылки!$G201&lt;0,BL209,BK232*(Предпосылки!$G201/(BK$8+1-BK$7)))</f>
        <v>0</v>
      </c>
      <c s="125">
        <f>IF(Предпосылки!$G201&lt;0,BM209,BL232*(Предпосылки!$G201/(BL$8+1-BL$7)))</f>
        <v>0</v>
      </c>
      <c s="125">
        <f>IF(Предпосылки!$G201&lt;0,BN209,BM232*(Предпосылки!$G201/(BM$8+1-BM$7)))</f>
        <v>0</v>
      </c>
    </row>
    <row r="279" spans="2:65" ht="15" customHeight="1">
      <c r="B279" s="12" t="str">
        <f t="shared" si="251"/>
        <v>Операционные затраты 2</v>
      </c>
      <c s="124" t="str">
        <f t="shared" si="252"/>
        <v>тыс. руб.</v>
      </c>
      <c s="125"/>
      <c s="125">
        <f>IF(Предпосылки!$G202&lt;0,F210,E233*(Предпосылки!$G202/(E$8+1-E$7)))</f>
        <v>0</v>
      </c>
      <c s="125">
        <f>IF(Предпосылки!$G202&lt;0,G210,F233*(Предпосылки!$G202/(F$8+1-F$7)))</f>
        <v>0</v>
      </c>
      <c s="125">
        <f>IF(Предпосылки!$G202&lt;0,H210,G233*(Предпосылки!$G202/(G$8+1-G$7)))</f>
        <v>0</v>
      </c>
      <c s="125">
        <f>IF(Предпосылки!$G202&lt;0,I210,H233*(Предпосылки!$G202/(H$8+1-H$7)))</f>
        <v>0</v>
      </c>
      <c s="125">
        <f>IF(Предпосылки!$G202&lt;0,J210,I233*(Предпосылки!$G202/(I$8+1-I$7)))</f>
        <v>0</v>
      </c>
      <c s="125">
        <f>IF(Предпосылки!$G202&lt;0,K210,J233*(Предпосылки!$G202/(J$8+1-J$7)))</f>
        <v>0</v>
      </c>
      <c s="125">
        <f>IF(Предпосылки!$G202&lt;0,L210,K233*(Предпосылки!$G202/(K$8+1-K$7)))</f>
        <v>0</v>
      </c>
      <c s="125">
        <f>IF(Предпосылки!$G202&lt;0,M210,L233*(Предпосылки!$G202/(L$8+1-L$7)))</f>
        <v>0</v>
      </c>
      <c s="125">
        <f>IF(Предпосылки!$G202&lt;0,N210,M233*(Предпосылки!$G202/(M$8+1-M$7)))</f>
        <v>0</v>
      </c>
      <c s="125">
        <f>IF(Предпосылки!$G202&lt;0,O210,N233*(Предпосылки!$G202/(N$8+1-N$7)))</f>
        <v>0</v>
      </c>
      <c s="125">
        <f>IF(Предпосылки!$G202&lt;0,P210,O233*(Предпосылки!$G202/(O$8+1-O$7)))</f>
        <v>0</v>
      </c>
      <c s="125">
        <f>IF(Предпосылки!$G202&lt;0,Q210,P233*(Предпосылки!$G202/(P$8+1-P$7)))</f>
        <v>0</v>
      </c>
      <c s="125">
        <f>IF(Предпосылки!$G202&lt;0,R210,Q233*(Предпосылки!$G202/(Q$8+1-Q$7)))</f>
        <v>0</v>
      </c>
      <c s="125">
        <f>IF(Предпосылки!$G202&lt;0,S210,R233*(Предпосылки!$G202/(R$8+1-R$7)))</f>
        <v>0</v>
      </c>
      <c s="125">
        <f>IF(Предпосылки!$G202&lt;0,T210,S233*(Предпосылки!$G202/(S$8+1-S$7)))</f>
        <v>0</v>
      </c>
      <c s="125">
        <f>IF(Предпосылки!$G202&lt;0,U210,T233*(Предпосылки!$G202/(T$8+1-T$7)))</f>
        <v>0</v>
      </c>
      <c s="125">
        <f>IF(Предпосылки!$G202&lt;0,V210,U233*(Предпосылки!$G202/(U$8+1-U$7)))</f>
        <v>0</v>
      </c>
      <c s="125">
        <f>IF(Предпосылки!$G202&lt;0,W210,V233*(Предпосылки!$G202/(V$8+1-V$7)))</f>
        <v>0</v>
      </c>
      <c s="125">
        <f>IF(Предпосылки!$G202&lt;0,X210,W233*(Предпосылки!$G202/(W$8+1-W$7)))</f>
        <v>0</v>
      </c>
      <c s="125">
        <f>IF(Предпосылки!$G202&lt;0,Y210,X233*(Предпосылки!$G202/(X$8+1-X$7)))</f>
        <v>0</v>
      </c>
      <c s="125">
        <f>IF(Предпосылки!$G202&lt;0,Z210,Y233*(Предпосылки!$G202/(Y$8+1-Y$7)))</f>
        <v>0</v>
      </c>
      <c s="125">
        <f>IF(Предпосылки!$G202&lt;0,AA210,Z233*(Предпосылки!$G202/(Z$8+1-Z$7)))</f>
        <v>0</v>
      </c>
      <c s="125">
        <f>IF(Предпосылки!$G202&lt;0,AB210,AA233*(Предпосылки!$G202/(AA$8+1-AA$7)))</f>
        <v>0</v>
      </c>
      <c s="125">
        <f>IF(Предпосылки!$G202&lt;0,AC210,AB233*(Предпосылки!$G202/(AB$8+1-AB$7)))</f>
        <v>0</v>
      </c>
      <c s="125">
        <f>IF(Предпосылки!$G202&lt;0,AD210,AC233*(Предпосылки!$G202/(AC$8+1-AC$7)))</f>
        <v>0</v>
      </c>
      <c s="125">
        <f>IF(Предпосылки!$G202&lt;0,AE210,AD233*(Предпосылки!$G202/(AD$8+1-AD$7)))</f>
        <v>0</v>
      </c>
      <c s="125">
        <f>IF(Предпосылки!$G202&lt;0,AF210,AE233*(Предпосылки!$G202/(AE$8+1-AE$7)))</f>
        <v>0</v>
      </c>
      <c s="125">
        <f>IF(Предпосылки!$G202&lt;0,AG210,AF233*(Предпосылки!$G202/(AF$8+1-AF$7)))</f>
        <v>0</v>
      </c>
      <c s="125">
        <f>IF(Предпосылки!$G202&lt;0,AH210,AG233*(Предпосылки!$G202/(AG$8+1-AG$7)))</f>
        <v>0</v>
      </c>
      <c s="125">
        <f>IF(Предпосылки!$G202&lt;0,AI210,AH233*(Предпосылки!$G202/(AH$8+1-AH$7)))</f>
        <v>0</v>
      </c>
      <c s="125">
        <f>IF(Предпосылки!$G202&lt;0,AJ210,AI233*(Предпосылки!$G202/(AI$8+1-AI$7)))</f>
        <v>0</v>
      </c>
      <c s="125">
        <f>IF(Предпосылки!$G202&lt;0,AK210,AJ233*(Предпосылки!$G202/(AJ$8+1-AJ$7)))</f>
        <v>0</v>
      </c>
      <c s="125">
        <f>IF(Предпосылки!$G202&lt;0,AL210,AK233*(Предпосылки!$G202/(AK$8+1-AK$7)))</f>
        <v>0</v>
      </c>
      <c s="125">
        <f>IF(Предпосылки!$G202&lt;0,AM210,AL233*(Предпосылки!$G202/(AL$8+1-AL$7)))</f>
        <v>0</v>
      </c>
      <c s="125">
        <f>IF(Предпосылки!$G202&lt;0,AN210,AM233*(Предпосылки!$G202/(AM$8+1-AM$7)))</f>
        <v>0</v>
      </c>
      <c s="125">
        <f>IF(Предпосылки!$G202&lt;0,AO210,AN233*(Предпосылки!$G202/(AN$8+1-AN$7)))</f>
        <v>0</v>
      </c>
      <c s="125">
        <f>IF(Предпосылки!$G202&lt;0,AP210,AO233*(Предпосылки!$G202/(AO$8+1-AO$7)))</f>
        <v>0</v>
      </c>
      <c s="125">
        <f>IF(Предпосылки!$G202&lt;0,AQ210,AP233*(Предпосылки!$G202/(AP$8+1-AP$7)))</f>
        <v>0</v>
      </c>
      <c s="125">
        <f>IF(Предпосылки!$G202&lt;0,AR210,AQ233*(Предпосылки!$G202/(AQ$8+1-AQ$7)))</f>
        <v>0</v>
      </c>
      <c s="125">
        <f>IF(Предпосылки!$G202&lt;0,AS210,AR233*(Предпосылки!$G202/(AR$8+1-AR$7)))</f>
        <v>0</v>
      </c>
      <c s="125">
        <f>IF(Предпосылки!$G202&lt;0,AT210,AS233*(Предпосылки!$G202/(AS$8+1-AS$7)))</f>
        <v>0</v>
      </c>
      <c s="125">
        <f>IF(Предпосылки!$G202&lt;0,AU210,AT233*(Предпосылки!$G202/(AT$8+1-AT$7)))</f>
        <v>0</v>
      </c>
      <c s="125">
        <f>IF(Предпосылки!$G202&lt;0,AV210,AU233*(Предпосылки!$G202/(AU$8+1-AU$7)))</f>
        <v>0</v>
      </c>
      <c s="125">
        <f>IF(Предпосылки!$G202&lt;0,AW210,AV233*(Предпосылки!$G202/(AV$8+1-AV$7)))</f>
        <v>0</v>
      </c>
      <c s="125">
        <f>IF(Предпосылки!$G202&lt;0,AX210,AW233*(Предпосылки!$G202/(AW$8+1-AW$7)))</f>
        <v>0</v>
      </c>
      <c s="125">
        <f>IF(Предпосылки!$G202&lt;0,AY210,AX233*(Предпосылки!$G202/(AX$8+1-AX$7)))</f>
        <v>0</v>
      </c>
      <c s="125">
        <f>IF(Предпосылки!$G202&lt;0,AZ210,AY233*(Предпосылки!$G202/(AY$8+1-AY$7)))</f>
        <v>0</v>
      </c>
      <c s="125">
        <f>IF(Предпосылки!$G202&lt;0,BA210,AZ233*(Предпосылки!$G202/(AZ$8+1-AZ$7)))</f>
        <v>0</v>
      </c>
      <c s="125">
        <f>IF(Предпосылки!$G202&lt;0,BB210,BA233*(Предпосылки!$G202/(BA$8+1-BA$7)))</f>
        <v>0</v>
      </c>
      <c s="125">
        <f>IF(Предпосылки!$G202&lt;0,BC210,BB233*(Предпосылки!$G202/(BB$8+1-BB$7)))</f>
        <v>0</v>
      </c>
      <c s="125">
        <f>IF(Предпосылки!$G202&lt;0,BD210,BC233*(Предпосылки!$G202/(BC$8+1-BC$7)))</f>
        <v>0</v>
      </c>
      <c s="125">
        <f>IF(Предпосылки!$G202&lt;0,BE210,BD233*(Предпосылки!$G202/(BD$8+1-BD$7)))</f>
        <v>0</v>
      </c>
      <c s="125">
        <f>IF(Предпосылки!$G202&lt;0,BF210,BE233*(Предпосылки!$G202/(BE$8+1-BE$7)))</f>
        <v>0</v>
      </c>
      <c s="125">
        <f>IF(Предпосылки!$G202&lt;0,BG210,BF233*(Предпосылки!$G202/(BF$8+1-BF$7)))</f>
        <v>0</v>
      </c>
      <c s="125">
        <f>IF(Предпосылки!$G202&lt;0,BH210,BG233*(Предпосылки!$G202/(BG$8+1-BG$7)))</f>
        <v>0</v>
      </c>
      <c s="125">
        <f>IF(Предпосылки!$G202&lt;0,BI210,BH233*(Предпосылки!$G202/(BH$8+1-BH$7)))</f>
        <v>0</v>
      </c>
      <c s="125">
        <f>IF(Предпосылки!$G202&lt;0,BJ210,BI233*(Предпосылки!$G202/(BI$8+1-BI$7)))</f>
        <v>0</v>
      </c>
      <c s="125">
        <f>IF(Предпосылки!$G202&lt;0,BK210,BJ233*(Предпосылки!$G202/(BJ$8+1-BJ$7)))</f>
        <v>0</v>
      </c>
      <c s="125">
        <f>IF(Предпосылки!$G202&lt;0,BL210,BK233*(Предпосылки!$G202/(BK$8+1-BK$7)))</f>
        <v>0</v>
      </c>
      <c s="125">
        <f>IF(Предпосылки!$G202&lt;0,BM210,BL233*(Предпосылки!$G202/(BL$8+1-BL$7)))</f>
        <v>0</v>
      </c>
      <c s="125">
        <f>IF(Предпосылки!$G202&lt;0,BN210,BM233*(Предпосылки!$G202/(BM$8+1-BM$7)))</f>
        <v>0</v>
      </c>
    </row>
    <row r="280" spans="2:65" ht="15" customHeight="1">
      <c r="B280" s="12" t="str">
        <f t="shared" si="251"/>
        <v>Операционные затраты 3</v>
      </c>
      <c s="124" t="str">
        <f t="shared" si="252"/>
        <v>тыс. руб.</v>
      </c>
      <c s="125"/>
      <c s="125">
        <f>IF(Предпосылки!$G203&lt;0,F211,E234*(Предпосылки!$G203/(E$8+1-E$7)))</f>
        <v>0</v>
      </c>
      <c s="125">
        <f>IF(Предпосылки!$G203&lt;0,G211,F234*(Предпосылки!$G203/(F$8+1-F$7)))</f>
        <v>0</v>
      </c>
      <c s="125">
        <f>IF(Предпосылки!$G203&lt;0,H211,G234*(Предпосылки!$G203/(G$8+1-G$7)))</f>
        <v>0</v>
      </c>
      <c s="125">
        <f>IF(Предпосылки!$G203&lt;0,I211,H234*(Предпосылки!$G203/(H$8+1-H$7)))</f>
        <v>0</v>
      </c>
      <c s="125">
        <f>IF(Предпосылки!$G203&lt;0,J211,I234*(Предпосылки!$G203/(I$8+1-I$7)))</f>
        <v>0</v>
      </c>
      <c s="125">
        <f>IF(Предпосылки!$G203&lt;0,K211,J234*(Предпосылки!$G203/(J$8+1-J$7)))</f>
        <v>0</v>
      </c>
      <c s="125">
        <f>IF(Предпосылки!$G203&lt;0,L211,K234*(Предпосылки!$G203/(K$8+1-K$7)))</f>
        <v>0</v>
      </c>
      <c s="125">
        <f>IF(Предпосылки!$G203&lt;0,M211,L234*(Предпосылки!$G203/(L$8+1-L$7)))</f>
        <v>0</v>
      </c>
      <c s="125">
        <f>IF(Предпосылки!$G203&lt;0,N211,M234*(Предпосылки!$G203/(M$8+1-M$7)))</f>
        <v>0</v>
      </c>
      <c s="125">
        <f>IF(Предпосылки!$G203&lt;0,O211,N234*(Предпосылки!$G203/(N$8+1-N$7)))</f>
        <v>0</v>
      </c>
      <c s="125">
        <f>IF(Предпосылки!$G203&lt;0,P211,O234*(Предпосылки!$G203/(O$8+1-O$7)))</f>
        <v>0</v>
      </c>
      <c s="125">
        <f>IF(Предпосылки!$G203&lt;0,Q211,P234*(Предпосылки!$G203/(P$8+1-P$7)))</f>
        <v>0</v>
      </c>
      <c s="125">
        <f>IF(Предпосылки!$G203&lt;0,R211,Q234*(Предпосылки!$G203/(Q$8+1-Q$7)))</f>
        <v>0</v>
      </c>
      <c s="125">
        <f>IF(Предпосылки!$G203&lt;0,S211,R234*(Предпосылки!$G203/(R$8+1-R$7)))</f>
        <v>0</v>
      </c>
      <c s="125">
        <f>IF(Предпосылки!$G203&lt;0,T211,S234*(Предпосылки!$G203/(S$8+1-S$7)))</f>
        <v>0</v>
      </c>
      <c s="125">
        <f>IF(Предпосылки!$G203&lt;0,U211,T234*(Предпосылки!$G203/(T$8+1-T$7)))</f>
        <v>0</v>
      </c>
      <c s="125">
        <f>IF(Предпосылки!$G203&lt;0,V211,U234*(Предпосылки!$G203/(U$8+1-U$7)))</f>
        <v>0</v>
      </c>
      <c s="125">
        <f>IF(Предпосылки!$G203&lt;0,W211,V234*(Предпосылки!$G203/(V$8+1-V$7)))</f>
        <v>0</v>
      </c>
      <c s="125">
        <f>IF(Предпосылки!$G203&lt;0,X211,W234*(Предпосылки!$G203/(W$8+1-W$7)))</f>
        <v>0</v>
      </c>
      <c s="125">
        <f>IF(Предпосылки!$G203&lt;0,Y211,X234*(Предпосылки!$G203/(X$8+1-X$7)))</f>
        <v>0</v>
      </c>
      <c s="125">
        <f>IF(Предпосылки!$G203&lt;0,Z211,Y234*(Предпосылки!$G203/(Y$8+1-Y$7)))</f>
        <v>0</v>
      </c>
      <c s="125">
        <f>IF(Предпосылки!$G203&lt;0,AA211,Z234*(Предпосылки!$G203/(Z$8+1-Z$7)))</f>
        <v>0</v>
      </c>
      <c s="125">
        <f>IF(Предпосылки!$G203&lt;0,AB211,AA234*(Предпосылки!$G203/(AA$8+1-AA$7)))</f>
        <v>0</v>
      </c>
      <c s="125">
        <f>IF(Предпосылки!$G203&lt;0,AC211,AB234*(Предпосылки!$G203/(AB$8+1-AB$7)))</f>
        <v>0</v>
      </c>
      <c s="125">
        <f>IF(Предпосылки!$G203&lt;0,AD211,AC234*(Предпосылки!$G203/(AC$8+1-AC$7)))</f>
        <v>0</v>
      </c>
      <c s="125">
        <f>IF(Предпосылки!$G203&lt;0,AE211,AD234*(Предпосылки!$G203/(AD$8+1-AD$7)))</f>
        <v>0</v>
      </c>
      <c s="125">
        <f>IF(Предпосылки!$G203&lt;0,AF211,AE234*(Предпосылки!$G203/(AE$8+1-AE$7)))</f>
        <v>0</v>
      </c>
      <c s="125">
        <f>IF(Предпосылки!$G203&lt;0,AG211,AF234*(Предпосылки!$G203/(AF$8+1-AF$7)))</f>
        <v>0</v>
      </c>
      <c s="125">
        <f>IF(Предпосылки!$G203&lt;0,AH211,AG234*(Предпосылки!$G203/(AG$8+1-AG$7)))</f>
        <v>0</v>
      </c>
      <c s="125">
        <f>IF(Предпосылки!$G203&lt;0,AI211,AH234*(Предпосылки!$G203/(AH$8+1-AH$7)))</f>
        <v>0</v>
      </c>
      <c s="125">
        <f>IF(Предпосылки!$G203&lt;0,AJ211,AI234*(Предпосылки!$G203/(AI$8+1-AI$7)))</f>
        <v>0</v>
      </c>
      <c s="125">
        <f>IF(Предпосылки!$G203&lt;0,AK211,AJ234*(Предпосылки!$G203/(AJ$8+1-AJ$7)))</f>
        <v>0</v>
      </c>
      <c s="125">
        <f>IF(Предпосылки!$G203&lt;0,AL211,AK234*(Предпосылки!$G203/(AK$8+1-AK$7)))</f>
        <v>0</v>
      </c>
      <c s="125">
        <f>IF(Предпосылки!$G203&lt;0,AM211,AL234*(Предпосылки!$G203/(AL$8+1-AL$7)))</f>
        <v>0</v>
      </c>
      <c s="125">
        <f>IF(Предпосылки!$G203&lt;0,AN211,AM234*(Предпосылки!$G203/(AM$8+1-AM$7)))</f>
        <v>0</v>
      </c>
      <c s="125">
        <f>IF(Предпосылки!$G203&lt;0,AO211,AN234*(Предпосылки!$G203/(AN$8+1-AN$7)))</f>
        <v>0</v>
      </c>
      <c s="125">
        <f>IF(Предпосылки!$G203&lt;0,AP211,AO234*(Предпосылки!$G203/(AO$8+1-AO$7)))</f>
        <v>0</v>
      </c>
      <c s="125">
        <f>IF(Предпосылки!$G203&lt;0,AQ211,AP234*(Предпосылки!$G203/(AP$8+1-AP$7)))</f>
        <v>0</v>
      </c>
      <c s="125">
        <f>IF(Предпосылки!$G203&lt;0,AR211,AQ234*(Предпосылки!$G203/(AQ$8+1-AQ$7)))</f>
        <v>0</v>
      </c>
      <c s="125">
        <f>IF(Предпосылки!$G203&lt;0,AS211,AR234*(Предпосылки!$G203/(AR$8+1-AR$7)))</f>
        <v>0</v>
      </c>
      <c s="125">
        <f>IF(Предпосылки!$G203&lt;0,AT211,AS234*(Предпосылки!$G203/(AS$8+1-AS$7)))</f>
        <v>0</v>
      </c>
      <c s="125">
        <f>IF(Предпосылки!$G203&lt;0,AU211,AT234*(Предпосылки!$G203/(AT$8+1-AT$7)))</f>
        <v>0</v>
      </c>
      <c s="125">
        <f>IF(Предпосылки!$G203&lt;0,AV211,AU234*(Предпосылки!$G203/(AU$8+1-AU$7)))</f>
        <v>0</v>
      </c>
      <c s="125">
        <f>IF(Предпосылки!$G203&lt;0,AW211,AV234*(Предпосылки!$G203/(AV$8+1-AV$7)))</f>
        <v>0</v>
      </c>
      <c s="125">
        <f>IF(Предпосылки!$G203&lt;0,AX211,AW234*(Предпосылки!$G203/(AW$8+1-AW$7)))</f>
        <v>0</v>
      </c>
      <c s="125">
        <f>IF(Предпосылки!$G203&lt;0,AY211,AX234*(Предпосылки!$G203/(AX$8+1-AX$7)))</f>
        <v>0</v>
      </c>
      <c s="125">
        <f>IF(Предпосылки!$G203&lt;0,AZ211,AY234*(Предпосылки!$G203/(AY$8+1-AY$7)))</f>
        <v>0</v>
      </c>
      <c s="125">
        <f>IF(Предпосылки!$G203&lt;0,BA211,AZ234*(Предпосылки!$G203/(AZ$8+1-AZ$7)))</f>
        <v>0</v>
      </c>
      <c s="125">
        <f>IF(Предпосылки!$G203&lt;0,BB211,BA234*(Предпосылки!$G203/(BA$8+1-BA$7)))</f>
        <v>0</v>
      </c>
      <c s="125">
        <f>IF(Предпосылки!$G203&lt;0,BC211,BB234*(Предпосылки!$G203/(BB$8+1-BB$7)))</f>
        <v>0</v>
      </c>
      <c s="125">
        <f>IF(Предпосылки!$G203&lt;0,BD211,BC234*(Предпосылки!$G203/(BC$8+1-BC$7)))</f>
        <v>0</v>
      </c>
      <c s="125">
        <f>IF(Предпосылки!$G203&lt;0,BE211,BD234*(Предпосылки!$G203/(BD$8+1-BD$7)))</f>
        <v>0</v>
      </c>
      <c s="125">
        <f>IF(Предпосылки!$G203&lt;0,BF211,BE234*(Предпосылки!$G203/(BE$8+1-BE$7)))</f>
        <v>0</v>
      </c>
      <c s="125">
        <f>IF(Предпосылки!$G203&lt;0,BG211,BF234*(Предпосылки!$G203/(BF$8+1-BF$7)))</f>
        <v>0</v>
      </c>
      <c s="125">
        <f>IF(Предпосылки!$G203&lt;0,BH211,BG234*(Предпосылки!$G203/(BG$8+1-BG$7)))</f>
        <v>0</v>
      </c>
      <c s="125">
        <f>IF(Предпосылки!$G203&lt;0,BI211,BH234*(Предпосылки!$G203/(BH$8+1-BH$7)))</f>
        <v>0</v>
      </c>
      <c s="125">
        <f>IF(Предпосылки!$G203&lt;0,BJ211,BI234*(Предпосылки!$G203/(BI$8+1-BI$7)))</f>
        <v>0</v>
      </c>
      <c s="125">
        <f>IF(Предпосылки!$G203&lt;0,BK211,BJ234*(Предпосылки!$G203/(BJ$8+1-BJ$7)))</f>
        <v>0</v>
      </c>
      <c s="125">
        <f>IF(Предпосылки!$G203&lt;0,BL211,BK234*(Предпосылки!$G203/(BK$8+1-BK$7)))</f>
        <v>0</v>
      </c>
      <c s="125">
        <f>IF(Предпосылки!$G203&lt;0,BM211,BL234*(Предпосылки!$G203/(BL$8+1-BL$7)))</f>
        <v>0</v>
      </c>
      <c s="125">
        <f>IF(Предпосылки!$G203&lt;0,BN211,BM234*(Предпосылки!$G203/(BM$8+1-BM$7)))</f>
        <v>0</v>
      </c>
    </row>
    <row r="281" spans="2:65" ht="15" customHeight="1">
      <c r="B281" s="12" t="str">
        <f t="shared" si="251"/>
        <v>Операционные затраты 4</v>
      </c>
      <c s="124" t="str">
        <f t="shared" si="252"/>
        <v>тыс. руб.</v>
      </c>
      <c s="125"/>
      <c s="125">
        <f>IF(Предпосылки!$G204&lt;0,F212,E235*(Предпосылки!$G204/(E$8+1-E$7)))</f>
        <v>0</v>
      </c>
      <c s="125">
        <f>IF(Предпосылки!$G204&lt;0,G212,F235*(Предпосылки!$G204/(F$8+1-F$7)))</f>
        <v>0</v>
      </c>
      <c s="125">
        <f>IF(Предпосылки!$G204&lt;0,H212,G235*(Предпосылки!$G204/(G$8+1-G$7)))</f>
        <v>0</v>
      </c>
      <c s="125">
        <f>IF(Предпосылки!$G204&lt;0,I212,H235*(Предпосылки!$G204/(H$8+1-H$7)))</f>
        <v>0</v>
      </c>
      <c s="125">
        <f>IF(Предпосылки!$G204&lt;0,J212,I235*(Предпосылки!$G204/(I$8+1-I$7)))</f>
        <v>0</v>
      </c>
      <c s="125">
        <f>IF(Предпосылки!$G204&lt;0,K212,J235*(Предпосылки!$G204/(J$8+1-J$7)))</f>
        <v>0</v>
      </c>
      <c s="125">
        <f>IF(Предпосылки!$G204&lt;0,L212,K235*(Предпосылки!$G204/(K$8+1-K$7)))</f>
        <v>0</v>
      </c>
      <c s="125">
        <f>IF(Предпосылки!$G204&lt;0,M212,L235*(Предпосылки!$G204/(L$8+1-L$7)))</f>
        <v>0</v>
      </c>
      <c s="125">
        <f>IF(Предпосылки!$G204&lt;0,N212,M235*(Предпосылки!$G204/(M$8+1-M$7)))</f>
        <v>0</v>
      </c>
      <c s="125">
        <f>IF(Предпосылки!$G204&lt;0,O212,N235*(Предпосылки!$G204/(N$8+1-N$7)))</f>
        <v>0</v>
      </c>
      <c s="125">
        <f>IF(Предпосылки!$G204&lt;0,P212,O235*(Предпосылки!$G204/(O$8+1-O$7)))</f>
        <v>0</v>
      </c>
      <c s="125">
        <f>IF(Предпосылки!$G204&lt;0,Q212,P235*(Предпосылки!$G204/(P$8+1-P$7)))</f>
        <v>0</v>
      </c>
      <c s="125">
        <f>IF(Предпосылки!$G204&lt;0,R212,Q235*(Предпосылки!$G204/(Q$8+1-Q$7)))</f>
        <v>0</v>
      </c>
      <c s="125">
        <f>IF(Предпосылки!$G204&lt;0,S212,R235*(Предпосылки!$G204/(R$8+1-R$7)))</f>
        <v>0</v>
      </c>
      <c s="125">
        <f>IF(Предпосылки!$G204&lt;0,T212,S235*(Предпосылки!$G204/(S$8+1-S$7)))</f>
        <v>0</v>
      </c>
      <c s="125">
        <f>IF(Предпосылки!$G204&lt;0,U212,T235*(Предпосылки!$G204/(T$8+1-T$7)))</f>
        <v>0</v>
      </c>
      <c s="125">
        <f>IF(Предпосылки!$G204&lt;0,V212,U235*(Предпосылки!$G204/(U$8+1-U$7)))</f>
        <v>0</v>
      </c>
      <c s="125">
        <f>IF(Предпосылки!$G204&lt;0,W212,V235*(Предпосылки!$G204/(V$8+1-V$7)))</f>
        <v>0</v>
      </c>
      <c s="125">
        <f>IF(Предпосылки!$G204&lt;0,X212,W235*(Предпосылки!$G204/(W$8+1-W$7)))</f>
        <v>0</v>
      </c>
      <c s="125">
        <f>IF(Предпосылки!$G204&lt;0,Y212,X235*(Предпосылки!$G204/(X$8+1-X$7)))</f>
        <v>0</v>
      </c>
      <c s="125">
        <f>IF(Предпосылки!$G204&lt;0,Z212,Y235*(Предпосылки!$G204/(Y$8+1-Y$7)))</f>
        <v>0</v>
      </c>
      <c s="125">
        <f>IF(Предпосылки!$G204&lt;0,AA212,Z235*(Предпосылки!$G204/(Z$8+1-Z$7)))</f>
        <v>0</v>
      </c>
      <c s="125">
        <f>IF(Предпосылки!$G204&lt;0,AB212,AA235*(Предпосылки!$G204/(AA$8+1-AA$7)))</f>
        <v>0</v>
      </c>
      <c s="125">
        <f>IF(Предпосылки!$G204&lt;0,AC212,AB235*(Предпосылки!$G204/(AB$8+1-AB$7)))</f>
        <v>0</v>
      </c>
      <c s="125">
        <f>IF(Предпосылки!$G204&lt;0,AD212,AC235*(Предпосылки!$G204/(AC$8+1-AC$7)))</f>
        <v>0</v>
      </c>
      <c s="125">
        <f>IF(Предпосылки!$G204&lt;0,AE212,AD235*(Предпосылки!$G204/(AD$8+1-AD$7)))</f>
        <v>0</v>
      </c>
      <c s="125">
        <f>IF(Предпосылки!$G204&lt;0,AF212,AE235*(Предпосылки!$G204/(AE$8+1-AE$7)))</f>
        <v>0</v>
      </c>
      <c s="125">
        <f>IF(Предпосылки!$G204&lt;0,AG212,AF235*(Предпосылки!$G204/(AF$8+1-AF$7)))</f>
        <v>0</v>
      </c>
      <c s="125">
        <f>IF(Предпосылки!$G204&lt;0,AH212,AG235*(Предпосылки!$G204/(AG$8+1-AG$7)))</f>
        <v>0</v>
      </c>
      <c s="125">
        <f>IF(Предпосылки!$G204&lt;0,AI212,AH235*(Предпосылки!$G204/(AH$8+1-AH$7)))</f>
        <v>0</v>
      </c>
      <c s="125">
        <f>IF(Предпосылки!$G204&lt;0,AJ212,AI235*(Предпосылки!$G204/(AI$8+1-AI$7)))</f>
        <v>0</v>
      </c>
      <c s="125">
        <f>IF(Предпосылки!$G204&lt;0,AK212,AJ235*(Предпосылки!$G204/(AJ$8+1-AJ$7)))</f>
        <v>0</v>
      </c>
      <c s="125">
        <f>IF(Предпосылки!$G204&lt;0,AL212,AK235*(Предпосылки!$G204/(AK$8+1-AK$7)))</f>
        <v>0</v>
      </c>
      <c s="125">
        <f>IF(Предпосылки!$G204&lt;0,AM212,AL235*(Предпосылки!$G204/(AL$8+1-AL$7)))</f>
        <v>0</v>
      </c>
      <c s="125">
        <f>IF(Предпосылки!$G204&lt;0,AN212,AM235*(Предпосылки!$G204/(AM$8+1-AM$7)))</f>
        <v>0</v>
      </c>
      <c s="125">
        <f>IF(Предпосылки!$G204&lt;0,AO212,AN235*(Предпосылки!$G204/(AN$8+1-AN$7)))</f>
        <v>0</v>
      </c>
      <c s="125">
        <f>IF(Предпосылки!$G204&lt;0,AP212,AO235*(Предпосылки!$G204/(AO$8+1-AO$7)))</f>
        <v>0</v>
      </c>
      <c s="125">
        <f>IF(Предпосылки!$G204&lt;0,AQ212,AP235*(Предпосылки!$G204/(AP$8+1-AP$7)))</f>
        <v>0</v>
      </c>
      <c s="125">
        <f>IF(Предпосылки!$G204&lt;0,AR212,AQ235*(Предпосылки!$G204/(AQ$8+1-AQ$7)))</f>
        <v>0</v>
      </c>
      <c s="125">
        <f>IF(Предпосылки!$G204&lt;0,AS212,AR235*(Предпосылки!$G204/(AR$8+1-AR$7)))</f>
        <v>0</v>
      </c>
      <c s="125">
        <f>IF(Предпосылки!$G204&lt;0,AT212,AS235*(Предпосылки!$G204/(AS$8+1-AS$7)))</f>
        <v>0</v>
      </c>
      <c s="125">
        <f>IF(Предпосылки!$G204&lt;0,AU212,AT235*(Предпосылки!$G204/(AT$8+1-AT$7)))</f>
        <v>0</v>
      </c>
      <c s="125">
        <f>IF(Предпосылки!$G204&lt;0,AV212,AU235*(Предпосылки!$G204/(AU$8+1-AU$7)))</f>
        <v>0</v>
      </c>
      <c s="125">
        <f>IF(Предпосылки!$G204&lt;0,AW212,AV235*(Предпосылки!$G204/(AV$8+1-AV$7)))</f>
        <v>0</v>
      </c>
      <c s="125">
        <f>IF(Предпосылки!$G204&lt;0,AX212,AW235*(Предпосылки!$G204/(AW$8+1-AW$7)))</f>
        <v>0</v>
      </c>
      <c s="125">
        <f>IF(Предпосылки!$G204&lt;0,AY212,AX235*(Предпосылки!$G204/(AX$8+1-AX$7)))</f>
        <v>0</v>
      </c>
      <c s="125">
        <f>IF(Предпосылки!$G204&lt;0,AZ212,AY235*(Предпосылки!$G204/(AY$8+1-AY$7)))</f>
        <v>0</v>
      </c>
      <c s="125">
        <f>IF(Предпосылки!$G204&lt;0,BA212,AZ235*(Предпосылки!$G204/(AZ$8+1-AZ$7)))</f>
        <v>0</v>
      </c>
      <c s="125">
        <f>IF(Предпосылки!$G204&lt;0,BB212,BA235*(Предпосылки!$G204/(BA$8+1-BA$7)))</f>
        <v>0</v>
      </c>
      <c s="125">
        <f>IF(Предпосылки!$G204&lt;0,BC212,BB235*(Предпосылки!$G204/(BB$8+1-BB$7)))</f>
        <v>0</v>
      </c>
      <c s="125">
        <f>IF(Предпосылки!$G204&lt;0,BD212,BC235*(Предпосылки!$G204/(BC$8+1-BC$7)))</f>
        <v>0</v>
      </c>
      <c s="125">
        <f>IF(Предпосылки!$G204&lt;0,BE212,BD235*(Предпосылки!$G204/(BD$8+1-BD$7)))</f>
        <v>0</v>
      </c>
      <c s="125">
        <f>IF(Предпосылки!$G204&lt;0,BF212,BE235*(Предпосылки!$G204/(BE$8+1-BE$7)))</f>
        <v>0</v>
      </c>
      <c s="125">
        <f>IF(Предпосылки!$G204&lt;0,BG212,BF235*(Предпосылки!$G204/(BF$8+1-BF$7)))</f>
        <v>0</v>
      </c>
      <c s="125">
        <f>IF(Предпосылки!$G204&lt;0,BH212,BG235*(Предпосылки!$G204/(BG$8+1-BG$7)))</f>
        <v>0</v>
      </c>
      <c s="125">
        <f>IF(Предпосылки!$G204&lt;0,BI212,BH235*(Предпосылки!$G204/(BH$8+1-BH$7)))</f>
        <v>0</v>
      </c>
      <c s="125">
        <f>IF(Предпосылки!$G204&lt;0,BJ212,BI235*(Предпосылки!$G204/(BI$8+1-BI$7)))</f>
        <v>0</v>
      </c>
      <c s="125">
        <f>IF(Предпосылки!$G204&lt;0,BK212,BJ235*(Предпосылки!$G204/(BJ$8+1-BJ$7)))</f>
        <v>0</v>
      </c>
      <c s="125">
        <f>IF(Предпосылки!$G204&lt;0,BL212,BK235*(Предпосылки!$G204/(BK$8+1-BK$7)))</f>
        <v>0</v>
      </c>
      <c s="125">
        <f>IF(Предпосылки!$G204&lt;0,BM212,BL235*(Предпосылки!$G204/(BL$8+1-BL$7)))</f>
        <v>0</v>
      </c>
      <c s="125">
        <f>IF(Предпосылки!$G204&lt;0,BN212,BM235*(Предпосылки!$G204/(BM$8+1-BM$7)))</f>
        <v>0</v>
      </c>
    </row>
    <row r="282" spans="2:65" ht="15" customHeight="1">
      <c r="B282" s="12" t="str">
        <f t="shared" si="251"/>
        <v>Операционные затраты 5</v>
      </c>
      <c s="124" t="str">
        <f t="shared" si="252"/>
        <v>тыс. руб.</v>
      </c>
      <c s="125"/>
      <c s="125">
        <f>IF(Предпосылки!$G205&lt;0,F213,E236*(Предпосылки!$G205/(E$8+1-E$7)))</f>
        <v>0</v>
      </c>
      <c s="125">
        <f>IF(Предпосылки!$G205&lt;0,G213,F236*(Предпосылки!$G205/(F$8+1-F$7)))</f>
        <v>0</v>
      </c>
      <c s="125">
        <f>IF(Предпосылки!$G205&lt;0,H213,G236*(Предпосылки!$G205/(G$8+1-G$7)))</f>
        <v>0</v>
      </c>
      <c s="125">
        <f>IF(Предпосылки!$G205&lt;0,I213,H236*(Предпосылки!$G205/(H$8+1-H$7)))</f>
        <v>0</v>
      </c>
      <c s="125">
        <f>IF(Предпосылки!$G205&lt;0,J213,I236*(Предпосылки!$G205/(I$8+1-I$7)))</f>
        <v>0</v>
      </c>
      <c s="125">
        <f>IF(Предпосылки!$G205&lt;0,K213,J236*(Предпосылки!$G205/(J$8+1-J$7)))</f>
        <v>0</v>
      </c>
      <c s="125">
        <f>IF(Предпосылки!$G205&lt;0,L213,K236*(Предпосылки!$G205/(K$8+1-K$7)))</f>
        <v>0</v>
      </c>
      <c s="125">
        <f>IF(Предпосылки!$G205&lt;0,M213,L236*(Предпосылки!$G205/(L$8+1-L$7)))</f>
        <v>0</v>
      </c>
      <c s="125">
        <f>IF(Предпосылки!$G205&lt;0,N213,M236*(Предпосылки!$G205/(M$8+1-M$7)))</f>
        <v>0</v>
      </c>
      <c s="125">
        <f>IF(Предпосылки!$G205&lt;0,O213,N236*(Предпосылки!$G205/(N$8+1-N$7)))</f>
        <v>0</v>
      </c>
      <c s="125">
        <f>IF(Предпосылки!$G205&lt;0,P213,O236*(Предпосылки!$G205/(O$8+1-O$7)))</f>
        <v>0</v>
      </c>
      <c s="125">
        <f>IF(Предпосылки!$G205&lt;0,Q213,P236*(Предпосылки!$G205/(P$8+1-P$7)))</f>
        <v>0</v>
      </c>
      <c s="125">
        <f>IF(Предпосылки!$G205&lt;0,R213,Q236*(Предпосылки!$G205/(Q$8+1-Q$7)))</f>
        <v>0</v>
      </c>
      <c s="125">
        <f>IF(Предпосылки!$G205&lt;0,S213,R236*(Предпосылки!$G205/(R$8+1-R$7)))</f>
        <v>0</v>
      </c>
      <c s="125">
        <f>IF(Предпосылки!$G205&lt;0,T213,S236*(Предпосылки!$G205/(S$8+1-S$7)))</f>
        <v>0</v>
      </c>
      <c s="125">
        <f>IF(Предпосылки!$G205&lt;0,U213,T236*(Предпосылки!$G205/(T$8+1-T$7)))</f>
        <v>0</v>
      </c>
      <c s="125">
        <f>IF(Предпосылки!$G205&lt;0,V213,U236*(Предпосылки!$G205/(U$8+1-U$7)))</f>
        <v>0</v>
      </c>
      <c s="125">
        <f>IF(Предпосылки!$G205&lt;0,W213,V236*(Предпосылки!$G205/(V$8+1-V$7)))</f>
        <v>0</v>
      </c>
      <c s="125">
        <f>IF(Предпосылки!$G205&lt;0,X213,W236*(Предпосылки!$G205/(W$8+1-W$7)))</f>
        <v>0</v>
      </c>
      <c s="125">
        <f>IF(Предпосылки!$G205&lt;0,Y213,X236*(Предпосылки!$G205/(X$8+1-X$7)))</f>
        <v>0</v>
      </c>
      <c s="125">
        <f>IF(Предпосылки!$G205&lt;0,Z213,Y236*(Предпосылки!$G205/(Y$8+1-Y$7)))</f>
        <v>0</v>
      </c>
      <c s="125">
        <f>IF(Предпосылки!$G205&lt;0,AA213,Z236*(Предпосылки!$G205/(Z$8+1-Z$7)))</f>
        <v>0</v>
      </c>
      <c s="125">
        <f>IF(Предпосылки!$G205&lt;0,AB213,AA236*(Предпосылки!$G205/(AA$8+1-AA$7)))</f>
        <v>0</v>
      </c>
      <c s="125">
        <f>IF(Предпосылки!$G205&lt;0,AC213,AB236*(Предпосылки!$G205/(AB$8+1-AB$7)))</f>
        <v>0</v>
      </c>
      <c s="125">
        <f>IF(Предпосылки!$G205&lt;0,AD213,AC236*(Предпосылки!$G205/(AC$8+1-AC$7)))</f>
        <v>0</v>
      </c>
      <c s="125">
        <f>IF(Предпосылки!$G205&lt;0,AE213,AD236*(Предпосылки!$G205/(AD$8+1-AD$7)))</f>
        <v>0</v>
      </c>
      <c s="125">
        <f>IF(Предпосылки!$G205&lt;0,AF213,AE236*(Предпосылки!$G205/(AE$8+1-AE$7)))</f>
        <v>0</v>
      </c>
      <c s="125">
        <f>IF(Предпосылки!$G205&lt;0,AG213,AF236*(Предпосылки!$G205/(AF$8+1-AF$7)))</f>
        <v>0</v>
      </c>
      <c s="125">
        <f>IF(Предпосылки!$G205&lt;0,AH213,AG236*(Предпосылки!$G205/(AG$8+1-AG$7)))</f>
        <v>0</v>
      </c>
      <c s="125">
        <f>IF(Предпосылки!$G205&lt;0,AI213,AH236*(Предпосылки!$G205/(AH$8+1-AH$7)))</f>
        <v>0</v>
      </c>
      <c s="125">
        <f>IF(Предпосылки!$G205&lt;0,AJ213,AI236*(Предпосылки!$G205/(AI$8+1-AI$7)))</f>
        <v>0</v>
      </c>
      <c s="125">
        <f>IF(Предпосылки!$G205&lt;0,AK213,AJ236*(Предпосылки!$G205/(AJ$8+1-AJ$7)))</f>
        <v>0</v>
      </c>
      <c s="125">
        <f>IF(Предпосылки!$G205&lt;0,AL213,AK236*(Предпосылки!$G205/(AK$8+1-AK$7)))</f>
        <v>0</v>
      </c>
      <c s="125">
        <f>IF(Предпосылки!$G205&lt;0,AM213,AL236*(Предпосылки!$G205/(AL$8+1-AL$7)))</f>
        <v>0</v>
      </c>
      <c s="125">
        <f>IF(Предпосылки!$G205&lt;0,AN213,AM236*(Предпосылки!$G205/(AM$8+1-AM$7)))</f>
        <v>0</v>
      </c>
      <c s="125">
        <f>IF(Предпосылки!$G205&lt;0,AO213,AN236*(Предпосылки!$G205/(AN$8+1-AN$7)))</f>
        <v>0</v>
      </c>
      <c s="125">
        <f>IF(Предпосылки!$G205&lt;0,AP213,AO236*(Предпосылки!$G205/(AO$8+1-AO$7)))</f>
        <v>0</v>
      </c>
      <c s="125">
        <f>IF(Предпосылки!$G205&lt;0,AQ213,AP236*(Предпосылки!$G205/(AP$8+1-AP$7)))</f>
        <v>0</v>
      </c>
      <c s="125">
        <f>IF(Предпосылки!$G205&lt;0,AR213,AQ236*(Предпосылки!$G205/(AQ$8+1-AQ$7)))</f>
        <v>0</v>
      </c>
      <c s="125">
        <f>IF(Предпосылки!$G205&lt;0,AS213,AR236*(Предпосылки!$G205/(AR$8+1-AR$7)))</f>
        <v>0</v>
      </c>
      <c s="125">
        <f>IF(Предпосылки!$G205&lt;0,AT213,AS236*(Предпосылки!$G205/(AS$8+1-AS$7)))</f>
        <v>0</v>
      </c>
      <c s="125">
        <f>IF(Предпосылки!$G205&lt;0,AU213,AT236*(Предпосылки!$G205/(AT$8+1-AT$7)))</f>
        <v>0</v>
      </c>
      <c s="125">
        <f>IF(Предпосылки!$G205&lt;0,AV213,AU236*(Предпосылки!$G205/(AU$8+1-AU$7)))</f>
        <v>0</v>
      </c>
      <c s="125">
        <f>IF(Предпосылки!$G205&lt;0,AW213,AV236*(Предпосылки!$G205/(AV$8+1-AV$7)))</f>
        <v>0</v>
      </c>
      <c s="125">
        <f>IF(Предпосылки!$G205&lt;0,AX213,AW236*(Предпосылки!$G205/(AW$8+1-AW$7)))</f>
        <v>0</v>
      </c>
      <c s="125">
        <f>IF(Предпосылки!$G205&lt;0,AY213,AX236*(Предпосылки!$G205/(AX$8+1-AX$7)))</f>
        <v>0</v>
      </c>
      <c s="125">
        <f>IF(Предпосылки!$G205&lt;0,AZ213,AY236*(Предпосылки!$G205/(AY$8+1-AY$7)))</f>
        <v>0</v>
      </c>
      <c s="125">
        <f>IF(Предпосылки!$G205&lt;0,BA213,AZ236*(Предпосылки!$G205/(AZ$8+1-AZ$7)))</f>
        <v>0</v>
      </c>
      <c s="125">
        <f>IF(Предпосылки!$G205&lt;0,BB213,BA236*(Предпосылки!$G205/(BA$8+1-BA$7)))</f>
        <v>0</v>
      </c>
      <c s="125">
        <f>IF(Предпосылки!$G205&lt;0,BC213,BB236*(Предпосылки!$G205/(BB$8+1-BB$7)))</f>
        <v>0</v>
      </c>
      <c s="125">
        <f>IF(Предпосылки!$G205&lt;0,BD213,BC236*(Предпосылки!$G205/(BC$8+1-BC$7)))</f>
        <v>0</v>
      </c>
      <c s="125">
        <f>IF(Предпосылки!$G205&lt;0,BE213,BD236*(Предпосылки!$G205/(BD$8+1-BD$7)))</f>
        <v>0</v>
      </c>
      <c s="125">
        <f>IF(Предпосылки!$G205&lt;0,BF213,BE236*(Предпосылки!$G205/(BE$8+1-BE$7)))</f>
        <v>0</v>
      </c>
      <c s="125">
        <f>IF(Предпосылки!$G205&lt;0,BG213,BF236*(Предпосылки!$G205/(BF$8+1-BF$7)))</f>
        <v>0</v>
      </c>
      <c s="125">
        <f>IF(Предпосылки!$G205&lt;0,BH213,BG236*(Предпосылки!$G205/(BG$8+1-BG$7)))</f>
        <v>0</v>
      </c>
      <c s="125">
        <f>IF(Предпосылки!$G205&lt;0,BI213,BH236*(Предпосылки!$G205/(BH$8+1-BH$7)))</f>
        <v>0</v>
      </c>
      <c s="125">
        <f>IF(Предпосылки!$G205&lt;0,BJ213,BI236*(Предпосылки!$G205/(BI$8+1-BI$7)))</f>
        <v>0</v>
      </c>
      <c s="125">
        <f>IF(Предпосылки!$G205&lt;0,BK213,BJ236*(Предпосылки!$G205/(BJ$8+1-BJ$7)))</f>
        <v>0</v>
      </c>
      <c s="125">
        <f>IF(Предпосылки!$G205&lt;0,BL213,BK236*(Предпосылки!$G205/(BK$8+1-BK$7)))</f>
        <v>0</v>
      </c>
      <c s="125">
        <f>IF(Предпосылки!$G205&lt;0,BM213,BL236*(Предпосылки!$G205/(BL$8+1-BL$7)))</f>
        <v>0</v>
      </c>
      <c s="125">
        <f>IF(Предпосылки!$G205&lt;0,BN213,BM236*(Предпосылки!$G205/(BM$8+1-BM$7)))</f>
        <v>0</v>
      </c>
    </row>
    <row r="283" spans="2:65" ht="15" customHeight="1">
      <c r="B283" s="12" t="str">
        <f t="shared" si="251"/>
        <v>Операционные затраты 6</v>
      </c>
      <c s="124" t="str">
        <f t="shared" si="252"/>
        <v>тыс. руб.</v>
      </c>
      <c s="125"/>
      <c s="125">
        <f>IF(Предпосылки!$G206&lt;0,F214,E237*(Предпосылки!$G206/(E$8+1-E$7)))</f>
        <v>0</v>
      </c>
      <c s="125">
        <f>IF(Предпосылки!$G206&lt;0,G214,F237*(Предпосылки!$G206/(F$8+1-F$7)))</f>
        <v>0</v>
      </c>
      <c s="125">
        <f>IF(Предпосылки!$G206&lt;0,H214,G237*(Предпосылки!$G206/(G$8+1-G$7)))</f>
        <v>0</v>
      </c>
      <c s="125">
        <f>IF(Предпосылки!$G206&lt;0,I214,H237*(Предпосылки!$G206/(H$8+1-H$7)))</f>
        <v>0</v>
      </c>
      <c s="125">
        <f>IF(Предпосылки!$G206&lt;0,J214,I237*(Предпосылки!$G206/(I$8+1-I$7)))</f>
        <v>0</v>
      </c>
      <c s="125">
        <f>IF(Предпосылки!$G206&lt;0,K214,J237*(Предпосылки!$G206/(J$8+1-J$7)))</f>
        <v>0</v>
      </c>
      <c s="125">
        <f>IF(Предпосылки!$G206&lt;0,L214,K237*(Предпосылки!$G206/(K$8+1-K$7)))</f>
        <v>0</v>
      </c>
      <c s="125">
        <f>IF(Предпосылки!$G206&lt;0,M214,L237*(Предпосылки!$G206/(L$8+1-L$7)))</f>
        <v>0</v>
      </c>
      <c s="125">
        <f>IF(Предпосылки!$G206&lt;0,N214,M237*(Предпосылки!$G206/(M$8+1-M$7)))</f>
        <v>0</v>
      </c>
      <c s="125">
        <f>IF(Предпосылки!$G206&lt;0,O214,N237*(Предпосылки!$G206/(N$8+1-N$7)))</f>
        <v>0</v>
      </c>
      <c s="125">
        <f>IF(Предпосылки!$G206&lt;0,P214,O237*(Предпосылки!$G206/(O$8+1-O$7)))</f>
        <v>0</v>
      </c>
      <c s="125">
        <f>IF(Предпосылки!$G206&lt;0,Q214,P237*(Предпосылки!$G206/(P$8+1-P$7)))</f>
        <v>0</v>
      </c>
      <c s="125">
        <f>IF(Предпосылки!$G206&lt;0,R214,Q237*(Предпосылки!$G206/(Q$8+1-Q$7)))</f>
        <v>0</v>
      </c>
      <c s="125">
        <f>IF(Предпосылки!$G206&lt;0,S214,R237*(Предпосылки!$G206/(R$8+1-R$7)))</f>
        <v>0</v>
      </c>
      <c s="125">
        <f>IF(Предпосылки!$G206&lt;0,T214,S237*(Предпосылки!$G206/(S$8+1-S$7)))</f>
        <v>0</v>
      </c>
      <c s="125">
        <f>IF(Предпосылки!$G206&lt;0,U214,T237*(Предпосылки!$G206/(T$8+1-T$7)))</f>
        <v>0</v>
      </c>
      <c s="125">
        <f>IF(Предпосылки!$G206&lt;0,V214,U237*(Предпосылки!$G206/(U$8+1-U$7)))</f>
        <v>0</v>
      </c>
      <c s="125">
        <f>IF(Предпосылки!$G206&lt;0,W214,V237*(Предпосылки!$G206/(V$8+1-V$7)))</f>
        <v>0</v>
      </c>
      <c s="125">
        <f>IF(Предпосылки!$G206&lt;0,X214,W237*(Предпосылки!$G206/(W$8+1-W$7)))</f>
        <v>0</v>
      </c>
      <c s="125">
        <f>IF(Предпосылки!$G206&lt;0,Y214,X237*(Предпосылки!$G206/(X$8+1-X$7)))</f>
        <v>0</v>
      </c>
      <c s="125">
        <f>IF(Предпосылки!$G206&lt;0,Z214,Y237*(Предпосылки!$G206/(Y$8+1-Y$7)))</f>
        <v>0</v>
      </c>
      <c s="125">
        <f>IF(Предпосылки!$G206&lt;0,AA214,Z237*(Предпосылки!$G206/(Z$8+1-Z$7)))</f>
        <v>0</v>
      </c>
      <c s="125">
        <f>IF(Предпосылки!$G206&lt;0,AB214,AA237*(Предпосылки!$G206/(AA$8+1-AA$7)))</f>
        <v>0</v>
      </c>
      <c s="125">
        <f>IF(Предпосылки!$G206&lt;0,AC214,AB237*(Предпосылки!$G206/(AB$8+1-AB$7)))</f>
        <v>0</v>
      </c>
      <c s="125">
        <f>IF(Предпосылки!$G206&lt;0,AD214,AC237*(Предпосылки!$G206/(AC$8+1-AC$7)))</f>
        <v>0</v>
      </c>
      <c s="125">
        <f>IF(Предпосылки!$G206&lt;0,AE214,AD237*(Предпосылки!$G206/(AD$8+1-AD$7)))</f>
        <v>0</v>
      </c>
      <c s="125">
        <f>IF(Предпосылки!$G206&lt;0,AF214,AE237*(Предпосылки!$G206/(AE$8+1-AE$7)))</f>
        <v>0</v>
      </c>
      <c s="125">
        <f>IF(Предпосылки!$G206&lt;0,AG214,AF237*(Предпосылки!$G206/(AF$8+1-AF$7)))</f>
        <v>0</v>
      </c>
      <c s="125">
        <f>IF(Предпосылки!$G206&lt;0,AH214,AG237*(Предпосылки!$G206/(AG$8+1-AG$7)))</f>
        <v>0</v>
      </c>
      <c s="125">
        <f>IF(Предпосылки!$G206&lt;0,AI214,AH237*(Предпосылки!$G206/(AH$8+1-AH$7)))</f>
        <v>0</v>
      </c>
      <c s="125">
        <f>IF(Предпосылки!$G206&lt;0,AJ214,AI237*(Предпосылки!$G206/(AI$8+1-AI$7)))</f>
        <v>0</v>
      </c>
      <c s="125">
        <f>IF(Предпосылки!$G206&lt;0,AK214,AJ237*(Предпосылки!$G206/(AJ$8+1-AJ$7)))</f>
        <v>0</v>
      </c>
      <c s="125">
        <f>IF(Предпосылки!$G206&lt;0,AL214,AK237*(Предпосылки!$G206/(AK$8+1-AK$7)))</f>
        <v>0</v>
      </c>
      <c s="125">
        <f>IF(Предпосылки!$G206&lt;0,AM214,AL237*(Предпосылки!$G206/(AL$8+1-AL$7)))</f>
        <v>0</v>
      </c>
      <c s="125">
        <f>IF(Предпосылки!$G206&lt;0,AN214,AM237*(Предпосылки!$G206/(AM$8+1-AM$7)))</f>
        <v>0</v>
      </c>
      <c s="125">
        <f>IF(Предпосылки!$G206&lt;0,AO214,AN237*(Предпосылки!$G206/(AN$8+1-AN$7)))</f>
        <v>0</v>
      </c>
      <c s="125">
        <f>IF(Предпосылки!$G206&lt;0,AP214,AO237*(Предпосылки!$G206/(AO$8+1-AO$7)))</f>
        <v>0</v>
      </c>
      <c s="125">
        <f>IF(Предпосылки!$G206&lt;0,AQ214,AP237*(Предпосылки!$G206/(AP$8+1-AP$7)))</f>
        <v>0</v>
      </c>
      <c s="125">
        <f>IF(Предпосылки!$G206&lt;0,AR214,AQ237*(Предпосылки!$G206/(AQ$8+1-AQ$7)))</f>
        <v>0</v>
      </c>
      <c s="125">
        <f>IF(Предпосылки!$G206&lt;0,AS214,AR237*(Предпосылки!$G206/(AR$8+1-AR$7)))</f>
        <v>0</v>
      </c>
      <c s="125">
        <f>IF(Предпосылки!$G206&lt;0,AT214,AS237*(Предпосылки!$G206/(AS$8+1-AS$7)))</f>
        <v>0</v>
      </c>
      <c s="125">
        <f>IF(Предпосылки!$G206&lt;0,AU214,AT237*(Предпосылки!$G206/(AT$8+1-AT$7)))</f>
        <v>0</v>
      </c>
      <c s="125">
        <f>IF(Предпосылки!$G206&lt;0,AV214,AU237*(Предпосылки!$G206/(AU$8+1-AU$7)))</f>
        <v>0</v>
      </c>
      <c s="125">
        <f>IF(Предпосылки!$G206&lt;0,AW214,AV237*(Предпосылки!$G206/(AV$8+1-AV$7)))</f>
        <v>0</v>
      </c>
      <c s="125">
        <f>IF(Предпосылки!$G206&lt;0,AX214,AW237*(Предпосылки!$G206/(AW$8+1-AW$7)))</f>
        <v>0</v>
      </c>
      <c s="125">
        <f>IF(Предпосылки!$G206&lt;0,AY214,AX237*(Предпосылки!$G206/(AX$8+1-AX$7)))</f>
        <v>0</v>
      </c>
      <c s="125">
        <f>IF(Предпосылки!$G206&lt;0,AZ214,AY237*(Предпосылки!$G206/(AY$8+1-AY$7)))</f>
        <v>0</v>
      </c>
      <c s="125">
        <f>IF(Предпосылки!$G206&lt;0,BA214,AZ237*(Предпосылки!$G206/(AZ$8+1-AZ$7)))</f>
        <v>0</v>
      </c>
      <c s="125">
        <f>IF(Предпосылки!$G206&lt;0,BB214,BA237*(Предпосылки!$G206/(BA$8+1-BA$7)))</f>
        <v>0</v>
      </c>
      <c s="125">
        <f>IF(Предпосылки!$G206&lt;0,BC214,BB237*(Предпосылки!$G206/(BB$8+1-BB$7)))</f>
        <v>0</v>
      </c>
      <c s="125">
        <f>IF(Предпосылки!$G206&lt;0,BD214,BC237*(Предпосылки!$G206/(BC$8+1-BC$7)))</f>
        <v>0</v>
      </c>
      <c s="125">
        <f>IF(Предпосылки!$G206&lt;0,BE214,BD237*(Предпосылки!$G206/(BD$8+1-BD$7)))</f>
        <v>0</v>
      </c>
      <c s="125">
        <f>IF(Предпосылки!$G206&lt;0,BF214,BE237*(Предпосылки!$G206/(BE$8+1-BE$7)))</f>
        <v>0</v>
      </c>
      <c s="125">
        <f>IF(Предпосылки!$G206&lt;0,BG214,BF237*(Предпосылки!$G206/(BF$8+1-BF$7)))</f>
        <v>0</v>
      </c>
      <c s="125">
        <f>IF(Предпосылки!$G206&lt;0,BH214,BG237*(Предпосылки!$G206/(BG$8+1-BG$7)))</f>
        <v>0</v>
      </c>
      <c s="125">
        <f>IF(Предпосылки!$G206&lt;0,BI214,BH237*(Предпосылки!$G206/(BH$8+1-BH$7)))</f>
        <v>0</v>
      </c>
      <c s="125">
        <f>IF(Предпосылки!$G206&lt;0,BJ214,BI237*(Предпосылки!$G206/(BI$8+1-BI$7)))</f>
        <v>0</v>
      </c>
      <c s="125">
        <f>IF(Предпосылки!$G206&lt;0,BK214,BJ237*(Предпосылки!$G206/(BJ$8+1-BJ$7)))</f>
        <v>0</v>
      </c>
      <c s="125">
        <f>IF(Предпосылки!$G206&lt;0,BL214,BK237*(Предпосылки!$G206/(BK$8+1-BK$7)))</f>
        <v>0</v>
      </c>
      <c s="125">
        <f>IF(Предпосылки!$G206&lt;0,BM214,BL237*(Предпосылки!$G206/(BL$8+1-BL$7)))</f>
        <v>0</v>
      </c>
      <c s="125">
        <f>IF(Предпосылки!$G206&lt;0,BN214,BM237*(Предпосылки!$G206/(BM$8+1-BM$7)))</f>
        <v>0</v>
      </c>
    </row>
    <row r="284" spans="2:65" ht="15" customHeight="1">
      <c r="B284" s="12" t="str">
        <f t="shared" si="251"/>
        <v>Операционные затраты 7</v>
      </c>
      <c s="124" t="str">
        <f t="shared" si="252"/>
        <v>тыс. руб.</v>
      </c>
      <c s="125"/>
      <c s="125">
        <f>IF(Предпосылки!$G207&lt;0,F215,E238*(Предпосылки!$G207/(E$8+1-E$7)))</f>
        <v>0</v>
      </c>
      <c s="125">
        <f>IF(Предпосылки!$G207&lt;0,G215,F238*(Предпосылки!$G207/(F$8+1-F$7)))</f>
        <v>0</v>
      </c>
      <c s="125">
        <f>IF(Предпосылки!$G207&lt;0,H215,G238*(Предпосылки!$G207/(G$8+1-G$7)))</f>
        <v>0</v>
      </c>
      <c s="125">
        <f>IF(Предпосылки!$G207&lt;0,I215,H238*(Предпосылки!$G207/(H$8+1-H$7)))</f>
        <v>0</v>
      </c>
      <c s="125">
        <f>IF(Предпосылки!$G207&lt;0,J215,I238*(Предпосылки!$G207/(I$8+1-I$7)))</f>
        <v>0</v>
      </c>
      <c s="125">
        <f>IF(Предпосылки!$G207&lt;0,K215,J238*(Предпосылки!$G207/(J$8+1-J$7)))</f>
        <v>0</v>
      </c>
      <c s="125">
        <f>IF(Предпосылки!$G207&lt;0,L215,K238*(Предпосылки!$G207/(K$8+1-K$7)))</f>
        <v>0</v>
      </c>
      <c s="125">
        <f>IF(Предпосылки!$G207&lt;0,M215,L238*(Предпосылки!$G207/(L$8+1-L$7)))</f>
        <v>0</v>
      </c>
      <c s="125">
        <f>IF(Предпосылки!$G207&lt;0,N215,M238*(Предпосылки!$G207/(M$8+1-M$7)))</f>
        <v>0</v>
      </c>
      <c s="125">
        <f>IF(Предпосылки!$G207&lt;0,O215,N238*(Предпосылки!$G207/(N$8+1-N$7)))</f>
        <v>0</v>
      </c>
      <c s="125">
        <f>IF(Предпосылки!$G207&lt;0,P215,O238*(Предпосылки!$G207/(O$8+1-O$7)))</f>
        <v>0</v>
      </c>
      <c s="125">
        <f>IF(Предпосылки!$G207&lt;0,Q215,P238*(Предпосылки!$G207/(P$8+1-P$7)))</f>
        <v>0</v>
      </c>
      <c s="125">
        <f>IF(Предпосылки!$G207&lt;0,R215,Q238*(Предпосылки!$G207/(Q$8+1-Q$7)))</f>
        <v>0</v>
      </c>
      <c s="125">
        <f>IF(Предпосылки!$G207&lt;0,S215,R238*(Предпосылки!$G207/(R$8+1-R$7)))</f>
        <v>0</v>
      </c>
      <c s="125">
        <f>IF(Предпосылки!$G207&lt;0,T215,S238*(Предпосылки!$G207/(S$8+1-S$7)))</f>
        <v>0</v>
      </c>
      <c s="125">
        <f>IF(Предпосылки!$G207&lt;0,U215,T238*(Предпосылки!$G207/(T$8+1-T$7)))</f>
        <v>0</v>
      </c>
      <c s="125">
        <f>IF(Предпосылки!$G207&lt;0,V215,U238*(Предпосылки!$G207/(U$8+1-U$7)))</f>
        <v>0</v>
      </c>
      <c s="125">
        <f>IF(Предпосылки!$G207&lt;0,W215,V238*(Предпосылки!$G207/(V$8+1-V$7)))</f>
        <v>0</v>
      </c>
      <c s="125">
        <f>IF(Предпосылки!$G207&lt;0,X215,W238*(Предпосылки!$G207/(W$8+1-W$7)))</f>
        <v>0</v>
      </c>
      <c s="125">
        <f>IF(Предпосылки!$G207&lt;0,Y215,X238*(Предпосылки!$G207/(X$8+1-X$7)))</f>
        <v>0</v>
      </c>
      <c s="125">
        <f>IF(Предпосылки!$G207&lt;0,Z215,Y238*(Предпосылки!$G207/(Y$8+1-Y$7)))</f>
        <v>0</v>
      </c>
      <c s="125">
        <f>IF(Предпосылки!$G207&lt;0,AA215,Z238*(Предпосылки!$G207/(Z$8+1-Z$7)))</f>
        <v>0</v>
      </c>
      <c s="125">
        <f>IF(Предпосылки!$G207&lt;0,AB215,AA238*(Предпосылки!$G207/(AA$8+1-AA$7)))</f>
        <v>0</v>
      </c>
      <c s="125">
        <f>IF(Предпосылки!$G207&lt;0,AC215,AB238*(Предпосылки!$G207/(AB$8+1-AB$7)))</f>
        <v>0</v>
      </c>
      <c s="125">
        <f>IF(Предпосылки!$G207&lt;0,AD215,AC238*(Предпосылки!$G207/(AC$8+1-AC$7)))</f>
        <v>0</v>
      </c>
      <c s="125">
        <f>IF(Предпосылки!$G207&lt;0,AE215,AD238*(Предпосылки!$G207/(AD$8+1-AD$7)))</f>
        <v>0</v>
      </c>
      <c s="125">
        <f>IF(Предпосылки!$G207&lt;0,AF215,AE238*(Предпосылки!$G207/(AE$8+1-AE$7)))</f>
        <v>0</v>
      </c>
      <c s="125">
        <f>IF(Предпосылки!$G207&lt;0,AG215,AF238*(Предпосылки!$G207/(AF$8+1-AF$7)))</f>
        <v>0</v>
      </c>
      <c s="125">
        <f>IF(Предпосылки!$G207&lt;0,AH215,AG238*(Предпосылки!$G207/(AG$8+1-AG$7)))</f>
        <v>0</v>
      </c>
      <c s="125">
        <f>IF(Предпосылки!$G207&lt;0,AI215,AH238*(Предпосылки!$G207/(AH$8+1-AH$7)))</f>
        <v>0</v>
      </c>
      <c s="125">
        <f>IF(Предпосылки!$G207&lt;0,AJ215,AI238*(Предпосылки!$G207/(AI$8+1-AI$7)))</f>
        <v>0</v>
      </c>
      <c s="125">
        <f>IF(Предпосылки!$G207&lt;0,AK215,AJ238*(Предпосылки!$G207/(AJ$8+1-AJ$7)))</f>
        <v>0</v>
      </c>
      <c s="125">
        <f>IF(Предпосылки!$G207&lt;0,AL215,AK238*(Предпосылки!$G207/(AK$8+1-AK$7)))</f>
        <v>0</v>
      </c>
      <c s="125">
        <f>IF(Предпосылки!$G207&lt;0,AM215,AL238*(Предпосылки!$G207/(AL$8+1-AL$7)))</f>
        <v>0</v>
      </c>
      <c s="125">
        <f>IF(Предпосылки!$G207&lt;0,AN215,AM238*(Предпосылки!$G207/(AM$8+1-AM$7)))</f>
        <v>0</v>
      </c>
      <c s="125">
        <f>IF(Предпосылки!$G207&lt;0,AO215,AN238*(Предпосылки!$G207/(AN$8+1-AN$7)))</f>
        <v>0</v>
      </c>
      <c s="125">
        <f>IF(Предпосылки!$G207&lt;0,AP215,AO238*(Предпосылки!$G207/(AO$8+1-AO$7)))</f>
        <v>0</v>
      </c>
      <c s="125">
        <f>IF(Предпосылки!$G207&lt;0,AQ215,AP238*(Предпосылки!$G207/(AP$8+1-AP$7)))</f>
        <v>0</v>
      </c>
      <c s="125">
        <f>IF(Предпосылки!$G207&lt;0,AR215,AQ238*(Предпосылки!$G207/(AQ$8+1-AQ$7)))</f>
        <v>0</v>
      </c>
      <c s="125">
        <f>IF(Предпосылки!$G207&lt;0,AS215,AR238*(Предпосылки!$G207/(AR$8+1-AR$7)))</f>
        <v>0</v>
      </c>
      <c s="125">
        <f>IF(Предпосылки!$G207&lt;0,AT215,AS238*(Предпосылки!$G207/(AS$8+1-AS$7)))</f>
        <v>0</v>
      </c>
      <c s="125">
        <f>IF(Предпосылки!$G207&lt;0,AU215,AT238*(Предпосылки!$G207/(AT$8+1-AT$7)))</f>
        <v>0</v>
      </c>
      <c s="125">
        <f>IF(Предпосылки!$G207&lt;0,AV215,AU238*(Предпосылки!$G207/(AU$8+1-AU$7)))</f>
        <v>0</v>
      </c>
      <c s="125">
        <f>IF(Предпосылки!$G207&lt;0,AW215,AV238*(Предпосылки!$G207/(AV$8+1-AV$7)))</f>
        <v>0</v>
      </c>
      <c s="125">
        <f>IF(Предпосылки!$G207&lt;0,AX215,AW238*(Предпосылки!$G207/(AW$8+1-AW$7)))</f>
        <v>0</v>
      </c>
      <c s="125">
        <f>IF(Предпосылки!$G207&lt;0,AY215,AX238*(Предпосылки!$G207/(AX$8+1-AX$7)))</f>
        <v>0</v>
      </c>
      <c s="125">
        <f>IF(Предпосылки!$G207&lt;0,AZ215,AY238*(Предпосылки!$G207/(AY$8+1-AY$7)))</f>
        <v>0</v>
      </c>
      <c s="125">
        <f>IF(Предпосылки!$G207&lt;0,BA215,AZ238*(Предпосылки!$G207/(AZ$8+1-AZ$7)))</f>
        <v>0</v>
      </c>
      <c s="125">
        <f>IF(Предпосылки!$G207&lt;0,BB215,BA238*(Предпосылки!$G207/(BA$8+1-BA$7)))</f>
        <v>0</v>
      </c>
      <c s="125">
        <f>IF(Предпосылки!$G207&lt;0,BC215,BB238*(Предпосылки!$G207/(BB$8+1-BB$7)))</f>
        <v>0</v>
      </c>
      <c s="125">
        <f>IF(Предпосылки!$G207&lt;0,BD215,BC238*(Предпосылки!$G207/(BC$8+1-BC$7)))</f>
        <v>0</v>
      </c>
      <c s="125">
        <f>IF(Предпосылки!$G207&lt;0,BE215,BD238*(Предпосылки!$G207/(BD$8+1-BD$7)))</f>
        <v>0</v>
      </c>
      <c s="125">
        <f>IF(Предпосылки!$G207&lt;0,BF215,BE238*(Предпосылки!$G207/(BE$8+1-BE$7)))</f>
        <v>0</v>
      </c>
      <c s="125">
        <f>IF(Предпосылки!$G207&lt;0,BG215,BF238*(Предпосылки!$G207/(BF$8+1-BF$7)))</f>
        <v>0</v>
      </c>
      <c s="125">
        <f>IF(Предпосылки!$G207&lt;0,BH215,BG238*(Предпосылки!$G207/(BG$8+1-BG$7)))</f>
        <v>0</v>
      </c>
      <c s="125">
        <f>IF(Предпосылки!$G207&lt;0,BI215,BH238*(Предпосылки!$G207/(BH$8+1-BH$7)))</f>
        <v>0</v>
      </c>
      <c s="125">
        <f>IF(Предпосылки!$G207&lt;0,BJ215,BI238*(Предпосылки!$G207/(BI$8+1-BI$7)))</f>
        <v>0</v>
      </c>
      <c s="125">
        <f>IF(Предпосылки!$G207&lt;0,BK215,BJ238*(Предпосылки!$G207/(BJ$8+1-BJ$7)))</f>
        <v>0</v>
      </c>
      <c s="125">
        <f>IF(Предпосылки!$G207&lt;0,BL215,BK238*(Предпосылки!$G207/(BK$8+1-BK$7)))</f>
        <v>0</v>
      </c>
      <c s="125">
        <f>IF(Предпосылки!$G207&lt;0,BM215,BL238*(Предпосылки!$G207/(BL$8+1-BL$7)))</f>
        <v>0</v>
      </c>
      <c s="125">
        <f>IF(Предпосылки!$G207&lt;0,BN215,BM238*(Предпосылки!$G207/(BM$8+1-BM$7)))</f>
        <v>0</v>
      </c>
    </row>
    <row r="285" spans="2:65" ht="15" customHeight="1">
      <c r="B285" s="12" t="str">
        <f t="shared" si="251"/>
        <v>Операционные затраты 8</v>
      </c>
      <c s="124" t="str">
        <f t="shared" si="252"/>
        <v>тыс. руб.</v>
      </c>
      <c s="125"/>
      <c s="125">
        <f>IF(Предпосылки!$G208&lt;0,F216,E239*(Предпосылки!$G208/(E$8+1-E$7)))</f>
        <v>0</v>
      </c>
      <c s="125">
        <f>IF(Предпосылки!$G208&lt;0,G216,F239*(Предпосылки!$G208/(F$8+1-F$7)))</f>
        <v>0</v>
      </c>
      <c s="125">
        <f>IF(Предпосылки!$G208&lt;0,H216,G239*(Предпосылки!$G208/(G$8+1-G$7)))</f>
        <v>0</v>
      </c>
      <c s="125">
        <f>IF(Предпосылки!$G208&lt;0,I216,H239*(Предпосылки!$G208/(H$8+1-H$7)))</f>
        <v>0</v>
      </c>
      <c s="125">
        <f>IF(Предпосылки!$G208&lt;0,J216,I239*(Предпосылки!$G208/(I$8+1-I$7)))</f>
        <v>0</v>
      </c>
      <c s="125">
        <f>IF(Предпосылки!$G208&lt;0,K216,J239*(Предпосылки!$G208/(J$8+1-J$7)))</f>
        <v>0</v>
      </c>
      <c s="125">
        <f>IF(Предпосылки!$G208&lt;0,L216,K239*(Предпосылки!$G208/(K$8+1-K$7)))</f>
        <v>0</v>
      </c>
      <c s="125">
        <f>IF(Предпосылки!$G208&lt;0,M216,L239*(Предпосылки!$G208/(L$8+1-L$7)))</f>
        <v>0</v>
      </c>
      <c s="125">
        <f>IF(Предпосылки!$G208&lt;0,N216,M239*(Предпосылки!$G208/(M$8+1-M$7)))</f>
        <v>0</v>
      </c>
      <c s="125">
        <f>IF(Предпосылки!$G208&lt;0,O216,N239*(Предпосылки!$G208/(N$8+1-N$7)))</f>
        <v>0</v>
      </c>
      <c s="125">
        <f>IF(Предпосылки!$G208&lt;0,P216,O239*(Предпосылки!$G208/(O$8+1-O$7)))</f>
        <v>0</v>
      </c>
      <c s="125">
        <f>IF(Предпосылки!$G208&lt;0,Q216,P239*(Предпосылки!$G208/(P$8+1-P$7)))</f>
        <v>0</v>
      </c>
      <c s="125">
        <f>IF(Предпосылки!$G208&lt;0,R216,Q239*(Предпосылки!$G208/(Q$8+1-Q$7)))</f>
        <v>0</v>
      </c>
      <c s="125">
        <f>IF(Предпосылки!$G208&lt;0,S216,R239*(Предпосылки!$G208/(R$8+1-R$7)))</f>
        <v>0</v>
      </c>
      <c s="125">
        <f>IF(Предпосылки!$G208&lt;0,T216,S239*(Предпосылки!$G208/(S$8+1-S$7)))</f>
        <v>0</v>
      </c>
      <c s="125">
        <f>IF(Предпосылки!$G208&lt;0,U216,T239*(Предпосылки!$G208/(T$8+1-T$7)))</f>
        <v>0</v>
      </c>
      <c s="125">
        <f>IF(Предпосылки!$G208&lt;0,V216,U239*(Предпосылки!$G208/(U$8+1-U$7)))</f>
        <v>0</v>
      </c>
      <c s="125">
        <f>IF(Предпосылки!$G208&lt;0,W216,V239*(Предпосылки!$G208/(V$8+1-V$7)))</f>
        <v>0</v>
      </c>
      <c s="125">
        <f>IF(Предпосылки!$G208&lt;0,X216,W239*(Предпосылки!$G208/(W$8+1-W$7)))</f>
        <v>0</v>
      </c>
      <c s="125">
        <f>IF(Предпосылки!$G208&lt;0,Y216,X239*(Предпосылки!$G208/(X$8+1-X$7)))</f>
        <v>0</v>
      </c>
      <c s="125">
        <f>IF(Предпосылки!$G208&lt;0,Z216,Y239*(Предпосылки!$G208/(Y$8+1-Y$7)))</f>
        <v>0</v>
      </c>
      <c s="125">
        <f>IF(Предпосылки!$G208&lt;0,AA216,Z239*(Предпосылки!$G208/(Z$8+1-Z$7)))</f>
        <v>0</v>
      </c>
      <c s="125">
        <f>IF(Предпосылки!$G208&lt;0,AB216,AA239*(Предпосылки!$G208/(AA$8+1-AA$7)))</f>
        <v>0</v>
      </c>
      <c s="125">
        <f>IF(Предпосылки!$G208&lt;0,AC216,AB239*(Предпосылки!$G208/(AB$8+1-AB$7)))</f>
        <v>0</v>
      </c>
      <c s="125">
        <f>IF(Предпосылки!$G208&lt;0,AD216,AC239*(Предпосылки!$G208/(AC$8+1-AC$7)))</f>
        <v>0</v>
      </c>
      <c s="125">
        <f>IF(Предпосылки!$G208&lt;0,AE216,AD239*(Предпосылки!$G208/(AD$8+1-AD$7)))</f>
        <v>0</v>
      </c>
      <c s="125">
        <f>IF(Предпосылки!$G208&lt;0,AF216,AE239*(Предпосылки!$G208/(AE$8+1-AE$7)))</f>
        <v>0</v>
      </c>
      <c s="125">
        <f>IF(Предпосылки!$G208&lt;0,AG216,AF239*(Предпосылки!$G208/(AF$8+1-AF$7)))</f>
        <v>0</v>
      </c>
      <c s="125">
        <f>IF(Предпосылки!$G208&lt;0,AH216,AG239*(Предпосылки!$G208/(AG$8+1-AG$7)))</f>
        <v>0</v>
      </c>
      <c s="125">
        <f>IF(Предпосылки!$G208&lt;0,AI216,AH239*(Предпосылки!$G208/(AH$8+1-AH$7)))</f>
        <v>0</v>
      </c>
      <c s="125">
        <f>IF(Предпосылки!$G208&lt;0,AJ216,AI239*(Предпосылки!$G208/(AI$8+1-AI$7)))</f>
        <v>0</v>
      </c>
      <c s="125">
        <f>IF(Предпосылки!$G208&lt;0,AK216,AJ239*(Предпосылки!$G208/(AJ$8+1-AJ$7)))</f>
        <v>0</v>
      </c>
      <c s="125">
        <f>IF(Предпосылки!$G208&lt;0,AL216,AK239*(Предпосылки!$G208/(AK$8+1-AK$7)))</f>
        <v>0</v>
      </c>
      <c s="125">
        <f>IF(Предпосылки!$G208&lt;0,AM216,AL239*(Предпосылки!$G208/(AL$8+1-AL$7)))</f>
        <v>0</v>
      </c>
      <c s="125">
        <f>IF(Предпосылки!$G208&lt;0,AN216,AM239*(Предпосылки!$G208/(AM$8+1-AM$7)))</f>
        <v>0</v>
      </c>
      <c s="125">
        <f>IF(Предпосылки!$G208&lt;0,AO216,AN239*(Предпосылки!$G208/(AN$8+1-AN$7)))</f>
        <v>0</v>
      </c>
      <c s="125">
        <f>IF(Предпосылки!$G208&lt;0,AP216,AO239*(Предпосылки!$G208/(AO$8+1-AO$7)))</f>
        <v>0</v>
      </c>
      <c s="125">
        <f>IF(Предпосылки!$G208&lt;0,AQ216,AP239*(Предпосылки!$G208/(AP$8+1-AP$7)))</f>
        <v>0</v>
      </c>
      <c s="125">
        <f>IF(Предпосылки!$G208&lt;0,AR216,AQ239*(Предпосылки!$G208/(AQ$8+1-AQ$7)))</f>
        <v>0</v>
      </c>
      <c s="125">
        <f>IF(Предпосылки!$G208&lt;0,AS216,AR239*(Предпосылки!$G208/(AR$8+1-AR$7)))</f>
        <v>0</v>
      </c>
      <c s="125">
        <f>IF(Предпосылки!$G208&lt;0,AT216,AS239*(Предпосылки!$G208/(AS$8+1-AS$7)))</f>
        <v>0</v>
      </c>
      <c s="125">
        <f>IF(Предпосылки!$G208&lt;0,AU216,AT239*(Предпосылки!$G208/(AT$8+1-AT$7)))</f>
        <v>0</v>
      </c>
      <c s="125">
        <f>IF(Предпосылки!$G208&lt;0,AV216,AU239*(Предпосылки!$G208/(AU$8+1-AU$7)))</f>
        <v>0</v>
      </c>
      <c s="125">
        <f>IF(Предпосылки!$G208&lt;0,AW216,AV239*(Предпосылки!$G208/(AV$8+1-AV$7)))</f>
        <v>0</v>
      </c>
      <c s="125">
        <f>IF(Предпосылки!$G208&lt;0,AX216,AW239*(Предпосылки!$G208/(AW$8+1-AW$7)))</f>
        <v>0</v>
      </c>
      <c s="125">
        <f>IF(Предпосылки!$G208&lt;0,AY216,AX239*(Предпосылки!$G208/(AX$8+1-AX$7)))</f>
        <v>0</v>
      </c>
      <c s="125">
        <f>IF(Предпосылки!$G208&lt;0,AZ216,AY239*(Предпосылки!$G208/(AY$8+1-AY$7)))</f>
        <v>0</v>
      </c>
      <c s="125">
        <f>IF(Предпосылки!$G208&lt;0,BA216,AZ239*(Предпосылки!$G208/(AZ$8+1-AZ$7)))</f>
        <v>0</v>
      </c>
      <c s="125">
        <f>IF(Предпосылки!$G208&lt;0,BB216,BA239*(Предпосылки!$G208/(BA$8+1-BA$7)))</f>
        <v>0</v>
      </c>
      <c s="125">
        <f>IF(Предпосылки!$G208&lt;0,BC216,BB239*(Предпосылки!$G208/(BB$8+1-BB$7)))</f>
        <v>0</v>
      </c>
      <c s="125">
        <f>IF(Предпосылки!$G208&lt;0,BD216,BC239*(Предпосылки!$G208/(BC$8+1-BC$7)))</f>
        <v>0</v>
      </c>
      <c s="125">
        <f>IF(Предпосылки!$G208&lt;0,BE216,BD239*(Предпосылки!$G208/(BD$8+1-BD$7)))</f>
        <v>0</v>
      </c>
      <c s="125">
        <f>IF(Предпосылки!$G208&lt;0,BF216,BE239*(Предпосылки!$G208/(BE$8+1-BE$7)))</f>
        <v>0</v>
      </c>
      <c s="125">
        <f>IF(Предпосылки!$G208&lt;0,BG216,BF239*(Предпосылки!$G208/(BF$8+1-BF$7)))</f>
        <v>0</v>
      </c>
      <c s="125">
        <f>IF(Предпосылки!$G208&lt;0,BH216,BG239*(Предпосылки!$G208/(BG$8+1-BG$7)))</f>
        <v>0</v>
      </c>
      <c s="125">
        <f>IF(Предпосылки!$G208&lt;0,BI216,BH239*(Предпосылки!$G208/(BH$8+1-BH$7)))</f>
        <v>0</v>
      </c>
      <c s="125">
        <f>IF(Предпосылки!$G208&lt;0,BJ216,BI239*(Предпосылки!$G208/(BI$8+1-BI$7)))</f>
        <v>0</v>
      </c>
      <c s="125">
        <f>IF(Предпосылки!$G208&lt;0,BK216,BJ239*(Предпосылки!$G208/(BJ$8+1-BJ$7)))</f>
        <v>0</v>
      </c>
      <c s="125">
        <f>IF(Предпосылки!$G208&lt;0,BL216,BK239*(Предпосылки!$G208/(BK$8+1-BK$7)))</f>
        <v>0</v>
      </c>
      <c s="125">
        <f>IF(Предпосылки!$G208&lt;0,BM216,BL239*(Предпосылки!$G208/(BL$8+1-BL$7)))</f>
        <v>0</v>
      </c>
      <c s="125">
        <f>IF(Предпосылки!$G208&lt;0,BN216,BM239*(Предпосылки!$G208/(BM$8+1-BM$7)))</f>
        <v>0</v>
      </c>
    </row>
    <row r="286" spans="2:65" ht="15" customHeight="1">
      <c r="B286" s="12" t="str">
        <f t="shared" si="251"/>
        <v>Операционные затраты 9</v>
      </c>
      <c s="124" t="str">
        <f t="shared" si="252"/>
        <v>тыс. руб.</v>
      </c>
      <c s="125"/>
      <c s="125">
        <f>IF(Предпосылки!$G209&lt;0,F217,E240*(Предпосылки!$G209/(E$8+1-E$7)))</f>
        <v>0</v>
      </c>
      <c s="125">
        <f>IF(Предпосылки!$G209&lt;0,G217,F240*(Предпосылки!$G209/(F$8+1-F$7)))</f>
        <v>0</v>
      </c>
      <c s="125">
        <f>IF(Предпосылки!$G209&lt;0,H217,G240*(Предпосылки!$G209/(G$8+1-G$7)))</f>
        <v>0</v>
      </c>
      <c s="125">
        <f>IF(Предпосылки!$G209&lt;0,I217,H240*(Предпосылки!$G209/(H$8+1-H$7)))</f>
        <v>0</v>
      </c>
      <c s="125">
        <f>IF(Предпосылки!$G209&lt;0,J217,I240*(Предпосылки!$G209/(I$8+1-I$7)))</f>
        <v>0</v>
      </c>
      <c s="125">
        <f>IF(Предпосылки!$G209&lt;0,K217,J240*(Предпосылки!$G209/(J$8+1-J$7)))</f>
        <v>0</v>
      </c>
      <c s="125">
        <f>IF(Предпосылки!$G209&lt;0,L217,K240*(Предпосылки!$G209/(K$8+1-K$7)))</f>
        <v>0</v>
      </c>
      <c s="125">
        <f>IF(Предпосылки!$G209&lt;0,M217,L240*(Предпосылки!$G209/(L$8+1-L$7)))</f>
        <v>0</v>
      </c>
      <c s="125">
        <f>IF(Предпосылки!$G209&lt;0,N217,M240*(Предпосылки!$G209/(M$8+1-M$7)))</f>
        <v>0</v>
      </c>
      <c s="125">
        <f>IF(Предпосылки!$G209&lt;0,O217,N240*(Предпосылки!$G209/(N$8+1-N$7)))</f>
        <v>0</v>
      </c>
      <c s="125">
        <f>IF(Предпосылки!$G209&lt;0,P217,O240*(Предпосылки!$G209/(O$8+1-O$7)))</f>
        <v>0</v>
      </c>
      <c s="125">
        <f>IF(Предпосылки!$G209&lt;0,Q217,P240*(Предпосылки!$G209/(P$8+1-P$7)))</f>
        <v>0</v>
      </c>
      <c s="125">
        <f>IF(Предпосылки!$G209&lt;0,R217,Q240*(Предпосылки!$G209/(Q$8+1-Q$7)))</f>
        <v>0</v>
      </c>
      <c s="125">
        <f>IF(Предпосылки!$G209&lt;0,S217,R240*(Предпосылки!$G209/(R$8+1-R$7)))</f>
        <v>0</v>
      </c>
      <c s="125">
        <f>IF(Предпосылки!$G209&lt;0,T217,S240*(Предпосылки!$G209/(S$8+1-S$7)))</f>
        <v>0</v>
      </c>
      <c s="125">
        <f>IF(Предпосылки!$G209&lt;0,U217,T240*(Предпосылки!$G209/(T$8+1-T$7)))</f>
        <v>0</v>
      </c>
      <c s="125">
        <f>IF(Предпосылки!$G209&lt;0,V217,U240*(Предпосылки!$G209/(U$8+1-U$7)))</f>
        <v>0</v>
      </c>
      <c s="125">
        <f>IF(Предпосылки!$G209&lt;0,W217,V240*(Предпосылки!$G209/(V$8+1-V$7)))</f>
        <v>0</v>
      </c>
      <c s="125">
        <f>IF(Предпосылки!$G209&lt;0,X217,W240*(Предпосылки!$G209/(W$8+1-W$7)))</f>
        <v>0</v>
      </c>
      <c s="125">
        <f>IF(Предпосылки!$G209&lt;0,Y217,X240*(Предпосылки!$G209/(X$8+1-X$7)))</f>
        <v>0</v>
      </c>
      <c s="125">
        <f>IF(Предпосылки!$G209&lt;0,Z217,Y240*(Предпосылки!$G209/(Y$8+1-Y$7)))</f>
        <v>0</v>
      </c>
      <c s="125">
        <f>IF(Предпосылки!$G209&lt;0,AA217,Z240*(Предпосылки!$G209/(Z$8+1-Z$7)))</f>
        <v>0</v>
      </c>
      <c s="125">
        <f>IF(Предпосылки!$G209&lt;0,AB217,AA240*(Предпосылки!$G209/(AA$8+1-AA$7)))</f>
        <v>0</v>
      </c>
      <c s="125">
        <f>IF(Предпосылки!$G209&lt;0,AC217,AB240*(Предпосылки!$G209/(AB$8+1-AB$7)))</f>
        <v>0</v>
      </c>
      <c s="125">
        <f>IF(Предпосылки!$G209&lt;0,AD217,AC240*(Предпосылки!$G209/(AC$8+1-AC$7)))</f>
        <v>0</v>
      </c>
      <c s="125">
        <f>IF(Предпосылки!$G209&lt;0,AE217,AD240*(Предпосылки!$G209/(AD$8+1-AD$7)))</f>
        <v>0</v>
      </c>
      <c s="125">
        <f>IF(Предпосылки!$G209&lt;0,AF217,AE240*(Предпосылки!$G209/(AE$8+1-AE$7)))</f>
        <v>0</v>
      </c>
      <c s="125">
        <f>IF(Предпосылки!$G209&lt;0,AG217,AF240*(Предпосылки!$G209/(AF$8+1-AF$7)))</f>
        <v>0</v>
      </c>
      <c s="125">
        <f>IF(Предпосылки!$G209&lt;0,AH217,AG240*(Предпосылки!$G209/(AG$8+1-AG$7)))</f>
        <v>0</v>
      </c>
      <c s="125">
        <f>IF(Предпосылки!$G209&lt;0,AI217,AH240*(Предпосылки!$G209/(AH$8+1-AH$7)))</f>
        <v>0</v>
      </c>
      <c s="125">
        <f>IF(Предпосылки!$G209&lt;0,AJ217,AI240*(Предпосылки!$G209/(AI$8+1-AI$7)))</f>
        <v>0</v>
      </c>
      <c s="125">
        <f>IF(Предпосылки!$G209&lt;0,AK217,AJ240*(Предпосылки!$G209/(AJ$8+1-AJ$7)))</f>
        <v>0</v>
      </c>
      <c s="125">
        <f>IF(Предпосылки!$G209&lt;0,AL217,AK240*(Предпосылки!$G209/(AK$8+1-AK$7)))</f>
        <v>0</v>
      </c>
      <c s="125">
        <f>IF(Предпосылки!$G209&lt;0,AM217,AL240*(Предпосылки!$G209/(AL$8+1-AL$7)))</f>
        <v>0</v>
      </c>
      <c s="125">
        <f>IF(Предпосылки!$G209&lt;0,AN217,AM240*(Предпосылки!$G209/(AM$8+1-AM$7)))</f>
        <v>0</v>
      </c>
      <c s="125">
        <f>IF(Предпосылки!$G209&lt;0,AO217,AN240*(Предпосылки!$G209/(AN$8+1-AN$7)))</f>
        <v>0</v>
      </c>
      <c s="125">
        <f>IF(Предпосылки!$G209&lt;0,AP217,AO240*(Предпосылки!$G209/(AO$8+1-AO$7)))</f>
        <v>0</v>
      </c>
      <c s="125">
        <f>IF(Предпосылки!$G209&lt;0,AQ217,AP240*(Предпосылки!$G209/(AP$8+1-AP$7)))</f>
        <v>0</v>
      </c>
      <c s="125">
        <f>IF(Предпосылки!$G209&lt;0,AR217,AQ240*(Предпосылки!$G209/(AQ$8+1-AQ$7)))</f>
        <v>0</v>
      </c>
      <c s="125">
        <f>IF(Предпосылки!$G209&lt;0,AS217,AR240*(Предпосылки!$G209/(AR$8+1-AR$7)))</f>
        <v>0</v>
      </c>
      <c s="125">
        <f>IF(Предпосылки!$G209&lt;0,AT217,AS240*(Предпосылки!$G209/(AS$8+1-AS$7)))</f>
        <v>0</v>
      </c>
      <c s="125">
        <f>IF(Предпосылки!$G209&lt;0,AU217,AT240*(Предпосылки!$G209/(AT$8+1-AT$7)))</f>
        <v>0</v>
      </c>
      <c s="125">
        <f>IF(Предпосылки!$G209&lt;0,AV217,AU240*(Предпосылки!$G209/(AU$8+1-AU$7)))</f>
        <v>0</v>
      </c>
      <c s="125">
        <f>IF(Предпосылки!$G209&lt;0,AW217,AV240*(Предпосылки!$G209/(AV$8+1-AV$7)))</f>
        <v>0</v>
      </c>
      <c s="125">
        <f>IF(Предпосылки!$G209&lt;0,AX217,AW240*(Предпосылки!$G209/(AW$8+1-AW$7)))</f>
        <v>0</v>
      </c>
      <c s="125">
        <f>IF(Предпосылки!$G209&lt;0,AY217,AX240*(Предпосылки!$G209/(AX$8+1-AX$7)))</f>
        <v>0</v>
      </c>
      <c s="125">
        <f>IF(Предпосылки!$G209&lt;0,AZ217,AY240*(Предпосылки!$G209/(AY$8+1-AY$7)))</f>
        <v>0</v>
      </c>
      <c s="125">
        <f>IF(Предпосылки!$G209&lt;0,BA217,AZ240*(Предпосылки!$G209/(AZ$8+1-AZ$7)))</f>
        <v>0</v>
      </c>
      <c s="125">
        <f>IF(Предпосылки!$G209&lt;0,BB217,BA240*(Предпосылки!$G209/(BA$8+1-BA$7)))</f>
        <v>0</v>
      </c>
      <c s="125">
        <f>IF(Предпосылки!$G209&lt;0,BC217,BB240*(Предпосылки!$G209/(BB$8+1-BB$7)))</f>
        <v>0</v>
      </c>
      <c s="125">
        <f>IF(Предпосылки!$G209&lt;0,BD217,BC240*(Предпосылки!$G209/(BC$8+1-BC$7)))</f>
        <v>0</v>
      </c>
      <c s="125">
        <f>IF(Предпосылки!$G209&lt;0,BE217,BD240*(Предпосылки!$G209/(BD$8+1-BD$7)))</f>
        <v>0</v>
      </c>
      <c s="125">
        <f>IF(Предпосылки!$G209&lt;0,BF217,BE240*(Предпосылки!$G209/(BE$8+1-BE$7)))</f>
        <v>0</v>
      </c>
      <c s="125">
        <f>IF(Предпосылки!$G209&lt;0,BG217,BF240*(Предпосылки!$G209/(BF$8+1-BF$7)))</f>
        <v>0</v>
      </c>
      <c s="125">
        <f>IF(Предпосылки!$G209&lt;0,BH217,BG240*(Предпосылки!$G209/(BG$8+1-BG$7)))</f>
        <v>0</v>
      </c>
      <c s="125">
        <f>IF(Предпосылки!$G209&lt;0,BI217,BH240*(Предпосылки!$G209/(BH$8+1-BH$7)))</f>
        <v>0</v>
      </c>
      <c s="125">
        <f>IF(Предпосылки!$G209&lt;0,BJ217,BI240*(Предпосылки!$G209/(BI$8+1-BI$7)))</f>
        <v>0</v>
      </c>
      <c s="125">
        <f>IF(Предпосылки!$G209&lt;0,BK217,BJ240*(Предпосылки!$G209/(BJ$8+1-BJ$7)))</f>
        <v>0</v>
      </c>
      <c s="125">
        <f>IF(Предпосылки!$G209&lt;0,BL217,BK240*(Предпосылки!$G209/(BK$8+1-BK$7)))</f>
        <v>0</v>
      </c>
      <c s="125">
        <f>IF(Предпосылки!$G209&lt;0,BM217,BL240*(Предпосылки!$G209/(BL$8+1-BL$7)))</f>
        <v>0</v>
      </c>
      <c s="125">
        <f>IF(Предпосылки!$G209&lt;0,BN217,BM240*(Предпосылки!$G209/(BM$8+1-BM$7)))</f>
        <v>0</v>
      </c>
    </row>
    <row r="287" spans="2:65" ht="15" customHeight="1">
      <c r="B287" s="12" t="str">
        <f t="shared" si="251"/>
        <v>Операционные затраты 10</v>
      </c>
      <c s="124" t="str">
        <f t="shared" si="252"/>
        <v>тыс. руб.</v>
      </c>
      <c s="125"/>
      <c s="125">
        <f>IF(Предпосылки!$G210&lt;0,F218,E241*(Предпосылки!$G210/(E$8+1-E$7)))</f>
        <v>0</v>
      </c>
      <c s="125">
        <f>IF(Предпосылки!$G210&lt;0,G218,F241*(Предпосылки!$G210/(F$8+1-F$7)))</f>
        <v>0</v>
      </c>
      <c s="125">
        <f>IF(Предпосылки!$G210&lt;0,H218,G241*(Предпосылки!$G210/(G$8+1-G$7)))</f>
        <v>0</v>
      </c>
      <c s="125">
        <f>IF(Предпосылки!$G210&lt;0,I218,H241*(Предпосылки!$G210/(H$8+1-H$7)))</f>
        <v>0</v>
      </c>
      <c s="125">
        <f>IF(Предпосылки!$G210&lt;0,J218,I241*(Предпосылки!$G210/(I$8+1-I$7)))</f>
        <v>0</v>
      </c>
      <c s="125">
        <f>IF(Предпосылки!$G210&lt;0,K218,J241*(Предпосылки!$G210/(J$8+1-J$7)))</f>
        <v>0</v>
      </c>
      <c s="125">
        <f>IF(Предпосылки!$G210&lt;0,L218,K241*(Предпосылки!$G210/(K$8+1-K$7)))</f>
        <v>0</v>
      </c>
      <c s="125">
        <f>IF(Предпосылки!$G210&lt;0,M218,L241*(Предпосылки!$G210/(L$8+1-L$7)))</f>
        <v>0</v>
      </c>
      <c s="125">
        <f>IF(Предпосылки!$G210&lt;0,N218,M241*(Предпосылки!$G210/(M$8+1-M$7)))</f>
        <v>0</v>
      </c>
      <c s="125">
        <f>IF(Предпосылки!$G210&lt;0,O218,N241*(Предпосылки!$G210/(N$8+1-N$7)))</f>
        <v>0</v>
      </c>
      <c s="125">
        <f>IF(Предпосылки!$G210&lt;0,P218,O241*(Предпосылки!$G210/(O$8+1-O$7)))</f>
        <v>0</v>
      </c>
      <c s="125">
        <f>IF(Предпосылки!$G210&lt;0,Q218,P241*(Предпосылки!$G210/(P$8+1-P$7)))</f>
        <v>0</v>
      </c>
      <c s="125">
        <f>IF(Предпосылки!$G210&lt;0,R218,Q241*(Предпосылки!$G210/(Q$8+1-Q$7)))</f>
        <v>0</v>
      </c>
      <c s="125">
        <f>IF(Предпосылки!$G210&lt;0,S218,R241*(Предпосылки!$G210/(R$8+1-R$7)))</f>
        <v>0</v>
      </c>
      <c s="125">
        <f>IF(Предпосылки!$G210&lt;0,T218,S241*(Предпосылки!$G210/(S$8+1-S$7)))</f>
        <v>0</v>
      </c>
      <c s="125">
        <f>IF(Предпосылки!$G210&lt;0,U218,T241*(Предпосылки!$G210/(T$8+1-T$7)))</f>
        <v>0</v>
      </c>
      <c s="125">
        <f>IF(Предпосылки!$G210&lt;0,V218,U241*(Предпосылки!$G210/(U$8+1-U$7)))</f>
        <v>0</v>
      </c>
      <c s="125">
        <f>IF(Предпосылки!$G210&lt;0,W218,V241*(Предпосылки!$G210/(V$8+1-V$7)))</f>
        <v>0</v>
      </c>
      <c s="125">
        <f>IF(Предпосылки!$G210&lt;0,X218,W241*(Предпосылки!$G210/(W$8+1-W$7)))</f>
        <v>0</v>
      </c>
      <c s="125">
        <f>IF(Предпосылки!$G210&lt;0,Y218,X241*(Предпосылки!$G210/(X$8+1-X$7)))</f>
        <v>0</v>
      </c>
      <c s="125">
        <f>IF(Предпосылки!$G210&lt;0,Z218,Y241*(Предпосылки!$G210/(Y$8+1-Y$7)))</f>
        <v>0</v>
      </c>
      <c s="125">
        <f>IF(Предпосылки!$G210&lt;0,AA218,Z241*(Предпосылки!$G210/(Z$8+1-Z$7)))</f>
        <v>0</v>
      </c>
      <c s="125">
        <f>IF(Предпосылки!$G210&lt;0,AB218,AA241*(Предпосылки!$G210/(AA$8+1-AA$7)))</f>
        <v>0</v>
      </c>
      <c s="125">
        <f>IF(Предпосылки!$G210&lt;0,AC218,AB241*(Предпосылки!$G210/(AB$8+1-AB$7)))</f>
        <v>0</v>
      </c>
      <c s="125">
        <f>IF(Предпосылки!$G210&lt;0,AD218,AC241*(Предпосылки!$G210/(AC$8+1-AC$7)))</f>
        <v>0</v>
      </c>
      <c s="125">
        <f>IF(Предпосылки!$G210&lt;0,AE218,AD241*(Предпосылки!$G210/(AD$8+1-AD$7)))</f>
        <v>0</v>
      </c>
      <c s="125">
        <f>IF(Предпосылки!$G210&lt;0,AF218,AE241*(Предпосылки!$G210/(AE$8+1-AE$7)))</f>
        <v>0</v>
      </c>
      <c s="125">
        <f>IF(Предпосылки!$G210&lt;0,AG218,AF241*(Предпосылки!$G210/(AF$8+1-AF$7)))</f>
        <v>0</v>
      </c>
      <c s="125">
        <f>IF(Предпосылки!$G210&lt;0,AH218,AG241*(Предпосылки!$G210/(AG$8+1-AG$7)))</f>
        <v>0</v>
      </c>
      <c s="125">
        <f>IF(Предпосылки!$G210&lt;0,AI218,AH241*(Предпосылки!$G210/(AH$8+1-AH$7)))</f>
        <v>0</v>
      </c>
      <c s="125">
        <f>IF(Предпосылки!$G210&lt;0,AJ218,AI241*(Предпосылки!$G210/(AI$8+1-AI$7)))</f>
        <v>0</v>
      </c>
      <c s="125">
        <f>IF(Предпосылки!$G210&lt;0,AK218,AJ241*(Предпосылки!$G210/(AJ$8+1-AJ$7)))</f>
        <v>0</v>
      </c>
      <c s="125">
        <f>IF(Предпосылки!$G210&lt;0,AL218,AK241*(Предпосылки!$G210/(AK$8+1-AK$7)))</f>
        <v>0</v>
      </c>
      <c s="125">
        <f>IF(Предпосылки!$G210&lt;0,AM218,AL241*(Предпосылки!$G210/(AL$8+1-AL$7)))</f>
        <v>0</v>
      </c>
      <c s="125">
        <f>IF(Предпосылки!$G210&lt;0,AN218,AM241*(Предпосылки!$G210/(AM$8+1-AM$7)))</f>
        <v>0</v>
      </c>
      <c s="125">
        <f>IF(Предпосылки!$G210&lt;0,AO218,AN241*(Предпосылки!$G210/(AN$8+1-AN$7)))</f>
        <v>0</v>
      </c>
      <c s="125">
        <f>IF(Предпосылки!$G210&lt;0,AP218,AO241*(Предпосылки!$G210/(AO$8+1-AO$7)))</f>
        <v>0</v>
      </c>
      <c s="125">
        <f>IF(Предпосылки!$G210&lt;0,AQ218,AP241*(Предпосылки!$G210/(AP$8+1-AP$7)))</f>
        <v>0</v>
      </c>
      <c s="125">
        <f>IF(Предпосылки!$G210&lt;0,AR218,AQ241*(Предпосылки!$G210/(AQ$8+1-AQ$7)))</f>
        <v>0</v>
      </c>
      <c s="125">
        <f>IF(Предпосылки!$G210&lt;0,AS218,AR241*(Предпосылки!$G210/(AR$8+1-AR$7)))</f>
        <v>0</v>
      </c>
      <c s="125">
        <f>IF(Предпосылки!$G210&lt;0,AT218,AS241*(Предпосылки!$G210/(AS$8+1-AS$7)))</f>
        <v>0</v>
      </c>
      <c s="125">
        <f>IF(Предпосылки!$G210&lt;0,AU218,AT241*(Предпосылки!$G210/(AT$8+1-AT$7)))</f>
        <v>0</v>
      </c>
      <c s="125">
        <f>IF(Предпосылки!$G210&lt;0,AV218,AU241*(Предпосылки!$G210/(AU$8+1-AU$7)))</f>
        <v>0</v>
      </c>
      <c s="125">
        <f>IF(Предпосылки!$G210&lt;0,AW218,AV241*(Предпосылки!$G210/(AV$8+1-AV$7)))</f>
        <v>0</v>
      </c>
      <c s="125">
        <f>IF(Предпосылки!$G210&lt;0,AX218,AW241*(Предпосылки!$G210/(AW$8+1-AW$7)))</f>
        <v>0</v>
      </c>
      <c s="125">
        <f>IF(Предпосылки!$G210&lt;0,AY218,AX241*(Предпосылки!$G210/(AX$8+1-AX$7)))</f>
        <v>0</v>
      </c>
      <c s="125">
        <f>IF(Предпосылки!$G210&lt;0,AZ218,AY241*(Предпосылки!$G210/(AY$8+1-AY$7)))</f>
        <v>0</v>
      </c>
      <c s="125">
        <f>IF(Предпосылки!$G210&lt;0,BA218,AZ241*(Предпосылки!$G210/(AZ$8+1-AZ$7)))</f>
        <v>0</v>
      </c>
      <c s="125">
        <f>IF(Предпосылки!$G210&lt;0,BB218,BA241*(Предпосылки!$G210/(BA$8+1-BA$7)))</f>
        <v>0</v>
      </c>
      <c s="125">
        <f>IF(Предпосылки!$G210&lt;0,BC218,BB241*(Предпосылки!$G210/(BB$8+1-BB$7)))</f>
        <v>0</v>
      </c>
      <c s="125">
        <f>IF(Предпосылки!$G210&lt;0,BD218,BC241*(Предпосылки!$G210/(BC$8+1-BC$7)))</f>
        <v>0</v>
      </c>
      <c s="125">
        <f>IF(Предпосылки!$G210&lt;0,BE218,BD241*(Предпосылки!$G210/(BD$8+1-BD$7)))</f>
        <v>0</v>
      </c>
      <c s="125">
        <f>IF(Предпосылки!$G210&lt;0,BF218,BE241*(Предпосылки!$G210/(BE$8+1-BE$7)))</f>
        <v>0</v>
      </c>
      <c s="125">
        <f>IF(Предпосылки!$G210&lt;0,BG218,BF241*(Предпосылки!$G210/(BF$8+1-BF$7)))</f>
        <v>0</v>
      </c>
      <c s="125">
        <f>IF(Предпосылки!$G210&lt;0,BH218,BG241*(Предпосылки!$G210/(BG$8+1-BG$7)))</f>
        <v>0</v>
      </c>
      <c s="125">
        <f>IF(Предпосылки!$G210&lt;0,BI218,BH241*(Предпосылки!$G210/(BH$8+1-BH$7)))</f>
        <v>0</v>
      </c>
      <c s="125">
        <f>IF(Предпосылки!$G210&lt;0,BJ218,BI241*(Предпосылки!$G210/(BI$8+1-BI$7)))</f>
        <v>0</v>
      </c>
      <c s="125">
        <f>IF(Предпосылки!$G210&lt;0,BK218,BJ241*(Предпосылки!$G210/(BJ$8+1-BJ$7)))</f>
        <v>0</v>
      </c>
      <c s="125">
        <f>IF(Предпосылки!$G210&lt;0,BL218,BK241*(Предпосылки!$G210/(BK$8+1-BK$7)))</f>
        <v>0</v>
      </c>
      <c s="125">
        <f>IF(Предпосылки!$G210&lt;0,BM218,BL241*(Предпосылки!$G210/(BL$8+1-BL$7)))</f>
        <v>0</v>
      </c>
      <c s="125">
        <f>IF(Предпосылки!$G210&lt;0,BN218,BM241*(Предпосылки!$G210/(BM$8+1-BM$7)))</f>
        <v>0</v>
      </c>
    </row>
    <row r="288" spans="2:65" ht="15" customHeight="1">
      <c r="B288" s="12" t="str">
        <f t="shared" si="251"/>
        <v>Операционные затраты 11</v>
      </c>
      <c s="124" t="str">
        <f t="shared" si="252"/>
        <v>тыс. руб.</v>
      </c>
      <c s="125"/>
      <c s="125">
        <f>IF(Предпосылки!$G211&lt;0,F219,E242*(Предпосылки!$G211/(E$8+1-E$7)))</f>
        <v>0</v>
      </c>
      <c s="125">
        <f>IF(Предпосылки!$G211&lt;0,G219,F242*(Предпосылки!$G211/(F$8+1-F$7)))</f>
        <v>0</v>
      </c>
      <c s="125">
        <f>IF(Предпосылки!$G211&lt;0,H219,G242*(Предпосылки!$G211/(G$8+1-G$7)))</f>
        <v>0</v>
      </c>
      <c s="125">
        <f>IF(Предпосылки!$G211&lt;0,I219,H242*(Предпосылки!$G211/(H$8+1-H$7)))</f>
        <v>0</v>
      </c>
      <c s="125">
        <f>IF(Предпосылки!$G211&lt;0,J219,I242*(Предпосылки!$G211/(I$8+1-I$7)))</f>
        <v>0</v>
      </c>
      <c s="125">
        <f>IF(Предпосылки!$G211&lt;0,K219,J242*(Предпосылки!$G211/(J$8+1-J$7)))</f>
        <v>0</v>
      </c>
      <c s="125">
        <f>IF(Предпосылки!$G211&lt;0,L219,K242*(Предпосылки!$G211/(K$8+1-K$7)))</f>
        <v>0</v>
      </c>
      <c s="125">
        <f>IF(Предпосылки!$G211&lt;0,M219,L242*(Предпосылки!$G211/(L$8+1-L$7)))</f>
        <v>0</v>
      </c>
      <c s="125">
        <f>IF(Предпосылки!$G211&lt;0,N219,M242*(Предпосылки!$G211/(M$8+1-M$7)))</f>
        <v>0</v>
      </c>
      <c s="125">
        <f>IF(Предпосылки!$G211&lt;0,O219,N242*(Предпосылки!$G211/(N$8+1-N$7)))</f>
        <v>0</v>
      </c>
      <c s="125">
        <f>IF(Предпосылки!$G211&lt;0,P219,O242*(Предпосылки!$G211/(O$8+1-O$7)))</f>
        <v>0</v>
      </c>
      <c s="125">
        <f>IF(Предпосылки!$G211&lt;0,Q219,P242*(Предпосылки!$G211/(P$8+1-P$7)))</f>
        <v>0</v>
      </c>
      <c s="125">
        <f>IF(Предпосылки!$G211&lt;0,R219,Q242*(Предпосылки!$G211/(Q$8+1-Q$7)))</f>
        <v>0</v>
      </c>
      <c s="125">
        <f>IF(Предпосылки!$G211&lt;0,S219,R242*(Предпосылки!$G211/(R$8+1-R$7)))</f>
        <v>0</v>
      </c>
      <c s="125">
        <f>IF(Предпосылки!$G211&lt;0,T219,S242*(Предпосылки!$G211/(S$8+1-S$7)))</f>
        <v>0</v>
      </c>
      <c s="125">
        <f>IF(Предпосылки!$G211&lt;0,U219,T242*(Предпосылки!$G211/(T$8+1-T$7)))</f>
        <v>0</v>
      </c>
      <c s="125">
        <f>IF(Предпосылки!$G211&lt;0,V219,U242*(Предпосылки!$G211/(U$8+1-U$7)))</f>
        <v>0</v>
      </c>
      <c s="125">
        <f>IF(Предпосылки!$G211&lt;0,W219,V242*(Предпосылки!$G211/(V$8+1-V$7)))</f>
        <v>0</v>
      </c>
      <c s="125">
        <f>IF(Предпосылки!$G211&lt;0,X219,W242*(Предпосылки!$G211/(W$8+1-W$7)))</f>
        <v>0</v>
      </c>
      <c s="125">
        <f>IF(Предпосылки!$G211&lt;0,Y219,X242*(Предпосылки!$G211/(X$8+1-X$7)))</f>
        <v>0</v>
      </c>
      <c s="125">
        <f>IF(Предпосылки!$G211&lt;0,Z219,Y242*(Предпосылки!$G211/(Y$8+1-Y$7)))</f>
        <v>0</v>
      </c>
      <c s="125">
        <f>IF(Предпосылки!$G211&lt;0,AA219,Z242*(Предпосылки!$G211/(Z$8+1-Z$7)))</f>
        <v>0</v>
      </c>
      <c s="125">
        <f>IF(Предпосылки!$G211&lt;0,AB219,AA242*(Предпосылки!$G211/(AA$8+1-AA$7)))</f>
        <v>0</v>
      </c>
      <c s="125">
        <f>IF(Предпосылки!$G211&lt;0,AC219,AB242*(Предпосылки!$G211/(AB$8+1-AB$7)))</f>
        <v>0</v>
      </c>
      <c s="125">
        <f>IF(Предпосылки!$G211&lt;0,AD219,AC242*(Предпосылки!$G211/(AC$8+1-AC$7)))</f>
        <v>0</v>
      </c>
      <c s="125">
        <f>IF(Предпосылки!$G211&lt;0,AE219,AD242*(Предпосылки!$G211/(AD$8+1-AD$7)))</f>
        <v>0</v>
      </c>
      <c s="125">
        <f>IF(Предпосылки!$G211&lt;0,AF219,AE242*(Предпосылки!$G211/(AE$8+1-AE$7)))</f>
        <v>0</v>
      </c>
      <c s="125">
        <f>IF(Предпосылки!$G211&lt;0,AG219,AF242*(Предпосылки!$G211/(AF$8+1-AF$7)))</f>
        <v>0</v>
      </c>
      <c s="125">
        <f>IF(Предпосылки!$G211&lt;0,AH219,AG242*(Предпосылки!$G211/(AG$8+1-AG$7)))</f>
        <v>0</v>
      </c>
      <c s="125">
        <f>IF(Предпосылки!$G211&lt;0,AI219,AH242*(Предпосылки!$G211/(AH$8+1-AH$7)))</f>
        <v>0</v>
      </c>
      <c s="125">
        <f>IF(Предпосылки!$G211&lt;0,AJ219,AI242*(Предпосылки!$G211/(AI$8+1-AI$7)))</f>
        <v>0</v>
      </c>
      <c s="125">
        <f>IF(Предпосылки!$G211&lt;0,AK219,AJ242*(Предпосылки!$G211/(AJ$8+1-AJ$7)))</f>
        <v>0</v>
      </c>
      <c s="125">
        <f>IF(Предпосылки!$G211&lt;0,AL219,AK242*(Предпосылки!$G211/(AK$8+1-AK$7)))</f>
        <v>0</v>
      </c>
      <c s="125">
        <f>IF(Предпосылки!$G211&lt;0,AM219,AL242*(Предпосылки!$G211/(AL$8+1-AL$7)))</f>
        <v>0</v>
      </c>
      <c s="125">
        <f>IF(Предпосылки!$G211&lt;0,AN219,AM242*(Предпосылки!$G211/(AM$8+1-AM$7)))</f>
        <v>0</v>
      </c>
      <c s="125">
        <f>IF(Предпосылки!$G211&lt;0,AO219,AN242*(Предпосылки!$G211/(AN$8+1-AN$7)))</f>
        <v>0</v>
      </c>
      <c s="125">
        <f>IF(Предпосылки!$G211&lt;0,AP219,AO242*(Предпосылки!$G211/(AO$8+1-AO$7)))</f>
        <v>0</v>
      </c>
      <c s="125">
        <f>IF(Предпосылки!$G211&lt;0,AQ219,AP242*(Предпосылки!$G211/(AP$8+1-AP$7)))</f>
        <v>0</v>
      </c>
      <c s="125">
        <f>IF(Предпосылки!$G211&lt;0,AR219,AQ242*(Предпосылки!$G211/(AQ$8+1-AQ$7)))</f>
        <v>0</v>
      </c>
      <c s="125">
        <f>IF(Предпосылки!$G211&lt;0,AS219,AR242*(Предпосылки!$G211/(AR$8+1-AR$7)))</f>
        <v>0</v>
      </c>
      <c s="125">
        <f>IF(Предпосылки!$G211&lt;0,AT219,AS242*(Предпосылки!$G211/(AS$8+1-AS$7)))</f>
        <v>0</v>
      </c>
      <c s="125">
        <f>IF(Предпосылки!$G211&lt;0,AU219,AT242*(Предпосылки!$G211/(AT$8+1-AT$7)))</f>
        <v>0</v>
      </c>
      <c s="125">
        <f>IF(Предпосылки!$G211&lt;0,AV219,AU242*(Предпосылки!$G211/(AU$8+1-AU$7)))</f>
        <v>0</v>
      </c>
      <c s="125">
        <f>IF(Предпосылки!$G211&lt;0,AW219,AV242*(Предпосылки!$G211/(AV$8+1-AV$7)))</f>
        <v>0</v>
      </c>
      <c s="125">
        <f>IF(Предпосылки!$G211&lt;0,AX219,AW242*(Предпосылки!$G211/(AW$8+1-AW$7)))</f>
        <v>0</v>
      </c>
      <c s="125">
        <f>IF(Предпосылки!$G211&lt;0,AY219,AX242*(Предпосылки!$G211/(AX$8+1-AX$7)))</f>
        <v>0</v>
      </c>
      <c s="125">
        <f>IF(Предпосылки!$G211&lt;0,AZ219,AY242*(Предпосылки!$G211/(AY$8+1-AY$7)))</f>
        <v>0</v>
      </c>
      <c s="125">
        <f>IF(Предпосылки!$G211&lt;0,BA219,AZ242*(Предпосылки!$G211/(AZ$8+1-AZ$7)))</f>
        <v>0</v>
      </c>
      <c s="125">
        <f>IF(Предпосылки!$G211&lt;0,BB219,BA242*(Предпосылки!$G211/(BA$8+1-BA$7)))</f>
        <v>0</v>
      </c>
      <c s="125">
        <f>IF(Предпосылки!$G211&lt;0,BC219,BB242*(Предпосылки!$G211/(BB$8+1-BB$7)))</f>
        <v>0</v>
      </c>
      <c s="125">
        <f>IF(Предпосылки!$G211&lt;0,BD219,BC242*(Предпосылки!$G211/(BC$8+1-BC$7)))</f>
        <v>0</v>
      </c>
      <c s="125">
        <f>IF(Предпосылки!$G211&lt;0,BE219,BD242*(Предпосылки!$G211/(BD$8+1-BD$7)))</f>
        <v>0</v>
      </c>
      <c s="125">
        <f>IF(Предпосылки!$G211&lt;0,BF219,BE242*(Предпосылки!$G211/(BE$8+1-BE$7)))</f>
        <v>0</v>
      </c>
      <c s="125">
        <f>IF(Предпосылки!$G211&lt;0,BG219,BF242*(Предпосылки!$G211/(BF$8+1-BF$7)))</f>
        <v>0</v>
      </c>
      <c s="125">
        <f>IF(Предпосылки!$G211&lt;0,BH219,BG242*(Предпосылки!$G211/(BG$8+1-BG$7)))</f>
        <v>0</v>
      </c>
      <c s="125">
        <f>IF(Предпосылки!$G211&lt;0,BI219,BH242*(Предпосылки!$G211/(BH$8+1-BH$7)))</f>
        <v>0</v>
      </c>
      <c s="125">
        <f>IF(Предпосылки!$G211&lt;0,BJ219,BI242*(Предпосылки!$G211/(BI$8+1-BI$7)))</f>
        <v>0</v>
      </c>
      <c s="125">
        <f>IF(Предпосылки!$G211&lt;0,BK219,BJ242*(Предпосылки!$G211/(BJ$8+1-BJ$7)))</f>
        <v>0</v>
      </c>
      <c s="125">
        <f>IF(Предпосылки!$G211&lt;0,BL219,BK242*(Предпосылки!$G211/(BK$8+1-BK$7)))</f>
        <v>0</v>
      </c>
      <c s="125">
        <f>IF(Предпосылки!$G211&lt;0,BM219,BL242*(Предпосылки!$G211/(BL$8+1-BL$7)))</f>
        <v>0</v>
      </c>
      <c s="125">
        <f>IF(Предпосылки!$G211&lt;0,BN219,BM242*(Предпосылки!$G211/(BM$8+1-BM$7)))</f>
        <v>0</v>
      </c>
    </row>
    <row r="289" spans="2:65" ht="15" customHeight="1">
      <c r="B289" s="12" t="str">
        <f t="shared" si="251"/>
        <v>Операционные затраты 12</v>
      </c>
      <c s="124" t="str">
        <f t="shared" si="252"/>
        <v>тыс. руб.</v>
      </c>
      <c s="125"/>
      <c s="125">
        <f>IF(Предпосылки!$G212&lt;0,F220,E243*(Предпосылки!$G212/(E$8+1-E$7)))</f>
        <v>0</v>
      </c>
      <c s="125">
        <f>IF(Предпосылки!$G212&lt;0,G220,F243*(Предпосылки!$G212/(F$8+1-F$7)))</f>
        <v>0</v>
      </c>
      <c s="125">
        <f>IF(Предпосылки!$G212&lt;0,H220,G243*(Предпосылки!$G212/(G$8+1-G$7)))</f>
        <v>0</v>
      </c>
      <c s="125">
        <f>IF(Предпосылки!$G212&lt;0,I220,H243*(Предпосылки!$G212/(H$8+1-H$7)))</f>
        <v>0</v>
      </c>
      <c s="125">
        <f>IF(Предпосылки!$G212&lt;0,J220,I243*(Предпосылки!$G212/(I$8+1-I$7)))</f>
        <v>0</v>
      </c>
      <c s="125">
        <f>IF(Предпосылки!$G212&lt;0,K220,J243*(Предпосылки!$G212/(J$8+1-J$7)))</f>
        <v>0</v>
      </c>
      <c s="125">
        <f>IF(Предпосылки!$G212&lt;0,L220,K243*(Предпосылки!$G212/(K$8+1-K$7)))</f>
        <v>0</v>
      </c>
      <c s="125">
        <f>IF(Предпосылки!$G212&lt;0,M220,L243*(Предпосылки!$G212/(L$8+1-L$7)))</f>
        <v>0</v>
      </c>
      <c s="125">
        <f>IF(Предпосылки!$G212&lt;0,N220,M243*(Предпосылки!$G212/(M$8+1-M$7)))</f>
        <v>0</v>
      </c>
      <c s="125">
        <f>IF(Предпосылки!$G212&lt;0,O220,N243*(Предпосылки!$G212/(N$8+1-N$7)))</f>
        <v>0</v>
      </c>
      <c s="125">
        <f>IF(Предпосылки!$G212&lt;0,P220,O243*(Предпосылки!$G212/(O$8+1-O$7)))</f>
        <v>0</v>
      </c>
      <c s="125">
        <f>IF(Предпосылки!$G212&lt;0,Q220,P243*(Предпосылки!$G212/(P$8+1-P$7)))</f>
        <v>0</v>
      </c>
      <c s="125">
        <f>IF(Предпосылки!$G212&lt;0,R220,Q243*(Предпосылки!$G212/(Q$8+1-Q$7)))</f>
        <v>0</v>
      </c>
      <c s="125">
        <f>IF(Предпосылки!$G212&lt;0,S220,R243*(Предпосылки!$G212/(R$8+1-R$7)))</f>
        <v>0</v>
      </c>
      <c s="125">
        <f>IF(Предпосылки!$G212&lt;0,T220,S243*(Предпосылки!$G212/(S$8+1-S$7)))</f>
        <v>0</v>
      </c>
      <c s="125">
        <f>IF(Предпосылки!$G212&lt;0,U220,T243*(Предпосылки!$G212/(T$8+1-T$7)))</f>
        <v>0</v>
      </c>
      <c s="125">
        <f>IF(Предпосылки!$G212&lt;0,V220,U243*(Предпосылки!$G212/(U$8+1-U$7)))</f>
        <v>0</v>
      </c>
      <c s="125">
        <f>IF(Предпосылки!$G212&lt;0,W220,V243*(Предпосылки!$G212/(V$8+1-V$7)))</f>
        <v>0</v>
      </c>
      <c s="125">
        <f>IF(Предпосылки!$G212&lt;0,X220,W243*(Предпосылки!$G212/(W$8+1-W$7)))</f>
        <v>0</v>
      </c>
      <c s="125">
        <f>IF(Предпосылки!$G212&lt;0,Y220,X243*(Предпосылки!$G212/(X$8+1-X$7)))</f>
        <v>0</v>
      </c>
      <c s="125">
        <f>IF(Предпосылки!$G212&lt;0,Z220,Y243*(Предпосылки!$G212/(Y$8+1-Y$7)))</f>
        <v>0</v>
      </c>
      <c s="125">
        <f>IF(Предпосылки!$G212&lt;0,AA220,Z243*(Предпосылки!$G212/(Z$8+1-Z$7)))</f>
        <v>0</v>
      </c>
      <c s="125">
        <f>IF(Предпосылки!$G212&lt;0,AB220,AA243*(Предпосылки!$G212/(AA$8+1-AA$7)))</f>
        <v>0</v>
      </c>
      <c s="125">
        <f>IF(Предпосылки!$G212&lt;0,AC220,AB243*(Предпосылки!$G212/(AB$8+1-AB$7)))</f>
        <v>0</v>
      </c>
      <c s="125">
        <f>IF(Предпосылки!$G212&lt;0,AD220,AC243*(Предпосылки!$G212/(AC$8+1-AC$7)))</f>
        <v>0</v>
      </c>
      <c s="125">
        <f>IF(Предпосылки!$G212&lt;0,AE220,AD243*(Предпосылки!$G212/(AD$8+1-AD$7)))</f>
        <v>0</v>
      </c>
      <c s="125">
        <f>IF(Предпосылки!$G212&lt;0,AF220,AE243*(Предпосылки!$G212/(AE$8+1-AE$7)))</f>
        <v>0</v>
      </c>
      <c s="125">
        <f>IF(Предпосылки!$G212&lt;0,AG220,AF243*(Предпосылки!$G212/(AF$8+1-AF$7)))</f>
        <v>0</v>
      </c>
      <c s="125">
        <f>IF(Предпосылки!$G212&lt;0,AH220,AG243*(Предпосылки!$G212/(AG$8+1-AG$7)))</f>
        <v>0</v>
      </c>
      <c s="125">
        <f>IF(Предпосылки!$G212&lt;0,AI220,AH243*(Предпосылки!$G212/(AH$8+1-AH$7)))</f>
        <v>0</v>
      </c>
      <c s="125">
        <f>IF(Предпосылки!$G212&lt;0,AJ220,AI243*(Предпосылки!$G212/(AI$8+1-AI$7)))</f>
        <v>0</v>
      </c>
      <c s="125">
        <f>IF(Предпосылки!$G212&lt;0,AK220,AJ243*(Предпосылки!$G212/(AJ$8+1-AJ$7)))</f>
        <v>0</v>
      </c>
      <c s="125">
        <f>IF(Предпосылки!$G212&lt;0,AL220,AK243*(Предпосылки!$G212/(AK$8+1-AK$7)))</f>
        <v>0</v>
      </c>
      <c s="125">
        <f>IF(Предпосылки!$G212&lt;0,AM220,AL243*(Предпосылки!$G212/(AL$8+1-AL$7)))</f>
        <v>0</v>
      </c>
      <c s="125">
        <f>IF(Предпосылки!$G212&lt;0,AN220,AM243*(Предпосылки!$G212/(AM$8+1-AM$7)))</f>
        <v>0</v>
      </c>
      <c s="125">
        <f>IF(Предпосылки!$G212&lt;0,AO220,AN243*(Предпосылки!$G212/(AN$8+1-AN$7)))</f>
        <v>0</v>
      </c>
      <c s="125">
        <f>IF(Предпосылки!$G212&lt;0,AP220,AO243*(Предпосылки!$G212/(AO$8+1-AO$7)))</f>
        <v>0</v>
      </c>
      <c s="125">
        <f>IF(Предпосылки!$G212&lt;0,AQ220,AP243*(Предпосылки!$G212/(AP$8+1-AP$7)))</f>
        <v>0</v>
      </c>
      <c s="125">
        <f>IF(Предпосылки!$G212&lt;0,AR220,AQ243*(Предпосылки!$G212/(AQ$8+1-AQ$7)))</f>
        <v>0</v>
      </c>
      <c s="125">
        <f>IF(Предпосылки!$G212&lt;0,AS220,AR243*(Предпосылки!$G212/(AR$8+1-AR$7)))</f>
        <v>0</v>
      </c>
      <c s="125">
        <f>IF(Предпосылки!$G212&lt;0,AT220,AS243*(Предпосылки!$G212/(AS$8+1-AS$7)))</f>
        <v>0</v>
      </c>
      <c s="125">
        <f>IF(Предпосылки!$G212&lt;0,AU220,AT243*(Предпосылки!$G212/(AT$8+1-AT$7)))</f>
        <v>0</v>
      </c>
      <c s="125">
        <f>IF(Предпосылки!$G212&lt;0,AV220,AU243*(Предпосылки!$G212/(AU$8+1-AU$7)))</f>
        <v>0</v>
      </c>
      <c s="125">
        <f>IF(Предпосылки!$G212&lt;0,AW220,AV243*(Предпосылки!$G212/(AV$8+1-AV$7)))</f>
        <v>0</v>
      </c>
      <c s="125">
        <f>IF(Предпосылки!$G212&lt;0,AX220,AW243*(Предпосылки!$G212/(AW$8+1-AW$7)))</f>
        <v>0</v>
      </c>
      <c s="125">
        <f>IF(Предпосылки!$G212&lt;0,AY220,AX243*(Предпосылки!$G212/(AX$8+1-AX$7)))</f>
        <v>0</v>
      </c>
      <c s="125">
        <f>IF(Предпосылки!$G212&lt;0,AZ220,AY243*(Предпосылки!$G212/(AY$8+1-AY$7)))</f>
        <v>0</v>
      </c>
      <c s="125">
        <f>IF(Предпосылки!$G212&lt;0,BA220,AZ243*(Предпосылки!$G212/(AZ$8+1-AZ$7)))</f>
        <v>0</v>
      </c>
      <c s="125">
        <f>IF(Предпосылки!$G212&lt;0,BB220,BA243*(Предпосылки!$G212/(BA$8+1-BA$7)))</f>
        <v>0</v>
      </c>
      <c s="125">
        <f>IF(Предпосылки!$G212&lt;0,BC220,BB243*(Предпосылки!$G212/(BB$8+1-BB$7)))</f>
        <v>0</v>
      </c>
      <c s="125">
        <f>IF(Предпосылки!$G212&lt;0,BD220,BC243*(Предпосылки!$G212/(BC$8+1-BC$7)))</f>
        <v>0</v>
      </c>
      <c s="125">
        <f>IF(Предпосылки!$G212&lt;0,BE220,BD243*(Предпосылки!$G212/(BD$8+1-BD$7)))</f>
        <v>0</v>
      </c>
      <c s="125">
        <f>IF(Предпосылки!$G212&lt;0,BF220,BE243*(Предпосылки!$G212/(BE$8+1-BE$7)))</f>
        <v>0</v>
      </c>
      <c s="125">
        <f>IF(Предпосылки!$G212&lt;0,BG220,BF243*(Предпосылки!$G212/(BF$8+1-BF$7)))</f>
        <v>0</v>
      </c>
      <c s="125">
        <f>IF(Предпосылки!$G212&lt;0,BH220,BG243*(Предпосылки!$G212/(BG$8+1-BG$7)))</f>
        <v>0</v>
      </c>
      <c s="125">
        <f>IF(Предпосылки!$G212&lt;0,BI220,BH243*(Предпосылки!$G212/(BH$8+1-BH$7)))</f>
        <v>0</v>
      </c>
      <c s="125">
        <f>IF(Предпосылки!$G212&lt;0,BJ220,BI243*(Предпосылки!$G212/(BI$8+1-BI$7)))</f>
        <v>0</v>
      </c>
      <c s="125">
        <f>IF(Предпосылки!$G212&lt;0,BK220,BJ243*(Предпосылки!$G212/(BJ$8+1-BJ$7)))</f>
        <v>0</v>
      </c>
      <c s="125">
        <f>IF(Предпосылки!$G212&lt;0,BL220,BK243*(Предпосылки!$G212/(BK$8+1-BK$7)))</f>
        <v>0</v>
      </c>
      <c s="125">
        <f>IF(Предпосылки!$G212&lt;0,BM220,BL243*(Предпосылки!$G212/(BL$8+1-BL$7)))</f>
        <v>0</v>
      </c>
      <c s="125">
        <f>IF(Предпосылки!$G212&lt;0,BN220,BM243*(Предпосылки!$G212/(BM$8+1-BM$7)))</f>
        <v>0</v>
      </c>
    </row>
    <row r="290" spans="2:65" ht="15" customHeight="1">
      <c r="B290" s="12" t="str">
        <f t="shared" si="251"/>
        <v>Операционные затраты 13</v>
      </c>
      <c s="124" t="str">
        <f t="shared" si="252"/>
        <v>тыс. руб.</v>
      </c>
      <c s="125"/>
      <c s="125">
        <f>IF(Предпосылки!$G213&lt;0,F221,E244*(Предпосылки!$G213/(E$8+1-E$7)))</f>
        <v>0</v>
      </c>
      <c s="125">
        <f>IF(Предпосылки!$G213&lt;0,G221,F244*(Предпосылки!$G213/(F$8+1-F$7)))</f>
        <v>0</v>
      </c>
      <c s="125">
        <f>IF(Предпосылки!$G213&lt;0,H221,G244*(Предпосылки!$G213/(G$8+1-G$7)))</f>
        <v>0</v>
      </c>
      <c s="125">
        <f>IF(Предпосылки!$G213&lt;0,I221,H244*(Предпосылки!$G213/(H$8+1-H$7)))</f>
        <v>0</v>
      </c>
      <c s="125">
        <f>IF(Предпосылки!$G213&lt;0,J221,I244*(Предпосылки!$G213/(I$8+1-I$7)))</f>
        <v>0</v>
      </c>
      <c s="125">
        <f>IF(Предпосылки!$G213&lt;0,K221,J244*(Предпосылки!$G213/(J$8+1-J$7)))</f>
        <v>0</v>
      </c>
      <c s="125">
        <f>IF(Предпосылки!$G213&lt;0,L221,K244*(Предпосылки!$G213/(K$8+1-K$7)))</f>
        <v>0</v>
      </c>
      <c s="125">
        <f>IF(Предпосылки!$G213&lt;0,M221,L244*(Предпосылки!$G213/(L$8+1-L$7)))</f>
        <v>0</v>
      </c>
      <c s="125">
        <f>IF(Предпосылки!$G213&lt;0,N221,M244*(Предпосылки!$G213/(M$8+1-M$7)))</f>
        <v>0</v>
      </c>
      <c s="125">
        <f>IF(Предпосылки!$G213&lt;0,O221,N244*(Предпосылки!$G213/(N$8+1-N$7)))</f>
        <v>0</v>
      </c>
      <c s="125">
        <f>IF(Предпосылки!$G213&lt;0,P221,O244*(Предпосылки!$G213/(O$8+1-O$7)))</f>
        <v>0</v>
      </c>
      <c s="125">
        <f>IF(Предпосылки!$G213&lt;0,Q221,P244*(Предпосылки!$G213/(P$8+1-P$7)))</f>
        <v>0</v>
      </c>
      <c s="125">
        <f>IF(Предпосылки!$G213&lt;0,R221,Q244*(Предпосылки!$G213/(Q$8+1-Q$7)))</f>
        <v>0</v>
      </c>
      <c s="125">
        <f>IF(Предпосылки!$G213&lt;0,S221,R244*(Предпосылки!$G213/(R$8+1-R$7)))</f>
        <v>0</v>
      </c>
      <c s="125">
        <f>IF(Предпосылки!$G213&lt;0,T221,S244*(Предпосылки!$G213/(S$8+1-S$7)))</f>
        <v>0</v>
      </c>
      <c s="125">
        <f>IF(Предпосылки!$G213&lt;0,U221,T244*(Предпосылки!$G213/(T$8+1-T$7)))</f>
        <v>0</v>
      </c>
      <c s="125">
        <f>IF(Предпосылки!$G213&lt;0,V221,U244*(Предпосылки!$G213/(U$8+1-U$7)))</f>
        <v>0</v>
      </c>
      <c s="125">
        <f>IF(Предпосылки!$G213&lt;0,W221,V244*(Предпосылки!$G213/(V$8+1-V$7)))</f>
        <v>0</v>
      </c>
      <c s="125">
        <f>IF(Предпосылки!$G213&lt;0,X221,W244*(Предпосылки!$G213/(W$8+1-W$7)))</f>
        <v>0</v>
      </c>
      <c s="125">
        <f>IF(Предпосылки!$G213&lt;0,Y221,X244*(Предпосылки!$G213/(X$8+1-X$7)))</f>
        <v>0</v>
      </c>
      <c s="125">
        <f>IF(Предпосылки!$G213&lt;0,Z221,Y244*(Предпосылки!$G213/(Y$8+1-Y$7)))</f>
        <v>0</v>
      </c>
      <c s="125">
        <f>IF(Предпосылки!$G213&lt;0,AA221,Z244*(Предпосылки!$G213/(Z$8+1-Z$7)))</f>
        <v>0</v>
      </c>
      <c s="125">
        <f>IF(Предпосылки!$G213&lt;0,AB221,AA244*(Предпосылки!$G213/(AA$8+1-AA$7)))</f>
        <v>0</v>
      </c>
      <c s="125">
        <f>IF(Предпосылки!$G213&lt;0,AC221,AB244*(Предпосылки!$G213/(AB$8+1-AB$7)))</f>
        <v>0</v>
      </c>
      <c s="125">
        <f>IF(Предпосылки!$G213&lt;0,AD221,AC244*(Предпосылки!$G213/(AC$8+1-AC$7)))</f>
        <v>0</v>
      </c>
      <c s="125">
        <f>IF(Предпосылки!$G213&lt;0,AE221,AD244*(Предпосылки!$G213/(AD$8+1-AD$7)))</f>
        <v>0</v>
      </c>
      <c s="125">
        <f>IF(Предпосылки!$G213&lt;0,AF221,AE244*(Предпосылки!$G213/(AE$8+1-AE$7)))</f>
        <v>0</v>
      </c>
      <c s="125">
        <f>IF(Предпосылки!$G213&lt;0,AG221,AF244*(Предпосылки!$G213/(AF$8+1-AF$7)))</f>
        <v>0</v>
      </c>
      <c s="125">
        <f>IF(Предпосылки!$G213&lt;0,AH221,AG244*(Предпосылки!$G213/(AG$8+1-AG$7)))</f>
        <v>0</v>
      </c>
      <c s="125">
        <f>IF(Предпосылки!$G213&lt;0,AI221,AH244*(Предпосылки!$G213/(AH$8+1-AH$7)))</f>
        <v>0</v>
      </c>
      <c s="125">
        <f>IF(Предпосылки!$G213&lt;0,AJ221,AI244*(Предпосылки!$G213/(AI$8+1-AI$7)))</f>
        <v>0</v>
      </c>
      <c s="125">
        <f>IF(Предпосылки!$G213&lt;0,AK221,AJ244*(Предпосылки!$G213/(AJ$8+1-AJ$7)))</f>
        <v>0</v>
      </c>
      <c s="125">
        <f>IF(Предпосылки!$G213&lt;0,AL221,AK244*(Предпосылки!$G213/(AK$8+1-AK$7)))</f>
        <v>0</v>
      </c>
      <c s="125">
        <f>IF(Предпосылки!$G213&lt;0,AM221,AL244*(Предпосылки!$G213/(AL$8+1-AL$7)))</f>
        <v>0</v>
      </c>
      <c s="125">
        <f>IF(Предпосылки!$G213&lt;0,AN221,AM244*(Предпосылки!$G213/(AM$8+1-AM$7)))</f>
        <v>0</v>
      </c>
      <c s="125">
        <f>IF(Предпосылки!$G213&lt;0,AO221,AN244*(Предпосылки!$G213/(AN$8+1-AN$7)))</f>
        <v>0</v>
      </c>
      <c s="125">
        <f>IF(Предпосылки!$G213&lt;0,AP221,AO244*(Предпосылки!$G213/(AO$8+1-AO$7)))</f>
        <v>0</v>
      </c>
      <c s="125">
        <f>IF(Предпосылки!$G213&lt;0,AQ221,AP244*(Предпосылки!$G213/(AP$8+1-AP$7)))</f>
        <v>0</v>
      </c>
      <c s="125">
        <f>IF(Предпосылки!$G213&lt;0,AR221,AQ244*(Предпосылки!$G213/(AQ$8+1-AQ$7)))</f>
        <v>0</v>
      </c>
      <c s="125">
        <f>IF(Предпосылки!$G213&lt;0,AS221,AR244*(Предпосылки!$G213/(AR$8+1-AR$7)))</f>
        <v>0</v>
      </c>
      <c s="125">
        <f>IF(Предпосылки!$G213&lt;0,AT221,AS244*(Предпосылки!$G213/(AS$8+1-AS$7)))</f>
        <v>0</v>
      </c>
      <c s="125">
        <f>IF(Предпосылки!$G213&lt;0,AU221,AT244*(Предпосылки!$G213/(AT$8+1-AT$7)))</f>
        <v>0</v>
      </c>
      <c s="125">
        <f>IF(Предпосылки!$G213&lt;0,AV221,AU244*(Предпосылки!$G213/(AU$8+1-AU$7)))</f>
        <v>0</v>
      </c>
      <c s="125">
        <f>IF(Предпосылки!$G213&lt;0,AW221,AV244*(Предпосылки!$G213/(AV$8+1-AV$7)))</f>
        <v>0</v>
      </c>
      <c s="125">
        <f>IF(Предпосылки!$G213&lt;0,AX221,AW244*(Предпосылки!$G213/(AW$8+1-AW$7)))</f>
        <v>0</v>
      </c>
      <c s="125">
        <f>IF(Предпосылки!$G213&lt;0,AY221,AX244*(Предпосылки!$G213/(AX$8+1-AX$7)))</f>
        <v>0</v>
      </c>
      <c s="125">
        <f>IF(Предпосылки!$G213&lt;0,AZ221,AY244*(Предпосылки!$G213/(AY$8+1-AY$7)))</f>
        <v>0</v>
      </c>
      <c s="125">
        <f>IF(Предпосылки!$G213&lt;0,BA221,AZ244*(Предпосылки!$G213/(AZ$8+1-AZ$7)))</f>
        <v>0</v>
      </c>
      <c s="125">
        <f>IF(Предпосылки!$G213&lt;0,BB221,BA244*(Предпосылки!$G213/(BA$8+1-BA$7)))</f>
        <v>0</v>
      </c>
      <c s="125">
        <f>IF(Предпосылки!$G213&lt;0,BC221,BB244*(Предпосылки!$G213/(BB$8+1-BB$7)))</f>
        <v>0</v>
      </c>
      <c s="125">
        <f>IF(Предпосылки!$G213&lt;0,BD221,BC244*(Предпосылки!$G213/(BC$8+1-BC$7)))</f>
        <v>0</v>
      </c>
      <c s="125">
        <f>IF(Предпосылки!$G213&lt;0,BE221,BD244*(Предпосылки!$G213/(BD$8+1-BD$7)))</f>
        <v>0</v>
      </c>
      <c s="125">
        <f>IF(Предпосылки!$G213&lt;0,BF221,BE244*(Предпосылки!$G213/(BE$8+1-BE$7)))</f>
        <v>0</v>
      </c>
      <c s="125">
        <f>IF(Предпосылки!$G213&lt;0,BG221,BF244*(Предпосылки!$G213/(BF$8+1-BF$7)))</f>
        <v>0</v>
      </c>
      <c s="125">
        <f>IF(Предпосылки!$G213&lt;0,BH221,BG244*(Предпосылки!$G213/(BG$8+1-BG$7)))</f>
        <v>0</v>
      </c>
      <c s="125">
        <f>IF(Предпосылки!$G213&lt;0,BI221,BH244*(Предпосылки!$G213/(BH$8+1-BH$7)))</f>
        <v>0</v>
      </c>
      <c s="125">
        <f>IF(Предпосылки!$G213&lt;0,BJ221,BI244*(Предпосылки!$G213/(BI$8+1-BI$7)))</f>
        <v>0</v>
      </c>
      <c s="125">
        <f>IF(Предпосылки!$G213&lt;0,BK221,BJ244*(Предпосылки!$G213/(BJ$8+1-BJ$7)))</f>
        <v>0</v>
      </c>
      <c s="125">
        <f>IF(Предпосылки!$G213&lt;0,BL221,BK244*(Предпосылки!$G213/(BK$8+1-BK$7)))</f>
        <v>0</v>
      </c>
      <c s="125">
        <f>IF(Предпосылки!$G213&lt;0,BM221,BL244*(Предпосылки!$G213/(BL$8+1-BL$7)))</f>
        <v>0</v>
      </c>
      <c s="125">
        <f>IF(Предпосылки!$G213&lt;0,BN221,BM244*(Предпосылки!$G213/(BM$8+1-BM$7)))</f>
        <v>0</v>
      </c>
    </row>
    <row r="291" spans="2:65" ht="15" customHeight="1">
      <c r="B291" s="12" t="str">
        <f t="shared" si="251"/>
        <v>Операционные затраты 14</v>
      </c>
      <c s="124" t="str">
        <f t="shared" si="252"/>
        <v>тыс. руб.</v>
      </c>
      <c s="125"/>
      <c s="125">
        <f>IF(Предпосылки!$G214&lt;0,F222,E245*(Предпосылки!$G214/(E$8+1-E$7)))</f>
        <v>0</v>
      </c>
      <c s="125">
        <f>IF(Предпосылки!$G214&lt;0,G222,F245*(Предпосылки!$G214/(F$8+1-F$7)))</f>
        <v>0</v>
      </c>
      <c s="125">
        <f>IF(Предпосылки!$G214&lt;0,H222,G245*(Предпосылки!$G214/(G$8+1-G$7)))</f>
        <v>0</v>
      </c>
      <c s="125">
        <f>IF(Предпосылки!$G214&lt;0,I222,H245*(Предпосылки!$G214/(H$8+1-H$7)))</f>
        <v>0</v>
      </c>
      <c s="125">
        <f>IF(Предпосылки!$G214&lt;0,J222,I245*(Предпосылки!$G214/(I$8+1-I$7)))</f>
        <v>0</v>
      </c>
      <c s="125">
        <f>IF(Предпосылки!$G214&lt;0,K222,J245*(Предпосылки!$G214/(J$8+1-J$7)))</f>
        <v>0</v>
      </c>
      <c s="125">
        <f>IF(Предпосылки!$G214&lt;0,L222,K245*(Предпосылки!$G214/(K$8+1-K$7)))</f>
        <v>0</v>
      </c>
      <c s="125">
        <f>IF(Предпосылки!$G214&lt;0,M222,L245*(Предпосылки!$G214/(L$8+1-L$7)))</f>
        <v>0</v>
      </c>
      <c s="125">
        <f>IF(Предпосылки!$G214&lt;0,N222,M245*(Предпосылки!$G214/(M$8+1-M$7)))</f>
        <v>0</v>
      </c>
      <c s="125">
        <f>IF(Предпосылки!$G214&lt;0,O222,N245*(Предпосылки!$G214/(N$8+1-N$7)))</f>
        <v>0</v>
      </c>
      <c s="125">
        <f>IF(Предпосылки!$G214&lt;0,P222,O245*(Предпосылки!$G214/(O$8+1-O$7)))</f>
        <v>0</v>
      </c>
      <c s="125">
        <f>IF(Предпосылки!$G214&lt;0,Q222,P245*(Предпосылки!$G214/(P$8+1-P$7)))</f>
        <v>0</v>
      </c>
      <c s="125">
        <f>IF(Предпосылки!$G214&lt;0,R222,Q245*(Предпосылки!$G214/(Q$8+1-Q$7)))</f>
        <v>0</v>
      </c>
      <c s="125">
        <f>IF(Предпосылки!$G214&lt;0,S222,R245*(Предпосылки!$G214/(R$8+1-R$7)))</f>
        <v>0</v>
      </c>
      <c s="125">
        <f>IF(Предпосылки!$G214&lt;0,T222,S245*(Предпосылки!$G214/(S$8+1-S$7)))</f>
        <v>0</v>
      </c>
      <c s="125">
        <f>IF(Предпосылки!$G214&lt;0,U222,T245*(Предпосылки!$G214/(T$8+1-T$7)))</f>
        <v>0</v>
      </c>
      <c s="125">
        <f>IF(Предпосылки!$G214&lt;0,V222,U245*(Предпосылки!$G214/(U$8+1-U$7)))</f>
        <v>0</v>
      </c>
      <c s="125">
        <f>IF(Предпосылки!$G214&lt;0,W222,V245*(Предпосылки!$G214/(V$8+1-V$7)))</f>
        <v>0</v>
      </c>
      <c s="125">
        <f>IF(Предпосылки!$G214&lt;0,X222,W245*(Предпосылки!$G214/(W$8+1-W$7)))</f>
        <v>0</v>
      </c>
      <c s="125">
        <f>IF(Предпосылки!$G214&lt;0,Y222,X245*(Предпосылки!$G214/(X$8+1-X$7)))</f>
        <v>0</v>
      </c>
      <c s="125">
        <f>IF(Предпосылки!$G214&lt;0,Z222,Y245*(Предпосылки!$G214/(Y$8+1-Y$7)))</f>
        <v>0</v>
      </c>
      <c s="125">
        <f>IF(Предпосылки!$G214&lt;0,AA222,Z245*(Предпосылки!$G214/(Z$8+1-Z$7)))</f>
        <v>0</v>
      </c>
      <c s="125">
        <f>IF(Предпосылки!$G214&lt;0,AB222,AA245*(Предпосылки!$G214/(AA$8+1-AA$7)))</f>
        <v>0</v>
      </c>
      <c s="125">
        <f>IF(Предпосылки!$G214&lt;0,AC222,AB245*(Предпосылки!$G214/(AB$8+1-AB$7)))</f>
        <v>0</v>
      </c>
      <c s="125">
        <f>IF(Предпосылки!$G214&lt;0,AD222,AC245*(Предпосылки!$G214/(AC$8+1-AC$7)))</f>
        <v>0</v>
      </c>
      <c s="125">
        <f>IF(Предпосылки!$G214&lt;0,AE222,AD245*(Предпосылки!$G214/(AD$8+1-AD$7)))</f>
        <v>0</v>
      </c>
      <c s="125">
        <f>IF(Предпосылки!$G214&lt;0,AF222,AE245*(Предпосылки!$G214/(AE$8+1-AE$7)))</f>
        <v>0</v>
      </c>
      <c s="125">
        <f>IF(Предпосылки!$G214&lt;0,AG222,AF245*(Предпосылки!$G214/(AF$8+1-AF$7)))</f>
        <v>0</v>
      </c>
      <c s="125">
        <f>IF(Предпосылки!$G214&lt;0,AH222,AG245*(Предпосылки!$G214/(AG$8+1-AG$7)))</f>
        <v>0</v>
      </c>
      <c s="125">
        <f>IF(Предпосылки!$G214&lt;0,AI222,AH245*(Предпосылки!$G214/(AH$8+1-AH$7)))</f>
        <v>0</v>
      </c>
      <c s="125">
        <f>IF(Предпосылки!$G214&lt;0,AJ222,AI245*(Предпосылки!$G214/(AI$8+1-AI$7)))</f>
        <v>0</v>
      </c>
      <c s="125">
        <f>IF(Предпосылки!$G214&lt;0,AK222,AJ245*(Предпосылки!$G214/(AJ$8+1-AJ$7)))</f>
        <v>0</v>
      </c>
      <c s="125">
        <f>IF(Предпосылки!$G214&lt;0,AL222,AK245*(Предпосылки!$G214/(AK$8+1-AK$7)))</f>
        <v>0</v>
      </c>
      <c s="125">
        <f>IF(Предпосылки!$G214&lt;0,AM222,AL245*(Предпосылки!$G214/(AL$8+1-AL$7)))</f>
        <v>0</v>
      </c>
      <c s="125">
        <f>IF(Предпосылки!$G214&lt;0,AN222,AM245*(Предпосылки!$G214/(AM$8+1-AM$7)))</f>
        <v>0</v>
      </c>
      <c s="125">
        <f>IF(Предпосылки!$G214&lt;0,AO222,AN245*(Предпосылки!$G214/(AN$8+1-AN$7)))</f>
        <v>0</v>
      </c>
      <c s="125">
        <f>IF(Предпосылки!$G214&lt;0,AP222,AO245*(Предпосылки!$G214/(AO$8+1-AO$7)))</f>
        <v>0</v>
      </c>
      <c s="125">
        <f>IF(Предпосылки!$G214&lt;0,AQ222,AP245*(Предпосылки!$G214/(AP$8+1-AP$7)))</f>
        <v>0</v>
      </c>
      <c s="125">
        <f>IF(Предпосылки!$G214&lt;0,AR222,AQ245*(Предпосылки!$G214/(AQ$8+1-AQ$7)))</f>
        <v>0</v>
      </c>
      <c s="125">
        <f>IF(Предпосылки!$G214&lt;0,AS222,AR245*(Предпосылки!$G214/(AR$8+1-AR$7)))</f>
        <v>0</v>
      </c>
      <c s="125">
        <f>IF(Предпосылки!$G214&lt;0,AT222,AS245*(Предпосылки!$G214/(AS$8+1-AS$7)))</f>
        <v>0</v>
      </c>
      <c s="125">
        <f>IF(Предпосылки!$G214&lt;0,AU222,AT245*(Предпосылки!$G214/(AT$8+1-AT$7)))</f>
        <v>0</v>
      </c>
      <c s="125">
        <f>IF(Предпосылки!$G214&lt;0,AV222,AU245*(Предпосылки!$G214/(AU$8+1-AU$7)))</f>
        <v>0</v>
      </c>
      <c s="125">
        <f>IF(Предпосылки!$G214&lt;0,AW222,AV245*(Предпосылки!$G214/(AV$8+1-AV$7)))</f>
        <v>0</v>
      </c>
      <c s="125">
        <f>IF(Предпосылки!$G214&lt;0,AX222,AW245*(Предпосылки!$G214/(AW$8+1-AW$7)))</f>
        <v>0</v>
      </c>
      <c s="125">
        <f>IF(Предпосылки!$G214&lt;0,AY222,AX245*(Предпосылки!$G214/(AX$8+1-AX$7)))</f>
        <v>0</v>
      </c>
      <c s="125">
        <f>IF(Предпосылки!$G214&lt;0,AZ222,AY245*(Предпосылки!$G214/(AY$8+1-AY$7)))</f>
        <v>0</v>
      </c>
      <c s="125">
        <f>IF(Предпосылки!$G214&lt;0,BA222,AZ245*(Предпосылки!$G214/(AZ$8+1-AZ$7)))</f>
        <v>0</v>
      </c>
      <c s="125">
        <f>IF(Предпосылки!$G214&lt;0,BB222,BA245*(Предпосылки!$G214/(BA$8+1-BA$7)))</f>
        <v>0</v>
      </c>
      <c s="125">
        <f>IF(Предпосылки!$G214&lt;0,BC222,BB245*(Предпосылки!$G214/(BB$8+1-BB$7)))</f>
        <v>0</v>
      </c>
      <c s="125">
        <f>IF(Предпосылки!$G214&lt;0,BD222,BC245*(Предпосылки!$G214/(BC$8+1-BC$7)))</f>
        <v>0</v>
      </c>
      <c s="125">
        <f>IF(Предпосылки!$G214&lt;0,BE222,BD245*(Предпосылки!$G214/(BD$8+1-BD$7)))</f>
        <v>0</v>
      </c>
      <c s="125">
        <f>IF(Предпосылки!$G214&lt;0,BF222,BE245*(Предпосылки!$G214/(BE$8+1-BE$7)))</f>
        <v>0</v>
      </c>
      <c s="125">
        <f>IF(Предпосылки!$G214&lt;0,BG222,BF245*(Предпосылки!$G214/(BF$8+1-BF$7)))</f>
        <v>0</v>
      </c>
      <c s="125">
        <f>IF(Предпосылки!$G214&lt;0,BH222,BG245*(Предпосылки!$G214/(BG$8+1-BG$7)))</f>
        <v>0</v>
      </c>
      <c s="125">
        <f>IF(Предпосылки!$G214&lt;0,BI222,BH245*(Предпосылки!$G214/(BH$8+1-BH$7)))</f>
        <v>0</v>
      </c>
      <c s="125">
        <f>IF(Предпосылки!$G214&lt;0,BJ222,BI245*(Предпосылки!$G214/(BI$8+1-BI$7)))</f>
        <v>0</v>
      </c>
      <c s="125">
        <f>IF(Предпосылки!$G214&lt;0,BK222,BJ245*(Предпосылки!$G214/(BJ$8+1-BJ$7)))</f>
        <v>0</v>
      </c>
      <c s="125">
        <f>IF(Предпосылки!$G214&lt;0,BL222,BK245*(Предпосылки!$G214/(BK$8+1-BK$7)))</f>
        <v>0</v>
      </c>
      <c s="125">
        <f>IF(Предпосылки!$G214&lt;0,BM222,BL245*(Предпосылки!$G214/(BL$8+1-BL$7)))</f>
        <v>0</v>
      </c>
      <c s="125">
        <f>IF(Предпосылки!$G214&lt;0,BN222,BM245*(Предпосылки!$G214/(BM$8+1-BM$7)))</f>
        <v>0</v>
      </c>
    </row>
    <row r="292" spans="2:65" ht="15" customHeight="1">
      <c r="B292" s="12" t="str">
        <f t="shared" si="251"/>
        <v>Операционные затраты 15</v>
      </c>
      <c s="124" t="str">
        <f t="shared" si="252"/>
        <v>тыс. руб.</v>
      </c>
      <c s="125"/>
      <c s="125">
        <f>IF(Предпосылки!$G215&lt;0,F223,E246*(Предпосылки!$G215/(E$8+1-E$7)))</f>
        <v>0</v>
      </c>
      <c s="125">
        <f>IF(Предпосылки!$G215&lt;0,G223,F246*(Предпосылки!$G215/(F$8+1-F$7)))</f>
        <v>0</v>
      </c>
      <c s="125">
        <f>IF(Предпосылки!$G215&lt;0,H223,G246*(Предпосылки!$G215/(G$8+1-G$7)))</f>
        <v>0</v>
      </c>
      <c s="125">
        <f>IF(Предпосылки!$G215&lt;0,I223,H246*(Предпосылки!$G215/(H$8+1-H$7)))</f>
        <v>0</v>
      </c>
      <c s="125">
        <f>IF(Предпосылки!$G215&lt;0,J223,I246*(Предпосылки!$G215/(I$8+1-I$7)))</f>
        <v>0</v>
      </c>
      <c s="125">
        <f>IF(Предпосылки!$G215&lt;0,K223,J246*(Предпосылки!$G215/(J$8+1-J$7)))</f>
        <v>0</v>
      </c>
      <c s="125">
        <f>IF(Предпосылки!$G215&lt;0,L223,K246*(Предпосылки!$G215/(K$8+1-K$7)))</f>
        <v>0</v>
      </c>
      <c s="125">
        <f>IF(Предпосылки!$G215&lt;0,M223,L246*(Предпосылки!$G215/(L$8+1-L$7)))</f>
        <v>0</v>
      </c>
      <c s="125">
        <f>IF(Предпосылки!$G215&lt;0,N223,M246*(Предпосылки!$G215/(M$8+1-M$7)))</f>
        <v>0</v>
      </c>
      <c s="125">
        <f>IF(Предпосылки!$G215&lt;0,O223,N246*(Предпосылки!$G215/(N$8+1-N$7)))</f>
        <v>0</v>
      </c>
      <c s="125">
        <f>IF(Предпосылки!$G215&lt;0,P223,O246*(Предпосылки!$G215/(O$8+1-O$7)))</f>
        <v>0</v>
      </c>
      <c s="125">
        <f>IF(Предпосылки!$G215&lt;0,Q223,P246*(Предпосылки!$G215/(P$8+1-P$7)))</f>
        <v>0</v>
      </c>
      <c s="125">
        <f>IF(Предпосылки!$G215&lt;0,R223,Q246*(Предпосылки!$G215/(Q$8+1-Q$7)))</f>
        <v>0</v>
      </c>
      <c s="125">
        <f>IF(Предпосылки!$G215&lt;0,S223,R246*(Предпосылки!$G215/(R$8+1-R$7)))</f>
        <v>0</v>
      </c>
      <c s="125">
        <f>IF(Предпосылки!$G215&lt;0,T223,S246*(Предпосылки!$G215/(S$8+1-S$7)))</f>
        <v>0</v>
      </c>
      <c s="125">
        <f>IF(Предпосылки!$G215&lt;0,U223,T246*(Предпосылки!$G215/(T$8+1-T$7)))</f>
        <v>0</v>
      </c>
      <c s="125">
        <f>IF(Предпосылки!$G215&lt;0,V223,U246*(Предпосылки!$G215/(U$8+1-U$7)))</f>
        <v>0</v>
      </c>
      <c s="125">
        <f>IF(Предпосылки!$G215&lt;0,W223,V246*(Предпосылки!$G215/(V$8+1-V$7)))</f>
        <v>0</v>
      </c>
      <c s="125">
        <f>IF(Предпосылки!$G215&lt;0,X223,W246*(Предпосылки!$G215/(W$8+1-W$7)))</f>
        <v>0</v>
      </c>
      <c s="125">
        <f>IF(Предпосылки!$G215&lt;0,Y223,X246*(Предпосылки!$G215/(X$8+1-X$7)))</f>
        <v>0</v>
      </c>
      <c s="125">
        <f>IF(Предпосылки!$G215&lt;0,Z223,Y246*(Предпосылки!$G215/(Y$8+1-Y$7)))</f>
        <v>0</v>
      </c>
      <c s="125">
        <f>IF(Предпосылки!$G215&lt;0,AA223,Z246*(Предпосылки!$G215/(Z$8+1-Z$7)))</f>
        <v>0</v>
      </c>
      <c s="125">
        <f>IF(Предпосылки!$G215&lt;0,AB223,AA246*(Предпосылки!$G215/(AA$8+1-AA$7)))</f>
        <v>0</v>
      </c>
      <c s="125">
        <f>IF(Предпосылки!$G215&lt;0,AC223,AB246*(Предпосылки!$G215/(AB$8+1-AB$7)))</f>
        <v>0</v>
      </c>
      <c s="125">
        <f>IF(Предпосылки!$G215&lt;0,AD223,AC246*(Предпосылки!$G215/(AC$8+1-AC$7)))</f>
        <v>0</v>
      </c>
      <c s="125">
        <f>IF(Предпосылки!$G215&lt;0,AE223,AD246*(Предпосылки!$G215/(AD$8+1-AD$7)))</f>
        <v>0</v>
      </c>
      <c s="125">
        <f>IF(Предпосылки!$G215&lt;0,AF223,AE246*(Предпосылки!$G215/(AE$8+1-AE$7)))</f>
        <v>0</v>
      </c>
      <c s="125">
        <f>IF(Предпосылки!$G215&lt;0,AG223,AF246*(Предпосылки!$G215/(AF$8+1-AF$7)))</f>
        <v>0</v>
      </c>
      <c s="125">
        <f>IF(Предпосылки!$G215&lt;0,AH223,AG246*(Предпосылки!$G215/(AG$8+1-AG$7)))</f>
        <v>0</v>
      </c>
      <c s="125">
        <f>IF(Предпосылки!$G215&lt;0,AI223,AH246*(Предпосылки!$G215/(AH$8+1-AH$7)))</f>
        <v>0</v>
      </c>
      <c s="125">
        <f>IF(Предпосылки!$G215&lt;0,AJ223,AI246*(Предпосылки!$G215/(AI$8+1-AI$7)))</f>
        <v>0</v>
      </c>
      <c s="125">
        <f>IF(Предпосылки!$G215&lt;0,AK223,AJ246*(Предпосылки!$G215/(AJ$8+1-AJ$7)))</f>
        <v>0</v>
      </c>
      <c s="125">
        <f>IF(Предпосылки!$G215&lt;0,AL223,AK246*(Предпосылки!$G215/(AK$8+1-AK$7)))</f>
        <v>0</v>
      </c>
      <c s="125">
        <f>IF(Предпосылки!$G215&lt;0,AM223,AL246*(Предпосылки!$G215/(AL$8+1-AL$7)))</f>
        <v>0</v>
      </c>
      <c s="125">
        <f>IF(Предпосылки!$G215&lt;0,AN223,AM246*(Предпосылки!$G215/(AM$8+1-AM$7)))</f>
        <v>0</v>
      </c>
      <c s="125">
        <f>IF(Предпосылки!$G215&lt;0,AO223,AN246*(Предпосылки!$G215/(AN$8+1-AN$7)))</f>
        <v>0</v>
      </c>
      <c s="125">
        <f>IF(Предпосылки!$G215&lt;0,AP223,AO246*(Предпосылки!$G215/(AO$8+1-AO$7)))</f>
        <v>0</v>
      </c>
      <c s="125">
        <f>IF(Предпосылки!$G215&lt;0,AQ223,AP246*(Предпосылки!$G215/(AP$8+1-AP$7)))</f>
        <v>0</v>
      </c>
      <c s="125">
        <f>IF(Предпосылки!$G215&lt;0,AR223,AQ246*(Предпосылки!$G215/(AQ$8+1-AQ$7)))</f>
        <v>0</v>
      </c>
      <c s="125">
        <f>IF(Предпосылки!$G215&lt;0,AS223,AR246*(Предпосылки!$G215/(AR$8+1-AR$7)))</f>
        <v>0</v>
      </c>
      <c s="125">
        <f>IF(Предпосылки!$G215&lt;0,AT223,AS246*(Предпосылки!$G215/(AS$8+1-AS$7)))</f>
        <v>0</v>
      </c>
      <c s="125">
        <f>IF(Предпосылки!$G215&lt;0,AU223,AT246*(Предпосылки!$G215/(AT$8+1-AT$7)))</f>
        <v>0</v>
      </c>
      <c s="125">
        <f>IF(Предпосылки!$G215&lt;0,AV223,AU246*(Предпосылки!$G215/(AU$8+1-AU$7)))</f>
        <v>0</v>
      </c>
      <c s="125">
        <f>IF(Предпосылки!$G215&lt;0,AW223,AV246*(Предпосылки!$G215/(AV$8+1-AV$7)))</f>
        <v>0</v>
      </c>
      <c s="125">
        <f>IF(Предпосылки!$G215&lt;0,AX223,AW246*(Предпосылки!$G215/(AW$8+1-AW$7)))</f>
        <v>0</v>
      </c>
      <c s="125">
        <f>IF(Предпосылки!$G215&lt;0,AY223,AX246*(Предпосылки!$G215/(AX$8+1-AX$7)))</f>
        <v>0</v>
      </c>
      <c s="125">
        <f>IF(Предпосылки!$G215&lt;0,AZ223,AY246*(Предпосылки!$G215/(AY$8+1-AY$7)))</f>
        <v>0</v>
      </c>
      <c s="125">
        <f>IF(Предпосылки!$G215&lt;0,BA223,AZ246*(Предпосылки!$G215/(AZ$8+1-AZ$7)))</f>
        <v>0</v>
      </c>
      <c s="125">
        <f>IF(Предпосылки!$G215&lt;0,BB223,BA246*(Предпосылки!$G215/(BA$8+1-BA$7)))</f>
        <v>0</v>
      </c>
      <c s="125">
        <f>IF(Предпосылки!$G215&lt;0,BC223,BB246*(Предпосылки!$G215/(BB$8+1-BB$7)))</f>
        <v>0</v>
      </c>
      <c s="125">
        <f>IF(Предпосылки!$G215&lt;0,BD223,BC246*(Предпосылки!$G215/(BC$8+1-BC$7)))</f>
        <v>0</v>
      </c>
      <c s="125">
        <f>IF(Предпосылки!$G215&lt;0,BE223,BD246*(Предпосылки!$G215/(BD$8+1-BD$7)))</f>
        <v>0</v>
      </c>
      <c s="125">
        <f>IF(Предпосылки!$G215&lt;0,BF223,BE246*(Предпосылки!$G215/(BE$8+1-BE$7)))</f>
        <v>0</v>
      </c>
      <c s="125">
        <f>IF(Предпосылки!$G215&lt;0,BG223,BF246*(Предпосылки!$G215/(BF$8+1-BF$7)))</f>
        <v>0</v>
      </c>
      <c s="125">
        <f>IF(Предпосылки!$G215&lt;0,BH223,BG246*(Предпосылки!$G215/(BG$8+1-BG$7)))</f>
        <v>0</v>
      </c>
      <c s="125">
        <f>IF(Предпосылки!$G215&lt;0,BI223,BH246*(Предпосылки!$G215/(BH$8+1-BH$7)))</f>
        <v>0</v>
      </c>
      <c s="125">
        <f>IF(Предпосылки!$G215&lt;0,BJ223,BI246*(Предпосылки!$G215/(BI$8+1-BI$7)))</f>
        <v>0</v>
      </c>
      <c s="125">
        <f>IF(Предпосылки!$G215&lt;0,BK223,BJ246*(Предпосылки!$G215/(BJ$8+1-BJ$7)))</f>
        <v>0</v>
      </c>
      <c s="125">
        <f>IF(Предпосылки!$G215&lt;0,BL223,BK246*(Предпосылки!$G215/(BK$8+1-BK$7)))</f>
        <v>0</v>
      </c>
      <c s="125">
        <f>IF(Предпосылки!$G215&lt;0,BM223,BL246*(Предпосылки!$G215/(BL$8+1-BL$7)))</f>
        <v>0</v>
      </c>
      <c s="125">
        <f>IF(Предпосылки!$G215&lt;0,BN223,BM246*(Предпосылки!$G215/(BM$8+1-BM$7)))</f>
        <v>0</v>
      </c>
    </row>
    <row r="293" spans="2:65" ht="15" customHeight="1">
      <c r="B293" s="12" t="str">
        <f t="shared" si="251"/>
        <v>Операционные затраты 16</v>
      </c>
      <c s="124" t="str">
        <f t="shared" si="252"/>
        <v>тыс. руб.</v>
      </c>
      <c s="125"/>
      <c s="125">
        <f>IF(Предпосылки!$G216&lt;0,F224,E247*(Предпосылки!$G216/(E$8+1-E$7)))</f>
        <v>0</v>
      </c>
      <c s="125">
        <f>IF(Предпосылки!$G216&lt;0,G224,F247*(Предпосылки!$G216/(F$8+1-F$7)))</f>
        <v>0</v>
      </c>
      <c s="125">
        <f>IF(Предпосылки!$G216&lt;0,H224,G247*(Предпосылки!$G216/(G$8+1-G$7)))</f>
        <v>0</v>
      </c>
      <c s="125">
        <f>IF(Предпосылки!$G216&lt;0,I224,H247*(Предпосылки!$G216/(H$8+1-H$7)))</f>
        <v>0</v>
      </c>
      <c s="125">
        <f>IF(Предпосылки!$G216&lt;0,J224,I247*(Предпосылки!$G216/(I$8+1-I$7)))</f>
        <v>0</v>
      </c>
      <c s="125">
        <f>IF(Предпосылки!$G216&lt;0,K224,J247*(Предпосылки!$G216/(J$8+1-J$7)))</f>
        <v>0</v>
      </c>
      <c s="125">
        <f>IF(Предпосылки!$G216&lt;0,L224,K247*(Предпосылки!$G216/(K$8+1-K$7)))</f>
        <v>0</v>
      </c>
      <c s="125">
        <f>IF(Предпосылки!$G216&lt;0,M224,L247*(Предпосылки!$G216/(L$8+1-L$7)))</f>
        <v>0</v>
      </c>
      <c s="125">
        <f>IF(Предпосылки!$G216&lt;0,N224,M247*(Предпосылки!$G216/(M$8+1-M$7)))</f>
        <v>0</v>
      </c>
      <c s="125">
        <f>IF(Предпосылки!$G216&lt;0,O224,N247*(Предпосылки!$G216/(N$8+1-N$7)))</f>
        <v>0</v>
      </c>
      <c s="125">
        <f>IF(Предпосылки!$G216&lt;0,P224,O247*(Предпосылки!$G216/(O$8+1-O$7)))</f>
        <v>0</v>
      </c>
      <c s="125">
        <f>IF(Предпосылки!$G216&lt;0,Q224,P247*(Предпосылки!$G216/(P$8+1-P$7)))</f>
        <v>0</v>
      </c>
      <c s="125">
        <f>IF(Предпосылки!$G216&lt;0,R224,Q247*(Предпосылки!$G216/(Q$8+1-Q$7)))</f>
        <v>0</v>
      </c>
      <c s="125">
        <f>IF(Предпосылки!$G216&lt;0,S224,R247*(Предпосылки!$G216/(R$8+1-R$7)))</f>
        <v>0</v>
      </c>
      <c s="125">
        <f>IF(Предпосылки!$G216&lt;0,T224,S247*(Предпосылки!$G216/(S$8+1-S$7)))</f>
        <v>0</v>
      </c>
      <c s="125">
        <f>IF(Предпосылки!$G216&lt;0,U224,T247*(Предпосылки!$G216/(T$8+1-T$7)))</f>
        <v>0</v>
      </c>
      <c s="125">
        <f>IF(Предпосылки!$G216&lt;0,V224,U247*(Предпосылки!$G216/(U$8+1-U$7)))</f>
        <v>0</v>
      </c>
      <c s="125">
        <f>IF(Предпосылки!$G216&lt;0,W224,V247*(Предпосылки!$G216/(V$8+1-V$7)))</f>
        <v>0</v>
      </c>
      <c s="125">
        <f>IF(Предпосылки!$G216&lt;0,X224,W247*(Предпосылки!$G216/(W$8+1-W$7)))</f>
        <v>0</v>
      </c>
      <c s="125">
        <f>IF(Предпосылки!$G216&lt;0,Y224,X247*(Предпосылки!$G216/(X$8+1-X$7)))</f>
        <v>0</v>
      </c>
      <c s="125">
        <f>IF(Предпосылки!$G216&lt;0,Z224,Y247*(Предпосылки!$G216/(Y$8+1-Y$7)))</f>
        <v>0</v>
      </c>
      <c s="125">
        <f>IF(Предпосылки!$G216&lt;0,AA224,Z247*(Предпосылки!$G216/(Z$8+1-Z$7)))</f>
        <v>0</v>
      </c>
      <c s="125">
        <f>IF(Предпосылки!$G216&lt;0,AB224,AA247*(Предпосылки!$G216/(AA$8+1-AA$7)))</f>
        <v>0</v>
      </c>
      <c s="125">
        <f>IF(Предпосылки!$G216&lt;0,AC224,AB247*(Предпосылки!$G216/(AB$8+1-AB$7)))</f>
        <v>0</v>
      </c>
      <c s="125">
        <f>IF(Предпосылки!$G216&lt;0,AD224,AC247*(Предпосылки!$G216/(AC$8+1-AC$7)))</f>
        <v>0</v>
      </c>
      <c s="125">
        <f>IF(Предпосылки!$G216&lt;0,AE224,AD247*(Предпосылки!$G216/(AD$8+1-AD$7)))</f>
        <v>0</v>
      </c>
      <c s="125">
        <f>IF(Предпосылки!$G216&lt;0,AF224,AE247*(Предпосылки!$G216/(AE$8+1-AE$7)))</f>
        <v>0</v>
      </c>
      <c s="125">
        <f>IF(Предпосылки!$G216&lt;0,AG224,AF247*(Предпосылки!$G216/(AF$8+1-AF$7)))</f>
        <v>0</v>
      </c>
      <c s="125">
        <f>IF(Предпосылки!$G216&lt;0,AH224,AG247*(Предпосылки!$G216/(AG$8+1-AG$7)))</f>
        <v>0</v>
      </c>
      <c s="125">
        <f>IF(Предпосылки!$G216&lt;0,AI224,AH247*(Предпосылки!$G216/(AH$8+1-AH$7)))</f>
        <v>0</v>
      </c>
      <c s="125">
        <f>IF(Предпосылки!$G216&lt;0,AJ224,AI247*(Предпосылки!$G216/(AI$8+1-AI$7)))</f>
        <v>0</v>
      </c>
      <c s="125">
        <f>IF(Предпосылки!$G216&lt;0,AK224,AJ247*(Предпосылки!$G216/(AJ$8+1-AJ$7)))</f>
        <v>0</v>
      </c>
      <c s="125">
        <f>IF(Предпосылки!$G216&lt;0,AL224,AK247*(Предпосылки!$G216/(AK$8+1-AK$7)))</f>
        <v>0</v>
      </c>
      <c s="125">
        <f>IF(Предпосылки!$G216&lt;0,AM224,AL247*(Предпосылки!$G216/(AL$8+1-AL$7)))</f>
        <v>0</v>
      </c>
      <c s="125">
        <f>IF(Предпосылки!$G216&lt;0,AN224,AM247*(Предпосылки!$G216/(AM$8+1-AM$7)))</f>
        <v>0</v>
      </c>
      <c s="125">
        <f>IF(Предпосылки!$G216&lt;0,AO224,AN247*(Предпосылки!$G216/(AN$8+1-AN$7)))</f>
        <v>0</v>
      </c>
      <c s="125">
        <f>IF(Предпосылки!$G216&lt;0,AP224,AO247*(Предпосылки!$G216/(AO$8+1-AO$7)))</f>
        <v>0</v>
      </c>
      <c s="125">
        <f>IF(Предпосылки!$G216&lt;0,AQ224,AP247*(Предпосылки!$G216/(AP$8+1-AP$7)))</f>
        <v>0</v>
      </c>
      <c s="125">
        <f>IF(Предпосылки!$G216&lt;0,AR224,AQ247*(Предпосылки!$G216/(AQ$8+1-AQ$7)))</f>
        <v>0</v>
      </c>
      <c s="125">
        <f>IF(Предпосылки!$G216&lt;0,AS224,AR247*(Предпосылки!$G216/(AR$8+1-AR$7)))</f>
        <v>0</v>
      </c>
      <c s="125">
        <f>IF(Предпосылки!$G216&lt;0,AT224,AS247*(Предпосылки!$G216/(AS$8+1-AS$7)))</f>
        <v>0</v>
      </c>
      <c s="125">
        <f>IF(Предпосылки!$G216&lt;0,AU224,AT247*(Предпосылки!$G216/(AT$8+1-AT$7)))</f>
        <v>0</v>
      </c>
      <c s="125">
        <f>IF(Предпосылки!$G216&lt;0,AV224,AU247*(Предпосылки!$G216/(AU$8+1-AU$7)))</f>
        <v>0</v>
      </c>
      <c s="125">
        <f>IF(Предпосылки!$G216&lt;0,AW224,AV247*(Предпосылки!$G216/(AV$8+1-AV$7)))</f>
        <v>0</v>
      </c>
      <c s="125">
        <f>IF(Предпосылки!$G216&lt;0,AX224,AW247*(Предпосылки!$G216/(AW$8+1-AW$7)))</f>
        <v>0</v>
      </c>
      <c s="125">
        <f>IF(Предпосылки!$G216&lt;0,AY224,AX247*(Предпосылки!$G216/(AX$8+1-AX$7)))</f>
        <v>0</v>
      </c>
      <c s="125">
        <f>IF(Предпосылки!$G216&lt;0,AZ224,AY247*(Предпосылки!$G216/(AY$8+1-AY$7)))</f>
        <v>0</v>
      </c>
      <c s="125">
        <f>IF(Предпосылки!$G216&lt;0,BA224,AZ247*(Предпосылки!$G216/(AZ$8+1-AZ$7)))</f>
        <v>0</v>
      </c>
      <c s="125">
        <f>IF(Предпосылки!$G216&lt;0,BB224,BA247*(Предпосылки!$G216/(BA$8+1-BA$7)))</f>
        <v>0</v>
      </c>
      <c s="125">
        <f>IF(Предпосылки!$G216&lt;0,BC224,BB247*(Предпосылки!$G216/(BB$8+1-BB$7)))</f>
        <v>0</v>
      </c>
      <c s="125">
        <f>IF(Предпосылки!$G216&lt;0,BD224,BC247*(Предпосылки!$G216/(BC$8+1-BC$7)))</f>
        <v>0</v>
      </c>
      <c s="125">
        <f>IF(Предпосылки!$G216&lt;0,BE224,BD247*(Предпосылки!$G216/(BD$8+1-BD$7)))</f>
        <v>0</v>
      </c>
      <c s="125">
        <f>IF(Предпосылки!$G216&lt;0,BF224,BE247*(Предпосылки!$G216/(BE$8+1-BE$7)))</f>
        <v>0</v>
      </c>
      <c s="125">
        <f>IF(Предпосылки!$G216&lt;0,BG224,BF247*(Предпосылки!$G216/(BF$8+1-BF$7)))</f>
        <v>0</v>
      </c>
      <c s="125">
        <f>IF(Предпосылки!$G216&lt;0,BH224,BG247*(Предпосылки!$G216/(BG$8+1-BG$7)))</f>
        <v>0</v>
      </c>
      <c s="125">
        <f>IF(Предпосылки!$G216&lt;0,BI224,BH247*(Предпосылки!$G216/(BH$8+1-BH$7)))</f>
        <v>0</v>
      </c>
      <c s="125">
        <f>IF(Предпосылки!$G216&lt;0,BJ224,BI247*(Предпосылки!$G216/(BI$8+1-BI$7)))</f>
        <v>0</v>
      </c>
      <c s="125">
        <f>IF(Предпосылки!$G216&lt;0,BK224,BJ247*(Предпосылки!$G216/(BJ$8+1-BJ$7)))</f>
        <v>0</v>
      </c>
      <c s="125">
        <f>IF(Предпосылки!$G216&lt;0,BL224,BK247*(Предпосылки!$G216/(BK$8+1-BK$7)))</f>
        <v>0</v>
      </c>
      <c s="125">
        <f>IF(Предпосылки!$G216&lt;0,BM224,BL247*(Предпосылки!$G216/(BL$8+1-BL$7)))</f>
        <v>0</v>
      </c>
      <c s="125">
        <f>IF(Предпосылки!$G216&lt;0,BN224,BM247*(Предпосылки!$G216/(BM$8+1-BM$7)))</f>
        <v>0</v>
      </c>
    </row>
    <row r="294" spans="2:65" ht="15" customHeight="1">
      <c r="B294" s="12" t="str">
        <f t="shared" si="251"/>
        <v>Операционные затраты 17</v>
      </c>
      <c s="124" t="str">
        <f t="shared" si="252"/>
        <v>тыс. руб.</v>
      </c>
      <c s="125"/>
      <c s="125">
        <f>IF(Предпосылки!$G217&lt;0,F225,E248*(Предпосылки!$G217/(E$8+1-E$7)))</f>
        <v>0</v>
      </c>
      <c s="125">
        <f>IF(Предпосылки!$G217&lt;0,G225,F248*(Предпосылки!$G217/(F$8+1-F$7)))</f>
        <v>0</v>
      </c>
      <c s="125">
        <f>IF(Предпосылки!$G217&lt;0,H225,G248*(Предпосылки!$G217/(G$8+1-G$7)))</f>
        <v>0</v>
      </c>
      <c s="125">
        <f>IF(Предпосылки!$G217&lt;0,I225,H248*(Предпосылки!$G217/(H$8+1-H$7)))</f>
        <v>0</v>
      </c>
      <c s="125">
        <f>IF(Предпосылки!$G217&lt;0,J225,I248*(Предпосылки!$G217/(I$8+1-I$7)))</f>
        <v>0</v>
      </c>
      <c s="125">
        <f>IF(Предпосылки!$G217&lt;0,K225,J248*(Предпосылки!$G217/(J$8+1-J$7)))</f>
        <v>0</v>
      </c>
      <c s="125">
        <f>IF(Предпосылки!$G217&lt;0,L225,K248*(Предпосылки!$G217/(K$8+1-K$7)))</f>
        <v>0</v>
      </c>
      <c s="125">
        <f>IF(Предпосылки!$G217&lt;0,M225,L248*(Предпосылки!$G217/(L$8+1-L$7)))</f>
        <v>0</v>
      </c>
      <c s="125">
        <f>IF(Предпосылки!$G217&lt;0,N225,M248*(Предпосылки!$G217/(M$8+1-M$7)))</f>
        <v>0</v>
      </c>
      <c s="125">
        <f>IF(Предпосылки!$G217&lt;0,O225,N248*(Предпосылки!$G217/(N$8+1-N$7)))</f>
        <v>0</v>
      </c>
      <c s="125">
        <f>IF(Предпосылки!$G217&lt;0,P225,O248*(Предпосылки!$G217/(O$8+1-O$7)))</f>
        <v>0</v>
      </c>
      <c s="125">
        <f>IF(Предпосылки!$G217&lt;0,Q225,P248*(Предпосылки!$G217/(P$8+1-P$7)))</f>
        <v>0</v>
      </c>
      <c s="125">
        <f>IF(Предпосылки!$G217&lt;0,R225,Q248*(Предпосылки!$G217/(Q$8+1-Q$7)))</f>
        <v>0</v>
      </c>
      <c s="125">
        <f>IF(Предпосылки!$G217&lt;0,S225,R248*(Предпосылки!$G217/(R$8+1-R$7)))</f>
        <v>0</v>
      </c>
      <c s="125">
        <f>IF(Предпосылки!$G217&lt;0,T225,S248*(Предпосылки!$G217/(S$8+1-S$7)))</f>
        <v>0</v>
      </c>
      <c s="125">
        <f>IF(Предпосылки!$G217&lt;0,U225,T248*(Предпосылки!$G217/(T$8+1-T$7)))</f>
        <v>0</v>
      </c>
      <c s="125">
        <f>IF(Предпосылки!$G217&lt;0,V225,U248*(Предпосылки!$G217/(U$8+1-U$7)))</f>
        <v>0</v>
      </c>
      <c s="125">
        <f>IF(Предпосылки!$G217&lt;0,W225,V248*(Предпосылки!$G217/(V$8+1-V$7)))</f>
        <v>0</v>
      </c>
      <c s="125">
        <f>IF(Предпосылки!$G217&lt;0,X225,W248*(Предпосылки!$G217/(W$8+1-W$7)))</f>
        <v>0</v>
      </c>
      <c s="125">
        <f>IF(Предпосылки!$G217&lt;0,Y225,X248*(Предпосылки!$G217/(X$8+1-X$7)))</f>
        <v>0</v>
      </c>
      <c s="125">
        <f>IF(Предпосылки!$G217&lt;0,Z225,Y248*(Предпосылки!$G217/(Y$8+1-Y$7)))</f>
        <v>0</v>
      </c>
      <c s="125">
        <f>IF(Предпосылки!$G217&lt;0,AA225,Z248*(Предпосылки!$G217/(Z$8+1-Z$7)))</f>
        <v>0</v>
      </c>
      <c s="125">
        <f>IF(Предпосылки!$G217&lt;0,AB225,AA248*(Предпосылки!$G217/(AA$8+1-AA$7)))</f>
        <v>0</v>
      </c>
      <c s="125">
        <f>IF(Предпосылки!$G217&lt;0,AC225,AB248*(Предпосылки!$G217/(AB$8+1-AB$7)))</f>
        <v>0</v>
      </c>
      <c s="125">
        <f>IF(Предпосылки!$G217&lt;0,AD225,AC248*(Предпосылки!$G217/(AC$8+1-AC$7)))</f>
        <v>0</v>
      </c>
      <c s="125">
        <f>IF(Предпосылки!$G217&lt;0,AE225,AD248*(Предпосылки!$G217/(AD$8+1-AD$7)))</f>
        <v>0</v>
      </c>
      <c s="125">
        <f>IF(Предпосылки!$G217&lt;0,AF225,AE248*(Предпосылки!$G217/(AE$8+1-AE$7)))</f>
        <v>0</v>
      </c>
      <c s="125">
        <f>IF(Предпосылки!$G217&lt;0,AG225,AF248*(Предпосылки!$G217/(AF$8+1-AF$7)))</f>
        <v>0</v>
      </c>
      <c s="125">
        <f>IF(Предпосылки!$G217&lt;0,AH225,AG248*(Предпосылки!$G217/(AG$8+1-AG$7)))</f>
        <v>0</v>
      </c>
      <c s="125">
        <f>IF(Предпосылки!$G217&lt;0,AI225,AH248*(Предпосылки!$G217/(AH$8+1-AH$7)))</f>
        <v>0</v>
      </c>
      <c s="125">
        <f>IF(Предпосылки!$G217&lt;0,AJ225,AI248*(Предпосылки!$G217/(AI$8+1-AI$7)))</f>
        <v>0</v>
      </c>
      <c s="125">
        <f>IF(Предпосылки!$G217&lt;0,AK225,AJ248*(Предпосылки!$G217/(AJ$8+1-AJ$7)))</f>
        <v>0</v>
      </c>
      <c s="125">
        <f>IF(Предпосылки!$G217&lt;0,AL225,AK248*(Предпосылки!$G217/(AK$8+1-AK$7)))</f>
        <v>0</v>
      </c>
      <c s="125">
        <f>IF(Предпосылки!$G217&lt;0,AM225,AL248*(Предпосылки!$G217/(AL$8+1-AL$7)))</f>
        <v>0</v>
      </c>
      <c s="125">
        <f>IF(Предпосылки!$G217&lt;0,AN225,AM248*(Предпосылки!$G217/(AM$8+1-AM$7)))</f>
        <v>0</v>
      </c>
      <c s="125">
        <f>IF(Предпосылки!$G217&lt;0,AO225,AN248*(Предпосылки!$G217/(AN$8+1-AN$7)))</f>
        <v>0</v>
      </c>
      <c s="125">
        <f>IF(Предпосылки!$G217&lt;0,AP225,AO248*(Предпосылки!$G217/(AO$8+1-AO$7)))</f>
        <v>0</v>
      </c>
      <c s="125">
        <f>IF(Предпосылки!$G217&lt;0,AQ225,AP248*(Предпосылки!$G217/(AP$8+1-AP$7)))</f>
        <v>0</v>
      </c>
      <c s="125">
        <f>IF(Предпосылки!$G217&lt;0,AR225,AQ248*(Предпосылки!$G217/(AQ$8+1-AQ$7)))</f>
        <v>0</v>
      </c>
      <c s="125">
        <f>IF(Предпосылки!$G217&lt;0,AS225,AR248*(Предпосылки!$G217/(AR$8+1-AR$7)))</f>
        <v>0</v>
      </c>
      <c s="125">
        <f>IF(Предпосылки!$G217&lt;0,AT225,AS248*(Предпосылки!$G217/(AS$8+1-AS$7)))</f>
        <v>0</v>
      </c>
      <c s="125">
        <f>IF(Предпосылки!$G217&lt;0,AU225,AT248*(Предпосылки!$G217/(AT$8+1-AT$7)))</f>
        <v>0</v>
      </c>
      <c s="125">
        <f>IF(Предпосылки!$G217&lt;0,AV225,AU248*(Предпосылки!$G217/(AU$8+1-AU$7)))</f>
        <v>0</v>
      </c>
      <c s="125">
        <f>IF(Предпосылки!$G217&lt;0,AW225,AV248*(Предпосылки!$G217/(AV$8+1-AV$7)))</f>
        <v>0</v>
      </c>
      <c s="125">
        <f>IF(Предпосылки!$G217&lt;0,AX225,AW248*(Предпосылки!$G217/(AW$8+1-AW$7)))</f>
        <v>0</v>
      </c>
      <c s="125">
        <f>IF(Предпосылки!$G217&lt;0,AY225,AX248*(Предпосылки!$G217/(AX$8+1-AX$7)))</f>
        <v>0</v>
      </c>
      <c s="125">
        <f>IF(Предпосылки!$G217&lt;0,AZ225,AY248*(Предпосылки!$G217/(AY$8+1-AY$7)))</f>
        <v>0</v>
      </c>
      <c s="125">
        <f>IF(Предпосылки!$G217&lt;0,BA225,AZ248*(Предпосылки!$G217/(AZ$8+1-AZ$7)))</f>
        <v>0</v>
      </c>
      <c s="125">
        <f>IF(Предпосылки!$G217&lt;0,BB225,BA248*(Предпосылки!$G217/(BA$8+1-BA$7)))</f>
        <v>0</v>
      </c>
      <c s="125">
        <f>IF(Предпосылки!$G217&lt;0,BC225,BB248*(Предпосылки!$G217/(BB$8+1-BB$7)))</f>
        <v>0</v>
      </c>
      <c s="125">
        <f>IF(Предпосылки!$G217&lt;0,BD225,BC248*(Предпосылки!$G217/(BC$8+1-BC$7)))</f>
        <v>0</v>
      </c>
      <c s="125">
        <f>IF(Предпосылки!$G217&lt;0,BE225,BD248*(Предпосылки!$G217/(BD$8+1-BD$7)))</f>
        <v>0</v>
      </c>
      <c s="125">
        <f>IF(Предпосылки!$G217&lt;0,BF225,BE248*(Предпосылки!$G217/(BE$8+1-BE$7)))</f>
        <v>0</v>
      </c>
      <c s="125">
        <f>IF(Предпосылки!$G217&lt;0,BG225,BF248*(Предпосылки!$G217/(BF$8+1-BF$7)))</f>
        <v>0</v>
      </c>
      <c s="125">
        <f>IF(Предпосылки!$G217&lt;0,BH225,BG248*(Предпосылки!$G217/(BG$8+1-BG$7)))</f>
        <v>0</v>
      </c>
      <c s="125">
        <f>IF(Предпосылки!$G217&lt;0,BI225,BH248*(Предпосылки!$G217/(BH$8+1-BH$7)))</f>
        <v>0</v>
      </c>
      <c s="125">
        <f>IF(Предпосылки!$G217&lt;0,BJ225,BI248*(Предпосылки!$G217/(BI$8+1-BI$7)))</f>
        <v>0</v>
      </c>
      <c s="125">
        <f>IF(Предпосылки!$G217&lt;0,BK225,BJ248*(Предпосылки!$G217/(BJ$8+1-BJ$7)))</f>
        <v>0</v>
      </c>
      <c s="125">
        <f>IF(Предпосылки!$G217&lt;0,BL225,BK248*(Предпосылки!$G217/(BK$8+1-BK$7)))</f>
        <v>0</v>
      </c>
      <c s="125">
        <f>IF(Предпосылки!$G217&lt;0,BM225,BL248*(Предпосылки!$G217/(BL$8+1-BL$7)))</f>
        <v>0</v>
      </c>
      <c s="125">
        <f>IF(Предпосылки!$G217&lt;0,BN225,BM248*(Предпосылки!$G217/(BM$8+1-BM$7)))</f>
        <v>0</v>
      </c>
    </row>
    <row r="295" spans="2:65" ht="15" customHeight="1">
      <c r="B295" s="12" t="str">
        <f t="shared" si="251"/>
        <v>Операционные затраты 18</v>
      </c>
      <c s="124" t="str">
        <f t="shared" si="252"/>
        <v>тыс. руб.</v>
      </c>
      <c s="125"/>
      <c s="125">
        <f>IF(Предпосылки!$G218&lt;0,F226,E249*(Предпосылки!$G218/(E$8+1-E$7)))</f>
        <v>0</v>
      </c>
      <c s="125">
        <f>IF(Предпосылки!$G218&lt;0,G226,F249*(Предпосылки!$G218/(F$8+1-F$7)))</f>
        <v>0</v>
      </c>
      <c s="125">
        <f>IF(Предпосылки!$G218&lt;0,H226,G249*(Предпосылки!$G218/(G$8+1-G$7)))</f>
        <v>0</v>
      </c>
      <c s="125">
        <f>IF(Предпосылки!$G218&lt;0,I226,H249*(Предпосылки!$G218/(H$8+1-H$7)))</f>
        <v>0</v>
      </c>
      <c s="125">
        <f>IF(Предпосылки!$G218&lt;0,J226,I249*(Предпосылки!$G218/(I$8+1-I$7)))</f>
        <v>0</v>
      </c>
      <c s="125">
        <f>IF(Предпосылки!$G218&lt;0,K226,J249*(Предпосылки!$G218/(J$8+1-J$7)))</f>
        <v>0</v>
      </c>
      <c s="125">
        <f>IF(Предпосылки!$G218&lt;0,L226,K249*(Предпосылки!$G218/(K$8+1-K$7)))</f>
        <v>0</v>
      </c>
      <c s="125">
        <f>IF(Предпосылки!$G218&lt;0,M226,L249*(Предпосылки!$G218/(L$8+1-L$7)))</f>
        <v>0</v>
      </c>
      <c s="125">
        <f>IF(Предпосылки!$G218&lt;0,N226,M249*(Предпосылки!$G218/(M$8+1-M$7)))</f>
        <v>0</v>
      </c>
      <c s="125">
        <f>IF(Предпосылки!$G218&lt;0,O226,N249*(Предпосылки!$G218/(N$8+1-N$7)))</f>
        <v>0</v>
      </c>
      <c s="125">
        <f>IF(Предпосылки!$G218&lt;0,P226,O249*(Предпосылки!$G218/(O$8+1-O$7)))</f>
        <v>0</v>
      </c>
      <c s="125">
        <f>IF(Предпосылки!$G218&lt;0,Q226,P249*(Предпосылки!$G218/(P$8+1-P$7)))</f>
        <v>0</v>
      </c>
      <c s="125">
        <f>IF(Предпосылки!$G218&lt;0,R226,Q249*(Предпосылки!$G218/(Q$8+1-Q$7)))</f>
        <v>0</v>
      </c>
      <c s="125">
        <f>IF(Предпосылки!$G218&lt;0,S226,R249*(Предпосылки!$G218/(R$8+1-R$7)))</f>
        <v>0</v>
      </c>
      <c s="125">
        <f>IF(Предпосылки!$G218&lt;0,T226,S249*(Предпосылки!$G218/(S$8+1-S$7)))</f>
        <v>0</v>
      </c>
      <c s="125">
        <f>IF(Предпосылки!$G218&lt;0,U226,T249*(Предпосылки!$G218/(T$8+1-T$7)))</f>
        <v>0</v>
      </c>
      <c s="125">
        <f>IF(Предпосылки!$G218&lt;0,V226,U249*(Предпосылки!$G218/(U$8+1-U$7)))</f>
        <v>0</v>
      </c>
      <c s="125">
        <f>IF(Предпосылки!$G218&lt;0,W226,V249*(Предпосылки!$G218/(V$8+1-V$7)))</f>
        <v>0</v>
      </c>
      <c s="125">
        <f>IF(Предпосылки!$G218&lt;0,X226,W249*(Предпосылки!$G218/(W$8+1-W$7)))</f>
        <v>0</v>
      </c>
      <c s="125">
        <f>IF(Предпосылки!$G218&lt;0,Y226,X249*(Предпосылки!$G218/(X$8+1-X$7)))</f>
        <v>0</v>
      </c>
      <c s="125">
        <f>IF(Предпосылки!$G218&lt;0,Z226,Y249*(Предпосылки!$G218/(Y$8+1-Y$7)))</f>
        <v>0</v>
      </c>
      <c s="125">
        <f>IF(Предпосылки!$G218&lt;0,AA226,Z249*(Предпосылки!$G218/(Z$8+1-Z$7)))</f>
        <v>0</v>
      </c>
      <c s="125">
        <f>IF(Предпосылки!$G218&lt;0,AB226,AA249*(Предпосылки!$G218/(AA$8+1-AA$7)))</f>
        <v>0</v>
      </c>
      <c s="125">
        <f>IF(Предпосылки!$G218&lt;0,AC226,AB249*(Предпосылки!$G218/(AB$8+1-AB$7)))</f>
        <v>0</v>
      </c>
      <c s="125">
        <f>IF(Предпосылки!$G218&lt;0,AD226,AC249*(Предпосылки!$G218/(AC$8+1-AC$7)))</f>
        <v>0</v>
      </c>
      <c s="125">
        <f>IF(Предпосылки!$G218&lt;0,AE226,AD249*(Предпосылки!$G218/(AD$8+1-AD$7)))</f>
        <v>0</v>
      </c>
      <c s="125">
        <f>IF(Предпосылки!$G218&lt;0,AF226,AE249*(Предпосылки!$G218/(AE$8+1-AE$7)))</f>
        <v>0</v>
      </c>
      <c s="125">
        <f>IF(Предпосылки!$G218&lt;0,AG226,AF249*(Предпосылки!$G218/(AF$8+1-AF$7)))</f>
        <v>0</v>
      </c>
      <c s="125">
        <f>IF(Предпосылки!$G218&lt;0,AH226,AG249*(Предпосылки!$G218/(AG$8+1-AG$7)))</f>
        <v>0</v>
      </c>
      <c s="125">
        <f>IF(Предпосылки!$G218&lt;0,AI226,AH249*(Предпосылки!$G218/(AH$8+1-AH$7)))</f>
        <v>0</v>
      </c>
      <c s="125">
        <f>IF(Предпосылки!$G218&lt;0,AJ226,AI249*(Предпосылки!$G218/(AI$8+1-AI$7)))</f>
        <v>0</v>
      </c>
      <c s="125">
        <f>IF(Предпосылки!$G218&lt;0,AK226,AJ249*(Предпосылки!$G218/(AJ$8+1-AJ$7)))</f>
        <v>0</v>
      </c>
      <c s="125">
        <f>IF(Предпосылки!$G218&lt;0,AL226,AK249*(Предпосылки!$G218/(AK$8+1-AK$7)))</f>
        <v>0</v>
      </c>
      <c s="125">
        <f>IF(Предпосылки!$G218&lt;0,AM226,AL249*(Предпосылки!$G218/(AL$8+1-AL$7)))</f>
        <v>0</v>
      </c>
      <c s="125">
        <f>IF(Предпосылки!$G218&lt;0,AN226,AM249*(Предпосылки!$G218/(AM$8+1-AM$7)))</f>
        <v>0</v>
      </c>
      <c s="125">
        <f>IF(Предпосылки!$G218&lt;0,AO226,AN249*(Предпосылки!$G218/(AN$8+1-AN$7)))</f>
        <v>0</v>
      </c>
      <c s="125">
        <f>IF(Предпосылки!$G218&lt;0,AP226,AO249*(Предпосылки!$G218/(AO$8+1-AO$7)))</f>
        <v>0</v>
      </c>
      <c s="125">
        <f>IF(Предпосылки!$G218&lt;0,AQ226,AP249*(Предпосылки!$G218/(AP$8+1-AP$7)))</f>
        <v>0</v>
      </c>
      <c s="125">
        <f>IF(Предпосылки!$G218&lt;0,AR226,AQ249*(Предпосылки!$G218/(AQ$8+1-AQ$7)))</f>
        <v>0</v>
      </c>
      <c s="125">
        <f>IF(Предпосылки!$G218&lt;0,AS226,AR249*(Предпосылки!$G218/(AR$8+1-AR$7)))</f>
        <v>0</v>
      </c>
      <c s="125">
        <f>IF(Предпосылки!$G218&lt;0,AT226,AS249*(Предпосылки!$G218/(AS$8+1-AS$7)))</f>
        <v>0</v>
      </c>
      <c s="125">
        <f>IF(Предпосылки!$G218&lt;0,AU226,AT249*(Предпосылки!$G218/(AT$8+1-AT$7)))</f>
        <v>0</v>
      </c>
      <c s="125">
        <f>IF(Предпосылки!$G218&lt;0,AV226,AU249*(Предпосылки!$G218/(AU$8+1-AU$7)))</f>
        <v>0</v>
      </c>
      <c s="125">
        <f>IF(Предпосылки!$G218&lt;0,AW226,AV249*(Предпосылки!$G218/(AV$8+1-AV$7)))</f>
        <v>0</v>
      </c>
      <c s="125">
        <f>IF(Предпосылки!$G218&lt;0,AX226,AW249*(Предпосылки!$G218/(AW$8+1-AW$7)))</f>
        <v>0</v>
      </c>
      <c s="125">
        <f>IF(Предпосылки!$G218&lt;0,AY226,AX249*(Предпосылки!$G218/(AX$8+1-AX$7)))</f>
        <v>0</v>
      </c>
      <c s="125">
        <f>IF(Предпосылки!$G218&lt;0,AZ226,AY249*(Предпосылки!$G218/(AY$8+1-AY$7)))</f>
        <v>0</v>
      </c>
      <c s="125">
        <f>IF(Предпосылки!$G218&lt;0,BA226,AZ249*(Предпосылки!$G218/(AZ$8+1-AZ$7)))</f>
        <v>0</v>
      </c>
      <c s="125">
        <f>IF(Предпосылки!$G218&lt;0,BB226,BA249*(Предпосылки!$G218/(BA$8+1-BA$7)))</f>
        <v>0</v>
      </c>
      <c s="125">
        <f>IF(Предпосылки!$G218&lt;0,BC226,BB249*(Предпосылки!$G218/(BB$8+1-BB$7)))</f>
        <v>0</v>
      </c>
      <c s="125">
        <f>IF(Предпосылки!$G218&lt;0,BD226,BC249*(Предпосылки!$G218/(BC$8+1-BC$7)))</f>
        <v>0</v>
      </c>
      <c s="125">
        <f>IF(Предпосылки!$G218&lt;0,BE226,BD249*(Предпосылки!$G218/(BD$8+1-BD$7)))</f>
        <v>0</v>
      </c>
      <c s="125">
        <f>IF(Предпосылки!$G218&lt;0,BF226,BE249*(Предпосылки!$G218/(BE$8+1-BE$7)))</f>
        <v>0</v>
      </c>
      <c s="125">
        <f>IF(Предпосылки!$G218&lt;0,BG226,BF249*(Предпосылки!$G218/(BF$8+1-BF$7)))</f>
        <v>0</v>
      </c>
      <c s="125">
        <f>IF(Предпосылки!$G218&lt;0,BH226,BG249*(Предпосылки!$G218/(BG$8+1-BG$7)))</f>
        <v>0</v>
      </c>
      <c s="125">
        <f>IF(Предпосылки!$G218&lt;0,BI226,BH249*(Предпосылки!$G218/(BH$8+1-BH$7)))</f>
        <v>0</v>
      </c>
      <c s="125">
        <f>IF(Предпосылки!$G218&lt;0,BJ226,BI249*(Предпосылки!$G218/(BI$8+1-BI$7)))</f>
        <v>0</v>
      </c>
      <c s="125">
        <f>IF(Предпосылки!$G218&lt;0,BK226,BJ249*(Предпосылки!$G218/(BJ$8+1-BJ$7)))</f>
        <v>0</v>
      </c>
      <c s="125">
        <f>IF(Предпосылки!$G218&lt;0,BL226,BK249*(Предпосылки!$G218/(BK$8+1-BK$7)))</f>
        <v>0</v>
      </c>
      <c s="125">
        <f>IF(Предпосылки!$G218&lt;0,BM226,BL249*(Предпосылки!$G218/(BL$8+1-BL$7)))</f>
        <v>0</v>
      </c>
      <c s="125">
        <f>IF(Предпосылки!$G218&lt;0,BN226,BM249*(Предпосылки!$G218/(BM$8+1-BM$7)))</f>
        <v>0</v>
      </c>
    </row>
    <row r="296" spans="2:65" ht="15" customHeight="1">
      <c r="B296" s="12" t="str">
        <f t="shared" si="251"/>
        <v>Операционные затраты 19</v>
      </c>
      <c s="124" t="str">
        <f t="shared" si="252"/>
        <v>тыс. руб.</v>
      </c>
      <c s="125"/>
      <c s="125">
        <f>IF(Предпосылки!$G219&lt;0,F227,E250*(Предпосылки!$G219/(E$8+1-E$7)))</f>
        <v>0</v>
      </c>
      <c s="125">
        <f>IF(Предпосылки!$G219&lt;0,G227,F250*(Предпосылки!$G219/(F$8+1-F$7)))</f>
        <v>0</v>
      </c>
      <c s="125">
        <f>IF(Предпосылки!$G219&lt;0,H227,G250*(Предпосылки!$G219/(G$8+1-G$7)))</f>
        <v>0</v>
      </c>
      <c s="125">
        <f>IF(Предпосылки!$G219&lt;0,I227,H250*(Предпосылки!$G219/(H$8+1-H$7)))</f>
        <v>0</v>
      </c>
      <c s="125">
        <f>IF(Предпосылки!$G219&lt;0,J227,I250*(Предпосылки!$G219/(I$8+1-I$7)))</f>
        <v>0</v>
      </c>
      <c s="125">
        <f>IF(Предпосылки!$G219&lt;0,K227,J250*(Предпосылки!$G219/(J$8+1-J$7)))</f>
        <v>0</v>
      </c>
      <c s="125">
        <f>IF(Предпосылки!$G219&lt;0,L227,K250*(Предпосылки!$G219/(K$8+1-K$7)))</f>
        <v>0</v>
      </c>
      <c s="125">
        <f>IF(Предпосылки!$G219&lt;0,M227,L250*(Предпосылки!$G219/(L$8+1-L$7)))</f>
        <v>0</v>
      </c>
      <c s="125">
        <f>IF(Предпосылки!$G219&lt;0,N227,M250*(Предпосылки!$G219/(M$8+1-M$7)))</f>
        <v>0</v>
      </c>
      <c s="125">
        <f>IF(Предпосылки!$G219&lt;0,O227,N250*(Предпосылки!$G219/(N$8+1-N$7)))</f>
        <v>0</v>
      </c>
      <c s="125">
        <f>IF(Предпосылки!$G219&lt;0,P227,O250*(Предпосылки!$G219/(O$8+1-O$7)))</f>
        <v>0</v>
      </c>
      <c s="125">
        <f>IF(Предпосылки!$G219&lt;0,Q227,P250*(Предпосылки!$G219/(P$8+1-P$7)))</f>
        <v>0</v>
      </c>
      <c s="125">
        <f>IF(Предпосылки!$G219&lt;0,R227,Q250*(Предпосылки!$G219/(Q$8+1-Q$7)))</f>
        <v>0</v>
      </c>
      <c s="125">
        <f>IF(Предпосылки!$G219&lt;0,S227,R250*(Предпосылки!$G219/(R$8+1-R$7)))</f>
        <v>0</v>
      </c>
      <c s="125">
        <f>IF(Предпосылки!$G219&lt;0,T227,S250*(Предпосылки!$G219/(S$8+1-S$7)))</f>
        <v>0</v>
      </c>
      <c s="125">
        <f>IF(Предпосылки!$G219&lt;0,U227,T250*(Предпосылки!$G219/(T$8+1-T$7)))</f>
        <v>0</v>
      </c>
      <c s="125">
        <f>IF(Предпосылки!$G219&lt;0,V227,U250*(Предпосылки!$G219/(U$8+1-U$7)))</f>
        <v>0</v>
      </c>
      <c s="125">
        <f>IF(Предпосылки!$G219&lt;0,W227,V250*(Предпосылки!$G219/(V$8+1-V$7)))</f>
        <v>0</v>
      </c>
      <c s="125">
        <f>IF(Предпосылки!$G219&lt;0,X227,W250*(Предпосылки!$G219/(W$8+1-W$7)))</f>
        <v>0</v>
      </c>
      <c s="125">
        <f>IF(Предпосылки!$G219&lt;0,Y227,X250*(Предпосылки!$G219/(X$8+1-X$7)))</f>
        <v>0</v>
      </c>
      <c s="125">
        <f>IF(Предпосылки!$G219&lt;0,Z227,Y250*(Предпосылки!$G219/(Y$8+1-Y$7)))</f>
        <v>0</v>
      </c>
      <c s="125">
        <f>IF(Предпосылки!$G219&lt;0,AA227,Z250*(Предпосылки!$G219/(Z$8+1-Z$7)))</f>
        <v>0</v>
      </c>
      <c s="125">
        <f>IF(Предпосылки!$G219&lt;0,AB227,AA250*(Предпосылки!$G219/(AA$8+1-AA$7)))</f>
        <v>0</v>
      </c>
      <c s="125">
        <f>IF(Предпосылки!$G219&lt;0,AC227,AB250*(Предпосылки!$G219/(AB$8+1-AB$7)))</f>
        <v>0</v>
      </c>
      <c s="125">
        <f>IF(Предпосылки!$G219&lt;0,AD227,AC250*(Предпосылки!$G219/(AC$8+1-AC$7)))</f>
        <v>0</v>
      </c>
      <c s="125">
        <f>IF(Предпосылки!$G219&lt;0,AE227,AD250*(Предпосылки!$G219/(AD$8+1-AD$7)))</f>
        <v>0</v>
      </c>
      <c s="125">
        <f>IF(Предпосылки!$G219&lt;0,AF227,AE250*(Предпосылки!$G219/(AE$8+1-AE$7)))</f>
        <v>0</v>
      </c>
      <c s="125">
        <f>IF(Предпосылки!$G219&lt;0,AG227,AF250*(Предпосылки!$G219/(AF$8+1-AF$7)))</f>
        <v>0</v>
      </c>
      <c s="125">
        <f>IF(Предпосылки!$G219&lt;0,AH227,AG250*(Предпосылки!$G219/(AG$8+1-AG$7)))</f>
        <v>0</v>
      </c>
      <c s="125">
        <f>IF(Предпосылки!$G219&lt;0,AI227,AH250*(Предпосылки!$G219/(AH$8+1-AH$7)))</f>
        <v>0</v>
      </c>
      <c s="125">
        <f>IF(Предпосылки!$G219&lt;0,AJ227,AI250*(Предпосылки!$G219/(AI$8+1-AI$7)))</f>
        <v>0</v>
      </c>
      <c s="125">
        <f>IF(Предпосылки!$G219&lt;0,AK227,AJ250*(Предпосылки!$G219/(AJ$8+1-AJ$7)))</f>
        <v>0</v>
      </c>
      <c s="125">
        <f>IF(Предпосылки!$G219&lt;0,AL227,AK250*(Предпосылки!$G219/(AK$8+1-AK$7)))</f>
        <v>0</v>
      </c>
      <c s="125">
        <f>IF(Предпосылки!$G219&lt;0,AM227,AL250*(Предпосылки!$G219/(AL$8+1-AL$7)))</f>
        <v>0</v>
      </c>
      <c s="125">
        <f>IF(Предпосылки!$G219&lt;0,AN227,AM250*(Предпосылки!$G219/(AM$8+1-AM$7)))</f>
        <v>0</v>
      </c>
      <c s="125">
        <f>IF(Предпосылки!$G219&lt;0,AO227,AN250*(Предпосылки!$G219/(AN$8+1-AN$7)))</f>
        <v>0</v>
      </c>
      <c s="125">
        <f>IF(Предпосылки!$G219&lt;0,AP227,AO250*(Предпосылки!$G219/(AO$8+1-AO$7)))</f>
        <v>0</v>
      </c>
      <c s="125">
        <f>IF(Предпосылки!$G219&lt;0,AQ227,AP250*(Предпосылки!$G219/(AP$8+1-AP$7)))</f>
        <v>0</v>
      </c>
      <c s="125">
        <f>IF(Предпосылки!$G219&lt;0,AR227,AQ250*(Предпосылки!$G219/(AQ$8+1-AQ$7)))</f>
        <v>0</v>
      </c>
      <c s="125">
        <f>IF(Предпосылки!$G219&lt;0,AS227,AR250*(Предпосылки!$G219/(AR$8+1-AR$7)))</f>
        <v>0</v>
      </c>
      <c s="125">
        <f>IF(Предпосылки!$G219&lt;0,AT227,AS250*(Предпосылки!$G219/(AS$8+1-AS$7)))</f>
        <v>0</v>
      </c>
      <c s="125">
        <f>IF(Предпосылки!$G219&lt;0,AU227,AT250*(Предпосылки!$G219/(AT$8+1-AT$7)))</f>
        <v>0</v>
      </c>
      <c s="125">
        <f>IF(Предпосылки!$G219&lt;0,AV227,AU250*(Предпосылки!$G219/(AU$8+1-AU$7)))</f>
        <v>0</v>
      </c>
      <c s="125">
        <f>IF(Предпосылки!$G219&lt;0,AW227,AV250*(Предпосылки!$G219/(AV$8+1-AV$7)))</f>
        <v>0</v>
      </c>
      <c s="125">
        <f>IF(Предпосылки!$G219&lt;0,AX227,AW250*(Предпосылки!$G219/(AW$8+1-AW$7)))</f>
        <v>0</v>
      </c>
      <c s="125">
        <f>IF(Предпосылки!$G219&lt;0,AY227,AX250*(Предпосылки!$G219/(AX$8+1-AX$7)))</f>
        <v>0</v>
      </c>
      <c s="125">
        <f>IF(Предпосылки!$G219&lt;0,AZ227,AY250*(Предпосылки!$G219/(AY$8+1-AY$7)))</f>
        <v>0</v>
      </c>
      <c s="125">
        <f>IF(Предпосылки!$G219&lt;0,BA227,AZ250*(Предпосылки!$G219/(AZ$8+1-AZ$7)))</f>
        <v>0</v>
      </c>
      <c s="125">
        <f>IF(Предпосылки!$G219&lt;0,BB227,BA250*(Предпосылки!$G219/(BA$8+1-BA$7)))</f>
        <v>0</v>
      </c>
      <c s="125">
        <f>IF(Предпосылки!$G219&lt;0,BC227,BB250*(Предпосылки!$G219/(BB$8+1-BB$7)))</f>
        <v>0</v>
      </c>
      <c s="125">
        <f>IF(Предпосылки!$G219&lt;0,BD227,BC250*(Предпосылки!$G219/(BC$8+1-BC$7)))</f>
        <v>0</v>
      </c>
      <c s="125">
        <f>IF(Предпосылки!$G219&lt;0,BE227,BD250*(Предпосылки!$G219/(BD$8+1-BD$7)))</f>
        <v>0</v>
      </c>
      <c s="125">
        <f>IF(Предпосылки!$G219&lt;0,BF227,BE250*(Предпосылки!$G219/(BE$8+1-BE$7)))</f>
        <v>0</v>
      </c>
      <c s="125">
        <f>IF(Предпосылки!$G219&lt;0,BG227,BF250*(Предпосылки!$G219/(BF$8+1-BF$7)))</f>
        <v>0</v>
      </c>
      <c s="125">
        <f>IF(Предпосылки!$G219&lt;0,BH227,BG250*(Предпосылки!$G219/(BG$8+1-BG$7)))</f>
        <v>0</v>
      </c>
      <c s="125">
        <f>IF(Предпосылки!$G219&lt;0,BI227,BH250*(Предпосылки!$G219/(BH$8+1-BH$7)))</f>
        <v>0</v>
      </c>
      <c s="125">
        <f>IF(Предпосылки!$G219&lt;0,BJ227,BI250*(Предпосылки!$G219/(BI$8+1-BI$7)))</f>
        <v>0</v>
      </c>
      <c s="125">
        <f>IF(Предпосылки!$G219&lt;0,BK227,BJ250*(Предпосылки!$G219/(BJ$8+1-BJ$7)))</f>
        <v>0</v>
      </c>
      <c s="125">
        <f>IF(Предпосылки!$G219&lt;0,BL227,BK250*(Предпосылки!$G219/(BK$8+1-BK$7)))</f>
        <v>0</v>
      </c>
      <c s="125">
        <f>IF(Предпосылки!$G219&lt;0,BM227,BL250*(Предпосылки!$G219/(BL$8+1-BL$7)))</f>
        <v>0</v>
      </c>
      <c s="125">
        <f>IF(Предпосылки!$G219&lt;0,BN227,BM250*(Предпосылки!$G219/(BM$8+1-BM$7)))</f>
        <v>0</v>
      </c>
    </row>
    <row r="297" spans="2:65" ht="15" customHeight="1">
      <c r="B297" s="12" t="str">
        <f t="shared" si="251"/>
        <v>Операционные затраты 20</v>
      </c>
      <c s="124" t="str">
        <f t="shared" si="252"/>
        <v>тыс. руб.</v>
      </c>
      <c s="125"/>
      <c s="125">
        <f>IF(Предпосылки!$G220&lt;0,F228,E251*(Предпосылки!$G220/(E$8+1-E$7)))</f>
        <v>0</v>
      </c>
      <c s="125">
        <f>IF(Предпосылки!$G220&lt;0,G228,F251*(Предпосылки!$G220/(F$8+1-F$7)))</f>
        <v>0</v>
      </c>
      <c s="125">
        <f>IF(Предпосылки!$G220&lt;0,H228,G251*(Предпосылки!$G220/(G$8+1-G$7)))</f>
        <v>0</v>
      </c>
      <c s="125">
        <f>IF(Предпосылки!$G220&lt;0,I228,H251*(Предпосылки!$G220/(H$8+1-H$7)))</f>
        <v>0</v>
      </c>
      <c s="125">
        <f>IF(Предпосылки!$G220&lt;0,J228,I251*(Предпосылки!$G220/(I$8+1-I$7)))</f>
        <v>0</v>
      </c>
      <c s="125">
        <f>IF(Предпосылки!$G220&lt;0,K228,J251*(Предпосылки!$G220/(J$8+1-J$7)))</f>
        <v>0</v>
      </c>
      <c s="125">
        <f>IF(Предпосылки!$G220&lt;0,L228,K251*(Предпосылки!$G220/(K$8+1-K$7)))</f>
        <v>0</v>
      </c>
      <c s="125">
        <f>IF(Предпосылки!$G220&lt;0,M228,L251*(Предпосылки!$G220/(L$8+1-L$7)))</f>
        <v>0</v>
      </c>
      <c s="125">
        <f>IF(Предпосылки!$G220&lt;0,N228,M251*(Предпосылки!$G220/(M$8+1-M$7)))</f>
        <v>0</v>
      </c>
      <c s="125">
        <f>IF(Предпосылки!$G220&lt;0,O228,N251*(Предпосылки!$G220/(N$8+1-N$7)))</f>
        <v>0</v>
      </c>
      <c s="125">
        <f>IF(Предпосылки!$G220&lt;0,P228,O251*(Предпосылки!$G220/(O$8+1-O$7)))</f>
        <v>0</v>
      </c>
      <c s="125">
        <f>IF(Предпосылки!$G220&lt;0,Q228,P251*(Предпосылки!$G220/(P$8+1-P$7)))</f>
        <v>0</v>
      </c>
      <c s="125">
        <f>IF(Предпосылки!$G220&lt;0,R228,Q251*(Предпосылки!$G220/(Q$8+1-Q$7)))</f>
        <v>0</v>
      </c>
      <c s="125">
        <f>IF(Предпосылки!$G220&lt;0,S228,R251*(Предпосылки!$G220/(R$8+1-R$7)))</f>
        <v>0</v>
      </c>
      <c s="125">
        <f>IF(Предпосылки!$G220&lt;0,T228,S251*(Предпосылки!$G220/(S$8+1-S$7)))</f>
        <v>0</v>
      </c>
      <c s="125">
        <f>IF(Предпосылки!$G220&lt;0,U228,T251*(Предпосылки!$G220/(T$8+1-T$7)))</f>
        <v>0</v>
      </c>
      <c s="125">
        <f>IF(Предпосылки!$G220&lt;0,V228,U251*(Предпосылки!$G220/(U$8+1-U$7)))</f>
        <v>0</v>
      </c>
      <c s="125">
        <f>IF(Предпосылки!$G220&lt;0,W228,V251*(Предпосылки!$G220/(V$8+1-V$7)))</f>
        <v>0</v>
      </c>
      <c s="125">
        <f>IF(Предпосылки!$G220&lt;0,X228,W251*(Предпосылки!$G220/(W$8+1-W$7)))</f>
        <v>0</v>
      </c>
      <c s="125">
        <f>IF(Предпосылки!$G220&lt;0,Y228,X251*(Предпосылки!$G220/(X$8+1-X$7)))</f>
        <v>0</v>
      </c>
      <c s="125">
        <f>IF(Предпосылки!$G220&lt;0,Z228,Y251*(Предпосылки!$G220/(Y$8+1-Y$7)))</f>
        <v>0</v>
      </c>
      <c s="125">
        <f>IF(Предпосылки!$G220&lt;0,AA228,Z251*(Предпосылки!$G220/(Z$8+1-Z$7)))</f>
        <v>0</v>
      </c>
      <c s="125">
        <f>IF(Предпосылки!$G220&lt;0,AB228,AA251*(Предпосылки!$G220/(AA$8+1-AA$7)))</f>
        <v>0</v>
      </c>
      <c s="125">
        <f>IF(Предпосылки!$G220&lt;0,AC228,AB251*(Предпосылки!$G220/(AB$8+1-AB$7)))</f>
        <v>0</v>
      </c>
      <c s="125">
        <f>IF(Предпосылки!$G220&lt;0,AD228,AC251*(Предпосылки!$G220/(AC$8+1-AC$7)))</f>
        <v>0</v>
      </c>
      <c s="125">
        <f>IF(Предпосылки!$G220&lt;0,AE228,AD251*(Предпосылки!$G220/(AD$8+1-AD$7)))</f>
        <v>0</v>
      </c>
      <c s="125">
        <f>IF(Предпосылки!$G220&lt;0,AF228,AE251*(Предпосылки!$G220/(AE$8+1-AE$7)))</f>
        <v>0</v>
      </c>
      <c s="125">
        <f>IF(Предпосылки!$G220&lt;0,AG228,AF251*(Предпосылки!$G220/(AF$8+1-AF$7)))</f>
        <v>0</v>
      </c>
      <c s="125">
        <f>IF(Предпосылки!$G220&lt;0,AH228,AG251*(Предпосылки!$G220/(AG$8+1-AG$7)))</f>
        <v>0</v>
      </c>
      <c s="125">
        <f>IF(Предпосылки!$G220&lt;0,AI228,AH251*(Предпосылки!$G220/(AH$8+1-AH$7)))</f>
        <v>0</v>
      </c>
      <c s="125">
        <f>IF(Предпосылки!$G220&lt;0,AJ228,AI251*(Предпосылки!$G220/(AI$8+1-AI$7)))</f>
        <v>0</v>
      </c>
      <c s="125">
        <f>IF(Предпосылки!$G220&lt;0,AK228,AJ251*(Предпосылки!$G220/(AJ$8+1-AJ$7)))</f>
        <v>0</v>
      </c>
      <c s="125">
        <f>IF(Предпосылки!$G220&lt;0,AL228,AK251*(Предпосылки!$G220/(AK$8+1-AK$7)))</f>
        <v>0</v>
      </c>
      <c s="125">
        <f>IF(Предпосылки!$G220&lt;0,AM228,AL251*(Предпосылки!$G220/(AL$8+1-AL$7)))</f>
        <v>0</v>
      </c>
      <c s="125">
        <f>IF(Предпосылки!$G220&lt;0,AN228,AM251*(Предпосылки!$G220/(AM$8+1-AM$7)))</f>
        <v>0</v>
      </c>
      <c s="125">
        <f>IF(Предпосылки!$G220&lt;0,AO228,AN251*(Предпосылки!$G220/(AN$8+1-AN$7)))</f>
        <v>0</v>
      </c>
      <c s="125">
        <f>IF(Предпосылки!$G220&lt;0,AP228,AO251*(Предпосылки!$G220/(AO$8+1-AO$7)))</f>
        <v>0</v>
      </c>
      <c s="125">
        <f>IF(Предпосылки!$G220&lt;0,AQ228,AP251*(Предпосылки!$G220/(AP$8+1-AP$7)))</f>
        <v>0</v>
      </c>
      <c s="125">
        <f>IF(Предпосылки!$G220&lt;0,AR228,AQ251*(Предпосылки!$G220/(AQ$8+1-AQ$7)))</f>
        <v>0</v>
      </c>
      <c s="125">
        <f>IF(Предпосылки!$G220&lt;0,AS228,AR251*(Предпосылки!$G220/(AR$8+1-AR$7)))</f>
        <v>0</v>
      </c>
      <c s="125">
        <f>IF(Предпосылки!$G220&lt;0,AT228,AS251*(Предпосылки!$G220/(AS$8+1-AS$7)))</f>
        <v>0</v>
      </c>
      <c s="125">
        <f>IF(Предпосылки!$G220&lt;0,AU228,AT251*(Предпосылки!$G220/(AT$8+1-AT$7)))</f>
        <v>0</v>
      </c>
      <c s="125">
        <f>IF(Предпосылки!$G220&lt;0,AV228,AU251*(Предпосылки!$G220/(AU$8+1-AU$7)))</f>
        <v>0</v>
      </c>
      <c s="125">
        <f>IF(Предпосылки!$G220&lt;0,AW228,AV251*(Предпосылки!$G220/(AV$8+1-AV$7)))</f>
        <v>0</v>
      </c>
      <c s="125">
        <f>IF(Предпосылки!$G220&lt;0,AX228,AW251*(Предпосылки!$G220/(AW$8+1-AW$7)))</f>
        <v>0</v>
      </c>
      <c s="125">
        <f>IF(Предпосылки!$G220&lt;0,AY228,AX251*(Предпосылки!$G220/(AX$8+1-AX$7)))</f>
        <v>0</v>
      </c>
      <c s="125">
        <f>IF(Предпосылки!$G220&lt;0,AZ228,AY251*(Предпосылки!$G220/(AY$8+1-AY$7)))</f>
        <v>0</v>
      </c>
      <c s="125">
        <f>IF(Предпосылки!$G220&lt;0,BA228,AZ251*(Предпосылки!$G220/(AZ$8+1-AZ$7)))</f>
        <v>0</v>
      </c>
      <c s="125">
        <f>IF(Предпосылки!$G220&lt;0,BB228,BA251*(Предпосылки!$G220/(BA$8+1-BA$7)))</f>
        <v>0</v>
      </c>
      <c s="125">
        <f>IF(Предпосылки!$G220&lt;0,BC228,BB251*(Предпосылки!$G220/(BB$8+1-BB$7)))</f>
        <v>0</v>
      </c>
      <c s="125">
        <f>IF(Предпосылки!$G220&lt;0,BD228,BC251*(Предпосылки!$G220/(BC$8+1-BC$7)))</f>
        <v>0</v>
      </c>
      <c s="125">
        <f>IF(Предпосылки!$G220&lt;0,BE228,BD251*(Предпосылки!$G220/(BD$8+1-BD$7)))</f>
        <v>0</v>
      </c>
      <c s="125">
        <f>IF(Предпосылки!$G220&lt;0,BF228,BE251*(Предпосылки!$G220/(BE$8+1-BE$7)))</f>
        <v>0</v>
      </c>
      <c s="125">
        <f>IF(Предпосылки!$G220&lt;0,BG228,BF251*(Предпосылки!$G220/(BF$8+1-BF$7)))</f>
        <v>0</v>
      </c>
      <c s="125">
        <f>IF(Предпосылки!$G220&lt;0,BH228,BG251*(Предпосылки!$G220/(BG$8+1-BG$7)))</f>
        <v>0</v>
      </c>
      <c s="125">
        <f>IF(Предпосылки!$G220&lt;0,BI228,BH251*(Предпосылки!$G220/(BH$8+1-BH$7)))</f>
        <v>0</v>
      </c>
      <c s="125">
        <f>IF(Предпосылки!$G220&lt;0,BJ228,BI251*(Предпосылки!$G220/(BI$8+1-BI$7)))</f>
        <v>0</v>
      </c>
      <c s="125">
        <f>IF(Предпосылки!$G220&lt;0,BK228,BJ251*(Предпосылки!$G220/(BJ$8+1-BJ$7)))</f>
        <v>0</v>
      </c>
      <c s="125">
        <f>IF(Предпосылки!$G220&lt;0,BL228,BK251*(Предпосылки!$G220/(BK$8+1-BK$7)))</f>
        <v>0</v>
      </c>
      <c s="125">
        <f>IF(Предпосылки!$G220&lt;0,BM228,BL251*(Предпосылки!$G220/(BL$8+1-BL$7)))</f>
        <v>0</v>
      </c>
      <c s="125">
        <f>IF(Предпосылки!$G220&lt;0,BN228,BM251*(Предпосылки!$G220/(BM$8+1-BM$7)))</f>
        <v>0</v>
      </c>
    </row>
    <row r="298" spans="2:65" ht="15" customHeight="1">
      <c r="B298" s="289" t="s">
        <v>454</v>
      </c>
      <c s="290" t="str">
        <f>Единица_измерения</f>
        <v>тыс. руб.</v>
      </c>
      <c s="276"/>
      <c s="276">
        <f>SUM(E278:E297)</f>
        <v>0</v>
      </c>
      <c s="276">
        <f t="shared" si="253" ref="F298:AG298">SUM(F278:F297)</f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3"/>
        <v>0</v>
      </c>
      <c s="276">
        <f t="shared" si="254" ref="AH298:BM298">SUM(AH278:AH297)</f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  <c s="276">
        <f t="shared" si="254"/>
        <v>0</v>
      </c>
    </row>
    <row r="299" spans="2:65" ht="15" customHeight="1">
      <c r="B299" s="12" t="s">
        <v>901</v>
      </c>
      <c s="124" t="str">
        <f>Единица_измерения</f>
        <v>тыс. руб.</v>
      </c>
      <c s="125"/>
      <c s="125">
        <f>-MIN(0,E298)</f>
        <v>0</v>
      </c>
      <c s="125">
        <f t="shared" si="255" ref="F299:BM299">-MIN(0,F298)</f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  <c s="125">
        <f t="shared" si="255"/>
        <v>0</v>
      </c>
    </row>
    <row r="300" spans="2:65" ht="15" customHeight="1">
      <c r="B300" s="12" t="s">
        <v>313</v>
      </c>
      <c s="124" t="str">
        <f>Единица_измерения</f>
        <v>тыс. руб.</v>
      </c>
      <c s="125"/>
      <c s="125">
        <f>MAX(0,E298)</f>
        <v>0</v>
      </c>
      <c s="125">
        <f t="shared" si="256" ref="F300:BM300">MAX(0,F298)</f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  <c s="125">
        <f t="shared" si="256"/>
        <v>0</v>
      </c>
    </row>
    <row r="301" ht="15" customHeight="1"/>
    <row r="302" spans="2:71" ht="21">
      <c r="B302" s="23" t="s">
        <v>902</v>
      </c>
      <c r="D30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3" spans="2:65" ht="15" customHeight="1">
      <c r="B303" s="12" t="str">
        <f t="shared" si="257" ref="B303:B322">B278</f>
        <v>Операционные затраты 1</v>
      </c>
      <c s="124" t="str">
        <f t="shared" si="258" ref="C303:C323">Единица_измерения</f>
        <v>тыс. руб.</v>
      </c>
      <c s="125"/>
      <c s="125">
        <f>E255*(1+IFERROR(INDEX(E$10:E$11,Предпосылки!$I201,),0))</f>
        <v>0</v>
      </c>
      <c s="125">
        <f>F255*(1+IFERROR(INDEX(F$10:F$11,Предпосылки!$I201,),0))</f>
        <v>0</v>
      </c>
      <c s="125">
        <f>G255*(1+IFERROR(INDEX(G$10:G$11,Предпосылки!$I201,),0))</f>
        <v>0</v>
      </c>
      <c s="125">
        <f>H255*(1+IFERROR(INDEX(H$10:H$11,Предпосылки!$I201,),0))</f>
        <v>0</v>
      </c>
      <c s="125">
        <f>I255*(1+IFERROR(INDEX(I$10:I$11,Предпосылки!$I201,),0))</f>
        <v>0</v>
      </c>
      <c s="125">
        <f>J255*(1+IFERROR(INDEX(J$10:J$11,Предпосылки!$I201,),0))</f>
        <v>0</v>
      </c>
      <c s="125">
        <f>K255*(1+IFERROR(INDEX(K$10:K$11,Предпосылки!$I201,),0))</f>
        <v>0</v>
      </c>
      <c s="125">
        <f>L255*(1+IFERROR(INDEX(L$10:L$11,Предпосылки!$I201,),0))</f>
        <v>0</v>
      </c>
      <c s="125">
        <f>M255*(1+IFERROR(INDEX(M$10:M$11,Предпосылки!$I201,),0))</f>
        <v>0</v>
      </c>
      <c s="125">
        <f>N255*(1+IFERROR(INDEX(N$10:N$11,Предпосылки!$I201,),0))</f>
        <v>0</v>
      </c>
      <c s="125">
        <f>O255*(1+IFERROR(INDEX(O$10:O$11,Предпосылки!$I201,),0))</f>
        <v>0</v>
      </c>
      <c s="125">
        <f>P255*(1+IFERROR(INDEX(P$10:P$11,Предпосылки!$I201,),0))</f>
        <v>0</v>
      </c>
      <c s="125">
        <f>Q255*(1+IFERROR(INDEX(Q$10:Q$11,Предпосылки!$I201,),0))</f>
        <v>0</v>
      </c>
      <c s="125">
        <f>R255*(1+IFERROR(INDEX(R$10:R$11,Предпосылки!$I201,),0))</f>
        <v>0</v>
      </c>
      <c s="125">
        <f>S255*(1+IFERROR(INDEX(S$10:S$11,Предпосылки!$I201,),0))</f>
        <v>0</v>
      </c>
      <c s="125">
        <f>T255*(1+IFERROR(INDEX(T$10:T$11,Предпосылки!$I201,),0))</f>
        <v>0</v>
      </c>
      <c s="125">
        <f>U255*(1+IFERROR(INDEX(U$10:U$11,Предпосылки!$I201,),0))</f>
        <v>0</v>
      </c>
      <c s="125">
        <f>V255*(1+IFERROR(INDEX(V$10:V$11,Предпосылки!$I201,),0))</f>
        <v>0</v>
      </c>
      <c s="125">
        <f>W255*(1+IFERROR(INDEX(W$10:W$11,Предпосылки!$I201,),0))</f>
        <v>0</v>
      </c>
      <c s="125">
        <f>X255*(1+IFERROR(INDEX(X$10:X$11,Предпосылки!$I201,),0))</f>
        <v>0</v>
      </c>
      <c s="125">
        <f>Y255*(1+IFERROR(INDEX(Y$10:Y$11,Предпосылки!$I201,),0))</f>
        <v>0</v>
      </c>
      <c s="125">
        <f>Z255*(1+IFERROR(INDEX(Z$10:Z$11,Предпосылки!$I201,),0))</f>
        <v>0</v>
      </c>
      <c s="125">
        <f>AA255*(1+IFERROR(INDEX(AA$10:AA$11,Предпосылки!$I201,),0))</f>
        <v>0</v>
      </c>
      <c s="125">
        <f>AB255*(1+IFERROR(INDEX(AB$10:AB$11,Предпосылки!$I201,),0))</f>
        <v>0</v>
      </c>
      <c s="125">
        <f>AC255*(1+IFERROR(INDEX(AC$10:AC$11,Предпосылки!$I201,),0))</f>
        <v>0</v>
      </c>
      <c s="125">
        <f>AD255*(1+IFERROR(INDEX(AD$10:AD$11,Предпосылки!$I201,),0))</f>
        <v>0</v>
      </c>
      <c s="125">
        <f>AE255*(1+IFERROR(INDEX(AE$10:AE$11,Предпосылки!$I201,),0))</f>
        <v>0</v>
      </c>
      <c s="125">
        <f>AF255*(1+IFERROR(INDEX(AF$10:AF$11,Предпосылки!$I201,),0))</f>
        <v>0</v>
      </c>
      <c s="125">
        <f>AG255*(1+IFERROR(INDEX(AG$10:AG$11,Предпосылки!$I201,),0))</f>
        <v>0</v>
      </c>
      <c s="125">
        <f>AH255*(1+IFERROR(INDEX(AH$10:AH$11,Предпосылки!$I201,),0))</f>
        <v>0</v>
      </c>
      <c s="125">
        <f>AI255*(1+IFERROR(INDEX(AI$10:AI$11,Предпосылки!$I201,),0))</f>
        <v>0</v>
      </c>
      <c s="125">
        <f>AJ255*(1+IFERROR(INDEX(AJ$10:AJ$11,Предпосылки!$I201,),0))</f>
        <v>0</v>
      </c>
      <c s="125">
        <f>AK255*(1+IFERROR(INDEX(AK$10:AK$11,Предпосылки!$I201,),0))</f>
        <v>0</v>
      </c>
      <c s="125">
        <f>AL255*(1+IFERROR(INDEX(AL$10:AL$11,Предпосылки!$I201,),0))</f>
        <v>0</v>
      </c>
      <c s="125">
        <f>AM255*(1+IFERROR(INDEX(AM$10:AM$11,Предпосылки!$I201,),0))</f>
        <v>0</v>
      </c>
      <c s="125">
        <f>AN255*(1+IFERROR(INDEX(AN$10:AN$11,Предпосылки!$I201,),0))</f>
        <v>0</v>
      </c>
      <c s="125">
        <f>AO255*(1+IFERROR(INDEX(AO$10:AO$11,Предпосылки!$I201,),0))</f>
        <v>0</v>
      </c>
      <c s="125">
        <f>AP255*(1+IFERROR(INDEX(AP$10:AP$11,Предпосылки!$I201,),0))</f>
        <v>0</v>
      </c>
      <c s="125">
        <f>AQ255*(1+IFERROR(INDEX(AQ$10:AQ$11,Предпосылки!$I201,),0))</f>
        <v>0</v>
      </c>
      <c s="125">
        <f>AR255*(1+IFERROR(INDEX(AR$10:AR$11,Предпосылки!$I201,),0))</f>
        <v>0</v>
      </c>
      <c s="125">
        <f>AS255*(1+IFERROR(INDEX(AS$10:AS$11,Предпосылки!$I201,),0))</f>
        <v>0</v>
      </c>
      <c s="125">
        <f>AT255*(1+IFERROR(INDEX(AT$10:AT$11,Предпосылки!$I201,),0))</f>
        <v>0</v>
      </c>
      <c s="125">
        <f>AU255*(1+IFERROR(INDEX(AU$10:AU$11,Предпосылки!$I201,),0))</f>
        <v>0</v>
      </c>
      <c s="125">
        <f>AV255*(1+IFERROR(INDEX(AV$10:AV$11,Предпосылки!$I201,),0))</f>
        <v>0</v>
      </c>
      <c s="125">
        <f>AW255*(1+IFERROR(INDEX(AW$10:AW$11,Предпосылки!$I201,),0))</f>
        <v>0</v>
      </c>
      <c s="125">
        <f>AX255*(1+IFERROR(INDEX(AX$10:AX$11,Предпосылки!$I201,),0))</f>
        <v>0</v>
      </c>
      <c s="125">
        <f>AY255*(1+IFERROR(INDEX(AY$10:AY$11,Предпосылки!$I201,),0))</f>
        <v>0</v>
      </c>
      <c s="125">
        <f>AZ255*(1+IFERROR(INDEX(AZ$10:AZ$11,Предпосылки!$I201,),0))</f>
        <v>0</v>
      </c>
      <c s="125">
        <f>BA255*(1+IFERROR(INDEX(BA$10:BA$11,Предпосылки!$I201,),0))</f>
        <v>0</v>
      </c>
      <c s="125">
        <f>BB255*(1+IFERROR(INDEX(BB$10:BB$11,Предпосылки!$I201,),0))</f>
        <v>0</v>
      </c>
      <c s="125">
        <f>BC255*(1+IFERROR(INDEX(BC$10:BC$11,Предпосылки!$I201,),0))</f>
        <v>0</v>
      </c>
      <c s="125">
        <f>BD255*(1+IFERROR(INDEX(BD$10:BD$11,Предпосылки!$I201,),0))</f>
        <v>0</v>
      </c>
      <c s="125">
        <f>BE255*(1+IFERROR(INDEX(BE$10:BE$11,Предпосылки!$I201,),0))</f>
        <v>0</v>
      </c>
      <c s="125">
        <f>BF255*(1+IFERROR(INDEX(BF$10:BF$11,Предпосылки!$I201,),0))</f>
        <v>0</v>
      </c>
      <c s="125">
        <f>BG255*(1+IFERROR(INDEX(BG$10:BG$11,Предпосылки!$I201,),0))</f>
        <v>0</v>
      </c>
      <c s="125">
        <f>BH255*(1+IFERROR(INDEX(BH$10:BH$11,Предпосылки!$I201,),0))</f>
        <v>0</v>
      </c>
      <c s="125">
        <f>BI255*(1+IFERROR(INDEX(BI$10:BI$11,Предпосылки!$I201,),0))</f>
        <v>0</v>
      </c>
      <c s="125">
        <f>BJ255*(1+IFERROR(INDEX(BJ$10:BJ$11,Предпосылки!$I201,),0))</f>
        <v>0</v>
      </c>
      <c s="125">
        <f>BK255*(1+IFERROR(INDEX(BK$10:BK$11,Предпосылки!$I201,),0))</f>
        <v>0</v>
      </c>
      <c s="125">
        <f>BL255*(1+IFERROR(INDEX(BL$10:BL$11,Предпосылки!$I201,),0))</f>
        <v>0</v>
      </c>
      <c s="125">
        <f>BM255*(1+IFERROR(INDEX(BM$10:BM$11,Предпосылки!$I201,),0))</f>
        <v>0</v>
      </c>
    </row>
    <row r="304" spans="2:65" ht="15" customHeight="1">
      <c r="B304" s="12" t="str">
        <f t="shared" si="257"/>
        <v>Операционные затраты 2</v>
      </c>
      <c s="124" t="str">
        <f t="shared" si="258"/>
        <v>тыс. руб.</v>
      </c>
      <c s="125"/>
      <c s="125">
        <f>E256*(1+IFERROR(INDEX(E$10:E$11,Предпосылки!$I202,),0))</f>
        <v>0</v>
      </c>
      <c s="125">
        <f>F256*(1+IFERROR(INDEX(F$10:F$11,Предпосылки!$I202,),0))</f>
        <v>0</v>
      </c>
      <c s="125">
        <f>G256*(1+IFERROR(INDEX(G$10:G$11,Предпосылки!$I202,),0))</f>
        <v>0</v>
      </c>
      <c s="125">
        <f>H256*(1+IFERROR(INDEX(H$10:H$11,Предпосылки!$I202,),0))</f>
        <v>0</v>
      </c>
      <c s="125">
        <f>I256*(1+IFERROR(INDEX(I$10:I$11,Предпосылки!$I202,),0))</f>
        <v>0</v>
      </c>
      <c s="125">
        <f>J256*(1+IFERROR(INDEX(J$10:J$11,Предпосылки!$I202,),0))</f>
        <v>0</v>
      </c>
      <c s="125">
        <f>K256*(1+IFERROR(INDEX(K$10:K$11,Предпосылки!$I202,),0))</f>
        <v>0</v>
      </c>
      <c s="125">
        <f>L256*(1+IFERROR(INDEX(L$10:L$11,Предпосылки!$I202,),0))</f>
        <v>0</v>
      </c>
      <c s="125">
        <f>M256*(1+IFERROR(INDEX(M$10:M$11,Предпосылки!$I202,),0))</f>
        <v>0</v>
      </c>
      <c s="125">
        <f>N256*(1+IFERROR(INDEX(N$10:N$11,Предпосылки!$I202,),0))</f>
        <v>0</v>
      </c>
      <c s="125">
        <f>O256*(1+IFERROR(INDEX(O$10:O$11,Предпосылки!$I202,),0))</f>
        <v>0</v>
      </c>
      <c s="125">
        <f>P256*(1+IFERROR(INDEX(P$10:P$11,Предпосылки!$I202,),0))</f>
        <v>0</v>
      </c>
      <c s="125">
        <f>Q256*(1+IFERROR(INDEX(Q$10:Q$11,Предпосылки!$I202,),0))</f>
        <v>0</v>
      </c>
      <c s="125">
        <f>R256*(1+IFERROR(INDEX(R$10:R$11,Предпосылки!$I202,),0))</f>
        <v>0</v>
      </c>
      <c s="125">
        <f>S256*(1+IFERROR(INDEX(S$10:S$11,Предпосылки!$I202,),0))</f>
        <v>0</v>
      </c>
      <c s="125">
        <f>T256*(1+IFERROR(INDEX(T$10:T$11,Предпосылки!$I202,),0))</f>
        <v>0</v>
      </c>
      <c s="125">
        <f>U256*(1+IFERROR(INDEX(U$10:U$11,Предпосылки!$I202,),0))</f>
        <v>0</v>
      </c>
      <c s="125">
        <f>V256*(1+IFERROR(INDEX(V$10:V$11,Предпосылки!$I202,),0))</f>
        <v>0</v>
      </c>
      <c s="125">
        <f>W256*(1+IFERROR(INDEX(W$10:W$11,Предпосылки!$I202,),0))</f>
        <v>0</v>
      </c>
      <c s="125">
        <f>X256*(1+IFERROR(INDEX(X$10:X$11,Предпосылки!$I202,),0))</f>
        <v>0</v>
      </c>
      <c s="125">
        <f>Y256*(1+IFERROR(INDEX(Y$10:Y$11,Предпосылки!$I202,),0))</f>
        <v>0</v>
      </c>
      <c s="125">
        <f>Z256*(1+IFERROR(INDEX(Z$10:Z$11,Предпосылки!$I202,),0))</f>
        <v>0</v>
      </c>
      <c s="125">
        <f>AA256*(1+IFERROR(INDEX(AA$10:AA$11,Предпосылки!$I202,),0))</f>
        <v>0</v>
      </c>
      <c s="125">
        <f>AB256*(1+IFERROR(INDEX(AB$10:AB$11,Предпосылки!$I202,),0))</f>
        <v>0</v>
      </c>
      <c s="125">
        <f>AC256*(1+IFERROR(INDEX(AC$10:AC$11,Предпосылки!$I202,),0))</f>
        <v>0</v>
      </c>
      <c s="125">
        <f>AD256*(1+IFERROR(INDEX(AD$10:AD$11,Предпосылки!$I202,),0))</f>
        <v>0</v>
      </c>
      <c s="125">
        <f>AE256*(1+IFERROR(INDEX(AE$10:AE$11,Предпосылки!$I202,),0))</f>
        <v>0</v>
      </c>
      <c s="125">
        <f>AF256*(1+IFERROR(INDEX(AF$10:AF$11,Предпосылки!$I202,),0))</f>
        <v>0</v>
      </c>
      <c s="125">
        <f>AG256*(1+IFERROR(INDEX(AG$10:AG$11,Предпосылки!$I202,),0))</f>
        <v>0</v>
      </c>
      <c s="125">
        <f>AH256*(1+IFERROR(INDEX(AH$10:AH$11,Предпосылки!$I202,),0))</f>
        <v>0</v>
      </c>
      <c s="125">
        <f>AI256*(1+IFERROR(INDEX(AI$10:AI$11,Предпосылки!$I202,),0))</f>
        <v>0</v>
      </c>
      <c s="125">
        <f>AJ256*(1+IFERROR(INDEX(AJ$10:AJ$11,Предпосылки!$I202,),0))</f>
        <v>0</v>
      </c>
      <c s="125">
        <f>AK256*(1+IFERROR(INDEX(AK$10:AK$11,Предпосылки!$I202,),0))</f>
        <v>0</v>
      </c>
      <c s="125">
        <f>AL256*(1+IFERROR(INDEX(AL$10:AL$11,Предпосылки!$I202,),0))</f>
        <v>0</v>
      </c>
      <c s="125">
        <f>AM256*(1+IFERROR(INDEX(AM$10:AM$11,Предпосылки!$I202,),0))</f>
        <v>0</v>
      </c>
      <c s="125">
        <f>AN256*(1+IFERROR(INDEX(AN$10:AN$11,Предпосылки!$I202,),0))</f>
        <v>0</v>
      </c>
      <c s="125">
        <f>AO256*(1+IFERROR(INDEX(AO$10:AO$11,Предпосылки!$I202,),0))</f>
        <v>0</v>
      </c>
      <c s="125">
        <f>AP256*(1+IFERROR(INDEX(AP$10:AP$11,Предпосылки!$I202,),0))</f>
        <v>0</v>
      </c>
      <c s="125">
        <f>AQ256*(1+IFERROR(INDEX(AQ$10:AQ$11,Предпосылки!$I202,),0))</f>
        <v>0</v>
      </c>
      <c s="125">
        <f>AR256*(1+IFERROR(INDEX(AR$10:AR$11,Предпосылки!$I202,),0))</f>
        <v>0</v>
      </c>
      <c s="125">
        <f>AS256*(1+IFERROR(INDEX(AS$10:AS$11,Предпосылки!$I202,),0))</f>
        <v>0</v>
      </c>
      <c s="125">
        <f>AT256*(1+IFERROR(INDEX(AT$10:AT$11,Предпосылки!$I202,),0))</f>
        <v>0</v>
      </c>
      <c s="125">
        <f>AU256*(1+IFERROR(INDEX(AU$10:AU$11,Предпосылки!$I202,),0))</f>
        <v>0</v>
      </c>
      <c s="125">
        <f>AV256*(1+IFERROR(INDEX(AV$10:AV$11,Предпосылки!$I202,),0))</f>
        <v>0</v>
      </c>
      <c s="125">
        <f>AW256*(1+IFERROR(INDEX(AW$10:AW$11,Предпосылки!$I202,),0))</f>
        <v>0</v>
      </c>
      <c s="125">
        <f>AX256*(1+IFERROR(INDEX(AX$10:AX$11,Предпосылки!$I202,),0))</f>
        <v>0</v>
      </c>
      <c s="125">
        <f>AY256*(1+IFERROR(INDEX(AY$10:AY$11,Предпосылки!$I202,),0))</f>
        <v>0</v>
      </c>
      <c s="125">
        <f>AZ256*(1+IFERROR(INDEX(AZ$10:AZ$11,Предпосылки!$I202,),0))</f>
        <v>0</v>
      </c>
      <c s="125">
        <f>BA256*(1+IFERROR(INDEX(BA$10:BA$11,Предпосылки!$I202,),0))</f>
        <v>0</v>
      </c>
      <c s="125">
        <f>BB256*(1+IFERROR(INDEX(BB$10:BB$11,Предпосылки!$I202,),0))</f>
        <v>0</v>
      </c>
      <c s="125">
        <f>BC256*(1+IFERROR(INDEX(BC$10:BC$11,Предпосылки!$I202,),0))</f>
        <v>0</v>
      </c>
      <c s="125">
        <f>BD256*(1+IFERROR(INDEX(BD$10:BD$11,Предпосылки!$I202,),0))</f>
        <v>0</v>
      </c>
      <c s="125">
        <f>BE256*(1+IFERROR(INDEX(BE$10:BE$11,Предпосылки!$I202,),0))</f>
        <v>0</v>
      </c>
      <c s="125">
        <f>BF256*(1+IFERROR(INDEX(BF$10:BF$11,Предпосылки!$I202,),0))</f>
        <v>0</v>
      </c>
      <c s="125">
        <f>BG256*(1+IFERROR(INDEX(BG$10:BG$11,Предпосылки!$I202,),0))</f>
        <v>0</v>
      </c>
      <c s="125">
        <f>BH256*(1+IFERROR(INDEX(BH$10:BH$11,Предпосылки!$I202,),0))</f>
        <v>0</v>
      </c>
      <c s="125">
        <f>BI256*(1+IFERROR(INDEX(BI$10:BI$11,Предпосылки!$I202,),0))</f>
        <v>0</v>
      </c>
      <c s="125">
        <f>BJ256*(1+IFERROR(INDEX(BJ$10:BJ$11,Предпосылки!$I202,),0))</f>
        <v>0</v>
      </c>
      <c s="125">
        <f>BK256*(1+IFERROR(INDEX(BK$10:BK$11,Предпосылки!$I202,),0))</f>
        <v>0</v>
      </c>
      <c s="125">
        <f>BL256*(1+IFERROR(INDEX(BL$10:BL$11,Предпосылки!$I202,),0))</f>
        <v>0</v>
      </c>
      <c s="125">
        <f>BM256*(1+IFERROR(INDEX(BM$10:BM$11,Предпосылки!$I202,),0))</f>
        <v>0</v>
      </c>
    </row>
    <row r="305" spans="2:65" ht="15" customHeight="1">
      <c r="B305" s="12" t="str">
        <f t="shared" si="257"/>
        <v>Операционные затраты 3</v>
      </c>
      <c s="124" t="str">
        <f t="shared" si="258"/>
        <v>тыс. руб.</v>
      </c>
      <c s="125"/>
      <c s="125">
        <f>E257*(1+IFERROR(INDEX(E$10:E$11,Предпосылки!$I203,),0))</f>
        <v>0</v>
      </c>
      <c s="125">
        <f>F257*(1+IFERROR(INDEX(F$10:F$11,Предпосылки!$I203,),0))</f>
        <v>0</v>
      </c>
      <c s="125">
        <f>G257*(1+IFERROR(INDEX(G$10:G$11,Предпосылки!$I203,),0))</f>
        <v>0</v>
      </c>
      <c s="125">
        <f>H257*(1+IFERROR(INDEX(H$10:H$11,Предпосылки!$I203,),0))</f>
        <v>0</v>
      </c>
      <c s="125">
        <f>I257*(1+IFERROR(INDEX(I$10:I$11,Предпосылки!$I203,),0))</f>
        <v>0</v>
      </c>
      <c s="125">
        <f>J257*(1+IFERROR(INDEX(J$10:J$11,Предпосылки!$I203,),0))</f>
        <v>0</v>
      </c>
      <c s="125">
        <f>K257*(1+IFERROR(INDEX(K$10:K$11,Предпосылки!$I203,),0))</f>
        <v>0</v>
      </c>
      <c s="125">
        <f>L257*(1+IFERROR(INDEX(L$10:L$11,Предпосылки!$I203,),0))</f>
        <v>0</v>
      </c>
      <c s="125">
        <f>M257*(1+IFERROR(INDEX(M$10:M$11,Предпосылки!$I203,),0))</f>
        <v>0</v>
      </c>
      <c s="125">
        <f>N257*(1+IFERROR(INDEX(N$10:N$11,Предпосылки!$I203,),0))</f>
        <v>0</v>
      </c>
      <c s="125">
        <f>O257*(1+IFERROR(INDEX(O$10:O$11,Предпосылки!$I203,),0))</f>
        <v>0</v>
      </c>
      <c s="125">
        <f>P257*(1+IFERROR(INDEX(P$10:P$11,Предпосылки!$I203,),0))</f>
        <v>0</v>
      </c>
      <c s="125">
        <f>Q257*(1+IFERROR(INDEX(Q$10:Q$11,Предпосылки!$I203,),0))</f>
        <v>0</v>
      </c>
      <c s="125">
        <f>R257*(1+IFERROR(INDEX(R$10:R$11,Предпосылки!$I203,),0))</f>
        <v>0</v>
      </c>
      <c s="125">
        <f>S257*(1+IFERROR(INDEX(S$10:S$11,Предпосылки!$I203,),0))</f>
        <v>0</v>
      </c>
      <c s="125">
        <f>T257*(1+IFERROR(INDEX(T$10:T$11,Предпосылки!$I203,),0))</f>
        <v>0</v>
      </c>
      <c s="125">
        <f>U257*(1+IFERROR(INDEX(U$10:U$11,Предпосылки!$I203,),0))</f>
        <v>0</v>
      </c>
      <c s="125">
        <f>V257*(1+IFERROR(INDEX(V$10:V$11,Предпосылки!$I203,),0))</f>
        <v>0</v>
      </c>
      <c s="125">
        <f>W257*(1+IFERROR(INDEX(W$10:W$11,Предпосылки!$I203,),0))</f>
        <v>0</v>
      </c>
      <c s="125">
        <f>X257*(1+IFERROR(INDEX(X$10:X$11,Предпосылки!$I203,),0))</f>
        <v>0</v>
      </c>
      <c s="125">
        <f>Y257*(1+IFERROR(INDEX(Y$10:Y$11,Предпосылки!$I203,),0))</f>
        <v>0</v>
      </c>
      <c s="125">
        <f>Z257*(1+IFERROR(INDEX(Z$10:Z$11,Предпосылки!$I203,),0))</f>
        <v>0</v>
      </c>
      <c s="125">
        <f>AA257*(1+IFERROR(INDEX(AA$10:AA$11,Предпосылки!$I203,),0))</f>
        <v>0</v>
      </c>
      <c s="125">
        <f>AB257*(1+IFERROR(INDEX(AB$10:AB$11,Предпосылки!$I203,),0))</f>
        <v>0</v>
      </c>
      <c s="125">
        <f>AC257*(1+IFERROR(INDEX(AC$10:AC$11,Предпосылки!$I203,),0))</f>
        <v>0</v>
      </c>
      <c s="125">
        <f>AD257*(1+IFERROR(INDEX(AD$10:AD$11,Предпосылки!$I203,),0))</f>
        <v>0</v>
      </c>
      <c s="125">
        <f>AE257*(1+IFERROR(INDEX(AE$10:AE$11,Предпосылки!$I203,),0))</f>
        <v>0</v>
      </c>
      <c s="125">
        <f>AF257*(1+IFERROR(INDEX(AF$10:AF$11,Предпосылки!$I203,),0))</f>
        <v>0</v>
      </c>
      <c s="125">
        <f>AG257*(1+IFERROR(INDEX(AG$10:AG$11,Предпосылки!$I203,),0))</f>
        <v>0</v>
      </c>
      <c s="125">
        <f>AH257*(1+IFERROR(INDEX(AH$10:AH$11,Предпосылки!$I203,),0))</f>
        <v>0</v>
      </c>
      <c s="125">
        <f>AI257*(1+IFERROR(INDEX(AI$10:AI$11,Предпосылки!$I203,),0))</f>
        <v>0</v>
      </c>
      <c s="125">
        <f>AJ257*(1+IFERROR(INDEX(AJ$10:AJ$11,Предпосылки!$I203,),0))</f>
        <v>0</v>
      </c>
      <c s="125">
        <f>AK257*(1+IFERROR(INDEX(AK$10:AK$11,Предпосылки!$I203,),0))</f>
        <v>0</v>
      </c>
      <c s="125">
        <f>AL257*(1+IFERROR(INDEX(AL$10:AL$11,Предпосылки!$I203,),0))</f>
        <v>0</v>
      </c>
      <c s="125">
        <f>AM257*(1+IFERROR(INDEX(AM$10:AM$11,Предпосылки!$I203,),0))</f>
        <v>0</v>
      </c>
      <c s="125">
        <f>AN257*(1+IFERROR(INDEX(AN$10:AN$11,Предпосылки!$I203,),0))</f>
        <v>0</v>
      </c>
      <c s="125">
        <f>AO257*(1+IFERROR(INDEX(AO$10:AO$11,Предпосылки!$I203,),0))</f>
        <v>0</v>
      </c>
      <c s="125">
        <f>AP257*(1+IFERROR(INDEX(AP$10:AP$11,Предпосылки!$I203,),0))</f>
        <v>0</v>
      </c>
      <c s="125">
        <f>AQ257*(1+IFERROR(INDEX(AQ$10:AQ$11,Предпосылки!$I203,),0))</f>
        <v>0</v>
      </c>
      <c s="125">
        <f>AR257*(1+IFERROR(INDEX(AR$10:AR$11,Предпосылки!$I203,),0))</f>
        <v>0</v>
      </c>
      <c s="125">
        <f>AS257*(1+IFERROR(INDEX(AS$10:AS$11,Предпосылки!$I203,),0))</f>
        <v>0</v>
      </c>
      <c s="125">
        <f>AT257*(1+IFERROR(INDEX(AT$10:AT$11,Предпосылки!$I203,),0))</f>
        <v>0</v>
      </c>
      <c s="125">
        <f>AU257*(1+IFERROR(INDEX(AU$10:AU$11,Предпосылки!$I203,),0))</f>
        <v>0</v>
      </c>
      <c s="125">
        <f>AV257*(1+IFERROR(INDEX(AV$10:AV$11,Предпосылки!$I203,),0))</f>
        <v>0</v>
      </c>
      <c s="125">
        <f>AW257*(1+IFERROR(INDEX(AW$10:AW$11,Предпосылки!$I203,),0))</f>
        <v>0</v>
      </c>
      <c s="125">
        <f>AX257*(1+IFERROR(INDEX(AX$10:AX$11,Предпосылки!$I203,),0))</f>
        <v>0</v>
      </c>
      <c s="125">
        <f>AY257*(1+IFERROR(INDEX(AY$10:AY$11,Предпосылки!$I203,),0))</f>
        <v>0</v>
      </c>
      <c s="125">
        <f>AZ257*(1+IFERROR(INDEX(AZ$10:AZ$11,Предпосылки!$I203,),0))</f>
        <v>0</v>
      </c>
      <c s="125">
        <f>BA257*(1+IFERROR(INDEX(BA$10:BA$11,Предпосылки!$I203,),0))</f>
        <v>0</v>
      </c>
      <c s="125">
        <f>BB257*(1+IFERROR(INDEX(BB$10:BB$11,Предпосылки!$I203,),0))</f>
        <v>0</v>
      </c>
      <c s="125">
        <f>BC257*(1+IFERROR(INDEX(BC$10:BC$11,Предпосылки!$I203,),0))</f>
        <v>0</v>
      </c>
      <c s="125">
        <f>BD257*(1+IFERROR(INDEX(BD$10:BD$11,Предпосылки!$I203,),0))</f>
        <v>0</v>
      </c>
      <c s="125">
        <f>BE257*(1+IFERROR(INDEX(BE$10:BE$11,Предпосылки!$I203,),0))</f>
        <v>0</v>
      </c>
      <c s="125">
        <f>BF257*(1+IFERROR(INDEX(BF$10:BF$11,Предпосылки!$I203,),0))</f>
        <v>0</v>
      </c>
      <c s="125">
        <f>BG257*(1+IFERROR(INDEX(BG$10:BG$11,Предпосылки!$I203,),0))</f>
        <v>0</v>
      </c>
      <c s="125">
        <f>BH257*(1+IFERROR(INDEX(BH$10:BH$11,Предпосылки!$I203,),0))</f>
        <v>0</v>
      </c>
      <c s="125">
        <f>BI257*(1+IFERROR(INDEX(BI$10:BI$11,Предпосылки!$I203,),0))</f>
        <v>0</v>
      </c>
      <c s="125">
        <f>BJ257*(1+IFERROR(INDEX(BJ$10:BJ$11,Предпосылки!$I203,),0))</f>
        <v>0</v>
      </c>
      <c s="125">
        <f>BK257*(1+IFERROR(INDEX(BK$10:BK$11,Предпосылки!$I203,),0))</f>
        <v>0</v>
      </c>
      <c s="125">
        <f>BL257*(1+IFERROR(INDEX(BL$10:BL$11,Предпосылки!$I203,),0))</f>
        <v>0</v>
      </c>
      <c s="125">
        <f>BM257*(1+IFERROR(INDEX(BM$10:BM$11,Предпосылки!$I203,),0))</f>
        <v>0</v>
      </c>
    </row>
    <row r="306" spans="2:65" ht="15" customHeight="1">
      <c r="B306" s="12" t="str">
        <f t="shared" si="257"/>
        <v>Операционные затраты 4</v>
      </c>
      <c s="124" t="str">
        <f t="shared" si="258"/>
        <v>тыс. руб.</v>
      </c>
      <c s="125"/>
      <c s="125">
        <f>E258*(1+IFERROR(INDEX(E$10:E$11,Предпосылки!$I204,),0))</f>
        <v>0</v>
      </c>
      <c s="125">
        <f>F258*(1+IFERROR(INDEX(F$10:F$11,Предпосылки!$I204,),0))</f>
        <v>0</v>
      </c>
      <c s="125">
        <f>G258*(1+IFERROR(INDEX(G$10:G$11,Предпосылки!$I204,),0))</f>
        <v>0</v>
      </c>
      <c s="125">
        <f>H258*(1+IFERROR(INDEX(H$10:H$11,Предпосылки!$I204,),0))</f>
        <v>0</v>
      </c>
      <c s="125">
        <f>I258*(1+IFERROR(INDEX(I$10:I$11,Предпосылки!$I204,),0))</f>
        <v>0</v>
      </c>
      <c s="125">
        <f>J258*(1+IFERROR(INDEX(J$10:J$11,Предпосылки!$I204,),0))</f>
        <v>0</v>
      </c>
      <c s="125">
        <f>K258*(1+IFERROR(INDEX(K$10:K$11,Предпосылки!$I204,),0))</f>
        <v>0</v>
      </c>
      <c s="125">
        <f>L258*(1+IFERROR(INDEX(L$10:L$11,Предпосылки!$I204,),0))</f>
        <v>0</v>
      </c>
      <c s="125">
        <f>M258*(1+IFERROR(INDEX(M$10:M$11,Предпосылки!$I204,),0))</f>
        <v>0</v>
      </c>
      <c s="125">
        <f>N258*(1+IFERROR(INDEX(N$10:N$11,Предпосылки!$I204,),0))</f>
        <v>0</v>
      </c>
      <c s="125">
        <f>O258*(1+IFERROR(INDEX(O$10:O$11,Предпосылки!$I204,),0))</f>
        <v>0</v>
      </c>
      <c s="125">
        <f>P258*(1+IFERROR(INDEX(P$10:P$11,Предпосылки!$I204,),0))</f>
        <v>0</v>
      </c>
      <c s="125">
        <f>Q258*(1+IFERROR(INDEX(Q$10:Q$11,Предпосылки!$I204,),0))</f>
        <v>0</v>
      </c>
      <c s="125">
        <f>R258*(1+IFERROR(INDEX(R$10:R$11,Предпосылки!$I204,),0))</f>
        <v>0</v>
      </c>
      <c s="125">
        <f>S258*(1+IFERROR(INDEX(S$10:S$11,Предпосылки!$I204,),0))</f>
        <v>0</v>
      </c>
      <c s="125">
        <f>T258*(1+IFERROR(INDEX(T$10:T$11,Предпосылки!$I204,),0))</f>
        <v>0</v>
      </c>
      <c s="125">
        <f>U258*(1+IFERROR(INDEX(U$10:U$11,Предпосылки!$I204,),0))</f>
        <v>0</v>
      </c>
      <c s="125">
        <f>V258*(1+IFERROR(INDEX(V$10:V$11,Предпосылки!$I204,),0))</f>
        <v>0</v>
      </c>
      <c s="125">
        <f>W258*(1+IFERROR(INDEX(W$10:W$11,Предпосылки!$I204,),0))</f>
        <v>0</v>
      </c>
      <c s="125">
        <f>X258*(1+IFERROR(INDEX(X$10:X$11,Предпосылки!$I204,),0))</f>
        <v>0</v>
      </c>
      <c s="125">
        <f>Y258*(1+IFERROR(INDEX(Y$10:Y$11,Предпосылки!$I204,),0))</f>
        <v>0</v>
      </c>
      <c s="125">
        <f>Z258*(1+IFERROR(INDEX(Z$10:Z$11,Предпосылки!$I204,),0))</f>
        <v>0</v>
      </c>
      <c s="125">
        <f>AA258*(1+IFERROR(INDEX(AA$10:AA$11,Предпосылки!$I204,),0))</f>
        <v>0</v>
      </c>
      <c s="125">
        <f>AB258*(1+IFERROR(INDEX(AB$10:AB$11,Предпосылки!$I204,),0))</f>
        <v>0</v>
      </c>
      <c s="125">
        <f>AC258*(1+IFERROR(INDEX(AC$10:AC$11,Предпосылки!$I204,),0))</f>
        <v>0</v>
      </c>
      <c s="125">
        <f>AD258*(1+IFERROR(INDEX(AD$10:AD$11,Предпосылки!$I204,),0))</f>
        <v>0</v>
      </c>
      <c s="125">
        <f>AE258*(1+IFERROR(INDEX(AE$10:AE$11,Предпосылки!$I204,),0))</f>
        <v>0</v>
      </c>
      <c s="125">
        <f>AF258*(1+IFERROR(INDEX(AF$10:AF$11,Предпосылки!$I204,),0))</f>
        <v>0</v>
      </c>
      <c s="125">
        <f>AG258*(1+IFERROR(INDEX(AG$10:AG$11,Предпосылки!$I204,),0))</f>
        <v>0</v>
      </c>
      <c s="125">
        <f>AH258*(1+IFERROR(INDEX(AH$10:AH$11,Предпосылки!$I204,),0))</f>
        <v>0</v>
      </c>
      <c s="125">
        <f>AI258*(1+IFERROR(INDEX(AI$10:AI$11,Предпосылки!$I204,),0))</f>
        <v>0</v>
      </c>
      <c s="125">
        <f>AJ258*(1+IFERROR(INDEX(AJ$10:AJ$11,Предпосылки!$I204,),0))</f>
        <v>0</v>
      </c>
      <c s="125">
        <f>AK258*(1+IFERROR(INDEX(AK$10:AK$11,Предпосылки!$I204,),0))</f>
        <v>0</v>
      </c>
      <c s="125">
        <f>AL258*(1+IFERROR(INDEX(AL$10:AL$11,Предпосылки!$I204,),0))</f>
        <v>0</v>
      </c>
      <c s="125">
        <f>AM258*(1+IFERROR(INDEX(AM$10:AM$11,Предпосылки!$I204,),0))</f>
        <v>0</v>
      </c>
      <c s="125">
        <f>AN258*(1+IFERROR(INDEX(AN$10:AN$11,Предпосылки!$I204,),0))</f>
        <v>0</v>
      </c>
      <c s="125">
        <f>AO258*(1+IFERROR(INDEX(AO$10:AO$11,Предпосылки!$I204,),0))</f>
        <v>0</v>
      </c>
      <c s="125">
        <f>AP258*(1+IFERROR(INDEX(AP$10:AP$11,Предпосылки!$I204,),0))</f>
        <v>0</v>
      </c>
      <c s="125">
        <f>AQ258*(1+IFERROR(INDEX(AQ$10:AQ$11,Предпосылки!$I204,),0))</f>
        <v>0</v>
      </c>
      <c s="125">
        <f>AR258*(1+IFERROR(INDEX(AR$10:AR$11,Предпосылки!$I204,),0))</f>
        <v>0</v>
      </c>
      <c s="125">
        <f>AS258*(1+IFERROR(INDEX(AS$10:AS$11,Предпосылки!$I204,),0))</f>
        <v>0</v>
      </c>
      <c s="125">
        <f>AT258*(1+IFERROR(INDEX(AT$10:AT$11,Предпосылки!$I204,),0))</f>
        <v>0</v>
      </c>
      <c s="125">
        <f>AU258*(1+IFERROR(INDEX(AU$10:AU$11,Предпосылки!$I204,),0))</f>
        <v>0</v>
      </c>
      <c s="125">
        <f>AV258*(1+IFERROR(INDEX(AV$10:AV$11,Предпосылки!$I204,),0))</f>
        <v>0</v>
      </c>
      <c s="125">
        <f>AW258*(1+IFERROR(INDEX(AW$10:AW$11,Предпосылки!$I204,),0))</f>
        <v>0</v>
      </c>
      <c s="125">
        <f>AX258*(1+IFERROR(INDEX(AX$10:AX$11,Предпосылки!$I204,),0))</f>
        <v>0</v>
      </c>
      <c s="125">
        <f>AY258*(1+IFERROR(INDEX(AY$10:AY$11,Предпосылки!$I204,),0))</f>
        <v>0</v>
      </c>
      <c s="125">
        <f>AZ258*(1+IFERROR(INDEX(AZ$10:AZ$11,Предпосылки!$I204,),0))</f>
        <v>0</v>
      </c>
      <c s="125">
        <f>BA258*(1+IFERROR(INDEX(BA$10:BA$11,Предпосылки!$I204,),0))</f>
        <v>0</v>
      </c>
      <c s="125">
        <f>BB258*(1+IFERROR(INDEX(BB$10:BB$11,Предпосылки!$I204,),0))</f>
        <v>0</v>
      </c>
      <c s="125">
        <f>BC258*(1+IFERROR(INDEX(BC$10:BC$11,Предпосылки!$I204,),0))</f>
        <v>0</v>
      </c>
      <c s="125">
        <f>BD258*(1+IFERROR(INDEX(BD$10:BD$11,Предпосылки!$I204,),0))</f>
        <v>0</v>
      </c>
      <c s="125">
        <f>BE258*(1+IFERROR(INDEX(BE$10:BE$11,Предпосылки!$I204,),0))</f>
        <v>0</v>
      </c>
      <c s="125">
        <f>BF258*(1+IFERROR(INDEX(BF$10:BF$11,Предпосылки!$I204,),0))</f>
        <v>0</v>
      </c>
      <c s="125">
        <f>BG258*(1+IFERROR(INDEX(BG$10:BG$11,Предпосылки!$I204,),0))</f>
        <v>0</v>
      </c>
      <c s="125">
        <f>BH258*(1+IFERROR(INDEX(BH$10:BH$11,Предпосылки!$I204,),0))</f>
        <v>0</v>
      </c>
      <c s="125">
        <f>BI258*(1+IFERROR(INDEX(BI$10:BI$11,Предпосылки!$I204,),0))</f>
        <v>0</v>
      </c>
      <c s="125">
        <f>BJ258*(1+IFERROR(INDEX(BJ$10:BJ$11,Предпосылки!$I204,),0))</f>
        <v>0</v>
      </c>
      <c s="125">
        <f>BK258*(1+IFERROR(INDEX(BK$10:BK$11,Предпосылки!$I204,),0))</f>
        <v>0</v>
      </c>
      <c s="125">
        <f>BL258*(1+IFERROR(INDEX(BL$10:BL$11,Предпосылки!$I204,),0))</f>
        <v>0</v>
      </c>
      <c s="125">
        <f>BM258*(1+IFERROR(INDEX(BM$10:BM$11,Предпосылки!$I204,),0))</f>
        <v>0</v>
      </c>
    </row>
    <row r="307" spans="2:65" ht="15" customHeight="1">
      <c r="B307" s="12" t="str">
        <f t="shared" si="257"/>
        <v>Операционные затраты 5</v>
      </c>
      <c s="124" t="str">
        <f t="shared" si="258"/>
        <v>тыс. руб.</v>
      </c>
      <c s="125"/>
      <c s="125">
        <f>E259*(1+IFERROR(INDEX(E$10:E$11,Предпосылки!$I205,),0))</f>
        <v>0</v>
      </c>
      <c s="125">
        <f>F259*(1+IFERROR(INDEX(F$10:F$11,Предпосылки!$I205,),0))</f>
        <v>0</v>
      </c>
      <c s="125">
        <f>G259*(1+IFERROR(INDEX(G$10:G$11,Предпосылки!$I205,),0))</f>
        <v>0</v>
      </c>
      <c s="125">
        <f>H259*(1+IFERROR(INDEX(H$10:H$11,Предпосылки!$I205,),0))</f>
        <v>0</v>
      </c>
      <c s="125">
        <f>I259*(1+IFERROR(INDEX(I$10:I$11,Предпосылки!$I205,),0))</f>
        <v>0</v>
      </c>
      <c s="125">
        <f>J259*(1+IFERROR(INDEX(J$10:J$11,Предпосылки!$I205,),0))</f>
        <v>0</v>
      </c>
      <c s="125">
        <f>K259*(1+IFERROR(INDEX(K$10:K$11,Предпосылки!$I205,),0))</f>
        <v>0</v>
      </c>
      <c s="125">
        <f>L259*(1+IFERROR(INDEX(L$10:L$11,Предпосылки!$I205,),0))</f>
        <v>0</v>
      </c>
      <c s="125">
        <f>M259*(1+IFERROR(INDEX(M$10:M$11,Предпосылки!$I205,),0))</f>
        <v>0</v>
      </c>
      <c s="125">
        <f>N259*(1+IFERROR(INDEX(N$10:N$11,Предпосылки!$I205,),0))</f>
        <v>0</v>
      </c>
      <c s="125">
        <f>O259*(1+IFERROR(INDEX(O$10:O$11,Предпосылки!$I205,),0))</f>
        <v>0</v>
      </c>
      <c s="125">
        <f>P259*(1+IFERROR(INDEX(P$10:P$11,Предпосылки!$I205,),0))</f>
        <v>0</v>
      </c>
      <c s="125">
        <f>Q259*(1+IFERROR(INDEX(Q$10:Q$11,Предпосылки!$I205,),0))</f>
        <v>0</v>
      </c>
      <c s="125">
        <f>R259*(1+IFERROR(INDEX(R$10:R$11,Предпосылки!$I205,),0))</f>
        <v>0</v>
      </c>
      <c s="125">
        <f>S259*(1+IFERROR(INDEX(S$10:S$11,Предпосылки!$I205,),0))</f>
        <v>0</v>
      </c>
      <c s="125">
        <f>T259*(1+IFERROR(INDEX(T$10:T$11,Предпосылки!$I205,),0))</f>
        <v>0</v>
      </c>
      <c s="125">
        <f>U259*(1+IFERROR(INDEX(U$10:U$11,Предпосылки!$I205,),0))</f>
        <v>0</v>
      </c>
      <c s="125">
        <f>V259*(1+IFERROR(INDEX(V$10:V$11,Предпосылки!$I205,),0))</f>
        <v>0</v>
      </c>
      <c s="125">
        <f>W259*(1+IFERROR(INDEX(W$10:W$11,Предпосылки!$I205,),0))</f>
        <v>0</v>
      </c>
      <c s="125">
        <f>X259*(1+IFERROR(INDEX(X$10:X$11,Предпосылки!$I205,),0))</f>
        <v>0</v>
      </c>
      <c s="125">
        <f>Y259*(1+IFERROR(INDEX(Y$10:Y$11,Предпосылки!$I205,),0))</f>
        <v>0</v>
      </c>
      <c s="125">
        <f>Z259*(1+IFERROR(INDEX(Z$10:Z$11,Предпосылки!$I205,),0))</f>
        <v>0</v>
      </c>
      <c s="125">
        <f>AA259*(1+IFERROR(INDEX(AA$10:AA$11,Предпосылки!$I205,),0))</f>
        <v>0</v>
      </c>
      <c s="125">
        <f>AB259*(1+IFERROR(INDEX(AB$10:AB$11,Предпосылки!$I205,),0))</f>
        <v>0</v>
      </c>
      <c s="125">
        <f>AC259*(1+IFERROR(INDEX(AC$10:AC$11,Предпосылки!$I205,),0))</f>
        <v>0</v>
      </c>
      <c s="125">
        <f>AD259*(1+IFERROR(INDEX(AD$10:AD$11,Предпосылки!$I205,),0))</f>
        <v>0</v>
      </c>
      <c s="125">
        <f>AE259*(1+IFERROR(INDEX(AE$10:AE$11,Предпосылки!$I205,),0))</f>
        <v>0</v>
      </c>
      <c s="125">
        <f>AF259*(1+IFERROR(INDEX(AF$10:AF$11,Предпосылки!$I205,),0))</f>
        <v>0</v>
      </c>
      <c s="125">
        <f>AG259*(1+IFERROR(INDEX(AG$10:AG$11,Предпосылки!$I205,),0))</f>
        <v>0</v>
      </c>
      <c s="125">
        <f>AH259*(1+IFERROR(INDEX(AH$10:AH$11,Предпосылки!$I205,),0))</f>
        <v>0</v>
      </c>
      <c s="125">
        <f>AI259*(1+IFERROR(INDEX(AI$10:AI$11,Предпосылки!$I205,),0))</f>
        <v>0</v>
      </c>
      <c s="125">
        <f>AJ259*(1+IFERROR(INDEX(AJ$10:AJ$11,Предпосылки!$I205,),0))</f>
        <v>0</v>
      </c>
      <c s="125">
        <f>AK259*(1+IFERROR(INDEX(AK$10:AK$11,Предпосылки!$I205,),0))</f>
        <v>0</v>
      </c>
      <c s="125">
        <f>AL259*(1+IFERROR(INDEX(AL$10:AL$11,Предпосылки!$I205,),0))</f>
        <v>0</v>
      </c>
      <c s="125">
        <f>AM259*(1+IFERROR(INDEX(AM$10:AM$11,Предпосылки!$I205,),0))</f>
        <v>0</v>
      </c>
      <c s="125">
        <f>AN259*(1+IFERROR(INDEX(AN$10:AN$11,Предпосылки!$I205,),0))</f>
        <v>0</v>
      </c>
      <c s="125">
        <f>AO259*(1+IFERROR(INDEX(AO$10:AO$11,Предпосылки!$I205,),0))</f>
        <v>0</v>
      </c>
      <c s="125">
        <f>AP259*(1+IFERROR(INDEX(AP$10:AP$11,Предпосылки!$I205,),0))</f>
        <v>0</v>
      </c>
      <c s="125">
        <f>AQ259*(1+IFERROR(INDEX(AQ$10:AQ$11,Предпосылки!$I205,),0))</f>
        <v>0</v>
      </c>
      <c s="125">
        <f>AR259*(1+IFERROR(INDEX(AR$10:AR$11,Предпосылки!$I205,),0))</f>
        <v>0</v>
      </c>
      <c s="125">
        <f>AS259*(1+IFERROR(INDEX(AS$10:AS$11,Предпосылки!$I205,),0))</f>
        <v>0</v>
      </c>
      <c s="125">
        <f>AT259*(1+IFERROR(INDEX(AT$10:AT$11,Предпосылки!$I205,),0))</f>
        <v>0</v>
      </c>
      <c s="125">
        <f>AU259*(1+IFERROR(INDEX(AU$10:AU$11,Предпосылки!$I205,),0))</f>
        <v>0</v>
      </c>
      <c s="125">
        <f>AV259*(1+IFERROR(INDEX(AV$10:AV$11,Предпосылки!$I205,),0))</f>
        <v>0</v>
      </c>
      <c s="125">
        <f>AW259*(1+IFERROR(INDEX(AW$10:AW$11,Предпосылки!$I205,),0))</f>
        <v>0</v>
      </c>
      <c s="125">
        <f>AX259*(1+IFERROR(INDEX(AX$10:AX$11,Предпосылки!$I205,),0))</f>
        <v>0</v>
      </c>
      <c s="125">
        <f>AY259*(1+IFERROR(INDEX(AY$10:AY$11,Предпосылки!$I205,),0))</f>
        <v>0</v>
      </c>
      <c s="125">
        <f>AZ259*(1+IFERROR(INDEX(AZ$10:AZ$11,Предпосылки!$I205,),0))</f>
        <v>0</v>
      </c>
      <c s="125">
        <f>BA259*(1+IFERROR(INDEX(BA$10:BA$11,Предпосылки!$I205,),0))</f>
        <v>0</v>
      </c>
      <c s="125">
        <f>BB259*(1+IFERROR(INDEX(BB$10:BB$11,Предпосылки!$I205,),0))</f>
        <v>0</v>
      </c>
      <c s="125">
        <f>BC259*(1+IFERROR(INDEX(BC$10:BC$11,Предпосылки!$I205,),0))</f>
        <v>0</v>
      </c>
      <c s="125">
        <f>BD259*(1+IFERROR(INDEX(BD$10:BD$11,Предпосылки!$I205,),0))</f>
        <v>0</v>
      </c>
      <c s="125">
        <f>BE259*(1+IFERROR(INDEX(BE$10:BE$11,Предпосылки!$I205,),0))</f>
        <v>0</v>
      </c>
      <c s="125">
        <f>BF259*(1+IFERROR(INDEX(BF$10:BF$11,Предпосылки!$I205,),0))</f>
        <v>0</v>
      </c>
      <c s="125">
        <f>BG259*(1+IFERROR(INDEX(BG$10:BG$11,Предпосылки!$I205,),0))</f>
        <v>0</v>
      </c>
      <c s="125">
        <f>BH259*(1+IFERROR(INDEX(BH$10:BH$11,Предпосылки!$I205,),0))</f>
        <v>0</v>
      </c>
      <c s="125">
        <f>BI259*(1+IFERROR(INDEX(BI$10:BI$11,Предпосылки!$I205,),0))</f>
        <v>0</v>
      </c>
      <c s="125">
        <f>BJ259*(1+IFERROR(INDEX(BJ$10:BJ$11,Предпосылки!$I205,),0))</f>
        <v>0</v>
      </c>
      <c s="125">
        <f>BK259*(1+IFERROR(INDEX(BK$10:BK$11,Предпосылки!$I205,),0))</f>
        <v>0</v>
      </c>
      <c s="125">
        <f>BL259*(1+IFERROR(INDEX(BL$10:BL$11,Предпосылки!$I205,),0))</f>
        <v>0</v>
      </c>
      <c s="125">
        <f>BM259*(1+IFERROR(INDEX(BM$10:BM$11,Предпосылки!$I205,),0))</f>
        <v>0</v>
      </c>
    </row>
    <row r="308" spans="2:65" ht="15" customHeight="1">
      <c r="B308" s="12" t="str">
        <f t="shared" si="257"/>
        <v>Операционные затраты 6</v>
      </c>
      <c s="124" t="str">
        <f t="shared" si="258"/>
        <v>тыс. руб.</v>
      </c>
      <c s="125"/>
      <c s="125">
        <f>E260*(1+IFERROR(INDEX(E$10:E$11,Предпосылки!$I206,),0))</f>
        <v>0</v>
      </c>
      <c s="125">
        <f>F260*(1+IFERROR(INDEX(F$10:F$11,Предпосылки!$I206,),0))</f>
        <v>0</v>
      </c>
      <c s="125">
        <f>G260*(1+IFERROR(INDEX(G$10:G$11,Предпосылки!$I206,),0))</f>
        <v>0</v>
      </c>
      <c s="125">
        <f>H260*(1+IFERROR(INDEX(H$10:H$11,Предпосылки!$I206,),0))</f>
        <v>0</v>
      </c>
      <c s="125">
        <f>I260*(1+IFERROR(INDEX(I$10:I$11,Предпосылки!$I206,),0))</f>
        <v>0</v>
      </c>
      <c s="125">
        <f>J260*(1+IFERROR(INDEX(J$10:J$11,Предпосылки!$I206,),0))</f>
        <v>0</v>
      </c>
      <c s="125">
        <f>K260*(1+IFERROR(INDEX(K$10:K$11,Предпосылки!$I206,),0))</f>
        <v>0</v>
      </c>
      <c s="125">
        <f>L260*(1+IFERROR(INDEX(L$10:L$11,Предпосылки!$I206,),0))</f>
        <v>0</v>
      </c>
      <c s="125">
        <f>M260*(1+IFERROR(INDEX(M$10:M$11,Предпосылки!$I206,),0))</f>
        <v>0</v>
      </c>
      <c s="125">
        <f>N260*(1+IFERROR(INDEX(N$10:N$11,Предпосылки!$I206,),0))</f>
        <v>0</v>
      </c>
      <c s="125">
        <f>O260*(1+IFERROR(INDEX(O$10:O$11,Предпосылки!$I206,),0))</f>
        <v>0</v>
      </c>
      <c s="125">
        <f>P260*(1+IFERROR(INDEX(P$10:P$11,Предпосылки!$I206,),0))</f>
        <v>0</v>
      </c>
      <c s="125">
        <f>Q260*(1+IFERROR(INDEX(Q$10:Q$11,Предпосылки!$I206,),0))</f>
        <v>0</v>
      </c>
      <c s="125">
        <f>R260*(1+IFERROR(INDEX(R$10:R$11,Предпосылки!$I206,),0))</f>
        <v>0</v>
      </c>
      <c s="125">
        <f>S260*(1+IFERROR(INDEX(S$10:S$11,Предпосылки!$I206,),0))</f>
        <v>0</v>
      </c>
      <c s="125">
        <f>T260*(1+IFERROR(INDEX(T$10:T$11,Предпосылки!$I206,),0))</f>
        <v>0</v>
      </c>
      <c s="125">
        <f>U260*(1+IFERROR(INDEX(U$10:U$11,Предпосылки!$I206,),0))</f>
        <v>0</v>
      </c>
      <c s="125">
        <f>V260*(1+IFERROR(INDEX(V$10:V$11,Предпосылки!$I206,),0))</f>
        <v>0</v>
      </c>
      <c s="125">
        <f>W260*(1+IFERROR(INDEX(W$10:W$11,Предпосылки!$I206,),0))</f>
        <v>0</v>
      </c>
      <c s="125">
        <f>X260*(1+IFERROR(INDEX(X$10:X$11,Предпосылки!$I206,),0))</f>
        <v>0</v>
      </c>
      <c s="125">
        <f>Y260*(1+IFERROR(INDEX(Y$10:Y$11,Предпосылки!$I206,),0))</f>
        <v>0</v>
      </c>
      <c s="125">
        <f>Z260*(1+IFERROR(INDEX(Z$10:Z$11,Предпосылки!$I206,),0))</f>
        <v>0</v>
      </c>
      <c s="125">
        <f>AA260*(1+IFERROR(INDEX(AA$10:AA$11,Предпосылки!$I206,),0))</f>
        <v>0</v>
      </c>
      <c s="125">
        <f>AB260*(1+IFERROR(INDEX(AB$10:AB$11,Предпосылки!$I206,),0))</f>
        <v>0</v>
      </c>
      <c s="125">
        <f>AC260*(1+IFERROR(INDEX(AC$10:AC$11,Предпосылки!$I206,),0))</f>
        <v>0</v>
      </c>
      <c s="125">
        <f>AD260*(1+IFERROR(INDEX(AD$10:AD$11,Предпосылки!$I206,),0))</f>
        <v>0</v>
      </c>
      <c s="125">
        <f>AE260*(1+IFERROR(INDEX(AE$10:AE$11,Предпосылки!$I206,),0))</f>
        <v>0</v>
      </c>
      <c s="125">
        <f>AF260*(1+IFERROR(INDEX(AF$10:AF$11,Предпосылки!$I206,),0))</f>
        <v>0</v>
      </c>
      <c s="125">
        <f>AG260*(1+IFERROR(INDEX(AG$10:AG$11,Предпосылки!$I206,),0))</f>
        <v>0</v>
      </c>
      <c s="125">
        <f>AH260*(1+IFERROR(INDEX(AH$10:AH$11,Предпосылки!$I206,),0))</f>
        <v>0</v>
      </c>
      <c s="125">
        <f>AI260*(1+IFERROR(INDEX(AI$10:AI$11,Предпосылки!$I206,),0))</f>
        <v>0</v>
      </c>
      <c s="125">
        <f>AJ260*(1+IFERROR(INDEX(AJ$10:AJ$11,Предпосылки!$I206,),0))</f>
        <v>0</v>
      </c>
      <c s="125">
        <f>AK260*(1+IFERROR(INDEX(AK$10:AK$11,Предпосылки!$I206,),0))</f>
        <v>0</v>
      </c>
      <c s="125">
        <f>AL260*(1+IFERROR(INDEX(AL$10:AL$11,Предпосылки!$I206,),0))</f>
        <v>0</v>
      </c>
      <c s="125">
        <f>AM260*(1+IFERROR(INDEX(AM$10:AM$11,Предпосылки!$I206,),0))</f>
        <v>0</v>
      </c>
      <c s="125">
        <f>AN260*(1+IFERROR(INDEX(AN$10:AN$11,Предпосылки!$I206,),0))</f>
        <v>0</v>
      </c>
      <c s="125">
        <f>AO260*(1+IFERROR(INDEX(AO$10:AO$11,Предпосылки!$I206,),0))</f>
        <v>0</v>
      </c>
      <c s="125">
        <f>AP260*(1+IFERROR(INDEX(AP$10:AP$11,Предпосылки!$I206,),0))</f>
        <v>0</v>
      </c>
      <c s="125">
        <f>AQ260*(1+IFERROR(INDEX(AQ$10:AQ$11,Предпосылки!$I206,),0))</f>
        <v>0</v>
      </c>
      <c s="125">
        <f>AR260*(1+IFERROR(INDEX(AR$10:AR$11,Предпосылки!$I206,),0))</f>
        <v>0</v>
      </c>
      <c s="125">
        <f>AS260*(1+IFERROR(INDEX(AS$10:AS$11,Предпосылки!$I206,),0))</f>
        <v>0</v>
      </c>
      <c s="125">
        <f>AT260*(1+IFERROR(INDEX(AT$10:AT$11,Предпосылки!$I206,),0))</f>
        <v>0</v>
      </c>
      <c s="125">
        <f>AU260*(1+IFERROR(INDEX(AU$10:AU$11,Предпосылки!$I206,),0))</f>
        <v>0</v>
      </c>
      <c s="125">
        <f>AV260*(1+IFERROR(INDEX(AV$10:AV$11,Предпосылки!$I206,),0))</f>
        <v>0</v>
      </c>
      <c s="125">
        <f>AW260*(1+IFERROR(INDEX(AW$10:AW$11,Предпосылки!$I206,),0))</f>
        <v>0</v>
      </c>
      <c s="125">
        <f>AX260*(1+IFERROR(INDEX(AX$10:AX$11,Предпосылки!$I206,),0))</f>
        <v>0</v>
      </c>
      <c s="125">
        <f>AY260*(1+IFERROR(INDEX(AY$10:AY$11,Предпосылки!$I206,),0))</f>
        <v>0</v>
      </c>
      <c s="125">
        <f>AZ260*(1+IFERROR(INDEX(AZ$10:AZ$11,Предпосылки!$I206,),0))</f>
        <v>0</v>
      </c>
      <c s="125">
        <f>BA260*(1+IFERROR(INDEX(BA$10:BA$11,Предпосылки!$I206,),0))</f>
        <v>0</v>
      </c>
      <c s="125">
        <f>BB260*(1+IFERROR(INDEX(BB$10:BB$11,Предпосылки!$I206,),0))</f>
        <v>0</v>
      </c>
      <c s="125">
        <f>BC260*(1+IFERROR(INDEX(BC$10:BC$11,Предпосылки!$I206,),0))</f>
        <v>0</v>
      </c>
      <c s="125">
        <f>BD260*(1+IFERROR(INDEX(BD$10:BD$11,Предпосылки!$I206,),0))</f>
        <v>0</v>
      </c>
      <c s="125">
        <f>BE260*(1+IFERROR(INDEX(BE$10:BE$11,Предпосылки!$I206,),0))</f>
        <v>0</v>
      </c>
      <c s="125">
        <f>BF260*(1+IFERROR(INDEX(BF$10:BF$11,Предпосылки!$I206,),0))</f>
        <v>0</v>
      </c>
      <c s="125">
        <f>BG260*(1+IFERROR(INDEX(BG$10:BG$11,Предпосылки!$I206,),0))</f>
        <v>0</v>
      </c>
      <c s="125">
        <f>BH260*(1+IFERROR(INDEX(BH$10:BH$11,Предпосылки!$I206,),0))</f>
        <v>0</v>
      </c>
      <c s="125">
        <f>BI260*(1+IFERROR(INDEX(BI$10:BI$11,Предпосылки!$I206,),0))</f>
        <v>0</v>
      </c>
      <c s="125">
        <f>BJ260*(1+IFERROR(INDEX(BJ$10:BJ$11,Предпосылки!$I206,),0))</f>
        <v>0</v>
      </c>
      <c s="125">
        <f>BK260*(1+IFERROR(INDEX(BK$10:BK$11,Предпосылки!$I206,),0))</f>
        <v>0</v>
      </c>
      <c s="125">
        <f>BL260*(1+IFERROR(INDEX(BL$10:BL$11,Предпосылки!$I206,),0))</f>
        <v>0</v>
      </c>
      <c s="125">
        <f>BM260*(1+IFERROR(INDEX(BM$10:BM$11,Предпосылки!$I206,),0))</f>
        <v>0</v>
      </c>
    </row>
    <row r="309" spans="2:65" ht="15" customHeight="1">
      <c r="B309" s="12" t="str">
        <f t="shared" si="257"/>
        <v>Операционные затраты 7</v>
      </c>
      <c s="124" t="str">
        <f t="shared" si="258"/>
        <v>тыс. руб.</v>
      </c>
      <c s="125"/>
      <c s="125">
        <f>E261*(1+IFERROR(INDEX(E$10:E$11,Предпосылки!$I207,),0))</f>
        <v>0</v>
      </c>
      <c s="125">
        <f>F261*(1+IFERROR(INDEX(F$10:F$11,Предпосылки!$I207,),0))</f>
        <v>0</v>
      </c>
      <c s="125">
        <f>G261*(1+IFERROR(INDEX(G$10:G$11,Предпосылки!$I207,),0))</f>
        <v>0</v>
      </c>
      <c s="125">
        <f>H261*(1+IFERROR(INDEX(H$10:H$11,Предпосылки!$I207,),0))</f>
        <v>0</v>
      </c>
      <c s="125">
        <f>I261*(1+IFERROR(INDEX(I$10:I$11,Предпосылки!$I207,),0))</f>
        <v>0</v>
      </c>
      <c s="125">
        <f>J261*(1+IFERROR(INDEX(J$10:J$11,Предпосылки!$I207,),0))</f>
        <v>0</v>
      </c>
      <c s="125">
        <f>K261*(1+IFERROR(INDEX(K$10:K$11,Предпосылки!$I207,),0))</f>
        <v>0</v>
      </c>
      <c s="125">
        <f>L261*(1+IFERROR(INDEX(L$10:L$11,Предпосылки!$I207,),0))</f>
        <v>0</v>
      </c>
      <c s="125">
        <f>M261*(1+IFERROR(INDEX(M$10:M$11,Предпосылки!$I207,),0))</f>
        <v>0</v>
      </c>
      <c s="125">
        <f>N261*(1+IFERROR(INDEX(N$10:N$11,Предпосылки!$I207,),0))</f>
        <v>0</v>
      </c>
      <c s="125">
        <f>O261*(1+IFERROR(INDEX(O$10:O$11,Предпосылки!$I207,),0))</f>
        <v>0</v>
      </c>
      <c s="125">
        <f>P261*(1+IFERROR(INDEX(P$10:P$11,Предпосылки!$I207,),0))</f>
        <v>0</v>
      </c>
      <c s="125">
        <f>Q261*(1+IFERROR(INDEX(Q$10:Q$11,Предпосылки!$I207,),0))</f>
        <v>0</v>
      </c>
      <c s="125">
        <f>R261*(1+IFERROR(INDEX(R$10:R$11,Предпосылки!$I207,),0))</f>
        <v>0</v>
      </c>
      <c s="125">
        <f>S261*(1+IFERROR(INDEX(S$10:S$11,Предпосылки!$I207,),0))</f>
        <v>0</v>
      </c>
      <c s="125">
        <f>T261*(1+IFERROR(INDEX(T$10:T$11,Предпосылки!$I207,),0))</f>
        <v>0</v>
      </c>
      <c s="125">
        <f>U261*(1+IFERROR(INDEX(U$10:U$11,Предпосылки!$I207,),0))</f>
        <v>0</v>
      </c>
      <c s="125">
        <f>V261*(1+IFERROR(INDEX(V$10:V$11,Предпосылки!$I207,),0))</f>
        <v>0</v>
      </c>
      <c s="125">
        <f>W261*(1+IFERROR(INDEX(W$10:W$11,Предпосылки!$I207,),0))</f>
        <v>0</v>
      </c>
      <c s="125">
        <f>X261*(1+IFERROR(INDEX(X$10:X$11,Предпосылки!$I207,),0))</f>
        <v>0</v>
      </c>
      <c s="125">
        <f>Y261*(1+IFERROR(INDEX(Y$10:Y$11,Предпосылки!$I207,),0))</f>
        <v>0</v>
      </c>
      <c s="125">
        <f>Z261*(1+IFERROR(INDEX(Z$10:Z$11,Предпосылки!$I207,),0))</f>
        <v>0</v>
      </c>
      <c s="125">
        <f>AA261*(1+IFERROR(INDEX(AA$10:AA$11,Предпосылки!$I207,),0))</f>
        <v>0</v>
      </c>
      <c s="125">
        <f>AB261*(1+IFERROR(INDEX(AB$10:AB$11,Предпосылки!$I207,),0))</f>
        <v>0</v>
      </c>
      <c s="125">
        <f>AC261*(1+IFERROR(INDEX(AC$10:AC$11,Предпосылки!$I207,),0))</f>
        <v>0</v>
      </c>
      <c s="125">
        <f>AD261*(1+IFERROR(INDEX(AD$10:AD$11,Предпосылки!$I207,),0))</f>
        <v>0</v>
      </c>
      <c s="125">
        <f>AE261*(1+IFERROR(INDEX(AE$10:AE$11,Предпосылки!$I207,),0))</f>
        <v>0</v>
      </c>
      <c s="125">
        <f>AF261*(1+IFERROR(INDEX(AF$10:AF$11,Предпосылки!$I207,),0))</f>
        <v>0</v>
      </c>
      <c s="125">
        <f>AG261*(1+IFERROR(INDEX(AG$10:AG$11,Предпосылки!$I207,),0))</f>
        <v>0</v>
      </c>
      <c s="125">
        <f>AH261*(1+IFERROR(INDEX(AH$10:AH$11,Предпосылки!$I207,),0))</f>
        <v>0</v>
      </c>
      <c s="125">
        <f>AI261*(1+IFERROR(INDEX(AI$10:AI$11,Предпосылки!$I207,),0))</f>
        <v>0</v>
      </c>
      <c s="125">
        <f>AJ261*(1+IFERROR(INDEX(AJ$10:AJ$11,Предпосылки!$I207,),0))</f>
        <v>0</v>
      </c>
      <c s="125">
        <f>AK261*(1+IFERROR(INDEX(AK$10:AK$11,Предпосылки!$I207,),0))</f>
        <v>0</v>
      </c>
      <c s="125">
        <f>AL261*(1+IFERROR(INDEX(AL$10:AL$11,Предпосылки!$I207,),0))</f>
        <v>0</v>
      </c>
      <c s="125">
        <f>AM261*(1+IFERROR(INDEX(AM$10:AM$11,Предпосылки!$I207,),0))</f>
        <v>0</v>
      </c>
      <c s="125">
        <f>AN261*(1+IFERROR(INDEX(AN$10:AN$11,Предпосылки!$I207,),0))</f>
        <v>0</v>
      </c>
      <c s="125">
        <f>AO261*(1+IFERROR(INDEX(AO$10:AO$11,Предпосылки!$I207,),0))</f>
        <v>0</v>
      </c>
      <c s="125">
        <f>AP261*(1+IFERROR(INDEX(AP$10:AP$11,Предпосылки!$I207,),0))</f>
        <v>0</v>
      </c>
      <c s="125">
        <f>AQ261*(1+IFERROR(INDEX(AQ$10:AQ$11,Предпосылки!$I207,),0))</f>
        <v>0</v>
      </c>
      <c s="125">
        <f>AR261*(1+IFERROR(INDEX(AR$10:AR$11,Предпосылки!$I207,),0))</f>
        <v>0</v>
      </c>
      <c s="125">
        <f>AS261*(1+IFERROR(INDEX(AS$10:AS$11,Предпосылки!$I207,),0))</f>
        <v>0</v>
      </c>
      <c s="125">
        <f>AT261*(1+IFERROR(INDEX(AT$10:AT$11,Предпосылки!$I207,),0))</f>
        <v>0</v>
      </c>
      <c s="125">
        <f>AU261*(1+IFERROR(INDEX(AU$10:AU$11,Предпосылки!$I207,),0))</f>
        <v>0</v>
      </c>
      <c s="125">
        <f>AV261*(1+IFERROR(INDEX(AV$10:AV$11,Предпосылки!$I207,),0))</f>
        <v>0</v>
      </c>
      <c s="125">
        <f>AW261*(1+IFERROR(INDEX(AW$10:AW$11,Предпосылки!$I207,),0))</f>
        <v>0</v>
      </c>
      <c s="125">
        <f>AX261*(1+IFERROR(INDEX(AX$10:AX$11,Предпосылки!$I207,),0))</f>
        <v>0</v>
      </c>
      <c s="125">
        <f>AY261*(1+IFERROR(INDEX(AY$10:AY$11,Предпосылки!$I207,),0))</f>
        <v>0</v>
      </c>
      <c s="125">
        <f>AZ261*(1+IFERROR(INDEX(AZ$10:AZ$11,Предпосылки!$I207,),0))</f>
        <v>0</v>
      </c>
      <c s="125">
        <f>BA261*(1+IFERROR(INDEX(BA$10:BA$11,Предпосылки!$I207,),0))</f>
        <v>0</v>
      </c>
      <c s="125">
        <f>BB261*(1+IFERROR(INDEX(BB$10:BB$11,Предпосылки!$I207,),0))</f>
        <v>0</v>
      </c>
      <c s="125">
        <f>BC261*(1+IFERROR(INDEX(BC$10:BC$11,Предпосылки!$I207,),0))</f>
        <v>0</v>
      </c>
      <c s="125">
        <f>BD261*(1+IFERROR(INDEX(BD$10:BD$11,Предпосылки!$I207,),0))</f>
        <v>0</v>
      </c>
      <c s="125">
        <f>BE261*(1+IFERROR(INDEX(BE$10:BE$11,Предпосылки!$I207,),0))</f>
        <v>0</v>
      </c>
      <c s="125">
        <f>BF261*(1+IFERROR(INDEX(BF$10:BF$11,Предпосылки!$I207,),0))</f>
        <v>0</v>
      </c>
      <c s="125">
        <f>BG261*(1+IFERROR(INDEX(BG$10:BG$11,Предпосылки!$I207,),0))</f>
        <v>0</v>
      </c>
      <c s="125">
        <f>BH261*(1+IFERROR(INDEX(BH$10:BH$11,Предпосылки!$I207,),0))</f>
        <v>0</v>
      </c>
      <c s="125">
        <f>BI261*(1+IFERROR(INDEX(BI$10:BI$11,Предпосылки!$I207,),0))</f>
        <v>0</v>
      </c>
      <c s="125">
        <f>BJ261*(1+IFERROR(INDEX(BJ$10:BJ$11,Предпосылки!$I207,),0))</f>
        <v>0</v>
      </c>
      <c s="125">
        <f>BK261*(1+IFERROR(INDEX(BK$10:BK$11,Предпосылки!$I207,),0))</f>
        <v>0</v>
      </c>
      <c s="125">
        <f>BL261*(1+IFERROR(INDEX(BL$10:BL$11,Предпосылки!$I207,),0))</f>
        <v>0</v>
      </c>
      <c s="125">
        <f>BM261*(1+IFERROR(INDEX(BM$10:BM$11,Предпосылки!$I207,),0))</f>
        <v>0</v>
      </c>
    </row>
    <row r="310" spans="2:65" ht="15" customHeight="1">
      <c r="B310" s="12" t="str">
        <f t="shared" si="257"/>
        <v>Операционные затраты 8</v>
      </c>
      <c s="124" t="str">
        <f t="shared" si="258"/>
        <v>тыс. руб.</v>
      </c>
      <c s="125"/>
      <c s="125">
        <f>E262*(1+IFERROR(INDEX(E$10:E$11,Предпосылки!$I208,),0))</f>
        <v>0</v>
      </c>
      <c s="125">
        <f>F262*(1+IFERROR(INDEX(F$10:F$11,Предпосылки!$I208,),0))</f>
        <v>0</v>
      </c>
      <c s="125">
        <f>G262*(1+IFERROR(INDEX(G$10:G$11,Предпосылки!$I208,),0))</f>
        <v>0</v>
      </c>
      <c s="125">
        <f>H262*(1+IFERROR(INDEX(H$10:H$11,Предпосылки!$I208,),0))</f>
        <v>0</v>
      </c>
      <c s="125">
        <f>I262*(1+IFERROR(INDEX(I$10:I$11,Предпосылки!$I208,),0))</f>
        <v>0</v>
      </c>
      <c s="125">
        <f>J262*(1+IFERROR(INDEX(J$10:J$11,Предпосылки!$I208,),0))</f>
        <v>0</v>
      </c>
      <c s="125">
        <f>K262*(1+IFERROR(INDEX(K$10:K$11,Предпосылки!$I208,),0))</f>
        <v>0</v>
      </c>
      <c s="125">
        <f>L262*(1+IFERROR(INDEX(L$10:L$11,Предпосылки!$I208,),0))</f>
        <v>0</v>
      </c>
      <c s="125">
        <f>M262*(1+IFERROR(INDEX(M$10:M$11,Предпосылки!$I208,),0))</f>
        <v>0</v>
      </c>
      <c s="125">
        <f>N262*(1+IFERROR(INDEX(N$10:N$11,Предпосылки!$I208,),0))</f>
        <v>0</v>
      </c>
      <c s="125">
        <f>O262*(1+IFERROR(INDEX(O$10:O$11,Предпосылки!$I208,),0))</f>
        <v>0</v>
      </c>
      <c s="125">
        <f>P262*(1+IFERROR(INDEX(P$10:P$11,Предпосылки!$I208,),0))</f>
        <v>0</v>
      </c>
      <c s="125">
        <f>Q262*(1+IFERROR(INDEX(Q$10:Q$11,Предпосылки!$I208,),0))</f>
        <v>0</v>
      </c>
      <c s="125">
        <f>R262*(1+IFERROR(INDEX(R$10:R$11,Предпосылки!$I208,),0))</f>
        <v>0</v>
      </c>
      <c s="125">
        <f>S262*(1+IFERROR(INDEX(S$10:S$11,Предпосылки!$I208,),0))</f>
        <v>0</v>
      </c>
      <c s="125">
        <f>T262*(1+IFERROR(INDEX(T$10:T$11,Предпосылки!$I208,),0))</f>
        <v>0</v>
      </c>
      <c s="125">
        <f>U262*(1+IFERROR(INDEX(U$10:U$11,Предпосылки!$I208,),0))</f>
        <v>0</v>
      </c>
      <c s="125">
        <f>V262*(1+IFERROR(INDEX(V$10:V$11,Предпосылки!$I208,),0))</f>
        <v>0</v>
      </c>
      <c s="125">
        <f>W262*(1+IFERROR(INDEX(W$10:W$11,Предпосылки!$I208,),0))</f>
        <v>0</v>
      </c>
      <c s="125">
        <f>X262*(1+IFERROR(INDEX(X$10:X$11,Предпосылки!$I208,),0))</f>
        <v>0</v>
      </c>
      <c s="125">
        <f>Y262*(1+IFERROR(INDEX(Y$10:Y$11,Предпосылки!$I208,),0))</f>
        <v>0</v>
      </c>
      <c s="125">
        <f>Z262*(1+IFERROR(INDEX(Z$10:Z$11,Предпосылки!$I208,),0))</f>
        <v>0</v>
      </c>
      <c s="125">
        <f>AA262*(1+IFERROR(INDEX(AA$10:AA$11,Предпосылки!$I208,),0))</f>
        <v>0</v>
      </c>
      <c s="125">
        <f>AB262*(1+IFERROR(INDEX(AB$10:AB$11,Предпосылки!$I208,),0))</f>
        <v>0</v>
      </c>
      <c s="125">
        <f>AC262*(1+IFERROR(INDEX(AC$10:AC$11,Предпосылки!$I208,),0))</f>
        <v>0</v>
      </c>
      <c s="125">
        <f>AD262*(1+IFERROR(INDEX(AD$10:AD$11,Предпосылки!$I208,),0))</f>
        <v>0</v>
      </c>
      <c s="125">
        <f>AE262*(1+IFERROR(INDEX(AE$10:AE$11,Предпосылки!$I208,),0))</f>
        <v>0</v>
      </c>
      <c s="125">
        <f>AF262*(1+IFERROR(INDEX(AF$10:AF$11,Предпосылки!$I208,),0))</f>
        <v>0</v>
      </c>
      <c s="125">
        <f>AG262*(1+IFERROR(INDEX(AG$10:AG$11,Предпосылки!$I208,),0))</f>
        <v>0</v>
      </c>
      <c s="125">
        <f>AH262*(1+IFERROR(INDEX(AH$10:AH$11,Предпосылки!$I208,),0))</f>
        <v>0</v>
      </c>
      <c s="125">
        <f>AI262*(1+IFERROR(INDEX(AI$10:AI$11,Предпосылки!$I208,),0))</f>
        <v>0</v>
      </c>
      <c s="125">
        <f>AJ262*(1+IFERROR(INDEX(AJ$10:AJ$11,Предпосылки!$I208,),0))</f>
        <v>0</v>
      </c>
      <c s="125">
        <f>AK262*(1+IFERROR(INDEX(AK$10:AK$11,Предпосылки!$I208,),0))</f>
        <v>0</v>
      </c>
      <c s="125">
        <f>AL262*(1+IFERROR(INDEX(AL$10:AL$11,Предпосылки!$I208,),0))</f>
        <v>0</v>
      </c>
      <c s="125">
        <f>AM262*(1+IFERROR(INDEX(AM$10:AM$11,Предпосылки!$I208,),0))</f>
        <v>0</v>
      </c>
      <c s="125">
        <f>AN262*(1+IFERROR(INDEX(AN$10:AN$11,Предпосылки!$I208,),0))</f>
        <v>0</v>
      </c>
      <c s="125">
        <f>AO262*(1+IFERROR(INDEX(AO$10:AO$11,Предпосылки!$I208,),0))</f>
        <v>0</v>
      </c>
      <c s="125">
        <f>AP262*(1+IFERROR(INDEX(AP$10:AP$11,Предпосылки!$I208,),0))</f>
        <v>0</v>
      </c>
      <c s="125">
        <f>AQ262*(1+IFERROR(INDEX(AQ$10:AQ$11,Предпосылки!$I208,),0))</f>
        <v>0</v>
      </c>
      <c s="125">
        <f>AR262*(1+IFERROR(INDEX(AR$10:AR$11,Предпосылки!$I208,),0))</f>
        <v>0</v>
      </c>
      <c s="125">
        <f>AS262*(1+IFERROR(INDEX(AS$10:AS$11,Предпосылки!$I208,),0))</f>
        <v>0</v>
      </c>
      <c s="125">
        <f>AT262*(1+IFERROR(INDEX(AT$10:AT$11,Предпосылки!$I208,),0))</f>
        <v>0</v>
      </c>
      <c s="125">
        <f>AU262*(1+IFERROR(INDEX(AU$10:AU$11,Предпосылки!$I208,),0))</f>
        <v>0</v>
      </c>
      <c s="125">
        <f>AV262*(1+IFERROR(INDEX(AV$10:AV$11,Предпосылки!$I208,),0))</f>
        <v>0</v>
      </c>
      <c s="125">
        <f>AW262*(1+IFERROR(INDEX(AW$10:AW$11,Предпосылки!$I208,),0))</f>
        <v>0</v>
      </c>
      <c s="125">
        <f>AX262*(1+IFERROR(INDEX(AX$10:AX$11,Предпосылки!$I208,),0))</f>
        <v>0</v>
      </c>
      <c s="125">
        <f>AY262*(1+IFERROR(INDEX(AY$10:AY$11,Предпосылки!$I208,),0))</f>
        <v>0</v>
      </c>
      <c s="125">
        <f>AZ262*(1+IFERROR(INDEX(AZ$10:AZ$11,Предпосылки!$I208,),0))</f>
        <v>0</v>
      </c>
      <c s="125">
        <f>BA262*(1+IFERROR(INDEX(BA$10:BA$11,Предпосылки!$I208,),0))</f>
        <v>0</v>
      </c>
      <c s="125">
        <f>BB262*(1+IFERROR(INDEX(BB$10:BB$11,Предпосылки!$I208,),0))</f>
        <v>0</v>
      </c>
      <c s="125">
        <f>BC262*(1+IFERROR(INDEX(BC$10:BC$11,Предпосылки!$I208,),0))</f>
        <v>0</v>
      </c>
      <c s="125">
        <f>BD262*(1+IFERROR(INDEX(BD$10:BD$11,Предпосылки!$I208,),0))</f>
        <v>0</v>
      </c>
      <c s="125">
        <f>BE262*(1+IFERROR(INDEX(BE$10:BE$11,Предпосылки!$I208,),0))</f>
        <v>0</v>
      </c>
      <c s="125">
        <f>BF262*(1+IFERROR(INDEX(BF$10:BF$11,Предпосылки!$I208,),0))</f>
        <v>0</v>
      </c>
      <c s="125">
        <f>BG262*(1+IFERROR(INDEX(BG$10:BG$11,Предпосылки!$I208,),0))</f>
        <v>0</v>
      </c>
      <c s="125">
        <f>BH262*(1+IFERROR(INDEX(BH$10:BH$11,Предпосылки!$I208,),0))</f>
        <v>0</v>
      </c>
      <c s="125">
        <f>BI262*(1+IFERROR(INDEX(BI$10:BI$11,Предпосылки!$I208,),0))</f>
        <v>0</v>
      </c>
      <c s="125">
        <f>BJ262*(1+IFERROR(INDEX(BJ$10:BJ$11,Предпосылки!$I208,),0))</f>
        <v>0</v>
      </c>
      <c s="125">
        <f>BK262*(1+IFERROR(INDEX(BK$10:BK$11,Предпосылки!$I208,),0))</f>
        <v>0</v>
      </c>
      <c s="125">
        <f>BL262*(1+IFERROR(INDEX(BL$10:BL$11,Предпосылки!$I208,),0))</f>
        <v>0</v>
      </c>
      <c s="125">
        <f>BM262*(1+IFERROR(INDEX(BM$10:BM$11,Предпосылки!$I208,),0))</f>
        <v>0</v>
      </c>
    </row>
    <row r="311" spans="2:65" ht="15" customHeight="1">
      <c r="B311" s="12" t="str">
        <f t="shared" si="257"/>
        <v>Операционные затраты 9</v>
      </c>
      <c s="124" t="str">
        <f t="shared" si="258"/>
        <v>тыс. руб.</v>
      </c>
      <c s="125"/>
      <c s="125">
        <f>E263*(1+IFERROR(INDEX(E$10:E$11,Предпосылки!$I209,),0))</f>
        <v>0</v>
      </c>
      <c s="125">
        <f>F263*(1+IFERROR(INDEX(F$10:F$11,Предпосылки!$I209,),0))</f>
        <v>0</v>
      </c>
      <c s="125">
        <f>G263*(1+IFERROR(INDEX(G$10:G$11,Предпосылки!$I209,),0))</f>
        <v>0</v>
      </c>
      <c s="125">
        <f>H263*(1+IFERROR(INDEX(H$10:H$11,Предпосылки!$I209,),0))</f>
        <v>0</v>
      </c>
      <c s="125">
        <f>I263*(1+IFERROR(INDEX(I$10:I$11,Предпосылки!$I209,),0))</f>
        <v>0</v>
      </c>
      <c s="125">
        <f>J263*(1+IFERROR(INDEX(J$10:J$11,Предпосылки!$I209,),0))</f>
        <v>0</v>
      </c>
      <c s="125">
        <f>K263*(1+IFERROR(INDEX(K$10:K$11,Предпосылки!$I209,),0))</f>
        <v>0</v>
      </c>
      <c s="125">
        <f>L263*(1+IFERROR(INDEX(L$10:L$11,Предпосылки!$I209,),0))</f>
        <v>0</v>
      </c>
      <c s="125">
        <f>M263*(1+IFERROR(INDEX(M$10:M$11,Предпосылки!$I209,),0))</f>
        <v>0</v>
      </c>
      <c s="125">
        <f>N263*(1+IFERROR(INDEX(N$10:N$11,Предпосылки!$I209,),0))</f>
        <v>0</v>
      </c>
      <c s="125">
        <f>O263*(1+IFERROR(INDEX(O$10:O$11,Предпосылки!$I209,),0))</f>
        <v>0</v>
      </c>
      <c s="125">
        <f>P263*(1+IFERROR(INDEX(P$10:P$11,Предпосылки!$I209,),0))</f>
        <v>0</v>
      </c>
      <c s="125">
        <f>Q263*(1+IFERROR(INDEX(Q$10:Q$11,Предпосылки!$I209,),0))</f>
        <v>0</v>
      </c>
      <c s="125">
        <f>R263*(1+IFERROR(INDEX(R$10:R$11,Предпосылки!$I209,),0))</f>
        <v>0</v>
      </c>
      <c s="125">
        <f>S263*(1+IFERROR(INDEX(S$10:S$11,Предпосылки!$I209,),0))</f>
        <v>0</v>
      </c>
      <c s="125">
        <f>T263*(1+IFERROR(INDEX(T$10:T$11,Предпосылки!$I209,),0))</f>
        <v>0</v>
      </c>
      <c s="125">
        <f>U263*(1+IFERROR(INDEX(U$10:U$11,Предпосылки!$I209,),0))</f>
        <v>0</v>
      </c>
      <c s="125">
        <f>V263*(1+IFERROR(INDEX(V$10:V$11,Предпосылки!$I209,),0))</f>
        <v>0</v>
      </c>
      <c s="125">
        <f>W263*(1+IFERROR(INDEX(W$10:W$11,Предпосылки!$I209,),0))</f>
        <v>0</v>
      </c>
      <c s="125">
        <f>X263*(1+IFERROR(INDEX(X$10:X$11,Предпосылки!$I209,),0))</f>
        <v>0</v>
      </c>
      <c s="125">
        <f>Y263*(1+IFERROR(INDEX(Y$10:Y$11,Предпосылки!$I209,),0))</f>
        <v>0</v>
      </c>
      <c s="125">
        <f>Z263*(1+IFERROR(INDEX(Z$10:Z$11,Предпосылки!$I209,),0))</f>
        <v>0</v>
      </c>
      <c s="125">
        <f>AA263*(1+IFERROR(INDEX(AA$10:AA$11,Предпосылки!$I209,),0))</f>
        <v>0</v>
      </c>
      <c s="125">
        <f>AB263*(1+IFERROR(INDEX(AB$10:AB$11,Предпосылки!$I209,),0))</f>
        <v>0</v>
      </c>
      <c s="125">
        <f>AC263*(1+IFERROR(INDEX(AC$10:AC$11,Предпосылки!$I209,),0))</f>
        <v>0</v>
      </c>
      <c s="125">
        <f>AD263*(1+IFERROR(INDEX(AD$10:AD$11,Предпосылки!$I209,),0))</f>
        <v>0</v>
      </c>
      <c s="125">
        <f>AE263*(1+IFERROR(INDEX(AE$10:AE$11,Предпосылки!$I209,),0))</f>
        <v>0</v>
      </c>
      <c s="125">
        <f>AF263*(1+IFERROR(INDEX(AF$10:AF$11,Предпосылки!$I209,),0))</f>
        <v>0</v>
      </c>
      <c s="125">
        <f>AG263*(1+IFERROR(INDEX(AG$10:AG$11,Предпосылки!$I209,),0))</f>
        <v>0</v>
      </c>
      <c s="125">
        <f>AH263*(1+IFERROR(INDEX(AH$10:AH$11,Предпосылки!$I209,),0))</f>
        <v>0</v>
      </c>
      <c s="125">
        <f>AI263*(1+IFERROR(INDEX(AI$10:AI$11,Предпосылки!$I209,),0))</f>
        <v>0</v>
      </c>
      <c s="125">
        <f>AJ263*(1+IFERROR(INDEX(AJ$10:AJ$11,Предпосылки!$I209,),0))</f>
        <v>0</v>
      </c>
      <c s="125">
        <f>AK263*(1+IFERROR(INDEX(AK$10:AK$11,Предпосылки!$I209,),0))</f>
        <v>0</v>
      </c>
      <c s="125">
        <f>AL263*(1+IFERROR(INDEX(AL$10:AL$11,Предпосылки!$I209,),0))</f>
        <v>0</v>
      </c>
      <c s="125">
        <f>AM263*(1+IFERROR(INDEX(AM$10:AM$11,Предпосылки!$I209,),0))</f>
        <v>0</v>
      </c>
      <c s="125">
        <f>AN263*(1+IFERROR(INDEX(AN$10:AN$11,Предпосылки!$I209,),0))</f>
        <v>0</v>
      </c>
      <c s="125">
        <f>AO263*(1+IFERROR(INDEX(AO$10:AO$11,Предпосылки!$I209,),0))</f>
        <v>0</v>
      </c>
      <c s="125">
        <f>AP263*(1+IFERROR(INDEX(AP$10:AP$11,Предпосылки!$I209,),0))</f>
        <v>0</v>
      </c>
      <c s="125">
        <f>AQ263*(1+IFERROR(INDEX(AQ$10:AQ$11,Предпосылки!$I209,),0))</f>
        <v>0</v>
      </c>
      <c s="125">
        <f>AR263*(1+IFERROR(INDEX(AR$10:AR$11,Предпосылки!$I209,),0))</f>
        <v>0</v>
      </c>
      <c s="125">
        <f>AS263*(1+IFERROR(INDEX(AS$10:AS$11,Предпосылки!$I209,),0))</f>
        <v>0</v>
      </c>
      <c s="125">
        <f>AT263*(1+IFERROR(INDEX(AT$10:AT$11,Предпосылки!$I209,),0))</f>
        <v>0</v>
      </c>
      <c s="125">
        <f>AU263*(1+IFERROR(INDEX(AU$10:AU$11,Предпосылки!$I209,),0))</f>
        <v>0</v>
      </c>
      <c s="125">
        <f>AV263*(1+IFERROR(INDEX(AV$10:AV$11,Предпосылки!$I209,),0))</f>
        <v>0</v>
      </c>
      <c s="125">
        <f>AW263*(1+IFERROR(INDEX(AW$10:AW$11,Предпосылки!$I209,),0))</f>
        <v>0</v>
      </c>
      <c s="125">
        <f>AX263*(1+IFERROR(INDEX(AX$10:AX$11,Предпосылки!$I209,),0))</f>
        <v>0</v>
      </c>
      <c s="125">
        <f>AY263*(1+IFERROR(INDEX(AY$10:AY$11,Предпосылки!$I209,),0))</f>
        <v>0</v>
      </c>
      <c s="125">
        <f>AZ263*(1+IFERROR(INDEX(AZ$10:AZ$11,Предпосылки!$I209,),0))</f>
        <v>0</v>
      </c>
      <c s="125">
        <f>BA263*(1+IFERROR(INDEX(BA$10:BA$11,Предпосылки!$I209,),0))</f>
        <v>0</v>
      </c>
      <c s="125">
        <f>BB263*(1+IFERROR(INDEX(BB$10:BB$11,Предпосылки!$I209,),0))</f>
        <v>0</v>
      </c>
      <c s="125">
        <f>BC263*(1+IFERROR(INDEX(BC$10:BC$11,Предпосылки!$I209,),0))</f>
        <v>0</v>
      </c>
      <c s="125">
        <f>BD263*(1+IFERROR(INDEX(BD$10:BD$11,Предпосылки!$I209,),0))</f>
        <v>0</v>
      </c>
      <c s="125">
        <f>BE263*(1+IFERROR(INDEX(BE$10:BE$11,Предпосылки!$I209,),0))</f>
        <v>0</v>
      </c>
      <c s="125">
        <f>BF263*(1+IFERROR(INDEX(BF$10:BF$11,Предпосылки!$I209,),0))</f>
        <v>0</v>
      </c>
      <c s="125">
        <f>BG263*(1+IFERROR(INDEX(BG$10:BG$11,Предпосылки!$I209,),0))</f>
        <v>0</v>
      </c>
      <c s="125">
        <f>BH263*(1+IFERROR(INDEX(BH$10:BH$11,Предпосылки!$I209,),0))</f>
        <v>0</v>
      </c>
      <c s="125">
        <f>BI263*(1+IFERROR(INDEX(BI$10:BI$11,Предпосылки!$I209,),0))</f>
        <v>0</v>
      </c>
      <c s="125">
        <f>BJ263*(1+IFERROR(INDEX(BJ$10:BJ$11,Предпосылки!$I209,),0))</f>
        <v>0</v>
      </c>
      <c s="125">
        <f>BK263*(1+IFERROR(INDEX(BK$10:BK$11,Предпосылки!$I209,),0))</f>
        <v>0</v>
      </c>
      <c s="125">
        <f>BL263*(1+IFERROR(INDEX(BL$10:BL$11,Предпосылки!$I209,),0))</f>
        <v>0</v>
      </c>
      <c s="125">
        <f>BM263*(1+IFERROR(INDEX(BM$10:BM$11,Предпосылки!$I209,),0))</f>
        <v>0</v>
      </c>
    </row>
    <row r="312" spans="2:65" ht="15" customHeight="1">
      <c r="B312" s="12" t="str">
        <f t="shared" si="257"/>
        <v>Операционные затраты 10</v>
      </c>
      <c s="124" t="str">
        <f t="shared" si="258"/>
        <v>тыс. руб.</v>
      </c>
      <c s="125"/>
      <c s="125">
        <f>E264*(1+IFERROR(INDEX(E$10:E$11,Предпосылки!$I210,),0))</f>
        <v>0</v>
      </c>
      <c s="125">
        <f>F264*(1+IFERROR(INDEX(F$10:F$11,Предпосылки!$I210,),0))</f>
        <v>0</v>
      </c>
      <c s="125">
        <f>G264*(1+IFERROR(INDEX(G$10:G$11,Предпосылки!$I210,),0))</f>
        <v>0</v>
      </c>
      <c s="125">
        <f>H264*(1+IFERROR(INDEX(H$10:H$11,Предпосылки!$I210,),0))</f>
        <v>0</v>
      </c>
      <c s="125">
        <f>I264*(1+IFERROR(INDEX(I$10:I$11,Предпосылки!$I210,),0))</f>
        <v>0</v>
      </c>
      <c s="125">
        <f>J264*(1+IFERROR(INDEX(J$10:J$11,Предпосылки!$I210,),0))</f>
        <v>0</v>
      </c>
      <c s="125">
        <f>K264*(1+IFERROR(INDEX(K$10:K$11,Предпосылки!$I210,),0))</f>
        <v>0</v>
      </c>
      <c s="125">
        <f>L264*(1+IFERROR(INDEX(L$10:L$11,Предпосылки!$I210,),0))</f>
        <v>0</v>
      </c>
      <c s="125">
        <f>M264*(1+IFERROR(INDEX(M$10:M$11,Предпосылки!$I210,),0))</f>
        <v>0</v>
      </c>
      <c s="125">
        <f>N264*(1+IFERROR(INDEX(N$10:N$11,Предпосылки!$I210,),0))</f>
        <v>0</v>
      </c>
      <c s="125">
        <f>O264*(1+IFERROR(INDEX(O$10:O$11,Предпосылки!$I210,),0))</f>
        <v>0</v>
      </c>
      <c s="125">
        <f>P264*(1+IFERROR(INDEX(P$10:P$11,Предпосылки!$I210,),0))</f>
        <v>0</v>
      </c>
      <c s="125">
        <f>Q264*(1+IFERROR(INDEX(Q$10:Q$11,Предпосылки!$I210,),0))</f>
        <v>0</v>
      </c>
      <c s="125">
        <f>R264*(1+IFERROR(INDEX(R$10:R$11,Предпосылки!$I210,),0))</f>
        <v>0</v>
      </c>
      <c s="125">
        <f>S264*(1+IFERROR(INDEX(S$10:S$11,Предпосылки!$I210,),0))</f>
        <v>0</v>
      </c>
      <c s="125">
        <f>T264*(1+IFERROR(INDEX(T$10:T$11,Предпосылки!$I210,),0))</f>
        <v>0</v>
      </c>
      <c s="125">
        <f>U264*(1+IFERROR(INDEX(U$10:U$11,Предпосылки!$I210,),0))</f>
        <v>0</v>
      </c>
      <c s="125">
        <f>V264*(1+IFERROR(INDEX(V$10:V$11,Предпосылки!$I210,),0))</f>
        <v>0</v>
      </c>
      <c s="125">
        <f>W264*(1+IFERROR(INDEX(W$10:W$11,Предпосылки!$I210,),0))</f>
        <v>0</v>
      </c>
      <c s="125">
        <f>X264*(1+IFERROR(INDEX(X$10:X$11,Предпосылки!$I210,),0))</f>
        <v>0</v>
      </c>
      <c s="125">
        <f>Y264*(1+IFERROR(INDEX(Y$10:Y$11,Предпосылки!$I210,),0))</f>
        <v>0</v>
      </c>
      <c s="125">
        <f>Z264*(1+IFERROR(INDEX(Z$10:Z$11,Предпосылки!$I210,),0))</f>
        <v>0</v>
      </c>
      <c s="125">
        <f>AA264*(1+IFERROR(INDEX(AA$10:AA$11,Предпосылки!$I210,),0))</f>
        <v>0</v>
      </c>
      <c s="125">
        <f>AB264*(1+IFERROR(INDEX(AB$10:AB$11,Предпосылки!$I210,),0))</f>
        <v>0</v>
      </c>
      <c s="125">
        <f>AC264*(1+IFERROR(INDEX(AC$10:AC$11,Предпосылки!$I210,),0))</f>
        <v>0</v>
      </c>
      <c s="125">
        <f>AD264*(1+IFERROR(INDEX(AD$10:AD$11,Предпосылки!$I210,),0))</f>
        <v>0</v>
      </c>
      <c s="125">
        <f>AE264*(1+IFERROR(INDEX(AE$10:AE$11,Предпосылки!$I210,),0))</f>
        <v>0</v>
      </c>
      <c s="125">
        <f>AF264*(1+IFERROR(INDEX(AF$10:AF$11,Предпосылки!$I210,),0))</f>
        <v>0</v>
      </c>
      <c s="125">
        <f>AG264*(1+IFERROR(INDEX(AG$10:AG$11,Предпосылки!$I210,),0))</f>
        <v>0</v>
      </c>
      <c s="125">
        <f>AH264*(1+IFERROR(INDEX(AH$10:AH$11,Предпосылки!$I210,),0))</f>
        <v>0</v>
      </c>
      <c s="125">
        <f>AI264*(1+IFERROR(INDEX(AI$10:AI$11,Предпосылки!$I210,),0))</f>
        <v>0</v>
      </c>
      <c s="125">
        <f>AJ264*(1+IFERROR(INDEX(AJ$10:AJ$11,Предпосылки!$I210,),0))</f>
        <v>0</v>
      </c>
      <c s="125">
        <f>AK264*(1+IFERROR(INDEX(AK$10:AK$11,Предпосылки!$I210,),0))</f>
        <v>0</v>
      </c>
      <c s="125">
        <f>AL264*(1+IFERROR(INDEX(AL$10:AL$11,Предпосылки!$I210,),0))</f>
        <v>0</v>
      </c>
      <c s="125">
        <f>AM264*(1+IFERROR(INDEX(AM$10:AM$11,Предпосылки!$I210,),0))</f>
        <v>0</v>
      </c>
      <c s="125">
        <f>AN264*(1+IFERROR(INDEX(AN$10:AN$11,Предпосылки!$I210,),0))</f>
        <v>0</v>
      </c>
      <c s="125">
        <f>AO264*(1+IFERROR(INDEX(AO$10:AO$11,Предпосылки!$I210,),0))</f>
        <v>0</v>
      </c>
      <c s="125">
        <f>AP264*(1+IFERROR(INDEX(AP$10:AP$11,Предпосылки!$I210,),0))</f>
        <v>0</v>
      </c>
      <c s="125">
        <f>AQ264*(1+IFERROR(INDEX(AQ$10:AQ$11,Предпосылки!$I210,),0))</f>
        <v>0</v>
      </c>
      <c s="125">
        <f>AR264*(1+IFERROR(INDEX(AR$10:AR$11,Предпосылки!$I210,),0))</f>
        <v>0</v>
      </c>
      <c s="125">
        <f>AS264*(1+IFERROR(INDEX(AS$10:AS$11,Предпосылки!$I210,),0))</f>
        <v>0</v>
      </c>
      <c s="125">
        <f>AT264*(1+IFERROR(INDEX(AT$10:AT$11,Предпосылки!$I210,),0))</f>
        <v>0</v>
      </c>
      <c s="125">
        <f>AU264*(1+IFERROR(INDEX(AU$10:AU$11,Предпосылки!$I210,),0))</f>
        <v>0</v>
      </c>
      <c s="125">
        <f>AV264*(1+IFERROR(INDEX(AV$10:AV$11,Предпосылки!$I210,),0))</f>
        <v>0</v>
      </c>
      <c s="125">
        <f>AW264*(1+IFERROR(INDEX(AW$10:AW$11,Предпосылки!$I210,),0))</f>
        <v>0</v>
      </c>
      <c s="125">
        <f>AX264*(1+IFERROR(INDEX(AX$10:AX$11,Предпосылки!$I210,),0))</f>
        <v>0</v>
      </c>
      <c s="125">
        <f>AY264*(1+IFERROR(INDEX(AY$10:AY$11,Предпосылки!$I210,),0))</f>
        <v>0</v>
      </c>
      <c s="125">
        <f>AZ264*(1+IFERROR(INDEX(AZ$10:AZ$11,Предпосылки!$I210,),0))</f>
        <v>0</v>
      </c>
      <c s="125">
        <f>BA264*(1+IFERROR(INDEX(BA$10:BA$11,Предпосылки!$I210,),0))</f>
        <v>0</v>
      </c>
      <c s="125">
        <f>BB264*(1+IFERROR(INDEX(BB$10:BB$11,Предпосылки!$I210,),0))</f>
        <v>0</v>
      </c>
      <c s="125">
        <f>BC264*(1+IFERROR(INDEX(BC$10:BC$11,Предпосылки!$I210,),0))</f>
        <v>0</v>
      </c>
      <c s="125">
        <f>BD264*(1+IFERROR(INDEX(BD$10:BD$11,Предпосылки!$I210,),0))</f>
        <v>0</v>
      </c>
      <c s="125">
        <f>BE264*(1+IFERROR(INDEX(BE$10:BE$11,Предпосылки!$I210,),0))</f>
        <v>0</v>
      </c>
      <c s="125">
        <f>BF264*(1+IFERROR(INDEX(BF$10:BF$11,Предпосылки!$I210,),0))</f>
        <v>0</v>
      </c>
      <c s="125">
        <f>BG264*(1+IFERROR(INDEX(BG$10:BG$11,Предпосылки!$I210,),0))</f>
        <v>0</v>
      </c>
      <c s="125">
        <f>BH264*(1+IFERROR(INDEX(BH$10:BH$11,Предпосылки!$I210,),0))</f>
        <v>0</v>
      </c>
      <c s="125">
        <f>BI264*(1+IFERROR(INDEX(BI$10:BI$11,Предпосылки!$I210,),0))</f>
        <v>0</v>
      </c>
      <c s="125">
        <f>BJ264*(1+IFERROR(INDEX(BJ$10:BJ$11,Предпосылки!$I210,),0))</f>
        <v>0</v>
      </c>
      <c s="125">
        <f>BK264*(1+IFERROR(INDEX(BK$10:BK$11,Предпосылки!$I210,),0))</f>
        <v>0</v>
      </c>
      <c s="125">
        <f>BL264*(1+IFERROR(INDEX(BL$10:BL$11,Предпосылки!$I210,),0))</f>
        <v>0</v>
      </c>
      <c s="125">
        <f>BM264*(1+IFERROR(INDEX(BM$10:BM$11,Предпосылки!$I210,),0))</f>
        <v>0</v>
      </c>
    </row>
    <row r="313" spans="2:65" ht="15" customHeight="1">
      <c r="B313" s="12" t="str">
        <f t="shared" si="257"/>
        <v>Операционные затраты 11</v>
      </c>
      <c s="124" t="str">
        <f t="shared" si="258"/>
        <v>тыс. руб.</v>
      </c>
      <c s="125"/>
      <c s="125">
        <f>E265*(1+IFERROR(INDEX(E$10:E$11,Предпосылки!$I211,),0))</f>
        <v>0</v>
      </c>
      <c s="125">
        <f>F265*(1+IFERROR(INDEX(F$10:F$11,Предпосылки!$I211,),0))</f>
        <v>0</v>
      </c>
      <c s="125">
        <f>G265*(1+IFERROR(INDEX(G$10:G$11,Предпосылки!$I211,),0))</f>
        <v>0</v>
      </c>
      <c s="125">
        <f>H265*(1+IFERROR(INDEX(H$10:H$11,Предпосылки!$I211,),0))</f>
        <v>0</v>
      </c>
      <c s="125">
        <f>I265*(1+IFERROR(INDEX(I$10:I$11,Предпосылки!$I211,),0))</f>
        <v>0</v>
      </c>
      <c s="125">
        <f>J265*(1+IFERROR(INDEX(J$10:J$11,Предпосылки!$I211,),0))</f>
        <v>0</v>
      </c>
      <c s="125">
        <f>K265*(1+IFERROR(INDEX(K$10:K$11,Предпосылки!$I211,),0))</f>
        <v>0</v>
      </c>
      <c s="125">
        <f>L265*(1+IFERROR(INDEX(L$10:L$11,Предпосылки!$I211,),0))</f>
        <v>0</v>
      </c>
      <c s="125">
        <f>M265*(1+IFERROR(INDEX(M$10:M$11,Предпосылки!$I211,),0))</f>
        <v>0</v>
      </c>
      <c s="125">
        <f>N265*(1+IFERROR(INDEX(N$10:N$11,Предпосылки!$I211,),0))</f>
        <v>0</v>
      </c>
      <c s="125">
        <f>O265*(1+IFERROR(INDEX(O$10:O$11,Предпосылки!$I211,),0))</f>
        <v>0</v>
      </c>
      <c s="125">
        <f>P265*(1+IFERROR(INDEX(P$10:P$11,Предпосылки!$I211,),0))</f>
        <v>0</v>
      </c>
      <c s="125">
        <f>Q265*(1+IFERROR(INDEX(Q$10:Q$11,Предпосылки!$I211,),0))</f>
        <v>0</v>
      </c>
      <c s="125">
        <f>R265*(1+IFERROR(INDEX(R$10:R$11,Предпосылки!$I211,),0))</f>
        <v>0</v>
      </c>
      <c s="125">
        <f>S265*(1+IFERROR(INDEX(S$10:S$11,Предпосылки!$I211,),0))</f>
        <v>0</v>
      </c>
      <c s="125">
        <f>T265*(1+IFERROR(INDEX(T$10:T$11,Предпосылки!$I211,),0))</f>
        <v>0</v>
      </c>
      <c s="125">
        <f>U265*(1+IFERROR(INDEX(U$10:U$11,Предпосылки!$I211,),0))</f>
        <v>0</v>
      </c>
      <c s="125">
        <f>V265*(1+IFERROR(INDEX(V$10:V$11,Предпосылки!$I211,),0))</f>
        <v>0</v>
      </c>
      <c s="125">
        <f>W265*(1+IFERROR(INDEX(W$10:W$11,Предпосылки!$I211,),0))</f>
        <v>0</v>
      </c>
      <c s="125">
        <f>X265*(1+IFERROR(INDEX(X$10:X$11,Предпосылки!$I211,),0))</f>
        <v>0</v>
      </c>
      <c s="125">
        <f>Y265*(1+IFERROR(INDEX(Y$10:Y$11,Предпосылки!$I211,),0))</f>
        <v>0</v>
      </c>
      <c s="125">
        <f>Z265*(1+IFERROR(INDEX(Z$10:Z$11,Предпосылки!$I211,),0))</f>
        <v>0</v>
      </c>
      <c s="125">
        <f>AA265*(1+IFERROR(INDEX(AA$10:AA$11,Предпосылки!$I211,),0))</f>
        <v>0</v>
      </c>
      <c s="125">
        <f>AB265*(1+IFERROR(INDEX(AB$10:AB$11,Предпосылки!$I211,),0))</f>
        <v>0</v>
      </c>
      <c s="125">
        <f>AC265*(1+IFERROR(INDEX(AC$10:AC$11,Предпосылки!$I211,),0))</f>
        <v>0</v>
      </c>
      <c s="125">
        <f>AD265*(1+IFERROR(INDEX(AD$10:AD$11,Предпосылки!$I211,),0))</f>
        <v>0</v>
      </c>
      <c s="125">
        <f>AE265*(1+IFERROR(INDEX(AE$10:AE$11,Предпосылки!$I211,),0))</f>
        <v>0</v>
      </c>
      <c s="125">
        <f>AF265*(1+IFERROR(INDEX(AF$10:AF$11,Предпосылки!$I211,),0))</f>
        <v>0</v>
      </c>
      <c s="125">
        <f>AG265*(1+IFERROR(INDEX(AG$10:AG$11,Предпосылки!$I211,),0))</f>
        <v>0</v>
      </c>
      <c s="125">
        <f>AH265*(1+IFERROR(INDEX(AH$10:AH$11,Предпосылки!$I211,),0))</f>
        <v>0</v>
      </c>
      <c s="125">
        <f>AI265*(1+IFERROR(INDEX(AI$10:AI$11,Предпосылки!$I211,),0))</f>
        <v>0</v>
      </c>
      <c s="125">
        <f>AJ265*(1+IFERROR(INDEX(AJ$10:AJ$11,Предпосылки!$I211,),0))</f>
        <v>0</v>
      </c>
      <c s="125">
        <f>AK265*(1+IFERROR(INDEX(AK$10:AK$11,Предпосылки!$I211,),0))</f>
        <v>0</v>
      </c>
      <c s="125">
        <f>AL265*(1+IFERROR(INDEX(AL$10:AL$11,Предпосылки!$I211,),0))</f>
        <v>0</v>
      </c>
      <c s="125">
        <f>AM265*(1+IFERROR(INDEX(AM$10:AM$11,Предпосылки!$I211,),0))</f>
        <v>0</v>
      </c>
      <c s="125">
        <f>AN265*(1+IFERROR(INDEX(AN$10:AN$11,Предпосылки!$I211,),0))</f>
        <v>0</v>
      </c>
      <c s="125">
        <f>AO265*(1+IFERROR(INDEX(AO$10:AO$11,Предпосылки!$I211,),0))</f>
        <v>0</v>
      </c>
      <c s="125">
        <f>AP265*(1+IFERROR(INDEX(AP$10:AP$11,Предпосылки!$I211,),0))</f>
        <v>0</v>
      </c>
      <c s="125">
        <f>AQ265*(1+IFERROR(INDEX(AQ$10:AQ$11,Предпосылки!$I211,),0))</f>
        <v>0</v>
      </c>
      <c s="125">
        <f>AR265*(1+IFERROR(INDEX(AR$10:AR$11,Предпосылки!$I211,),0))</f>
        <v>0</v>
      </c>
      <c s="125">
        <f>AS265*(1+IFERROR(INDEX(AS$10:AS$11,Предпосылки!$I211,),0))</f>
        <v>0</v>
      </c>
      <c s="125">
        <f>AT265*(1+IFERROR(INDEX(AT$10:AT$11,Предпосылки!$I211,),0))</f>
        <v>0</v>
      </c>
      <c s="125">
        <f>AU265*(1+IFERROR(INDEX(AU$10:AU$11,Предпосылки!$I211,),0))</f>
        <v>0</v>
      </c>
      <c s="125">
        <f>AV265*(1+IFERROR(INDEX(AV$10:AV$11,Предпосылки!$I211,),0))</f>
        <v>0</v>
      </c>
      <c s="125">
        <f>AW265*(1+IFERROR(INDEX(AW$10:AW$11,Предпосылки!$I211,),0))</f>
        <v>0</v>
      </c>
      <c s="125">
        <f>AX265*(1+IFERROR(INDEX(AX$10:AX$11,Предпосылки!$I211,),0))</f>
        <v>0</v>
      </c>
      <c s="125">
        <f>AY265*(1+IFERROR(INDEX(AY$10:AY$11,Предпосылки!$I211,),0))</f>
        <v>0</v>
      </c>
      <c s="125">
        <f>AZ265*(1+IFERROR(INDEX(AZ$10:AZ$11,Предпосылки!$I211,),0))</f>
        <v>0</v>
      </c>
      <c s="125">
        <f>BA265*(1+IFERROR(INDEX(BA$10:BA$11,Предпосылки!$I211,),0))</f>
        <v>0</v>
      </c>
      <c s="125">
        <f>BB265*(1+IFERROR(INDEX(BB$10:BB$11,Предпосылки!$I211,),0))</f>
        <v>0</v>
      </c>
      <c s="125">
        <f>BC265*(1+IFERROR(INDEX(BC$10:BC$11,Предпосылки!$I211,),0))</f>
        <v>0</v>
      </c>
      <c s="125">
        <f>BD265*(1+IFERROR(INDEX(BD$10:BD$11,Предпосылки!$I211,),0))</f>
        <v>0</v>
      </c>
      <c s="125">
        <f>BE265*(1+IFERROR(INDEX(BE$10:BE$11,Предпосылки!$I211,),0))</f>
        <v>0</v>
      </c>
      <c s="125">
        <f>BF265*(1+IFERROR(INDEX(BF$10:BF$11,Предпосылки!$I211,),0))</f>
        <v>0</v>
      </c>
      <c s="125">
        <f>BG265*(1+IFERROR(INDEX(BG$10:BG$11,Предпосылки!$I211,),0))</f>
        <v>0</v>
      </c>
      <c s="125">
        <f>BH265*(1+IFERROR(INDEX(BH$10:BH$11,Предпосылки!$I211,),0))</f>
        <v>0</v>
      </c>
      <c s="125">
        <f>BI265*(1+IFERROR(INDEX(BI$10:BI$11,Предпосылки!$I211,),0))</f>
        <v>0</v>
      </c>
      <c s="125">
        <f>BJ265*(1+IFERROR(INDEX(BJ$10:BJ$11,Предпосылки!$I211,),0))</f>
        <v>0</v>
      </c>
      <c s="125">
        <f>BK265*(1+IFERROR(INDEX(BK$10:BK$11,Предпосылки!$I211,),0))</f>
        <v>0</v>
      </c>
      <c s="125">
        <f>BL265*(1+IFERROR(INDEX(BL$10:BL$11,Предпосылки!$I211,),0))</f>
        <v>0</v>
      </c>
      <c s="125">
        <f>BM265*(1+IFERROR(INDEX(BM$10:BM$11,Предпосылки!$I211,),0))</f>
        <v>0</v>
      </c>
    </row>
    <row r="314" spans="2:65" ht="15" customHeight="1">
      <c r="B314" s="12" t="str">
        <f t="shared" si="257"/>
        <v>Операционные затраты 12</v>
      </c>
      <c s="124" t="str">
        <f t="shared" si="258"/>
        <v>тыс. руб.</v>
      </c>
      <c s="125"/>
      <c s="125">
        <f>E266*(1+IFERROR(INDEX(E$10:E$11,Предпосылки!$I212,),0))</f>
        <v>0</v>
      </c>
      <c s="125">
        <f>F266*(1+IFERROR(INDEX(F$10:F$11,Предпосылки!$I212,),0))</f>
        <v>0</v>
      </c>
      <c s="125">
        <f>G266*(1+IFERROR(INDEX(G$10:G$11,Предпосылки!$I212,),0))</f>
        <v>0</v>
      </c>
      <c s="125">
        <f>H266*(1+IFERROR(INDEX(H$10:H$11,Предпосылки!$I212,),0))</f>
        <v>0</v>
      </c>
      <c s="125">
        <f>I266*(1+IFERROR(INDEX(I$10:I$11,Предпосылки!$I212,),0))</f>
        <v>0</v>
      </c>
      <c s="125">
        <f>J266*(1+IFERROR(INDEX(J$10:J$11,Предпосылки!$I212,),0))</f>
        <v>0</v>
      </c>
      <c s="125">
        <f>K266*(1+IFERROR(INDEX(K$10:K$11,Предпосылки!$I212,),0))</f>
        <v>0</v>
      </c>
      <c s="125">
        <f>L266*(1+IFERROR(INDEX(L$10:L$11,Предпосылки!$I212,),0))</f>
        <v>0</v>
      </c>
      <c s="125">
        <f>M266*(1+IFERROR(INDEX(M$10:M$11,Предпосылки!$I212,),0))</f>
        <v>0</v>
      </c>
      <c s="125">
        <f>N266*(1+IFERROR(INDEX(N$10:N$11,Предпосылки!$I212,),0))</f>
        <v>0</v>
      </c>
      <c s="125">
        <f>O266*(1+IFERROR(INDEX(O$10:O$11,Предпосылки!$I212,),0))</f>
        <v>0</v>
      </c>
      <c s="125">
        <f>P266*(1+IFERROR(INDEX(P$10:P$11,Предпосылки!$I212,),0))</f>
        <v>0</v>
      </c>
      <c s="125">
        <f>Q266*(1+IFERROR(INDEX(Q$10:Q$11,Предпосылки!$I212,),0))</f>
        <v>0</v>
      </c>
      <c s="125">
        <f>R266*(1+IFERROR(INDEX(R$10:R$11,Предпосылки!$I212,),0))</f>
        <v>0</v>
      </c>
      <c s="125">
        <f>S266*(1+IFERROR(INDEX(S$10:S$11,Предпосылки!$I212,),0))</f>
        <v>0</v>
      </c>
      <c s="125">
        <f>T266*(1+IFERROR(INDEX(T$10:T$11,Предпосылки!$I212,),0))</f>
        <v>0</v>
      </c>
      <c s="125">
        <f>U266*(1+IFERROR(INDEX(U$10:U$11,Предпосылки!$I212,),0))</f>
        <v>0</v>
      </c>
      <c s="125">
        <f>V266*(1+IFERROR(INDEX(V$10:V$11,Предпосылки!$I212,),0))</f>
        <v>0</v>
      </c>
      <c s="125">
        <f>W266*(1+IFERROR(INDEX(W$10:W$11,Предпосылки!$I212,),0))</f>
        <v>0</v>
      </c>
      <c s="125">
        <f>X266*(1+IFERROR(INDEX(X$10:X$11,Предпосылки!$I212,),0))</f>
        <v>0</v>
      </c>
      <c s="125">
        <f>Y266*(1+IFERROR(INDEX(Y$10:Y$11,Предпосылки!$I212,),0))</f>
        <v>0</v>
      </c>
      <c s="125">
        <f>Z266*(1+IFERROR(INDEX(Z$10:Z$11,Предпосылки!$I212,),0))</f>
        <v>0</v>
      </c>
      <c s="125">
        <f>AA266*(1+IFERROR(INDEX(AA$10:AA$11,Предпосылки!$I212,),0))</f>
        <v>0</v>
      </c>
      <c s="125">
        <f>AB266*(1+IFERROR(INDEX(AB$10:AB$11,Предпосылки!$I212,),0))</f>
        <v>0</v>
      </c>
      <c s="125">
        <f>AC266*(1+IFERROR(INDEX(AC$10:AC$11,Предпосылки!$I212,),0))</f>
        <v>0</v>
      </c>
      <c s="125">
        <f>AD266*(1+IFERROR(INDEX(AD$10:AD$11,Предпосылки!$I212,),0))</f>
        <v>0</v>
      </c>
      <c s="125">
        <f>AE266*(1+IFERROR(INDEX(AE$10:AE$11,Предпосылки!$I212,),0))</f>
        <v>0</v>
      </c>
      <c s="125">
        <f>AF266*(1+IFERROR(INDEX(AF$10:AF$11,Предпосылки!$I212,),0))</f>
        <v>0</v>
      </c>
      <c s="125">
        <f>AG266*(1+IFERROR(INDEX(AG$10:AG$11,Предпосылки!$I212,),0))</f>
        <v>0</v>
      </c>
      <c s="125">
        <f>AH266*(1+IFERROR(INDEX(AH$10:AH$11,Предпосылки!$I212,),0))</f>
        <v>0</v>
      </c>
      <c s="125">
        <f>AI266*(1+IFERROR(INDEX(AI$10:AI$11,Предпосылки!$I212,),0))</f>
        <v>0</v>
      </c>
      <c s="125">
        <f>AJ266*(1+IFERROR(INDEX(AJ$10:AJ$11,Предпосылки!$I212,),0))</f>
        <v>0</v>
      </c>
      <c s="125">
        <f>AK266*(1+IFERROR(INDEX(AK$10:AK$11,Предпосылки!$I212,),0))</f>
        <v>0</v>
      </c>
      <c s="125">
        <f>AL266*(1+IFERROR(INDEX(AL$10:AL$11,Предпосылки!$I212,),0))</f>
        <v>0</v>
      </c>
      <c s="125">
        <f>AM266*(1+IFERROR(INDEX(AM$10:AM$11,Предпосылки!$I212,),0))</f>
        <v>0</v>
      </c>
      <c s="125">
        <f>AN266*(1+IFERROR(INDEX(AN$10:AN$11,Предпосылки!$I212,),0))</f>
        <v>0</v>
      </c>
      <c s="125">
        <f>AO266*(1+IFERROR(INDEX(AO$10:AO$11,Предпосылки!$I212,),0))</f>
        <v>0</v>
      </c>
      <c s="125">
        <f>AP266*(1+IFERROR(INDEX(AP$10:AP$11,Предпосылки!$I212,),0))</f>
        <v>0</v>
      </c>
      <c s="125">
        <f>AQ266*(1+IFERROR(INDEX(AQ$10:AQ$11,Предпосылки!$I212,),0))</f>
        <v>0</v>
      </c>
      <c s="125">
        <f>AR266*(1+IFERROR(INDEX(AR$10:AR$11,Предпосылки!$I212,),0))</f>
        <v>0</v>
      </c>
      <c s="125">
        <f>AS266*(1+IFERROR(INDEX(AS$10:AS$11,Предпосылки!$I212,),0))</f>
        <v>0</v>
      </c>
      <c s="125">
        <f>AT266*(1+IFERROR(INDEX(AT$10:AT$11,Предпосылки!$I212,),0))</f>
        <v>0</v>
      </c>
      <c s="125">
        <f>AU266*(1+IFERROR(INDEX(AU$10:AU$11,Предпосылки!$I212,),0))</f>
        <v>0</v>
      </c>
      <c s="125">
        <f>AV266*(1+IFERROR(INDEX(AV$10:AV$11,Предпосылки!$I212,),0))</f>
        <v>0</v>
      </c>
      <c s="125">
        <f>AW266*(1+IFERROR(INDEX(AW$10:AW$11,Предпосылки!$I212,),0))</f>
        <v>0</v>
      </c>
      <c s="125">
        <f>AX266*(1+IFERROR(INDEX(AX$10:AX$11,Предпосылки!$I212,),0))</f>
        <v>0</v>
      </c>
      <c s="125">
        <f>AY266*(1+IFERROR(INDEX(AY$10:AY$11,Предпосылки!$I212,),0))</f>
        <v>0</v>
      </c>
      <c s="125">
        <f>AZ266*(1+IFERROR(INDEX(AZ$10:AZ$11,Предпосылки!$I212,),0))</f>
        <v>0</v>
      </c>
      <c s="125">
        <f>BA266*(1+IFERROR(INDEX(BA$10:BA$11,Предпосылки!$I212,),0))</f>
        <v>0</v>
      </c>
      <c s="125">
        <f>BB266*(1+IFERROR(INDEX(BB$10:BB$11,Предпосылки!$I212,),0))</f>
        <v>0</v>
      </c>
      <c s="125">
        <f>BC266*(1+IFERROR(INDEX(BC$10:BC$11,Предпосылки!$I212,),0))</f>
        <v>0</v>
      </c>
      <c s="125">
        <f>BD266*(1+IFERROR(INDEX(BD$10:BD$11,Предпосылки!$I212,),0))</f>
        <v>0</v>
      </c>
      <c s="125">
        <f>BE266*(1+IFERROR(INDEX(BE$10:BE$11,Предпосылки!$I212,),0))</f>
        <v>0</v>
      </c>
      <c s="125">
        <f>BF266*(1+IFERROR(INDEX(BF$10:BF$11,Предпосылки!$I212,),0))</f>
        <v>0</v>
      </c>
      <c s="125">
        <f>BG266*(1+IFERROR(INDEX(BG$10:BG$11,Предпосылки!$I212,),0))</f>
        <v>0</v>
      </c>
      <c s="125">
        <f>BH266*(1+IFERROR(INDEX(BH$10:BH$11,Предпосылки!$I212,),0))</f>
        <v>0</v>
      </c>
      <c s="125">
        <f>BI266*(1+IFERROR(INDEX(BI$10:BI$11,Предпосылки!$I212,),0))</f>
        <v>0</v>
      </c>
      <c s="125">
        <f>BJ266*(1+IFERROR(INDEX(BJ$10:BJ$11,Предпосылки!$I212,),0))</f>
        <v>0</v>
      </c>
      <c s="125">
        <f>BK266*(1+IFERROR(INDEX(BK$10:BK$11,Предпосылки!$I212,),0))</f>
        <v>0</v>
      </c>
      <c s="125">
        <f>BL266*(1+IFERROR(INDEX(BL$10:BL$11,Предпосылки!$I212,),0))</f>
        <v>0</v>
      </c>
      <c s="125">
        <f>BM266*(1+IFERROR(INDEX(BM$10:BM$11,Предпосылки!$I212,),0))</f>
        <v>0</v>
      </c>
    </row>
    <row r="315" spans="2:65" ht="15" customHeight="1">
      <c r="B315" s="12" t="str">
        <f t="shared" si="257"/>
        <v>Операционные затраты 13</v>
      </c>
      <c s="124" t="str">
        <f t="shared" si="258"/>
        <v>тыс. руб.</v>
      </c>
      <c s="125"/>
      <c s="125">
        <f>E267*(1+IFERROR(INDEX(E$10:E$11,Предпосылки!$I213,),0))</f>
        <v>0</v>
      </c>
      <c s="125">
        <f>F267*(1+IFERROR(INDEX(F$10:F$11,Предпосылки!$I213,),0))</f>
        <v>0</v>
      </c>
      <c s="125">
        <f>G267*(1+IFERROR(INDEX(G$10:G$11,Предпосылки!$I213,),0))</f>
        <v>0</v>
      </c>
      <c s="125">
        <f>H267*(1+IFERROR(INDEX(H$10:H$11,Предпосылки!$I213,),0))</f>
        <v>0</v>
      </c>
      <c s="125">
        <f>I267*(1+IFERROR(INDEX(I$10:I$11,Предпосылки!$I213,),0))</f>
        <v>0</v>
      </c>
      <c s="125">
        <f>J267*(1+IFERROR(INDEX(J$10:J$11,Предпосылки!$I213,),0))</f>
        <v>0</v>
      </c>
      <c s="125">
        <f>K267*(1+IFERROR(INDEX(K$10:K$11,Предпосылки!$I213,),0))</f>
        <v>0</v>
      </c>
      <c s="125">
        <f>L267*(1+IFERROR(INDEX(L$10:L$11,Предпосылки!$I213,),0))</f>
        <v>0</v>
      </c>
      <c s="125">
        <f>M267*(1+IFERROR(INDEX(M$10:M$11,Предпосылки!$I213,),0))</f>
        <v>0</v>
      </c>
      <c s="125">
        <f>N267*(1+IFERROR(INDEX(N$10:N$11,Предпосылки!$I213,),0))</f>
        <v>0</v>
      </c>
      <c s="125">
        <f>O267*(1+IFERROR(INDEX(O$10:O$11,Предпосылки!$I213,),0))</f>
        <v>0</v>
      </c>
      <c s="125">
        <f>P267*(1+IFERROR(INDEX(P$10:P$11,Предпосылки!$I213,),0))</f>
        <v>0</v>
      </c>
      <c s="125">
        <f>Q267*(1+IFERROR(INDEX(Q$10:Q$11,Предпосылки!$I213,),0))</f>
        <v>0</v>
      </c>
      <c s="125">
        <f>R267*(1+IFERROR(INDEX(R$10:R$11,Предпосылки!$I213,),0))</f>
        <v>0</v>
      </c>
      <c s="125">
        <f>S267*(1+IFERROR(INDEX(S$10:S$11,Предпосылки!$I213,),0))</f>
        <v>0</v>
      </c>
      <c s="125">
        <f>T267*(1+IFERROR(INDEX(T$10:T$11,Предпосылки!$I213,),0))</f>
        <v>0</v>
      </c>
      <c s="125">
        <f>U267*(1+IFERROR(INDEX(U$10:U$11,Предпосылки!$I213,),0))</f>
        <v>0</v>
      </c>
      <c s="125">
        <f>V267*(1+IFERROR(INDEX(V$10:V$11,Предпосылки!$I213,),0))</f>
        <v>0</v>
      </c>
      <c s="125">
        <f>W267*(1+IFERROR(INDEX(W$10:W$11,Предпосылки!$I213,),0))</f>
        <v>0</v>
      </c>
      <c s="125">
        <f>X267*(1+IFERROR(INDEX(X$10:X$11,Предпосылки!$I213,),0))</f>
        <v>0</v>
      </c>
      <c s="125">
        <f>Y267*(1+IFERROR(INDEX(Y$10:Y$11,Предпосылки!$I213,),0))</f>
        <v>0</v>
      </c>
      <c s="125">
        <f>Z267*(1+IFERROR(INDEX(Z$10:Z$11,Предпосылки!$I213,),0))</f>
        <v>0</v>
      </c>
      <c s="125">
        <f>AA267*(1+IFERROR(INDEX(AA$10:AA$11,Предпосылки!$I213,),0))</f>
        <v>0</v>
      </c>
      <c s="125">
        <f>AB267*(1+IFERROR(INDEX(AB$10:AB$11,Предпосылки!$I213,),0))</f>
        <v>0</v>
      </c>
      <c s="125">
        <f>AC267*(1+IFERROR(INDEX(AC$10:AC$11,Предпосылки!$I213,),0))</f>
        <v>0</v>
      </c>
      <c s="125">
        <f>AD267*(1+IFERROR(INDEX(AD$10:AD$11,Предпосылки!$I213,),0))</f>
        <v>0</v>
      </c>
      <c s="125">
        <f>AE267*(1+IFERROR(INDEX(AE$10:AE$11,Предпосылки!$I213,),0))</f>
        <v>0</v>
      </c>
      <c s="125">
        <f>AF267*(1+IFERROR(INDEX(AF$10:AF$11,Предпосылки!$I213,),0))</f>
        <v>0</v>
      </c>
      <c s="125">
        <f>AG267*(1+IFERROR(INDEX(AG$10:AG$11,Предпосылки!$I213,),0))</f>
        <v>0</v>
      </c>
      <c s="125">
        <f>AH267*(1+IFERROR(INDEX(AH$10:AH$11,Предпосылки!$I213,),0))</f>
        <v>0</v>
      </c>
      <c s="125">
        <f>AI267*(1+IFERROR(INDEX(AI$10:AI$11,Предпосылки!$I213,),0))</f>
        <v>0</v>
      </c>
      <c s="125">
        <f>AJ267*(1+IFERROR(INDEX(AJ$10:AJ$11,Предпосылки!$I213,),0))</f>
        <v>0</v>
      </c>
      <c s="125">
        <f>AK267*(1+IFERROR(INDEX(AK$10:AK$11,Предпосылки!$I213,),0))</f>
        <v>0</v>
      </c>
      <c s="125">
        <f>AL267*(1+IFERROR(INDEX(AL$10:AL$11,Предпосылки!$I213,),0))</f>
        <v>0</v>
      </c>
      <c s="125">
        <f>AM267*(1+IFERROR(INDEX(AM$10:AM$11,Предпосылки!$I213,),0))</f>
        <v>0</v>
      </c>
      <c s="125">
        <f>AN267*(1+IFERROR(INDEX(AN$10:AN$11,Предпосылки!$I213,),0))</f>
        <v>0</v>
      </c>
      <c s="125">
        <f>AO267*(1+IFERROR(INDEX(AO$10:AO$11,Предпосылки!$I213,),0))</f>
        <v>0</v>
      </c>
      <c s="125">
        <f>AP267*(1+IFERROR(INDEX(AP$10:AP$11,Предпосылки!$I213,),0))</f>
        <v>0</v>
      </c>
      <c s="125">
        <f>AQ267*(1+IFERROR(INDEX(AQ$10:AQ$11,Предпосылки!$I213,),0))</f>
        <v>0</v>
      </c>
      <c s="125">
        <f>AR267*(1+IFERROR(INDEX(AR$10:AR$11,Предпосылки!$I213,),0))</f>
        <v>0</v>
      </c>
      <c s="125">
        <f>AS267*(1+IFERROR(INDEX(AS$10:AS$11,Предпосылки!$I213,),0))</f>
        <v>0</v>
      </c>
      <c s="125">
        <f>AT267*(1+IFERROR(INDEX(AT$10:AT$11,Предпосылки!$I213,),0))</f>
        <v>0</v>
      </c>
      <c s="125">
        <f>AU267*(1+IFERROR(INDEX(AU$10:AU$11,Предпосылки!$I213,),0))</f>
        <v>0</v>
      </c>
      <c s="125">
        <f>AV267*(1+IFERROR(INDEX(AV$10:AV$11,Предпосылки!$I213,),0))</f>
        <v>0</v>
      </c>
      <c s="125">
        <f>AW267*(1+IFERROR(INDEX(AW$10:AW$11,Предпосылки!$I213,),0))</f>
        <v>0</v>
      </c>
      <c s="125">
        <f>AX267*(1+IFERROR(INDEX(AX$10:AX$11,Предпосылки!$I213,),0))</f>
        <v>0</v>
      </c>
      <c s="125">
        <f>AY267*(1+IFERROR(INDEX(AY$10:AY$11,Предпосылки!$I213,),0))</f>
        <v>0</v>
      </c>
      <c s="125">
        <f>AZ267*(1+IFERROR(INDEX(AZ$10:AZ$11,Предпосылки!$I213,),0))</f>
        <v>0</v>
      </c>
      <c s="125">
        <f>BA267*(1+IFERROR(INDEX(BA$10:BA$11,Предпосылки!$I213,),0))</f>
        <v>0</v>
      </c>
      <c s="125">
        <f>BB267*(1+IFERROR(INDEX(BB$10:BB$11,Предпосылки!$I213,),0))</f>
        <v>0</v>
      </c>
      <c s="125">
        <f>BC267*(1+IFERROR(INDEX(BC$10:BC$11,Предпосылки!$I213,),0))</f>
        <v>0</v>
      </c>
      <c s="125">
        <f>BD267*(1+IFERROR(INDEX(BD$10:BD$11,Предпосылки!$I213,),0))</f>
        <v>0</v>
      </c>
      <c s="125">
        <f>BE267*(1+IFERROR(INDEX(BE$10:BE$11,Предпосылки!$I213,),0))</f>
        <v>0</v>
      </c>
      <c s="125">
        <f>BF267*(1+IFERROR(INDEX(BF$10:BF$11,Предпосылки!$I213,),0))</f>
        <v>0</v>
      </c>
      <c s="125">
        <f>BG267*(1+IFERROR(INDEX(BG$10:BG$11,Предпосылки!$I213,),0))</f>
        <v>0</v>
      </c>
      <c s="125">
        <f>BH267*(1+IFERROR(INDEX(BH$10:BH$11,Предпосылки!$I213,),0))</f>
        <v>0</v>
      </c>
      <c s="125">
        <f>BI267*(1+IFERROR(INDEX(BI$10:BI$11,Предпосылки!$I213,),0))</f>
        <v>0</v>
      </c>
      <c s="125">
        <f>BJ267*(1+IFERROR(INDEX(BJ$10:BJ$11,Предпосылки!$I213,),0))</f>
        <v>0</v>
      </c>
      <c s="125">
        <f>BK267*(1+IFERROR(INDEX(BK$10:BK$11,Предпосылки!$I213,),0))</f>
        <v>0</v>
      </c>
      <c s="125">
        <f>BL267*(1+IFERROR(INDEX(BL$10:BL$11,Предпосылки!$I213,),0))</f>
        <v>0</v>
      </c>
      <c s="125">
        <f>BM267*(1+IFERROR(INDEX(BM$10:BM$11,Предпосылки!$I213,),0))</f>
        <v>0</v>
      </c>
    </row>
    <row r="316" spans="2:65" ht="15" customHeight="1">
      <c r="B316" s="12" t="str">
        <f t="shared" si="257"/>
        <v>Операционные затраты 14</v>
      </c>
      <c s="124" t="str">
        <f t="shared" si="258"/>
        <v>тыс. руб.</v>
      </c>
      <c s="125"/>
      <c s="125">
        <f>E268*(1+IFERROR(INDEX(E$10:E$11,Предпосылки!$I214,),0))</f>
        <v>0</v>
      </c>
      <c s="125">
        <f>F268*(1+IFERROR(INDEX(F$10:F$11,Предпосылки!$I214,),0))</f>
        <v>0</v>
      </c>
      <c s="125">
        <f>G268*(1+IFERROR(INDEX(G$10:G$11,Предпосылки!$I214,),0))</f>
        <v>0</v>
      </c>
      <c s="125">
        <f>H268*(1+IFERROR(INDEX(H$10:H$11,Предпосылки!$I214,),0))</f>
        <v>0</v>
      </c>
      <c s="125">
        <f>I268*(1+IFERROR(INDEX(I$10:I$11,Предпосылки!$I214,),0))</f>
        <v>0</v>
      </c>
      <c s="125">
        <f>J268*(1+IFERROR(INDEX(J$10:J$11,Предпосылки!$I214,),0))</f>
        <v>0</v>
      </c>
      <c s="125">
        <f>K268*(1+IFERROR(INDEX(K$10:K$11,Предпосылки!$I214,),0))</f>
        <v>0</v>
      </c>
      <c s="125">
        <f>L268*(1+IFERROR(INDEX(L$10:L$11,Предпосылки!$I214,),0))</f>
        <v>0</v>
      </c>
      <c s="125">
        <f>M268*(1+IFERROR(INDEX(M$10:M$11,Предпосылки!$I214,),0))</f>
        <v>0</v>
      </c>
      <c s="125">
        <f>N268*(1+IFERROR(INDEX(N$10:N$11,Предпосылки!$I214,),0))</f>
        <v>0</v>
      </c>
      <c s="125">
        <f>O268*(1+IFERROR(INDEX(O$10:O$11,Предпосылки!$I214,),0))</f>
        <v>0</v>
      </c>
      <c s="125">
        <f>P268*(1+IFERROR(INDEX(P$10:P$11,Предпосылки!$I214,),0))</f>
        <v>0</v>
      </c>
      <c s="125">
        <f>Q268*(1+IFERROR(INDEX(Q$10:Q$11,Предпосылки!$I214,),0))</f>
        <v>0</v>
      </c>
      <c s="125">
        <f>R268*(1+IFERROR(INDEX(R$10:R$11,Предпосылки!$I214,),0))</f>
        <v>0</v>
      </c>
      <c s="125">
        <f>S268*(1+IFERROR(INDEX(S$10:S$11,Предпосылки!$I214,),0))</f>
        <v>0</v>
      </c>
      <c s="125">
        <f>T268*(1+IFERROR(INDEX(T$10:T$11,Предпосылки!$I214,),0))</f>
        <v>0</v>
      </c>
      <c s="125">
        <f>U268*(1+IFERROR(INDEX(U$10:U$11,Предпосылки!$I214,),0))</f>
        <v>0</v>
      </c>
      <c s="125">
        <f>V268*(1+IFERROR(INDEX(V$10:V$11,Предпосылки!$I214,),0))</f>
        <v>0</v>
      </c>
      <c s="125">
        <f>W268*(1+IFERROR(INDEX(W$10:W$11,Предпосылки!$I214,),0))</f>
        <v>0</v>
      </c>
      <c s="125">
        <f>X268*(1+IFERROR(INDEX(X$10:X$11,Предпосылки!$I214,),0))</f>
        <v>0</v>
      </c>
      <c s="125">
        <f>Y268*(1+IFERROR(INDEX(Y$10:Y$11,Предпосылки!$I214,),0))</f>
        <v>0</v>
      </c>
      <c s="125">
        <f>Z268*(1+IFERROR(INDEX(Z$10:Z$11,Предпосылки!$I214,),0))</f>
        <v>0</v>
      </c>
      <c s="125">
        <f>AA268*(1+IFERROR(INDEX(AA$10:AA$11,Предпосылки!$I214,),0))</f>
        <v>0</v>
      </c>
      <c s="125">
        <f>AB268*(1+IFERROR(INDEX(AB$10:AB$11,Предпосылки!$I214,),0))</f>
        <v>0</v>
      </c>
      <c s="125">
        <f>AC268*(1+IFERROR(INDEX(AC$10:AC$11,Предпосылки!$I214,),0))</f>
        <v>0</v>
      </c>
      <c s="125">
        <f>AD268*(1+IFERROR(INDEX(AD$10:AD$11,Предпосылки!$I214,),0))</f>
        <v>0</v>
      </c>
      <c s="125">
        <f>AE268*(1+IFERROR(INDEX(AE$10:AE$11,Предпосылки!$I214,),0))</f>
        <v>0</v>
      </c>
      <c s="125">
        <f>AF268*(1+IFERROR(INDEX(AF$10:AF$11,Предпосылки!$I214,),0))</f>
        <v>0</v>
      </c>
      <c s="125">
        <f>AG268*(1+IFERROR(INDEX(AG$10:AG$11,Предпосылки!$I214,),0))</f>
        <v>0</v>
      </c>
      <c s="125">
        <f>AH268*(1+IFERROR(INDEX(AH$10:AH$11,Предпосылки!$I214,),0))</f>
        <v>0</v>
      </c>
      <c s="125">
        <f>AI268*(1+IFERROR(INDEX(AI$10:AI$11,Предпосылки!$I214,),0))</f>
        <v>0</v>
      </c>
      <c s="125">
        <f>AJ268*(1+IFERROR(INDEX(AJ$10:AJ$11,Предпосылки!$I214,),0))</f>
        <v>0</v>
      </c>
      <c s="125">
        <f>AK268*(1+IFERROR(INDEX(AK$10:AK$11,Предпосылки!$I214,),0))</f>
        <v>0</v>
      </c>
      <c s="125">
        <f>AL268*(1+IFERROR(INDEX(AL$10:AL$11,Предпосылки!$I214,),0))</f>
        <v>0</v>
      </c>
      <c s="125">
        <f>AM268*(1+IFERROR(INDEX(AM$10:AM$11,Предпосылки!$I214,),0))</f>
        <v>0</v>
      </c>
      <c s="125">
        <f>AN268*(1+IFERROR(INDEX(AN$10:AN$11,Предпосылки!$I214,),0))</f>
        <v>0</v>
      </c>
      <c s="125">
        <f>AO268*(1+IFERROR(INDEX(AO$10:AO$11,Предпосылки!$I214,),0))</f>
        <v>0</v>
      </c>
      <c s="125">
        <f>AP268*(1+IFERROR(INDEX(AP$10:AP$11,Предпосылки!$I214,),0))</f>
        <v>0</v>
      </c>
      <c s="125">
        <f>AQ268*(1+IFERROR(INDEX(AQ$10:AQ$11,Предпосылки!$I214,),0))</f>
        <v>0</v>
      </c>
      <c s="125">
        <f>AR268*(1+IFERROR(INDEX(AR$10:AR$11,Предпосылки!$I214,),0))</f>
        <v>0</v>
      </c>
      <c s="125">
        <f>AS268*(1+IFERROR(INDEX(AS$10:AS$11,Предпосылки!$I214,),0))</f>
        <v>0</v>
      </c>
      <c s="125">
        <f>AT268*(1+IFERROR(INDEX(AT$10:AT$11,Предпосылки!$I214,),0))</f>
        <v>0</v>
      </c>
      <c s="125">
        <f>AU268*(1+IFERROR(INDEX(AU$10:AU$11,Предпосылки!$I214,),0))</f>
        <v>0</v>
      </c>
      <c s="125">
        <f>AV268*(1+IFERROR(INDEX(AV$10:AV$11,Предпосылки!$I214,),0))</f>
        <v>0</v>
      </c>
      <c s="125">
        <f>AW268*(1+IFERROR(INDEX(AW$10:AW$11,Предпосылки!$I214,),0))</f>
        <v>0</v>
      </c>
      <c s="125">
        <f>AX268*(1+IFERROR(INDEX(AX$10:AX$11,Предпосылки!$I214,),0))</f>
        <v>0</v>
      </c>
      <c s="125">
        <f>AY268*(1+IFERROR(INDEX(AY$10:AY$11,Предпосылки!$I214,),0))</f>
        <v>0</v>
      </c>
      <c s="125">
        <f>AZ268*(1+IFERROR(INDEX(AZ$10:AZ$11,Предпосылки!$I214,),0))</f>
        <v>0</v>
      </c>
      <c s="125">
        <f>BA268*(1+IFERROR(INDEX(BA$10:BA$11,Предпосылки!$I214,),0))</f>
        <v>0</v>
      </c>
      <c s="125">
        <f>BB268*(1+IFERROR(INDEX(BB$10:BB$11,Предпосылки!$I214,),0))</f>
        <v>0</v>
      </c>
      <c s="125">
        <f>BC268*(1+IFERROR(INDEX(BC$10:BC$11,Предпосылки!$I214,),0))</f>
        <v>0</v>
      </c>
      <c s="125">
        <f>BD268*(1+IFERROR(INDEX(BD$10:BD$11,Предпосылки!$I214,),0))</f>
        <v>0</v>
      </c>
      <c s="125">
        <f>BE268*(1+IFERROR(INDEX(BE$10:BE$11,Предпосылки!$I214,),0))</f>
        <v>0</v>
      </c>
      <c s="125">
        <f>BF268*(1+IFERROR(INDEX(BF$10:BF$11,Предпосылки!$I214,),0))</f>
        <v>0</v>
      </c>
      <c s="125">
        <f>BG268*(1+IFERROR(INDEX(BG$10:BG$11,Предпосылки!$I214,),0))</f>
        <v>0</v>
      </c>
      <c s="125">
        <f>BH268*(1+IFERROR(INDEX(BH$10:BH$11,Предпосылки!$I214,),0))</f>
        <v>0</v>
      </c>
      <c s="125">
        <f>BI268*(1+IFERROR(INDEX(BI$10:BI$11,Предпосылки!$I214,),0))</f>
        <v>0</v>
      </c>
      <c s="125">
        <f>BJ268*(1+IFERROR(INDEX(BJ$10:BJ$11,Предпосылки!$I214,),0))</f>
        <v>0</v>
      </c>
      <c s="125">
        <f>BK268*(1+IFERROR(INDEX(BK$10:BK$11,Предпосылки!$I214,),0))</f>
        <v>0</v>
      </c>
      <c s="125">
        <f>BL268*(1+IFERROR(INDEX(BL$10:BL$11,Предпосылки!$I214,),0))</f>
        <v>0</v>
      </c>
      <c s="125">
        <f>BM268*(1+IFERROR(INDEX(BM$10:BM$11,Предпосылки!$I214,),0))</f>
        <v>0</v>
      </c>
    </row>
    <row r="317" spans="2:65" ht="15" customHeight="1">
      <c r="B317" s="12" t="str">
        <f t="shared" si="257"/>
        <v>Операционные затраты 15</v>
      </c>
      <c s="124" t="str">
        <f t="shared" si="258"/>
        <v>тыс. руб.</v>
      </c>
      <c s="125"/>
      <c s="125">
        <f>E269*(1+IFERROR(INDEX(E$10:E$11,Предпосылки!$I215,),0))</f>
        <v>0</v>
      </c>
      <c s="125">
        <f>F269*(1+IFERROR(INDEX(F$10:F$11,Предпосылки!$I215,),0))</f>
        <v>0</v>
      </c>
      <c s="125">
        <f>G269*(1+IFERROR(INDEX(G$10:G$11,Предпосылки!$I215,),0))</f>
        <v>0</v>
      </c>
      <c s="125">
        <f>H269*(1+IFERROR(INDEX(H$10:H$11,Предпосылки!$I215,),0))</f>
        <v>0</v>
      </c>
      <c s="125">
        <f>I269*(1+IFERROR(INDEX(I$10:I$11,Предпосылки!$I215,),0))</f>
        <v>0</v>
      </c>
      <c s="125">
        <f>J269*(1+IFERROR(INDEX(J$10:J$11,Предпосылки!$I215,),0))</f>
        <v>0</v>
      </c>
      <c s="125">
        <f>K269*(1+IFERROR(INDEX(K$10:K$11,Предпосылки!$I215,),0))</f>
        <v>0</v>
      </c>
      <c s="125">
        <f>L269*(1+IFERROR(INDEX(L$10:L$11,Предпосылки!$I215,),0))</f>
        <v>0</v>
      </c>
      <c s="125">
        <f>M269*(1+IFERROR(INDEX(M$10:M$11,Предпосылки!$I215,),0))</f>
        <v>0</v>
      </c>
      <c s="125">
        <f>N269*(1+IFERROR(INDEX(N$10:N$11,Предпосылки!$I215,),0))</f>
        <v>0</v>
      </c>
      <c s="125">
        <f>O269*(1+IFERROR(INDEX(O$10:O$11,Предпосылки!$I215,),0))</f>
        <v>0</v>
      </c>
      <c s="125">
        <f>P269*(1+IFERROR(INDEX(P$10:P$11,Предпосылки!$I215,),0))</f>
        <v>0</v>
      </c>
      <c s="125">
        <f>Q269*(1+IFERROR(INDEX(Q$10:Q$11,Предпосылки!$I215,),0))</f>
        <v>0</v>
      </c>
      <c s="125">
        <f>R269*(1+IFERROR(INDEX(R$10:R$11,Предпосылки!$I215,),0))</f>
        <v>0</v>
      </c>
      <c s="125">
        <f>S269*(1+IFERROR(INDEX(S$10:S$11,Предпосылки!$I215,),0))</f>
        <v>0</v>
      </c>
      <c s="125">
        <f>T269*(1+IFERROR(INDEX(T$10:T$11,Предпосылки!$I215,),0))</f>
        <v>0</v>
      </c>
      <c s="125">
        <f>U269*(1+IFERROR(INDEX(U$10:U$11,Предпосылки!$I215,),0))</f>
        <v>0</v>
      </c>
      <c s="125">
        <f>V269*(1+IFERROR(INDEX(V$10:V$11,Предпосылки!$I215,),0))</f>
        <v>0</v>
      </c>
      <c s="125">
        <f>W269*(1+IFERROR(INDEX(W$10:W$11,Предпосылки!$I215,),0))</f>
        <v>0</v>
      </c>
      <c s="125">
        <f>X269*(1+IFERROR(INDEX(X$10:X$11,Предпосылки!$I215,),0))</f>
        <v>0</v>
      </c>
      <c s="125">
        <f>Y269*(1+IFERROR(INDEX(Y$10:Y$11,Предпосылки!$I215,),0))</f>
        <v>0</v>
      </c>
      <c s="125">
        <f>Z269*(1+IFERROR(INDEX(Z$10:Z$11,Предпосылки!$I215,),0))</f>
        <v>0</v>
      </c>
      <c s="125">
        <f>AA269*(1+IFERROR(INDEX(AA$10:AA$11,Предпосылки!$I215,),0))</f>
        <v>0</v>
      </c>
      <c s="125">
        <f>AB269*(1+IFERROR(INDEX(AB$10:AB$11,Предпосылки!$I215,),0))</f>
        <v>0</v>
      </c>
      <c s="125">
        <f>AC269*(1+IFERROR(INDEX(AC$10:AC$11,Предпосылки!$I215,),0))</f>
        <v>0</v>
      </c>
      <c s="125">
        <f>AD269*(1+IFERROR(INDEX(AD$10:AD$11,Предпосылки!$I215,),0))</f>
        <v>0</v>
      </c>
      <c s="125">
        <f>AE269*(1+IFERROR(INDEX(AE$10:AE$11,Предпосылки!$I215,),0))</f>
        <v>0</v>
      </c>
      <c s="125">
        <f>AF269*(1+IFERROR(INDEX(AF$10:AF$11,Предпосылки!$I215,),0))</f>
        <v>0</v>
      </c>
      <c s="125">
        <f>AG269*(1+IFERROR(INDEX(AG$10:AG$11,Предпосылки!$I215,),0))</f>
        <v>0</v>
      </c>
      <c s="125">
        <f>AH269*(1+IFERROR(INDEX(AH$10:AH$11,Предпосылки!$I215,),0))</f>
        <v>0</v>
      </c>
      <c s="125">
        <f>AI269*(1+IFERROR(INDEX(AI$10:AI$11,Предпосылки!$I215,),0))</f>
        <v>0</v>
      </c>
      <c s="125">
        <f>AJ269*(1+IFERROR(INDEX(AJ$10:AJ$11,Предпосылки!$I215,),0))</f>
        <v>0</v>
      </c>
      <c s="125">
        <f>AK269*(1+IFERROR(INDEX(AK$10:AK$11,Предпосылки!$I215,),0))</f>
        <v>0</v>
      </c>
      <c s="125">
        <f>AL269*(1+IFERROR(INDEX(AL$10:AL$11,Предпосылки!$I215,),0))</f>
        <v>0</v>
      </c>
      <c s="125">
        <f>AM269*(1+IFERROR(INDEX(AM$10:AM$11,Предпосылки!$I215,),0))</f>
        <v>0</v>
      </c>
      <c s="125">
        <f>AN269*(1+IFERROR(INDEX(AN$10:AN$11,Предпосылки!$I215,),0))</f>
        <v>0</v>
      </c>
      <c s="125">
        <f>AO269*(1+IFERROR(INDEX(AO$10:AO$11,Предпосылки!$I215,),0))</f>
        <v>0</v>
      </c>
      <c s="125">
        <f>AP269*(1+IFERROR(INDEX(AP$10:AP$11,Предпосылки!$I215,),0))</f>
        <v>0</v>
      </c>
      <c s="125">
        <f>AQ269*(1+IFERROR(INDEX(AQ$10:AQ$11,Предпосылки!$I215,),0))</f>
        <v>0</v>
      </c>
      <c s="125">
        <f>AR269*(1+IFERROR(INDEX(AR$10:AR$11,Предпосылки!$I215,),0))</f>
        <v>0</v>
      </c>
      <c s="125">
        <f>AS269*(1+IFERROR(INDEX(AS$10:AS$11,Предпосылки!$I215,),0))</f>
        <v>0</v>
      </c>
      <c s="125">
        <f>AT269*(1+IFERROR(INDEX(AT$10:AT$11,Предпосылки!$I215,),0))</f>
        <v>0</v>
      </c>
      <c s="125">
        <f>AU269*(1+IFERROR(INDEX(AU$10:AU$11,Предпосылки!$I215,),0))</f>
        <v>0</v>
      </c>
      <c s="125">
        <f>AV269*(1+IFERROR(INDEX(AV$10:AV$11,Предпосылки!$I215,),0))</f>
        <v>0</v>
      </c>
      <c s="125">
        <f>AW269*(1+IFERROR(INDEX(AW$10:AW$11,Предпосылки!$I215,),0))</f>
        <v>0</v>
      </c>
      <c s="125">
        <f>AX269*(1+IFERROR(INDEX(AX$10:AX$11,Предпосылки!$I215,),0))</f>
        <v>0</v>
      </c>
      <c s="125">
        <f>AY269*(1+IFERROR(INDEX(AY$10:AY$11,Предпосылки!$I215,),0))</f>
        <v>0</v>
      </c>
      <c s="125">
        <f>AZ269*(1+IFERROR(INDEX(AZ$10:AZ$11,Предпосылки!$I215,),0))</f>
        <v>0</v>
      </c>
      <c s="125">
        <f>BA269*(1+IFERROR(INDEX(BA$10:BA$11,Предпосылки!$I215,),0))</f>
        <v>0</v>
      </c>
      <c s="125">
        <f>BB269*(1+IFERROR(INDEX(BB$10:BB$11,Предпосылки!$I215,),0))</f>
        <v>0</v>
      </c>
      <c s="125">
        <f>BC269*(1+IFERROR(INDEX(BC$10:BC$11,Предпосылки!$I215,),0))</f>
        <v>0</v>
      </c>
      <c s="125">
        <f>BD269*(1+IFERROR(INDEX(BD$10:BD$11,Предпосылки!$I215,),0))</f>
        <v>0</v>
      </c>
      <c s="125">
        <f>BE269*(1+IFERROR(INDEX(BE$10:BE$11,Предпосылки!$I215,),0))</f>
        <v>0</v>
      </c>
      <c s="125">
        <f>BF269*(1+IFERROR(INDEX(BF$10:BF$11,Предпосылки!$I215,),0))</f>
        <v>0</v>
      </c>
      <c s="125">
        <f>BG269*(1+IFERROR(INDEX(BG$10:BG$11,Предпосылки!$I215,),0))</f>
        <v>0</v>
      </c>
      <c s="125">
        <f>BH269*(1+IFERROR(INDEX(BH$10:BH$11,Предпосылки!$I215,),0))</f>
        <v>0</v>
      </c>
      <c s="125">
        <f>BI269*(1+IFERROR(INDEX(BI$10:BI$11,Предпосылки!$I215,),0))</f>
        <v>0</v>
      </c>
      <c s="125">
        <f>BJ269*(1+IFERROR(INDEX(BJ$10:BJ$11,Предпосылки!$I215,),0))</f>
        <v>0</v>
      </c>
      <c s="125">
        <f>BK269*(1+IFERROR(INDEX(BK$10:BK$11,Предпосылки!$I215,),0))</f>
        <v>0</v>
      </c>
      <c s="125">
        <f>BL269*(1+IFERROR(INDEX(BL$10:BL$11,Предпосылки!$I215,),0))</f>
        <v>0</v>
      </c>
      <c s="125">
        <f>BM269*(1+IFERROR(INDEX(BM$10:BM$11,Предпосылки!$I215,),0))</f>
        <v>0</v>
      </c>
    </row>
    <row r="318" spans="2:65" ht="15" customHeight="1">
      <c r="B318" s="12" t="str">
        <f t="shared" si="257"/>
        <v>Операционные затраты 16</v>
      </c>
      <c s="124" t="str">
        <f t="shared" si="258"/>
        <v>тыс. руб.</v>
      </c>
      <c s="125"/>
      <c s="125">
        <f>E270*(1+IFERROR(INDEX(E$10:E$11,Предпосылки!$I216,),0))</f>
        <v>0</v>
      </c>
      <c s="125">
        <f>F270*(1+IFERROR(INDEX(F$10:F$11,Предпосылки!$I216,),0))</f>
        <v>0</v>
      </c>
      <c s="125">
        <f>G270*(1+IFERROR(INDEX(G$10:G$11,Предпосылки!$I216,),0))</f>
        <v>0</v>
      </c>
      <c s="125">
        <f>H270*(1+IFERROR(INDEX(H$10:H$11,Предпосылки!$I216,),0))</f>
        <v>0</v>
      </c>
      <c s="125">
        <f>I270*(1+IFERROR(INDEX(I$10:I$11,Предпосылки!$I216,),0))</f>
        <v>0</v>
      </c>
      <c s="125">
        <f>J270*(1+IFERROR(INDEX(J$10:J$11,Предпосылки!$I216,),0))</f>
        <v>0</v>
      </c>
      <c s="125">
        <f>K270*(1+IFERROR(INDEX(K$10:K$11,Предпосылки!$I216,),0))</f>
        <v>0</v>
      </c>
      <c s="125">
        <f>L270*(1+IFERROR(INDEX(L$10:L$11,Предпосылки!$I216,),0))</f>
        <v>0</v>
      </c>
      <c s="125">
        <f>M270*(1+IFERROR(INDEX(M$10:M$11,Предпосылки!$I216,),0))</f>
        <v>0</v>
      </c>
      <c s="125">
        <f>N270*(1+IFERROR(INDEX(N$10:N$11,Предпосылки!$I216,),0))</f>
        <v>0</v>
      </c>
      <c s="125">
        <f>O270*(1+IFERROR(INDEX(O$10:O$11,Предпосылки!$I216,),0))</f>
        <v>0</v>
      </c>
      <c s="125">
        <f>P270*(1+IFERROR(INDEX(P$10:P$11,Предпосылки!$I216,),0))</f>
        <v>0</v>
      </c>
      <c s="125">
        <f>Q270*(1+IFERROR(INDEX(Q$10:Q$11,Предпосылки!$I216,),0))</f>
        <v>0</v>
      </c>
      <c s="125">
        <f>R270*(1+IFERROR(INDEX(R$10:R$11,Предпосылки!$I216,),0))</f>
        <v>0</v>
      </c>
      <c s="125">
        <f>S270*(1+IFERROR(INDEX(S$10:S$11,Предпосылки!$I216,),0))</f>
        <v>0</v>
      </c>
      <c s="125">
        <f>T270*(1+IFERROR(INDEX(T$10:T$11,Предпосылки!$I216,),0))</f>
        <v>0</v>
      </c>
      <c s="125">
        <f>U270*(1+IFERROR(INDEX(U$10:U$11,Предпосылки!$I216,),0))</f>
        <v>0</v>
      </c>
      <c s="125">
        <f>V270*(1+IFERROR(INDEX(V$10:V$11,Предпосылки!$I216,),0))</f>
        <v>0</v>
      </c>
      <c s="125">
        <f>W270*(1+IFERROR(INDEX(W$10:W$11,Предпосылки!$I216,),0))</f>
        <v>0</v>
      </c>
      <c s="125">
        <f>X270*(1+IFERROR(INDEX(X$10:X$11,Предпосылки!$I216,),0))</f>
        <v>0</v>
      </c>
      <c s="125">
        <f>Y270*(1+IFERROR(INDEX(Y$10:Y$11,Предпосылки!$I216,),0))</f>
        <v>0</v>
      </c>
      <c s="125">
        <f>Z270*(1+IFERROR(INDEX(Z$10:Z$11,Предпосылки!$I216,),0))</f>
        <v>0</v>
      </c>
      <c s="125">
        <f>AA270*(1+IFERROR(INDEX(AA$10:AA$11,Предпосылки!$I216,),0))</f>
        <v>0</v>
      </c>
      <c s="125">
        <f>AB270*(1+IFERROR(INDEX(AB$10:AB$11,Предпосылки!$I216,),0))</f>
        <v>0</v>
      </c>
      <c s="125">
        <f>AC270*(1+IFERROR(INDEX(AC$10:AC$11,Предпосылки!$I216,),0))</f>
        <v>0</v>
      </c>
      <c s="125">
        <f>AD270*(1+IFERROR(INDEX(AD$10:AD$11,Предпосылки!$I216,),0))</f>
        <v>0</v>
      </c>
      <c s="125">
        <f>AE270*(1+IFERROR(INDEX(AE$10:AE$11,Предпосылки!$I216,),0))</f>
        <v>0</v>
      </c>
      <c s="125">
        <f>AF270*(1+IFERROR(INDEX(AF$10:AF$11,Предпосылки!$I216,),0))</f>
        <v>0</v>
      </c>
      <c s="125">
        <f>AG270*(1+IFERROR(INDEX(AG$10:AG$11,Предпосылки!$I216,),0))</f>
        <v>0</v>
      </c>
      <c s="125">
        <f>AH270*(1+IFERROR(INDEX(AH$10:AH$11,Предпосылки!$I216,),0))</f>
        <v>0</v>
      </c>
      <c s="125">
        <f>AI270*(1+IFERROR(INDEX(AI$10:AI$11,Предпосылки!$I216,),0))</f>
        <v>0</v>
      </c>
      <c s="125">
        <f>AJ270*(1+IFERROR(INDEX(AJ$10:AJ$11,Предпосылки!$I216,),0))</f>
        <v>0</v>
      </c>
      <c s="125">
        <f>AK270*(1+IFERROR(INDEX(AK$10:AK$11,Предпосылки!$I216,),0))</f>
        <v>0</v>
      </c>
      <c s="125">
        <f>AL270*(1+IFERROR(INDEX(AL$10:AL$11,Предпосылки!$I216,),0))</f>
        <v>0</v>
      </c>
      <c s="125">
        <f>AM270*(1+IFERROR(INDEX(AM$10:AM$11,Предпосылки!$I216,),0))</f>
        <v>0</v>
      </c>
      <c s="125">
        <f>AN270*(1+IFERROR(INDEX(AN$10:AN$11,Предпосылки!$I216,),0))</f>
        <v>0</v>
      </c>
      <c s="125">
        <f>AO270*(1+IFERROR(INDEX(AO$10:AO$11,Предпосылки!$I216,),0))</f>
        <v>0</v>
      </c>
      <c s="125">
        <f>AP270*(1+IFERROR(INDEX(AP$10:AP$11,Предпосылки!$I216,),0))</f>
        <v>0</v>
      </c>
      <c s="125">
        <f>AQ270*(1+IFERROR(INDEX(AQ$10:AQ$11,Предпосылки!$I216,),0))</f>
        <v>0</v>
      </c>
      <c s="125">
        <f>AR270*(1+IFERROR(INDEX(AR$10:AR$11,Предпосылки!$I216,),0))</f>
        <v>0</v>
      </c>
      <c s="125">
        <f>AS270*(1+IFERROR(INDEX(AS$10:AS$11,Предпосылки!$I216,),0))</f>
        <v>0</v>
      </c>
      <c s="125">
        <f>AT270*(1+IFERROR(INDEX(AT$10:AT$11,Предпосылки!$I216,),0))</f>
        <v>0</v>
      </c>
      <c s="125">
        <f>AU270*(1+IFERROR(INDEX(AU$10:AU$11,Предпосылки!$I216,),0))</f>
        <v>0</v>
      </c>
      <c s="125">
        <f>AV270*(1+IFERROR(INDEX(AV$10:AV$11,Предпосылки!$I216,),0))</f>
        <v>0</v>
      </c>
      <c s="125">
        <f>AW270*(1+IFERROR(INDEX(AW$10:AW$11,Предпосылки!$I216,),0))</f>
        <v>0</v>
      </c>
      <c s="125">
        <f>AX270*(1+IFERROR(INDEX(AX$10:AX$11,Предпосылки!$I216,),0))</f>
        <v>0</v>
      </c>
      <c s="125">
        <f>AY270*(1+IFERROR(INDEX(AY$10:AY$11,Предпосылки!$I216,),0))</f>
        <v>0</v>
      </c>
      <c s="125">
        <f>AZ270*(1+IFERROR(INDEX(AZ$10:AZ$11,Предпосылки!$I216,),0))</f>
        <v>0</v>
      </c>
      <c s="125">
        <f>BA270*(1+IFERROR(INDEX(BA$10:BA$11,Предпосылки!$I216,),0))</f>
        <v>0</v>
      </c>
      <c s="125">
        <f>BB270*(1+IFERROR(INDEX(BB$10:BB$11,Предпосылки!$I216,),0))</f>
        <v>0</v>
      </c>
      <c s="125">
        <f>BC270*(1+IFERROR(INDEX(BC$10:BC$11,Предпосылки!$I216,),0))</f>
        <v>0</v>
      </c>
      <c s="125">
        <f>BD270*(1+IFERROR(INDEX(BD$10:BD$11,Предпосылки!$I216,),0))</f>
        <v>0</v>
      </c>
      <c s="125">
        <f>BE270*(1+IFERROR(INDEX(BE$10:BE$11,Предпосылки!$I216,),0))</f>
        <v>0</v>
      </c>
      <c s="125">
        <f>BF270*(1+IFERROR(INDEX(BF$10:BF$11,Предпосылки!$I216,),0))</f>
        <v>0</v>
      </c>
      <c s="125">
        <f>BG270*(1+IFERROR(INDEX(BG$10:BG$11,Предпосылки!$I216,),0))</f>
        <v>0</v>
      </c>
      <c s="125">
        <f>BH270*(1+IFERROR(INDEX(BH$10:BH$11,Предпосылки!$I216,),0))</f>
        <v>0</v>
      </c>
      <c s="125">
        <f>BI270*(1+IFERROR(INDEX(BI$10:BI$11,Предпосылки!$I216,),0))</f>
        <v>0</v>
      </c>
      <c s="125">
        <f>BJ270*(1+IFERROR(INDEX(BJ$10:BJ$11,Предпосылки!$I216,),0))</f>
        <v>0</v>
      </c>
      <c s="125">
        <f>BK270*(1+IFERROR(INDEX(BK$10:BK$11,Предпосылки!$I216,),0))</f>
        <v>0</v>
      </c>
      <c s="125">
        <f>BL270*(1+IFERROR(INDEX(BL$10:BL$11,Предпосылки!$I216,),0))</f>
        <v>0</v>
      </c>
      <c s="125">
        <f>BM270*(1+IFERROR(INDEX(BM$10:BM$11,Предпосылки!$I216,),0))</f>
        <v>0</v>
      </c>
    </row>
    <row r="319" spans="2:65" ht="15" customHeight="1">
      <c r="B319" s="12" t="str">
        <f t="shared" si="257"/>
        <v>Операционные затраты 17</v>
      </c>
      <c s="124" t="str">
        <f t="shared" si="258"/>
        <v>тыс. руб.</v>
      </c>
      <c s="125"/>
      <c s="125">
        <f>E271*(1+IFERROR(INDEX(E$10:E$11,Предпосылки!$I217,),0))</f>
        <v>0</v>
      </c>
      <c s="125">
        <f>F271*(1+IFERROR(INDEX(F$10:F$11,Предпосылки!$I217,),0))</f>
        <v>0</v>
      </c>
      <c s="125">
        <f>G271*(1+IFERROR(INDEX(G$10:G$11,Предпосылки!$I217,),0))</f>
        <v>0</v>
      </c>
      <c s="125">
        <f>H271*(1+IFERROR(INDEX(H$10:H$11,Предпосылки!$I217,),0))</f>
        <v>0</v>
      </c>
      <c s="125">
        <f>I271*(1+IFERROR(INDEX(I$10:I$11,Предпосылки!$I217,),0))</f>
        <v>0</v>
      </c>
      <c s="125">
        <f>J271*(1+IFERROR(INDEX(J$10:J$11,Предпосылки!$I217,),0))</f>
        <v>0</v>
      </c>
      <c s="125">
        <f>K271*(1+IFERROR(INDEX(K$10:K$11,Предпосылки!$I217,),0))</f>
        <v>0</v>
      </c>
      <c s="125">
        <f>L271*(1+IFERROR(INDEX(L$10:L$11,Предпосылки!$I217,),0))</f>
        <v>0</v>
      </c>
      <c s="125">
        <f>M271*(1+IFERROR(INDEX(M$10:M$11,Предпосылки!$I217,),0))</f>
        <v>0</v>
      </c>
      <c s="125">
        <f>N271*(1+IFERROR(INDEX(N$10:N$11,Предпосылки!$I217,),0))</f>
        <v>0</v>
      </c>
      <c s="125">
        <f>O271*(1+IFERROR(INDEX(O$10:O$11,Предпосылки!$I217,),0))</f>
        <v>0</v>
      </c>
      <c s="125">
        <f>P271*(1+IFERROR(INDEX(P$10:P$11,Предпосылки!$I217,),0))</f>
        <v>0</v>
      </c>
      <c s="125">
        <f>Q271*(1+IFERROR(INDEX(Q$10:Q$11,Предпосылки!$I217,),0))</f>
        <v>0</v>
      </c>
      <c s="125">
        <f>R271*(1+IFERROR(INDEX(R$10:R$11,Предпосылки!$I217,),0))</f>
        <v>0</v>
      </c>
      <c s="125">
        <f>S271*(1+IFERROR(INDEX(S$10:S$11,Предпосылки!$I217,),0))</f>
        <v>0</v>
      </c>
      <c s="125">
        <f>T271*(1+IFERROR(INDEX(T$10:T$11,Предпосылки!$I217,),0))</f>
        <v>0</v>
      </c>
      <c s="125">
        <f>U271*(1+IFERROR(INDEX(U$10:U$11,Предпосылки!$I217,),0))</f>
        <v>0</v>
      </c>
      <c s="125">
        <f>V271*(1+IFERROR(INDEX(V$10:V$11,Предпосылки!$I217,),0))</f>
        <v>0</v>
      </c>
      <c s="125">
        <f>W271*(1+IFERROR(INDEX(W$10:W$11,Предпосылки!$I217,),0))</f>
        <v>0</v>
      </c>
      <c s="125">
        <f>X271*(1+IFERROR(INDEX(X$10:X$11,Предпосылки!$I217,),0))</f>
        <v>0</v>
      </c>
      <c s="125">
        <f>Y271*(1+IFERROR(INDEX(Y$10:Y$11,Предпосылки!$I217,),0))</f>
        <v>0</v>
      </c>
      <c s="125">
        <f>Z271*(1+IFERROR(INDEX(Z$10:Z$11,Предпосылки!$I217,),0))</f>
        <v>0</v>
      </c>
      <c s="125">
        <f>AA271*(1+IFERROR(INDEX(AA$10:AA$11,Предпосылки!$I217,),0))</f>
        <v>0</v>
      </c>
      <c s="125">
        <f>AB271*(1+IFERROR(INDEX(AB$10:AB$11,Предпосылки!$I217,),0))</f>
        <v>0</v>
      </c>
      <c s="125">
        <f>AC271*(1+IFERROR(INDEX(AC$10:AC$11,Предпосылки!$I217,),0))</f>
        <v>0</v>
      </c>
      <c s="125">
        <f>AD271*(1+IFERROR(INDEX(AD$10:AD$11,Предпосылки!$I217,),0))</f>
        <v>0</v>
      </c>
      <c s="125">
        <f>AE271*(1+IFERROR(INDEX(AE$10:AE$11,Предпосылки!$I217,),0))</f>
        <v>0</v>
      </c>
      <c s="125">
        <f>AF271*(1+IFERROR(INDEX(AF$10:AF$11,Предпосылки!$I217,),0))</f>
        <v>0</v>
      </c>
      <c s="125">
        <f>AG271*(1+IFERROR(INDEX(AG$10:AG$11,Предпосылки!$I217,),0))</f>
        <v>0</v>
      </c>
      <c s="125">
        <f>AH271*(1+IFERROR(INDEX(AH$10:AH$11,Предпосылки!$I217,),0))</f>
        <v>0</v>
      </c>
      <c s="125">
        <f>AI271*(1+IFERROR(INDEX(AI$10:AI$11,Предпосылки!$I217,),0))</f>
        <v>0</v>
      </c>
      <c s="125">
        <f>AJ271*(1+IFERROR(INDEX(AJ$10:AJ$11,Предпосылки!$I217,),0))</f>
        <v>0</v>
      </c>
      <c s="125">
        <f>AK271*(1+IFERROR(INDEX(AK$10:AK$11,Предпосылки!$I217,),0))</f>
        <v>0</v>
      </c>
      <c s="125">
        <f>AL271*(1+IFERROR(INDEX(AL$10:AL$11,Предпосылки!$I217,),0))</f>
        <v>0</v>
      </c>
      <c s="125">
        <f>AM271*(1+IFERROR(INDEX(AM$10:AM$11,Предпосылки!$I217,),0))</f>
        <v>0</v>
      </c>
      <c s="125">
        <f>AN271*(1+IFERROR(INDEX(AN$10:AN$11,Предпосылки!$I217,),0))</f>
        <v>0</v>
      </c>
      <c s="125">
        <f>AO271*(1+IFERROR(INDEX(AO$10:AO$11,Предпосылки!$I217,),0))</f>
        <v>0</v>
      </c>
      <c s="125">
        <f>AP271*(1+IFERROR(INDEX(AP$10:AP$11,Предпосылки!$I217,),0))</f>
        <v>0</v>
      </c>
      <c s="125">
        <f>AQ271*(1+IFERROR(INDEX(AQ$10:AQ$11,Предпосылки!$I217,),0))</f>
        <v>0</v>
      </c>
      <c s="125">
        <f>AR271*(1+IFERROR(INDEX(AR$10:AR$11,Предпосылки!$I217,),0))</f>
        <v>0</v>
      </c>
      <c s="125">
        <f>AS271*(1+IFERROR(INDEX(AS$10:AS$11,Предпосылки!$I217,),0))</f>
        <v>0</v>
      </c>
      <c s="125">
        <f>AT271*(1+IFERROR(INDEX(AT$10:AT$11,Предпосылки!$I217,),0))</f>
        <v>0</v>
      </c>
      <c s="125">
        <f>AU271*(1+IFERROR(INDEX(AU$10:AU$11,Предпосылки!$I217,),0))</f>
        <v>0</v>
      </c>
      <c s="125">
        <f>AV271*(1+IFERROR(INDEX(AV$10:AV$11,Предпосылки!$I217,),0))</f>
        <v>0</v>
      </c>
      <c s="125">
        <f>AW271*(1+IFERROR(INDEX(AW$10:AW$11,Предпосылки!$I217,),0))</f>
        <v>0</v>
      </c>
      <c s="125">
        <f>AX271*(1+IFERROR(INDEX(AX$10:AX$11,Предпосылки!$I217,),0))</f>
        <v>0</v>
      </c>
      <c s="125">
        <f>AY271*(1+IFERROR(INDEX(AY$10:AY$11,Предпосылки!$I217,),0))</f>
        <v>0</v>
      </c>
      <c s="125">
        <f>AZ271*(1+IFERROR(INDEX(AZ$10:AZ$11,Предпосылки!$I217,),0))</f>
        <v>0</v>
      </c>
      <c s="125">
        <f>BA271*(1+IFERROR(INDEX(BA$10:BA$11,Предпосылки!$I217,),0))</f>
        <v>0</v>
      </c>
      <c s="125">
        <f>BB271*(1+IFERROR(INDEX(BB$10:BB$11,Предпосылки!$I217,),0))</f>
        <v>0</v>
      </c>
      <c s="125">
        <f>BC271*(1+IFERROR(INDEX(BC$10:BC$11,Предпосылки!$I217,),0))</f>
        <v>0</v>
      </c>
      <c s="125">
        <f>BD271*(1+IFERROR(INDEX(BD$10:BD$11,Предпосылки!$I217,),0))</f>
        <v>0</v>
      </c>
      <c s="125">
        <f>BE271*(1+IFERROR(INDEX(BE$10:BE$11,Предпосылки!$I217,),0))</f>
        <v>0</v>
      </c>
      <c s="125">
        <f>BF271*(1+IFERROR(INDEX(BF$10:BF$11,Предпосылки!$I217,),0))</f>
        <v>0</v>
      </c>
      <c s="125">
        <f>BG271*(1+IFERROR(INDEX(BG$10:BG$11,Предпосылки!$I217,),0))</f>
        <v>0</v>
      </c>
      <c s="125">
        <f>BH271*(1+IFERROR(INDEX(BH$10:BH$11,Предпосылки!$I217,),0))</f>
        <v>0</v>
      </c>
      <c s="125">
        <f>BI271*(1+IFERROR(INDEX(BI$10:BI$11,Предпосылки!$I217,),0))</f>
        <v>0</v>
      </c>
      <c s="125">
        <f>BJ271*(1+IFERROR(INDEX(BJ$10:BJ$11,Предпосылки!$I217,),0))</f>
        <v>0</v>
      </c>
      <c s="125">
        <f>BK271*(1+IFERROR(INDEX(BK$10:BK$11,Предпосылки!$I217,),0))</f>
        <v>0</v>
      </c>
      <c s="125">
        <f>BL271*(1+IFERROR(INDEX(BL$10:BL$11,Предпосылки!$I217,),0))</f>
        <v>0</v>
      </c>
      <c s="125">
        <f>BM271*(1+IFERROR(INDEX(BM$10:BM$11,Предпосылки!$I217,),0))</f>
        <v>0</v>
      </c>
    </row>
    <row r="320" spans="2:65" ht="15" customHeight="1">
      <c r="B320" s="12" t="str">
        <f t="shared" si="257"/>
        <v>Операционные затраты 18</v>
      </c>
      <c s="124" t="str">
        <f t="shared" si="258"/>
        <v>тыс. руб.</v>
      </c>
      <c s="125"/>
      <c s="125">
        <f>E272*(1+IFERROR(INDEX(E$10:E$11,Предпосылки!$I218,),0))</f>
        <v>0</v>
      </c>
      <c s="125">
        <f>F272*(1+IFERROR(INDEX(F$10:F$11,Предпосылки!$I218,),0))</f>
        <v>0</v>
      </c>
      <c s="125">
        <f>G272*(1+IFERROR(INDEX(G$10:G$11,Предпосылки!$I218,),0))</f>
        <v>0</v>
      </c>
      <c s="125">
        <f>H272*(1+IFERROR(INDEX(H$10:H$11,Предпосылки!$I218,),0))</f>
        <v>0</v>
      </c>
      <c s="125">
        <f>I272*(1+IFERROR(INDEX(I$10:I$11,Предпосылки!$I218,),0))</f>
        <v>0</v>
      </c>
      <c s="125">
        <f>J272*(1+IFERROR(INDEX(J$10:J$11,Предпосылки!$I218,),0))</f>
        <v>0</v>
      </c>
      <c s="125">
        <f>K272*(1+IFERROR(INDEX(K$10:K$11,Предпосылки!$I218,),0))</f>
        <v>0</v>
      </c>
      <c s="125">
        <f>L272*(1+IFERROR(INDEX(L$10:L$11,Предпосылки!$I218,),0))</f>
        <v>0</v>
      </c>
      <c s="125">
        <f>M272*(1+IFERROR(INDEX(M$10:M$11,Предпосылки!$I218,),0))</f>
        <v>0</v>
      </c>
      <c s="125">
        <f>N272*(1+IFERROR(INDEX(N$10:N$11,Предпосылки!$I218,),0))</f>
        <v>0</v>
      </c>
      <c s="125">
        <f>O272*(1+IFERROR(INDEX(O$10:O$11,Предпосылки!$I218,),0))</f>
        <v>0</v>
      </c>
      <c s="125">
        <f>P272*(1+IFERROR(INDEX(P$10:P$11,Предпосылки!$I218,),0))</f>
        <v>0</v>
      </c>
      <c s="125">
        <f>Q272*(1+IFERROR(INDEX(Q$10:Q$11,Предпосылки!$I218,),0))</f>
        <v>0</v>
      </c>
      <c s="125">
        <f>R272*(1+IFERROR(INDEX(R$10:R$11,Предпосылки!$I218,),0))</f>
        <v>0</v>
      </c>
      <c s="125">
        <f>S272*(1+IFERROR(INDEX(S$10:S$11,Предпосылки!$I218,),0))</f>
        <v>0</v>
      </c>
      <c s="125">
        <f>T272*(1+IFERROR(INDEX(T$10:T$11,Предпосылки!$I218,),0))</f>
        <v>0</v>
      </c>
      <c s="125">
        <f>U272*(1+IFERROR(INDEX(U$10:U$11,Предпосылки!$I218,),0))</f>
        <v>0</v>
      </c>
      <c s="125">
        <f>V272*(1+IFERROR(INDEX(V$10:V$11,Предпосылки!$I218,),0))</f>
        <v>0</v>
      </c>
      <c s="125">
        <f>W272*(1+IFERROR(INDEX(W$10:W$11,Предпосылки!$I218,),0))</f>
        <v>0</v>
      </c>
      <c s="125">
        <f>X272*(1+IFERROR(INDEX(X$10:X$11,Предпосылки!$I218,),0))</f>
        <v>0</v>
      </c>
      <c s="125">
        <f>Y272*(1+IFERROR(INDEX(Y$10:Y$11,Предпосылки!$I218,),0))</f>
        <v>0</v>
      </c>
      <c s="125">
        <f>Z272*(1+IFERROR(INDEX(Z$10:Z$11,Предпосылки!$I218,),0))</f>
        <v>0</v>
      </c>
      <c s="125">
        <f>AA272*(1+IFERROR(INDEX(AA$10:AA$11,Предпосылки!$I218,),0))</f>
        <v>0</v>
      </c>
      <c s="125">
        <f>AB272*(1+IFERROR(INDEX(AB$10:AB$11,Предпосылки!$I218,),0))</f>
        <v>0</v>
      </c>
      <c s="125">
        <f>AC272*(1+IFERROR(INDEX(AC$10:AC$11,Предпосылки!$I218,),0))</f>
        <v>0</v>
      </c>
      <c s="125">
        <f>AD272*(1+IFERROR(INDEX(AD$10:AD$11,Предпосылки!$I218,),0))</f>
        <v>0</v>
      </c>
      <c s="125">
        <f>AE272*(1+IFERROR(INDEX(AE$10:AE$11,Предпосылки!$I218,),0))</f>
        <v>0</v>
      </c>
      <c s="125">
        <f>AF272*(1+IFERROR(INDEX(AF$10:AF$11,Предпосылки!$I218,),0))</f>
        <v>0</v>
      </c>
      <c s="125">
        <f>AG272*(1+IFERROR(INDEX(AG$10:AG$11,Предпосылки!$I218,),0))</f>
        <v>0</v>
      </c>
      <c s="125">
        <f>AH272*(1+IFERROR(INDEX(AH$10:AH$11,Предпосылки!$I218,),0))</f>
        <v>0</v>
      </c>
      <c s="125">
        <f>AI272*(1+IFERROR(INDEX(AI$10:AI$11,Предпосылки!$I218,),0))</f>
        <v>0</v>
      </c>
      <c s="125">
        <f>AJ272*(1+IFERROR(INDEX(AJ$10:AJ$11,Предпосылки!$I218,),0))</f>
        <v>0</v>
      </c>
      <c s="125">
        <f>AK272*(1+IFERROR(INDEX(AK$10:AK$11,Предпосылки!$I218,),0))</f>
        <v>0</v>
      </c>
      <c s="125">
        <f>AL272*(1+IFERROR(INDEX(AL$10:AL$11,Предпосылки!$I218,),0))</f>
        <v>0</v>
      </c>
      <c s="125">
        <f>AM272*(1+IFERROR(INDEX(AM$10:AM$11,Предпосылки!$I218,),0))</f>
        <v>0</v>
      </c>
      <c s="125">
        <f>AN272*(1+IFERROR(INDEX(AN$10:AN$11,Предпосылки!$I218,),0))</f>
        <v>0</v>
      </c>
      <c s="125">
        <f>AO272*(1+IFERROR(INDEX(AO$10:AO$11,Предпосылки!$I218,),0))</f>
        <v>0</v>
      </c>
      <c s="125">
        <f>AP272*(1+IFERROR(INDEX(AP$10:AP$11,Предпосылки!$I218,),0))</f>
        <v>0</v>
      </c>
      <c s="125">
        <f>AQ272*(1+IFERROR(INDEX(AQ$10:AQ$11,Предпосылки!$I218,),0))</f>
        <v>0</v>
      </c>
      <c s="125">
        <f>AR272*(1+IFERROR(INDEX(AR$10:AR$11,Предпосылки!$I218,),0))</f>
        <v>0</v>
      </c>
      <c s="125">
        <f>AS272*(1+IFERROR(INDEX(AS$10:AS$11,Предпосылки!$I218,),0))</f>
        <v>0</v>
      </c>
      <c s="125">
        <f>AT272*(1+IFERROR(INDEX(AT$10:AT$11,Предпосылки!$I218,),0))</f>
        <v>0</v>
      </c>
      <c s="125">
        <f>AU272*(1+IFERROR(INDEX(AU$10:AU$11,Предпосылки!$I218,),0))</f>
        <v>0</v>
      </c>
      <c s="125">
        <f>AV272*(1+IFERROR(INDEX(AV$10:AV$11,Предпосылки!$I218,),0))</f>
        <v>0</v>
      </c>
      <c s="125">
        <f>AW272*(1+IFERROR(INDEX(AW$10:AW$11,Предпосылки!$I218,),0))</f>
        <v>0</v>
      </c>
      <c s="125">
        <f>AX272*(1+IFERROR(INDEX(AX$10:AX$11,Предпосылки!$I218,),0))</f>
        <v>0</v>
      </c>
      <c s="125">
        <f>AY272*(1+IFERROR(INDEX(AY$10:AY$11,Предпосылки!$I218,),0))</f>
        <v>0</v>
      </c>
      <c s="125">
        <f>AZ272*(1+IFERROR(INDEX(AZ$10:AZ$11,Предпосылки!$I218,),0))</f>
        <v>0</v>
      </c>
      <c s="125">
        <f>BA272*(1+IFERROR(INDEX(BA$10:BA$11,Предпосылки!$I218,),0))</f>
        <v>0</v>
      </c>
      <c s="125">
        <f>BB272*(1+IFERROR(INDEX(BB$10:BB$11,Предпосылки!$I218,),0))</f>
        <v>0</v>
      </c>
      <c s="125">
        <f>BC272*(1+IFERROR(INDEX(BC$10:BC$11,Предпосылки!$I218,),0))</f>
        <v>0</v>
      </c>
      <c s="125">
        <f>BD272*(1+IFERROR(INDEX(BD$10:BD$11,Предпосылки!$I218,),0))</f>
        <v>0</v>
      </c>
      <c s="125">
        <f>BE272*(1+IFERROR(INDEX(BE$10:BE$11,Предпосылки!$I218,),0))</f>
        <v>0</v>
      </c>
      <c s="125">
        <f>BF272*(1+IFERROR(INDEX(BF$10:BF$11,Предпосылки!$I218,),0))</f>
        <v>0</v>
      </c>
      <c s="125">
        <f>BG272*(1+IFERROR(INDEX(BG$10:BG$11,Предпосылки!$I218,),0))</f>
        <v>0</v>
      </c>
      <c s="125">
        <f>BH272*(1+IFERROR(INDEX(BH$10:BH$11,Предпосылки!$I218,),0))</f>
        <v>0</v>
      </c>
      <c s="125">
        <f>BI272*(1+IFERROR(INDEX(BI$10:BI$11,Предпосылки!$I218,),0))</f>
        <v>0</v>
      </c>
      <c s="125">
        <f>BJ272*(1+IFERROR(INDEX(BJ$10:BJ$11,Предпосылки!$I218,),0))</f>
        <v>0</v>
      </c>
      <c s="125">
        <f>BK272*(1+IFERROR(INDEX(BK$10:BK$11,Предпосылки!$I218,),0))</f>
        <v>0</v>
      </c>
      <c s="125">
        <f>BL272*(1+IFERROR(INDEX(BL$10:BL$11,Предпосылки!$I218,),0))</f>
        <v>0</v>
      </c>
      <c s="125">
        <f>BM272*(1+IFERROR(INDEX(BM$10:BM$11,Предпосылки!$I218,),0))</f>
        <v>0</v>
      </c>
    </row>
    <row r="321" spans="2:65" ht="15" customHeight="1">
      <c r="B321" s="12" t="str">
        <f t="shared" si="257"/>
        <v>Операционные затраты 19</v>
      </c>
      <c s="124" t="str">
        <f t="shared" si="258"/>
        <v>тыс. руб.</v>
      </c>
      <c s="125"/>
      <c s="125">
        <f>E273*(1+IFERROR(INDEX(E$10:E$11,Предпосылки!$I219,),0))</f>
        <v>0</v>
      </c>
      <c s="125">
        <f>F273*(1+IFERROR(INDEX(F$10:F$11,Предпосылки!$I219,),0))</f>
        <v>0</v>
      </c>
      <c s="125">
        <f>G273*(1+IFERROR(INDEX(G$10:G$11,Предпосылки!$I219,),0))</f>
        <v>0</v>
      </c>
      <c s="125">
        <f>H273*(1+IFERROR(INDEX(H$10:H$11,Предпосылки!$I219,),0))</f>
        <v>0</v>
      </c>
      <c s="125">
        <f>I273*(1+IFERROR(INDEX(I$10:I$11,Предпосылки!$I219,),0))</f>
        <v>0</v>
      </c>
      <c s="125">
        <f>J273*(1+IFERROR(INDEX(J$10:J$11,Предпосылки!$I219,),0))</f>
        <v>0</v>
      </c>
      <c s="125">
        <f>K273*(1+IFERROR(INDEX(K$10:K$11,Предпосылки!$I219,),0))</f>
        <v>0</v>
      </c>
      <c s="125">
        <f>L273*(1+IFERROR(INDEX(L$10:L$11,Предпосылки!$I219,),0))</f>
        <v>0</v>
      </c>
      <c s="125">
        <f>M273*(1+IFERROR(INDEX(M$10:M$11,Предпосылки!$I219,),0))</f>
        <v>0</v>
      </c>
      <c s="125">
        <f>N273*(1+IFERROR(INDEX(N$10:N$11,Предпосылки!$I219,),0))</f>
        <v>0</v>
      </c>
      <c s="125">
        <f>O273*(1+IFERROR(INDEX(O$10:O$11,Предпосылки!$I219,),0))</f>
        <v>0</v>
      </c>
      <c s="125">
        <f>P273*(1+IFERROR(INDEX(P$10:P$11,Предпосылки!$I219,),0))</f>
        <v>0</v>
      </c>
      <c s="125">
        <f>Q273*(1+IFERROR(INDEX(Q$10:Q$11,Предпосылки!$I219,),0))</f>
        <v>0</v>
      </c>
      <c s="125">
        <f>R273*(1+IFERROR(INDEX(R$10:R$11,Предпосылки!$I219,),0))</f>
        <v>0</v>
      </c>
      <c s="125">
        <f>S273*(1+IFERROR(INDEX(S$10:S$11,Предпосылки!$I219,),0))</f>
        <v>0</v>
      </c>
      <c s="125">
        <f>T273*(1+IFERROR(INDEX(T$10:T$11,Предпосылки!$I219,),0))</f>
        <v>0</v>
      </c>
      <c s="125">
        <f>U273*(1+IFERROR(INDEX(U$10:U$11,Предпосылки!$I219,),0))</f>
        <v>0</v>
      </c>
      <c s="125">
        <f>V273*(1+IFERROR(INDEX(V$10:V$11,Предпосылки!$I219,),0))</f>
        <v>0</v>
      </c>
      <c s="125">
        <f>W273*(1+IFERROR(INDEX(W$10:W$11,Предпосылки!$I219,),0))</f>
        <v>0</v>
      </c>
      <c s="125">
        <f>X273*(1+IFERROR(INDEX(X$10:X$11,Предпосылки!$I219,),0))</f>
        <v>0</v>
      </c>
      <c s="125">
        <f>Y273*(1+IFERROR(INDEX(Y$10:Y$11,Предпосылки!$I219,),0))</f>
        <v>0</v>
      </c>
      <c s="125">
        <f>Z273*(1+IFERROR(INDEX(Z$10:Z$11,Предпосылки!$I219,),0))</f>
        <v>0</v>
      </c>
      <c s="125">
        <f>AA273*(1+IFERROR(INDEX(AA$10:AA$11,Предпосылки!$I219,),0))</f>
        <v>0</v>
      </c>
      <c s="125">
        <f>AB273*(1+IFERROR(INDEX(AB$10:AB$11,Предпосылки!$I219,),0))</f>
        <v>0</v>
      </c>
      <c s="125">
        <f>AC273*(1+IFERROR(INDEX(AC$10:AC$11,Предпосылки!$I219,),0))</f>
        <v>0</v>
      </c>
      <c s="125">
        <f>AD273*(1+IFERROR(INDEX(AD$10:AD$11,Предпосылки!$I219,),0))</f>
        <v>0</v>
      </c>
      <c s="125">
        <f>AE273*(1+IFERROR(INDEX(AE$10:AE$11,Предпосылки!$I219,),0))</f>
        <v>0</v>
      </c>
      <c s="125">
        <f>AF273*(1+IFERROR(INDEX(AF$10:AF$11,Предпосылки!$I219,),0))</f>
        <v>0</v>
      </c>
      <c s="125">
        <f>AG273*(1+IFERROR(INDEX(AG$10:AG$11,Предпосылки!$I219,),0))</f>
        <v>0</v>
      </c>
      <c s="125">
        <f>AH273*(1+IFERROR(INDEX(AH$10:AH$11,Предпосылки!$I219,),0))</f>
        <v>0</v>
      </c>
      <c s="125">
        <f>AI273*(1+IFERROR(INDEX(AI$10:AI$11,Предпосылки!$I219,),0))</f>
        <v>0</v>
      </c>
      <c s="125">
        <f>AJ273*(1+IFERROR(INDEX(AJ$10:AJ$11,Предпосылки!$I219,),0))</f>
        <v>0</v>
      </c>
      <c s="125">
        <f>AK273*(1+IFERROR(INDEX(AK$10:AK$11,Предпосылки!$I219,),0))</f>
        <v>0</v>
      </c>
      <c s="125">
        <f>AL273*(1+IFERROR(INDEX(AL$10:AL$11,Предпосылки!$I219,),0))</f>
        <v>0</v>
      </c>
      <c s="125">
        <f>AM273*(1+IFERROR(INDEX(AM$10:AM$11,Предпосылки!$I219,),0))</f>
        <v>0</v>
      </c>
      <c s="125">
        <f>AN273*(1+IFERROR(INDEX(AN$10:AN$11,Предпосылки!$I219,),0))</f>
        <v>0</v>
      </c>
      <c s="125">
        <f>AO273*(1+IFERROR(INDEX(AO$10:AO$11,Предпосылки!$I219,),0))</f>
        <v>0</v>
      </c>
      <c s="125">
        <f>AP273*(1+IFERROR(INDEX(AP$10:AP$11,Предпосылки!$I219,),0))</f>
        <v>0</v>
      </c>
      <c s="125">
        <f>AQ273*(1+IFERROR(INDEX(AQ$10:AQ$11,Предпосылки!$I219,),0))</f>
        <v>0</v>
      </c>
      <c s="125">
        <f>AR273*(1+IFERROR(INDEX(AR$10:AR$11,Предпосылки!$I219,),0))</f>
        <v>0</v>
      </c>
      <c s="125">
        <f>AS273*(1+IFERROR(INDEX(AS$10:AS$11,Предпосылки!$I219,),0))</f>
        <v>0</v>
      </c>
      <c s="125">
        <f>AT273*(1+IFERROR(INDEX(AT$10:AT$11,Предпосылки!$I219,),0))</f>
        <v>0</v>
      </c>
      <c s="125">
        <f>AU273*(1+IFERROR(INDEX(AU$10:AU$11,Предпосылки!$I219,),0))</f>
        <v>0</v>
      </c>
      <c s="125">
        <f>AV273*(1+IFERROR(INDEX(AV$10:AV$11,Предпосылки!$I219,),0))</f>
        <v>0</v>
      </c>
      <c s="125">
        <f>AW273*(1+IFERROR(INDEX(AW$10:AW$11,Предпосылки!$I219,),0))</f>
        <v>0</v>
      </c>
      <c s="125">
        <f>AX273*(1+IFERROR(INDEX(AX$10:AX$11,Предпосылки!$I219,),0))</f>
        <v>0</v>
      </c>
      <c s="125">
        <f>AY273*(1+IFERROR(INDEX(AY$10:AY$11,Предпосылки!$I219,),0))</f>
        <v>0</v>
      </c>
      <c s="125">
        <f>AZ273*(1+IFERROR(INDEX(AZ$10:AZ$11,Предпосылки!$I219,),0))</f>
        <v>0</v>
      </c>
      <c s="125">
        <f>BA273*(1+IFERROR(INDEX(BA$10:BA$11,Предпосылки!$I219,),0))</f>
        <v>0</v>
      </c>
      <c s="125">
        <f>BB273*(1+IFERROR(INDEX(BB$10:BB$11,Предпосылки!$I219,),0))</f>
        <v>0</v>
      </c>
      <c s="125">
        <f>BC273*(1+IFERROR(INDEX(BC$10:BC$11,Предпосылки!$I219,),0))</f>
        <v>0</v>
      </c>
      <c s="125">
        <f>BD273*(1+IFERROR(INDEX(BD$10:BD$11,Предпосылки!$I219,),0))</f>
        <v>0</v>
      </c>
      <c s="125">
        <f>BE273*(1+IFERROR(INDEX(BE$10:BE$11,Предпосылки!$I219,),0))</f>
        <v>0</v>
      </c>
      <c s="125">
        <f>BF273*(1+IFERROR(INDEX(BF$10:BF$11,Предпосылки!$I219,),0))</f>
        <v>0</v>
      </c>
      <c s="125">
        <f>BG273*(1+IFERROR(INDEX(BG$10:BG$11,Предпосылки!$I219,),0))</f>
        <v>0</v>
      </c>
      <c s="125">
        <f>BH273*(1+IFERROR(INDEX(BH$10:BH$11,Предпосылки!$I219,),0))</f>
        <v>0</v>
      </c>
      <c s="125">
        <f>BI273*(1+IFERROR(INDEX(BI$10:BI$11,Предпосылки!$I219,),0))</f>
        <v>0</v>
      </c>
      <c s="125">
        <f>BJ273*(1+IFERROR(INDEX(BJ$10:BJ$11,Предпосылки!$I219,),0))</f>
        <v>0</v>
      </c>
      <c s="125">
        <f>BK273*(1+IFERROR(INDEX(BK$10:BK$11,Предпосылки!$I219,),0))</f>
        <v>0</v>
      </c>
      <c s="125">
        <f>BL273*(1+IFERROR(INDEX(BL$10:BL$11,Предпосылки!$I219,),0))</f>
        <v>0</v>
      </c>
      <c s="125">
        <f>BM273*(1+IFERROR(INDEX(BM$10:BM$11,Предпосылки!$I219,),0))</f>
        <v>0</v>
      </c>
    </row>
    <row r="322" spans="2:65" ht="15" customHeight="1">
      <c r="B322" s="12" t="str">
        <f t="shared" si="257"/>
        <v>Операционные затраты 20</v>
      </c>
      <c s="124" t="str">
        <f t="shared" si="258"/>
        <v>тыс. руб.</v>
      </c>
      <c s="125"/>
      <c s="125">
        <f>E274*(1+IFERROR(INDEX(E$10:E$11,Предпосылки!$I220,),0))</f>
        <v>0</v>
      </c>
      <c s="125">
        <f>F274*(1+IFERROR(INDEX(F$10:F$11,Предпосылки!$I220,),0))</f>
        <v>0</v>
      </c>
      <c s="125">
        <f>G274*(1+IFERROR(INDEX(G$10:G$11,Предпосылки!$I220,),0))</f>
        <v>0</v>
      </c>
      <c s="125">
        <f>H274*(1+IFERROR(INDEX(H$10:H$11,Предпосылки!$I220,),0))</f>
        <v>0</v>
      </c>
      <c s="125">
        <f>I274*(1+IFERROR(INDEX(I$10:I$11,Предпосылки!$I220,),0))</f>
        <v>0</v>
      </c>
      <c s="125">
        <f>J274*(1+IFERROR(INDEX(J$10:J$11,Предпосылки!$I220,),0))</f>
        <v>0</v>
      </c>
      <c s="125">
        <f>K274*(1+IFERROR(INDEX(K$10:K$11,Предпосылки!$I220,),0))</f>
        <v>0</v>
      </c>
      <c s="125">
        <f>L274*(1+IFERROR(INDEX(L$10:L$11,Предпосылки!$I220,),0))</f>
        <v>0</v>
      </c>
      <c s="125">
        <f>M274*(1+IFERROR(INDEX(M$10:M$11,Предпосылки!$I220,),0))</f>
        <v>0</v>
      </c>
      <c s="125">
        <f>N274*(1+IFERROR(INDEX(N$10:N$11,Предпосылки!$I220,),0))</f>
        <v>0</v>
      </c>
      <c s="125">
        <f>O274*(1+IFERROR(INDEX(O$10:O$11,Предпосылки!$I220,),0))</f>
        <v>0</v>
      </c>
      <c s="125">
        <f>P274*(1+IFERROR(INDEX(P$10:P$11,Предпосылки!$I220,),0))</f>
        <v>0</v>
      </c>
      <c s="125">
        <f>Q274*(1+IFERROR(INDEX(Q$10:Q$11,Предпосылки!$I220,),0))</f>
        <v>0</v>
      </c>
      <c s="125">
        <f>R274*(1+IFERROR(INDEX(R$10:R$11,Предпосылки!$I220,),0))</f>
        <v>0</v>
      </c>
      <c s="125">
        <f>S274*(1+IFERROR(INDEX(S$10:S$11,Предпосылки!$I220,),0))</f>
        <v>0</v>
      </c>
      <c s="125">
        <f>T274*(1+IFERROR(INDEX(T$10:T$11,Предпосылки!$I220,),0))</f>
        <v>0</v>
      </c>
      <c s="125">
        <f>U274*(1+IFERROR(INDEX(U$10:U$11,Предпосылки!$I220,),0))</f>
        <v>0</v>
      </c>
      <c s="125">
        <f>V274*(1+IFERROR(INDEX(V$10:V$11,Предпосылки!$I220,),0))</f>
        <v>0</v>
      </c>
      <c s="125">
        <f>W274*(1+IFERROR(INDEX(W$10:W$11,Предпосылки!$I220,),0))</f>
        <v>0</v>
      </c>
      <c s="125">
        <f>X274*(1+IFERROR(INDEX(X$10:X$11,Предпосылки!$I220,),0))</f>
        <v>0</v>
      </c>
      <c s="125">
        <f>Y274*(1+IFERROR(INDEX(Y$10:Y$11,Предпосылки!$I220,),0))</f>
        <v>0</v>
      </c>
      <c s="125">
        <f>Z274*(1+IFERROR(INDEX(Z$10:Z$11,Предпосылки!$I220,),0))</f>
        <v>0</v>
      </c>
      <c s="125">
        <f>AA274*(1+IFERROR(INDEX(AA$10:AA$11,Предпосылки!$I220,),0))</f>
        <v>0</v>
      </c>
      <c s="125">
        <f>AB274*(1+IFERROR(INDEX(AB$10:AB$11,Предпосылки!$I220,),0))</f>
        <v>0</v>
      </c>
      <c s="125">
        <f>AC274*(1+IFERROR(INDEX(AC$10:AC$11,Предпосылки!$I220,),0))</f>
        <v>0</v>
      </c>
      <c s="125">
        <f>AD274*(1+IFERROR(INDEX(AD$10:AD$11,Предпосылки!$I220,),0))</f>
        <v>0</v>
      </c>
      <c s="125">
        <f>AE274*(1+IFERROR(INDEX(AE$10:AE$11,Предпосылки!$I220,),0))</f>
        <v>0</v>
      </c>
      <c s="125">
        <f>AF274*(1+IFERROR(INDEX(AF$10:AF$11,Предпосылки!$I220,),0))</f>
        <v>0</v>
      </c>
      <c s="125">
        <f>AG274*(1+IFERROR(INDEX(AG$10:AG$11,Предпосылки!$I220,),0))</f>
        <v>0</v>
      </c>
      <c s="125">
        <f>AH274*(1+IFERROR(INDEX(AH$10:AH$11,Предпосылки!$I220,),0))</f>
        <v>0</v>
      </c>
      <c s="125">
        <f>AI274*(1+IFERROR(INDEX(AI$10:AI$11,Предпосылки!$I220,),0))</f>
        <v>0</v>
      </c>
      <c s="125">
        <f>AJ274*(1+IFERROR(INDEX(AJ$10:AJ$11,Предпосылки!$I220,),0))</f>
        <v>0</v>
      </c>
      <c s="125">
        <f>AK274*(1+IFERROR(INDEX(AK$10:AK$11,Предпосылки!$I220,),0))</f>
        <v>0</v>
      </c>
      <c s="125">
        <f>AL274*(1+IFERROR(INDEX(AL$10:AL$11,Предпосылки!$I220,),0))</f>
        <v>0</v>
      </c>
      <c s="125">
        <f>AM274*(1+IFERROR(INDEX(AM$10:AM$11,Предпосылки!$I220,),0))</f>
        <v>0</v>
      </c>
      <c s="125">
        <f>AN274*(1+IFERROR(INDEX(AN$10:AN$11,Предпосылки!$I220,),0))</f>
        <v>0</v>
      </c>
      <c s="125">
        <f>AO274*(1+IFERROR(INDEX(AO$10:AO$11,Предпосылки!$I220,),0))</f>
        <v>0</v>
      </c>
      <c s="125">
        <f>AP274*(1+IFERROR(INDEX(AP$10:AP$11,Предпосылки!$I220,),0))</f>
        <v>0</v>
      </c>
      <c s="125">
        <f>AQ274*(1+IFERROR(INDEX(AQ$10:AQ$11,Предпосылки!$I220,),0))</f>
        <v>0</v>
      </c>
      <c s="125">
        <f>AR274*(1+IFERROR(INDEX(AR$10:AR$11,Предпосылки!$I220,),0))</f>
        <v>0</v>
      </c>
      <c s="125">
        <f>AS274*(1+IFERROR(INDEX(AS$10:AS$11,Предпосылки!$I220,),0))</f>
        <v>0</v>
      </c>
      <c s="125">
        <f>AT274*(1+IFERROR(INDEX(AT$10:AT$11,Предпосылки!$I220,),0))</f>
        <v>0</v>
      </c>
      <c s="125">
        <f>AU274*(1+IFERROR(INDEX(AU$10:AU$11,Предпосылки!$I220,),0))</f>
        <v>0</v>
      </c>
      <c s="125">
        <f>AV274*(1+IFERROR(INDEX(AV$10:AV$11,Предпосылки!$I220,),0))</f>
        <v>0</v>
      </c>
      <c s="125">
        <f>AW274*(1+IFERROR(INDEX(AW$10:AW$11,Предпосылки!$I220,),0))</f>
        <v>0</v>
      </c>
      <c s="125">
        <f>AX274*(1+IFERROR(INDEX(AX$10:AX$11,Предпосылки!$I220,),0))</f>
        <v>0</v>
      </c>
      <c s="125">
        <f>AY274*(1+IFERROR(INDEX(AY$10:AY$11,Предпосылки!$I220,),0))</f>
        <v>0</v>
      </c>
      <c s="125">
        <f>AZ274*(1+IFERROR(INDEX(AZ$10:AZ$11,Предпосылки!$I220,),0))</f>
        <v>0</v>
      </c>
      <c s="125">
        <f>BA274*(1+IFERROR(INDEX(BA$10:BA$11,Предпосылки!$I220,),0))</f>
        <v>0</v>
      </c>
      <c s="125">
        <f>BB274*(1+IFERROR(INDEX(BB$10:BB$11,Предпосылки!$I220,),0))</f>
        <v>0</v>
      </c>
      <c s="125">
        <f>BC274*(1+IFERROR(INDEX(BC$10:BC$11,Предпосылки!$I220,),0))</f>
        <v>0</v>
      </c>
      <c s="125">
        <f>BD274*(1+IFERROR(INDEX(BD$10:BD$11,Предпосылки!$I220,),0))</f>
        <v>0</v>
      </c>
      <c s="125">
        <f>BE274*(1+IFERROR(INDEX(BE$10:BE$11,Предпосылки!$I220,),0))</f>
        <v>0</v>
      </c>
      <c s="125">
        <f>BF274*(1+IFERROR(INDEX(BF$10:BF$11,Предпосылки!$I220,),0))</f>
        <v>0</v>
      </c>
      <c s="125">
        <f>BG274*(1+IFERROR(INDEX(BG$10:BG$11,Предпосылки!$I220,),0))</f>
        <v>0</v>
      </c>
      <c s="125">
        <f>BH274*(1+IFERROR(INDEX(BH$10:BH$11,Предпосылки!$I220,),0))</f>
        <v>0</v>
      </c>
      <c s="125">
        <f>BI274*(1+IFERROR(INDEX(BI$10:BI$11,Предпосылки!$I220,),0))</f>
        <v>0</v>
      </c>
      <c s="125">
        <f>BJ274*(1+IFERROR(INDEX(BJ$10:BJ$11,Предпосылки!$I220,),0))</f>
        <v>0</v>
      </c>
      <c s="125">
        <f>BK274*(1+IFERROR(INDEX(BK$10:BK$11,Предпосылки!$I220,),0))</f>
        <v>0</v>
      </c>
      <c s="125">
        <f>BL274*(1+IFERROR(INDEX(BL$10:BL$11,Предпосылки!$I220,),0))</f>
        <v>0</v>
      </c>
      <c s="125">
        <f>BM274*(1+IFERROR(INDEX(BM$10:BM$11,Предпосылки!$I220,),0))</f>
        <v>0</v>
      </c>
    </row>
    <row r="323" spans="2:65" ht="15" customHeight="1">
      <c r="B323" s="289" t="s">
        <v>454</v>
      </c>
      <c s="290" t="str">
        <f t="shared" si="258"/>
        <v>тыс. руб.</v>
      </c>
      <c s="276"/>
      <c s="276">
        <f>SUM(E303:E322)</f>
        <v>0</v>
      </c>
      <c s="276">
        <f t="shared" si="259" ref="F323:AG323">SUM(F303:F322)</f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59"/>
        <v>0</v>
      </c>
      <c s="276">
        <f t="shared" si="260" ref="AH323:BM323">SUM(AH303:AH322)</f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  <c s="276">
        <f t="shared" si="260"/>
        <v>0</v>
      </c>
    </row>
    <row r="324" ht="15" customHeight="1"/>
    <row r="325" spans="2:71" ht="21">
      <c r="B325" s="23" t="s">
        <v>903</v>
      </c>
      <c r="D32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26" spans="2:2" ht="15" customHeight="1">
      <c r="B326" s="24" t="s">
        <v>827</v>
      </c>
    </row>
    <row r="327" spans="2:65" ht="15" customHeight="1">
      <c r="B327" s="12" t="str">
        <f>IF(ISBLANK(Предпосылки!B278),"-",Предпосылки!B278)</f>
        <v>Комиссионное вознаграждение за банк. гарантию</v>
      </c>
      <c s="124" t="str">
        <f t="shared" si="261" ref="C327:C352">Единица_измерения</f>
        <v>тыс. руб.</v>
      </c>
      <c s="125"/>
      <c s="125">
        <f>IF(Предпосылки!$H278&gt;0,D411,E355*(Предпосылки!$H278/(E$8+1-E$7)))</f>
        <v>0</v>
      </c>
      <c s="125">
        <f ca="1">IF(Предпосылки!$H278&gt;0,E411,F355*(Предпосылки!$H278/(F$8+1-F$7)))</f>
        <v>0</v>
      </c>
      <c s="125">
        <f ca="1">IF(Предпосылки!$H278&gt;0,F411,G355*(Предпосылки!$H278/(G$8+1-G$7)))</f>
        <v>0</v>
      </c>
      <c s="125">
        <f ca="1">IF(Предпосылки!$H278&gt;0,G411,H355*(Предпосылки!$H278/(H$8+1-H$7)))</f>
        <v>0</v>
      </c>
      <c s="125">
        <f ca="1">IF(Предпосылки!$H278&gt;0,H411,I355*(Предпосылки!$H278/(I$8+1-I$7)))</f>
        <v>0</v>
      </c>
      <c s="125">
        <f ca="1">IF(Предпосылки!$H278&gt;0,I411,J355*(Предпосылки!$H278/(J$8+1-J$7)))</f>
        <v>0</v>
      </c>
      <c s="125">
        <f ca="1">IF(Предпосылки!$H278&gt;0,J411,K355*(Предпосылки!$H278/(K$8+1-K$7)))</f>
        <v>0</v>
      </c>
      <c s="125">
        <f ca="1">IF(Предпосылки!$H278&gt;0,K411,L355*(Предпосылки!$H278/(L$8+1-L$7)))</f>
        <v>0</v>
      </c>
      <c s="125">
        <f ca="1">IF(Предпосылки!$H278&gt;0,L411,M355*(Предпосылки!$H278/(M$8+1-M$7)))</f>
        <v>0</v>
      </c>
      <c s="125">
        <f ca="1">IF(Предпосылки!$H278&gt;0,M411,N355*(Предпосылки!$H278/(N$8+1-N$7)))</f>
        <v>0</v>
      </c>
      <c s="125">
        <f ca="1">IF(Предпосылки!$H278&gt;0,N411,O355*(Предпосылки!$H278/(O$8+1-O$7)))</f>
        <v>0</v>
      </c>
      <c s="125">
        <f ca="1">IF(Предпосылки!$H278&gt;0,O411,P355*(Предпосылки!$H278/(P$8+1-P$7)))</f>
        <v>0</v>
      </c>
      <c s="125">
        <f ca="1">IF(Предпосылки!$H278&gt;0,P411,Q355*(Предпосылки!$H278/(Q$8+1-Q$7)))</f>
        <v>0</v>
      </c>
      <c s="125">
        <f ca="1">IF(Предпосылки!$H278&gt;0,Q411,R355*(Предпосылки!$H278/(R$8+1-R$7)))</f>
        <v>0</v>
      </c>
      <c s="125">
        <f ca="1">IF(Предпосылки!$H278&gt;0,R411,S355*(Предпосылки!$H278/(S$8+1-S$7)))</f>
        <v>0</v>
      </c>
      <c s="125">
        <f ca="1">IF(Предпосылки!$H278&gt;0,S411,T355*(Предпосылки!$H278/(T$8+1-T$7)))</f>
        <v>0</v>
      </c>
      <c s="125">
        <f ca="1">IF(Предпосылки!$H278&gt;0,T411,U355*(Предпосылки!$H278/(U$8+1-U$7)))</f>
        <v>0</v>
      </c>
      <c s="125">
        <f ca="1">IF(Предпосылки!$H278&gt;0,U411,V355*(Предпосылки!$H278/(V$8+1-V$7)))</f>
        <v>0</v>
      </c>
      <c s="125">
        <f ca="1">IF(Предпосылки!$H278&gt;0,V411,W355*(Предпосылки!$H278/(W$8+1-W$7)))</f>
        <v>0</v>
      </c>
      <c s="125">
        <f ca="1">IF(Предпосылки!$H278&gt;0,W411,X355*(Предпосылки!$H278/(X$8+1-X$7)))</f>
        <v>0</v>
      </c>
      <c s="125">
        <f ca="1">IF(Предпосылки!$H278&gt;0,X411,Y355*(Предпосылки!$H278/(Y$8+1-Y$7)))</f>
        <v>0</v>
      </c>
      <c s="125">
        <f ca="1">IF(Предпосылки!$H278&gt;0,Y411,Z355*(Предпосылки!$H278/(Z$8+1-Z$7)))</f>
        <v>0</v>
      </c>
      <c s="125">
        <f ca="1">IF(Предпосылки!$H278&gt;0,Z411,AA355*(Предпосылки!$H278/(AA$8+1-AA$7)))</f>
        <v>0</v>
      </c>
      <c s="125">
        <f ca="1">IF(Предпосылки!$H278&gt;0,AA411,AB355*(Предпосылки!$H278/(AB$8+1-AB$7)))</f>
        <v>0</v>
      </c>
      <c s="125">
        <f ca="1">IF(Предпосылки!$H278&gt;0,AB411,AC355*(Предпосылки!$H278/(AC$8+1-AC$7)))</f>
        <v>0</v>
      </c>
      <c s="125">
        <f ca="1">IF(Предпосылки!$H278&gt;0,AC411,AD355*(Предпосылки!$H278/(AD$8+1-AD$7)))</f>
        <v>0</v>
      </c>
      <c s="125">
        <f ca="1">IF(Предпосылки!$H278&gt;0,AD411,AE355*(Предпосылки!$H278/(AE$8+1-AE$7)))</f>
        <v>0</v>
      </c>
      <c s="125">
        <f ca="1">IF(Предпосылки!$H278&gt;0,AE411,AF355*(Предпосылки!$H278/(AF$8+1-AF$7)))</f>
        <v>0</v>
      </c>
      <c s="125">
        <f ca="1">IF(Предпосылки!$H278&gt;0,AF411,AG355*(Предпосылки!$H278/(AG$8+1-AG$7)))</f>
        <v>0</v>
      </c>
      <c s="125">
        <f ca="1">IF(Предпосылки!$H278&gt;0,AG411,AH355*(Предпосылки!$H278/(AH$8+1-AH$7)))</f>
        <v>0</v>
      </c>
      <c s="125">
        <f ca="1">IF(Предпосылки!$H278&gt;0,AH411,AI355*(Предпосылки!$H278/(AI$8+1-AI$7)))</f>
        <v>0</v>
      </c>
      <c s="125">
        <f ca="1">IF(Предпосылки!$H278&gt;0,AI411,AJ355*(Предпосылки!$H278/(AJ$8+1-AJ$7)))</f>
        <v>0</v>
      </c>
      <c s="125">
        <f ca="1">IF(Предпосылки!$H278&gt;0,AJ411,AK355*(Предпосылки!$H278/(AK$8+1-AK$7)))</f>
        <v>0</v>
      </c>
      <c s="125">
        <f ca="1">IF(Предпосылки!$H278&gt;0,AK411,AL355*(Предпосылки!$H278/(AL$8+1-AL$7)))</f>
        <v>0</v>
      </c>
      <c s="125">
        <f ca="1">IF(Предпосылки!$H278&gt;0,AL411,AM355*(Предпосылки!$H278/(AM$8+1-AM$7)))</f>
        <v>0</v>
      </c>
      <c s="125">
        <f ca="1">IF(Предпосылки!$H278&gt;0,AM411,AN355*(Предпосылки!$H278/(AN$8+1-AN$7)))</f>
        <v>0</v>
      </c>
      <c s="125">
        <f ca="1">IF(Предпосылки!$H278&gt;0,AN411,AO355*(Предпосылки!$H278/(AO$8+1-AO$7)))</f>
        <v>0</v>
      </c>
      <c s="125">
        <f ca="1">IF(Предпосылки!$H278&gt;0,AO411,AP355*(Предпосылки!$H278/(AP$8+1-AP$7)))</f>
        <v>0</v>
      </c>
      <c s="125">
        <f ca="1">IF(Предпосылки!$H278&gt;0,AP411,AQ355*(Предпосылки!$H278/(AQ$8+1-AQ$7)))</f>
        <v>0</v>
      </c>
      <c s="125">
        <f ca="1">IF(Предпосылки!$H278&gt;0,AQ411,AR355*(Предпосылки!$H278/(AR$8+1-AR$7)))</f>
        <v>0</v>
      </c>
      <c s="125">
        <f ca="1">IF(Предпосылки!$H278&gt;0,AR411,AS355*(Предпосылки!$H278/(AS$8+1-AS$7)))</f>
        <v>0</v>
      </c>
      <c s="125">
        <f ca="1">IF(Предпосылки!$H278&gt;0,AS411,AT355*(Предпосылки!$H278/(AT$8+1-AT$7)))</f>
        <v>0</v>
      </c>
      <c s="125">
        <f ca="1">IF(Предпосылки!$H278&gt;0,AT411,AU355*(Предпосылки!$H278/(AU$8+1-AU$7)))</f>
        <v>0</v>
      </c>
      <c s="125">
        <f ca="1">IF(Предпосылки!$H278&gt;0,AU411,AV355*(Предпосылки!$H278/(AV$8+1-AV$7)))</f>
        <v>0</v>
      </c>
      <c s="125">
        <f ca="1">IF(Предпосылки!$H278&gt;0,AV411,AW355*(Предпосылки!$H278/(AW$8+1-AW$7)))</f>
        <v>0</v>
      </c>
      <c s="125">
        <f ca="1">IF(Предпосылки!$H278&gt;0,AW411,AX355*(Предпосылки!$H278/(AX$8+1-AX$7)))</f>
        <v>0</v>
      </c>
      <c s="125">
        <f ca="1">IF(Предпосылки!$H278&gt;0,AX411,AY355*(Предпосылки!$H278/(AY$8+1-AY$7)))</f>
        <v>0</v>
      </c>
      <c s="125">
        <f ca="1">IF(Предпосылки!$H278&gt;0,AY411,AZ355*(Предпосылки!$H278/(AZ$8+1-AZ$7)))</f>
        <v>0</v>
      </c>
      <c s="125">
        <f ca="1">IF(Предпосылки!$H278&gt;0,AZ411,BA355*(Предпосылки!$H278/(BA$8+1-BA$7)))</f>
        <v>0</v>
      </c>
      <c s="125">
        <f ca="1">IF(Предпосылки!$H278&gt;0,BA411,BB355*(Предпосылки!$H278/(BB$8+1-BB$7)))</f>
        <v>0</v>
      </c>
      <c s="125">
        <f ca="1">IF(Предпосылки!$H278&gt;0,BB411,BC355*(Предпосылки!$H278/(BC$8+1-BC$7)))</f>
        <v>0</v>
      </c>
      <c s="125">
        <f ca="1">IF(Предпосылки!$H278&gt;0,BC411,BD355*(Предпосылки!$H278/(BD$8+1-BD$7)))</f>
        <v>0</v>
      </c>
      <c s="125">
        <f ca="1">IF(Предпосылки!$H278&gt;0,BD411,BE355*(Предпосылки!$H278/(BE$8+1-BE$7)))</f>
        <v>0</v>
      </c>
      <c s="125">
        <f ca="1">IF(Предпосылки!$H278&gt;0,BE411,BF355*(Предпосылки!$H278/(BF$8+1-BF$7)))</f>
        <v>0</v>
      </c>
      <c s="125">
        <f ca="1">IF(Предпосылки!$H278&gt;0,BF411,BG355*(Предпосылки!$H278/(BG$8+1-BG$7)))</f>
        <v>0</v>
      </c>
      <c s="125">
        <f ca="1">IF(Предпосылки!$H278&gt;0,BG411,BH355*(Предпосылки!$H278/(BH$8+1-BH$7)))</f>
        <v>0</v>
      </c>
      <c s="125">
        <f ca="1">IF(Предпосылки!$H278&gt;0,BH411,BI355*(Предпосылки!$H278/(BI$8+1-BI$7)))</f>
        <v>0</v>
      </c>
      <c s="125">
        <f ca="1">IF(Предпосылки!$H278&gt;0,BI411,BJ355*(Предпосылки!$H278/(BJ$8+1-BJ$7)))</f>
        <v>0</v>
      </c>
      <c s="125">
        <f ca="1">IF(Предпосылки!$H278&gt;0,BJ411,BK355*(Предпосылки!$H278/(BK$8+1-BK$7)))</f>
        <v>0</v>
      </c>
      <c s="125">
        <f ca="1">IF(Предпосылки!$H278&gt;0,BK411,BL355*(Предпосылки!$H278/(BL$8+1-BL$7)))</f>
        <v>0</v>
      </c>
      <c s="125">
        <f ca="1">IF(Предпосылки!$H278&gt;0,BL411,BM355*(Предпосылки!$H278/(BM$8+1-BM$7)))</f>
        <v>0</v>
      </c>
    </row>
    <row r="328" spans="2:65" ht="15" customHeight="1">
      <c r="B328" s="12" t="str">
        <f>IF(ISBLANK(Предпосылки!B279),"-",Предпосылки!B279)</f>
        <v>-</v>
      </c>
      <c s="124" t="str">
        <f t="shared" si="261"/>
        <v>тыс. руб.</v>
      </c>
      <c s="125"/>
      <c s="125">
        <f>IF(Предпосылки!$H279&gt;0,D412,E356*(Предпосылки!$H279/(E$8+1-E$7)))</f>
        <v>0</v>
      </c>
      <c s="125">
        <f>IF(Предпосылки!$H279&gt;0,E412,F356*(Предпосылки!$H279/(F$8+1-F$7)))</f>
        <v>0</v>
      </c>
      <c s="125">
        <f>IF(Предпосылки!$H279&gt;0,F412,G356*(Предпосылки!$H279/(G$8+1-G$7)))</f>
        <v>0</v>
      </c>
      <c s="125">
        <f>IF(Предпосылки!$H279&gt;0,G412,H356*(Предпосылки!$H279/(H$8+1-H$7)))</f>
        <v>0</v>
      </c>
      <c s="125">
        <f>IF(Предпосылки!$H279&gt;0,H412,I356*(Предпосылки!$H279/(I$8+1-I$7)))</f>
        <v>0</v>
      </c>
      <c s="125">
        <f>IF(Предпосылки!$H279&gt;0,I412,J356*(Предпосылки!$H279/(J$8+1-J$7)))</f>
        <v>0</v>
      </c>
      <c s="125">
        <f>IF(Предпосылки!$H279&gt;0,J412,K356*(Предпосылки!$H279/(K$8+1-K$7)))</f>
        <v>0</v>
      </c>
      <c s="125">
        <f>IF(Предпосылки!$H279&gt;0,K412,L356*(Предпосылки!$H279/(L$8+1-L$7)))</f>
        <v>0</v>
      </c>
      <c s="125">
        <f>IF(Предпосылки!$H279&gt;0,L412,M356*(Предпосылки!$H279/(M$8+1-M$7)))</f>
        <v>0</v>
      </c>
      <c s="125">
        <f>IF(Предпосылки!$H279&gt;0,M412,N356*(Предпосылки!$H279/(N$8+1-N$7)))</f>
        <v>0</v>
      </c>
      <c s="125">
        <f>IF(Предпосылки!$H279&gt;0,N412,O356*(Предпосылки!$H279/(O$8+1-O$7)))</f>
        <v>0</v>
      </c>
      <c s="125">
        <f>IF(Предпосылки!$H279&gt;0,O412,P356*(Предпосылки!$H279/(P$8+1-P$7)))</f>
        <v>0</v>
      </c>
      <c s="125">
        <f>IF(Предпосылки!$H279&gt;0,P412,Q356*(Предпосылки!$H279/(Q$8+1-Q$7)))</f>
        <v>0</v>
      </c>
      <c s="125">
        <f>IF(Предпосылки!$H279&gt;0,Q412,R356*(Предпосылки!$H279/(R$8+1-R$7)))</f>
        <v>0</v>
      </c>
      <c s="125">
        <f>IF(Предпосылки!$H279&gt;0,R412,S356*(Предпосылки!$H279/(S$8+1-S$7)))</f>
        <v>0</v>
      </c>
      <c s="125">
        <f>IF(Предпосылки!$H279&gt;0,S412,T356*(Предпосылки!$H279/(T$8+1-T$7)))</f>
        <v>0</v>
      </c>
      <c s="125">
        <f>IF(Предпосылки!$H279&gt;0,T412,U356*(Предпосылки!$H279/(U$8+1-U$7)))</f>
        <v>0</v>
      </c>
      <c s="125">
        <f>IF(Предпосылки!$H279&gt;0,U412,V356*(Предпосылки!$H279/(V$8+1-V$7)))</f>
        <v>0</v>
      </c>
      <c s="125">
        <f>IF(Предпосылки!$H279&gt;0,V412,W356*(Предпосылки!$H279/(W$8+1-W$7)))</f>
        <v>0</v>
      </c>
      <c s="125">
        <f>IF(Предпосылки!$H279&gt;0,W412,X356*(Предпосылки!$H279/(X$8+1-X$7)))</f>
        <v>0</v>
      </c>
      <c s="125">
        <f>IF(Предпосылки!$H279&gt;0,X412,Y356*(Предпосылки!$H279/(Y$8+1-Y$7)))</f>
        <v>0</v>
      </c>
      <c s="125">
        <f>IF(Предпосылки!$H279&gt;0,Y412,Z356*(Предпосылки!$H279/(Z$8+1-Z$7)))</f>
        <v>0</v>
      </c>
      <c s="125">
        <f>IF(Предпосылки!$H279&gt;0,Z412,AA356*(Предпосылки!$H279/(AA$8+1-AA$7)))</f>
        <v>0</v>
      </c>
      <c s="125">
        <f>IF(Предпосылки!$H279&gt;0,AA412,AB356*(Предпосылки!$H279/(AB$8+1-AB$7)))</f>
        <v>0</v>
      </c>
      <c s="125">
        <f>IF(Предпосылки!$H279&gt;0,AB412,AC356*(Предпосылки!$H279/(AC$8+1-AC$7)))</f>
        <v>0</v>
      </c>
      <c s="125">
        <f>IF(Предпосылки!$H279&gt;0,AC412,AD356*(Предпосылки!$H279/(AD$8+1-AD$7)))</f>
        <v>0</v>
      </c>
      <c s="125">
        <f>IF(Предпосылки!$H279&gt;0,AD412,AE356*(Предпосылки!$H279/(AE$8+1-AE$7)))</f>
        <v>0</v>
      </c>
      <c s="125">
        <f>IF(Предпосылки!$H279&gt;0,AE412,AF356*(Предпосылки!$H279/(AF$8+1-AF$7)))</f>
        <v>0</v>
      </c>
      <c s="125">
        <f>IF(Предпосылки!$H279&gt;0,AF412,AG356*(Предпосылки!$H279/(AG$8+1-AG$7)))</f>
        <v>0</v>
      </c>
      <c s="125">
        <f>IF(Предпосылки!$H279&gt;0,AG412,AH356*(Предпосылки!$H279/(AH$8+1-AH$7)))</f>
        <v>0</v>
      </c>
      <c s="125">
        <f>IF(Предпосылки!$H279&gt;0,AH412,AI356*(Предпосылки!$H279/(AI$8+1-AI$7)))</f>
        <v>0</v>
      </c>
      <c s="125">
        <f>IF(Предпосылки!$H279&gt;0,AI412,AJ356*(Предпосылки!$H279/(AJ$8+1-AJ$7)))</f>
        <v>0</v>
      </c>
      <c s="125">
        <f>IF(Предпосылки!$H279&gt;0,AJ412,AK356*(Предпосылки!$H279/(AK$8+1-AK$7)))</f>
        <v>0</v>
      </c>
      <c s="125">
        <f>IF(Предпосылки!$H279&gt;0,AK412,AL356*(Предпосылки!$H279/(AL$8+1-AL$7)))</f>
        <v>0</v>
      </c>
      <c s="125">
        <f>IF(Предпосылки!$H279&gt;0,AL412,AM356*(Предпосылки!$H279/(AM$8+1-AM$7)))</f>
        <v>0</v>
      </c>
      <c s="125">
        <f>IF(Предпосылки!$H279&gt;0,AM412,AN356*(Предпосылки!$H279/(AN$8+1-AN$7)))</f>
        <v>0</v>
      </c>
      <c s="125">
        <f>IF(Предпосылки!$H279&gt;0,AN412,AO356*(Предпосылки!$H279/(AO$8+1-AO$7)))</f>
        <v>0</v>
      </c>
      <c s="125">
        <f>IF(Предпосылки!$H279&gt;0,AO412,AP356*(Предпосылки!$H279/(AP$8+1-AP$7)))</f>
        <v>0</v>
      </c>
      <c s="125">
        <f>IF(Предпосылки!$H279&gt;0,AP412,AQ356*(Предпосылки!$H279/(AQ$8+1-AQ$7)))</f>
        <v>0</v>
      </c>
      <c s="125">
        <f>IF(Предпосылки!$H279&gt;0,AQ412,AR356*(Предпосылки!$H279/(AR$8+1-AR$7)))</f>
        <v>0</v>
      </c>
      <c s="125">
        <f>IF(Предпосылки!$H279&gt;0,AR412,AS356*(Предпосылки!$H279/(AS$8+1-AS$7)))</f>
        <v>0</v>
      </c>
      <c s="125">
        <f>IF(Предпосылки!$H279&gt;0,AS412,AT356*(Предпосылки!$H279/(AT$8+1-AT$7)))</f>
        <v>0</v>
      </c>
      <c s="125">
        <f>IF(Предпосылки!$H279&gt;0,AT412,AU356*(Предпосылки!$H279/(AU$8+1-AU$7)))</f>
        <v>0</v>
      </c>
      <c s="125">
        <f>IF(Предпосылки!$H279&gt;0,AU412,AV356*(Предпосылки!$H279/(AV$8+1-AV$7)))</f>
        <v>0</v>
      </c>
      <c s="125">
        <f>IF(Предпосылки!$H279&gt;0,AV412,AW356*(Предпосылки!$H279/(AW$8+1-AW$7)))</f>
        <v>0</v>
      </c>
      <c s="125">
        <f>IF(Предпосылки!$H279&gt;0,AW412,AX356*(Предпосылки!$H279/(AX$8+1-AX$7)))</f>
        <v>0</v>
      </c>
      <c s="125">
        <f>IF(Предпосылки!$H279&gt;0,AX412,AY356*(Предпосылки!$H279/(AY$8+1-AY$7)))</f>
        <v>0</v>
      </c>
      <c s="125">
        <f>IF(Предпосылки!$H279&gt;0,AY412,AZ356*(Предпосылки!$H279/(AZ$8+1-AZ$7)))</f>
        <v>0</v>
      </c>
      <c s="125">
        <f>IF(Предпосылки!$H279&gt;0,AZ412,BA356*(Предпосылки!$H279/(BA$8+1-BA$7)))</f>
        <v>0</v>
      </c>
      <c s="125">
        <f>IF(Предпосылки!$H279&gt;0,BA412,BB356*(Предпосылки!$H279/(BB$8+1-BB$7)))</f>
        <v>0</v>
      </c>
      <c s="125">
        <f>IF(Предпосылки!$H279&gt;0,BB412,BC356*(Предпосылки!$H279/(BC$8+1-BC$7)))</f>
        <v>0</v>
      </c>
      <c s="125">
        <f>IF(Предпосылки!$H279&gt;0,BC412,BD356*(Предпосылки!$H279/(BD$8+1-BD$7)))</f>
        <v>0</v>
      </c>
      <c s="125">
        <f>IF(Предпосылки!$H279&gt;0,BD412,BE356*(Предпосылки!$H279/(BE$8+1-BE$7)))</f>
        <v>0</v>
      </c>
      <c s="125">
        <f>IF(Предпосылки!$H279&gt;0,BE412,BF356*(Предпосылки!$H279/(BF$8+1-BF$7)))</f>
        <v>0</v>
      </c>
      <c s="125">
        <f>IF(Предпосылки!$H279&gt;0,BF412,BG356*(Предпосылки!$H279/(BG$8+1-BG$7)))</f>
        <v>0</v>
      </c>
      <c s="125">
        <f>IF(Предпосылки!$H279&gt;0,BG412,BH356*(Предпосылки!$H279/(BH$8+1-BH$7)))</f>
        <v>0</v>
      </c>
      <c s="125">
        <f>IF(Предпосылки!$H279&gt;0,BH412,BI356*(Предпосылки!$H279/(BI$8+1-BI$7)))</f>
        <v>0</v>
      </c>
      <c s="125">
        <f>IF(Предпосылки!$H279&gt;0,BI412,BJ356*(Предпосылки!$H279/(BJ$8+1-BJ$7)))</f>
        <v>0</v>
      </c>
      <c s="125">
        <f>IF(Предпосылки!$H279&gt;0,BJ412,BK356*(Предпосылки!$H279/(BK$8+1-BK$7)))</f>
        <v>0</v>
      </c>
      <c s="125">
        <f>IF(Предпосылки!$H279&gt;0,BK412,BL356*(Предпосылки!$H279/(BL$8+1-BL$7)))</f>
        <v>0</v>
      </c>
      <c s="125">
        <f>IF(Предпосылки!$H279&gt;0,BL412,BM356*(Предпосылки!$H279/(BM$8+1-BM$7)))</f>
        <v>0</v>
      </c>
    </row>
    <row r="329" spans="2:65" ht="15" customHeight="1">
      <c r="B329" s="12" t="str">
        <f>IF(ISBLANK(Предпосылки!B280),"-",Предпосылки!B280)</f>
        <v>-</v>
      </c>
      <c s="124" t="str">
        <f t="shared" si="261"/>
        <v>тыс. руб.</v>
      </c>
      <c s="125"/>
      <c s="125">
        <f>IF(Предпосылки!$H280&gt;0,D413,E357*(Предпосылки!$H280/(E$8+1-E$7)))</f>
        <v>0</v>
      </c>
      <c s="125">
        <f>IF(Предпосылки!$H280&gt;0,E413,F357*(Предпосылки!$H280/(F$8+1-F$7)))</f>
        <v>0</v>
      </c>
      <c s="125">
        <f>IF(Предпосылки!$H280&gt;0,F413,G357*(Предпосылки!$H280/(G$8+1-G$7)))</f>
        <v>0</v>
      </c>
      <c s="125">
        <f>IF(Предпосылки!$H280&gt;0,G413,H357*(Предпосылки!$H280/(H$8+1-H$7)))</f>
        <v>0</v>
      </c>
      <c s="125">
        <f>IF(Предпосылки!$H280&gt;0,H413,I357*(Предпосылки!$H280/(I$8+1-I$7)))</f>
        <v>0</v>
      </c>
      <c s="125">
        <f>IF(Предпосылки!$H280&gt;0,I413,J357*(Предпосылки!$H280/(J$8+1-J$7)))</f>
        <v>0</v>
      </c>
      <c s="125">
        <f>IF(Предпосылки!$H280&gt;0,J413,K357*(Предпосылки!$H280/(K$8+1-K$7)))</f>
        <v>0</v>
      </c>
      <c s="125">
        <f>IF(Предпосылки!$H280&gt;0,K413,L357*(Предпосылки!$H280/(L$8+1-L$7)))</f>
        <v>0</v>
      </c>
      <c s="125">
        <f>IF(Предпосылки!$H280&gt;0,L413,M357*(Предпосылки!$H280/(M$8+1-M$7)))</f>
        <v>0</v>
      </c>
      <c s="125">
        <f>IF(Предпосылки!$H280&gt;0,M413,N357*(Предпосылки!$H280/(N$8+1-N$7)))</f>
        <v>0</v>
      </c>
      <c s="125">
        <f>IF(Предпосылки!$H280&gt;0,N413,O357*(Предпосылки!$H280/(O$8+1-O$7)))</f>
        <v>0</v>
      </c>
      <c s="125">
        <f>IF(Предпосылки!$H280&gt;0,O413,P357*(Предпосылки!$H280/(P$8+1-P$7)))</f>
        <v>0</v>
      </c>
      <c s="125">
        <f>IF(Предпосылки!$H280&gt;0,P413,Q357*(Предпосылки!$H280/(Q$8+1-Q$7)))</f>
        <v>0</v>
      </c>
      <c s="125">
        <f>IF(Предпосылки!$H280&gt;0,Q413,R357*(Предпосылки!$H280/(R$8+1-R$7)))</f>
        <v>0</v>
      </c>
      <c s="125">
        <f>IF(Предпосылки!$H280&gt;0,R413,S357*(Предпосылки!$H280/(S$8+1-S$7)))</f>
        <v>0</v>
      </c>
      <c s="125">
        <f>IF(Предпосылки!$H280&gt;0,S413,T357*(Предпосылки!$H280/(T$8+1-T$7)))</f>
        <v>0</v>
      </c>
      <c s="125">
        <f>IF(Предпосылки!$H280&gt;0,T413,U357*(Предпосылки!$H280/(U$8+1-U$7)))</f>
        <v>0</v>
      </c>
      <c s="125">
        <f>IF(Предпосылки!$H280&gt;0,U413,V357*(Предпосылки!$H280/(V$8+1-V$7)))</f>
        <v>0</v>
      </c>
      <c s="125">
        <f>IF(Предпосылки!$H280&gt;0,V413,W357*(Предпосылки!$H280/(W$8+1-W$7)))</f>
        <v>0</v>
      </c>
      <c s="125">
        <f>IF(Предпосылки!$H280&gt;0,W413,X357*(Предпосылки!$H280/(X$8+1-X$7)))</f>
        <v>0</v>
      </c>
      <c s="125">
        <f>IF(Предпосылки!$H280&gt;0,X413,Y357*(Предпосылки!$H280/(Y$8+1-Y$7)))</f>
        <v>0</v>
      </c>
      <c s="125">
        <f>IF(Предпосылки!$H280&gt;0,Y413,Z357*(Предпосылки!$H280/(Z$8+1-Z$7)))</f>
        <v>0</v>
      </c>
      <c s="125">
        <f>IF(Предпосылки!$H280&gt;0,Z413,AA357*(Предпосылки!$H280/(AA$8+1-AA$7)))</f>
        <v>0</v>
      </c>
      <c s="125">
        <f>IF(Предпосылки!$H280&gt;0,AA413,AB357*(Предпосылки!$H280/(AB$8+1-AB$7)))</f>
        <v>0</v>
      </c>
      <c s="125">
        <f>IF(Предпосылки!$H280&gt;0,AB413,AC357*(Предпосылки!$H280/(AC$8+1-AC$7)))</f>
        <v>0</v>
      </c>
      <c s="125">
        <f>IF(Предпосылки!$H280&gt;0,AC413,AD357*(Предпосылки!$H280/(AD$8+1-AD$7)))</f>
        <v>0</v>
      </c>
      <c s="125">
        <f>IF(Предпосылки!$H280&gt;0,AD413,AE357*(Предпосылки!$H280/(AE$8+1-AE$7)))</f>
        <v>0</v>
      </c>
      <c s="125">
        <f>IF(Предпосылки!$H280&gt;0,AE413,AF357*(Предпосылки!$H280/(AF$8+1-AF$7)))</f>
        <v>0</v>
      </c>
      <c s="125">
        <f>IF(Предпосылки!$H280&gt;0,AF413,AG357*(Предпосылки!$H280/(AG$8+1-AG$7)))</f>
        <v>0</v>
      </c>
      <c s="125">
        <f>IF(Предпосылки!$H280&gt;0,AG413,AH357*(Предпосылки!$H280/(AH$8+1-AH$7)))</f>
        <v>0</v>
      </c>
      <c s="125">
        <f>IF(Предпосылки!$H280&gt;0,AH413,AI357*(Предпосылки!$H280/(AI$8+1-AI$7)))</f>
        <v>0</v>
      </c>
      <c s="125">
        <f>IF(Предпосылки!$H280&gt;0,AI413,AJ357*(Предпосылки!$H280/(AJ$8+1-AJ$7)))</f>
        <v>0</v>
      </c>
      <c s="125">
        <f>IF(Предпосылки!$H280&gt;0,AJ413,AK357*(Предпосылки!$H280/(AK$8+1-AK$7)))</f>
        <v>0</v>
      </c>
      <c s="125">
        <f>IF(Предпосылки!$H280&gt;0,AK413,AL357*(Предпосылки!$H280/(AL$8+1-AL$7)))</f>
        <v>0</v>
      </c>
      <c s="125">
        <f>IF(Предпосылки!$H280&gt;0,AL413,AM357*(Предпосылки!$H280/(AM$8+1-AM$7)))</f>
        <v>0</v>
      </c>
      <c s="125">
        <f>IF(Предпосылки!$H280&gt;0,AM413,AN357*(Предпосылки!$H280/(AN$8+1-AN$7)))</f>
        <v>0</v>
      </c>
      <c s="125">
        <f>IF(Предпосылки!$H280&gt;0,AN413,AO357*(Предпосылки!$H280/(AO$8+1-AO$7)))</f>
        <v>0</v>
      </c>
      <c s="125">
        <f>IF(Предпосылки!$H280&gt;0,AO413,AP357*(Предпосылки!$H280/(AP$8+1-AP$7)))</f>
        <v>0</v>
      </c>
      <c s="125">
        <f>IF(Предпосылки!$H280&gt;0,AP413,AQ357*(Предпосылки!$H280/(AQ$8+1-AQ$7)))</f>
        <v>0</v>
      </c>
      <c s="125">
        <f>IF(Предпосылки!$H280&gt;0,AQ413,AR357*(Предпосылки!$H280/(AR$8+1-AR$7)))</f>
        <v>0</v>
      </c>
      <c s="125">
        <f>IF(Предпосылки!$H280&gt;0,AR413,AS357*(Предпосылки!$H280/(AS$8+1-AS$7)))</f>
        <v>0</v>
      </c>
      <c s="125">
        <f>IF(Предпосылки!$H280&gt;0,AS413,AT357*(Предпосылки!$H280/(AT$8+1-AT$7)))</f>
        <v>0</v>
      </c>
      <c s="125">
        <f>IF(Предпосылки!$H280&gt;0,AT413,AU357*(Предпосылки!$H280/(AU$8+1-AU$7)))</f>
        <v>0</v>
      </c>
      <c s="125">
        <f>IF(Предпосылки!$H280&gt;0,AU413,AV357*(Предпосылки!$H280/(AV$8+1-AV$7)))</f>
        <v>0</v>
      </c>
      <c s="125">
        <f>IF(Предпосылки!$H280&gt;0,AV413,AW357*(Предпосылки!$H280/(AW$8+1-AW$7)))</f>
        <v>0</v>
      </c>
      <c s="125">
        <f>IF(Предпосылки!$H280&gt;0,AW413,AX357*(Предпосылки!$H280/(AX$8+1-AX$7)))</f>
        <v>0</v>
      </c>
      <c s="125">
        <f>IF(Предпосылки!$H280&gt;0,AX413,AY357*(Предпосылки!$H280/(AY$8+1-AY$7)))</f>
        <v>0</v>
      </c>
      <c s="125">
        <f>IF(Предпосылки!$H280&gt;0,AY413,AZ357*(Предпосылки!$H280/(AZ$8+1-AZ$7)))</f>
        <v>0</v>
      </c>
      <c s="125">
        <f>IF(Предпосылки!$H280&gt;0,AZ413,BA357*(Предпосылки!$H280/(BA$8+1-BA$7)))</f>
        <v>0</v>
      </c>
      <c s="125">
        <f>IF(Предпосылки!$H280&gt;0,BA413,BB357*(Предпосылки!$H280/(BB$8+1-BB$7)))</f>
        <v>0</v>
      </c>
      <c s="125">
        <f>IF(Предпосылки!$H280&gt;0,BB413,BC357*(Предпосылки!$H280/(BC$8+1-BC$7)))</f>
        <v>0</v>
      </c>
      <c s="125">
        <f>IF(Предпосылки!$H280&gt;0,BC413,BD357*(Предпосылки!$H280/(BD$8+1-BD$7)))</f>
        <v>0</v>
      </c>
      <c s="125">
        <f>IF(Предпосылки!$H280&gt;0,BD413,BE357*(Предпосылки!$H280/(BE$8+1-BE$7)))</f>
        <v>0</v>
      </c>
      <c s="125">
        <f>IF(Предпосылки!$H280&gt;0,BE413,BF357*(Предпосылки!$H280/(BF$8+1-BF$7)))</f>
        <v>0</v>
      </c>
      <c s="125">
        <f>IF(Предпосылки!$H280&gt;0,BF413,BG357*(Предпосылки!$H280/(BG$8+1-BG$7)))</f>
        <v>0</v>
      </c>
      <c s="125">
        <f>IF(Предпосылки!$H280&gt;0,BG413,BH357*(Предпосылки!$H280/(BH$8+1-BH$7)))</f>
        <v>0</v>
      </c>
      <c s="125">
        <f>IF(Предпосылки!$H280&gt;0,BH413,BI357*(Предпосылки!$H280/(BI$8+1-BI$7)))</f>
        <v>0</v>
      </c>
      <c s="125">
        <f>IF(Предпосылки!$H280&gt;0,BI413,BJ357*(Предпосылки!$H280/(BJ$8+1-BJ$7)))</f>
        <v>0</v>
      </c>
      <c s="125">
        <f>IF(Предпосылки!$H280&gt;0,BJ413,BK357*(Предпосылки!$H280/(BK$8+1-BK$7)))</f>
        <v>0</v>
      </c>
      <c s="125">
        <f>IF(Предпосылки!$H280&gt;0,BK413,BL357*(Предпосылки!$H280/(BL$8+1-BL$7)))</f>
        <v>0</v>
      </c>
      <c s="125">
        <f>IF(Предпосылки!$H280&gt;0,BL413,BM357*(Предпосылки!$H280/(BM$8+1-BM$7)))</f>
        <v>0</v>
      </c>
    </row>
    <row r="330" spans="2:65" ht="15" customHeight="1">
      <c r="B330" s="12" t="str">
        <f>IF(ISBLANK(Предпосылки!B281),"-",Предпосылки!B281)</f>
        <v>-</v>
      </c>
      <c s="124" t="str">
        <f t="shared" si="261"/>
        <v>тыс. руб.</v>
      </c>
      <c s="125"/>
      <c s="125">
        <f>IF(Предпосылки!$H281&gt;0,D414,E358*(Предпосылки!$H281/(E$8+1-E$7)))</f>
        <v>0</v>
      </c>
      <c s="125">
        <f>IF(Предпосылки!$H281&gt;0,E414,F358*(Предпосылки!$H281/(F$8+1-F$7)))</f>
        <v>0</v>
      </c>
      <c s="125">
        <f>IF(Предпосылки!$H281&gt;0,F414,G358*(Предпосылки!$H281/(G$8+1-G$7)))</f>
        <v>0</v>
      </c>
      <c s="125">
        <f>IF(Предпосылки!$H281&gt;0,G414,H358*(Предпосылки!$H281/(H$8+1-H$7)))</f>
        <v>0</v>
      </c>
      <c s="125">
        <f>IF(Предпосылки!$H281&gt;0,H414,I358*(Предпосылки!$H281/(I$8+1-I$7)))</f>
        <v>0</v>
      </c>
      <c s="125">
        <f>IF(Предпосылки!$H281&gt;0,I414,J358*(Предпосылки!$H281/(J$8+1-J$7)))</f>
        <v>0</v>
      </c>
      <c s="125">
        <f>IF(Предпосылки!$H281&gt;0,J414,K358*(Предпосылки!$H281/(K$8+1-K$7)))</f>
        <v>0</v>
      </c>
      <c s="125">
        <f>IF(Предпосылки!$H281&gt;0,K414,L358*(Предпосылки!$H281/(L$8+1-L$7)))</f>
        <v>0</v>
      </c>
      <c s="125">
        <f>IF(Предпосылки!$H281&gt;0,L414,M358*(Предпосылки!$H281/(M$8+1-M$7)))</f>
        <v>0</v>
      </c>
      <c s="125">
        <f>IF(Предпосылки!$H281&gt;0,M414,N358*(Предпосылки!$H281/(N$8+1-N$7)))</f>
        <v>0</v>
      </c>
      <c s="125">
        <f>IF(Предпосылки!$H281&gt;0,N414,O358*(Предпосылки!$H281/(O$8+1-O$7)))</f>
        <v>0</v>
      </c>
      <c s="125">
        <f>IF(Предпосылки!$H281&gt;0,O414,P358*(Предпосылки!$H281/(P$8+1-P$7)))</f>
        <v>0</v>
      </c>
      <c s="125">
        <f>IF(Предпосылки!$H281&gt;0,P414,Q358*(Предпосылки!$H281/(Q$8+1-Q$7)))</f>
        <v>0</v>
      </c>
      <c s="125">
        <f>IF(Предпосылки!$H281&gt;0,Q414,R358*(Предпосылки!$H281/(R$8+1-R$7)))</f>
        <v>0</v>
      </c>
      <c s="125">
        <f>IF(Предпосылки!$H281&gt;0,R414,S358*(Предпосылки!$H281/(S$8+1-S$7)))</f>
        <v>0</v>
      </c>
      <c s="125">
        <f>IF(Предпосылки!$H281&gt;0,S414,T358*(Предпосылки!$H281/(T$8+1-T$7)))</f>
        <v>0</v>
      </c>
      <c s="125">
        <f>IF(Предпосылки!$H281&gt;0,T414,U358*(Предпосылки!$H281/(U$8+1-U$7)))</f>
        <v>0</v>
      </c>
      <c s="125">
        <f>IF(Предпосылки!$H281&gt;0,U414,V358*(Предпосылки!$H281/(V$8+1-V$7)))</f>
        <v>0</v>
      </c>
      <c s="125">
        <f>IF(Предпосылки!$H281&gt;0,V414,W358*(Предпосылки!$H281/(W$8+1-W$7)))</f>
        <v>0</v>
      </c>
      <c s="125">
        <f>IF(Предпосылки!$H281&gt;0,W414,X358*(Предпосылки!$H281/(X$8+1-X$7)))</f>
        <v>0</v>
      </c>
      <c s="125">
        <f>IF(Предпосылки!$H281&gt;0,X414,Y358*(Предпосылки!$H281/(Y$8+1-Y$7)))</f>
        <v>0</v>
      </c>
      <c s="125">
        <f>IF(Предпосылки!$H281&gt;0,Y414,Z358*(Предпосылки!$H281/(Z$8+1-Z$7)))</f>
        <v>0</v>
      </c>
      <c s="125">
        <f>IF(Предпосылки!$H281&gt;0,Z414,AA358*(Предпосылки!$H281/(AA$8+1-AA$7)))</f>
        <v>0</v>
      </c>
      <c s="125">
        <f>IF(Предпосылки!$H281&gt;0,AA414,AB358*(Предпосылки!$H281/(AB$8+1-AB$7)))</f>
        <v>0</v>
      </c>
      <c s="125">
        <f>IF(Предпосылки!$H281&gt;0,AB414,AC358*(Предпосылки!$H281/(AC$8+1-AC$7)))</f>
        <v>0</v>
      </c>
      <c s="125">
        <f>IF(Предпосылки!$H281&gt;0,AC414,AD358*(Предпосылки!$H281/(AD$8+1-AD$7)))</f>
        <v>0</v>
      </c>
      <c s="125">
        <f>IF(Предпосылки!$H281&gt;0,AD414,AE358*(Предпосылки!$H281/(AE$8+1-AE$7)))</f>
        <v>0</v>
      </c>
      <c s="125">
        <f>IF(Предпосылки!$H281&gt;0,AE414,AF358*(Предпосылки!$H281/(AF$8+1-AF$7)))</f>
        <v>0</v>
      </c>
      <c s="125">
        <f>IF(Предпосылки!$H281&gt;0,AF414,AG358*(Предпосылки!$H281/(AG$8+1-AG$7)))</f>
        <v>0</v>
      </c>
      <c s="125">
        <f>IF(Предпосылки!$H281&gt;0,AG414,AH358*(Предпосылки!$H281/(AH$8+1-AH$7)))</f>
        <v>0</v>
      </c>
      <c s="125">
        <f>IF(Предпосылки!$H281&gt;0,AH414,AI358*(Предпосылки!$H281/(AI$8+1-AI$7)))</f>
        <v>0</v>
      </c>
      <c s="125">
        <f>IF(Предпосылки!$H281&gt;0,AI414,AJ358*(Предпосылки!$H281/(AJ$8+1-AJ$7)))</f>
        <v>0</v>
      </c>
      <c s="125">
        <f>IF(Предпосылки!$H281&gt;0,AJ414,AK358*(Предпосылки!$H281/(AK$8+1-AK$7)))</f>
        <v>0</v>
      </c>
      <c s="125">
        <f>IF(Предпосылки!$H281&gt;0,AK414,AL358*(Предпосылки!$H281/(AL$8+1-AL$7)))</f>
        <v>0</v>
      </c>
      <c s="125">
        <f>IF(Предпосылки!$H281&gt;0,AL414,AM358*(Предпосылки!$H281/(AM$8+1-AM$7)))</f>
        <v>0</v>
      </c>
      <c s="125">
        <f>IF(Предпосылки!$H281&gt;0,AM414,AN358*(Предпосылки!$H281/(AN$8+1-AN$7)))</f>
        <v>0</v>
      </c>
      <c s="125">
        <f>IF(Предпосылки!$H281&gt;0,AN414,AO358*(Предпосылки!$H281/(AO$8+1-AO$7)))</f>
        <v>0</v>
      </c>
      <c s="125">
        <f>IF(Предпосылки!$H281&gt;0,AO414,AP358*(Предпосылки!$H281/(AP$8+1-AP$7)))</f>
        <v>0</v>
      </c>
      <c s="125">
        <f>IF(Предпосылки!$H281&gt;0,AP414,AQ358*(Предпосылки!$H281/(AQ$8+1-AQ$7)))</f>
        <v>0</v>
      </c>
      <c s="125">
        <f>IF(Предпосылки!$H281&gt;0,AQ414,AR358*(Предпосылки!$H281/(AR$8+1-AR$7)))</f>
        <v>0</v>
      </c>
      <c s="125">
        <f>IF(Предпосылки!$H281&gt;0,AR414,AS358*(Предпосылки!$H281/(AS$8+1-AS$7)))</f>
        <v>0</v>
      </c>
      <c s="125">
        <f>IF(Предпосылки!$H281&gt;0,AS414,AT358*(Предпосылки!$H281/(AT$8+1-AT$7)))</f>
        <v>0</v>
      </c>
      <c s="125">
        <f>IF(Предпосылки!$H281&gt;0,AT414,AU358*(Предпосылки!$H281/(AU$8+1-AU$7)))</f>
        <v>0</v>
      </c>
      <c s="125">
        <f>IF(Предпосылки!$H281&gt;0,AU414,AV358*(Предпосылки!$H281/(AV$8+1-AV$7)))</f>
        <v>0</v>
      </c>
      <c s="125">
        <f>IF(Предпосылки!$H281&gt;0,AV414,AW358*(Предпосылки!$H281/(AW$8+1-AW$7)))</f>
        <v>0</v>
      </c>
      <c s="125">
        <f>IF(Предпосылки!$H281&gt;0,AW414,AX358*(Предпосылки!$H281/(AX$8+1-AX$7)))</f>
        <v>0</v>
      </c>
      <c s="125">
        <f>IF(Предпосылки!$H281&gt;0,AX414,AY358*(Предпосылки!$H281/(AY$8+1-AY$7)))</f>
        <v>0</v>
      </c>
      <c s="125">
        <f>IF(Предпосылки!$H281&gt;0,AY414,AZ358*(Предпосылки!$H281/(AZ$8+1-AZ$7)))</f>
        <v>0</v>
      </c>
      <c s="125">
        <f>IF(Предпосылки!$H281&gt;0,AZ414,BA358*(Предпосылки!$H281/(BA$8+1-BA$7)))</f>
        <v>0</v>
      </c>
      <c s="125">
        <f>IF(Предпосылки!$H281&gt;0,BA414,BB358*(Предпосылки!$H281/(BB$8+1-BB$7)))</f>
        <v>0</v>
      </c>
      <c s="125">
        <f>IF(Предпосылки!$H281&gt;0,BB414,BC358*(Предпосылки!$H281/(BC$8+1-BC$7)))</f>
        <v>0</v>
      </c>
      <c s="125">
        <f>IF(Предпосылки!$H281&gt;0,BC414,BD358*(Предпосылки!$H281/(BD$8+1-BD$7)))</f>
        <v>0</v>
      </c>
      <c s="125">
        <f>IF(Предпосылки!$H281&gt;0,BD414,BE358*(Предпосылки!$H281/(BE$8+1-BE$7)))</f>
        <v>0</v>
      </c>
      <c s="125">
        <f>IF(Предпосылки!$H281&gt;0,BE414,BF358*(Предпосылки!$H281/(BF$8+1-BF$7)))</f>
        <v>0</v>
      </c>
      <c s="125">
        <f>IF(Предпосылки!$H281&gt;0,BF414,BG358*(Предпосылки!$H281/(BG$8+1-BG$7)))</f>
        <v>0</v>
      </c>
      <c s="125">
        <f>IF(Предпосылки!$H281&gt;0,BG414,BH358*(Предпосылки!$H281/(BH$8+1-BH$7)))</f>
        <v>0</v>
      </c>
      <c s="125">
        <f>IF(Предпосылки!$H281&gt;0,BH414,BI358*(Предпосылки!$H281/(BI$8+1-BI$7)))</f>
        <v>0</v>
      </c>
      <c s="125">
        <f>IF(Предпосылки!$H281&gt;0,BI414,BJ358*(Предпосылки!$H281/(BJ$8+1-BJ$7)))</f>
        <v>0</v>
      </c>
      <c s="125">
        <f>IF(Предпосылки!$H281&gt;0,BJ414,BK358*(Предпосылки!$H281/(BK$8+1-BK$7)))</f>
        <v>0</v>
      </c>
      <c s="125">
        <f>IF(Предпосылки!$H281&gt;0,BK414,BL358*(Предпосылки!$H281/(BL$8+1-BL$7)))</f>
        <v>0</v>
      </c>
      <c s="125">
        <f>IF(Предпосылки!$H281&gt;0,BL414,BM358*(Предпосылки!$H281/(BM$8+1-BM$7)))</f>
        <v>0</v>
      </c>
    </row>
    <row r="331" spans="2:65" ht="15" customHeight="1">
      <c r="B331" s="12" t="str">
        <f>IF(ISBLANK(Предпосылки!B282),"-",Предпосылки!B282)</f>
        <v>-</v>
      </c>
      <c s="124" t="str">
        <f t="shared" si="261"/>
        <v>тыс. руб.</v>
      </c>
      <c s="125"/>
      <c s="125">
        <f>IF(Предпосылки!$H282&gt;0,D415,E359*(Предпосылки!$H282/(E$8+1-E$7)))</f>
        <v>0</v>
      </c>
      <c s="125">
        <f>IF(Предпосылки!$H282&gt;0,E415,F359*(Предпосылки!$H282/(F$8+1-F$7)))</f>
        <v>0</v>
      </c>
      <c s="125">
        <f>IF(Предпосылки!$H282&gt;0,F415,G359*(Предпосылки!$H282/(G$8+1-G$7)))</f>
        <v>0</v>
      </c>
      <c s="125">
        <f>IF(Предпосылки!$H282&gt;0,G415,H359*(Предпосылки!$H282/(H$8+1-H$7)))</f>
        <v>0</v>
      </c>
      <c s="125">
        <f>IF(Предпосылки!$H282&gt;0,H415,I359*(Предпосылки!$H282/(I$8+1-I$7)))</f>
        <v>0</v>
      </c>
      <c s="125">
        <f>IF(Предпосылки!$H282&gt;0,I415,J359*(Предпосылки!$H282/(J$8+1-J$7)))</f>
        <v>0</v>
      </c>
      <c s="125">
        <f>IF(Предпосылки!$H282&gt;0,J415,K359*(Предпосылки!$H282/(K$8+1-K$7)))</f>
        <v>0</v>
      </c>
      <c s="125">
        <f>IF(Предпосылки!$H282&gt;0,K415,L359*(Предпосылки!$H282/(L$8+1-L$7)))</f>
        <v>0</v>
      </c>
      <c s="125">
        <f>IF(Предпосылки!$H282&gt;0,L415,M359*(Предпосылки!$H282/(M$8+1-M$7)))</f>
        <v>0</v>
      </c>
      <c s="125">
        <f>IF(Предпосылки!$H282&gt;0,M415,N359*(Предпосылки!$H282/(N$8+1-N$7)))</f>
        <v>0</v>
      </c>
      <c s="125">
        <f>IF(Предпосылки!$H282&gt;0,N415,O359*(Предпосылки!$H282/(O$8+1-O$7)))</f>
        <v>0</v>
      </c>
      <c s="125">
        <f>IF(Предпосылки!$H282&gt;0,O415,P359*(Предпосылки!$H282/(P$8+1-P$7)))</f>
        <v>0</v>
      </c>
      <c s="125">
        <f>IF(Предпосылки!$H282&gt;0,P415,Q359*(Предпосылки!$H282/(Q$8+1-Q$7)))</f>
        <v>0</v>
      </c>
      <c s="125">
        <f>IF(Предпосылки!$H282&gt;0,Q415,R359*(Предпосылки!$H282/(R$8+1-R$7)))</f>
        <v>0</v>
      </c>
      <c s="125">
        <f>IF(Предпосылки!$H282&gt;0,R415,S359*(Предпосылки!$H282/(S$8+1-S$7)))</f>
        <v>0</v>
      </c>
      <c s="125">
        <f>IF(Предпосылки!$H282&gt;0,S415,T359*(Предпосылки!$H282/(T$8+1-T$7)))</f>
        <v>0</v>
      </c>
      <c s="125">
        <f>IF(Предпосылки!$H282&gt;0,T415,U359*(Предпосылки!$H282/(U$8+1-U$7)))</f>
        <v>0</v>
      </c>
      <c s="125">
        <f>IF(Предпосылки!$H282&gt;0,U415,V359*(Предпосылки!$H282/(V$8+1-V$7)))</f>
        <v>0</v>
      </c>
      <c s="125">
        <f>IF(Предпосылки!$H282&gt;0,V415,W359*(Предпосылки!$H282/(W$8+1-W$7)))</f>
        <v>0</v>
      </c>
      <c s="125">
        <f>IF(Предпосылки!$H282&gt;0,W415,X359*(Предпосылки!$H282/(X$8+1-X$7)))</f>
        <v>0</v>
      </c>
      <c s="125">
        <f>IF(Предпосылки!$H282&gt;0,X415,Y359*(Предпосылки!$H282/(Y$8+1-Y$7)))</f>
        <v>0</v>
      </c>
      <c s="125">
        <f>IF(Предпосылки!$H282&gt;0,Y415,Z359*(Предпосылки!$H282/(Z$8+1-Z$7)))</f>
        <v>0</v>
      </c>
      <c s="125">
        <f>IF(Предпосылки!$H282&gt;0,Z415,AA359*(Предпосылки!$H282/(AA$8+1-AA$7)))</f>
        <v>0</v>
      </c>
      <c s="125">
        <f>IF(Предпосылки!$H282&gt;0,AA415,AB359*(Предпосылки!$H282/(AB$8+1-AB$7)))</f>
        <v>0</v>
      </c>
      <c s="125">
        <f>IF(Предпосылки!$H282&gt;0,AB415,AC359*(Предпосылки!$H282/(AC$8+1-AC$7)))</f>
        <v>0</v>
      </c>
      <c s="125">
        <f>IF(Предпосылки!$H282&gt;0,AC415,AD359*(Предпосылки!$H282/(AD$8+1-AD$7)))</f>
        <v>0</v>
      </c>
      <c s="125">
        <f>IF(Предпосылки!$H282&gt;0,AD415,AE359*(Предпосылки!$H282/(AE$8+1-AE$7)))</f>
        <v>0</v>
      </c>
      <c s="125">
        <f>IF(Предпосылки!$H282&gt;0,AE415,AF359*(Предпосылки!$H282/(AF$8+1-AF$7)))</f>
        <v>0</v>
      </c>
      <c s="125">
        <f>IF(Предпосылки!$H282&gt;0,AF415,AG359*(Предпосылки!$H282/(AG$8+1-AG$7)))</f>
        <v>0</v>
      </c>
      <c s="125">
        <f>IF(Предпосылки!$H282&gt;0,AG415,AH359*(Предпосылки!$H282/(AH$8+1-AH$7)))</f>
        <v>0</v>
      </c>
      <c s="125">
        <f>IF(Предпосылки!$H282&gt;0,AH415,AI359*(Предпосылки!$H282/(AI$8+1-AI$7)))</f>
        <v>0</v>
      </c>
      <c s="125">
        <f>IF(Предпосылки!$H282&gt;0,AI415,AJ359*(Предпосылки!$H282/(AJ$8+1-AJ$7)))</f>
        <v>0</v>
      </c>
      <c s="125">
        <f>IF(Предпосылки!$H282&gt;0,AJ415,AK359*(Предпосылки!$H282/(AK$8+1-AK$7)))</f>
        <v>0</v>
      </c>
      <c s="125">
        <f>IF(Предпосылки!$H282&gt;0,AK415,AL359*(Предпосылки!$H282/(AL$8+1-AL$7)))</f>
        <v>0</v>
      </c>
      <c s="125">
        <f>IF(Предпосылки!$H282&gt;0,AL415,AM359*(Предпосылки!$H282/(AM$8+1-AM$7)))</f>
        <v>0</v>
      </c>
      <c s="125">
        <f>IF(Предпосылки!$H282&gt;0,AM415,AN359*(Предпосылки!$H282/(AN$8+1-AN$7)))</f>
        <v>0</v>
      </c>
      <c s="125">
        <f>IF(Предпосылки!$H282&gt;0,AN415,AO359*(Предпосылки!$H282/(AO$8+1-AO$7)))</f>
        <v>0</v>
      </c>
      <c s="125">
        <f>IF(Предпосылки!$H282&gt;0,AO415,AP359*(Предпосылки!$H282/(AP$8+1-AP$7)))</f>
        <v>0</v>
      </c>
      <c s="125">
        <f>IF(Предпосылки!$H282&gt;0,AP415,AQ359*(Предпосылки!$H282/(AQ$8+1-AQ$7)))</f>
        <v>0</v>
      </c>
      <c s="125">
        <f>IF(Предпосылки!$H282&gt;0,AQ415,AR359*(Предпосылки!$H282/(AR$8+1-AR$7)))</f>
        <v>0</v>
      </c>
      <c s="125">
        <f>IF(Предпосылки!$H282&gt;0,AR415,AS359*(Предпосылки!$H282/(AS$8+1-AS$7)))</f>
        <v>0</v>
      </c>
      <c s="125">
        <f>IF(Предпосылки!$H282&gt;0,AS415,AT359*(Предпосылки!$H282/(AT$8+1-AT$7)))</f>
        <v>0</v>
      </c>
      <c s="125">
        <f>IF(Предпосылки!$H282&gt;0,AT415,AU359*(Предпосылки!$H282/(AU$8+1-AU$7)))</f>
        <v>0</v>
      </c>
      <c s="125">
        <f>IF(Предпосылки!$H282&gt;0,AU415,AV359*(Предпосылки!$H282/(AV$8+1-AV$7)))</f>
        <v>0</v>
      </c>
      <c s="125">
        <f>IF(Предпосылки!$H282&gt;0,AV415,AW359*(Предпосылки!$H282/(AW$8+1-AW$7)))</f>
        <v>0</v>
      </c>
      <c s="125">
        <f>IF(Предпосылки!$H282&gt;0,AW415,AX359*(Предпосылки!$H282/(AX$8+1-AX$7)))</f>
        <v>0</v>
      </c>
      <c s="125">
        <f>IF(Предпосылки!$H282&gt;0,AX415,AY359*(Предпосылки!$H282/(AY$8+1-AY$7)))</f>
        <v>0</v>
      </c>
      <c s="125">
        <f>IF(Предпосылки!$H282&gt;0,AY415,AZ359*(Предпосылки!$H282/(AZ$8+1-AZ$7)))</f>
        <v>0</v>
      </c>
      <c s="125">
        <f>IF(Предпосылки!$H282&gt;0,AZ415,BA359*(Предпосылки!$H282/(BA$8+1-BA$7)))</f>
        <v>0</v>
      </c>
      <c s="125">
        <f>IF(Предпосылки!$H282&gt;0,BA415,BB359*(Предпосылки!$H282/(BB$8+1-BB$7)))</f>
        <v>0</v>
      </c>
      <c s="125">
        <f>IF(Предпосылки!$H282&gt;0,BB415,BC359*(Предпосылки!$H282/(BC$8+1-BC$7)))</f>
        <v>0</v>
      </c>
      <c s="125">
        <f>IF(Предпосылки!$H282&gt;0,BC415,BD359*(Предпосылки!$H282/(BD$8+1-BD$7)))</f>
        <v>0</v>
      </c>
      <c s="125">
        <f>IF(Предпосылки!$H282&gt;0,BD415,BE359*(Предпосылки!$H282/(BE$8+1-BE$7)))</f>
        <v>0</v>
      </c>
      <c s="125">
        <f>IF(Предпосылки!$H282&gt;0,BE415,BF359*(Предпосылки!$H282/(BF$8+1-BF$7)))</f>
        <v>0</v>
      </c>
      <c s="125">
        <f>IF(Предпосылки!$H282&gt;0,BF415,BG359*(Предпосылки!$H282/(BG$8+1-BG$7)))</f>
        <v>0</v>
      </c>
      <c s="125">
        <f>IF(Предпосылки!$H282&gt;0,BG415,BH359*(Предпосылки!$H282/(BH$8+1-BH$7)))</f>
        <v>0</v>
      </c>
      <c s="125">
        <f>IF(Предпосылки!$H282&gt;0,BH415,BI359*(Предпосылки!$H282/(BI$8+1-BI$7)))</f>
        <v>0</v>
      </c>
      <c s="125">
        <f>IF(Предпосылки!$H282&gt;0,BI415,BJ359*(Предпосылки!$H282/(BJ$8+1-BJ$7)))</f>
        <v>0</v>
      </c>
      <c s="125">
        <f>IF(Предпосылки!$H282&gt;0,BJ415,BK359*(Предпосылки!$H282/(BK$8+1-BK$7)))</f>
        <v>0</v>
      </c>
      <c s="125">
        <f>IF(Предпосылки!$H282&gt;0,BK415,BL359*(Предпосылки!$H282/(BL$8+1-BL$7)))</f>
        <v>0</v>
      </c>
      <c s="125">
        <f>IF(Предпосылки!$H282&gt;0,BL415,BM359*(Предпосылки!$H282/(BM$8+1-BM$7)))</f>
        <v>0</v>
      </c>
    </row>
    <row r="332" spans="2:65" ht="15" customHeight="1">
      <c r="B332" s="12" t="str">
        <f>IF(ISBLANK(Предпосылки!B283),"-",Предпосылки!B283)</f>
        <v>-</v>
      </c>
      <c s="124" t="str">
        <f t="shared" si="261"/>
        <v>тыс. руб.</v>
      </c>
      <c s="125"/>
      <c s="125">
        <f>IF(Предпосылки!$H283&gt;0,D416,E360*(Предпосылки!$H283/(E$8+1-E$7)))</f>
        <v>0</v>
      </c>
      <c s="125">
        <f>IF(Предпосылки!$H283&gt;0,E416,F360*(Предпосылки!$H283/(F$8+1-F$7)))</f>
        <v>0</v>
      </c>
      <c s="125">
        <f>IF(Предпосылки!$H283&gt;0,F416,G360*(Предпосылки!$H283/(G$8+1-G$7)))</f>
        <v>0</v>
      </c>
      <c s="125">
        <f>IF(Предпосылки!$H283&gt;0,G416,H360*(Предпосылки!$H283/(H$8+1-H$7)))</f>
        <v>0</v>
      </c>
      <c s="125">
        <f>IF(Предпосылки!$H283&gt;0,H416,I360*(Предпосылки!$H283/(I$8+1-I$7)))</f>
        <v>0</v>
      </c>
      <c s="125">
        <f>IF(Предпосылки!$H283&gt;0,I416,J360*(Предпосылки!$H283/(J$8+1-J$7)))</f>
        <v>0</v>
      </c>
      <c s="125">
        <f>IF(Предпосылки!$H283&gt;0,J416,K360*(Предпосылки!$H283/(K$8+1-K$7)))</f>
        <v>0</v>
      </c>
      <c s="125">
        <f>IF(Предпосылки!$H283&gt;0,K416,L360*(Предпосылки!$H283/(L$8+1-L$7)))</f>
        <v>0</v>
      </c>
      <c s="125">
        <f>IF(Предпосылки!$H283&gt;0,L416,M360*(Предпосылки!$H283/(M$8+1-M$7)))</f>
        <v>0</v>
      </c>
      <c s="125">
        <f>IF(Предпосылки!$H283&gt;0,M416,N360*(Предпосылки!$H283/(N$8+1-N$7)))</f>
        <v>0</v>
      </c>
      <c s="125">
        <f>IF(Предпосылки!$H283&gt;0,N416,O360*(Предпосылки!$H283/(O$8+1-O$7)))</f>
        <v>0</v>
      </c>
      <c s="125">
        <f>IF(Предпосылки!$H283&gt;0,O416,P360*(Предпосылки!$H283/(P$8+1-P$7)))</f>
        <v>0</v>
      </c>
      <c s="125">
        <f>IF(Предпосылки!$H283&gt;0,P416,Q360*(Предпосылки!$H283/(Q$8+1-Q$7)))</f>
        <v>0</v>
      </c>
      <c s="125">
        <f>IF(Предпосылки!$H283&gt;0,Q416,R360*(Предпосылки!$H283/(R$8+1-R$7)))</f>
        <v>0</v>
      </c>
      <c s="125">
        <f>IF(Предпосылки!$H283&gt;0,R416,S360*(Предпосылки!$H283/(S$8+1-S$7)))</f>
        <v>0</v>
      </c>
      <c s="125">
        <f>IF(Предпосылки!$H283&gt;0,S416,T360*(Предпосылки!$H283/(T$8+1-T$7)))</f>
        <v>0</v>
      </c>
      <c s="125">
        <f>IF(Предпосылки!$H283&gt;0,T416,U360*(Предпосылки!$H283/(U$8+1-U$7)))</f>
        <v>0</v>
      </c>
      <c s="125">
        <f>IF(Предпосылки!$H283&gt;0,U416,V360*(Предпосылки!$H283/(V$8+1-V$7)))</f>
        <v>0</v>
      </c>
      <c s="125">
        <f>IF(Предпосылки!$H283&gt;0,V416,W360*(Предпосылки!$H283/(W$8+1-W$7)))</f>
        <v>0</v>
      </c>
      <c s="125">
        <f>IF(Предпосылки!$H283&gt;0,W416,X360*(Предпосылки!$H283/(X$8+1-X$7)))</f>
        <v>0</v>
      </c>
      <c s="125">
        <f>IF(Предпосылки!$H283&gt;0,X416,Y360*(Предпосылки!$H283/(Y$8+1-Y$7)))</f>
        <v>0</v>
      </c>
      <c s="125">
        <f>IF(Предпосылки!$H283&gt;0,Y416,Z360*(Предпосылки!$H283/(Z$8+1-Z$7)))</f>
        <v>0</v>
      </c>
      <c s="125">
        <f>IF(Предпосылки!$H283&gt;0,Z416,AA360*(Предпосылки!$H283/(AA$8+1-AA$7)))</f>
        <v>0</v>
      </c>
      <c s="125">
        <f>IF(Предпосылки!$H283&gt;0,AA416,AB360*(Предпосылки!$H283/(AB$8+1-AB$7)))</f>
        <v>0</v>
      </c>
      <c s="125">
        <f>IF(Предпосылки!$H283&gt;0,AB416,AC360*(Предпосылки!$H283/(AC$8+1-AC$7)))</f>
        <v>0</v>
      </c>
      <c s="125">
        <f>IF(Предпосылки!$H283&gt;0,AC416,AD360*(Предпосылки!$H283/(AD$8+1-AD$7)))</f>
        <v>0</v>
      </c>
      <c s="125">
        <f>IF(Предпосылки!$H283&gt;0,AD416,AE360*(Предпосылки!$H283/(AE$8+1-AE$7)))</f>
        <v>0</v>
      </c>
      <c s="125">
        <f>IF(Предпосылки!$H283&gt;0,AE416,AF360*(Предпосылки!$H283/(AF$8+1-AF$7)))</f>
        <v>0</v>
      </c>
      <c s="125">
        <f>IF(Предпосылки!$H283&gt;0,AF416,AG360*(Предпосылки!$H283/(AG$8+1-AG$7)))</f>
        <v>0</v>
      </c>
      <c s="125">
        <f>IF(Предпосылки!$H283&gt;0,AG416,AH360*(Предпосылки!$H283/(AH$8+1-AH$7)))</f>
        <v>0</v>
      </c>
      <c s="125">
        <f>IF(Предпосылки!$H283&gt;0,AH416,AI360*(Предпосылки!$H283/(AI$8+1-AI$7)))</f>
        <v>0</v>
      </c>
      <c s="125">
        <f>IF(Предпосылки!$H283&gt;0,AI416,AJ360*(Предпосылки!$H283/(AJ$8+1-AJ$7)))</f>
        <v>0</v>
      </c>
      <c s="125">
        <f>IF(Предпосылки!$H283&gt;0,AJ416,AK360*(Предпосылки!$H283/(AK$8+1-AK$7)))</f>
        <v>0</v>
      </c>
      <c s="125">
        <f>IF(Предпосылки!$H283&gt;0,AK416,AL360*(Предпосылки!$H283/(AL$8+1-AL$7)))</f>
        <v>0</v>
      </c>
      <c s="125">
        <f>IF(Предпосылки!$H283&gt;0,AL416,AM360*(Предпосылки!$H283/(AM$8+1-AM$7)))</f>
        <v>0</v>
      </c>
      <c s="125">
        <f>IF(Предпосылки!$H283&gt;0,AM416,AN360*(Предпосылки!$H283/(AN$8+1-AN$7)))</f>
        <v>0</v>
      </c>
      <c s="125">
        <f>IF(Предпосылки!$H283&gt;0,AN416,AO360*(Предпосылки!$H283/(AO$8+1-AO$7)))</f>
        <v>0</v>
      </c>
      <c s="125">
        <f>IF(Предпосылки!$H283&gt;0,AO416,AP360*(Предпосылки!$H283/(AP$8+1-AP$7)))</f>
        <v>0</v>
      </c>
      <c s="125">
        <f>IF(Предпосылки!$H283&gt;0,AP416,AQ360*(Предпосылки!$H283/(AQ$8+1-AQ$7)))</f>
        <v>0</v>
      </c>
      <c s="125">
        <f>IF(Предпосылки!$H283&gt;0,AQ416,AR360*(Предпосылки!$H283/(AR$8+1-AR$7)))</f>
        <v>0</v>
      </c>
      <c s="125">
        <f>IF(Предпосылки!$H283&gt;0,AR416,AS360*(Предпосылки!$H283/(AS$8+1-AS$7)))</f>
        <v>0</v>
      </c>
      <c s="125">
        <f>IF(Предпосылки!$H283&gt;0,AS416,AT360*(Предпосылки!$H283/(AT$8+1-AT$7)))</f>
        <v>0</v>
      </c>
      <c s="125">
        <f>IF(Предпосылки!$H283&gt;0,AT416,AU360*(Предпосылки!$H283/(AU$8+1-AU$7)))</f>
        <v>0</v>
      </c>
      <c s="125">
        <f>IF(Предпосылки!$H283&gt;0,AU416,AV360*(Предпосылки!$H283/(AV$8+1-AV$7)))</f>
        <v>0</v>
      </c>
      <c s="125">
        <f>IF(Предпосылки!$H283&gt;0,AV416,AW360*(Предпосылки!$H283/(AW$8+1-AW$7)))</f>
        <v>0</v>
      </c>
      <c s="125">
        <f>IF(Предпосылки!$H283&gt;0,AW416,AX360*(Предпосылки!$H283/(AX$8+1-AX$7)))</f>
        <v>0</v>
      </c>
      <c s="125">
        <f>IF(Предпосылки!$H283&gt;0,AX416,AY360*(Предпосылки!$H283/(AY$8+1-AY$7)))</f>
        <v>0</v>
      </c>
      <c s="125">
        <f>IF(Предпосылки!$H283&gt;0,AY416,AZ360*(Предпосылки!$H283/(AZ$8+1-AZ$7)))</f>
        <v>0</v>
      </c>
      <c s="125">
        <f>IF(Предпосылки!$H283&gt;0,AZ416,BA360*(Предпосылки!$H283/(BA$8+1-BA$7)))</f>
        <v>0</v>
      </c>
      <c s="125">
        <f>IF(Предпосылки!$H283&gt;0,BA416,BB360*(Предпосылки!$H283/(BB$8+1-BB$7)))</f>
        <v>0</v>
      </c>
      <c s="125">
        <f>IF(Предпосылки!$H283&gt;0,BB416,BC360*(Предпосылки!$H283/(BC$8+1-BC$7)))</f>
        <v>0</v>
      </c>
      <c s="125">
        <f>IF(Предпосылки!$H283&gt;0,BC416,BD360*(Предпосылки!$H283/(BD$8+1-BD$7)))</f>
        <v>0</v>
      </c>
      <c s="125">
        <f>IF(Предпосылки!$H283&gt;0,BD416,BE360*(Предпосылки!$H283/(BE$8+1-BE$7)))</f>
        <v>0</v>
      </c>
      <c s="125">
        <f>IF(Предпосылки!$H283&gt;0,BE416,BF360*(Предпосылки!$H283/(BF$8+1-BF$7)))</f>
        <v>0</v>
      </c>
      <c s="125">
        <f>IF(Предпосылки!$H283&gt;0,BF416,BG360*(Предпосылки!$H283/(BG$8+1-BG$7)))</f>
        <v>0</v>
      </c>
      <c s="125">
        <f>IF(Предпосылки!$H283&gt;0,BG416,BH360*(Предпосылки!$H283/(BH$8+1-BH$7)))</f>
        <v>0</v>
      </c>
      <c s="125">
        <f>IF(Предпосылки!$H283&gt;0,BH416,BI360*(Предпосылки!$H283/(BI$8+1-BI$7)))</f>
        <v>0</v>
      </c>
      <c s="125">
        <f>IF(Предпосылки!$H283&gt;0,BI416,BJ360*(Предпосылки!$H283/(BJ$8+1-BJ$7)))</f>
        <v>0</v>
      </c>
      <c s="125">
        <f>IF(Предпосылки!$H283&gt;0,BJ416,BK360*(Предпосылки!$H283/(BK$8+1-BK$7)))</f>
        <v>0</v>
      </c>
      <c s="125">
        <f>IF(Предпосылки!$H283&gt;0,BK416,BL360*(Предпосылки!$H283/(BL$8+1-BL$7)))</f>
        <v>0</v>
      </c>
      <c s="125">
        <f>IF(Предпосылки!$H283&gt;0,BL416,BM360*(Предпосылки!$H283/(BM$8+1-BM$7)))</f>
        <v>0</v>
      </c>
    </row>
    <row r="333" spans="2:65" ht="15" customHeight="1">
      <c r="B333" s="12" t="str">
        <f>IF(ISBLANK(Предпосылки!B284),"-",Предпосылки!B284)</f>
        <v>-</v>
      </c>
      <c s="124" t="str">
        <f t="shared" si="261"/>
        <v>тыс. руб.</v>
      </c>
      <c s="125"/>
      <c s="125">
        <f>IF(Предпосылки!$H284&gt;0,D417,E361*(Предпосылки!$H284/(E$8+1-E$7)))</f>
        <v>0</v>
      </c>
      <c s="125">
        <f>IF(Предпосылки!$H284&gt;0,E417,F361*(Предпосылки!$H284/(F$8+1-F$7)))</f>
        <v>0</v>
      </c>
      <c s="125">
        <f>IF(Предпосылки!$H284&gt;0,F417,G361*(Предпосылки!$H284/(G$8+1-G$7)))</f>
        <v>0</v>
      </c>
      <c s="125">
        <f>IF(Предпосылки!$H284&gt;0,G417,H361*(Предпосылки!$H284/(H$8+1-H$7)))</f>
        <v>0</v>
      </c>
      <c s="125">
        <f>IF(Предпосылки!$H284&gt;0,H417,I361*(Предпосылки!$H284/(I$8+1-I$7)))</f>
        <v>0</v>
      </c>
      <c s="125">
        <f>IF(Предпосылки!$H284&gt;0,I417,J361*(Предпосылки!$H284/(J$8+1-J$7)))</f>
        <v>0</v>
      </c>
      <c s="125">
        <f>IF(Предпосылки!$H284&gt;0,J417,K361*(Предпосылки!$H284/(K$8+1-K$7)))</f>
        <v>0</v>
      </c>
      <c s="125">
        <f>IF(Предпосылки!$H284&gt;0,K417,L361*(Предпосылки!$H284/(L$8+1-L$7)))</f>
        <v>0</v>
      </c>
      <c s="125">
        <f>IF(Предпосылки!$H284&gt;0,L417,M361*(Предпосылки!$H284/(M$8+1-M$7)))</f>
        <v>0</v>
      </c>
      <c s="125">
        <f>IF(Предпосылки!$H284&gt;0,M417,N361*(Предпосылки!$H284/(N$8+1-N$7)))</f>
        <v>0</v>
      </c>
      <c s="125">
        <f>IF(Предпосылки!$H284&gt;0,N417,O361*(Предпосылки!$H284/(O$8+1-O$7)))</f>
        <v>0</v>
      </c>
      <c s="125">
        <f>IF(Предпосылки!$H284&gt;0,O417,P361*(Предпосылки!$H284/(P$8+1-P$7)))</f>
        <v>0</v>
      </c>
      <c s="125">
        <f>IF(Предпосылки!$H284&gt;0,P417,Q361*(Предпосылки!$H284/(Q$8+1-Q$7)))</f>
        <v>0</v>
      </c>
      <c s="125">
        <f>IF(Предпосылки!$H284&gt;0,Q417,R361*(Предпосылки!$H284/(R$8+1-R$7)))</f>
        <v>0</v>
      </c>
      <c s="125">
        <f>IF(Предпосылки!$H284&gt;0,R417,S361*(Предпосылки!$H284/(S$8+1-S$7)))</f>
        <v>0</v>
      </c>
      <c s="125">
        <f>IF(Предпосылки!$H284&gt;0,S417,T361*(Предпосылки!$H284/(T$8+1-T$7)))</f>
        <v>0</v>
      </c>
      <c s="125">
        <f>IF(Предпосылки!$H284&gt;0,T417,U361*(Предпосылки!$H284/(U$8+1-U$7)))</f>
        <v>0</v>
      </c>
      <c s="125">
        <f>IF(Предпосылки!$H284&gt;0,U417,V361*(Предпосылки!$H284/(V$8+1-V$7)))</f>
        <v>0</v>
      </c>
      <c s="125">
        <f>IF(Предпосылки!$H284&gt;0,V417,W361*(Предпосылки!$H284/(W$8+1-W$7)))</f>
        <v>0</v>
      </c>
      <c s="125">
        <f>IF(Предпосылки!$H284&gt;0,W417,X361*(Предпосылки!$H284/(X$8+1-X$7)))</f>
        <v>0</v>
      </c>
      <c s="125">
        <f>IF(Предпосылки!$H284&gt;0,X417,Y361*(Предпосылки!$H284/(Y$8+1-Y$7)))</f>
        <v>0</v>
      </c>
      <c s="125">
        <f>IF(Предпосылки!$H284&gt;0,Y417,Z361*(Предпосылки!$H284/(Z$8+1-Z$7)))</f>
        <v>0</v>
      </c>
      <c s="125">
        <f>IF(Предпосылки!$H284&gt;0,Z417,AA361*(Предпосылки!$H284/(AA$8+1-AA$7)))</f>
        <v>0</v>
      </c>
      <c s="125">
        <f>IF(Предпосылки!$H284&gt;0,AA417,AB361*(Предпосылки!$H284/(AB$8+1-AB$7)))</f>
        <v>0</v>
      </c>
      <c s="125">
        <f>IF(Предпосылки!$H284&gt;0,AB417,AC361*(Предпосылки!$H284/(AC$8+1-AC$7)))</f>
        <v>0</v>
      </c>
      <c s="125">
        <f>IF(Предпосылки!$H284&gt;0,AC417,AD361*(Предпосылки!$H284/(AD$8+1-AD$7)))</f>
        <v>0</v>
      </c>
      <c s="125">
        <f>IF(Предпосылки!$H284&gt;0,AD417,AE361*(Предпосылки!$H284/(AE$8+1-AE$7)))</f>
        <v>0</v>
      </c>
      <c s="125">
        <f>IF(Предпосылки!$H284&gt;0,AE417,AF361*(Предпосылки!$H284/(AF$8+1-AF$7)))</f>
        <v>0</v>
      </c>
      <c s="125">
        <f>IF(Предпосылки!$H284&gt;0,AF417,AG361*(Предпосылки!$H284/(AG$8+1-AG$7)))</f>
        <v>0</v>
      </c>
      <c s="125">
        <f>IF(Предпосылки!$H284&gt;0,AG417,AH361*(Предпосылки!$H284/(AH$8+1-AH$7)))</f>
        <v>0</v>
      </c>
      <c s="125">
        <f>IF(Предпосылки!$H284&gt;0,AH417,AI361*(Предпосылки!$H284/(AI$8+1-AI$7)))</f>
        <v>0</v>
      </c>
      <c s="125">
        <f>IF(Предпосылки!$H284&gt;0,AI417,AJ361*(Предпосылки!$H284/(AJ$8+1-AJ$7)))</f>
        <v>0</v>
      </c>
      <c s="125">
        <f>IF(Предпосылки!$H284&gt;0,AJ417,AK361*(Предпосылки!$H284/(AK$8+1-AK$7)))</f>
        <v>0</v>
      </c>
      <c s="125">
        <f>IF(Предпосылки!$H284&gt;0,AK417,AL361*(Предпосылки!$H284/(AL$8+1-AL$7)))</f>
        <v>0</v>
      </c>
      <c s="125">
        <f>IF(Предпосылки!$H284&gt;0,AL417,AM361*(Предпосылки!$H284/(AM$8+1-AM$7)))</f>
        <v>0</v>
      </c>
      <c s="125">
        <f>IF(Предпосылки!$H284&gt;0,AM417,AN361*(Предпосылки!$H284/(AN$8+1-AN$7)))</f>
        <v>0</v>
      </c>
      <c s="125">
        <f>IF(Предпосылки!$H284&gt;0,AN417,AO361*(Предпосылки!$H284/(AO$8+1-AO$7)))</f>
        <v>0</v>
      </c>
      <c s="125">
        <f>IF(Предпосылки!$H284&gt;0,AO417,AP361*(Предпосылки!$H284/(AP$8+1-AP$7)))</f>
        <v>0</v>
      </c>
      <c s="125">
        <f>IF(Предпосылки!$H284&gt;0,AP417,AQ361*(Предпосылки!$H284/(AQ$8+1-AQ$7)))</f>
        <v>0</v>
      </c>
      <c s="125">
        <f>IF(Предпосылки!$H284&gt;0,AQ417,AR361*(Предпосылки!$H284/(AR$8+1-AR$7)))</f>
        <v>0</v>
      </c>
      <c s="125">
        <f>IF(Предпосылки!$H284&gt;0,AR417,AS361*(Предпосылки!$H284/(AS$8+1-AS$7)))</f>
        <v>0</v>
      </c>
      <c s="125">
        <f>IF(Предпосылки!$H284&gt;0,AS417,AT361*(Предпосылки!$H284/(AT$8+1-AT$7)))</f>
        <v>0</v>
      </c>
      <c s="125">
        <f>IF(Предпосылки!$H284&gt;0,AT417,AU361*(Предпосылки!$H284/(AU$8+1-AU$7)))</f>
        <v>0</v>
      </c>
      <c s="125">
        <f>IF(Предпосылки!$H284&gt;0,AU417,AV361*(Предпосылки!$H284/(AV$8+1-AV$7)))</f>
        <v>0</v>
      </c>
      <c s="125">
        <f>IF(Предпосылки!$H284&gt;0,AV417,AW361*(Предпосылки!$H284/(AW$8+1-AW$7)))</f>
        <v>0</v>
      </c>
      <c s="125">
        <f>IF(Предпосылки!$H284&gt;0,AW417,AX361*(Предпосылки!$H284/(AX$8+1-AX$7)))</f>
        <v>0</v>
      </c>
      <c s="125">
        <f>IF(Предпосылки!$H284&gt;0,AX417,AY361*(Предпосылки!$H284/(AY$8+1-AY$7)))</f>
        <v>0</v>
      </c>
      <c s="125">
        <f>IF(Предпосылки!$H284&gt;0,AY417,AZ361*(Предпосылки!$H284/(AZ$8+1-AZ$7)))</f>
        <v>0</v>
      </c>
      <c s="125">
        <f>IF(Предпосылки!$H284&gt;0,AZ417,BA361*(Предпосылки!$H284/(BA$8+1-BA$7)))</f>
        <v>0</v>
      </c>
      <c s="125">
        <f>IF(Предпосылки!$H284&gt;0,BA417,BB361*(Предпосылки!$H284/(BB$8+1-BB$7)))</f>
        <v>0</v>
      </c>
      <c s="125">
        <f>IF(Предпосылки!$H284&gt;0,BB417,BC361*(Предпосылки!$H284/(BC$8+1-BC$7)))</f>
        <v>0</v>
      </c>
      <c s="125">
        <f>IF(Предпосылки!$H284&gt;0,BC417,BD361*(Предпосылки!$H284/(BD$8+1-BD$7)))</f>
        <v>0</v>
      </c>
      <c s="125">
        <f>IF(Предпосылки!$H284&gt;0,BD417,BE361*(Предпосылки!$H284/(BE$8+1-BE$7)))</f>
        <v>0</v>
      </c>
      <c s="125">
        <f>IF(Предпосылки!$H284&gt;0,BE417,BF361*(Предпосылки!$H284/(BF$8+1-BF$7)))</f>
        <v>0</v>
      </c>
      <c s="125">
        <f>IF(Предпосылки!$H284&gt;0,BF417,BG361*(Предпосылки!$H284/(BG$8+1-BG$7)))</f>
        <v>0</v>
      </c>
      <c s="125">
        <f>IF(Предпосылки!$H284&gt;0,BG417,BH361*(Предпосылки!$H284/(BH$8+1-BH$7)))</f>
        <v>0</v>
      </c>
      <c s="125">
        <f>IF(Предпосылки!$H284&gt;0,BH417,BI361*(Предпосылки!$H284/(BI$8+1-BI$7)))</f>
        <v>0</v>
      </c>
      <c s="125">
        <f>IF(Предпосылки!$H284&gt;0,BI417,BJ361*(Предпосылки!$H284/(BJ$8+1-BJ$7)))</f>
        <v>0</v>
      </c>
      <c s="125">
        <f>IF(Предпосылки!$H284&gt;0,BJ417,BK361*(Предпосылки!$H284/(BK$8+1-BK$7)))</f>
        <v>0</v>
      </c>
      <c s="125">
        <f>IF(Предпосылки!$H284&gt;0,BK417,BL361*(Предпосылки!$H284/(BL$8+1-BL$7)))</f>
        <v>0</v>
      </c>
      <c s="125">
        <f>IF(Предпосылки!$H284&gt;0,BL417,BM361*(Предпосылки!$H284/(BM$8+1-BM$7)))</f>
        <v>0</v>
      </c>
    </row>
    <row r="334" spans="2:65" ht="15" customHeight="1">
      <c r="B334" s="12" t="str">
        <f>IF(ISBLANK(Предпосылки!B285),"-",Предпосылки!B285)</f>
        <v>-</v>
      </c>
      <c s="124" t="str">
        <f t="shared" si="261"/>
        <v>тыс. руб.</v>
      </c>
      <c s="125"/>
      <c s="125">
        <f>IF(Предпосылки!$H285&gt;0,D418,E362*(Предпосылки!$H285/(E$8+1-E$7)))</f>
        <v>0</v>
      </c>
      <c s="125">
        <f>IF(Предпосылки!$H285&gt;0,E418,F362*(Предпосылки!$H285/(F$8+1-F$7)))</f>
        <v>0</v>
      </c>
      <c s="125">
        <f>IF(Предпосылки!$H285&gt;0,F418,G362*(Предпосылки!$H285/(G$8+1-G$7)))</f>
        <v>0</v>
      </c>
      <c s="125">
        <f>IF(Предпосылки!$H285&gt;0,G418,H362*(Предпосылки!$H285/(H$8+1-H$7)))</f>
        <v>0</v>
      </c>
      <c s="125">
        <f>IF(Предпосылки!$H285&gt;0,H418,I362*(Предпосылки!$H285/(I$8+1-I$7)))</f>
        <v>0</v>
      </c>
      <c s="125">
        <f>IF(Предпосылки!$H285&gt;0,I418,J362*(Предпосылки!$H285/(J$8+1-J$7)))</f>
        <v>0</v>
      </c>
      <c s="125">
        <f>IF(Предпосылки!$H285&gt;0,J418,K362*(Предпосылки!$H285/(K$8+1-K$7)))</f>
        <v>0</v>
      </c>
      <c s="125">
        <f>IF(Предпосылки!$H285&gt;0,K418,L362*(Предпосылки!$H285/(L$8+1-L$7)))</f>
        <v>0</v>
      </c>
      <c s="125">
        <f>IF(Предпосылки!$H285&gt;0,L418,M362*(Предпосылки!$H285/(M$8+1-M$7)))</f>
        <v>0</v>
      </c>
      <c s="125">
        <f>IF(Предпосылки!$H285&gt;0,M418,N362*(Предпосылки!$H285/(N$8+1-N$7)))</f>
        <v>0</v>
      </c>
      <c s="125">
        <f>IF(Предпосылки!$H285&gt;0,N418,O362*(Предпосылки!$H285/(O$8+1-O$7)))</f>
        <v>0</v>
      </c>
      <c s="125">
        <f>IF(Предпосылки!$H285&gt;0,O418,P362*(Предпосылки!$H285/(P$8+1-P$7)))</f>
        <v>0</v>
      </c>
      <c s="125">
        <f>IF(Предпосылки!$H285&gt;0,P418,Q362*(Предпосылки!$H285/(Q$8+1-Q$7)))</f>
        <v>0</v>
      </c>
      <c s="125">
        <f>IF(Предпосылки!$H285&gt;0,Q418,R362*(Предпосылки!$H285/(R$8+1-R$7)))</f>
        <v>0</v>
      </c>
      <c s="125">
        <f>IF(Предпосылки!$H285&gt;0,R418,S362*(Предпосылки!$H285/(S$8+1-S$7)))</f>
        <v>0</v>
      </c>
      <c s="125">
        <f>IF(Предпосылки!$H285&gt;0,S418,T362*(Предпосылки!$H285/(T$8+1-T$7)))</f>
        <v>0</v>
      </c>
      <c s="125">
        <f>IF(Предпосылки!$H285&gt;0,T418,U362*(Предпосылки!$H285/(U$8+1-U$7)))</f>
        <v>0</v>
      </c>
      <c s="125">
        <f>IF(Предпосылки!$H285&gt;0,U418,V362*(Предпосылки!$H285/(V$8+1-V$7)))</f>
        <v>0</v>
      </c>
      <c s="125">
        <f>IF(Предпосылки!$H285&gt;0,V418,W362*(Предпосылки!$H285/(W$8+1-W$7)))</f>
        <v>0</v>
      </c>
      <c s="125">
        <f>IF(Предпосылки!$H285&gt;0,W418,X362*(Предпосылки!$H285/(X$8+1-X$7)))</f>
        <v>0</v>
      </c>
      <c s="125">
        <f>IF(Предпосылки!$H285&gt;0,X418,Y362*(Предпосылки!$H285/(Y$8+1-Y$7)))</f>
        <v>0</v>
      </c>
      <c s="125">
        <f>IF(Предпосылки!$H285&gt;0,Y418,Z362*(Предпосылки!$H285/(Z$8+1-Z$7)))</f>
        <v>0</v>
      </c>
      <c s="125">
        <f>IF(Предпосылки!$H285&gt;0,Z418,AA362*(Предпосылки!$H285/(AA$8+1-AA$7)))</f>
        <v>0</v>
      </c>
      <c s="125">
        <f>IF(Предпосылки!$H285&gt;0,AA418,AB362*(Предпосылки!$H285/(AB$8+1-AB$7)))</f>
        <v>0</v>
      </c>
      <c s="125">
        <f>IF(Предпосылки!$H285&gt;0,AB418,AC362*(Предпосылки!$H285/(AC$8+1-AC$7)))</f>
        <v>0</v>
      </c>
      <c s="125">
        <f>IF(Предпосылки!$H285&gt;0,AC418,AD362*(Предпосылки!$H285/(AD$8+1-AD$7)))</f>
        <v>0</v>
      </c>
      <c s="125">
        <f>IF(Предпосылки!$H285&gt;0,AD418,AE362*(Предпосылки!$H285/(AE$8+1-AE$7)))</f>
        <v>0</v>
      </c>
      <c s="125">
        <f>IF(Предпосылки!$H285&gt;0,AE418,AF362*(Предпосылки!$H285/(AF$8+1-AF$7)))</f>
        <v>0</v>
      </c>
      <c s="125">
        <f>IF(Предпосылки!$H285&gt;0,AF418,AG362*(Предпосылки!$H285/(AG$8+1-AG$7)))</f>
        <v>0</v>
      </c>
      <c s="125">
        <f>IF(Предпосылки!$H285&gt;0,AG418,AH362*(Предпосылки!$H285/(AH$8+1-AH$7)))</f>
        <v>0</v>
      </c>
      <c s="125">
        <f>IF(Предпосылки!$H285&gt;0,AH418,AI362*(Предпосылки!$H285/(AI$8+1-AI$7)))</f>
        <v>0</v>
      </c>
      <c s="125">
        <f>IF(Предпосылки!$H285&gt;0,AI418,AJ362*(Предпосылки!$H285/(AJ$8+1-AJ$7)))</f>
        <v>0</v>
      </c>
      <c s="125">
        <f>IF(Предпосылки!$H285&gt;0,AJ418,AK362*(Предпосылки!$H285/(AK$8+1-AK$7)))</f>
        <v>0</v>
      </c>
      <c s="125">
        <f>IF(Предпосылки!$H285&gt;0,AK418,AL362*(Предпосылки!$H285/(AL$8+1-AL$7)))</f>
        <v>0</v>
      </c>
      <c s="125">
        <f>IF(Предпосылки!$H285&gt;0,AL418,AM362*(Предпосылки!$H285/(AM$8+1-AM$7)))</f>
        <v>0</v>
      </c>
      <c s="125">
        <f>IF(Предпосылки!$H285&gt;0,AM418,AN362*(Предпосылки!$H285/(AN$8+1-AN$7)))</f>
        <v>0</v>
      </c>
      <c s="125">
        <f>IF(Предпосылки!$H285&gt;0,AN418,AO362*(Предпосылки!$H285/(AO$8+1-AO$7)))</f>
        <v>0</v>
      </c>
      <c s="125">
        <f>IF(Предпосылки!$H285&gt;0,AO418,AP362*(Предпосылки!$H285/(AP$8+1-AP$7)))</f>
        <v>0</v>
      </c>
      <c s="125">
        <f>IF(Предпосылки!$H285&gt;0,AP418,AQ362*(Предпосылки!$H285/(AQ$8+1-AQ$7)))</f>
        <v>0</v>
      </c>
      <c s="125">
        <f>IF(Предпосылки!$H285&gt;0,AQ418,AR362*(Предпосылки!$H285/(AR$8+1-AR$7)))</f>
        <v>0</v>
      </c>
      <c s="125">
        <f>IF(Предпосылки!$H285&gt;0,AR418,AS362*(Предпосылки!$H285/(AS$8+1-AS$7)))</f>
        <v>0</v>
      </c>
      <c s="125">
        <f>IF(Предпосылки!$H285&gt;0,AS418,AT362*(Предпосылки!$H285/(AT$8+1-AT$7)))</f>
        <v>0</v>
      </c>
      <c s="125">
        <f>IF(Предпосылки!$H285&gt;0,AT418,AU362*(Предпосылки!$H285/(AU$8+1-AU$7)))</f>
        <v>0</v>
      </c>
      <c s="125">
        <f>IF(Предпосылки!$H285&gt;0,AU418,AV362*(Предпосылки!$H285/(AV$8+1-AV$7)))</f>
        <v>0</v>
      </c>
      <c s="125">
        <f>IF(Предпосылки!$H285&gt;0,AV418,AW362*(Предпосылки!$H285/(AW$8+1-AW$7)))</f>
        <v>0</v>
      </c>
      <c s="125">
        <f>IF(Предпосылки!$H285&gt;0,AW418,AX362*(Предпосылки!$H285/(AX$8+1-AX$7)))</f>
        <v>0</v>
      </c>
      <c s="125">
        <f>IF(Предпосылки!$H285&gt;0,AX418,AY362*(Предпосылки!$H285/(AY$8+1-AY$7)))</f>
        <v>0</v>
      </c>
      <c s="125">
        <f>IF(Предпосылки!$H285&gt;0,AY418,AZ362*(Предпосылки!$H285/(AZ$8+1-AZ$7)))</f>
        <v>0</v>
      </c>
      <c s="125">
        <f>IF(Предпосылки!$H285&gt;0,AZ418,BA362*(Предпосылки!$H285/(BA$8+1-BA$7)))</f>
        <v>0</v>
      </c>
      <c s="125">
        <f>IF(Предпосылки!$H285&gt;0,BA418,BB362*(Предпосылки!$H285/(BB$8+1-BB$7)))</f>
        <v>0</v>
      </c>
      <c s="125">
        <f>IF(Предпосылки!$H285&gt;0,BB418,BC362*(Предпосылки!$H285/(BC$8+1-BC$7)))</f>
        <v>0</v>
      </c>
      <c s="125">
        <f>IF(Предпосылки!$H285&gt;0,BC418,BD362*(Предпосылки!$H285/(BD$8+1-BD$7)))</f>
        <v>0</v>
      </c>
      <c s="125">
        <f>IF(Предпосылки!$H285&gt;0,BD418,BE362*(Предпосылки!$H285/(BE$8+1-BE$7)))</f>
        <v>0</v>
      </c>
      <c s="125">
        <f>IF(Предпосылки!$H285&gt;0,BE418,BF362*(Предпосылки!$H285/(BF$8+1-BF$7)))</f>
        <v>0</v>
      </c>
      <c s="125">
        <f>IF(Предпосылки!$H285&gt;0,BF418,BG362*(Предпосылки!$H285/(BG$8+1-BG$7)))</f>
        <v>0</v>
      </c>
      <c s="125">
        <f>IF(Предпосылки!$H285&gt;0,BG418,BH362*(Предпосылки!$H285/(BH$8+1-BH$7)))</f>
        <v>0</v>
      </c>
      <c s="125">
        <f>IF(Предпосылки!$H285&gt;0,BH418,BI362*(Предпосылки!$H285/(BI$8+1-BI$7)))</f>
        <v>0</v>
      </c>
      <c s="125">
        <f>IF(Предпосылки!$H285&gt;0,BI418,BJ362*(Предпосылки!$H285/(BJ$8+1-BJ$7)))</f>
        <v>0</v>
      </c>
      <c s="125">
        <f>IF(Предпосылки!$H285&gt;0,BJ418,BK362*(Предпосылки!$H285/(BK$8+1-BK$7)))</f>
        <v>0</v>
      </c>
      <c s="125">
        <f>IF(Предпосылки!$H285&gt;0,BK418,BL362*(Предпосылки!$H285/(BL$8+1-BL$7)))</f>
        <v>0</v>
      </c>
      <c s="125">
        <f>IF(Предпосылки!$H285&gt;0,BL418,BM362*(Предпосылки!$H285/(BM$8+1-BM$7)))</f>
        <v>0</v>
      </c>
    </row>
    <row r="335" spans="2:65" ht="15" customHeight="1">
      <c r="B335" s="12" t="str">
        <f>IF(ISBLANK(Предпосылки!B286),"-",Предпосылки!B286)</f>
        <v>-</v>
      </c>
      <c s="124" t="str">
        <f t="shared" si="261"/>
        <v>тыс. руб.</v>
      </c>
      <c s="125"/>
      <c s="125">
        <f>IF(Предпосылки!$H286&gt;0,D419,E363*(Предпосылки!$H286/(E$8+1-E$7)))</f>
        <v>0</v>
      </c>
      <c s="125">
        <f>IF(Предпосылки!$H286&gt;0,E419,F363*(Предпосылки!$H286/(F$8+1-F$7)))</f>
        <v>0</v>
      </c>
      <c s="125">
        <f>IF(Предпосылки!$H286&gt;0,F419,G363*(Предпосылки!$H286/(G$8+1-G$7)))</f>
        <v>0</v>
      </c>
      <c s="125">
        <f>IF(Предпосылки!$H286&gt;0,G419,H363*(Предпосылки!$H286/(H$8+1-H$7)))</f>
        <v>0</v>
      </c>
      <c s="125">
        <f>IF(Предпосылки!$H286&gt;0,H419,I363*(Предпосылки!$H286/(I$8+1-I$7)))</f>
        <v>0</v>
      </c>
      <c s="125">
        <f>IF(Предпосылки!$H286&gt;0,I419,J363*(Предпосылки!$H286/(J$8+1-J$7)))</f>
        <v>0</v>
      </c>
      <c s="125">
        <f>IF(Предпосылки!$H286&gt;0,J419,K363*(Предпосылки!$H286/(K$8+1-K$7)))</f>
        <v>0</v>
      </c>
      <c s="125">
        <f>IF(Предпосылки!$H286&gt;0,K419,L363*(Предпосылки!$H286/(L$8+1-L$7)))</f>
        <v>0</v>
      </c>
      <c s="125">
        <f>IF(Предпосылки!$H286&gt;0,L419,M363*(Предпосылки!$H286/(M$8+1-M$7)))</f>
        <v>0</v>
      </c>
      <c s="125">
        <f>IF(Предпосылки!$H286&gt;0,M419,N363*(Предпосылки!$H286/(N$8+1-N$7)))</f>
        <v>0</v>
      </c>
      <c s="125">
        <f>IF(Предпосылки!$H286&gt;0,N419,O363*(Предпосылки!$H286/(O$8+1-O$7)))</f>
        <v>0</v>
      </c>
      <c s="125">
        <f>IF(Предпосылки!$H286&gt;0,O419,P363*(Предпосылки!$H286/(P$8+1-P$7)))</f>
        <v>0</v>
      </c>
      <c s="125">
        <f>IF(Предпосылки!$H286&gt;0,P419,Q363*(Предпосылки!$H286/(Q$8+1-Q$7)))</f>
        <v>0</v>
      </c>
      <c s="125">
        <f>IF(Предпосылки!$H286&gt;0,Q419,R363*(Предпосылки!$H286/(R$8+1-R$7)))</f>
        <v>0</v>
      </c>
      <c s="125">
        <f>IF(Предпосылки!$H286&gt;0,R419,S363*(Предпосылки!$H286/(S$8+1-S$7)))</f>
        <v>0</v>
      </c>
      <c s="125">
        <f>IF(Предпосылки!$H286&gt;0,S419,T363*(Предпосылки!$H286/(T$8+1-T$7)))</f>
        <v>0</v>
      </c>
      <c s="125">
        <f>IF(Предпосылки!$H286&gt;0,T419,U363*(Предпосылки!$H286/(U$8+1-U$7)))</f>
        <v>0</v>
      </c>
      <c s="125">
        <f>IF(Предпосылки!$H286&gt;0,U419,V363*(Предпосылки!$H286/(V$8+1-V$7)))</f>
        <v>0</v>
      </c>
      <c s="125">
        <f>IF(Предпосылки!$H286&gt;0,V419,W363*(Предпосылки!$H286/(W$8+1-W$7)))</f>
        <v>0</v>
      </c>
      <c s="125">
        <f>IF(Предпосылки!$H286&gt;0,W419,X363*(Предпосылки!$H286/(X$8+1-X$7)))</f>
        <v>0</v>
      </c>
      <c s="125">
        <f>IF(Предпосылки!$H286&gt;0,X419,Y363*(Предпосылки!$H286/(Y$8+1-Y$7)))</f>
        <v>0</v>
      </c>
      <c s="125">
        <f>IF(Предпосылки!$H286&gt;0,Y419,Z363*(Предпосылки!$H286/(Z$8+1-Z$7)))</f>
        <v>0</v>
      </c>
      <c s="125">
        <f>IF(Предпосылки!$H286&gt;0,Z419,AA363*(Предпосылки!$H286/(AA$8+1-AA$7)))</f>
        <v>0</v>
      </c>
      <c s="125">
        <f>IF(Предпосылки!$H286&gt;0,AA419,AB363*(Предпосылки!$H286/(AB$8+1-AB$7)))</f>
        <v>0</v>
      </c>
      <c s="125">
        <f>IF(Предпосылки!$H286&gt;0,AB419,AC363*(Предпосылки!$H286/(AC$8+1-AC$7)))</f>
        <v>0</v>
      </c>
      <c s="125">
        <f>IF(Предпосылки!$H286&gt;0,AC419,AD363*(Предпосылки!$H286/(AD$8+1-AD$7)))</f>
        <v>0</v>
      </c>
      <c s="125">
        <f>IF(Предпосылки!$H286&gt;0,AD419,AE363*(Предпосылки!$H286/(AE$8+1-AE$7)))</f>
        <v>0</v>
      </c>
      <c s="125">
        <f>IF(Предпосылки!$H286&gt;0,AE419,AF363*(Предпосылки!$H286/(AF$8+1-AF$7)))</f>
        <v>0</v>
      </c>
      <c s="125">
        <f>IF(Предпосылки!$H286&gt;0,AF419,AG363*(Предпосылки!$H286/(AG$8+1-AG$7)))</f>
        <v>0</v>
      </c>
      <c s="125">
        <f>IF(Предпосылки!$H286&gt;0,AG419,AH363*(Предпосылки!$H286/(AH$8+1-AH$7)))</f>
        <v>0</v>
      </c>
      <c s="125">
        <f>IF(Предпосылки!$H286&gt;0,AH419,AI363*(Предпосылки!$H286/(AI$8+1-AI$7)))</f>
        <v>0</v>
      </c>
      <c s="125">
        <f>IF(Предпосылки!$H286&gt;0,AI419,AJ363*(Предпосылки!$H286/(AJ$8+1-AJ$7)))</f>
        <v>0</v>
      </c>
      <c s="125">
        <f>IF(Предпосылки!$H286&gt;0,AJ419,AK363*(Предпосылки!$H286/(AK$8+1-AK$7)))</f>
        <v>0</v>
      </c>
      <c s="125">
        <f>IF(Предпосылки!$H286&gt;0,AK419,AL363*(Предпосылки!$H286/(AL$8+1-AL$7)))</f>
        <v>0</v>
      </c>
      <c s="125">
        <f>IF(Предпосылки!$H286&gt;0,AL419,AM363*(Предпосылки!$H286/(AM$8+1-AM$7)))</f>
        <v>0</v>
      </c>
      <c s="125">
        <f>IF(Предпосылки!$H286&gt;0,AM419,AN363*(Предпосылки!$H286/(AN$8+1-AN$7)))</f>
        <v>0</v>
      </c>
      <c s="125">
        <f>IF(Предпосылки!$H286&gt;0,AN419,AO363*(Предпосылки!$H286/(AO$8+1-AO$7)))</f>
        <v>0</v>
      </c>
      <c s="125">
        <f>IF(Предпосылки!$H286&gt;0,AO419,AP363*(Предпосылки!$H286/(AP$8+1-AP$7)))</f>
        <v>0</v>
      </c>
      <c s="125">
        <f>IF(Предпосылки!$H286&gt;0,AP419,AQ363*(Предпосылки!$H286/(AQ$8+1-AQ$7)))</f>
        <v>0</v>
      </c>
      <c s="125">
        <f>IF(Предпосылки!$H286&gt;0,AQ419,AR363*(Предпосылки!$H286/(AR$8+1-AR$7)))</f>
        <v>0</v>
      </c>
      <c s="125">
        <f>IF(Предпосылки!$H286&gt;0,AR419,AS363*(Предпосылки!$H286/(AS$8+1-AS$7)))</f>
        <v>0</v>
      </c>
      <c s="125">
        <f>IF(Предпосылки!$H286&gt;0,AS419,AT363*(Предпосылки!$H286/(AT$8+1-AT$7)))</f>
        <v>0</v>
      </c>
      <c s="125">
        <f>IF(Предпосылки!$H286&gt;0,AT419,AU363*(Предпосылки!$H286/(AU$8+1-AU$7)))</f>
        <v>0</v>
      </c>
      <c s="125">
        <f>IF(Предпосылки!$H286&gt;0,AU419,AV363*(Предпосылки!$H286/(AV$8+1-AV$7)))</f>
        <v>0</v>
      </c>
      <c s="125">
        <f>IF(Предпосылки!$H286&gt;0,AV419,AW363*(Предпосылки!$H286/(AW$8+1-AW$7)))</f>
        <v>0</v>
      </c>
      <c s="125">
        <f>IF(Предпосылки!$H286&gt;0,AW419,AX363*(Предпосылки!$H286/(AX$8+1-AX$7)))</f>
        <v>0</v>
      </c>
      <c s="125">
        <f>IF(Предпосылки!$H286&gt;0,AX419,AY363*(Предпосылки!$H286/(AY$8+1-AY$7)))</f>
        <v>0</v>
      </c>
      <c s="125">
        <f>IF(Предпосылки!$H286&gt;0,AY419,AZ363*(Предпосылки!$H286/(AZ$8+1-AZ$7)))</f>
        <v>0</v>
      </c>
      <c s="125">
        <f>IF(Предпосылки!$H286&gt;0,AZ419,BA363*(Предпосылки!$H286/(BA$8+1-BA$7)))</f>
        <v>0</v>
      </c>
      <c s="125">
        <f>IF(Предпосылки!$H286&gt;0,BA419,BB363*(Предпосылки!$H286/(BB$8+1-BB$7)))</f>
        <v>0</v>
      </c>
      <c s="125">
        <f>IF(Предпосылки!$H286&gt;0,BB419,BC363*(Предпосылки!$H286/(BC$8+1-BC$7)))</f>
        <v>0</v>
      </c>
      <c s="125">
        <f>IF(Предпосылки!$H286&gt;0,BC419,BD363*(Предпосылки!$H286/(BD$8+1-BD$7)))</f>
        <v>0</v>
      </c>
      <c s="125">
        <f>IF(Предпосылки!$H286&gt;0,BD419,BE363*(Предпосылки!$H286/(BE$8+1-BE$7)))</f>
        <v>0</v>
      </c>
      <c s="125">
        <f>IF(Предпосылки!$H286&gt;0,BE419,BF363*(Предпосылки!$H286/(BF$8+1-BF$7)))</f>
        <v>0</v>
      </c>
      <c s="125">
        <f>IF(Предпосылки!$H286&gt;0,BF419,BG363*(Предпосылки!$H286/(BG$8+1-BG$7)))</f>
        <v>0</v>
      </c>
      <c s="125">
        <f>IF(Предпосылки!$H286&gt;0,BG419,BH363*(Предпосылки!$H286/(BH$8+1-BH$7)))</f>
        <v>0</v>
      </c>
      <c s="125">
        <f>IF(Предпосылки!$H286&gt;0,BH419,BI363*(Предпосылки!$H286/(BI$8+1-BI$7)))</f>
        <v>0</v>
      </c>
      <c s="125">
        <f>IF(Предпосылки!$H286&gt;0,BI419,BJ363*(Предпосылки!$H286/(BJ$8+1-BJ$7)))</f>
        <v>0</v>
      </c>
      <c s="125">
        <f>IF(Предпосылки!$H286&gt;0,BJ419,BK363*(Предпосылки!$H286/(BK$8+1-BK$7)))</f>
        <v>0</v>
      </c>
      <c s="125">
        <f>IF(Предпосылки!$H286&gt;0,BK419,BL363*(Предпосылки!$H286/(BL$8+1-BL$7)))</f>
        <v>0</v>
      </c>
      <c s="125">
        <f>IF(Предпосылки!$H286&gt;0,BL419,BM363*(Предпосылки!$H286/(BM$8+1-BM$7)))</f>
        <v>0</v>
      </c>
    </row>
    <row r="336" spans="2:65" ht="15" customHeight="1">
      <c r="B336" s="12" t="str">
        <f>IF(ISBLANK(Предпосылки!B287),"-",Предпосылки!B287)</f>
        <v>-</v>
      </c>
      <c s="124" t="str">
        <f t="shared" si="261"/>
        <v>тыс. руб.</v>
      </c>
      <c s="125"/>
      <c s="125">
        <f>IF(Предпосылки!$H287&gt;0,D420,E364*(Предпосылки!$H287/(E$8+1-E$7)))</f>
        <v>0</v>
      </c>
      <c s="125">
        <f>IF(Предпосылки!$H287&gt;0,E420,F364*(Предпосылки!$H287/(F$8+1-F$7)))</f>
        <v>0</v>
      </c>
      <c s="125">
        <f>IF(Предпосылки!$H287&gt;0,F420,G364*(Предпосылки!$H287/(G$8+1-G$7)))</f>
        <v>0</v>
      </c>
      <c s="125">
        <f>IF(Предпосылки!$H287&gt;0,G420,H364*(Предпосылки!$H287/(H$8+1-H$7)))</f>
        <v>0</v>
      </c>
      <c s="125">
        <f>IF(Предпосылки!$H287&gt;0,H420,I364*(Предпосылки!$H287/(I$8+1-I$7)))</f>
        <v>0</v>
      </c>
      <c s="125">
        <f>IF(Предпосылки!$H287&gt;0,I420,J364*(Предпосылки!$H287/(J$8+1-J$7)))</f>
        <v>0</v>
      </c>
      <c s="125">
        <f>IF(Предпосылки!$H287&gt;0,J420,K364*(Предпосылки!$H287/(K$8+1-K$7)))</f>
        <v>0</v>
      </c>
      <c s="125">
        <f>IF(Предпосылки!$H287&gt;0,K420,L364*(Предпосылки!$H287/(L$8+1-L$7)))</f>
        <v>0</v>
      </c>
      <c s="125">
        <f>IF(Предпосылки!$H287&gt;0,L420,M364*(Предпосылки!$H287/(M$8+1-M$7)))</f>
        <v>0</v>
      </c>
      <c s="125">
        <f>IF(Предпосылки!$H287&gt;0,M420,N364*(Предпосылки!$H287/(N$8+1-N$7)))</f>
        <v>0</v>
      </c>
      <c s="125">
        <f>IF(Предпосылки!$H287&gt;0,N420,O364*(Предпосылки!$H287/(O$8+1-O$7)))</f>
        <v>0</v>
      </c>
      <c s="125">
        <f>IF(Предпосылки!$H287&gt;0,O420,P364*(Предпосылки!$H287/(P$8+1-P$7)))</f>
        <v>0</v>
      </c>
      <c s="125">
        <f>IF(Предпосылки!$H287&gt;0,P420,Q364*(Предпосылки!$H287/(Q$8+1-Q$7)))</f>
        <v>0</v>
      </c>
      <c s="125">
        <f>IF(Предпосылки!$H287&gt;0,Q420,R364*(Предпосылки!$H287/(R$8+1-R$7)))</f>
        <v>0</v>
      </c>
      <c s="125">
        <f>IF(Предпосылки!$H287&gt;0,R420,S364*(Предпосылки!$H287/(S$8+1-S$7)))</f>
        <v>0</v>
      </c>
      <c s="125">
        <f>IF(Предпосылки!$H287&gt;0,S420,T364*(Предпосылки!$H287/(T$8+1-T$7)))</f>
        <v>0</v>
      </c>
      <c s="125">
        <f>IF(Предпосылки!$H287&gt;0,T420,U364*(Предпосылки!$H287/(U$8+1-U$7)))</f>
        <v>0</v>
      </c>
      <c s="125">
        <f>IF(Предпосылки!$H287&gt;0,U420,V364*(Предпосылки!$H287/(V$8+1-V$7)))</f>
        <v>0</v>
      </c>
      <c s="125">
        <f>IF(Предпосылки!$H287&gt;0,V420,W364*(Предпосылки!$H287/(W$8+1-W$7)))</f>
        <v>0</v>
      </c>
      <c s="125">
        <f>IF(Предпосылки!$H287&gt;0,W420,X364*(Предпосылки!$H287/(X$8+1-X$7)))</f>
        <v>0</v>
      </c>
      <c s="125">
        <f>IF(Предпосылки!$H287&gt;0,X420,Y364*(Предпосылки!$H287/(Y$8+1-Y$7)))</f>
        <v>0</v>
      </c>
      <c s="125">
        <f>IF(Предпосылки!$H287&gt;0,Y420,Z364*(Предпосылки!$H287/(Z$8+1-Z$7)))</f>
        <v>0</v>
      </c>
      <c s="125">
        <f>IF(Предпосылки!$H287&gt;0,Z420,AA364*(Предпосылки!$H287/(AA$8+1-AA$7)))</f>
        <v>0</v>
      </c>
      <c s="125">
        <f>IF(Предпосылки!$H287&gt;0,AA420,AB364*(Предпосылки!$H287/(AB$8+1-AB$7)))</f>
        <v>0</v>
      </c>
      <c s="125">
        <f>IF(Предпосылки!$H287&gt;0,AB420,AC364*(Предпосылки!$H287/(AC$8+1-AC$7)))</f>
        <v>0</v>
      </c>
      <c s="125">
        <f>IF(Предпосылки!$H287&gt;0,AC420,AD364*(Предпосылки!$H287/(AD$8+1-AD$7)))</f>
        <v>0</v>
      </c>
      <c s="125">
        <f>IF(Предпосылки!$H287&gt;0,AD420,AE364*(Предпосылки!$H287/(AE$8+1-AE$7)))</f>
        <v>0</v>
      </c>
      <c s="125">
        <f>IF(Предпосылки!$H287&gt;0,AE420,AF364*(Предпосылки!$H287/(AF$8+1-AF$7)))</f>
        <v>0</v>
      </c>
      <c s="125">
        <f>IF(Предпосылки!$H287&gt;0,AF420,AG364*(Предпосылки!$H287/(AG$8+1-AG$7)))</f>
        <v>0</v>
      </c>
      <c s="125">
        <f>IF(Предпосылки!$H287&gt;0,AG420,AH364*(Предпосылки!$H287/(AH$8+1-AH$7)))</f>
        <v>0</v>
      </c>
      <c s="125">
        <f>IF(Предпосылки!$H287&gt;0,AH420,AI364*(Предпосылки!$H287/(AI$8+1-AI$7)))</f>
        <v>0</v>
      </c>
      <c s="125">
        <f>IF(Предпосылки!$H287&gt;0,AI420,AJ364*(Предпосылки!$H287/(AJ$8+1-AJ$7)))</f>
        <v>0</v>
      </c>
      <c s="125">
        <f>IF(Предпосылки!$H287&gt;0,AJ420,AK364*(Предпосылки!$H287/(AK$8+1-AK$7)))</f>
        <v>0</v>
      </c>
      <c s="125">
        <f>IF(Предпосылки!$H287&gt;0,AK420,AL364*(Предпосылки!$H287/(AL$8+1-AL$7)))</f>
        <v>0</v>
      </c>
      <c s="125">
        <f>IF(Предпосылки!$H287&gt;0,AL420,AM364*(Предпосылки!$H287/(AM$8+1-AM$7)))</f>
        <v>0</v>
      </c>
      <c s="125">
        <f>IF(Предпосылки!$H287&gt;0,AM420,AN364*(Предпосылки!$H287/(AN$8+1-AN$7)))</f>
        <v>0</v>
      </c>
      <c s="125">
        <f>IF(Предпосылки!$H287&gt;0,AN420,AO364*(Предпосылки!$H287/(AO$8+1-AO$7)))</f>
        <v>0</v>
      </c>
      <c s="125">
        <f>IF(Предпосылки!$H287&gt;0,AO420,AP364*(Предпосылки!$H287/(AP$8+1-AP$7)))</f>
        <v>0</v>
      </c>
      <c s="125">
        <f>IF(Предпосылки!$H287&gt;0,AP420,AQ364*(Предпосылки!$H287/(AQ$8+1-AQ$7)))</f>
        <v>0</v>
      </c>
      <c s="125">
        <f>IF(Предпосылки!$H287&gt;0,AQ420,AR364*(Предпосылки!$H287/(AR$8+1-AR$7)))</f>
        <v>0</v>
      </c>
      <c s="125">
        <f>IF(Предпосылки!$H287&gt;0,AR420,AS364*(Предпосылки!$H287/(AS$8+1-AS$7)))</f>
        <v>0</v>
      </c>
      <c s="125">
        <f>IF(Предпосылки!$H287&gt;0,AS420,AT364*(Предпосылки!$H287/(AT$8+1-AT$7)))</f>
        <v>0</v>
      </c>
      <c s="125">
        <f>IF(Предпосылки!$H287&gt;0,AT420,AU364*(Предпосылки!$H287/(AU$8+1-AU$7)))</f>
        <v>0</v>
      </c>
      <c s="125">
        <f>IF(Предпосылки!$H287&gt;0,AU420,AV364*(Предпосылки!$H287/(AV$8+1-AV$7)))</f>
        <v>0</v>
      </c>
      <c s="125">
        <f>IF(Предпосылки!$H287&gt;0,AV420,AW364*(Предпосылки!$H287/(AW$8+1-AW$7)))</f>
        <v>0</v>
      </c>
      <c s="125">
        <f>IF(Предпосылки!$H287&gt;0,AW420,AX364*(Предпосылки!$H287/(AX$8+1-AX$7)))</f>
        <v>0</v>
      </c>
      <c s="125">
        <f>IF(Предпосылки!$H287&gt;0,AX420,AY364*(Предпосылки!$H287/(AY$8+1-AY$7)))</f>
        <v>0</v>
      </c>
      <c s="125">
        <f>IF(Предпосылки!$H287&gt;0,AY420,AZ364*(Предпосылки!$H287/(AZ$8+1-AZ$7)))</f>
        <v>0</v>
      </c>
      <c s="125">
        <f>IF(Предпосылки!$H287&gt;0,AZ420,BA364*(Предпосылки!$H287/(BA$8+1-BA$7)))</f>
        <v>0</v>
      </c>
      <c s="125">
        <f>IF(Предпосылки!$H287&gt;0,BA420,BB364*(Предпосылки!$H287/(BB$8+1-BB$7)))</f>
        <v>0</v>
      </c>
      <c s="125">
        <f>IF(Предпосылки!$H287&gt;0,BB420,BC364*(Предпосылки!$H287/(BC$8+1-BC$7)))</f>
        <v>0</v>
      </c>
      <c s="125">
        <f>IF(Предпосылки!$H287&gt;0,BC420,BD364*(Предпосылки!$H287/(BD$8+1-BD$7)))</f>
        <v>0</v>
      </c>
      <c s="125">
        <f>IF(Предпосылки!$H287&gt;0,BD420,BE364*(Предпосылки!$H287/(BE$8+1-BE$7)))</f>
        <v>0</v>
      </c>
      <c s="125">
        <f>IF(Предпосылки!$H287&gt;0,BE420,BF364*(Предпосылки!$H287/(BF$8+1-BF$7)))</f>
        <v>0</v>
      </c>
      <c s="125">
        <f>IF(Предпосылки!$H287&gt;0,BF420,BG364*(Предпосылки!$H287/(BG$8+1-BG$7)))</f>
        <v>0</v>
      </c>
      <c s="125">
        <f>IF(Предпосылки!$H287&gt;0,BG420,BH364*(Предпосылки!$H287/(BH$8+1-BH$7)))</f>
        <v>0</v>
      </c>
      <c s="125">
        <f>IF(Предпосылки!$H287&gt;0,BH420,BI364*(Предпосылки!$H287/(BI$8+1-BI$7)))</f>
        <v>0</v>
      </c>
      <c s="125">
        <f>IF(Предпосылки!$H287&gt;0,BI420,BJ364*(Предпосылки!$H287/(BJ$8+1-BJ$7)))</f>
        <v>0</v>
      </c>
      <c s="125">
        <f>IF(Предпосылки!$H287&gt;0,BJ420,BK364*(Предпосылки!$H287/(BK$8+1-BK$7)))</f>
        <v>0</v>
      </c>
      <c s="125">
        <f>IF(Предпосылки!$H287&gt;0,BK420,BL364*(Предпосылки!$H287/(BL$8+1-BL$7)))</f>
        <v>0</v>
      </c>
      <c s="125">
        <f>IF(Предпосылки!$H287&gt;0,BL420,BM364*(Предпосылки!$H287/(BM$8+1-BM$7)))</f>
        <v>0</v>
      </c>
    </row>
    <row r="337" spans="2:65" ht="15" customHeight="1">
      <c r="B337" s="12" t="str">
        <f>IF(ISBLANK(Предпосылки!B288),"-",Предпосылки!B288)</f>
        <v>-</v>
      </c>
      <c s="124" t="str">
        <f t="shared" si="261"/>
        <v>тыс. руб.</v>
      </c>
      <c s="125"/>
      <c s="125">
        <f>IF(Предпосылки!$H288&gt;0,D421,E365*(Предпосылки!$H288/(E$8+1-E$7)))</f>
        <v>0</v>
      </c>
      <c s="125">
        <f>IF(Предпосылки!$H288&gt;0,E421,F365*(Предпосылки!$H288/(F$8+1-F$7)))</f>
        <v>0</v>
      </c>
      <c s="125">
        <f>IF(Предпосылки!$H288&gt;0,F421,G365*(Предпосылки!$H288/(G$8+1-G$7)))</f>
        <v>0</v>
      </c>
      <c s="125">
        <f>IF(Предпосылки!$H288&gt;0,G421,H365*(Предпосылки!$H288/(H$8+1-H$7)))</f>
        <v>0</v>
      </c>
      <c s="125">
        <f>IF(Предпосылки!$H288&gt;0,H421,I365*(Предпосылки!$H288/(I$8+1-I$7)))</f>
        <v>0</v>
      </c>
      <c s="125">
        <f>IF(Предпосылки!$H288&gt;0,I421,J365*(Предпосылки!$H288/(J$8+1-J$7)))</f>
        <v>0</v>
      </c>
      <c s="125">
        <f>IF(Предпосылки!$H288&gt;0,J421,K365*(Предпосылки!$H288/(K$8+1-K$7)))</f>
        <v>0</v>
      </c>
      <c s="125">
        <f>IF(Предпосылки!$H288&gt;0,K421,L365*(Предпосылки!$H288/(L$8+1-L$7)))</f>
        <v>0</v>
      </c>
      <c s="125">
        <f>IF(Предпосылки!$H288&gt;0,L421,M365*(Предпосылки!$H288/(M$8+1-M$7)))</f>
        <v>0</v>
      </c>
      <c s="125">
        <f>IF(Предпосылки!$H288&gt;0,M421,N365*(Предпосылки!$H288/(N$8+1-N$7)))</f>
        <v>0</v>
      </c>
      <c s="125">
        <f>IF(Предпосылки!$H288&gt;0,N421,O365*(Предпосылки!$H288/(O$8+1-O$7)))</f>
        <v>0</v>
      </c>
      <c s="125">
        <f>IF(Предпосылки!$H288&gt;0,O421,P365*(Предпосылки!$H288/(P$8+1-P$7)))</f>
        <v>0</v>
      </c>
      <c s="125">
        <f>IF(Предпосылки!$H288&gt;0,P421,Q365*(Предпосылки!$H288/(Q$8+1-Q$7)))</f>
        <v>0</v>
      </c>
      <c s="125">
        <f>IF(Предпосылки!$H288&gt;0,Q421,R365*(Предпосылки!$H288/(R$8+1-R$7)))</f>
        <v>0</v>
      </c>
      <c s="125">
        <f>IF(Предпосылки!$H288&gt;0,R421,S365*(Предпосылки!$H288/(S$8+1-S$7)))</f>
        <v>0</v>
      </c>
      <c s="125">
        <f>IF(Предпосылки!$H288&gt;0,S421,T365*(Предпосылки!$H288/(T$8+1-T$7)))</f>
        <v>0</v>
      </c>
      <c s="125">
        <f>IF(Предпосылки!$H288&gt;0,T421,U365*(Предпосылки!$H288/(U$8+1-U$7)))</f>
        <v>0</v>
      </c>
      <c s="125">
        <f>IF(Предпосылки!$H288&gt;0,U421,V365*(Предпосылки!$H288/(V$8+1-V$7)))</f>
        <v>0</v>
      </c>
      <c s="125">
        <f>IF(Предпосылки!$H288&gt;0,V421,W365*(Предпосылки!$H288/(W$8+1-W$7)))</f>
        <v>0</v>
      </c>
      <c s="125">
        <f>IF(Предпосылки!$H288&gt;0,W421,X365*(Предпосылки!$H288/(X$8+1-X$7)))</f>
        <v>0</v>
      </c>
      <c s="125">
        <f>IF(Предпосылки!$H288&gt;0,X421,Y365*(Предпосылки!$H288/(Y$8+1-Y$7)))</f>
        <v>0</v>
      </c>
      <c s="125">
        <f>IF(Предпосылки!$H288&gt;0,Y421,Z365*(Предпосылки!$H288/(Z$8+1-Z$7)))</f>
        <v>0</v>
      </c>
      <c s="125">
        <f>IF(Предпосылки!$H288&gt;0,Z421,AA365*(Предпосылки!$H288/(AA$8+1-AA$7)))</f>
        <v>0</v>
      </c>
      <c s="125">
        <f>IF(Предпосылки!$H288&gt;0,AA421,AB365*(Предпосылки!$H288/(AB$8+1-AB$7)))</f>
        <v>0</v>
      </c>
      <c s="125">
        <f>IF(Предпосылки!$H288&gt;0,AB421,AC365*(Предпосылки!$H288/(AC$8+1-AC$7)))</f>
        <v>0</v>
      </c>
      <c s="125">
        <f>IF(Предпосылки!$H288&gt;0,AC421,AD365*(Предпосылки!$H288/(AD$8+1-AD$7)))</f>
        <v>0</v>
      </c>
      <c s="125">
        <f>IF(Предпосылки!$H288&gt;0,AD421,AE365*(Предпосылки!$H288/(AE$8+1-AE$7)))</f>
        <v>0</v>
      </c>
      <c s="125">
        <f>IF(Предпосылки!$H288&gt;0,AE421,AF365*(Предпосылки!$H288/(AF$8+1-AF$7)))</f>
        <v>0</v>
      </c>
      <c s="125">
        <f>IF(Предпосылки!$H288&gt;0,AF421,AG365*(Предпосылки!$H288/(AG$8+1-AG$7)))</f>
        <v>0</v>
      </c>
      <c s="125">
        <f>IF(Предпосылки!$H288&gt;0,AG421,AH365*(Предпосылки!$H288/(AH$8+1-AH$7)))</f>
        <v>0</v>
      </c>
      <c s="125">
        <f>IF(Предпосылки!$H288&gt;0,AH421,AI365*(Предпосылки!$H288/(AI$8+1-AI$7)))</f>
        <v>0</v>
      </c>
      <c s="125">
        <f>IF(Предпосылки!$H288&gt;0,AI421,AJ365*(Предпосылки!$H288/(AJ$8+1-AJ$7)))</f>
        <v>0</v>
      </c>
      <c s="125">
        <f>IF(Предпосылки!$H288&gt;0,AJ421,AK365*(Предпосылки!$H288/(AK$8+1-AK$7)))</f>
        <v>0</v>
      </c>
      <c s="125">
        <f>IF(Предпосылки!$H288&gt;0,AK421,AL365*(Предпосылки!$H288/(AL$8+1-AL$7)))</f>
        <v>0</v>
      </c>
      <c s="125">
        <f>IF(Предпосылки!$H288&gt;0,AL421,AM365*(Предпосылки!$H288/(AM$8+1-AM$7)))</f>
        <v>0</v>
      </c>
      <c s="125">
        <f>IF(Предпосылки!$H288&gt;0,AM421,AN365*(Предпосылки!$H288/(AN$8+1-AN$7)))</f>
        <v>0</v>
      </c>
      <c s="125">
        <f>IF(Предпосылки!$H288&gt;0,AN421,AO365*(Предпосылки!$H288/(AO$8+1-AO$7)))</f>
        <v>0</v>
      </c>
      <c s="125">
        <f>IF(Предпосылки!$H288&gt;0,AO421,AP365*(Предпосылки!$H288/(AP$8+1-AP$7)))</f>
        <v>0</v>
      </c>
      <c s="125">
        <f>IF(Предпосылки!$H288&gt;0,AP421,AQ365*(Предпосылки!$H288/(AQ$8+1-AQ$7)))</f>
        <v>0</v>
      </c>
      <c s="125">
        <f>IF(Предпосылки!$H288&gt;0,AQ421,AR365*(Предпосылки!$H288/(AR$8+1-AR$7)))</f>
        <v>0</v>
      </c>
      <c s="125">
        <f>IF(Предпосылки!$H288&gt;0,AR421,AS365*(Предпосылки!$H288/(AS$8+1-AS$7)))</f>
        <v>0</v>
      </c>
      <c s="125">
        <f>IF(Предпосылки!$H288&gt;0,AS421,AT365*(Предпосылки!$H288/(AT$8+1-AT$7)))</f>
        <v>0</v>
      </c>
      <c s="125">
        <f>IF(Предпосылки!$H288&gt;0,AT421,AU365*(Предпосылки!$H288/(AU$8+1-AU$7)))</f>
        <v>0</v>
      </c>
      <c s="125">
        <f>IF(Предпосылки!$H288&gt;0,AU421,AV365*(Предпосылки!$H288/(AV$8+1-AV$7)))</f>
        <v>0</v>
      </c>
      <c s="125">
        <f>IF(Предпосылки!$H288&gt;0,AV421,AW365*(Предпосылки!$H288/(AW$8+1-AW$7)))</f>
        <v>0</v>
      </c>
      <c s="125">
        <f>IF(Предпосылки!$H288&gt;0,AW421,AX365*(Предпосылки!$H288/(AX$8+1-AX$7)))</f>
        <v>0</v>
      </c>
      <c s="125">
        <f>IF(Предпосылки!$H288&gt;0,AX421,AY365*(Предпосылки!$H288/(AY$8+1-AY$7)))</f>
        <v>0</v>
      </c>
      <c s="125">
        <f>IF(Предпосылки!$H288&gt;0,AY421,AZ365*(Предпосылки!$H288/(AZ$8+1-AZ$7)))</f>
        <v>0</v>
      </c>
      <c s="125">
        <f>IF(Предпосылки!$H288&gt;0,AZ421,BA365*(Предпосылки!$H288/(BA$8+1-BA$7)))</f>
        <v>0</v>
      </c>
      <c s="125">
        <f>IF(Предпосылки!$H288&gt;0,BA421,BB365*(Предпосылки!$H288/(BB$8+1-BB$7)))</f>
        <v>0</v>
      </c>
      <c s="125">
        <f>IF(Предпосылки!$H288&gt;0,BB421,BC365*(Предпосылки!$H288/(BC$8+1-BC$7)))</f>
        <v>0</v>
      </c>
      <c s="125">
        <f>IF(Предпосылки!$H288&gt;0,BC421,BD365*(Предпосылки!$H288/(BD$8+1-BD$7)))</f>
        <v>0</v>
      </c>
      <c s="125">
        <f>IF(Предпосылки!$H288&gt;0,BD421,BE365*(Предпосылки!$H288/(BE$8+1-BE$7)))</f>
        <v>0</v>
      </c>
      <c s="125">
        <f>IF(Предпосылки!$H288&gt;0,BE421,BF365*(Предпосылки!$H288/(BF$8+1-BF$7)))</f>
        <v>0</v>
      </c>
      <c s="125">
        <f>IF(Предпосылки!$H288&gt;0,BF421,BG365*(Предпосылки!$H288/(BG$8+1-BG$7)))</f>
        <v>0</v>
      </c>
      <c s="125">
        <f>IF(Предпосылки!$H288&gt;0,BG421,BH365*(Предпосылки!$H288/(BH$8+1-BH$7)))</f>
        <v>0</v>
      </c>
      <c s="125">
        <f>IF(Предпосылки!$H288&gt;0,BH421,BI365*(Предпосылки!$H288/(BI$8+1-BI$7)))</f>
        <v>0</v>
      </c>
      <c s="125">
        <f>IF(Предпосылки!$H288&gt;0,BI421,BJ365*(Предпосылки!$H288/(BJ$8+1-BJ$7)))</f>
        <v>0</v>
      </c>
      <c s="125">
        <f>IF(Предпосылки!$H288&gt;0,BJ421,BK365*(Предпосылки!$H288/(BK$8+1-BK$7)))</f>
        <v>0</v>
      </c>
      <c s="125">
        <f>IF(Предпосылки!$H288&gt;0,BK421,BL365*(Предпосылки!$H288/(BL$8+1-BL$7)))</f>
        <v>0</v>
      </c>
      <c s="125">
        <f>IF(Предпосылки!$H288&gt;0,BL421,BM365*(Предпосылки!$H288/(BM$8+1-BM$7)))</f>
        <v>0</v>
      </c>
    </row>
    <row r="338" spans="2:65" ht="15" customHeight="1">
      <c r="B338" s="12" t="str">
        <f>IF(ISBLANK(Предпосылки!B289),"-",Предпосылки!B289)</f>
        <v>-</v>
      </c>
      <c s="124" t="str">
        <f t="shared" si="261"/>
        <v>тыс. руб.</v>
      </c>
      <c s="125"/>
      <c s="125">
        <f>IF(Предпосылки!$H289&gt;0,D422,E366*(Предпосылки!$H289/(E$8+1-E$7)))</f>
        <v>0</v>
      </c>
      <c s="125">
        <f>IF(Предпосылки!$H289&gt;0,E422,F366*(Предпосылки!$H289/(F$8+1-F$7)))</f>
        <v>0</v>
      </c>
      <c s="125">
        <f>IF(Предпосылки!$H289&gt;0,F422,G366*(Предпосылки!$H289/(G$8+1-G$7)))</f>
        <v>0</v>
      </c>
      <c s="125">
        <f>IF(Предпосылки!$H289&gt;0,G422,H366*(Предпосылки!$H289/(H$8+1-H$7)))</f>
        <v>0</v>
      </c>
      <c s="125">
        <f>IF(Предпосылки!$H289&gt;0,H422,I366*(Предпосылки!$H289/(I$8+1-I$7)))</f>
        <v>0</v>
      </c>
      <c s="125">
        <f>IF(Предпосылки!$H289&gt;0,I422,J366*(Предпосылки!$H289/(J$8+1-J$7)))</f>
        <v>0</v>
      </c>
      <c s="125">
        <f>IF(Предпосылки!$H289&gt;0,J422,K366*(Предпосылки!$H289/(K$8+1-K$7)))</f>
        <v>0</v>
      </c>
      <c s="125">
        <f>IF(Предпосылки!$H289&gt;0,K422,L366*(Предпосылки!$H289/(L$8+1-L$7)))</f>
        <v>0</v>
      </c>
      <c s="125">
        <f>IF(Предпосылки!$H289&gt;0,L422,M366*(Предпосылки!$H289/(M$8+1-M$7)))</f>
        <v>0</v>
      </c>
      <c s="125">
        <f>IF(Предпосылки!$H289&gt;0,M422,N366*(Предпосылки!$H289/(N$8+1-N$7)))</f>
        <v>0</v>
      </c>
      <c s="125">
        <f>IF(Предпосылки!$H289&gt;0,N422,O366*(Предпосылки!$H289/(O$8+1-O$7)))</f>
        <v>0</v>
      </c>
      <c s="125">
        <f>IF(Предпосылки!$H289&gt;0,O422,P366*(Предпосылки!$H289/(P$8+1-P$7)))</f>
        <v>0</v>
      </c>
      <c s="125">
        <f>IF(Предпосылки!$H289&gt;0,P422,Q366*(Предпосылки!$H289/(Q$8+1-Q$7)))</f>
        <v>0</v>
      </c>
      <c s="125">
        <f>IF(Предпосылки!$H289&gt;0,Q422,R366*(Предпосылки!$H289/(R$8+1-R$7)))</f>
        <v>0</v>
      </c>
      <c s="125">
        <f>IF(Предпосылки!$H289&gt;0,R422,S366*(Предпосылки!$H289/(S$8+1-S$7)))</f>
        <v>0</v>
      </c>
      <c s="125">
        <f>IF(Предпосылки!$H289&gt;0,S422,T366*(Предпосылки!$H289/(T$8+1-T$7)))</f>
        <v>0</v>
      </c>
      <c s="125">
        <f>IF(Предпосылки!$H289&gt;0,T422,U366*(Предпосылки!$H289/(U$8+1-U$7)))</f>
        <v>0</v>
      </c>
      <c s="125">
        <f>IF(Предпосылки!$H289&gt;0,U422,V366*(Предпосылки!$H289/(V$8+1-V$7)))</f>
        <v>0</v>
      </c>
      <c s="125">
        <f>IF(Предпосылки!$H289&gt;0,V422,W366*(Предпосылки!$H289/(W$8+1-W$7)))</f>
        <v>0</v>
      </c>
      <c s="125">
        <f>IF(Предпосылки!$H289&gt;0,W422,X366*(Предпосылки!$H289/(X$8+1-X$7)))</f>
        <v>0</v>
      </c>
      <c s="125">
        <f>IF(Предпосылки!$H289&gt;0,X422,Y366*(Предпосылки!$H289/(Y$8+1-Y$7)))</f>
        <v>0</v>
      </c>
      <c s="125">
        <f>IF(Предпосылки!$H289&gt;0,Y422,Z366*(Предпосылки!$H289/(Z$8+1-Z$7)))</f>
        <v>0</v>
      </c>
      <c s="125">
        <f>IF(Предпосылки!$H289&gt;0,Z422,AA366*(Предпосылки!$H289/(AA$8+1-AA$7)))</f>
        <v>0</v>
      </c>
      <c s="125">
        <f>IF(Предпосылки!$H289&gt;0,AA422,AB366*(Предпосылки!$H289/(AB$8+1-AB$7)))</f>
        <v>0</v>
      </c>
      <c s="125">
        <f>IF(Предпосылки!$H289&gt;0,AB422,AC366*(Предпосылки!$H289/(AC$8+1-AC$7)))</f>
        <v>0</v>
      </c>
      <c s="125">
        <f>IF(Предпосылки!$H289&gt;0,AC422,AD366*(Предпосылки!$H289/(AD$8+1-AD$7)))</f>
        <v>0</v>
      </c>
      <c s="125">
        <f>IF(Предпосылки!$H289&gt;0,AD422,AE366*(Предпосылки!$H289/(AE$8+1-AE$7)))</f>
        <v>0</v>
      </c>
      <c s="125">
        <f>IF(Предпосылки!$H289&gt;0,AE422,AF366*(Предпосылки!$H289/(AF$8+1-AF$7)))</f>
        <v>0</v>
      </c>
      <c s="125">
        <f>IF(Предпосылки!$H289&gt;0,AF422,AG366*(Предпосылки!$H289/(AG$8+1-AG$7)))</f>
        <v>0</v>
      </c>
      <c s="125">
        <f>IF(Предпосылки!$H289&gt;0,AG422,AH366*(Предпосылки!$H289/(AH$8+1-AH$7)))</f>
        <v>0</v>
      </c>
      <c s="125">
        <f>IF(Предпосылки!$H289&gt;0,AH422,AI366*(Предпосылки!$H289/(AI$8+1-AI$7)))</f>
        <v>0</v>
      </c>
      <c s="125">
        <f>IF(Предпосылки!$H289&gt;0,AI422,AJ366*(Предпосылки!$H289/(AJ$8+1-AJ$7)))</f>
        <v>0</v>
      </c>
      <c s="125">
        <f>IF(Предпосылки!$H289&gt;0,AJ422,AK366*(Предпосылки!$H289/(AK$8+1-AK$7)))</f>
        <v>0</v>
      </c>
      <c s="125">
        <f>IF(Предпосылки!$H289&gt;0,AK422,AL366*(Предпосылки!$H289/(AL$8+1-AL$7)))</f>
        <v>0</v>
      </c>
      <c s="125">
        <f>IF(Предпосылки!$H289&gt;0,AL422,AM366*(Предпосылки!$H289/(AM$8+1-AM$7)))</f>
        <v>0</v>
      </c>
      <c s="125">
        <f>IF(Предпосылки!$H289&gt;0,AM422,AN366*(Предпосылки!$H289/(AN$8+1-AN$7)))</f>
        <v>0</v>
      </c>
      <c s="125">
        <f>IF(Предпосылки!$H289&gt;0,AN422,AO366*(Предпосылки!$H289/(AO$8+1-AO$7)))</f>
        <v>0</v>
      </c>
      <c s="125">
        <f>IF(Предпосылки!$H289&gt;0,AO422,AP366*(Предпосылки!$H289/(AP$8+1-AP$7)))</f>
        <v>0</v>
      </c>
      <c s="125">
        <f>IF(Предпосылки!$H289&gt;0,AP422,AQ366*(Предпосылки!$H289/(AQ$8+1-AQ$7)))</f>
        <v>0</v>
      </c>
      <c s="125">
        <f>IF(Предпосылки!$H289&gt;0,AQ422,AR366*(Предпосылки!$H289/(AR$8+1-AR$7)))</f>
        <v>0</v>
      </c>
      <c s="125">
        <f>IF(Предпосылки!$H289&gt;0,AR422,AS366*(Предпосылки!$H289/(AS$8+1-AS$7)))</f>
        <v>0</v>
      </c>
      <c s="125">
        <f>IF(Предпосылки!$H289&gt;0,AS422,AT366*(Предпосылки!$H289/(AT$8+1-AT$7)))</f>
        <v>0</v>
      </c>
      <c s="125">
        <f>IF(Предпосылки!$H289&gt;0,AT422,AU366*(Предпосылки!$H289/(AU$8+1-AU$7)))</f>
        <v>0</v>
      </c>
      <c s="125">
        <f>IF(Предпосылки!$H289&gt;0,AU422,AV366*(Предпосылки!$H289/(AV$8+1-AV$7)))</f>
        <v>0</v>
      </c>
      <c s="125">
        <f>IF(Предпосылки!$H289&gt;0,AV422,AW366*(Предпосылки!$H289/(AW$8+1-AW$7)))</f>
        <v>0</v>
      </c>
      <c s="125">
        <f>IF(Предпосылки!$H289&gt;0,AW422,AX366*(Предпосылки!$H289/(AX$8+1-AX$7)))</f>
        <v>0</v>
      </c>
      <c s="125">
        <f>IF(Предпосылки!$H289&gt;0,AX422,AY366*(Предпосылки!$H289/(AY$8+1-AY$7)))</f>
        <v>0</v>
      </c>
      <c s="125">
        <f>IF(Предпосылки!$H289&gt;0,AY422,AZ366*(Предпосылки!$H289/(AZ$8+1-AZ$7)))</f>
        <v>0</v>
      </c>
      <c s="125">
        <f>IF(Предпосылки!$H289&gt;0,AZ422,BA366*(Предпосылки!$H289/(BA$8+1-BA$7)))</f>
        <v>0</v>
      </c>
      <c s="125">
        <f>IF(Предпосылки!$H289&gt;0,BA422,BB366*(Предпосылки!$H289/(BB$8+1-BB$7)))</f>
        <v>0</v>
      </c>
      <c s="125">
        <f>IF(Предпосылки!$H289&gt;0,BB422,BC366*(Предпосылки!$H289/(BC$8+1-BC$7)))</f>
        <v>0</v>
      </c>
      <c s="125">
        <f>IF(Предпосылки!$H289&gt;0,BC422,BD366*(Предпосылки!$H289/(BD$8+1-BD$7)))</f>
        <v>0</v>
      </c>
      <c s="125">
        <f>IF(Предпосылки!$H289&gt;0,BD422,BE366*(Предпосылки!$H289/(BE$8+1-BE$7)))</f>
        <v>0</v>
      </c>
      <c s="125">
        <f>IF(Предпосылки!$H289&gt;0,BE422,BF366*(Предпосылки!$H289/(BF$8+1-BF$7)))</f>
        <v>0</v>
      </c>
      <c s="125">
        <f>IF(Предпосылки!$H289&gt;0,BF422,BG366*(Предпосылки!$H289/(BG$8+1-BG$7)))</f>
        <v>0</v>
      </c>
      <c s="125">
        <f>IF(Предпосылки!$H289&gt;0,BG422,BH366*(Предпосылки!$H289/(BH$8+1-BH$7)))</f>
        <v>0</v>
      </c>
      <c s="125">
        <f>IF(Предпосылки!$H289&gt;0,BH422,BI366*(Предпосылки!$H289/(BI$8+1-BI$7)))</f>
        <v>0</v>
      </c>
      <c s="125">
        <f>IF(Предпосылки!$H289&gt;0,BI422,BJ366*(Предпосылки!$H289/(BJ$8+1-BJ$7)))</f>
        <v>0</v>
      </c>
      <c s="125">
        <f>IF(Предпосылки!$H289&gt;0,BJ422,BK366*(Предпосылки!$H289/(BK$8+1-BK$7)))</f>
        <v>0</v>
      </c>
      <c s="125">
        <f>IF(Предпосылки!$H289&gt;0,BK422,BL366*(Предпосылки!$H289/(BL$8+1-BL$7)))</f>
        <v>0</v>
      </c>
      <c s="125">
        <f>IF(Предпосылки!$H289&gt;0,BL422,BM366*(Предпосылки!$H289/(BM$8+1-BM$7)))</f>
        <v>0</v>
      </c>
    </row>
    <row r="339" spans="2:65" ht="15" customHeight="1">
      <c r="B339" s="12" t="str">
        <f>IF(ISBLANK(Предпосылки!B290),"-",Предпосылки!B290)</f>
        <v>-</v>
      </c>
      <c s="124" t="str">
        <f t="shared" si="261"/>
        <v>тыс. руб.</v>
      </c>
      <c s="125"/>
      <c s="125">
        <f>IF(Предпосылки!$H290&gt;0,D423,E367*(Предпосылки!$H290/(E$8+1-E$7)))</f>
        <v>0</v>
      </c>
      <c s="125">
        <f>IF(Предпосылки!$H290&gt;0,E423,F367*(Предпосылки!$H290/(F$8+1-F$7)))</f>
        <v>0</v>
      </c>
      <c s="125">
        <f>IF(Предпосылки!$H290&gt;0,F423,G367*(Предпосылки!$H290/(G$8+1-G$7)))</f>
        <v>0</v>
      </c>
      <c s="125">
        <f>IF(Предпосылки!$H290&gt;0,G423,H367*(Предпосылки!$H290/(H$8+1-H$7)))</f>
        <v>0</v>
      </c>
      <c s="125">
        <f>IF(Предпосылки!$H290&gt;0,H423,I367*(Предпосылки!$H290/(I$8+1-I$7)))</f>
        <v>0</v>
      </c>
      <c s="125">
        <f>IF(Предпосылки!$H290&gt;0,I423,J367*(Предпосылки!$H290/(J$8+1-J$7)))</f>
        <v>0</v>
      </c>
      <c s="125">
        <f>IF(Предпосылки!$H290&gt;0,J423,K367*(Предпосылки!$H290/(K$8+1-K$7)))</f>
        <v>0</v>
      </c>
      <c s="125">
        <f>IF(Предпосылки!$H290&gt;0,K423,L367*(Предпосылки!$H290/(L$8+1-L$7)))</f>
        <v>0</v>
      </c>
      <c s="125">
        <f>IF(Предпосылки!$H290&gt;0,L423,M367*(Предпосылки!$H290/(M$8+1-M$7)))</f>
        <v>0</v>
      </c>
      <c s="125">
        <f>IF(Предпосылки!$H290&gt;0,M423,N367*(Предпосылки!$H290/(N$8+1-N$7)))</f>
        <v>0</v>
      </c>
      <c s="125">
        <f>IF(Предпосылки!$H290&gt;0,N423,O367*(Предпосылки!$H290/(O$8+1-O$7)))</f>
        <v>0</v>
      </c>
      <c s="125">
        <f>IF(Предпосылки!$H290&gt;0,O423,P367*(Предпосылки!$H290/(P$8+1-P$7)))</f>
        <v>0</v>
      </c>
      <c s="125">
        <f>IF(Предпосылки!$H290&gt;0,P423,Q367*(Предпосылки!$H290/(Q$8+1-Q$7)))</f>
        <v>0</v>
      </c>
      <c s="125">
        <f>IF(Предпосылки!$H290&gt;0,Q423,R367*(Предпосылки!$H290/(R$8+1-R$7)))</f>
        <v>0</v>
      </c>
      <c s="125">
        <f>IF(Предпосылки!$H290&gt;0,R423,S367*(Предпосылки!$H290/(S$8+1-S$7)))</f>
        <v>0</v>
      </c>
      <c s="125">
        <f>IF(Предпосылки!$H290&gt;0,S423,T367*(Предпосылки!$H290/(T$8+1-T$7)))</f>
        <v>0</v>
      </c>
      <c s="125">
        <f>IF(Предпосылки!$H290&gt;0,T423,U367*(Предпосылки!$H290/(U$8+1-U$7)))</f>
        <v>0</v>
      </c>
      <c s="125">
        <f>IF(Предпосылки!$H290&gt;0,U423,V367*(Предпосылки!$H290/(V$8+1-V$7)))</f>
        <v>0</v>
      </c>
      <c s="125">
        <f>IF(Предпосылки!$H290&gt;0,V423,W367*(Предпосылки!$H290/(W$8+1-W$7)))</f>
        <v>0</v>
      </c>
      <c s="125">
        <f>IF(Предпосылки!$H290&gt;0,W423,X367*(Предпосылки!$H290/(X$8+1-X$7)))</f>
        <v>0</v>
      </c>
      <c s="125">
        <f>IF(Предпосылки!$H290&gt;0,X423,Y367*(Предпосылки!$H290/(Y$8+1-Y$7)))</f>
        <v>0</v>
      </c>
      <c s="125">
        <f>IF(Предпосылки!$H290&gt;0,Y423,Z367*(Предпосылки!$H290/(Z$8+1-Z$7)))</f>
        <v>0</v>
      </c>
      <c s="125">
        <f>IF(Предпосылки!$H290&gt;0,Z423,AA367*(Предпосылки!$H290/(AA$8+1-AA$7)))</f>
        <v>0</v>
      </c>
      <c s="125">
        <f>IF(Предпосылки!$H290&gt;0,AA423,AB367*(Предпосылки!$H290/(AB$8+1-AB$7)))</f>
        <v>0</v>
      </c>
      <c s="125">
        <f>IF(Предпосылки!$H290&gt;0,AB423,AC367*(Предпосылки!$H290/(AC$8+1-AC$7)))</f>
        <v>0</v>
      </c>
      <c s="125">
        <f>IF(Предпосылки!$H290&gt;0,AC423,AD367*(Предпосылки!$H290/(AD$8+1-AD$7)))</f>
        <v>0</v>
      </c>
      <c s="125">
        <f>IF(Предпосылки!$H290&gt;0,AD423,AE367*(Предпосылки!$H290/(AE$8+1-AE$7)))</f>
        <v>0</v>
      </c>
      <c s="125">
        <f>IF(Предпосылки!$H290&gt;0,AE423,AF367*(Предпосылки!$H290/(AF$8+1-AF$7)))</f>
        <v>0</v>
      </c>
      <c s="125">
        <f>IF(Предпосылки!$H290&gt;0,AF423,AG367*(Предпосылки!$H290/(AG$8+1-AG$7)))</f>
        <v>0</v>
      </c>
      <c s="125">
        <f>IF(Предпосылки!$H290&gt;0,AG423,AH367*(Предпосылки!$H290/(AH$8+1-AH$7)))</f>
        <v>0</v>
      </c>
      <c s="125">
        <f>IF(Предпосылки!$H290&gt;0,AH423,AI367*(Предпосылки!$H290/(AI$8+1-AI$7)))</f>
        <v>0</v>
      </c>
      <c s="125">
        <f>IF(Предпосылки!$H290&gt;0,AI423,AJ367*(Предпосылки!$H290/(AJ$8+1-AJ$7)))</f>
        <v>0</v>
      </c>
      <c s="125">
        <f>IF(Предпосылки!$H290&gt;0,AJ423,AK367*(Предпосылки!$H290/(AK$8+1-AK$7)))</f>
        <v>0</v>
      </c>
      <c s="125">
        <f>IF(Предпосылки!$H290&gt;0,AK423,AL367*(Предпосылки!$H290/(AL$8+1-AL$7)))</f>
        <v>0</v>
      </c>
      <c s="125">
        <f>IF(Предпосылки!$H290&gt;0,AL423,AM367*(Предпосылки!$H290/(AM$8+1-AM$7)))</f>
        <v>0</v>
      </c>
      <c s="125">
        <f>IF(Предпосылки!$H290&gt;0,AM423,AN367*(Предпосылки!$H290/(AN$8+1-AN$7)))</f>
        <v>0</v>
      </c>
      <c s="125">
        <f>IF(Предпосылки!$H290&gt;0,AN423,AO367*(Предпосылки!$H290/(AO$8+1-AO$7)))</f>
        <v>0</v>
      </c>
      <c s="125">
        <f>IF(Предпосылки!$H290&gt;0,AO423,AP367*(Предпосылки!$H290/(AP$8+1-AP$7)))</f>
        <v>0</v>
      </c>
      <c s="125">
        <f>IF(Предпосылки!$H290&gt;0,AP423,AQ367*(Предпосылки!$H290/(AQ$8+1-AQ$7)))</f>
        <v>0</v>
      </c>
      <c s="125">
        <f>IF(Предпосылки!$H290&gt;0,AQ423,AR367*(Предпосылки!$H290/(AR$8+1-AR$7)))</f>
        <v>0</v>
      </c>
      <c s="125">
        <f>IF(Предпосылки!$H290&gt;0,AR423,AS367*(Предпосылки!$H290/(AS$8+1-AS$7)))</f>
        <v>0</v>
      </c>
      <c s="125">
        <f>IF(Предпосылки!$H290&gt;0,AS423,AT367*(Предпосылки!$H290/(AT$8+1-AT$7)))</f>
        <v>0</v>
      </c>
      <c s="125">
        <f>IF(Предпосылки!$H290&gt;0,AT423,AU367*(Предпосылки!$H290/(AU$8+1-AU$7)))</f>
        <v>0</v>
      </c>
      <c s="125">
        <f>IF(Предпосылки!$H290&gt;0,AU423,AV367*(Предпосылки!$H290/(AV$8+1-AV$7)))</f>
        <v>0</v>
      </c>
      <c s="125">
        <f>IF(Предпосылки!$H290&gt;0,AV423,AW367*(Предпосылки!$H290/(AW$8+1-AW$7)))</f>
        <v>0</v>
      </c>
      <c s="125">
        <f>IF(Предпосылки!$H290&gt;0,AW423,AX367*(Предпосылки!$H290/(AX$8+1-AX$7)))</f>
        <v>0</v>
      </c>
      <c s="125">
        <f>IF(Предпосылки!$H290&gt;0,AX423,AY367*(Предпосылки!$H290/(AY$8+1-AY$7)))</f>
        <v>0</v>
      </c>
      <c s="125">
        <f>IF(Предпосылки!$H290&gt;0,AY423,AZ367*(Предпосылки!$H290/(AZ$8+1-AZ$7)))</f>
        <v>0</v>
      </c>
      <c s="125">
        <f>IF(Предпосылки!$H290&gt;0,AZ423,BA367*(Предпосылки!$H290/(BA$8+1-BA$7)))</f>
        <v>0</v>
      </c>
      <c s="125">
        <f>IF(Предпосылки!$H290&gt;0,BA423,BB367*(Предпосылки!$H290/(BB$8+1-BB$7)))</f>
        <v>0</v>
      </c>
      <c s="125">
        <f>IF(Предпосылки!$H290&gt;0,BB423,BC367*(Предпосылки!$H290/(BC$8+1-BC$7)))</f>
        <v>0</v>
      </c>
      <c s="125">
        <f>IF(Предпосылки!$H290&gt;0,BC423,BD367*(Предпосылки!$H290/(BD$8+1-BD$7)))</f>
        <v>0</v>
      </c>
      <c s="125">
        <f>IF(Предпосылки!$H290&gt;0,BD423,BE367*(Предпосылки!$H290/(BE$8+1-BE$7)))</f>
        <v>0</v>
      </c>
      <c s="125">
        <f>IF(Предпосылки!$H290&gt;0,BE423,BF367*(Предпосылки!$H290/(BF$8+1-BF$7)))</f>
        <v>0</v>
      </c>
      <c s="125">
        <f>IF(Предпосылки!$H290&gt;0,BF423,BG367*(Предпосылки!$H290/(BG$8+1-BG$7)))</f>
        <v>0</v>
      </c>
      <c s="125">
        <f>IF(Предпосылки!$H290&gt;0,BG423,BH367*(Предпосылки!$H290/(BH$8+1-BH$7)))</f>
        <v>0</v>
      </c>
      <c s="125">
        <f>IF(Предпосылки!$H290&gt;0,BH423,BI367*(Предпосылки!$H290/(BI$8+1-BI$7)))</f>
        <v>0</v>
      </c>
      <c s="125">
        <f>IF(Предпосылки!$H290&gt;0,BI423,BJ367*(Предпосылки!$H290/(BJ$8+1-BJ$7)))</f>
        <v>0</v>
      </c>
      <c s="125">
        <f>IF(Предпосылки!$H290&gt;0,BJ423,BK367*(Предпосылки!$H290/(BK$8+1-BK$7)))</f>
        <v>0</v>
      </c>
      <c s="125">
        <f>IF(Предпосылки!$H290&gt;0,BK423,BL367*(Предпосылки!$H290/(BL$8+1-BL$7)))</f>
        <v>0</v>
      </c>
      <c s="125">
        <f>IF(Предпосылки!$H290&gt;0,BL423,BM367*(Предпосылки!$H290/(BM$8+1-BM$7)))</f>
        <v>0</v>
      </c>
    </row>
    <row r="340" spans="2:65" ht="15" customHeight="1">
      <c r="B340" s="12" t="str">
        <f>IF(ISBLANK(Предпосылки!B291),"-",Предпосылки!B291)</f>
        <v>-</v>
      </c>
      <c s="124" t="str">
        <f t="shared" si="261"/>
        <v>тыс. руб.</v>
      </c>
      <c s="125"/>
      <c s="125">
        <f>IF(Предпосылки!$H291&gt;0,D424,E368*(Предпосылки!$H291/(E$8+1-E$7)))</f>
        <v>0</v>
      </c>
      <c s="125">
        <f>IF(Предпосылки!$H291&gt;0,E424,F368*(Предпосылки!$H291/(F$8+1-F$7)))</f>
        <v>0</v>
      </c>
      <c s="125">
        <f>IF(Предпосылки!$H291&gt;0,F424,G368*(Предпосылки!$H291/(G$8+1-G$7)))</f>
        <v>0</v>
      </c>
      <c s="125">
        <f>IF(Предпосылки!$H291&gt;0,G424,H368*(Предпосылки!$H291/(H$8+1-H$7)))</f>
        <v>0</v>
      </c>
      <c s="125">
        <f>IF(Предпосылки!$H291&gt;0,H424,I368*(Предпосылки!$H291/(I$8+1-I$7)))</f>
        <v>0</v>
      </c>
      <c s="125">
        <f>IF(Предпосылки!$H291&gt;0,I424,J368*(Предпосылки!$H291/(J$8+1-J$7)))</f>
        <v>0</v>
      </c>
      <c s="125">
        <f>IF(Предпосылки!$H291&gt;0,J424,K368*(Предпосылки!$H291/(K$8+1-K$7)))</f>
        <v>0</v>
      </c>
      <c s="125">
        <f>IF(Предпосылки!$H291&gt;0,K424,L368*(Предпосылки!$H291/(L$8+1-L$7)))</f>
        <v>0</v>
      </c>
      <c s="125">
        <f>IF(Предпосылки!$H291&gt;0,L424,M368*(Предпосылки!$H291/(M$8+1-M$7)))</f>
        <v>0</v>
      </c>
      <c s="125">
        <f>IF(Предпосылки!$H291&gt;0,M424,N368*(Предпосылки!$H291/(N$8+1-N$7)))</f>
        <v>0</v>
      </c>
      <c s="125">
        <f>IF(Предпосылки!$H291&gt;0,N424,O368*(Предпосылки!$H291/(O$8+1-O$7)))</f>
        <v>0</v>
      </c>
      <c s="125">
        <f>IF(Предпосылки!$H291&gt;0,O424,P368*(Предпосылки!$H291/(P$8+1-P$7)))</f>
        <v>0</v>
      </c>
      <c s="125">
        <f>IF(Предпосылки!$H291&gt;0,P424,Q368*(Предпосылки!$H291/(Q$8+1-Q$7)))</f>
        <v>0</v>
      </c>
      <c s="125">
        <f>IF(Предпосылки!$H291&gt;0,Q424,R368*(Предпосылки!$H291/(R$8+1-R$7)))</f>
        <v>0</v>
      </c>
      <c s="125">
        <f>IF(Предпосылки!$H291&gt;0,R424,S368*(Предпосылки!$H291/(S$8+1-S$7)))</f>
        <v>0</v>
      </c>
      <c s="125">
        <f>IF(Предпосылки!$H291&gt;0,S424,T368*(Предпосылки!$H291/(T$8+1-T$7)))</f>
        <v>0</v>
      </c>
      <c s="125">
        <f>IF(Предпосылки!$H291&gt;0,T424,U368*(Предпосылки!$H291/(U$8+1-U$7)))</f>
        <v>0</v>
      </c>
      <c s="125">
        <f>IF(Предпосылки!$H291&gt;0,U424,V368*(Предпосылки!$H291/(V$8+1-V$7)))</f>
        <v>0</v>
      </c>
      <c s="125">
        <f>IF(Предпосылки!$H291&gt;0,V424,W368*(Предпосылки!$H291/(W$8+1-W$7)))</f>
        <v>0</v>
      </c>
      <c s="125">
        <f>IF(Предпосылки!$H291&gt;0,W424,X368*(Предпосылки!$H291/(X$8+1-X$7)))</f>
        <v>0</v>
      </c>
      <c s="125">
        <f>IF(Предпосылки!$H291&gt;0,X424,Y368*(Предпосылки!$H291/(Y$8+1-Y$7)))</f>
        <v>0</v>
      </c>
      <c s="125">
        <f>IF(Предпосылки!$H291&gt;0,Y424,Z368*(Предпосылки!$H291/(Z$8+1-Z$7)))</f>
        <v>0</v>
      </c>
      <c s="125">
        <f>IF(Предпосылки!$H291&gt;0,Z424,AA368*(Предпосылки!$H291/(AA$8+1-AA$7)))</f>
        <v>0</v>
      </c>
      <c s="125">
        <f>IF(Предпосылки!$H291&gt;0,AA424,AB368*(Предпосылки!$H291/(AB$8+1-AB$7)))</f>
        <v>0</v>
      </c>
      <c s="125">
        <f>IF(Предпосылки!$H291&gt;0,AB424,AC368*(Предпосылки!$H291/(AC$8+1-AC$7)))</f>
        <v>0</v>
      </c>
      <c s="125">
        <f>IF(Предпосылки!$H291&gt;0,AC424,AD368*(Предпосылки!$H291/(AD$8+1-AD$7)))</f>
        <v>0</v>
      </c>
      <c s="125">
        <f>IF(Предпосылки!$H291&gt;0,AD424,AE368*(Предпосылки!$H291/(AE$8+1-AE$7)))</f>
        <v>0</v>
      </c>
      <c s="125">
        <f>IF(Предпосылки!$H291&gt;0,AE424,AF368*(Предпосылки!$H291/(AF$8+1-AF$7)))</f>
        <v>0</v>
      </c>
      <c s="125">
        <f>IF(Предпосылки!$H291&gt;0,AF424,AG368*(Предпосылки!$H291/(AG$8+1-AG$7)))</f>
        <v>0</v>
      </c>
      <c s="125">
        <f>IF(Предпосылки!$H291&gt;0,AG424,AH368*(Предпосылки!$H291/(AH$8+1-AH$7)))</f>
        <v>0</v>
      </c>
      <c s="125">
        <f>IF(Предпосылки!$H291&gt;0,AH424,AI368*(Предпосылки!$H291/(AI$8+1-AI$7)))</f>
        <v>0</v>
      </c>
      <c s="125">
        <f>IF(Предпосылки!$H291&gt;0,AI424,AJ368*(Предпосылки!$H291/(AJ$8+1-AJ$7)))</f>
        <v>0</v>
      </c>
      <c s="125">
        <f>IF(Предпосылки!$H291&gt;0,AJ424,AK368*(Предпосылки!$H291/(AK$8+1-AK$7)))</f>
        <v>0</v>
      </c>
      <c s="125">
        <f>IF(Предпосылки!$H291&gt;0,AK424,AL368*(Предпосылки!$H291/(AL$8+1-AL$7)))</f>
        <v>0</v>
      </c>
      <c s="125">
        <f>IF(Предпосылки!$H291&gt;0,AL424,AM368*(Предпосылки!$H291/(AM$8+1-AM$7)))</f>
        <v>0</v>
      </c>
      <c s="125">
        <f>IF(Предпосылки!$H291&gt;0,AM424,AN368*(Предпосылки!$H291/(AN$8+1-AN$7)))</f>
        <v>0</v>
      </c>
      <c s="125">
        <f>IF(Предпосылки!$H291&gt;0,AN424,AO368*(Предпосылки!$H291/(AO$8+1-AO$7)))</f>
        <v>0</v>
      </c>
      <c s="125">
        <f>IF(Предпосылки!$H291&gt;0,AO424,AP368*(Предпосылки!$H291/(AP$8+1-AP$7)))</f>
        <v>0</v>
      </c>
      <c s="125">
        <f>IF(Предпосылки!$H291&gt;0,AP424,AQ368*(Предпосылки!$H291/(AQ$8+1-AQ$7)))</f>
        <v>0</v>
      </c>
      <c s="125">
        <f>IF(Предпосылки!$H291&gt;0,AQ424,AR368*(Предпосылки!$H291/(AR$8+1-AR$7)))</f>
        <v>0</v>
      </c>
      <c s="125">
        <f>IF(Предпосылки!$H291&gt;0,AR424,AS368*(Предпосылки!$H291/(AS$8+1-AS$7)))</f>
        <v>0</v>
      </c>
      <c s="125">
        <f>IF(Предпосылки!$H291&gt;0,AS424,AT368*(Предпосылки!$H291/(AT$8+1-AT$7)))</f>
        <v>0</v>
      </c>
      <c s="125">
        <f>IF(Предпосылки!$H291&gt;0,AT424,AU368*(Предпосылки!$H291/(AU$8+1-AU$7)))</f>
        <v>0</v>
      </c>
      <c s="125">
        <f>IF(Предпосылки!$H291&gt;0,AU424,AV368*(Предпосылки!$H291/(AV$8+1-AV$7)))</f>
        <v>0</v>
      </c>
      <c s="125">
        <f>IF(Предпосылки!$H291&gt;0,AV424,AW368*(Предпосылки!$H291/(AW$8+1-AW$7)))</f>
        <v>0</v>
      </c>
      <c s="125">
        <f>IF(Предпосылки!$H291&gt;0,AW424,AX368*(Предпосылки!$H291/(AX$8+1-AX$7)))</f>
        <v>0</v>
      </c>
      <c s="125">
        <f>IF(Предпосылки!$H291&gt;0,AX424,AY368*(Предпосылки!$H291/(AY$8+1-AY$7)))</f>
        <v>0</v>
      </c>
      <c s="125">
        <f>IF(Предпосылки!$H291&gt;0,AY424,AZ368*(Предпосылки!$H291/(AZ$8+1-AZ$7)))</f>
        <v>0</v>
      </c>
      <c s="125">
        <f>IF(Предпосылки!$H291&gt;0,AZ424,BA368*(Предпосылки!$H291/(BA$8+1-BA$7)))</f>
        <v>0</v>
      </c>
      <c s="125">
        <f>IF(Предпосылки!$H291&gt;0,BA424,BB368*(Предпосылки!$H291/(BB$8+1-BB$7)))</f>
        <v>0</v>
      </c>
      <c s="125">
        <f>IF(Предпосылки!$H291&gt;0,BB424,BC368*(Предпосылки!$H291/(BC$8+1-BC$7)))</f>
        <v>0</v>
      </c>
      <c s="125">
        <f>IF(Предпосылки!$H291&gt;0,BC424,BD368*(Предпосылки!$H291/(BD$8+1-BD$7)))</f>
        <v>0</v>
      </c>
      <c s="125">
        <f>IF(Предпосылки!$H291&gt;0,BD424,BE368*(Предпосылки!$H291/(BE$8+1-BE$7)))</f>
        <v>0</v>
      </c>
      <c s="125">
        <f>IF(Предпосылки!$H291&gt;0,BE424,BF368*(Предпосылки!$H291/(BF$8+1-BF$7)))</f>
        <v>0</v>
      </c>
      <c s="125">
        <f>IF(Предпосылки!$H291&gt;0,BF424,BG368*(Предпосылки!$H291/(BG$8+1-BG$7)))</f>
        <v>0</v>
      </c>
      <c s="125">
        <f>IF(Предпосылки!$H291&gt;0,BG424,BH368*(Предпосылки!$H291/(BH$8+1-BH$7)))</f>
        <v>0</v>
      </c>
      <c s="125">
        <f>IF(Предпосылки!$H291&gt;0,BH424,BI368*(Предпосылки!$H291/(BI$8+1-BI$7)))</f>
        <v>0</v>
      </c>
      <c s="125">
        <f>IF(Предпосылки!$H291&gt;0,BI424,BJ368*(Предпосылки!$H291/(BJ$8+1-BJ$7)))</f>
        <v>0</v>
      </c>
      <c s="125">
        <f>IF(Предпосылки!$H291&gt;0,BJ424,BK368*(Предпосылки!$H291/(BK$8+1-BK$7)))</f>
        <v>0</v>
      </c>
      <c s="125">
        <f>IF(Предпосылки!$H291&gt;0,BK424,BL368*(Предпосылки!$H291/(BL$8+1-BL$7)))</f>
        <v>0</v>
      </c>
      <c s="125">
        <f>IF(Предпосылки!$H291&gt;0,BL424,BM368*(Предпосылки!$H291/(BM$8+1-BM$7)))</f>
        <v>0</v>
      </c>
    </row>
    <row r="341" spans="2:65" ht="15" customHeight="1">
      <c r="B341" s="12" t="str">
        <f>IF(ISBLANK(Предпосылки!B292),"-",Предпосылки!B292)</f>
        <v>-</v>
      </c>
      <c s="124" t="str">
        <f t="shared" si="261"/>
        <v>тыс. руб.</v>
      </c>
      <c s="125"/>
      <c s="125">
        <f>IF(Предпосылки!$H292&gt;0,D425,E369*(Предпосылки!$H292/(E$8+1-E$7)))</f>
        <v>0</v>
      </c>
      <c s="125">
        <f>IF(Предпосылки!$H292&gt;0,E425,F369*(Предпосылки!$H292/(F$8+1-F$7)))</f>
        <v>0</v>
      </c>
      <c s="125">
        <f>IF(Предпосылки!$H292&gt;0,F425,G369*(Предпосылки!$H292/(G$8+1-G$7)))</f>
        <v>0</v>
      </c>
      <c s="125">
        <f>IF(Предпосылки!$H292&gt;0,G425,H369*(Предпосылки!$H292/(H$8+1-H$7)))</f>
        <v>0</v>
      </c>
      <c s="125">
        <f>IF(Предпосылки!$H292&gt;0,H425,I369*(Предпосылки!$H292/(I$8+1-I$7)))</f>
        <v>0</v>
      </c>
      <c s="125">
        <f>IF(Предпосылки!$H292&gt;0,I425,J369*(Предпосылки!$H292/(J$8+1-J$7)))</f>
        <v>0</v>
      </c>
      <c s="125">
        <f>IF(Предпосылки!$H292&gt;0,J425,K369*(Предпосылки!$H292/(K$8+1-K$7)))</f>
        <v>0</v>
      </c>
      <c s="125">
        <f>IF(Предпосылки!$H292&gt;0,K425,L369*(Предпосылки!$H292/(L$8+1-L$7)))</f>
        <v>0</v>
      </c>
      <c s="125">
        <f>IF(Предпосылки!$H292&gt;0,L425,M369*(Предпосылки!$H292/(M$8+1-M$7)))</f>
        <v>0</v>
      </c>
      <c s="125">
        <f>IF(Предпосылки!$H292&gt;0,M425,N369*(Предпосылки!$H292/(N$8+1-N$7)))</f>
        <v>0</v>
      </c>
      <c s="125">
        <f>IF(Предпосылки!$H292&gt;0,N425,O369*(Предпосылки!$H292/(O$8+1-O$7)))</f>
        <v>0</v>
      </c>
      <c s="125">
        <f>IF(Предпосылки!$H292&gt;0,O425,P369*(Предпосылки!$H292/(P$8+1-P$7)))</f>
        <v>0</v>
      </c>
      <c s="125">
        <f>IF(Предпосылки!$H292&gt;0,P425,Q369*(Предпосылки!$H292/(Q$8+1-Q$7)))</f>
        <v>0</v>
      </c>
      <c s="125">
        <f>IF(Предпосылки!$H292&gt;0,Q425,R369*(Предпосылки!$H292/(R$8+1-R$7)))</f>
        <v>0</v>
      </c>
      <c s="125">
        <f>IF(Предпосылки!$H292&gt;0,R425,S369*(Предпосылки!$H292/(S$8+1-S$7)))</f>
        <v>0</v>
      </c>
      <c s="125">
        <f>IF(Предпосылки!$H292&gt;0,S425,T369*(Предпосылки!$H292/(T$8+1-T$7)))</f>
        <v>0</v>
      </c>
      <c s="125">
        <f>IF(Предпосылки!$H292&gt;0,T425,U369*(Предпосылки!$H292/(U$8+1-U$7)))</f>
        <v>0</v>
      </c>
      <c s="125">
        <f>IF(Предпосылки!$H292&gt;0,U425,V369*(Предпосылки!$H292/(V$8+1-V$7)))</f>
        <v>0</v>
      </c>
      <c s="125">
        <f>IF(Предпосылки!$H292&gt;0,V425,W369*(Предпосылки!$H292/(W$8+1-W$7)))</f>
        <v>0</v>
      </c>
      <c s="125">
        <f>IF(Предпосылки!$H292&gt;0,W425,X369*(Предпосылки!$H292/(X$8+1-X$7)))</f>
        <v>0</v>
      </c>
      <c s="125">
        <f>IF(Предпосылки!$H292&gt;0,X425,Y369*(Предпосылки!$H292/(Y$8+1-Y$7)))</f>
        <v>0</v>
      </c>
      <c s="125">
        <f>IF(Предпосылки!$H292&gt;0,Y425,Z369*(Предпосылки!$H292/(Z$8+1-Z$7)))</f>
        <v>0</v>
      </c>
      <c s="125">
        <f>IF(Предпосылки!$H292&gt;0,Z425,AA369*(Предпосылки!$H292/(AA$8+1-AA$7)))</f>
        <v>0</v>
      </c>
      <c s="125">
        <f>IF(Предпосылки!$H292&gt;0,AA425,AB369*(Предпосылки!$H292/(AB$8+1-AB$7)))</f>
        <v>0</v>
      </c>
      <c s="125">
        <f>IF(Предпосылки!$H292&gt;0,AB425,AC369*(Предпосылки!$H292/(AC$8+1-AC$7)))</f>
        <v>0</v>
      </c>
      <c s="125">
        <f>IF(Предпосылки!$H292&gt;0,AC425,AD369*(Предпосылки!$H292/(AD$8+1-AD$7)))</f>
        <v>0</v>
      </c>
      <c s="125">
        <f>IF(Предпосылки!$H292&gt;0,AD425,AE369*(Предпосылки!$H292/(AE$8+1-AE$7)))</f>
        <v>0</v>
      </c>
      <c s="125">
        <f>IF(Предпосылки!$H292&gt;0,AE425,AF369*(Предпосылки!$H292/(AF$8+1-AF$7)))</f>
        <v>0</v>
      </c>
      <c s="125">
        <f>IF(Предпосылки!$H292&gt;0,AF425,AG369*(Предпосылки!$H292/(AG$8+1-AG$7)))</f>
        <v>0</v>
      </c>
      <c s="125">
        <f>IF(Предпосылки!$H292&gt;0,AG425,AH369*(Предпосылки!$H292/(AH$8+1-AH$7)))</f>
        <v>0</v>
      </c>
      <c s="125">
        <f>IF(Предпосылки!$H292&gt;0,AH425,AI369*(Предпосылки!$H292/(AI$8+1-AI$7)))</f>
        <v>0</v>
      </c>
      <c s="125">
        <f>IF(Предпосылки!$H292&gt;0,AI425,AJ369*(Предпосылки!$H292/(AJ$8+1-AJ$7)))</f>
        <v>0</v>
      </c>
      <c s="125">
        <f>IF(Предпосылки!$H292&gt;0,AJ425,AK369*(Предпосылки!$H292/(AK$8+1-AK$7)))</f>
        <v>0</v>
      </c>
      <c s="125">
        <f>IF(Предпосылки!$H292&gt;0,AK425,AL369*(Предпосылки!$H292/(AL$8+1-AL$7)))</f>
        <v>0</v>
      </c>
      <c s="125">
        <f>IF(Предпосылки!$H292&gt;0,AL425,AM369*(Предпосылки!$H292/(AM$8+1-AM$7)))</f>
        <v>0</v>
      </c>
      <c s="125">
        <f>IF(Предпосылки!$H292&gt;0,AM425,AN369*(Предпосылки!$H292/(AN$8+1-AN$7)))</f>
        <v>0</v>
      </c>
      <c s="125">
        <f>IF(Предпосылки!$H292&gt;0,AN425,AO369*(Предпосылки!$H292/(AO$8+1-AO$7)))</f>
        <v>0</v>
      </c>
      <c s="125">
        <f>IF(Предпосылки!$H292&gt;0,AO425,AP369*(Предпосылки!$H292/(AP$8+1-AP$7)))</f>
        <v>0</v>
      </c>
      <c s="125">
        <f>IF(Предпосылки!$H292&gt;0,AP425,AQ369*(Предпосылки!$H292/(AQ$8+1-AQ$7)))</f>
        <v>0</v>
      </c>
      <c s="125">
        <f>IF(Предпосылки!$H292&gt;0,AQ425,AR369*(Предпосылки!$H292/(AR$8+1-AR$7)))</f>
        <v>0</v>
      </c>
      <c s="125">
        <f>IF(Предпосылки!$H292&gt;0,AR425,AS369*(Предпосылки!$H292/(AS$8+1-AS$7)))</f>
        <v>0</v>
      </c>
      <c s="125">
        <f>IF(Предпосылки!$H292&gt;0,AS425,AT369*(Предпосылки!$H292/(AT$8+1-AT$7)))</f>
        <v>0</v>
      </c>
      <c s="125">
        <f>IF(Предпосылки!$H292&gt;0,AT425,AU369*(Предпосылки!$H292/(AU$8+1-AU$7)))</f>
        <v>0</v>
      </c>
      <c s="125">
        <f>IF(Предпосылки!$H292&gt;0,AU425,AV369*(Предпосылки!$H292/(AV$8+1-AV$7)))</f>
        <v>0</v>
      </c>
      <c s="125">
        <f>IF(Предпосылки!$H292&gt;0,AV425,AW369*(Предпосылки!$H292/(AW$8+1-AW$7)))</f>
        <v>0</v>
      </c>
      <c s="125">
        <f>IF(Предпосылки!$H292&gt;0,AW425,AX369*(Предпосылки!$H292/(AX$8+1-AX$7)))</f>
        <v>0</v>
      </c>
      <c s="125">
        <f>IF(Предпосылки!$H292&gt;0,AX425,AY369*(Предпосылки!$H292/(AY$8+1-AY$7)))</f>
        <v>0</v>
      </c>
      <c s="125">
        <f>IF(Предпосылки!$H292&gt;0,AY425,AZ369*(Предпосылки!$H292/(AZ$8+1-AZ$7)))</f>
        <v>0</v>
      </c>
      <c s="125">
        <f>IF(Предпосылки!$H292&gt;0,AZ425,BA369*(Предпосылки!$H292/(BA$8+1-BA$7)))</f>
        <v>0</v>
      </c>
      <c s="125">
        <f>IF(Предпосылки!$H292&gt;0,BA425,BB369*(Предпосылки!$H292/(BB$8+1-BB$7)))</f>
        <v>0</v>
      </c>
      <c s="125">
        <f>IF(Предпосылки!$H292&gt;0,BB425,BC369*(Предпосылки!$H292/(BC$8+1-BC$7)))</f>
        <v>0</v>
      </c>
      <c s="125">
        <f>IF(Предпосылки!$H292&gt;0,BC425,BD369*(Предпосылки!$H292/(BD$8+1-BD$7)))</f>
        <v>0</v>
      </c>
      <c s="125">
        <f>IF(Предпосылки!$H292&gt;0,BD425,BE369*(Предпосылки!$H292/(BE$8+1-BE$7)))</f>
        <v>0</v>
      </c>
      <c s="125">
        <f>IF(Предпосылки!$H292&gt;0,BE425,BF369*(Предпосылки!$H292/(BF$8+1-BF$7)))</f>
        <v>0</v>
      </c>
      <c s="125">
        <f>IF(Предпосылки!$H292&gt;0,BF425,BG369*(Предпосылки!$H292/(BG$8+1-BG$7)))</f>
        <v>0</v>
      </c>
      <c s="125">
        <f>IF(Предпосылки!$H292&gt;0,BG425,BH369*(Предпосылки!$H292/(BH$8+1-BH$7)))</f>
        <v>0</v>
      </c>
      <c s="125">
        <f>IF(Предпосылки!$H292&gt;0,BH425,BI369*(Предпосылки!$H292/(BI$8+1-BI$7)))</f>
        <v>0</v>
      </c>
      <c s="125">
        <f>IF(Предпосылки!$H292&gt;0,BI425,BJ369*(Предпосылки!$H292/(BJ$8+1-BJ$7)))</f>
        <v>0</v>
      </c>
      <c s="125">
        <f>IF(Предпосылки!$H292&gt;0,BJ425,BK369*(Предпосылки!$H292/(BK$8+1-BK$7)))</f>
        <v>0</v>
      </c>
      <c s="125">
        <f>IF(Предпосылки!$H292&gt;0,BK425,BL369*(Предпосылки!$H292/(BL$8+1-BL$7)))</f>
        <v>0</v>
      </c>
      <c s="125">
        <f>IF(Предпосылки!$H292&gt;0,BL425,BM369*(Предпосылки!$H292/(BM$8+1-BM$7)))</f>
        <v>0</v>
      </c>
    </row>
    <row r="342" spans="2:65" ht="15" customHeight="1">
      <c r="B342" s="12" t="str">
        <f>IF(ISBLANK(Предпосылки!B293),"-",Предпосылки!B293)</f>
        <v>-</v>
      </c>
      <c s="124" t="str">
        <f t="shared" si="261"/>
        <v>тыс. руб.</v>
      </c>
      <c s="125"/>
      <c s="125">
        <f>IF(Предпосылки!$H293&gt;0,D426,E370*(Предпосылки!$H293/(E$8+1-E$7)))</f>
        <v>0</v>
      </c>
      <c s="125">
        <f>IF(Предпосылки!$H293&gt;0,E426,F370*(Предпосылки!$H293/(F$8+1-F$7)))</f>
        <v>0</v>
      </c>
      <c s="125">
        <f>IF(Предпосылки!$H293&gt;0,F426,G370*(Предпосылки!$H293/(G$8+1-G$7)))</f>
        <v>0</v>
      </c>
      <c s="125">
        <f>IF(Предпосылки!$H293&gt;0,G426,H370*(Предпосылки!$H293/(H$8+1-H$7)))</f>
        <v>0</v>
      </c>
      <c s="125">
        <f>IF(Предпосылки!$H293&gt;0,H426,I370*(Предпосылки!$H293/(I$8+1-I$7)))</f>
        <v>0</v>
      </c>
      <c s="125">
        <f>IF(Предпосылки!$H293&gt;0,I426,J370*(Предпосылки!$H293/(J$8+1-J$7)))</f>
        <v>0</v>
      </c>
      <c s="125">
        <f>IF(Предпосылки!$H293&gt;0,J426,K370*(Предпосылки!$H293/(K$8+1-K$7)))</f>
        <v>0</v>
      </c>
      <c s="125">
        <f>IF(Предпосылки!$H293&gt;0,K426,L370*(Предпосылки!$H293/(L$8+1-L$7)))</f>
        <v>0</v>
      </c>
      <c s="125">
        <f>IF(Предпосылки!$H293&gt;0,L426,M370*(Предпосылки!$H293/(M$8+1-M$7)))</f>
        <v>0</v>
      </c>
      <c s="125">
        <f>IF(Предпосылки!$H293&gt;0,M426,N370*(Предпосылки!$H293/(N$8+1-N$7)))</f>
        <v>0</v>
      </c>
      <c s="125">
        <f>IF(Предпосылки!$H293&gt;0,N426,O370*(Предпосылки!$H293/(O$8+1-O$7)))</f>
        <v>0</v>
      </c>
      <c s="125">
        <f>IF(Предпосылки!$H293&gt;0,O426,P370*(Предпосылки!$H293/(P$8+1-P$7)))</f>
        <v>0</v>
      </c>
      <c s="125">
        <f>IF(Предпосылки!$H293&gt;0,P426,Q370*(Предпосылки!$H293/(Q$8+1-Q$7)))</f>
        <v>0</v>
      </c>
      <c s="125">
        <f>IF(Предпосылки!$H293&gt;0,Q426,R370*(Предпосылки!$H293/(R$8+1-R$7)))</f>
        <v>0</v>
      </c>
      <c s="125">
        <f>IF(Предпосылки!$H293&gt;0,R426,S370*(Предпосылки!$H293/(S$8+1-S$7)))</f>
        <v>0</v>
      </c>
      <c s="125">
        <f>IF(Предпосылки!$H293&gt;0,S426,T370*(Предпосылки!$H293/(T$8+1-T$7)))</f>
        <v>0</v>
      </c>
      <c s="125">
        <f>IF(Предпосылки!$H293&gt;0,T426,U370*(Предпосылки!$H293/(U$8+1-U$7)))</f>
        <v>0</v>
      </c>
      <c s="125">
        <f>IF(Предпосылки!$H293&gt;0,U426,V370*(Предпосылки!$H293/(V$8+1-V$7)))</f>
        <v>0</v>
      </c>
      <c s="125">
        <f>IF(Предпосылки!$H293&gt;0,V426,W370*(Предпосылки!$H293/(W$8+1-W$7)))</f>
        <v>0</v>
      </c>
      <c s="125">
        <f>IF(Предпосылки!$H293&gt;0,W426,X370*(Предпосылки!$H293/(X$8+1-X$7)))</f>
        <v>0</v>
      </c>
      <c s="125">
        <f>IF(Предпосылки!$H293&gt;0,X426,Y370*(Предпосылки!$H293/(Y$8+1-Y$7)))</f>
        <v>0</v>
      </c>
      <c s="125">
        <f>IF(Предпосылки!$H293&gt;0,Y426,Z370*(Предпосылки!$H293/(Z$8+1-Z$7)))</f>
        <v>0</v>
      </c>
      <c s="125">
        <f>IF(Предпосылки!$H293&gt;0,Z426,AA370*(Предпосылки!$H293/(AA$8+1-AA$7)))</f>
        <v>0</v>
      </c>
      <c s="125">
        <f>IF(Предпосылки!$H293&gt;0,AA426,AB370*(Предпосылки!$H293/(AB$8+1-AB$7)))</f>
        <v>0</v>
      </c>
      <c s="125">
        <f>IF(Предпосылки!$H293&gt;0,AB426,AC370*(Предпосылки!$H293/(AC$8+1-AC$7)))</f>
        <v>0</v>
      </c>
      <c s="125">
        <f>IF(Предпосылки!$H293&gt;0,AC426,AD370*(Предпосылки!$H293/(AD$8+1-AD$7)))</f>
        <v>0</v>
      </c>
      <c s="125">
        <f>IF(Предпосылки!$H293&gt;0,AD426,AE370*(Предпосылки!$H293/(AE$8+1-AE$7)))</f>
        <v>0</v>
      </c>
      <c s="125">
        <f>IF(Предпосылки!$H293&gt;0,AE426,AF370*(Предпосылки!$H293/(AF$8+1-AF$7)))</f>
        <v>0</v>
      </c>
      <c s="125">
        <f>IF(Предпосылки!$H293&gt;0,AF426,AG370*(Предпосылки!$H293/(AG$8+1-AG$7)))</f>
        <v>0</v>
      </c>
      <c s="125">
        <f>IF(Предпосылки!$H293&gt;0,AG426,AH370*(Предпосылки!$H293/(AH$8+1-AH$7)))</f>
        <v>0</v>
      </c>
      <c s="125">
        <f>IF(Предпосылки!$H293&gt;0,AH426,AI370*(Предпосылки!$H293/(AI$8+1-AI$7)))</f>
        <v>0</v>
      </c>
      <c s="125">
        <f>IF(Предпосылки!$H293&gt;0,AI426,AJ370*(Предпосылки!$H293/(AJ$8+1-AJ$7)))</f>
        <v>0</v>
      </c>
      <c s="125">
        <f>IF(Предпосылки!$H293&gt;0,AJ426,AK370*(Предпосылки!$H293/(AK$8+1-AK$7)))</f>
        <v>0</v>
      </c>
      <c s="125">
        <f>IF(Предпосылки!$H293&gt;0,AK426,AL370*(Предпосылки!$H293/(AL$8+1-AL$7)))</f>
        <v>0</v>
      </c>
      <c s="125">
        <f>IF(Предпосылки!$H293&gt;0,AL426,AM370*(Предпосылки!$H293/(AM$8+1-AM$7)))</f>
        <v>0</v>
      </c>
      <c s="125">
        <f>IF(Предпосылки!$H293&gt;0,AM426,AN370*(Предпосылки!$H293/(AN$8+1-AN$7)))</f>
        <v>0</v>
      </c>
      <c s="125">
        <f>IF(Предпосылки!$H293&gt;0,AN426,AO370*(Предпосылки!$H293/(AO$8+1-AO$7)))</f>
        <v>0</v>
      </c>
      <c s="125">
        <f>IF(Предпосылки!$H293&gt;0,AO426,AP370*(Предпосылки!$H293/(AP$8+1-AP$7)))</f>
        <v>0</v>
      </c>
      <c s="125">
        <f>IF(Предпосылки!$H293&gt;0,AP426,AQ370*(Предпосылки!$H293/(AQ$8+1-AQ$7)))</f>
        <v>0</v>
      </c>
      <c s="125">
        <f>IF(Предпосылки!$H293&gt;0,AQ426,AR370*(Предпосылки!$H293/(AR$8+1-AR$7)))</f>
        <v>0</v>
      </c>
      <c s="125">
        <f>IF(Предпосылки!$H293&gt;0,AR426,AS370*(Предпосылки!$H293/(AS$8+1-AS$7)))</f>
        <v>0</v>
      </c>
      <c s="125">
        <f>IF(Предпосылки!$H293&gt;0,AS426,AT370*(Предпосылки!$H293/(AT$8+1-AT$7)))</f>
        <v>0</v>
      </c>
      <c s="125">
        <f>IF(Предпосылки!$H293&gt;0,AT426,AU370*(Предпосылки!$H293/(AU$8+1-AU$7)))</f>
        <v>0</v>
      </c>
      <c s="125">
        <f>IF(Предпосылки!$H293&gt;0,AU426,AV370*(Предпосылки!$H293/(AV$8+1-AV$7)))</f>
        <v>0</v>
      </c>
      <c s="125">
        <f>IF(Предпосылки!$H293&gt;0,AV426,AW370*(Предпосылки!$H293/(AW$8+1-AW$7)))</f>
        <v>0</v>
      </c>
      <c s="125">
        <f>IF(Предпосылки!$H293&gt;0,AW426,AX370*(Предпосылки!$H293/(AX$8+1-AX$7)))</f>
        <v>0</v>
      </c>
      <c s="125">
        <f>IF(Предпосылки!$H293&gt;0,AX426,AY370*(Предпосылки!$H293/(AY$8+1-AY$7)))</f>
        <v>0</v>
      </c>
      <c s="125">
        <f>IF(Предпосылки!$H293&gt;0,AY426,AZ370*(Предпосылки!$H293/(AZ$8+1-AZ$7)))</f>
        <v>0</v>
      </c>
      <c s="125">
        <f>IF(Предпосылки!$H293&gt;0,AZ426,BA370*(Предпосылки!$H293/(BA$8+1-BA$7)))</f>
        <v>0</v>
      </c>
      <c s="125">
        <f>IF(Предпосылки!$H293&gt;0,BA426,BB370*(Предпосылки!$H293/(BB$8+1-BB$7)))</f>
        <v>0</v>
      </c>
      <c s="125">
        <f>IF(Предпосылки!$H293&gt;0,BB426,BC370*(Предпосылки!$H293/(BC$8+1-BC$7)))</f>
        <v>0</v>
      </c>
      <c s="125">
        <f>IF(Предпосылки!$H293&gt;0,BC426,BD370*(Предпосылки!$H293/(BD$8+1-BD$7)))</f>
        <v>0</v>
      </c>
      <c s="125">
        <f>IF(Предпосылки!$H293&gt;0,BD426,BE370*(Предпосылки!$H293/(BE$8+1-BE$7)))</f>
        <v>0</v>
      </c>
      <c s="125">
        <f>IF(Предпосылки!$H293&gt;0,BE426,BF370*(Предпосылки!$H293/(BF$8+1-BF$7)))</f>
        <v>0</v>
      </c>
      <c s="125">
        <f>IF(Предпосылки!$H293&gt;0,BF426,BG370*(Предпосылки!$H293/(BG$8+1-BG$7)))</f>
        <v>0</v>
      </c>
      <c s="125">
        <f>IF(Предпосылки!$H293&gt;0,BG426,BH370*(Предпосылки!$H293/(BH$8+1-BH$7)))</f>
        <v>0</v>
      </c>
      <c s="125">
        <f>IF(Предпосылки!$H293&gt;0,BH426,BI370*(Предпосылки!$H293/(BI$8+1-BI$7)))</f>
        <v>0</v>
      </c>
      <c s="125">
        <f>IF(Предпосылки!$H293&gt;0,BI426,BJ370*(Предпосылки!$H293/(BJ$8+1-BJ$7)))</f>
        <v>0</v>
      </c>
      <c s="125">
        <f>IF(Предпосылки!$H293&gt;0,BJ426,BK370*(Предпосылки!$H293/(BK$8+1-BK$7)))</f>
        <v>0</v>
      </c>
      <c s="125">
        <f>IF(Предпосылки!$H293&gt;0,BK426,BL370*(Предпосылки!$H293/(BL$8+1-BL$7)))</f>
        <v>0</v>
      </c>
      <c s="125">
        <f>IF(Предпосылки!$H293&gt;0,BL426,BM370*(Предпосылки!$H293/(BM$8+1-BM$7)))</f>
        <v>0</v>
      </c>
    </row>
    <row r="343" spans="2:65" ht="15" customHeight="1">
      <c r="B343" s="12" t="str">
        <f>IF(ISBLANK(Предпосылки!B294),"-",Предпосылки!B294)</f>
        <v>-</v>
      </c>
      <c s="124" t="str">
        <f t="shared" si="261"/>
        <v>тыс. руб.</v>
      </c>
      <c s="125"/>
      <c s="125">
        <f>IF(Предпосылки!$H294&gt;0,D427,E371*(Предпосылки!$H294/(E$8+1-E$7)))</f>
        <v>0</v>
      </c>
      <c s="125">
        <f>IF(Предпосылки!$H294&gt;0,E427,F371*(Предпосылки!$H294/(F$8+1-F$7)))</f>
        <v>0</v>
      </c>
      <c s="125">
        <f>IF(Предпосылки!$H294&gt;0,F427,G371*(Предпосылки!$H294/(G$8+1-G$7)))</f>
        <v>0</v>
      </c>
      <c s="125">
        <f>IF(Предпосылки!$H294&gt;0,G427,H371*(Предпосылки!$H294/(H$8+1-H$7)))</f>
        <v>0</v>
      </c>
      <c s="125">
        <f>IF(Предпосылки!$H294&gt;0,H427,I371*(Предпосылки!$H294/(I$8+1-I$7)))</f>
        <v>0</v>
      </c>
      <c s="125">
        <f>IF(Предпосылки!$H294&gt;0,I427,J371*(Предпосылки!$H294/(J$8+1-J$7)))</f>
        <v>0</v>
      </c>
      <c s="125">
        <f>IF(Предпосылки!$H294&gt;0,J427,K371*(Предпосылки!$H294/(K$8+1-K$7)))</f>
        <v>0</v>
      </c>
      <c s="125">
        <f>IF(Предпосылки!$H294&gt;0,K427,L371*(Предпосылки!$H294/(L$8+1-L$7)))</f>
        <v>0</v>
      </c>
      <c s="125">
        <f>IF(Предпосылки!$H294&gt;0,L427,M371*(Предпосылки!$H294/(M$8+1-M$7)))</f>
        <v>0</v>
      </c>
      <c s="125">
        <f>IF(Предпосылки!$H294&gt;0,M427,N371*(Предпосылки!$H294/(N$8+1-N$7)))</f>
        <v>0</v>
      </c>
      <c s="125">
        <f>IF(Предпосылки!$H294&gt;0,N427,O371*(Предпосылки!$H294/(O$8+1-O$7)))</f>
        <v>0</v>
      </c>
      <c s="125">
        <f>IF(Предпосылки!$H294&gt;0,O427,P371*(Предпосылки!$H294/(P$8+1-P$7)))</f>
        <v>0</v>
      </c>
      <c s="125">
        <f>IF(Предпосылки!$H294&gt;0,P427,Q371*(Предпосылки!$H294/(Q$8+1-Q$7)))</f>
        <v>0</v>
      </c>
      <c s="125">
        <f>IF(Предпосылки!$H294&gt;0,Q427,R371*(Предпосылки!$H294/(R$8+1-R$7)))</f>
        <v>0</v>
      </c>
      <c s="125">
        <f>IF(Предпосылки!$H294&gt;0,R427,S371*(Предпосылки!$H294/(S$8+1-S$7)))</f>
        <v>0</v>
      </c>
      <c s="125">
        <f>IF(Предпосылки!$H294&gt;0,S427,T371*(Предпосылки!$H294/(T$8+1-T$7)))</f>
        <v>0</v>
      </c>
      <c s="125">
        <f>IF(Предпосылки!$H294&gt;0,T427,U371*(Предпосылки!$H294/(U$8+1-U$7)))</f>
        <v>0</v>
      </c>
      <c s="125">
        <f>IF(Предпосылки!$H294&gt;0,U427,V371*(Предпосылки!$H294/(V$8+1-V$7)))</f>
        <v>0</v>
      </c>
      <c s="125">
        <f>IF(Предпосылки!$H294&gt;0,V427,W371*(Предпосылки!$H294/(W$8+1-W$7)))</f>
        <v>0</v>
      </c>
      <c s="125">
        <f>IF(Предпосылки!$H294&gt;0,W427,X371*(Предпосылки!$H294/(X$8+1-X$7)))</f>
        <v>0</v>
      </c>
      <c s="125">
        <f>IF(Предпосылки!$H294&gt;0,X427,Y371*(Предпосылки!$H294/(Y$8+1-Y$7)))</f>
        <v>0</v>
      </c>
      <c s="125">
        <f>IF(Предпосылки!$H294&gt;0,Y427,Z371*(Предпосылки!$H294/(Z$8+1-Z$7)))</f>
        <v>0</v>
      </c>
      <c s="125">
        <f>IF(Предпосылки!$H294&gt;0,Z427,AA371*(Предпосылки!$H294/(AA$8+1-AA$7)))</f>
        <v>0</v>
      </c>
      <c s="125">
        <f>IF(Предпосылки!$H294&gt;0,AA427,AB371*(Предпосылки!$H294/(AB$8+1-AB$7)))</f>
        <v>0</v>
      </c>
      <c s="125">
        <f>IF(Предпосылки!$H294&gt;0,AB427,AC371*(Предпосылки!$H294/(AC$8+1-AC$7)))</f>
        <v>0</v>
      </c>
      <c s="125">
        <f>IF(Предпосылки!$H294&gt;0,AC427,AD371*(Предпосылки!$H294/(AD$8+1-AD$7)))</f>
        <v>0</v>
      </c>
      <c s="125">
        <f>IF(Предпосылки!$H294&gt;0,AD427,AE371*(Предпосылки!$H294/(AE$8+1-AE$7)))</f>
        <v>0</v>
      </c>
      <c s="125">
        <f>IF(Предпосылки!$H294&gt;0,AE427,AF371*(Предпосылки!$H294/(AF$8+1-AF$7)))</f>
        <v>0</v>
      </c>
      <c s="125">
        <f>IF(Предпосылки!$H294&gt;0,AF427,AG371*(Предпосылки!$H294/(AG$8+1-AG$7)))</f>
        <v>0</v>
      </c>
      <c s="125">
        <f>IF(Предпосылки!$H294&gt;0,AG427,AH371*(Предпосылки!$H294/(AH$8+1-AH$7)))</f>
        <v>0</v>
      </c>
      <c s="125">
        <f>IF(Предпосылки!$H294&gt;0,AH427,AI371*(Предпосылки!$H294/(AI$8+1-AI$7)))</f>
        <v>0</v>
      </c>
      <c s="125">
        <f>IF(Предпосылки!$H294&gt;0,AI427,AJ371*(Предпосылки!$H294/(AJ$8+1-AJ$7)))</f>
        <v>0</v>
      </c>
      <c s="125">
        <f>IF(Предпосылки!$H294&gt;0,AJ427,AK371*(Предпосылки!$H294/(AK$8+1-AK$7)))</f>
        <v>0</v>
      </c>
      <c s="125">
        <f>IF(Предпосылки!$H294&gt;0,AK427,AL371*(Предпосылки!$H294/(AL$8+1-AL$7)))</f>
        <v>0</v>
      </c>
      <c s="125">
        <f>IF(Предпосылки!$H294&gt;0,AL427,AM371*(Предпосылки!$H294/(AM$8+1-AM$7)))</f>
        <v>0</v>
      </c>
      <c s="125">
        <f>IF(Предпосылки!$H294&gt;0,AM427,AN371*(Предпосылки!$H294/(AN$8+1-AN$7)))</f>
        <v>0</v>
      </c>
      <c s="125">
        <f>IF(Предпосылки!$H294&gt;0,AN427,AO371*(Предпосылки!$H294/(AO$8+1-AO$7)))</f>
        <v>0</v>
      </c>
      <c s="125">
        <f>IF(Предпосылки!$H294&gt;0,AO427,AP371*(Предпосылки!$H294/(AP$8+1-AP$7)))</f>
        <v>0</v>
      </c>
      <c s="125">
        <f>IF(Предпосылки!$H294&gt;0,AP427,AQ371*(Предпосылки!$H294/(AQ$8+1-AQ$7)))</f>
        <v>0</v>
      </c>
      <c s="125">
        <f>IF(Предпосылки!$H294&gt;0,AQ427,AR371*(Предпосылки!$H294/(AR$8+1-AR$7)))</f>
        <v>0</v>
      </c>
      <c s="125">
        <f>IF(Предпосылки!$H294&gt;0,AR427,AS371*(Предпосылки!$H294/(AS$8+1-AS$7)))</f>
        <v>0</v>
      </c>
      <c s="125">
        <f>IF(Предпосылки!$H294&gt;0,AS427,AT371*(Предпосылки!$H294/(AT$8+1-AT$7)))</f>
        <v>0</v>
      </c>
      <c s="125">
        <f>IF(Предпосылки!$H294&gt;0,AT427,AU371*(Предпосылки!$H294/(AU$8+1-AU$7)))</f>
        <v>0</v>
      </c>
      <c s="125">
        <f>IF(Предпосылки!$H294&gt;0,AU427,AV371*(Предпосылки!$H294/(AV$8+1-AV$7)))</f>
        <v>0</v>
      </c>
      <c s="125">
        <f>IF(Предпосылки!$H294&gt;0,AV427,AW371*(Предпосылки!$H294/(AW$8+1-AW$7)))</f>
        <v>0</v>
      </c>
      <c s="125">
        <f>IF(Предпосылки!$H294&gt;0,AW427,AX371*(Предпосылки!$H294/(AX$8+1-AX$7)))</f>
        <v>0</v>
      </c>
      <c s="125">
        <f>IF(Предпосылки!$H294&gt;0,AX427,AY371*(Предпосылки!$H294/(AY$8+1-AY$7)))</f>
        <v>0</v>
      </c>
      <c s="125">
        <f>IF(Предпосылки!$H294&gt;0,AY427,AZ371*(Предпосылки!$H294/(AZ$8+1-AZ$7)))</f>
        <v>0</v>
      </c>
      <c s="125">
        <f>IF(Предпосылки!$H294&gt;0,AZ427,BA371*(Предпосылки!$H294/(BA$8+1-BA$7)))</f>
        <v>0</v>
      </c>
      <c s="125">
        <f>IF(Предпосылки!$H294&gt;0,BA427,BB371*(Предпосылки!$H294/(BB$8+1-BB$7)))</f>
        <v>0</v>
      </c>
      <c s="125">
        <f>IF(Предпосылки!$H294&gt;0,BB427,BC371*(Предпосылки!$H294/(BC$8+1-BC$7)))</f>
        <v>0</v>
      </c>
      <c s="125">
        <f>IF(Предпосылки!$H294&gt;0,BC427,BD371*(Предпосылки!$H294/(BD$8+1-BD$7)))</f>
        <v>0</v>
      </c>
      <c s="125">
        <f>IF(Предпосылки!$H294&gt;0,BD427,BE371*(Предпосылки!$H294/(BE$8+1-BE$7)))</f>
        <v>0</v>
      </c>
      <c s="125">
        <f>IF(Предпосылки!$H294&gt;0,BE427,BF371*(Предпосылки!$H294/(BF$8+1-BF$7)))</f>
        <v>0</v>
      </c>
      <c s="125">
        <f>IF(Предпосылки!$H294&gt;0,BF427,BG371*(Предпосылки!$H294/(BG$8+1-BG$7)))</f>
        <v>0</v>
      </c>
      <c s="125">
        <f>IF(Предпосылки!$H294&gt;0,BG427,BH371*(Предпосылки!$H294/(BH$8+1-BH$7)))</f>
        <v>0</v>
      </c>
      <c s="125">
        <f>IF(Предпосылки!$H294&gt;0,BH427,BI371*(Предпосылки!$H294/(BI$8+1-BI$7)))</f>
        <v>0</v>
      </c>
      <c s="125">
        <f>IF(Предпосылки!$H294&gt;0,BI427,BJ371*(Предпосылки!$H294/(BJ$8+1-BJ$7)))</f>
        <v>0</v>
      </c>
      <c s="125">
        <f>IF(Предпосылки!$H294&gt;0,BJ427,BK371*(Предпосылки!$H294/(BK$8+1-BK$7)))</f>
        <v>0</v>
      </c>
      <c s="125">
        <f>IF(Предпосылки!$H294&gt;0,BK427,BL371*(Предпосылки!$H294/(BL$8+1-BL$7)))</f>
        <v>0</v>
      </c>
      <c s="125">
        <f>IF(Предпосылки!$H294&gt;0,BL427,BM371*(Предпосылки!$H294/(BM$8+1-BM$7)))</f>
        <v>0</v>
      </c>
    </row>
    <row r="344" spans="2:65" ht="15" customHeight="1">
      <c r="B344" s="12" t="str">
        <f>IF(ISBLANK(Предпосылки!B295),"-",Предпосылки!B295)</f>
        <v>-</v>
      </c>
      <c s="124" t="str">
        <f t="shared" si="261"/>
        <v>тыс. руб.</v>
      </c>
      <c s="125"/>
      <c s="125">
        <f>IF(Предпосылки!$H295&gt;0,D428,E372*(Предпосылки!$H295/(E$8+1-E$7)))</f>
        <v>0</v>
      </c>
      <c s="125">
        <f>IF(Предпосылки!$H295&gt;0,E428,F372*(Предпосылки!$H295/(F$8+1-F$7)))</f>
        <v>0</v>
      </c>
      <c s="125">
        <f>IF(Предпосылки!$H295&gt;0,F428,G372*(Предпосылки!$H295/(G$8+1-G$7)))</f>
        <v>0</v>
      </c>
      <c s="125">
        <f>IF(Предпосылки!$H295&gt;0,G428,H372*(Предпосылки!$H295/(H$8+1-H$7)))</f>
        <v>0</v>
      </c>
      <c s="125">
        <f>IF(Предпосылки!$H295&gt;0,H428,I372*(Предпосылки!$H295/(I$8+1-I$7)))</f>
        <v>0</v>
      </c>
      <c s="125">
        <f>IF(Предпосылки!$H295&gt;0,I428,J372*(Предпосылки!$H295/(J$8+1-J$7)))</f>
        <v>0</v>
      </c>
      <c s="125">
        <f>IF(Предпосылки!$H295&gt;0,J428,K372*(Предпосылки!$H295/(K$8+1-K$7)))</f>
        <v>0</v>
      </c>
      <c s="125">
        <f>IF(Предпосылки!$H295&gt;0,K428,L372*(Предпосылки!$H295/(L$8+1-L$7)))</f>
        <v>0</v>
      </c>
      <c s="125">
        <f>IF(Предпосылки!$H295&gt;0,L428,M372*(Предпосылки!$H295/(M$8+1-M$7)))</f>
        <v>0</v>
      </c>
      <c s="125">
        <f>IF(Предпосылки!$H295&gt;0,M428,N372*(Предпосылки!$H295/(N$8+1-N$7)))</f>
        <v>0</v>
      </c>
      <c s="125">
        <f>IF(Предпосылки!$H295&gt;0,N428,O372*(Предпосылки!$H295/(O$8+1-O$7)))</f>
        <v>0</v>
      </c>
      <c s="125">
        <f>IF(Предпосылки!$H295&gt;0,O428,P372*(Предпосылки!$H295/(P$8+1-P$7)))</f>
        <v>0</v>
      </c>
      <c s="125">
        <f>IF(Предпосылки!$H295&gt;0,P428,Q372*(Предпосылки!$H295/(Q$8+1-Q$7)))</f>
        <v>0</v>
      </c>
      <c s="125">
        <f>IF(Предпосылки!$H295&gt;0,Q428,R372*(Предпосылки!$H295/(R$8+1-R$7)))</f>
        <v>0</v>
      </c>
      <c s="125">
        <f>IF(Предпосылки!$H295&gt;0,R428,S372*(Предпосылки!$H295/(S$8+1-S$7)))</f>
        <v>0</v>
      </c>
      <c s="125">
        <f>IF(Предпосылки!$H295&gt;0,S428,T372*(Предпосылки!$H295/(T$8+1-T$7)))</f>
        <v>0</v>
      </c>
      <c s="125">
        <f>IF(Предпосылки!$H295&gt;0,T428,U372*(Предпосылки!$H295/(U$8+1-U$7)))</f>
        <v>0</v>
      </c>
      <c s="125">
        <f>IF(Предпосылки!$H295&gt;0,U428,V372*(Предпосылки!$H295/(V$8+1-V$7)))</f>
        <v>0</v>
      </c>
      <c s="125">
        <f>IF(Предпосылки!$H295&gt;0,V428,W372*(Предпосылки!$H295/(W$8+1-W$7)))</f>
        <v>0</v>
      </c>
      <c s="125">
        <f>IF(Предпосылки!$H295&gt;0,W428,X372*(Предпосылки!$H295/(X$8+1-X$7)))</f>
        <v>0</v>
      </c>
      <c s="125">
        <f>IF(Предпосылки!$H295&gt;0,X428,Y372*(Предпосылки!$H295/(Y$8+1-Y$7)))</f>
        <v>0</v>
      </c>
      <c s="125">
        <f>IF(Предпосылки!$H295&gt;0,Y428,Z372*(Предпосылки!$H295/(Z$8+1-Z$7)))</f>
        <v>0</v>
      </c>
      <c s="125">
        <f>IF(Предпосылки!$H295&gt;0,Z428,AA372*(Предпосылки!$H295/(AA$8+1-AA$7)))</f>
        <v>0</v>
      </c>
      <c s="125">
        <f>IF(Предпосылки!$H295&gt;0,AA428,AB372*(Предпосылки!$H295/(AB$8+1-AB$7)))</f>
        <v>0</v>
      </c>
      <c s="125">
        <f>IF(Предпосылки!$H295&gt;0,AB428,AC372*(Предпосылки!$H295/(AC$8+1-AC$7)))</f>
        <v>0</v>
      </c>
      <c s="125">
        <f>IF(Предпосылки!$H295&gt;0,AC428,AD372*(Предпосылки!$H295/(AD$8+1-AD$7)))</f>
        <v>0</v>
      </c>
      <c s="125">
        <f>IF(Предпосылки!$H295&gt;0,AD428,AE372*(Предпосылки!$H295/(AE$8+1-AE$7)))</f>
        <v>0</v>
      </c>
      <c s="125">
        <f>IF(Предпосылки!$H295&gt;0,AE428,AF372*(Предпосылки!$H295/(AF$8+1-AF$7)))</f>
        <v>0</v>
      </c>
      <c s="125">
        <f>IF(Предпосылки!$H295&gt;0,AF428,AG372*(Предпосылки!$H295/(AG$8+1-AG$7)))</f>
        <v>0</v>
      </c>
      <c s="125">
        <f>IF(Предпосылки!$H295&gt;0,AG428,AH372*(Предпосылки!$H295/(AH$8+1-AH$7)))</f>
        <v>0</v>
      </c>
      <c s="125">
        <f>IF(Предпосылки!$H295&gt;0,AH428,AI372*(Предпосылки!$H295/(AI$8+1-AI$7)))</f>
        <v>0</v>
      </c>
      <c s="125">
        <f>IF(Предпосылки!$H295&gt;0,AI428,AJ372*(Предпосылки!$H295/(AJ$8+1-AJ$7)))</f>
        <v>0</v>
      </c>
      <c s="125">
        <f>IF(Предпосылки!$H295&gt;0,AJ428,AK372*(Предпосылки!$H295/(AK$8+1-AK$7)))</f>
        <v>0</v>
      </c>
      <c s="125">
        <f>IF(Предпосылки!$H295&gt;0,AK428,AL372*(Предпосылки!$H295/(AL$8+1-AL$7)))</f>
        <v>0</v>
      </c>
      <c s="125">
        <f>IF(Предпосылки!$H295&gt;0,AL428,AM372*(Предпосылки!$H295/(AM$8+1-AM$7)))</f>
        <v>0</v>
      </c>
      <c s="125">
        <f>IF(Предпосылки!$H295&gt;0,AM428,AN372*(Предпосылки!$H295/(AN$8+1-AN$7)))</f>
        <v>0</v>
      </c>
      <c s="125">
        <f>IF(Предпосылки!$H295&gt;0,AN428,AO372*(Предпосылки!$H295/(AO$8+1-AO$7)))</f>
        <v>0</v>
      </c>
      <c s="125">
        <f>IF(Предпосылки!$H295&gt;0,AO428,AP372*(Предпосылки!$H295/(AP$8+1-AP$7)))</f>
        <v>0</v>
      </c>
      <c s="125">
        <f>IF(Предпосылки!$H295&gt;0,AP428,AQ372*(Предпосылки!$H295/(AQ$8+1-AQ$7)))</f>
        <v>0</v>
      </c>
      <c s="125">
        <f>IF(Предпосылки!$H295&gt;0,AQ428,AR372*(Предпосылки!$H295/(AR$8+1-AR$7)))</f>
        <v>0</v>
      </c>
      <c s="125">
        <f>IF(Предпосылки!$H295&gt;0,AR428,AS372*(Предпосылки!$H295/(AS$8+1-AS$7)))</f>
        <v>0</v>
      </c>
      <c s="125">
        <f>IF(Предпосылки!$H295&gt;0,AS428,AT372*(Предпосылки!$H295/(AT$8+1-AT$7)))</f>
        <v>0</v>
      </c>
      <c s="125">
        <f>IF(Предпосылки!$H295&gt;0,AT428,AU372*(Предпосылки!$H295/(AU$8+1-AU$7)))</f>
        <v>0</v>
      </c>
      <c s="125">
        <f>IF(Предпосылки!$H295&gt;0,AU428,AV372*(Предпосылки!$H295/(AV$8+1-AV$7)))</f>
        <v>0</v>
      </c>
      <c s="125">
        <f>IF(Предпосылки!$H295&gt;0,AV428,AW372*(Предпосылки!$H295/(AW$8+1-AW$7)))</f>
        <v>0</v>
      </c>
      <c s="125">
        <f>IF(Предпосылки!$H295&gt;0,AW428,AX372*(Предпосылки!$H295/(AX$8+1-AX$7)))</f>
        <v>0</v>
      </c>
      <c s="125">
        <f>IF(Предпосылки!$H295&gt;0,AX428,AY372*(Предпосылки!$H295/(AY$8+1-AY$7)))</f>
        <v>0</v>
      </c>
      <c s="125">
        <f>IF(Предпосылки!$H295&gt;0,AY428,AZ372*(Предпосылки!$H295/(AZ$8+1-AZ$7)))</f>
        <v>0</v>
      </c>
      <c s="125">
        <f>IF(Предпосылки!$H295&gt;0,AZ428,BA372*(Предпосылки!$H295/(BA$8+1-BA$7)))</f>
        <v>0</v>
      </c>
      <c s="125">
        <f>IF(Предпосылки!$H295&gt;0,BA428,BB372*(Предпосылки!$H295/(BB$8+1-BB$7)))</f>
        <v>0</v>
      </c>
      <c s="125">
        <f>IF(Предпосылки!$H295&gt;0,BB428,BC372*(Предпосылки!$H295/(BC$8+1-BC$7)))</f>
        <v>0</v>
      </c>
      <c s="125">
        <f>IF(Предпосылки!$H295&gt;0,BC428,BD372*(Предпосылки!$H295/(BD$8+1-BD$7)))</f>
        <v>0</v>
      </c>
      <c s="125">
        <f>IF(Предпосылки!$H295&gt;0,BD428,BE372*(Предпосылки!$H295/(BE$8+1-BE$7)))</f>
        <v>0</v>
      </c>
      <c s="125">
        <f>IF(Предпосылки!$H295&gt;0,BE428,BF372*(Предпосылки!$H295/(BF$8+1-BF$7)))</f>
        <v>0</v>
      </c>
      <c s="125">
        <f>IF(Предпосылки!$H295&gt;0,BF428,BG372*(Предпосылки!$H295/(BG$8+1-BG$7)))</f>
        <v>0</v>
      </c>
      <c s="125">
        <f>IF(Предпосылки!$H295&gt;0,BG428,BH372*(Предпосылки!$H295/(BH$8+1-BH$7)))</f>
        <v>0</v>
      </c>
      <c s="125">
        <f>IF(Предпосылки!$H295&gt;0,BH428,BI372*(Предпосылки!$H295/(BI$8+1-BI$7)))</f>
        <v>0</v>
      </c>
      <c s="125">
        <f>IF(Предпосылки!$H295&gt;0,BI428,BJ372*(Предпосылки!$H295/(BJ$8+1-BJ$7)))</f>
        <v>0</v>
      </c>
      <c s="125">
        <f>IF(Предпосылки!$H295&gt;0,BJ428,BK372*(Предпосылки!$H295/(BK$8+1-BK$7)))</f>
        <v>0</v>
      </c>
      <c s="125">
        <f>IF(Предпосылки!$H295&gt;0,BK428,BL372*(Предпосылки!$H295/(BL$8+1-BL$7)))</f>
        <v>0</v>
      </c>
      <c s="125">
        <f>IF(Предпосылки!$H295&gt;0,BL428,BM372*(Предпосылки!$H295/(BM$8+1-BM$7)))</f>
        <v>0</v>
      </c>
    </row>
    <row r="345" spans="2:65" ht="15" customHeight="1">
      <c r="B345" s="12" t="str">
        <f>IF(ISBLANK(Предпосылки!B296),"-",Предпосылки!B296)</f>
        <v>-</v>
      </c>
      <c s="124" t="str">
        <f t="shared" si="261"/>
        <v>тыс. руб.</v>
      </c>
      <c s="125"/>
      <c s="125">
        <f>IF(Предпосылки!$H296&gt;0,D429,E373*(Предпосылки!$H296/(E$8+1-E$7)))</f>
        <v>0</v>
      </c>
      <c s="125">
        <f>IF(Предпосылки!$H296&gt;0,E429,F373*(Предпосылки!$H296/(F$8+1-F$7)))</f>
        <v>0</v>
      </c>
      <c s="125">
        <f>IF(Предпосылки!$H296&gt;0,F429,G373*(Предпосылки!$H296/(G$8+1-G$7)))</f>
        <v>0</v>
      </c>
      <c s="125">
        <f>IF(Предпосылки!$H296&gt;0,G429,H373*(Предпосылки!$H296/(H$8+1-H$7)))</f>
        <v>0</v>
      </c>
      <c s="125">
        <f>IF(Предпосылки!$H296&gt;0,H429,I373*(Предпосылки!$H296/(I$8+1-I$7)))</f>
        <v>0</v>
      </c>
      <c s="125">
        <f>IF(Предпосылки!$H296&gt;0,I429,J373*(Предпосылки!$H296/(J$8+1-J$7)))</f>
        <v>0</v>
      </c>
      <c s="125">
        <f>IF(Предпосылки!$H296&gt;0,J429,K373*(Предпосылки!$H296/(K$8+1-K$7)))</f>
        <v>0</v>
      </c>
      <c s="125">
        <f>IF(Предпосылки!$H296&gt;0,K429,L373*(Предпосылки!$H296/(L$8+1-L$7)))</f>
        <v>0</v>
      </c>
      <c s="125">
        <f>IF(Предпосылки!$H296&gt;0,L429,M373*(Предпосылки!$H296/(M$8+1-M$7)))</f>
        <v>0</v>
      </c>
      <c s="125">
        <f>IF(Предпосылки!$H296&gt;0,M429,N373*(Предпосылки!$H296/(N$8+1-N$7)))</f>
        <v>0</v>
      </c>
      <c s="125">
        <f>IF(Предпосылки!$H296&gt;0,N429,O373*(Предпосылки!$H296/(O$8+1-O$7)))</f>
        <v>0</v>
      </c>
      <c s="125">
        <f>IF(Предпосылки!$H296&gt;0,O429,P373*(Предпосылки!$H296/(P$8+1-P$7)))</f>
        <v>0</v>
      </c>
      <c s="125">
        <f>IF(Предпосылки!$H296&gt;0,P429,Q373*(Предпосылки!$H296/(Q$8+1-Q$7)))</f>
        <v>0</v>
      </c>
      <c s="125">
        <f>IF(Предпосылки!$H296&gt;0,Q429,R373*(Предпосылки!$H296/(R$8+1-R$7)))</f>
        <v>0</v>
      </c>
      <c s="125">
        <f>IF(Предпосылки!$H296&gt;0,R429,S373*(Предпосылки!$H296/(S$8+1-S$7)))</f>
        <v>0</v>
      </c>
      <c s="125">
        <f>IF(Предпосылки!$H296&gt;0,S429,T373*(Предпосылки!$H296/(T$8+1-T$7)))</f>
        <v>0</v>
      </c>
      <c s="125">
        <f>IF(Предпосылки!$H296&gt;0,T429,U373*(Предпосылки!$H296/(U$8+1-U$7)))</f>
        <v>0</v>
      </c>
      <c s="125">
        <f>IF(Предпосылки!$H296&gt;0,U429,V373*(Предпосылки!$H296/(V$8+1-V$7)))</f>
        <v>0</v>
      </c>
      <c s="125">
        <f>IF(Предпосылки!$H296&gt;0,V429,W373*(Предпосылки!$H296/(W$8+1-W$7)))</f>
        <v>0</v>
      </c>
      <c s="125">
        <f>IF(Предпосылки!$H296&gt;0,W429,X373*(Предпосылки!$H296/(X$8+1-X$7)))</f>
        <v>0</v>
      </c>
      <c s="125">
        <f>IF(Предпосылки!$H296&gt;0,X429,Y373*(Предпосылки!$H296/(Y$8+1-Y$7)))</f>
        <v>0</v>
      </c>
      <c s="125">
        <f>IF(Предпосылки!$H296&gt;0,Y429,Z373*(Предпосылки!$H296/(Z$8+1-Z$7)))</f>
        <v>0</v>
      </c>
      <c s="125">
        <f>IF(Предпосылки!$H296&gt;0,Z429,AA373*(Предпосылки!$H296/(AA$8+1-AA$7)))</f>
        <v>0</v>
      </c>
      <c s="125">
        <f>IF(Предпосылки!$H296&gt;0,AA429,AB373*(Предпосылки!$H296/(AB$8+1-AB$7)))</f>
        <v>0</v>
      </c>
      <c s="125">
        <f>IF(Предпосылки!$H296&gt;0,AB429,AC373*(Предпосылки!$H296/(AC$8+1-AC$7)))</f>
        <v>0</v>
      </c>
      <c s="125">
        <f>IF(Предпосылки!$H296&gt;0,AC429,AD373*(Предпосылки!$H296/(AD$8+1-AD$7)))</f>
        <v>0</v>
      </c>
      <c s="125">
        <f>IF(Предпосылки!$H296&gt;0,AD429,AE373*(Предпосылки!$H296/(AE$8+1-AE$7)))</f>
        <v>0</v>
      </c>
      <c s="125">
        <f>IF(Предпосылки!$H296&gt;0,AE429,AF373*(Предпосылки!$H296/(AF$8+1-AF$7)))</f>
        <v>0</v>
      </c>
      <c s="125">
        <f>IF(Предпосылки!$H296&gt;0,AF429,AG373*(Предпосылки!$H296/(AG$8+1-AG$7)))</f>
        <v>0</v>
      </c>
      <c s="125">
        <f>IF(Предпосылки!$H296&gt;0,AG429,AH373*(Предпосылки!$H296/(AH$8+1-AH$7)))</f>
        <v>0</v>
      </c>
      <c s="125">
        <f>IF(Предпосылки!$H296&gt;0,AH429,AI373*(Предпосылки!$H296/(AI$8+1-AI$7)))</f>
        <v>0</v>
      </c>
      <c s="125">
        <f>IF(Предпосылки!$H296&gt;0,AI429,AJ373*(Предпосылки!$H296/(AJ$8+1-AJ$7)))</f>
        <v>0</v>
      </c>
      <c s="125">
        <f>IF(Предпосылки!$H296&gt;0,AJ429,AK373*(Предпосылки!$H296/(AK$8+1-AK$7)))</f>
        <v>0</v>
      </c>
      <c s="125">
        <f>IF(Предпосылки!$H296&gt;0,AK429,AL373*(Предпосылки!$H296/(AL$8+1-AL$7)))</f>
        <v>0</v>
      </c>
      <c s="125">
        <f>IF(Предпосылки!$H296&gt;0,AL429,AM373*(Предпосылки!$H296/(AM$8+1-AM$7)))</f>
        <v>0</v>
      </c>
      <c s="125">
        <f>IF(Предпосылки!$H296&gt;0,AM429,AN373*(Предпосылки!$H296/(AN$8+1-AN$7)))</f>
        <v>0</v>
      </c>
      <c s="125">
        <f>IF(Предпосылки!$H296&gt;0,AN429,AO373*(Предпосылки!$H296/(AO$8+1-AO$7)))</f>
        <v>0</v>
      </c>
      <c s="125">
        <f>IF(Предпосылки!$H296&gt;0,AO429,AP373*(Предпосылки!$H296/(AP$8+1-AP$7)))</f>
        <v>0</v>
      </c>
      <c s="125">
        <f>IF(Предпосылки!$H296&gt;0,AP429,AQ373*(Предпосылки!$H296/(AQ$8+1-AQ$7)))</f>
        <v>0</v>
      </c>
      <c s="125">
        <f>IF(Предпосылки!$H296&gt;0,AQ429,AR373*(Предпосылки!$H296/(AR$8+1-AR$7)))</f>
        <v>0</v>
      </c>
      <c s="125">
        <f>IF(Предпосылки!$H296&gt;0,AR429,AS373*(Предпосылки!$H296/(AS$8+1-AS$7)))</f>
        <v>0</v>
      </c>
      <c s="125">
        <f>IF(Предпосылки!$H296&gt;0,AS429,AT373*(Предпосылки!$H296/(AT$8+1-AT$7)))</f>
        <v>0</v>
      </c>
      <c s="125">
        <f>IF(Предпосылки!$H296&gt;0,AT429,AU373*(Предпосылки!$H296/(AU$8+1-AU$7)))</f>
        <v>0</v>
      </c>
      <c s="125">
        <f>IF(Предпосылки!$H296&gt;0,AU429,AV373*(Предпосылки!$H296/(AV$8+1-AV$7)))</f>
        <v>0</v>
      </c>
      <c s="125">
        <f>IF(Предпосылки!$H296&gt;0,AV429,AW373*(Предпосылки!$H296/(AW$8+1-AW$7)))</f>
        <v>0</v>
      </c>
      <c s="125">
        <f>IF(Предпосылки!$H296&gt;0,AW429,AX373*(Предпосылки!$H296/(AX$8+1-AX$7)))</f>
        <v>0</v>
      </c>
      <c s="125">
        <f>IF(Предпосылки!$H296&gt;0,AX429,AY373*(Предпосылки!$H296/(AY$8+1-AY$7)))</f>
        <v>0</v>
      </c>
      <c s="125">
        <f>IF(Предпосылки!$H296&gt;0,AY429,AZ373*(Предпосылки!$H296/(AZ$8+1-AZ$7)))</f>
        <v>0</v>
      </c>
      <c s="125">
        <f>IF(Предпосылки!$H296&gt;0,AZ429,BA373*(Предпосылки!$H296/(BA$8+1-BA$7)))</f>
        <v>0</v>
      </c>
      <c s="125">
        <f>IF(Предпосылки!$H296&gt;0,BA429,BB373*(Предпосылки!$H296/(BB$8+1-BB$7)))</f>
        <v>0</v>
      </c>
      <c s="125">
        <f>IF(Предпосылки!$H296&gt;0,BB429,BC373*(Предпосылки!$H296/(BC$8+1-BC$7)))</f>
        <v>0</v>
      </c>
      <c s="125">
        <f>IF(Предпосылки!$H296&gt;0,BC429,BD373*(Предпосылки!$H296/(BD$8+1-BD$7)))</f>
        <v>0</v>
      </c>
      <c s="125">
        <f>IF(Предпосылки!$H296&gt;0,BD429,BE373*(Предпосылки!$H296/(BE$8+1-BE$7)))</f>
        <v>0</v>
      </c>
      <c s="125">
        <f>IF(Предпосылки!$H296&gt;0,BE429,BF373*(Предпосылки!$H296/(BF$8+1-BF$7)))</f>
        <v>0</v>
      </c>
      <c s="125">
        <f>IF(Предпосылки!$H296&gt;0,BF429,BG373*(Предпосылки!$H296/(BG$8+1-BG$7)))</f>
        <v>0</v>
      </c>
      <c s="125">
        <f>IF(Предпосылки!$H296&gt;0,BG429,BH373*(Предпосылки!$H296/(BH$8+1-BH$7)))</f>
        <v>0</v>
      </c>
      <c s="125">
        <f>IF(Предпосылки!$H296&gt;0,BH429,BI373*(Предпосылки!$H296/(BI$8+1-BI$7)))</f>
        <v>0</v>
      </c>
      <c s="125">
        <f>IF(Предпосылки!$H296&gt;0,BI429,BJ373*(Предпосылки!$H296/(BJ$8+1-BJ$7)))</f>
        <v>0</v>
      </c>
      <c s="125">
        <f>IF(Предпосылки!$H296&gt;0,BJ429,BK373*(Предпосылки!$H296/(BK$8+1-BK$7)))</f>
        <v>0</v>
      </c>
      <c s="125">
        <f>IF(Предпосылки!$H296&gt;0,BK429,BL373*(Предпосылки!$H296/(BL$8+1-BL$7)))</f>
        <v>0</v>
      </c>
      <c s="125">
        <f>IF(Предпосылки!$H296&gt;0,BL429,BM373*(Предпосылки!$H296/(BM$8+1-BM$7)))</f>
        <v>0</v>
      </c>
    </row>
    <row r="346" spans="2:65" ht="15" customHeight="1">
      <c r="B346" s="12" t="str">
        <f>IF(ISBLANK(Предпосылки!B297),"-",Предпосылки!B297)</f>
        <v>-</v>
      </c>
      <c s="124" t="str">
        <f t="shared" si="261"/>
        <v>тыс. руб.</v>
      </c>
      <c s="125"/>
      <c s="125">
        <f>IF(Предпосылки!$H297&gt;0,D430,E374*(Предпосылки!$H297/(E$8+1-E$7)))</f>
        <v>0</v>
      </c>
      <c s="125">
        <f>IF(Предпосылки!$H297&gt;0,E430,F374*(Предпосылки!$H297/(F$8+1-F$7)))</f>
        <v>0</v>
      </c>
      <c s="125">
        <f>IF(Предпосылки!$H297&gt;0,F430,G374*(Предпосылки!$H297/(G$8+1-G$7)))</f>
        <v>0</v>
      </c>
      <c s="125">
        <f>IF(Предпосылки!$H297&gt;0,G430,H374*(Предпосылки!$H297/(H$8+1-H$7)))</f>
        <v>0</v>
      </c>
      <c s="125">
        <f>IF(Предпосылки!$H297&gt;0,H430,I374*(Предпосылки!$H297/(I$8+1-I$7)))</f>
        <v>0</v>
      </c>
      <c s="125">
        <f>IF(Предпосылки!$H297&gt;0,I430,J374*(Предпосылки!$H297/(J$8+1-J$7)))</f>
        <v>0</v>
      </c>
      <c s="125">
        <f>IF(Предпосылки!$H297&gt;0,J430,K374*(Предпосылки!$H297/(K$8+1-K$7)))</f>
        <v>0</v>
      </c>
      <c s="125">
        <f>IF(Предпосылки!$H297&gt;0,K430,L374*(Предпосылки!$H297/(L$8+1-L$7)))</f>
        <v>0</v>
      </c>
      <c s="125">
        <f>IF(Предпосылки!$H297&gt;0,L430,M374*(Предпосылки!$H297/(M$8+1-M$7)))</f>
        <v>0</v>
      </c>
      <c s="125">
        <f>IF(Предпосылки!$H297&gt;0,M430,N374*(Предпосылки!$H297/(N$8+1-N$7)))</f>
        <v>0</v>
      </c>
      <c s="125">
        <f>IF(Предпосылки!$H297&gt;0,N430,O374*(Предпосылки!$H297/(O$8+1-O$7)))</f>
        <v>0</v>
      </c>
      <c s="125">
        <f>IF(Предпосылки!$H297&gt;0,O430,P374*(Предпосылки!$H297/(P$8+1-P$7)))</f>
        <v>0</v>
      </c>
      <c s="125">
        <f>IF(Предпосылки!$H297&gt;0,P430,Q374*(Предпосылки!$H297/(Q$8+1-Q$7)))</f>
        <v>0</v>
      </c>
      <c s="125">
        <f>IF(Предпосылки!$H297&gt;0,Q430,R374*(Предпосылки!$H297/(R$8+1-R$7)))</f>
        <v>0</v>
      </c>
      <c s="125">
        <f>IF(Предпосылки!$H297&gt;0,R430,S374*(Предпосылки!$H297/(S$8+1-S$7)))</f>
        <v>0</v>
      </c>
      <c s="125">
        <f>IF(Предпосылки!$H297&gt;0,S430,T374*(Предпосылки!$H297/(T$8+1-T$7)))</f>
        <v>0</v>
      </c>
      <c s="125">
        <f>IF(Предпосылки!$H297&gt;0,T430,U374*(Предпосылки!$H297/(U$8+1-U$7)))</f>
        <v>0</v>
      </c>
      <c s="125">
        <f>IF(Предпосылки!$H297&gt;0,U430,V374*(Предпосылки!$H297/(V$8+1-V$7)))</f>
        <v>0</v>
      </c>
      <c s="125">
        <f>IF(Предпосылки!$H297&gt;0,V430,W374*(Предпосылки!$H297/(W$8+1-W$7)))</f>
        <v>0</v>
      </c>
      <c s="125">
        <f>IF(Предпосылки!$H297&gt;0,W430,X374*(Предпосылки!$H297/(X$8+1-X$7)))</f>
        <v>0</v>
      </c>
      <c s="125">
        <f>IF(Предпосылки!$H297&gt;0,X430,Y374*(Предпосылки!$H297/(Y$8+1-Y$7)))</f>
        <v>0</v>
      </c>
      <c s="125">
        <f>IF(Предпосылки!$H297&gt;0,Y430,Z374*(Предпосылки!$H297/(Z$8+1-Z$7)))</f>
        <v>0</v>
      </c>
      <c s="125">
        <f>IF(Предпосылки!$H297&gt;0,Z430,AA374*(Предпосылки!$H297/(AA$8+1-AA$7)))</f>
        <v>0</v>
      </c>
      <c s="125">
        <f>IF(Предпосылки!$H297&gt;0,AA430,AB374*(Предпосылки!$H297/(AB$8+1-AB$7)))</f>
        <v>0</v>
      </c>
      <c s="125">
        <f>IF(Предпосылки!$H297&gt;0,AB430,AC374*(Предпосылки!$H297/(AC$8+1-AC$7)))</f>
        <v>0</v>
      </c>
      <c s="125">
        <f>IF(Предпосылки!$H297&gt;0,AC430,AD374*(Предпосылки!$H297/(AD$8+1-AD$7)))</f>
        <v>0</v>
      </c>
      <c s="125">
        <f>IF(Предпосылки!$H297&gt;0,AD430,AE374*(Предпосылки!$H297/(AE$8+1-AE$7)))</f>
        <v>0</v>
      </c>
      <c s="125">
        <f>IF(Предпосылки!$H297&gt;0,AE430,AF374*(Предпосылки!$H297/(AF$8+1-AF$7)))</f>
        <v>0</v>
      </c>
      <c s="125">
        <f>IF(Предпосылки!$H297&gt;0,AF430,AG374*(Предпосылки!$H297/(AG$8+1-AG$7)))</f>
        <v>0</v>
      </c>
      <c s="125">
        <f>IF(Предпосылки!$H297&gt;0,AG430,AH374*(Предпосылки!$H297/(AH$8+1-AH$7)))</f>
        <v>0</v>
      </c>
      <c s="125">
        <f>IF(Предпосылки!$H297&gt;0,AH430,AI374*(Предпосылки!$H297/(AI$8+1-AI$7)))</f>
        <v>0</v>
      </c>
      <c s="125">
        <f>IF(Предпосылки!$H297&gt;0,AI430,AJ374*(Предпосылки!$H297/(AJ$8+1-AJ$7)))</f>
        <v>0</v>
      </c>
      <c s="125">
        <f>IF(Предпосылки!$H297&gt;0,AJ430,AK374*(Предпосылки!$H297/(AK$8+1-AK$7)))</f>
        <v>0</v>
      </c>
      <c s="125">
        <f>IF(Предпосылки!$H297&gt;0,AK430,AL374*(Предпосылки!$H297/(AL$8+1-AL$7)))</f>
        <v>0</v>
      </c>
      <c s="125">
        <f>IF(Предпосылки!$H297&gt;0,AL430,AM374*(Предпосылки!$H297/(AM$8+1-AM$7)))</f>
        <v>0</v>
      </c>
      <c s="125">
        <f>IF(Предпосылки!$H297&gt;0,AM430,AN374*(Предпосылки!$H297/(AN$8+1-AN$7)))</f>
        <v>0</v>
      </c>
      <c s="125">
        <f>IF(Предпосылки!$H297&gt;0,AN430,AO374*(Предпосылки!$H297/(AO$8+1-AO$7)))</f>
        <v>0</v>
      </c>
      <c s="125">
        <f>IF(Предпосылки!$H297&gt;0,AO430,AP374*(Предпосылки!$H297/(AP$8+1-AP$7)))</f>
        <v>0</v>
      </c>
      <c s="125">
        <f>IF(Предпосылки!$H297&gt;0,AP430,AQ374*(Предпосылки!$H297/(AQ$8+1-AQ$7)))</f>
        <v>0</v>
      </c>
      <c s="125">
        <f>IF(Предпосылки!$H297&gt;0,AQ430,AR374*(Предпосылки!$H297/(AR$8+1-AR$7)))</f>
        <v>0</v>
      </c>
      <c s="125">
        <f>IF(Предпосылки!$H297&gt;0,AR430,AS374*(Предпосылки!$H297/(AS$8+1-AS$7)))</f>
        <v>0</v>
      </c>
      <c s="125">
        <f>IF(Предпосылки!$H297&gt;0,AS430,AT374*(Предпосылки!$H297/(AT$8+1-AT$7)))</f>
        <v>0</v>
      </c>
      <c s="125">
        <f>IF(Предпосылки!$H297&gt;0,AT430,AU374*(Предпосылки!$H297/(AU$8+1-AU$7)))</f>
        <v>0</v>
      </c>
      <c s="125">
        <f>IF(Предпосылки!$H297&gt;0,AU430,AV374*(Предпосылки!$H297/(AV$8+1-AV$7)))</f>
        <v>0</v>
      </c>
      <c s="125">
        <f>IF(Предпосылки!$H297&gt;0,AV430,AW374*(Предпосылки!$H297/(AW$8+1-AW$7)))</f>
        <v>0</v>
      </c>
      <c s="125">
        <f>IF(Предпосылки!$H297&gt;0,AW430,AX374*(Предпосылки!$H297/(AX$8+1-AX$7)))</f>
        <v>0</v>
      </c>
      <c s="125">
        <f>IF(Предпосылки!$H297&gt;0,AX430,AY374*(Предпосылки!$H297/(AY$8+1-AY$7)))</f>
        <v>0</v>
      </c>
      <c s="125">
        <f>IF(Предпосылки!$H297&gt;0,AY430,AZ374*(Предпосылки!$H297/(AZ$8+1-AZ$7)))</f>
        <v>0</v>
      </c>
      <c s="125">
        <f>IF(Предпосылки!$H297&gt;0,AZ430,BA374*(Предпосылки!$H297/(BA$8+1-BA$7)))</f>
        <v>0</v>
      </c>
      <c s="125">
        <f>IF(Предпосылки!$H297&gt;0,BA430,BB374*(Предпосылки!$H297/(BB$8+1-BB$7)))</f>
        <v>0</v>
      </c>
      <c s="125">
        <f>IF(Предпосылки!$H297&gt;0,BB430,BC374*(Предпосылки!$H297/(BC$8+1-BC$7)))</f>
        <v>0</v>
      </c>
      <c s="125">
        <f>IF(Предпосылки!$H297&gt;0,BC430,BD374*(Предпосылки!$H297/(BD$8+1-BD$7)))</f>
        <v>0</v>
      </c>
      <c s="125">
        <f>IF(Предпосылки!$H297&gt;0,BD430,BE374*(Предпосылки!$H297/(BE$8+1-BE$7)))</f>
        <v>0</v>
      </c>
      <c s="125">
        <f>IF(Предпосылки!$H297&gt;0,BE430,BF374*(Предпосылки!$H297/(BF$8+1-BF$7)))</f>
        <v>0</v>
      </c>
      <c s="125">
        <f>IF(Предпосылки!$H297&gt;0,BF430,BG374*(Предпосылки!$H297/(BG$8+1-BG$7)))</f>
        <v>0</v>
      </c>
      <c s="125">
        <f>IF(Предпосылки!$H297&gt;0,BG430,BH374*(Предпосылки!$H297/(BH$8+1-BH$7)))</f>
        <v>0</v>
      </c>
      <c s="125">
        <f>IF(Предпосылки!$H297&gt;0,BH430,BI374*(Предпосылки!$H297/(BI$8+1-BI$7)))</f>
        <v>0</v>
      </c>
      <c s="125">
        <f>IF(Предпосылки!$H297&gt;0,BI430,BJ374*(Предпосылки!$H297/(BJ$8+1-BJ$7)))</f>
        <v>0</v>
      </c>
      <c s="125">
        <f>IF(Предпосылки!$H297&gt;0,BJ430,BK374*(Предпосылки!$H297/(BK$8+1-BK$7)))</f>
        <v>0</v>
      </c>
      <c s="125">
        <f>IF(Предпосылки!$H297&gt;0,BK430,BL374*(Предпосылки!$H297/(BL$8+1-BL$7)))</f>
        <v>0</v>
      </c>
      <c s="125">
        <f>IF(Предпосылки!$H297&gt;0,BL430,BM374*(Предпосылки!$H297/(BM$8+1-BM$7)))</f>
        <v>0</v>
      </c>
    </row>
    <row r="347" spans="2:65" ht="15" customHeight="1">
      <c r="B347" s="12" t="str">
        <f>IF(ISBLANK(Предпосылки!B298),"-",Предпосылки!B298)</f>
        <v>-</v>
      </c>
      <c s="124" t="str">
        <f t="shared" si="261"/>
        <v>тыс. руб.</v>
      </c>
      <c s="125"/>
      <c s="125">
        <f>IF(Предпосылки!$H298&gt;0,D431,E375*(Предпосылки!$H298/(E$8+1-E$7)))</f>
        <v>0</v>
      </c>
      <c s="125">
        <f>IF(Предпосылки!$H298&gt;0,E431,F375*(Предпосылки!$H298/(F$8+1-F$7)))</f>
        <v>0</v>
      </c>
      <c s="125">
        <f>IF(Предпосылки!$H298&gt;0,F431,G375*(Предпосылки!$H298/(G$8+1-G$7)))</f>
        <v>0</v>
      </c>
      <c s="125">
        <f>IF(Предпосылки!$H298&gt;0,G431,H375*(Предпосылки!$H298/(H$8+1-H$7)))</f>
        <v>0</v>
      </c>
      <c s="125">
        <f>IF(Предпосылки!$H298&gt;0,H431,I375*(Предпосылки!$H298/(I$8+1-I$7)))</f>
        <v>0</v>
      </c>
      <c s="125">
        <f>IF(Предпосылки!$H298&gt;0,I431,J375*(Предпосылки!$H298/(J$8+1-J$7)))</f>
        <v>0</v>
      </c>
      <c s="125">
        <f>IF(Предпосылки!$H298&gt;0,J431,K375*(Предпосылки!$H298/(K$8+1-K$7)))</f>
        <v>0</v>
      </c>
      <c s="125">
        <f>IF(Предпосылки!$H298&gt;0,K431,L375*(Предпосылки!$H298/(L$8+1-L$7)))</f>
        <v>0</v>
      </c>
      <c s="125">
        <f>IF(Предпосылки!$H298&gt;0,L431,M375*(Предпосылки!$H298/(M$8+1-M$7)))</f>
        <v>0</v>
      </c>
      <c s="125">
        <f>IF(Предпосылки!$H298&gt;0,M431,N375*(Предпосылки!$H298/(N$8+1-N$7)))</f>
        <v>0</v>
      </c>
      <c s="125">
        <f>IF(Предпосылки!$H298&gt;0,N431,O375*(Предпосылки!$H298/(O$8+1-O$7)))</f>
        <v>0</v>
      </c>
      <c s="125">
        <f>IF(Предпосылки!$H298&gt;0,O431,P375*(Предпосылки!$H298/(P$8+1-P$7)))</f>
        <v>0</v>
      </c>
      <c s="125">
        <f>IF(Предпосылки!$H298&gt;0,P431,Q375*(Предпосылки!$H298/(Q$8+1-Q$7)))</f>
        <v>0</v>
      </c>
      <c s="125">
        <f>IF(Предпосылки!$H298&gt;0,Q431,R375*(Предпосылки!$H298/(R$8+1-R$7)))</f>
        <v>0</v>
      </c>
      <c s="125">
        <f>IF(Предпосылки!$H298&gt;0,R431,S375*(Предпосылки!$H298/(S$8+1-S$7)))</f>
        <v>0</v>
      </c>
      <c s="125">
        <f>IF(Предпосылки!$H298&gt;0,S431,T375*(Предпосылки!$H298/(T$8+1-T$7)))</f>
        <v>0</v>
      </c>
      <c s="125">
        <f>IF(Предпосылки!$H298&gt;0,T431,U375*(Предпосылки!$H298/(U$8+1-U$7)))</f>
        <v>0</v>
      </c>
      <c s="125">
        <f>IF(Предпосылки!$H298&gt;0,U431,V375*(Предпосылки!$H298/(V$8+1-V$7)))</f>
        <v>0</v>
      </c>
      <c s="125">
        <f>IF(Предпосылки!$H298&gt;0,V431,W375*(Предпосылки!$H298/(W$8+1-W$7)))</f>
        <v>0</v>
      </c>
      <c s="125">
        <f>IF(Предпосылки!$H298&gt;0,W431,X375*(Предпосылки!$H298/(X$8+1-X$7)))</f>
        <v>0</v>
      </c>
      <c s="125">
        <f>IF(Предпосылки!$H298&gt;0,X431,Y375*(Предпосылки!$H298/(Y$8+1-Y$7)))</f>
        <v>0</v>
      </c>
      <c s="125">
        <f>IF(Предпосылки!$H298&gt;0,Y431,Z375*(Предпосылки!$H298/(Z$8+1-Z$7)))</f>
        <v>0</v>
      </c>
      <c s="125">
        <f>IF(Предпосылки!$H298&gt;0,Z431,AA375*(Предпосылки!$H298/(AA$8+1-AA$7)))</f>
        <v>0</v>
      </c>
      <c s="125">
        <f>IF(Предпосылки!$H298&gt;0,AA431,AB375*(Предпосылки!$H298/(AB$8+1-AB$7)))</f>
        <v>0</v>
      </c>
      <c s="125">
        <f>IF(Предпосылки!$H298&gt;0,AB431,AC375*(Предпосылки!$H298/(AC$8+1-AC$7)))</f>
        <v>0</v>
      </c>
      <c s="125">
        <f>IF(Предпосылки!$H298&gt;0,AC431,AD375*(Предпосылки!$H298/(AD$8+1-AD$7)))</f>
        <v>0</v>
      </c>
      <c s="125">
        <f>IF(Предпосылки!$H298&gt;0,AD431,AE375*(Предпосылки!$H298/(AE$8+1-AE$7)))</f>
        <v>0</v>
      </c>
      <c s="125">
        <f>IF(Предпосылки!$H298&gt;0,AE431,AF375*(Предпосылки!$H298/(AF$8+1-AF$7)))</f>
        <v>0</v>
      </c>
      <c s="125">
        <f>IF(Предпосылки!$H298&gt;0,AF431,AG375*(Предпосылки!$H298/(AG$8+1-AG$7)))</f>
        <v>0</v>
      </c>
      <c s="125">
        <f>IF(Предпосылки!$H298&gt;0,AG431,AH375*(Предпосылки!$H298/(AH$8+1-AH$7)))</f>
        <v>0</v>
      </c>
      <c s="125">
        <f>IF(Предпосылки!$H298&gt;0,AH431,AI375*(Предпосылки!$H298/(AI$8+1-AI$7)))</f>
        <v>0</v>
      </c>
      <c s="125">
        <f>IF(Предпосылки!$H298&gt;0,AI431,AJ375*(Предпосылки!$H298/(AJ$8+1-AJ$7)))</f>
        <v>0</v>
      </c>
      <c s="125">
        <f>IF(Предпосылки!$H298&gt;0,AJ431,AK375*(Предпосылки!$H298/(AK$8+1-AK$7)))</f>
        <v>0</v>
      </c>
      <c s="125">
        <f>IF(Предпосылки!$H298&gt;0,AK431,AL375*(Предпосылки!$H298/(AL$8+1-AL$7)))</f>
        <v>0</v>
      </c>
      <c s="125">
        <f>IF(Предпосылки!$H298&gt;0,AL431,AM375*(Предпосылки!$H298/(AM$8+1-AM$7)))</f>
        <v>0</v>
      </c>
      <c s="125">
        <f>IF(Предпосылки!$H298&gt;0,AM431,AN375*(Предпосылки!$H298/(AN$8+1-AN$7)))</f>
        <v>0</v>
      </c>
      <c s="125">
        <f>IF(Предпосылки!$H298&gt;0,AN431,AO375*(Предпосылки!$H298/(AO$8+1-AO$7)))</f>
        <v>0</v>
      </c>
      <c s="125">
        <f>IF(Предпосылки!$H298&gt;0,AO431,AP375*(Предпосылки!$H298/(AP$8+1-AP$7)))</f>
        <v>0</v>
      </c>
      <c s="125">
        <f>IF(Предпосылки!$H298&gt;0,AP431,AQ375*(Предпосылки!$H298/(AQ$8+1-AQ$7)))</f>
        <v>0</v>
      </c>
      <c s="125">
        <f>IF(Предпосылки!$H298&gt;0,AQ431,AR375*(Предпосылки!$H298/(AR$8+1-AR$7)))</f>
        <v>0</v>
      </c>
      <c s="125">
        <f>IF(Предпосылки!$H298&gt;0,AR431,AS375*(Предпосылки!$H298/(AS$8+1-AS$7)))</f>
        <v>0</v>
      </c>
      <c s="125">
        <f>IF(Предпосылки!$H298&gt;0,AS431,AT375*(Предпосылки!$H298/(AT$8+1-AT$7)))</f>
        <v>0</v>
      </c>
      <c s="125">
        <f>IF(Предпосылки!$H298&gt;0,AT431,AU375*(Предпосылки!$H298/(AU$8+1-AU$7)))</f>
        <v>0</v>
      </c>
      <c s="125">
        <f>IF(Предпосылки!$H298&gt;0,AU431,AV375*(Предпосылки!$H298/(AV$8+1-AV$7)))</f>
        <v>0</v>
      </c>
      <c s="125">
        <f>IF(Предпосылки!$H298&gt;0,AV431,AW375*(Предпосылки!$H298/(AW$8+1-AW$7)))</f>
        <v>0</v>
      </c>
      <c s="125">
        <f>IF(Предпосылки!$H298&gt;0,AW431,AX375*(Предпосылки!$H298/(AX$8+1-AX$7)))</f>
        <v>0</v>
      </c>
      <c s="125">
        <f>IF(Предпосылки!$H298&gt;0,AX431,AY375*(Предпосылки!$H298/(AY$8+1-AY$7)))</f>
        <v>0</v>
      </c>
      <c s="125">
        <f>IF(Предпосылки!$H298&gt;0,AY431,AZ375*(Предпосылки!$H298/(AZ$8+1-AZ$7)))</f>
        <v>0</v>
      </c>
      <c s="125">
        <f>IF(Предпосылки!$H298&gt;0,AZ431,BA375*(Предпосылки!$H298/(BA$8+1-BA$7)))</f>
        <v>0</v>
      </c>
      <c s="125">
        <f>IF(Предпосылки!$H298&gt;0,BA431,BB375*(Предпосылки!$H298/(BB$8+1-BB$7)))</f>
        <v>0</v>
      </c>
      <c s="125">
        <f>IF(Предпосылки!$H298&gt;0,BB431,BC375*(Предпосылки!$H298/(BC$8+1-BC$7)))</f>
        <v>0</v>
      </c>
      <c s="125">
        <f>IF(Предпосылки!$H298&gt;0,BC431,BD375*(Предпосылки!$H298/(BD$8+1-BD$7)))</f>
        <v>0</v>
      </c>
      <c s="125">
        <f>IF(Предпосылки!$H298&gt;0,BD431,BE375*(Предпосылки!$H298/(BE$8+1-BE$7)))</f>
        <v>0</v>
      </c>
      <c s="125">
        <f>IF(Предпосылки!$H298&gt;0,BE431,BF375*(Предпосылки!$H298/(BF$8+1-BF$7)))</f>
        <v>0</v>
      </c>
      <c s="125">
        <f>IF(Предпосылки!$H298&gt;0,BF431,BG375*(Предпосылки!$H298/(BG$8+1-BG$7)))</f>
        <v>0</v>
      </c>
      <c s="125">
        <f>IF(Предпосылки!$H298&gt;0,BG431,BH375*(Предпосылки!$H298/(BH$8+1-BH$7)))</f>
        <v>0</v>
      </c>
      <c s="125">
        <f>IF(Предпосылки!$H298&gt;0,BH431,BI375*(Предпосылки!$H298/(BI$8+1-BI$7)))</f>
        <v>0</v>
      </c>
      <c s="125">
        <f>IF(Предпосылки!$H298&gt;0,BI431,BJ375*(Предпосылки!$H298/(BJ$8+1-BJ$7)))</f>
        <v>0</v>
      </c>
      <c s="125">
        <f>IF(Предпосылки!$H298&gt;0,BJ431,BK375*(Предпосылки!$H298/(BK$8+1-BK$7)))</f>
        <v>0</v>
      </c>
      <c s="125">
        <f>IF(Предпосылки!$H298&gt;0,BK431,BL375*(Предпосылки!$H298/(BL$8+1-BL$7)))</f>
        <v>0</v>
      </c>
      <c s="125">
        <f>IF(Предпосылки!$H298&gt;0,BL431,BM375*(Предпосылки!$H298/(BM$8+1-BM$7)))</f>
        <v>0</v>
      </c>
    </row>
    <row r="348" spans="2:65" ht="15" customHeight="1">
      <c r="B348" s="12" t="str">
        <f>IF(ISBLANK(Предпосылки!B299),"-",Предпосылки!B299)</f>
        <v>-</v>
      </c>
      <c s="124" t="str">
        <f t="shared" si="261"/>
        <v>тыс. руб.</v>
      </c>
      <c s="125"/>
      <c s="125">
        <f>IF(Предпосылки!$H299&gt;0,D432,E376*(Предпосылки!$H299/(E$8+1-E$7)))</f>
        <v>0</v>
      </c>
      <c s="125">
        <f>IF(Предпосылки!$H299&gt;0,E432,F376*(Предпосылки!$H299/(F$8+1-F$7)))</f>
        <v>0</v>
      </c>
      <c s="125">
        <f>IF(Предпосылки!$H299&gt;0,F432,G376*(Предпосылки!$H299/(G$8+1-G$7)))</f>
        <v>0</v>
      </c>
      <c s="125">
        <f>IF(Предпосылки!$H299&gt;0,G432,H376*(Предпосылки!$H299/(H$8+1-H$7)))</f>
        <v>0</v>
      </c>
      <c s="125">
        <f>IF(Предпосылки!$H299&gt;0,H432,I376*(Предпосылки!$H299/(I$8+1-I$7)))</f>
        <v>0</v>
      </c>
      <c s="125">
        <f>IF(Предпосылки!$H299&gt;0,I432,J376*(Предпосылки!$H299/(J$8+1-J$7)))</f>
        <v>0</v>
      </c>
      <c s="125">
        <f>IF(Предпосылки!$H299&gt;0,J432,K376*(Предпосылки!$H299/(K$8+1-K$7)))</f>
        <v>0</v>
      </c>
      <c s="125">
        <f>IF(Предпосылки!$H299&gt;0,K432,L376*(Предпосылки!$H299/(L$8+1-L$7)))</f>
        <v>0</v>
      </c>
      <c s="125">
        <f>IF(Предпосылки!$H299&gt;0,L432,M376*(Предпосылки!$H299/(M$8+1-M$7)))</f>
        <v>0</v>
      </c>
      <c s="125">
        <f>IF(Предпосылки!$H299&gt;0,M432,N376*(Предпосылки!$H299/(N$8+1-N$7)))</f>
        <v>0</v>
      </c>
      <c s="125">
        <f>IF(Предпосылки!$H299&gt;0,N432,O376*(Предпосылки!$H299/(O$8+1-O$7)))</f>
        <v>0</v>
      </c>
      <c s="125">
        <f>IF(Предпосылки!$H299&gt;0,O432,P376*(Предпосылки!$H299/(P$8+1-P$7)))</f>
        <v>0</v>
      </c>
      <c s="125">
        <f>IF(Предпосылки!$H299&gt;0,P432,Q376*(Предпосылки!$H299/(Q$8+1-Q$7)))</f>
        <v>0</v>
      </c>
      <c s="125">
        <f>IF(Предпосылки!$H299&gt;0,Q432,R376*(Предпосылки!$H299/(R$8+1-R$7)))</f>
        <v>0</v>
      </c>
      <c s="125">
        <f>IF(Предпосылки!$H299&gt;0,R432,S376*(Предпосылки!$H299/(S$8+1-S$7)))</f>
        <v>0</v>
      </c>
      <c s="125">
        <f>IF(Предпосылки!$H299&gt;0,S432,T376*(Предпосылки!$H299/(T$8+1-T$7)))</f>
        <v>0</v>
      </c>
      <c s="125">
        <f>IF(Предпосылки!$H299&gt;0,T432,U376*(Предпосылки!$H299/(U$8+1-U$7)))</f>
        <v>0</v>
      </c>
      <c s="125">
        <f>IF(Предпосылки!$H299&gt;0,U432,V376*(Предпосылки!$H299/(V$8+1-V$7)))</f>
        <v>0</v>
      </c>
      <c s="125">
        <f>IF(Предпосылки!$H299&gt;0,V432,W376*(Предпосылки!$H299/(W$8+1-W$7)))</f>
        <v>0</v>
      </c>
      <c s="125">
        <f>IF(Предпосылки!$H299&gt;0,W432,X376*(Предпосылки!$H299/(X$8+1-X$7)))</f>
        <v>0</v>
      </c>
      <c s="125">
        <f>IF(Предпосылки!$H299&gt;0,X432,Y376*(Предпосылки!$H299/(Y$8+1-Y$7)))</f>
        <v>0</v>
      </c>
      <c s="125">
        <f>IF(Предпосылки!$H299&gt;0,Y432,Z376*(Предпосылки!$H299/(Z$8+1-Z$7)))</f>
        <v>0</v>
      </c>
      <c s="125">
        <f>IF(Предпосылки!$H299&gt;0,Z432,AA376*(Предпосылки!$H299/(AA$8+1-AA$7)))</f>
        <v>0</v>
      </c>
      <c s="125">
        <f>IF(Предпосылки!$H299&gt;0,AA432,AB376*(Предпосылки!$H299/(AB$8+1-AB$7)))</f>
        <v>0</v>
      </c>
      <c s="125">
        <f>IF(Предпосылки!$H299&gt;0,AB432,AC376*(Предпосылки!$H299/(AC$8+1-AC$7)))</f>
        <v>0</v>
      </c>
      <c s="125">
        <f>IF(Предпосылки!$H299&gt;0,AC432,AD376*(Предпосылки!$H299/(AD$8+1-AD$7)))</f>
        <v>0</v>
      </c>
      <c s="125">
        <f>IF(Предпосылки!$H299&gt;0,AD432,AE376*(Предпосылки!$H299/(AE$8+1-AE$7)))</f>
        <v>0</v>
      </c>
      <c s="125">
        <f>IF(Предпосылки!$H299&gt;0,AE432,AF376*(Предпосылки!$H299/(AF$8+1-AF$7)))</f>
        <v>0</v>
      </c>
      <c s="125">
        <f>IF(Предпосылки!$H299&gt;0,AF432,AG376*(Предпосылки!$H299/(AG$8+1-AG$7)))</f>
        <v>0</v>
      </c>
      <c s="125">
        <f>IF(Предпосылки!$H299&gt;0,AG432,AH376*(Предпосылки!$H299/(AH$8+1-AH$7)))</f>
        <v>0</v>
      </c>
      <c s="125">
        <f>IF(Предпосылки!$H299&gt;0,AH432,AI376*(Предпосылки!$H299/(AI$8+1-AI$7)))</f>
        <v>0</v>
      </c>
      <c s="125">
        <f>IF(Предпосылки!$H299&gt;0,AI432,AJ376*(Предпосылки!$H299/(AJ$8+1-AJ$7)))</f>
        <v>0</v>
      </c>
      <c s="125">
        <f>IF(Предпосылки!$H299&gt;0,AJ432,AK376*(Предпосылки!$H299/(AK$8+1-AK$7)))</f>
        <v>0</v>
      </c>
      <c s="125">
        <f>IF(Предпосылки!$H299&gt;0,AK432,AL376*(Предпосылки!$H299/(AL$8+1-AL$7)))</f>
        <v>0</v>
      </c>
      <c s="125">
        <f>IF(Предпосылки!$H299&gt;0,AL432,AM376*(Предпосылки!$H299/(AM$8+1-AM$7)))</f>
        <v>0</v>
      </c>
      <c s="125">
        <f>IF(Предпосылки!$H299&gt;0,AM432,AN376*(Предпосылки!$H299/(AN$8+1-AN$7)))</f>
        <v>0</v>
      </c>
      <c s="125">
        <f>IF(Предпосылки!$H299&gt;0,AN432,AO376*(Предпосылки!$H299/(AO$8+1-AO$7)))</f>
        <v>0</v>
      </c>
      <c s="125">
        <f>IF(Предпосылки!$H299&gt;0,AO432,AP376*(Предпосылки!$H299/(AP$8+1-AP$7)))</f>
        <v>0</v>
      </c>
      <c s="125">
        <f>IF(Предпосылки!$H299&gt;0,AP432,AQ376*(Предпосылки!$H299/(AQ$8+1-AQ$7)))</f>
        <v>0</v>
      </c>
      <c s="125">
        <f>IF(Предпосылки!$H299&gt;0,AQ432,AR376*(Предпосылки!$H299/(AR$8+1-AR$7)))</f>
        <v>0</v>
      </c>
      <c s="125">
        <f>IF(Предпосылки!$H299&gt;0,AR432,AS376*(Предпосылки!$H299/(AS$8+1-AS$7)))</f>
        <v>0</v>
      </c>
      <c s="125">
        <f>IF(Предпосылки!$H299&gt;0,AS432,AT376*(Предпосылки!$H299/(AT$8+1-AT$7)))</f>
        <v>0</v>
      </c>
      <c s="125">
        <f>IF(Предпосылки!$H299&gt;0,AT432,AU376*(Предпосылки!$H299/(AU$8+1-AU$7)))</f>
        <v>0</v>
      </c>
      <c s="125">
        <f>IF(Предпосылки!$H299&gt;0,AU432,AV376*(Предпосылки!$H299/(AV$8+1-AV$7)))</f>
        <v>0</v>
      </c>
      <c s="125">
        <f>IF(Предпосылки!$H299&gt;0,AV432,AW376*(Предпосылки!$H299/(AW$8+1-AW$7)))</f>
        <v>0</v>
      </c>
      <c s="125">
        <f>IF(Предпосылки!$H299&gt;0,AW432,AX376*(Предпосылки!$H299/(AX$8+1-AX$7)))</f>
        <v>0</v>
      </c>
      <c s="125">
        <f>IF(Предпосылки!$H299&gt;0,AX432,AY376*(Предпосылки!$H299/(AY$8+1-AY$7)))</f>
        <v>0</v>
      </c>
      <c s="125">
        <f>IF(Предпосылки!$H299&gt;0,AY432,AZ376*(Предпосылки!$H299/(AZ$8+1-AZ$7)))</f>
        <v>0</v>
      </c>
      <c s="125">
        <f>IF(Предпосылки!$H299&gt;0,AZ432,BA376*(Предпосылки!$H299/(BA$8+1-BA$7)))</f>
        <v>0</v>
      </c>
      <c s="125">
        <f>IF(Предпосылки!$H299&gt;0,BA432,BB376*(Предпосылки!$H299/(BB$8+1-BB$7)))</f>
        <v>0</v>
      </c>
      <c s="125">
        <f>IF(Предпосылки!$H299&gt;0,BB432,BC376*(Предпосылки!$H299/(BC$8+1-BC$7)))</f>
        <v>0</v>
      </c>
      <c s="125">
        <f>IF(Предпосылки!$H299&gt;0,BC432,BD376*(Предпосылки!$H299/(BD$8+1-BD$7)))</f>
        <v>0</v>
      </c>
      <c s="125">
        <f>IF(Предпосылки!$H299&gt;0,BD432,BE376*(Предпосылки!$H299/(BE$8+1-BE$7)))</f>
        <v>0</v>
      </c>
      <c s="125">
        <f>IF(Предпосылки!$H299&gt;0,BE432,BF376*(Предпосылки!$H299/(BF$8+1-BF$7)))</f>
        <v>0</v>
      </c>
      <c s="125">
        <f>IF(Предпосылки!$H299&gt;0,BF432,BG376*(Предпосылки!$H299/(BG$8+1-BG$7)))</f>
        <v>0</v>
      </c>
      <c s="125">
        <f>IF(Предпосылки!$H299&gt;0,BG432,BH376*(Предпосылки!$H299/(BH$8+1-BH$7)))</f>
        <v>0</v>
      </c>
      <c s="125">
        <f>IF(Предпосылки!$H299&gt;0,BH432,BI376*(Предпосылки!$H299/(BI$8+1-BI$7)))</f>
        <v>0</v>
      </c>
      <c s="125">
        <f>IF(Предпосылки!$H299&gt;0,BI432,BJ376*(Предпосылки!$H299/(BJ$8+1-BJ$7)))</f>
        <v>0</v>
      </c>
      <c s="125">
        <f>IF(Предпосылки!$H299&gt;0,BJ432,BK376*(Предпосылки!$H299/(BK$8+1-BK$7)))</f>
        <v>0</v>
      </c>
      <c s="125">
        <f>IF(Предпосылки!$H299&gt;0,BK432,BL376*(Предпосылки!$H299/(BL$8+1-BL$7)))</f>
        <v>0</v>
      </c>
      <c s="125">
        <f>IF(Предпосылки!$H299&gt;0,BL432,BM376*(Предпосылки!$H299/(BM$8+1-BM$7)))</f>
        <v>0</v>
      </c>
    </row>
    <row r="349" spans="2:65" ht="15" customHeight="1">
      <c r="B349" s="12" t="str">
        <f>IF(ISBLANK(Предпосылки!B300),"-",Предпосылки!B300)</f>
        <v>-</v>
      </c>
      <c s="124" t="str">
        <f t="shared" si="261"/>
        <v>тыс. руб.</v>
      </c>
      <c s="125"/>
      <c s="125">
        <f>IF(Предпосылки!$H300&gt;0,D433,E377*(Предпосылки!$H300/(E$8+1-E$7)))</f>
        <v>0</v>
      </c>
      <c s="125">
        <f>IF(Предпосылки!$H300&gt;0,E433,F377*(Предпосылки!$H300/(F$8+1-F$7)))</f>
        <v>0</v>
      </c>
      <c s="125">
        <f>IF(Предпосылки!$H300&gt;0,F433,G377*(Предпосылки!$H300/(G$8+1-G$7)))</f>
        <v>0</v>
      </c>
      <c s="125">
        <f>IF(Предпосылки!$H300&gt;0,G433,H377*(Предпосылки!$H300/(H$8+1-H$7)))</f>
        <v>0</v>
      </c>
      <c s="125">
        <f>IF(Предпосылки!$H300&gt;0,H433,I377*(Предпосылки!$H300/(I$8+1-I$7)))</f>
        <v>0</v>
      </c>
      <c s="125">
        <f>IF(Предпосылки!$H300&gt;0,I433,J377*(Предпосылки!$H300/(J$8+1-J$7)))</f>
        <v>0</v>
      </c>
      <c s="125">
        <f>IF(Предпосылки!$H300&gt;0,J433,K377*(Предпосылки!$H300/(K$8+1-K$7)))</f>
        <v>0</v>
      </c>
      <c s="125">
        <f>IF(Предпосылки!$H300&gt;0,K433,L377*(Предпосылки!$H300/(L$8+1-L$7)))</f>
        <v>0</v>
      </c>
      <c s="125">
        <f>IF(Предпосылки!$H300&gt;0,L433,M377*(Предпосылки!$H300/(M$8+1-M$7)))</f>
        <v>0</v>
      </c>
      <c s="125">
        <f>IF(Предпосылки!$H300&gt;0,M433,N377*(Предпосылки!$H300/(N$8+1-N$7)))</f>
        <v>0</v>
      </c>
      <c s="125">
        <f>IF(Предпосылки!$H300&gt;0,N433,O377*(Предпосылки!$H300/(O$8+1-O$7)))</f>
        <v>0</v>
      </c>
      <c s="125">
        <f>IF(Предпосылки!$H300&gt;0,O433,P377*(Предпосылки!$H300/(P$8+1-P$7)))</f>
        <v>0</v>
      </c>
      <c s="125">
        <f>IF(Предпосылки!$H300&gt;0,P433,Q377*(Предпосылки!$H300/(Q$8+1-Q$7)))</f>
        <v>0</v>
      </c>
      <c s="125">
        <f>IF(Предпосылки!$H300&gt;0,Q433,R377*(Предпосылки!$H300/(R$8+1-R$7)))</f>
        <v>0</v>
      </c>
      <c s="125">
        <f>IF(Предпосылки!$H300&gt;0,R433,S377*(Предпосылки!$H300/(S$8+1-S$7)))</f>
        <v>0</v>
      </c>
      <c s="125">
        <f>IF(Предпосылки!$H300&gt;0,S433,T377*(Предпосылки!$H300/(T$8+1-T$7)))</f>
        <v>0</v>
      </c>
      <c s="125">
        <f>IF(Предпосылки!$H300&gt;0,T433,U377*(Предпосылки!$H300/(U$8+1-U$7)))</f>
        <v>0</v>
      </c>
      <c s="125">
        <f>IF(Предпосылки!$H300&gt;0,U433,V377*(Предпосылки!$H300/(V$8+1-V$7)))</f>
        <v>0</v>
      </c>
      <c s="125">
        <f>IF(Предпосылки!$H300&gt;0,V433,W377*(Предпосылки!$H300/(W$8+1-W$7)))</f>
        <v>0</v>
      </c>
      <c s="125">
        <f>IF(Предпосылки!$H300&gt;0,W433,X377*(Предпосылки!$H300/(X$8+1-X$7)))</f>
        <v>0</v>
      </c>
      <c s="125">
        <f>IF(Предпосылки!$H300&gt;0,X433,Y377*(Предпосылки!$H300/(Y$8+1-Y$7)))</f>
        <v>0</v>
      </c>
      <c s="125">
        <f>IF(Предпосылки!$H300&gt;0,Y433,Z377*(Предпосылки!$H300/(Z$8+1-Z$7)))</f>
        <v>0</v>
      </c>
      <c s="125">
        <f>IF(Предпосылки!$H300&gt;0,Z433,AA377*(Предпосылки!$H300/(AA$8+1-AA$7)))</f>
        <v>0</v>
      </c>
      <c s="125">
        <f>IF(Предпосылки!$H300&gt;0,AA433,AB377*(Предпосылки!$H300/(AB$8+1-AB$7)))</f>
        <v>0</v>
      </c>
      <c s="125">
        <f>IF(Предпосылки!$H300&gt;0,AB433,AC377*(Предпосылки!$H300/(AC$8+1-AC$7)))</f>
        <v>0</v>
      </c>
      <c s="125">
        <f>IF(Предпосылки!$H300&gt;0,AC433,AD377*(Предпосылки!$H300/(AD$8+1-AD$7)))</f>
        <v>0</v>
      </c>
      <c s="125">
        <f>IF(Предпосылки!$H300&gt;0,AD433,AE377*(Предпосылки!$H300/(AE$8+1-AE$7)))</f>
        <v>0</v>
      </c>
      <c s="125">
        <f>IF(Предпосылки!$H300&gt;0,AE433,AF377*(Предпосылки!$H300/(AF$8+1-AF$7)))</f>
        <v>0</v>
      </c>
      <c s="125">
        <f>IF(Предпосылки!$H300&gt;0,AF433,AG377*(Предпосылки!$H300/(AG$8+1-AG$7)))</f>
        <v>0</v>
      </c>
      <c s="125">
        <f>IF(Предпосылки!$H300&gt;0,AG433,AH377*(Предпосылки!$H300/(AH$8+1-AH$7)))</f>
        <v>0</v>
      </c>
      <c s="125">
        <f>IF(Предпосылки!$H300&gt;0,AH433,AI377*(Предпосылки!$H300/(AI$8+1-AI$7)))</f>
        <v>0</v>
      </c>
      <c s="125">
        <f>IF(Предпосылки!$H300&gt;0,AI433,AJ377*(Предпосылки!$H300/(AJ$8+1-AJ$7)))</f>
        <v>0</v>
      </c>
      <c s="125">
        <f>IF(Предпосылки!$H300&gt;0,AJ433,AK377*(Предпосылки!$H300/(AK$8+1-AK$7)))</f>
        <v>0</v>
      </c>
      <c s="125">
        <f>IF(Предпосылки!$H300&gt;0,AK433,AL377*(Предпосылки!$H300/(AL$8+1-AL$7)))</f>
        <v>0</v>
      </c>
      <c s="125">
        <f>IF(Предпосылки!$H300&gt;0,AL433,AM377*(Предпосылки!$H300/(AM$8+1-AM$7)))</f>
        <v>0</v>
      </c>
      <c s="125">
        <f>IF(Предпосылки!$H300&gt;0,AM433,AN377*(Предпосылки!$H300/(AN$8+1-AN$7)))</f>
        <v>0</v>
      </c>
      <c s="125">
        <f>IF(Предпосылки!$H300&gt;0,AN433,AO377*(Предпосылки!$H300/(AO$8+1-AO$7)))</f>
        <v>0</v>
      </c>
      <c s="125">
        <f>IF(Предпосылки!$H300&gt;0,AO433,AP377*(Предпосылки!$H300/(AP$8+1-AP$7)))</f>
        <v>0</v>
      </c>
      <c s="125">
        <f>IF(Предпосылки!$H300&gt;0,AP433,AQ377*(Предпосылки!$H300/(AQ$8+1-AQ$7)))</f>
        <v>0</v>
      </c>
      <c s="125">
        <f>IF(Предпосылки!$H300&gt;0,AQ433,AR377*(Предпосылки!$H300/(AR$8+1-AR$7)))</f>
        <v>0</v>
      </c>
      <c s="125">
        <f>IF(Предпосылки!$H300&gt;0,AR433,AS377*(Предпосылки!$H300/(AS$8+1-AS$7)))</f>
        <v>0</v>
      </c>
      <c s="125">
        <f>IF(Предпосылки!$H300&gt;0,AS433,AT377*(Предпосылки!$H300/(AT$8+1-AT$7)))</f>
        <v>0</v>
      </c>
      <c s="125">
        <f>IF(Предпосылки!$H300&gt;0,AT433,AU377*(Предпосылки!$H300/(AU$8+1-AU$7)))</f>
        <v>0</v>
      </c>
      <c s="125">
        <f>IF(Предпосылки!$H300&gt;0,AU433,AV377*(Предпосылки!$H300/(AV$8+1-AV$7)))</f>
        <v>0</v>
      </c>
      <c s="125">
        <f>IF(Предпосылки!$H300&gt;0,AV433,AW377*(Предпосылки!$H300/(AW$8+1-AW$7)))</f>
        <v>0</v>
      </c>
      <c s="125">
        <f>IF(Предпосылки!$H300&gt;0,AW433,AX377*(Предпосылки!$H300/(AX$8+1-AX$7)))</f>
        <v>0</v>
      </c>
      <c s="125">
        <f>IF(Предпосылки!$H300&gt;0,AX433,AY377*(Предпосылки!$H300/(AY$8+1-AY$7)))</f>
        <v>0</v>
      </c>
      <c s="125">
        <f>IF(Предпосылки!$H300&gt;0,AY433,AZ377*(Предпосылки!$H300/(AZ$8+1-AZ$7)))</f>
        <v>0</v>
      </c>
      <c s="125">
        <f>IF(Предпосылки!$H300&gt;0,AZ433,BA377*(Предпосылки!$H300/(BA$8+1-BA$7)))</f>
        <v>0</v>
      </c>
      <c s="125">
        <f>IF(Предпосылки!$H300&gt;0,BA433,BB377*(Предпосылки!$H300/(BB$8+1-BB$7)))</f>
        <v>0</v>
      </c>
      <c s="125">
        <f>IF(Предпосылки!$H300&gt;0,BB433,BC377*(Предпосылки!$H300/(BC$8+1-BC$7)))</f>
        <v>0</v>
      </c>
      <c s="125">
        <f>IF(Предпосылки!$H300&gt;0,BC433,BD377*(Предпосылки!$H300/(BD$8+1-BD$7)))</f>
        <v>0</v>
      </c>
      <c s="125">
        <f>IF(Предпосылки!$H300&gt;0,BD433,BE377*(Предпосылки!$H300/(BE$8+1-BE$7)))</f>
        <v>0</v>
      </c>
      <c s="125">
        <f>IF(Предпосылки!$H300&gt;0,BE433,BF377*(Предпосылки!$H300/(BF$8+1-BF$7)))</f>
        <v>0</v>
      </c>
      <c s="125">
        <f>IF(Предпосылки!$H300&gt;0,BF433,BG377*(Предпосылки!$H300/(BG$8+1-BG$7)))</f>
        <v>0</v>
      </c>
      <c s="125">
        <f>IF(Предпосылки!$H300&gt;0,BG433,BH377*(Предпосылки!$H300/(BH$8+1-BH$7)))</f>
        <v>0</v>
      </c>
      <c s="125">
        <f>IF(Предпосылки!$H300&gt;0,BH433,BI377*(Предпосылки!$H300/(BI$8+1-BI$7)))</f>
        <v>0</v>
      </c>
      <c s="125">
        <f>IF(Предпосылки!$H300&gt;0,BI433,BJ377*(Предпосылки!$H300/(BJ$8+1-BJ$7)))</f>
        <v>0</v>
      </c>
      <c s="125">
        <f>IF(Предпосылки!$H300&gt;0,BJ433,BK377*(Предпосылки!$H300/(BK$8+1-BK$7)))</f>
        <v>0</v>
      </c>
      <c s="125">
        <f>IF(Предпосылки!$H300&gt;0,BK433,BL377*(Предпосылки!$H300/(BL$8+1-BL$7)))</f>
        <v>0</v>
      </c>
      <c s="125">
        <f>IF(Предпосылки!$H300&gt;0,BL433,BM377*(Предпосылки!$H300/(BM$8+1-BM$7)))</f>
        <v>0</v>
      </c>
    </row>
    <row r="350" spans="2:65" ht="15" customHeight="1">
      <c r="B350" s="12" t="str">
        <f>IF(ISBLANK(Предпосылки!B301),"-",Предпосылки!B301)</f>
        <v>-</v>
      </c>
      <c s="124" t="str">
        <f t="shared" si="261"/>
        <v>тыс. руб.</v>
      </c>
      <c s="125"/>
      <c s="125">
        <f>IF(Предпосылки!$H301&gt;0,D434,E378*(Предпосылки!$H301/(E$8+1-E$7)))</f>
        <v>0</v>
      </c>
      <c s="125">
        <f>IF(Предпосылки!$H301&gt;0,E434,F378*(Предпосылки!$H301/(F$8+1-F$7)))</f>
        <v>0</v>
      </c>
      <c s="125">
        <f>IF(Предпосылки!$H301&gt;0,F434,G378*(Предпосылки!$H301/(G$8+1-G$7)))</f>
        <v>0</v>
      </c>
      <c s="125">
        <f>IF(Предпосылки!$H301&gt;0,G434,H378*(Предпосылки!$H301/(H$8+1-H$7)))</f>
        <v>0</v>
      </c>
      <c s="125">
        <f>IF(Предпосылки!$H301&gt;0,H434,I378*(Предпосылки!$H301/(I$8+1-I$7)))</f>
        <v>0</v>
      </c>
      <c s="125">
        <f>IF(Предпосылки!$H301&gt;0,I434,J378*(Предпосылки!$H301/(J$8+1-J$7)))</f>
        <v>0</v>
      </c>
      <c s="125">
        <f>IF(Предпосылки!$H301&gt;0,J434,K378*(Предпосылки!$H301/(K$8+1-K$7)))</f>
        <v>0</v>
      </c>
      <c s="125">
        <f>IF(Предпосылки!$H301&gt;0,K434,L378*(Предпосылки!$H301/(L$8+1-L$7)))</f>
        <v>0</v>
      </c>
      <c s="125">
        <f>IF(Предпосылки!$H301&gt;0,L434,M378*(Предпосылки!$H301/(M$8+1-M$7)))</f>
        <v>0</v>
      </c>
      <c s="125">
        <f>IF(Предпосылки!$H301&gt;0,M434,N378*(Предпосылки!$H301/(N$8+1-N$7)))</f>
        <v>0</v>
      </c>
      <c s="125">
        <f>IF(Предпосылки!$H301&gt;0,N434,O378*(Предпосылки!$H301/(O$8+1-O$7)))</f>
        <v>0</v>
      </c>
      <c s="125">
        <f>IF(Предпосылки!$H301&gt;0,O434,P378*(Предпосылки!$H301/(P$8+1-P$7)))</f>
        <v>0</v>
      </c>
      <c s="125">
        <f>IF(Предпосылки!$H301&gt;0,P434,Q378*(Предпосылки!$H301/(Q$8+1-Q$7)))</f>
        <v>0</v>
      </c>
      <c s="125">
        <f>IF(Предпосылки!$H301&gt;0,Q434,R378*(Предпосылки!$H301/(R$8+1-R$7)))</f>
        <v>0</v>
      </c>
      <c s="125">
        <f>IF(Предпосылки!$H301&gt;0,R434,S378*(Предпосылки!$H301/(S$8+1-S$7)))</f>
        <v>0</v>
      </c>
      <c s="125">
        <f>IF(Предпосылки!$H301&gt;0,S434,T378*(Предпосылки!$H301/(T$8+1-T$7)))</f>
        <v>0</v>
      </c>
      <c s="125">
        <f>IF(Предпосылки!$H301&gt;0,T434,U378*(Предпосылки!$H301/(U$8+1-U$7)))</f>
        <v>0</v>
      </c>
      <c s="125">
        <f>IF(Предпосылки!$H301&gt;0,U434,V378*(Предпосылки!$H301/(V$8+1-V$7)))</f>
        <v>0</v>
      </c>
      <c s="125">
        <f>IF(Предпосылки!$H301&gt;0,V434,W378*(Предпосылки!$H301/(W$8+1-W$7)))</f>
        <v>0</v>
      </c>
      <c s="125">
        <f>IF(Предпосылки!$H301&gt;0,W434,X378*(Предпосылки!$H301/(X$8+1-X$7)))</f>
        <v>0</v>
      </c>
      <c s="125">
        <f>IF(Предпосылки!$H301&gt;0,X434,Y378*(Предпосылки!$H301/(Y$8+1-Y$7)))</f>
        <v>0</v>
      </c>
      <c s="125">
        <f>IF(Предпосылки!$H301&gt;0,Y434,Z378*(Предпосылки!$H301/(Z$8+1-Z$7)))</f>
        <v>0</v>
      </c>
      <c s="125">
        <f>IF(Предпосылки!$H301&gt;0,Z434,AA378*(Предпосылки!$H301/(AA$8+1-AA$7)))</f>
        <v>0</v>
      </c>
      <c s="125">
        <f>IF(Предпосылки!$H301&gt;0,AA434,AB378*(Предпосылки!$H301/(AB$8+1-AB$7)))</f>
        <v>0</v>
      </c>
      <c s="125">
        <f>IF(Предпосылки!$H301&gt;0,AB434,AC378*(Предпосылки!$H301/(AC$8+1-AC$7)))</f>
        <v>0</v>
      </c>
      <c s="125">
        <f>IF(Предпосылки!$H301&gt;0,AC434,AD378*(Предпосылки!$H301/(AD$8+1-AD$7)))</f>
        <v>0</v>
      </c>
      <c s="125">
        <f>IF(Предпосылки!$H301&gt;0,AD434,AE378*(Предпосылки!$H301/(AE$8+1-AE$7)))</f>
        <v>0</v>
      </c>
      <c s="125">
        <f>IF(Предпосылки!$H301&gt;0,AE434,AF378*(Предпосылки!$H301/(AF$8+1-AF$7)))</f>
        <v>0</v>
      </c>
      <c s="125">
        <f>IF(Предпосылки!$H301&gt;0,AF434,AG378*(Предпосылки!$H301/(AG$8+1-AG$7)))</f>
        <v>0</v>
      </c>
      <c s="125">
        <f>IF(Предпосылки!$H301&gt;0,AG434,AH378*(Предпосылки!$H301/(AH$8+1-AH$7)))</f>
        <v>0</v>
      </c>
      <c s="125">
        <f>IF(Предпосылки!$H301&gt;0,AH434,AI378*(Предпосылки!$H301/(AI$8+1-AI$7)))</f>
        <v>0</v>
      </c>
      <c s="125">
        <f>IF(Предпосылки!$H301&gt;0,AI434,AJ378*(Предпосылки!$H301/(AJ$8+1-AJ$7)))</f>
        <v>0</v>
      </c>
      <c s="125">
        <f>IF(Предпосылки!$H301&gt;0,AJ434,AK378*(Предпосылки!$H301/(AK$8+1-AK$7)))</f>
        <v>0</v>
      </c>
      <c s="125">
        <f>IF(Предпосылки!$H301&gt;0,AK434,AL378*(Предпосылки!$H301/(AL$8+1-AL$7)))</f>
        <v>0</v>
      </c>
      <c s="125">
        <f>IF(Предпосылки!$H301&gt;0,AL434,AM378*(Предпосылки!$H301/(AM$8+1-AM$7)))</f>
        <v>0</v>
      </c>
      <c s="125">
        <f>IF(Предпосылки!$H301&gt;0,AM434,AN378*(Предпосылки!$H301/(AN$8+1-AN$7)))</f>
        <v>0</v>
      </c>
      <c s="125">
        <f>IF(Предпосылки!$H301&gt;0,AN434,AO378*(Предпосылки!$H301/(AO$8+1-AO$7)))</f>
        <v>0</v>
      </c>
      <c s="125">
        <f>IF(Предпосылки!$H301&gt;0,AO434,AP378*(Предпосылки!$H301/(AP$8+1-AP$7)))</f>
        <v>0</v>
      </c>
      <c s="125">
        <f>IF(Предпосылки!$H301&gt;0,AP434,AQ378*(Предпосылки!$H301/(AQ$8+1-AQ$7)))</f>
        <v>0</v>
      </c>
      <c s="125">
        <f>IF(Предпосылки!$H301&gt;0,AQ434,AR378*(Предпосылки!$H301/(AR$8+1-AR$7)))</f>
        <v>0</v>
      </c>
      <c s="125">
        <f>IF(Предпосылки!$H301&gt;0,AR434,AS378*(Предпосылки!$H301/(AS$8+1-AS$7)))</f>
        <v>0</v>
      </c>
      <c s="125">
        <f>IF(Предпосылки!$H301&gt;0,AS434,AT378*(Предпосылки!$H301/(AT$8+1-AT$7)))</f>
        <v>0</v>
      </c>
      <c s="125">
        <f>IF(Предпосылки!$H301&gt;0,AT434,AU378*(Предпосылки!$H301/(AU$8+1-AU$7)))</f>
        <v>0</v>
      </c>
      <c s="125">
        <f>IF(Предпосылки!$H301&gt;0,AU434,AV378*(Предпосылки!$H301/(AV$8+1-AV$7)))</f>
        <v>0</v>
      </c>
      <c s="125">
        <f>IF(Предпосылки!$H301&gt;0,AV434,AW378*(Предпосылки!$H301/(AW$8+1-AW$7)))</f>
        <v>0</v>
      </c>
      <c s="125">
        <f>IF(Предпосылки!$H301&gt;0,AW434,AX378*(Предпосылки!$H301/(AX$8+1-AX$7)))</f>
        <v>0</v>
      </c>
      <c s="125">
        <f>IF(Предпосылки!$H301&gt;0,AX434,AY378*(Предпосылки!$H301/(AY$8+1-AY$7)))</f>
        <v>0</v>
      </c>
      <c s="125">
        <f>IF(Предпосылки!$H301&gt;0,AY434,AZ378*(Предпосылки!$H301/(AZ$8+1-AZ$7)))</f>
        <v>0</v>
      </c>
      <c s="125">
        <f>IF(Предпосылки!$H301&gt;0,AZ434,BA378*(Предпосылки!$H301/(BA$8+1-BA$7)))</f>
        <v>0</v>
      </c>
      <c s="125">
        <f>IF(Предпосылки!$H301&gt;0,BA434,BB378*(Предпосылки!$H301/(BB$8+1-BB$7)))</f>
        <v>0</v>
      </c>
      <c s="125">
        <f>IF(Предпосылки!$H301&gt;0,BB434,BC378*(Предпосылки!$H301/(BC$8+1-BC$7)))</f>
        <v>0</v>
      </c>
      <c s="125">
        <f>IF(Предпосылки!$H301&gt;0,BC434,BD378*(Предпосылки!$H301/(BD$8+1-BD$7)))</f>
        <v>0</v>
      </c>
      <c s="125">
        <f>IF(Предпосылки!$H301&gt;0,BD434,BE378*(Предпосылки!$H301/(BE$8+1-BE$7)))</f>
        <v>0</v>
      </c>
      <c s="125">
        <f>IF(Предпосылки!$H301&gt;0,BE434,BF378*(Предпосылки!$H301/(BF$8+1-BF$7)))</f>
        <v>0</v>
      </c>
      <c s="125">
        <f>IF(Предпосылки!$H301&gt;0,BF434,BG378*(Предпосылки!$H301/(BG$8+1-BG$7)))</f>
        <v>0</v>
      </c>
      <c s="125">
        <f>IF(Предпосылки!$H301&gt;0,BG434,BH378*(Предпосылки!$H301/(BH$8+1-BH$7)))</f>
        <v>0</v>
      </c>
      <c s="125">
        <f>IF(Предпосылки!$H301&gt;0,BH434,BI378*(Предпосылки!$H301/(BI$8+1-BI$7)))</f>
        <v>0</v>
      </c>
      <c s="125">
        <f>IF(Предпосылки!$H301&gt;0,BI434,BJ378*(Предпосылки!$H301/(BJ$8+1-BJ$7)))</f>
        <v>0</v>
      </c>
      <c s="125">
        <f>IF(Предпосылки!$H301&gt;0,BJ434,BK378*(Предпосылки!$H301/(BK$8+1-BK$7)))</f>
        <v>0</v>
      </c>
      <c s="125">
        <f>IF(Предпосылки!$H301&gt;0,BK434,BL378*(Предпосылки!$H301/(BL$8+1-BL$7)))</f>
        <v>0</v>
      </c>
      <c s="125">
        <f>IF(Предпосылки!$H301&gt;0,BL434,BM378*(Предпосылки!$H301/(BM$8+1-BM$7)))</f>
        <v>0</v>
      </c>
    </row>
    <row r="351" spans="2:65" ht="15" customHeight="1">
      <c r="B351" s="12" t="str">
        <f>IF(ISBLANK(Предпосылки!B302),"-",Предпосылки!B302)</f>
        <v>-</v>
      </c>
      <c s="124" t="str">
        <f t="shared" si="261"/>
        <v>тыс. руб.</v>
      </c>
      <c s="125"/>
      <c s="125">
        <f>IF(Предпосылки!$H302&gt;0,D435,E379*(Предпосылки!$H302/(E$8+1-E$7)))</f>
        <v>0</v>
      </c>
      <c s="125">
        <f>IF(Предпосылки!$H302&gt;0,E435,F379*(Предпосылки!$H302/(F$8+1-F$7)))</f>
        <v>0</v>
      </c>
      <c s="125">
        <f>IF(Предпосылки!$H302&gt;0,F435,G379*(Предпосылки!$H302/(G$8+1-G$7)))</f>
        <v>0</v>
      </c>
      <c s="125">
        <f>IF(Предпосылки!$H302&gt;0,G435,H379*(Предпосылки!$H302/(H$8+1-H$7)))</f>
        <v>0</v>
      </c>
      <c s="125">
        <f>IF(Предпосылки!$H302&gt;0,H435,I379*(Предпосылки!$H302/(I$8+1-I$7)))</f>
        <v>0</v>
      </c>
      <c s="125">
        <f>IF(Предпосылки!$H302&gt;0,I435,J379*(Предпосылки!$H302/(J$8+1-J$7)))</f>
        <v>0</v>
      </c>
      <c s="125">
        <f>IF(Предпосылки!$H302&gt;0,J435,K379*(Предпосылки!$H302/(K$8+1-K$7)))</f>
        <v>0</v>
      </c>
      <c s="125">
        <f>IF(Предпосылки!$H302&gt;0,K435,L379*(Предпосылки!$H302/(L$8+1-L$7)))</f>
        <v>0</v>
      </c>
      <c s="125">
        <f>IF(Предпосылки!$H302&gt;0,L435,M379*(Предпосылки!$H302/(M$8+1-M$7)))</f>
        <v>0</v>
      </c>
      <c s="125">
        <f>IF(Предпосылки!$H302&gt;0,M435,N379*(Предпосылки!$H302/(N$8+1-N$7)))</f>
        <v>0</v>
      </c>
      <c s="125">
        <f>IF(Предпосылки!$H302&gt;0,N435,O379*(Предпосылки!$H302/(O$8+1-O$7)))</f>
        <v>0</v>
      </c>
      <c s="125">
        <f>IF(Предпосылки!$H302&gt;0,O435,P379*(Предпосылки!$H302/(P$8+1-P$7)))</f>
        <v>0</v>
      </c>
      <c s="125">
        <f>IF(Предпосылки!$H302&gt;0,P435,Q379*(Предпосылки!$H302/(Q$8+1-Q$7)))</f>
        <v>0</v>
      </c>
      <c s="125">
        <f>IF(Предпосылки!$H302&gt;0,Q435,R379*(Предпосылки!$H302/(R$8+1-R$7)))</f>
        <v>0</v>
      </c>
      <c s="125">
        <f>IF(Предпосылки!$H302&gt;0,R435,S379*(Предпосылки!$H302/(S$8+1-S$7)))</f>
        <v>0</v>
      </c>
      <c s="125">
        <f>IF(Предпосылки!$H302&gt;0,S435,T379*(Предпосылки!$H302/(T$8+1-T$7)))</f>
        <v>0</v>
      </c>
      <c s="125">
        <f>IF(Предпосылки!$H302&gt;0,T435,U379*(Предпосылки!$H302/(U$8+1-U$7)))</f>
        <v>0</v>
      </c>
      <c s="125">
        <f>IF(Предпосылки!$H302&gt;0,U435,V379*(Предпосылки!$H302/(V$8+1-V$7)))</f>
        <v>0</v>
      </c>
      <c s="125">
        <f>IF(Предпосылки!$H302&gt;0,V435,W379*(Предпосылки!$H302/(W$8+1-W$7)))</f>
        <v>0</v>
      </c>
      <c s="125">
        <f>IF(Предпосылки!$H302&gt;0,W435,X379*(Предпосылки!$H302/(X$8+1-X$7)))</f>
        <v>0</v>
      </c>
      <c s="125">
        <f>IF(Предпосылки!$H302&gt;0,X435,Y379*(Предпосылки!$H302/(Y$8+1-Y$7)))</f>
        <v>0</v>
      </c>
      <c s="125">
        <f>IF(Предпосылки!$H302&gt;0,Y435,Z379*(Предпосылки!$H302/(Z$8+1-Z$7)))</f>
        <v>0</v>
      </c>
      <c s="125">
        <f>IF(Предпосылки!$H302&gt;0,Z435,AA379*(Предпосылки!$H302/(AA$8+1-AA$7)))</f>
        <v>0</v>
      </c>
      <c s="125">
        <f>IF(Предпосылки!$H302&gt;0,AA435,AB379*(Предпосылки!$H302/(AB$8+1-AB$7)))</f>
        <v>0</v>
      </c>
      <c s="125">
        <f>IF(Предпосылки!$H302&gt;0,AB435,AC379*(Предпосылки!$H302/(AC$8+1-AC$7)))</f>
        <v>0</v>
      </c>
      <c s="125">
        <f>IF(Предпосылки!$H302&gt;0,AC435,AD379*(Предпосылки!$H302/(AD$8+1-AD$7)))</f>
        <v>0</v>
      </c>
      <c s="125">
        <f>IF(Предпосылки!$H302&gt;0,AD435,AE379*(Предпосылки!$H302/(AE$8+1-AE$7)))</f>
        <v>0</v>
      </c>
      <c s="125">
        <f>IF(Предпосылки!$H302&gt;0,AE435,AF379*(Предпосылки!$H302/(AF$8+1-AF$7)))</f>
        <v>0</v>
      </c>
      <c s="125">
        <f>IF(Предпосылки!$H302&gt;0,AF435,AG379*(Предпосылки!$H302/(AG$8+1-AG$7)))</f>
        <v>0</v>
      </c>
      <c s="125">
        <f>IF(Предпосылки!$H302&gt;0,AG435,AH379*(Предпосылки!$H302/(AH$8+1-AH$7)))</f>
        <v>0</v>
      </c>
      <c s="125">
        <f>IF(Предпосылки!$H302&gt;0,AH435,AI379*(Предпосылки!$H302/(AI$8+1-AI$7)))</f>
        <v>0</v>
      </c>
      <c s="125">
        <f>IF(Предпосылки!$H302&gt;0,AI435,AJ379*(Предпосылки!$H302/(AJ$8+1-AJ$7)))</f>
        <v>0</v>
      </c>
      <c s="125">
        <f>IF(Предпосылки!$H302&gt;0,AJ435,AK379*(Предпосылки!$H302/(AK$8+1-AK$7)))</f>
        <v>0</v>
      </c>
      <c s="125">
        <f>IF(Предпосылки!$H302&gt;0,AK435,AL379*(Предпосылки!$H302/(AL$8+1-AL$7)))</f>
        <v>0</v>
      </c>
      <c s="125">
        <f>IF(Предпосылки!$H302&gt;0,AL435,AM379*(Предпосылки!$H302/(AM$8+1-AM$7)))</f>
        <v>0</v>
      </c>
      <c s="125">
        <f>IF(Предпосылки!$H302&gt;0,AM435,AN379*(Предпосылки!$H302/(AN$8+1-AN$7)))</f>
        <v>0</v>
      </c>
      <c s="125">
        <f>IF(Предпосылки!$H302&gt;0,AN435,AO379*(Предпосылки!$H302/(AO$8+1-AO$7)))</f>
        <v>0</v>
      </c>
      <c s="125">
        <f>IF(Предпосылки!$H302&gt;0,AO435,AP379*(Предпосылки!$H302/(AP$8+1-AP$7)))</f>
        <v>0</v>
      </c>
      <c s="125">
        <f>IF(Предпосылки!$H302&gt;0,AP435,AQ379*(Предпосылки!$H302/(AQ$8+1-AQ$7)))</f>
        <v>0</v>
      </c>
      <c s="125">
        <f>IF(Предпосылки!$H302&gt;0,AQ435,AR379*(Предпосылки!$H302/(AR$8+1-AR$7)))</f>
        <v>0</v>
      </c>
      <c s="125">
        <f>IF(Предпосылки!$H302&gt;0,AR435,AS379*(Предпосылки!$H302/(AS$8+1-AS$7)))</f>
        <v>0</v>
      </c>
      <c s="125">
        <f>IF(Предпосылки!$H302&gt;0,AS435,AT379*(Предпосылки!$H302/(AT$8+1-AT$7)))</f>
        <v>0</v>
      </c>
      <c s="125">
        <f>IF(Предпосылки!$H302&gt;0,AT435,AU379*(Предпосылки!$H302/(AU$8+1-AU$7)))</f>
        <v>0</v>
      </c>
      <c s="125">
        <f>IF(Предпосылки!$H302&gt;0,AU435,AV379*(Предпосылки!$H302/(AV$8+1-AV$7)))</f>
        <v>0</v>
      </c>
      <c s="125">
        <f>IF(Предпосылки!$H302&gt;0,AV435,AW379*(Предпосылки!$H302/(AW$8+1-AW$7)))</f>
        <v>0</v>
      </c>
      <c s="125">
        <f>IF(Предпосылки!$H302&gt;0,AW435,AX379*(Предпосылки!$H302/(AX$8+1-AX$7)))</f>
        <v>0</v>
      </c>
      <c s="125">
        <f>IF(Предпосылки!$H302&gt;0,AX435,AY379*(Предпосылки!$H302/(AY$8+1-AY$7)))</f>
        <v>0</v>
      </c>
      <c s="125">
        <f>IF(Предпосылки!$H302&gt;0,AY435,AZ379*(Предпосылки!$H302/(AZ$8+1-AZ$7)))</f>
        <v>0</v>
      </c>
      <c s="125">
        <f>IF(Предпосылки!$H302&gt;0,AZ435,BA379*(Предпосылки!$H302/(BA$8+1-BA$7)))</f>
        <v>0</v>
      </c>
      <c s="125">
        <f>IF(Предпосылки!$H302&gt;0,BA435,BB379*(Предпосылки!$H302/(BB$8+1-BB$7)))</f>
        <v>0</v>
      </c>
      <c s="125">
        <f>IF(Предпосылки!$H302&gt;0,BB435,BC379*(Предпосылки!$H302/(BC$8+1-BC$7)))</f>
        <v>0</v>
      </c>
      <c s="125">
        <f>IF(Предпосылки!$H302&gt;0,BC435,BD379*(Предпосылки!$H302/(BD$8+1-BD$7)))</f>
        <v>0</v>
      </c>
      <c s="125">
        <f>IF(Предпосылки!$H302&gt;0,BD435,BE379*(Предпосылки!$H302/(BE$8+1-BE$7)))</f>
        <v>0</v>
      </c>
      <c s="125">
        <f>IF(Предпосылки!$H302&gt;0,BE435,BF379*(Предпосылки!$H302/(BF$8+1-BF$7)))</f>
        <v>0</v>
      </c>
      <c s="125">
        <f>IF(Предпосылки!$H302&gt;0,BF435,BG379*(Предпосылки!$H302/(BG$8+1-BG$7)))</f>
        <v>0</v>
      </c>
      <c s="125">
        <f>IF(Предпосылки!$H302&gt;0,BG435,BH379*(Предпосылки!$H302/(BH$8+1-BH$7)))</f>
        <v>0</v>
      </c>
      <c s="125">
        <f>IF(Предпосылки!$H302&gt;0,BH435,BI379*(Предпосылки!$H302/(BI$8+1-BI$7)))</f>
        <v>0</v>
      </c>
      <c s="125">
        <f>IF(Предпосылки!$H302&gt;0,BI435,BJ379*(Предпосылки!$H302/(BJ$8+1-BJ$7)))</f>
        <v>0</v>
      </c>
      <c s="125">
        <f>IF(Предпосылки!$H302&gt;0,BJ435,BK379*(Предпосылки!$H302/(BK$8+1-BK$7)))</f>
        <v>0</v>
      </c>
      <c s="125">
        <f>IF(Предпосылки!$H302&gt;0,BK435,BL379*(Предпосылки!$H302/(BL$8+1-BL$7)))</f>
        <v>0</v>
      </c>
      <c s="125">
        <f>IF(Предпосылки!$H302&gt;0,BL435,BM379*(Предпосылки!$H302/(BM$8+1-BM$7)))</f>
        <v>0</v>
      </c>
    </row>
    <row r="352" spans="2:65" ht="15" customHeight="1">
      <c r="B352" s="289" t="s">
        <v>454</v>
      </c>
      <c s="290" t="str">
        <f t="shared" si="261"/>
        <v>тыс. руб.</v>
      </c>
      <c s="276"/>
      <c s="276">
        <f t="shared" si="262" ref="E352:AG352">SUM(E327:E351)</f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t="shared" si="262"/>
        <v>0</v>
      </c>
      <c s="276">
        <f ca="1" t="shared" si="263" ref="AH352:BM352">SUM(AH327:AH351)</f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</row>
    <row r="353" ht="15" customHeight="1"/>
    <row r="354" spans="2:2" ht="15" customHeight="1">
      <c r="B354" s="24" t="s">
        <v>904</v>
      </c>
    </row>
    <row r="355" spans="2:65" ht="15" customHeight="1">
      <c r="B355" s="12" t="str">
        <f>B327</f>
        <v>Комиссионное вознаграждение за банк. гарантию</v>
      </c>
      <c s="124" t="str">
        <f t="shared" si="264" ref="C355:C380">Единица_измерения</f>
        <v>тыс. руб.</v>
      </c>
      <c s="125"/>
      <c s="125">
        <f>SUM('Операционные затраты'!E635,-'Операционные затраты'!E663)</f>
        <v>0</v>
      </c>
      <c s="125">
        <f ca="1">SUM('Операционные затраты'!F635,-'Операционные затраты'!F663)</f>
        <v>0</v>
      </c>
      <c s="125">
        <f ca="1">SUM('Операционные затраты'!G635,-'Операционные затраты'!G663)</f>
        <v>0</v>
      </c>
      <c s="125">
        <f ca="1">SUM('Операционные затраты'!H635,-'Операционные затраты'!H663)</f>
        <v>0</v>
      </c>
      <c s="125">
        <f ca="1">SUM('Операционные затраты'!I635,-'Операционные затраты'!I663)</f>
        <v>0</v>
      </c>
      <c s="125">
        <f ca="1">SUM('Операционные затраты'!J635,-'Операционные затраты'!J663)</f>
        <v>0</v>
      </c>
      <c s="125">
        <f ca="1">SUM('Операционные затраты'!K635,-'Операционные затраты'!K663)</f>
        <v>0</v>
      </c>
      <c s="125">
        <f ca="1">SUM('Операционные затраты'!L635,-'Операционные затраты'!L663)</f>
        <v>0</v>
      </c>
      <c s="125">
        <f ca="1">SUM('Операционные затраты'!M635,-'Операционные затраты'!M663)</f>
        <v>0</v>
      </c>
      <c s="125">
        <f ca="1">SUM('Операционные затраты'!N635,-'Операционные затраты'!N663)</f>
        <v>0</v>
      </c>
      <c s="125">
        <f ca="1">SUM('Операционные затраты'!O635,-'Операционные затраты'!O663)</f>
        <v>0</v>
      </c>
      <c s="125">
        <f ca="1">SUM('Операционные затраты'!P635,-'Операционные затраты'!P663)</f>
        <v>0</v>
      </c>
      <c s="125">
        <f ca="1">SUM('Операционные затраты'!Q635,-'Операционные затраты'!Q663)</f>
        <v>0</v>
      </c>
      <c s="125">
        <f ca="1">SUM('Операционные затраты'!R635,-'Операционные затраты'!R663)</f>
        <v>0</v>
      </c>
      <c s="125">
        <f ca="1">SUM('Операционные затраты'!S635,-'Операционные затраты'!S663)</f>
        <v>0</v>
      </c>
      <c s="125">
        <f ca="1">SUM('Операционные затраты'!T635,-'Операционные затраты'!T663)</f>
        <v>0</v>
      </c>
      <c s="125">
        <f ca="1">SUM('Операционные затраты'!U635,-'Операционные затраты'!U663)</f>
        <v>0</v>
      </c>
      <c s="125">
        <f ca="1">SUM('Операционные затраты'!V635,-'Операционные затраты'!V663)</f>
        <v>0</v>
      </c>
      <c s="125">
        <f ca="1">SUM('Операционные затраты'!W635,-'Операционные затраты'!W663)</f>
        <v>0</v>
      </c>
      <c s="125">
        <f ca="1">SUM('Операционные затраты'!X635,-'Операционные затраты'!X663)</f>
        <v>0</v>
      </c>
      <c s="125">
        <f ca="1">SUM('Операционные затраты'!Y635,-'Операционные затраты'!Y663)</f>
        <v>0</v>
      </c>
      <c s="125">
        <f ca="1">SUM('Операционные затраты'!Z635,-'Операционные затраты'!Z663)</f>
        <v>0</v>
      </c>
      <c s="125">
        <f ca="1">SUM('Операционные затраты'!AA635,-'Операционные затраты'!AA663)</f>
        <v>0</v>
      </c>
      <c s="125">
        <f ca="1">SUM('Операционные затраты'!AB635,-'Операционные затраты'!AB663)</f>
        <v>0</v>
      </c>
      <c s="125">
        <f ca="1">SUM('Операционные затраты'!AC635,-'Операционные затраты'!AC663)</f>
        <v>0</v>
      </c>
      <c s="125">
        <f ca="1">SUM('Операционные затраты'!AD635,-'Операционные затраты'!AD663)</f>
        <v>0</v>
      </c>
      <c s="125">
        <f ca="1">SUM('Операционные затраты'!AE635,-'Операционные затраты'!AE663)</f>
        <v>0</v>
      </c>
      <c s="125">
        <f ca="1">SUM('Операционные затраты'!AF635,-'Операционные затраты'!AF663)</f>
        <v>0</v>
      </c>
      <c s="125">
        <f ca="1">SUM('Операционные затраты'!AG635,-'Операционные затраты'!AG663)</f>
        <v>0</v>
      </c>
      <c s="125">
        <f ca="1">SUM('Операционные затраты'!AH635,-'Операционные затраты'!AH663)</f>
        <v>0</v>
      </c>
      <c s="125">
        <f ca="1">SUM('Операционные затраты'!AI635,-'Операционные затраты'!AI663)</f>
        <v>0</v>
      </c>
      <c s="125">
        <f ca="1">SUM('Операционные затраты'!AJ635,-'Операционные затраты'!AJ663)</f>
        <v>0</v>
      </c>
      <c s="125">
        <f ca="1">SUM('Операционные затраты'!AK635,-'Операционные затраты'!AK663)</f>
        <v>0</v>
      </c>
      <c s="125">
        <f ca="1">SUM('Операционные затраты'!AL635,-'Операционные затраты'!AL663)</f>
        <v>0</v>
      </c>
      <c s="125">
        <f ca="1">SUM('Операционные затраты'!AM635,-'Операционные затраты'!AM663)</f>
        <v>0</v>
      </c>
      <c s="125">
        <f ca="1">SUM('Операционные затраты'!AN635,-'Операционные затраты'!AN663)</f>
        <v>0</v>
      </c>
      <c s="125">
        <f ca="1">SUM('Операционные затраты'!AO635,-'Операционные затраты'!AO663)</f>
        <v>0</v>
      </c>
      <c s="125">
        <f ca="1">SUM('Операционные затраты'!AP635,-'Операционные затраты'!AP663)</f>
        <v>0</v>
      </c>
      <c s="125">
        <f ca="1">SUM('Операционные затраты'!AQ635,-'Операционные затраты'!AQ663)</f>
        <v>0</v>
      </c>
      <c s="125">
        <f ca="1">SUM('Операционные затраты'!AR635,-'Операционные затраты'!AR663)</f>
        <v>0</v>
      </c>
      <c s="125">
        <f ca="1">SUM('Операционные затраты'!AS635,-'Операционные затраты'!AS663)</f>
        <v>0</v>
      </c>
      <c s="125">
        <f ca="1">SUM('Операционные затраты'!AT635,-'Операционные затраты'!AT663)</f>
        <v>0</v>
      </c>
      <c s="125">
        <f ca="1">SUM('Операционные затраты'!AU635,-'Операционные затраты'!AU663)</f>
        <v>0</v>
      </c>
      <c s="125">
        <f ca="1">SUM('Операционные затраты'!AV635,-'Операционные затраты'!AV663)</f>
        <v>0</v>
      </c>
      <c s="125">
        <f ca="1">SUM('Операционные затраты'!AW635,-'Операционные затраты'!AW663)</f>
        <v>0</v>
      </c>
      <c s="125">
        <f ca="1">SUM('Операционные затраты'!AX635,-'Операционные затраты'!AX663)</f>
        <v>0</v>
      </c>
      <c s="125">
        <f ca="1">SUM('Операционные затраты'!AY635,-'Операционные затраты'!AY663)</f>
        <v>0</v>
      </c>
      <c s="125">
        <f ca="1">SUM('Операционные затраты'!AZ635,-'Операционные затраты'!AZ663)</f>
        <v>0</v>
      </c>
      <c s="125">
        <f ca="1">SUM('Операционные затраты'!BA635,-'Операционные затраты'!BA663)</f>
        <v>0</v>
      </c>
      <c s="125">
        <f ca="1">SUM('Операционные затраты'!BB635,-'Операционные затраты'!BB663)</f>
        <v>0</v>
      </c>
      <c s="125">
        <f ca="1">SUM('Операционные затраты'!BC635,-'Операционные затраты'!BC663)</f>
        <v>0</v>
      </c>
      <c s="125">
        <f ca="1">SUM('Операционные затраты'!BD635,-'Операционные затраты'!BD663)</f>
        <v>0</v>
      </c>
      <c s="125">
        <f ca="1">SUM('Операционные затраты'!BE635,-'Операционные затраты'!BE663)</f>
        <v>0</v>
      </c>
      <c s="125">
        <f ca="1">SUM('Операционные затраты'!BF635,-'Операционные затраты'!BF663)</f>
        <v>0</v>
      </c>
      <c s="125">
        <f ca="1">SUM('Операционные затраты'!BG635,-'Операционные затраты'!BG663)</f>
        <v>0</v>
      </c>
      <c s="125">
        <f ca="1">SUM('Операционные затраты'!BH635,-'Операционные затраты'!BH663)</f>
        <v>0</v>
      </c>
      <c s="125">
        <f ca="1">SUM('Операционные затраты'!BI635,-'Операционные затраты'!BI663)</f>
        <v>0</v>
      </c>
      <c s="125">
        <f ca="1">SUM('Операционные затраты'!BJ635,-'Операционные затраты'!BJ663)</f>
        <v>0</v>
      </c>
      <c s="125">
        <f ca="1">SUM('Операционные затраты'!BK635,-'Операционные затраты'!BK663)</f>
        <v>0</v>
      </c>
      <c s="125">
        <f ca="1">SUM('Операционные затраты'!BL635,-'Операционные затраты'!BL663)</f>
        <v>0</v>
      </c>
      <c s="125">
        <f ca="1">SUM('Операционные затраты'!BM635,-'Операционные затраты'!BM663)</f>
        <v>0</v>
      </c>
    </row>
    <row r="356" spans="2:65" ht="15" customHeight="1">
      <c r="B356" s="12" t="str">
        <f t="shared" si="265" ref="B356:B379">B328</f>
        <v>-</v>
      </c>
      <c s="124" t="str">
        <f t="shared" si="264"/>
        <v>тыс. руб.</v>
      </c>
      <c s="125"/>
      <c s="125">
        <f>SUM('Операционные затраты'!E636,-'Операционные затраты'!E664)</f>
        <v>0</v>
      </c>
      <c s="125">
        <f>SUM('Операционные затраты'!F636,-'Операционные затраты'!F664)</f>
        <v>0</v>
      </c>
      <c s="125">
        <f>SUM('Операционные затраты'!G636,-'Операционные затраты'!G664)</f>
        <v>0</v>
      </c>
      <c s="125">
        <f>SUM('Операционные затраты'!H636,-'Операционные затраты'!H664)</f>
        <v>0</v>
      </c>
      <c s="125">
        <f>SUM('Операционные затраты'!I636,-'Операционные затраты'!I664)</f>
        <v>0</v>
      </c>
      <c s="125">
        <f>SUM('Операционные затраты'!J636,-'Операционные затраты'!J664)</f>
        <v>0</v>
      </c>
      <c s="125">
        <f>SUM('Операционные затраты'!K636,-'Операционные затраты'!K664)</f>
        <v>0</v>
      </c>
      <c s="125">
        <f>SUM('Операционные затраты'!L636,-'Операционные затраты'!L664)</f>
        <v>0</v>
      </c>
      <c s="125">
        <f>SUM('Операционные затраты'!M636,-'Операционные затраты'!M664)</f>
        <v>0</v>
      </c>
      <c s="125">
        <f>SUM('Операционные затраты'!N636,-'Операционные затраты'!N664)</f>
        <v>0</v>
      </c>
      <c s="125">
        <f>SUM('Операционные затраты'!O636,-'Операционные затраты'!O664)</f>
        <v>0</v>
      </c>
      <c s="125">
        <f>SUM('Операционные затраты'!P636,-'Операционные затраты'!P664)</f>
        <v>0</v>
      </c>
      <c s="125">
        <f>SUM('Операционные затраты'!Q636,-'Операционные затраты'!Q664)</f>
        <v>0</v>
      </c>
      <c s="125">
        <f>SUM('Операционные затраты'!R636,-'Операционные затраты'!R664)</f>
        <v>0</v>
      </c>
      <c s="125">
        <f>SUM('Операционные затраты'!S636,-'Операционные затраты'!S664)</f>
        <v>0</v>
      </c>
      <c s="125">
        <f>SUM('Операционные затраты'!T636,-'Операционные затраты'!T664)</f>
        <v>0</v>
      </c>
      <c s="125">
        <f>SUM('Операционные затраты'!U636,-'Операционные затраты'!U664)</f>
        <v>0</v>
      </c>
      <c s="125">
        <f>SUM('Операционные затраты'!V636,-'Операционные затраты'!V664)</f>
        <v>0</v>
      </c>
      <c s="125">
        <f>SUM('Операционные затраты'!W636,-'Операционные затраты'!W664)</f>
        <v>0</v>
      </c>
      <c s="125">
        <f>SUM('Операционные затраты'!X636,-'Операционные затраты'!X664)</f>
        <v>0</v>
      </c>
      <c s="125">
        <f>SUM('Операционные затраты'!Y636,-'Операционные затраты'!Y664)</f>
        <v>0</v>
      </c>
      <c s="125">
        <f>SUM('Операционные затраты'!Z636,-'Операционные затраты'!Z664)</f>
        <v>0</v>
      </c>
      <c s="125">
        <f>SUM('Операционные затраты'!AA636,-'Операционные затраты'!AA664)</f>
        <v>0</v>
      </c>
      <c s="125">
        <f>SUM('Операционные затраты'!AB636,-'Операционные затраты'!AB664)</f>
        <v>0</v>
      </c>
      <c s="125">
        <f>SUM('Операционные затраты'!AC636,-'Операционные затраты'!AC664)</f>
        <v>0</v>
      </c>
      <c s="125">
        <f>SUM('Операционные затраты'!AD636,-'Операционные затраты'!AD664)</f>
        <v>0</v>
      </c>
      <c s="125">
        <f>SUM('Операционные затраты'!AE636,-'Операционные затраты'!AE664)</f>
        <v>0</v>
      </c>
      <c s="125">
        <f>SUM('Операционные затраты'!AF636,-'Операционные затраты'!AF664)</f>
        <v>0</v>
      </c>
      <c s="125">
        <f>SUM('Операционные затраты'!AG636,-'Операционные затраты'!AG664)</f>
        <v>0</v>
      </c>
      <c s="125">
        <f>SUM('Операционные затраты'!AH636,-'Операционные затраты'!AH664)</f>
        <v>0</v>
      </c>
      <c s="125">
        <f>SUM('Операционные затраты'!AI636,-'Операционные затраты'!AI664)</f>
        <v>0</v>
      </c>
      <c s="125">
        <f>SUM('Операционные затраты'!AJ636,-'Операционные затраты'!AJ664)</f>
        <v>0</v>
      </c>
      <c s="125">
        <f>SUM('Операционные затраты'!AK636,-'Операционные затраты'!AK664)</f>
        <v>0</v>
      </c>
      <c s="125">
        <f>SUM('Операционные затраты'!AL636,-'Операционные затраты'!AL664)</f>
        <v>0</v>
      </c>
      <c s="125">
        <f>SUM('Операционные затраты'!AM636,-'Операционные затраты'!AM664)</f>
        <v>0</v>
      </c>
      <c s="125">
        <f>SUM('Операционные затраты'!AN636,-'Операционные затраты'!AN664)</f>
        <v>0</v>
      </c>
      <c s="125">
        <f>SUM('Операционные затраты'!AO636,-'Операционные затраты'!AO664)</f>
        <v>0</v>
      </c>
      <c s="125">
        <f>SUM('Операционные затраты'!AP636,-'Операционные затраты'!AP664)</f>
        <v>0</v>
      </c>
      <c s="125">
        <f>SUM('Операционные затраты'!AQ636,-'Операционные затраты'!AQ664)</f>
        <v>0</v>
      </c>
      <c s="125">
        <f>SUM('Операционные затраты'!AR636,-'Операционные затраты'!AR664)</f>
        <v>0</v>
      </c>
      <c s="125">
        <f>SUM('Операционные затраты'!AS636,-'Операционные затраты'!AS664)</f>
        <v>0</v>
      </c>
      <c s="125">
        <f>SUM('Операционные затраты'!AT636,-'Операционные затраты'!AT664)</f>
        <v>0</v>
      </c>
      <c s="125">
        <f>SUM('Операционные затраты'!AU636,-'Операционные затраты'!AU664)</f>
        <v>0</v>
      </c>
      <c s="125">
        <f>SUM('Операционные затраты'!AV636,-'Операционные затраты'!AV664)</f>
        <v>0</v>
      </c>
      <c s="125">
        <f>SUM('Операционные затраты'!AW636,-'Операционные затраты'!AW664)</f>
        <v>0</v>
      </c>
      <c s="125">
        <f>SUM('Операционные затраты'!AX636,-'Операционные затраты'!AX664)</f>
        <v>0</v>
      </c>
      <c s="125">
        <f>SUM('Операционные затраты'!AY636,-'Операционные затраты'!AY664)</f>
        <v>0</v>
      </c>
      <c s="125">
        <f>SUM('Операционные затраты'!AZ636,-'Операционные затраты'!AZ664)</f>
        <v>0</v>
      </c>
      <c s="125">
        <f>SUM('Операционные затраты'!BA636,-'Операционные затраты'!BA664)</f>
        <v>0</v>
      </c>
      <c s="125">
        <f>SUM('Операционные затраты'!BB636,-'Операционные затраты'!BB664)</f>
        <v>0</v>
      </c>
      <c s="125">
        <f>SUM('Операционные затраты'!BC636,-'Операционные затраты'!BC664)</f>
        <v>0</v>
      </c>
      <c s="125">
        <f>SUM('Операционные затраты'!BD636,-'Операционные затраты'!BD664)</f>
        <v>0</v>
      </c>
      <c s="125">
        <f>SUM('Операционные затраты'!BE636,-'Операционные затраты'!BE664)</f>
        <v>0</v>
      </c>
      <c s="125">
        <f>SUM('Операционные затраты'!BF636,-'Операционные затраты'!BF664)</f>
        <v>0</v>
      </c>
      <c s="125">
        <f>SUM('Операционные затраты'!BG636,-'Операционные затраты'!BG664)</f>
        <v>0</v>
      </c>
      <c s="125">
        <f>SUM('Операционные затраты'!BH636,-'Операционные затраты'!BH664)</f>
        <v>0</v>
      </c>
      <c s="125">
        <f>SUM('Операционные затраты'!BI636,-'Операционные затраты'!BI664)</f>
        <v>0</v>
      </c>
      <c s="125">
        <f>SUM('Операционные затраты'!BJ636,-'Операционные затраты'!BJ664)</f>
        <v>0</v>
      </c>
      <c s="125">
        <f>SUM('Операционные затраты'!BK636,-'Операционные затраты'!BK664)</f>
        <v>0</v>
      </c>
      <c s="125">
        <f>SUM('Операционные затраты'!BL636,-'Операционные затраты'!BL664)</f>
        <v>0</v>
      </c>
      <c s="125">
        <f>SUM('Операционные затраты'!BM636,-'Операционные затраты'!BM664)</f>
        <v>0</v>
      </c>
    </row>
    <row r="357" spans="2:65" ht="15" customHeight="1">
      <c r="B357" s="12" t="str">
        <f t="shared" si="265"/>
        <v>-</v>
      </c>
      <c s="124" t="str">
        <f t="shared" si="264"/>
        <v>тыс. руб.</v>
      </c>
      <c s="125"/>
      <c s="125">
        <f>SUM('Операционные затраты'!E637,-'Операционные затраты'!E665)</f>
        <v>0</v>
      </c>
      <c s="125">
        <f>SUM('Операционные затраты'!F637,-'Операционные затраты'!F665)</f>
        <v>0</v>
      </c>
      <c s="125">
        <f>SUM('Операционные затраты'!G637,-'Операционные затраты'!G665)</f>
        <v>0</v>
      </c>
      <c s="125">
        <f>SUM('Операционные затраты'!H637,-'Операционные затраты'!H665)</f>
        <v>0</v>
      </c>
      <c s="125">
        <f>SUM('Операционные затраты'!I637,-'Операционные затраты'!I665)</f>
        <v>0</v>
      </c>
      <c s="125">
        <f>SUM('Операционные затраты'!J637,-'Операционные затраты'!J665)</f>
        <v>0</v>
      </c>
      <c s="125">
        <f>SUM('Операционные затраты'!K637,-'Операционные затраты'!K665)</f>
        <v>0</v>
      </c>
      <c s="125">
        <f>SUM('Операционные затраты'!L637,-'Операционные затраты'!L665)</f>
        <v>0</v>
      </c>
      <c s="125">
        <f>SUM('Операционные затраты'!M637,-'Операционные затраты'!M665)</f>
        <v>0</v>
      </c>
      <c s="125">
        <f>SUM('Операционные затраты'!N637,-'Операционные затраты'!N665)</f>
        <v>0</v>
      </c>
      <c s="125">
        <f>SUM('Операционные затраты'!O637,-'Операционные затраты'!O665)</f>
        <v>0</v>
      </c>
      <c s="125">
        <f>SUM('Операционные затраты'!P637,-'Операционные затраты'!P665)</f>
        <v>0</v>
      </c>
      <c s="125">
        <f>SUM('Операционные затраты'!Q637,-'Операционные затраты'!Q665)</f>
        <v>0</v>
      </c>
      <c s="125">
        <f>SUM('Операционные затраты'!R637,-'Операционные затраты'!R665)</f>
        <v>0</v>
      </c>
      <c s="125">
        <f>SUM('Операционные затраты'!S637,-'Операционные затраты'!S665)</f>
        <v>0</v>
      </c>
      <c s="125">
        <f>SUM('Операционные затраты'!T637,-'Операционные затраты'!T665)</f>
        <v>0</v>
      </c>
      <c s="125">
        <f>SUM('Операционные затраты'!U637,-'Операционные затраты'!U665)</f>
        <v>0</v>
      </c>
      <c s="125">
        <f>SUM('Операционные затраты'!V637,-'Операционные затраты'!V665)</f>
        <v>0</v>
      </c>
      <c s="125">
        <f>SUM('Операционные затраты'!W637,-'Операционные затраты'!W665)</f>
        <v>0</v>
      </c>
      <c s="125">
        <f>SUM('Операционные затраты'!X637,-'Операционные затраты'!X665)</f>
        <v>0</v>
      </c>
      <c s="125">
        <f>SUM('Операционные затраты'!Y637,-'Операционные затраты'!Y665)</f>
        <v>0</v>
      </c>
      <c s="125">
        <f>SUM('Операционные затраты'!Z637,-'Операционные затраты'!Z665)</f>
        <v>0</v>
      </c>
      <c s="125">
        <f>SUM('Операционные затраты'!AA637,-'Операционные затраты'!AA665)</f>
        <v>0</v>
      </c>
      <c s="125">
        <f>SUM('Операционные затраты'!AB637,-'Операционные затраты'!AB665)</f>
        <v>0</v>
      </c>
      <c s="125">
        <f>SUM('Операционные затраты'!AC637,-'Операционные затраты'!AC665)</f>
        <v>0</v>
      </c>
      <c s="125">
        <f>SUM('Операционные затраты'!AD637,-'Операционные затраты'!AD665)</f>
        <v>0</v>
      </c>
      <c s="125">
        <f>SUM('Операционные затраты'!AE637,-'Операционные затраты'!AE665)</f>
        <v>0</v>
      </c>
      <c s="125">
        <f>SUM('Операционные затраты'!AF637,-'Операционные затраты'!AF665)</f>
        <v>0</v>
      </c>
      <c s="125">
        <f>SUM('Операционные затраты'!AG637,-'Операционные затраты'!AG665)</f>
        <v>0</v>
      </c>
      <c s="125">
        <f>SUM('Операционные затраты'!AH637,-'Операционные затраты'!AH665)</f>
        <v>0</v>
      </c>
      <c s="125">
        <f>SUM('Операционные затраты'!AI637,-'Операционные затраты'!AI665)</f>
        <v>0</v>
      </c>
      <c s="125">
        <f>SUM('Операционные затраты'!AJ637,-'Операционные затраты'!AJ665)</f>
        <v>0</v>
      </c>
      <c s="125">
        <f>SUM('Операционные затраты'!AK637,-'Операционные затраты'!AK665)</f>
        <v>0</v>
      </c>
      <c s="125">
        <f>SUM('Операционные затраты'!AL637,-'Операционные затраты'!AL665)</f>
        <v>0</v>
      </c>
      <c s="125">
        <f>SUM('Операционные затраты'!AM637,-'Операционные затраты'!AM665)</f>
        <v>0</v>
      </c>
      <c s="125">
        <f>SUM('Операционные затраты'!AN637,-'Операционные затраты'!AN665)</f>
        <v>0</v>
      </c>
      <c s="125">
        <f>SUM('Операционные затраты'!AO637,-'Операционные затраты'!AO665)</f>
        <v>0</v>
      </c>
      <c s="125">
        <f>SUM('Операционные затраты'!AP637,-'Операционные затраты'!AP665)</f>
        <v>0</v>
      </c>
      <c s="125">
        <f>SUM('Операционные затраты'!AQ637,-'Операционные затраты'!AQ665)</f>
        <v>0</v>
      </c>
      <c s="125">
        <f>SUM('Операционные затраты'!AR637,-'Операционные затраты'!AR665)</f>
        <v>0</v>
      </c>
      <c s="125">
        <f>SUM('Операционные затраты'!AS637,-'Операционные затраты'!AS665)</f>
        <v>0</v>
      </c>
      <c s="125">
        <f>SUM('Операционные затраты'!AT637,-'Операционные затраты'!AT665)</f>
        <v>0</v>
      </c>
      <c s="125">
        <f>SUM('Операционные затраты'!AU637,-'Операционные затраты'!AU665)</f>
        <v>0</v>
      </c>
      <c s="125">
        <f>SUM('Операционные затраты'!AV637,-'Операционные затраты'!AV665)</f>
        <v>0</v>
      </c>
      <c s="125">
        <f>SUM('Операционные затраты'!AW637,-'Операционные затраты'!AW665)</f>
        <v>0</v>
      </c>
      <c s="125">
        <f>SUM('Операционные затраты'!AX637,-'Операционные затраты'!AX665)</f>
        <v>0</v>
      </c>
      <c s="125">
        <f>SUM('Операционные затраты'!AY637,-'Операционные затраты'!AY665)</f>
        <v>0</v>
      </c>
      <c s="125">
        <f>SUM('Операционные затраты'!AZ637,-'Операционные затраты'!AZ665)</f>
        <v>0</v>
      </c>
      <c s="125">
        <f>SUM('Операционные затраты'!BA637,-'Операционные затраты'!BA665)</f>
        <v>0</v>
      </c>
      <c s="125">
        <f>SUM('Операционные затраты'!BB637,-'Операционные затраты'!BB665)</f>
        <v>0</v>
      </c>
      <c s="125">
        <f>SUM('Операционные затраты'!BC637,-'Операционные затраты'!BC665)</f>
        <v>0</v>
      </c>
      <c s="125">
        <f>SUM('Операционные затраты'!BD637,-'Операционные затраты'!BD665)</f>
        <v>0</v>
      </c>
      <c s="125">
        <f>SUM('Операционные затраты'!BE637,-'Операционные затраты'!BE665)</f>
        <v>0</v>
      </c>
      <c s="125">
        <f>SUM('Операционные затраты'!BF637,-'Операционные затраты'!BF665)</f>
        <v>0</v>
      </c>
      <c s="125">
        <f>SUM('Операционные затраты'!BG637,-'Операционные затраты'!BG665)</f>
        <v>0</v>
      </c>
      <c s="125">
        <f>SUM('Операционные затраты'!BH637,-'Операционные затраты'!BH665)</f>
        <v>0</v>
      </c>
      <c s="125">
        <f>SUM('Операционные затраты'!BI637,-'Операционные затраты'!BI665)</f>
        <v>0</v>
      </c>
      <c s="125">
        <f>SUM('Операционные затраты'!BJ637,-'Операционные затраты'!BJ665)</f>
        <v>0</v>
      </c>
      <c s="125">
        <f>SUM('Операционные затраты'!BK637,-'Операционные затраты'!BK665)</f>
        <v>0</v>
      </c>
      <c s="125">
        <f>SUM('Операционные затраты'!BL637,-'Операционные затраты'!BL665)</f>
        <v>0</v>
      </c>
      <c s="125">
        <f>SUM('Операционные затраты'!BM637,-'Операционные затраты'!BM665)</f>
        <v>0</v>
      </c>
    </row>
    <row r="358" spans="2:65" ht="15" customHeight="1">
      <c r="B358" s="12" t="str">
        <f t="shared" si="265"/>
        <v>-</v>
      </c>
      <c s="124" t="str">
        <f t="shared" si="264"/>
        <v>тыс. руб.</v>
      </c>
      <c s="125"/>
      <c s="125">
        <f>SUM('Операционные затраты'!E638,-'Операционные затраты'!E666)</f>
        <v>0</v>
      </c>
      <c s="125">
        <f>SUM('Операционные затраты'!F638,-'Операционные затраты'!F666)</f>
        <v>0</v>
      </c>
      <c s="125">
        <f>SUM('Операционные затраты'!G638,-'Операционные затраты'!G666)</f>
        <v>0</v>
      </c>
      <c s="125">
        <f>SUM('Операционные затраты'!H638,-'Операционные затраты'!H666)</f>
        <v>0</v>
      </c>
      <c s="125">
        <f>SUM('Операционные затраты'!I638,-'Операционные затраты'!I666)</f>
        <v>0</v>
      </c>
      <c s="125">
        <f>SUM('Операционные затраты'!J638,-'Операционные затраты'!J666)</f>
        <v>0</v>
      </c>
      <c s="125">
        <f>SUM('Операционные затраты'!K638,-'Операционные затраты'!K666)</f>
        <v>0</v>
      </c>
      <c s="125">
        <f>SUM('Операционные затраты'!L638,-'Операционные затраты'!L666)</f>
        <v>0</v>
      </c>
      <c s="125">
        <f>SUM('Операционные затраты'!M638,-'Операционные затраты'!M666)</f>
        <v>0</v>
      </c>
      <c s="125">
        <f>SUM('Операционные затраты'!N638,-'Операционные затраты'!N666)</f>
        <v>0</v>
      </c>
      <c s="125">
        <f>SUM('Операционные затраты'!O638,-'Операционные затраты'!O666)</f>
        <v>0</v>
      </c>
      <c s="125">
        <f>SUM('Операционные затраты'!P638,-'Операционные затраты'!P666)</f>
        <v>0</v>
      </c>
      <c s="125">
        <f>SUM('Операционные затраты'!Q638,-'Операционные затраты'!Q666)</f>
        <v>0</v>
      </c>
      <c s="125">
        <f>SUM('Операционные затраты'!R638,-'Операционные затраты'!R666)</f>
        <v>0</v>
      </c>
      <c s="125">
        <f>SUM('Операционные затраты'!S638,-'Операционные затраты'!S666)</f>
        <v>0</v>
      </c>
      <c s="125">
        <f>SUM('Операционные затраты'!T638,-'Операционные затраты'!T666)</f>
        <v>0</v>
      </c>
      <c s="125">
        <f>SUM('Операционные затраты'!U638,-'Операционные затраты'!U666)</f>
        <v>0</v>
      </c>
      <c s="125">
        <f>SUM('Операционные затраты'!V638,-'Операционные затраты'!V666)</f>
        <v>0</v>
      </c>
      <c s="125">
        <f>SUM('Операционные затраты'!W638,-'Операционные затраты'!W666)</f>
        <v>0</v>
      </c>
      <c s="125">
        <f>SUM('Операционные затраты'!X638,-'Операционные затраты'!X666)</f>
        <v>0</v>
      </c>
      <c s="125">
        <f>SUM('Операционные затраты'!Y638,-'Операционные затраты'!Y666)</f>
        <v>0</v>
      </c>
      <c s="125">
        <f>SUM('Операционные затраты'!Z638,-'Операционные затраты'!Z666)</f>
        <v>0</v>
      </c>
      <c s="125">
        <f>SUM('Операционные затраты'!AA638,-'Операционные затраты'!AA666)</f>
        <v>0</v>
      </c>
      <c s="125">
        <f>SUM('Операционные затраты'!AB638,-'Операционные затраты'!AB666)</f>
        <v>0</v>
      </c>
      <c s="125">
        <f>SUM('Операционные затраты'!AC638,-'Операционные затраты'!AC666)</f>
        <v>0</v>
      </c>
      <c s="125">
        <f>SUM('Операционные затраты'!AD638,-'Операционные затраты'!AD666)</f>
        <v>0</v>
      </c>
      <c s="125">
        <f>SUM('Операционные затраты'!AE638,-'Операционные затраты'!AE666)</f>
        <v>0</v>
      </c>
      <c s="125">
        <f>SUM('Операционные затраты'!AF638,-'Операционные затраты'!AF666)</f>
        <v>0</v>
      </c>
      <c s="125">
        <f>SUM('Операционные затраты'!AG638,-'Операционные затраты'!AG666)</f>
        <v>0</v>
      </c>
      <c s="125">
        <f>SUM('Операционные затраты'!AH638,-'Операционные затраты'!AH666)</f>
        <v>0</v>
      </c>
      <c s="125">
        <f>SUM('Операционные затраты'!AI638,-'Операционные затраты'!AI666)</f>
        <v>0</v>
      </c>
      <c s="125">
        <f>SUM('Операционные затраты'!AJ638,-'Операционные затраты'!AJ666)</f>
        <v>0</v>
      </c>
      <c s="125">
        <f>SUM('Операционные затраты'!AK638,-'Операционные затраты'!AK666)</f>
        <v>0</v>
      </c>
      <c s="125">
        <f>SUM('Операционные затраты'!AL638,-'Операционные затраты'!AL666)</f>
        <v>0</v>
      </c>
      <c s="125">
        <f>SUM('Операционные затраты'!AM638,-'Операционные затраты'!AM666)</f>
        <v>0</v>
      </c>
      <c s="125">
        <f>SUM('Операционные затраты'!AN638,-'Операционные затраты'!AN666)</f>
        <v>0</v>
      </c>
      <c s="125">
        <f>SUM('Операционные затраты'!AO638,-'Операционные затраты'!AO666)</f>
        <v>0</v>
      </c>
      <c s="125">
        <f>SUM('Операционные затраты'!AP638,-'Операционные затраты'!AP666)</f>
        <v>0</v>
      </c>
      <c s="125">
        <f>SUM('Операционные затраты'!AQ638,-'Операционные затраты'!AQ666)</f>
        <v>0</v>
      </c>
      <c s="125">
        <f>SUM('Операционные затраты'!AR638,-'Операционные затраты'!AR666)</f>
        <v>0</v>
      </c>
      <c s="125">
        <f>SUM('Операционные затраты'!AS638,-'Операционные затраты'!AS666)</f>
        <v>0</v>
      </c>
      <c s="125">
        <f>SUM('Операционные затраты'!AT638,-'Операционные затраты'!AT666)</f>
        <v>0</v>
      </c>
      <c s="125">
        <f>SUM('Операционные затраты'!AU638,-'Операционные затраты'!AU666)</f>
        <v>0</v>
      </c>
      <c s="125">
        <f>SUM('Операционные затраты'!AV638,-'Операционные затраты'!AV666)</f>
        <v>0</v>
      </c>
      <c s="125">
        <f>SUM('Операционные затраты'!AW638,-'Операционные затраты'!AW666)</f>
        <v>0</v>
      </c>
      <c s="125">
        <f>SUM('Операционные затраты'!AX638,-'Операционные затраты'!AX666)</f>
        <v>0</v>
      </c>
      <c s="125">
        <f>SUM('Операционные затраты'!AY638,-'Операционные затраты'!AY666)</f>
        <v>0</v>
      </c>
      <c s="125">
        <f>SUM('Операционные затраты'!AZ638,-'Операционные затраты'!AZ666)</f>
        <v>0</v>
      </c>
      <c s="125">
        <f>SUM('Операционные затраты'!BA638,-'Операционные затраты'!BA666)</f>
        <v>0</v>
      </c>
      <c s="125">
        <f>SUM('Операционные затраты'!BB638,-'Операционные затраты'!BB666)</f>
        <v>0</v>
      </c>
      <c s="125">
        <f>SUM('Операционные затраты'!BC638,-'Операционные затраты'!BC666)</f>
        <v>0</v>
      </c>
      <c s="125">
        <f>SUM('Операционные затраты'!BD638,-'Операционные затраты'!BD666)</f>
        <v>0</v>
      </c>
      <c s="125">
        <f>SUM('Операционные затраты'!BE638,-'Операционные затраты'!BE666)</f>
        <v>0</v>
      </c>
      <c s="125">
        <f>SUM('Операционные затраты'!BF638,-'Операционные затраты'!BF666)</f>
        <v>0</v>
      </c>
      <c s="125">
        <f>SUM('Операционные затраты'!BG638,-'Операционные затраты'!BG666)</f>
        <v>0</v>
      </c>
      <c s="125">
        <f>SUM('Операционные затраты'!BH638,-'Операционные затраты'!BH666)</f>
        <v>0</v>
      </c>
      <c s="125">
        <f>SUM('Операционные затраты'!BI638,-'Операционные затраты'!BI666)</f>
        <v>0</v>
      </c>
      <c s="125">
        <f>SUM('Операционные затраты'!BJ638,-'Операционные затраты'!BJ666)</f>
        <v>0</v>
      </c>
      <c s="125">
        <f>SUM('Операционные затраты'!BK638,-'Операционные затраты'!BK666)</f>
        <v>0</v>
      </c>
      <c s="125">
        <f>SUM('Операционные затраты'!BL638,-'Операционные затраты'!BL666)</f>
        <v>0</v>
      </c>
      <c s="125">
        <f>SUM('Операционные затраты'!BM638,-'Операционные затраты'!BM666)</f>
        <v>0</v>
      </c>
    </row>
    <row r="359" spans="2:65" ht="15" customHeight="1">
      <c r="B359" s="12" t="str">
        <f t="shared" si="265"/>
        <v>-</v>
      </c>
      <c s="124" t="str">
        <f t="shared" si="264"/>
        <v>тыс. руб.</v>
      </c>
      <c s="125"/>
      <c s="125">
        <f>SUM('Операционные затраты'!E639,-'Операционные затраты'!E667)</f>
        <v>0</v>
      </c>
      <c s="125">
        <f>SUM('Операционные затраты'!F639,-'Операционные затраты'!F667)</f>
        <v>0</v>
      </c>
      <c s="125">
        <f>SUM('Операционные затраты'!G639,-'Операционные затраты'!G667)</f>
        <v>0</v>
      </c>
      <c s="125">
        <f>SUM('Операционные затраты'!H639,-'Операционные затраты'!H667)</f>
        <v>0</v>
      </c>
      <c s="125">
        <f>SUM('Операционные затраты'!I639,-'Операционные затраты'!I667)</f>
        <v>0</v>
      </c>
      <c s="125">
        <f>SUM('Операционные затраты'!J639,-'Операционные затраты'!J667)</f>
        <v>0</v>
      </c>
      <c s="125">
        <f>SUM('Операционные затраты'!K639,-'Операционные затраты'!K667)</f>
        <v>0</v>
      </c>
      <c s="125">
        <f>SUM('Операционные затраты'!L639,-'Операционные затраты'!L667)</f>
        <v>0</v>
      </c>
      <c s="125">
        <f>SUM('Операционные затраты'!M639,-'Операционные затраты'!M667)</f>
        <v>0</v>
      </c>
      <c s="125">
        <f>SUM('Операционные затраты'!N639,-'Операционные затраты'!N667)</f>
        <v>0</v>
      </c>
      <c s="125">
        <f>SUM('Операционные затраты'!O639,-'Операционные затраты'!O667)</f>
        <v>0</v>
      </c>
      <c s="125">
        <f>SUM('Операционные затраты'!P639,-'Операционные затраты'!P667)</f>
        <v>0</v>
      </c>
      <c s="125">
        <f>SUM('Операционные затраты'!Q639,-'Операционные затраты'!Q667)</f>
        <v>0</v>
      </c>
      <c s="125">
        <f>SUM('Операционные затраты'!R639,-'Операционные затраты'!R667)</f>
        <v>0</v>
      </c>
      <c s="125">
        <f>SUM('Операционные затраты'!S639,-'Операционные затраты'!S667)</f>
        <v>0</v>
      </c>
      <c s="125">
        <f>SUM('Операционные затраты'!T639,-'Операционные затраты'!T667)</f>
        <v>0</v>
      </c>
      <c s="125">
        <f>SUM('Операционные затраты'!U639,-'Операционные затраты'!U667)</f>
        <v>0</v>
      </c>
      <c s="125">
        <f>SUM('Операционные затраты'!V639,-'Операционные затраты'!V667)</f>
        <v>0</v>
      </c>
      <c s="125">
        <f>SUM('Операционные затраты'!W639,-'Операционные затраты'!W667)</f>
        <v>0</v>
      </c>
      <c s="125">
        <f>SUM('Операционные затраты'!X639,-'Операционные затраты'!X667)</f>
        <v>0</v>
      </c>
      <c s="125">
        <f>SUM('Операционные затраты'!Y639,-'Операционные затраты'!Y667)</f>
        <v>0</v>
      </c>
      <c s="125">
        <f>SUM('Операционные затраты'!Z639,-'Операционные затраты'!Z667)</f>
        <v>0</v>
      </c>
      <c s="125">
        <f>SUM('Операционные затраты'!AA639,-'Операционные затраты'!AA667)</f>
        <v>0</v>
      </c>
      <c s="125">
        <f>SUM('Операционные затраты'!AB639,-'Операционные затраты'!AB667)</f>
        <v>0</v>
      </c>
      <c s="125">
        <f>SUM('Операционные затраты'!AC639,-'Операционные затраты'!AC667)</f>
        <v>0</v>
      </c>
      <c s="125">
        <f>SUM('Операционные затраты'!AD639,-'Операционные затраты'!AD667)</f>
        <v>0</v>
      </c>
      <c s="125">
        <f>SUM('Операционные затраты'!AE639,-'Операционные затраты'!AE667)</f>
        <v>0</v>
      </c>
      <c s="125">
        <f>SUM('Операционные затраты'!AF639,-'Операционные затраты'!AF667)</f>
        <v>0</v>
      </c>
      <c s="125">
        <f>SUM('Операционные затраты'!AG639,-'Операционные затраты'!AG667)</f>
        <v>0</v>
      </c>
      <c s="125">
        <f>SUM('Операционные затраты'!AH639,-'Операционные затраты'!AH667)</f>
        <v>0</v>
      </c>
      <c s="125">
        <f>SUM('Операционные затраты'!AI639,-'Операционные затраты'!AI667)</f>
        <v>0</v>
      </c>
      <c s="125">
        <f>SUM('Операционные затраты'!AJ639,-'Операционные затраты'!AJ667)</f>
        <v>0</v>
      </c>
      <c s="125">
        <f>SUM('Операционные затраты'!AK639,-'Операционные затраты'!AK667)</f>
        <v>0</v>
      </c>
      <c s="125">
        <f>SUM('Операционные затраты'!AL639,-'Операционные затраты'!AL667)</f>
        <v>0</v>
      </c>
      <c s="125">
        <f>SUM('Операционные затраты'!AM639,-'Операционные затраты'!AM667)</f>
        <v>0</v>
      </c>
      <c s="125">
        <f>SUM('Операционные затраты'!AN639,-'Операционные затраты'!AN667)</f>
        <v>0</v>
      </c>
      <c s="125">
        <f>SUM('Операционные затраты'!AO639,-'Операционные затраты'!AO667)</f>
        <v>0</v>
      </c>
      <c s="125">
        <f>SUM('Операционные затраты'!AP639,-'Операционные затраты'!AP667)</f>
        <v>0</v>
      </c>
      <c s="125">
        <f>SUM('Операционные затраты'!AQ639,-'Операционные затраты'!AQ667)</f>
        <v>0</v>
      </c>
      <c s="125">
        <f>SUM('Операционные затраты'!AR639,-'Операционные затраты'!AR667)</f>
        <v>0</v>
      </c>
      <c s="125">
        <f>SUM('Операционные затраты'!AS639,-'Операционные затраты'!AS667)</f>
        <v>0</v>
      </c>
      <c s="125">
        <f>SUM('Операционные затраты'!AT639,-'Операционные затраты'!AT667)</f>
        <v>0</v>
      </c>
      <c s="125">
        <f>SUM('Операционные затраты'!AU639,-'Операционные затраты'!AU667)</f>
        <v>0</v>
      </c>
      <c s="125">
        <f>SUM('Операционные затраты'!AV639,-'Операционные затраты'!AV667)</f>
        <v>0</v>
      </c>
      <c s="125">
        <f>SUM('Операционные затраты'!AW639,-'Операционные затраты'!AW667)</f>
        <v>0</v>
      </c>
      <c s="125">
        <f>SUM('Операционные затраты'!AX639,-'Операционные затраты'!AX667)</f>
        <v>0</v>
      </c>
      <c s="125">
        <f>SUM('Операционные затраты'!AY639,-'Операционные затраты'!AY667)</f>
        <v>0</v>
      </c>
      <c s="125">
        <f>SUM('Операционные затраты'!AZ639,-'Операционные затраты'!AZ667)</f>
        <v>0</v>
      </c>
      <c s="125">
        <f>SUM('Операционные затраты'!BA639,-'Операционные затраты'!BA667)</f>
        <v>0</v>
      </c>
      <c s="125">
        <f>SUM('Операционные затраты'!BB639,-'Операционные затраты'!BB667)</f>
        <v>0</v>
      </c>
      <c s="125">
        <f>SUM('Операционные затраты'!BC639,-'Операционные затраты'!BC667)</f>
        <v>0</v>
      </c>
      <c s="125">
        <f>SUM('Операционные затраты'!BD639,-'Операционные затраты'!BD667)</f>
        <v>0</v>
      </c>
      <c s="125">
        <f>SUM('Операционные затраты'!BE639,-'Операционные затраты'!BE667)</f>
        <v>0</v>
      </c>
      <c s="125">
        <f>SUM('Операционные затраты'!BF639,-'Операционные затраты'!BF667)</f>
        <v>0</v>
      </c>
      <c s="125">
        <f>SUM('Операционные затраты'!BG639,-'Операционные затраты'!BG667)</f>
        <v>0</v>
      </c>
      <c s="125">
        <f>SUM('Операционные затраты'!BH639,-'Операционные затраты'!BH667)</f>
        <v>0</v>
      </c>
      <c s="125">
        <f>SUM('Операционные затраты'!BI639,-'Операционные затраты'!BI667)</f>
        <v>0</v>
      </c>
      <c s="125">
        <f>SUM('Операционные затраты'!BJ639,-'Операционные затраты'!BJ667)</f>
        <v>0</v>
      </c>
      <c s="125">
        <f>SUM('Операционные затраты'!BK639,-'Операционные затраты'!BK667)</f>
        <v>0</v>
      </c>
      <c s="125">
        <f>SUM('Операционные затраты'!BL639,-'Операционные затраты'!BL667)</f>
        <v>0</v>
      </c>
      <c s="125">
        <f>SUM('Операционные затраты'!BM639,-'Операционные затраты'!BM667)</f>
        <v>0</v>
      </c>
    </row>
    <row r="360" spans="2:65" ht="15" customHeight="1">
      <c r="B360" s="12" t="str">
        <f t="shared" si="265"/>
        <v>-</v>
      </c>
      <c s="124" t="str">
        <f t="shared" si="264"/>
        <v>тыс. руб.</v>
      </c>
      <c s="125"/>
      <c s="125">
        <f>SUM('Операционные затраты'!E640,-'Операционные затраты'!E668)</f>
        <v>0</v>
      </c>
      <c s="125">
        <f>SUM('Операционные затраты'!F640,-'Операционные затраты'!F668)</f>
        <v>0</v>
      </c>
      <c s="125">
        <f>SUM('Операционные затраты'!G640,-'Операционные затраты'!G668)</f>
        <v>0</v>
      </c>
      <c s="125">
        <f>SUM('Операционные затраты'!H640,-'Операционные затраты'!H668)</f>
        <v>0</v>
      </c>
      <c s="125">
        <f>SUM('Операционные затраты'!I640,-'Операционные затраты'!I668)</f>
        <v>0</v>
      </c>
      <c s="125">
        <f>SUM('Операционные затраты'!J640,-'Операционные затраты'!J668)</f>
        <v>0</v>
      </c>
      <c s="125">
        <f>SUM('Операционные затраты'!K640,-'Операционные затраты'!K668)</f>
        <v>0</v>
      </c>
      <c s="125">
        <f>SUM('Операционные затраты'!L640,-'Операционные затраты'!L668)</f>
        <v>0</v>
      </c>
      <c s="125">
        <f>SUM('Операционные затраты'!M640,-'Операционные затраты'!M668)</f>
        <v>0</v>
      </c>
      <c s="125">
        <f>SUM('Операционные затраты'!N640,-'Операционные затраты'!N668)</f>
        <v>0</v>
      </c>
      <c s="125">
        <f>SUM('Операционные затраты'!O640,-'Операционные затраты'!O668)</f>
        <v>0</v>
      </c>
      <c s="125">
        <f>SUM('Операционные затраты'!P640,-'Операционные затраты'!P668)</f>
        <v>0</v>
      </c>
      <c s="125">
        <f>SUM('Операционные затраты'!Q640,-'Операционные затраты'!Q668)</f>
        <v>0</v>
      </c>
      <c s="125">
        <f>SUM('Операционные затраты'!R640,-'Операционные затраты'!R668)</f>
        <v>0</v>
      </c>
      <c s="125">
        <f>SUM('Операционные затраты'!S640,-'Операционные затраты'!S668)</f>
        <v>0</v>
      </c>
      <c s="125">
        <f>SUM('Операционные затраты'!T640,-'Операционные затраты'!T668)</f>
        <v>0</v>
      </c>
      <c s="125">
        <f>SUM('Операционные затраты'!U640,-'Операционные затраты'!U668)</f>
        <v>0</v>
      </c>
      <c s="125">
        <f>SUM('Операционные затраты'!V640,-'Операционные затраты'!V668)</f>
        <v>0</v>
      </c>
      <c s="125">
        <f>SUM('Операционные затраты'!W640,-'Операционные затраты'!W668)</f>
        <v>0</v>
      </c>
      <c s="125">
        <f>SUM('Операционные затраты'!X640,-'Операционные затраты'!X668)</f>
        <v>0</v>
      </c>
      <c s="125">
        <f>SUM('Операционные затраты'!Y640,-'Операционные затраты'!Y668)</f>
        <v>0</v>
      </c>
      <c s="125">
        <f>SUM('Операционные затраты'!Z640,-'Операционные затраты'!Z668)</f>
        <v>0</v>
      </c>
      <c s="125">
        <f>SUM('Операционные затраты'!AA640,-'Операционные затраты'!AA668)</f>
        <v>0</v>
      </c>
      <c s="125">
        <f>SUM('Операционные затраты'!AB640,-'Операционные затраты'!AB668)</f>
        <v>0</v>
      </c>
      <c s="125">
        <f>SUM('Операционные затраты'!AC640,-'Операционные затраты'!AC668)</f>
        <v>0</v>
      </c>
      <c s="125">
        <f>SUM('Операционные затраты'!AD640,-'Операционные затраты'!AD668)</f>
        <v>0</v>
      </c>
      <c s="125">
        <f>SUM('Операционные затраты'!AE640,-'Операционные затраты'!AE668)</f>
        <v>0</v>
      </c>
      <c s="125">
        <f>SUM('Операционные затраты'!AF640,-'Операционные затраты'!AF668)</f>
        <v>0</v>
      </c>
      <c s="125">
        <f>SUM('Операционные затраты'!AG640,-'Операционные затраты'!AG668)</f>
        <v>0</v>
      </c>
      <c s="125">
        <f>SUM('Операционные затраты'!AH640,-'Операционные затраты'!AH668)</f>
        <v>0</v>
      </c>
      <c s="125">
        <f>SUM('Операционные затраты'!AI640,-'Операционные затраты'!AI668)</f>
        <v>0</v>
      </c>
      <c s="125">
        <f>SUM('Операционные затраты'!AJ640,-'Операционные затраты'!AJ668)</f>
        <v>0</v>
      </c>
      <c s="125">
        <f>SUM('Операционные затраты'!AK640,-'Операционные затраты'!AK668)</f>
        <v>0</v>
      </c>
      <c s="125">
        <f>SUM('Операционные затраты'!AL640,-'Операционные затраты'!AL668)</f>
        <v>0</v>
      </c>
      <c s="125">
        <f>SUM('Операционные затраты'!AM640,-'Операционные затраты'!AM668)</f>
        <v>0</v>
      </c>
      <c s="125">
        <f>SUM('Операционные затраты'!AN640,-'Операционные затраты'!AN668)</f>
        <v>0</v>
      </c>
      <c s="125">
        <f>SUM('Операционные затраты'!AO640,-'Операционные затраты'!AO668)</f>
        <v>0</v>
      </c>
      <c s="125">
        <f>SUM('Операционные затраты'!AP640,-'Операционные затраты'!AP668)</f>
        <v>0</v>
      </c>
      <c s="125">
        <f>SUM('Операционные затраты'!AQ640,-'Операционные затраты'!AQ668)</f>
        <v>0</v>
      </c>
      <c s="125">
        <f>SUM('Операционные затраты'!AR640,-'Операционные затраты'!AR668)</f>
        <v>0</v>
      </c>
      <c s="125">
        <f>SUM('Операционные затраты'!AS640,-'Операционные затраты'!AS668)</f>
        <v>0</v>
      </c>
      <c s="125">
        <f>SUM('Операционные затраты'!AT640,-'Операционные затраты'!AT668)</f>
        <v>0</v>
      </c>
      <c s="125">
        <f>SUM('Операционные затраты'!AU640,-'Операционные затраты'!AU668)</f>
        <v>0</v>
      </c>
      <c s="125">
        <f>SUM('Операционные затраты'!AV640,-'Операционные затраты'!AV668)</f>
        <v>0</v>
      </c>
      <c s="125">
        <f>SUM('Операционные затраты'!AW640,-'Операционные затраты'!AW668)</f>
        <v>0</v>
      </c>
      <c s="125">
        <f>SUM('Операционные затраты'!AX640,-'Операционные затраты'!AX668)</f>
        <v>0</v>
      </c>
      <c s="125">
        <f>SUM('Операционные затраты'!AY640,-'Операционные затраты'!AY668)</f>
        <v>0</v>
      </c>
      <c s="125">
        <f>SUM('Операционные затраты'!AZ640,-'Операционные затраты'!AZ668)</f>
        <v>0</v>
      </c>
      <c s="125">
        <f>SUM('Операционные затраты'!BA640,-'Операционные затраты'!BA668)</f>
        <v>0</v>
      </c>
      <c s="125">
        <f>SUM('Операционные затраты'!BB640,-'Операционные затраты'!BB668)</f>
        <v>0</v>
      </c>
      <c s="125">
        <f>SUM('Операционные затраты'!BC640,-'Операционные затраты'!BC668)</f>
        <v>0</v>
      </c>
      <c s="125">
        <f>SUM('Операционные затраты'!BD640,-'Операционные затраты'!BD668)</f>
        <v>0</v>
      </c>
      <c s="125">
        <f>SUM('Операционные затраты'!BE640,-'Операционные затраты'!BE668)</f>
        <v>0</v>
      </c>
      <c s="125">
        <f>SUM('Операционные затраты'!BF640,-'Операционные затраты'!BF668)</f>
        <v>0</v>
      </c>
      <c s="125">
        <f>SUM('Операционные затраты'!BG640,-'Операционные затраты'!BG668)</f>
        <v>0</v>
      </c>
      <c s="125">
        <f>SUM('Операционные затраты'!BH640,-'Операционные затраты'!BH668)</f>
        <v>0</v>
      </c>
      <c s="125">
        <f>SUM('Операционные затраты'!BI640,-'Операционные затраты'!BI668)</f>
        <v>0</v>
      </c>
      <c s="125">
        <f>SUM('Операционные затраты'!BJ640,-'Операционные затраты'!BJ668)</f>
        <v>0</v>
      </c>
      <c s="125">
        <f>SUM('Операционные затраты'!BK640,-'Операционные затраты'!BK668)</f>
        <v>0</v>
      </c>
      <c s="125">
        <f>SUM('Операционные затраты'!BL640,-'Операционные затраты'!BL668)</f>
        <v>0</v>
      </c>
      <c s="125">
        <f>SUM('Операционные затраты'!BM640,-'Операционные затраты'!BM668)</f>
        <v>0</v>
      </c>
    </row>
    <row r="361" spans="2:65" ht="15" customHeight="1">
      <c r="B361" s="12" t="str">
        <f t="shared" si="265"/>
        <v>-</v>
      </c>
      <c s="124" t="str">
        <f t="shared" si="264"/>
        <v>тыс. руб.</v>
      </c>
      <c s="125"/>
      <c s="125">
        <f>SUM('Операционные затраты'!E641,-'Операционные затраты'!E669)</f>
        <v>0</v>
      </c>
      <c s="125">
        <f>SUM('Операционные затраты'!F641,-'Операционные затраты'!F669)</f>
        <v>0</v>
      </c>
      <c s="125">
        <f>SUM('Операционные затраты'!G641,-'Операционные затраты'!G669)</f>
        <v>0</v>
      </c>
      <c s="125">
        <f>SUM('Операционные затраты'!H641,-'Операционные затраты'!H669)</f>
        <v>0</v>
      </c>
      <c s="125">
        <f>SUM('Операционные затраты'!I641,-'Операционные затраты'!I669)</f>
        <v>0</v>
      </c>
      <c s="125">
        <f>SUM('Операционные затраты'!J641,-'Операционные затраты'!J669)</f>
        <v>0</v>
      </c>
      <c s="125">
        <f>SUM('Операционные затраты'!K641,-'Операционные затраты'!K669)</f>
        <v>0</v>
      </c>
      <c s="125">
        <f>SUM('Операционные затраты'!L641,-'Операционные затраты'!L669)</f>
        <v>0</v>
      </c>
      <c s="125">
        <f>SUM('Операционные затраты'!M641,-'Операционные затраты'!M669)</f>
        <v>0</v>
      </c>
      <c s="125">
        <f>SUM('Операционные затраты'!N641,-'Операционные затраты'!N669)</f>
        <v>0</v>
      </c>
      <c s="125">
        <f>SUM('Операционные затраты'!O641,-'Операционные затраты'!O669)</f>
        <v>0</v>
      </c>
      <c s="125">
        <f>SUM('Операционные затраты'!P641,-'Операционные затраты'!P669)</f>
        <v>0</v>
      </c>
      <c s="125">
        <f>SUM('Операционные затраты'!Q641,-'Операционные затраты'!Q669)</f>
        <v>0</v>
      </c>
      <c s="125">
        <f>SUM('Операционные затраты'!R641,-'Операционные затраты'!R669)</f>
        <v>0</v>
      </c>
      <c s="125">
        <f>SUM('Операционные затраты'!S641,-'Операционные затраты'!S669)</f>
        <v>0</v>
      </c>
      <c s="125">
        <f>SUM('Операционные затраты'!T641,-'Операционные затраты'!T669)</f>
        <v>0</v>
      </c>
      <c s="125">
        <f>SUM('Операционные затраты'!U641,-'Операционные затраты'!U669)</f>
        <v>0</v>
      </c>
      <c s="125">
        <f>SUM('Операционные затраты'!V641,-'Операционные затраты'!V669)</f>
        <v>0</v>
      </c>
      <c s="125">
        <f>SUM('Операционные затраты'!W641,-'Операционные затраты'!W669)</f>
        <v>0</v>
      </c>
      <c s="125">
        <f>SUM('Операционные затраты'!X641,-'Операционные затраты'!X669)</f>
        <v>0</v>
      </c>
      <c s="125">
        <f>SUM('Операционные затраты'!Y641,-'Операционные затраты'!Y669)</f>
        <v>0</v>
      </c>
      <c s="125">
        <f>SUM('Операционные затраты'!Z641,-'Операционные затраты'!Z669)</f>
        <v>0</v>
      </c>
      <c s="125">
        <f>SUM('Операционные затраты'!AA641,-'Операционные затраты'!AA669)</f>
        <v>0</v>
      </c>
      <c s="125">
        <f>SUM('Операционные затраты'!AB641,-'Операционные затраты'!AB669)</f>
        <v>0</v>
      </c>
      <c s="125">
        <f>SUM('Операционные затраты'!AC641,-'Операционные затраты'!AC669)</f>
        <v>0</v>
      </c>
      <c s="125">
        <f>SUM('Операционные затраты'!AD641,-'Операционные затраты'!AD669)</f>
        <v>0</v>
      </c>
      <c s="125">
        <f>SUM('Операционные затраты'!AE641,-'Операционные затраты'!AE669)</f>
        <v>0</v>
      </c>
      <c s="125">
        <f>SUM('Операционные затраты'!AF641,-'Операционные затраты'!AF669)</f>
        <v>0</v>
      </c>
      <c s="125">
        <f>SUM('Операционные затраты'!AG641,-'Операционные затраты'!AG669)</f>
        <v>0</v>
      </c>
      <c s="125">
        <f>SUM('Операционные затраты'!AH641,-'Операционные затраты'!AH669)</f>
        <v>0</v>
      </c>
      <c s="125">
        <f>SUM('Операционные затраты'!AI641,-'Операционные затраты'!AI669)</f>
        <v>0</v>
      </c>
      <c s="125">
        <f>SUM('Операционные затраты'!AJ641,-'Операционные затраты'!AJ669)</f>
        <v>0</v>
      </c>
      <c s="125">
        <f>SUM('Операционные затраты'!AK641,-'Операционные затраты'!AK669)</f>
        <v>0</v>
      </c>
      <c s="125">
        <f>SUM('Операционные затраты'!AL641,-'Операционные затраты'!AL669)</f>
        <v>0</v>
      </c>
      <c s="125">
        <f>SUM('Операционные затраты'!AM641,-'Операционные затраты'!AM669)</f>
        <v>0</v>
      </c>
      <c s="125">
        <f>SUM('Операционные затраты'!AN641,-'Операционные затраты'!AN669)</f>
        <v>0</v>
      </c>
      <c s="125">
        <f>SUM('Операционные затраты'!AO641,-'Операционные затраты'!AO669)</f>
        <v>0</v>
      </c>
      <c s="125">
        <f>SUM('Операционные затраты'!AP641,-'Операционные затраты'!AP669)</f>
        <v>0</v>
      </c>
      <c s="125">
        <f>SUM('Операционные затраты'!AQ641,-'Операционные затраты'!AQ669)</f>
        <v>0</v>
      </c>
      <c s="125">
        <f>SUM('Операционные затраты'!AR641,-'Операционные затраты'!AR669)</f>
        <v>0</v>
      </c>
      <c s="125">
        <f>SUM('Операционные затраты'!AS641,-'Операционные затраты'!AS669)</f>
        <v>0</v>
      </c>
      <c s="125">
        <f>SUM('Операционные затраты'!AT641,-'Операционные затраты'!AT669)</f>
        <v>0</v>
      </c>
      <c s="125">
        <f>SUM('Операционные затраты'!AU641,-'Операционные затраты'!AU669)</f>
        <v>0</v>
      </c>
      <c s="125">
        <f>SUM('Операционные затраты'!AV641,-'Операционные затраты'!AV669)</f>
        <v>0</v>
      </c>
      <c s="125">
        <f>SUM('Операционные затраты'!AW641,-'Операционные затраты'!AW669)</f>
        <v>0</v>
      </c>
      <c s="125">
        <f>SUM('Операционные затраты'!AX641,-'Операционные затраты'!AX669)</f>
        <v>0</v>
      </c>
      <c s="125">
        <f>SUM('Операционные затраты'!AY641,-'Операционные затраты'!AY669)</f>
        <v>0</v>
      </c>
      <c s="125">
        <f>SUM('Операционные затраты'!AZ641,-'Операционные затраты'!AZ669)</f>
        <v>0</v>
      </c>
      <c s="125">
        <f>SUM('Операционные затраты'!BA641,-'Операционные затраты'!BA669)</f>
        <v>0</v>
      </c>
      <c s="125">
        <f>SUM('Операционные затраты'!BB641,-'Операционные затраты'!BB669)</f>
        <v>0</v>
      </c>
      <c s="125">
        <f>SUM('Операционные затраты'!BC641,-'Операционные затраты'!BC669)</f>
        <v>0</v>
      </c>
      <c s="125">
        <f>SUM('Операционные затраты'!BD641,-'Операционные затраты'!BD669)</f>
        <v>0</v>
      </c>
      <c s="125">
        <f>SUM('Операционные затраты'!BE641,-'Операционные затраты'!BE669)</f>
        <v>0</v>
      </c>
      <c s="125">
        <f>SUM('Операционные затраты'!BF641,-'Операционные затраты'!BF669)</f>
        <v>0</v>
      </c>
      <c s="125">
        <f>SUM('Операционные затраты'!BG641,-'Операционные затраты'!BG669)</f>
        <v>0</v>
      </c>
      <c s="125">
        <f>SUM('Операционные затраты'!BH641,-'Операционные затраты'!BH669)</f>
        <v>0</v>
      </c>
      <c s="125">
        <f>SUM('Операционные затраты'!BI641,-'Операционные затраты'!BI669)</f>
        <v>0</v>
      </c>
      <c s="125">
        <f>SUM('Операционные затраты'!BJ641,-'Операционные затраты'!BJ669)</f>
        <v>0</v>
      </c>
      <c s="125">
        <f>SUM('Операционные затраты'!BK641,-'Операционные затраты'!BK669)</f>
        <v>0</v>
      </c>
      <c s="125">
        <f>SUM('Операционные затраты'!BL641,-'Операционные затраты'!BL669)</f>
        <v>0</v>
      </c>
      <c s="125">
        <f>SUM('Операционные затраты'!BM641,-'Операционные затраты'!BM669)</f>
        <v>0</v>
      </c>
    </row>
    <row r="362" spans="2:65" ht="15" customHeight="1">
      <c r="B362" s="12" t="str">
        <f t="shared" si="265"/>
        <v>-</v>
      </c>
      <c s="124" t="str">
        <f t="shared" si="264"/>
        <v>тыс. руб.</v>
      </c>
      <c s="125"/>
      <c s="125">
        <f>SUM('Операционные затраты'!E642,-'Операционные затраты'!E670)</f>
        <v>0</v>
      </c>
      <c s="125">
        <f>SUM('Операционные затраты'!F642,-'Операционные затраты'!F670)</f>
        <v>0</v>
      </c>
      <c s="125">
        <f>SUM('Операционные затраты'!G642,-'Операционные затраты'!G670)</f>
        <v>0</v>
      </c>
      <c s="125">
        <f>SUM('Операционные затраты'!H642,-'Операционные затраты'!H670)</f>
        <v>0</v>
      </c>
      <c s="125">
        <f>SUM('Операционные затраты'!I642,-'Операционные затраты'!I670)</f>
        <v>0</v>
      </c>
      <c s="125">
        <f>SUM('Операционные затраты'!J642,-'Операционные затраты'!J670)</f>
        <v>0</v>
      </c>
      <c s="125">
        <f>SUM('Операционные затраты'!K642,-'Операционные затраты'!K670)</f>
        <v>0</v>
      </c>
      <c s="125">
        <f>SUM('Операционные затраты'!L642,-'Операционные затраты'!L670)</f>
        <v>0</v>
      </c>
      <c s="125">
        <f>SUM('Операционные затраты'!M642,-'Операционные затраты'!M670)</f>
        <v>0</v>
      </c>
      <c s="125">
        <f>SUM('Операционные затраты'!N642,-'Операционные затраты'!N670)</f>
        <v>0</v>
      </c>
      <c s="125">
        <f>SUM('Операционные затраты'!O642,-'Операционные затраты'!O670)</f>
        <v>0</v>
      </c>
      <c s="125">
        <f>SUM('Операционные затраты'!P642,-'Операционные затраты'!P670)</f>
        <v>0</v>
      </c>
      <c s="125">
        <f>SUM('Операционные затраты'!Q642,-'Операционные затраты'!Q670)</f>
        <v>0</v>
      </c>
      <c s="125">
        <f>SUM('Операционные затраты'!R642,-'Операционные затраты'!R670)</f>
        <v>0</v>
      </c>
      <c s="125">
        <f>SUM('Операционные затраты'!S642,-'Операционные затраты'!S670)</f>
        <v>0</v>
      </c>
      <c s="125">
        <f>SUM('Операционные затраты'!T642,-'Операционные затраты'!T670)</f>
        <v>0</v>
      </c>
      <c s="125">
        <f>SUM('Операционные затраты'!U642,-'Операционные затраты'!U670)</f>
        <v>0</v>
      </c>
      <c s="125">
        <f>SUM('Операционные затраты'!V642,-'Операционные затраты'!V670)</f>
        <v>0</v>
      </c>
      <c s="125">
        <f>SUM('Операционные затраты'!W642,-'Операционные затраты'!W670)</f>
        <v>0</v>
      </c>
      <c s="125">
        <f>SUM('Операционные затраты'!X642,-'Операционные затраты'!X670)</f>
        <v>0</v>
      </c>
      <c s="125">
        <f>SUM('Операционные затраты'!Y642,-'Операционные затраты'!Y670)</f>
        <v>0</v>
      </c>
      <c s="125">
        <f>SUM('Операционные затраты'!Z642,-'Операционные затраты'!Z670)</f>
        <v>0</v>
      </c>
      <c s="125">
        <f>SUM('Операционные затраты'!AA642,-'Операционные затраты'!AA670)</f>
        <v>0</v>
      </c>
      <c s="125">
        <f>SUM('Операционные затраты'!AB642,-'Операционные затраты'!AB670)</f>
        <v>0</v>
      </c>
      <c s="125">
        <f>SUM('Операционные затраты'!AC642,-'Операционные затраты'!AC670)</f>
        <v>0</v>
      </c>
      <c s="125">
        <f>SUM('Операционные затраты'!AD642,-'Операционные затраты'!AD670)</f>
        <v>0</v>
      </c>
      <c s="125">
        <f>SUM('Операционные затраты'!AE642,-'Операционные затраты'!AE670)</f>
        <v>0</v>
      </c>
      <c s="125">
        <f>SUM('Операционные затраты'!AF642,-'Операционные затраты'!AF670)</f>
        <v>0</v>
      </c>
      <c s="125">
        <f>SUM('Операционные затраты'!AG642,-'Операционные затраты'!AG670)</f>
        <v>0</v>
      </c>
      <c s="125">
        <f>SUM('Операционные затраты'!AH642,-'Операционные затраты'!AH670)</f>
        <v>0</v>
      </c>
      <c s="125">
        <f>SUM('Операционные затраты'!AI642,-'Операционные затраты'!AI670)</f>
        <v>0</v>
      </c>
      <c s="125">
        <f>SUM('Операционные затраты'!AJ642,-'Операционные затраты'!AJ670)</f>
        <v>0</v>
      </c>
      <c s="125">
        <f>SUM('Операционные затраты'!AK642,-'Операционные затраты'!AK670)</f>
        <v>0</v>
      </c>
      <c s="125">
        <f>SUM('Операционные затраты'!AL642,-'Операционные затраты'!AL670)</f>
        <v>0</v>
      </c>
      <c s="125">
        <f>SUM('Операционные затраты'!AM642,-'Операционные затраты'!AM670)</f>
        <v>0</v>
      </c>
      <c s="125">
        <f>SUM('Операционные затраты'!AN642,-'Операционные затраты'!AN670)</f>
        <v>0</v>
      </c>
      <c s="125">
        <f>SUM('Операционные затраты'!AO642,-'Операционные затраты'!AO670)</f>
        <v>0</v>
      </c>
      <c s="125">
        <f>SUM('Операционные затраты'!AP642,-'Операционные затраты'!AP670)</f>
        <v>0</v>
      </c>
      <c s="125">
        <f>SUM('Операционные затраты'!AQ642,-'Операционные затраты'!AQ670)</f>
        <v>0</v>
      </c>
      <c s="125">
        <f>SUM('Операционные затраты'!AR642,-'Операционные затраты'!AR670)</f>
        <v>0</v>
      </c>
      <c s="125">
        <f>SUM('Операционные затраты'!AS642,-'Операционные затраты'!AS670)</f>
        <v>0</v>
      </c>
      <c s="125">
        <f>SUM('Операционные затраты'!AT642,-'Операционные затраты'!AT670)</f>
        <v>0</v>
      </c>
      <c s="125">
        <f>SUM('Операционные затраты'!AU642,-'Операционные затраты'!AU670)</f>
        <v>0</v>
      </c>
      <c s="125">
        <f>SUM('Операционные затраты'!AV642,-'Операционные затраты'!AV670)</f>
        <v>0</v>
      </c>
      <c s="125">
        <f>SUM('Операционные затраты'!AW642,-'Операционные затраты'!AW670)</f>
        <v>0</v>
      </c>
      <c s="125">
        <f>SUM('Операционные затраты'!AX642,-'Операционные затраты'!AX670)</f>
        <v>0</v>
      </c>
      <c s="125">
        <f>SUM('Операционные затраты'!AY642,-'Операционные затраты'!AY670)</f>
        <v>0</v>
      </c>
      <c s="125">
        <f>SUM('Операционные затраты'!AZ642,-'Операционные затраты'!AZ670)</f>
        <v>0</v>
      </c>
      <c s="125">
        <f>SUM('Операционные затраты'!BA642,-'Операционные затраты'!BA670)</f>
        <v>0</v>
      </c>
      <c s="125">
        <f>SUM('Операционные затраты'!BB642,-'Операционные затраты'!BB670)</f>
        <v>0</v>
      </c>
      <c s="125">
        <f>SUM('Операционные затраты'!BC642,-'Операционные затраты'!BC670)</f>
        <v>0</v>
      </c>
      <c s="125">
        <f>SUM('Операционные затраты'!BD642,-'Операционные затраты'!BD670)</f>
        <v>0</v>
      </c>
      <c s="125">
        <f>SUM('Операционные затраты'!BE642,-'Операционные затраты'!BE670)</f>
        <v>0</v>
      </c>
      <c s="125">
        <f>SUM('Операционные затраты'!BF642,-'Операционные затраты'!BF670)</f>
        <v>0</v>
      </c>
      <c s="125">
        <f>SUM('Операционные затраты'!BG642,-'Операционные затраты'!BG670)</f>
        <v>0</v>
      </c>
      <c s="125">
        <f>SUM('Операционные затраты'!BH642,-'Операционные затраты'!BH670)</f>
        <v>0</v>
      </c>
      <c s="125">
        <f>SUM('Операционные затраты'!BI642,-'Операционные затраты'!BI670)</f>
        <v>0</v>
      </c>
      <c s="125">
        <f>SUM('Операционные затраты'!BJ642,-'Операционные затраты'!BJ670)</f>
        <v>0</v>
      </c>
      <c s="125">
        <f>SUM('Операционные затраты'!BK642,-'Операционные затраты'!BK670)</f>
        <v>0</v>
      </c>
      <c s="125">
        <f>SUM('Операционные затраты'!BL642,-'Операционные затраты'!BL670)</f>
        <v>0</v>
      </c>
      <c s="125">
        <f>SUM('Операционные затраты'!BM642,-'Операционные затраты'!BM670)</f>
        <v>0</v>
      </c>
    </row>
    <row r="363" spans="2:65" ht="15" customHeight="1">
      <c r="B363" s="12" t="str">
        <f t="shared" si="265"/>
        <v>-</v>
      </c>
      <c s="124" t="str">
        <f t="shared" si="264"/>
        <v>тыс. руб.</v>
      </c>
      <c s="125"/>
      <c s="125">
        <f>SUM('Операционные затраты'!E643,-'Операционные затраты'!E671)</f>
        <v>0</v>
      </c>
      <c s="125">
        <f>SUM('Операционные затраты'!F643,-'Операционные затраты'!F671)</f>
        <v>0</v>
      </c>
      <c s="125">
        <f>SUM('Операционные затраты'!G643,-'Операционные затраты'!G671)</f>
        <v>0</v>
      </c>
      <c s="125">
        <f>SUM('Операционные затраты'!H643,-'Операционные затраты'!H671)</f>
        <v>0</v>
      </c>
      <c s="125">
        <f>SUM('Операционные затраты'!I643,-'Операционные затраты'!I671)</f>
        <v>0</v>
      </c>
      <c s="125">
        <f>SUM('Операционные затраты'!J643,-'Операционные затраты'!J671)</f>
        <v>0</v>
      </c>
      <c s="125">
        <f>SUM('Операционные затраты'!K643,-'Операционные затраты'!K671)</f>
        <v>0</v>
      </c>
      <c s="125">
        <f>SUM('Операционные затраты'!L643,-'Операционные затраты'!L671)</f>
        <v>0</v>
      </c>
      <c s="125">
        <f>SUM('Операционные затраты'!M643,-'Операционные затраты'!M671)</f>
        <v>0</v>
      </c>
      <c s="125">
        <f>SUM('Операционные затраты'!N643,-'Операционные затраты'!N671)</f>
        <v>0</v>
      </c>
      <c s="125">
        <f>SUM('Операционные затраты'!O643,-'Операционные затраты'!O671)</f>
        <v>0</v>
      </c>
      <c s="125">
        <f>SUM('Операционные затраты'!P643,-'Операционные затраты'!P671)</f>
        <v>0</v>
      </c>
      <c s="125">
        <f>SUM('Операционные затраты'!Q643,-'Операционные затраты'!Q671)</f>
        <v>0</v>
      </c>
      <c s="125">
        <f>SUM('Операционные затраты'!R643,-'Операционные затраты'!R671)</f>
        <v>0</v>
      </c>
      <c s="125">
        <f>SUM('Операционные затраты'!S643,-'Операционные затраты'!S671)</f>
        <v>0</v>
      </c>
      <c s="125">
        <f>SUM('Операционные затраты'!T643,-'Операционные затраты'!T671)</f>
        <v>0</v>
      </c>
      <c s="125">
        <f>SUM('Операционные затраты'!U643,-'Операционные затраты'!U671)</f>
        <v>0</v>
      </c>
      <c s="125">
        <f>SUM('Операционные затраты'!V643,-'Операционные затраты'!V671)</f>
        <v>0</v>
      </c>
      <c s="125">
        <f>SUM('Операционные затраты'!W643,-'Операционные затраты'!W671)</f>
        <v>0</v>
      </c>
      <c s="125">
        <f>SUM('Операционные затраты'!X643,-'Операционные затраты'!X671)</f>
        <v>0</v>
      </c>
      <c s="125">
        <f>SUM('Операционные затраты'!Y643,-'Операционные затраты'!Y671)</f>
        <v>0</v>
      </c>
      <c s="125">
        <f>SUM('Операционные затраты'!Z643,-'Операционные затраты'!Z671)</f>
        <v>0</v>
      </c>
      <c s="125">
        <f>SUM('Операционные затраты'!AA643,-'Операционные затраты'!AA671)</f>
        <v>0</v>
      </c>
      <c s="125">
        <f>SUM('Операционные затраты'!AB643,-'Операционные затраты'!AB671)</f>
        <v>0</v>
      </c>
      <c s="125">
        <f>SUM('Операционные затраты'!AC643,-'Операционные затраты'!AC671)</f>
        <v>0</v>
      </c>
      <c s="125">
        <f>SUM('Операционные затраты'!AD643,-'Операционные затраты'!AD671)</f>
        <v>0</v>
      </c>
      <c s="125">
        <f>SUM('Операционные затраты'!AE643,-'Операционные затраты'!AE671)</f>
        <v>0</v>
      </c>
      <c s="125">
        <f>SUM('Операционные затраты'!AF643,-'Операционные затраты'!AF671)</f>
        <v>0</v>
      </c>
      <c s="125">
        <f>SUM('Операционные затраты'!AG643,-'Операционные затраты'!AG671)</f>
        <v>0</v>
      </c>
      <c s="125">
        <f>SUM('Операционные затраты'!AH643,-'Операционные затраты'!AH671)</f>
        <v>0</v>
      </c>
      <c s="125">
        <f>SUM('Операционные затраты'!AI643,-'Операционные затраты'!AI671)</f>
        <v>0</v>
      </c>
      <c s="125">
        <f>SUM('Операционные затраты'!AJ643,-'Операционные затраты'!AJ671)</f>
        <v>0</v>
      </c>
      <c s="125">
        <f>SUM('Операционные затраты'!AK643,-'Операционные затраты'!AK671)</f>
        <v>0</v>
      </c>
      <c s="125">
        <f>SUM('Операционные затраты'!AL643,-'Операционные затраты'!AL671)</f>
        <v>0</v>
      </c>
      <c s="125">
        <f>SUM('Операционные затраты'!AM643,-'Операционные затраты'!AM671)</f>
        <v>0</v>
      </c>
      <c s="125">
        <f>SUM('Операционные затраты'!AN643,-'Операционные затраты'!AN671)</f>
        <v>0</v>
      </c>
      <c s="125">
        <f>SUM('Операционные затраты'!AO643,-'Операционные затраты'!AO671)</f>
        <v>0</v>
      </c>
      <c s="125">
        <f>SUM('Операционные затраты'!AP643,-'Операционные затраты'!AP671)</f>
        <v>0</v>
      </c>
      <c s="125">
        <f>SUM('Операционные затраты'!AQ643,-'Операционные затраты'!AQ671)</f>
        <v>0</v>
      </c>
      <c s="125">
        <f>SUM('Операционные затраты'!AR643,-'Операционные затраты'!AR671)</f>
        <v>0</v>
      </c>
      <c s="125">
        <f>SUM('Операционные затраты'!AS643,-'Операционные затраты'!AS671)</f>
        <v>0</v>
      </c>
      <c s="125">
        <f>SUM('Операционные затраты'!AT643,-'Операционные затраты'!AT671)</f>
        <v>0</v>
      </c>
      <c s="125">
        <f>SUM('Операционные затраты'!AU643,-'Операционные затраты'!AU671)</f>
        <v>0</v>
      </c>
      <c s="125">
        <f>SUM('Операционные затраты'!AV643,-'Операционные затраты'!AV671)</f>
        <v>0</v>
      </c>
      <c s="125">
        <f>SUM('Операционные затраты'!AW643,-'Операционные затраты'!AW671)</f>
        <v>0</v>
      </c>
      <c s="125">
        <f>SUM('Операционные затраты'!AX643,-'Операционные затраты'!AX671)</f>
        <v>0</v>
      </c>
      <c s="125">
        <f>SUM('Операционные затраты'!AY643,-'Операционные затраты'!AY671)</f>
        <v>0</v>
      </c>
      <c s="125">
        <f>SUM('Операционные затраты'!AZ643,-'Операционные затраты'!AZ671)</f>
        <v>0</v>
      </c>
      <c s="125">
        <f>SUM('Операционные затраты'!BA643,-'Операционные затраты'!BA671)</f>
        <v>0</v>
      </c>
      <c s="125">
        <f>SUM('Операционные затраты'!BB643,-'Операционные затраты'!BB671)</f>
        <v>0</v>
      </c>
      <c s="125">
        <f>SUM('Операционные затраты'!BC643,-'Операционные затраты'!BC671)</f>
        <v>0</v>
      </c>
      <c s="125">
        <f>SUM('Операционные затраты'!BD643,-'Операционные затраты'!BD671)</f>
        <v>0</v>
      </c>
      <c s="125">
        <f>SUM('Операционные затраты'!BE643,-'Операционные затраты'!BE671)</f>
        <v>0</v>
      </c>
      <c s="125">
        <f>SUM('Операционные затраты'!BF643,-'Операционные затраты'!BF671)</f>
        <v>0</v>
      </c>
      <c s="125">
        <f>SUM('Операционные затраты'!BG643,-'Операционные затраты'!BG671)</f>
        <v>0</v>
      </c>
      <c s="125">
        <f>SUM('Операционные затраты'!BH643,-'Операционные затраты'!BH671)</f>
        <v>0</v>
      </c>
      <c s="125">
        <f>SUM('Операционные затраты'!BI643,-'Операционные затраты'!BI671)</f>
        <v>0</v>
      </c>
      <c s="125">
        <f>SUM('Операционные затраты'!BJ643,-'Операционные затраты'!BJ671)</f>
        <v>0</v>
      </c>
      <c s="125">
        <f>SUM('Операционные затраты'!BK643,-'Операционные затраты'!BK671)</f>
        <v>0</v>
      </c>
      <c s="125">
        <f>SUM('Операционные затраты'!BL643,-'Операционные затраты'!BL671)</f>
        <v>0</v>
      </c>
      <c s="125">
        <f>SUM('Операционные затраты'!BM643,-'Операционные затраты'!BM671)</f>
        <v>0</v>
      </c>
    </row>
    <row r="364" spans="2:65" ht="15" customHeight="1">
      <c r="B364" s="12" t="str">
        <f t="shared" si="265"/>
        <v>-</v>
      </c>
      <c s="124" t="str">
        <f t="shared" si="264"/>
        <v>тыс. руб.</v>
      </c>
      <c s="125"/>
      <c s="125">
        <f>SUM('Операционные затраты'!E644,-'Операционные затраты'!E672)</f>
        <v>0</v>
      </c>
      <c s="125">
        <f>SUM('Операционные затраты'!F644,-'Операционные затраты'!F672)</f>
        <v>0</v>
      </c>
      <c s="125">
        <f>SUM('Операционные затраты'!G644,-'Операционные затраты'!G672)</f>
        <v>0</v>
      </c>
      <c s="125">
        <f>SUM('Операционные затраты'!H644,-'Операционные затраты'!H672)</f>
        <v>0</v>
      </c>
      <c s="125">
        <f>SUM('Операционные затраты'!I644,-'Операционные затраты'!I672)</f>
        <v>0</v>
      </c>
      <c s="125">
        <f>SUM('Операционные затраты'!J644,-'Операционные затраты'!J672)</f>
        <v>0</v>
      </c>
      <c s="125">
        <f>SUM('Операционные затраты'!K644,-'Операционные затраты'!K672)</f>
        <v>0</v>
      </c>
      <c s="125">
        <f>SUM('Операционные затраты'!L644,-'Операционные затраты'!L672)</f>
        <v>0</v>
      </c>
      <c s="125">
        <f>SUM('Операционные затраты'!M644,-'Операционные затраты'!M672)</f>
        <v>0</v>
      </c>
      <c s="125">
        <f>SUM('Операционные затраты'!N644,-'Операционные затраты'!N672)</f>
        <v>0</v>
      </c>
      <c s="125">
        <f>SUM('Операционные затраты'!O644,-'Операционные затраты'!O672)</f>
        <v>0</v>
      </c>
      <c s="125">
        <f>SUM('Операционные затраты'!P644,-'Операционные затраты'!P672)</f>
        <v>0</v>
      </c>
      <c s="125">
        <f>SUM('Операционные затраты'!Q644,-'Операционные затраты'!Q672)</f>
        <v>0</v>
      </c>
      <c s="125">
        <f>SUM('Операционные затраты'!R644,-'Операционные затраты'!R672)</f>
        <v>0</v>
      </c>
      <c s="125">
        <f>SUM('Операционные затраты'!S644,-'Операционные затраты'!S672)</f>
        <v>0</v>
      </c>
      <c s="125">
        <f>SUM('Операционные затраты'!T644,-'Операционные затраты'!T672)</f>
        <v>0</v>
      </c>
      <c s="125">
        <f>SUM('Операционные затраты'!U644,-'Операционные затраты'!U672)</f>
        <v>0</v>
      </c>
      <c s="125">
        <f>SUM('Операционные затраты'!V644,-'Операционные затраты'!V672)</f>
        <v>0</v>
      </c>
      <c s="125">
        <f>SUM('Операционные затраты'!W644,-'Операционные затраты'!W672)</f>
        <v>0</v>
      </c>
      <c s="125">
        <f>SUM('Операционные затраты'!X644,-'Операционные затраты'!X672)</f>
        <v>0</v>
      </c>
      <c s="125">
        <f>SUM('Операционные затраты'!Y644,-'Операционные затраты'!Y672)</f>
        <v>0</v>
      </c>
      <c s="125">
        <f>SUM('Операционные затраты'!Z644,-'Операционные затраты'!Z672)</f>
        <v>0</v>
      </c>
      <c s="125">
        <f>SUM('Операционные затраты'!AA644,-'Операционные затраты'!AA672)</f>
        <v>0</v>
      </c>
      <c s="125">
        <f>SUM('Операционные затраты'!AB644,-'Операционные затраты'!AB672)</f>
        <v>0</v>
      </c>
      <c s="125">
        <f>SUM('Операционные затраты'!AC644,-'Операционные затраты'!AC672)</f>
        <v>0</v>
      </c>
      <c s="125">
        <f>SUM('Операционные затраты'!AD644,-'Операционные затраты'!AD672)</f>
        <v>0</v>
      </c>
      <c s="125">
        <f>SUM('Операционные затраты'!AE644,-'Операционные затраты'!AE672)</f>
        <v>0</v>
      </c>
      <c s="125">
        <f>SUM('Операционные затраты'!AF644,-'Операционные затраты'!AF672)</f>
        <v>0</v>
      </c>
      <c s="125">
        <f>SUM('Операционные затраты'!AG644,-'Операционные затраты'!AG672)</f>
        <v>0</v>
      </c>
      <c s="125">
        <f>SUM('Операционные затраты'!AH644,-'Операционные затраты'!AH672)</f>
        <v>0</v>
      </c>
      <c s="125">
        <f>SUM('Операционные затраты'!AI644,-'Операционные затраты'!AI672)</f>
        <v>0</v>
      </c>
      <c s="125">
        <f>SUM('Операционные затраты'!AJ644,-'Операционные затраты'!AJ672)</f>
        <v>0</v>
      </c>
      <c s="125">
        <f>SUM('Операционные затраты'!AK644,-'Операционные затраты'!AK672)</f>
        <v>0</v>
      </c>
      <c s="125">
        <f>SUM('Операционные затраты'!AL644,-'Операционные затраты'!AL672)</f>
        <v>0</v>
      </c>
      <c s="125">
        <f>SUM('Операционные затраты'!AM644,-'Операционные затраты'!AM672)</f>
        <v>0</v>
      </c>
      <c s="125">
        <f>SUM('Операционные затраты'!AN644,-'Операционные затраты'!AN672)</f>
        <v>0</v>
      </c>
      <c s="125">
        <f>SUM('Операционные затраты'!AO644,-'Операционные затраты'!AO672)</f>
        <v>0</v>
      </c>
      <c s="125">
        <f>SUM('Операционные затраты'!AP644,-'Операционные затраты'!AP672)</f>
        <v>0</v>
      </c>
      <c s="125">
        <f>SUM('Операционные затраты'!AQ644,-'Операционные затраты'!AQ672)</f>
        <v>0</v>
      </c>
      <c s="125">
        <f>SUM('Операционные затраты'!AR644,-'Операционные затраты'!AR672)</f>
        <v>0</v>
      </c>
      <c s="125">
        <f>SUM('Операционные затраты'!AS644,-'Операционные затраты'!AS672)</f>
        <v>0</v>
      </c>
      <c s="125">
        <f>SUM('Операционные затраты'!AT644,-'Операционные затраты'!AT672)</f>
        <v>0</v>
      </c>
      <c s="125">
        <f>SUM('Операционные затраты'!AU644,-'Операционные затраты'!AU672)</f>
        <v>0</v>
      </c>
      <c s="125">
        <f>SUM('Операционные затраты'!AV644,-'Операционные затраты'!AV672)</f>
        <v>0</v>
      </c>
      <c s="125">
        <f>SUM('Операционные затраты'!AW644,-'Операционные затраты'!AW672)</f>
        <v>0</v>
      </c>
      <c s="125">
        <f>SUM('Операционные затраты'!AX644,-'Операционные затраты'!AX672)</f>
        <v>0</v>
      </c>
      <c s="125">
        <f>SUM('Операционные затраты'!AY644,-'Операционные затраты'!AY672)</f>
        <v>0</v>
      </c>
      <c s="125">
        <f>SUM('Операционные затраты'!AZ644,-'Операционные затраты'!AZ672)</f>
        <v>0</v>
      </c>
      <c s="125">
        <f>SUM('Операционные затраты'!BA644,-'Операционные затраты'!BA672)</f>
        <v>0</v>
      </c>
      <c s="125">
        <f>SUM('Операционные затраты'!BB644,-'Операционные затраты'!BB672)</f>
        <v>0</v>
      </c>
      <c s="125">
        <f>SUM('Операционные затраты'!BC644,-'Операционные затраты'!BC672)</f>
        <v>0</v>
      </c>
      <c s="125">
        <f>SUM('Операционные затраты'!BD644,-'Операционные затраты'!BD672)</f>
        <v>0</v>
      </c>
      <c s="125">
        <f>SUM('Операционные затраты'!BE644,-'Операционные затраты'!BE672)</f>
        <v>0</v>
      </c>
      <c s="125">
        <f>SUM('Операционные затраты'!BF644,-'Операционные затраты'!BF672)</f>
        <v>0</v>
      </c>
      <c s="125">
        <f>SUM('Операционные затраты'!BG644,-'Операционные затраты'!BG672)</f>
        <v>0</v>
      </c>
      <c s="125">
        <f>SUM('Операционные затраты'!BH644,-'Операционные затраты'!BH672)</f>
        <v>0</v>
      </c>
      <c s="125">
        <f>SUM('Операционные затраты'!BI644,-'Операционные затраты'!BI672)</f>
        <v>0</v>
      </c>
      <c s="125">
        <f>SUM('Операционные затраты'!BJ644,-'Операционные затраты'!BJ672)</f>
        <v>0</v>
      </c>
      <c s="125">
        <f>SUM('Операционные затраты'!BK644,-'Операционные затраты'!BK672)</f>
        <v>0</v>
      </c>
      <c s="125">
        <f>SUM('Операционные затраты'!BL644,-'Операционные затраты'!BL672)</f>
        <v>0</v>
      </c>
      <c s="125">
        <f>SUM('Операционные затраты'!BM644,-'Операционные затраты'!BM672)</f>
        <v>0</v>
      </c>
    </row>
    <row r="365" spans="2:65" ht="15" customHeight="1">
      <c r="B365" s="12" t="str">
        <f t="shared" si="265"/>
        <v>-</v>
      </c>
      <c s="124" t="str">
        <f t="shared" si="264"/>
        <v>тыс. руб.</v>
      </c>
      <c s="125"/>
      <c s="125">
        <f>SUM('Операционные затраты'!E645,-'Операционные затраты'!E673)</f>
        <v>0</v>
      </c>
      <c s="125">
        <f>SUM('Операционные затраты'!F645,-'Операционные затраты'!F673)</f>
        <v>0</v>
      </c>
      <c s="125">
        <f>SUM('Операционные затраты'!G645,-'Операционные затраты'!G673)</f>
        <v>0</v>
      </c>
      <c s="125">
        <f>SUM('Операционные затраты'!H645,-'Операционные затраты'!H673)</f>
        <v>0</v>
      </c>
      <c s="125">
        <f>SUM('Операционные затраты'!I645,-'Операционные затраты'!I673)</f>
        <v>0</v>
      </c>
      <c s="125">
        <f>SUM('Операционные затраты'!J645,-'Операционные затраты'!J673)</f>
        <v>0</v>
      </c>
      <c s="125">
        <f>SUM('Операционные затраты'!K645,-'Операционные затраты'!K673)</f>
        <v>0</v>
      </c>
      <c s="125">
        <f>SUM('Операционные затраты'!L645,-'Операционные затраты'!L673)</f>
        <v>0</v>
      </c>
      <c s="125">
        <f>SUM('Операционные затраты'!M645,-'Операционные затраты'!M673)</f>
        <v>0</v>
      </c>
      <c s="125">
        <f>SUM('Операционные затраты'!N645,-'Операционные затраты'!N673)</f>
        <v>0</v>
      </c>
      <c s="125">
        <f>SUM('Операционные затраты'!O645,-'Операционные затраты'!O673)</f>
        <v>0</v>
      </c>
      <c s="125">
        <f>SUM('Операционные затраты'!P645,-'Операционные затраты'!P673)</f>
        <v>0</v>
      </c>
      <c s="125">
        <f>SUM('Операционные затраты'!Q645,-'Операционные затраты'!Q673)</f>
        <v>0</v>
      </c>
      <c s="125">
        <f>SUM('Операционные затраты'!R645,-'Операционные затраты'!R673)</f>
        <v>0</v>
      </c>
      <c s="125">
        <f>SUM('Операционные затраты'!S645,-'Операционные затраты'!S673)</f>
        <v>0</v>
      </c>
      <c s="125">
        <f>SUM('Операционные затраты'!T645,-'Операционные затраты'!T673)</f>
        <v>0</v>
      </c>
      <c s="125">
        <f>SUM('Операционные затраты'!U645,-'Операционные затраты'!U673)</f>
        <v>0</v>
      </c>
      <c s="125">
        <f>SUM('Операционные затраты'!V645,-'Операционные затраты'!V673)</f>
        <v>0</v>
      </c>
      <c s="125">
        <f>SUM('Операционные затраты'!W645,-'Операционные затраты'!W673)</f>
        <v>0</v>
      </c>
      <c s="125">
        <f>SUM('Операционные затраты'!X645,-'Операционные затраты'!X673)</f>
        <v>0</v>
      </c>
      <c s="125">
        <f>SUM('Операционные затраты'!Y645,-'Операционные затраты'!Y673)</f>
        <v>0</v>
      </c>
      <c s="125">
        <f>SUM('Операционные затраты'!Z645,-'Операционные затраты'!Z673)</f>
        <v>0</v>
      </c>
      <c s="125">
        <f>SUM('Операционные затраты'!AA645,-'Операционные затраты'!AA673)</f>
        <v>0</v>
      </c>
      <c s="125">
        <f>SUM('Операционные затраты'!AB645,-'Операционные затраты'!AB673)</f>
        <v>0</v>
      </c>
      <c s="125">
        <f>SUM('Операционные затраты'!AC645,-'Операционные затраты'!AC673)</f>
        <v>0</v>
      </c>
      <c s="125">
        <f>SUM('Операционные затраты'!AD645,-'Операционные затраты'!AD673)</f>
        <v>0</v>
      </c>
      <c s="125">
        <f>SUM('Операционные затраты'!AE645,-'Операционные затраты'!AE673)</f>
        <v>0</v>
      </c>
      <c s="125">
        <f>SUM('Операционные затраты'!AF645,-'Операционные затраты'!AF673)</f>
        <v>0</v>
      </c>
      <c s="125">
        <f>SUM('Операционные затраты'!AG645,-'Операционные затраты'!AG673)</f>
        <v>0</v>
      </c>
      <c s="125">
        <f>SUM('Операционные затраты'!AH645,-'Операционные затраты'!AH673)</f>
        <v>0</v>
      </c>
      <c s="125">
        <f>SUM('Операционные затраты'!AI645,-'Операционные затраты'!AI673)</f>
        <v>0</v>
      </c>
      <c s="125">
        <f>SUM('Операционные затраты'!AJ645,-'Операционные затраты'!AJ673)</f>
        <v>0</v>
      </c>
      <c s="125">
        <f>SUM('Операционные затраты'!AK645,-'Операционные затраты'!AK673)</f>
        <v>0</v>
      </c>
      <c s="125">
        <f>SUM('Операционные затраты'!AL645,-'Операционные затраты'!AL673)</f>
        <v>0</v>
      </c>
      <c s="125">
        <f>SUM('Операционные затраты'!AM645,-'Операционные затраты'!AM673)</f>
        <v>0</v>
      </c>
      <c s="125">
        <f>SUM('Операционные затраты'!AN645,-'Операционные затраты'!AN673)</f>
        <v>0</v>
      </c>
      <c s="125">
        <f>SUM('Операционные затраты'!AO645,-'Операционные затраты'!AO673)</f>
        <v>0</v>
      </c>
      <c s="125">
        <f>SUM('Операционные затраты'!AP645,-'Операционные затраты'!AP673)</f>
        <v>0</v>
      </c>
      <c s="125">
        <f>SUM('Операционные затраты'!AQ645,-'Операционные затраты'!AQ673)</f>
        <v>0</v>
      </c>
      <c s="125">
        <f>SUM('Операционные затраты'!AR645,-'Операционные затраты'!AR673)</f>
        <v>0</v>
      </c>
      <c s="125">
        <f>SUM('Операционные затраты'!AS645,-'Операционные затраты'!AS673)</f>
        <v>0</v>
      </c>
      <c s="125">
        <f>SUM('Операционные затраты'!AT645,-'Операционные затраты'!AT673)</f>
        <v>0</v>
      </c>
      <c s="125">
        <f>SUM('Операционные затраты'!AU645,-'Операционные затраты'!AU673)</f>
        <v>0</v>
      </c>
      <c s="125">
        <f>SUM('Операционные затраты'!AV645,-'Операционные затраты'!AV673)</f>
        <v>0</v>
      </c>
      <c s="125">
        <f>SUM('Операционные затраты'!AW645,-'Операционные затраты'!AW673)</f>
        <v>0</v>
      </c>
      <c s="125">
        <f>SUM('Операционные затраты'!AX645,-'Операционные затраты'!AX673)</f>
        <v>0</v>
      </c>
      <c s="125">
        <f>SUM('Операционные затраты'!AY645,-'Операционные затраты'!AY673)</f>
        <v>0</v>
      </c>
      <c s="125">
        <f>SUM('Операционные затраты'!AZ645,-'Операционные затраты'!AZ673)</f>
        <v>0</v>
      </c>
      <c s="125">
        <f>SUM('Операционные затраты'!BA645,-'Операционные затраты'!BA673)</f>
        <v>0</v>
      </c>
      <c s="125">
        <f>SUM('Операционные затраты'!BB645,-'Операционные затраты'!BB673)</f>
        <v>0</v>
      </c>
      <c s="125">
        <f>SUM('Операционные затраты'!BC645,-'Операционные затраты'!BC673)</f>
        <v>0</v>
      </c>
      <c s="125">
        <f>SUM('Операционные затраты'!BD645,-'Операционные затраты'!BD673)</f>
        <v>0</v>
      </c>
      <c s="125">
        <f>SUM('Операционные затраты'!BE645,-'Операционные затраты'!BE673)</f>
        <v>0</v>
      </c>
      <c s="125">
        <f>SUM('Операционные затраты'!BF645,-'Операционные затраты'!BF673)</f>
        <v>0</v>
      </c>
      <c s="125">
        <f>SUM('Операционные затраты'!BG645,-'Операционные затраты'!BG673)</f>
        <v>0</v>
      </c>
      <c s="125">
        <f>SUM('Операционные затраты'!BH645,-'Операционные затраты'!BH673)</f>
        <v>0</v>
      </c>
      <c s="125">
        <f>SUM('Операционные затраты'!BI645,-'Операционные затраты'!BI673)</f>
        <v>0</v>
      </c>
      <c s="125">
        <f>SUM('Операционные затраты'!BJ645,-'Операционные затраты'!BJ673)</f>
        <v>0</v>
      </c>
      <c s="125">
        <f>SUM('Операционные затраты'!BK645,-'Операционные затраты'!BK673)</f>
        <v>0</v>
      </c>
      <c s="125">
        <f>SUM('Операционные затраты'!BL645,-'Операционные затраты'!BL673)</f>
        <v>0</v>
      </c>
      <c s="125">
        <f>SUM('Операционные затраты'!BM645,-'Операционные затраты'!BM673)</f>
        <v>0</v>
      </c>
    </row>
    <row r="366" spans="2:65" ht="15" customHeight="1">
      <c r="B366" s="12" t="str">
        <f t="shared" si="265"/>
        <v>-</v>
      </c>
      <c s="124" t="str">
        <f t="shared" si="264"/>
        <v>тыс. руб.</v>
      </c>
      <c s="125"/>
      <c s="125">
        <f>SUM('Операционные затраты'!E646,-'Операционные затраты'!E674)</f>
        <v>0</v>
      </c>
      <c s="125">
        <f>SUM('Операционные затраты'!F646,-'Операционные затраты'!F674)</f>
        <v>0</v>
      </c>
      <c s="125">
        <f>SUM('Операционные затраты'!G646,-'Операционные затраты'!G674)</f>
        <v>0</v>
      </c>
      <c s="125">
        <f>SUM('Операционные затраты'!H646,-'Операционные затраты'!H674)</f>
        <v>0</v>
      </c>
      <c s="125">
        <f>SUM('Операционные затраты'!I646,-'Операционные затраты'!I674)</f>
        <v>0</v>
      </c>
      <c s="125">
        <f>SUM('Операционные затраты'!J646,-'Операционные затраты'!J674)</f>
        <v>0</v>
      </c>
      <c s="125">
        <f>SUM('Операционные затраты'!K646,-'Операционные затраты'!K674)</f>
        <v>0</v>
      </c>
      <c s="125">
        <f>SUM('Операционные затраты'!L646,-'Операционные затраты'!L674)</f>
        <v>0</v>
      </c>
      <c s="125">
        <f>SUM('Операционные затраты'!M646,-'Операционные затраты'!M674)</f>
        <v>0</v>
      </c>
      <c s="125">
        <f>SUM('Операционные затраты'!N646,-'Операционные затраты'!N674)</f>
        <v>0</v>
      </c>
      <c s="125">
        <f>SUM('Операционные затраты'!O646,-'Операционные затраты'!O674)</f>
        <v>0</v>
      </c>
      <c s="125">
        <f>SUM('Операционные затраты'!P646,-'Операционные затраты'!P674)</f>
        <v>0</v>
      </c>
      <c s="125">
        <f>SUM('Операционные затраты'!Q646,-'Операционные затраты'!Q674)</f>
        <v>0</v>
      </c>
      <c s="125">
        <f>SUM('Операционные затраты'!R646,-'Операционные затраты'!R674)</f>
        <v>0</v>
      </c>
      <c s="125">
        <f>SUM('Операционные затраты'!S646,-'Операционные затраты'!S674)</f>
        <v>0</v>
      </c>
      <c s="125">
        <f>SUM('Операционные затраты'!T646,-'Операционные затраты'!T674)</f>
        <v>0</v>
      </c>
      <c s="125">
        <f>SUM('Операционные затраты'!U646,-'Операционные затраты'!U674)</f>
        <v>0</v>
      </c>
      <c s="125">
        <f>SUM('Операционные затраты'!V646,-'Операционные затраты'!V674)</f>
        <v>0</v>
      </c>
      <c s="125">
        <f>SUM('Операционные затраты'!W646,-'Операционные затраты'!W674)</f>
        <v>0</v>
      </c>
      <c s="125">
        <f>SUM('Операционные затраты'!X646,-'Операционные затраты'!X674)</f>
        <v>0</v>
      </c>
      <c s="125">
        <f>SUM('Операционные затраты'!Y646,-'Операционные затраты'!Y674)</f>
        <v>0</v>
      </c>
      <c s="125">
        <f>SUM('Операционные затраты'!Z646,-'Операционные затраты'!Z674)</f>
        <v>0</v>
      </c>
      <c s="125">
        <f>SUM('Операционные затраты'!AA646,-'Операционные затраты'!AA674)</f>
        <v>0</v>
      </c>
      <c s="125">
        <f>SUM('Операционные затраты'!AB646,-'Операционные затраты'!AB674)</f>
        <v>0</v>
      </c>
      <c s="125">
        <f>SUM('Операционные затраты'!AC646,-'Операционные затраты'!AC674)</f>
        <v>0</v>
      </c>
      <c s="125">
        <f>SUM('Операционные затраты'!AD646,-'Операционные затраты'!AD674)</f>
        <v>0</v>
      </c>
      <c s="125">
        <f>SUM('Операционные затраты'!AE646,-'Операционные затраты'!AE674)</f>
        <v>0</v>
      </c>
      <c s="125">
        <f>SUM('Операционные затраты'!AF646,-'Операционные затраты'!AF674)</f>
        <v>0</v>
      </c>
      <c s="125">
        <f>SUM('Операционные затраты'!AG646,-'Операционные затраты'!AG674)</f>
        <v>0</v>
      </c>
      <c s="125">
        <f>SUM('Операционные затраты'!AH646,-'Операционные затраты'!AH674)</f>
        <v>0</v>
      </c>
      <c s="125">
        <f>SUM('Операционные затраты'!AI646,-'Операционные затраты'!AI674)</f>
        <v>0</v>
      </c>
      <c s="125">
        <f>SUM('Операционные затраты'!AJ646,-'Операционные затраты'!AJ674)</f>
        <v>0</v>
      </c>
      <c s="125">
        <f>SUM('Операционные затраты'!AK646,-'Операционные затраты'!AK674)</f>
        <v>0</v>
      </c>
      <c s="125">
        <f>SUM('Операционные затраты'!AL646,-'Операционные затраты'!AL674)</f>
        <v>0</v>
      </c>
      <c s="125">
        <f>SUM('Операционные затраты'!AM646,-'Операционные затраты'!AM674)</f>
        <v>0</v>
      </c>
      <c s="125">
        <f>SUM('Операционные затраты'!AN646,-'Операционные затраты'!AN674)</f>
        <v>0</v>
      </c>
      <c s="125">
        <f>SUM('Операционные затраты'!AO646,-'Операционные затраты'!AO674)</f>
        <v>0</v>
      </c>
      <c s="125">
        <f>SUM('Операционные затраты'!AP646,-'Операционные затраты'!AP674)</f>
        <v>0</v>
      </c>
      <c s="125">
        <f>SUM('Операционные затраты'!AQ646,-'Операционные затраты'!AQ674)</f>
        <v>0</v>
      </c>
      <c s="125">
        <f>SUM('Операционные затраты'!AR646,-'Операционные затраты'!AR674)</f>
        <v>0</v>
      </c>
      <c s="125">
        <f>SUM('Операционные затраты'!AS646,-'Операционные затраты'!AS674)</f>
        <v>0</v>
      </c>
      <c s="125">
        <f>SUM('Операционные затраты'!AT646,-'Операционные затраты'!AT674)</f>
        <v>0</v>
      </c>
      <c s="125">
        <f>SUM('Операционные затраты'!AU646,-'Операционные затраты'!AU674)</f>
        <v>0</v>
      </c>
      <c s="125">
        <f>SUM('Операционные затраты'!AV646,-'Операционные затраты'!AV674)</f>
        <v>0</v>
      </c>
      <c s="125">
        <f>SUM('Операционные затраты'!AW646,-'Операционные затраты'!AW674)</f>
        <v>0</v>
      </c>
      <c s="125">
        <f>SUM('Операционные затраты'!AX646,-'Операционные затраты'!AX674)</f>
        <v>0</v>
      </c>
      <c s="125">
        <f>SUM('Операционные затраты'!AY646,-'Операционные затраты'!AY674)</f>
        <v>0</v>
      </c>
      <c s="125">
        <f>SUM('Операционные затраты'!AZ646,-'Операционные затраты'!AZ674)</f>
        <v>0</v>
      </c>
      <c s="125">
        <f>SUM('Операционные затраты'!BA646,-'Операционные затраты'!BA674)</f>
        <v>0</v>
      </c>
      <c s="125">
        <f>SUM('Операционные затраты'!BB646,-'Операционные затраты'!BB674)</f>
        <v>0</v>
      </c>
      <c s="125">
        <f>SUM('Операционные затраты'!BC646,-'Операционные затраты'!BC674)</f>
        <v>0</v>
      </c>
      <c s="125">
        <f>SUM('Операционные затраты'!BD646,-'Операционные затраты'!BD674)</f>
        <v>0</v>
      </c>
      <c s="125">
        <f>SUM('Операционные затраты'!BE646,-'Операционные затраты'!BE674)</f>
        <v>0</v>
      </c>
      <c s="125">
        <f>SUM('Операционные затраты'!BF646,-'Операционные затраты'!BF674)</f>
        <v>0</v>
      </c>
      <c s="125">
        <f>SUM('Операционные затраты'!BG646,-'Операционные затраты'!BG674)</f>
        <v>0</v>
      </c>
      <c s="125">
        <f>SUM('Операционные затраты'!BH646,-'Операционные затраты'!BH674)</f>
        <v>0</v>
      </c>
      <c s="125">
        <f>SUM('Операционные затраты'!BI646,-'Операционные затраты'!BI674)</f>
        <v>0</v>
      </c>
      <c s="125">
        <f>SUM('Операционные затраты'!BJ646,-'Операционные затраты'!BJ674)</f>
        <v>0</v>
      </c>
      <c s="125">
        <f>SUM('Операционные затраты'!BK646,-'Операционные затраты'!BK674)</f>
        <v>0</v>
      </c>
      <c s="125">
        <f>SUM('Операционные затраты'!BL646,-'Операционные затраты'!BL674)</f>
        <v>0</v>
      </c>
      <c s="125">
        <f>SUM('Операционные затраты'!BM646,-'Операционные затраты'!BM674)</f>
        <v>0</v>
      </c>
    </row>
    <row r="367" spans="2:65" ht="15" customHeight="1">
      <c r="B367" s="12" t="str">
        <f t="shared" si="265"/>
        <v>-</v>
      </c>
      <c s="124" t="str">
        <f t="shared" si="264"/>
        <v>тыс. руб.</v>
      </c>
      <c s="125"/>
      <c s="125">
        <f>SUM('Операционные затраты'!E647,-'Операционные затраты'!E675)</f>
        <v>0</v>
      </c>
      <c s="125">
        <f>SUM('Операционные затраты'!F647,-'Операционные затраты'!F675)</f>
        <v>0</v>
      </c>
      <c s="125">
        <f>SUM('Операционные затраты'!G647,-'Операционные затраты'!G675)</f>
        <v>0</v>
      </c>
      <c s="125">
        <f>SUM('Операционные затраты'!H647,-'Операционные затраты'!H675)</f>
        <v>0</v>
      </c>
      <c s="125">
        <f>SUM('Операционные затраты'!I647,-'Операционные затраты'!I675)</f>
        <v>0</v>
      </c>
      <c s="125">
        <f>SUM('Операционные затраты'!J647,-'Операционные затраты'!J675)</f>
        <v>0</v>
      </c>
      <c s="125">
        <f>SUM('Операционные затраты'!K647,-'Операционные затраты'!K675)</f>
        <v>0</v>
      </c>
      <c s="125">
        <f>SUM('Операционные затраты'!L647,-'Операционные затраты'!L675)</f>
        <v>0</v>
      </c>
      <c s="125">
        <f>SUM('Операционные затраты'!M647,-'Операционные затраты'!M675)</f>
        <v>0</v>
      </c>
      <c s="125">
        <f>SUM('Операционные затраты'!N647,-'Операционные затраты'!N675)</f>
        <v>0</v>
      </c>
      <c s="125">
        <f>SUM('Операционные затраты'!O647,-'Операционные затраты'!O675)</f>
        <v>0</v>
      </c>
      <c s="125">
        <f>SUM('Операционные затраты'!P647,-'Операционные затраты'!P675)</f>
        <v>0</v>
      </c>
      <c s="125">
        <f>SUM('Операционные затраты'!Q647,-'Операционные затраты'!Q675)</f>
        <v>0</v>
      </c>
      <c s="125">
        <f>SUM('Операционные затраты'!R647,-'Операционные затраты'!R675)</f>
        <v>0</v>
      </c>
      <c s="125">
        <f>SUM('Операционные затраты'!S647,-'Операционные затраты'!S675)</f>
        <v>0</v>
      </c>
      <c s="125">
        <f>SUM('Операционные затраты'!T647,-'Операционные затраты'!T675)</f>
        <v>0</v>
      </c>
      <c s="125">
        <f>SUM('Операционные затраты'!U647,-'Операционные затраты'!U675)</f>
        <v>0</v>
      </c>
      <c s="125">
        <f>SUM('Операционные затраты'!V647,-'Операционные затраты'!V675)</f>
        <v>0</v>
      </c>
      <c s="125">
        <f>SUM('Операционные затраты'!W647,-'Операционные затраты'!W675)</f>
        <v>0</v>
      </c>
      <c s="125">
        <f>SUM('Операционные затраты'!X647,-'Операционные затраты'!X675)</f>
        <v>0</v>
      </c>
      <c s="125">
        <f>SUM('Операционные затраты'!Y647,-'Операционные затраты'!Y675)</f>
        <v>0</v>
      </c>
      <c s="125">
        <f>SUM('Операционные затраты'!Z647,-'Операционные затраты'!Z675)</f>
        <v>0</v>
      </c>
      <c s="125">
        <f>SUM('Операционные затраты'!AA647,-'Операционные затраты'!AA675)</f>
        <v>0</v>
      </c>
      <c s="125">
        <f>SUM('Операционные затраты'!AB647,-'Операционные затраты'!AB675)</f>
        <v>0</v>
      </c>
      <c s="125">
        <f>SUM('Операционные затраты'!AC647,-'Операционные затраты'!AC675)</f>
        <v>0</v>
      </c>
      <c s="125">
        <f>SUM('Операционные затраты'!AD647,-'Операционные затраты'!AD675)</f>
        <v>0</v>
      </c>
      <c s="125">
        <f>SUM('Операционные затраты'!AE647,-'Операционные затраты'!AE675)</f>
        <v>0</v>
      </c>
      <c s="125">
        <f>SUM('Операционные затраты'!AF647,-'Операционные затраты'!AF675)</f>
        <v>0</v>
      </c>
      <c s="125">
        <f>SUM('Операционные затраты'!AG647,-'Операционные затраты'!AG675)</f>
        <v>0</v>
      </c>
      <c s="125">
        <f>SUM('Операционные затраты'!AH647,-'Операционные затраты'!AH675)</f>
        <v>0</v>
      </c>
      <c s="125">
        <f>SUM('Операционные затраты'!AI647,-'Операционные затраты'!AI675)</f>
        <v>0</v>
      </c>
      <c s="125">
        <f>SUM('Операционные затраты'!AJ647,-'Операционные затраты'!AJ675)</f>
        <v>0</v>
      </c>
      <c s="125">
        <f>SUM('Операционные затраты'!AK647,-'Операционные затраты'!AK675)</f>
        <v>0</v>
      </c>
      <c s="125">
        <f>SUM('Операционные затраты'!AL647,-'Операционные затраты'!AL675)</f>
        <v>0</v>
      </c>
      <c s="125">
        <f>SUM('Операционные затраты'!AM647,-'Операционные затраты'!AM675)</f>
        <v>0</v>
      </c>
      <c s="125">
        <f>SUM('Операционные затраты'!AN647,-'Операционные затраты'!AN675)</f>
        <v>0</v>
      </c>
      <c s="125">
        <f>SUM('Операционные затраты'!AO647,-'Операционные затраты'!AO675)</f>
        <v>0</v>
      </c>
      <c s="125">
        <f>SUM('Операционные затраты'!AP647,-'Операционные затраты'!AP675)</f>
        <v>0</v>
      </c>
      <c s="125">
        <f>SUM('Операционные затраты'!AQ647,-'Операционные затраты'!AQ675)</f>
        <v>0</v>
      </c>
      <c s="125">
        <f>SUM('Операционные затраты'!AR647,-'Операционные затраты'!AR675)</f>
        <v>0</v>
      </c>
      <c s="125">
        <f>SUM('Операционные затраты'!AS647,-'Операционные затраты'!AS675)</f>
        <v>0</v>
      </c>
      <c s="125">
        <f>SUM('Операционные затраты'!AT647,-'Операционные затраты'!AT675)</f>
        <v>0</v>
      </c>
      <c s="125">
        <f>SUM('Операционные затраты'!AU647,-'Операционные затраты'!AU675)</f>
        <v>0</v>
      </c>
      <c s="125">
        <f>SUM('Операционные затраты'!AV647,-'Операционные затраты'!AV675)</f>
        <v>0</v>
      </c>
      <c s="125">
        <f>SUM('Операционные затраты'!AW647,-'Операционные затраты'!AW675)</f>
        <v>0</v>
      </c>
      <c s="125">
        <f>SUM('Операционные затраты'!AX647,-'Операционные затраты'!AX675)</f>
        <v>0</v>
      </c>
      <c s="125">
        <f>SUM('Операционные затраты'!AY647,-'Операционные затраты'!AY675)</f>
        <v>0</v>
      </c>
      <c s="125">
        <f>SUM('Операционные затраты'!AZ647,-'Операционные затраты'!AZ675)</f>
        <v>0</v>
      </c>
      <c s="125">
        <f>SUM('Операционные затраты'!BA647,-'Операционные затраты'!BA675)</f>
        <v>0</v>
      </c>
      <c s="125">
        <f>SUM('Операционные затраты'!BB647,-'Операционные затраты'!BB675)</f>
        <v>0</v>
      </c>
      <c s="125">
        <f>SUM('Операционные затраты'!BC647,-'Операционные затраты'!BC675)</f>
        <v>0</v>
      </c>
      <c s="125">
        <f>SUM('Операционные затраты'!BD647,-'Операционные затраты'!BD675)</f>
        <v>0</v>
      </c>
      <c s="125">
        <f>SUM('Операционные затраты'!BE647,-'Операционные затраты'!BE675)</f>
        <v>0</v>
      </c>
      <c s="125">
        <f>SUM('Операционные затраты'!BF647,-'Операционные затраты'!BF675)</f>
        <v>0</v>
      </c>
      <c s="125">
        <f>SUM('Операционные затраты'!BG647,-'Операционные затраты'!BG675)</f>
        <v>0</v>
      </c>
      <c s="125">
        <f>SUM('Операционные затраты'!BH647,-'Операционные затраты'!BH675)</f>
        <v>0</v>
      </c>
      <c s="125">
        <f>SUM('Операционные затраты'!BI647,-'Операционные затраты'!BI675)</f>
        <v>0</v>
      </c>
      <c s="125">
        <f>SUM('Операционные затраты'!BJ647,-'Операционные затраты'!BJ675)</f>
        <v>0</v>
      </c>
      <c s="125">
        <f>SUM('Операционные затраты'!BK647,-'Операционные затраты'!BK675)</f>
        <v>0</v>
      </c>
      <c s="125">
        <f>SUM('Операционные затраты'!BL647,-'Операционные затраты'!BL675)</f>
        <v>0</v>
      </c>
      <c s="125">
        <f>SUM('Операционные затраты'!BM647,-'Операционные затраты'!BM675)</f>
        <v>0</v>
      </c>
    </row>
    <row r="368" spans="2:65" ht="15" customHeight="1">
      <c r="B368" s="12" t="str">
        <f t="shared" si="265"/>
        <v>-</v>
      </c>
      <c s="124" t="str">
        <f t="shared" si="264"/>
        <v>тыс. руб.</v>
      </c>
      <c s="125"/>
      <c s="125">
        <f>SUM('Операционные затраты'!E648,-'Операционные затраты'!E676)</f>
        <v>0</v>
      </c>
      <c s="125">
        <f>SUM('Операционные затраты'!F648,-'Операционные затраты'!F676)</f>
        <v>0</v>
      </c>
      <c s="125">
        <f>SUM('Операционные затраты'!G648,-'Операционные затраты'!G676)</f>
        <v>0</v>
      </c>
      <c s="125">
        <f>SUM('Операционные затраты'!H648,-'Операционные затраты'!H676)</f>
        <v>0</v>
      </c>
      <c s="125">
        <f>SUM('Операционные затраты'!I648,-'Операционные затраты'!I676)</f>
        <v>0</v>
      </c>
      <c s="125">
        <f>SUM('Операционные затраты'!J648,-'Операционные затраты'!J676)</f>
        <v>0</v>
      </c>
      <c s="125">
        <f>SUM('Операционные затраты'!K648,-'Операционные затраты'!K676)</f>
        <v>0</v>
      </c>
      <c s="125">
        <f>SUM('Операционные затраты'!L648,-'Операционные затраты'!L676)</f>
        <v>0</v>
      </c>
      <c s="125">
        <f>SUM('Операционные затраты'!M648,-'Операционные затраты'!M676)</f>
        <v>0</v>
      </c>
      <c s="125">
        <f>SUM('Операционные затраты'!N648,-'Операционные затраты'!N676)</f>
        <v>0</v>
      </c>
      <c s="125">
        <f>SUM('Операционные затраты'!O648,-'Операционные затраты'!O676)</f>
        <v>0</v>
      </c>
      <c s="125">
        <f>SUM('Операционные затраты'!P648,-'Операционные затраты'!P676)</f>
        <v>0</v>
      </c>
      <c s="125">
        <f>SUM('Операционные затраты'!Q648,-'Операционные затраты'!Q676)</f>
        <v>0</v>
      </c>
      <c s="125">
        <f>SUM('Операционные затраты'!R648,-'Операционные затраты'!R676)</f>
        <v>0</v>
      </c>
      <c s="125">
        <f>SUM('Операционные затраты'!S648,-'Операционные затраты'!S676)</f>
        <v>0</v>
      </c>
      <c s="125">
        <f>SUM('Операционные затраты'!T648,-'Операционные затраты'!T676)</f>
        <v>0</v>
      </c>
      <c s="125">
        <f>SUM('Операционные затраты'!U648,-'Операционные затраты'!U676)</f>
        <v>0</v>
      </c>
      <c s="125">
        <f>SUM('Операционные затраты'!V648,-'Операционные затраты'!V676)</f>
        <v>0</v>
      </c>
      <c s="125">
        <f>SUM('Операционные затраты'!W648,-'Операционные затраты'!W676)</f>
        <v>0</v>
      </c>
      <c s="125">
        <f>SUM('Операционные затраты'!X648,-'Операционные затраты'!X676)</f>
        <v>0</v>
      </c>
      <c s="125">
        <f>SUM('Операционные затраты'!Y648,-'Операционные затраты'!Y676)</f>
        <v>0</v>
      </c>
      <c s="125">
        <f>SUM('Операционные затраты'!Z648,-'Операционные затраты'!Z676)</f>
        <v>0</v>
      </c>
      <c s="125">
        <f>SUM('Операционные затраты'!AA648,-'Операционные затраты'!AA676)</f>
        <v>0</v>
      </c>
      <c s="125">
        <f>SUM('Операционные затраты'!AB648,-'Операционные затраты'!AB676)</f>
        <v>0</v>
      </c>
      <c s="125">
        <f>SUM('Операционные затраты'!AC648,-'Операционные затраты'!AC676)</f>
        <v>0</v>
      </c>
      <c s="125">
        <f>SUM('Операционные затраты'!AD648,-'Операционные затраты'!AD676)</f>
        <v>0</v>
      </c>
      <c s="125">
        <f>SUM('Операционные затраты'!AE648,-'Операционные затраты'!AE676)</f>
        <v>0</v>
      </c>
      <c s="125">
        <f>SUM('Операционные затраты'!AF648,-'Операционные затраты'!AF676)</f>
        <v>0</v>
      </c>
      <c s="125">
        <f>SUM('Операционные затраты'!AG648,-'Операционные затраты'!AG676)</f>
        <v>0</v>
      </c>
      <c s="125">
        <f>SUM('Операционные затраты'!AH648,-'Операционные затраты'!AH676)</f>
        <v>0</v>
      </c>
      <c s="125">
        <f>SUM('Операционные затраты'!AI648,-'Операционные затраты'!AI676)</f>
        <v>0</v>
      </c>
      <c s="125">
        <f>SUM('Операционные затраты'!AJ648,-'Операционные затраты'!AJ676)</f>
        <v>0</v>
      </c>
      <c s="125">
        <f>SUM('Операционные затраты'!AK648,-'Операционные затраты'!AK676)</f>
        <v>0</v>
      </c>
      <c s="125">
        <f>SUM('Операционные затраты'!AL648,-'Операционные затраты'!AL676)</f>
        <v>0</v>
      </c>
      <c s="125">
        <f>SUM('Операционные затраты'!AM648,-'Операционные затраты'!AM676)</f>
        <v>0</v>
      </c>
      <c s="125">
        <f>SUM('Операционные затраты'!AN648,-'Операционные затраты'!AN676)</f>
        <v>0</v>
      </c>
      <c s="125">
        <f>SUM('Операционные затраты'!AO648,-'Операционные затраты'!AO676)</f>
        <v>0</v>
      </c>
      <c s="125">
        <f>SUM('Операционные затраты'!AP648,-'Операционные затраты'!AP676)</f>
        <v>0</v>
      </c>
      <c s="125">
        <f>SUM('Операционные затраты'!AQ648,-'Операционные затраты'!AQ676)</f>
        <v>0</v>
      </c>
      <c s="125">
        <f>SUM('Операционные затраты'!AR648,-'Операционные затраты'!AR676)</f>
        <v>0</v>
      </c>
      <c s="125">
        <f>SUM('Операционные затраты'!AS648,-'Операционные затраты'!AS676)</f>
        <v>0</v>
      </c>
      <c s="125">
        <f>SUM('Операционные затраты'!AT648,-'Операционные затраты'!AT676)</f>
        <v>0</v>
      </c>
      <c s="125">
        <f>SUM('Операционные затраты'!AU648,-'Операционные затраты'!AU676)</f>
        <v>0</v>
      </c>
      <c s="125">
        <f>SUM('Операционные затраты'!AV648,-'Операционные затраты'!AV676)</f>
        <v>0</v>
      </c>
      <c s="125">
        <f>SUM('Операционные затраты'!AW648,-'Операционные затраты'!AW676)</f>
        <v>0</v>
      </c>
      <c s="125">
        <f>SUM('Операционные затраты'!AX648,-'Операционные затраты'!AX676)</f>
        <v>0</v>
      </c>
      <c s="125">
        <f>SUM('Операционные затраты'!AY648,-'Операционные затраты'!AY676)</f>
        <v>0</v>
      </c>
      <c s="125">
        <f>SUM('Операционные затраты'!AZ648,-'Операционные затраты'!AZ676)</f>
        <v>0</v>
      </c>
      <c s="125">
        <f>SUM('Операционные затраты'!BA648,-'Операционные затраты'!BA676)</f>
        <v>0</v>
      </c>
      <c s="125">
        <f>SUM('Операционные затраты'!BB648,-'Операционные затраты'!BB676)</f>
        <v>0</v>
      </c>
      <c s="125">
        <f>SUM('Операционные затраты'!BC648,-'Операционные затраты'!BC676)</f>
        <v>0</v>
      </c>
      <c s="125">
        <f>SUM('Операционные затраты'!BD648,-'Операционные затраты'!BD676)</f>
        <v>0</v>
      </c>
      <c s="125">
        <f>SUM('Операционные затраты'!BE648,-'Операционные затраты'!BE676)</f>
        <v>0</v>
      </c>
      <c s="125">
        <f>SUM('Операционные затраты'!BF648,-'Операционные затраты'!BF676)</f>
        <v>0</v>
      </c>
      <c s="125">
        <f>SUM('Операционные затраты'!BG648,-'Операционные затраты'!BG676)</f>
        <v>0</v>
      </c>
      <c s="125">
        <f>SUM('Операционные затраты'!BH648,-'Операционные затраты'!BH676)</f>
        <v>0</v>
      </c>
      <c s="125">
        <f>SUM('Операционные затраты'!BI648,-'Операционные затраты'!BI676)</f>
        <v>0</v>
      </c>
      <c s="125">
        <f>SUM('Операционные затраты'!BJ648,-'Операционные затраты'!BJ676)</f>
        <v>0</v>
      </c>
      <c s="125">
        <f>SUM('Операционные затраты'!BK648,-'Операционные затраты'!BK676)</f>
        <v>0</v>
      </c>
      <c s="125">
        <f>SUM('Операционные затраты'!BL648,-'Операционные затраты'!BL676)</f>
        <v>0</v>
      </c>
      <c s="125">
        <f>SUM('Операционные затраты'!BM648,-'Операционные затраты'!BM676)</f>
        <v>0</v>
      </c>
    </row>
    <row r="369" spans="2:65" ht="15" customHeight="1">
      <c r="B369" s="12" t="str">
        <f t="shared" si="265"/>
        <v>-</v>
      </c>
      <c s="124" t="str">
        <f t="shared" si="264"/>
        <v>тыс. руб.</v>
      </c>
      <c s="125"/>
      <c s="125">
        <f>SUM('Операционные затраты'!E649,-'Операционные затраты'!E677)</f>
        <v>0</v>
      </c>
      <c s="125">
        <f>SUM('Операционные затраты'!F649,-'Операционные затраты'!F677)</f>
        <v>0</v>
      </c>
      <c s="125">
        <f>SUM('Операционные затраты'!G649,-'Операционные затраты'!G677)</f>
        <v>0</v>
      </c>
      <c s="125">
        <f>SUM('Операционные затраты'!H649,-'Операционные затраты'!H677)</f>
        <v>0</v>
      </c>
      <c s="125">
        <f>SUM('Операционные затраты'!I649,-'Операционные затраты'!I677)</f>
        <v>0</v>
      </c>
      <c s="125">
        <f>SUM('Операционные затраты'!J649,-'Операционные затраты'!J677)</f>
        <v>0</v>
      </c>
      <c s="125">
        <f>SUM('Операционные затраты'!K649,-'Операционные затраты'!K677)</f>
        <v>0</v>
      </c>
      <c s="125">
        <f>SUM('Операционные затраты'!L649,-'Операционные затраты'!L677)</f>
        <v>0</v>
      </c>
      <c s="125">
        <f>SUM('Операционные затраты'!M649,-'Операционные затраты'!M677)</f>
        <v>0</v>
      </c>
      <c s="125">
        <f>SUM('Операционные затраты'!N649,-'Операционные затраты'!N677)</f>
        <v>0</v>
      </c>
      <c s="125">
        <f>SUM('Операционные затраты'!O649,-'Операционные затраты'!O677)</f>
        <v>0</v>
      </c>
      <c s="125">
        <f>SUM('Операционные затраты'!P649,-'Операционные затраты'!P677)</f>
        <v>0</v>
      </c>
      <c s="125">
        <f>SUM('Операционные затраты'!Q649,-'Операционные затраты'!Q677)</f>
        <v>0</v>
      </c>
      <c s="125">
        <f>SUM('Операционные затраты'!R649,-'Операционные затраты'!R677)</f>
        <v>0</v>
      </c>
      <c s="125">
        <f>SUM('Операционные затраты'!S649,-'Операционные затраты'!S677)</f>
        <v>0</v>
      </c>
      <c s="125">
        <f>SUM('Операционные затраты'!T649,-'Операционные затраты'!T677)</f>
        <v>0</v>
      </c>
      <c s="125">
        <f>SUM('Операционные затраты'!U649,-'Операционные затраты'!U677)</f>
        <v>0</v>
      </c>
      <c s="125">
        <f>SUM('Операционные затраты'!V649,-'Операционные затраты'!V677)</f>
        <v>0</v>
      </c>
      <c s="125">
        <f>SUM('Операционные затраты'!W649,-'Операционные затраты'!W677)</f>
        <v>0</v>
      </c>
      <c s="125">
        <f>SUM('Операционные затраты'!X649,-'Операционные затраты'!X677)</f>
        <v>0</v>
      </c>
      <c s="125">
        <f>SUM('Операционные затраты'!Y649,-'Операционные затраты'!Y677)</f>
        <v>0</v>
      </c>
      <c s="125">
        <f>SUM('Операционные затраты'!Z649,-'Операционные затраты'!Z677)</f>
        <v>0</v>
      </c>
      <c s="125">
        <f>SUM('Операционные затраты'!AA649,-'Операционные затраты'!AA677)</f>
        <v>0</v>
      </c>
      <c s="125">
        <f>SUM('Операционные затраты'!AB649,-'Операционные затраты'!AB677)</f>
        <v>0</v>
      </c>
      <c s="125">
        <f>SUM('Операционные затраты'!AC649,-'Операционные затраты'!AC677)</f>
        <v>0</v>
      </c>
      <c s="125">
        <f>SUM('Операционные затраты'!AD649,-'Операционные затраты'!AD677)</f>
        <v>0</v>
      </c>
      <c s="125">
        <f>SUM('Операционные затраты'!AE649,-'Операционные затраты'!AE677)</f>
        <v>0</v>
      </c>
      <c s="125">
        <f>SUM('Операционные затраты'!AF649,-'Операционные затраты'!AF677)</f>
        <v>0</v>
      </c>
      <c s="125">
        <f>SUM('Операционные затраты'!AG649,-'Операционные затраты'!AG677)</f>
        <v>0</v>
      </c>
      <c s="125">
        <f>SUM('Операционные затраты'!AH649,-'Операционные затраты'!AH677)</f>
        <v>0</v>
      </c>
      <c s="125">
        <f>SUM('Операционные затраты'!AI649,-'Операционные затраты'!AI677)</f>
        <v>0</v>
      </c>
      <c s="125">
        <f>SUM('Операционные затраты'!AJ649,-'Операционные затраты'!AJ677)</f>
        <v>0</v>
      </c>
      <c s="125">
        <f>SUM('Операционные затраты'!AK649,-'Операционные затраты'!AK677)</f>
        <v>0</v>
      </c>
      <c s="125">
        <f>SUM('Операционные затраты'!AL649,-'Операционные затраты'!AL677)</f>
        <v>0</v>
      </c>
      <c s="125">
        <f>SUM('Операционные затраты'!AM649,-'Операционные затраты'!AM677)</f>
        <v>0</v>
      </c>
      <c s="125">
        <f>SUM('Операционные затраты'!AN649,-'Операционные затраты'!AN677)</f>
        <v>0</v>
      </c>
      <c s="125">
        <f>SUM('Операционные затраты'!AO649,-'Операционные затраты'!AO677)</f>
        <v>0</v>
      </c>
      <c s="125">
        <f>SUM('Операционные затраты'!AP649,-'Операционные затраты'!AP677)</f>
        <v>0</v>
      </c>
      <c s="125">
        <f>SUM('Операционные затраты'!AQ649,-'Операционные затраты'!AQ677)</f>
        <v>0</v>
      </c>
      <c s="125">
        <f>SUM('Операционные затраты'!AR649,-'Операционные затраты'!AR677)</f>
        <v>0</v>
      </c>
      <c s="125">
        <f>SUM('Операционные затраты'!AS649,-'Операционные затраты'!AS677)</f>
        <v>0</v>
      </c>
      <c s="125">
        <f>SUM('Операционные затраты'!AT649,-'Операционные затраты'!AT677)</f>
        <v>0</v>
      </c>
      <c s="125">
        <f>SUM('Операционные затраты'!AU649,-'Операционные затраты'!AU677)</f>
        <v>0</v>
      </c>
      <c s="125">
        <f>SUM('Операционные затраты'!AV649,-'Операционные затраты'!AV677)</f>
        <v>0</v>
      </c>
      <c s="125">
        <f>SUM('Операционные затраты'!AW649,-'Операционные затраты'!AW677)</f>
        <v>0</v>
      </c>
      <c s="125">
        <f>SUM('Операционные затраты'!AX649,-'Операционные затраты'!AX677)</f>
        <v>0</v>
      </c>
      <c s="125">
        <f>SUM('Операционные затраты'!AY649,-'Операционные затраты'!AY677)</f>
        <v>0</v>
      </c>
      <c s="125">
        <f>SUM('Операционные затраты'!AZ649,-'Операционные затраты'!AZ677)</f>
        <v>0</v>
      </c>
      <c s="125">
        <f>SUM('Операционные затраты'!BA649,-'Операционные затраты'!BA677)</f>
        <v>0</v>
      </c>
      <c s="125">
        <f>SUM('Операционные затраты'!BB649,-'Операционные затраты'!BB677)</f>
        <v>0</v>
      </c>
      <c s="125">
        <f>SUM('Операционные затраты'!BC649,-'Операционные затраты'!BC677)</f>
        <v>0</v>
      </c>
      <c s="125">
        <f>SUM('Операционные затраты'!BD649,-'Операционные затраты'!BD677)</f>
        <v>0</v>
      </c>
      <c s="125">
        <f>SUM('Операционные затраты'!BE649,-'Операционные затраты'!BE677)</f>
        <v>0</v>
      </c>
      <c s="125">
        <f>SUM('Операционные затраты'!BF649,-'Операционные затраты'!BF677)</f>
        <v>0</v>
      </c>
      <c s="125">
        <f>SUM('Операционные затраты'!BG649,-'Операционные затраты'!BG677)</f>
        <v>0</v>
      </c>
      <c s="125">
        <f>SUM('Операционные затраты'!BH649,-'Операционные затраты'!BH677)</f>
        <v>0</v>
      </c>
      <c s="125">
        <f>SUM('Операционные затраты'!BI649,-'Операционные затраты'!BI677)</f>
        <v>0</v>
      </c>
      <c s="125">
        <f>SUM('Операционные затраты'!BJ649,-'Операционные затраты'!BJ677)</f>
        <v>0</v>
      </c>
      <c s="125">
        <f>SUM('Операционные затраты'!BK649,-'Операционные затраты'!BK677)</f>
        <v>0</v>
      </c>
      <c s="125">
        <f>SUM('Операционные затраты'!BL649,-'Операционные затраты'!BL677)</f>
        <v>0</v>
      </c>
      <c s="125">
        <f>SUM('Операционные затраты'!BM649,-'Операционные затраты'!BM677)</f>
        <v>0</v>
      </c>
    </row>
    <row r="370" spans="2:65" ht="15" customHeight="1">
      <c r="B370" s="12" t="str">
        <f t="shared" si="265"/>
        <v>-</v>
      </c>
      <c s="124" t="str">
        <f t="shared" si="264"/>
        <v>тыс. руб.</v>
      </c>
      <c s="125"/>
      <c s="125">
        <f>SUM('Операционные затраты'!E650,-'Операционные затраты'!E678)</f>
        <v>0</v>
      </c>
      <c s="125">
        <f>SUM('Операционные затраты'!F650,-'Операционные затраты'!F678)</f>
        <v>0</v>
      </c>
      <c s="125">
        <f>SUM('Операционные затраты'!G650,-'Операционные затраты'!G678)</f>
        <v>0</v>
      </c>
      <c s="125">
        <f>SUM('Операционные затраты'!H650,-'Операционные затраты'!H678)</f>
        <v>0</v>
      </c>
      <c s="125">
        <f>SUM('Операционные затраты'!I650,-'Операционные затраты'!I678)</f>
        <v>0</v>
      </c>
      <c s="125">
        <f>SUM('Операционные затраты'!J650,-'Операционные затраты'!J678)</f>
        <v>0</v>
      </c>
      <c s="125">
        <f>SUM('Операционные затраты'!K650,-'Операционные затраты'!K678)</f>
        <v>0</v>
      </c>
      <c s="125">
        <f>SUM('Операционные затраты'!L650,-'Операционные затраты'!L678)</f>
        <v>0</v>
      </c>
      <c s="125">
        <f>SUM('Операционные затраты'!M650,-'Операционные затраты'!M678)</f>
        <v>0</v>
      </c>
      <c s="125">
        <f>SUM('Операционные затраты'!N650,-'Операционные затраты'!N678)</f>
        <v>0</v>
      </c>
      <c s="125">
        <f>SUM('Операционные затраты'!O650,-'Операционные затраты'!O678)</f>
        <v>0</v>
      </c>
      <c s="125">
        <f>SUM('Операционные затраты'!P650,-'Операционные затраты'!P678)</f>
        <v>0</v>
      </c>
      <c s="125">
        <f>SUM('Операционные затраты'!Q650,-'Операционные затраты'!Q678)</f>
        <v>0</v>
      </c>
      <c s="125">
        <f>SUM('Операционные затраты'!R650,-'Операционные затраты'!R678)</f>
        <v>0</v>
      </c>
      <c s="125">
        <f>SUM('Операционные затраты'!S650,-'Операционные затраты'!S678)</f>
        <v>0</v>
      </c>
      <c s="125">
        <f>SUM('Операционные затраты'!T650,-'Операционные затраты'!T678)</f>
        <v>0</v>
      </c>
      <c s="125">
        <f>SUM('Операционные затраты'!U650,-'Операционные затраты'!U678)</f>
        <v>0</v>
      </c>
      <c s="125">
        <f>SUM('Операционные затраты'!V650,-'Операционные затраты'!V678)</f>
        <v>0</v>
      </c>
      <c s="125">
        <f>SUM('Операционные затраты'!W650,-'Операционные затраты'!W678)</f>
        <v>0</v>
      </c>
      <c s="125">
        <f>SUM('Операционные затраты'!X650,-'Операционные затраты'!X678)</f>
        <v>0</v>
      </c>
      <c s="125">
        <f>SUM('Операционные затраты'!Y650,-'Операционные затраты'!Y678)</f>
        <v>0</v>
      </c>
      <c s="125">
        <f>SUM('Операционные затраты'!Z650,-'Операционные затраты'!Z678)</f>
        <v>0</v>
      </c>
      <c s="125">
        <f>SUM('Операционные затраты'!AA650,-'Операционные затраты'!AA678)</f>
        <v>0</v>
      </c>
      <c s="125">
        <f>SUM('Операционные затраты'!AB650,-'Операционные затраты'!AB678)</f>
        <v>0</v>
      </c>
      <c s="125">
        <f>SUM('Операционные затраты'!AC650,-'Операционные затраты'!AC678)</f>
        <v>0</v>
      </c>
      <c s="125">
        <f>SUM('Операционные затраты'!AD650,-'Операционные затраты'!AD678)</f>
        <v>0</v>
      </c>
      <c s="125">
        <f>SUM('Операционные затраты'!AE650,-'Операционные затраты'!AE678)</f>
        <v>0</v>
      </c>
      <c s="125">
        <f>SUM('Операционные затраты'!AF650,-'Операционные затраты'!AF678)</f>
        <v>0</v>
      </c>
      <c s="125">
        <f>SUM('Операционные затраты'!AG650,-'Операционные затраты'!AG678)</f>
        <v>0</v>
      </c>
      <c s="125">
        <f>SUM('Операционные затраты'!AH650,-'Операционные затраты'!AH678)</f>
        <v>0</v>
      </c>
      <c s="125">
        <f>SUM('Операционные затраты'!AI650,-'Операционные затраты'!AI678)</f>
        <v>0</v>
      </c>
      <c s="125">
        <f>SUM('Операционные затраты'!AJ650,-'Операционные затраты'!AJ678)</f>
        <v>0</v>
      </c>
      <c s="125">
        <f>SUM('Операционные затраты'!AK650,-'Операционные затраты'!AK678)</f>
        <v>0</v>
      </c>
      <c s="125">
        <f>SUM('Операционные затраты'!AL650,-'Операционные затраты'!AL678)</f>
        <v>0</v>
      </c>
      <c s="125">
        <f>SUM('Операционные затраты'!AM650,-'Операционные затраты'!AM678)</f>
        <v>0</v>
      </c>
      <c s="125">
        <f>SUM('Операционные затраты'!AN650,-'Операционные затраты'!AN678)</f>
        <v>0</v>
      </c>
      <c s="125">
        <f>SUM('Операционные затраты'!AO650,-'Операционные затраты'!AO678)</f>
        <v>0</v>
      </c>
      <c s="125">
        <f>SUM('Операционные затраты'!AP650,-'Операционные затраты'!AP678)</f>
        <v>0</v>
      </c>
      <c s="125">
        <f>SUM('Операционные затраты'!AQ650,-'Операционные затраты'!AQ678)</f>
        <v>0</v>
      </c>
      <c s="125">
        <f>SUM('Операционные затраты'!AR650,-'Операционные затраты'!AR678)</f>
        <v>0</v>
      </c>
      <c s="125">
        <f>SUM('Операционные затраты'!AS650,-'Операционные затраты'!AS678)</f>
        <v>0</v>
      </c>
      <c s="125">
        <f>SUM('Операционные затраты'!AT650,-'Операционные затраты'!AT678)</f>
        <v>0</v>
      </c>
      <c s="125">
        <f>SUM('Операционные затраты'!AU650,-'Операционные затраты'!AU678)</f>
        <v>0</v>
      </c>
      <c s="125">
        <f>SUM('Операционные затраты'!AV650,-'Операционные затраты'!AV678)</f>
        <v>0</v>
      </c>
      <c s="125">
        <f>SUM('Операционные затраты'!AW650,-'Операционные затраты'!AW678)</f>
        <v>0</v>
      </c>
      <c s="125">
        <f>SUM('Операционные затраты'!AX650,-'Операционные затраты'!AX678)</f>
        <v>0</v>
      </c>
      <c s="125">
        <f>SUM('Операционные затраты'!AY650,-'Операционные затраты'!AY678)</f>
        <v>0</v>
      </c>
      <c s="125">
        <f>SUM('Операционные затраты'!AZ650,-'Операционные затраты'!AZ678)</f>
        <v>0</v>
      </c>
      <c s="125">
        <f>SUM('Операционные затраты'!BA650,-'Операционные затраты'!BA678)</f>
        <v>0</v>
      </c>
      <c s="125">
        <f>SUM('Операционные затраты'!BB650,-'Операционные затраты'!BB678)</f>
        <v>0</v>
      </c>
      <c s="125">
        <f>SUM('Операционные затраты'!BC650,-'Операционные затраты'!BC678)</f>
        <v>0</v>
      </c>
      <c s="125">
        <f>SUM('Операционные затраты'!BD650,-'Операционные затраты'!BD678)</f>
        <v>0</v>
      </c>
      <c s="125">
        <f>SUM('Операционные затраты'!BE650,-'Операционные затраты'!BE678)</f>
        <v>0</v>
      </c>
      <c s="125">
        <f>SUM('Операционные затраты'!BF650,-'Операционные затраты'!BF678)</f>
        <v>0</v>
      </c>
      <c s="125">
        <f>SUM('Операционные затраты'!BG650,-'Операционные затраты'!BG678)</f>
        <v>0</v>
      </c>
      <c s="125">
        <f>SUM('Операционные затраты'!BH650,-'Операционные затраты'!BH678)</f>
        <v>0</v>
      </c>
      <c s="125">
        <f>SUM('Операционные затраты'!BI650,-'Операционные затраты'!BI678)</f>
        <v>0</v>
      </c>
      <c s="125">
        <f>SUM('Операционные затраты'!BJ650,-'Операционные затраты'!BJ678)</f>
        <v>0</v>
      </c>
      <c s="125">
        <f>SUM('Операционные затраты'!BK650,-'Операционные затраты'!BK678)</f>
        <v>0</v>
      </c>
      <c s="125">
        <f>SUM('Операционные затраты'!BL650,-'Операционные затраты'!BL678)</f>
        <v>0</v>
      </c>
      <c s="125">
        <f>SUM('Операционные затраты'!BM650,-'Операционные затраты'!BM678)</f>
        <v>0</v>
      </c>
    </row>
    <row r="371" spans="2:65" ht="15" customHeight="1">
      <c r="B371" s="12" t="str">
        <f t="shared" si="265"/>
        <v>-</v>
      </c>
      <c s="124" t="str">
        <f t="shared" si="264"/>
        <v>тыс. руб.</v>
      </c>
      <c s="125"/>
      <c s="125">
        <f>SUM('Операционные затраты'!E651,-'Операционные затраты'!E679)</f>
        <v>0</v>
      </c>
      <c s="125">
        <f>SUM('Операционные затраты'!F651,-'Операционные затраты'!F679)</f>
        <v>0</v>
      </c>
      <c s="125">
        <f>SUM('Операционные затраты'!G651,-'Операционные затраты'!G679)</f>
        <v>0</v>
      </c>
      <c s="125">
        <f>SUM('Операционные затраты'!H651,-'Операционные затраты'!H679)</f>
        <v>0</v>
      </c>
      <c s="125">
        <f>SUM('Операционные затраты'!I651,-'Операционные затраты'!I679)</f>
        <v>0</v>
      </c>
      <c s="125">
        <f>SUM('Операционные затраты'!J651,-'Операционные затраты'!J679)</f>
        <v>0</v>
      </c>
      <c s="125">
        <f>SUM('Операционные затраты'!K651,-'Операционные затраты'!K679)</f>
        <v>0</v>
      </c>
      <c s="125">
        <f>SUM('Операционные затраты'!L651,-'Операционные затраты'!L679)</f>
        <v>0</v>
      </c>
      <c s="125">
        <f>SUM('Операционные затраты'!M651,-'Операционные затраты'!M679)</f>
        <v>0</v>
      </c>
      <c s="125">
        <f>SUM('Операционные затраты'!N651,-'Операционные затраты'!N679)</f>
        <v>0</v>
      </c>
      <c s="125">
        <f>SUM('Операционные затраты'!O651,-'Операционные затраты'!O679)</f>
        <v>0</v>
      </c>
      <c s="125">
        <f>SUM('Операционные затраты'!P651,-'Операционные затраты'!P679)</f>
        <v>0</v>
      </c>
      <c s="125">
        <f>SUM('Операционные затраты'!Q651,-'Операционные затраты'!Q679)</f>
        <v>0</v>
      </c>
      <c s="125">
        <f>SUM('Операционные затраты'!R651,-'Операционные затраты'!R679)</f>
        <v>0</v>
      </c>
      <c s="125">
        <f>SUM('Операционные затраты'!S651,-'Операционные затраты'!S679)</f>
        <v>0</v>
      </c>
      <c s="125">
        <f>SUM('Операционные затраты'!T651,-'Операционные затраты'!T679)</f>
        <v>0</v>
      </c>
      <c s="125">
        <f>SUM('Операционные затраты'!U651,-'Операционные затраты'!U679)</f>
        <v>0</v>
      </c>
      <c s="125">
        <f>SUM('Операционные затраты'!V651,-'Операционные затраты'!V679)</f>
        <v>0</v>
      </c>
      <c s="125">
        <f>SUM('Операционные затраты'!W651,-'Операционные затраты'!W679)</f>
        <v>0</v>
      </c>
      <c s="125">
        <f>SUM('Операционные затраты'!X651,-'Операционные затраты'!X679)</f>
        <v>0</v>
      </c>
      <c s="125">
        <f>SUM('Операционные затраты'!Y651,-'Операционные затраты'!Y679)</f>
        <v>0</v>
      </c>
      <c s="125">
        <f>SUM('Операционные затраты'!Z651,-'Операционные затраты'!Z679)</f>
        <v>0</v>
      </c>
      <c s="125">
        <f>SUM('Операционные затраты'!AA651,-'Операционные затраты'!AA679)</f>
        <v>0</v>
      </c>
      <c s="125">
        <f>SUM('Операционные затраты'!AB651,-'Операционные затраты'!AB679)</f>
        <v>0</v>
      </c>
      <c s="125">
        <f>SUM('Операционные затраты'!AC651,-'Операционные затраты'!AC679)</f>
        <v>0</v>
      </c>
      <c s="125">
        <f>SUM('Операционные затраты'!AD651,-'Операционные затраты'!AD679)</f>
        <v>0</v>
      </c>
      <c s="125">
        <f>SUM('Операционные затраты'!AE651,-'Операционные затраты'!AE679)</f>
        <v>0</v>
      </c>
      <c s="125">
        <f>SUM('Операционные затраты'!AF651,-'Операционные затраты'!AF679)</f>
        <v>0</v>
      </c>
      <c s="125">
        <f>SUM('Операционные затраты'!AG651,-'Операционные затраты'!AG679)</f>
        <v>0</v>
      </c>
      <c s="125">
        <f>SUM('Операционные затраты'!AH651,-'Операционные затраты'!AH679)</f>
        <v>0</v>
      </c>
      <c s="125">
        <f>SUM('Операционные затраты'!AI651,-'Операционные затраты'!AI679)</f>
        <v>0</v>
      </c>
      <c s="125">
        <f>SUM('Операционные затраты'!AJ651,-'Операционные затраты'!AJ679)</f>
        <v>0</v>
      </c>
      <c s="125">
        <f>SUM('Операционные затраты'!AK651,-'Операционные затраты'!AK679)</f>
        <v>0</v>
      </c>
      <c s="125">
        <f>SUM('Операционные затраты'!AL651,-'Операционные затраты'!AL679)</f>
        <v>0</v>
      </c>
      <c s="125">
        <f>SUM('Операционные затраты'!AM651,-'Операционные затраты'!AM679)</f>
        <v>0</v>
      </c>
      <c s="125">
        <f>SUM('Операционные затраты'!AN651,-'Операционные затраты'!AN679)</f>
        <v>0</v>
      </c>
      <c s="125">
        <f>SUM('Операционные затраты'!AO651,-'Операционные затраты'!AO679)</f>
        <v>0</v>
      </c>
      <c s="125">
        <f>SUM('Операционные затраты'!AP651,-'Операционные затраты'!AP679)</f>
        <v>0</v>
      </c>
      <c s="125">
        <f>SUM('Операционные затраты'!AQ651,-'Операционные затраты'!AQ679)</f>
        <v>0</v>
      </c>
      <c s="125">
        <f>SUM('Операционные затраты'!AR651,-'Операционные затраты'!AR679)</f>
        <v>0</v>
      </c>
      <c s="125">
        <f>SUM('Операционные затраты'!AS651,-'Операционные затраты'!AS679)</f>
        <v>0</v>
      </c>
      <c s="125">
        <f>SUM('Операционные затраты'!AT651,-'Операционные затраты'!AT679)</f>
        <v>0</v>
      </c>
      <c s="125">
        <f>SUM('Операционные затраты'!AU651,-'Операционные затраты'!AU679)</f>
        <v>0</v>
      </c>
      <c s="125">
        <f>SUM('Операционные затраты'!AV651,-'Операционные затраты'!AV679)</f>
        <v>0</v>
      </c>
      <c s="125">
        <f>SUM('Операционные затраты'!AW651,-'Операционные затраты'!AW679)</f>
        <v>0</v>
      </c>
      <c s="125">
        <f>SUM('Операционные затраты'!AX651,-'Операционные затраты'!AX679)</f>
        <v>0</v>
      </c>
      <c s="125">
        <f>SUM('Операционные затраты'!AY651,-'Операционные затраты'!AY679)</f>
        <v>0</v>
      </c>
      <c s="125">
        <f>SUM('Операционные затраты'!AZ651,-'Операционные затраты'!AZ679)</f>
        <v>0</v>
      </c>
      <c s="125">
        <f>SUM('Операционные затраты'!BA651,-'Операционные затраты'!BA679)</f>
        <v>0</v>
      </c>
      <c s="125">
        <f>SUM('Операционные затраты'!BB651,-'Операционные затраты'!BB679)</f>
        <v>0</v>
      </c>
      <c s="125">
        <f>SUM('Операционные затраты'!BC651,-'Операционные затраты'!BC679)</f>
        <v>0</v>
      </c>
      <c s="125">
        <f>SUM('Операционные затраты'!BD651,-'Операционные затраты'!BD679)</f>
        <v>0</v>
      </c>
      <c s="125">
        <f>SUM('Операционные затраты'!BE651,-'Операционные затраты'!BE679)</f>
        <v>0</v>
      </c>
      <c s="125">
        <f>SUM('Операционные затраты'!BF651,-'Операционные затраты'!BF679)</f>
        <v>0</v>
      </c>
      <c s="125">
        <f>SUM('Операционные затраты'!BG651,-'Операционные затраты'!BG679)</f>
        <v>0</v>
      </c>
      <c s="125">
        <f>SUM('Операционные затраты'!BH651,-'Операционные затраты'!BH679)</f>
        <v>0</v>
      </c>
      <c s="125">
        <f>SUM('Операционные затраты'!BI651,-'Операционные затраты'!BI679)</f>
        <v>0</v>
      </c>
      <c s="125">
        <f>SUM('Операционные затраты'!BJ651,-'Операционные затраты'!BJ679)</f>
        <v>0</v>
      </c>
      <c s="125">
        <f>SUM('Операционные затраты'!BK651,-'Операционные затраты'!BK679)</f>
        <v>0</v>
      </c>
      <c s="125">
        <f>SUM('Операционные затраты'!BL651,-'Операционные затраты'!BL679)</f>
        <v>0</v>
      </c>
      <c s="125">
        <f>SUM('Операционные затраты'!BM651,-'Операционные затраты'!BM679)</f>
        <v>0</v>
      </c>
    </row>
    <row r="372" spans="2:65" ht="15" customHeight="1">
      <c r="B372" s="12" t="str">
        <f t="shared" si="265"/>
        <v>-</v>
      </c>
      <c s="124" t="str">
        <f t="shared" si="264"/>
        <v>тыс. руб.</v>
      </c>
      <c s="125"/>
      <c s="125">
        <f>SUM('Операционные затраты'!E652,-'Операционные затраты'!E680)</f>
        <v>0</v>
      </c>
      <c s="125">
        <f>SUM('Операционные затраты'!F652,-'Операционные затраты'!F680)</f>
        <v>0</v>
      </c>
      <c s="125">
        <f>SUM('Операционные затраты'!G652,-'Операционные затраты'!G680)</f>
        <v>0</v>
      </c>
      <c s="125">
        <f>SUM('Операционные затраты'!H652,-'Операционные затраты'!H680)</f>
        <v>0</v>
      </c>
      <c s="125">
        <f>SUM('Операционные затраты'!I652,-'Операционные затраты'!I680)</f>
        <v>0</v>
      </c>
      <c s="125">
        <f>SUM('Операционные затраты'!J652,-'Операционные затраты'!J680)</f>
        <v>0</v>
      </c>
      <c s="125">
        <f>SUM('Операционные затраты'!K652,-'Операционные затраты'!K680)</f>
        <v>0</v>
      </c>
      <c s="125">
        <f>SUM('Операционные затраты'!L652,-'Операционные затраты'!L680)</f>
        <v>0</v>
      </c>
      <c s="125">
        <f>SUM('Операционные затраты'!M652,-'Операционные затраты'!M680)</f>
        <v>0</v>
      </c>
      <c s="125">
        <f>SUM('Операционные затраты'!N652,-'Операционные затраты'!N680)</f>
        <v>0</v>
      </c>
      <c s="125">
        <f>SUM('Операционные затраты'!O652,-'Операционные затраты'!O680)</f>
        <v>0</v>
      </c>
      <c s="125">
        <f>SUM('Операционные затраты'!P652,-'Операционные затраты'!P680)</f>
        <v>0</v>
      </c>
      <c s="125">
        <f>SUM('Операционные затраты'!Q652,-'Операционные затраты'!Q680)</f>
        <v>0</v>
      </c>
      <c s="125">
        <f>SUM('Операционные затраты'!R652,-'Операционные затраты'!R680)</f>
        <v>0</v>
      </c>
      <c s="125">
        <f>SUM('Операционные затраты'!S652,-'Операционные затраты'!S680)</f>
        <v>0</v>
      </c>
      <c s="125">
        <f>SUM('Операционные затраты'!T652,-'Операционные затраты'!T680)</f>
        <v>0</v>
      </c>
      <c s="125">
        <f>SUM('Операционные затраты'!U652,-'Операционные затраты'!U680)</f>
        <v>0</v>
      </c>
      <c s="125">
        <f>SUM('Операционные затраты'!V652,-'Операционные затраты'!V680)</f>
        <v>0</v>
      </c>
      <c s="125">
        <f>SUM('Операционные затраты'!W652,-'Операционные затраты'!W680)</f>
        <v>0</v>
      </c>
      <c s="125">
        <f>SUM('Операционные затраты'!X652,-'Операционные затраты'!X680)</f>
        <v>0</v>
      </c>
      <c s="125">
        <f>SUM('Операционные затраты'!Y652,-'Операционные затраты'!Y680)</f>
        <v>0</v>
      </c>
      <c s="125">
        <f>SUM('Операционные затраты'!Z652,-'Операционные затраты'!Z680)</f>
        <v>0</v>
      </c>
      <c s="125">
        <f>SUM('Операционные затраты'!AA652,-'Операционные затраты'!AA680)</f>
        <v>0</v>
      </c>
      <c s="125">
        <f>SUM('Операционные затраты'!AB652,-'Операционные затраты'!AB680)</f>
        <v>0</v>
      </c>
      <c s="125">
        <f>SUM('Операционные затраты'!AC652,-'Операционные затраты'!AC680)</f>
        <v>0</v>
      </c>
      <c s="125">
        <f>SUM('Операционные затраты'!AD652,-'Операционные затраты'!AD680)</f>
        <v>0</v>
      </c>
      <c s="125">
        <f>SUM('Операционные затраты'!AE652,-'Операционные затраты'!AE680)</f>
        <v>0</v>
      </c>
      <c s="125">
        <f>SUM('Операционные затраты'!AF652,-'Операционные затраты'!AF680)</f>
        <v>0</v>
      </c>
      <c s="125">
        <f>SUM('Операционные затраты'!AG652,-'Операционные затраты'!AG680)</f>
        <v>0</v>
      </c>
      <c s="125">
        <f>SUM('Операционные затраты'!AH652,-'Операционные затраты'!AH680)</f>
        <v>0</v>
      </c>
      <c s="125">
        <f>SUM('Операционные затраты'!AI652,-'Операционные затраты'!AI680)</f>
        <v>0</v>
      </c>
      <c s="125">
        <f>SUM('Операционные затраты'!AJ652,-'Операционные затраты'!AJ680)</f>
        <v>0</v>
      </c>
      <c s="125">
        <f>SUM('Операционные затраты'!AK652,-'Операционные затраты'!AK680)</f>
        <v>0</v>
      </c>
      <c s="125">
        <f>SUM('Операционные затраты'!AL652,-'Операционные затраты'!AL680)</f>
        <v>0</v>
      </c>
      <c s="125">
        <f>SUM('Операционные затраты'!AM652,-'Операционные затраты'!AM680)</f>
        <v>0</v>
      </c>
      <c s="125">
        <f>SUM('Операционные затраты'!AN652,-'Операционные затраты'!AN680)</f>
        <v>0</v>
      </c>
      <c s="125">
        <f>SUM('Операционные затраты'!AO652,-'Операционные затраты'!AO680)</f>
        <v>0</v>
      </c>
      <c s="125">
        <f>SUM('Операционные затраты'!AP652,-'Операционные затраты'!AP680)</f>
        <v>0</v>
      </c>
      <c s="125">
        <f>SUM('Операционные затраты'!AQ652,-'Операционные затраты'!AQ680)</f>
        <v>0</v>
      </c>
      <c s="125">
        <f>SUM('Операционные затраты'!AR652,-'Операционные затраты'!AR680)</f>
        <v>0</v>
      </c>
      <c s="125">
        <f>SUM('Операционные затраты'!AS652,-'Операционные затраты'!AS680)</f>
        <v>0</v>
      </c>
      <c s="125">
        <f>SUM('Операционные затраты'!AT652,-'Операционные затраты'!AT680)</f>
        <v>0</v>
      </c>
      <c s="125">
        <f>SUM('Операционные затраты'!AU652,-'Операционные затраты'!AU680)</f>
        <v>0</v>
      </c>
      <c s="125">
        <f>SUM('Операционные затраты'!AV652,-'Операционные затраты'!AV680)</f>
        <v>0</v>
      </c>
      <c s="125">
        <f>SUM('Операционные затраты'!AW652,-'Операционные затраты'!AW680)</f>
        <v>0</v>
      </c>
      <c s="125">
        <f>SUM('Операционные затраты'!AX652,-'Операционные затраты'!AX680)</f>
        <v>0</v>
      </c>
      <c s="125">
        <f>SUM('Операционные затраты'!AY652,-'Операционные затраты'!AY680)</f>
        <v>0</v>
      </c>
      <c s="125">
        <f>SUM('Операционные затраты'!AZ652,-'Операционные затраты'!AZ680)</f>
        <v>0</v>
      </c>
      <c s="125">
        <f>SUM('Операционные затраты'!BA652,-'Операционные затраты'!BA680)</f>
        <v>0</v>
      </c>
      <c s="125">
        <f>SUM('Операционные затраты'!BB652,-'Операционные затраты'!BB680)</f>
        <v>0</v>
      </c>
      <c s="125">
        <f>SUM('Операционные затраты'!BC652,-'Операционные затраты'!BC680)</f>
        <v>0</v>
      </c>
      <c s="125">
        <f>SUM('Операционные затраты'!BD652,-'Операционные затраты'!BD680)</f>
        <v>0</v>
      </c>
      <c s="125">
        <f>SUM('Операционные затраты'!BE652,-'Операционные затраты'!BE680)</f>
        <v>0</v>
      </c>
      <c s="125">
        <f>SUM('Операционные затраты'!BF652,-'Операционные затраты'!BF680)</f>
        <v>0</v>
      </c>
      <c s="125">
        <f>SUM('Операционные затраты'!BG652,-'Операционные затраты'!BG680)</f>
        <v>0</v>
      </c>
      <c s="125">
        <f>SUM('Операционные затраты'!BH652,-'Операционные затраты'!BH680)</f>
        <v>0</v>
      </c>
      <c s="125">
        <f>SUM('Операционные затраты'!BI652,-'Операционные затраты'!BI680)</f>
        <v>0</v>
      </c>
      <c s="125">
        <f>SUM('Операционные затраты'!BJ652,-'Операционные затраты'!BJ680)</f>
        <v>0</v>
      </c>
      <c s="125">
        <f>SUM('Операционные затраты'!BK652,-'Операционные затраты'!BK680)</f>
        <v>0</v>
      </c>
      <c s="125">
        <f>SUM('Операционные затраты'!BL652,-'Операционные затраты'!BL680)</f>
        <v>0</v>
      </c>
      <c s="125">
        <f>SUM('Операционные затраты'!BM652,-'Операционные затраты'!BM680)</f>
        <v>0</v>
      </c>
    </row>
    <row r="373" spans="2:65" ht="15" customHeight="1">
      <c r="B373" s="12" t="str">
        <f t="shared" si="265"/>
        <v>-</v>
      </c>
      <c s="124" t="str">
        <f t="shared" si="264"/>
        <v>тыс. руб.</v>
      </c>
      <c s="125"/>
      <c s="125">
        <f>SUM('Операционные затраты'!E653,-'Операционные затраты'!E681)</f>
        <v>0</v>
      </c>
      <c s="125">
        <f>SUM('Операционные затраты'!F653,-'Операционные затраты'!F681)</f>
        <v>0</v>
      </c>
      <c s="125">
        <f>SUM('Операционные затраты'!G653,-'Операционные затраты'!G681)</f>
        <v>0</v>
      </c>
      <c s="125">
        <f>SUM('Операционные затраты'!H653,-'Операционные затраты'!H681)</f>
        <v>0</v>
      </c>
      <c s="125">
        <f>SUM('Операционные затраты'!I653,-'Операционные затраты'!I681)</f>
        <v>0</v>
      </c>
      <c s="125">
        <f>SUM('Операционные затраты'!J653,-'Операционные затраты'!J681)</f>
        <v>0</v>
      </c>
      <c s="125">
        <f>SUM('Операционные затраты'!K653,-'Операционные затраты'!K681)</f>
        <v>0</v>
      </c>
      <c s="125">
        <f>SUM('Операционные затраты'!L653,-'Операционные затраты'!L681)</f>
        <v>0</v>
      </c>
      <c s="125">
        <f>SUM('Операционные затраты'!M653,-'Операционные затраты'!M681)</f>
        <v>0</v>
      </c>
      <c s="125">
        <f>SUM('Операционные затраты'!N653,-'Операционные затраты'!N681)</f>
        <v>0</v>
      </c>
      <c s="125">
        <f>SUM('Операционные затраты'!O653,-'Операционные затраты'!O681)</f>
        <v>0</v>
      </c>
      <c s="125">
        <f>SUM('Операционные затраты'!P653,-'Операционные затраты'!P681)</f>
        <v>0</v>
      </c>
      <c s="125">
        <f>SUM('Операционные затраты'!Q653,-'Операционные затраты'!Q681)</f>
        <v>0</v>
      </c>
      <c s="125">
        <f>SUM('Операционные затраты'!R653,-'Операционные затраты'!R681)</f>
        <v>0</v>
      </c>
      <c s="125">
        <f>SUM('Операционные затраты'!S653,-'Операционные затраты'!S681)</f>
        <v>0</v>
      </c>
      <c s="125">
        <f>SUM('Операционные затраты'!T653,-'Операционные затраты'!T681)</f>
        <v>0</v>
      </c>
      <c s="125">
        <f>SUM('Операционные затраты'!U653,-'Операционные затраты'!U681)</f>
        <v>0</v>
      </c>
      <c s="125">
        <f>SUM('Операционные затраты'!V653,-'Операционные затраты'!V681)</f>
        <v>0</v>
      </c>
      <c s="125">
        <f>SUM('Операционные затраты'!W653,-'Операционные затраты'!W681)</f>
        <v>0</v>
      </c>
      <c s="125">
        <f>SUM('Операционные затраты'!X653,-'Операционные затраты'!X681)</f>
        <v>0</v>
      </c>
      <c s="125">
        <f>SUM('Операционные затраты'!Y653,-'Операционные затраты'!Y681)</f>
        <v>0</v>
      </c>
      <c s="125">
        <f>SUM('Операционные затраты'!Z653,-'Операционные затраты'!Z681)</f>
        <v>0</v>
      </c>
      <c s="125">
        <f>SUM('Операционные затраты'!AA653,-'Операционные затраты'!AA681)</f>
        <v>0</v>
      </c>
      <c s="125">
        <f>SUM('Операционные затраты'!AB653,-'Операционные затраты'!AB681)</f>
        <v>0</v>
      </c>
      <c s="125">
        <f>SUM('Операционные затраты'!AC653,-'Операционные затраты'!AC681)</f>
        <v>0</v>
      </c>
      <c s="125">
        <f>SUM('Операционные затраты'!AD653,-'Операционные затраты'!AD681)</f>
        <v>0</v>
      </c>
      <c s="125">
        <f>SUM('Операционные затраты'!AE653,-'Операционные затраты'!AE681)</f>
        <v>0</v>
      </c>
      <c s="125">
        <f>SUM('Операционные затраты'!AF653,-'Операционные затраты'!AF681)</f>
        <v>0</v>
      </c>
      <c s="125">
        <f>SUM('Операционные затраты'!AG653,-'Операционные затраты'!AG681)</f>
        <v>0</v>
      </c>
      <c s="125">
        <f>SUM('Операционные затраты'!AH653,-'Операционные затраты'!AH681)</f>
        <v>0</v>
      </c>
      <c s="125">
        <f>SUM('Операционные затраты'!AI653,-'Операционные затраты'!AI681)</f>
        <v>0</v>
      </c>
      <c s="125">
        <f>SUM('Операционные затраты'!AJ653,-'Операционные затраты'!AJ681)</f>
        <v>0</v>
      </c>
      <c s="125">
        <f>SUM('Операционные затраты'!AK653,-'Операционные затраты'!AK681)</f>
        <v>0</v>
      </c>
      <c s="125">
        <f>SUM('Операционные затраты'!AL653,-'Операционные затраты'!AL681)</f>
        <v>0</v>
      </c>
      <c s="125">
        <f>SUM('Операционные затраты'!AM653,-'Операционные затраты'!AM681)</f>
        <v>0</v>
      </c>
      <c s="125">
        <f>SUM('Операционные затраты'!AN653,-'Операционные затраты'!AN681)</f>
        <v>0</v>
      </c>
      <c s="125">
        <f>SUM('Операционные затраты'!AO653,-'Операционные затраты'!AO681)</f>
        <v>0</v>
      </c>
      <c s="125">
        <f>SUM('Операционные затраты'!AP653,-'Операционные затраты'!AP681)</f>
        <v>0</v>
      </c>
      <c s="125">
        <f>SUM('Операционные затраты'!AQ653,-'Операционные затраты'!AQ681)</f>
        <v>0</v>
      </c>
      <c s="125">
        <f>SUM('Операционные затраты'!AR653,-'Операционные затраты'!AR681)</f>
        <v>0</v>
      </c>
      <c s="125">
        <f>SUM('Операционные затраты'!AS653,-'Операционные затраты'!AS681)</f>
        <v>0</v>
      </c>
      <c s="125">
        <f>SUM('Операционные затраты'!AT653,-'Операционные затраты'!AT681)</f>
        <v>0</v>
      </c>
      <c s="125">
        <f>SUM('Операционные затраты'!AU653,-'Операционные затраты'!AU681)</f>
        <v>0</v>
      </c>
      <c s="125">
        <f>SUM('Операционные затраты'!AV653,-'Операционные затраты'!AV681)</f>
        <v>0</v>
      </c>
      <c s="125">
        <f>SUM('Операционные затраты'!AW653,-'Операционные затраты'!AW681)</f>
        <v>0</v>
      </c>
      <c s="125">
        <f>SUM('Операционные затраты'!AX653,-'Операционные затраты'!AX681)</f>
        <v>0</v>
      </c>
      <c s="125">
        <f>SUM('Операционные затраты'!AY653,-'Операционные затраты'!AY681)</f>
        <v>0</v>
      </c>
      <c s="125">
        <f>SUM('Операционные затраты'!AZ653,-'Операционные затраты'!AZ681)</f>
        <v>0</v>
      </c>
      <c s="125">
        <f>SUM('Операционные затраты'!BA653,-'Операционные затраты'!BA681)</f>
        <v>0</v>
      </c>
      <c s="125">
        <f>SUM('Операционные затраты'!BB653,-'Операционные затраты'!BB681)</f>
        <v>0</v>
      </c>
      <c s="125">
        <f>SUM('Операционные затраты'!BC653,-'Операционные затраты'!BC681)</f>
        <v>0</v>
      </c>
      <c s="125">
        <f>SUM('Операционные затраты'!BD653,-'Операционные затраты'!BD681)</f>
        <v>0</v>
      </c>
      <c s="125">
        <f>SUM('Операционные затраты'!BE653,-'Операционные затраты'!BE681)</f>
        <v>0</v>
      </c>
      <c s="125">
        <f>SUM('Операционные затраты'!BF653,-'Операционные затраты'!BF681)</f>
        <v>0</v>
      </c>
      <c s="125">
        <f>SUM('Операционные затраты'!BG653,-'Операционные затраты'!BG681)</f>
        <v>0</v>
      </c>
      <c s="125">
        <f>SUM('Операционные затраты'!BH653,-'Операционные затраты'!BH681)</f>
        <v>0</v>
      </c>
      <c s="125">
        <f>SUM('Операционные затраты'!BI653,-'Операционные затраты'!BI681)</f>
        <v>0</v>
      </c>
      <c s="125">
        <f>SUM('Операционные затраты'!BJ653,-'Операционные затраты'!BJ681)</f>
        <v>0</v>
      </c>
      <c s="125">
        <f>SUM('Операционные затраты'!BK653,-'Операционные затраты'!BK681)</f>
        <v>0</v>
      </c>
      <c s="125">
        <f>SUM('Операционные затраты'!BL653,-'Операционные затраты'!BL681)</f>
        <v>0</v>
      </c>
      <c s="125">
        <f>SUM('Операционные затраты'!BM653,-'Операционные затраты'!BM681)</f>
        <v>0</v>
      </c>
    </row>
    <row r="374" spans="2:65" ht="15" customHeight="1">
      <c r="B374" s="12" t="str">
        <f t="shared" si="265"/>
        <v>-</v>
      </c>
      <c s="124" t="str">
        <f t="shared" si="264"/>
        <v>тыс. руб.</v>
      </c>
      <c s="125"/>
      <c s="125">
        <f>SUM('Операционные затраты'!E654,-'Операционные затраты'!E682)</f>
        <v>0</v>
      </c>
      <c s="125">
        <f>SUM('Операционные затраты'!F654,-'Операционные затраты'!F682)</f>
        <v>0</v>
      </c>
      <c s="125">
        <f>SUM('Операционные затраты'!G654,-'Операционные затраты'!G682)</f>
        <v>0</v>
      </c>
      <c s="125">
        <f>SUM('Операционные затраты'!H654,-'Операционные затраты'!H682)</f>
        <v>0</v>
      </c>
      <c s="125">
        <f>SUM('Операционные затраты'!I654,-'Операционные затраты'!I682)</f>
        <v>0</v>
      </c>
      <c s="125">
        <f>SUM('Операционные затраты'!J654,-'Операционные затраты'!J682)</f>
        <v>0</v>
      </c>
      <c s="125">
        <f>SUM('Операционные затраты'!K654,-'Операционные затраты'!K682)</f>
        <v>0</v>
      </c>
      <c s="125">
        <f>SUM('Операционные затраты'!L654,-'Операционные затраты'!L682)</f>
        <v>0</v>
      </c>
      <c s="125">
        <f>SUM('Операционные затраты'!M654,-'Операционные затраты'!M682)</f>
        <v>0</v>
      </c>
      <c s="125">
        <f>SUM('Операционные затраты'!N654,-'Операционные затраты'!N682)</f>
        <v>0</v>
      </c>
      <c s="125">
        <f>SUM('Операционные затраты'!O654,-'Операционные затраты'!O682)</f>
        <v>0</v>
      </c>
      <c s="125">
        <f>SUM('Операционные затраты'!P654,-'Операционные затраты'!P682)</f>
        <v>0</v>
      </c>
      <c s="125">
        <f>SUM('Операционные затраты'!Q654,-'Операционные затраты'!Q682)</f>
        <v>0</v>
      </c>
      <c s="125">
        <f>SUM('Операционные затраты'!R654,-'Операционные затраты'!R682)</f>
        <v>0</v>
      </c>
      <c s="125">
        <f>SUM('Операционные затраты'!S654,-'Операционные затраты'!S682)</f>
        <v>0</v>
      </c>
      <c s="125">
        <f>SUM('Операционные затраты'!T654,-'Операционные затраты'!T682)</f>
        <v>0</v>
      </c>
      <c s="125">
        <f>SUM('Операционные затраты'!U654,-'Операционные затраты'!U682)</f>
        <v>0</v>
      </c>
      <c s="125">
        <f>SUM('Операционные затраты'!V654,-'Операционные затраты'!V682)</f>
        <v>0</v>
      </c>
      <c s="125">
        <f>SUM('Операционные затраты'!W654,-'Операционные затраты'!W682)</f>
        <v>0</v>
      </c>
      <c s="125">
        <f>SUM('Операционные затраты'!X654,-'Операционные затраты'!X682)</f>
        <v>0</v>
      </c>
      <c s="125">
        <f>SUM('Операционные затраты'!Y654,-'Операционные затраты'!Y682)</f>
        <v>0</v>
      </c>
      <c s="125">
        <f>SUM('Операционные затраты'!Z654,-'Операционные затраты'!Z682)</f>
        <v>0</v>
      </c>
      <c s="125">
        <f>SUM('Операционные затраты'!AA654,-'Операционные затраты'!AA682)</f>
        <v>0</v>
      </c>
      <c s="125">
        <f>SUM('Операционные затраты'!AB654,-'Операционные затраты'!AB682)</f>
        <v>0</v>
      </c>
      <c s="125">
        <f>SUM('Операционные затраты'!AC654,-'Операционные затраты'!AC682)</f>
        <v>0</v>
      </c>
      <c s="125">
        <f>SUM('Операционные затраты'!AD654,-'Операционные затраты'!AD682)</f>
        <v>0</v>
      </c>
      <c s="125">
        <f>SUM('Операционные затраты'!AE654,-'Операционные затраты'!AE682)</f>
        <v>0</v>
      </c>
      <c s="125">
        <f>SUM('Операционные затраты'!AF654,-'Операционные затраты'!AF682)</f>
        <v>0</v>
      </c>
      <c s="125">
        <f>SUM('Операционные затраты'!AG654,-'Операционные затраты'!AG682)</f>
        <v>0</v>
      </c>
      <c s="125">
        <f>SUM('Операционные затраты'!AH654,-'Операционные затраты'!AH682)</f>
        <v>0</v>
      </c>
      <c s="125">
        <f>SUM('Операционные затраты'!AI654,-'Операционные затраты'!AI682)</f>
        <v>0</v>
      </c>
      <c s="125">
        <f>SUM('Операционные затраты'!AJ654,-'Операционные затраты'!AJ682)</f>
        <v>0</v>
      </c>
      <c s="125">
        <f>SUM('Операционные затраты'!AK654,-'Операционные затраты'!AK682)</f>
        <v>0</v>
      </c>
      <c s="125">
        <f>SUM('Операционные затраты'!AL654,-'Операционные затраты'!AL682)</f>
        <v>0</v>
      </c>
      <c s="125">
        <f>SUM('Операционные затраты'!AM654,-'Операционные затраты'!AM682)</f>
        <v>0</v>
      </c>
      <c s="125">
        <f>SUM('Операционные затраты'!AN654,-'Операционные затраты'!AN682)</f>
        <v>0</v>
      </c>
      <c s="125">
        <f>SUM('Операционные затраты'!AO654,-'Операционные затраты'!AO682)</f>
        <v>0</v>
      </c>
      <c s="125">
        <f>SUM('Операционные затраты'!AP654,-'Операционные затраты'!AP682)</f>
        <v>0</v>
      </c>
      <c s="125">
        <f>SUM('Операционные затраты'!AQ654,-'Операционные затраты'!AQ682)</f>
        <v>0</v>
      </c>
      <c s="125">
        <f>SUM('Операционные затраты'!AR654,-'Операционные затраты'!AR682)</f>
        <v>0</v>
      </c>
      <c s="125">
        <f>SUM('Операционные затраты'!AS654,-'Операционные затраты'!AS682)</f>
        <v>0</v>
      </c>
      <c s="125">
        <f>SUM('Операционные затраты'!AT654,-'Операционные затраты'!AT682)</f>
        <v>0</v>
      </c>
      <c s="125">
        <f>SUM('Операционные затраты'!AU654,-'Операционные затраты'!AU682)</f>
        <v>0</v>
      </c>
      <c s="125">
        <f>SUM('Операционные затраты'!AV654,-'Операционные затраты'!AV682)</f>
        <v>0</v>
      </c>
      <c s="125">
        <f>SUM('Операционные затраты'!AW654,-'Операционные затраты'!AW682)</f>
        <v>0</v>
      </c>
      <c s="125">
        <f>SUM('Операционные затраты'!AX654,-'Операционные затраты'!AX682)</f>
        <v>0</v>
      </c>
      <c s="125">
        <f>SUM('Операционные затраты'!AY654,-'Операционные затраты'!AY682)</f>
        <v>0</v>
      </c>
      <c s="125">
        <f>SUM('Операционные затраты'!AZ654,-'Операционные затраты'!AZ682)</f>
        <v>0</v>
      </c>
      <c s="125">
        <f>SUM('Операционные затраты'!BA654,-'Операционные затраты'!BA682)</f>
        <v>0</v>
      </c>
      <c s="125">
        <f>SUM('Операционные затраты'!BB654,-'Операционные затраты'!BB682)</f>
        <v>0</v>
      </c>
      <c s="125">
        <f>SUM('Операционные затраты'!BC654,-'Операционные затраты'!BC682)</f>
        <v>0</v>
      </c>
      <c s="125">
        <f>SUM('Операционные затраты'!BD654,-'Операционные затраты'!BD682)</f>
        <v>0</v>
      </c>
      <c s="125">
        <f>SUM('Операционные затраты'!BE654,-'Операционные затраты'!BE682)</f>
        <v>0</v>
      </c>
      <c s="125">
        <f>SUM('Операционные затраты'!BF654,-'Операционные затраты'!BF682)</f>
        <v>0</v>
      </c>
      <c s="125">
        <f>SUM('Операционные затраты'!BG654,-'Операционные затраты'!BG682)</f>
        <v>0</v>
      </c>
      <c s="125">
        <f>SUM('Операционные затраты'!BH654,-'Операционные затраты'!BH682)</f>
        <v>0</v>
      </c>
      <c s="125">
        <f>SUM('Операционные затраты'!BI654,-'Операционные затраты'!BI682)</f>
        <v>0</v>
      </c>
      <c s="125">
        <f>SUM('Операционные затраты'!BJ654,-'Операционные затраты'!BJ682)</f>
        <v>0</v>
      </c>
      <c s="125">
        <f>SUM('Операционные затраты'!BK654,-'Операционные затраты'!BK682)</f>
        <v>0</v>
      </c>
      <c s="125">
        <f>SUM('Операционные затраты'!BL654,-'Операционные затраты'!BL682)</f>
        <v>0</v>
      </c>
      <c s="125">
        <f>SUM('Операционные затраты'!BM654,-'Операционные затраты'!BM682)</f>
        <v>0</v>
      </c>
    </row>
    <row r="375" spans="2:65" ht="15" customHeight="1">
      <c r="B375" s="12" t="str">
        <f t="shared" si="265"/>
        <v>-</v>
      </c>
      <c s="124" t="str">
        <f t="shared" si="264"/>
        <v>тыс. руб.</v>
      </c>
      <c s="125"/>
      <c s="125">
        <f>SUM('Операционные затраты'!E655,-'Операционные затраты'!E683)</f>
        <v>0</v>
      </c>
      <c s="125">
        <f>SUM('Операционные затраты'!F655,-'Операционные затраты'!F683)</f>
        <v>0</v>
      </c>
      <c s="125">
        <f>SUM('Операционные затраты'!G655,-'Операционные затраты'!G683)</f>
        <v>0</v>
      </c>
      <c s="125">
        <f>SUM('Операционные затраты'!H655,-'Операционные затраты'!H683)</f>
        <v>0</v>
      </c>
      <c s="125">
        <f>SUM('Операционные затраты'!I655,-'Операционные затраты'!I683)</f>
        <v>0</v>
      </c>
      <c s="125">
        <f>SUM('Операционные затраты'!J655,-'Операционные затраты'!J683)</f>
        <v>0</v>
      </c>
      <c s="125">
        <f>SUM('Операционные затраты'!K655,-'Операционные затраты'!K683)</f>
        <v>0</v>
      </c>
      <c s="125">
        <f>SUM('Операционные затраты'!L655,-'Операционные затраты'!L683)</f>
        <v>0</v>
      </c>
      <c s="125">
        <f>SUM('Операционные затраты'!M655,-'Операционные затраты'!M683)</f>
        <v>0</v>
      </c>
      <c s="125">
        <f>SUM('Операционные затраты'!N655,-'Операционные затраты'!N683)</f>
        <v>0</v>
      </c>
      <c s="125">
        <f>SUM('Операционные затраты'!O655,-'Операционные затраты'!O683)</f>
        <v>0</v>
      </c>
      <c s="125">
        <f>SUM('Операционные затраты'!P655,-'Операционные затраты'!P683)</f>
        <v>0</v>
      </c>
      <c s="125">
        <f>SUM('Операционные затраты'!Q655,-'Операционные затраты'!Q683)</f>
        <v>0</v>
      </c>
      <c s="125">
        <f>SUM('Операционные затраты'!R655,-'Операционные затраты'!R683)</f>
        <v>0</v>
      </c>
      <c s="125">
        <f>SUM('Операционные затраты'!S655,-'Операционные затраты'!S683)</f>
        <v>0</v>
      </c>
      <c s="125">
        <f>SUM('Операционные затраты'!T655,-'Операционные затраты'!T683)</f>
        <v>0</v>
      </c>
      <c s="125">
        <f>SUM('Операционные затраты'!U655,-'Операционные затраты'!U683)</f>
        <v>0</v>
      </c>
      <c s="125">
        <f>SUM('Операционные затраты'!V655,-'Операционные затраты'!V683)</f>
        <v>0</v>
      </c>
      <c s="125">
        <f>SUM('Операционные затраты'!W655,-'Операционные затраты'!W683)</f>
        <v>0</v>
      </c>
      <c s="125">
        <f>SUM('Операционные затраты'!X655,-'Операционные затраты'!X683)</f>
        <v>0</v>
      </c>
      <c s="125">
        <f>SUM('Операционные затраты'!Y655,-'Операционные затраты'!Y683)</f>
        <v>0</v>
      </c>
      <c s="125">
        <f>SUM('Операционные затраты'!Z655,-'Операционные затраты'!Z683)</f>
        <v>0</v>
      </c>
      <c s="125">
        <f>SUM('Операционные затраты'!AA655,-'Операционные затраты'!AA683)</f>
        <v>0</v>
      </c>
      <c s="125">
        <f>SUM('Операционные затраты'!AB655,-'Операционные затраты'!AB683)</f>
        <v>0</v>
      </c>
      <c s="125">
        <f>SUM('Операционные затраты'!AC655,-'Операционные затраты'!AC683)</f>
        <v>0</v>
      </c>
      <c s="125">
        <f>SUM('Операционные затраты'!AD655,-'Операционные затраты'!AD683)</f>
        <v>0</v>
      </c>
      <c s="125">
        <f>SUM('Операционные затраты'!AE655,-'Операционные затраты'!AE683)</f>
        <v>0</v>
      </c>
      <c s="125">
        <f>SUM('Операционные затраты'!AF655,-'Операционные затраты'!AF683)</f>
        <v>0</v>
      </c>
      <c s="125">
        <f>SUM('Операционные затраты'!AG655,-'Операционные затраты'!AG683)</f>
        <v>0</v>
      </c>
      <c s="125">
        <f>SUM('Операционные затраты'!AH655,-'Операционные затраты'!AH683)</f>
        <v>0</v>
      </c>
      <c s="125">
        <f>SUM('Операционные затраты'!AI655,-'Операционные затраты'!AI683)</f>
        <v>0</v>
      </c>
      <c s="125">
        <f>SUM('Операционные затраты'!AJ655,-'Операционные затраты'!AJ683)</f>
        <v>0</v>
      </c>
      <c s="125">
        <f>SUM('Операционные затраты'!AK655,-'Операционные затраты'!AK683)</f>
        <v>0</v>
      </c>
      <c s="125">
        <f>SUM('Операционные затраты'!AL655,-'Операционные затраты'!AL683)</f>
        <v>0</v>
      </c>
      <c s="125">
        <f>SUM('Операционные затраты'!AM655,-'Операционные затраты'!AM683)</f>
        <v>0</v>
      </c>
      <c s="125">
        <f>SUM('Операционные затраты'!AN655,-'Операционные затраты'!AN683)</f>
        <v>0</v>
      </c>
      <c s="125">
        <f>SUM('Операционные затраты'!AO655,-'Операционные затраты'!AO683)</f>
        <v>0</v>
      </c>
      <c s="125">
        <f>SUM('Операционные затраты'!AP655,-'Операционные затраты'!AP683)</f>
        <v>0</v>
      </c>
      <c s="125">
        <f>SUM('Операционные затраты'!AQ655,-'Операционные затраты'!AQ683)</f>
        <v>0</v>
      </c>
      <c s="125">
        <f>SUM('Операционные затраты'!AR655,-'Операционные затраты'!AR683)</f>
        <v>0</v>
      </c>
      <c s="125">
        <f>SUM('Операционные затраты'!AS655,-'Операционные затраты'!AS683)</f>
        <v>0</v>
      </c>
      <c s="125">
        <f>SUM('Операционные затраты'!AT655,-'Операционные затраты'!AT683)</f>
        <v>0</v>
      </c>
      <c s="125">
        <f>SUM('Операционные затраты'!AU655,-'Операционные затраты'!AU683)</f>
        <v>0</v>
      </c>
      <c s="125">
        <f>SUM('Операционные затраты'!AV655,-'Операционные затраты'!AV683)</f>
        <v>0</v>
      </c>
      <c s="125">
        <f>SUM('Операционные затраты'!AW655,-'Операционные затраты'!AW683)</f>
        <v>0</v>
      </c>
      <c s="125">
        <f>SUM('Операционные затраты'!AX655,-'Операционные затраты'!AX683)</f>
        <v>0</v>
      </c>
      <c s="125">
        <f>SUM('Операционные затраты'!AY655,-'Операционные затраты'!AY683)</f>
        <v>0</v>
      </c>
      <c s="125">
        <f>SUM('Операционные затраты'!AZ655,-'Операционные затраты'!AZ683)</f>
        <v>0</v>
      </c>
      <c s="125">
        <f>SUM('Операционные затраты'!BA655,-'Операционные затраты'!BA683)</f>
        <v>0</v>
      </c>
      <c s="125">
        <f>SUM('Операционные затраты'!BB655,-'Операционные затраты'!BB683)</f>
        <v>0</v>
      </c>
      <c s="125">
        <f>SUM('Операционные затраты'!BC655,-'Операционные затраты'!BC683)</f>
        <v>0</v>
      </c>
      <c s="125">
        <f>SUM('Операционные затраты'!BD655,-'Операционные затраты'!BD683)</f>
        <v>0</v>
      </c>
      <c s="125">
        <f>SUM('Операционные затраты'!BE655,-'Операционные затраты'!BE683)</f>
        <v>0</v>
      </c>
      <c s="125">
        <f>SUM('Операционные затраты'!BF655,-'Операционные затраты'!BF683)</f>
        <v>0</v>
      </c>
      <c s="125">
        <f>SUM('Операционные затраты'!BG655,-'Операционные затраты'!BG683)</f>
        <v>0</v>
      </c>
      <c s="125">
        <f>SUM('Операционные затраты'!BH655,-'Операционные затраты'!BH683)</f>
        <v>0</v>
      </c>
      <c s="125">
        <f>SUM('Операционные затраты'!BI655,-'Операционные затраты'!BI683)</f>
        <v>0</v>
      </c>
      <c s="125">
        <f>SUM('Операционные затраты'!BJ655,-'Операционные затраты'!BJ683)</f>
        <v>0</v>
      </c>
      <c s="125">
        <f>SUM('Операционные затраты'!BK655,-'Операционные затраты'!BK683)</f>
        <v>0</v>
      </c>
      <c s="125">
        <f>SUM('Операционные затраты'!BL655,-'Операционные затраты'!BL683)</f>
        <v>0</v>
      </c>
      <c s="125">
        <f>SUM('Операционные затраты'!BM655,-'Операционные затраты'!BM683)</f>
        <v>0</v>
      </c>
    </row>
    <row r="376" spans="2:65" ht="15" customHeight="1">
      <c r="B376" s="12" t="str">
        <f t="shared" si="265"/>
        <v>-</v>
      </c>
      <c s="124" t="str">
        <f t="shared" si="264"/>
        <v>тыс. руб.</v>
      </c>
      <c s="125"/>
      <c s="125">
        <f>SUM('Операционные затраты'!E656,-'Операционные затраты'!E684)</f>
        <v>0</v>
      </c>
      <c s="125">
        <f>SUM('Операционные затраты'!F656,-'Операционные затраты'!F684)</f>
        <v>0</v>
      </c>
      <c s="125">
        <f>SUM('Операционные затраты'!G656,-'Операционные затраты'!G684)</f>
        <v>0</v>
      </c>
      <c s="125">
        <f>SUM('Операционные затраты'!H656,-'Операционные затраты'!H684)</f>
        <v>0</v>
      </c>
      <c s="125">
        <f>SUM('Операционные затраты'!I656,-'Операционные затраты'!I684)</f>
        <v>0</v>
      </c>
      <c s="125">
        <f>SUM('Операционные затраты'!J656,-'Операционные затраты'!J684)</f>
        <v>0</v>
      </c>
      <c s="125">
        <f>SUM('Операционные затраты'!K656,-'Операционные затраты'!K684)</f>
        <v>0</v>
      </c>
      <c s="125">
        <f>SUM('Операционные затраты'!L656,-'Операционные затраты'!L684)</f>
        <v>0</v>
      </c>
      <c s="125">
        <f>SUM('Операционные затраты'!M656,-'Операционные затраты'!M684)</f>
        <v>0</v>
      </c>
      <c s="125">
        <f>SUM('Операционные затраты'!N656,-'Операционные затраты'!N684)</f>
        <v>0</v>
      </c>
      <c s="125">
        <f>SUM('Операционные затраты'!O656,-'Операционные затраты'!O684)</f>
        <v>0</v>
      </c>
      <c s="125">
        <f>SUM('Операционные затраты'!P656,-'Операционные затраты'!P684)</f>
        <v>0</v>
      </c>
      <c s="125">
        <f>SUM('Операционные затраты'!Q656,-'Операционные затраты'!Q684)</f>
        <v>0</v>
      </c>
      <c s="125">
        <f>SUM('Операционные затраты'!R656,-'Операционные затраты'!R684)</f>
        <v>0</v>
      </c>
      <c s="125">
        <f>SUM('Операционные затраты'!S656,-'Операционные затраты'!S684)</f>
        <v>0</v>
      </c>
      <c s="125">
        <f>SUM('Операционные затраты'!T656,-'Операционные затраты'!T684)</f>
        <v>0</v>
      </c>
      <c s="125">
        <f>SUM('Операционные затраты'!U656,-'Операционные затраты'!U684)</f>
        <v>0</v>
      </c>
      <c s="125">
        <f>SUM('Операционные затраты'!V656,-'Операционные затраты'!V684)</f>
        <v>0</v>
      </c>
      <c s="125">
        <f>SUM('Операционные затраты'!W656,-'Операционные затраты'!W684)</f>
        <v>0</v>
      </c>
      <c s="125">
        <f>SUM('Операционные затраты'!X656,-'Операционные затраты'!X684)</f>
        <v>0</v>
      </c>
      <c s="125">
        <f>SUM('Операционные затраты'!Y656,-'Операционные затраты'!Y684)</f>
        <v>0</v>
      </c>
      <c s="125">
        <f>SUM('Операционные затраты'!Z656,-'Операционные затраты'!Z684)</f>
        <v>0</v>
      </c>
      <c s="125">
        <f>SUM('Операционные затраты'!AA656,-'Операционные затраты'!AA684)</f>
        <v>0</v>
      </c>
      <c s="125">
        <f>SUM('Операционные затраты'!AB656,-'Операционные затраты'!AB684)</f>
        <v>0</v>
      </c>
      <c s="125">
        <f>SUM('Операционные затраты'!AC656,-'Операционные затраты'!AC684)</f>
        <v>0</v>
      </c>
      <c s="125">
        <f>SUM('Операционные затраты'!AD656,-'Операционные затраты'!AD684)</f>
        <v>0</v>
      </c>
      <c s="125">
        <f>SUM('Операционные затраты'!AE656,-'Операционные затраты'!AE684)</f>
        <v>0</v>
      </c>
      <c s="125">
        <f>SUM('Операционные затраты'!AF656,-'Операционные затраты'!AF684)</f>
        <v>0</v>
      </c>
      <c s="125">
        <f>SUM('Операционные затраты'!AG656,-'Операционные затраты'!AG684)</f>
        <v>0</v>
      </c>
      <c s="125">
        <f>SUM('Операционные затраты'!AH656,-'Операционные затраты'!AH684)</f>
        <v>0</v>
      </c>
      <c s="125">
        <f>SUM('Операционные затраты'!AI656,-'Операционные затраты'!AI684)</f>
        <v>0</v>
      </c>
      <c s="125">
        <f>SUM('Операционные затраты'!AJ656,-'Операционные затраты'!AJ684)</f>
        <v>0</v>
      </c>
      <c s="125">
        <f>SUM('Операционные затраты'!AK656,-'Операционные затраты'!AK684)</f>
        <v>0</v>
      </c>
      <c s="125">
        <f>SUM('Операционные затраты'!AL656,-'Операционные затраты'!AL684)</f>
        <v>0</v>
      </c>
      <c s="125">
        <f>SUM('Операционные затраты'!AM656,-'Операционные затраты'!AM684)</f>
        <v>0</v>
      </c>
      <c s="125">
        <f>SUM('Операционные затраты'!AN656,-'Операционные затраты'!AN684)</f>
        <v>0</v>
      </c>
      <c s="125">
        <f>SUM('Операционные затраты'!AO656,-'Операционные затраты'!AO684)</f>
        <v>0</v>
      </c>
      <c s="125">
        <f>SUM('Операционные затраты'!AP656,-'Операционные затраты'!AP684)</f>
        <v>0</v>
      </c>
      <c s="125">
        <f>SUM('Операционные затраты'!AQ656,-'Операционные затраты'!AQ684)</f>
        <v>0</v>
      </c>
      <c s="125">
        <f>SUM('Операционные затраты'!AR656,-'Операционные затраты'!AR684)</f>
        <v>0</v>
      </c>
      <c s="125">
        <f>SUM('Операционные затраты'!AS656,-'Операционные затраты'!AS684)</f>
        <v>0</v>
      </c>
      <c s="125">
        <f>SUM('Операционные затраты'!AT656,-'Операционные затраты'!AT684)</f>
        <v>0</v>
      </c>
      <c s="125">
        <f>SUM('Операционные затраты'!AU656,-'Операционные затраты'!AU684)</f>
        <v>0</v>
      </c>
      <c s="125">
        <f>SUM('Операционные затраты'!AV656,-'Операционные затраты'!AV684)</f>
        <v>0</v>
      </c>
      <c s="125">
        <f>SUM('Операционные затраты'!AW656,-'Операционные затраты'!AW684)</f>
        <v>0</v>
      </c>
      <c s="125">
        <f>SUM('Операционные затраты'!AX656,-'Операционные затраты'!AX684)</f>
        <v>0</v>
      </c>
      <c s="125">
        <f>SUM('Операционные затраты'!AY656,-'Операционные затраты'!AY684)</f>
        <v>0</v>
      </c>
      <c s="125">
        <f>SUM('Операционные затраты'!AZ656,-'Операционные затраты'!AZ684)</f>
        <v>0</v>
      </c>
      <c s="125">
        <f>SUM('Операционные затраты'!BA656,-'Операционные затраты'!BA684)</f>
        <v>0</v>
      </c>
      <c s="125">
        <f>SUM('Операционные затраты'!BB656,-'Операционные затраты'!BB684)</f>
        <v>0</v>
      </c>
      <c s="125">
        <f>SUM('Операционные затраты'!BC656,-'Операционные затраты'!BC684)</f>
        <v>0</v>
      </c>
      <c s="125">
        <f>SUM('Операционные затраты'!BD656,-'Операционные затраты'!BD684)</f>
        <v>0</v>
      </c>
      <c s="125">
        <f>SUM('Операционные затраты'!BE656,-'Операционные затраты'!BE684)</f>
        <v>0</v>
      </c>
      <c s="125">
        <f>SUM('Операционные затраты'!BF656,-'Операционные затраты'!BF684)</f>
        <v>0</v>
      </c>
      <c s="125">
        <f>SUM('Операционные затраты'!BG656,-'Операционные затраты'!BG684)</f>
        <v>0</v>
      </c>
      <c s="125">
        <f>SUM('Операционные затраты'!BH656,-'Операционные затраты'!BH684)</f>
        <v>0</v>
      </c>
      <c s="125">
        <f>SUM('Операционные затраты'!BI656,-'Операционные затраты'!BI684)</f>
        <v>0</v>
      </c>
      <c s="125">
        <f>SUM('Операционные затраты'!BJ656,-'Операционные затраты'!BJ684)</f>
        <v>0</v>
      </c>
      <c s="125">
        <f>SUM('Операционные затраты'!BK656,-'Операционные затраты'!BK684)</f>
        <v>0</v>
      </c>
      <c s="125">
        <f>SUM('Операционные затраты'!BL656,-'Операционные затраты'!BL684)</f>
        <v>0</v>
      </c>
      <c s="125">
        <f>SUM('Операционные затраты'!BM656,-'Операционные затраты'!BM684)</f>
        <v>0</v>
      </c>
    </row>
    <row r="377" spans="2:65" ht="15" customHeight="1">
      <c r="B377" s="12" t="str">
        <f t="shared" si="265"/>
        <v>-</v>
      </c>
      <c s="124" t="str">
        <f t="shared" si="264"/>
        <v>тыс. руб.</v>
      </c>
      <c s="125"/>
      <c s="125">
        <f>SUM('Операционные затраты'!E657,-'Операционные затраты'!E685)</f>
        <v>0</v>
      </c>
      <c s="125">
        <f>SUM('Операционные затраты'!F657,-'Операционные затраты'!F685)</f>
        <v>0</v>
      </c>
      <c s="125">
        <f>SUM('Операционные затраты'!G657,-'Операционные затраты'!G685)</f>
        <v>0</v>
      </c>
      <c s="125">
        <f>SUM('Операционные затраты'!H657,-'Операционные затраты'!H685)</f>
        <v>0</v>
      </c>
      <c s="125">
        <f>SUM('Операционные затраты'!I657,-'Операционные затраты'!I685)</f>
        <v>0</v>
      </c>
      <c s="125">
        <f>SUM('Операционные затраты'!J657,-'Операционные затраты'!J685)</f>
        <v>0</v>
      </c>
      <c s="125">
        <f>SUM('Операционные затраты'!K657,-'Операционные затраты'!K685)</f>
        <v>0</v>
      </c>
      <c s="125">
        <f>SUM('Операционные затраты'!L657,-'Операционные затраты'!L685)</f>
        <v>0</v>
      </c>
      <c s="125">
        <f>SUM('Операционные затраты'!M657,-'Операционные затраты'!M685)</f>
        <v>0</v>
      </c>
      <c s="125">
        <f>SUM('Операционные затраты'!N657,-'Операционные затраты'!N685)</f>
        <v>0</v>
      </c>
      <c s="125">
        <f>SUM('Операционные затраты'!O657,-'Операционные затраты'!O685)</f>
        <v>0</v>
      </c>
      <c s="125">
        <f>SUM('Операционные затраты'!P657,-'Операционные затраты'!P685)</f>
        <v>0</v>
      </c>
      <c s="125">
        <f>SUM('Операционные затраты'!Q657,-'Операционные затраты'!Q685)</f>
        <v>0</v>
      </c>
      <c s="125">
        <f>SUM('Операционные затраты'!R657,-'Операционные затраты'!R685)</f>
        <v>0</v>
      </c>
      <c s="125">
        <f>SUM('Операционные затраты'!S657,-'Операционные затраты'!S685)</f>
        <v>0</v>
      </c>
      <c s="125">
        <f>SUM('Операционные затраты'!T657,-'Операционные затраты'!T685)</f>
        <v>0</v>
      </c>
      <c s="125">
        <f>SUM('Операционные затраты'!U657,-'Операционные затраты'!U685)</f>
        <v>0</v>
      </c>
      <c s="125">
        <f>SUM('Операционные затраты'!V657,-'Операционные затраты'!V685)</f>
        <v>0</v>
      </c>
      <c s="125">
        <f>SUM('Операционные затраты'!W657,-'Операционные затраты'!W685)</f>
        <v>0</v>
      </c>
      <c s="125">
        <f>SUM('Операционные затраты'!X657,-'Операционные затраты'!X685)</f>
        <v>0</v>
      </c>
      <c s="125">
        <f>SUM('Операционные затраты'!Y657,-'Операционные затраты'!Y685)</f>
        <v>0</v>
      </c>
      <c s="125">
        <f>SUM('Операционные затраты'!Z657,-'Операционные затраты'!Z685)</f>
        <v>0</v>
      </c>
      <c s="125">
        <f>SUM('Операционные затраты'!AA657,-'Операционные затраты'!AA685)</f>
        <v>0</v>
      </c>
      <c s="125">
        <f>SUM('Операционные затраты'!AB657,-'Операционные затраты'!AB685)</f>
        <v>0</v>
      </c>
      <c s="125">
        <f>SUM('Операционные затраты'!AC657,-'Операционные затраты'!AC685)</f>
        <v>0</v>
      </c>
      <c s="125">
        <f>SUM('Операционные затраты'!AD657,-'Операционные затраты'!AD685)</f>
        <v>0</v>
      </c>
      <c s="125">
        <f>SUM('Операционные затраты'!AE657,-'Операционные затраты'!AE685)</f>
        <v>0</v>
      </c>
      <c s="125">
        <f>SUM('Операционные затраты'!AF657,-'Операционные затраты'!AF685)</f>
        <v>0</v>
      </c>
      <c s="125">
        <f>SUM('Операционные затраты'!AG657,-'Операционные затраты'!AG685)</f>
        <v>0</v>
      </c>
      <c s="125">
        <f>SUM('Операционные затраты'!AH657,-'Операционные затраты'!AH685)</f>
        <v>0</v>
      </c>
      <c s="125">
        <f>SUM('Операционные затраты'!AI657,-'Операционные затраты'!AI685)</f>
        <v>0</v>
      </c>
      <c s="125">
        <f>SUM('Операционные затраты'!AJ657,-'Операционные затраты'!AJ685)</f>
        <v>0</v>
      </c>
      <c s="125">
        <f>SUM('Операционные затраты'!AK657,-'Операционные затраты'!AK685)</f>
        <v>0</v>
      </c>
      <c s="125">
        <f>SUM('Операционные затраты'!AL657,-'Операционные затраты'!AL685)</f>
        <v>0</v>
      </c>
      <c s="125">
        <f>SUM('Операционные затраты'!AM657,-'Операционные затраты'!AM685)</f>
        <v>0</v>
      </c>
      <c s="125">
        <f>SUM('Операционные затраты'!AN657,-'Операционные затраты'!AN685)</f>
        <v>0</v>
      </c>
      <c s="125">
        <f>SUM('Операционные затраты'!AO657,-'Операционные затраты'!AO685)</f>
        <v>0</v>
      </c>
      <c s="125">
        <f>SUM('Операционные затраты'!AP657,-'Операционные затраты'!AP685)</f>
        <v>0</v>
      </c>
      <c s="125">
        <f>SUM('Операционные затраты'!AQ657,-'Операционные затраты'!AQ685)</f>
        <v>0</v>
      </c>
      <c s="125">
        <f>SUM('Операционные затраты'!AR657,-'Операционные затраты'!AR685)</f>
        <v>0</v>
      </c>
      <c s="125">
        <f>SUM('Операционные затраты'!AS657,-'Операционные затраты'!AS685)</f>
        <v>0</v>
      </c>
      <c s="125">
        <f>SUM('Операционные затраты'!AT657,-'Операционные затраты'!AT685)</f>
        <v>0</v>
      </c>
      <c s="125">
        <f>SUM('Операционные затраты'!AU657,-'Операционные затраты'!AU685)</f>
        <v>0</v>
      </c>
      <c s="125">
        <f>SUM('Операционные затраты'!AV657,-'Операционные затраты'!AV685)</f>
        <v>0</v>
      </c>
      <c s="125">
        <f>SUM('Операционные затраты'!AW657,-'Операционные затраты'!AW685)</f>
        <v>0</v>
      </c>
      <c s="125">
        <f>SUM('Операционные затраты'!AX657,-'Операционные затраты'!AX685)</f>
        <v>0</v>
      </c>
      <c s="125">
        <f>SUM('Операционные затраты'!AY657,-'Операционные затраты'!AY685)</f>
        <v>0</v>
      </c>
      <c s="125">
        <f>SUM('Операционные затраты'!AZ657,-'Операционные затраты'!AZ685)</f>
        <v>0</v>
      </c>
      <c s="125">
        <f>SUM('Операционные затраты'!BA657,-'Операционные затраты'!BA685)</f>
        <v>0</v>
      </c>
      <c s="125">
        <f>SUM('Операционные затраты'!BB657,-'Операционные затраты'!BB685)</f>
        <v>0</v>
      </c>
      <c s="125">
        <f>SUM('Операционные затраты'!BC657,-'Операционные затраты'!BC685)</f>
        <v>0</v>
      </c>
      <c s="125">
        <f>SUM('Операционные затраты'!BD657,-'Операционные затраты'!BD685)</f>
        <v>0</v>
      </c>
      <c s="125">
        <f>SUM('Операционные затраты'!BE657,-'Операционные затраты'!BE685)</f>
        <v>0</v>
      </c>
      <c s="125">
        <f>SUM('Операционные затраты'!BF657,-'Операционные затраты'!BF685)</f>
        <v>0</v>
      </c>
      <c s="125">
        <f>SUM('Операционные затраты'!BG657,-'Операционные затраты'!BG685)</f>
        <v>0</v>
      </c>
      <c s="125">
        <f>SUM('Операционные затраты'!BH657,-'Операционные затраты'!BH685)</f>
        <v>0</v>
      </c>
      <c s="125">
        <f>SUM('Операционные затраты'!BI657,-'Операционные затраты'!BI685)</f>
        <v>0</v>
      </c>
      <c s="125">
        <f>SUM('Операционные затраты'!BJ657,-'Операционные затраты'!BJ685)</f>
        <v>0</v>
      </c>
      <c s="125">
        <f>SUM('Операционные затраты'!BK657,-'Операционные затраты'!BK685)</f>
        <v>0</v>
      </c>
      <c s="125">
        <f>SUM('Операционные затраты'!BL657,-'Операционные затраты'!BL685)</f>
        <v>0</v>
      </c>
      <c s="125">
        <f>SUM('Операционные затраты'!BM657,-'Операционные затраты'!BM685)</f>
        <v>0</v>
      </c>
    </row>
    <row r="378" spans="2:65" ht="15" customHeight="1">
      <c r="B378" s="12" t="str">
        <f t="shared" si="265"/>
        <v>-</v>
      </c>
      <c s="124" t="str">
        <f t="shared" si="264"/>
        <v>тыс. руб.</v>
      </c>
      <c s="125"/>
      <c s="125">
        <f>SUM('Операционные затраты'!E658,-'Операционные затраты'!E686)</f>
        <v>0</v>
      </c>
      <c s="125">
        <f>SUM('Операционные затраты'!F658,-'Операционные затраты'!F686)</f>
        <v>0</v>
      </c>
      <c s="125">
        <f>SUM('Операционные затраты'!G658,-'Операционные затраты'!G686)</f>
        <v>0</v>
      </c>
      <c s="125">
        <f>SUM('Операционные затраты'!H658,-'Операционные затраты'!H686)</f>
        <v>0</v>
      </c>
      <c s="125">
        <f>SUM('Операционные затраты'!I658,-'Операционные затраты'!I686)</f>
        <v>0</v>
      </c>
      <c s="125">
        <f>SUM('Операционные затраты'!J658,-'Операционные затраты'!J686)</f>
        <v>0</v>
      </c>
      <c s="125">
        <f>SUM('Операционные затраты'!K658,-'Операционные затраты'!K686)</f>
        <v>0</v>
      </c>
      <c s="125">
        <f>SUM('Операционные затраты'!L658,-'Операционные затраты'!L686)</f>
        <v>0</v>
      </c>
      <c s="125">
        <f>SUM('Операционные затраты'!M658,-'Операционные затраты'!M686)</f>
        <v>0</v>
      </c>
      <c s="125">
        <f>SUM('Операционные затраты'!N658,-'Операционные затраты'!N686)</f>
        <v>0</v>
      </c>
      <c s="125">
        <f>SUM('Операционные затраты'!O658,-'Операционные затраты'!O686)</f>
        <v>0</v>
      </c>
      <c s="125">
        <f>SUM('Операционные затраты'!P658,-'Операционные затраты'!P686)</f>
        <v>0</v>
      </c>
      <c s="125">
        <f>SUM('Операционные затраты'!Q658,-'Операционные затраты'!Q686)</f>
        <v>0</v>
      </c>
      <c s="125">
        <f>SUM('Операционные затраты'!R658,-'Операционные затраты'!R686)</f>
        <v>0</v>
      </c>
      <c s="125">
        <f>SUM('Операционные затраты'!S658,-'Операционные затраты'!S686)</f>
        <v>0</v>
      </c>
      <c s="125">
        <f>SUM('Операционные затраты'!T658,-'Операционные затраты'!T686)</f>
        <v>0</v>
      </c>
      <c s="125">
        <f>SUM('Операционные затраты'!U658,-'Операционные затраты'!U686)</f>
        <v>0</v>
      </c>
      <c s="125">
        <f>SUM('Операционные затраты'!V658,-'Операционные затраты'!V686)</f>
        <v>0</v>
      </c>
      <c s="125">
        <f>SUM('Операционные затраты'!W658,-'Операционные затраты'!W686)</f>
        <v>0</v>
      </c>
      <c s="125">
        <f>SUM('Операционные затраты'!X658,-'Операционные затраты'!X686)</f>
        <v>0</v>
      </c>
      <c s="125">
        <f>SUM('Операционные затраты'!Y658,-'Операционные затраты'!Y686)</f>
        <v>0</v>
      </c>
      <c s="125">
        <f>SUM('Операционные затраты'!Z658,-'Операционные затраты'!Z686)</f>
        <v>0</v>
      </c>
      <c s="125">
        <f>SUM('Операционные затраты'!AA658,-'Операционные затраты'!AA686)</f>
        <v>0</v>
      </c>
      <c s="125">
        <f>SUM('Операционные затраты'!AB658,-'Операционные затраты'!AB686)</f>
        <v>0</v>
      </c>
      <c s="125">
        <f>SUM('Операционные затраты'!AC658,-'Операционные затраты'!AC686)</f>
        <v>0</v>
      </c>
      <c s="125">
        <f>SUM('Операционные затраты'!AD658,-'Операционные затраты'!AD686)</f>
        <v>0</v>
      </c>
      <c s="125">
        <f>SUM('Операционные затраты'!AE658,-'Операционные затраты'!AE686)</f>
        <v>0</v>
      </c>
      <c s="125">
        <f>SUM('Операционные затраты'!AF658,-'Операционные затраты'!AF686)</f>
        <v>0</v>
      </c>
      <c s="125">
        <f>SUM('Операционные затраты'!AG658,-'Операционные затраты'!AG686)</f>
        <v>0</v>
      </c>
      <c s="125">
        <f>SUM('Операционные затраты'!AH658,-'Операционные затраты'!AH686)</f>
        <v>0</v>
      </c>
      <c s="125">
        <f>SUM('Операционные затраты'!AI658,-'Операционные затраты'!AI686)</f>
        <v>0</v>
      </c>
      <c s="125">
        <f>SUM('Операционные затраты'!AJ658,-'Операционные затраты'!AJ686)</f>
        <v>0</v>
      </c>
      <c s="125">
        <f>SUM('Операционные затраты'!AK658,-'Операционные затраты'!AK686)</f>
        <v>0</v>
      </c>
      <c s="125">
        <f>SUM('Операционные затраты'!AL658,-'Операционные затраты'!AL686)</f>
        <v>0</v>
      </c>
      <c s="125">
        <f>SUM('Операционные затраты'!AM658,-'Операционные затраты'!AM686)</f>
        <v>0</v>
      </c>
      <c s="125">
        <f>SUM('Операционные затраты'!AN658,-'Операционные затраты'!AN686)</f>
        <v>0</v>
      </c>
      <c s="125">
        <f>SUM('Операционные затраты'!AO658,-'Операционные затраты'!AO686)</f>
        <v>0</v>
      </c>
      <c s="125">
        <f>SUM('Операционные затраты'!AP658,-'Операционные затраты'!AP686)</f>
        <v>0</v>
      </c>
      <c s="125">
        <f>SUM('Операционные затраты'!AQ658,-'Операционные затраты'!AQ686)</f>
        <v>0</v>
      </c>
      <c s="125">
        <f>SUM('Операционные затраты'!AR658,-'Операционные затраты'!AR686)</f>
        <v>0</v>
      </c>
      <c s="125">
        <f>SUM('Операционные затраты'!AS658,-'Операционные затраты'!AS686)</f>
        <v>0</v>
      </c>
      <c s="125">
        <f>SUM('Операционные затраты'!AT658,-'Операционные затраты'!AT686)</f>
        <v>0</v>
      </c>
      <c s="125">
        <f>SUM('Операционные затраты'!AU658,-'Операционные затраты'!AU686)</f>
        <v>0</v>
      </c>
      <c s="125">
        <f>SUM('Операционные затраты'!AV658,-'Операционные затраты'!AV686)</f>
        <v>0</v>
      </c>
      <c s="125">
        <f>SUM('Операционные затраты'!AW658,-'Операционные затраты'!AW686)</f>
        <v>0</v>
      </c>
      <c s="125">
        <f>SUM('Операционные затраты'!AX658,-'Операционные затраты'!AX686)</f>
        <v>0</v>
      </c>
      <c s="125">
        <f>SUM('Операционные затраты'!AY658,-'Операционные затраты'!AY686)</f>
        <v>0</v>
      </c>
      <c s="125">
        <f>SUM('Операционные затраты'!AZ658,-'Операционные затраты'!AZ686)</f>
        <v>0</v>
      </c>
      <c s="125">
        <f>SUM('Операционные затраты'!BA658,-'Операционные затраты'!BA686)</f>
        <v>0</v>
      </c>
      <c s="125">
        <f>SUM('Операционные затраты'!BB658,-'Операционные затраты'!BB686)</f>
        <v>0</v>
      </c>
      <c s="125">
        <f>SUM('Операционные затраты'!BC658,-'Операционные затраты'!BC686)</f>
        <v>0</v>
      </c>
      <c s="125">
        <f>SUM('Операционные затраты'!BD658,-'Операционные затраты'!BD686)</f>
        <v>0</v>
      </c>
      <c s="125">
        <f>SUM('Операционные затраты'!BE658,-'Операционные затраты'!BE686)</f>
        <v>0</v>
      </c>
      <c s="125">
        <f>SUM('Операционные затраты'!BF658,-'Операционные затраты'!BF686)</f>
        <v>0</v>
      </c>
      <c s="125">
        <f>SUM('Операционные затраты'!BG658,-'Операционные затраты'!BG686)</f>
        <v>0</v>
      </c>
      <c s="125">
        <f>SUM('Операционные затраты'!BH658,-'Операционные затраты'!BH686)</f>
        <v>0</v>
      </c>
      <c s="125">
        <f>SUM('Операционные затраты'!BI658,-'Операционные затраты'!BI686)</f>
        <v>0</v>
      </c>
      <c s="125">
        <f>SUM('Операционные затраты'!BJ658,-'Операционные затраты'!BJ686)</f>
        <v>0</v>
      </c>
      <c s="125">
        <f>SUM('Операционные затраты'!BK658,-'Операционные затраты'!BK686)</f>
        <v>0</v>
      </c>
      <c s="125">
        <f>SUM('Операционные затраты'!BL658,-'Операционные затраты'!BL686)</f>
        <v>0</v>
      </c>
      <c s="125">
        <f>SUM('Операционные затраты'!BM658,-'Операционные затраты'!BM686)</f>
        <v>0</v>
      </c>
    </row>
    <row r="379" spans="2:65" ht="15" customHeight="1">
      <c r="B379" s="12" t="str">
        <f t="shared" si="265"/>
        <v>-</v>
      </c>
      <c s="124" t="str">
        <f t="shared" si="264"/>
        <v>тыс. руб.</v>
      </c>
      <c s="125"/>
      <c s="125">
        <f>SUM('Операционные затраты'!E659,-'Операционные затраты'!E687)</f>
        <v>0</v>
      </c>
      <c s="125">
        <f>SUM('Операционные затраты'!F659,-'Операционные затраты'!F687)</f>
        <v>0</v>
      </c>
      <c s="125">
        <f>SUM('Операционные затраты'!G659,-'Операционные затраты'!G687)</f>
        <v>0</v>
      </c>
      <c s="125">
        <f>SUM('Операционные затраты'!H659,-'Операционные затраты'!H687)</f>
        <v>0</v>
      </c>
      <c s="125">
        <f>SUM('Операционные затраты'!I659,-'Операционные затраты'!I687)</f>
        <v>0</v>
      </c>
      <c s="125">
        <f>SUM('Операционные затраты'!J659,-'Операционные затраты'!J687)</f>
        <v>0</v>
      </c>
      <c s="125">
        <f>SUM('Операционные затраты'!K659,-'Операционные затраты'!K687)</f>
        <v>0</v>
      </c>
      <c s="125">
        <f>SUM('Операционные затраты'!L659,-'Операционные затраты'!L687)</f>
        <v>0</v>
      </c>
      <c s="125">
        <f>SUM('Операционные затраты'!M659,-'Операционные затраты'!M687)</f>
        <v>0</v>
      </c>
      <c s="125">
        <f>SUM('Операционные затраты'!N659,-'Операционные затраты'!N687)</f>
        <v>0</v>
      </c>
      <c s="125">
        <f>SUM('Операционные затраты'!O659,-'Операционные затраты'!O687)</f>
        <v>0</v>
      </c>
      <c s="125">
        <f>SUM('Операционные затраты'!P659,-'Операционные затраты'!P687)</f>
        <v>0</v>
      </c>
      <c s="125">
        <f>SUM('Операционные затраты'!Q659,-'Операционные затраты'!Q687)</f>
        <v>0</v>
      </c>
      <c s="125">
        <f>SUM('Операционные затраты'!R659,-'Операционные затраты'!R687)</f>
        <v>0</v>
      </c>
      <c s="125">
        <f>SUM('Операционные затраты'!S659,-'Операционные затраты'!S687)</f>
        <v>0</v>
      </c>
      <c s="125">
        <f>SUM('Операционные затраты'!T659,-'Операционные затраты'!T687)</f>
        <v>0</v>
      </c>
      <c s="125">
        <f>SUM('Операционные затраты'!U659,-'Операционные затраты'!U687)</f>
        <v>0</v>
      </c>
      <c s="125">
        <f>SUM('Операционные затраты'!V659,-'Операционные затраты'!V687)</f>
        <v>0</v>
      </c>
      <c s="125">
        <f>SUM('Операционные затраты'!W659,-'Операционные затраты'!W687)</f>
        <v>0</v>
      </c>
      <c s="125">
        <f>SUM('Операционные затраты'!X659,-'Операционные затраты'!X687)</f>
        <v>0</v>
      </c>
      <c s="125">
        <f>SUM('Операционные затраты'!Y659,-'Операционные затраты'!Y687)</f>
        <v>0</v>
      </c>
      <c s="125">
        <f>SUM('Операционные затраты'!Z659,-'Операционные затраты'!Z687)</f>
        <v>0</v>
      </c>
      <c s="125">
        <f>SUM('Операционные затраты'!AA659,-'Операционные затраты'!AA687)</f>
        <v>0</v>
      </c>
      <c s="125">
        <f>SUM('Операционные затраты'!AB659,-'Операционные затраты'!AB687)</f>
        <v>0</v>
      </c>
      <c s="125">
        <f>SUM('Операционные затраты'!AC659,-'Операционные затраты'!AC687)</f>
        <v>0</v>
      </c>
      <c s="125">
        <f>SUM('Операционные затраты'!AD659,-'Операционные затраты'!AD687)</f>
        <v>0</v>
      </c>
      <c s="125">
        <f>SUM('Операционные затраты'!AE659,-'Операционные затраты'!AE687)</f>
        <v>0</v>
      </c>
      <c s="125">
        <f>SUM('Операционные затраты'!AF659,-'Операционные затраты'!AF687)</f>
        <v>0</v>
      </c>
      <c s="125">
        <f>SUM('Операционные затраты'!AG659,-'Операционные затраты'!AG687)</f>
        <v>0</v>
      </c>
      <c s="125">
        <f>SUM('Операционные затраты'!AH659,-'Операционные затраты'!AH687)</f>
        <v>0</v>
      </c>
      <c s="125">
        <f>SUM('Операционные затраты'!AI659,-'Операционные затраты'!AI687)</f>
        <v>0</v>
      </c>
      <c s="125">
        <f>SUM('Операционные затраты'!AJ659,-'Операционные затраты'!AJ687)</f>
        <v>0</v>
      </c>
      <c s="125">
        <f>SUM('Операционные затраты'!AK659,-'Операционные затраты'!AK687)</f>
        <v>0</v>
      </c>
      <c s="125">
        <f>SUM('Операционные затраты'!AL659,-'Операционные затраты'!AL687)</f>
        <v>0</v>
      </c>
      <c s="125">
        <f>SUM('Операционные затраты'!AM659,-'Операционные затраты'!AM687)</f>
        <v>0</v>
      </c>
      <c s="125">
        <f>SUM('Операционные затраты'!AN659,-'Операционные затраты'!AN687)</f>
        <v>0</v>
      </c>
      <c s="125">
        <f>SUM('Операционные затраты'!AO659,-'Операционные затраты'!AO687)</f>
        <v>0</v>
      </c>
      <c s="125">
        <f>SUM('Операционные затраты'!AP659,-'Операционные затраты'!AP687)</f>
        <v>0</v>
      </c>
      <c s="125">
        <f>SUM('Операционные затраты'!AQ659,-'Операционные затраты'!AQ687)</f>
        <v>0</v>
      </c>
      <c s="125">
        <f>SUM('Операционные затраты'!AR659,-'Операционные затраты'!AR687)</f>
        <v>0</v>
      </c>
      <c s="125">
        <f>SUM('Операционные затраты'!AS659,-'Операционные затраты'!AS687)</f>
        <v>0</v>
      </c>
      <c s="125">
        <f>SUM('Операционные затраты'!AT659,-'Операционные затраты'!AT687)</f>
        <v>0</v>
      </c>
      <c s="125">
        <f>SUM('Операционные затраты'!AU659,-'Операционные затраты'!AU687)</f>
        <v>0</v>
      </c>
      <c s="125">
        <f>SUM('Операционные затраты'!AV659,-'Операционные затраты'!AV687)</f>
        <v>0</v>
      </c>
      <c s="125">
        <f>SUM('Операционные затраты'!AW659,-'Операционные затраты'!AW687)</f>
        <v>0</v>
      </c>
      <c s="125">
        <f>SUM('Операционные затраты'!AX659,-'Операционные затраты'!AX687)</f>
        <v>0</v>
      </c>
      <c s="125">
        <f>SUM('Операционные затраты'!AY659,-'Операционные затраты'!AY687)</f>
        <v>0</v>
      </c>
      <c s="125">
        <f>SUM('Операционные затраты'!AZ659,-'Операционные затраты'!AZ687)</f>
        <v>0</v>
      </c>
      <c s="125">
        <f>SUM('Операционные затраты'!BA659,-'Операционные затраты'!BA687)</f>
        <v>0</v>
      </c>
      <c s="125">
        <f>SUM('Операционные затраты'!BB659,-'Операционные затраты'!BB687)</f>
        <v>0</v>
      </c>
      <c s="125">
        <f>SUM('Операционные затраты'!BC659,-'Операционные затраты'!BC687)</f>
        <v>0</v>
      </c>
      <c s="125">
        <f>SUM('Операционные затраты'!BD659,-'Операционные затраты'!BD687)</f>
        <v>0</v>
      </c>
      <c s="125">
        <f>SUM('Операционные затраты'!BE659,-'Операционные затраты'!BE687)</f>
        <v>0</v>
      </c>
      <c s="125">
        <f>SUM('Операционные затраты'!BF659,-'Операционные затраты'!BF687)</f>
        <v>0</v>
      </c>
      <c s="125">
        <f>SUM('Операционные затраты'!BG659,-'Операционные затраты'!BG687)</f>
        <v>0</v>
      </c>
      <c s="125">
        <f>SUM('Операционные затраты'!BH659,-'Операционные затраты'!BH687)</f>
        <v>0</v>
      </c>
      <c s="125">
        <f>SUM('Операционные затраты'!BI659,-'Операционные затраты'!BI687)</f>
        <v>0</v>
      </c>
      <c s="125">
        <f>SUM('Операционные затраты'!BJ659,-'Операционные затраты'!BJ687)</f>
        <v>0</v>
      </c>
      <c s="125">
        <f>SUM('Операционные затраты'!BK659,-'Операционные затраты'!BK687)</f>
        <v>0</v>
      </c>
      <c s="125">
        <f>SUM('Операционные затраты'!BL659,-'Операционные затраты'!BL687)</f>
        <v>0</v>
      </c>
      <c s="125">
        <f>SUM('Операционные затраты'!BM659,-'Операционные затраты'!BM687)</f>
        <v>0</v>
      </c>
    </row>
    <row r="380" spans="2:65" ht="15" customHeight="1">
      <c r="B380" s="289" t="s">
        <v>454</v>
      </c>
      <c s="290" t="str">
        <f t="shared" si="264"/>
        <v>тыс. руб.</v>
      </c>
      <c s="276"/>
      <c s="276">
        <f>SUM(E355:E379)</f>
        <v>0</v>
      </c>
      <c s="276">
        <f ca="1" t="shared" si="266" ref="F380:AG380">SUM(F355:F379)</f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t="shared" ca="1" si="266"/>
        <v>0</v>
      </c>
      <c s="276">
        <f ca="1" t="shared" si="267" ref="AH380:BM380">SUM(AH355:AH379)</f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  <c s="276">
        <f t="shared" ca="1" si="267"/>
        <v>0</v>
      </c>
    </row>
    <row r="381" ht="15" customHeight="1"/>
    <row r="382" spans="2:2" ht="15" customHeight="1">
      <c r="B382" s="24" t="s">
        <v>905</v>
      </c>
    </row>
    <row r="383" spans="2:65" ht="15" customHeight="1">
      <c r="B383" s="12" t="str">
        <f>B355</f>
        <v>Комиссионное вознаграждение за банк. гарантию</v>
      </c>
      <c s="124" t="str">
        <f t="shared" si="268" ref="C383:C408">Единица_измерения</f>
        <v>тыс. руб.</v>
      </c>
      <c s="125"/>
      <c s="125">
        <f ca="1" t="shared" si="269" ref="E383">SUM(E411,-E327,-E355)</f>
        <v>0</v>
      </c>
      <c s="125">
        <f ca="1" t="shared" si="270" ref="F383:BM383">SUM(F411,-F327,-F355)</f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  <c s="125">
        <f t="shared" ca="1" si="270"/>
        <v>0</v>
      </c>
    </row>
    <row r="384" spans="2:65" ht="15" customHeight="1">
      <c r="B384" s="12" t="str">
        <f t="shared" si="271" ref="B384:B407">B356</f>
        <v>-</v>
      </c>
      <c s="124" t="str">
        <f t="shared" si="268"/>
        <v>тыс. руб.</v>
      </c>
      <c s="125"/>
      <c s="125">
        <f t="shared" si="272" ref="E384">SUM(E412,-E328,-E356)</f>
        <v>0</v>
      </c>
      <c s="125">
        <f t="shared" si="273" ref="F384:BM384">SUM(F412,-F328,-F356)</f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  <c s="125">
        <f t="shared" si="273"/>
        <v>0</v>
      </c>
    </row>
    <row r="385" spans="2:65" ht="15" customHeight="1">
      <c r="B385" s="12" t="str">
        <f t="shared" si="271"/>
        <v>-</v>
      </c>
      <c s="124" t="str">
        <f t="shared" si="268"/>
        <v>тыс. руб.</v>
      </c>
      <c s="125"/>
      <c s="125">
        <f t="shared" si="274" ref="E385">SUM(E413,-E329,-E357)</f>
        <v>0</v>
      </c>
      <c s="125">
        <f t="shared" si="275" ref="F385:BM385">SUM(F413,-F329,-F357)</f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  <c s="125">
        <f t="shared" si="275"/>
        <v>0</v>
      </c>
    </row>
    <row r="386" spans="2:65" ht="15" customHeight="1">
      <c r="B386" s="12" t="str">
        <f t="shared" si="271"/>
        <v>-</v>
      </c>
      <c s="124" t="str">
        <f t="shared" si="268"/>
        <v>тыс. руб.</v>
      </c>
      <c s="125"/>
      <c s="125">
        <f t="shared" si="276" ref="E386">SUM(E414,-E330,-E358)</f>
        <v>0</v>
      </c>
      <c s="125">
        <f t="shared" si="277" ref="F386:BM386">SUM(F414,-F330,-F358)</f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  <c s="125">
        <f t="shared" si="277"/>
        <v>0</v>
      </c>
    </row>
    <row r="387" spans="2:65" ht="15" customHeight="1">
      <c r="B387" s="12" t="str">
        <f t="shared" si="271"/>
        <v>-</v>
      </c>
      <c s="124" t="str">
        <f t="shared" si="268"/>
        <v>тыс. руб.</v>
      </c>
      <c s="125"/>
      <c s="125">
        <f t="shared" si="278" ref="E387">SUM(E415,-E331,-E359)</f>
        <v>0</v>
      </c>
      <c s="125">
        <f t="shared" si="279" ref="F387:BM387">SUM(F415,-F331,-F359)</f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  <c s="125">
        <f t="shared" si="279"/>
        <v>0</v>
      </c>
    </row>
    <row r="388" spans="2:65" ht="15" customHeight="1">
      <c r="B388" s="12" t="str">
        <f t="shared" si="271"/>
        <v>-</v>
      </c>
      <c s="124" t="str">
        <f t="shared" si="268"/>
        <v>тыс. руб.</v>
      </c>
      <c s="125"/>
      <c s="125">
        <f t="shared" si="280" ref="E388">SUM(E416,-E332,-E360)</f>
        <v>0</v>
      </c>
      <c s="125">
        <f t="shared" si="281" ref="F388:BM388">SUM(F416,-F332,-F360)</f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  <c s="125">
        <f t="shared" si="281"/>
        <v>0</v>
      </c>
    </row>
    <row r="389" spans="2:65" ht="15" customHeight="1">
      <c r="B389" s="12" t="str">
        <f t="shared" si="271"/>
        <v>-</v>
      </c>
      <c s="124" t="str">
        <f t="shared" si="268"/>
        <v>тыс. руб.</v>
      </c>
      <c s="125"/>
      <c s="125">
        <f t="shared" si="282" ref="E389">SUM(E417,-E333,-E361)</f>
        <v>0</v>
      </c>
      <c s="125">
        <f t="shared" si="283" ref="F389:BM389">SUM(F417,-F333,-F361)</f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  <c s="125">
        <f t="shared" si="283"/>
        <v>0</v>
      </c>
    </row>
    <row r="390" spans="2:65" ht="15" customHeight="1">
      <c r="B390" s="12" t="str">
        <f t="shared" si="271"/>
        <v>-</v>
      </c>
      <c s="124" t="str">
        <f t="shared" si="268"/>
        <v>тыс. руб.</v>
      </c>
      <c s="125"/>
      <c s="125">
        <f t="shared" si="284" ref="E390">SUM(E418,-E334,-E362)</f>
        <v>0</v>
      </c>
      <c s="125">
        <f t="shared" si="285" ref="F390:BM390">SUM(F418,-F334,-F362)</f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  <c s="125">
        <f t="shared" si="285"/>
        <v>0</v>
      </c>
    </row>
    <row r="391" spans="2:65" ht="15" customHeight="1">
      <c r="B391" s="12" t="str">
        <f t="shared" si="271"/>
        <v>-</v>
      </c>
      <c s="124" t="str">
        <f t="shared" si="268"/>
        <v>тыс. руб.</v>
      </c>
      <c s="125"/>
      <c s="125">
        <f t="shared" si="286" ref="E391">SUM(E419,-E335,-E363)</f>
        <v>0</v>
      </c>
      <c s="125">
        <f t="shared" si="287" ref="F391:BM391">SUM(F419,-F335,-F363)</f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</row>
    <row r="392" spans="2:65" ht="15" customHeight="1">
      <c r="B392" s="12" t="str">
        <f t="shared" si="271"/>
        <v>-</v>
      </c>
      <c s="124" t="str">
        <f t="shared" si="268"/>
        <v>тыс. руб.</v>
      </c>
      <c s="125"/>
      <c s="125">
        <f t="shared" si="288" ref="E392">SUM(E420,-E336,-E364)</f>
        <v>0</v>
      </c>
      <c s="125">
        <f t="shared" si="289" ref="F392:BM392">SUM(F420,-F336,-F364)</f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  <c s="125">
        <f t="shared" si="289"/>
        <v>0</v>
      </c>
    </row>
    <row r="393" spans="2:65" ht="15" customHeight="1">
      <c r="B393" s="12" t="str">
        <f t="shared" si="271"/>
        <v>-</v>
      </c>
      <c s="124" t="str">
        <f t="shared" si="268"/>
        <v>тыс. руб.</v>
      </c>
      <c s="125"/>
      <c s="125">
        <f t="shared" si="290" ref="E393">SUM(E421,-E337,-E365)</f>
        <v>0</v>
      </c>
      <c s="125">
        <f t="shared" si="291" ref="F393:BM393">SUM(F421,-F337,-F365)</f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</row>
    <row r="394" spans="2:65" ht="15" customHeight="1">
      <c r="B394" s="12" t="str">
        <f t="shared" si="271"/>
        <v>-</v>
      </c>
      <c s="124" t="str">
        <f t="shared" si="268"/>
        <v>тыс. руб.</v>
      </c>
      <c s="125"/>
      <c s="125">
        <f t="shared" si="292" ref="E394">SUM(E422,-E338,-E366)</f>
        <v>0</v>
      </c>
      <c s="125">
        <f t="shared" si="293" ref="F394:BM394">SUM(F422,-F338,-F366)</f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  <c s="125">
        <f t="shared" si="293"/>
        <v>0</v>
      </c>
    </row>
    <row r="395" spans="2:65" ht="15" customHeight="1">
      <c r="B395" s="12" t="str">
        <f t="shared" si="271"/>
        <v>-</v>
      </c>
      <c s="124" t="str">
        <f t="shared" si="268"/>
        <v>тыс. руб.</v>
      </c>
      <c s="125"/>
      <c s="125">
        <f t="shared" si="294" ref="E395">SUM(E423,-E339,-E367)</f>
        <v>0</v>
      </c>
      <c s="125">
        <f t="shared" si="295" ref="F395:BM395">SUM(F423,-F339,-F367)</f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  <c s="125">
        <f t="shared" si="295"/>
        <v>0</v>
      </c>
    </row>
    <row r="396" spans="2:65" ht="15" customHeight="1">
      <c r="B396" s="12" t="str">
        <f t="shared" si="271"/>
        <v>-</v>
      </c>
      <c s="124" t="str">
        <f t="shared" si="268"/>
        <v>тыс. руб.</v>
      </c>
      <c s="125"/>
      <c s="125">
        <f t="shared" si="296" ref="E396">SUM(E424,-E340,-E368)</f>
        <v>0</v>
      </c>
      <c s="125">
        <f t="shared" si="297" ref="F396:BM396">SUM(F424,-F340,-F368)</f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</row>
    <row r="397" spans="2:65" ht="15" customHeight="1">
      <c r="B397" s="12" t="str">
        <f t="shared" si="271"/>
        <v>-</v>
      </c>
      <c s="124" t="str">
        <f t="shared" si="268"/>
        <v>тыс. руб.</v>
      </c>
      <c s="125"/>
      <c s="125">
        <f t="shared" si="298" ref="E397">SUM(E425,-E341,-E369)</f>
        <v>0</v>
      </c>
      <c s="125">
        <f t="shared" si="299" ref="F397:BM397">SUM(F425,-F341,-F369)</f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  <c s="125">
        <f t="shared" si="299"/>
        <v>0</v>
      </c>
    </row>
    <row r="398" spans="2:65" ht="15" customHeight="1">
      <c r="B398" s="12" t="str">
        <f t="shared" si="271"/>
        <v>-</v>
      </c>
      <c s="124" t="str">
        <f t="shared" si="268"/>
        <v>тыс. руб.</v>
      </c>
      <c s="125"/>
      <c s="125">
        <f t="shared" si="300" ref="E398">SUM(E426,-E342,-E370)</f>
        <v>0</v>
      </c>
      <c s="125">
        <f t="shared" si="301" ref="F398:BM398">SUM(F426,-F342,-F370)</f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  <c s="125">
        <f t="shared" si="301"/>
        <v>0</v>
      </c>
    </row>
    <row r="399" spans="2:65" ht="15" customHeight="1">
      <c r="B399" s="12" t="str">
        <f t="shared" si="271"/>
        <v>-</v>
      </c>
      <c s="124" t="str">
        <f t="shared" si="268"/>
        <v>тыс. руб.</v>
      </c>
      <c s="125"/>
      <c s="125">
        <f t="shared" si="302" ref="E399">SUM(E427,-E343,-E371)</f>
        <v>0</v>
      </c>
      <c s="125">
        <f t="shared" si="303" ref="F399:BM399">SUM(F427,-F343,-F371)</f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</row>
    <row r="400" spans="2:65" ht="15" customHeight="1">
      <c r="B400" s="12" t="str">
        <f t="shared" si="271"/>
        <v>-</v>
      </c>
      <c s="124" t="str">
        <f t="shared" si="268"/>
        <v>тыс. руб.</v>
      </c>
      <c s="125"/>
      <c s="125">
        <f t="shared" si="304" ref="E400">SUM(E428,-E344,-E372)</f>
        <v>0</v>
      </c>
      <c s="125">
        <f t="shared" si="305" ref="F400:BM400">SUM(F428,-F344,-F372)</f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  <c s="125">
        <f t="shared" si="305"/>
        <v>0</v>
      </c>
    </row>
    <row r="401" spans="2:65" ht="15" customHeight="1">
      <c r="B401" s="12" t="str">
        <f t="shared" si="271"/>
        <v>-</v>
      </c>
      <c s="124" t="str">
        <f t="shared" si="268"/>
        <v>тыс. руб.</v>
      </c>
      <c s="125"/>
      <c s="125">
        <f t="shared" si="306" ref="E401">SUM(E429,-E345,-E373)</f>
        <v>0</v>
      </c>
      <c s="125">
        <f t="shared" si="307" ref="F401:BM401">SUM(F429,-F345,-F373)</f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</row>
    <row r="402" spans="2:65" ht="15" customHeight="1">
      <c r="B402" s="12" t="str">
        <f t="shared" si="271"/>
        <v>-</v>
      </c>
      <c s="124" t="str">
        <f t="shared" si="268"/>
        <v>тыс. руб.</v>
      </c>
      <c s="125"/>
      <c s="125">
        <f t="shared" si="308" ref="E402">SUM(E430,-E346,-E374)</f>
        <v>0</v>
      </c>
      <c s="125">
        <f t="shared" si="309" ref="F402:BM402">SUM(F430,-F346,-F374)</f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</row>
    <row r="403" spans="2:65" ht="15" customHeight="1">
      <c r="B403" s="12" t="str">
        <f t="shared" si="271"/>
        <v>-</v>
      </c>
      <c s="124" t="str">
        <f t="shared" si="268"/>
        <v>тыс. руб.</v>
      </c>
      <c s="125"/>
      <c s="125">
        <f t="shared" si="310" ref="E403">SUM(E431,-E347,-E375)</f>
        <v>0</v>
      </c>
      <c s="125">
        <f t="shared" si="311" ref="F403:BM403">SUM(F431,-F347,-F375)</f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  <c s="125">
        <f t="shared" si="311"/>
        <v>0</v>
      </c>
    </row>
    <row r="404" spans="2:65" ht="15" customHeight="1">
      <c r="B404" s="12" t="str">
        <f t="shared" si="271"/>
        <v>-</v>
      </c>
      <c s="124" t="str">
        <f t="shared" si="268"/>
        <v>тыс. руб.</v>
      </c>
      <c s="125"/>
      <c s="125">
        <f t="shared" si="312" ref="E404">SUM(E432,-E348,-E376)</f>
        <v>0</v>
      </c>
      <c s="125">
        <f t="shared" si="313" ref="F404:BM404">SUM(F432,-F348,-F376)</f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</row>
    <row r="405" spans="2:65" ht="15" customHeight="1">
      <c r="B405" s="12" t="str">
        <f t="shared" si="271"/>
        <v>-</v>
      </c>
      <c s="124" t="str">
        <f t="shared" si="268"/>
        <v>тыс. руб.</v>
      </c>
      <c s="125"/>
      <c s="125">
        <f t="shared" si="314" ref="E405">SUM(E433,-E349,-E377)</f>
        <v>0</v>
      </c>
      <c s="125">
        <f t="shared" si="315" ref="F405:BM405">SUM(F433,-F349,-F377)</f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</row>
    <row r="406" spans="2:65" ht="15" customHeight="1">
      <c r="B406" s="12" t="str">
        <f t="shared" si="271"/>
        <v>-</v>
      </c>
      <c s="124" t="str">
        <f t="shared" si="268"/>
        <v>тыс. руб.</v>
      </c>
      <c s="125"/>
      <c s="125">
        <f t="shared" si="316" ref="E406">SUM(E434,-E350,-E378)</f>
        <v>0</v>
      </c>
      <c s="125">
        <f t="shared" si="317" ref="F406:BM406">SUM(F434,-F350,-F378)</f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</row>
    <row r="407" spans="2:65" ht="15" customHeight="1">
      <c r="B407" s="12" t="str">
        <f t="shared" si="271"/>
        <v>-</v>
      </c>
      <c s="124" t="str">
        <f t="shared" si="268"/>
        <v>тыс. руб.</v>
      </c>
      <c s="125"/>
      <c s="125">
        <f t="shared" si="318" ref="E407">SUM(E435,-E351,-E379)</f>
        <v>0</v>
      </c>
      <c s="125">
        <f t="shared" si="319" ref="F407:BM407">SUM(F435,-F351,-F379)</f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</row>
    <row r="408" spans="2:65" ht="15" customHeight="1">
      <c r="B408" s="289" t="s">
        <v>454</v>
      </c>
      <c s="290" t="str">
        <f t="shared" si="268"/>
        <v>тыс. руб.</v>
      </c>
      <c s="276"/>
      <c s="276">
        <f ca="1" t="shared" si="320" ref="E408:AG408">SUM(E383:E407)</f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t="shared" ca="1" si="320"/>
        <v>0</v>
      </c>
      <c s="276">
        <f ca="1" t="shared" si="321" ref="AH408:BM408">SUM(AH383:AH407)</f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  <c s="276">
        <f t="shared" ca="1" si="321"/>
        <v>0</v>
      </c>
    </row>
    <row r="409" ht="15" customHeight="1"/>
    <row r="410" spans="2:2" ht="15" customHeight="1">
      <c r="B410" s="24" t="s">
        <v>830</v>
      </c>
    </row>
    <row r="411" spans="2:65" ht="15" customHeight="1">
      <c r="B411" s="12" t="str">
        <f>B383</f>
        <v>Комиссионное вознаграждение за банк. гарантию</v>
      </c>
      <c s="124" t="str">
        <f t="shared" si="322" ref="C411:C435">Единица_измерения</f>
        <v>тыс. руб.</v>
      </c>
      <c s="125"/>
      <c s="125">
        <f ca="1">IF(Предпосылки!$H278&lt;0,F327,E355*(Предпосылки!$H278/(E$8+1-E$7)))</f>
        <v>0</v>
      </c>
      <c s="125">
        <f ca="1">IF(Предпосылки!$H278&lt;0,G327,F355*(Предпосылки!$H278/(F$8+1-F$7)))</f>
        <v>0</v>
      </c>
      <c s="125">
        <f ca="1">IF(Предпосылки!$H278&lt;0,H327,G355*(Предпосылки!$H278/(G$8+1-G$7)))</f>
        <v>0</v>
      </c>
      <c s="125">
        <f ca="1">IF(Предпосылки!$H278&lt;0,I327,H355*(Предпосылки!$H278/(H$8+1-H$7)))</f>
        <v>0</v>
      </c>
      <c s="125">
        <f ca="1">IF(Предпосылки!$H278&lt;0,J327,I355*(Предпосылки!$H278/(I$8+1-I$7)))</f>
        <v>0</v>
      </c>
      <c s="125">
        <f ca="1">IF(Предпосылки!$H278&lt;0,K327,J355*(Предпосылки!$H278/(J$8+1-J$7)))</f>
        <v>0</v>
      </c>
      <c s="125">
        <f ca="1">IF(Предпосылки!$H278&lt;0,L327,K355*(Предпосылки!$H278/(K$8+1-K$7)))</f>
        <v>0</v>
      </c>
      <c s="125">
        <f ca="1">IF(Предпосылки!$H278&lt;0,M327,L355*(Предпосылки!$H278/(L$8+1-L$7)))</f>
        <v>0</v>
      </c>
      <c s="125">
        <f ca="1">IF(Предпосылки!$H278&lt;0,N327,M355*(Предпосылки!$H278/(M$8+1-M$7)))</f>
        <v>0</v>
      </c>
      <c s="125">
        <f ca="1">IF(Предпосылки!$H278&lt;0,O327,N355*(Предпосылки!$H278/(N$8+1-N$7)))</f>
        <v>0</v>
      </c>
      <c s="125">
        <f ca="1">IF(Предпосылки!$H278&lt;0,P327,O355*(Предпосылки!$H278/(O$8+1-O$7)))</f>
        <v>0</v>
      </c>
      <c s="125">
        <f ca="1">IF(Предпосылки!$H278&lt;0,Q327,P355*(Предпосылки!$H278/(P$8+1-P$7)))</f>
        <v>0</v>
      </c>
      <c s="125">
        <f ca="1">IF(Предпосылки!$H278&lt;0,R327,Q355*(Предпосылки!$H278/(Q$8+1-Q$7)))</f>
        <v>0</v>
      </c>
      <c s="125">
        <f ca="1">IF(Предпосылки!$H278&lt;0,S327,R355*(Предпосылки!$H278/(R$8+1-R$7)))</f>
        <v>0</v>
      </c>
      <c s="125">
        <f ca="1">IF(Предпосылки!$H278&lt;0,T327,S355*(Предпосылки!$H278/(S$8+1-S$7)))</f>
        <v>0</v>
      </c>
      <c s="125">
        <f ca="1">IF(Предпосылки!$H278&lt;0,U327,T355*(Предпосылки!$H278/(T$8+1-T$7)))</f>
        <v>0</v>
      </c>
      <c s="125">
        <f ca="1">IF(Предпосылки!$H278&lt;0,V327,U355*(Предпосылки!$H278/(U$8+1-U$7)))</f>
        <v>0</v>
      </c>
      <c s="125">
        <f ca="1">IF(Предпосылки!$H278&lt;0,W327,V355*(Предпосылки!$H278/(V$8+1-V$7)))</f>
        <v>0</v>
      </c>
      <c s="125">
        <f ca="1">IF(Предпосылки!$H278&lt;0,X327,W355*(Предпосылки!$H278/(W$8+1-W$7)))</f>
        <v>0</v>
      </c>
      <c s="125">
        <f ca="1">IF(Предпосылки!$H278&lt;0,Y327,X355*(Предпосылки!$H278/(X$8+1-X$7)))</f>
        <v>0</v>
      </c>
      <c s="125">
        <f ca="1">IF(Предпосылки!$H278&lt;0,Z327,Y355*(Предпосылки!$H278/(Y$8+1-Y$7)))</f>
        <v>0</v>
      </c>
      <c s="125">
        <f ca="1">IF(Предпосылки!$H278&lt;0,AA327,Z355*(Предпосылки!$H278/(Z$8+1-Z$7)))</f>
        <v>0</v>
      </c>
      <c s="125">
        <f ca="1">IF(Предпосылки!$H278&lt;0,AB327,AA355*(Предпосылки!$H278/(AA$8+1-AA$7)))</f>
        <v>0</v>
      </c>
      <c s="125">
        <f ca="1">IF(Предпосылки!$H278&lt;0,AC327,AB355*(Предпосылки!$H278/(AB$8+1-AB$7)))</f>
        <v>0</v>
      </c>
      <c s="125">
        <f ca="1">IF(Предпосылки!$H278&lt;0,AD327,AC355*(Предпосылки!$H278/(AC$8+1-AC$7)))</f>
        <v>0</v>
      </c>
      <c s="125">
        <f ca="1">IF(Предпосылки!$H278&lt;0,AE327,AD355*(Предпосылки!$H278/(AD$8+1-AD$7)))</f>
        <v>0</v>
      </c>
      <c s="125">
        <f ca="1">IF(Предпосылки!$H278&lt;0,AF327,AE355*(Предпосылки!$H278/(AE$8+1-AE$7)))</f>
        <v>0</v>
      </c>
      <c s="125">
        <f ca="1">IF(Предпосылки!$H278&lt;0,AG327,AF355*(Предпосылки!$H278/(AF$8+1-AF$7)))</f>
        <v>0</v>
      </c>
      <c s="125">
        <f ca="1">IF(Предпосылки!$H278&lt;0,AH327,AG355*(Предпосылки!$H278/(AG$8+1-AG$7)))</f>
        <v>0</v>
      </c>
      <c s="125">
        <f ca="1">IF(Предпосылки!$H278&lt;0,AI327,AH355*(Предпосылки!$H278/(AH$8+1-AH$7)))</f>
        <v>0</v>
      </c>
      <c s="125">
        <f ca="1">IF(Предпосылки!$H278&lt;0,AJ327,AI355*(Предпосылки!$H278/(AI$8+1-AI$7)))</f>
        <v>0</v>
      </c>
      <c s="125">
        <f ca="1">IF(Предпосылки!$H278&lt;0,AK327,AJ355*(Предпосылки!$H278/(AJ$8+1-AJ$7)))</f>
        <v>0</v>
      </c>
      <c s="125">
        <f ca="1">IF(Предпосылки!$H278&lt;0,AL327,AK355*(Предпосылки!$H278/(AK$8+1-AK$7)))</f>
        <v>0</v>
      </c>
      <c s="125">
        <f ca="1">IF(Предпосылки!$H278&lt;0,AM327,AL355*(Предпосылки!$H278/(AL$8+1-AL$7)))</f>
        <v>0</v>
      </c>
      <c s="125">
        <f ca="1">IF(Предпосылки!$H278&lt;0,AN327,AM355*(Предпосылки!$H278/(AM$8+1-AM$7)))</f>
        <v>0</v>
      </c>
      <c s="125">
        <f ca="1">IF(Предпосылки!$H278&lt;0,AO327,AN355*(Предпосылки!$H278/(AN$8+1-AN$7)))</f>
        <v>0</v>
      </c>
      <c s="125">
        <f ca="1">IF(Предпосылки!$H278&lt;0,AP327,AO355*(Предпосылки!$H278/(AO$8+1-AO$7)))</f>
        <v>0</v>
      </c>
      <c s="125">
        <f ca="1">IF(Предпосылки!$H278&lt;0,AQ327,AP355*(Предпосылки!$H278/(AP$8+1-AP$7)))</f>
        <v>0</v>
      </c>
      <c s="125">
        <f ca="1">IF(Предпосылки!$H278&lt;0,AR327,AQ355*(Предпосылки!$H278/(AQ$8+1-AQ$7)))</f>
        <v>0</v>
      </c>
      <c s="125">
        <f ca="1">IF(Предпосылки!$H278&lt;0,AS327,AR355*(Предпосылки!$H278/(AR$8+1-AR$7)))</f>
        <v>0</v>
      </c>
      <c s="125">
        <f ca="1">IF(Предпосылки!$H278&lt;0,AT327,AS355*(Предпосылки!$H278/(AS$8+1-AS$7)))</f>
        <v>0</v>
      </c>
      <c s="125">
        <f ca="1">IF(Предпосылки!$H278&lt;0,AU327,AT355*(Предпосылки!$H278/(AT$8+1-AT$7)))</f>
        <v>0</v>
      </c>
      <c s="125">
        <f ca="1">IF(Предпосылки!$H278&lt;0,AV327,AU355*(Предпосылки!$H278/(AU$8+1-AU$7)))</f>
        <v>0</v>
      </c>
      <c s="125">
        <f ca="1">IF(Предпосылки!$H278&lt;0,AW327,AV355*(Предпосылки!$H278/(AV$8+1-AV$7)))</f>
        <v>0</v>
      </c>
      <c s="125">
        <f ca="1">IF(Предпосылки!$H278&lt;0,AX327,AW355*(Предпосылки!$H278/(AW$8+1-AW$7)))</f>
        <v>0</v>
      </c>
      <c s="125">
        <f ca="1">IF(Предпосылки!$H278&lt;0,AY327,AX355*(Предпосылки!$H278/(AX$8+1-AX$7)))</f>
        <v>0</v>
      </c>
      <c s="125">
        <f ca="1">IF(Предпосылки!$H278&lt;0,AZ327,AY355*(Предпосылки!$H278/(AY$8+1-AY$7)))</f>
        <v>0</v>
      </c>
      <c s="125">
        <f ca="1">IF(Предпосылки!$H278&lt;0,BA327,AZ355*(Предпосылки!$H278/(AZ$8+1-AZ$7)))</f>
        <v>0</v>
      </c>
      <c s="125">
        <f ca="1">IF(Предпосылки!$H278&lt;0,BB327,BA355*(Предпосылки!$H278/(BA$8+1-BA$7)))</f>
        <v>0</v>
      </c>
      <c s="125">
        <f ca="1">IF(Предпосылки!$H278&lt;0,BC327,BB355*(Предпосылки!$H278/(BB$8+1-BB$7)))</f>
        <v>0</v>
      </c>
      <c s="125">
        <f ca="1">IF(Предпосылки!$H278&lt;0,BD327,BC355*(Предпосылки!$H278/(BC$8+1-BC$7)))</f>
        <v>0</v>
      </c>
      <c s="125">
        <f ca="1">IF(Предпосылки!$H278&lt;0,BE327,BD355*(Предпосылки!$H278/(BD$8+1-BD$7)))</f>
        <v>0</v>
      </c>
      <c s="125">
        <f ca="1">IF(Предпосылки!$H278&lt;0,BF327,BE355*(Предпосылки!$H278/(BE$8+1-BE$7)))</f>
        <v>0</v>
      </c>
      <c s="125">
        <f ca="1">IF(Предпосылки!$H278&lt;0,BG327,BF355*(Предпосылки!$H278/(BF$8+1-BF$7)))</f>
        <v>0</v>
      </c>
      <c s="125">
        <f ca="1">IF(Предпосылки!$H278&lt;0,BH327,BG355*(Предпосылки!$H278/(BG$8+1-BG$7)))</f>
        <v>0</v>
      </c>
      <c s="125">
        <f ca="1">IF(Предпосылки!$H278&lt;0,BI327,BH355*(Предпосылки!$H278/(BH$8+1-BH$7)))</f>
        <v>0</v>
      </c>
      <c s="125">
        <f ca="1">IF(Предпосылки!$H278&lt;0,BJ327,BI355*(Предпосылки!$H278/(BI$8+1-BI$7)))</f>
        <v>0</v>
      </c>
      <c s="125">
        <f ca="1">IF(Предпосылки!$H278&lt;0,BK327,BJ355*(Предпосылки!$H278/(BJ$8+1-BJ$7)))</f>
        <v>0</v>
      </c>
      <c s="125">
        <f ca="1">IF(Предпосылки!$H278&lt;0,BL327,BK355*(Предпосылки!$H278/(BK$8+1-BK$7)))</f>
        <v>0</v>
      </c>
      <c s="125">
        <f ca="1">IF(Предпосылки!$H278&lt;0,BM327,BL355*(Предпосылки!$H278/(BL$8+1-BL$7)))</f>
        <v>0</v>
      </c>
      <c s="125">
        <f ca="1">IF(Предпосылки!$H278&lt;0,BN327,BM355*(Предпосылки!$H278/(BM$8+1-BM$7)))</f>
        <v>0</v>
      </c>
    </row>
    <row r="412" spans="2:65" ht="15" customHeight="1">
      <c r="B412" s="12" t="str">
        <f t="shared" si="323" ref="B412:B435">B384</f>
        <v>-</v>
      </c>
      <c s="124" t="str">
        <f t="shared" si="322"/>
        <v>тыс. руб.</v>
      </c>
      <c s="125"/>
      <c s="125">
        <f>IF(Предпосылки!$H279&lt;0,F328,E356*(Предпосылки!$H279/(E$8+1-E$7)))</f>
        <v>0</v>
      </c>
      <c s="125">
        <f>IF(Предпосылки!$H279&lt;0,G328,F356*(Предпосылки!$H279/(F$8+1-F$7)))</f>
        <v>0</v>
      </c>
      <c s="125">
        <f>IF(Предпосылки!$H279&lt;0,H328,G356*(Предпосылки!$H279/(G$8+1-G$7)))</f>
        <v>0</v>
      </c>
      <c s="125">
        <f>IF(Предпосылки!$H279&lt;0,I328,H356*(Предпосылки!$H279/(H$8+1-H$7)))</f>
        <v>0</v>
      </c>
      <c s="125">
        <f>IF(Предпосылки!$H279&lt;0,J328,I356*(Предпосылки!$H279/(I$8+1-I$7)))</f>
        <v>0</v>
      </c>
      <c s="125">
        <f>IF(Предпосылки!$H279&lt;0,K328,J356*(Предпосылки!$H279/(J$8+1-J$7)))</f>
        <v>0</v>
      </c>
      <c s="125">
        <f>IF(Предпосылки!$H279&lt;0,L328,K356*(Предпосылки!$H279/(K$8+1-K$7)))</f>
        <v>0</v>
      </c>
      <c s="125">
        <f>IF(Предпосылки!$H279&lt;0,M328,L356*(Предпосылки!$H279/(L$8+1-L$7)))</f>
        <v>0</v>
      </c>
      <c s="125">
        <f>IF(Предпосылки!$H279&lt;0,N328,M356*(Предпосылки!$H279/(M$8+1-M$7)))</f>
        <v>0</v>
      </c>
      <c s="125">
        <f>IF(Предпосылки!$H279&lt;0,O328,N356*(Предпосылки!$H279/(N$8+1-N$7)))</f>
        <v>0</v>
      </c>
      <c s="125">
        <f>IF(Предпосылки!$H279&lt;0,P328,O356*(Предпосылки!$H279/(O$8+1-O$7)))</f>
        <v>0</v>
      </c>
      <c s="125">
        <f>IF(Предпосылки!$H279&lt;0,Q328,P356*(Предпосылки!$H279/(P$8+1-P$7)))</f>
        <v>0</v>
      </c>
      <c s="125">
        <f>IF(Предпосылки!$H279&lt;0,R328,Q356*(Предпосылки!$H279/(Q$8+1-Q$7)))</f>
        <v>0</v>
      </c>
      <c s="125">
        <f>IF(Предпосылки!$H279&lt;0,S328,R356*(Предпосылки!$H279/(R$8+1-R$7)))</f>
        <v>0</v>
      </c>
      <c s="125">
        <f>IF(Предпосылки!$H279&lt;0,T328,S356*(Предпосылки!$H279/(S$8+1-S$7)))</f>
        <v>0</v>
      </c>
      <c s="125">
        <f>IF(Предпосылки!$H279&lt;0,U328,T356*(Предпосылки!$H279/(T$8+1-T$7)))</f>
        <v>0</v>
      </c>
      <c s="125">
        <f>IF(Предпосылки!$H279&lt;0,V328,U356*(Предпосылки!$H279/(U$8+1-U$7)))</f>
        <v>0</v>
      </c>
      <c s="125">
        <f>IF(Предпосылки!$H279&lt;0,W328,V356*(Предпосылки!$H279/(V$8+1-V$7)))</f>
        <v>0</v>
      </c>
      <c s="125">
        <f>IF(Предпосылки!$H279&lt;0,X328,W356*(Предпосылки!$H279/(W$8+1-W$7)))</f>
        <v>0</v>
      </c>
      <c s="125">
        <f>IF(Предпосылки!$H279&lt;0,Y328,X356*(Предпосылки!$H279/(X$8+1-X$7)))</f>
        <v>0</v>
      </c>
      <c s="125">
        <f>IF(Предпосылки!$H279&lt;0,Z328,Y356*(Предпосылки!$H279/(Y$8+1-Y$7)))</f>
        <v>0</v>
      </c>
      <c s="125">
        <f>IF(Предпосылки!$H279&lt;0,AA328,Z356*(Предпосылки!$H279/(Z$8+1-Z$7)))</f>
        <v>0</v>
      </c>
      <c s="125">
        <f>IF(Предпосылки!$H279&lt;0,AB328,AA356*(Предпосылки!$H279/(AA$8+1-AA$7)))</f>
        <v>0</v>
      </c>
      <c s="125">
        <f>IF(Предпосылки!$H279&lt;0,AC328,AB356*(Предпосылки!$H279/(AB$8+1-AB$7)))</f>
        <v>0</v>
      </c>
      <c s="125">
        <f>IF(Предпосылки!$H279&lt;0,AD328,AC356*(Предпосылки!$H279/(AC$8+1-AC$7)))</f>
        <v>0</v>
      </c>
      <c s="125">
        <f>IF(Предпосылки!$H279&lt;0,AE328,AD356*(Предпосылки!$H279/(AD$8+1-AD$7)))</f>
        <v>0</v>
      </c>
      <c s="125">
        <f>IF(Предпосылки!$H279&lt;0,AF328,AE356*(Предпосылки!$H279/(AE$8+1-AE$7)))</f>
        <v>0</v>
      </c>
      <c s="125">
        <f>IF(Предпосылки!$H279&lt;0,AG328,AF356*(Предпосылки!$H279/(AF$8+1-AF$7)))</f>
        <v>0</v>
      </c>
      <c s="125">
        <f>IF(Предпосылки!$H279&lt;0,AH328,AG356*(Предпосылки!$H279/(AG$8+1-AG$7)))</f>
        <v>0</v>
      </c>
      <c s="125">
        <f>IF(Предпосылки!$H279&lt;0,AI328,AH356*(Предпосылки!$H279/(AH$8+1-AH$7)))</f>
        <v>0</v>
      </c>
      <c s="125">
        <f>IF(Предпосылки!$H279&lt;0,AJ328,AI356*(Предпосылки!$H279/(AI$8+1-AI$7)))</f>
        <v>0</v>
      </c>
      <c s="125">
        <f>IF(Предпосылки!$H279&lt;0,AK328,AJ356*(Предпосылки!$H279/(AJ$8+1-AJ$7)))</f>
        <v>0</v>
      </c>
      <c s="125">
        <f>IF(Предпосылки!$H279&lt;0,AL328,AK356*(Предпосылки!$H279/(AK$8+1-AK$7)))</f>
        <v>0</v>
      </c>
      <c s="125">
        <f>IF(Предпосылки!$H279&lt;0,AM328,AL356*(Предпосылки!$H279/(AL$8+1-AL$7)))</f>
        <v>0</v>
      </c>
      <c s="125">
        <f>IF(Предпосылки!$H279&lt;0,AN328,AM356*(Предпосылки!$H279/(AM$8+1-AM$7)))</f>
        <v>0</v>
      </c>
      <c s="125">
        <f>IF(Предпосылки!$H279&lt;0,AO328,AN356*(Предпосылки!$H279/(AN$8+1-AN$7)))</f>
        <v>0</v>
      </c>
      <c s="125">
        <f>IF(Предпосылки!$H279&lt;0,AP328,AO356*(Предпосылки!$H279/(AO$8+1-AO$7)))</f>
        <v>0</v>
      </c>
      <c s="125">
        <f>IF(Предпосылки!$H279&lt;0,AQ328,AP356*(Предпосылки!$H279/(AP$8+1-AP$7)))</f>
        <v>0</v>
      </c>
      <c s="125">
        <f>IF(Предпосылки!$H279&lt;0,AR328,AQ356*(Предпосылки!$H279/(AQ$8+1-AQ$7)))</f>
        <v>0</v>
      </c>
      <c s="125">
        <f>IF(Предпосылки!$H279&lt;0,AS328,AR356*(Предпосылки!$H279/(AR$8+1-AR$7)))</f>
        <v>0</v>
      </c>
      <c s="125">
        <f>IF(Предпосылки!$H279&lt;0,AT328,AS356*(Предпосылки!$H279/(AS$8+1-AS$7)))</f>
        <v>0</v>
      </c>
      <c s="125">
        <f>IF(Предпосылки!$H279&lt;0,AU328,AT356*(Предпосылки!$H279/(AT$8+1-AT$7)))</f>
        <v>0</v>
      </c>
      <c s="125">
        <f>IF(Предпосылки!$H279&lt;0,AV328,AU356*(Предпосылки!$H279/(AU$8+1-AU$7)))</f>
        <v>0</v>
      </c>
      <c s="125">
        <f>IF(Предпосылки!$H279&lt;0,AW328,AV356*(Предпосылки!$H279/(AV$8+1-AV$7)))</f>
        <v>0</v>
      </c>
      <c s="125">
        <f>IF(Предпосылки!$H279&lt;0,AX328,AW356*(Предпосылки!$H279/(AW$8+1-AW$7)))</f>
        <v>0</v>
      </c>
      <c s="125">
        <f>IF(Предпосылки!$H279&lt;0,AY328,AX356*(Предпосылки!$H279/(AX$8+1-AX$7)))</f>
        <v>0</v>
      </c>
      <c s="125">
        <f>IF(Предпосылки!$H279&lt;0,AZ328,AY356*(Предпосылки!$H279/(AY$8+1-AY$7)))</f>
        <v>0</v>
      </c>
      <c s="125">
        <f>IF(Предпосылки!$H279&lt;0,BA328,AZ356*(Предпосылки!$H279/(AZ$8+1-AZ$7)))</f>
        <v>0</v>
      </c>
      <c s="125">
        <f>IF(Предпосылки!$H279&lt;0,BB328,BA356*(Предпосылки!$H279/(BA$8+1-BA$7)))</f>
        <v>0</v>
      </c>
      <c s="125">
        <f>IF(Предпосылки!$H279&lt;0,BC328,BB356*(Предпосылки!$H279/(BB$8+1-BB$7)))</f>
        <v>0</v>
      </c>
      <c s="125">
        <f>IF(Предпосылки!$H279&lt;0,BD328,BC356*(Предпосылки!$H279/(BC$8+1-BC$7)))</f>
        <v>0</v>
      </c>
      <c s="125">
        <f>IF(Предпосылки!$H279&lt;0,BE328,BD356*(Предпосылки!$H279/(BD$8+1-BD$7)))</f>
        <v>0</v>
      </c>
      <c s="125">
        <f>IF(Предпосылки!$H279&lt;0,BF328,BE356*(Предпосылки!$H279/(BE$8+1-BE$7)))</f>
        <v>0</v>
      </c>
      <c s="125">
        <f>IF(Предпосылки!$H279&lt;0,BG328,BF356*(Предпосылки!$H279/(BF$8+1-BF$7)))</f>
        <v>0</v>
      </c>
      <c s="125">
        <f>IF(Предпосылки!$H279&lt;0,BH328,BG356*(Предпосылки!$H279/(BG$8+1-BG$7)))</f>
        <v>0</v>
      </c>
      <c s="125">
        <f>IF(Предпосылки!$H279&lt;0,BI328,BH356*(Предпосылки!$H279/(BH$8+1-BH$7)))</f>
        <v>0</v>
      </c>
      <c s="125">
        <f>IF(Предпосылки!$H279&lt;0,BJ328,BI356*(Предпосылки!$H279/(BI$8+1-BI$7)))</f>
        <v>0</v>
      </c>
      <c s="125">
        <f>IF(Предпосылки!$H279&lt;0,BK328,BJ356*(Предпосылки!$H279/(BJ$8+1-BJ$7)))</f>
        <v>0</v>
      </c>
      <c s="125">
        <f>IF(Предпосылки!$H279&lt;0,BL328,BK356*(Предпосылки!$H279/(BK$8+1-BK$7)))</f>
        <v>0</v>
      </c>
      <c s="125">
        <f>IF(Предпосылки!$H279&lt;0,BM328,BL356*(Предпосылки!$H279/(BL$8+1-BL$7)))</f>
        <v>0</v>
      </c>
      <c s="125">
        <f>IF(Предпосылки!$H279&lt;0,BN328,BM356*(Предпосылки!$H279/(BM$8+1-BM$7)))</f>
        <v>0</v>
      </c>
    </row>
    <row r="413" spans="2:65" ht="15" customHeight="1">
      <c r="B413" s="12" t="str">
        <f t="shared" si="323"/>
        <v>-</v>
      </c>
      <c s="124" t="str">
        <f t="shared" si="322"/>
        <v>тыс. руб.</v>
      </c>
      <c s="125"/>
      <c s="125">
        <f>IF(Предпосылки!$H280&lt;0,F329,E357*(Предпосылки!$H280/(E$8+1-E$7)))</f>
        <v>0</v>
      </c>
      <c s="125">
        <f>IF(Предпосылки!$H280&lt;0,G329,F357*(Предпосылки!$H280/(F$8+1-F$7)))</f>
        <v>0</v>
      </c>
      <c s="125">
        <f>IF(Предпосылки!$H280&lt;0,H329,G357*(Предпосылки!$H280/(G$8+1-G$7)))</f>
        <v>0</v>
      </c>
      <c s="125">
        <f>IF(Предпосылки!$H280&lt;0,I329,H357*(Предпосылки!$H280/(H$8+1-H$7)))</f>
        <v>0</v>
      </c>
      <c s="125">
        <f>IF(Предпосылки!$H280&lt;0,J329,I357*(Предпосылки!$H280/(I$8+1-I$7)))</f>
        <v>0</v>
      </c>
      <c s="125">
        <f>IF(Предпосылки!$H280&lt;0,K329,J357*(Предпосылки!$H280/(J$8+1-J$7)))</f>
        <v>0</v>
      </c>
      <c s="125">
        <f>IF(Предпосылки!$H280&lt;0,L329,K357*(Предпосылки!$H280/(K$8+1-K$7)))</f>
        <v>0</v>
      </c>
      <c s="125">
        <f>IF(Предпосылки!$H280&lt;0,M329,L357*(Предпосылки!$H280/(L$8+1-L$7)))</f>
        <v>0</v>
      </c>
      <c s="125">
        <f>IF(Предпосылки!$H280&lt;0,N329,M357*(Предпосылки!$H280/(M$8+1-M$7)))</f>
        <v>0</v>
      </c>
      <c s="125">
        <f>IF(Предпосылки!$H280&lt;0,O329,N357*(Предпосылки!$H280/(N$8+1-N$7)))</f>
        <v>0</v>
      </c>
      <c s="125">
        <f>IF(Предпосылки!$H280&lt;0,P329,O357*(Предпосылки!$H280/(O$8+1-O$7)))</f>
        <v>0</v>
      </c>
      <c s="125">
        <f>IF(Предпосылки!$H280&lt;0,Q329,P357*(Предпосылки!$H280/(P$8+1-P$7)))</f>
        <v>0</v>
      </c>
      <c s="125">
        <f>IF(Предпосылки!$H280&lt;0,R329,Q357*(Предпосылки!$H280/(Q$8+1-Q$7)))</f>
        <v>0</v>
      </c>
      <c s="125">
        <f>IF(Предпосылки!$H280&lt;0,S329,R357*(Предпосылки!$H280/(R$8+1-R$7)))</f>
        <v>0</v>
      </c>
      <c s="125">
        <f>IF(Предпосылки!$H280&lt;0,T329,S357*(Предпосылки!$H280/(S$8+1-S$7)))</f>
        <v>0</v>
      </c>
      <c s="125">
        <f>IF(Предпосылки!$H280&lt;0,U329,T357*(Предпосылки!$H280/(T$8+1-T$7)))</f>
        <v>0</v>
      </c>
      <c s="125">
        <f>IF(Предпосылки!$H280&lt;0,V329,U357*(Предпосылки!$H280/(U$8+1-U$7)))</f>
        <v>0</v>
      </c>
      <c s="125">
        <f>IF(Предпосылки!$H280&lt;0,W329,V357*(Предпосылки!$H280/(V$8+1-V$7)))</f>
        <v>0</v>
      </c>
      <c s="125">
        <f>IF(Предпосылки!$H280&lt;0,X329,W357*(Предпосылки!$H280/(W$8+1-W$7)))</f>
        <v>0</v>
      </c>
      <c s="125">
        <f>IF(Предпосылки!$H280&lt;0,Y329,X357*(Предпосылки!$H280/(X$8+1-X$7)))</f>
        <v>0</v>
      </c>
      <c s="125">
        <f>IF(Предпосылки!$H280&lt;0,Z329,Y357*(Предпосылки!$H280/(Y$8+1-Y$7)))</f>
        <v>0</v>
      </c>
      <c s="125">
        <f>IF(Предпосылки!$H280&lt;0,AA329,Z357*(Предпосылки!$H280/(Z$8+1-Z$7)))</f>
        <v>0</v>
      </c>
      <c s="125">
        <f>IF(Предпосылки!$H280&lt;0,AB329,AA357*(Предпосылки!$H280/(AA$8+1-AA$7)))</f>
        <v>0</v>
      </c>
      <c s="125">
        <f>IF(Предпосылки!$H280&lt;0,AC329,AB357*(Предпосылки!$H280/(AB$8+1-AB$7)))</f>
        <v>0</v>
      </c>
      <c s="125">
        <f>IF(Предпосылки!$H280&lt;0,AD329,AC357*(Предпосылки!$H280/(AC$8+1-AC$7)))</f>
        <v>0</v>
      </c>
      <c s="125">
        <f>IF(Предпосылки!$H280&lt;0,AE329,AD357*(Предпосылки!$H280/(AD$8+1-AD$7)))</f>
        <v>0</v>
      </c>
      <c s="125">
        <f>IF(Предпосылки!$H280&lt;0,AF329,AE357*(Предпосылки!$H280/(AE$8+1-AE$7)))</f>
        <v>0</v>
      </c>
      <c s="125">
        <f>IF(Предпосылки!$H280&lt;0,AG329,AF357*(Предпосылки!$H280/(AF$8+1-AF$7)))</f>
        <v>0</v>
      </c>
      <c s="125">
        <f>IF(Предпосылки!$H280&lt;0,AH329,AG357*(Предпосылки!$H280/(AG$8+1-AG$7)))</f>
        <v>0</v>
      </c>
      <c s="125">
        <f>IF(Предпосылки!$H280&lt;0,AI329,AH357*(Предпосылки!$H280/(AH$8+1-AH$7)))</f>
        <v>0</v>
      </c>
      <c s="125">
        <f>IF(Предпосылки!$H280&lt;0,AJ329,AI357*(Предпосылки!$H280/(AI$8+1-AI$7)))</f>
        <v>0</v>
      </c>
      <c s="125">
        <f>IF(Предпосылки!$H280&lt;0,AK329,AJ357*(Предпосылки!$H280/(AJ$8+1-AJ$7)))</f>
        <v>0</v>
      </c>
      <c s="125">
        <f>IF(Предпосылки!$H280&lt;0,AL329,AK357*(Предпосылки!$H280/(AK$8+1-AK$7)))</f>
        <v>0</v>
      </c>
      <c s="125">
        <f>IF(Предпосылки!$H280&lt;0,AM329,AL357*(Предпосылки!$H280/(AL$8+1-AL$7)))</f>
        <v>0</v>
      </c>
      <c s="125">
        <f>IF(Предпосылки!$H280&lt;0,AN329,AM357*(Предпосылки!$H280/(AM$8+1-AM$7)))</f>
        <v>0</v>
      </c>
      <c s="125">
        <f>IF(Предпосылки!$H280&lt;0,AO329,AN357*(Предпосылки!$H280/(AN$8+1-AN$7)))</f>
        <v>0</v>
      </c>
      <c s="125">
        <f>IF(Предпосылки!$H280&lt;0,AP329,AO357*(Предпосылки!$H280/(AO$8+1-AO$7)))</f>
        <v>0</v>
      </c>
      <c s="125">
        <f>IF(Предпосылки!$H280&lt;0,AQ329,AP357*(Предпосылки!$H280/(AP$8+1-AP$7)))</f>
        <v>0</v>
      </c>
      <c s="125">
        <f>IF(Предпосылки!$H280&lt;0,AR329,AQ357*(Предпосылки!$H280/(AQ$8+1-AQ$7)))</f>
        <v>0</v>
      </c>
      <c s="125">
        <f>IF(Предпосылки!$H280&lt;0,AS329,AR357*(Предпосылки!$H280/(AR$8+1-AR$7)))</f>
        <v>0</v>
      </c>
      <c s="125">
        <f>IF(Предпосылки!$H280&lt;0,AT329,AS357*(Предпосылки!$H280/(AS$8+1-AS$7)))</f>
        <v>0</v>
      </c>
      <c s="125">
        <f>IF(Предпосылки!$H280&lt;0,AU329,AT357*(Предпосылки!$H280/(AT$8+1-AT$7)))</f>
        <v>0</v>
      </c>
      <c s="125">
        <f>IF(Предпосылки!$H280&lt;0,AV329,AU357*(Предпосылки!$H280/(AU$8+1-AU$7)))</f>
        <v>0</v>
      </c>
      <c s="125">
        <f>IF(Предпосылки!$H280&lt;0,AW329,AV357*(Предпосылки!$H280/(AV$8+1-AV$7)))</f>
        <v>0</v>
      </c>
      <c s="125">
        <f>IF(Предпосылки!$H280&lt;0,AX329,AW357*(Предпосылки!$H280/(AW$8+1-AW$7)))</f>
        <v>0</v>
      </c>
      <c s="125">
        <f>IF(Предпосылки!$H280&lt;0,AY329,AX357*(Предпосылки!$H280/(AX$8+1-AX$7)))</f>
        <v>0</v>
      </c>
      <c s="125">
        <f>IF(Предпосылки!$H280&lt;0,AZ329,AY357*(Предпосылки!$H280/(AY$8+1-AY$7)))</f>
        <v>0</v>
      </c>
      <c s="125">
        <f>IF(Предпосылки!$H280&lt;0,BA329,AZ357*(Предпосылки!$H280/(AZ$8+1-AZ$7)))</f>
        <v>0</v>
      </c>
      <c s="125">
        <f>IF(Предпосылки!$H280&lt;0,BB329,BA357*(Предпосылки!$H280/(BA$8+1-BA$7)))</f>
        <v>0</v>
      </c>
      <c s="125">
        <f>IF(Предпосылки!$H280&lt;0,BC329,BB357*(Предпосылки!$H280/(BB$8+1-BB$7)))</f>
        <v>0</v>
      </c>
      <c s="125">
        <f>IF(Предпосылки!$H280&lt;0,BD329,BC357*(Предпосылки!$H280/(BC$8+1-BC$7)))</f>
        <v>0</v>
      </c>
      <c s="125">
        <f>IF(Предпосылки!$H280&lt;0,BE329,BD357*(Предпосылки!$H280/(BD$8+1-BD$7)))</f>
        <v>0</v>
      </c>
      <c s="125">
        <f>IF(Предпосылки!$H280&lt;0,BF329,BE357*(Предпосылки!$H280/(BE$8+1-BE$7)))</f>
        <v>0</v>
      </c>
      <c s="125">
        <f>IF(Предпосылки!$H280&lt;0,BG329,BF357*(Предпосылки!$H280/(BF$8+1-BF$7)))</f>
        <v>0</v>
      </c>
      <c s="125">
        <f>IF(Предпосылки!$H280&lt;0,BH329,BG357*(Предпосылки!$H280/(BG$8+1-BG$7)))</f>
        <v>0</v>
      </c>
      <c s="125">
        <f>IF(Предпосылки!$H280&lt;0,BI329,BH357*(Предпосылки!$H280/(BH$8+1-BH$7)))</f>
        <v>0</v>
      </c>
      <c s="125">
        <f>IF(Предпосылки!$H280&lt;0,BJ329,BI357*(Предпосылки!$H280/(BI$8+1-BI$7)))</f>
        <v>0</v>
      </c>
      <c s="125">
        <f>IF(Предпосылки!$H280&lt;0,BK329,BJ357*(Предпосылки!$H280/(BJ$8+1-BJ$7)))</f>
        <v>0</v>
      </c>
      <c s="125">
        <f>IF(Предпосылки!$H280&lt;0,BL329,BK357*(Предпосылки!$H280/(BK$8+1-BK$7)))</f>
        <v>0</v>
      </c>
      <c s="125">
        <f>IF(Предпосылки!$H280&lt;0,BM329,BL357*(Предпосылки!$H280/(BL$8+1-BL$7)))</f>
        <v>0</v>
      </c>
      <c s="125">
        <f>IF(Предпосылки!$H280&lt;0,BN329,BM357*(Предпосылки!$H280/(BM$8+1-BM$7)))</f>
        <v>0</v>
      </c>
    </row>
    <row r="414" spans="2:65" ht="15" customHeight="1">
      <c r="B414" s="12" t="str">
        <f t="shared" si="323"/>
        <v>-</v>
      </c>
      <c s="124" t="str">
        <f t="shared" si="322"/>
        <v>тыс. руб.</v>
      </c>
      <c s="125"/>
      <c s="125">
        <f>IF(Предпосылки!$H281&lt;0,F330,E358*(Предпосылки!$H281/(E$8+1-E$7)))</f>
        <v>0</v>
      </c>
      <c s="125">
        <f>IF(Предпосылки!$H281&lt;0,G330,F358*(Предпосылки!$H281/(F$8+1-F$7)))</f>
        <v>0</v>
      </c>
      <c s="125">
        <f>IF(Предпосылки!$H281&lt;0,H330,G358*(Предпосылки!$H281/(G$8+1-G$7)))</f>
        <v>0</v>
      </c>
      <c s="125">
        <f>IF(Предпосылки!$H281&lt;0,I330,H358*(Предпосылки!$H281/(H$8+1-H$7)))</f>
        <v>0</v>
      </c>
      <c s="125">
        <f>IF(Предпосылки!$H281&lt;0,J330,I358*(Предпосылки!$H281/(I$8+1-I$7)))</f>
        <v>0</v>
      </c>
      <c s="125">
        <f>IF(Предпосылки!$H281&lt;0,K330,J358*(Предпосылки!$H281/(J$8+1-J$7)))</f>
        <v>0</v>
      </c>
      <c s="125">
        <f>IF(Предпосылки!$H281&lt;0,L330,K358*(Предпосылки!$H281/(K$8+1-K$7)))</f>
        <v>0</v>
      </c>
      <c s="125">
        <f>IF(Предпосылки!$H281&lt;0,M330,L358*(Предпосылки!$H281/(L$8+1-L$7)))</f>
        <v>0</v>
      </c>
      <c s="125">
        <f>IF(Предпосылки!$H281&lt;0,N330,M358*(Предпосылки!$H281/(M$8+1-M$7)))</f>
        <v>0</v>
      </c>
      <c s="125">
        <f>IF(Предпосылки!$H281&lt;0,O330,N358*(Предпосылки!$H281/(N$8+1-N$7)))</f>
        <v>0</v>
      </c>
      <c s="125">
        <f>IF(Предпосылки!$H281&lt;0,P330,O358*(Предпосылки!$H281/(O$8+1-O$7)))</f>
        <v>0</v>
      </c>
      <c s="125">
        <f>IF(Предпосылки!$H281&lt;0,Q330,P358*(Предпосылки!$H281/(P$8+1-P$7)))</f>
        <v>0</v>
      </c>
      <c s="125">
        <f>IF(Предпосылки!$H281&lt;0,R330,Q358*(Предпосылки!$H281/(Q$8+1-Q$7)))</f>
        <v>0</v>
      </c>
      <c s="125">
        <f>IF(Предпосылки!$H281&lt;0,S330,R358*(Предпосылки!$H281/(R$8+1-R$7)))</f>
        <v>0</v>
      </c>
      <c s="125">
        <f>IF(Предпосылки!$H281&lt;0,T330,S358*(Предпосылки!$H281/(S$8+1-S$7)))</f>
        <v>0</v>
      </c>
      <c s="125">
        <f>IF(Предпосылки!$H281&lt;0,U330,T358*(Предпосылки!$H281/(T$8+1-T$7)))</f>
        <v>0</v>
      </c>
      <c s="125">
        <f>IF(Предпосылки!$H281&lt;0,V330,U358*(Предпосылки!$H281/(U$8+1-U$7)))</f>
        <v>0</v>
      </c>
      <c s="125">
        <f>IF(Предпосылки!$H281&lt;0,W330,V358*(Предпосылки!$H281/(V$8+1-V$7)))</f>
        <v>0</v>
      </c>
      <c s="125">
        <f>IF(Предпосылки!$H281&lt;0,X330,W358*(Предпосылки!$H281/(W$8+1-W$7)))</f>
        <v>0</v>
      </c>
      <c s="125">
        <f>IF(Предпосылки!$H281&lt;0,Y330,X358*(Предпосылки!$H281/(X$8+1-X$7)))</f>
        <v>0</v>
      </c>
      <c s="125">
        <f>IF(Предпосылки!$H281&lt;0,Z330,Y358*(Предпосылки!$H281/(Y$8+1-Y$7)))</f>
        <v>0</v>
      </c>
      <c s="125">
        <f>IF(Предпосылки!$H281&lt;0,AA330,Z358*(Предпосылки!$H281/(Z$8+1-Z$7)))</f>
        <v>0</v>
      </c>
      <c s="125">
        <f>IF(Предпосылки!$H281&lt;0,AB330,AA358*(Предпосылки!$H281/(AA$8+1-AA$7)))</f>
        <v>0</v>
      </c>
      <c s="125">
        <f>IF(Предпосылки!$H281&lt;0,AC330,AB358*(Предпосылки!$H281/(AB$8+1-AB$7)))</f>
        <v>0</v>
      </c>
      <c s="125">
        <f>IF(Предпосылки!$H281&lt;0,AD330,AC358*(Предпосылки!$H281/(AC$8+1-AC$7)))</f>
        <v>0</v>
      </c>
      <c s="125">
        <f>IF(Предпосылки!$H281&lt;0,AE330,AD358*(Предпосылки!$H281/(AD$8+1-AD$7)))</f>
        <v>0</v>
      </c>
      <c s="125">
        <f>IF(Предпосылки!$H281&lt;0,AF330,AE358*(Предпосылки!$H281/(AE$8+1-AE$7)))</f>
        <v>0</v>
      </c>
      <c s="125">
        <f>IF(Предпосылки!$H281&lt;0,AG330,AF358*(Предпосылки!$H281/(AF$8+1-AF$7)))</f>
        <v>0</v>
      </c>
      <c s="125">
        <f>IF(Предпосылки!$H281&lt;0,AH330,AG358*(Предпосылки!$H281/(AG$8+1-AG$7)))</f>
        <v>0</v>
      </c>
      <c s="125">
        <f>IF(Предпосылки!$H281&lt;0,AI330,AH358*(Предпосылки!$H281/(AH$8+1-AH$7)))</f>
        <v>0</v>
      </c>
      <c s="125">
        <f>IF(Предпосылки!$H281&lt;0,AJ330,AI358*(Предпосылки!$H281/(AI$8+1-AI$7)))</f>
        <v>0</v>
      </c>
      <c s="125">
        <f>IF(Предпосылки!$H281&lt;0,AK330,AJ358*(Предпосылки!$H281/(AJ$8+1-AJ$7)))</f>
        <v>0</v>
      </c>
      <c s="125">
        <f>IF(Предпосылки!$H281&lt;0,AL330,AK358*(Предпосылки!$H281/(AK$8+1-AK$7)))</f>
        <v>0</v>
      </c>
      <c s="125">
        <f>IF(Предпосылки!$H281&lt;0,AM330,AL358*(Предпосылки!$H281/(AL$8+1-AL$7)))</f>
        <v>0</v>
      </c>
      <c s="125">
        <f>IF(Предпосылки!$H281&lt;0,AN330,AM358*(Предпосылки!$H281/(AM$8+1-AM$7)))</f>
        <v>0</v>
      </c>
      <c s="125">
        <f>IF(Предпосылки!$H281&lt;0,AO330,AN358*(Предпосылки!$H281/(AN$8+1-AN$7)))</f>
        <v>0</v>
      </c>
      <c s="125">
        <f>IF(Предпосылки!$H281&lt;0,AP330,AO358*(Предпосылки!$H281/(AO$8+1-AO$7)))</f>
        <v>0</v>
      </c>
      <c s="125">
        <f>IF(Предпосылки!$H281&lt;0,AQ330,AP358*(Предпосылки!$H281/(AP$8+1-AP$7)))</f>
        <v>0</v>
      </c>
      <c s="125">
        <f>IF(Предпосылки!$H281&lt;0,AR330,AQ358*(Предпосылки!$H281/(AQ$8+1-AQ$7)))</f>
        <v>0</v>
      </c>
      <c s="125">
        <f>IF(Предпосылки!$H281&lt;0,AS330,AR358*(Предпосылки!$H281/(AR$8+1-AR$7)))</f>
        <v>0</v>
      </c>
      <c s="125">
        <f>IF(Предпосылки!$H281&lt;0,AT330,AS358*(Предпосылки!$H281/(AS$8+1-AS$7)))</f>
        <v>0</v>
      </c>
      <c s="125">
        <f>IF(Предпосылки!$H281&lt;0,AU330,AT358*(Предпосылки!$H281/(AT$8+1-AT$7)))</f>
        <v>0</v>
      </c>
      <c s="125">
        <f>IF(Предпосылки!$H281&lt;0,AV330,AU358*(Предпосылки!$H281/(AU$8+1-AU$7)))</f>
        <v>0</v>
      </c>
      <c s="125">
        <f>IF(Предпосылки!$H281&lt;0,AW330,AV358*(Предпосылки!$H281/(AV$8+1-AV$7)))</f>
        <v>0</v>
      </c>
      <c s="125">
        <f>IF(Предпосылки!$H281&lt;0,AX330,AW358*(Предпосылки!$H281/(AW$8+1-AW$7)))</f>
        <v>0</v>
      </c>
      <c s="125">
        <f>IF(Предпосылки!$H281&lt;0,AY330,AX358*(Предпосылки!$H281/(AX$8+1-AX$7)))</f>
        <v>0</v>
      </c>
      <c s="125">
        <f>IF(Предпосылки!$H281&lt;0,AZ330,AY358*(Предпосылки!$H281/(AY$8+1-AY$7)))</f>
        <v>0</v>
      </c>
      <c s="125">
        <f>IF(Предпосылки!$H281&lt;0,BA330,AZ358*(Предпосылки!$H281/(AZ$8+1-AZ$7)))</f>
        <v>0</v>
      </c>
      <c s="125">
        <f>IF(Предпосылки!$H281&lt;0,BB330,BA358*(Предпосылки!$H281/(BA$8+1-BA$7)))</f>
        <v>0</v>
      </c>
      <c s="125">
        <f>IF(Предпосылки!$H281&lt;0,BC330,BB358*(Предпосылки!$H281/(BB$8+1-BB$7)))</f>
        <v>0</v>
      </c>
      <c s="125">
        <f>IF(Предпосылки!$H281&lt;0,BD330,BC358*(Предпосылки!$H281/(BC$8+1-BC$7)))</f>
        <v>0</v>
      </c>
      <c s="125">
        <f>IF(Предпосылки!$H281&lt;0,BE330,BD358*(Предпосылки!$H281/(BD$8+1-BD$7)))</f>
        <v>0</v>
      </c>
      <c s="125">
        <f>IF(Предпосылки!$H281&lt;0,BF330,BE358*(Предпосылки!$H281/(BE$8+1-BE$7)))</f>
        <v>0</v>
      </c>
      <c s="125">
        <f>IF(Предпосылки!$H281&lt;0,BG330,BF358*(Предпосылки!$H281/(BF$8+1-BF$7)))</f>
        <v>0</v>
      </c>
      <c s="125">
        <f>IF(Предпосылки!$H281&lt;0,BH330,BG358*(Предпосылки!$H281/(BG$8+1-BG$7)))</f>
        <v>0</v>
      </c>
      <c s="125">
        <f>IF(Предпосылки!$H281&lt;0,BI330,BH358*(Предпосылки!$H281/(BH$8+1-BH$7)))</f>
        <v>0</v>
      </c>
      <c s="125">
        <f>IF(Предпосылки!$H281&lt;0,BJ330,BI358*(Предпосылки!$H281/(BI$8+1-BI$7)))</f>
        <v>0</v>
      </c>
      <c s="125">
        <f>IF(Предпосылки!$H281&lt;0,BK330,BJ358*(Предпосылки!$H281/(BJ$8+1-BJ$7)))</f>
        <v>0</v>
      </c>
      <c s="125">
        <f>IF(Предпосылки!$H281&lt;0,BL330,BK358*(Предпосылки!$H281/(BK$8+1-BK$7)))</f>
        <v>0</v>
      </c>
      <c s="125">
        <f>IF(Предпосылки!$H281&lt;0,BM330,BL358*(Предпосылки!$H281/(BL$8+1-BL$7)))</f>
        <v>0</v>
      </c>
      <c s="125">
        <f>IF(Предпосылки!$H281&lt;0,BN330,BM358*(Предпосылки!$H281/(BM$8+1-BM$7)))</f>
        <v>0</v>
      </c>
    </row>
    <row r="415" spans="2:65" ht="15" customHeight="1">
      <c r="B415" s="12" t="str">
        <f t="shared" si="323"/>
        <v>-</v>
      </c>
      <c s="124" t="str">
        <f t="shared" si="322"/>
        <v>тыс. руб.</v>
      </c>
      <c s="125"/>
      <c s="125">
        <f>IF(Предпосылки!$H282&lt;0,F331,E359*(Предпосылки!$H282/(E$8+1-E$7)))</f>
        <v>0</v>
      </c>
      <c s="125">
        <f>IF(Предпосылки!$H282&lt;0,G331,F359*(Предпосылки!$H282/(F$8+1-F$7)))</f>
        <v>0</v>
      </c>
      <c s="125">
        <f>IF(Предпосылки!$H282&lt;0,H331,G359*(Предпосылки!$H282/(G$8+1-G$7)))</f>
        <v>0</v>
      </c>
      <c s="125">
        <f>IF(Предпосылки!$H282&lt;0,I331,H359*(Предпосылки!$H282/(H$8+1-H$7)))</f>
        <v>0</v>
      </c>
      <c s="125">
        <f>IF(Предпосылки!$H282&lt;0,J331,I359*(Предпосылки!$H282/(I$8+1-I$7)))</f>
        <v>0</v>
      </c>
      <c s="125">
        <f>IF(Предпосылки!$H282&lt;0,K331,J359*(Предпосылки!$H282/(J$8+1-J$7)))</f>
        <v>0</v>
      </c>
      <c s="125">
        <f>IF(Предпосылки!$H282&lt;0,L331,K359*(Предпосылки!$H282/(K$8+1-K$7)))</f>
        <v>0</v>
      </c>
      <c s="125">
        <f>IF(Предпосылки!$H282&lt;0,M331,L359*(Предпосылки!$H282/(L$8+1-L$7)))</f>
        <v>0</v>
      </c>
      <c s="125">
        <f>IF(Предпосылки!$H282&lt;0,N331,M359*(Предпосылки!$H282/(M$8+1-M$7)))</f>
        <v>0</v>
      </c>
      <c s="125">
        <f>IF(Предпосылки!$H282&lt;0,O331,N359*(Предпосылки!$H282/(N$8+1-N$7)))</f>
        <v>0</v>
      </c>
      <c s="125">
        <f>IF(Предпосылки!$H282&lt;0,P331,O359*(Предпосылки!$H282/(O$8+1-O$7)))</f>
        <v>0</v>
      </c>
      <c s="125">
        <f>IF(Предпосылки!$H282&lt;0,Q331,P359*(Предпосылки!$H282/(P$8+1-P$7)))</f>
        <v>0</v>
      </c>
      <c s="125">
        <f>IF(Предпосылки!$H282&lt;0,R331,Q359*(Предпосылки!$H282/(Q$8+1-Q$7)))</f>
        <v>0</v>
      </c>
      <c s="125">
        <f>IF(Предпосылки!$H282&lt;0,S331,R359*(Предпосылки!$H282/(R$8+1-R$7)))</f>
        <v>0</v>
      </c>
      <c s="125">
        <f>IF(Предпосылки!$H282&lt;0,T331,S359*(Предпосылки!$H282/(S$8+1-S$7)))</f>
        <v>0</v>
      </c>
      <c s="125">
        <f>IF(Предпосылки!$H282&lt;0,U331,T359*(Предпосылки!$H282/(T$8+1-T$7)))</f>
        <v>0</v>
      </c>
      <c s="125">
        <f>IF(Предпосылки!$H282&lt;0,V331,U359*(Предпосылки!$H282/(U$8+1-U$7)))</f>
        <v>0</v>
      </c>
      <c s="125">
        <f>IF(Предпосылки!$H282&lt;0,W331,V359*(Предпосылки!$H282/(V$8+1-V$7)))</f>
        <v>0</v>
      </c>
      <c s="125">
        <f>IF(Предпосылки!$H282&lt;0,X331,W359*(Предпосылки!$H282/(W$8+1-W$7)))</f>
        <v>0</v>
      </c>
      <c s="125">
        <f>IF(Предпосылки!$H282&lt;0,Y331,X359*(Предпосылки!$H282/(X$8+1-X$7)))</f>
        <v>0</v>
      </c>
      <c s="125">
        <f>IF(Предпосылки!$H282&lt;0,Z331,Y359*(Предпосылки!$H282/(Y$8+1-Y$7)))</f>
        <v>0</v>
      </c>
      <c s="125">
        <f>IF(Предпосылки!$H282&lt;0,AA331,Z359*(Предпосылки!$H282/(Z$8+1-Z$7)))</f>
        <v>0</v>
      </c>
      <c s="125">
        <f>IF(Предпосылки!$H282&lt;0,AB331,AA359*(Предпосылки!$H282/(AA$8+1-AA$7)))</f>
        <v>0</v>
      </c>
      <c s="125">
        <f>IF(Предпосылки!$H282&lt;0,AC331,AB359*(Предпосылки!$H282/(AB$8+1-AB$7)))</f>
        <v>0</v>
      </c>
      <c s="125">
        <f>IF(Предпосылки!$H282&lt;0,AD331,AC359*(Предпосылки!$H282/(AC$8+1-AC$7)))</f>
        <v>0</v>
      </c>
      <c s="125">
        <f>IF(Предпосылки!$H282&lt;0,AE331,AD359*(Предпосылки!$H282/(AD$8+1-AD$7)))</f>
        <v>0</v>
      </c>
      <c s="125">
        <f>IF(Предпосылки!$H282&lt;0,AF331,AE359*(Предпосылки!$H282/(AE$8+1-AE$7)))</f>
        <v>0</v>
      </c>
      <c s="125">
        <f>IF(Предпосылки!$H282&lt;0,AG331,AF359*(Предпосылки!$H282/(AF$8+1-AF$7)))</f>
        <v>0</v>
      </c>
      <c s="125">
        <f>IF(Предпосылки!$H282&lt;0,AH331,AG359*(Предпосылки!$H282/(AG$8+1-AG$7)))</f>
        <v>0</v>
      </c>
      <c s="125">
        <f>IF(Предпосылки!$H282&lt;0,AI331,AH359*(Предпосылки!$H282/(AH$8+1-AH$7)))</f>
        <v>0</v>
      </c>
      <c s="125">
        <f>IF(Предпосылки!$H282&lt;0,AJ331,AI359*(Предпосылки!$H282/(AI$8+1-AI$7)))</f>
        <v>0</v>
      </c>
      <c s="125">
        <f>IF(Предпосылки!$H282&lt;0,AK331,AJ359*(Предпосылки!$H282/(AJ$8+1-AJ$7)))</f>
        <v>0</v>
      </c>
      <c s="125">
        <f>IF(Предпосылки!$H282&lt;0,AL331,AK359*(Предпосылки!$H282/(AK$8+1-AK$7)))</f>
        <v>0</v>
      </c>
      <c s="125">
        <f>IF(Предпосылки!$H282&lt;0,AM331,AL359*(Предпосылки!$H282/(AL$8+1-AL$7)))</f>
        <v>0</v>
      </c>
      <c s="125">
        <f>IF(Предпосылки!$H282&lt;0,AN331,AM359*(Предпосылки!$H282/(AM$8+1-AM$7)))</f>
        <v>0</v>
      </c>
      <c s="125">
        <f>IF(Предпосылки!$H282&lt;0,AO331,AN359*(Предпосылки!$H282/(AN$8+1-AN$7)))</f>
        <v>0</v>
      </c>
      <c s="125">
        <f>IF(Предпосылки!$H282&lt;0,AP331,AO359*(Предпосылки!$H282/(AO$8+1-AO$7)))</f>
        <v>0</v>
      </c>
      <c s="125">
        <f>IF(Предпосылки!$H282&lt;0,AQ331,AP359*(Предпосылки!$H282/(AP$8+1-AP$7)))</f>
        <v>0</v>
      </c>
      <c s="125">
        <f>IF(Предпосылки!$H282&lt;0,AR331,AQ359*(Предпосылки!$H282/(AQ$8+1-AQ$7)))</f>
        <v>0</v>
      </c>
      <c s="125">
        <f>IF(Предпосылки!$H282&lt;0,AS331,AR359*(Предпосылки!$H282/(AR$8+1-AR$7)))</f>
        <v>0</v>
      </c>
      <c s="125">
        <f>IF(Предпосылки!$H282&lt;0,AT331,AS359*(Предпосылки!$H282/(AS$8+1-AS$7)))</f>
        <v>0</v>
      </c>
      <c s="125">
        <f>IF(Предпосылки!$H282&lt;0,AU331,AT359*(Предпосылки!$H282/(AT$8+1-AT$7)))</f>
        <v>0</v>
      </c>
      <c s="125">
        <f>IF(Предпосылки!$H282&lt;0,AV331,AU359*(Предпосылки!$H282/(AU$8+1-AU$7)))</f>
        <v>0</v>
      </c>
      <c s="125">
        <f>IF(Предпосылки!$H282&lt;0,AW331,AV359*(Предпосылки!$H282/(AV$8+1-AV$7)))</f>
        <v>0</v>
      </c>
      <c s="125">
        <f>IF(Предпосылки!$H282&lt;0,AX331,AW359*(Предпосылки!$H282/(AW$8+1-AW$7)))</f>
        <v>0</v>
      </c>
      <c s="125">
        <f>IF(Предпосылки!$H282&lt;0,AY331,AX359*(Предпосылки!$H282/(AX$8+1-AX$7)))</f>
        <v>0</v>
      </c>
      <c s="125">
        <f>IF(Предпосылки!$H282&lt;0,AZ331,AY359*(Предпосылки!$H282/(AY$8+1-AY$7)))</f>
        <v>0</v>
      </c>
      <c s="125">
        <f>IF(Предпосылки!$H282&lt;0,BA331,AZ359*(Предпосылки!$H282/(AZ$8+1-AZ$7)))</f>
        <v>0</v>
      </c>
      <c s="125">
        <f>IF(Предпосылки!$H282&lt;0,BB331,BA359*(Предпосылки!$H282/(BA$8+1-BA$7)))</f>
        <v>0</v>
      </c>
      <c s="125">
        <f>IF(Предпосылки!$H282&lt;0,BC331,BB359*(Предпосылки!$H282/(BB$8+1-BB$7)))</f>
        <v>0</v>
      </c>
      <c s="125">
        <f>IF(Предпосылки!$H282&lt;0,BD331,BC359*(Предпосылки!$H282/(BC$8+1-BC$7)))</f>
        <v>0</v>
      </c>
      <c s="125">
        <f>IF(Предпосылки!$H282&lt;0,BE331,BD359*(Предпосылки!$H282/(BD$8+1-BD$7)))</f>
        <v>0</v>
      </c>
      <c s="125">
        <f>IF(Предпосылки!$H282&lt;0,BF331,BE359*(Предпосылки!$H282/(BE$8+1-BE$7)))</f>
        <v>0</v>
      </c>
      <c s="125">
        <f>IF(Предпосылки!$H282&lt;0,BG331,BF359*(Предпосылки!$H282/(BF$8+1-BF$7)))</f>
        <v>0</v>
      </c>
      <c s="125">
        <f>IF(Предпосылки!$H282&lt;0,BH331,BG359*(Предпосылки!$H282/(BG$8+1-BG$7)))</f>
        <v>0</v>
      </c>
      <c s="125">
        <f>IF(Предпосылки!$H282&lt;0,BI331,BH359*(Предпосылки!$H282/(BH$8+1-BH$7)))</f>
        <v>0</v>
      </c>
      <c s="125">
        <f>IF(Предпосылки!$H282&lt;0,BJ331,BI359*(Предпосылки!$H282/(BI$8+1-BI$7)))</f>
        <v>0</v>
      </c>
      <c s="125">
        <f>IF(Предпосылки!$H282&lt;0,BK331,BJ359*(Предпосылки!$H282/(BJ$8+1-BJ$7)))</f>
        <v>0</v>
      </c>
      <c s="125">
        <f>IF(Предпосылки!$H282&lt;0,BL331,BK359*(Предпосылки!$H282/(BK$8+1-BK$7)))</f>
        <v>0</v>
      </c>
      <c s="125">
        <f>IF(Предпосылки!$H282&lt;0,BM331,BL359*(Предпосылки!$H282/(BL$8+1-BL$7)))</f>
        <v>0</v>
      </c>
      <c s="125">
        <f>IF(Предпосылки!$H282&lt;0,BN331,BM359*(Предпосылки!$H282/(BM$8+1-BM$7)))</f>
        <v>0</v>
      </c>
    </row>
    <row r="416" spans="2:65" ht="15" customHeight="1">
      <c r="B416" s="12" t="str">
        <f t="shared" si="323"/>
        <v>-</v>
      </c>
      <c s="124" t="str">
        <f t="shared" si="322"/>
        <v>тыс. руб.</v>
      </c>
      <c s="125"/>
      <c s="125">
        <f>IF(Предпосылки!$H283&lt;0,F332,E360*(Предпосылки!$H283/(E$8+1-E$7)))</f>
        <v>0</v>
      </c>
      <c s="125">
        <f>IF(Предпосылки!$H283&lt;0,G332,F360*(Предпосылки!$H283/(F$8+1-F$7)))</f>
        <v>0</v>
      </c>
      <c s="125">
        <f>IF(Предпосылки!$H283&lt;0,H332,G360*(Предпосылки!$H283/(G$8+1-G$7)))</f>
        <v>0</v>
      </c>
      <c s="125">
        <f>IF(Предпосылки!$H283&lt;0,I332,H360*(Предпосылки!$H283/(H$8+1-H$7)))</f>
        <v>0</v>
      </c>
      <c s="125">
        <f>IF(Предпосылки!$H283&lt;0,J332,I360*(Предпосылки!$H283/(I$8+1-I$7)))</f>
        <v>0</v>
      </c>
      <c s="125">
        <f>IF(Предпосылки!$H283&lt;0,K332,J360*(Предпосылки!$H283/(J$8+1-J$7)))</f>
        <v>0</v>
      </c>
      <c s="125">
        <f>IF(Предпосылки!$H283&lt;0,L332,K360*(Предпосылки!$H283/(K$8+1-K$7)))</f>
        <v>0</v>
      </c>
      <c s="125">
        <f>IF(Предпосылки!$H283&lt;0,M332,L360*(Предпосылки!$H283/(L$8+1-L$7)))</f>
        <v>0</v>
      </c>
      <c s="125">
        <f>IF(Предпосылки!$H283&lt;0,N332,M360*(Предпосылки!$H283/(M$8+1-M$7)))</f>
        <v>0</v>
      </c>
      <c s="125">
        <f>IF(Предпосылки!$H283&lt;0,O332,N360*(Предпосылки!$H283/(N$8+1-N$7)))</f>
        <v>0</v>
      </c>
      <c s="125">
        <f>IF(Предпосылки!$H283&lt;0,P332,O360*(Предпосылки!$H283/(O$8+1-O$7)))</f>
        <v>0</v>
      </c>
      <c s="125">
        <f>IF(Предпосылки!$H283&lt;0,Q332,P360*(Предпосылки!$H283/(P$8+1-P$7)))</f>
        <v>0</v>
      </c>
      <c s="125">
        <f>IF(Предпосылки!$H283&lt;0,R332,Q360*(Предпосылки!$H283/(Q$8+1-Q$7)))</f>
        <v>0</v>
      </c>
      <c s="125">
        <f>IF(Предпосылки!$H283&lt;0,S332,R360*(Предпосылки!$H283/(R$8+1-R$7)))</f>
        <v>0</v>
      </c>
      <c s="125">
        <f>IF(Предпосылки!$H283&lt;0,T332,S360*(Предпосылки!$H283/(S$8+1-S$7)))</f>
        <v>0</v>
      </c>
      <c s="125">
        <f>IF(Предпосылки!$H283&lt;0,U332,T360*(Предпосылки!$H283/(T$8+1-T$7)))</f>
        <v>0</v>
      </c>
      <c s="125">
        <f>IF(Предпосылки!$H283&lt;0,V332,U360*(Предпосылки!$H283/(U$8+1-U$7)))</f>
        <v>0</v>
      </c>
      <c s="125">
        <f>IF(Предпосылки!$H283&lt;0,W332,V360*(Предпосылки!$H283/(V$8+1-V$7)))</f>
        <v>0</v>
      </c>
      <c s="125">
        <f>IF(Предпосылки!$H283&lt;0,X332,W360*(Предпосылки!$H283/(W$8+1-W$7)))</f>
        <v>0</v>
      </c>
      <c s="125">
        <f>IF(Предпосылки!$H283&lt;0,Y332,X360*(Предпосылки!$H283/(X$8+1-X$7)))</f>
        <v>0</v>
      </c>
      <c s="125">
        <f>IF(Предпосылки!$H283&lt;0,Z332,Y360*(Предпосылки!$H283/(Y$8+1-Y$7)))</f>
        <v>0</v>
      </c>
      <c s="125">
        <f>IF(Предпосылки!$H283&lt;0,AA332,Z360*(Предпосылки!$H283/(Z$8+1-Z$7)))</f>
        <v>0</v>
      </c>
      <c s="125">
        <f>IF(Предпосылки!$H283&lt;0,AB332,AA360*(Предпосылки!$H283/(AA$8+1-AA$7)))</f>
        <v>0</v>
      </c>
      <c s="125">
        <f>IF(Предпосылки!$H283&lt;0,AC332,AB360*(Предпосылки!$H283/(AB$8+1-AB$7)))</f>
        <v>0</v>
      </c>
      <c s="125">
        <f>IF(Предпосылки!$H283&lt;0,AD332,AC360*(Предпосылки!$H283/(AC$8+1-AC$7)))</f>
        <v>0</v>
      </c>
      <c s="125">
        <f>IF(Предпосылки!$H283&lt;0,AE332,AD360*(Предпосылки!$H283/(AD$8+1-AD$7)))</f>
        <v>0</v>
      </c>
      <c s="125">
        <f>IF(Предпосылки!$H283&lt;0,AF332,AE360*(Предпосылки!$H283/(AE$8+1-AE$7)))</f>
        <v>0</v>
      </c>
      <c s="125">
        <f>IF(Предпосылки!$H283&lt;0,AG332,AF360*(Предпосылки!$H283/(AF$8+1-AF$7)))</f>
        <v>0</v>
      </c>
      <c s="125">
        <f>IF(Предпосылки!$H283&lt;0,AH332,AG360*(Предпосылки!$H283/(AG$8+1-AG$7)))</f>
        <v>0</v>
      </c>
      <c s="125">
        <f>IF(Предпосылки!$H283&lt;0,AI332,AH360*(Предпосылки!$H283/(AH$8+1-AH$7)))</f>
        <v>0</v>
      </c>
      <c s="125">
        <f>IF(Предпосылки!$H283&lt;0,AJ332,AI360*(Предпосылки!$H283/(AI$8+1-AI$7)))</f>
        <v>0</v>
      </c>
      <c s="125">
        <f>IF(Предпосылки!$H283&lt;0,AK332,AJ360*(Предпосылки!$H283/(AJ$8+1-AJ$7)))</f>
        <v>0</v>
      </c>
      <c s="125">
        <f>IF(Предпосылки!$H283&lt;0,AL332,AK360*(Предпосылки!$H283/(AK$8+1-AK$7)))</f>
        <v>0</v>
      </c>
      <c s="125">
        <f>IF(Предпосылки!$H283&lt;0,AM332,AL360*(Предпосылки!$H283/(AL$8+1-AL$7)))</f>
        <v>0</v>
      </c>
      <c s="125">
        <f>IF(Предпосылки!$H283&lt;0,AN332,AM360*(Предпосылки!$H283/(AM$8+1-AM$7)))</f>
        <v>0</v>
      </c>
      <c s="125">
        <f>IF(Предпосылки!$H283&lt;0,AO332,AN360*(Предпосылки!$H283/(AN$8+1-AN$7)))</f>
        <v>0</v>
      </c>
      <c s="125">
        <f>IF(Предпосылки!$H283&lt;0,AP332,AO360*(Предпосылки!$H283/(AO$8+1-AO$7)))</f>
        <v>0</v>
      </c>
      <c s="125">
        <f>IF(Предпосылки!$H283&lt;0,AQ332,AP360*(Предпосылки!$H283/(AP$8+1-AP$7)))</f>
        <v>0</v>
      </c>
      <c s="125">
        <f>IF(Предпосылки!$H283&lt;0,AR332,AQ360*(Предпосылки!$H283/(AQ$8+1-AQ$7)))</f>
        <v>0</v>
      </c>
      <c s="125">
        <f>IF(Предпосылки!$H283&lt;0,AS332,AR360*(Предпосылки!$H283/(AR$8+1-AR$7)))</f>
        <v>0</v>
      </c>
      <c s="125">
        <f>IF(Предпосылки!$H283&lt;0,AT332,AS360*(Предпосылки!$H283/(AS$8+1-AS$7)))</f>
        <v>0</v>
      </c>
      <c s="125">
        <f>IF(Предпосылки!$H283&lt;0,AU332,AT360*(Предпосылки!$H283/(AT$8+1-AT$7)))</f>
        <v>0</v>
      </c>
      <c s="125">
        <f>IF(Предпосылки!$H283&lt;0,AV332,AU360*(Предпосылки!$H283/(AU$8+1-AU$7)))</f>
        <v>0</v>
      </c>
      <c s="125">
        <f>IF(Предпосылки!$H283&lt;0,AW332,AV360*(Предпосылки!$H283/(AV$8+1-AV$7)))</f>
        <v>0</v>
      </c>
      <c s="125">
        <f>IF(Предпосылки!$H283&lt;0,AX332,AW360*(Предпосылки!$H283/(AW$8+1-AW$7)))</f>
        <v>0</v>
      </c>
      <c s="125">
        <f>IF(Предпосылки!$H283&lt;0,AY332,AX360*(Предпосылки!$H283/(AX$8+1-AX$7)))</f>
        <v>0</v>
      </c>
      <c s="125">
        <f>IF(Предпосылки!$H283&lt;0,AZ332,AY360*(Предпосылки!$H283/(AY$8+1-AY$7)))</f>
        <v>0</v>
      </c>
      <c s="125">
        <f>IF(Предпосылки!$H283&lt;0,BA332,AZ360*(Предпосылки!$H283/(AZ$8+1-AZ$7)))</f>
        <v>0</v>
      </c>
      <c s="125">
        <f>IF(Предпосылки!$H283&lt;0,BB332,BA360*(Предпосылки!$H283/(BA$8+1-BA$7)))</f>
        <v>0</v>
      </c>
      <c s="125">
        <f>IF(Предпосылки!$H283&lt;0,BC332,BB360*(Предпосылки!$H283/(BB$8+1-BB$7)))</f>
        <v>0</v>
      </c>
      <c s="125">
        <f>IF(Предпосылки!$H283&lt;0,BD332,BC360*(Предпосылки!$H283/(BC$8+1-BC$7)))</f>
        <v>0</v>
      </c>
      <c s="125">
        <f>IF(Предпосылки!$H283&lt;0,BE332,BD360*(Предпосылки!$H283/(BD$8+1-BD$7)))</f>
        <v>0</v>
      </c>
      <c s="125">
        <f>IF(Предпосылки!$H283&lt;0,BF332,BE360*(Предпосылки!$H283/(BE$8+1-BE$7)))</f>
        <v>0</v>
      </c>
      <c s="125">
        <f>IF(Предпосылки!$H283&lt;0,BG332,BF360*(Предпосылки!$H283/(BF$8+1-BF$7)))</f>
        <v>0</v>
      </c>
      <c s="125">
        <f>IF(Предпосылки!$H283&lt;0,BH332,BG360*(Предпосылки!$H283/(BG$8+1-BG$7)))</f>
        <v>0</v>
      </c>
      <c s="125">
        <f>IF(Предпосылки!$H283&lt;0,BI332,BH360*(Предпосылки!$H283/(BH$8+1-BH$7)))</f>
        <v>0</v>
      </c>
      <c s="125">
        <f>IF(Предпосылки!$H283&lt;0,BJ332,BI360*(Предпосылки!$H283/(BI$8+1-BI$7)))</f>
        <v>0</v>
      </c>
      <c s="125">
        <f>IF(Предпосылки!$H283&lt;0,BK332,BJ360*(Предпосылки!$H283/(BJ$8+1-BJ$7)))</f>
        <v>0</v>
      </c>
      <c s="125">
        <f>IF(Предпосылки!$H283&lt;0,BL332,BK360*(Предпосылки!$H283/(BK$8+1-BK$7)))</f>
        <v>0</v>
      </c>
      <c s="125">
        <f>IF(Предпосылки!$H283&lt;0,BM332,BL360*(Предпосылки!$H283/(BL$8+1-BL$7)))</f>
        <v>0</v>
      </c>
      <c s="125">
        <f>IF(Предпосылки!$H283&lt;0,BN332,BM360*(Предпосылки!$H283/(BM$8+1-BM$7)))</f>
        <v>0</v>
      </c>
    </row>
    <row r="417" spans="2:65" ht="15" customHeight="1">
      <c r="B417" s="12" t="str">
        <f t="shared" si="323"/>
        <v>-</v>
      </c>
      <c s="124" t="str">
        <f t="shared" si="322"/>
        <v>тыс. руб.</v>
      </c>
      <c s="125"/>
      <c s="125">
        <f>IF(Предпосылки!$H284&lt;0,F333,E361*(Предпосылки!$H284/(E$8+1-E$7)))</f>
        <v>0</v>
      </c>
      <c s="125">
        <f>IF(Предпосылки!$H284&lt;0,G333,F361*(Предпосылки!$H284/(F$8+1-F$7)))</f>
        <v>0</v>
      </c>
      <c s="125">
        <f>IF(Предпосылки!$H284&lt;0,H333,G361*(Предпосылки!$H284/(G$8+1-G$7)))</f>
        <v>0</v>
      </c>
      <c s="125">
        <f>IF(Предпосылки!$H284&lt;0,I333,H361*(Предпосылки!$H284/(H$8+1-H$7)))</f>
        <v>0</v>
      </c>
      <c s="125">
        <f>IF(Предпосылки!$H284&lt;0,J333,I361*(Предпосылки!$H284/(I$8+1-I$7)))</f>
        <v>0</v>
      </c>
      <c s="125">
        <f>IF(Предпосылки!$H284&lt;0,K333,J361*(Предпосылки!$H284/(J$8+1-J$7)))</f>
        <v>0</v>
      </c>
      <c s="125">
        <f>IF(Предпосылки!$H284&lt;0,L333,K361*(Предпосылки!$H284/(K$8+1-K$7)))</f>
        <v>0</v>
      </c>
      <c s="125">
        <f>IF(Предпосылки!$H284&lt;0,M333,L361*(Предпосылки!$H284/(L$8+1-L$7)))</f>
        <v>0</v>
      </c>
      <c s="125">
        <f>IF(Предпосылки!$H284&lt;0,N333,M361*(Предпосылки!$H284/(M$8+1-M$7)))</f>
        <v>0</v>
      </c>
      <c s="125">
        <f>IF(Предпосылки!$H284&lt;0,O333,N361*(Предпосылки!$H284/(N$8+1-N$7)))</f>
        <v>0</v>
      </c>
      <c s="125">
        <f>IF(Предпосылки!$H284&lt;0,P333,O361*(Предпосылки!$H284/(O$8+1-O$7)))</f>
        <v>0</v>
      </c>
      <c s="125">
        <f>IF(Предпосылки!$H284&lt;0,Q333,P361*(Предпосылки!$H284/(P$8+1-P$7)))</f>
        <v>0</v>
      </c>
      <c s="125">
        <f>IF(Предпосылки!$H284&lt;0,R333,Q361*(Предпосылки!$H284/(Q$8+1-Q$7)))</f>
        <v>0</v>
      </c>
      <c s="125">
        <f>IF(Предпосылки!$H284&lt;0,S333,R361*(Предпосылки!$H284/(R$8+1-R$7)))</f>
        <v>0</v>
      </c>
      <c s="125">
        <f>IF(Предпосылки!$H284&lt;0,T333,S361*(Предпосылки!$H284/(S$8+1-S$7)))</f>
        <v>0</v>
      </c>
      <c s="125">
        <f>IF(Предпосылки!$H284&lt;0,U333,T361*(Предпосылки!$H284/(T$8+1-T$7)))</f>
        <v>0</v>
      </c>
      <c s="125">
        <f>IF(Предпосылки!$H284&lt;0,V333,U361*(Предпосылки!$H284/(U$8+1-U$7)))</f>
        <v>0</v>
      </c>
      <c s="125">
        <f>IF(Предпосылки!$H284&lt;0,W333,V361*(Предпосылки!$H284/(V$8+1-V$7)))</f>
        <v>0</v>
      </c>
      <c s="125">
        <f>IF(Предпосылки!$H284&lt;0,X333,W361*(Предпосылки!$H284/(W$8+1-W$7)))</f>
        <v>0</v>
      </c>
      <c s="125">
        <f>IF(Предпосылки!$H284&lt;0,Y333,X361*(Предпосылки!$H284/(X$8+1-X$7)))</f>
        <v>0</v>
      </c>
      <c s="125">
        <f>IF(Предпосылки!$H284&lt;0,Z333,Y361*(Предпосылки!$H284/(Y$8+1-Y$7)))</f>
        <v>0</v>
      </c>
      <c s="125">
        <f>IF(Предпосылки!$H284&lt;0,AA333,Z361*(Предпосылки!$H284/(Z$8+1-Z$7)))</f>
        <v>0</v>
      </c>
      <c s="125">
        <f>IF(Предпосылки!$H284&lt;0,AB333,AA361*(Предпосылки!$H284/(AA$8+1-AA$7)))</f>
        <v>0</v>
      </c>
      <c s="125">
        <f>IF(Предпосылки!$H284&lt;0,AC333,AB361*(Предпосылки!$H284/(AB$8+1-AB$7)))</f>
        <v>0</v>
      </c>
      <c s="125">
        <f>IF(Предпосылки!$H284&lt;0,AD333,AC361*(Предпосылки!$H284/(AC$8+1-AC$7)))</f>
        <v>0</v>
      </c>
      <c s="125">
        <f>IF(Предпосылки!$H284&lt;0,AE333,AD361*(Предпосылки!$H284/(AD$8+1-AD$7)))</f>
        <v>0</v>
      </c>
      <c s="125">
        <f>IF(Предпосылки!$H284&lt;0,AF333,AE361*(Предпосылки!$H284/(AE$8+1-AE$7)))</f>
        <v>0</v>
      </c>
      <c s="125">
        <f>IF(Предпосылки!$H284&lt;0,AG333,AF361*(Предпосылки!$H284/(AF$8+1-AF$7)))</f>
        <v>0</v>
      </c>
      <c s="125">
        <f>IF(Предпосылки!$H284&lt;0,AH333,AG361*(Предпосылки!$H284/(AG$8+1-AG$7)))</f>
        <v>0</v>
      </c>
      <c s="125">
        <f>IF(Предпосылки!$H284&lt;0,AI333,AH361*(Предпосылки!$H284/(AH$8+1-AH$7)))</f>
        <v>0</v>
      </c>
      <c s="125">
        <f>IF(Предпосылки!$H284&lt;0,AJ333,AI361*(Предпосылки!$H284/(AI$8+1-AI$7)))</f>
        <v>0</v>
      </c>
      <c s="125">
        <f>IF(Предпосылки!$H284&lt;0,AK333,AJ361*(Предпосылки!$H284/(AJ$8+1-AJ$7)))</f>
        <v>0</v>
      </c>
      <c s="125">
        <f>IF(Предпосылки!$H284&lt;0,AL333,AK361*(Предпосылки!$H284/(AK$8+1-AK$7)))</f>
        <v>0</v>
      </c>
      <c s="125">
        <f>IF(Предпосылки!$H284&lt;0,AM333,AL361*(Предпосылки!$H284/(AL$8+1-AL$7)))</f>
        <v>0</v>
      </c>
      <c s="125">
        <f>IF(Предпосылки!$H284&lt;0,AN333,AM361*(Предпосылки!$H284/(AM$8+1-AM$7)))</f>
        <v>0</v>
      </c>
      <c s="125">
        <f>IF(Предпосылки!$H284&lt;0,AO333,AN361*(Предпосылки!$H284/(AN$8+1-AN$7)))</f>
        <v>0</v>
      </c>
      <c s="125">
        <f>IF(Предпосылки!$H284&lt;0,AP333,AO361*(Предпосылки!$H284/(AO$8+1-AO$7)))</f>
        <v>0</v>
      </c>
      <c s="125">
        <f>IF(Предпосылки!$H284&lt;0,AQ333,AP361*(Предпосылки!$H284/(AP$8+1-AP$7)))</f>
        <v>0</v>
      </c>
      <c s="125">
        <f>IF(Предпосылки!$H284&lt;0,AR333,AQ361*(Предпосылки!$H284/(AQ$8+1-AQ$7)))</f>
        <v>0</v>
      </c>
      <c s="125">
        <f>IF(Предпосылки!$H284&lt;0,AS333,AR361*(Предпосылки!$H284/(AR$8+1-AR$7)))</f>
        <v>0</v>
      </c>
      <c s="125">
        <f>IF(Предпосылки!$H284&lt;0,AT333,AS361*(Предпосылки!$H284/(AS$8+1-AS$7)))</f>
        <v>0</v>
      </c>
      <c s="125">
        <f>IF(Предпосылки!$H284&lt;0,AU333,AT361*(Предпосылки!$H284/(AT$8+1-AT$7)))</f>
        <v>0</v>
      </c>
      <c s="125">
        <f>IF(Предпосылки!$H284&lt;0,AV333,AU361*(Предпосылки!$H284/(AU$8+1-AU$7)))</f>
        <v>0</v>
      </c>
      <c s="125">
        <f>IF(Предпосылки!$H284&lt;0,AW333,AV361*(Предпосылки!$H284/(AV$8+1-AV$7)))</f>
        <v>0</v>
      </c>
      <c s="125">
        <f>IF(Предпосылки!$H284&lt;0,AX333,AW361*(Предпосылки!$H284/(AW$8+1-AW$7)))</f>
        <v>0</v>
      </c>
      <c s="125">
        <f>IF(Предпосылки!$H284&lt;0,AY333,AX361*(Предпосылки!$H284/(AX$8+1-AX$7)))</f>
        <v>0</v>
      </c>
      <c s="125">
        <f>IF(Предпосылки!$H284&lt;0,AZ333,AY361*(Предпосылки!$H284/(AY$8+1-AY$7)))</f>
        <v>0</v>
      </c>
      <c s="125">
        <f>IF(Предпосылки!$H284&lt;0,BA333,AZ361*(Предпосылки!$H284/(AZ$8+1-AZ$7)))</f>
        <v>0</v>
      </c>
      <c s="125">
        <f>IF(Предпосылки!$H284&lt;0,BB333,BA361*(Предпосылки!$H284/(BA$8+1-BA$7)))</f>
        <v>0</v>
      </c>
      <c s="125">
        <f>IF(Предпосылки!$H284&lt;0,BC333,BB361*(Предпосылки!$H284/(BB$8+1-BB$7)))</f>
        <v>0</v>
      </c>
      <c s="125">
        <f>IF(Предпосылки!$H284&lt;0,BD333,BC361*(Предпосылки!$H284/(BC$8+1-BC$7)))</f>
        <v>0</v>
      </c>
      <c s="125">
        <f>IF(Предпосылки!$H284&lt;0,BE333,BD361*(Предпосылки!$H284/(BD$8+1-BD$7)))</f>
        <v>0</v>
      </c>
      <c s="125">
        <f>IF(Предпосылки!$H284&lt;0,BF333,BE361*(Предпосылки!$H284/(BE$8+1-BE$7)))</f>
        <v>0</v>
      </c>
      <c s="125">
        <f>IF(Предпосылки!$H284&lt;0,BG333,BF361*(Предпосылки!$H284/(BF$8+1-BF$7)))</f>
        <v>0</v>
      </c>
      <c s="125">
        <f>IF(Предпосылки!$H284&lt;0,BH333,BG361*(Предпосылки!$H284/(BG$8+1-BG$7)))</f>
        <v>0</v>
      </c>
      <c s="125">
        <f>IF(Предпосылки!$H284&lt;0,BI333,BH361*(Предпосылки!$H284/(BH$8+1-BH$7)))</f>
        <v>0</v>
      </c>
      <c s="125">
        <f>IF(Предпосылки!$H284&lt;0,BJ333,BI361*(Предпосылки!$H284/(BI$8+1-BI$7)))</f>
        <v>0</v>
      </c>
      <c s="125">
        <f>IF(Предпосылки!$H284&lt;0,BK333,BJ361*(Предпосылки!$H284/(BJ$8+1-BJ$7)))</f>
        <v>0</v>
      </c>
      <c s="125">
        <f>IF(Предпосылки!$H284&lt;0,BL333,BK361*(Предпосылки!$H284/(BK$8+1-BK$7)))</f>
        <v>0</v>
      </c>
      <c s="125">
        <f>IF(Предпосылки!$H284&lt;0,BM333,BL361*(Предпосылки!$H284/(BL$8+1-BL$7)))</f>
        <v>0</v>
      </c>
      <c s="125">
        <f>IF(Предпосылки!$H284&lt;0,BN333,BM361*(Предпосылки!$H284/(BM$8+1-BM$7)))</f>
        <v>0</v>
      </c>
    </row>
    <row r="418" spans="2:65" ht="15" customHeight="1">
      <c r="B418" s="12" t="str">
        <f t="shared" si="323"/>
        <v>-</v>
      </c>
      <c s="124" t="str">
        <f t="shared" si="322"/>
        <v>тыс. руб.</v>
      </c>
      <c s="125"/>
      <c s="125">
        <f>IF(Предпосылки!$H285&lt;0,F334,E362*(Предпосылки!$H285/(E$8+1-E$7)))</f>
        <v>0</v>
      </c>
      <c s="125">
        <f>IF(Предпосылки!$H285&lt;0,G334,F362*(Предпосылки!$H285/(F$8+1-F$7)))</f>
        <v>0</v>
      </c>
      <c s="125">
        <f>IF(Предпосылки!$H285&lt;0,H334,G362*(Предпосылки!$H285/(G$8+1-G$7)))</f>
        <v>0</v>
      </c>
      <c s="125">
        <f>IF(Предпосылки!$H285&lt;0,I334,H362*(Предпосылки!$H285/(H$8+1-H$7)))</f>
        <v>0</v>
      </c>
      <c s="125">
        <f>IF(Предпосылки!$H285&lt;0,J334,I362*(Предпосылки!$H285/(I$8+1-I$7)))</f>
        <v>0</v>
      </c>
      <c s="125">
        <f>IF(Предпосылки!$H285&lt;0,K334,J362*(Предпосылки!$H285/(J$8+1-J$7)))</f>
        <v>0</v>
      </c>
      <c s="125">
        <f>IF(Предпосылки!$H285&lt;0,L334,K362*(Предпосылки!$H285/(K$8+1-K$7)))</f>
        <v>0</v>
      </c>
      <c s="125">
        <f>IF(Предпосылки!$H285&lt;0,M334,L362*(Предпосылки!$H285/(L$8+1-L$7)))</f>
        <v>0</v>
      </c>
      <c s="125">
        <f>IF(Предпосылки!$H285&lt;0,N334,M362*(Предпосылки!$H285/(M$8+1-M$7)))</f>
        <v>0</v>
      </c>
      <c s="125">
        <f>IF(Предпосылки!$H285&lt;0,O334,N362*(Предпосылки!$H285/(N$8+1-N$7)))</f>
        <v>0</v>
      </c>
      <c s="125">
        <f>IF(Предпосылки!$H285&lt;0,P334,O362*(Предпосылки!$H285/(O$8+1-O$7)))</f>
        <v>0</v>
      </c>
      <c s="125">
        <f>IF(Предпосылки!$H285&lt;0,Q334,P362*(Предпосылки!$H285/(P$8+1-P$7)))</f>
        <v>0</v>
      </c>
      <c s="125">
        <f>IF(Предпосылки!$H285&lt;0,R334,Q362*(Предпосылки!$H285/(Q$8+1-Q$7)))</f>
        <v>0</v>
      </c>
      <c s="125">
        <f>IF(Предпосылки!$H285&lt;0,S334,R362*(Предпосылки!$H285/(R$8+1-R$7)))</f>
        <v>0</v>
      </c>
      <c s="125">
        <f>IF(Предпосылки!$H285&lt;0,T334,S362*(Предпосылки!$H285/(S$8+1-S$7)))</f>
        <v>0</v>
      </c>
      <c s="125">
        <f>IF(Предпосылки!$H285&lt;0,U334,T362*(Предпосылки!$H285/(T$8+1-T$7)))</f>
        <v>0</v>
      </c>
      <c s="125">
        <f>IF(Предпосылки!$H285&lt;0,V334,U362*(Предпосылки!$H285/(U$8+1-U$7)))</f>
        <v>0</v>
      </c>
      <c s="125">
        <f>IF(Предпосылки!$H285&lt;0,W334,V362*(Предпосылки!$H285/(V$8+1-V$7)))</f>
        <v>0</v>
      </c>
      <c s="125">
        <f>IF(Предпосылки!$H285&lt;0,X334,W362*(Предпосылки!$H285/(W$8+1-W$7)))</f>
        <v>0</v>
      </c>
      <c s="125">
        <f>IF(Предпосылки!$H285&lt;0,Y334,X362*(Предпосылки!$H285/(X$8+1-X$7)))</f>
        <v>0</v>
      </c>
      <c s="125">
        <f>IF(Предпосылки!$H285&lt;0,Z334,Y362*(Предпосылки!$H285/(Y$8+1-Y$7)))</f>
        <v>0</v>
      </c>
      <c s="125">
        <f>IF(Предпосылки!$H285&lt;0,AA334,Z362*(Предпосылки!$H285/(Z$8+1-Z$7)))</f>
        <v>0</v>
      </c>
      <c s="125">
        <f>IF(Предпосылки!$H285&lt;0,AB334,AA362*(Предпосылки!$H285/(AA$8+1-AA$7)))</f>
        <v>0</v>
      </c>
      <c s="125">
        <f>IF(Предпосылки!$H285&lt;0,AC334,AB362*(Предпосылки!$H285/(AB$8+1-AB$7)))</f>
        <v>0</v>
      </c>
      <c s="125">
        <f>IF(Предпосылки!$H285&lt;0,AD334,AC362*(Предпосылки!$H285/(AC$8+1-AC$7)))</f>
        <v>0</v>
      </c>
      <c s="125">
        <f>IF(Предпосылки!$H285&lt;0,AE334,AD362*(Предпосылки!$H285/(AD$8+1-AD$7)))</f>
        <v>0</v>
      </c>
      <c s="125">
        <f>IF(Предпосылки!$H285&lt;0,AF334,AE362*(Предпосылки!$H285/(AE$8+1-AE$7)))</f>
        <v>0</v>
      </c>
      <c s="125">
        <f>IF(Предпосылки!$H285&lt;0,AG334,AF362*(Предпосылки!$H285/(AF$8+1-AF$7)))</f>
        <v>0</v>
      </c>
      <c s="125">
        <f>IF(Предпосылки!$H285&lt;0,AH334,AG362*(Предпосылки!$H285/(AG$8+1-AG$7)))</f>
        <v>0</v>
      </c>
      <c s="125">
        <f>IF(Предпосылки!$H285&lt;0,AI334,AH362*(Предпосылки!$H285/(AH$8+1-AH$7)))</f>
        <v>0</v>
      </c>
      <c s="125">
        <f>IF(Предпосылки!$H285&lt;0,AJ334,AI362*(Предпосылки!$H285/(AI$8+1-AI$7)))</f>
        <v>0</v>
      </c>
      <c s="125">
        <f>IF(Предпосылки!$H285&lt;0,AK334,AJ362*(Предпосылки!$H285/(AJ$8+1-AJ$7)))</f>
        <v>0</v>
      </c>
      <c s="125">
        <f>IF(Предпосылки!$H285&lt;0,AL334,AK362*(Предпосылки!$H285/(AK$8+1-AK$7)))</f>
        <v>0</v>
      </c>
      <c s="125">
        <f>IF(Предпосылки!$H285&lt;0,AM334,AL362*(Предпосылки!$H285/(AL$8+1-AL$7)))</f>
        <v>0</v>
      </c>
      <c s="125">
        <f>IF(Предпосылки!$H285&lt;0,AN334,AM362*(Предпосылки!$H285/(AM$8+1-AM$7)))</f>
        <v>0</v>
      </c>
      <c s="125">
        <f>IF(Предпосылки!$H285&lt;0,AO334,AN362*(Предпосылки!$H285/(AN$8+1-AN$7)))</f>
        <v>0</v>
      </c>
      <c s="125">
        <f>IF(Предпосылки!$H285&lt;0,AP334,AO362*(Предпосылки!$H285/(AO$8+1-AO$7)))</f>
        <v>0</v>
      </c>
      <c s="125">
        <f>IF(Предпосылки!$H285&lt;0,AQ334,AP362*(Предпосылки!$H285/(AP$8+1-AP$7)))</f>
        <v>0</v>
      </c>
      <c s="125">
        <f>IF(Предпосылки!$H285&lt;0,AR334,AQ362*(Предпосылки!$H285/(AQ$8+1-AQ$7)))</f>
        <v>0</v>
      </c>
      <c s="125">
        <f>IF(Предпосылки!$H285&lt;0,AS334,AR362*(Предпосылки!$H285/(AR$8+1-AR$7)))</f>
        <v>0</v>
      </c>
      <c s="125">
        <f>IF(Предпосылки!$H285&lt;0,AT334,AS362*(Предпосылки!$H285/(AS$8+1-AS$7)))</f>
        <v>0</v>
      </c>
      <c s="125">
        <f>IF(Предпосылки!$H285&lt;0,AU334,AT362*(Предпосылки!$H285/(AT$8+1-AT$7)))</f>
        <v>0</v>
      </c>
      <c s="125">
        <f>IF(Предпосылки!$H285&lt;0,AV334,AU362*(Предпосылки!$H285/(AU$8+1-AU$7)))</f>
        <v>0</v>
      </c>
      <c s="125">
        <f>IF(Предпосылки!$H285&lt;0,AW334,AV362*(Предпосылки!$H285/(AV$8+1-AV$7)))</f>
        <v>0</v>
      </c>
      <c s="125">
        <f>IF(Предпосылки!$H285&lt;0,AX334,AW362*(Предпосылки!$H285/(AW$8+1-AW$7)))</f>
        <v>0</v>
      </c>
      <c s="125">
        <f>IF(Предпосылки!$H285&lt;0,AY334,AX362*(Предпосылки!$H285/(AX$8+1-AX$7)))</f>
        <v>0</v>
      </c>
      <c s="125">
        <f>IF(Предпосылки!$H285&lt;0,AZ334,AY362*(Предпосылки!$H285/(AY$8+1-AY$7)))</f>
        <v>0</v>
      </c>
      <c s="125">
        <f>IF(Предпосылки!$H285&lt;0,BA334,AZ362*(Предпосылки!$H285/(AZ$8+1-AZ$7)))</f>
        <v>0</v>
      </c>
      <c s="125">
        <f>IF(Предпосылки!$H285&lt;0,BB334,BA362*(Предпосылки!$H285/(BA$8+1-BA$7)))</f>
        <v>0</v>
      </c>
      <c s="125">
        <f>IF(Предпосылки!$H285&lt;0,BC334,BB362*(Предпосылки!$H285/(BB$8+1-BB$7)))</f>
        <v>0</v>
      </c>
      <c s="125">
        <f>IF(Предпосылки!$H285&lt;0,BD334,BC362*(Предпосылки!$H285/(BC$8+1-BC$7)))</f>
        <v>0</v>
      </c>
      <c s="125">
        <f>IF(Предпосылки!$H285&lt;0,BE334,BD362*(Предпосылки!$H285/(BD$8+1-BD$7)))</f>
        <v>0</v>
      </c>
      <c s="125">
        <f>IF(Предпосылки!$H285&lt;0,BF334,BE362*(Предпосылки!$H285/(BE$8+1-BE$7)))</f>
        <v>0</v>
      </c>
      <c s="125">
        <f>IF(Предпосылки!$H285&lt;0,BG334,BF362*(Предпосылки!$H285/(BF$8+1-BF$7)))</f>
        <v>0</v>
      </c>
      <c s="125">
        <f>IF(Предпосылки!$H285&lt;0,BH334,BG362*(Предпосылки!$H285/(BG$8+1-BG$7)))</f>
        <v>0</v>
      </c>
      <c s="125">
        <f>IF(Предпосылки!$H285&lt;0,BI334,BH362*(Предпосылки!$H285/(BH$8+1-BH$7)))</f>
        <v>0</v>
      </c>
      <c s="125">
        <f>IF(Предпосылки!$H285&lt;0,BJ334,BI362*(Предпосылки!$H285/(BI$8+1-BI$7)))</f>
        <v>0</v>
      </c>
      <c s="125">
        <f>IF(Предпосылки!$H285&lt;0,BK334,BJ362*(Предпосылки!$H285/(BJ$8+1-BJ$7)))</f>
        <v>0</v>
      </c>
      <c s="125">
        <f>IF(Предпосылки!$H285&lt;0,BL334,BK362*(Предпосылки!$H285/(BK$8+1-BK$7)))</f>
        <v>0</v>
      </c>
      <c s="125">
        <f>IF(Предпосылки!$H285&lt;0,BM334,BL362*(Предпосылки!$H285/(BL$8+1-BL$7)))</f>
        <v>0</v>
      </c>
      <c s="125">
        <f>IF(Предпосылки!$H285&lt;0,BN334,BM362*(Предпосылки!$H285/(BM$8+1-BM$7)))</f>
        <v>0</v>
      </c>
    </row>
    <row r="419" spans="2:65" ht="15" customHeight="1">
      <c r="B419" s="12" t="str">
        <f t="shared" si="323"/>
        <v>-</v>
      </c>
      <c s="124" t="str">
        <f t="shared" si="322"/>
        <v>тыс. руб.</v>
      </c>
      <c s="125"/>
      <c s="125">
        <f>IF(Предпосылки!$H286&lt;0,F335,E363*(Предпосылки!$H286/(E$8+1-E$7)))</f>
        <v>0</v>
      </c>
      <c s="125">
        <f>IF(Предпосылки!$H286&lt;0,G335,F363*(Предпосылки!$H286/(F$8+1-F$7)))</f>
        <v>0</v>
      </c>
      <c s="125">
        <f>IF(Предпосылки!$H286&lt;0,H335,G363*(Предпосылки!$H286/(G$8+1-G$7)))</f>
        <v>0</v>
      </c>
      <c s="125">
        <f>IF(Предпосылки!$H286&lt;0,I335,H363*(Предпосылки!$H286/(H$8+1-H$7)))</f>
        <v>0</v>
      </c>
      <c s="125">
        <f>IF(Предпосылки!$H286&lt;0,J335,I363*(Предпосылки!$H286/(I$8+1-I$7)))</f>
        <v>0</v>
      </c>
      <c s="125">
        <f>IF(Предпосылки!$H286&lt;0,K335,J363*(Предпосылки!$H286/(J$8+1-J$7)))</f>
        <v>0</v>
      </c>
      <c s="125">
        <f>IF(Предпосылки!$H286&lt;0,L335,K363*(Предпосылки!$H286/(K$8+1-K$7)))</f>
        <v>0</v>
      </c>
      <c s="125">
        <f>IF(Предпосылки!$H286&lt;0,M335,L363*(Предпосылки!$H286/(L$8+1-L$7)))</f>
        <v>0</v>
      </c>
      <c s="125">
        <f>IF(Предпосылки!$H286&lt;0,N335,M363*(Предпосылки!$H286/(M$8+1-M$7)))</f>
        <v>0</v>
      </c>
      <c s="125">
        <f>IF(Предпосылки!$H286&lt;0,O335,N363*(Предпосылки!$H286/(N$8+1-N$7)))</f>
        <v>0</v>
      </c>
      <c s="125">
        <f>IF(Предпосылки!$H286&lt;0,P335,O363*(Предпосылки!$H286/(O$8+1-O$7)))</f>
        <v>0</v>
      </c>
      <c s="125">
        <f>IF(Предпосылки!$H286&lt;0,Q335,P363*(Предпосылки!$H286/(P$8+1-P$7)))</f>
        <v>0</v>
      </c>
      <c s="125">
        <f>IF(Предпосылки!$H286&lt;0,R335,Q363*(Предпосылки!$H286/(Q$8+1-Q$7)))</f>
        <v>0</v>
      </c>
      <c s="125">
        <f>IF(Предпосылки!$H286&lt;0,S335,R363*(Предпосылки!$H286/(R$8+1-R$7)))</f>
        <v>0</v>
      </c>
      <c s="125">
        <f>IF(Предпосылки!$H286&lt;0,T335,S363*(Предпосылки!$H286/(S$8+1-S$7)))</f>
        <v>0</v>
      </c>
      <c s="125">
        <f>IF(Предпосылки!$H286&lt;0,U335,T363*(Предпосылки!$H286/(T$8+1-T$7)))</f>
        <v>0</v>
      </c>
      <c s="125">
        <f>IF(Предпосылки!$H286&lt;0,V335,U363*(Предпосылки!$H286/(U$8+1-U$7)))</f>
        <v>0</v>
      </c>
      <c s="125">
        <f>IF(Предпосылки!$H286&lt;0,W335,V363*(Предпосылки!$H286/(V$8+1-V$7)))</f>
        <v>0</v>
      </c>
      <c s="125">
        <f>IF(Предпосылки!$H286&lt;0,X335,W363*(Предпосылки!$H286/(W$8+1-W$7)))</f>
        <v>0</v>
      </c>
      <c s="125">
        <f>IF(Предпосылки!$H286&lt;0,Y335,X363*(Предпосылки!$H286/(X$8+1-X$7)))</f>
        <v>0</v>
      </c>
      <c s="125">
        <f>IF(Предпосылки!$H286&lt;0,Z335,Y363*(Предпосылки!$H286/(Y$8+1-Y$7)))</f>
        <v>0</v>
      </c>
      <c s="125">
        <f>IF(Предпосылки!$H286&lt;0,AA335,Z363*(Предпосылки!$H286/(Z$8+1-Z$7)))</f>
        <v>0</v>
      </c>
      <c s="125">
        <f>IF(Предпосылки!$H286&lt;0,AB335,AA363*(Предпосылки!$H286/(AA$8+1-AA$7)))</f>
        <v>0</v>
      </c>
      <c s="125">
        <f>IF(Предпосылки!$H286&lt;0,AC335,AB363*(Предпосылки!$H286/(AB$8+1-AB$7)))</f>
        <v>0</v>
      </c>
      <c s="125">
        <f>IF(Предпосылки!$H286&lt;0,AD335,AC363*(Предпосылки!$H286/(AC$8+1-AC$7)))</f>
        <v>0</v>
      </c>
      <c s="125">
        <f>IF(Предпосылки!$H286&lt;0,AE335,AD363*(Предпосылки!$H286/(AD$8+1-AD$7)))</f>
        <v>0</v>
      </c>
      <c s="125">
        <f>IF(Предпосылки!$H286&lt;0,AF335,AE363*(Предпосылки!$H286/(AE$8+1-AE$7)))</f>
        <v>0</v>
      </c>
      <c s="125">
        <f>IF(Предпосылки!$H286&lt;0,AG335,AF363*(Предпосылки!$H286/(AF$8+1-AF$7)))</f>
        <v>0</v>
      </c>
      <c s="125">
        <f>IF(Предпосылки!$H286&lt;0,AH335,AG363*(Предпосылки!$H286/(AG$8+1-AG$7)))</f>
        <v>0</v>
      </c>
      <c s="125">
        <f>IF(Предпосылки!$H286&lt;0,AI335,AH363*(Предпосылки!$H286/(AH$8+1-AH$7)))</f>
        <v>0</v>
      </c>
      <c s="125">
        <f>IF(Предпосылки!$H286&lt;0,AJ335,AI363*(Предпосылки!$H286/(AI$8+1-AI$7)))</f>
        <v>0</v>
      </c>
      <c s="125">
        <f>IF(Предпосылки!$H286&lt;0,AK335,AJ363*(Предпосылки!$H286/(AJ$8+1-AJ$7)))</f>
        <v>0</v>
      </c>
      <c s="125">
        <f>IF(Предпосылки!$H286&lt;0,AL335,AK363*(Предпосылки!$H286/(AK$8+1-AK$7)))</f>
        <v>0</v>
      </c>
      <c s="125">
        <f>IF(Предпосылки!$H286&lt;0,AM335,AL363*(Предпосылки!$H286/(AL$8+1-AL$7)))</f>
        <v>0</v>
      </c>
      <c s="125">
        <f>IF(Предпосылки!$H286&lt;0,AN335,AM363*(Предпосылки!$H286/(AM$8+1-AM$7)))</f>
        <v>0</v>
      </c>
      <c s="125">
        <f>IF(Предпосылки!$H286&lt;0,AO335,AN363*(Предпосылки!$H286/(AN$8+1-AN$7)))</f>
        <v>0</v>
      </c>
      <c s="125">
        <f>IF(Предпосылки!$H286&lt;0,AP335,AO363*(Предпосылки!$H286/(AO$8+1-AO$7)))</f>
        <v>0</v>
      </c>
      <c s="125">
        <f>IF(Предпосылки!$H286&lt;0,AQ335,AP363*(Предпосылки!$H286/(AP$8+1-AP$7)))</f>
        <v>0</v>
      </c>
      <c s="125">
        <f>IF(Предпосылки!$H286&lt;0,AR335,AQ363*(Предпосылки!$H286/(AQ$8+1-AQ$7)))</f>
        <v>0</v>
      </c>
      <c s="125">
        <f>IF(Предпосылки!$H286&lt;0,AS335,AR363*(Предпосылки!$H286/(AR$8+1-AR$7)))</f>
        <v>0</v>
      </c>
      <c s="125">
        <f>IF(Предпосылки!$H286&lt;0,AT335,AS363*(Предпосылки!$H286/(AS$8+1-AS$7)))</f>
        <v>0</v>
      </c>
      <c s="125">
        <f>IF(Предпосылки!$H286&lt;0,AU335,AT363*(Предпосылки!$H286/(AT$8+1-AT$7)))</f>
        <v>0</v>
      </c>
      <c s="125">
        <f>IF(Предпосылки!$H286&lt;0,AV335,AU363*(Предпосылки!$H286/(AU$8+1-AU$7)))</f>
        <v>0</v>
      </c>
      <c s="125">
        <f>IF(Предпосылки!$H286&lt;0,AW335,AV363*(Предпосылки!$H286/(AV$8+1-AV$7)))</f>
        <v>0</v>
      </c>
      <c s="125">
        <f>IF(Предпосылки!$H286&lt;0,AX335,AW363*(Предпосылки!$H286/(AW$8+1-AW$7)))</f>
        <v>0</v>
      </c>
      <c s="125">
        <f>IF(Предпосылки!$H286&lt;0,AY335,AX363*(Предпосылки!$H286/(AX$8+1-AX$7)))</f>
        <v>0</v>
      </c>
      <c s="125">
        <f>IF(Предпосылки!$H286&lt;0,AZ335,AY363*(Предпосылки!$H286/(AY$8+1-AY$7)))</f>
        <v>0</v>
      </c>
      <c s="125">
        <f>IF(Предпосылки!$H286&lt;0,BA335,AZ363*(Предпосылки!$H286/(AZ$8+1-AZ$7)))</f>
        <v>0</v>
      </c>
      <c s="125">
        <f>IF(Предпосылки!$H286&lt;0,BB335,BA363*(Предпосылки!$H286/(BA$8+1-BA$7)))</f>
        <v>0</v>
      </c>
      <c s="125">
        <f>IF(Предпосылки!$H286&lt;0,BC335,BB363*(Предпосылки!$H286/(BB$8+1-BB$7)))</f>
        <v>0</v>
      </c>
      <c s="125">
        <f>IF(Предпосылки!$H286&lt;0,BD335,BC363*(Предпосылки!$H286/(BC$8+1-BC$7)))</f>
        <v>0</v>
      </c>
      <c s="125">
        <f>IF(Предпосылки!$H286&lt;0,BE335,BD363*(Предпосылки!$H286/(BD$8+1-BD$7)))</f>
        <v>0</v>
      </c>
      <c s="125">
        <f>IF(Предпосылки!$H286&lt;0,BF335,BE363*(Предпосылки!$H286/(BE$8+1-BE$7)))</f>
        <v>0</v>
      </c>
      <c s="125">
        <f>IF(Предпосылки!$H286&lt;0,BG335,BF363*(Предпосылки!$H286/(BF$8+1-BF$7)))</f>
        <v>0</v>
      </c>
      <c s="125">
        <f>IF(Предпосылки!$H286&lt;0,BH335,BG363*(Предпосылки!$H286/(BG$8+1-BG$7)))</f>
        <v>0</v>
      </c>
      <c s="125">
        <f>IF(Предпосылки!$H286&lt;0,BI335,BH363*(Предпосылки!$H286/(BH$8+1-BH$7)))</f>
        <v>0</v>
      </c>
      <c s="125">
        <f>IF(Предпосылки!$H286&lt;0,BJ335,BI363*(Предпосылки!$H286/(BI$8+1-BI$7)))</f>
        <v>0</v>
      </c>
      <c s="125">
        <f>IF(Предпосылки!$H286&lt;0,BK335,BJ363*(Предпосылки!$H286/(BJ$8+1-BJ$7)))</f>
        <v>0</v>
      </c>
      <c s="125">
        <f>IF(Предпосылки!$H286&lt;0,BL335,BK363*(Предпосылки!$H286/(BK$8+1-BK$7)))</f>
        <v>0</v>
      </c>
      <c s="125">
        <f>IF(Предпосылки!$H286&lt;0,BM335,BL363*(Предпосылки!$H286/(BL$8+1-BL$7)))</f>
        <v>0</v>
      </c>
      <c s="125">
        <f>IF(Предпосылки!$H286&lt;0,BN335,BM363*(Предпосылки!$H286/(BM$8+1-BM$7)))</f>
        <v>0</v>
      </c>
    </row>
    <row r="420" spans="2:65" ht="15" customHeight="1">
      <c r="B420" s="12" t="str">
        <f t="shared" si="323"/>
        <v>-</v>
      </c>
      <c s="124" t="str">
        <f t="shared" si="322"/>
        <v>тыс. руб.</v>
      </c>
      <c s="125"/>
      <c s="125">
        <f>IF(Предпосылки!$H287&lt;0,F336,E364*(Предпосылки!$H287/(E$8+1-E$7)))</f>
        <v>0</v>
      </c>
      <c s="125">
        <f>IF(Предпосылки!$H287&lt;0,G336,F364*(Предпосылки!$H287/(F$8+1-F$7)))</f>
        <v>0</v>
      </c>
      <c s="125">
        <f>IF(Предпосылки!$H287&lt;0,H336,G364*(Предпосылки!$H287/(G$8+1-G$7)))</f>
        <v>0</v>
      </c>
      <c s="125">
        <f>IF(Предпосылки!$H287&lt;0,I336,H364*(Предпосылки!$H287/(H$8+1-H$7)))</f>
        <v>0</v>
      </c>
      <c s="125">
        <f>IF(Предпосылки!$H287&lt;0,J336,I364*(Предпосылки!$H287/(I$8+1-I$7)))</f>
        <v>0</v>
      </c>
      <c s="125">
        <f>IF(Предпосылки!$H287&lt;0,K336,J364*(Предпосылки!$H287/(J$8+1-J$7)))</f>
        <v>0</v>
      </c>
      <c s="125">
        <f>IF(Предпосылки!$H287&lt;0,L336,K364*(Предпосылки!$H287/(K$8+1-K$7)))</f>
        <v>0</v>
      </c>
      <c s="125">
        <f>IF(Предпосылки!$H287&lt;0,M336,L364*(Предпосылки!$H287/(L$8+1-L$7)))</f>
        <v>0</v>
      </c>
      <c s="125">
        <f>IF(Предпосылки!$H287&lt;0,N336,M364*(Предпосылки!$H287/(M$8+1-M$7)))</f>
        <v>0</v>
      </c>
      <c s="125">
        <f>IF(Предпосылки!$H287&lt;0,O336,N364*(Предпосылки!$H287/(N$8+1-N$7)))</f>
        <v>0</v>
      </c>
      <c s="125">
        <f>IF(Предпосылки!$H287&lt;0,P336,O364*(Предпосылки!$H287/(O$8+1-O$7)))</f>
        <v>0</v>
      </c>
      <c s="125">
        <f>IF(Предпосылки!$H287&lt;0,Q336,P364*(Предпосылки!$H287/(P$8+1-P$7)))</f>
        <v>0</v>
      </c>
      <c s="125">
        <f>IF(Предпосылки!$H287&lt;0,R336,Q364*(Предпосылки!$H287/(Q$8+1-Q$7)))</f>
        <v>0</v>
      </c>
      <c s="125">
        <f>IF(Предпосылки!$H287&lt;0,S336,R364*(Предпосылки!$H287/(R$8+1-R$7)))</f>
        <v>0</v>
      </c>
      <c s="125">
        <f>IF(Предпосылки!$H287&lt;0,T336,S364*(Предпосылки!$H287/(S$8+1-S$7)))</f>
        <v>0</v>
      </c>
      <c s="125">
        <f>IF(Предпосылки!$H287&lt;0,U336,T364*(Предпосылки!$H287/(T$8+1-T$7)))</f>
        <v>0</v>
      </c>
      <c s="125">
        <f>IF(Предпосылки!$H287&lt;0,V336,U364*(Предпосылки!$H287/(U$8+1-U$7)))</f>
        <v>0</v>
      </c>
      <c s="125">
        <f>IF(Предпосылки!$H287&lt;0,W336,V364*(Предпосылки!$H287/(V$8+1-V$7)))</f>
        <v>0</v>
      </c>
      <c s="125">
        <f>IF(Предпосылки!$H287&lt;0,X336,W364*(Предпосылки!$H287/(W$8+1-W$7)))</f>
        <v>0</v>
      </c>
      <c s="125">
        <f>IF(Предпосылки!$H287&lt;0,Y336,X364*(Предпосылки!$H287/(X$8+1-X$7)))</f>
        <v>0</v>
      </c>
      <c s="125">
        <f>IF(Предпосылки!$H287&lt;0,Z336,Y364*(Предпосылки!$H287/(Y$8+1-Y$7)))</f>
        <v>0</v>
      </c>
      <c s="125">
        <f>IF(Предпосылки!$H287&lt;0,AA336,Z364*(Предпосылки!$H287/(Z$8+1-Z$7)))</f>
        <v>0</v>
      </c>
      <c s="125">
        <f>IF(Предпосылки!$H287&lt;0,AB336,AA364*(Предпосылки!$H287/(AA$8+1-AA$7)))</f>
        <v>0</v>
      </c>
      <c s="125">
        <f>IF(Предпосылки!$H287&lt;0,AC336,AB364*(Предпосылки!$H287/(AB$8+1-AB$7)))</f>
        <v>0</v>
      </c>
      <c s="125">
        <f>IF(Предпосылки!$H287&lt;0,AD336,AC364*(Предпосылки!$H287/(AC$8+1-AC$7)))</f>
        <v>0</v>
      </c>
      <c s="125">
        <f>IF(Предпосылки!$H287&lt;0,AE336,AD364*(Предпосылки!$H287/(AD$8+1-AD$7)))</f>
        <v>0</v>
      </c>
      <c s="125">
        <f>IF(Предпосылки!$H287&lt;0,AF336,AE364*(Предпосылки!$H287/(AE$8+1-AE$7)))</f>
        <v>0</v>
      </c>
      <c s="125">
        <f>IF(Предпосылки!$H287&lt;0,AG336,AF364*(Предпосылки!$H287/(AF$8+1-AF$7)))</f>
        <v>0</v>
      </c>
      <c s="125">
        <f>IF(Предпосылки!$H287&lt;0,AH336,AG364*(Предпосылки!$H287/(AG$8+1-AG$7)))</f>
        <v>0</v>
      </c>
      <c s="125">
        <f>IF(Предпосылки!$H287&lt;0,AI336,AH364*(Предпосылки!$H287/(AH$8+1-AH$7)))</f>
        <v>0</v>
      </c>
      <c s="125">
        <f>IF(Предпосылки!$H287&lt;0,AJ336,AI364*(Предпосылки!$H287/(AI$8+1-AI$7)))</f>
        <v>0</v>
      </c>
      <c s="125">
        <f>IF(Предпосылки!$H287&lt;0,AK336,AJ364*(Предпосылки!$H287/(AJ$8+1-AJ$7)))</f>
        <v>0</v>
      </c>
      <c s="125">
        <f>IF(Предпосылки!$H287&lt;0,AL336,AK364*(Предпосылки!$H287/(AK$8+1-AK$7)))</f>
        <v>0</v>
      </c>
      <c s="125">
        <f>IF(Предпосылки!$H287&lt;0,AM336,AL364*(Предпосылки!$H287/(AL$8+1-AL$7)))</f>
        <v>0</v>
      </c>
      <c s="125">
        <f>IF(Предпосылки!$H287&lt;0,AN336,AM364*(Предпосылки!$H287/(AM$8+1-AM$7)))</f>
        <v>0</v>
      </c>
      <c s="125">
        <f>IF(Предпосылки!$H287&lt;0,AO336,AN364*(Предпосылки!$H287/(AN$8+1-AN$7)))</f>
        <v>0</v>
      </c>
      <c s="125">
        <f>IF(Предпосылки!$H287&lt;0,AP336,AO364*(Предпосылки!$H287/(AO$8+1-AO$7)))</f>
        <v>0</v>
      </c>
      <c s="125">
        <f>IF(Предпосылки!$H287&lt;0,AQ336,AP364*(Предпосылки!$H287/(AP$8+1-AP$7)))</f>
        <v>0</v>
      </c>
      <c s="125">
        <f>IF(Предпосылки!$H287&lt;0,AR336,AQ364*(Предпосылки!$H287/(AQ$8+1-AQ$7)))</f>
        <v>0</v>
      </c>
      <c s="125">
        <f>IF(Предпосылки!$H287&lt;0,AS336,AR364*(Предпосылки!$H287/(AR$8+1-AR$7)))</f>
        <v>0</v>
      </c>
      <c s="125">
        <f>IF(Предпосылки!$H287&lt;0,AT336,AS364*(Предпосылки!$H287/(AS$8+1-AS$7)))</f>
        <v>0</v>
      </c>
      <c s="125">
        <f>IF(Предпосылки!$H287&lt;0,AU336,AT364*(Предпосылки!$H287/(AT$8+1-AT$7)))</f>
        <v>0</v>
      </c>
      <c s="125">
        <f>IF(Предпосылки!$H287&lt;0,AV336,AU364*(Предпосылки!$H287/(AU$8+1-AU$7)))</f>
        <v>0</v>
      </c>
      <c s="125">
        <f>IF(Предпосылки!$H287&lt;0,AW336,AV364*(Предпосылки!$H287/(AV$8+1-AV$7)))</f>
        <v>0</v>
      </c>
      <c s="125">
        <f>IF(Предпосылки!$H287&lt;0,AX336,AW364*(Предпосылки!$H287/(AW$8+1-AW$7)))</f>
        <v>0</v>
      </c>
      <c s="125">
        <f>IF(Предпосылки!$H287&lt;0,AY336,AX364*(Предпосылки!$H287/(AX$8+1-AX$7)))</f>
        <v>0</v>
      </c>
      <c s="125">
        <f>IF(Предпосылки!$H287&lt;0,AZ336,AY364*(Предпосылки!$H287/(AY$8+1-AY$7)))</f>
        <v>0</v>
      </c>
      <c s="125">
        <f>IF(Предпосылки!$H287&lt;0,BA336,AZ364*(Предпосылки!$H287/(AZ$8+1-AZ$7)))</f>
        <v>0</v>
      </c>
      <c s="125">
        <f>IF(Предпосылки!$H287&lt;0,BB336,BA364*(Предпосылки!$H287/(BA$8+1-BA$7)))</f>
        <v>0</v>
      </c>
      <c s="125">
        <f>IF(Предпосылки!$H287&lt;0,BC336,BB364*(Предпосылки!$H287/(BB$8+1-BB$7)))</f>
        <v>0</v>
      </c>
      <c s="125">
        <f>IF(Предпосылки!$H287&lt;0,BD336,BC364*(Предпосылки!$H287/(BC$8+1-BC$7)))</f>
        <v>0</v>
      </c>
      <c s="125">
        <f>IF(Предпосылки!$H287&lt;0,BE336,BD364*(Предпосылки!$H287/(BD$8+1-BD$7)))</f>
        <v>0</v>
      </c>
      <c s="125">
        <f>IF(Предпосылки!$H287&lt;0,BF336,BE364*(Предпосылки!$H287/(BE$8+1-BE$7)))</f>
        <v>0</v>
      </c>
      <c s="125">
        <f>IF(Предпосылки!$H287&lt;0,BG336,BF364*(Предпосылки!$H287/(BF$8+1-BF$7)))</f>
        <v>0</v>
      </c>
      <c s="125">
        <f>IF(Предпосылки!$H287&lt;0,BH336,BG364*(Предпосылки!$H287/(BG$8+1-BG$7)))</f>
        <v>0</v>
      </c>
      <c s="125">
        <f>IF(Предпосылки!$H287&lt;0,BI336,BH364*(Предпосылки!$H287/(BH$8+1-BH$7)))</f>
        <v>0</v>
      </c>
      <c s="125">
        <f>IF(Предпосылки!$H287&lt;0,BJ336,BI364*(Предпосылки!$H287/(BI$8+1-BI$7)))</f>
        <v>0</v>
      </c>
      <c s="125">
        <f>IF(Предпосылки!$H287&lt;0,BK336,BJ364*(Предпосылки!$H287/(BJ$8+1-BJ$7)))</f>
        <v>0</v>
      </c>
      <c s="125">
        <f>IF(Предпосылки!$H287&lt;0,BL336,BK364*(Предпосылки!$H287/(BK$8+1-BK$7)))</f>
        <v>0</v>
      </c>
      <c s="125">
        <f>IF(Предпосылки!$H287&lt;0,BM336,BL364*(Предпосылки!$H287/(BL$8+1-BL$7)))</f>
        <v>0</v>
      </c>
      <c s="125">
        <f>IF(Предпосылки!$H287&lt;0,BN336,BM364*(Предпосылки!$H287/(BM$8+1-BM$7)))</f>
        <v>0</v>
      </c>
    </row>
    <row r="421" spans="2:65" ht="15" customHeight="1">
      <c r="B421" s="12" t="str">
        <f t="shared" si="323"/>
        <v>-</v>
      </c>
      <c s="124" t="str">
        <f t="shared" si="322"/>
        <v>тыс. руб.</v>
      </c>
      <c s="125"/>
      <c s="125">
        <f>IF(Предпосылки!$H288&lt;0,F337,E365*(Предпосылки!$H288/(E$8+1-E$7)))</f>
        <v>0</v>
      </c>
      <c s="125">
        <f>IF(Предпосылки!$H288&lt;0,G337,F365*(Предпосылки!$H288/(F$8+1-F$7)))</f>
        <v>0</v>
      </c>
      <c s="125">
        <f>IF(Предпосылки!$H288&lt;0,H337,G365*(Предпосылки!$H288/(G$8+1-G$7)))</f>
        <v>0</v>
      </c>
      <c s="125">
        <f>IF(Предпосылки!$H288&lt;0,I337,H365*(Предпосылки!$H288/(H$8+1-H$7)))</f>
        <v>0</v>
      </c>
      <c s="125">
        <f>IF(Предпосылки!$H288&lt;0,J337,I365*(Предпосылки!$H288/(I$8+1-I$7)))</f>
        <v>0</v>
      </c>
      <c s="125">
        <f>IF(Предпосылки!$H288&lt;0,K337,J365*(Предпосылки!$H288/(J$8+1-J$7)))</f>
        <v>0</v>
      </c>
      <c s="125">
        <f>IF(Предпосылки!$H288&lt;0,L337,K365*(Предпосылки!$H288/(K$8+1-K$7)))</f>
        <v>0</v>
      </c>
      <c s="125">
        <f>IF(Предпосылки!$H288&lt;0,M337,L365*(Предпосылки!$H288/(L$8+1-L$7)))</f>
        <v>0</v>
      </c>
      <c s="125">
        <f>IF(Предпосылки!$H288&lt;0,N337,M365*(Предпосылки!$H288/(M$8+1-M$7)))</f>
        <v>0</v>
      </c>
      <c s="125">
        <f>IF(Предпосылки!$H288&lt;0,O337,N365*(Предпосылки!$H288/(N$8+1-N$7)))</f>
        <v>0</v>
      </c>
      <c s="125">
        <f>IF(Предпосылки!$H288&lt;0,P337,O365*(Предпосылки!$H288/(O$8+1-O$7)))</f>
        <v>0</v>
      </c>
      <c s="125">
        <f>IF(Предпосылки!$H288&lt;0,Q337,P365*(Предпосылки!$H288/(P$8+1-P$7)))</f>
        <v>0</v>
      </c>
      <c s="125">
        <f>IF(Предпосылки!$H288&lt;0,R337,Q365*(Предпосылки!$H288/(Q$8+1-Q$7)))</f>
        <v>0</v>
      </c>
      <c s="125">
        <f>IF(Предпосылки!$H288&lt;0,S337,R365*(Предпосылки!$H288/(R$8+1-R$7)))</f>
        <v>0</v>
      </c>
      <c s="125">
        <f>IF(Предпосылки!$H288&lt;0,T337,S365*(Предпосылки!$H288/(S$8+1-S$7)))</f>
        <v>0</v>
      </c>
      <c s="125">
        <f>IF(Предпосылки!$H288&lt;0,U337,T365*(Предпосылки!$H288/(T$8+1-T$7)))</f>
        <v>0</v>
      </c>
      <c s="125">
        <f>IF(Предпосылки!$H288&lt;0,V337,U365*(Предпосылки!$H288/(U$8+1-U$7)))</f>
        <v>0</v>
      </c>
      <c s="125">
        <f>IF(Предпосылки!$H288&lt;0,W337,V365*(Предпосылки!$H288/(V$8+1-V$7)))</f>
        <v>0</v>
      </c>
      <c s="125">
        <f>IF(Предпосылки!$H288&lt;0,X337,W365*(Предпосылки!$H288/(W$8+1-W$7)))</f>
        <v>0</v>
      </c>
      <c s="125">
        <f>IF(Предпосылки!$H288&lt;0,Y337,X365*(Предпосылки!$H288/(X$8+1-X$7)))</f>
        <v>0</v>
      </c>
      <c s="125">
        <f>IF(Предпосылки!$H288&lt;0,Z337,Y365*(Предпосылки!$H288/(Y$8+1-Y$7)))</f>
        <v>0</v>
      </c>
      <c s="125">
        <f>IF(Предпосылки!$H288&lt;0,AA337,Z365*(Предпосылки!$H288/(Z$8+1-Z$7)))</f>
        <v>0</v>
      </c>
      <c s="125">
        <f>IF(Предпосылки!$H288&lt;0,AB337,AA365*(Предпосылки!$H288/(AA$8+1-AA$7)))</f>
        <v>0</v>
      </c>
      <c s="125">
        <f>IF(Предпосылки!$H288&lt;0,AC337,AB365*(Предпосылки!$H288/(AB$8+1-AB$7)))</f>
        <v>0</v>
      </c>
      <c s="125">
        <f>IF(Предпосылки!$H288&lt;0,AD337,AC365*(Предпосылки!$H288/(AC$8+1-AC$7)))</f>
        <v>0</v>
      </c>
      <c s="125">
        <f>IF(Предпосылки!$H288&lt;0,AE337,AD365*(Предпосылки!$H288/(AD$8+1-AD$7)))</f>
        <v>0</v>
      </c>
      <c s="125">
        <f>IF(Предпосылки!$H288&lt;0,AF337,AE365*(Предпосылки!$H288/(AE$8+1-AE$7)))</f>
        <v>0</v>
      </c>
      <c s="125">
        <f>IF(Предпосылки!$H288&lt;0,AG337,AF365*(Предпосылки!$H288/(AF$8+1-AF$7)))</f>
        <v>0</v>
      </c>
      <c s="125">
        <f>IF(Предпосылки!$H288&lt;0,AH337,AG365*(Предпосылки!$H288/(AG$8+1-AG$7)))</f>
        <v>0</v>
      </c>
      <c s="125">
        <f>IF(Предпосылки!$H288&lt;0,AI337,AH365*(Предпосылки!$H288/(AH$8+1-AH$7)))</f>
        <v>0</v>
      </c>
      <c s="125">
        <f>IF(Предпосылки!$H288&lt;0,AJ337,AI365*(Предпосылки!$H288/(AI$8+1-AI$7)))</f>
        <v>0</v>
      </c>
      <c s="125">
        <f>IF(Предпосылки!$H288&lt;0,AK337,AJ365*(Предпосылки!$H288/(AJ$8+1-AJ$7)))</f>
        <v>0</v>
      </c>
      <c s="125">
        <f>IF(Предпосылки!$H288&lt;0,AL337,AK365*(Предпосылки!$H288/(AK$8+1-AK$7)))</f>
        <v>0</v>
      </c>
      <c s="125">
        <f>IF(Предпосылки!$H288&lt;0,AM337,AL365*(Предпосылки!$H288/(AL$8+1-AL$7)))</f>
        <v>0</v>
      </c>
      <c s="125">
        <f>IF(Предпосылки!$H288&lt;0,AN337,AM365*(Предпосылки!$H288/(AM$8+1-AM$7)))</f>
        <v>0</v>
      </c>
      <c s="125">
        <f>IF(Предпосылки!$H288&lt;0,AO337,AN365*(Предпосылки!$H288/(AN$8+1-AN$7)))</f>
        <v>0</v>
      </c>
      <c s="125">
        <f>IF(Предпосылки!$H288&lt;0,AP337,AO365*(Предпосылки!$H288/(AO$8+1-AO$7)))</f>
        <v>0</v>
      </c>
      <c s="125">
        <f>IF(Предпосылки!$H288&lt;0,AQ337,AP365*(Предпосылки!$H288/(AP$8+1-AP$7)))</f>
        <v>0</v>
      </c>
      <c s="125">
        <f>IF(Предпосылки!$H288&lt;0,AR337,AQ365*(Предпосылки!$H288/(AQ$8+1-AQ$7)))</f>
        <v>0</v>
      </c>
      <c s="125">
        <f>IF(Предпосылки!$H288&lt;0,AS337,AR365*(Предпосылки!$H288/(AR$8+1-AR$7)))</f>
        <v>0</v>
      </c>
      <c s="125">
        <f>IF(Предпосылки!$H288&lt;0,AT337,AS365*(Предпосылки!$H288/(AS$8+1-AS$7)))</f>
        <v>0</v>
      </c>
      <c s="125">
        <f>IF(Предпосылки!$H288&lt;0,AU337,AT365*(Предпосылки!$H288/(AT$8+1-AT$7)))</f>
        <v>0</v>
      </c>
      <c s="125">
        <f>IF(Предпосылки!$H288&lt;0,AV337,AU365*(Предпосылки!$H288/(AU$8+1-AU$7)))</f>
        <v>0</v>
      </c>
      <c s="125">
        <f>IF(Предпосылки!$H288&lt;0,AW337,AV365*(Предпосылки!$H288/(AV$8+1-AV$7)))</f>
        <v>0</v>
      </c>
      <c s="125">
        <f>IF(Предпосылки!$H288&lt;0,AX337,AW365*(Предпосылки!$H288/(AW$8+1-AW$7)))</f>
        <v>0</v>
      </c>
      <c s="125">
        <f>IF(Предпосылки!$H288&lt;0,AY337,AX365*(Предпосылки!$H288/(AX$8+1-AX$7)))</f>
        <v>0</v>
      </c>
      <c s="125">
        <f>IF(Предпосылки!$H288&lt;0,AZ337,AY365*(Предпосылки!$H288/(AY$8+1-AY$7)))</f>
        <v>0</v>
      </c>
      <c s="125">
        <f>IF(Предпосылки!$H288&lt;0,BA337,AZ365*(Предпосылки!$H288/(AZ$8+1-AZ$7)))</f>
        <v>0</v>
      </c>
      <c s="125">
        <f>IF(Предпосылки!$H288&lt;0,BB337,BA365*(Предпосылки!$H288/(BA$8+1-BA$7)))</f>
        <v>0</v>
      </c>
      <c s="125">
        <f>IF(Предпосылки!$H288&lt;0,BC337,BB365*(Предпосылки!$H288/(BB$8+1-BB$7)))</f>
        <v>0</v>
      </c>
      <c s="125">
        <f>IF(Предпосылки!$H288&lt;0,BD337,BC365*(Предпосылки!$H288/(BC$8+1-BC$7)))</f>
        <v>0</v>
      </c>
      <c s="125">
        <f>IF(Предпосылки!$H288&lt;0,BE337,BD365*(Предпосылки!$H288/(BD$8+1-BD$7)))</f>
        <v>0</v>
      </c>
      <c s="125">
        <f>IF(Предпосылки!$H288&lt;0,BF337,BE365*(Предпосылки!$H288/(BE$8+1-BE$7)))</f>
        <v>0</v>
      </c>
      <c s="125">
        <f>IF(Предпосылки!$H288&lt;0,BG337,BF365*(Предпосылки!$H288/(BF$8+1-BF$7)))</f>
        <v>0</v>
      </c>
      <c s="125">
        <f>IF(Предпосылки!$H288&lt;0,BH337,BG365*(Предпосылки!$H288/(BG$8+1-BG$7)))</f>
        <v>0</v>
      </c>
      <c s="125">
        <f>IF(Предпосылки!$H288&lt;0,BI337,BH365*(Предпосылки!$H288/(BH$8+1-BH$7)))</f>
        <v>0</v>
      </c>
      <c s="125">
        <f>IF(Предпосылки!$H288&lt;0,BJ337,BI365*(Предпосылки!$H288/(BI$8+1-BI$7)))</f>
        <v>0</v>
      </c>
      <c s="125">
        <f>IF(Предпосылки!$H288&lt;0,BK337,BJ365*(Предпосылки!$H288/(BJ$8+1-BJ$7)))</f>
        <v>0</v>
      </c>
      <c s="125">
        <f>IF(Предпосылки!$H288&lt;0,BL337,BK365*(Предпосылки!$H288/(BK$8+1-BK$7)))</f>
        <v>0</v>
      </c>
      <c s="125">
        <f>IF(Предпосылки!$H288&lt;0,BM337,BL365*(Предпосылки!$H288/(BL$8+1-BL$7)))</f>
        <v>0</v>
      </c>
      <c s="125">
        <f>IF(Предпосылки!$H288&lt;0,BN337,BM365*(Предпосылки!$H288/(BM$8+1-BM$7)))</f>
        <v>0</v>
      </c>
    </row>
    <row r="422" spans="2:65" ht="15" customHeight="1">
      <c r="B422" s="12" t="str">
        <f t="shared" si="323"/>
        <v>-</v>
      </c>
      <c s="124" t="str">
        <f t="shared" si="322"/>
        <v>тыс. руб.</v>
      </c>
      <c s="125"/>
      <c s="125">
        <f>IF(Предпосылки!$H289&lt;0,F338,E366*(Предпосылки!$H289/(E$8+1-E$7)))</f>
        <v>0</v>
      </c>
      <c s="125">
        <f>IF(Предпосылки!$H289&lt;0,G338,F366*(Предпосылки!$H289/(F$8+1-F$7)))</f>
        <v>0</v>
      </c>
      <c s="125">
        <f>IF(Предпосылки!$H289&lt;0,H338,G366*(Предпосылки!$H289/(G$8+1-G$7)))</f>
        <v>0</v>
      </c>
      <c s="125">
        <f>IF(Предпосылки!$H289&lt;0,I338,H366*(Предпосылки!$H289/(H$8+1-H$7)))</f>
        <v>0</v>
      </c>
      <c s="125">
        <f>IF(Предпосылки!$H289&lt;0,J338,I366*(Предпосылки!$H289/(I$8+1-I$7)))</f>
        <v>0</v>
      </c>
      <c s="125">
        <f>IF(Предпосылки!$H289&lt;0,K338,J366*(Предпосылки!$H289/(J$8+1-J$7)))</f>
        <v>0</v>
      </c>
      <c s="125">
        <f>IF(Предпосылки!$H289&lt;0,L338,K366*(Предпосылки!$H289/(K$8+1-K$7)))</f>
        <v>0</v>
      </c>
      <c s="125">
        <f>IF(Предпосылки!$H289&lt;0,M338,L366*(Предпосылки!$H289/(L$8+1-L$7)))</f>
        <v>0</v>
      </c>
      <c s="125">
        <f>IF(Предпосылки!$H289&lt;0,N338,M366*(Предпосылки!$H289/(M$8+1-M$7)))</f>
        <v>0</v>
      </c>
      <c s="125">
        <f>IF(Предпосылки!$H289&lt;0,O338,N366*(Предпосылки!$H289/(N$8+1-N$7)))</f>
        <v>0</v>
      </c>
      <c s="125">
        <f>IF(Предпосылки!$H289&lt;0,P338,O366*(Предпосылки!$H289/(O$8+1-O$7)))</f>
        <v>0</v>
      </c>
      <c s="125">
        <f>IF(Предпосылки!$H289&lt;0,Q338,P366*(Предпосылки!$H289/(P$8+1-P$7)))</f>
        <v>0</v>
      </c>
      <c s="125">
        <f>IF(Предпосылки!$H289&lt;0,R338,Q366*(Предпосылки!$H289/(Q$8+1-Q$7)))</f>
        <v>0</v>
      </c>
      <c s="125">
        <f>IF(Предпосылки!$H289&lt;0,S338,R366*(Предпосылки!$H289/(R$8+1-R$7)))</f>
        <v>0</v>
      </c>
      <c s="125">
        <f>IF(Предпосылки!$H289&lt;0,T338,S366*(Предпосылки!$H289/(S$8+1-S$7)))</f>
        <v>0</v>
      </c>
      <c s="125">
        <f>IF(Предпосылки!$H289&lt;0,U338,T366*(Предпосылки!$H289/(T$8+1-T$7)))</f>
        <v>0</v>
      </c>
      <c s="125">
        <f>IF(Предпосылки!$H289&lt;0,V338,U366*(Предпосылки!$H289/(U$8+1-U$7)))</f>
        <v>0</v>
      </c>
      <c s="125">
        <f>IF(Предпосылки!$H289&lt;0,W338,V366*(Предпосылки!$H289/(V$8+1-V$7)))</f>
        <v>0</v>
      </c>
      <c s="125">
        <f>IF(Предпосылки!$H289&lt;0,X338,W366*(Предпосылки!$H289/(W$8+1-W$7)))</f>
        <v>0</v>
      </c>
      <c s="125">
        <f>IF(Предпосылки!$H289&lt;0,Y338,X366*(Предпосылки!$H289/(X$8+1-X$7)))</f>
        <v>0</v>
      </c>
      <c s="125">
        <f>IF(Предпосылки!$H289&lt;0,Z338,Y366*(Предпосылки!$H289/(Y$8+1-Y$7)))</f>
        <v>0</v>
      </c>
      <c s="125">
        <f>IF(Предпосылки!$H289&lt;0,AA338,Z366*(Предпосылки!$H289/(Z$8+1-Z$7)))</f>
        <v>0</v>
      </c>
      <c s="125">
        <f>IF(Предпосылки!$H289&lt;0,AB338,AA366*(Предпосылки!$H289/(AA$8+1-AA$7)))</f>
        <v>0</v>
      </c>
      <c s="125">
        <f>IF(Предпосылки!$H289&lt;0,AC338,AB366*(Предпосылки!$H289/(AB$8+1-AB$7)))</f>
        <v>0</v>
      </c>
      <c s="125">
        <f>IF(Предпосылки!$H289&lt;0,AD338,AC366*(Предпосылки!$H289/(AC$8+1-AC$7)))</f>
        <v>0</v>
      </c>
      <c s="125">
        <f>IF(Предпосылки!$H289&lt;0,AE338,AD366*(Предпосылки!$H289/(AD$8+1-AD$7)))</f>
        <v>0</v>
      </c>
      <c s="125">
        <f>IF(Предпосылки!$H289&lt;0,AF338,AE366*(Предпосылки!$H289/(AE$8+1-AE$7)))</f>
        <v>0</v>
      </c>
      <c s="125">
        <f>IF(Предпосылки!$H289&lt;0,AG338,AF366*(Предпосылки!$H289/(AF$8+1-AF$7)))</f>
        <v>0</v>
      </c>
      <c s="125">
        <f>IF(Предпосылки!$H289&lt;0,AH338,AG366*(Предпосылки!$H289/(AG$8+1-AG$7)))</f>
        <v>0</v>
      </c>
      <c s="125">
        <f>IF(Предпосылки!$H289&lt;0,AI338,AH366*(Предпосылки!$H289/(AH$8+1-AH$7)))</f>
        <v>0</v>
      </c>
      <c s="125">
        <f>IF(Предпосылки!$H289&lt;0,AJ338,AI366*(Предпосылки!$H289/(AI$8+1-AI$7)))</f>
        <v>0</v>
      </c>
      <c s="125">
        <f>IF(Предпосылки!$H289&lt;0,AK338,AJ366*(Предпосылки!$H289/(AJ$8+1-AJ$7)))</f>
        <v>0</v>
      </c>
      <c s="125">
        <f>IF(Предпосылки!$H289&lt;0,AL338,AK366*(Предпосылки!$H289/(AK$8+1-AK$7)))</f>
        <v>0</v>
      </c>
      <c s="125">
        <f>IF(Предпосылки!$H289&lt;0,AM338,AL366*(Предпосылки!$H289/(AL$8+1-AL$7)))</f>
        <v>0</v>
      </c>
      <c s="125">
        <f>IF(Предпосылки!$H289&lt;0,AN338,AM366*(Предпосылки!$H289/(AM$8+1-AM$7)))</f>
        <v>0</v>
      </c>
      <c s="125">
        <f>IF(Предпосылки!$H289&lt;0,AO338,AN366*(Предпосылки!$H289/(AN$8+1-AN$7)))</f>
        <v>0</v>
      </c>
      <c s="125">
        <f>IF(Предпосылки!$H289&lt;0,AP338,AO366*(Предпосылки!$H289/(AO$8+1-AO$7)))</f>
        <v>0</v>
      </c>
      <c s="125">
        <f>IF(Предпосылки!$H289&lt;0,AQ338,AP366*(Предпосылки!$H289/(AP$8+1-AP$7)))</f>
        <v>0</v>
      </c>
      <c s="125">
        <f>IF(Предпосылки!$H289&lt;0,AR338,AQ366*(Предпосылки!$H289/(AQ$8+1-AQ$7)))</f>
        <v>0</v>
      </c>
      <c s="125">
        <f>IF(Предпосылки!$H289&lt;0,AS338,AR366*(Предпосылки!$H289/(AR$8+1-AR$7)))</f>
        <v>0</v>
      </c>
      <c s="125">
        <f>IF(Предпосылки!$H289&lt;0,AT338,AS366*(Предпосылки!$H289/(AS$8+1-AS$7)))</f>
        <v>0</v>
      </c>
      <c s="125">
        <f>IF(Предпосылки!$H289&lt;0,AU338,AT366*(Предпосылки!$H289/(AT$8+1-AT$7)))</f>
        <v>0</v>
      </c>
      <c s="125">
        <f>IF(Предпосылки!$H289&lt;0,AV338,AU366*(Предпосылки!$H289/(AU$8+1-AU$7)))</f>
        <v>0</v>
      </c>
      <c s="125">
        <f>IF(Предпосылки!$H289&lt;0,AW338,AV366*(Предпосылки!$H289/(AV$8+1-AV$7)))</f>
        <v>0</v>
      </c>
      <c s="125">
        <f>IF(Предпосылки!$H289&lt;0,AX338,AW366*(Предпосылки!$H289/(AW$8+1-AW$7)))</f>
        <v>0</v>
      </c>
      <c s="125">
        <f>IF(Предпосылки!$H289&lt;0,AY338,AX366*(Предпосылки!$H289/(AX$8+1-AX$7)))</f>
        <v>0</v>
      </c>
      <c s="125">
        <f>IF(Предпосылки!$H289&lt;0,AZ338,AY366*(Предпосылки!$H289/(AY$8+1-AY$7)))</f>
        <v>0</v>
      </c>
      <c s="125">
        <f>IF(Предпосылки!$H289&lt;0,BA338,AZ366*(Предпосылки!$H289/(AZ$8+1-AZ$7)))</f>
        <v>0</v>
      </c>
      <c s="125">
        <f>IF(Предпосылки!$H289&lt;0,BB338,BA366*(Предпосылки!$H289/(BA$8+1-BA$7)))</f>
        <v>0</v>
      </c>
      <c s="125">
        <f>IF(Предпосылки!$H289&lt;0,BC338,BB366*(Предпосылки!$H289/(BB$8+1-BB$7)))</f>
        <v>0</v>
      </c>
      <c s="125">
        <f>IF(Предпосылки!$H289&lt;0,BD338,BC366*(Предпосылки!$H289/(BC$8+1-BC$7)))</f>
        <v>0</v>
      </c>
      <c s="125">
        <f>IF(Предпосылки!$H289&lt;0,BE338,BD366*(Предпосылки!$H289/(BD$8+1-BD$7)))</f>
        <v>0</v>
      </c>
      <c s="125">
        <f>IF(Предпосылки!$H289&lt;0,BF338,BE366*(Предпосылки!$H289/(BE$8+1-BE$7)))</f>
        <v>0</v>
      </c>
      <c s="125">
        <f>IF(Предпосылки!$H289&lt;0,BG338,BF366*(Предпосылки!$H289/(BF$8+1-BF$7)))</f>
        <v>0</v>
      </c>
      <c s="125">
        <f>IF(Предпосылки!$H289&lt;0,BH338,BG366*(Предпосылки!$H289/(BG$8+1-BG$7)))</f>
        <v>0</v>
      </c>
      <c s="125">
        <f>IF(Предпосылки!$H289&lt;0,BI338,BH366*(Предпосылки!$H289/(BH$8+1-BH$7)))</f>
        <v>0</v>
      </c>
      <c s="125">
        <f>IF(Предпосылки!$H289&lt;0,BJ338,BI366*(Предпосылки!$H289/(BI$8+1-BI$7)))</f>
        <v>0</v>
      </c>
      <c s="125">
        <f>IF(Предпосылки!$H289&lt;0,BK338,BJ366*(Предпосылки!$H289/(BJ$8+1-BJ$7)))</f>
        <v>0</v>
      </c>
      <c s="125">
        <f>IF(Предпосылки!$H289&lt;0,BL338,BK366*(Предпосылки!$H289/(BK$8+1-BK$7)))</f>
        <v>0</v>
      </c>
      <c s="125">
        <f>IF(Предпосылки!$H289&lt;0,BM338,BL366*(Предпосылки!$H289/(BL$8+1-BL$7)))</f>
        <v>0</v>
      </c>
      <c s="125">
        <f>IF(Предпосылки!$H289&lt;0,BN338,BM366*(Предпосылки!$H289/(BM$8+1-BM$7)))</f>
        <v>0</v>
      </c>
    </row>
    <row r="423" spans="2:65" ht="15" customHeight="1">
      <c r="B423" s="12" t="str">
        <f t="shared" si="323"/>
        <v>-</v>
      </c>
      <c s="124" t="str">
        <f t="shared" si="322"/>
        <v>тыс. руб.</v>
      </c>
      <c s="125"/>
      <c s="125">
        <f>IF(Предпосылки!$H290&lt;0,F339,E367*(Предпосылки!$H290/(E$8+1-E$7)))</f>
        <v>0</v>
      </c>
      <c s="125">
        <f>IF(Предпосылки!$H290&lt;0,G339,F367*(Предпосылки!$H290/(F$8+1-F$7)))</f>
        <v>0</v>
      </c>
      <c s="125">
        <f>IF(Предпосылки!$H290&lt;0,H339,G367*(Предпосылки!$H290/(G$8+1-G$7)))</f>
        <v>0</v>
      </c>
      <c s="125">
        <f>IF(Предпосылки!$H290&lt;0,I339,H367*(Предпосылки!$H290/(H$8+1-H$7)))</f>
        <v>0</v>
      </c>
      <c s="125">
        <f>IF(Предпосылки!$H290&lt;0,J339,I367*(Предпосылки!$H290/(I$8+1-I$7)))</f>
        <v>0</v>
      </c>
      <c s="125">
        <f>IF(Предпосылки!$H290&lt;0,K339,J367*(Предпосылки!$H290/(J$8+1-J$7)))</f>
        <v>0</v>
      </c>
      <c s="125">
        <f>IF(Предпосылки!$H290&lt;0,L339,K367*(Предпосылки!$H290/(K$8+1-K$7)))</f>
        <v>0</v>
      </c>
      <c s="125">
        <f>IF(Предпосылки!$H290&lt;0,M339,L367*(Предпосылки!$H290/(L$8+1-L$7)))</f>
        <v>0</v>
      </c>
      <c s="125">
        <f>IF(Предпосылки!$H290&lt;0,N339,M367*(Предпосылки!$H290/(M$8+1-M$7)))</f>
        <v>0</v>
      </c>
      <c s="125">
        <f>IF(Предпосылки!$H290&lt;0,O339,N367*(Предпосылки!$H290/(N$8+1-N$7)))</f>
        <v>0</v>
      </c>
      <c s="125">
        <f>IF(Предпосылки!$H290&lt;0,P339,O367*(Предпосылки!$H290/(O$8+1-O$7)))</f>
        <v>0</v>
      </c>
      <c s="125">
        <f>IF(Предпосылки!$H290&lt;0,Q339,P367*(Предпосылки!$H290/(P$8+1-P$7)))</f>
        <v>0</v>
      </c>
      <c s="125">
        <f>IF(Предпосылки!$H290&lt;0,R339,Q367*(Предпосылки!$H290/(Q$8+1-Q$7)))</f>
        <v>0</v>
      </c>
      <c s="125">
        <f>IF(Предпосылки!$H290&lt;0,S339,R367*(Предпосылки!$H290/(R$8+1-R$7)))</f>
        <v>0</v>
      </c>
      <c s="125">
        <f>IF(Предпосылки!$H290&lt;0,T339,S367*(Предпосылки!$H290/(S$8+1-S$7)))</f>
        <v>0</v>
      </c>
      <c s="125">
        <f>IF(Предпосылки!$H290&lt;0,U339,T367*(Предпосылки!$H290/(T$8+1-T$7)))</f>
        <v>0</v>
      </c>
      <c s="125">
        <f>IF(Предпосылки!$H290&lt;0,V339,U367*(Предпосылки!$H290/(U$8+1-U$7)))</f>
        <v>0</v>
      </c>
      <c s="125">
        <f>IF(Предпосылки!$H290&lt;0,W339,V367*(Предпосылки!$H290/(V$8+1-V$7)))</f>
        <v>0</v>
      </c>
      <c s="125">
        <f>IF(Предпосылки!$H290&lt;0,X339,W367*(Предпосылки!$H290/(W$8+1-W$7)))</f>
        <v>0</v>
      </c>
      <c s="125">
        <f>IF(Предпосылки!$H290&lt;0,Y339,X367*(Предпосылки!$H290/(X$8+1-X$7)))</f>
        <v>0</v>
      </c>
      <c s="125">
        <f>IF(Предпосылки!$H290&lt;0,Z339,Y367*(Предпосылки!$H290/(Y$8+1-Y$7)))</f>
        <v>0</v>
      </c>
      <c s="125">
        <f>IF(Предпосылки!$H290&lt;0,AA339,Z367*(Предпосылки!$H290/(Z$8+1-Z$7)))</f>
        <v>0</v>
      </c>
      <c s="125">
        <f>IF(Предпосылки!$H290&lt;0,AB339,AA367*(Предпосылки!$H290/(AA$8+1-AA$7)))</f>
        <v>0</v>
      </c>
      <c s="125">
        <f>IF(Предпосылки!$H290&lt;0,AC339,AB367*(Предпосылки!$H290/(AB$8+1-AB$7)))</f>
        <v>0</v>
      </c>
      <c s="125">
        <f>IF(Предпосылки!$H290&lt;0,AD339,AC367*(Предпосылки!$H290/(AC$8+1-AC$7)))</f>
        <v>0</v>
      </c>
      <c s="125">
        <f>IF(Предпосылки!$H290&lt;0,AE339,AD367*(Предпосылки!$H290/(AD$8+1-AD$7)))</f>
        <v>0</v>
      </c>
      <c s="125">
        <f>IF(Предпосылки!$H290&lt;0,AF339,AE367*(Предпосылки!$H290/(AE$8+1-AE$7)))</f>
        <v>0</v>
      </c>
      <c s="125">
        <f>IF(Предпосылки!$H290&lt;0,AG339,AF367*(Предпосылки!$H290/(AF$8+1-AF$7)))</f>
        <v>0</v>
      </c>
      <c s="125">
        <f>IF(Предпосылки!$H290&lt;0,AH339,AG367*(Предпосылки!$H290/(AG$8+1-AG$7)))</f>
        <v>0</v>
      </c>
      <c s="125">
        <f>IF(Предпосылки!$H290&lt;0,AI339,AH367*(Предпосылки!$H290/(AH$8+1-AH$7)))</f>
        <v>0</v>
      </c>
      <c s="125">
        <f>IF(Предпосылки!$H290&lt;0,AJ339,AI367*(Предпосылки!$H290/(AI$8+1-AI$7)))</f>
        <v>0</v>
      </c>
      <c s="125">
        <f>IF(Предпосылки!$H290&lt;0,AK339,AJ367*(Предпосылки!$H290/(AJ$8+1-AJ$7)))</f>
        <v>0</v>
      </c>
      <c s="125">
        <f>IF(Предпосылки!$H290&lt;0,AL339,AK367*(Предпосылки!$H290/(AK$8+1-AK$7)))</f>
        <v>0</v>
      </c>
      <c s="125">
        <f>IF(Предпосылки!$H290&lt;0,AM339,AL367*(Предпосылки!$H290/(AL$8+1-AL$7)))</f>
        <v>0</v>
      </c>
      <c s="125">
        <f>IF(Предпосылки!$H290&lt;0,AN339,AM367*(Предпосылки!$H290/(AM$8+1-AM$7)))</f>
        <v>0</v>
      </c>
      <c s="125">
        <f>IF(Предпосылки!$H290&lt;0,AO339,AN367*(Предпосылки!$H290/(AN$8+1-AN$7)))</f>
        <v>0</v>
      </c>
      <c s="125">
        <f>IF(Предпосылки!$H290&lt;0,AP339,AO367*(Предпосылки!$H290/(AO$8+1-AO$7)))</f>
        <v>0</v>
      </c>
      <c s="125">
        <f>IF(Предпосылки!$H290&lt;0,AQ339,AP367*(Предпосылки!$H290/(AP$8+1-AP$7)))</f>
        <v>0</v>
      </c>
      <c s="125">
        <f>IF(Предпосылки!$H290&lt;0,AR339,AQ367*(Предпосылки!$H290/(AQ$8+1-AQ$7)))</f>
        <v>0</v>
      </c>
      <c s="125">
        <f>IF(Предпосылки!$H290&lt;0,AS339,AR367*(Предпосылки!$H290/(AR$8+1-AR$7)))</f>
        <v>0</v>
      </c>
      <c s="125">
        <f>IF(Предпосылки!$H290&lt;0,AT339,AS367*(Предпосылки!$H290/(AS$8+1-AS$7)))</f>
        <v>0</v>
      </c>
      <c s="125">
        <f>IF(Предпосылки!$H290&lt;0,AU339,AT367*(Предпосылки!$H290/(AT$8+1-AT$7)))</f>
        <v>0</v>
      </c>
      <c s="125">
        <f>IF(Предпосылки!$H290&lt;0,AV339,AU367*(Предпосылки!$H290/(AU$8+1-AU$7)))</f>
        <v>0</v>
      </c>
      <c s="125">
        <f>IF(Предпосылки!$H290&lt;0,AW339,AV367*(Предпосылки!$H290/(AV$8+1-AV$7)))</f>
        <v>0</v>
      </c>
      <c s="125">
        <f>IF(Предпосылки!$H290&lt;0,AX339,AW367*(Предпосылки!$H290/(AW$8+1-AW$7)))</f>
        <v>0</v>
      </c>
      <c s="125">
        <f>IF(Предпосылки!$H290&lt;0,AY339,AX367*(Предпосылки!$H290/(AX$8+1-AX$7)))</f>
        <v>0</v>
      </c>
      <c s="125">
        <f>IF(Предпосылки!$H290&lt;0,AZ339,AY367*(Предпосылки!$H290/(AY$8+1-AY$7)))</f>
        <v>0</v>
      </c>
      <c s="125">
        <f>IF(Предпосылки!$H290&lt;0,BA339,AZ367*(Предпосылки!$H290/(AZ$8+1-AZ$7)))</f>
        <v>0</v>
      </c>
      <c s="125">
        <f>IF(Предпосылки!$H290&lt;0,BB339,BA367*(Предпосылки!$H290/(BA$8+1-BA$7)))</f>
        <v>0</v>
      </c>
      <c s="125">
        <f>IF(Предпосылки!$H290&lt;0,BC339,BB367*(Предпосылки!$H290/(BB$8+1-BB$7)))</f>
        <v>0</v>
      </c>
      <c s="125">
        <f>IF(Предпосылки!$H290&lt;0,BD339,BC367*(Предпосылки!$H290/(BC$8+1-BC$7)))</f>
        <v>0</v>
      </c>
      <c s="125">
        <f>IF(Предпосылки!$H290&lt;0,BE339,BD367*(Предпосылки!$H290/(BD$8+1-BD$7)))</f>
        <v>0</v>
      </c>
      <c s="125">
        <f>IF(Предпосылки!$H290&lt;0,BF339,BE367*(Предпосылки!$H290/(BE$8+1-BE$7)))</f>
        <v>0</v>
      </c>
      <c s="125">
        <f>IF(Предпосылки!$H290&lt;0,BG339,BF367*(Предпосылки!$H290/(BF$8+1-BF$7)))</f>
        <v>0</v>
      </c>
      <c s="125">
        <f>IF(Предпосылки!$H290&lt;0,BH339,BG367*(Предпосылки!$H290/(BG$8+1-BG$7)))</f>
        <v>0</v>
      </c>
      <c s="125">
        <f>IF(Предпосылки!$H290&lt;0,BI339,BH367*(Предпосылки!$H290/(BH$8+1-BH$7)))</f>
        <v>0</v>
      </c>
      <c s="125">
        <f>IF(Предпосылки!$H290&lt;0,BJ339,BI367*(Предпосылки!$H290/(BI$8+1-BI$7)))</f>
        <v>0</v>
      </c>
      <c s="125">
        <f>IF(Предпосылки!$H290&lt;0,BK339,BJ367*(Предпосылки!$H290/(BJ$8+1-BJ$7)))</f>
        <v>0</v>
      </c>
      <c s="125">
        <f>IF(Предпосылки!$H290&lt;0,BL339,BK367*(Предпосылки!$H290/(BK$8+1-BK$7)))</f>
        <v>0</v>
      </c>
      <c s="125">
        <f>IF(Предпосылки!$H290&lt;0,BM339,BL367*(Предпосылки!$H290/(BL$8+1-BL$7)))</f>
        <v>0</v>
      </c>
      <c s="125">
        <f>IF(Предпосылки!$H290&lt;0,BN339,BM367*(Предпосылки!$H290/(BM$8+1-BM$7)))</f>
        <v>0</v>
      </c>
    </row>
    <row r="424" spans="2:65" ht="15" customHeight="1">
      <c r="B424" s="12" t="str">
        <f t="shared" si="323"/>
        <v>-</v>
      </c>
      <c s="124" t="str">
        <f t="shared" si="322"/>
        <v>тыс. руб.</v>
      </c>
      <c s="125"/>
      <c s="125">
        <f>IF(Предпосылки!$H291&lt;0,F340,E368*(Предпосылки!$H291/(E$8+1-E$7)))</f>
        <v>0</v>
      </c>
      <c s="125">
        <f>IF(Предпосылки!$H291&lt;0,G340,F368*(Предпосылки!$H291/(F$8+1-F$7)))</f>
        <v>0</v>
      </c>
      <c s="125">
        <f>IF(Предпосылки!$H291&lt;0,H340,G368*(Предпосылки!$H291/(G$8+1-G$7)))</f>
        <v>0</v>
      </c>
      <c s="125">
        <f>IF(Предпосылки!$H291&lt;0,I340,H368*(Предпосылки!$H291/(H$8+1-H$7)))</f>
        <v>0</v>
      </c>
      <c s="125">
        <f>IF(Предпосылки!$H291&lt;0,J340,I368*(Предпосылки!$H291/(I$8+1-I$7)))</f>
        <v>0</v>
      </c>
      <c s="125">
        <f>IF(Предпосылки!$H291&lt;0,K340,J368*(Предпосылки!$H291/(J$8+1-J$7)))</f>
        <v>0</v>
      </c>
      <c s="125">
        <f>IF(Предпосылки!$H291&lt;0,L340,K368*(Предпосылки!$H291/(K$8+1-K$7)))</f>
        <v>0</v>
      </c>
      <c s="125">
        <f>IF(Предпосылки!$H291&lt;0,M340,L368*(Предпосылки!$H291/(L$8+1-L$7)))</f>
        <v>0</v>
      </c>
      <c s="125">
        <f>IF(Предпосылки!$H291&lt;0,N340,M368*(Предпосылки!$H291/(M$8+1-M$7)))</f>
        <v>0</v>
      </c>
      <c s="125">
        <f>IF(Предпосылки!$H291&lt;0,O340,N368*(Предпосылки!$H291/(N$8+1-N$7)))</f>
        <v>0</v>
      </c>
      <c s="125">
        <f>IF(Предпосылки!$H291&lt;0,P340,O368*(Предпосылки!$H291/(O$8+1-O$7)))</f>
        <v>0</v>
      </c>
      <c s="125">
        <f>IF(Предпосылки!$H291&lt;0,Q340,P368*(Предпосылки!$H291/(P$8+1-P$7)))</f>
        <v>0</v>
      </c>
      <c s="125">
        <f>IF(Предпосылки!$H291&lt;0,R340,Q368*(Предпосылки!$H291/(Q$8+1-Q$7)))</f>
        <v>0</v>
      </c>
      <c s="125">
        <f>IF(Предпосылки!$H291&lt;0,S340,R368*(Предпосылки!$H291/(R$8+1-R$7)))</f>
        <v>0</v>
      </c>
      <c s="125">
        <f>IF(Предпосылки!$H291&lt;0,T340,S368*(Предпосылки!$H291/(S$8+1-S$7)))</f>
        <v>0</v>
      </c>
      <c s="125">
        <f>IF(Предпосылки!$H291&lt;0,U340,T368*(Предпосылки!$H291/(T$8+1-T$7)))</f>
        <v>0</v>
      </c>
      <c s="125">
        <f>IF(Предпосылки!$H291&lt;0,V340,U368*(Предпосылки!$H291/(U$8+1-U$7)))</f>
        <v>0</v>
      </c>
      <c s="125">
        <f>IF(Предпосылки!$H291&lt;0,W340,V368*(Предпосылки!$H291/(V$8+1-V$7)))</f>
        <v>0</v>
      </c>
      <c s="125">
        <f>IF(Предпосылки!$H291&lt;0,X340,W368*(Предпосылки!$H291/(W$8+1-W$7)))</f>
        <v>0</v>
      </c>
      <c s="125">
        <f>IF(Предпосылки!$H291&lt;0,Y340,X368*(Предпосылки!$H291/(X$8+1-X$7)))</f>
        <v>0</v>
      </c>
      <c s="125">
        <f>IF(Предпосылки!$H291&lt;0,Z340,Y368*(Предпосылки!$H291/(Y$8+1-Y$7)))</f>
        <v>0</v>
      </c>
      <c s="125">
        <f>IF(Предпосылки!$H291&lt;0,AA340,Z368*(Предпосылки!$H291/(Z$8+1-Z$7)))</f>
        <v>0</v>
      </c>
      <c s="125">
        <f>IF(Предпосылки!$H291&lt;0,AB340,AA368*(Предпосылки!$H291/(AA$8+1-AA$7)))</f>
        <v>0</v>
      </c>
      <c s="125">
        <f>IF(Предпосылки!$H291&lt;0,AC340,AB368*(Предпосылки!$H291/(AB$8+1-AB$7)))</f>
        <v>0</v>
      </c>
      <c s="125">
        <f>IF(Предпосылки!$H291&lt;0,AD340,AC368*(Предпосылки!$H291/(AC$8+1-AC$7)))</f>
        <v>0</v>
      </c>
      <c s="125">
        <f>IF(Предпосылки!$H291&lt;0,AE340,AD368*(Предпосылки!$H291/(AD$8+1-AD$7)))</f>
        <v>0</v>
      </c>
      <c s="125">
        <f>IF(Предпосылки!$H291&lt;0,AF340,AE368*(Предпосылки!$H291/(AE$8+1-AE$7)))</f>
        <v>0</v>
      </c>
      <c s="125">
        <f>IF(Предпосылки!$H291&lt;0,AG340,AF368*(Предпосылки!$H291/(AF$8+1-AF$7)))</f>
        <v>0</v>
      </c>
      <c s="125">
        <f>IF(Предпосылки!$H291&lt;0,AH340,AG368*(Предпосылки!$H291/(AG$8+1-AG$7)))</f>
        <v>0</v>
      </c>
      <c s="125">
        <f>IF(Предпосылки!$H291&lt;0,AI340,AH368*(Предпосылки!$H291/(AH$8+1-AH$7)))</f>
        <v>0</v>
      </c>
      <c s="125">
        <f>IF(Предпосылки!$H291&lt;0,AJ340,AI368*(Предпосылки!$H291/(AI$8+1-AI$7)))</f>
        <v>0</v>
      </c>
      <c s="125">
        <f>IF(Предпосылки!$H291&lt;0,AK340,AJ368*(Предпосылки!$H291/(AJ$8+1-AJ$7)))</f>
        <v>0</v>
      </c>
      <c s="125">
        <f>IF(Предпосылки!$H291&lt;0,AL340,AK368*(Предпосылки!$H291/(AK$8+1-AK$7)))</f>
        <v>0</v>
      </c>
      <c s="125">
        <f>IF(Предпосылки!$H291&lt;0,AM340,AL368*(Предпосылки!$H291/(AL$8+1-AL$7)))</f>
        <v>0</v>
      </c>
      <c s="125">
        <f>IF(Предпосылки!$H291&lt;0,AN340,AM368*(Предпосылки!$H291/(AM$8+1-AM$7)))</f>
        <v>0</v>
      </c>
      <c s="125">
        <f>IF(Предпосылки!$H291&lt;0,AO340,AN368*(Предпосылки!$H291/(AN$8+1-AN$7)))</f>
        <v>0</v>
      </c>
      <c s="125">
        <f>IF(Предпосылки!$H291&lt;0,AP340,AO368*(Предпосылки!$H291/(AO$8+1-AO$7)))</f>
        <v>0</v>
      </c>
      <c s="125">
        <f>IF(Предпосылки!$H291&lt;0,AQ340,AP368*(Предпосылки!$H291/(AP$8+1-AP$7)))</f>
        <v>0</v>
      </c>
      <c s="125">
        <f>IF(Предпосылки!$H291&lt;0,AR340,AQ368*(Предпосылки!$H291/(AQ$8+1-AQ$7)))</f>
        <v>0</v>
      </c>
      <c s="125">
        <f>IF(Предпосылки!$H291&lt;0,AS340,AR368*(Предпосылки!$H291/(AR$8+1-AR$7)))</f>
        <v>0</v>
      </c>
      <c s="125">
        <f>IF(Предпосылки!$H291&lt;0,AT340,AS368*(Предпосылки!$H291/(AS$8+1-AS$7)))</f>
        <v>0</v>
      </c>
      <c s="125">
        <f>IF(Предпосылки!$H291&lt;0,AU340,AT368*(Предпосылки!$H291/(AT$8+1-AT$7)))</f>
        <v>0</v>
      </c>
      <c s="125">
        <f>IF(Предпосылки!$H291&lt;0,AV340,AU368*(Предпосылки!$H291/(AU$8+1-AU$7)))</f>
        <v>0</v>
      </c>
      <c s="125">
        <f>IF(Предпосылки!$H291&lt;0,AW340,AV368*(Предпосылки!$H291/(AV$8+1-AV$7)))</f>
        <v>0</v>
      </c>
      <c s="125">
        <f>IF(Предпосылки!$H291&lt;0,AX340,AW368*(Предпосылки!$H291/(AW$8+1-AW$7)))</f>
        <v>0</v>
      </c>
      <c s="125">
        <f>IF(Предпосылки!$H291&lt;0,AY340,AX368*(Предпосылки!$H291/(AX$8+1-AX$7)))</f>
        <v>0</v>
      </c>
      <c s="125">
        <f>IF(Предпосылки!$H291&lt;0,AZ340,AY368*(Предпосылки!$H291/(AY$8+1-AY$7)))</f>
        <v>0</v>
      </c>
      <c s="125">
        <f>IF(Предпосылки!$H291&lt;0,BA340,AZ368*(Предпосылки!$H291/(AZ$8+1-AZ$7)))</f>
        <v>0</v>
      </c>
      <c s="125">
        <f>IF(Предпосылки!$H291&lt;0,BB340,BA368*(Предпосылки!$H291/(BA$8+1-BA$7)))</f>
        <v>0</v>
      </c>
      <c s="125">
        <f>IF(Предпосылки!$H291&lt;0,BC340,BB368*(Предпосылки!$H291/(BB$8+1-BB$7)))</f>
        <v>0</v>
      </c>
      <c s="125">
        <f>IF(Предпосылки!$H291&lt;0,BD340,BC368*(Предпосылки!$H291/(BC$8+1-BC$7)))</f>
        <v>0</v>
      </c>
      <c s="125">
        <f>IF(Предпосылки!$H291&lt;0,BE340,BD368*(Предпосылки!$H291/(BD$8+1-BD$7)))</f>
        <v>0</v>
      </c>
      <c s="125">
        <f>IF(Предпосылки!$H291&lt;0,BF340,BE368*(Предпосылки!$H291/(BE$8+1-BE$7)))</f>
        <v>0</v>
      </c>
      <c s="125">
        <f>IF(Предпосылки!$H291&lt;0,BG340,BF368*(Предпосылки!$H291/(BF$8+1-BF$7)))</f>
        <v>0</v>
      </c>
      <c s="125">
        <f>IF(Предпосылки!$H291&lt;0,BH340,BG368*(Предпосылки!$H291/(BG$8+1-BG$7)))</f>
        <v>0</v>
      </c>
      <c s="125">
        <f>IF(Предпосылки!$H291&lt;0,BI340,BH368*(Предпосылки!$H291/(BH$8+1-BH$7)))</f>
        <v>0</v>
      </c>
      <c s="125">
        <f>IF(Предпосылки!$H291&lt;0,BJ340,BI368*(Предпосылки!$H291/(BI$8+1-BI$7)))</f>
        <v>0</v>
      </c>
      <c s="125">
        <f>IF(Предпосылки!$H291&lt;0,BK340,BJ368*(Предпосылки!$H291/(BJ$8+1-BJ$7)))</f>
        <v>0</v>
      </c>
      <c s="125">
        <f>IF(Предпосылки!$H291&lt;0,BL340,BK368*(Предпосылки!$H291/(BK$8+1-BK$7)))</f>
        <v>0</v>
      </c>
      <c s="125">
        <f>IF(Предпосылки!$H291&lt;0,BM340,BL368*(Предпосылки!$H291/(BL$8+1-BL$7)))</f>
        <v>0</v>
      </c>
      <c s="125">
        <f>IF(Предпосылки!$H291&lt;0,BN340,BM368*(Предпосылки!$H291/(BM$8+1-BM$7)))</f>
        <v>0</v>
      </c>
    </row>
    <row r="425" spans="2:65" ht="15" customHeight="1">
      <c r="B425" s="12" t="str">
        <f t="shared" si="323"/>
        <v>-</v>
      </c>
      <c s="124" t="str">
        <f t="shared" si="322"/>
        <v>тыс. руб.</v>
      </c>
      <c s="125"/>
      <c s="125">
        <f>IF(Предпосылки!$H292&lt;0,F341,E369*(Предпосылки!$H292/(E$8+1-E$7)))</f>
        <v>0</v>
      </c>
      <c s="125">
        <f>IF(Предпосылки!$H292&lt;0,G341,F369*(Предпосылки!$H292/(F$8+1-F$7)))</f>
        <v>0</v>
      </c>
      <c s="125">
        <f>IF(Предпосылки!$H292&lt;0,H341,G369*(Предпосылки!$H292/(G$8+1-G$7)))</f>
        <v>0</v>
      </c>
      <c s="125">
        <f>IF(Предпосылки!$H292&lt;0,I341,H369*(Предпосылки!$H292/(H$8+1-H$7)))</f>
        <v>0</v>
      </c>
      <c s="125">
        <f>IF(Предпосылки!$H292&lt;0,J341,I369*(Предпосылки!$H292/(I$8+1-I$7)))</f>
        <v>0</v>
      </c>
      <c s="125">
        <f>IF(Предпосылки!$H292&lt;0,K341,J369*(Предпосылки!$H292/(J$8+1-J$7)))</f>
        <v>0</v>
      </c>
      <c s="125">
        <f>IF(Предпосылки!$H292&lt;0,L341,K369*(Предпосылки!$H292/(K$8+1-K$7)))</f>
        <v>0</v>
      </c>
      <c s="125">
        <f>IF(Предпосылки!$H292&lt;0,M341,L369*(Предпосылки!$H292/(L$8+1-L$7)))</f>
        <v>0</v>
      </c>
      <c s="125">
        <f>IF(Предпосылки!$H292&lt;0,N341,M369*(Предпосылки!$H292/(M$8+1-M$7)))</f>
        <v>0</v>
      </c>
      <c s="125">
        <f>IF(Предпосылки!$H292&lt;0,O341,N369*(Предпосылки!$H292/(N$8+1-N$7)))</f>
        <v>0</v>
      </c>
      <c s="125">
        <f>IF(Предпосылки!$H292&lt;0,P341,O369*(Предпосылки!$H292/(O$8+1-O$7)))</f>
        <v>0</v>
      </c>
      <c s="125">
        <f>IF(Предпосылки!$H292&lt;0,Q341,P369*(Предпосылки!$H292/(P$8+1-P$7)))</f>
        <v>0</v>
      </c>
      <c s="125">
        <f>IF(Предпосылки!$H292&lt;0,R341,Q369*(Предпосылки!$H292/(Q$8+1-Q$7)))</f>
        <v>0</v>
      </c>
      <c s="125">
        <f>IF(Предпосылки!$H292&lt;0,S341,R369*(Предпосылки!$H292/(R$8+1-R$7)))</f>
        <v>0</v>
      </c>
      <c s="125">
        <f>IF(Предпосылки!$H292&lt;0,T341,S369*(Предпосылки!$H292/(S$8+1-S$7)))</f>
        <v>0</v>
      </c>
      <c s="125">
        <f>IF(Предпосылки!$H292&lt;0,U341,T369*(Предпосылки!$H292/(T$8+1-T$7)))</f>
        <v>0</v>
      </c>
      <c s="125">
        <f>IF(Предпосылки!$H292&lt;0,V341,U369*(Предпосылки!$H292/(U$8+1-U$7)))</f>
        <v>0</v>
      </c>
      <c s="125">
        <f>IF(Предпосылки!$H292&lt;0,W341,V369*(Предпосылки!$H292/(V$8+1-V$7)))</f>
        <v>0</v>
      </c>
      <c s="125">
        <f>IF(Предпосылки!$H292&lt;0,X341,W369*(Предпосылки!$H292/(W$8+1-W$7)))</f>
        <v>0</v>
      </c>
      <c s="125">
        <f>IF(Предпосылки!$H292&lt;0,Y341,X369*(Предпосылки!$H292/(X$8+1-X$7)))</f>
        <v>0</v>
      </c>
      <c s="125">
        <f>IF(Предпосылки!$H292&lt;0,Z341,Y369*(Предпосылки!$H292/(Y$8+1-Y$7)))</f>
        <v>0</v>
      </c>
      <c s="125">
        <f>IF(Предпосылки!$H292&lt;0,AA341,Z369*(Предпосылки!$H292/(Z$8+1-Z$7)))</f>
        <v>0</v>
      </c>
      <c s="125">
        <f>IF(Предпосылки!$H292&lt;0,AB341,AA369*(Предпосылки!$H292/(AA$8+1-AA$7)))</f>
        <v>0</v>
      </c>
      <c s="125">
        <f>IF(Предпосылки!$H292&lt;0,AC341,AB369*(Предпосылки!$H292/(AB$8+1-AB$7)))</f>
        <v>0</v>
      </c>
      <c s="125">
        <f>IF(Предпосылки!$H292&lt;0,AD341,AC369*(Предпосылки!$H292/(AC$8+1-AC$7)))</f>
        <v>0</v>
      </c>
      <c s="125">
        <f>IF(Предпосылки!$H292&lt;0,AE341,AD369*(Предпосылки!$H292/(AD$8+1-AD$7)))</f>
        <v>0</v>
      </c>
      <c s="125">
        <f>IF(Предпосылки!$H292&lt;0,AF341,AE369*(Предпосылки!$H292/(AE$8+1-AE$7)))</f>
        <v>0</v>
      </c>
      <c s="125">
        <f>IF(Предпосылки!$H292&lt;0,AG341,AF369*(Предпосылки!$H292/(AF$8+1-AF$7)))</f>
        <v>0</v>
      </c>
      <c s="125">
        <f>IF(Предпосылки!$H292&lt;0,AH341,AG369*(Предпосылки!$H292/(AG$8+1-AG$7)))</f>
        <v>0</v>
      </c>
      <c s="125">
        <f>IF(Предпосылки!$H292&lt;0,AI341,AH369*(Предпосылки!$H292/(AH$8+1-AH$7)))</f>
        <v>0</v>
      </c>
      <c s="125">
        <f>IF(Предпосылки!$H292&lt;0,AJ341,AI369*(Предпосылки!$H292/(AI$8+1-AI$7)))</f>
        <v>0</v>
      </c>
      <c s="125">
        <f>IF(Предпосылки!$H292&lt;0,AK341,AJ369*(Предпосылки!$H292/(AJ$8+1-AJ$7)))</f>
        <v>0</v>
      </c>
      <c s="125">
        <f>IF(Предпосылки!$H292&lt;0,AL341,AK369*(Предпосылки!$H292/(AK$8+1-AK$7)))</f>
        <v>0</v>
      </c>
      <c s="125">
        <f>IF(Предпосылки!$H292&lt;0,AM341,AL369*(Предпосылки!$H292/(AL$8+1-AL$7)))</f>
        <v>0</v>
      </c>
      <c s="125">
        <f>IF(Предпосылки!$H292&lt;0,AN341,AM369*(Предпосылки!$H292/(AM$8+1-AM$7)))</f>
        <v>0</v>
      </c>
      <c s="125">
        <f>IF(Предпосылки!$H292&lt;0,AO341,AN369*(Предпосылки!$H292/(AN$8+1-AN$7)))</f>
        <v>0</v>
      </c>
      <c s="125">
        <f>IF(Предпосылки!$H292&lt;0,AP341,AO369*(Предпосылки!$H292/(AO$8+1-AO$7)))</f>
        <v>0</v>
      </c>
      <c s="125">
        <f>IF(Предпосылки!$H292&lt;0,AQ341,AP369*(Предпосылки!$H292/(AP$8+1-AP$7)))</f>
        <v>0</v>
      </c>
      <c s="125">
        <f>IF(Предпосылки!$H292&lt;0,AR341,AQ369*(Предпосылки!$H292/(AQ$8+1-AQ$7)))</f>
        <v>0</v>
      </c>
      <c s="125">
        <f>IF(Предпосылки!$H292&lt;0,AS341,AR369*(Предпосылки!$H292/(AR$8+1-AR$7)))</f>
        <v>0</v>
      </c>
      <c s="125">
        <f>IF(Предпосылки!$H292&lt;0,AT341,AS369*(Предпосылки!$H292/(AS$8+1-AS$7)))</f>
        <v>0</v>
      </c>
      <c s="125">
        <f>IF(Предпосылки!$H292&lt;0,AU341,AT369*(Предпосылки!$H292/(AT$8+1-AT$7)))</f>
        <v>0</v>
      </c>
      <c s="125">
        <f>IF(Предпосылки!$H292&lt;0,AV341,AU369*(Предпосылки!$H292/(AU$8+1-AU$7)))</f>
        <v>0</v>
      </c>
      <c s="125">
        <f>IF(Предпосылки!$H292&lt;0,AW341,AV369*(Предпосылки!$H292/(AV$8+1-AV$7)))</f>
        <v>0</v>
      </c>
      <c s="125">
        <f>IF(Предпосылки!$H292&lt;0,AX341,AW369*(Предпосылки!$H292/(AW$8+1-AW$7)))</f>
        <v>0</v>
      </c>
      <c s="125">
        <f>IF(Предпосылки!$H292&lt;0,AY341,AX369*(Предпосылки!$H292/(AX$8+1-AX$7)))</f>
        <v>0</v>
      </c>
      <c s="125">
        <f>IF(Предпосылки!$H292&lt;0,AZ341,AY369*(Предпосылки!$H292/(AY$8+1-AY$7)))</f>
        <v>0</v>
      </c>
      <c s="125">
        <f>IF(Предпосылки!$H292&lt;0,BA341,AZ369*(Предпосылки!$H292/(AZ$8+1-AZ$7)))</f>
        <v>0</v>
      </c>
      <c s="125">
        <f>IF(Предпосылки!$H292&lt;0,BB341,BA369*(Предпосылки!$H292/(BA$8+1-BA$7)))</f>
        <v>0</v>
      </c>
      <c s="125">
        <f>IF(Предпосылки!$H292&lt;0,BC341,BB369*(Предпосылки!$H292/(BB$8+1-BB$7)))</f>
        <v>0</v>
      </c>
      <c s="125">
        <f>IF(Предпосылки!$H292&lt;0,BD341,BC369*(Предпосылки!$H292/(BC$8+1-BC$7)))</f>
        <v>0</v>
      </c>
      <c s="125">
        <f>IF(Предпосылки!$H292&lt;0,BE341,BD369*(Предпосылки!$H292/(BD$8+1-BD$7)))</f>
        <v>0</v>
      </c>
      <c s="125">
        <f>IF(Предпосылки!$H292&lt;0,BF341,BE369*(Предпосылки!$H292/(BE$8+1-BE$7)))</f>
        <v>0</v>
      </c>
      <c s="125">
        <f>IF(Предпосылки!$H292&lt;0,BG341,BF369*(Предпосылки!$H292/(BF$8+1-BF$7)))</f>
        <v>0</v>
      </c>
      <c s="125">
        <f>IF(Предпосылки!$H292&lt;0,BH341,BG369*(Предпосылки!$H292/(BG$8+1-BG$7)))</f>
        <v>0</v>
      </c>
      <c s="125">
        <f>IF(Предпосылки!$H292&lt;0,BI341,BH369*(Предпосылки!$H292/(BH$8+1-BH$7)))</f>
        <v>0</v>
      </c>
      <c s="125">
        <f>IF(Предпосылки!$H292&lt;0,BJ341,BI369*(Предпосылки!$H292/(BI$8+1-BI$7)))</f>
        <v>0</v>
      </c>
      <c s="125">
        <f>IF(Предпосылки!$H292&lt;0,BK341,BJ369*(Предпосылки!$H292/(BJ$8+1-BJ$7)))</f>
        <v>0</v>
      </c>
      <c s="125">
        <f>IF(Предпосылки!$H292&lt;0,BL341,BK369*(Предпосылки!$H292/(BK$8+1-BK$7)))</f>
        <v>0</v>
      </c>
      <c s="125">
        <f>IF(Предпосылки!$H292&lt;0,BM341,BL369*(Предпосылки!$H292/(BL$8+1-BL$7)))</f>
        <v>0</v>
      </c>
      <c s="125">
        <f>IF(Предпосылки!$H292&lt;0,BN341,BM369*(Предпосылки!$H292/(BM$8+1-BM$7)))</f>
        <v>0</v>
      </c>
    </row>
    <row r="426" spans="2:65" ht="15" customHeight="1">
      <c r="B426" s="12" t="str">
        <f t="shared" si="323"/>
        <v>-</v>
      </c>
      <c s="124" t="str">
        <f t="shared" si="322"/>
        <v>тыс. руб.</v>
      </c>
      <c s="125"/>
      <c s="125">
        <f>IF(Предпосылки!$H293&lt;0,F342,E370*(Предпосылки!$H293/(E$8+1-E$7)))</f>
        <v>0</v>
      </c>
      <c s="125">
        <f>IF(Предпосылки!$H293&lt;0,G342,F370*(Предпосылки!$H293/(F$8+1-F$7)))</f>
        <v>0</v>
      </c>
      <c s="125">
        <f>IF(Предпосылки!$H293&lt;0,H342,G370*(Предпосылки!$H293/(G$8+1-G$7)))</f>
        <v>0</v>
      </c>
      <c s="125">
        <f>IF(Предпосылки!$H293&lt;0,I342,H370*(Предпосылки!$H293/(H$8+1-H$7)))</f>
        <v>0</v>
      </c>
      <c s="125">
        <f>IF(Предпосылки!$H293&lt;0,J342,I370*(Предпосылки!$H293/(I$8+1-I$7)))</f>
        <v>0</v>
      </c>
      <c s="125">
        <f>IF(Предпосылки!$H293&lt;0,K342,J370*(Предпосылки!$H293/(J$8+1-J$7)))</f>
        <v>0</v>
      </c>
      <c s="125">
        <f>IF(Предпосылки!$H293&lt;0,L342,K370*(Предпосылки!$H293/(K$8+1-K$7)))</f>
        <v>0</v>
      </c>
      <c s="125">
        <f>IF(Предпосылки!$H293&lt;0,M342,L370*(Предпосылки!$H293/(L$8+1-L$7)))</f>
        <v>0</v>
      </c>
      <c s="125">
        <f>IF(Предпосылки!$H293&lt;0,N342,M370*(Предпосылки!$H293/(M$8+1-M$7)))</f>
        <v>0</v>
      </c>
      <c s="125">
        <f>IF(Предпосылки!$H293&lt;0,O342,N370*(Предпосылки!$H293/(N$8+1-N$7)))</f>
        <v>0</v>
      </c>
      <c s="125">
        <f>IF(Предпосылки!$H293&lt;0,P342,O370*(Предпосылки!$H293/(O$8+1-O$7)))</f>
        <v>0</v>
      </c>
      <c s="125">
        <f>IF(Предпосылки!$H293&lt;0,Q342,P370*(Предпосылки!$H293/(P$8+1-P$7)))</f>
        <v>0</v>
      </c>
      <c s="125">
        <f>IF(Предпосылки!$H293&lt;0,R342,Q370*(Предпосылки!$H293/(Q$8+1-Q$7)))</f>
        <v>0</v>
      </c>
      <c s="125">
        <f>IF(Предпосылки!$H293&lt;0,S342,R370*(Предпосылки!$H293/(R$8+1-R$7)))</f>
        <v>0</v>
      </c>
      <c s="125">
        <f>IF(Предпосылки!$H293&lt;0,T342,S370*(Предпосылки!$H293/(S$8+1-S$7)))</f>
        <v>0</v>
      </c>
      <c s="125">
        <f>IF(Предпосылки!$H293&lt;0,U342,T370*(Предпосылки!$H293/(T$8+1-T$7)))</f>
        <v>0</v>
      </c>
      <c s="125">
        <f>IF(Предпосылки!$H293&lt;0,V342,U370*(Предпосылки!$H293/(U$8+1-U$7)))</f>
        <v>0</v>
      </c>
      <c s="125">
        <f>IF(Предпосылки!$H293&lt;0,W342,V370*(Предпосылки!$H293/(V$8+1-V$7)))</f>
        <v>0</v>
      </c>
      <c s="125">
        <f>IF(Предпосылки!$H293&lt;0,X342,W370*(Предпосылки!$H293/(W$8+1-W$7)))</f>
        <v>0</v>
      </c>
      <c s="125">
        <f>IF(Предпосылки!$H293&lt;0,Y342,X370*(Предпосылки!$H293/(X$8+1-X$7)))</f>
        <v>0</v>
      </c>
      <c s="125">
        <f>IF(Предпосылки!$H293&lt;0,Z342,Y370*(Предпосылки!$H293/(Y$8+1-Y$7)))</f>
        <v>0</v>
      </c>
      <c s="125">
        <f>IF(Предпосылки!$H293&lt;0,AA342,Z370*(Предпосылки!$H293/(Z$8+1-Z$7)))</f>
        <v>0</v>
      </c>
      <c s="125">
        <f>IF(Предпосылки!$H293&lt;0,AB342,AA370*(Предпосылки!$H293/(AA$8+1-AA$7)))</f>
        <v>0</v>
      </c>
      <c s="125">
        <f>IF(Предпосылки!$H293&lt;0,AC342,AB370*(Предпосылки!$H293/(AB$8+1-AB$7)))</f>
        <v>0</v>
      </c>
      <c s="125">
        <f>IF(Предпосылки!$H293&lt;0,AD342,AC370*(Предпосылки!$H293/(AC$8+1-AC$7)))</f>
        <v>0</v>
      </c>
      <c s="125">
        <f>IF(Предпосылки!$H293&lt;0,AE342,AD370*(Предпосылки!$H293/(AD$8+1-AD$7)))</f>
        <v>0</v>
      </c>
      <c s="125">
        <f>IF(Предпосылки!$H293&lt;0,AF342,AE370*(Предпосылки!$H293/(AE$8+1-AE$7)))</f>
        <v>0</v>
      </c>
      <c s="125">
        <f>IF(Предпосылки!$H293&lt;0,AG342,AF370*(Предпосылки!$H293/(AF$8+1-AF$7)))</f>
        <v>0</v>
      </c>
      <c s="125">
        <f>IF(Предпосылки!$H293&lt;0,AH342,AG370*(Предпосылки!$H293/(AG$8+1-AG$7)))</f>
        <v>0</v>
      </c>
      <c s="125">
        <f>IF(Предпосылки!$H293&lt;0,AI342,AH370*(Предпосылки!$H293/(AH$8+1-AH$7)))</f>
        <v>0</v>
      </c>
      <c s="125">
        <f>IF(Предпосылки!$H293&lt;0,AJ342,AI370*(Предпосылки!$H293/(AI$8+1-AI$7)))</f>
        <v>0</v>
      </c>
      <c s="125">
        <f>IF(Предпосылки!$H293&lt;0,AK342,AJ370*(Предпосылки!$H293/(AJ$8+1-AJ$7)))</f>
        <v>0</v>
      </c>
      <c s="125">
        <f>IF(Предпосылки!$H293&lt;0,AL342,AK370*(Предпосылки!$H293/(AK$8+1-AK$7)))</f>
        <v>0</v>
      </c>
      <c s="125">
        <f>IF(Предпосылки!$H293&lt;0,AM342,AL370*(Предпосылки!$H293/(AL$8+1-AL$7)))</f>
        <v>0</v>
      </c>
      <c s="125">
        <f>IF(Предпосылки!$H293&lt;0,AN342,AM370*(Предпосылки!$H293/(AM$8+1-AM$7)))</f>
        <v>0</v>
      </c>
      <c s="125">
        <f>IF(Предпосылки!$H293&lt;0,AO342,AN370*(Предпосылки!$H293/(AN$8+1-AN$7)))</f>
        <v>0</v>
      </c>
      <c s="125">
        <f>IF(Предпосылки!$H293&lt;0,AP342,AO370*(Предпосылки!$H293/(AO$8+1-AO$7)))</f>
        <v>0</v>
      </c>
      <c s="125">
        <f>IF(Предпосылки!$H293&lt;0,AQ342,AP370*(Предпосылки!$H293/(AP$8+1-AP$7)))</f>
        <v>0</v>
      </c>
      <c s="125">
        <f>IF(Предпосылки!$H293&lt;0,AR342,AQ370*(Предпосылки!$H293/(AQ$8+1-AQ$7)))</f>
        <v>0</v>
      </c>
      <c s="125">
        <f>IF(Предпосылки!$H293&lt;0,AS342,AR370*(Предпосылки!$H293/(AR$8+1-AR$7)))</f>
        <v>0</v>
      </c>
      <c s="125">
        <f>IF(Предпосылки!$H293&lt;0,AT342,AS370*(Предпосылки!$H293/(AS$8+1-AS$7)))</f>
        <v>0</v>
      </c>
      <c s="125">
        <f>IF(Предпосылки!$H293&lt;0,AU342,AT370*(Предпосылки!$H293/(AT$8+1-AT$7)))</f>
        <v>0</v>
      </c>
      <c s="125">
        <f>IF(Предпосылки!$H293&lt;0,AV342,AU370*(Предпосылки!$H293/(AU$8+1-AU$7)))</f>
        <v>0</v>
      </c>
      <c s="125">
        <f>IF(Предпосылки!$H293&lt;0,AW342,AV370*(Предпосылки!$H293/(AV$8+1-AV$7)))</f>
        <v>0</v>
      </c>
      <c s="125">
        <f>IF(Предпосылки!$H293&lt;0,AX342,AW370*(Предпосылки!$H293/(AW$8+1-AW$7)))</f>
        <v>0</v>
      </c>
      <c s="125">
        <f>IF(Предпосылки!$H293&lt;0,AY342,AX370*(Предпосылки!$H293/(AX$8+1-AX$7)))</f>
        <v>0</v>
      </c>
      <c s="125">
        <f>IF(Предпосылки!$H293&lt;0,AZ342,AY370*(Предпосылки!$H293/(AY$8+1-AY$7)))</f>
        <v>0</v>
      </c>
      <c s="125">
        <f>IF(Предпосылки!$H293&lt;0,BA342,AZ370*(Предпосылки!$H293/(AZ$8+1-AZ$7)))</f>
        <v>0</v>
      </c>
      <c s="125">
        <f>IF(Предпосылки!$H293&lt;0,BB342,BA370*(Предпосылки!$H293/(BA$8+1-BA$7)))</f>
        <v>0</v>
      </c>
      <c s="125">
        <f>IF(Предпосылки!$H293&lt;0,BC342,BB370*(Предпосылки!$H293/(BB$8+1-BB$7)))</f>
        <v>0</v>
      </c>
      <c s="125">
        <f>IF(Предпосылки!$H293&lt;0,BD342,BC370*(Предпосылки!$H293/(BC$8+1-BC$7)))</f>
        <v>0</v>
      </c>
      <c s="125">
        <f>IF(Предпосылки!$H293&lt;0,BE342,BD370*(Предпосылки!$H293/(BD$8+1-BD$7)))</f>
        <v>0</v>
      </c>
      <c s="125">
        <f>IF(Предпосылки!$H293&lt;0,BF342,BE370*(Предпосылки!$H293/(BE$8+1-BE$7)))</f>
        <v>0</v>
      </c>
      <c s="125">
        <f>IF(Предпосылки!$H293&lt;0,BG342,BF370*(Предпосылки!$H293/(BF$8+1-BF$7)))</f>
        <v>0</v>
      </c>
      <c s="125">
        <f>IF(Предпосылки!$H293&lt;0,BH342,BG370*(Предпосылки!$H293/(BG$8+1-BG$7)))</f>
        <v>0</v>
      </c>
      <c s="125">
        <f>IF(Предпосылки!$H293&lt;0,BI342,BH370*(Предпосылки!$H293/(BH$8+1-BH$7)))</f>
        <v>0</v>
      </c>
      <c s="125">
        <f>IF(Предпосылки!$H293&lt;0,BJ342,BI370*(Предпосылки!$H293/(BI$8+1-BI$7)))</f>
        <v>0</v>
      </c>
      <c s="125">
        <f>IF(Предпосылки!$H293&lt;0,BK342,BJ370*(Предпосылки!$H293/(BJ$8+1-BJ$7)))</f>
        <v>0</v>
      </c>
      <c s="125">
        <f>IF(Предпосылки!$H293&lt;0,BL342,BK370*(Предпосылки!$H293/(BK$8+1-BK$7)))</f>
        <v>0</v>
      </c>
      <c s="125">
        <f>IF(Предпосылки!$H293&lt;0,BM342,BL370*(Предпосылки!$H293/(BL$8+1-BL$7)))</f>
        <v>0</v>
      </c>
      <c s="125">
        <f>IF(Предпосылки!$H293&lt;0,BN342,BM370*(Предпосылки!$H293/(BM$8+1-BM$7)))</f>
        <v>0</v>
      </c>
    </row>
    <row r="427" spans="2:65" ht="15" customHeight="1">
      <c r="B427" s="12" t="str">
        <f t="shared" si="323"/>
        <v>-</v>
      </c>
      <c s="124" t="str">
        <f t="shared" si="322"/>
        <v>тыс. руб.</v>
      </c>
      <c s="125"/>
      <c s="125">
        <f>IF(Предпосылки!$H294&lt;0,F343,E371*(Предпосылки!$H294/(E$8+1-E$7)))</f>
        <v>0</v>
      </c>
      <c s="125">
        <f>IF(Предпосылки!$H294&lt;0,G343,F371*(Предпосылки!$H294/(F$8+1-F$7)))</f>
        <v>0</v>
      </c>
      <c s="125">
        <f>IF(Предпосылки!$H294&lt;0,H343,G371*(Предпосылки!$H294/(G$8+1-G$7)))</f>
        <v>0</v>
      </c>
      <c s="125">
        <f>IF(Предпосылки!$H294&lt;0,I343,H371*(Предпосылки!$H294/(H$8+1-H$7)))</f>
        <v>0</v>
      </c>
      <c s="125">
        <f>IF(Предпосылки!$H294&lt;0,J343,I371*(Предпосылки!$H294/(I$8+1-I$7)))</f>
        <v>0</v>
      </c>
      <c s="125">
        <f>IF(Предпосылки!$H294&lt;0,K343,J371*(Предпосылки!$H294/(J$8+1-J$7)))</f>
        <v>0</v>
      </c>
      <c s="125">
        <f>IF(Предпосылки!$H294&lt;0,L343,K371*(Предпосылки!$H294/(K$8+1-K$7)))</f>
        <v>0</v>
      </c>
      <c s="125">
        <f>IF(Предпосылки!$H294&lt;0,M343,L371*(Предпосылки!$H294/(L$8+1-L$7)))</f>
        <v>0</v>
      </c>
      <c s="125">
        <f>IF(Предпосылки!$H294&lt;0,N343,M371*(Предпосылки!$H294/(M$8+1-M$7)))</f>
        <v>0</v>
      </c>
      <c s="125">
        <f>IF(Предпосылки!$H294&lt;0,O343,N371*(Предпосылки!$H294/(N$8+1-N$7)))</f>
        <v>0</v>
      </c>
      <c s="125">
        <f>IF(Предпосылки!$H294&lt;0,P343,O371*(Предпосылки!$H294/(O$8+1-O$7)))</f>
        <v>0</v>
      </c>
      <c s="125">
        <f>IF(Предпосылки!$H294&lt;0,Q343,P371*(Предпосылки!$H294/(P$8+1-P$7)))</f>
        <v>0</v>
      </c>
      <c s="125">
        <f>IF(Предпосылки!$H294&lt;0,R343,Q371*(Предпосылки!$H294/(Q$8+1-Q$7)))</f>
        <v>0</v>
      </c>
      <c s="125">
        <f>IF(Предпосылки!$H294&lt;0,S343,R371*(Предпосылки!$H294/(R$8+1-R$7)))</f>
        <v>0</v>
      </c>
      <c s="125">
        <f>IF(Предпосылки!$H294&lt;0,T343,S371*(Предпосылки!$H294/(S$8+1-S$7)))</f>
        <v>0</v>
      </c>
      <c s="125">
        <f>IF(Предпосылки!$H294&lt;0,U343,T371*(Предпосылки!$H294/(T$8+1-T$7)))</f>
        <v>0</v>
      </c>
      <c s="125">
        <f>IF(Предпосылки!$H294&lt;0,V343,U371*(Предпосылки!$H294/(U$8+1-U$7)))</f>
        <v>0</v>
      </c>
      <c s="125">
        <f>IF(Предпосылки!$H294&lt;0,W343,V371*(Предпосылки!$H294/(V$8+1-V$7)))</f>
        <v>0</v>
      </c>
      <c s="125">
        <f>IF(Предпосылки!$H294&lt;0,X343,W371*(Предпосылки!$H294/(W$8+1-W$7)))</f>
        <v>0</v>
      </c>
      <c s="125">
        <f>IF(Предпосылки!$H294&lt;0,Y343,X371*(Предпосылки!$H294/(X$8+1-X$7)))</f>
        <v>0</v>
      </c>
      <c s="125">
        <f>IF(Предпосылки!$H294&lt;0,Z343,Y371*(Предпосылки!$H294/(Y$8+1-Y$7)))</f>
        <v>0</v>
      </c>
      <c s="125">
        <f>IF(Предпосылки!$H294&lt;0,AA343,Z371*(Предпосылки!$H294/(Z$8+1-Z$7)))</f>
        <v>0</v>
      </c>
      <c s="125">
        <f>IF(Предпосылки!$H294&lt;0,AB343,AA371*(Предпосылки!$H294/(AA$8+1-AA$7)))</f>
        <v>0</v>
      </c>
      <c s="125">
        <f>IF(Предпосылки!$H294&lt;0,AC343,AB371*(Предпосылки!$H294/(AB$8+1-AB$7)))</f>
        <v>0</v>
      </c>
      <c s="125">
        <f>IF(Предпосылки!$H294&lt;0,AD343,AC371*(Предпосылки!$H294/(AC$8+1-AC$7)))</f>
        <v>0</v>
      </c>
      <c s="125">
        <f>IF(Предпосылки!$H294&lt;0,AE343,AD371*(Предпосылки!$H294/(AD$8+1-AD$7)))</f>
        <v>0</v>
      </c>
      <c s="125">
        <f>IF(Предпосылки!$H294&lt;0,AF343,AE371*(Предпосылки!$H294/(AE$8+1-AE$7)))</f>
        <v>0</v>
      </c>
      <c s="125">
        <f>IF(Предпосылки!$H294&lt;0,AG343,AF371*(Предпосылки!$H294/(AF$8+1-AF$7)))</f>
        <v>0</v>
      </c>
      <c s="125">
        <f>IF(Предпосылки!$H294&lt;0,AH343,AG371*(Предпосылки!$H294/(AG$8+1-AG$7)))</f>
        <v>0</v>
      </c>
      <c s="125">
        <f>IF(Предпосылки!$H294&lt;0,AI343,AH371*(Предпосылки!$H294/(AH$8+1-AH$7)))</f>
        <v>0</v>
      </c>
      <c s="125">
        <f>IF(Предпосылки!$H294&lt;0,AJ343,AI371*(Предпосылки!$H294/(AI$8+1-AI$7)))</f>
        <v>0</v>
      </c>
      <c s="125">
        <f>IF(Предпосылки!$H294&lt;0,AK343,AJ371*(Предпосылки!$H294/(AJ$8+1-AJ$7)))</f>
        <v>0</v>
      </c>
      <c s="125">
        <f>IF(Предпосылки!$H294&lt;0,AL343,AK371*(Предпосылки!$H294/(AK$8+1-AK$7)))</f>
        <v>0</v>
      </c>
      <c s="125">
        <f>IF(Предпосылки!$H294&lt;0,AM343,AL371*(Предпосылки!$H294/(AL$8+1-AL$7)))</f>
        <v>0</v>
      </c>
      <c s="125">
        <f>IF(Предпосылки!$H294&lt;0,AN343,AM371*(Предпосылки!$H294/(AM$8+1-AM$7)))</f>
        <v>0</v>
      </c>
      <c s="125">
        <f>IF(Предпосылки!$H294&lt;0,AO343,AN371*(Предпосылки!$H294/(AN$8+1-AN$7)))</f>
        <v>0</v>
      </c>
      <c s="125">
        <f>IF(Предпосылки!$H294&lt;0,AP343,AO371*(Предпосылки!$H294/(AO$8+1-AO$7)))</f>
        <v>0</v>
      </c>
      <c s="125">
        <f>IF(Предпосылки!$H294&lt;0,AQ343,AP371*(Предпосылки!$H294/(AP$8+1-AP$7)))</f>
        <v>0</v>
      </c>
      <c s="125">
        <f>IF(Предпосылки!$H294&lt;0,AR343,AQ371*(Предпосылки!$H294/(AQ$8+1-AQ$7)))</f>
        <v>0</v>
      </c>
      <c s="125">
        <f>IF(Предпосылки!$H294&lt;0,AS343,AR371*(Предпосылки!$H294/(AR$8+1-AR$7)))</f>
        <v>0</v>
      </c>
      <c s="125">
        <f>IF(Предпосылки!$H294&lt;0,AT343,AS371*(Предпосылки!$H294/(AS$8+1-AS$7)))</f>
        <v>0</v>
      </c>
      <c s="125">
        <f>IF(Предпосылки!$H294&lt;0,AU343,AT371*(Предпосылки!$H294/(AT$8+1-AT$7)))</f>
        <v>0</v>
      </c>
      <c s="125">
        <f>IF(Предпосылки!$H294&lt;0,AV343,AU371*(Предпосылки!$H294/(AU$8+1-AU$7)))</f>
        <v>0</v>
      </c>
      <c s="125">
        <f>IF(Предпосылки!$H294&lt;0,AW343,AV371*(Предпосылки!$H294/(AV$8+1-AV$7)))</f>
        <v>0</v>
      </c>
      <c s="125">
        <f>IF(Предпосылки!$H294&lt;0,AX343,AW371*(Предпосылки!$H294/(AW$8+1-AW$7)))</f>
        <v>0</v>
      </c>
      <c s="125">
        <f>IF(Предпосылки!$H294&lt;0,AY343,AX371*(Предпосылки!$H294/(AX$8+1-AX$7)))</f>
        <v>0</v>
      </c>
      <c s="125">
        <f>IF(Предпосылки!$H294&lt;0,AZ343,AY371*(Предпосылки!$H294/(AY$8+1-AY$7)))</f>
        <v>0</v>
      </c>
      <c s="125">
        <f>IF(Предпосылки!$H294&lt;0,BA343,AZ371*(Предпосылки!$H294/(AZ$8+1-AZ$7)))</f>
        <v>0</v>
      </c>
      <c s="125">
        <f>IF(Предпосылки!$H294&lt;0,BB343,BA371*(Предпосылки!$H294/(BA$8+1-BA$7)))</f>
        <v>0</v>
      </c>
      <c s="125">
        <f>IF(Предпосылки!$H294&lt;0,BC343,BB371*(Предпосылки!$H294/(BB$8+1-BB$7)))</f>
        <v>0</v>
      </c>
      <c s="125">
        <f>IF(Предпосылки!$H294&lt;0,BD343,BC371*(Предпосылки!$H294/(BC$8+1-BC$7)))</f>
        <v>0</v>
      </c>
      <c s="125">
        <f>IF(Предпосылки!$H294&lt;0,BE343,BD371*(Предпосылки!$H294/(BD$8+1-BD$7)))</f>
        <v>0</v>
      </c>
      <c s="125">
        <f>IF(Предпосылки!$H294&lt;0,BF343,BE371*(Предпосылки!$H294/(BE$8+1-BE$7)))</f>
        <v>0</v>
      </c>
      <c s="125">
        <f>IF(Предпосылки!$H294&lt;0,BG343,BF371*(Предпосылки!$H294/(BF$8+1-BF$7)))</f>
        <v>0</v>
      </c>
      <c s="125">
        <f>IF(Предпосылки!$H294&lt;0,BH343,BG371*(Предпосылки!$H294/(BG$8+1-BG$7)))</f>
        <v>0</v>
      </c>
      <c s="125">
        <f>IF(Предпосылки!$H294&lt;0,BI343,BH371*(Предпосылки!$H294/(BH$8+1-BH$7)))</f>
        <v>0</v>
      </c>
      <c s="125">
        <f>IF(Предпосылки!$H294&lt;0,BJ343,BI371*(Предпосылки!$H294/(BI$8+1-BI$7)))</f>
        <v>0</v>
      </c>
      <c s="125">
        <f>IF(Предпосылки!$H294&lt;0,BK343,BJ371*(Предпосылки!$H294/(BJ$8+1-BJ$7)))</f>
        <v>0</v>
      </c>
      <c s="125">
        <f>IF(Предпосылки!$H294&lt;0,BL343,BK371*(Предпосылки!$H294/(BK$8+1-BK$7)))</f>
        <v>0</v>
      </c>
      <c s="125">
        <f>IF(Предпосылки!$H294&lt;0,BM343,BL371*(Предпосылки!$H294/(BL$8+1-BL$7)))</f>
        <v>0</v>
      </c>
      <c s="125">
        <f>IF(Предпосылки!$H294&lt;0,BN343,BM371*(Предпосылки!$H294/(BM$8+1-BM$7)))</f>
        <v>0</v>
      </c>
    </row>
    <row r="428" spans="2:65" ht="15" customHeight="1">
      <c r="B428" s="12" t="str">
        <f t="shared" si="323"/>
        <v>-</v>
      </c>
      <c s="124" t="str">
        <f t="shared" si="322"/>
        <v>тыс. руб.</v>
      </c>
      <c s="125"/>
      <c s="125">
        <f>IF(Предпосылки!$H295&lt;0,F344,E372*(Предпосылки!$H295/(E$8+1-E$7)))</f>
        <v>0</v>
      </c>
      <c s="125">
        <f>IF(Предпосылки!$H295&lt;0,G344,F372*(Предпосылки!$H295/(F$8+1-F$7)))</f>
        <v>0</v>
      </c>
      <c s="125">
        <f>IF(Предпосылки!$H295&lt;0,H344,G372*(Предпосылки!$H295/(G$8+1-G$7)))</f>
        <v>0</v>
      </c>
      <c s="125">
        <f>IF(Предпосылки!$H295&lt;0,I344,H372*(Предпосылки!$H295/(H$8+1-H$7)))</f>
        <v>0</v>
      </c>
      <c s="125">
        <f>IF(Предпосылки!$H295&lt;0,J344,I372*(Предпосылки!$H295/(I$8+1-I$7)))</f>
        <v>0</v>
      </c>
      <c s="125">
        <f>IF(Предпосылки!$H295&lt;0,K344,J372*(Предпосылки!$H295/(J$8+1-J$7)))</f>
        <v>0</v>
      </c>
      <c s="125">
        <f>IF(Предпосылки!$H295&lt;0,L344,K372*(Предпосылки!$H295/(K$8+1-K$7)))</f>
        <v>0</v>
      </c>
      <c s="125">
        <f>IF(Предпосылки!$H295&lt;0,M344,L372*(Предпосылки!$H295/(L$8+1-L$7)))</f>
        <v>0</v>
      </c>
      <c s="125">
        <f>IF(Предпосылки!$H295&lt;0,N344,M372*(Предпосылки!$H295/(M$8+1-M$7)))</f>
        <v>0</v>
      </c>
      <c s="125">
        <f>IF(Предпосылки!$H295&lt;0,O344,N372*(Предпосылки!$H295/(N$8+1-N$7)))</f>
        <v>0</v>
      </c>
      <c s="125">
        <f>IF(Предпосылки!$H295&lt;0,P344,O372*(Предпосылки!$H295/(O$8+1-O$7)))</f>
        <v>0</v>
      </c>
      <c s="125">
        <f>IF(Предпосылки!$H295&lt;0,Q344,P372*(Предпосылки!$H295/(P$8+1-P$7)))</f>
        <v>0</v>
      </c>
      <c s="125">
        <f>IF(Предпосылки!$H295&lt;0,R344,Q372*(Предпосылки!$H295/(Q$8+1-Q$7)))</f>
        <v>0</v>
      </c>
      <c s="125">
        <f>IF(Предпосылки!$H295&lt;0,S344,R372*(Предпосылки!$H295/(R$8+1-R$7)))</f>
        <v>0</v>
      </c>
      <c s="125">
        <f>IF(Предпосылки!$H295&lt;0,T344,S372*(Предпосылки!$H295/(S$8+1-S$7)))</f>
        <v>0</v>
      </c>
      <c s="125">
        <f>IF(Предпосылки!$H295&lt;0,U344,T372*(Предпосылки!$H295/(T$8+1-T$7)))</f>
        <v>0</v>
      </c>
      <c s="125">
        <f>IF(Предпосылки!$H295&lt;0,V344,U372*(Предпосылки!$H295/(U$8+1-U$7)))</f>
        <v>0</v>
      </c>
      <c s="125">
        <f>IF(Предпосылки!$H295&lt;0,W344,V372*(Предпосылки!$H295/(V$8+1-V$7)))</f>
        <v>0</v>
      </c>
      <c s="125">
        <f>IF(Предпосылки!$H295&lt;0,X344,W372*(Предпосылки!$H295/(W$8+1-W$7)))</f>
        <v>0</v>
      </c>
      <c s="125">
        <f>IF(Предпосылки!$H295&lt;0,Y344,X372*(Предпосылки!$H295/(X$8+1-X$7)))</f>
        <v>0</v>
      </c>
      <c s="125">
        <f>IF(Предпосылки!$H295&lt;0,Z344,Y372*(Предпосылки!$H295/(Y$8+1-Y$7)))</f>
        <v>0</v>
      </c>
      <c s="125">
        <f>IF(Предпосылки!$H295&lt;0,AA344,Z372*(Предпосылки!$H295/(Z$8+1-Z$7)))</f>
        <v>0</v>
      </c>
      <c s="125">
        <f>IF(Предпосылки!$H295&lt;0,AB344,AA372*(Предпосылки!$H295/(AA$8+1-AA$7)))</f>
        <v>0</v>
      </c>
      <c s="125">
        <f>IF(Предпосылки!$H295&lt;0,AC344,AB372*(Предпосылки!$H295/(AB$8+1-AB$7)))</f>
        <v>0</v>
      </c>
      <c s="125">
        <f>IF(Предпосылки!$H295&lt;0,AD344,AC372*(Предпосылки!$H295/(AC$8+1-AC$7)))</f>
        <v>0</v>
      </c>
      <c s="125">
        <f>IF(Предпосылки!$H295&lt;0,AE344,AD372*(Предпосылки!$H295/(AD$8+1-AD$7)))</f>
        <v>0</v>
      </c>
      <c s="125">
        <f>IF(Предпосылки!$H295&lt;0,AF344,AE372*(Предпосылки!$H295/(AE$8+1-AE$7)))</f>
        <v>0</v>
      </c>
      <c s="125">
        <f>IF(Предпосылки!$H295&lt;0,AG344,AF372*(Предпосылки!$H295/(AF$8+1-AF$7)))</f>
        <v>0</v>
      </c>
      <c s="125">
        <f>IF(Предпосылки!$H295&lt;0,AH344,AG372*(Предпосылки!$H295/(AG$8+1-AG$7)))</f>
        <v>0</v>
      </c>
      <c s="125">
        <f>IF(Предпосылки!$H295&lt;0,AI344,AH372*(Предпосылки!$H295/(AH$8+1-AH$7)))</f>
        <v>0</v>
      </c>
      <c s="125">
        <f>IF(Предпосылки!$H295&lt;0,AJ344,AI372*(Предпосылки!$H295/(AI$8+1-AI$7)))</f>
        <v>0</v>
      </c>
      <c s="125">
        <f>IF(Предпосылки!$H295&lt;0,AK344,AJ372*(Предпосылки!$H295/(AJ$8+1-AJ$7)))</f>
        <v>0</v>
      </c>
      <c s="125">
        <f>IF(Предпосылки!$H295&lt;0,AL344,AK372*(Предпосылки!$H295/(AK$8+1-AK$7)))</f>
        <v>0</v>
      </c>
      <c s="125">
        <f>IF(Предпосылки!$H295&lt;0,AM344,AL372*(Предпосылки!$H295/(AL$8+1-AL$7)))</f>
        <v>0</v>
      </c>
      <c s="125">
        <f>IF(Предпосылки!$H295&lt;0,AN344,AM372*(Предпосылки!$H295/(AM$8+1-AM$7)))</f>
        <v>0</v>
      </c>
      <c s="125">
        <f>IF(Предпосылки!$H295&lt;0,AO344,AN372*(Предпосылки!$H295/(AN$8+1-AN$7)))</f>
        <v>0</v>
      </c>
      <c s="125">
        <f>IF(Предпосылки!$H295&lt;0,AP344,AO372*(Предпосылки!$H295/(AO$8+1-AO$7)))</f>
        <v>0</v>
      </c>
      <c s="125">
        <f>IF(Предпосылки!$H295&lt;0,AQ344,AP372*(Предпосылки!$H295/(AP$8+1-AP$7)))</f>
        <v>0</v>
      </c>
      <c s="125">
        <f>IF(Предпосылки!$H295&lt;0,AR344,AQ372*(Предпосылки!$H295/(AQ$8+1-AQ$7)))</f>
        <v>0</v>
      </c>
      <c s="125">
        <f>IF(Предпосылки!$H295&lt;0,AS344,AR372*(Предпосылки!$H295/(AR$8+1-AR$7)))</f>
        <v>0</v>
      </c>
      <c s="125">
        <f>IF(Предпосылки!$H295&lt;0,AT344,AS372*(Предпосылки!$H295/(AS$8+1-AS$7)))</f>
        <v>0</v>
      </c>
      <c s="125">
        <f>IF(Предпосылки!$H295&lt;0,AU344,AT372*(Предпосылки!$H295/(AT$8+1-AT$7)))</f>
        <v>0</v>
      </c>
      <c s="125">
        <f>IF(Предпосылки!$H295&lt;0,AV344,AU372*(Предпосылки!$H295/(AU$8+1-AU$7)))</f>
        <v>0</v>
      </c>
      <c s="125">
        <f>IF(Предпосылки!$H295&lt;0,AW344,AV372*(Предпосылки!$H295/(AV$8+1-AV$7)))</f>
        <v>0</v>
      </c>
      <c s="125">
        <f>IF(Предпосылки!$H295&lt;0,AX344,AW372*(Предпосылки!$H295/(AW$8+1-AW$7)))</f>
        <v>0</v>
      </c>
      <c s="125">
        <f>IF(Предпосылки!$H295&lt;0,AY344,AX372*(Предпосылки!$H295/(AX$8+1-AX$7)))</f>
        <v>0</v>
      </c>
      <c s="125">
        <f>IF(Предпосылки!$H295&lt;0,AZ344,AY372*(Предпосылки!$H295/(AY$8+1-AY$7)))</f>
        <v>0</v>
      </c>
      <c s="125">
        <f>IF(Предпосылки!$H295&lt;0,BA344,AZ372*(Предпосылки!$H295/(AZ$8+1-AZ$7)))</f>
        <v>0</v>
      </c>
      <c s="125">
        <f>IF(Предпосылки!$H295&lt;0,BB344,BA372*(Предпосылки!$H295/(BA$8+1-BA$7)))</f>
        <v>0</v>
      </c>
      <c s="125">
        <f>IF(Предпосылки!$H295&lt;0,BC344,BB372*(Предпосылки!$H295/(BB$8+1-BB$7)))</f>
        <v>0</v>
      </c>
      <c s="125">
        <f>IF(Предпосылки!$H295&lt;0,BD344,BC372*(Предпосылки!$H295/(BC$8+1-BC$7)))</f>
        <v>0</v>
      </c>
      <c s="125">
        <f>IF(Предпосылки!$H295&lt;0,BE344,BD372*(Предпосылки!$H295/(BD$8+1-BD$7)))</f>
        <v>0</v>
      </c>
      <c s="125">
        <f>IF(Предпосылки!$H295&lt;0,BF344,BE372*(Предпосылки!$H295/(BE$8+1-BE$7)))</f>
        <v>0</v>
      </c>
      <c s="125">
        <f>IF(Предпосылки!$H295&lt;0,BG344,BF372*(Предпосылки!$H295/(BF$8+1-BF$7)))</f>
        <v>0</v>
      </c>
      <c s="125">
        <f>IF(Предпосылки!$H295&lt;0,BH344,BG372*(Предпосылки!$H295/(BG$8+1-BG$7)))</f>
        <v>0</v>
      </c>
      <c s="125">
        <f>IF(Предпосылки!$H295&lt;0,BI344,BH372*(Предпосылки!$H295/(BH$8+1-BH$7)))</f>
        <v>0</v>
      </c>
      <c s="125">
        <f>IF(Предпосылки!$H295&lt;0,BJ344,BI372*(Предпосылки!$H295/(BI$8+1-BI$7)))</f>
        <v>0</v>
      </c>
      <c s="125">
        <f>IF(Предпосылки!$H295&lt;0,BK344,BJ372*(Предпосылки!$H295/(BJ$8+1-BJ$7)))</f>
        <v>0</v>
      </c>
      <c s="125">
        <f>IF(Предпосылки!$H295&lt;0,BL344,BK372*(Предпосылки!$H295/(BK$8+1-BK$7)))</f>
        <v>0</v>
      </c>
      <c s="125">
        <f>IF(Предпосылки!$H295&lt;0,BM344,BL372*(Предпосылки!$H295/(BL$8+1-BL$7)))</f>
        <v>0</v>
      </c>
      <c s="125">
        <f>IF(Предпосылки!$H295&lt;0,BN344,BM372*(Предпосылки!$H295/(BM$8+1-BM$7)))</f>
        <v>0</v>
      </c>
    </row>
    <row r="429" spans="2:65" ht="15" customHeight="1">
      <c r="B429" s="12" t="str">
        <f t="shared" si="323"/>
        <v>-</v>
      </c>
      <c s="124" t="str">
        <f t="shared" si="322"/>
        <v>тыс. руб.</v>
      </c>
      <c s="125"/>
      <c s="125">
        <f>IF(Предпосылки!$H296&lt;0,F345,E373*(Предпосылки!$H296/(E$8+1-E$7)))</f>
        <v>0</v>
      </c>
      <c s="125">
        <f>IF(Предпосылки!$H296&lt;0,G345,F373*(Предпосылки!$H296/(F$8+1-F$7)))</f>
        <v>0</v>
      </c>
      <c s="125">
        <f>IF(Предпосылки!$H296&lt;0,H345,G373*(Предпосылки!$H296/(G$8+1-G$7)))</f>
        <v>0</v>
      </c>
      <c s="125">
        <f>IF(Предпосылки!$H296&lt;0,I345,H373*(Предпосылки!$H296/(H$8+1-H$7)))</f>
        <v>0</v>
      </c>
      <c s="125">
        <f>IF(Предпосылки!$H296&lt;0,J345,I373*(Предпосылки!$H296/(I$8+1-I$7)))</f>
        <v>0</v>
      </c>
      <c s="125">
        <f>IF(Предпосылки!$H296&lt;0,K345,J373*(Предпосылки!$H296/(J$8+1-J$7)))</f>
        <v>0</v>
      </c>
      <c s="125">
        <f>IF(Предпосылки!$H296&lt;0,L345,K373*(Предпосылки!$H296/(K$8+1-K$7)))</f>
        <v>0</v>
      </c>
      <c s="125">
        <f>IF(Предпосылки!$H296&lt;0,M345,L373*(Предпосылки!$H296/(L$8+1-L$7)))</f>
        <v>0</v>
      </c>
      <c s="125">
        <f>IF(Предпосылки!$H296&lt;0,N345,M373*(Предпосылки!$H296/(M$8+1-M$7)))</f>
        <v>0</v>
      </c>
      <c s="125">
        <f>IF(Предпосылки!$H296&lt;0,O345,N373*(Предпосылки!$H296/(N$8+1-N$7)))</f>
        <v>0</v>
      </c>
      <c s="125">
        <f>IF(Предпосылки!$H296&lt;0,P345,O373*(Предпосылки!$H296/(O$8+1-O$7)))</f>
        <v>0</v>
      </c>
      <c s="125">
        <f>IF(Предпосылки!$H296&lt;0,Q345,P373*(Предпосылки!$H296/(P$8+1-P$7)))</f>
        <v>0</v>
      </c>
      <c s="125">
        <f>IF(Предпосылки!$H296&lt;0,R345,Q373*(Предпосылки!$H296/(Q$8+1-Q$7)))</f>
        <v>0</v>
      </c>
      <c s="125">
        <f>IF(Предпосылки!$H296&lt;0,S345,R373*(Предпосылки!$H296/(R$8+1-R$7)))</f>
        <v>0</v>
      </c>
      <c s="125">
        <f>IF(Предпосылки!$H296&lt;0,T345,S373*(Предпосылки!$H296/(S$8+1-S$7)))</f>
        <v>0</v>
      </c>
      <c s="125">
        <f>IF(Предпосылки!$H296&lt;0,U345,T373*(Предпосылки!$H296/(T$8+1-T$7)))</f>
        <v>0</v>
      </c>
      <c s="125">
        <f>IF(Предпосылки!$H296&lt;0,V345,U373*(Предпосылки!$H296/(U$8+1-U$7)))</f>
        <v>0</v>
      </c>
      <c s="125">
        <f>IF(Предпосылки!$H296&lt;0,W345,V373*(Предпосылки!$H296/(V$8+1-V$7)))</f>
        <v>0</v>
      </c>
      <c s="125">
        <f>IF(Предпосылки!$H296&lt;0,X345,W373*(Предпосылки!$H296/(W$8+1-W$7)))</f>
        <v>0</v>
      </c>
      <c s="125">
        <f>IF(Предпосылки!$H296&lt;0,Y345,X373*(Предпосылки!$H296/(X$8+1-X$7)))</f>
        <v>0</v>
      </c>
      <c s="125">
        <f>IF(Предпосылки!$H296&lt;0,Z345,Y373*(Предпосылки!$H296/(Y$8+1-Y$7)))</f>
        <v>0</v>
      </c>
      <c s="125">
        <f>IF(Предпосылки!$H296&lt;0,AA345,Z373*(Предпосылки!$H296/(Z$8+1-Z$7)))</f>
        <v>0</v>
      </c>
      <c s="125">
        <f>IF(Предпосылки!$H296&lt;0,AB345,AA373*(Предпосылки!$H296/(AA$8+1-AA$7)))</f>
        <v>0</v>
      </c>
      <c s="125">
        <f>IF(Предпосылки!$H296&lt;0,AC345,AB373*(Предпосылки!$H296/(AB$8+1-AB$7)))</f>
        <v>0</v>
      </c>
      <c s="125">
        <f>IF(Предпосылки!$H296&lt;0,AD345,AC373*(Предпосылки!$H296/(AC$8+1-AC$7)))</f>
        <v>0</v>
      </c>
      <c s="125">
        <f>IF(Предпосылки!$H296&lt;0,AE345,AD373*(Предпосылки!$H296/(AD$8+1-AD$7)))</f>
        <v>0</v>
      </c>
      <c s="125">
        <f>IF(Предпосылки!$H296&lt;0,AF345,AE373*(Предпосылки!$H296/(AE$8+1-AE$7)))</f>
        <v>0</v>
      </c>
      <c s="125">
        <f>IF(Предпосылки!$H296&lt;0,AG345,AF373*(Предпосылки!$H296/(AF$8+1-AF$7)))</f>
        <v>0</v>
      </c>
      <c s="125">
        <f>IF(Предпосылки!$H296&lt;0,AH345,AG373*(Предпосылки!$H296/(AG$8+1-AG$7)))</f>
        <v>0</v>
      </c>
      <c s="125">
        <f>IF(Предпосылки!$H296&lt;0,AI345,AH373*(Предпосылки!$H296/(AH$8+1-AH$7)))</f>
        <v>0</v>
      </c>
      <c s="125">
        <f>IF(Предпосылки!$H296&lt;0,AJ345,AI373*(Предпосылки!$H296/(AI$8+1-AI$7)))</f>
        <v>0</v>
      </c>
      <c s="125">
        <f>IF(Предпосылки!$H296&lt;0,AK345,AJ373*(Предпосылки!$H296/(AJ$8+1-AJ$7)))</f>
        <v>0</v>
      </c>
      <c s="125">
        <f>IF(Предпосылки!$H296&lt;0,AL345,AK373*(Предпосылки!$H296/(AK$8+1-AK$7)))</f>
        <v>0</v>
      </c>
      <c s="125">
        <f>IF(Предпосылки!$H296&lt;0,AM345,AL373*(Предпосылки!$H296/(AL$8+1-AL$7)))</f>
        <v>0</v>
      </c>
      <c s="125">
        <f>IF(Предпосылки!$H296&lt;0,AN345,AM373*(Предпосылки!$H296/(AM$8+1-AM$7)))</f>
        <v>0</v>
      </c>
      <c s="125">
        <f>IF(Предпосылки!$H296&lt;0,AO345,AN373*(Предпосылки!$H296/(AN$8+1-AN$7)))</f>
        <v>0</v>
      </c>
      <c s="125">
        <f>IF(Предпосылки!$H296&lt;0,AP345,AO373*(Предпосылки!$H296/(AO$8+1-AO$7)))</f>
        <v>0</v>
      </c>
      <c s="125">
        <f>IF(Предпосылки!$H296&lt;0,AQ345,AP373*(Предпосылки!$H296/(AP$8+1-AP$7)))</f>
        <v>0</v>
      </c>
      <c s="125">
        <f>IF(Предпосылки!$H296&lt;0,AR345,AQ373*(Предпосылки!$H296/(AQ$8+1-AQ$7)))</f>
        <v>0</v>
      </c>
      <c s="125">
        <f>IF(Предпосылки!$H296&lt;0,AS345,AR373*(Предпосылки!$H296/(AR$8+1-AR$7)))</f>
        <v>0</v>
      </c>
      <c s="125">
        <f>IF(Предпосылки!$H296&lt;0,AT345,AS373*(Предпосылки!$H296/(AS$8+1-AS$7)))</f>
        <v>0</v>
      </c>
      <c s="125">
        <f>IF(Предпосылки!$H296&lt;0,AU345,AT373*(Предпосылки!$H296/(AT$8+1-AT$7)))</f>
        <v>0</v>
      </c>
      <c s="125">
        <f>IF(Предпосылки!$H296&lt;0,AV345,AU373*(Предпосылки!$H296/(AU$8+1-AU$7)))</f>
        <v>0</v>
      </c>
      <c s="125">
        <f>IF(Предпосылки!$H296&lt;0,AW345,AV373*(Предпосылки!$H296/(AV$8+1-AV$7)))</f>
        <v>0</v>
      </c>
      <c s="125">
        <f>IF(Предпосылки!$H296&lt;0,AX345,AW373*(Предпосылки!$H296/(AW$8+1-AW$7)))</f>
        <v>0</v>
      </c>
      <c s="125">
        <f>IF(Предпосылки!$H296&lt;0,AY345,AX373*(Предпосылки!$H296/(AX$8+1-AX$7)))</f>
        <v>0</v>
      </c>
      <c s="125">
        <f>IF(Предпосылки!$H296&lt;0,AZ345,AY373*(Предпосылки!$H296/(AY$8+1-AY$7)))</f>
        <v>0</v>
      </c>
      <c s="125">
        <f>IF(Предпосылки!$H296&lt;0,BA345,AZ373*(Предпосылки!$H296/(AZ$8+1-AZ$7)))</f>
        <v>0</v>
      </c>
      <c s="125">
        <f>IF(Предпосылки!$H296&lt;0,BB345,BA373*(Предпосылки!$H296/(BA$8+1-BA$7)))</f>
        <v>0</v>
      </c>
      <c s="125">
        <f>IF(Предпосылки!$H296&lt;0,BC345,BB373*(Предпосылки!$H296/(BB$8+1-BB$7)))</f>
        <v>0</v>
      </c>
      <c s="125">
        <f>IF(Предпосылки!$H296&lt;0,BD345,BC373*(Предпосылки!$H296/(BC$8+1-BC$7)))</f>
        <v>0</v>
      </c>
      <c s="125">
        <f>IF(Предпосылки!$H296&lt;0,BE345,BD373*(Предпосылки!$H296/(BD$8+1-BD$7)))</f>
        <v>0</v>
      </c>
      <c s="125">
        <f>IF(Предпосылки!$H296&lt;0,BF345,BE373*(Предпосылки!$H296/(BE$8+1-BE$7)))</f>
        <v>0</v>
      </c>
      <c s="125">
        <f>IF(Предпосылки!$H296&lt;0,BG345,BF373*(Предпосылки!$H296/(BF$8+1-BF$7)))</f>
        <v>0</v>
      </c>
      <c s="125">
        <f>IF(Предпосылки!$H296&lt;0,BH345,BG373*(Предпосылки!$H296/(BG$8+1-BG$7)))</f>
        <v>0</v>
      </c>
      <c s="125">
        <f>IF(Предпосылки!$H296&lt;0,BI345,BH373*(Предпосылки!$H296/(BH$8+1-BH$7)))</f>
        <v>0</v>
      </c>
      <c s="125">
        <f>IF(Предпосылки!$H296&lt;0,BJ345,BI373*(Предпосылки!$H296/(BI$8+1-BI$7)))</f>
        <v>0</v>
      </c>
      <c s="125">
        <f>IF(Предпосылки!$H296&lt;0,BK345,BJ373*(Предпосылки!$H296/(BJ$8+1-BJ$7)))</f>
        <v>0</v>
      </c>
      <c s="125">
        <f>IF(Предпосылки!$H296&lt;0,BL345,BK373*(Предпосылки!$H296/(BK$8+1-BK$7)))</f>
        <v>0</v>
      </c>
      <c s="125">
        <f>IF(Предпосылки!$H296&lt;0,BM345,BL373*(Предпосылки!$H296/(BL$8+1-BL$7)))</f>
        <v>0</v>
      </c>
      <c s="125">
        <f>IF(Предпосылки!$H296&lt;0,BN345,BM373*(Предпосылки!$H296/(BM$8+1-BM$7)))</f>
        <v>0</v>
      </c>
    </row>
    <row r="430" spans="2:65" ht="15" customHeight="1">
      <c r="B430" s="12" t="str">
        <f t="shared" si="323"/>
        <v>-</v>
      </c>
      <c s="124" t="str">
        <f t="shared" si="322"/>
        <v>тыс. руб.</v>
      </c>
      <c s="125"/>
      <c s="125">
        <f>IF(Предпосылки!$H297&lt;0,F346,E374*(Предпосылки!$H297/(E$8+1-E$7)))</f>
        <v>0</v>
      </c>
      <c s="125">
        <f>IF(Предпосылки!$H297&lt;0,G346,F374*(Предпосылки!$H297/(F$8+1-F$7)))</f>
        <v>0</v>
      </c>
      <c s="125">
        <f>IF(Предпосылки!$H297&lt;0,H346,G374*(Предпосылки!$H297/(G$8+1-G$7)))</f>
        <v>0</v>
      </c>
      <c s="125">
        <f>IF(Предпосылки!$H297&lt;0,I346,H374*(Предпосылки!$H297/(H$8+1-H$7)))</f>
        <v>0</v>
      </c>
      <c s="125">
        <f>IF(Предпосылки!$H297&lt;0,J346,I374*(Предпосылки!$H297/(I$8+1-I$7)))</f>
        <v>0</v>
      </c>
      <c s="125">
        <f>IF(Предпосылки!$H297&lt;0,K346,J374*(Предпосылки!$H297/(J$8+1-J$7)))</f>
        <v>0</v>
      </c>
      <c s="125">
        <f>IF(Предпосылки!$H297&lt;0,L346,K374*(Предпосылки!$H297/(K$8+1-K$7)))</f>
        <v>0</v>
      </c>
      <c s="125">
        <f>IF(Предпосылки!$H297&lt;0,M346,L374*(Предпосылки!$H297/(L$8+1-L$7)))</f>
        <v>0</v>
      </c>
      <c s="125">
        <f>IF(Предпосылки!$H297&lt;0,N346,M374*(Предпосылки!$H297/(M$8+1-M$7)))</f>
        <v>0</v>
      </c>
      <c s="125">
        <f>IF(Предпосылки!$H297&lt;0,O346,N374*(Предпосылки!$H297/(N$8+1-N$7)))</f>
        <v>0</v>
      </c>
      <c s="125">
        <f>IF(Предпосылки!$H297&lt;0,P346,O374*(Предпосылки!$H297/(O$8+1-O$7)))</f>
        <v>0</v>
      </c>
      <c s="125">
        <f>IF(Предпосылки!$H297&lt;0,Q346,P374*(Предпосылки!$H297/(P$8+1-P$7)))</f>
        <v>0</v>
      </c>
      <c s="125">
        <f>IF(Предпосылки!$H297&lt;0,R346,Q374*(Предпосылки!$H297/(Q$8+1-Q$7)))</f>
        <v>0</v>
      </c>
      <c s="125">
        <f>IF(Предпосылки!$H297&lt;0,S346,R374*(Предпосылки!$H297/(R$8+1-R$7)))</f>
        <v>0</v>
      </c>
      <c s="125">
        <f>IF(Предпосылки!$H297&lt;0,T346,S374*(Предпосылки!$H297/(S$8+1-S$7)))</f>
        <v>0</v>
      </c>
      <c s="125">
        <f>IF(Предпосылки!$H297&lt;0,U346,T374*(Предпосылки!$H297/(T$8+1-T$7)))</f>
        <v>0</v>
      </c>
      <c s="125">
        <f>IF(Предпосылки!$H297&lt;0,V346,U374*(Предпосылки!$H297/(U$8+1-U$7)))</f>
        <v>0</v>
      </c>
      <c s="125">
        <f>IF(Предпосылки!$H297&lt;0,W346,V374*(Предпосылки!$H297/(V$8+1-V$7)))</f>
        <v>0</v>
      </c>
      <c s="125">
        <f>IF(Предпосылки!$H297&lt;0,X346,W374*(Предпосылки!$H297/(W$8+1-W$7)))</f>
        <v>0</v>
      </c>
      <c s="125">
        <f>IF(Предпосылки!$H297&lt;0,Y346,X374*(Предпосылки!$H297/(X$8+1-X$7)))</f>
        <v>0</v>
      </c>
      <c s="125">
        <f>IF(Предпосылки!$H297&lt;0,Z346,Y374*(Предпосылки!$H297/(Y$8+1-Y$7)))</f>
        <v>0</v>
      </c>
      <c s="125">
        <f>IF(Предпосылки!$H297&lt;0,AA346,Z374*(Предпосылки!$H297/(Z$8+1-Z$7)))</f>
        <v>0</v>
      </c>
      <c s="125">
        <f>IF(Предпосылки!$H297&lt;0,AB346,AA374*(Предпосылки!$H297/(AA$8+1-AA$7)))</f>
        <v>0</v>
      </c>
      <c s="125">
        <f>IF(Предпосылки!$H297&lt;0,AC346,AB374*(Предпосылки!$H297/(AB$8+1-AB$7)))</f>
        <v>0</v>
      </c>
      <c s="125">
        <f>IF(Предпосылки!$H297&lt;0,AD346,AC374*(Предпосылки!$H297/(AC$8+1-AC$7)))</f>
        <v>0</v>
      </c>
      <c s="125">
        <f>IF(Предпосылки!$H297&lt;0,AE346,AD374*(Предпосылки!$H297/(AD$8+1-AD$7)))</f>
        <v>0</v>
      </c>
      <c s="125">
        <f>IF(Предпосылки!$H297&lt;0,AF346,AE374*(Предпосылки!$H297/(AE$8+1-AE$7)))</f>
        <v>0</v>
      </c>
      <c s="125">
        <f>IF(Предпосылки!$H297&lt;0,AG346,AF374*(Предпосылки!$H297/(AF$8+1-AF$7)))</f>
        <v>0</v>
      </c>
      <c s="125">
        <f>IF(Предпосылки!$H297&lt;0,AH346,AG374*(Предпосылки!$H297/(AG$8+1-AG$7)))</f>
        <v>0</v>
      </c>
      <c s="125">
        <f>IF(Предпосылки!$H297&lt;0,AI346,AH374*(Предпосылки!$H297/(AH$8+1-AH$7)))</f>
        <v>0</v>
      </c>
      <c s="125">
        <f>IF(Предпосылки!$H297&lt;0,AJ346,AI374*(Предпосылки!$H297/(AI$8+1-AI$7)))</f>
        <v>0</v>
      </c>
      <c s="125">
        <f>IF(Предпосылки!$H297&lt;0,AK346,AJ374*(Предпосылки!$H297/(AJ$8+1-AJ$7)))</f>
        <v>0</v>
      </c>
      <c s="125">
        <f>IF(Предпосылки!$H297&lt;0,AL346,AK374*(Предпосылки!$H297/(AK$8+1-AK$7)))</f>
        <v>0</v>
      </c>
      <c s="125">
        <f>IF(Предпосылки!$H297&lt;0,AM346,AL374*(Предпосылки!$H297/(AL$8+1-AL$7)))</f>
        <v>0</v>
      </c>
      <c s="125">
        <f>IF(Предпосылки!$H297&lt;0,AN346,AM374*(Предпосылки!$H297/(AM$8+1-AM$7)))</f>
        <v>0</v>
      </c>
      <c s="125">
        <f>IF(Предпосылки!$H297&lt;0,AO346,AN374*(Предпосылки!$H297/(AN$8+1-AN$7)))</f>
        <v>0</v>
      </c>
      <c s="125">
        <f>IF(Предпосылки!$H297&lt;0,AP346,AO374*(Предпосылки!$H297/(AO$8+1-AO$7)))</f>
        <v>0</v>
      </c>
      <c s="125">
        <f>IF(Предпосылки!$H297&lt;0,AQ346,AP374*(Предпосылки!$H297/(AP$8+1-AP$7)))</f>
        <v>0</v>
      </c>
      <c s="125">
        <f>IF(Предпосылки!$H297&lt;0,AR346,AQ374*(Предпосылки!$H297/(AQ$8+1-AQ$7)))</f>
        <v>0</v>
      </c>
      <c s="125">
        <f>IF(Предпосылки!$H297&lt;0,AS346,AR374*(Предпосылки!$H297/(AR$8+1-AR$7)))</f>
        <v>0</v>
      </c>
      <c s="125">
        <f>IF(Предпосылки!$H297&lt;0,AT346,AS374*(Предпосылки!$H297/(AS$8+1-AS$7)))</f>
        <v>0</v>
      </c>
      <c s="125">
        <f>IF(Предпосылки!$H297&lt;0,AU346,AT374*(Предпосылки!$H297/(AT$8+1-AT$7)))</f>
        <v>0</v>
      </c>
      <c s="125">
        <f>IF(Предпосылки!$H297&lt;0,AV346,AU374*(Предпосылки!$H297/(AU$8+1-AU$7)))</f>
        <v>0</v>
      </c>
      <c s="125">
        <f>IF(Предпосылки!$H297&lt;0,AW346,AV374*(Предпосылки!$H297/(AV$8+1-AV$7)))</f>
        <v>0</v>
      </c>
      <c s="125">
        <f>IF(Предпосылки!$H297&lt;0,AX346,AW374*(Предпосылки!$H297/(AW$8+1-AW$7)))</f>
        <v>0</v>
      </c>
      <c s="125">
        <f>IF(Предпосылки!$H297&lt;0,AY346,AX374*(Предпосылки!$H297/(AX$8+1-AX$7)))</f>
        <v>0</v>
      </c>
      <c s="125">
        <f>IF(Предпосылки!$H297&lt;0,AZ346,AY374*(Предпосылки!$H297/(AY$8+1-AY$7)))</f>
        <v>0</v>
      </c>
      <c s="125">
        <f>IF(Предпосылки!$H297&lt;0,BA346,AZ374*(Предпосылки!$H297/(AZ$8+1-AZ$7)))</f>
        <v>0</v>
      </c>
      <c s="125">
        <f>IF(Предпосылки!$H297&lt;0,BB346,BA374*(Предпосылки!$H297/(BA$8+1-BA$7)))</f>
        <v>0</v>
      </c>
      <c s="125">
        <f>IF(Предпосылки!$H297&lt;0,BC346,BB374*(Предпосылки!$H297/(BB$8+1-BB$7)))</f>
        <v>0</v>
      </c>
      <c s="125">
        <f>IF(Предпосылки!$H297&lt;0,BD346,BC374*(Предпосылки!$H297/(BC$8+1-BC$7)))</f>
        <v>0</v>
      </c>
      <c s="125">
        <f>IF(Предпосылки!$H297&lt;0,BE346,BD374*(Предпосылки!$H297/(BD$8+1-BD$7)))</f>
        <v>0</v>
      </c>
      <c s="125">
        <f>IF(Предпосылки!$H297&lt;0,BF346,BE374*(Предпосылки!$H297/(BE$8+1-BE$7)))</f>
        <v>0</v>
      </c>
      <c s="125">
        <f>IF(Предпосылки!$H297&lt;0,BG346,BF374*(Предпосылки!$H297/(BF$8+1-BF$7)))</f>
        <v>0</v>
      </c>
      <c s="125">
        <f>IF(Предпосылки!$H297&lt;0,BH346,BG374*(Предпосылки!$H297/(BG$8+1-BG$7)))</f>
        <v>0</v>
      </c>
      <c s="125">
        <f>IF(Предпосылки!$H297&lt;0,BI346,BH374*(Предпосылки!$H297/(BH$8+1-BH$7)))</f>
        <v>0</v>
      </c>
      <c s="125">
        <f>IF(Предпосылки!$H297&lt;0,BJ346,BI374*(Предпосылки!$H297/(BI$8+1-BI$7)))</f>
        <v>0</v>
      </c>
      <c s="125">
        <f>IF(Предпосылки!$H297&lt;0,BK346,BJ374*(Предпосылки!$H297/(BJ$8+1-BJ$7)))</f>
        <v>0</v>
      </c>
      <c s="125">
        <f>IF(Предпосылки!$H297&lt;0,BL346,BK374*(Предпосылки!$H297/(BK$8+1-BK$7)))</f>
        <v>0</v>
      </c>
      <c s="125">
        <f>IF(Предпосылки!$H297&lt;0,BM346,BL374*(Предпосылки!$H297/(BL$8+1-BL$7)))</f>
        <v>0</v>
      </c>
      <c s="125">
        <f>IF(Предпосылки!$H297&lt;0,BN346,BM374*(Предпосылки!$H297/(BM$8+1-BM$7)))</f>
        <v>0</v>
      </c>
    </row>
    <row r="431" spans="2:65" ht="15" customHeight="1">
      <c r="B431" s="12" t="str">
        <f t="shared" si="323"/>
        <v>-</v>
      </c>
      <c s="124" t="str">
        <f t="shared" si="322"/>
        <v>тыс. руб.</v>
      </c>
      <c s="125"/>
      <c s="125">
        <f>IF(Предпосылки!$H298&lt;0,F347,E375*(Предпосылки!$H298/(E$8+1-E$7)))</f>
        <v>0</v>
      </c>
      <c s="125">
        <f>IF(Предпосылки!$H298&lt;0,G347,F375*(Предпосылки!$H298/(F$8+1-F$7)))</f>
        <v>0</v>
      </c>
      <c s="125">
        <f>IF(Предпосылки!$H298&lt;0,H347,G375*(Предпосылки!$H298/(G$8+1-G$7)))</f>
        <v>0</v>
      </c>
      <c s="125">
        <f>IF(Предпосылки!$H298&lt;0,I347,H375*(Предпосылки!$H298/(H$8+1-H$7)))</f>
        <v>0</v>
      </c>
      <c s="125">
        <f>IF(Предпосылки!$H298&lt;0,J347,I375*(Предпосылки!$H298/(I$8+1-I$7)))</f>
        <v>0</v>
      </c>
      <c s="125">
        <f>IF(Предпосылки!$H298&lt;0,K347,J375*(Предпосылки!$H298/(J$8+1-J$7)))</f>
        <v>0</v>
      </c>
      <c s="125">
        <f>IF(Предпосылки!$H298&lt;0,L347,K375*(Предпосылки!$H298/(K$8+1-K$7)))</f>
        <v>0</v>
      </c>
      <c s="125">
        <f>IF(Предпосылки!$H298&lt;0,M347,L375*(Предпосылки!$H298/(L$8+1-L$7)))</f>
        <v>0</v>
      </c>
      <c s="125">
        <f>IF(Предпосылки!$H298&lt;0,N347,M375*(Предпосылки!$H298/(M$8+1-M$7)))</f>
        <v>0</v>
      </c>
      <c s="125">
        <f>IF(Предпосылки!$H298&lt;0,O347,N375*(Предпосылки!$H298/(N$8+1-N$7)))</f>
        <v>0</v>
      </c>
      <c s="125">
        <f>IF(Предпосылки!$H298&lt;0,P347,O375*(Предпосылки!$H298/(O$8+1-O$7)))</f>
        <v>0</v>
      </c>
      <c s="125">
        <f>IF(Предпосылки!$H298&lt;0,Q347,P375*(Предпосылки!$H298/(P$8+1-P$7)))</f>
        <v>0</v>
      </c>
      <c s="125">
        <f>IF(Предпосылки!$H298&lt;0,R347,Q375*(Предпосылки!$H298/(Q$8+1-Q$7)))</f>
        <v>0</v>
      </c>
      <c s="125">
        <f>IF(Предпосылки!$H298&lt;0,S347,R375*(Предпосылки!$H298/(R$8+1-R$7)))</f>
        <v>0</v>
      </c>
      <c s="125">
        <f>IF(Предпосылки!$H298&lt;0,T347,S375*(Предпосылки!$H298/(S$8+1-S$7)))</f>
        <v>0</v>
      </c>
      <c s="125">
        <f>IF(Предпосылки!$H298&lt;0,U347,T375*(Предпосылки!$H298/(T$8+1-T$7)))</f>
        <v>0</v>
      </c>
      <c s="125">
        <f>IF(Предпосылки!$H298&lt;0,V347,U375*(Предпосылки!$H298/(U$8+1-U$7)))</f>
        <v>0</v>
      </c>
      <c s="125">
        <f>IF(Предпосылки!$H298&lt;0,W347,V375*(Предпосылки!$H298/(V$8+1-V$7)))</f>
        <v>0</v>
      </c>
      <c s="125">
        <f>IF(Предпосылки!$H298&lt;0,X347,W375*(Предпосылки!$H298/(W$8+1-W$7)))</f>
        <v>0</v>
      </c>
      <c s="125">
        <f>IF(Предпосылки!$H298&lt;0,Y347,X375*(Предпосылки!$H298/(X$8+1-X$7)))</f>
        <v>0</v>
      </c>
      <c s="125">
        <f>IF(Предпосылки!$H298&lt;0,Z347,Y375*(Предпосылки!$H298/(Y$8+1-Y$7)))</f>
        <v>0</v>
      </c>
      <c s="125">
        <f>IF(Предпосылки!$H298&lt;0,AA347,Z375*(Предпосылки!$H298/(Z$8+1-Z$7)))</f>
        <v>0</v>
      </c>
      <c s="125">
        <f>IF(Предпосылки!$H298&lt;0,AB347,AA375*(Предпосылки!$H298/(AA$8+1-AA$7)))</f>
        <v>0</v>
      </c>
      <c s="125">
        <f>IF(Предпосылки!$H298&lt;0,AC347,AB375*(Предпосылки!$H298/(AB$8+1-AB$7)))</f>
        <v>0</v>
      </c>
      <c s="125">
        <f>IF(Предпосылки!$H298&lt;0,AD347,AC375*(Предпосылки!$H298/(AC$8+1-AC$7)))</f>
        <v>0</v>
      </c>
      <c s="125">
        <f>IF(Предпосылки!$H298&lt;0,AE347,AD375*(Предпосылки!$H298/(AD$8+1-AD$7)))</f>
        <v>0</v>
      </c>
      <c s="125">
        <f>IF(Предпосылки!$H298&lt;0,AF347,AE375*(Предпосылки!$H298/(AE$8+1-AE$7)))</f>
        <v>0</v>
      </c>
      <c s="125">
        <f>IF(Предпосылки!$H298&lt;0,AG347,AF375*(Предпосылки!$H298/(AF$8+1-AF$7)))</f>
        <v>0</v>
      </c>
      <c s="125">
        <f>IF(Предпосылки!$H298&lt;0,AH347,AG375*(Предпосылки!$H298/(AG$8+1-AG$7)))</f>
        <v>0</v>
      </c>
      <c s="125">
        <f>IF(Предпосылки!$H298&lt;0,AI347,AH375*(Предпосылки!$H298/(AH$8+1-AH$7)))</f>
        <v>0</v>
      </c>
      <c s="125">
        <f>IF(Предпосылки!$H298&lt;0,AJ347,AI375*(Предпосылки!$H298/(AI$8+1-AI$7)))</f>
        <v>0</v>
      </c>
      <c s="125">
        <f>IF(Предпосылки!$H298&lt;0,AK347,AJ375*(Предпосылки!$H298/(AJ$8+1-AJ$7)))</f>
        <v>0</v>
      </c>
      <c s="125">
        <f>IF(Предпосылки!$H298&lt;0,AL347,AK375*(Предпосылки!$H298/(AK$8+1-AK$7)))</f>
        <v>0</v>
      </c>
      <c s="125">
        <f>IF(Предпосылки!$H298&lt;0,AM347,AL375*(Предпосылки!$H298/(AL$8+1-AL$7)))</f>
        <v>0</v>
      </c>
      <c s="125">
        <f>IF(Предпосылки!$H298&lt;0,AN347,AM375*(Предпосылки!$H298/(AM$8+1-AM$7)))</f>
        <v>0</v>
      </c>
      <c s="125">
        <f>IF(Предпосылки!$H298&lt;0,AO347,AN375*(Предпосылки!$H298/(AN$8+1-AN$7)))</f>
        <v>0</v>
      </c>
      <c s="125">
        <f>IF(Предпосылки!$H298&lt;0,AP347,AO375*(Предпосылки!$H298/(AO$8+1-AO$7)))</f>
        <v>0</v>
      </c>
      <c s="125">
        <f>IF(Предпосылки!$H298&lt;0,AQ347,AP375*(Предпосылки!$H298/(AP$8+1-AP$7)))</f>
        <v>0</v>
      </c>
      <c s="125">
        <f>IF(Предпосылки!$H298&lt;0,AR347,AQ375*(Предпосылки!$H298/(AQ$8+1-AQ$7)))</f>
        <v>0</v>
      </c>
      <c s="125">
        <f>IF(Предпосылки!$H298&lt;0,AS347,AR375*(Предпосылки!$H298/(AR$8+1-AR$7)))</f>
        <v>0</v>
      </c>
      <c s="125">
        <f>IF(Предпосылки!$H298&lt;0,AT347,AS375*(Предпосылки!$H298/(AS$8+1-AS$7)))</f>
        <v>0</v>
      </c>
      <c s="125">
        <f>IF(Предпосылки!$H298&lt;0,AU347,AT375*(Предпосылки!$H298/(AT$8+1-AT$7)))</f>
        <v>0</v>
      </c>
      <c s="125">
        <f>IF(Предпосылки!$H298&lt;0,AV347,AU375*(Предпосылки!$H298/(AU$8+1-AU$7)))</f>
        <v>0</v>
      </c>
      <c s="125">
        <f>IF(Предпосылки!$H298&lt;0,AW347,AV375*(Предпосылки!$H298/(AV$8+1-AV$7)))</f>
        <v>0</v>
      </c>
      <c s="125">
        <f>IF(Предпосылки!$H298&lt;0,AX347,AW375*(Предпосылки!$H298/(AW$8+1-AW$7)))</f>
        <v>0</v>
      </c>
      <c s="125">
        <f>IF(Предпосылки!$H298&lt;0,AY347,AX375*(Предпосылки!$H298/(AX$8+1-AX$7)))</f>
        <v>0</v>
      </c>
      <c s="125">
        <f>IF(Предпосылки!$H298&lt;0,AZ347,AY375*(Предпосылки!$H298/(AY$8+1-AY$7)))</f>
        <v>0</v>
      </c>
      <c s="125">
        <f>IF(Предпосылки!$H298&lt;0,BA347,AZ375*(Предпосылки!$H298/(AZ$8+1-AZ$7)))</f>
        <v>0</v>
      </c>
      <c s="125">
        <f>IF(Предпосылки!$H298&lt;0,BB347,BA375*(Предпосылки!$H298/(BA$8+1-BA$7)))</f>
        <v>0</v>
      </c>
      <c s="125">
        <f>IF(Предпосылки!$H298&lt;0,BC347,BB375*(Предпосылки!$H298/(BB$8+1-BB$7)))</f>
        <v>0</v>
      </c>
      <c s="125">
        <f>IF(Предпосылки!$H298&lt;0,BD347,BC375*(Предпосылки!$H298/(BC$8+1-BC$7)))</f>
        <v>0</v>
      </c>
      <c s="125">
        <f>IF(Предпосылки!$H298&lt;0,BE347,BD375*(Предпосылки!$H298/(BD$8+1-BD$7)))</f>
        <v>0</v>
      </c>
      <c s="125">
        <f>IF(Предпосылки!$H298&lt;0,BF347,BE375*(Предпосылки!$H298/(BE$8+1-BE$7)))</f>
        <v>0</v>
      </c>
      <c s="125">
        <f>IF(Предпосылки!$H298&lt;0,BG347,BF375*(Предпосылки!$H298/(BF$8+1-BF$7)))</f>
        <v>0</v>
      </c>
      <c s="125">
        <f>IF(Предпосылки!$H298&lt;0,BH347,BG375*(Предпосылки!$H298/(BG$8+1-BG$7)))</f>
        <v>0</v>
      </c>
      <c s="125">
        <f>IF(Предпосылки!$H298&lt;0,BI347,BH375*(Предпосылки!$H298/(BH$8+1-BH$7)))</f>
        <v>0</v>
      </c>
      <c s="125">
        <f>IF(Предпосылки!$H298&lt;0,BJ347,BI375*(Предпосылки!$H298/(BI$8+1-BI$7)))</f>
        <v>0</v>
      </c>
      <c s="125">
        <f>IF(Предпосылки!$H298&lt;0,BK347,BJ375*(Предпосылки!$H298/(BJ$8+1-BJ$7)))</f>
        <v>0</v>
      </c>
      <c s="125">
        <f>IF(Предпосылки!$H298&lt;0,BL347,BK375*(Предпосылки!$H298/(BK$8+1-BK$7)))</f>
        <v>0</v>
      </c>
      <c s="125">
        <f>IF(Предпосылки!$H298&lt;0,BM347,BL375*(Предпосылки!$H298/(BL$8+1-BL$7)))</f>
        <v>0</v>
      </c>
      <c s="125">
        <f>IF(Предпосылки!$H298&lt;0,BN347,BM375*(Предпосылки!$H298/(BM$8+1-BM$7)))</f>
        <v>0</v>
      </c>
    </row>
    <row r="432" spans="2:65" ht="15" customHeight="1">
      <c r="B432" s="12" t="str">
        <f t="shared" si="323"/>
        <v>-</v>
      </c>
      <c s="124" t="str">
        <f t="shared" si="322"/>
        <v>тыс. руб.</v>
      </c>
      <c s="125"/>
      <c s="125">
        <f>IF(Предпосылки!$H299&lt;0,F348,E376*(Предпосылки!$H299/(E$8+1-E$7)))</f>
        <v>0</v>
      </c>
      <c s="125">
        <f>IF(Предпосылки!$H299&lt;0,G348,F376*(Предпосылки!$H299/(F$8+1-F$7)))</f>
        <v>0</v>
      </c>
      <c s="125">
        <f>IF(Предпосылки!$H299&lt;0,H348,G376*(Предпосылки!$H299/(G$8+1-G$7)))</f>
        <v>0</v>
      </c>
      <c s="125">
        <f>IF(Предпосылки!$H299&lt;0,I348,H376*(Предпосылки!$H299/(H$8+1-H$7)))</f>
        <v>0</v>
      </c>
      <c s="125">
        <f>IF(Предпосылки!$H299&lt;0,J348,I376*(Предпосылки!$H299/(I$8+1-I$7)))</f>
        <v>0</v>
      </c>
      <c s="125">
        <f>IF(Предпосылки!$H299&lt;0,K348,J376*(Предпосылки!$H299/(J$8+1-J$7)))</f>
        <v>0</v>
      </c>
      <c s="125">
        <f>IF(Предпосылки!$H299&lt;0,L348,K376*(Предпосылки!$H299/(K$8+1-K$7)))</f>
        <v>0</v>
      </c>
      <c s="125">
        <f>IF(Предпосылки!$H299&lt;0,M348,L376*(Предпосылки!$H299/(L$8+1-L$7)))</f>
        <v>0</v>
      </c>
      <c s="125">
        <f>IF(Предпосылки!$H299&lt;0,N348,M376*(Предпосылки!$H299/(M$8+1-M$7)))</f>
        <v>0</v>
      </c>
      <c s="125">
        <f>IF(Предпосылки!$H299&lt;0,O348,N376*(Предпосылки!$H299/(N$8+1-N$7)))</f>
        <v>0</v>
      </c>
      <c s="125">
        <f>IF(Предпосылки!$H299&lt;0,P348,O376*(Предпосылки!$H299/(O$8+1-O$7)))</f>
        <v>0</v>
      </c>
      <c s="125">
        <f>IF(Предпосылки!$H299&lt;0,Q348,P376*(Предпосылки!$H299/(P$8+1-P$7)))</f>
        <v>0</v>
      </c>
      <c s="125">
        <f>IF(Предпосылки!$H299&lt;0,R348,Q376*(Предпосылки!$H299/(Q$8+1-Q$7)))</f>
        <v>0</v>
      </c>
      <c s="125">
        <f>IF(Предпосылки!$H299&lt;0,S348,R376*(Предпосылки!$H299/(R$8+1-R$7)))</f>
        <v>0</v>
      </c>
      <c s="125">
        <f>IF(Предпосылки!$H299&lt;0,T348,S376*(Предпосылки!$H299/(S$8+1-S$7)))</f>
        <v>0</v>
      </c>
      <c s="125">
        <f>IF(Предпосылки!$H299&lt;0,U348,T376*(Предпосылки!$H299/(T$8+1-T$7)))</f>
        <v>0</v>
      </c>
      <c s="125">
        <f>IF(Предпосылки!$H299&lt;0,V348,U376*(Предпосылки!$H299/(U$8+1-U$7)))</f>
        <v>0</v>
      </c>
      <c s="125">
        <f>IF(Предпосылки!$H299&lt;0,W348,V376*(Предпосылки!$H299/(V$8+1-V$7)))</f>
        <v>0</v>
      </c>
      <c s="125">
        <f>IF(Предпосылки!$H299&lt;0,X348,W376*(Предпосылки!$H299/(W$8+1-W$7)))</f>
        <v>0</v>
      </c>
      <c s="125">
        <f>IF(Предпосылки!$H299&lt;0,Y348,X376*(Предпосылки!$H299/(X$8+1-X$7)))</f>
        <v>0</v>
      </c>
      <c s="125">
        <f>IF(Предпосылки!$H299&lt;0,Z348,Y376*(Предпосылки!$H299/(Y$8+1-Y$7)))</f>
        <v>0</v>
      </c>
      <c s="125">
        <f>IF(Предпосылки!$H299&lt;0,AA348,Z376*(Предпосылки!$H299/(Z$8+1-Z$7)))</f>
        <v>0</v>
      </c>
      <c s="125">
        <f>IF(Предпосылки!$H299&lt;0,AB348,AA376*(Предпосылки!$H299/(AA$8+1-AA$7)))</f>
        <v>0</v>
      </c>
      <c s="125">
        <f>IF(Предпосылки!$H299&lt;0,AC348,AB376*(Предпосылки!$H299/(AB$8+1-AB$7)))</f>
        <v>0</v>
      </c>
      <c s="125">
        <f>IF(Предпосылки!$H299&lt;0,AD348,AC376*(Предпосылки!$H299/(AC$8+1-AC$7)))</f>
        <v>0</v>
      </c>
      <c s="125">
        <f>IF(Предпосылки!$H299&lt;0,AE348,AD376*(Предпосылки!$H299/(AD$8+1-AD$7)))</f>
        <v>0</v>
      </c>
      <c s="125">
        <f>IF(Предпосылки!$H299&lt;0,AF348,AE376*(Предпосылки!$H299/(AE$8+1-AE$7)))</f>
        <v>0</v>
      </c>
      <c s="125">
        <f>IF(Предпосылки!$H299&lt;0,AG348,AF376*(Предпосылки!$H299/(AF$8+1-AF$7)))</f>
        <v>0</v>
      </c>
      <c s="125">
        <f>IF(Предпосылки!$H299&lt;0,AH348,AG376*(Предпосылки!$H299/(AG$8+1-AG$7)))</f>
        <v>0</v>
      </c>
      <c s="125">
        <f>IF(Предпосылки!$H299&lt;0,AI348,AH376*(Предпосылки!$H299/(AH$8+1-AH$7)))</f>
        <v>0</v>
      </c>
      <c s="125">
        <f>IF(Предпосылки!$H299&lt;0,AJ348,AI376*(Предпосылки!$H299/(AI$8+1-AI$7)))</f>
        <v>0</v>
      </c>
      <c s="125">
        <f>IF(Предпосылки!$H299&lt;0,AK348,AJ376*(Предпосылки!$H299/(AJ$8+1-AJ$7)))</f>
        <v>0</v>
      </c>
      <c s="125">
        <f>IF(Предпосылки!$H299&lt;0,AL348,AK376*(Предпосылки!$H299/(AK$8+1-AK$7)))</f>
        <v>0</v>
      </c>
      <c s="125">
        <f>IF(Предпосылки!$H299&lt;0,AM348,AL376*(Предпосылки!$H299/(AL$8+1-AL$7)))</f>
        <v>0</v>
      </c>
      <c s="125">
        <f>IF(Предпосылки!$H299&lt;0,AN348,AM376*(Предпосылки!$H299/(AM$8+1-AM$7)))</f>
        <v>0</v>
      </c>
      <c s="125">
        <f>IF(Предпосылки!$H299&lt;0,AO348,AN376*(Предпосылки!$H299/(AN$8+1-AN$7)))</f>
        <v>0</v>
      </c>
      <c s="125">
        <f>IF(Предпосылки!$H299&lt;0,AP348,AO376*(Предпосылки!$H299/(AO$8+1-AO$7)))</f>
        <v>0</v>
      </c>
      <c s="125">
        <f>IF(Предпосылки!$H299&lt;0,AQ348,AP376*(Предпосылки!$H299/(AP$8+1-AP$7)))</f>
        <v>0</v>
      </c>
      <c s="125">
        <f>IF(Предпосылки!$H299&lt;0,AR348,AQ376*(Предпосылки!$H299/(AQ$8+1-AQ$7)))</f>
        <v>0</v>
      </c>
      <c s="125">
        <f>IF(Предпосылки!$H299&lt;0,AS348,AR376*(Предпосылки!$H299/(AR$8+1-AR$7)))</f>
        <v>0</v>
      </c>
      <c s="125">
        <f>IF(Предпосылки!$H299&lt;0,AT348,AS376*(Предпосылки!$H299/(AS$8+1-AS$7)))</f>
        <v>0</v>
      </c>
      <c s="125">
        <f>IF(Предпосылки!$H299&lt;0,AU348,AT376*(Предпосылки!$H299/(AT$8+1-AT$7)))</f>
        <v>0</v>
      </c>
      <c s="125">
        <f>IF(Предпосылки!$H299&lt;0,AV348,AU376*(Предпосылки!$H299/(AU$8+1-AU$7)))</f>
        <v>0</v>
      </c>
      <c s="125">
        <f>IF(Предпосылки!$H299&lt;0,AW348,AV376*(Предпосылки!$H299/(AV$8+1-AV$7)))</f>
        <v>0</v>
      </c>
      <c s="125">
        <f>IF(Предпосылки!$H299&lt;0,AX348,AW376*(Предпосылки!$H299/(AW$8+1-AW$7)))</f>
        <v>0</v>
      </c>
      <c s="125">
        <f>IF(Предпосылки!$H299&lt;0,AY348,AX376*(Предпосылки!$H299/(AX$8+1-AX$7)))</f>
        <v>0</v>
      </c>
      <c s="125">
        <f>IF(Предпосылки!$H299&lt;0,AZ348,AY376*(Предпосылки!$H299/(AY$8+1-AY$7)))</f>
        <v>0</v>
      </c>
      <c s="125">
        <f>IF(Предпосылки!$H299&lt;0,BA348,AZ376*(Предпосылки!$H299/(AZ$8+1-AZ$7)))</f>
        <v>0</v>
      </c>
      <c s="125">
        <f>IF(Предпосылки!$H299&lt;0,BB348,BA376*(Предпосылки!$H299/(BA$8+1-BA$7)))</f>
        <v>0</v>
      </c>
      <c s="125">
        <f>IF(Предпосылки!$H299&lt;0,BC348,BB376*(Предпосылки!$H299/(BB$8+1-BB$7)))</f>
        <v>0</v>
      </c>
      <c s="125">
        <f>IF(Предпосылки!$H299&lt;0,BD348,BC376*(Предпосылки!$H299/(BC$8+1-BC$7)))</f>
        <v>0</v>
      </c>
      <c s="125">
        <f>IF(Предпосылки!$H299&lt;0,BE348,BD376*(Предпосылки!$H299/(BD$8+1-BD$7)))</f>
        <v>0</v>
      </c>
      <c s="125">
        <f>IF(Предпосылки!$H299&lt;0,BF348,BE376*(Предпосылки!$H299/(BE$8+1-BE$7)))</f>
        <v>0</v>
      </c>
      <c s="125">
        <f>IF(Предпосылки!$H299&lt;0,BG348,BF376*(Предпосылки!$H299/(BF$8+1-BF$7)))</f>
        <v>0</v>
      </c>
      <c s="125">
        <f>IF(Предпосылки!$H299&lt;0,BH348,BG376*(Предпосылки!$H299/(BG$8+1-BG$7)))</f>
        <v>0</v>
      </c>
      <c s="125">
        <f>IF(Предпосылки!$H299&lt;0,BI348,BH376*(Предпосылки!$H299/(BH$8+1-BH$7)))</f>
        <v>0</v>
      </c>
      <c s="125">
        <f>IF(Предпосылки!$H299&lt;0,BJ348,BI376*(Предпосылки!$H299/(BI$8+1-BI$7)))</f>
        <v>0</v>
      </c>
      <c s="125">
        <f>IF(Предпосылки!$H299&lt;0,BK348,BJ376*(Предпосылки!$H299/(BJ$8+1-BJ$7)))</f>
        <v>0</v>
      </c>
      <c s="125">
        <f>IF(Предпосылки!$H299&lt;0,BL348,BK376*(Предпосылки!$H299/(BK$8+1-BK$7)))</f>
        <v>0</v>
      </c>
      <c s="125">
        <f>IF(Предпосылки!$H299&lt;0,BM348,BL376*(Предпосылки!$H299/(BL$8+1-BL$7)))</f>
        <v>0</v>
      </c>
      <c s="125">
        <f>IF(Предпосылки!$H299&lt;0,BN348,BM376*(Предпосылки!$H299/(BM$8+1-BM$7)))</f>
        <v>0</v>
      </c>
    </row>
    <row r="433" spans="2:65" ht="15" customHeight="1">
      <c r="B433" s="12" t="str">
        <f t="shared" si="323"/>
        <v>-</v>
      </c>
      <c s="124" t="str">
        <f t="shared" si="322"/>
        <v>тыс. руб.</v>
      </c>
      <c s="125"/>
      <c s="125">
        <f>IF(Предпосылки!$H300&lt;0,F349,E377*(Предпосылки!$H300/(E$8+1-E$7)))</f>
        <v>0</v>
      </c>
      <c s="125">
        <f>IF(Предпосылки!$H300&lt;0,G349,F377*(Предпосылки!$H300/(F$8+1-F$7)))</f>
        <v>0</v>
      </c>
      <c s="125">
        <f>IF(Предпосылки!$H300&lt;0,H349,G377*(Предпосылки!$H300/(G$8+1-G$7)))</f>
        <v>0</v>
      </c>
      <c s="125">
        <f>IF(Предпосылки!$H300&lt;0,I349,H377*(Предпосылки!$H300/(H$8+1-H$7)))</f>
        <v>0</v>
      </c>
      <c s="125">
        <f>IF(Предпосылки!$H300&lt;0,J349,I377*(Предпосылки!$H300/(I$8+1-I$7)))</f>
        <v>0</v>
      </c>
      <c s="125">
        <f>IF(Предпосылки!$H300&lt;0,K349,J377*(Предпосылки!$H300/(J$8+1-J$7)))</f>
        <v>0</v>
      </c>
      <c s="125">
        <f>IF(Предпосылки!$H300&lt;0,L349,K377*(Предпосылки!$H300/(K$8+1-K$7)))</f>
        <v>0</v>
      </c>
      <c s="125">
        <f>IF(Предпосылки!$H300&lt;0,M349,L377*(Предпосылки!$H300/(L$8+1-L$7)))</f>
        <v>0</v>
      </c>
      <c s="125">
        <f>IF(Предпосылки!$H300&lt;0,N349,M377*(Предпосылки!$H300/(M$8+1-M$7)))</f>
        <v>0</v>
      </c>
      <c s="125">
        <f>IF(Предпосылки!$H300&lt;0,O349,N377*(Предпосылки!$H300/(N$8+1-N$7)))</f>
        <v>0</v>
      </c>
      <c s="125">
        <f>IF(Предпосылки!$H300&lt;0,P349,O377*(Предпосылки!$H300/(O$8+1-O$7)))</f>
        <v>0</v>
      </c>
      <c s="125">
        <f>IF(Предпосылки!$H300&lt;0,Q349,P377*(Предпосылки!$H300/(P$8+1-P$7)))</f>
        <v>0</v>
      </c>
      <c s="125">
        <f>IF(Предпосылки!$H300&lt;0,R349,Q377*(Предпосылки!$H300/(Q$8+1-Q$7)))</f>
        <v>0</v>
      </c>
      <c s="125">
        <f>IF(Предпосылки!$H300&lt;0,S349,R377*(Предпосылки!$H300/(R$8+1-R$7)))</f>
        <v>0</v>
      </c>
      <c s="125">
        <f>IF(Предпосылки!$H300&lt;0,T349,S377*(Предпосылки!$H300/(S$8+1-S$7)))</f>
        <v>0</v>
      </c>
      <c s="125">
        <f>IF(Предпосылки!$H300&lt;0,U349,T377*(Предпосылки!$H300/(T$8+1-T$7)))</f>
        <v>0</v>
      </c>
      <c s="125">
        <f>IF(Предпосылки!$H300&lt;0,V349,U377*(Предпосылки!$H300/(U$8+1-U$7)))</f>
        <v>0</v>
      </c>
      <c s="125">
        <f>IF(Предпосылки!$H300&lt;0,W349,V377*(Предпосылки!$H300/(V$8+1-V$7)))</f>
        <v>0</v>
      </c>
      <c s="125">
        <f>IF(Предпосылки!$H300&lt;0,X349,W377*(Предпосылки!$H300/(W$8+1-W$7)))</f>
        <v>0</v>
      </c>
      <c s="125">
        <f>IF(Предпосылки!$H300&lt;0,Y349,X377*(Предпосылки!$H300/(X$8+1-X$7)))</f>
        <v>0</v>
      </c>
      <c s="125">
        <f>IF(Предпосылки!$H300&lt;0,Z349,Y377*(Предпосылки!$H300/(Y$8+1-Y$7)))</f>
        <v>0</v>
      </c>
      <c s="125">
        <f>IF(Предпосылки!$H300&lt;0,AA349,Z377*(Предпосылки!$H300/(Z$8+1-Z$7)))</f>
        <v>0</v>
      </c>
      <c s="125">
        <f>IF(Предпосылки!$H300&lt;0,AB349,AA377*(Предпосылки!$H300/(AA$8+1-AA$7)))</f>
        <v>0</v>
      </c>
      <c s="125">
        <f>IF(Предпосылки!$H300&lt;0,AC349,AB377*(Предпосылки!$H300/(AB$8+1-AB$7)))</f>
        <v>0</v>
      </c>
      <c s="125">
        <f>IF(Предпосылки!$H300&lt;0,AD349,AC377*(Предпосылки!$H300/(AC$8+1-AC$7)))</f>
        <v>0</v>
      </c>
      <c s="125">
        <f>IF(Предпосылки!$H300&lt;0,AE349,AD377*(Предпосылки!$H300/(AD$8+1-AD$7)))</f>
        <v>0</v>
      </c>
      <c s="125">
        <f>IF(Предпосылки!$H300&lt;0,AF349,AE377*(Предпосылки!$H300/(AE$8+1-AE$7)))</f>
        <v>0</v>
      </c>
      <c s="125">
        <f>IF(Предпосылки!$H300&lt;0,AG349,AF377*(Предпосылки!$H300/(AF$8+1-AF$7)))</f>
        <v>0</v>
      </c>
      <c s="125">
        <f>IF(Предпосылки!$H300&lt;0,AH349,AG377*(Предпосылки!$H300/(AG$8+1-AG$7)))</f>
        <v>0</v>
      </c>
      <c s="125">
        <f>IF(Предпосылки!$H300&lt;0,AI349,AH377*(Предпосылки!$H300/(AH$8+1-AH$7)))</f>
        <v>0</v>
      </c>
      <c s="125">
        <f>IF(Предпосылки!$H300&lt;0,AJ349,AI377*(Предпосылки!$H300/(AI$8+1-AI$7)))</f>
        <v>0</v>
      </c>
      <c s="125">
        <f>IF(Предпосылки!$H300&lt;0,AK349,AJ377*(Предпосылки!$H300/(AJ$8+1-AJ$7)))</f>
        <v>0</v>
      </c>
      <c s="125">
        <f>IF(Предпосылки!$H300&lt;0,AL349,AK377*(Предпосылки!$H300/(AK$8+1-AK$7)))</f>
        <v>0</v>
      </c>
      <c s="125">
        <f>IF(Предпосылки!$H300&lt;0,AM349,AL377*(Предпосылки!$H300/(AL$8+1-AL$7)))</f>
        <v>0</v>
      </c>
      <c s="125">
        <f>IF(Предпосылки!$H300&lt;0,AN349,AM377*(Предпосылки!$H300/(AM$8+1-AM$7)))</f>
        <v>0</v>
      </c>
      <c s="125">
        <f>IF(Предпосылки!$H300&lt;0,AO349,AN377*(Предпосылки!$H300/(AN$8+1-AN$7)))</f>
        <v>0</v>
      </c>
      <c s="125">
        <f>IF(Предпосылки!$H300&lt;0,AP349,AO377*(Предпосылки!$H300/(AO$8+1-AO$7)))</f>
        <v>0</v>
      </c>
      <c s="125">
        <f>IF(Предпосылки!$H300&lt;0,AQ349,AP377*(Предпосылки!$H300/(AP$8+1-AP$7)))</f>
        <v>0</v>
      </c>
      <c s="125">
        <f>IF(Предпосылки!$H300&lt;0,AR349,AQ377*(Предпосылки!$H300/(AQ$8+1-AQ$7)))</f>
        <v>0</v>
      </c>
      <c s="125">
        <f>IF(Предпосылки!$H300&lt;0,AS349,AR377*(Предпосылки!$H300/(AR$8+1-AR$7)))</f>
        <v>0</v>
      </c>
      <c s="125">
        <f>IF(Предпосылки!$H300&lt;0,AT349,AS377*(Предпосылки!$H300/(AS$8+1-AS$7)))</f>
        <v>0</v>
      </c>
      <c s="125">
        <f>IF(Предпосылки!$H300&lt;0,AU349,AT377*(Предпосылки!$H300/(AT$8+1-AT$7)))</f>
        <v>0</v>
      </c>
      <c s="125">
        <f>IF(Предпосылки!$H300&lt;0,AV349,AU377*(Предпосылки!$H300/(AU$8+1-AU$7)))</f>
        <v>0</v>
      </c>
      <c s="125">
        <f>IF(Предпосылки!$H300&lt;0,AW349,AV377*(Предпосылки!$H300/(AV$8+1-AV$7)))</f>
        <v>0</v>
      </c>
      <c s="125">
        <f>IF(Предпосылки!$H300&lt;0,AX349,AW377*(Предпосылки!$H300/(AW$8+1-AW$7)))</f>
        <v>0</v>
      </c>
      <c s="125">
        <f>IF(Предпосылки!$H300&lt;0,AY349,AX377*(Предпосылки!$H300/(AX$8+1-AX$7)))</f>
        <v>0</v>
      </c>
      <c s="125">
        <f>IF(Предпосылки!$H300&lt;0,AZ349,AY377*(Предпосылки!$H300/(AY$8+1-AY$7)))</f>
        <v>0</v>
      </c>
      <c s="125">
        <f>IF(Предпосылки!$H300&lt;0,BA349,AZ377*(Предпосылки!$H300/(AZ$8+1-AZ$7)))</f>
        <v>0</v>
      </c>
      <c s="125">
        <f>IF(Предпосылки!$H300&lt;0,BB349,BA377*(Предпосылки!$H300/(BA$8+1-BA$7)))</f>
        <v>0</v>
      </c>
      <c s="125">
        <f>IF(Предпосылки!$H300&lt;0,BC349,BB377*(Предпосылки!$H300/(BB$8+1-BB$7)))</f>
        <v>0</v>
      </c>
      <c s="125">
        <f>IF(Предпосылки!$H300&lt;0,BD349,BC377*(Предпосылки!$H300/(BC$8+1-BC$7)))</f>
        <v>0</v>
      </c>
      <c s="125">
        <f>IF(Предпосылки!$H300&lt;0,BE349,BD377*(Предпосылки!$H300/(BD$8+1-BD$7)))</f>
        <v>0</v>
      </c>
      <c s="125">
        <f>IF(Предпосылки!$H300&lt;0,BF349,BE377*(Предпосылки!$H300/(BE$8+1-BE$7)))</f>
        <v>0</v>
      </c>
      <c s="125">
        <f>IF(Предпосылки!$H300&lt;0,BG349,BF377*(Предпосылки!$H300/(BF$8+1-BF$7)))</f>
        <v>0</v>
      </c>
      <c s="125">
        <f>IF(Предпосылки!$H300&lt;0,BH349,BG377*(Предпосылки!$H300/(BG$8+1-BG$7)))</f>
        <v>0</v>
      </c>
      <c s="125">
        <f>IF(Предпосылки!$H300&lt;0,BI349,BH377*(Предпосылки!$H300/(BH$8+1-BH$7)))</f>
        <v>0</v>
      </c>
      <c s="125">
        <f>IF(Предпосылки!$H300&lt;0,BJ349,BI377*(Предпосылки!$H300/(BI$8+1-BI$7)))</f>
        <v>0</v>
      </c>
      <c s="125">
        <f>IF(Предпосылки!$H300&lt;0,BK349,BJ377*(Предпосылки!$H300/(BJ$8+1-BJ$7)))</f>
        <v>0</v>
      </c>
      <c s="125">
        <f>IF(Предпосылки!$H300&lt;0,BL349,BK377*(Предпосылки!$H300/(BK$8+1-BK$7)))</f>
        <v>0</v>
      </c>
      <c s="125">
        <f>IF(Предпосылки!$H300&lt;0,BM349,BL377*(Предпосылки!$H300/(BL$8+1-BL$7)))</f>
        <v>0</v>
      </c>
      <c s="125">
        <f>IF(Предпосылки!$H300&lt;0,BN349,BM377*(Предпосылки!$H300/(BM$8+1-BM$7)))</f>
        <v>0</v>
      </c>
    </row>
    <row r="434" spans="2:65" ht="15" customHeight="1">
      <c r="B434" s="12" t="str">
        <f t="shared" si="323"/>
        <v>-</v>
      </c>
      <c s="124" t="str">
        <f t="shared" si="322"/>
        <v>тыс. руб.</v>
      </c>
      <c s="125"/>
      <c s="125">
        <f>IF(Предпосылки!$H301&lt;0,F350,E378*(Предпосылки!$H301/(E$8+1-E$7)))</f>
        <v>0</v>
      </c>
      <c s="125">
        <f>IF(Предпосылки!$H301&lt;0,G350,F378*(Предпосылки!$H301/(F$8+1-F$7)))</f>
        <v>0</v>
      </c>
      <c s="125">
        <f>IF(Предпосылки!$H301&lt;0,H350,G378*(Предпосылки!$H301/(G$8+1-G$7)))</f>
        <v>0</v>
      </c>
      <c s="125">
        <f>IF(Предпосылки!$H301&lt;0,I350,H378*(Предпосылки!$H301/(H$8+1-H$7)))</f>
        <v>0</v>
      </c>
      <c s="125">
        <f>IF(Предпосылки!$H301&lt;0,J350,I378*(Предпосылки!$H301/(I$8+1-I$7)))</f>
        <v>0</v>
      </c>
      <c s="125">
        <f>IF(Предпосылки!$H301&lt;0,K350,J378*(Предпосылки!$H301/(J$8+1-J$7)))</f>
        <v>0</v>
      </c>
      <c s="125">
        <f>IF(Предпосылки!$H301&lt;0,L350,K378*(Предпосылки!$H301/(K$8+1-K$7)))</f>
        <v>0</v>
      </c>
      <c s="125">
        <f>IF(Предпосылки!$H301&lt;0,M350,L378*(Предпосылки!$H301/(L$8+1-L$7)))</f>
        <v>0</v>
      </c>
      <c s="125">
        <f>IF(Предпосылки!$H301&lt;0,N350,M378*(Предпосылки!$H301/(M$8+1-M$7)))</f>
        <v>0</v>
      </c>
      <c s="125">
        <f>IF(Предпосылки!$H301&lt;0,O350,N378*(Предпосылки!$H301/(N$8+1-N$7)))</f>
        <v>0</v>
      </c>
      <c s="125">
        <f>IF(Предпосылки!$H301&lt;0,P350,O378*(Предпосылки!$H301/(O$8+1-O$7)))</f>
        <v>0</v>
      </c>
      <c s="125">
        <f>IF(Предпосылки!$H301&lt;0,Q350,P378*(Предпосылки!$H301/(P$8+1-P$7)))</f>
        <v>0</v>
      </c>
      <c s="125">
        <f>IF(Предпосылки!$H301&lt;0,R350,Q378*(Предпосылки!$H301/(Q$8+1-Q$7)))</f>
        <v>0</v>
      </c>
      <c s="125">
        <f>IF(Предпосылки!$H301&lt;0,S350,R378*(Предпосылки!$H301/(R$8+1-R$7)))</f>
        <v>0</v>
      </c>
      <c s="125">
        <f>IF(Предпосылки!$H301&lt;0,T350,S378*(Предпосылки!$H301/(S$8+1-S$7)))</f>
        <v>0</v>
      </c>
      <c s="125">
        <f>IF(Предпосылки!$H301&lt;0,U350,T378*(Предпосылки!$H301/(T$8+1-T$7)))</f>
        <v>0</v>
      </c>
      <c s="125">
        <f>IF(Предпосылки!$H301&lt;0,V350,U378*(Предпосылки!$H301/(U$8+1-U$7)))</f>
        <v>0</v>
      </c>
      <c s="125">
        <f>IF(Предпосылки!$H301&lt;0,W350,V378*(Предпосылки!$H301/(V$8+1-V$7)))</f>
        <v>0</v>
      </c>
      <c s="125">
        <f>IF(Предпосылки!$H301&lt;0,X350,W378*(Предпосылки!$H301/(W$8+1-W$7)))</f>
        <v>0</v>
      </c>
      <c s="125">
        <f>IF(Предпосылки!$H301&lt;0,Y350,X378*(Предпосылки!$H301/(X$8+1-X$7)))</f>
        <v>0</v>
      </c>
      <c s="125">
        <f>IF(Предпосылки!$H301&lt;0,Z350,Y378*(Предпосылки!$H301/(Y$8+1-Y$7)))</f>
        <v>0</v>
      </c>
      <c s="125">
        <f>IF(Предпосылки!$H301&lt;0,AA350,Z378*(Предпосылки!$H301/(Z$8+1-Z$7)))</f>
        <v>0</v>
      </c>
      <c s="125">
        <f>IF(Предпосылки!$H301&lt;0,AB350,AA378*(Предпосылки!$H301/(AA$8+1-AA$7)))</f>
        <v>0</v>
      </c>
      <c s="125">
        <f>IF(Предпосылки!$H301&lt;0,AC350,AB378*(Предпосылки!$H301/(AB$8+1-AB$7)))</f>
        <v>0</v>
      </c>
      <c s="125">
        <f>IF(Предпосылки!$H301&lt;0,AD350,AC378*(Предпосылки!$H301/(AC$8+1-AC$7)))</f>
        <v>0</v>
      </c>
      <c s="125">
        <f>IF(Предпосылки!$H301&lt;0,AE350,AD378*(Предпосылки!$H301/(AD$8+1-AD$7)))</f>
        <v>0</v>
      </c>
      <c s="125">
        <f>IF(Предпосылки!$H301&lt;0,AF350,AE378*(Предпосылки!$H301/(AE$8+1-AE$7)))</f>
        <v>0</v>
      </c>
      <c s="125">
        <f>IF(Предпосылки!$H301&lt;0,AG350,AF378*(Предпосылки!$H301/(AF$8+1-AF$7)))</f>
        <v>0</v>
      </c>
      <c s="125">
        <f>IF(Предпосылки!$H301&lt;0,AH350,AG378*(Предпосылки!$H301/(AG$8+1-AG$7)))</f>
        <v>0</v>
      </c>
      <c s="125">
        <f>IF(Предпосылки!$H301&lt;0,AI350,AH378*(Предпосылки!$H301/(AH$8+1-AH$7)))</f>
        <v>0</v>
      </c>
      <c s="125">
        <f>IF(Предпосылки!$H301&lt;0,AJ350,AI378*(Предпосылки!$H301/(AI$8+1-AI$7)))</f>
        <v>0</v>
      </c>
      <c s="125">
        <f>IF(Предпосылки!$H301&lt;0,AK350,AJ378*(Предпосылки!$H301/(AJ$8+1-AJ$7)))</f>
        <v>0</v>
      </c>
      <c s="125">
        <f>IF(Предпосылки!$H301&lt;0,AL350,AK378*(Предпосылки!$H301/(AK$8+1-AK$7)))</f>
        <v>0</v>
      </c>
      <c s="125">
        <f>IF(Предпосылки!$H301&lt;0,AM350,AL378*(Предпосылки!$H301/(AL$8+1-AL$7)))</f>
        <v>0</v>
      </c>
      <c s="125">
        <f>IF(Предпосылки!$H301&lt;0,AN350,AM378*(Предпосылки!$H301/(AM$8+1-AM$7)))</f>
        <v>0</v>
      </c>
      <c s="125">
        <f>IF(Предпосылки!$H301&lt;0,AO350,AN378*(Предпосылки!$H301/(AN$8+1-AN$7)))</f>
        <v>0</v>
      </c>
      <c s="125">
        <f>IF(Предпосылки!$H301&lt;0,AP350,AO378*(Предпосылки!$H301/(AO$8+1-AO$7)))</f>
        <v>0</v>
      </c>
      <c s="125">
        <f>IF(Предпосылки!$H301&lt;0,AQ350,AP378*(Предпосылки!$H301/(AP$8+1-AP$7)))</f>
        <v>0</v>
      </c>
      <c s="125">
        <f>IF(Предпосылки!$H301&lt;0,AR350,AQ378*(Предпосылки!$H301/(AQ$8+1-AQ$7)))</f>
        <v>0</v>
      </c>
      <c s="125">
        <f>IF(Предпосылки!$H301&lt;0,AS350,AR378*(Предпосылки!$H301/(AR$8+1-AR$7)))</f>
        <v>0</v>
      </c>
      <c s="125">
        <f>IF(Предпосылки!$H301&lt;0,AT350,AS378*(Предпосылки!$H301/(AS$8+1-AS$7)))</f>
        <v>0</v>
      </c>
      <c s="125">
        <f>IF(Предпосылки!$H301&lt;0,AU350,AT378*(Предпосылки!$H301/(AT$8+1-AT$7)))</f>
        <v>0</v>
      </c>
      <c s="125">
        <f>IF(Предпосылки!$H301&lt;0,AV350,AU378*(Предпосылки!$H301/(AU$8+1-AU$7)))</f>
        <v>0</v>
      </c>
      <c s="125">
        <f>IF(Предпосылки!$H301&lt;0,AW350,AV378*(Предпосылки!$H301/(AV$8+1-AV$7)))</f>
        <v>0</v>
      </c>
      <c s="125">
        <f>IF(Предпосылки!$H301&lt;0,AX350,AW378*(Предпосылки!$H301/(AW$8+1-AW$7)))</f>
        <v>0</v>
      </c>
      <c s="125">
        <f>IF(Предпосылки!$H301&lt;0,AY350,AX378*(Предпосылки!$H301/(AX$8+1-AX$7)))</f>
        <v>0</v>
      </c>
      <c s="125">
        <f>IF(Предпосылки!$H301&lt;0,AZ350,AY378*(Предпосылки!$H301/(AY$8+1-AY$7)))</f>
        <v>0</v>
      </c>
      <c s="125">
        <f>IF(Предпосылки!$H301&lt;0,BA350,AZ378*(Предпосылки!$H301/(AZ$8+1-AZ$7)))</f>
        <v>0</v>
      </c>
      <c s="125">
        <f>IF(Предпосылки!$H301&lt;0,BB350,BA378*(Предпосылки!$H301/(BA$8+1-BA$7)))</f>
        <v>0</v>
      </c>
      <c s="125">
        <f>IF(Предпосылки!$H301&lt;0,BC350,BB378*(Предпосылки!$H301/(BB$8+1-BB$7)))</f>
        <v>0</v>
      </c>
      <c s="125">
        <f>IF(Предпосылки!$H301&lt;0,BD350,BC378*(Предпосылки!$H301/(BC$8+1-BC$7)))</f>
        <v>0</v>
      </c>
      <c s="125">
        <f>IF(Предпосылки!$H301&lt;0,BE350,BD378*(Предпосылки!$H301/(BD$8+1-BD$7)))</f>
        <v>0</v>
      </c>
      <c s="125">
        <f>IF(Предпосылки!$H301&lt;0,BF350,BE378*(Предпосылки!$H301/(BE$8+1-BE$7)))</f>
        <v>0</v>
      </c>
      <c s="125">
        <f>IF(Предпосылки!$H301&lt;0,BG350,BF378*(Предпосылки!$H301/(BF$8+1-BF$7)))</f>
        <v>0</v>
      </c>
      <c s="125">
        <f>IF(Предпосылки!$H301&lt;0,BH350,BG378*(Предпосылки!$H301/(BG$8+1-BG$7)))</f>
        <v>0</v>
      </c>
      <c s="125">
        <f>IF(Предпосылки!$H301&lt;0,BI350,BH378*(Предпосылки!$H301/(BH$8+1-BH$7)))</f>
        <v>0</v>
      </c>
      <c s="125">
        <f>IF(Предпосылки!$H301&lt;0,BJ350,BI378*(Предпосылки!$H301/(BI$8+1-BI$7)))</f>
        <v>0</v>
      </c>
      <c s="125">
        <f>IF(Предпосылки!$H301&lt;0,BK350,BJ378*(Предпосылки!$H301/(BJ$8+1-BJ$7)))</f>
        <v>0</v>
      </c>
      <c s="125">
        <f>IF(Предпосылки!$H301&lt;0,BL350,BK378*(Предпосылки!$H301/(BK$8+1-BK$7)))</f>
        <v>0</v>
      </c>
      <c s="125">
        <f>IF(Предпосылки!$H301&lt;0,BM350,BL378*(Предпосылки!$H301/(BL$8+1-BL$7)))</f>
        <v>0</v>
      </c>
      <c s="125">
        <f>IF(Предпосылки!$H301&lt;0,BN350,BM378*(Предпосылки!$H301/(BM$8+1-BM$7)))</f>
        <v>0</v>
      </c>
    </row>
    <row r="435" spans="2:65" ht="15" customHeight="1">
      <c r="B435" s="12" t="str">
        <f t="shared" si="323"/>
        <v>-</v>
      </c>
      <c s="124" t="str">
        <f t="shared" si="322"/>
        <v>тыс. руб.</v>
      </c>
      <c s="125"/>
      <c s="125">
        <f>IF(Предпосылки!$H302&lt;0,F351,E379*(Предпосылки!$H302/(E$8+1-E$7)))</f>
        <v>0</v>
      </c>
      <c s="125">
        <f>IF(Предпосылки!$H302&lt;0,G351,F379*(Предпосылки!$H302/(F$8+1-F$7)))</f>
        <v>0</v>
      </c>
      <c s="125">
        <f>IF(Предпосылки!$H302&lt;0,H351,G379*(Предпосылки!$H302/(G$8+1-G$7)))</f>
        <v>0</v>
      </c>
      <c s="125">
        <f>IF(Предпосылки!$H302&lt;0,I351,H379*(Предпосылки!$H302/(H$8+1-H$7)))</f>
        <v>0</v>
      </c>
      <c s="125">
        <f>IF(Предпосылки!$H302&lt;0,J351,I379*(Предпосылки!$H302/(I$8+1-I$7)))</f>
        <v>0</v>
      </c>
      <c s="125">
        <f>IF(Предпосылки!$H302&lt;0,K351,J379*(Предпосылки!$H302/(J$8+1-J$7)))</f>
        <v>0</v>
      </c>
      <c s="125">
        <f>IF(Предпосылки!$H302&lt;0,L351,K379*(Предпосылки!$H302/(K$8+1-K$7)))</f>
        <v>0</v>
      </c>
      <c s="125">
        <f>IF(Предпосылки!$H302&lt;0,M351,L379*(Предпосылки!$H302/(L$8+1-L$7)))</f>
        <v>0</v>
      </c>
      <c s="125">
        <f>IF(Предпосылки!$H302&lt;0,N351,M379*(Предпосылки!$H302/(M$8+1-M$7)))</f>
        <v>0</v>
      </c>
      <c s="125">
        <f>IF(Предпосылки!$H302&lt;0,O351,N379*(Предпосылки!$H302/(N$8+1-N$7)))</f>
        <v>0</v>
      </c>
      <c s="125">
        <f>IF(Предпосылки!$H302&lt;0,P351,O379*(Предпосылки!$H302/(O$8+1-O$7)))</f>
        <v>0</v>
      </c>
      <c s="125">
        <f>IF(Предпосылки!$H302&lt;0,Q351,P379*(Предпосылки!$H302/(P$8+1-P$7)))</f>
        <v>0</v>
      </c>
      <c s="125">
        <f>IF(Предпосылки!$H302&lt;0,R351,Q379*(Предпосылки!$H302/(Q$8+1-Q$7)))</f>
        <v>0</v>
      </c>
      <c s="125">
        <f>IF(Предпосылки!$H302&lt;0,S351,R379*(Предпосылки!$H302/(R$8+1-R$7)))</f>
        <v>0</v>
      </c>
      <c s="125">
        <f>IF(Предпосылки!$H302&lt;0,T351,S379*(Предпосылки!$H302/(S$8+1-S$7)))</f>
        <v>0</v>
      </c>
      <c s="125">
        <f>IF(Предпосылки!$H302&lt;0,U351,T379*(Предпосылки!$H302/(T$8+1-T$7)))</f>
        <v>0</v>
      </c>
      <c s="125">
        <f>IF(Предпосылки!$H302&lt;0,V351,U379*(Предпосылки!$H302/(U$8+1-U$7)))</f>
        <v>0</v>
      </c>
      <c s="125">
        <f>IF(Предпосылки!$H302&lt;0,W351,V379*(Предпосылки!$H302/(V$8+1-V$7)))</f>
        <v>0</v>
      </c>
      <c s="125">
        <f>IF(Предпосылки!$H302&lt;0,X351,W379*(Предпосылки!$H302/(W$8+1-W$7)))</f>
        <v>0</v>
      </c>
      <c s="125">
        <f>IF(Предпосылки!$H302&lt;0,Y351,X379*(Предпосылки!$H302/(X$8+1-X$7)))</f>
        <v>0</v>
      </c>
      <c s="125">
        <f>IF(Предпосылки!$H302&lt;0,Z351,Y379*(Предпосылки!$H302/(Y$8+1-Y$7)))</f>
        <v>0</v>
      </c>
      <c s="125">
        <f>IF(Предпосылки!$H302&lt;0,AA351,Z379*(Предпосылки!$H302/(Z$8+1-Z$7)))</f>
        <v>0</v>
      </c>
      <c s="125">
        <f>IF(Предпосылки!$H302&lt;0,AB351,AA379*(Предпосылки!$H302/(AA$8+1-AA$7)))</f>
        <v>0</v>
      </c>
      <c s="125">
        <f>IF(Предпосылки!$H302&lt;0,AC351,AB379*(Предпосылки!$H302/(AB$8+1-AB$7)))</f>
        <v>0</v>
      </c>
      <c s="125">
        <f>IF(Предпосылки!$H302&lt;0,AD351,AC379*(Предпосылки!$H302/(AC$8+1-AC$7)))</f>
        <v>0</v>
      </c>
      <c s="125">
        <f>IF(Предпосылки!$H302&lt;0,AE351,AD379*(Предпосылки!$H302/(AD$8+1-AD$7)))</f>
        <v>0</v>
      </c>
      <c s="125">
        <f>IF(Предпосылки!$H302&lt;0,AF351,AE379*(Предпосылки!$H302/(AE$8+1-AE$7)))</f>
        <v>0</v>
      </c>
      <c s="125">
        <f>IF(Предпосылки!$H302&lt;0,AG351,AF379*(Предпосылки!$H302/(AF$8+1-AF$7)))</f>
        <v>0</v>
      </c>
      <c s="125">
        <f>IF(Предпосылки!$H302&lt;0,AH351,AG379*(Предпосылки!$H302/(AG$8+1-AG$7)))</f>
        <v>0</v>
      </c>
      <c s="125">
        <f>IF(Предпосылки!$H302&lt;0,AI351,AH379*(Предпосылки!$H302/(AH$8+1-AH$7)))</f>
        <v>0</v>
      </c>
      <c s="125">
        <f>IF(Предпосылки!$H302&lt;0,AJ351,AI379*(Предпосылки!$H302/(AI$8+1-AI$7)))</f>
        <v>0</v>
      </c>
      <c s="125">
        <f>IF(Предпосылки!$H302&lt;0,AK351,AJ379*(Предпосылки!$H302/(AJ$8+1-AJ$7)))</f>
        <v>0</v>
      </c>
      <c s="125">
        <f>IF(Предпосылки!$H302&lt;0,AL351,AK379*(Предпосылки!$H302/(AK$8+1-AK$7)))</f>
        <v>0</v>
      </c>
      <c s="125">
        <f>IF(Предпосылки!$H302&lt;0,AM351,AL379*(Предпосылки!$H302/(AL$8+1-AL$7)))</f>
        <v>0</v>
      </c>
      <c s="125">
        <f>IF(Предпосылки!$H302&lt;0,AN351,AM379*(Предпосылки!$H302/(AM$8+1-AM$7)))</f>
        <v>0</v>
      </c>
      <c s="125">
        <f>IF(Предпосылки!$H302&lt;0,AO351,AN379*(Предпосылки!$H302/(AN$8+1-AN$7)))</f>
        <v>0</v>
      </c>
      <c s="125">
        <f>IF(Предпосылки!$H302&lt;0,AP351,AO379*(Предпосылки!$H302/(AO$8+1-AO$7)))</f>
        <v>0</v>
      </c>
      <c s="125">
        <f>IF(Предпосылки!$H302&lt;0,AQ351,AP379*(Предпосылки!$H302/(AP$8+1-AP$7)))</f>
        <v>0</v>
      </c>
      <c s="125">
        <f>IF(Предпосылки!$H302&lt;0,AR351,AQ379*(Предпосылки!$H302/(AQ$8+1-AQ$7)))</f>
        <v>0</v>
      </c>
      <c s="125">
        <f>IF(Предпосылки!$H302&lt;0,AS351,AR379*(Предпосылки!$H302/(AR$8+1-AR$7)))</f>
        <v>0</v>
      </c>
      <c s="125">
        <f>IF(Предпосылки!$H302&lt;0,AT351,AS379*(Предпосылки!$H302/(AS$8+1-AS$7)))</f>
        <v>0</v>
      </c>
      <c s="125">
        <f>IF(Предпосылки!$H302&lt;0,AU351,AT379*(Предпосылки!$H302/(AT$8+1-AT$7)))</f>
        <v>0</v>
      </c>
      <c s="125">
        <f>IF(Предпосылки!$H302&lt;0,AV351,AU379*(Предпосылки!$H302/(AU$8+1-AU$7)))</f>
        <v>0</v>
      </c>
      <c s="125">
        <f>IF(Предпосылки!$H302&lt;0,AW351,AV379*(Предпосылки!$H302/(AV$8+1-AV$7)))</f>
        <v>0</v>
      </c>
      <c s="125">
        <f>IF(Предпосылки!$H302&lt;0,AX351,AW379*(Предпосылки!$H302/(AW$8+1-AW$7)))</f>
        <v>0</v>
      </c>
      <c s="125">
        <f>IF(Предпосылки!$H302&lt;0,AY351,AX379*(Предпосылки!$H302/(AX$8+1-AX$7)))</f>
        <v>0</v>
      </c>
      <c s="125">
        <f>IF(Предпосылки!$H302&lt;0,AZ351,AY379*(Предпосылки!$H302/(AY$8+1-AY$7)))</f>
        <v>0</v>
      </c>
      <c s="125">
        <f>IF(Предпосылки!$H302&lt;0,BA351,AZ379*(Предпосылки!$H302/(AZ$8+1-AZ$7)))</f>
        <v>0</v>
      </c>
      <c s="125">
        <f>IF(Предпосылки!$H302&lt;0,BB351,BA379*(Предпосылки!$H302/(BA$8+1-BA$7)))</f>
        <v>0</v>
      </c>
      <c s="125">
        <f>IF(Предпосылки!$H302&lt;0,BC351,BB379*(Предпосылки!$H302/(BB$8+1-BB$7)))</f>
        <v>0</v>
      </c>
      <c s="125">
        <f>IF(Предпосылки!$H302&lt;0,BD351,BC379*(Предпосылки!$H302/(BC$8+1-BC$7)))</f>
        <v>0</v>
      </c>
      <c s="125">
        <f>IF(Предпосылки!$H302&lt;0,BE351,BD379*(Предпосылки!$H302/(BD$8+1-BD$7)))</f>
        <v>0</v>
      </c>
      <c s="125">
        <f>IF(Предпосылки!$H302&lt;0,BF351,BE379*(Предпосылки!$H302/(BE$8+1-BE$7)))</f>
        <v>0</v>
      </c>
      <c s="125">
        <f>IF(Предпосылки!$H302&lt;0,BG351,BF379*(Предпосылки!$H302/(BF$8+1-BF$7)))</f>
        <v>0</v>
      </c>
      <c s="125">
        <f>IF(Предпосылки!$H302&lt;0,BH351,BG379*(Предпосылки!$H302/(BG$8+1-BG$7)))</f>
        <v>0</v>
      </c>
      <c s="125">
        <f>IF(Предпосылки!$H302&lt;0,BI351,BH379*(Предпосылки!$H302/(BH$8+1-BH$7)))</f>
        <v>0</v>
      </c>
      <c s="125">
        <f>IF(Предпосылки!$H302&lt;0,BJ351,BI379*(Предпосылки!$H302/(BI$8+1-BI$7)))</f>
        <v>0</v>
      </c>
      <c s="125">
        <f>IF(Предпосылки!$H302&lt;0,BK351,BJ379*(Предпосылки!$H302/(BJ$8+1-BJ$7)))</f>
        <v>0</v>
      </c>
      <c s="125">
        <f>IF(Предпосылки!$H302&lt;0,BL351,BK379*(Предпосылки!$H302/(BK$8+1-BK$7)))</f>
        <v>0</v>
      </c>
      <c s="125">
        <f>IF(Предпосылки!$H302&lt;0,BM351,BL379*(Предпосылки!$H302/(BL$8+1-BL$7)))</f>
        <v>0</v>
      </c>
      <c s="125">
        <f>IF(Предпосылки!$H302&lt;0,BN351,BM379*(Предпосылки!$H302/(BM$8+1-BM$7)))</f>
        <v>0</v>
      </c>
    </row>
    <row r="436" spans="2:65" ht="15" customHeight="1">
      <c r="B436" s="289" t="s">
        <v>454</v>
      </c>
      <c s="290" t="str">
        <f>Единица_измерения</f>
        <v>тыс. руб.</v>
      </c>
      <c s="276"/>
      <c s="276">
        <f ca="1">SUM(E411:E435)</f>
        <v>0</v>
      </c>
      <c s="276">
        <f ca="1" t="shared" si="324" ref="F436:AG436">SUM(F411:F435)</f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t="shared" ca="1" si="324"/>
        <v>0</v>
      </c>
      <c s="276">
        <f ca="1" t="shared" si="325" ref="AH436:BM436">SUM(AH411:AH435)</f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  <c s="276">
        <f t="shared" ca="1" si="325"/>
        <v>0</v>
      </c>
    </row>
    <row r="437" spans="2:65" ht="15" customHeight="1">
      <c r="B437" s="12" t="s">
        <v>901</v>
      </c>
      <c s="124" t="str">
        <f>Единица_измерения</f>
        <v>тыс. руб.</v>
      </c>
      <c s="125"/>
      <c s="125">
        <f ca="1">-MIN(0,E436)</f>
        <v>0</v>
      </c>
      <c s="125">
        <f ca="1" t="shared" si="326" ref="F437:BM437">-MIN(0,F436)</f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</row>
    <row r="438" spans="2:65" ht="15" customHeight="1">
      <c r="B438" s="12" t="s">
        <v>313</v>
      </c>
      <c s="124" t="str">
        <f>Единица_измерения</f>
        <v>тыс. руб.</v>
      </c>
      <c s="125"/>
      <c s="125">
        <f ca="1">MAX(0,E436)</f>
        <v>0</v>
      </c>
      <c s="125">
        <f ca="1" t="shared" si="327" ref="F438:BM438">MAX(0,F436)</f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  <c s="125">
        <f t="shared" ca="1" si="327"/>
        <v>0</v>
      </c>
    </row>
    <row r="439" ht="15" customHeight="1"/>
    <row r="440" spans="2:71" ht="21">
      <c r="B440" s="23" t="s">
        <v>906</v>
      </c>
      <c r="D44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1" spans="2:65" ht="15" customHeight="1">
      <c r="B441" s="12" t="str">
        <f>B411</f>
        <v>Комиссионное вознаграждение за банк. гарантию</v>
      </c>
      <c s="124" t="str">
        <f t="shared" si="328" ref="C441:C466">Единица_измерения</f>
        <v>тыс. руб.</v>
      </c>
      <c s="125"/>
      <c s="125">
        <f ca="1">E383*(1+IFERROR(INDEX(E$10:E$11,Предпосылки!$J278,),0))</f>
        <v>0</v>
      </c>
      <c s="125">
        <f ca="1">F383*(1+IFERROR(INDEX(F$10:F$11,Предпосылки!$J278,),0))</f>
        <v>0</v>
      </c>
      <c s="125">
        <f ca="1">G383*(1+IFERROR(INDEX(G$10:G$11,Предпосылки!$J278,),0))</f>
        <v>0</v>
      </c>
      <c s="125">
        <f ca="1">H383*(1+IFERROR(INDEX(H$10:H$11,Предпосылки!$J278,),0))</f>
        <v>0</v>
      </c>
      <c s="125">
        <f ca="1">I383*(1+IFERROR(INDEX(I$10:I$11,Предпосылки!$J278,),0))</f>
        <v>0</v>
      </c>
      <c s="125">
        <f ca="1">J383*(1+IFERROR(INDEX(J$10:J$11,Предпосылки!$J278,),0))</f>
        <v>0</v>
      </c>
      <c s="125">
        <f ca="1">K383*(1+IFERROR(INDEX(K$10:K$11,Предпосылки!$J278,),0))</f>
        <v>0</v>
      </c>
      <c s="125">
        <f ca="1">L383*(1+IFERROR(INDEX(L$10:L$11,Предпосылки!$J278,),0))</f>
        <v>0</v>
      </c>
      <c s="125">
        <f ca="1">M383*(1+IFERROR(INDEX(M$10:M$11,Предпосылки!$J278,),0))</f>
        <v>0</v>
      </c>
      <c s="125">
        <f ca="1">N383*(1+IFERROR(INDEX(N$10:N$11,Предпосылки!$J278,),0))</f>
        <v>0</v>
      </c>
      <c s="125">
        <f ca="1">O383*(1+IFERROR(INDEX(O$10:O$11,Предпосылки!$J278,),0))</f>
        <v>0</v>
      </c>
      <c s="125">
        <f ca="1">P383*(1+IFERROR(INDEX(P$10:P$11,Предпосылки!$J278,),0))</f>
        <v>0</v>
      </c>
      <c s="125">
        <f ca="1">Q383*(1+IFERROR(INDEX(Q$10:Q$11,Предпосылки!$J278,),0))</f>
        <v>0</v>
      </c>
      <c s="125">
        <f ca="1">R383*(1+IFERROR(INDEX(R$10:R$11,Предпосылки!$J278,),0))</f>
        <v>0</v>
      </c>
      <c s="125">
        <f ca="1">S383*(1+IFERROR(INDEX(S$10:S$11,Предпосылки!$J278,),0))</f>
        <v>0</v>
      </c>
      <c s="125">
        <f ca="1">T383*(1+IFERROR(INDEX(T$10:T$11,Предпосылки!$J278,),0))</f>
        <v>0</v>
      </c>
      <c s="125">
        <f ca="1">U383*(1+IFERROR(INDEX(U$10:U$11,Предпосылки!$J278,),0))</f>
        <v>0</v>
      </c>
      <c s="125">
        <f ca="1">V383*(1+IFERROR(INDEX(V$10:V$11,Предпосылки!$J278,),0))</f>
        <v>0</v>
      </c>
      <c s="125">
        <f ca="1">W383*(1+IFERROR(INDEX(W$10:W$11,Предпосылки!$J278,),0))</f>
        <v>0</v>
      </c>
      <c s="125">
        <f ca="1">X383*(1+IFERROR(INDEX(X$10:X$11,Предпосылки!$J278,),0))</f>
        <v>0</v>
      </c>
      <c s="125">
        <f ca="1">Y383*(1+IFERROR(INDEX(Y$10:Y$11,Предпосылки!$J278,),0))</f>
        <v>0</v>
      </c>
      <c s="125">
        <f ca="1">Z383*(1+IFERROR(INDEX(Z$10:Z$11,Предпосылки!$J278,),0))</f>
        <v>0</v>
      </c>
      <c s="125">
        <f ca="1">AA383*(1+IFERROR(INDEX(AA$10:AA$11,Предпосылки!$J278,),0))</f>
        <v>0</v>
      </c>
      <c s="125">
        <f ca="1">AB383*(1+IFERROR(INDEX(AB$10:AB$11,Предпосылки!$J278,),0))</f>
        <v>0</v>
      </c>
      <c s="125">
        <f ca="1">AC383*(1+IFERROR(INDEX(AC$10:AC$11,Предпосылки!$J278,),0))</f>
        <v>0</v>
      </c>
      <c s="125">
        <f ca="1">AD383*(1+IFERROR(INDEX(AD$10:AD$11,Предпосылки!$J278,),0))</f>
        <v>0</v>
      </c>
      <c s="125">
        <f ca="1">AE383*(1+IFERROR(INDEX(AE$10:AE$11,Предпосылки!$J278,),0))</f>
        <v>0</v>
      </c>
      <c s="125">
        <f ca="1">AF383*(1+IFERROR(INDEX(AF$10:AF$11,Предпосылки!$J278,),0))</f>
        <v>0</v>
      </c>
      <c s="125">
        <f ca="1">AG383*(1+IFERROR(INDEX(AG$10:AG$11,Предпосылки!$J278,),0))</f>
        <v>0</v>
      </c>
      <c s="125">
        <f ca="1">AH383*(1+IFERROR(INDEX(AH$10:AH$11,Предпосылки!$J278,),0))</f>
        <v>0</v>
      </c>
      <c s="125">
        <f ca="1">AI383*(1+IFERROR(INDEX(AI$10:AI$11,Предпосылки!$J278,),0))</f>
        <v>0</v>
      </c>
      <c s="125">
        <f ca="1">AJ383*(1+IFERROR(INDEX(AJ$10:AJ$11,Предпосылки!$J278,),0))</f>
        <v>0</v>
      </c>
      <c s="125">
        <f ca="1">AK383*(1+IFERROR(INDEX(AK$10:AK$11,Предпосылки!$J278,),0))</f>
        <v>0</v>
      </c>
      <c s="125">
        <f ca="1">AL383*(1+IFERROR(INDEX(AL$10:AL$11,Предпосылки!$J278,),0))</f>
        <v>0</v>
      </c>
      <c s="125">
        <f ca="1">AM383*(1+IFERROR(INDEX(AM$10:AM$11,Предпосылки!$J278,),0))</f>
        <v>0</v>
      </c>
      <c s="125">
        <f ca="1">AN383*(1+IFERROR(INDEX(AN$10:AN$11,Предпосылки!$J278,),0))</f>
        <v>0</v>
      </c>
      <c s="125">
        <f ca="1">AO383*(1+IFERROR(INDEX(AO$10:AO$11,Предпосылки!$J278,),0))</f>
        <v>0</v>
      </c>
      <c s="125">
        <f ca="1">AP383*(1+IFERROR(INDEX(AP$10:AP$11,Предпосылки!$J278,),0))</f>
        <v>0</v>
      </c>
      <c s="125">
        <f ca="1">AQ383*(1+IFERROR(INDEX(AQ$10:AQ$11,Предпосылки!$J278,),0))</f>
        <v>0</v>
      </c>
      <c s="125">
        <f ca="1">AR383*(1+IFERROR(INDEX(AR$10:AR$11,Предпосылки!$J278,),0))</f>
        <v>0</v>
      </c>
      <c s="125">
        <f ca="1">AS383*(1+IFERROR(INDEX(AS$10:AS$11,Предпосылки!$J278,),0))</f>
        <v>0</v>
      </c>
      <c s="125">
        <f ca="1">AT383*(1+IFERROR(INDEX(AT$10:AT$11,Предпосылки!$J278,),0))</f>
        <v>0</v>
      </c>
      <c s="125">
        <f ca="1">AU383*(1+IFERROR(INDEX(AU$10:AU$11,Предпосылки!$J278,),0))</f>
        <v>0</v>
      </c>
      <c s="125">
        <f ca="1">AV383*(1+IFERROR(INDEX(AV$10:AV$11,Предпосылки!$J278,),0))</f>
        <v>0</v>
      </c>
      <c s="125">
        <f ca="1">AW383*(1+IFERROR(INDEX(AW$10:AW$11,Предпосылки!$J278,),0))</f>
        <v>0</v>
      </c>
      <c s="125">
        <f ca="1">AX383*(1+IFERROR(INDEX(AX$10:AX$11,Предпосылки!$J278,),0))</f>
        <v>0</v>
      </c>
      <c s="125">
        <f ca="1">AY383*(1+IFERROR(INDEX(AY$10:AY$11,Предпосылки!$J278,),0))</f>
        <v>0</v>
      </c>
      <c s="125">
        <f ca="1">AZ383*(1+IFERROR(INDEX(AZ$10:AZ$11,Предпосылки!$J278,),0))</f>
        <v>0</v>
      </c>
      <c s="125">
        <f ca="1">BA383*(1+IFERROR(INDEX(BA$10:BA$11,Предпосылки!$J278,),0))</f>
        <v>0</v>
      </c>
      <c s="125">
        <f ca="1">BB383*(1+IFERROR(INDEX(BB$10:BB$11,Предпосылки!$J278,),0))</f>
        <v>0</v>
      </c>
      <c s="125">
        <f ca="1">BC383*(1+IFERROR(INDEX(BC$10:BC$11,Предпосылки!$J278,),0))</f>
        <v>0</v>
      </c>
      <c s="125">
        <f ca="1">BD383*(1+IFERROR(INDEX(BD$10:BD$11,Предпосылки!$J278,),0))</f>
        <v>0</v>
      </c>
      <c s="125">
        <f ca="1">BE383*(1+IFERROR(INDEX(BE$10:BE$11,Предпосылки!$J278,),0))</f>
        <v>0</v>
      </c>
      <c s="125">
        <f ca="1">BF383*(1+IFERROR(INDEX(BF$10:BF$11,Предпосылки!$J278,),0))</f>
        <v>0</v>
      </c>
      <c s="125">
        <f ca="1">BG383*(1+IFERROR(INDEX(BG$10:BG$11,Предпосылки!$J278,),0))</f>
        <v>0</v>
      </c>
      <c s="125">
        <f ca="1">BH383*(1+IFERROR(INDEX(BH$10:BH$11,Предпосылки!$J278,),0))</f>
        <v>0</v>
      </c>
      <c s="125">
        <f ca="1">BI383*(1+IFERROR(INDEX(BI$10:BI$11,Предпосылки!$J278,),0))</f>
        <v>0</v>
      </c>
      <c s="125">
        <f ca="1">BJ383*(1+IFERROR(INDEX(BJ$10:BJ$11,Предпосылки!$J278,),0))</f>
        <v>0</v>
      </c>
      <c s="125">
        <f ca="1">BK383*(1+IFERROR(INDEX(BK$10:BK$11,Предпосылки!$J278,),0))</f>
        <v>0</v>
      </c>
      <c s="125">
        <f ca="1">BL383*(1+IFERROR(INDEX(BL$10:BL$11,Предпосылки!$J278,),0))</f>
        <v>0</v>
      </c>
      <c s="125">
        <f ca="1">BM383*(1+IFERROR(INDEX(BM$10:BM$11,Предпосылки!$J278,),0))</f>
        <v>0</v>
      </c>
    </row>
    <row r="442" spans="2:65" ht="15" customHeight="1">
      <c r="B442" s="12" t="str">
        <f t="shared" si="329" ref="B442:B465">B412</f>
        <v>-</v>
      </c>
      <c s="124" t="str">
        <f t="shared" si="328"/>
        <v>тыс. руб.</v>
      </c>
      <c s="125"/>
      <c s="125">
        <f>E384*(1+IFERROR(INDEX(E$10:E$11,Предпосылки!$J279,),0))</f>
        <v>0</v>
      </c>
      <c s="125">
        <f>F384*(1+IFERROR(INDEX(F$10:F$11,Предпосылки!$J279,),0))</f>
        <v>0</v>
      </c>
      <c s="125">
        <f>G384*(1+IFERROR(INDEX(G$10:G$11,Предпосылки!$J279,),0))</f>
        <v>0</v>
      </c>
      <c s="125">
        <f>H384*(1+IFERROR(INDEX(H$10:H$11,Предпосылки!$J279,),0))</f>
        <v>0</v>
      </c>
      <c s="125">
        <f>I384*(1+IFERROR(INDEX(I$10:I$11,Предпосылки!$J279,),0))</f>
        <v>0</v>
      </c>
      <c s="125">
        <f>J384*(1+IFERROR(INDEX(J$10:J$11,Предпосылки!$J279,),0))</f>
        <v>0</v>
      </c>
      <c s="125">
        <f>K384*(1+IFERROR(INDEX(K$10:K$11,Предпосылки!$J279,),0))</f>
        <v>0</v>
      </c>
      <c s="125">
        <f>L384*(1+IFERROR(INDEX(L$10:L$11,Предпосылки!$J279,),0))</f>
        <v>0</v>
      </c>
      <c s="125">
        <f>M384*(1+IFERROR(INDEX(M$10:M$11,Предпосылки!$J279,),0))</f>
        <v>0</v>
      </c>
      <c s="125">
        <f>N384*(1+IFERROR(INDEX(N$10:N$11,Предпосылки!$J279,),0))</f>
        <v>0</v>
      </c>
      <c s="125">
        <f>O384*(1+IFERROR(INDEX(O$10:O$11,Предпосылки!$J279,),0))</f>
        <v>0</v>
      </c>
      <c s="125">
        <f>P384*(1+IFERROR(INDEX(P$10:P$11,Предпосылки!$J279,),0))</f>
        <v>0</v>
      </c>
      <c s="125">
        <f>Q384*(1+IFERROR(INDEX(Q$10:Q$11,Предпосылки!$J279,),0))</f>
        <v>0</v>
      </c>
      <c s="125">
        <f>R384*(1+IFERROR(INDEX(R$10:R$11,Предпосылки!$J279,),0))</f>
        <v>0</v>
      </c>
      <c s="125">
        <f>S384*(1+IFERROR(INDEX(S$10:S$11,Предпосылки!$J279,),0))</f>
        <v>0</v>
      </c>
      <c s="125">
        <f>T384*(1+IFERROR(INDEX(T$10:T$11,Предпосылки!$J279,),0))</f>
        <v>0</v>
      </c>
      <c s="125">
        <f>U384*(1+IFERROR(INDEX(U$10:U$11,Предпосылки!$J279,),0))</f>
        <v>0</v>
      </c>
      <c s="125">
        <f>V384*(1+IFERROR(INDEX(V$10:V$11,Предпосылки!$J279,),0))</f>
        <v>0</v>
      </c>
      <c s="125">
        <f>W384*(1+IFERROR(INDEX(W$10:W$11,Предпосылки!$J279,),0))</f>
        <v>0</v>
      </c>
      <c s="125">
        <f>X384*(1+IFERROR(INDEX(X$10:X$11,Предпосылки!$J279,),0))</f>
        <v>0</v>
      </c>
      <c s="125">
        <f>Y384*(1+IFERROR(INDEX(Y$10:Y$11,Предпосылки!$J279,),0))</f>
        <v>0</v>
      </c>
      <c s="125">
        <f>Z384*(1+IFERROR(INDEX(Z$10:Z$11,Предпосылки!$J279,),0))</f>
        <v>0</v>
      </c>
      <c s="125">
        <f>AA384*(1+IFERROR(INDEX(AA$10:AA$11,Предпосылки!$J279,),0))</f>
        <v>0</v>
      </c>
      <c s="125">
        <f>AB384*(1+IFERROR(INDEX(AB$10:AB$11,Предпосылки!$J279,),0))</f>
        <v>0</v>
      </c>
      <c s="125">
        <f>AC384*(1+IFERROR(INDEX(AC$10:AC$11,Предпосылки!$J279,),0))</f>
        <v>0</v>
      </c>
      <c s="125">
        <f>AD384*(1+IFERROR(INDEX(AD$10:AD$11,Предпосылки!$J279,),0))</f>
        <v>0</v>
      </c>
      <c s="125">
        <f>AE384*(1+IFERROR(INDEX(AE$10:AE$11,Предпосылки!$J279,),0))</f>
        <v>0</v>
      </c>
      <c s="125">
        <f>AF384*(1+IFERROR(INDEX(AF$10:AF$11,Предпосылки!$J279,),0))</f>
        <v>0</v>
      </c>
      <c s="125">
        <f>AG384*(1+IFERROR(INDEX(AG$10:AG$11,Предпосылки!$J279,),0))</f>
        <v>0</v>
      </c>
      <c s="125">
        <f>AH384*(1+IFERROR(INDEX(AH$10:AH$11,Предпосылки!$J279,),0))</f>
        <v>0</v>
      </c>
      <c s="125">
        <f>AI384*(1+IFERROR(INDEX(AI$10:AI$11,Предпосылки!$J279,),0))</f>
        <v>0</v>
      </c>
      <c s="125">
        <f>AJ384*(1+IFERROR(INDEX(AJ$10:AJ$11,Предпосылки!$J279,),0))</f>
        <v>0</v>
      </c>
      <c s="125">
        <f>AK384*(1+IFERROR(INDEX(AK$10:AK$11,Предпосылки!$J279,),0))</f>
        <v>0</v>
      </c>
      <c s="125">
        <f>AL384*(1+IFERROR(INDEX(AL$10:AL$11,Предпосылки!$J279,),0))</f>
        <v>0</v>
      </c>
      <c s="125">
        <f>AM384*(1+IFERROR(INDEX(AM$10:AM$11,Предпосылки!$J279,),0))</f>
        <v>0</v>
      </c>
      <c s="125">
        <f>AN384*(1+IFERROR(INDEX(AN$10:AN$11,Предпосылки!$J279,),0))</f>
        <v>0</v>
      </c>
      <c s="125">
        <f>AO384*(1+IFERROR(INDEX(AO$10:AO$11,Предпосылки!$J279,),0))</f>
        <v>0</v>
      </c>
      <c s="125">
        <f>AP384*(1+IFERROR(INDEX(AP$10:AP$11,Предпосылки!$J279,),0))</f>
        <v>0</v>
      </c>
      <c s="125">
        <f>AQ384*(1+IFERROR(INDEX(AQ$10:AQ$11,Предпосылки!$J279,),0))</f>
        <v>0</v>
      </c>
      <c s="125">
        <f>AR384*(1+IFERROR(INDEX(AR$10:AR$11,Предпосылки!$J279,),0))</f>
        <v>0</v>
      </c>
      <c s="125">
        <f>AS384*(1+IFERROR(INDEX(AS$10:AS$11,Предпосылки!$J279,),0))</f>
        <v>0</v>
      </c>
      <c s="125">
        <f>AT384*(1+IFERROR(INDEX(AT$10:AT$11,Предпосылки!$J279,),0))</f>
        <v>0</v>
      </c>
      <c s="125">
        <f>AU384*(1+IFERROR(INDEX(AU$10:AU$11,Предпосылки!$J279,),0))</f>
        <v>0</v>
      </c>
      <c s="125">
        <f>AV384*(1+IFERROR(INDEX(AV$10:AV$11,Предпосылки!$J279,),0))</f>
        <v>0</v>
      </c>
      <c s="125">
        <f>AW384*(1+IFERROR(INDEX(AW$10:AW$11,Предпосылки!$J279,),0))</f>
        <v>0</v>
      </c>
      <c s="125">
        <f>AX384*(1+IFERROR(INDEX(AX$10:AX$11,Предпосылки!$J279,),0))</f>
        <v>0</v>
      </c>
      <c s="125">
        <f>AY384*(1+IFERROR(INDEX(AY$10:AY$11,Предпосылки!$J279,),0))</f>
        <v>0</v>
      </c>
      <c s="125">
        <f>AZ384*(1+IFERROR(INDEX(AZ$10:AZ$11,Предпосылки!$J279,),0))</f>
        <v>0</v>
      </c>
      <c s="125">
        <f>BA384*(1+IFERROR(INDEX(BA$10:BA$11,Предпосылки!$J279,),0))</f>
        <v>0</v>
      </c>
      <c s="125">
        <f>BB384*(1+IFERROR(INDEX(BB$10:BB$11,Предпосылки!$J279,),0))</f>
        <v>0</v>
      </c>
      <c s="125">
        <f>BC384*(1+IFERROR(INDEX(BC$10:BC$11,Предпосылки!$J279,),0))</f>
        <v>0</v>
      </c>
      <c s="125">
        <f>BD384*(1+IFERROR(INDEX(BD$10:BD$11,Предпосылки!$J279,),0))</f>
        <v>0</v>
      </c>
      <c s="125">
        <f>BE384*(1+IFERROR(INDEX(BE$10:BE$11,Предпосылки!$J279,),0))</f>
        <v>0</v>
      </c>
      <c s="125">
        <f>BF384*(1+IFERROR(INDEX(BF$10:BF$11,Предпосылки!$J279,),0))</f>
        <v>0</v>
      </c>
      <c s="125">
        <f>BG384*(1+IFERROR(INDEX(BG$10:BG$11,Предпосылки!$J279,),0))</f>
        <v>0</v>
      </c>
      <c s="125">
        <f>BH384*(1+IFERROR(INDEX(BH$10:BH$11,Предпосылки!$J279,),0))</f>
        <v>0</v>
      </c>
      <c s="125">
        <f>BI384*(1+IFERROR(INDEX(BI$10:BI$11,Предпосылки!$J279,),0))</f>
        <v>0</v>
      </c>
      <c s="125">
        <f>BJ384*(1+IFERROR(INDEX(BJ$10:BJ$11,Предпосылки!$J279,),0))</f>
        <v>0</v>
      </c>
      <c s="125">
        <f>BK384*(1+IFERROR(INDEX(BK$10:BK$11,Предпосылки!$J279,),0))</f>
        <v>0</v>
      </c>
      <c s="125">
        <f>BL384*(1+IFERROR(INDEX(BL$10:BL$11,Предпосылки!$J279,),0))</f>
        <v>0</v>
      </c>
      <c s="125">
        <f>BM384*(1+IFERROR(INDEX(BM$10:BM$11,Предпосылки!$J279,),0))</f>
        <v>0</v>
      </c>
    </row>
    <row r="443" spans="2:65" ht="15" customHeight="1">
      <c r="B443" s="12" t="str">
        <f t="shared" si="329"/>
        <v>-</v>
      </c>
      <c s="124" t="str">
        <f t="shared" si="328"/>
        <v>тыс. руб.</v>
      </c>
      <c s="125"/>
      <c s="125">
        <f>E385*(1+IFERROR(INDEX(E$10:E$11,Предпосылки!$J280,),0))</f>
        <v>0</v>
      </c>
      <c s="125">
        <f>F385*(1+IFERROR(INDEX(F$10:F$11,Предпосылки!$J280,),0))</f>
        <v>0</v>
      </c>
      <c s="125">
        <f>G385*(1+IFERROR(INDEX(G$10:G$11,Предпосылки!$J280,),0))</f>
        <v>0</v>
      </c>
      <c s="125">
        <f>H385*(1+IFERROR(INDEX(H$10:H$11,Предпосылки!$J280,),0))</f>
        <v>0</v>
      </c>
      <c s="125">
        <f>I385*(1+IFERROR(INDEX(I$10:I$11,Предпосылки!$J280,),0))</f>
        <v>0</v>
      </c>
      <c s="125">
        <f>J385*(1+IFERROR(INDEX(J$10:J$11,Предпосылки!$J280,),0))</f>
        <v>0</v>
      </c>
      <c s="125">
        <f>K385*(1+IFERROR(INDEX(K$10:K$11,Предпосылки!$J280,),0))</f>
        <v>0</v>
      </c>
      <c s="125">
        <f>L385*(1+IFERROR(INDEX(L$10:L$11,Предпосылки!$J280,),0))</f>
        <v>0</v>
      </c>
      <c s="125">
        <f>M385*(1+IFERROR(INDEX(M$10:M$11,Предпосылки!$J280,),0))</f>
        <v>0</v>
      </c>
      <c s="125">
        <f>N385*(1+IFERROR(INDEX(N$10:N$11,Предпосылки!$J280,),0))</f>
        <v>0</v>
      </c>
      <c s="125">
        <f>O385*(1+IFERROR(INDEX(O$10:O$11,Предпосылки!$J280,),0))</f>
        <v>0</v>
      </c>
      <c s="125">
        <f>P385*(1+IFERROR(INDEX(P$10:P$11,Предпосылки!$J280,),0))</f>
        <v>0</v>
      </c>
      <c s="125">
        <f>Q385*(1+IFERROR(INDEX(Q$10:Q$11,Предпосылки!$J280,),0))</f>
        <v>0</v>
      </c>
      <c s="125">
        <f>R385*(1+IFERROR(INDEX(R$10:R$11,Предпосылки!$J280,),0))</f>
        <v>0</v>
      </c>
      <c s="125">
        <f>S385*(1+IFERROR(INDEX(S$10:S$11,Предпосылки!$J280,),0))</f>
        <v>0</v>
      </c>
      <c s="125">
        <f>T385*(1+IFERROR(INDEX(T$10:T$11,Предпосылки!$J280,),0))</f>
        <v>0</v>
      </c>
      <c s="125">
        <f>U385*(1+IFERROR(INDEX(U$10:U$11,Предпосылки!$J280,),0))</f>
        <v>0</v>
      </c>
      <c s="125">
        <f>V385*(1+IFERROR(INDEX(V$10:V$11,Предпосылки!$J280,),0))</f>
        <v>0</v>
      </c>
      <c s="125">
        <f>W385*(1+IFERROR(INDEX(W$10:W$11,Предпосылки!$J280,),0))</f>
        <v>0</v>
      </c>
      <c s="125">
        <f>X385*(1+IFERROR(INDEX(X$10:X$11,Предпосылки!$J280,),0))</f>
        <v>0</v>
      </c>
      <c s="125">
        <f>Y385*(1+IFERROR(INDEX(Y$10:Y$11,Предпосылки!$J280,),0))</f>
        <v>0</v>
      </c>
      <c s="125">
        <f>Z385*(1+IFERROR(INDEX(Z$10:Z$11,Предпосылки!$J280,),0))</f>
        <v>0</v>
      </c>
      <c s="125">
        <f>AA385*(1+IFERROR(INDEX(AA$10:AA$11,Предпосылки!$J280,),0))</f>
        <v>0</v>
      </c>
      <c s="125">
        <f>AB385*(1+IFERROR(INDEX(AB$10:AB$11,Предпосылки!$J280,),0))</f>
        <v>0</v>
      </c>
      <c s="125">
        <f>AC385*(1+IFERROR(INDEX(AC$10:AC$11,Предпосылки!$J280,),0))</f>
        <v>0</v>
      </c>
      <c s="125">
        <f>AD385*(1+IFERROR(INDEX(AD$10:AD$11,Предпосылки!$J280,),0))</f>
        <v>0</v>
      </c>
      <c s="125">
        <f>AE385*(1+IFERROR(INDEX(AE$10:AE$11,Предпосылки!$J280,),0))</f>
        <v>0</v>
      </c>
      <c s="125">
        <f>AF385*(1+IFERROR(INDEX(AF$10:AF$11,Предпосылки!$J280,),0))</f>
        <v>0</v>
      </c>
      <c s="125">
        <f>AG385*(1+IFERROR(INDEX(AG$10:AG$11,Предпосылки!$J280,),0))</f>
        <v>0</v>
      </c>
      <c s="125">
        <f>AH385*(1+IFERROR(INDEX(AH$10:AH$11,Предпосылки!$J280,),0))</f>
        <v>0</v>
      </c>
      <c s="125">
        <f>AI385*(1+IFERROR(INDEX(AI$10:AI$11,Предпосылки!$J280,),0))</f>
        <v>0</v>
      </c>
      <c s="125">
        <f>AJ385*(1+IFERROR(INDEX(AJ$10:AJ$11,Предпосылки!$J280,),0))</f>
        <v>0</v>
      </c>
      <c s="125">
        <f>AK385*(1+IFERROR(INDEX(AK$10:AK$11,Предпосылки!$J280,),0))</f>
        <v>0</v>
      </c>
      <c s="125">
        <f>AL385*(1+IFERROR(INDEX(AL$10:AL$11,Предпосылки!$J280,),0))</f>
        <v>0</v>
      </c>
      <c s="125">
        <f>AM385*(1+IFERROR(INDEX(AM$10:AM$11,Предпосылки!$J280,),0))</f>
        <v>0</v>
      </c>
      <c s="125">
        <f>AN385*(1+IFERROR(INDEX(AN$10:AN$11,Предпосылки!$J280,),0))</f>
        <v>0</v>
      </c>
      <c s="125">
        <f>AO385*(1+IFERROR(INDEX(AO$10:AO$11,Предпосылки!$J280,),0))</f>
        <v>0</v>
      </c>
      <c s="125">
        <f>AP385*(1+IFERROR(INDEX(AP$10:AP$11,Предпосылки!$J280,),0))</f>
        <v>0</v>
      </c>
      <c s="125">
        <f>AQ385*(1+IFERROR(INDEX(AQ$10:AQ$11,Предпосылки!$J280,),0))</f>
        <v>0</v>
      </c>
      <c s="125">
        <f>AR385*(1+IFERROR(INDEX(AR$10:AR$11,Предпосылки!$J280,),0))</f>
        <v>0</v>
      </c>
      <c s="125">
        <f>AS385*(1+IFERROR(INDEX(AS$10:AS$11,Предпосылки!$J280,),0))</f>
        <v>0</v>
      </c>
      <c s="125">
        <f>AT385*(1+IFERROR(INDEX(AT$10:AT$11,Предпосылки!$J280,),0))</f>
        <v>0</v>
      </c>
      <c s="125">
        <f>AU385*(1+IFERROR(INDEX(AU$10:AU$11,Предпосылки!$J280,),0))</f>
        <v>0</v>
      </c>
      <c s="125">
        <f>AV385*(1+IFERROR(INDEX(AV$10:AV$11,Предпосылки!$J280,),0))</f>
        <v>0</v>
      </c>
      <c s="125">
        <f>AW385*(1+IFERROR(INDEX(AW$10:AW$11,Предпосылки!$J280,),0))</f>
        <v>0</v>
      </c>
      <c s="125">
        <f>AX385*(1+IFERROR(INDEX(AX$10:AX$11,Предпосылки!$J280,),0))</f>
        <v>0</v>
      </c>
      <c s="125">
        <f>AY385*(1+IFERROR(INDEX(AY$10:AY$11,Предпосылки!$J280,),0))</f>
        <v>0</v>
      </c>
      <c s="125">
        <f>AZ385*(1+IFERROR(INDEX(AZ$10:AZ$11,Предпосылки!$J280,),0))</f>
        <v>0</v>
      </c>
      <c s="125">
        <f>BA385*(1+IFERROR(INDEX(BA$10:BA$11,Предпосылки!$J280,),0))</f>
        <v>0</v>
      </c>
      <c s="125">
        <f>BB385*(1+IFERROR(INDEX(BB$10:BB$11,Предпосылки!$J280,),0))</f>
        <v>0</v>
      </c>
      <c s="125">
        <f>BC385*(1+IFERROR(INDEX(BC$10:BC$11,Предпосылки!$J280,),0))</f>
        <v>0</v>
      </c>
      <c s="125">
        <f>BD385*(1+IFERROR(INDEX(BD$10:BD$11,Предпосылки!$J280,),0))</f>
        <v>0</v>
      </c>
      <c s="125">
        <f>BE385*(1+IFERROR(INDEX(BE$10:BE$11,Предпосылки!$J280,),0))</f>
        <v>0</v>
      </c>
      <c s="125">
        <f>BF385*(1+IFERROR(INDEX(BF$10:BF$11,Предпосылки!$J280,),0))</f>
        <v>0</v>
      </c>
      <c s="125">
        <f>BG385*(1+IFERROR(INDEX(BG$10:BG$11,Предпосылки!$J280,),0))</f>
        <v>0</v>
      </c>
      <c s="125">
        <f>BH385*(1+IFERROR(INDEX(BH$10:BH$11,Предпосылки!$J280,),0))</f>
        <v>0</v>
      </c>
      <c s="125">
        <f>BI385*(1+IFERROR(INDEX(BI$10:BI$11,Предпосылки!$J280,),0))</f>
        <v>0</v>
      </c>
      <c s="125">
        <f>BJ385*(1+IFERROR(INDEX(BJ$10:BJ$11,Предпосылки!$J280,),0))</f>
        <v>0</v>
      </c>
      <c s="125">
        <f>BK385*(1+IFERROR(INDEX(BK$10:BK$11,Предпосылки!$J280,),0))</f>
        <v>0</v>
      </c>
      <c s="125">
        <f>BL385*(1+IFERROR(INDEX(BL$10:BL$11,Предпосылки!$J280,),0))</f>
        <v>0</v>
      </c>
      <c s="125">
        <f>BM385*(1+IFERROR(INDEX(BM$10:BM$11,Предпосылки!$J280,),0))</f>
        <v>0</v>
      </c>
    </row>
    <row r="444" spans="2:65" ht="15" customHeight="1">
      <c r="B444" s="12" t="str">
        <f t="shared" si="329"/>
        <v>-</v>
      </c>
      <c s="124" t="str">
        <f t="shared" si="328"/>
        <v>тыс. руб.</v>
      </c>
      <c s="125"/>
      <c s="125">
        <f>E386*(1+IFERROR(INDEX(E$10:E$11,Предпосылки!$J281,),0))</f>
        <v>0</v>
      </c>
      <c s="125">
        <f>F386*(1+IFERROR(INDEX(F$10:F$11,Предпосылки!$J281,),0))</f>
        <v>0</v>
      </c>
      <c s="125">
        <f>G386*(1+IFERROR(INDEX(G$10:G$11,Предпосылки!$J281,),0))</f>
        <v>0</v>
      </c>
      <c s="125">
        <f>H386*(1+IFERROR(INDEX(H$10:H$11,Предпосылки!$J281,),0))</f>
        <v>0</v>
      </c>
      <c s="125">
        <f>I386*(1+IFERROR(INDEX(I$10:I$11,Предпосылки!$J281,),0))</f>
        <v>0</v>
      </c>
      <c s="125">
        <f>J386*(1+IFERROR(INDEX(J$10:J$11,Предпосылки!$J281,),0))</f>
        <v>0</v>
      </c>
      <c s="125">
        <f>K386*(1+IFERROR(INDEX(K$10:K$11,Предпосылки!$J281,),0))</f>
        <v>0</v>
      </c>
      <c s="125">
        <f>L386*(1+IFERROR(INDEX(L$10:L$11,Предпосылки!$J281,),0))</f>
        <v>0</v>
      </c>
      <c s="125">
        <f>M386*(1+IFERROR(INDEX(M$10:M$11,Предпосылки!$J281,),0))</f>
        <v>0</v>
      </c>
      <c s="125">
        <f>N386*(1+IFERROR(INDEX(N$10:N$11,Предпосылки!$J281,),0))</f>
        <v>0</v>
      </c>
      <c s="125">
        <f>O386*(1+IFERROR(INDEX(O$10:O$11,Предпосылки!$J281,),0))</f>
        <v>0</v>
      </c>
      <c s="125">
        <f>P386*(1+IFERROR(INDEX(P$10:P$11,Предпосылки!$J281,),0))</f>
        <v>0</v>
      </c>
      <c s="125">
        <f>Q386*(1+IFERROR(INDEX(Q$10:Q$11,Предпосылки!$J281,),0))</f>
        <v>0</v>
      </c>
      <c s="125">
        <f>R386*(1+IFERROR(INDEX(R$10:R$11,Предпосылки!$J281,),0))</f>
        <v>0</v>
      </c>
      <c s="125">
        <f>S386*(1+IFERROR(INDEX(S$10:S$11,Предпосылки!$J281,),0))</f>
        <v>0</v>
      </c>
      <c s="125">
        <f>T386*(1+IFERROR(INDEX(T$10:T$11,Предпосылки!$J281,),0))</f>
        <v>0</v>
      </c>
      <c s="125">
        <f>U386*(1+IFERROR(INDEX(U$10:U$11,Предпосылки!$J281,),0))</f>
        <v>0</v>
      </c>
      <c s="125">
        <f>V386*(1+IFERROR(INDEX(V$10:V$11,Предпосылки!$J281,),0))</f>
        <v>0</v>
      </c>
      <c s="125">
        <f>W386*(1+IFERROR(INDEX(W$10:W$11,Предпосылки!$J281,),0))</f>
        <v>0</v>
      </c>
      <c s="125">
        <f>X386*(1+IFERROR(INDEX(X$10:X$11,Предпосылки!$J281,),0))</f>
        <v>0</v>
      </c>
      <c s="125">
        <f>Y386*(1+IFERROR(INDEX(Y$10:Y$11,Предпосылки!$J281,),0))</f>
        <v>0</v>
      </c>
      <c s="125">
        <f>Z386*(1+IFERROR(INDEX(Z$10:Z$11,Предпосылки!$J281,),0))</f>
        <v>0</v>
      </c>
      <c s="125">
        <f>AA386*(1+IFERROR(INDEX(AA$10:AA$11,Предпосылки!$J281,),0))</f>
        <v>0</v>
      </c>
      <c s="125">
        <f>AB386*(1+IFERROR(INDEX(AB$10:AB$11,Предпосылки!$J281,),0))</f>
        <v>0</v>
      </c>
      <c s="125">
        <f>AC386*(1+IFERROR(INDEX(AC$10:AC$11,Предпосылки!$J281,),0))</f>
        <v>0</v>
      </c>
      <c s="125">
        <f>AD386*(1+IFERROR(INDEX(AD$10:AD$11,Предпосылки!$J281,),0))</f>
        <v>0</v>
      </c>
      <c s="125">
        <f>AE386*(1+IFERROR(INDEX(AE$10:AE$11,Предпосылки!$J281,),0))</f>
        <v>0</v>
      </c>
      <c s="125">
        <f>AF386*(1+IFERROR(INDEX(AF$10:AF$11,Предпосылки!$J281,),0))</f>
        <v>0</v>
      </c>
      <c s="125">
        <f>AG386*(1+IFERROR(INDEX(AG$10:AG$11,Предпосылки!$J281,),0))</f>
        <v>0</v>
      </c>
      <c s="125">
        <f>AH386*(1+IFERROR(INDEX(AH$10:AH$11,Предпосылки!$J281,),0))</f>
        <v>0</v>
      </c>
      <c s="125">
        <f>AI386*(1+IFERROR(INDEX(AI$10:AI$11,Предпосылки!$J281,),0))</f>
        <v>0</v>
      </c>
      <c s="125">
        <f>AJ386*(1+IFERROR(INDEX(AJ$10:AJ$11,Предпосылки!$J281,),0))</f>
        <v>0</v>
      </c>
      <c s="125">
        <f>AK386*(1+IFERROR(INDEX(AK$10:AK$11,Предпосылки!$J281,),0))</f>
        <v>0</v>
      </c>
      <c s="125">
        <f>AL386*(1+IFERROR(INDEX(AL$10:AL$11,Предпосылки!$J281,),0))</f>
        <v>0</v>
      </c>
      <c s="125">
        <f>AM386*(1+IFERROR(INDEX(AM$10:AM$11,Предпосылки!$J281,),0))</f>
        <v>0</v>
      </c>
      <c s="125">
        <f>AN386*(1+IFERROR(INDEX(AN$10:AN$11,Предпосылки!$J281,),0))</f>
        <v>0</v>
      </c>
      <c s="125">
        <f>AO386*(1+IFERROR(INDEX(AO$10:AO$11,Предпосылки!$J281,),0))</f>
        <v>0</v>
      </c>
      <c s="125">
        <f>AP386*(1+IFERROR(INDEX(AP$10:AP$11,Предпосылки!$J281,),0))</f>
        <v>0</v>
      </c>
      <c s="125">
        <f>AQ386*(1+IFERROR(INDEX(AQ$10:AQ$11,Предпосылки!$J281,),0))</f>
        <v>0</v>
      </c>
      <c s="125">
        <f>AR386*(1+IFERROR(INDEX(AR$10:AR$11,Предпосылки!$J281,),0))</f>
        <v>0</v>
      </c>
      <c s="125">
        <f>AS386*(1+IFERROR(INDEX(AS$10:AS$11,Предпосылки!$J281,),0))</f>
        <v>0</v>
      </c>
      <c s="125">
        <f>AT386*(1+IFERROR(INDEX(AT$10:AT$11,Предпосылки!$J281,),0))</f>
        <v>0</v>
      </c>
      <c s="125">
        <f>AU386*(1+IFERROR(INDEX(AU$10:AU$11,Предпосылки!$J281,),0))</f>
        <v>0</v>
      </c>
      <c s="125">
        <f>AV386*(1+IFERROR(INDEX(AV$10:AV$11,Предпосылки!$J281,),0))</f>
        <v>0</v>
      </c>
      <c s="125">
        <f>AW386*(1+IFERROR(INDEX(AW$10:AW$11,Предпосылки!$J281,),0))</f>
        <v>0</v>
      </c>
      <c s="125">
        <f>AX386*(1+IFERROR(INDEX(AX$10:AX$11,Предпосылки!$J281,),0))</f>
        <v>0</v>
      </c>
      <c s="125">
        <f>AY386*(1+IFERROR(INDEX(AY$10:AY$11,Предпосылки!$J281,),0))</f>
        <v>0</v>
      </c>
      <c s="125">
        <f>AZ386*(1+IFERROR(INDEX(AZ$10:AZ$11,Предпосылки!$J281,),0))</f>
        <v>0</v>
      </c>
      <c s="125">
        <f>BA386*(1+IFERROR(INDEX(BA$10:BA$11,Предпосылки!$J281,),0))</f>
        <v>0</v>
      </c>
      <c s="125">
        <f>BB386*(1+IFERROR(INDEX(BB$10:BB$11,Предпосылки!$J281,),0))</f>
        <v>0</v>
      </c>
      <c s="125">
        <f>BC386*(1+IFERROR(INDEX(BC$10:BC$11,Предпосылки!$J281,),0))</f>
        <v>0</v>
      </c>
      <c s="125">
        <f>BD386*(1+IFERROR(INDEX(BD$10:BD$11,Предпосылки!$J281,),0))</f>
        <v>0</v>
      </c>
      <c s="125">
        <f>BE386*(1+IFERROR(INDEX(BE$10:BE$11,Предпосылки!$J281,),0))</f>
        <v>0</v>
      </c>
      <c s="125">
        <f>BF386*(1+IFERROR(INDEX(BF$10:BF$11,Предпосылки!$J281,),0))</f>
        <v>0</v>
      </c>
      <c s="125">
        <f>BG386*(1+IFERROR(INDEX(BG$10:BG$11,Предпосылки!$J281,),0))</f>
        <v>0</v>
      </c>
      <c s="125">
        <f>BH386*(1+IFERROR(INDEX(BH$10:BH$11,Предпосылки!$J281,),0))</f>
        <v>0</v>
      </c>
      <c s="125">
        <f>BI386*(1+IFERROR(INDEX(BI$10:BI$11,Предпосылки!$J281,),0))</f>
        <v>0</v>
      </c>
      <c s="125">
        <f>BJ386*(1+IFERROR(INDEX(BJ$10:BJ$11,Предпосылки!$J281,),0))</f>
        <v>0</v>
      </c>
      <c s="125">
        <f>BK386*(1+IFERROR(INDEX(BK$10:BK$11,Предпосылки!$J281,),0))</f>
        <v>0</v>
      </c>
      <c s="125">
        <f>BL386*(1+IFERROR(INDEX(BL$10:BL$11,Предпосылки!$J281,),0))</f>
        <v>0</v>
      </c>
      <c s="125">
        <f>BM386*(1+IFERROR(INDEX(BM$10:BM$11,Предпосылки!$J281,),0))</f>
        <v>0</v>
      </c>
    </row>
    <row r="445" spans="2:65" ht="15" customHeight="1">
      <c r="B445" s="12" t="str">
        <f t="shared" si="329"/>
        <v>-</v>
      </c>
      <c s="124" t="str">
        <f t="shared" si="328"/>
        <v>тыс. руб.</v>
      </c>
      <c s="125"/>
      <c s="125">
        <f>E387*(1+IFERROR(INDEX(E$10:E$11,Предпосылки!$J282,),0))</f>
        <v>0</v>
      </c>
      <c s="125">
        <f>F387*(1+IFERROR(INDEX(F$10:F$11,Предпосылки!$J282,),0))</f>
        <v>0</v>
      </c>
      <c s="125">
        <f>G387*(1+IFERROR(INDEX(G$10:G$11,Предпосылки!$J282,),0))</f>
        <v>0</v>
      </c>
      <c s="125">
        <f>H387*(1+IFERROR(INDEX(H$10:H$11,Предпосылки!$J282,),0))</f>
        <v>0</v>
      </c>
      <c s="125">
        <f>I387*(1+IFERROR(INDEX(I$10:I$11,Предпосылки!$J282,),0))</f>
        <v>0</v>
      </c>
      <c s="125">
        <f>J387*(1+IFERROR(INDEX(J$10:J$11,Предпосылки!$J282,),0))</f>
        <v>0</v>
      </c>
      <c s="125">
        <f>K387*(1+IFERROR(INDEX(K$10:K$11,Предпосылки!$J282,),0))</f>
        <v>0</v>
      </c>
      <c s="125">
        <f>L387*(1+IFERROR(INDEX(L$10:L$11,Предпосылки!$J282,),0))</f>
        <v>0</v>
      </c>
      <c s="125">
        <f>M387*(1+IFERROR(INDEX(M$10:M$11,Предпосылки!$J282,),0))</f>
        <v>0</v>
      </c>
      <c s="125">
        <f>N387*(1+IFERROR(INDEX(N$10:N$11,Предпосылки!$J282,),0))</f>
        <v>0</v>
      </c>
      <c s="125">
        <f>O387*(1+IFERROR(INDEX(O$10:O$11,Предпосылки!$J282,),0))</f>
        <v>0</v>
      </c>
      <c s="125">
        <f>P387*(1+IFERROR(INDEX(P$10:P$11,Предпосылки!$J282,),0))</f>
        <v>0</v>
      </c>
      <c s="125">
        <f>Q387*(1+IFERROR(INDEX(Q$10:Q$11,Предпосылки!$J282,),0))</f>
        <v>0</v>
      </c>
      <c s="125">
        <f>R387*(1+IFERROR(INDEX(R$10:R$11,Предпосылки!$J282,),0))</f>
        <v>0</v>
      </c>
      <c s="125">
        <f>S387*(1+IFERROR(INDEX(S$10:S$11,Предпосылки!$J282,),0))</f>
        <v>0</v>
      </c>
      <c s="125">
        <f>T387*(1+IFERROR(INDEX(T$10:T$11,Предпосылки!$J282,),0))</f>
        <v>0</v>
      </c>
      <c s="125">
        <f>U387*(1+IFERROR(INDEX(U$10:U$11,Предпосылки!$J282,),0))</f>
        <v>0</v>
      </c>
      <c s="125">
        <f>V387*(1+IFERROR(INDEX(V$10:V$11,Предпосылки!$J282,),0))</f>
        <v>0</v>
      </c>
      <c s="125">
        <f>W387*(1+IFERROR(INDEX(W$10:W$11,Предпосылки!$J282,),0))</f>
        <v>0</v>
      </c>
      <c s="125">
        <f>X387*(1+IFERROR(INDEX(X$10:X$11,Предпосылки!$J282,),0))</f>
        <v>0</v>
      </c>
      <c s="125">
        <f>Y387*(1+IFERROR(INDEX(Y$10:Y$11,Предпосылки!$J282,),0))</f>
        <v>0</v>
      </c>
      <c s="125">
        <f>Z387*(1+IFERROR(INDEX(Z$10:Z$11,Предпосылки!$J282,),0))</f>
        <v>0</v>
      </c>
      <c s="125">
        <f>AA387*(1+IFERROR(INDEX(AA$10:AA$11,Предпосылки!$J282,),0))</f>
        <v>0</v>
      </c>
      <c s="125">
        <f>AB387*(1+IFERROR(INDEX(AB$10:AB$11,Предпосылки!$J282,),0))</f>
        <v>0</v>
      </c>
      <c s="125">
        <f>AC387*(1+IFERROR(INDEX(AC$10:AC$11,Предпосылки!$J282,),0))</f>
        <v>0</v>
      </c>
      <c s="125">
        <f>AD387*(1+IFERROR(INDEX(AD$10:AD$11,Предпосылки!$J282,),0))</f>
        <v>0</v>
      </c>
      <c s="125">
        <f>AE387*(1+IFERROR(INDEX(AE$10:AE$11,Предпосылки!$J282,),0))</f>
        <v>0</v>
      </c>
      <c s="125">
        <f>AF387*(1+IFERROR(INDEX(AF$10:AF$11,Предпосылки!$J282,),0))</f>
        <v>0</v>
      </c>
      <c s="125">
        <f>AG387*(1+IFERROR(INDEX(AG$10:AG$11,Предпосылки!$J282,),0))</f>
        <v>0</v>
      </c>
      <c s="125">
        <f>AH387*(1+IFERROR(INDEX(AH$10:AH$11,Предпосылки!$J282,),0))</f>
        <v>0</v>
      </c>
      <c s="125">
        <f>AI387*(1+IFERROR(INDEX(AI$10:AI$11,Предпосылки!$J282,),0))</f>
        <v>0</v>
      </c>
      <c s="125">
        <f>AJ387*(1+IFERROR(INDEX(AJ$10:AJ$11,Предпосылки!$J282,),0))</f>
        <v>0</v>
      </c>
      <c s="125">
        <f>AK387*(1+IFERROR(INDEX(AK$10:AK$11,Предпосылки!$J282,),0))</f>
        <v>0</v>
      </c>
      <c s="125">
        <f>AL387*(1+IFERROR(INDEX(AL$10:AL$11,Предпосылки!$J282,),0))</f>
        <v>0</v>
      </c>
      <c s="125">
        <f>AM387*(1+IFERROR(INDEX(AM$10:AM$11,Предпосылки!$J282,),0))</f>
        <v>0</v>
      </c>
      <c s="125">
        <f>AN387*(1+IFERROR(INDEX(AN$10:AN$11,Предпосылки!$J282,),0))</f>
        <v>0</v>
      </c>
      <c s="125">
        <f>AO387*(1+IFERROR(INDEX(AO$10:AO$11,Предпосылки!$J282,),0))</f>
        <v>0</v>
      </c>
      <c s="125">
        <f>AP387*(1+IFERROR(INDEX(AP$10:AP$11,Предпосылки!$J282,),0))</f>
        <v>0</v>
      </c>
      <c s="125">
        <f>AQ387*(1+IFERROR(INDEX(AQ$10:AQ$11,Предпосылки!$J282,),0))</f>
        <v>0</v>
      </c>
      <c s="125">
        <f>AR387*(1+IFERROR(INDEX(AR$10:AR$11,Предпосылки!$J282,),0))</f>
        <v>0</v>
      </c>
      <c s="125">
        <f>AS387*(1+IFERROR(INDEX(AS$10:AS$11,Предпосылки!$J282,),0))</f>
        <v>0</v>
      </c>
      <c s="125">
        <f>AT387*(1+IFERROR(INDEX(AT$10:AT$11,Предпосылки!$J282,),0))</f>
        <v>0</v>
      </c>
      <c s="125">
        <f>AU387*(1+IFERROR(INDEX(AU$10:AU$11,Предпосылки!$J282,),0))</f>
        <v>0</v>
      </c>
      <c s="125">
        <f>AV387*(1+IFERROR(INDEX(AV$10:AV$11,Предпосылки!$J282,),0))</f>
        <v>0</v>
      </c>
      <c s="125">
        <f>AW387*(1+IFERROR(INDEX(AW$10:AW$11,Предпосылки!$J282,),0))</f>
        <v>0</v>
      </c>
      <c s="125">
        <f>AX387*(1+IFERROR(INDEX(AX$10:AX$11,Предпосылки!$J282,),0))</f>
        <v>0</v>
      </c>
      <c s="125">
        <f>AY387*(1+IFERROR(INDEX(AY$10:AY$11,Предпосылки!$J282,),0))</f>
        <v>0</v>
      </c>
      <c s="125">
        <f>AZ387*(1+IFERROR(INDEX(AZ$10:AZ$11,Предпосылки!$J282,),0))</f>
        <v>0</v>
      </c>
      <c s="125">
        <f>BA387*(1+IFERROR(INDEX(BA$10:BA$11,Предпосылки!$J282,),0))</f>
        <v>0</v>
      </c>
      <c s="125">
        <f>BB387*(1+IFERROR(INDEX(BB$10:BB$11,Предпосылки!$J282,),0))</f>
        <v>0</v>
      </c>
      <c s="125">
        <f>BC387*(1+IFERROR(INDEX(BC$10:BC$11,Предпосылки!$J282,),0))</f>
        <v>0</v>
      </c>
      <c s="125">
        <f>BD387*(1+IFERROR(INDEX(BD$10:BD$11,Предпосылки!$J282,),0))</f>
        <v>0</v>
      </c>
      <c s="125">
        <f>BE387*(1+IFERROR(INDEX(BE$10:BE$11,Предпосылки!$J282,),0))</f>
        <v>0</v>
      </c>
      <c s="125">
        <f>BF387*(1+IFERROR(INDEX(BF$10:BF$11,Предпосылки!$J282,),0))</f>
        <v>0</v>
      </c>
      <c s="125">
        <f>BG387*(1+IFERROR(INDEX(BG$10:BG$11,Предпосылки!$J282,),0))</f>
        <v>0</v>
      </c>
      <c s="125">
        <f>BH387*(1+IFERROR(INDEX(BH$10:BH$11,Предпосылки!$J282,),0))</f>
        <v>0</v>
      </c>
      <c s="125">
        <f>BI387*(1+IFERROR(INDEX(BI$10:BI$11,Предпосылки!$J282,),0))</f>
        <v>0</v>
      </c>
      <c s="125">
        <f>BJ387*(1+IFERROR(INDEX(BJ$10:BJ$11,Предпосылки!$J282,),0))</f>
        <v>0</v>
      </c>
      <c s="125">
        <f>BK387*(1+IFERROR(INDEX(BK$10:BK$11,Предпосылки!$J282,),0))</f>
        <v>0</v>
      </c>
      <c s="125">
        <f>BL387*(1+IFERROR(INDEX(BL$10:BL$11,Предпосылки!$J282,),0))</f>
        <v>0</v>
      </c>
      <c s="125">
        <f>BM387*(1+IFERROR(INDEX(BM$10:BM$11,Предпосылки!$J282,),0))</f>
        <v>0</v>
      </c>
    </row>
    <row r="446" spans="2:65" ht="15" customHeight="1">
      <c r="B446" s="12" t="str">
        <f t="shared" si="329"/>
        <v>-</v>
      </c>
      <c s="124" t="str">
        <f t="shared" si="328"/>
        <v>тыс. руб.</v>
      </c>
      <c s="125"/>
      <c s="125">
        <f>E388*(1+IFERROR(INDEX(E$10:E$11,Предпосылки!$J283,),0))</f>
        <v>0</v>
      </c>
      <c s="125">
        <f>F388*(1+IFERROR(INDEX(F$10:F$11,Предпосылки!$J283,),0))</f>
        <v>0</v>
      </c>
      <c s="125">
        <f>G388*(1+IFERROR(INDEX(G$10:G$11,Предпосылки!$J283,),0))</f>
        <v>0</v>
      </c>
      <c s="125">
        <f>H388*(1+IFERROR(INDEX(H$10:H$11,Предпосылки!$J283,),0))</f>
        <v>0</v>
      </c>
      <c s="125">
        <f>I388*(1+IFERROR(INDEX(I$10:I$11,Предпосылки!$J283,),0))</f>
        <v>0</v>
      </c>
      <c s="125">
        <f>J388*(1+IFERROR(INDEX(J$10:J$11,Предпосылки!$J283,),0))</f>
        <v>0</v>
      </c>
      <c s="125">
        <f>K388*(1+IFERROR(INDEX(K$10:K$11,Предпосылки!$J283,),0))</f>
        <v>0</v>
      </c>
      <c s="125">
        <f>L388*(1+IFERROR(INDEX(L$10:L$11,Предпосылки!$J283,),0))</f>
        <v>0</v>
      </c>
      <c s="125">
        <f>M388*(1+IFERROR(INDEX(M$10:M$11,Предпосылки!$J283,),0))</f>
        <v>0</v>
      </c>
      <c s="125">
        <f>N388*(1+IFERROR(INDEX(N$10:N$11,Предпосылки!$J283,),0))</f>
        <v>0</v>
      </c>
      <c s="125">
        <f>O388*(1+IFERROR(INDEX(O$10:O$11,Предпосылки!$J283,),0))</f>
        <v>0</v>
      </c>
      <c s="125">
        <f>P388*(1+IFERROR(INDEX(P$10:P$11,Предпосылки!$J283,),0))</f>
        <v>0</v>
      </c>
      <c s="125">
        <f>Q388*(1+IFERROR(INDEX(Q$10:Q$11,Предпосылки!$J283,),0))</f>
        <v>0</v>
      </c>
      <c s="125">
        <f>R388*(1+IFERROR(INDEX(R$10:R$11,Предпосылки!$J283,),0))</f>
        <v>0</v>
      </c>
      <c s="125">
        <f>S388*(1+IFERROR(INDEX(S$10:S$11,Предпосылки!$J283,),0))</f>
        <v>0</v>
      </c>
      <c s="125">
        <f>T388*(1+IFERROR(INDEX(T$10:T$11,Предпосылки!$J283,),0))</f>
        <v>0</v>
      </c>
      <c s="125">
        <f>U388*(1+IFERROR(INDEX(U$10:U$11,Предпосылки!$J283,),0))</f>
        <v>0</v>
      </c>
      <c s="125">
        <f>V388*(1+IFERROR(INDEX(V$10:V$11,Предпосылки!$J283,),0))</f>
        <v>0</v>
      </c>
      <c s="125">
        <f>W388*(1+IFERROR(INDEX(W$10:W$11,Предпосылки!$J283,),0))</f>
        <v>0</v>
      </c>
      <c s="125">
        <f>X388*(1+IFERROR(INDEX(X$10:X$11,Предпосылки!$J283,),0))</f>
        <v>0</v>
      </c>
      <c s="125">
        <f>Y388*(1+IFERROR(INDEX(Y$10:Y$11,Предпосылки!$J283,),0))</f>
        <v>0</v>
      </c>
      <c s="125">
        <f>Z388*(1+IFERROR(INDEX(Z$10:Z$11,Предпосылки!$J283,),0))</f>
        <v>0</v>
      </c>
      <c s="125">
        <f>AA388*(1+IFERROR(INDEX(AA$10:AA$11,Предпосылки!$J283,),0))</f>
        <v>0</v>
      </c>
      <c s="125">
        <f>AB388*(1+IFERROR(INDEX(AB$10:AB$11,Предпосылки!$J283,),0))</f>
        <v>0</v>
      </c>
      <c s="125">
        <f>AC388*(1+IFERROR(INDEX(AC$10:AC$11,Предпосылки!$J283,),0))</f>
        <v>0</v>
      </c>
      <c s="125">
        <f>AD388*(1+IFERROR(INDEX(AD$10:AD$11,Предпосылки!$J283,),0))</f>
        <v>0</v>
      </c>
      <c s="125">
        <f>AE388*(1+IFERROR(INDEX(AE$10:AE$11,Предпосылки!$J283,),0))</f>
        <v>0</v>
      </c>
      <c s="125">
        <f>AF388*(1+IFERROR(INDEX(AF$10:AF$11,Предпосылки!$J283,),0))</f>
        <v>0</v>
      </c>
      <c s="125">
        <f>AG388*(1+IFERROR(INDEX(AG$10:AG$11,Предпосылки!$J283,),0))</f>
        <v>0</v>
      </c>
      <c s="125">
        <f>AH388*(1+IFERROR(INDEX(AH$10:AH$11,Предпосылки!$J283,),0))</f>
        <v>0</v>
      </c>
      <c s="125">
        <f>AI388*(1+IFERROR(INDEX(AI$10:AI$11,Предпосылки!$J283,),0))</f>
        <v>0</v>
      </c>
      <c s="125">
        <f>AJ388*(1+IFERROR(INDEX(AJ$10:AJ$11,Предпосылки!$J283,),0))</f>
        <v>0</v>
      </c>
      <c s="125">
        <f>AK388*(1+IFERROR(INDEX(AK$10:AK$11,Предпосылки!$J283,),0))</f>
        <v>0</v>
      </c>
      <c s="125">
        <f>AL388*(1+IFERROR(INDEX(AL$10:AL$11,Предпосылки!$J283,),0))</f>
        <v>0</v>
      </c>
      <c s="125">
        <f>AM388*(1+IFERROR(INDEX(AM$10:AM$11,Предпосылки!$J283,),0))</f>
        <v>0</v>
      </c>
      <c s="125">
        <f>AN388*(1+IFERROR(INDEX(AN$10:AN$11,Предпосылки!$J283,),0))</f>
        <v>0</v>
      </c>
      <c s="125">
        <f>AO388*(1+IFERROR(INDEX(AO$10:AO$11,Предпосылки!$J283,),0))</f>
        <v>0</v>
      </c>
      <c s="125">
        <f>AP388*(1+IFERROR(INDEX(AP$10:AP$11,Предпосылки!$J283,),0))</f>
        <v>0</v>
      </c>
      <c s="125">
        <f>AQ388*(1+IFERROR(INDEX(AQ$10:AQ$11,Предпосылки!$J283,),0))</f>
        <v>0</v>
      </c>
      <c s="125">
        <f>AR388*(1+IFERROR(INDEX(AR$10:AR$11,Предпосылки!$J283,),0))</f>
        <v>0</v>
      </c>
      <c s="125">
        <f>AS388*(1+IFERROR(INDEX(AS$10:AS$11,Предпосылки!$J283,),0))</f>
        <v>0</v>
      </c>
      <c s="125">
        <f>AT388*(1+IFERROR(INDEX(AT$10:AT$11,Предпосылки!$J283,),0))</f>
        <v>0</v>
      </c>
      <c s="125">
        <f>AU388*(1+IFERROR(INDEX(AU$10:AU$11,Предпосылки!$J283,),0))</f>
        <v>0</v>
      </c>
      <c s="125">
        <f>AV388*(1+IFERROR(INDEX(AV$10:AV$11,Предпосылки!$J283,),0))</f>
        <v>0</v>
      </c>
      <c s="125">
        <f>AW388*(1+IFERROR(INDEX(AW$10:AW$11,Предпосылки!$J283,),0))</f>
        <v>0</v>
      </c>
      <c s="125">
        <f>AX388*(1+IFERROR(INDEX(AX$10:AX$11,Предпосылки!$J283,),0))</f>
        <v>0</v>
      </c>
      <c s="125">
        <f>AY388*(1+IFERROR(INDEX(AY$10:AY$11,Предпосылки!$J283,),0))</f>
        <v>0</v>
      </c>
      <c s="125">
        <f>AZ388*(1+IFERROR(INDEX(AZ$10:AZ$11,Предпосылки!$J283,),0))</f>
        <v>0</v>
      </c>
      <c s="125">
        <f>BA388*(1+IFERROR(INDEX(BA$10:BA$11,Предпосылки!$J283,),0))</f>
        <v>0</v>
      </c>
      <c s="125">
        <f>BB388*(1+IFERROR(INDEX(BB$10:BB$11,Предпосылки!$J283,),0))</f>
        <v>0</v>
      </c>
      <c s="125">
        <f>BC388*(1+IFERROR(INDEX(BC$10:BC$11,Предпосылки!$J283,),0))</f>
        <v>0</v>
      </c>
      <c s="125">
        <f>BD388*(1+IFERROR(INDEX(BD$10:BD$11,Предпосылки!$J283,),0))</f>
        <v>0</v>
      </c>
      <c s="125">
        <f>BE388*(1+IFERROR(INDEX(BE$10:BE$11,Предпосылки!$J283,),0))</f>
        <v>0</v>
      </c>
      <c s="125">
        <f>BF388*(1+IFERROR(INDEX(BF$10:BF$11,Предпосылки!$J283,),0))</f>
        <v>0</v>
      </c>
      <c s="125">
        <f>BG388*(1+IFERROR(INDEX(BG$10:BG$11,Предпосылки!$J283,),0))</f>
        <v>0</v>
      </c>
      <c s="125">
        <f>BH388*(1+IFERROR(INDEX(BH$10:BH$11,Предпосылки!$J283,),0))</f>
        <v>0</v>
      </c>
      <c s="125">
        <f>BI388*(1+IFERROR(INDEX(BI$10:BI$11,Предпосылки!$J283,),0))</f>
        <v>0</v>
      </c>
      <c s="125">
        <f>BJ388*(1+IFERROR(INDEX(BJ$10:BJ$11,Предпосылки!$J283,),0))</f>
        <v>0</v>
      </c>
      <c s="125">
        <f>BK388*(1+IFERROR(INDEX(BK$10:BK$11,Предпосылки!$J283,),0))</f>
        <v>0</v>
      </c>
      <c s="125">
        <f>BL388*(1+IFERROR(INDEX(BL$10:BL$11,Предпосылки!$J283,),0))</f>
        <v>0</v>
      </c>
      <c s="125">
        <f>BM388*(1+IFERROR(INDEX(BM$10:BM$11,Предпосылки!$J283,),0))</f>
        <v>0</v>
      </c>
    </row>
    <row r="447" spans="2:65" ht="15" customHeight="1">
      <c r="B447" s="12" t="str">
        <f t="shared" si="329"/>
        <v>-</v>
      </c>
      <c s="124" t="str">
        <f t="shared" si="328"/>
        <v>тыс. руб.</v>
      </c>
      <c s="125"/>
      <c s="125">
        <f>E389*(1+IFERROR(INDEX(E$10:E$11,Предпосылки!$J284,),0))</f>
        <v>0</v>
      </c>
      <c s="125">
        <f>F389*(1+IFERROR(INDEX(F$10:F$11,Предпосылки!$J284,),0))</f>
        <v>0</v>
      </c>
      <c s="125">
        <f>G389*(1+IFERROR(INDEX(G$10:G$11,Предпосылки!$J284,),0))</f>
        <v>0</v>
      </c>
      <c s="125">
        <f>H389*(1+IFERROR(INDEX(H$10:H$11,Предпосылки!$J284,),0))</f>
        <v>0</v>
      </c>
      <c s="125">
        <f>I389*(1+IFERROR(INDEX(I$10:I$11,Предпосылки!$J284,),0))</f>
        <v>0</v>
      </c>
      <c s="125">
        <f>J389*(1+IFERROR(INDEX(J$10:J$11,Предпосылки!$J284,),0))</f>
        <v>0</v>
      </c>
      <c s="125">
        <f>K389*(1+IFERROR(INDEX(K$10:K$11,Предпосылки!$J284,),0))</f>
        <v>0</v>
      </c>
      <c s="125">
        <f>L389*(1+IFERROR(INDEX(L$10:L$11,Предпосылки!$J284,),0))</f>
        <v>0</v>
      </c>
      <c s="125">
        <f>M389*(1+IFERROR(INDEX(M$10:M$11,Предпосылки!$J284,),0))</f>
        <v>0</v>
      </c>
      <c s="125">
        <f>N389*(1+IFERROR(INDEX(N$10:N$11,Предпосылки!$J284,),0))</f>
        <v>0</v>
      </c>
      <c s="125">
        <f>O389*(1+IFERROR(INDEX(O$10:O$11,Предпосылки!$J284,),0))</f>
        <v>0</v>
      </c>
      <c s="125">
        <f>P389*(1+IFERROR(INDEX(P$10:P$11,Предпосылки!$J284,),0))</f>
        <v>0</v>
      </c>
      <c s="125">
        <f>Q389*(1+IFERROR(INDEX(Q$10:Q$11,Предпосылки!$J284,),0))</f>
        <v>0</v>
      </c>
      <c s="125">
        <f>R389*(1+IFERROR(INDEX(R$10:R$11,Предпосылки!$J284,),0))</f>
        <v>0</v>
      </c>
      <c s="125">
        <f>S389*(1+IFERROR(INDEX(S$10:S$11,Предпосылки!$J284,),0))</f>
        <v>0</v>
      </c>
      <c s="125">
        <f>T389*(1+IFERROR(INDEX(T$10:T$11,Предпосылки!$J284,),0))</f>
        <v>0</v>
      </c>
      <c s="125">
        <f>U389*(1+IFERROR(INDEX(U$10:U$11,Предпосылки!$J284,),0))</f>
        <v>0</v>
      </c>
      <c s="125">
        <f>V389*(1+IFERROR(INDEX(V$10:V$11,Предпосылки!$J284,),0))</f>
        <v>0</v>
      </c>
      <c s="125">
        <f>W389*(1+IFERROR(INDEX(W$10:W$11,Предпосылки!$J284,),0))</f>
        <v>0</v>
      </c>
      <c s="125">
        <f>X389*(1+IFERROR(INDEX(X$10:X$11,Предпосылки!$J284,),0))</f>
        <v>0</v>
      </c>
      <c s="125">
        <f>Y389*(1+IFERROR(INDEX(Y$10:Y$11,Предпосылки!$J284,),0))</f>
        <v>0</v>
      </c>
      <c s="125">
        <f>Z389*(1+IFERROR(INDEX(Z$10:Z$11,Предпосылки!$J284,),0))</f>
        <v>0</v>
      </c>
      <c s="125">
        <f>AA389*(1+IFERROR(INDEX(AA$10:AA$11,Предпосылки!$J284,),0))</f>
        <v>0</v>
      </c>
      <c s="125">
        <f>AB389*(1+IFERROR(INDEX(AB$10:AB$11,Предпосылки!$J284,),0))</f>
        <v>0</v>
      </c>
      <c s="125">
        <f>AC389*(1+IFERROR(INDEX(AC$10:AC$11,Предпосылки!$J284,),0))</f>
        <v>0</v>
      </c>
      <c s="125">
        <f>AD389*(1+IFERROR(INDEX(AD$10:AD$11,Предпосылки!$J284,),0))</f>
        <v>0</v>
      </c>
      <c s="125">
        <f>AE389*(1+IFERROR(INDEX(AE$10:AE$11,Предпосылки!$J284,),0))</f>
        <v>0</v>
      </c>
      <c s="125">
        <f>AF389*(1+IFERROR(INDEX(AF$10:AF$11,Предпосылки!$J284,),0))</f>
        <v>0</v>
      </c>
      <c s="125">
        <f>AG389*(1+IFERROR(INDEX(AG$10:AG$11,Предпосылки!$J284,),0))</f>
        <v>0</v>
      </c>
      <c s="125">
        <f>AH389*(1+IFERROR(INDEX(AH$10:AH$11,Предпосылки!$J284,),0))</f>
        <v>0</v>
      </c>
      <c s="125">
        <f>AI389*(1+IFERROR(INDEX(AI$10:AI$11,Предпосылки!$J284,),0))</f>
        <v>0</v>
      </c>
      <c s="125">
        <f>AJ389*(1+IFERROR(INDEX(AJ$10:AJ$11,Предпосылки!$J284,),0))</f>
        <v>0</v>
      </c>
      <c s="125">
        <f>AK389*(1+IFERROR(INDEX(AK$10:AK$11,Предпосылки!$J284,),0))</f>
        <v>0</v>
      </c>
      <c s="125">
        <f>AL389*(1+IFERROR(INDEX(AL$10:AL$11,Предпосылки!$J284,),0))</f>
        <v>0</v>
      </c>
      <c s="125">
        <f>AM389*(1+IFERROR(INDEX(AM$10:AM$11,Предпосылки!$J284,),0))</f>
        <v>0</v>
      </c>
      <c s="125">
        <f>AN389*(1+IFERROR(INDEX(AN$10:AN$11,Предпосылки!$J284,),0))</f>
        <v>0</v>
      </c>
      <c s="125">
        <f>AO389*(1+IFERROR(INDEX(AO$10:AO$11,Предпосылки!$J284,),0))</f>
        <v>0</v>
      </c>
      <c s="125">
        <f>AP389*(1+IFERROR(INDEX(AP$10:AP$11,Предпосылки!$J284,),0))</f>
        <v>0</v>
      </c>
      <c s="125">
        <f>AQ389*(1+IFERROR(INDEX(AQ$10:AQ$11,Предпосылки!$J284,),0))</f>
        <v>0</v>
      </c>
      <c s="125">
        <f>AR389*(1+IFERROR(INDEX(AR$10:AR$11,Предпосылки!$J284,),0))</f>
        <v>0</v>
      </c>
      <c s="125">
        <f>AS389*(1+IFERROR(INDEX(AS$10:AS$11,Предпосылки!$J284,),0))</f>
        <v>0</v>
      </c>
      <c s="125">
        <f>AT389*(1+IFERROR(INDEX(AT$10:AT$11,Предпосылки!$J284,),0))</f>
        <v>0</v>
      </c>
      <c s="125">
        <f>AU389*(1+IFERROR(INDEX(AU$10:AU$11,Предпосылки!$J284,),0))</f>
        <v>0</v>
      </c>
      <c s="125">
        <f>AV389*(1+IFERROR(INDEX(AV$10:AV$11,Предпосылки!$J284,),0))</f>
        <v>0</v>
      </c>
      <c s="125">
        <f>AW389*(1+IFERROR(INDEX(AW$10:AW$11,Предпосылки!$J284,),0))</f>
        <v>0</v>
      </c>
      <c s="125">
        <f>AX389*(1+IFERROR(INDEX(AX$10:AX$11,Предпосылки!$J284,),0))</f>
        <v>0</v>
      </c>
      <c s="125">
        <f>AY389*(1+IFERROR(INDEX(AY$10:AY$11,Предпосылки!$J284,),0))</f>
        <v>0</v>
      </c>
      <c s="125">
        <f>AZ389*(1+IFERROR(INDEX(AZ$10:AZ$11,Предпосылки!$J284,),0))</f>
        <v>0</v>
      </c>
      <c s="125">
        <f>BA389*(1+IFERROR(INDEX(BA$10:BA$11,Предпосылки!$J284,),0))</f>
        <v>0</v>
      </c>
      <c s="125">
        <f>BB389*(1+IFERROR(INDEX(BB$10:BB$11,Предпосылки!$J284,),0))</f>
        <v>0</v>
      </c>
      <c s="125">
        <f>BC389*(1+IFERROR(INDEX(BC$10:BC$11,Предпосылки!$J284,),0))</f>
        <v>0</v>
      </c>
      <c s="125">
        <f>BD389*(1+IFERROR(INDEX(BD$10:BD$11,Предпосылки!$J284,),0))</f>
        <v>0</v>
      </c>
      <c s="125">
        <f>BE389*(1+IFERROR(INDEX(BE$10:BE$11,Предпосылки!$J284,),0))</f>
        <v>0</v>
      </c>
      <c s="125">
        <f>BF389*(1+IFERROR(INDEX(BF$10:BF$11,Предпосылки!$J284,),0))</f>
        <v>0</v>
      </c>
      <c s="125">
        <f>BG389*(1+IFERROR(INDEX(BG$10:BG$11,Предпосылки!$J284,),0))</f>
        <v>0</v>
      </c>
      <c s="125">
        <f>BH389*(1+IFERROR(INDEX(BH$10:BH$11,Предпосылки!$J284,),0))</f>
        <v>0</v>
      </c>
      <c s="125">
        <f>BI389*(1+IFERROR(INDEX(BI$10:BI$11,Предпосылки!$J284,),0))</f>
        <v>0</v>
      </c>
      <c s="125">
        <f>BJ389*(1+IFERROR(INDEX(BJ$10:BJ$11,Предпосылки!$J284,),0))</f>
        <v>0</v>
      </c>
      <c s="125">
        <f>BK389*(1+IFERROR(INDEX(BK$10:BK$11,Предпосылки!$J284,),0))</f>
        <v>0</v>
      </c>
      <c s="125">
        <f>BL389*(1+IFERROR(INDEX(BL$10:BL$11,Предпосылки!$J284,),0))</f>
        <v>0</v>
      </c>
      <c s="125">
        <f>BM389*(1+IFERROR(INDEX(BM$10:BM$11,Предпосылки!$J284,),0))</f>
        <v>0</v>
      </c>
    </row>
    <row r="448" spans="2:65" ht="15" customHeight="1">
      <c r="B448" s="12" t="str">
        <f t="shared" si="329"/>
        <v>-</v>
      </c>
      <c s="124" t="str">
        <f t="shared" si="328"/>
        <v>тыс. руб.</v>
      </c>
      <c s="125"/>
      <c s="125">
        <f>E390*(1+IFERROR(INDEX(E$10:E$11,Предпосылки!$J285,),0))</f>
        <v>0</v>
      </c>
      <c s="125">
        <f>F390*(1+IFERROR(INDEX(F$10:F$11,Предпосылки!$J285,),0))</f>
        <v>0</v>
      </c>
      <c s="125">
        <f>G390*(1+IFERROR(INDEX(G$10:G$11,Предпосылки!$J285,),0))</f>
        <v>0</v>
      </c>
      <c s="125">
        <f>H390*(1+IFERROR(INDEX(H$10:H$11,Предпосылки!$J285,),0))</f>
        <v>0</v>
      </c>
      <c s="125">
        <f>I390*(1+IFERROR(INDEX(I$10:I$11,Предпосылки!$J285,),0))</f>
        <v>0</v>
      </c>
      <c s="125">
        <f>J390*(1+IFERROR(INDEX(J$10:J$11,Предпосылки!$J285,),0))</f>
        <v>0</v>
      </c>
      <c s="125">
        <f>K390*(1+IFERROR(INDEX(K$10:K$11,Предпосылки!$J285,),0))</f>
        <v>0</v>
      </c>
      <c s="125">
        <f>L390*(1+IFERROR(INDEX(L$10:L$11,Предпосылки!$J285,),0))</f>
        <v>0</v>
      </c>
      <c s="125">
        <f>M390*(1+IFERROR(INDEX(M$10:M$11,Предпосылки!$J285,),0))</f>
        <v>0</v>
      </c>
      <c s="125">
        <f>N390*(1+IFERROR(INDEX(N$10:N$11,Предпосылки!$J285,),0))</f>
        <v>0</v>
      </c>
      <c s="125">
        <f>O390*(1+IFERROR(INDEX(O$10:O$11,Предпосылки!$J285,),0))</f>
        <v>0</v>
      </c>
      <c s="125">
        <f>P390*(1+IFERROR(INDEX(P$10:P$11,Предпосылки!$J285,),0))</f>
        <v>0</v>
      </c>
      <c s="125">
        <f>Q390*(1+IFERROR(INDEX(Q$10:Q$11,Предпосылки!$J285,),0))</f>
        <v>0</v>
      </c>
      <c s="125">
        <f>R390*(1+IFERROR(INDEX(R$10:R$11,Предпосылки!$J285,),0))</f>
        <v>0</v>
      </c>
      <c s="125">
        <f>S390*(1+IFERROR(INDEX(S$10:S$11,Предпосылки!$J285,),0))</f>
        <v>0</v>
      </c>
      <c s="125">
        <f>T390*(1+IFERROR(INDEX(T$10:T$11,Предпосылки!$J285,),0))</f>
        <v>0</v>
      </c>
      <c s="125">
        <f>U390*(1+IFERROR(INDEX(U$10:U$11,Предпосылки!$J285,),0))</f>
        <v>0</v>
      </c>
      <c s="125">
        <f>V390*(1+IFERROR(INDEX(V$10:V$11,Предпосылки!$J285,),0))</f>
        <v>0</v>
      </c>
      <c s="125">
        <f>W390*(1+IFERROR(INDEX(W$10:W$11,Предпосылки!$J285,),0))</f>
        <v>0</v>
      </c>
      <c s="125">
        <f>X390*(1+IFERROR(INDEX(X$10:X$11,Предпосылки!$J285,),0))</f>
        <v>0</v>
      </c>
      <c s="125">
        <f>Y390*(1+IFERROR(INDEX(Y$10:Y$11,Предпосылки!$J285,),0))</f>
        <v>0</v>
      </c>
      <c s="125">
        <f>Z390*(1+IFERROR(INDEX(Z$10:Z$11,Предпосылки!$J285,),0))</f>
        <v>0</v>
      </c>
      <c s="125">
        <f>AA390*(1+IFERROR(INDEX(AA$10:AA$11,Предпосылки!$J285,),0))</f>
        <v>0</v>
      </c>
      <c s="125">
        <f>AB390*(1+IFERROR(INDEX(AB$10:AB$11,Предпосылки!$J285,),0))</f>
        <v>0</v>
      </c>
      <c s="125">
        <f>AC390*(1+IFERROR(INDEX(AC$10:AC$11,Предпосылки!$J285,),0))</f>
        <v>0</v>
      </c>
      <c s="125">
        <f>AD390*(1+IFERROR(INDEX(AD$10:AD$11,Предпосылки!$J285,),0))</f>
        <v>0</v>
      </c>
      <c s="125">
        <f>AE390*(1+IFERROR(INDEX(AE$10:AE$11,Предпосылки!$J285,),0))</f>
        <v>0</v>
      </c>
      <c s="125">
        <f>AF390*(1+IFERROR(INDEX(AF$10:AF$11,Предпосылки!$J285,),0))</f>
        <v>0</v>
      </c>
      <c s="125">
        <f>AG390*(1+IFERROR(INDEX(AG$10:AG$11,Предпосылки!$J285,),0))</f>
        <v>0</v>
      </c>
      <c s="125">
        <f>AH390*(1+IFERROR(INDEX(AH$10:AH$11,Предпосылки!$J285,),0))</f>
        <v>0</v>
      </c>
      <c s="125">
        <f>AI390*(1+IFERROR(INDEX(AI$10:AI$11,Предпосылки!$J285,),0))</f>
        <v>0</v>
      </c>
      <c s="125">
        <f>AJ390*(1+IFERROR(INDEX(AJ$10:AJ$11,Предпосылки!$J285,),0))</f>
        <v>0</v>
      </c>
      <c s="125">
        <f>AK390*(1+IFERROR(INDEX(AK$10:AK$11,Предпосылки!$J285,),0))</f>
        <v>0</v>
      </c>
      <c s="125">
        <f>AL390*(1+IFERROR(INDEX(AL$10:AL$11,Предпосылки!$J285,),0))</f>
        <v>0</v>
      </c>
      <c s="125">
        <f>AM390*(1+IFERROR(INDEX(AM$10:AM$11,Предпосылки!$J285,),0))</f>
        <v>0</v>
      </c>
      <c s="125">
        <f>AN390*(1+IFERROR(INDEX(AN$10:AN$11,Предпосылки!$J285,),0))</f>
        <v>0</v>
      </c>
      <c s="125">
        <f>AO390*(1+IFERROR(INDEX(AO$10:AO$11,Предпосылки!$J285,),0))</f>
        <v>0</v>
      </c>
      <c s="125">
        <f>AP390*(1+IFERROR(INDEX(AP$10:AP$11,Предпосылки!$J285,),0))</f>
        <v>0</v>
      </c>
      <c s="125">
        <f>AQ390*(1+IFERROR(INDEX(AQ$10:AQ$11,Предпосылки!$J285,),0))</f>
        <v>0</v>
      </c>
      <c s="125">
        <f>AR390*(1+IFERROR(INDEX(AR$10:AR$11,Предпосылки!$J285,),0))</f>
        <v>0</v>
      </c>
      <c s="125">
        <f>AS390*(1+IFERROR(INDEX(AS$10:AS$11,Предпосылки!$J285,),0))</f>
        <v>0</v>
      </c>
      <c s="125">
        <f>AT390*(1+IFERROR(INDEX(AT$10:AT$11,Предпосылки!$J285,),0))</f>
        <v>0</v>
      </c>
      <c s="125">
        <f>AU390*(1+IFERROR(INDEX(AU$10:AU$11,Предпосылки!$J285,),0))</f>
        <v>0</v>
      </c>
      <c s="125">
        <f>AV390*(1+IFERROR(INDEX(AV$10:AV$11,Предпосылки!$J285,),0))</f>
        <v>0</v>
      </c>
      <c s="125">
        <f>AW390*(1+IFERROR(INDEX(AW$10:AW$11,Предпосылки!$J285,),0))</f>
        <v>0</v>
      </c>
      <c s="125">
        <f>AX390*(1+IFERROR(INDEX(AX$10:AX$11,Предпосылки!$J285,),0))</f>
        <v>0</v>
      </c>
      <c s="125">
        <f>AY390*(1+IFERROR(INDEX(AY$10:AY$11,Предпосылки!$J285,),0))</f>
        <v>0</v>
      </c>
      <c s="125">
        <f>AZ390*(1+IFERROR(INDEX(AZ$10:AZ$11,Предпосылки!$J285,),0))</f>
        <v>0</v>
      </c>
      <c s="125">
        <f>BA390*(1+IFERROR(INDEX(BA$10:BA$11,Предпосылки!$J285,),0))</f>
        <v>0</v>
      </c>
      <c s="125">
        <f>BB390*(1+IFERROR(INDEX(BB$10:BB$11,Предпосылки!$J285,),0))</f>
        <v>0</v>
      </c>
      <c s="125">
        <f>BC390*(1+IFERROR(INDEX(BC$10:BC$11,Предпосылки!$J285,),0))</f>
        <v>0</v>
      </c>
      <c s="125">
        <f>BD390*(1+IFERROR(INDEX(BD$10:BD$11,Предпосылки!$J285,),0))</f>
        <v>0</v>
      </c>
      <c s="125">
        <f>BE390*(1+IFERROR(INDEX(BE$10:BE$11,Предпосылки!$J285,),0))</f>
        <v>0</v>
      </c>
      <c s="125">
        <f>BF390*(1+IFERROR(INDEX(BF$10:BF$11,Предпосылки!$J285,),0))</f>
        <v>0</v>
      </c>
      <c s="125">
        <f>BG390*(1+IFERROR(INDEX(BG$10:BG$11,Предпосылки!$J285,),0))</f>
        <v>0</v>
      </c>
      <c s="125">
        <f>BH390*(1+IFERROR(INDEX(BH$10:BH$11,Предпосылки!$J285,),0))</f>
        <v>0</v>
      </c>
      <c s="125">
        <f>BI390*(1+IFERROR(INDEX(BI$10:BI$11,Предпосылки!$J285,),0))</f>
        <v>0</v>
      </c>
      <c s="125">
        <f>BJ390*(1+IFERROR(INDEX(BJ$10:BJ$11,Предпосылки!$J285,),0))</f>
        <v>0</v>
      </c>
      <c s="125">
        <f>BK390*(1+IFERROR(INDEX(BK$10:BK$11,Предпосылки!$J285,),0))</f>
        <v>0</v>
      </c>
      <c s="125">
        <f>BL390*(1+IFERROR(INDEX(BL$10:BL$11,Предпосылки!$J285,),0))</f>
        <v>0</v>
      </c>
      <c s="125">
        <f>BM390*(1+IFERROR(INDEX(BM$10:BM$11,Предпосылки!$J285,),0))</f>
        <v>0</v>
      </c>
    </row>
    <row r="449" spans="2:65" ht="15" customHeight="1">
      <c r="B449" s="12" t="str">
        <f t="shared" si="329"/>
        <v>-</v>
      </c>
      <c s="124" t="str">
        <f t="shared" si="328"/>
        <v>тыс. руб.</v>
      </c>
      <c s="125"/>
      <c s="125">
        <f>E391*(1+IFERROR(INDEX(E$10:E$11,Предпосылки!$J286,),0))</f>
        <v>0</v>
      </c>
      <c s="125">
        <f>F391*(1+IFERROR(INDEX(F$10:F$11,Предпосылки!$J286,),0))</f>
        <v>0</v>
      </c>
      <c s="125">
        <f>G391*(1+IFERROR(INDEX(G$10:G$11,Предпосылки!$J286,),0))</f>
        <v>0</v>
      </c>
      <c s="125">
        <f>H391*(1+IFERROR(INDEX(H$10:H$11,Предпосылки!$J286,),0))</f>
        <v>0</v>
      </c>
      <c s="125">
        <f>I391*(1+IFERROR(INDEX(I$10:I$11,Предпосылки!$J286,),0))</f>
        <v>0</v>
      </c>
      <c s="125">
        <f>J391*(1+IFERROR(INDEX(J$10:J$11,Предпосылки!$J286,),0))</f>
        <v>0</v>
      </c>
      <c s="125">
        <f>K391*(1+IFERROR(INDEX(K$10:K$11,Предпосылки!$J286,),0))</f>
        <v>0</v>
      </c>
      <c s="125">
        <f>L391*(1+IFERROR(INDEX(L$10:L$11,Предпосылки!$J286,),0))</f>
        <v>0</v>
      </c>
      <c s="125">
        <f>M391*(1+IFERROR(INDEX(M$10:M$11,Предпосылки!$J286,),0))</f>
        <v>0</v>
      </c>
      <c s="125">
        <f>N391*(1+IFERROR(INDEX(N$10:N$11,Предпосылки!$J286,),0))</f>
        <v>0</v>
      </c>
      <c s="125">
        <f>O391*(1+IFERROR(INDEX(O$10:O$11,Предпосылки!$J286,),0))</f>
        <v>0</v>
      </c>
      <c s="125">
        <f>P391*(1+IFERROR(INDEX(P$10:P$11,Предпосылки!$J286,),0))</f>
        <v>0</v>
      </c>
      <c s="125">
        <f>Q391*(1+IFERROR(INDEX(Q$10:Q$11,Предпосылки!$J286,),0))</f>
        <v>0</v>
      </c>
      <c s="125">
        <f>R391*(1+IFERROR(INDEX(R$10:R$11,Предпосылки!$J286,),0))</f>
        <v>0</v>
      </c>
      <c s="125">
        <f>S391*(1+IFERROR(INDEX(S$10:S$11,Предпосылки!$J286,),0))</f>
        <v>0</v>
      </c>
      <c s="125">
        <f>T391*(1+IFERROR(INDEX(T$10:T$11,Предпосылки!$J286,),0))</f>
        <v>0</v>
      </c>
      <c s="125">
        <f>U391*(1+IFERROR(INDEX(U$10:U$11,Предпосылки!$J286,),0))</f>
        <v>0</v>
      </c>
      <c s="125">
        <f>V391*(1+IFERROR(INDEX(V$10:V$11,Предпосылки!$J286,),0))</f>
        <v>0</v>
      </c>
      <c s="125">
        <f>W391*(1+IFERROR(INDEX(W$10:W$11,Предпосылки!$J286,),0))</f>
        <v>0</v>
      </c>
      <c s="125">
        <f>X391*(1+IFERROR(INDEX(X$10:X$11,Предпосылки!$J286,),0))</f>
        <v>0</v>
      </c>
      <c s="125">
        <f>Y391*(1+IFERROR(INDEX(Y$10:Y$11,Предпосылки!$J286,),0))</f>
        <v>0</v>
      </c>
      <c s="125">
        <f>Z391*(1+IFERROR(INDEX(Z$10:Z$11,Предпосылки!$J286,),0))</f>
        <v>0</v>
      </c>
      <c s="125">
        <f>AA391*(1+IFERROR(INDEX(AA$10:AA$11,Предпосылки!$J286,),0))</f>
        <v>0</v>
      </c>
      <c s="125">
        <f>AB391*(1+IFERROR(INDEX(AB$10:AB$11,Предпосылки!$J286,),0))</f>
        <v>0</v>
      </c>
      <c s="125">
        <f>AC391*(1+IFERROR(INDEX(AC$10:AC$11,Предпосылки!$J286,),0))</f>
        <v>0</v>
      </c>
      <c s="125">
        <f>AD391*(1+IFERROR(INDEX(AD$10:AD$11,Предпосылки!$J286,),0))</f>
        <v>0</v>
      </c>
      <c s="125">
        <f>AE391*(1+IFERROR(INDEX(AE$10:AE$11,Предпосылки!$J286,),0))</f>
        <v>0</v>
      </c>
      <c s="125">
        <f>AF391*(1+IFERROR(INDEX(AF$10:AF$11,Предпосылки!$J286,),0))</f>
        <v>0</v>
      </c>
      <c s="125">
        <f>AG391*(1+IFERROR(INDEX(AG$10:AG$11,Предпосылки!$J286,),0))</f>
        <v>0</v>
      </c>
      <c s="125">
        <f>AH391*(1+IFERROR(INDEX(AH$10:AH$11,Предпосылки!$J286,),0))</f>
        <v>0</v>
      </c>
      <c s="125">
        <f>AI391*(1+IFERROR(INDEX(AI$10:AI$11,Предпосылки!$J286,),0))</f>
        <v>0</v>
      </c>
      <c s="125">
        <f>AJ391*(1+IFERROR(INDEX(AJ$10:AJ$11,Предпосылки!$J286,),0))</f>
        <v>0</v>
      </c>
      <c s="125">
        <f>AK391*(1+IFERROR(INDEX(AK$10:AK$11,Предпосылки!$J286,),0))</f>
        <v>0</v>
      </c>
      <c s="125">
        <f>AL391*(1+IFERROR(INDEX(AL$10:AL$11,Предпосылки!$J286,),0))</f>
        <v>0</v>
      </c>
      <c s="125">
        <f>AM391*(1+IFERROR(INDEX(AM$10:AM$11,Предпосылки!$J286,),0))</f>
        <v>0</v>
      </c>
      <c s="125">
        <f>AN391*(1+IFERROR(INDEX(AN$10:AN$11,Предпосылки!$J286,),0))</f>
        <v>0</v>
      </c>
      <c s="125">
        <f>AO391*(1+IFERROR(INDEX(AO$10:AO$11,Предпосылки!$J286,),0))</f>
        <v>0</v>
      </c>
      <c s="125">
        <f>AP391*(1+IFERROR(INDEX(AP$10:AP$11,Предпосылки!$J286,),0))</f>
        <v>0</v>
      </c>
      <c s="125">
        <f>AQ391*(1+IFERROR(INDEX(AQ$10:AQ$11,Предпосылки!$J286,),0))</f>
        <v>0</v>
      </c>
      <c s="125">
        <f>AR391*(1+IFERROR(INDEX(AR$10:AR$11,Предпосылки!$J286,),0))</f>
        <v>0</v>
      </c>
      <c s="125">
        <f>AS391*(1+IFERROR(INDEX(AS$10:AS$11,Предпосылки!$J286,),0))</f>
        <v>0</v>
      </c>
      <c s="125">
        <f>AT391*(1+IFERROR(INDEX(AT$10:AT$11,Предпосылки!$J286,),0))</f>
        <v>0</v>
      </c>
      <c s="125">
        <f>AU391*(1+IFERROR(INDEX(AU$10:AU$11,Предпосылки!$J286,),0))</f>
        <v>0</v>
      </c>
      <c s="125">
        <f>AV391*(1+IFERROR(INDEX(AV$10:AV$11,Предпосылки!$J286,),0))</f>
        <v>0</v>
      </c>
      <c s="125">
        <f>AW391*(1+IFERROR(INDEX(AW$10:AW$11,Предпосылки!$J286,),0))</f>
        <v>0</v>
      </c>
      <c s="125">
        <f>AX391*(1+IFERROR(INDEX(AX$10:AX$11,Предпосылки!$J286,),0))</f>
        <v>0</v>
      </c>
      <c s="125">
        <f>AY391*(1+IFERROR(INDEX(AY$10:AY$11,Предпосылки!$J286,),0))</f>
        <v>0</v>
      </c>
      <c s="125">
        <f>AZ391*(1+IFERROR(INDEX(AZ$10:AZ$11,Предпосылки!$J286,),0))</f>
        <v>0</v>
      </c>
      <c s="125">
        <f>BA391*(1+IFERROR(INDEX(BA$10:BA$11,Предпосылки!$J286,),0))</f>
        <v>0</v>
      </c>
      <c s="125">
        <f>BB391*(1+IFERROR(INDEX(BB$10:BB$11,Предпосылки!$J286,),0))</f>
        <v>0</v>
      </c>
      <c s="125">
        <f>BC391*(1+IFERROR(INDEX(BC$10:BC$11,Предпосылки!$J286,),0))</f>
        <v>0</v>
      </c>
      <c s="125">
        <f>BD391*(1+IFERROR(INDEX(BD$10:BD$11,Предпосылки!$J286,),0))</f>
        <v>0</v>
      </c>
      <c s="125">
        <f>BE391*(1+IFERROR(INDEX(BE$10:BE$11,Предпосылки!$J286,),0))</f>
        <v>0</v>
      </c>
      <c s="125">
        <f>BF391*(1+IFERROR(INDEX(BF$10:BF$11,Предпосылки!$J286,),0))</f>
        <v>0</v>
      </c>
      <c s="125">
        <f>BG391*(1+IFERROR(INDEX(BG$10:BG$11,Предпосылки!$J286,),0))</f>
        <v>0</v>
      </c>
      <c s="125">
        <f>BH391*(1+IFERROR(INDEX(BH$10:BH$11,Предпосылки!$J286,),0))</f>
        <v>0</v>
      </c>
      <c s="125">
        <f>BI391*(1+IFERROR(INDEX(BI$10:BI$11,Предпосылки!$J286,),0))</f>
        <v>0</v>
      </c>
      <c s="125">
        <f>BJ391*(1+IFERROR(INDEX(BJ$10:BJ$11,Предпосылки!$J286,),0))</f>
        <v>0</v>
      </c>
      <c s="125">
        <f>BK391*(1+IFERROR(INDEX(BK$10:BK$11,Предпосылки!$J286,),0))</f>
        <v>0</v>
      </c>
      <c s="125">
        <f>BL391*(1+IFERROR(INDEX(BL$10:BL$11,Предпосылки!$J286,),0))</f>
        <v>0</v>
      </c>
      <c s="125">
        <f>BM391*(1+IFERROR(INDEX(BM$10:BM$11,Предпосылки!$J286,),0))</f>
        <v>0</v>
      </c>
    </row>
    <row r="450" spans="2:65" ht="15" customHeight="1">
      <c r="B450" s="12" t="str">
        <f t="shared" si="329"/>
        <v>-</v>
      </c>
      <c s="124" t="str">
        <f t="shared" si="328"/>
        <v>тыс. руб.</v>
      </c>
      <c s="125"/>
      <c s="125">
        <f>E392*(1+IFERROR(INDEX(E$10:E$11,Предпосылки!$J287,),0))</f>
        <v>0</v>
      </c>
      <c s="125">
        <f>F392*(1+IFERROR(INDEX(F$10:F$11,Предпосылки!$J287,),0))</f>
        <v>0</v>
      </c>
      <c s="125">
        <f>G392*(1+IFERROR(INDEX(G$10:G$11,Предпосылки!$J287,),0))</f>
        <v>0</v>
      </c>
      <c s="125">
        <f>H392*(1+IFERROR(INDEX(H$10:H$11,Предпосылки!$J287,),0))</f>
        <v>0</v>
      </c>
      <c s="125">
        <f>I392*(1+IFERROR(INDEX(I$10:I$11,Предпосылки!$J287,),0))</f>
        <v>0</v>
      </c>
      <c s="125">
        <f>J392*(1+IFERROR(INDEX(J$10:J$11,Предпосылки!$J287,),0))</f>
        <v>0</v>
      </c>
      <c s="125">
        <f>K392*(1+IFERROR(INDEX(K$10:K$11,Предпосылки!$J287,),0))</f>
        <v>0</v>
      </c>
      <c s="125">
        <f>L392*(1+IFERROR(INDEX(L$10:L$11,Предпосылки!$J287,),0))</f>
        <v>0</v>
      </c>
      <c s="125">
        <f>M392*(1+IFERROR(INDEX(M$10:M$11,Предпосылки!$J287,),0))</f>
        <v>0</v>
      </c>
      <c s="125">
        <f>N392*(1+IFERROR(INDEX(N$10:N$11,Предпосылки!$J287,),0))</f>
        <v>0</v>
      </c>
      <c s="125">
        <f>O392*(1+IFERROR(INDEX(O$10:O$11,Предпосылки!$J287,),0))</f>
        <v>0</v>
      </c>
      <c s="125">
        <f>P392*(1+IFERROR(INDEX(P$10:P$11,Предпосылки!$J287,),0))</f>
        <v>0</v>
      </c>
      <c s="125">
        <f>Q392*(1+IFERROR(INDEX(Q$10:Q$11,Предпосылки!$J287,),0))</f>
        <v>0</v>
      </c>
      <c s="125">
        <f>R392*(1+IFERROR(INDEX(R$10:R$11,Предпосылки!$J287,),0))</f>
        <v>0</v>
      </c>
      <c s="125">
        <f>S392*(1+IFERROR(INDEX(S$10:S$11,Предпосылки!$J287,),0))</f>
        <v>0</v>
      </c>
      <c s="125">
        <f>T392*(1+IFERROR(INDEX(T$10:T$11,Предпосылки!$J287,),0))</f>
        <v>0</v>
      </c>
      <c s="125">
        <f>U392*(1+IFERROR(INDEX(U$10:U$11,Предпосылки!$J287,),0))</f>
        <v>0</v>
      </c>
      <c s="125">
        <f>V392*(1+IFERROR(INDEX(V$10:V$11,Предпосылки!$J287,),0))</f>
        <v>0</v>
      </c>
      <c s="125">
        <f>W392*(1+IFERROR(INDEX(W$10:W$11,Предпосылки!$J287,),0))</f>
        <v>0</v>
      </c>
      <c s="125">
        <f>X392*(1+IFERROR(INDEX(X$10:X$11,Предпосылки!$J287,),0))</f>
        <v>0</v>
      </c>
      <c s="125">
        <f>Y392*(1+IFERROR(INDEX(Y$10:Y$11,Предпосылки!$J287,),0))</f>
        <v>0</v>
      </c>
      <c s="125">
        <f>Z392*(1+IFERROR(INDEX(Z$10:Z$11,Предпосылки!$J287,),0))</f>
        <v>0</v>
      </c>
      <c s="125">
        <f>AA392*(1+IFERROR(INDEX(AA$10:AA$11,Предпосылки!$J287,),0))</f>
        <v>0</v>
      </c>
      <c s="125">
        <f>AB392*(1+IFERROR(INDEX(AB$10:AB$11,Предпосылки!$J287,),0))</f>
        <v>0</v>
      </c>
      <c s="125">
        <f>AC392*(1+IFERROR(INDEX(AC$10:AC$11,Предпосылки!$J287,),0))</f>
        <v>0</v>
      </c>
      <c s="125">
        <f>AD392*(1+IFERROR(INDEX(AD$10:AD$11,Предпосылки!$J287,),0))</f>
        <v>0</v>
      </c>
      <c s="125">
        <f>AE392*(1+IFERROR(INDEX(AE$10:AE$11,Предпосылки!$J287,),0))</f>
        <v>0</v>
      </c>
      <c s="125">
        <f>AF392*(1+IFERROR(INDEX(AF$10:AF$11,Предпосылки!$J287,),0))</f>
        <v>0</v>
      </c>
      <c s="125">
        <f>AG392*(1+IFERROR(INDEX(AG$10:AG$11,Предпосылки!$J287,),0))</f>
        <v>0</v>
      </c>
      <c s="125">
        <f>AH392*(1+IFERROR(INDEX(AH$10:AH$11,Предпосылки!$J287,),0))</f>
        <v>0</v>
      </c>
      <c s="125">
        <f>AI392*(1+IFERROR(INDEX(AI$10:AI$11,Предпосылки!$J287,),0))</f>
        <v>0</v>
      </c>
      <c s="125">
        <f>AJ392*(1+IFERROR(INDEX(AJ$10:AJ$11,Предпосылки!$J287,),0))</f>
        <v>0</v>
      </c>
      <c s="125">
        <f>AK392*(1+IFERROR(INDEX(AK$10:AK$11,Предпосылки!$J287,),0))</f>
        <v>0</v>
      </c>
      <c s="125">
        <f>AL392*(1+IFERROR(INDEX(AL$10:AL$11,Предпосылки!$J287,),0))</f>
        <v>0</v>
      </c>
      <c s="125">
        <f>AM392*(1+IFERROR(INDEX(AM$10:AM$11,Предпосылки!$J287,),0))</f>
        <v>0</v>
      </c>
      <c s="125">
        <f>AN392*(1+IFERROR(INDEX(AN$10:AN$11,Предпосылки!$J287,),0))</f>
        <v>0</v>
      </c>
      <c s="125">
        <f>AO392*(1+IFERROR(INDEX(AO$10:AO$11,Предпосылки!$J287,),0))</f>
        <v>0</v>
      </c>
      <c s="125">
        <f>AP392*(1+IFERROR(INDEX(AP$10:AP$11,Предпосылки!$J287,),0))</f>
        <v>0</v>
      </c>
      <c s="125">
        <f>AQ392*(1+IFERROR(INDEX(AQ$10:AQ$11,Предпосылки!$J287,),0))</f>
        <v>0</v>
      </c>
      <c s="125">
        <f>AR392*(1+IFERROR(INDEX(AR$10:AR$11,Предпосылки!$J287,),0))</f>
        <v>0</v>
      </c>
      <c s="125">
        <f>AS392*(1+IFERROR(INDEX(AS$10:AS$11,Предпосылки!$J287,),0))</f>
        <v>0</v>
      </c>
      <c s="125">
        <f>AT392*(1+IFERROR(INDEX(AT$10:AT$11,Предпосылки!$J287,),0))</f>
        <v>0</v>
      </c>
      <c s="125">
        <f>AU392*(1+IFERROR(INDEX(AU$10:AU$11,Предпосылки!$J287,),0))</f>
        <v>0</v>
      </c>
      <c s="125">
        <f>AV392*(1+IFERROR(INDEX(AV$10:AV$11,Предпосылки!$J287,),0))</f>
        <v>0</v>
      </c>
      <c s="125">
        <f>AW392*(1+IFERROR(INDEX(AW$10:AW$11,Предпосылки!$J287,),0))</f>
        <v>0</v>
      </c>
      <c s="125">
        <f>AX392*(1+IFERROR(INDEX(AX$10:AX$11,Предпосылки!$J287,),0))</f>
        <v>0</v>
      </c>
      <c s="125">
        <f>AY392*(1+IFERROR(INDEX(AY$10:AY$11,Предпосылки!$J287,),0))</f>
        <v>0</v>
      </c>
      <c s="125">
        <f>AZ392*(1+IFERROR(INDEX(AZ$10:AZ$11,Предпосылки!$J287,),0))</f>
        <v>0</v>
      </c>
      <c s="125">
        <f>BA392*(1+IFERROR(INDEX(BA$10:BA$11,Предпосылки!$J287,),0))</f>
        <v>0</v>
      </c>
      <c s="125">
        <f>BB392*(1+IFERROR(INDEX(BB$10:BB$11,Предпосылки!$J287,),0))</f>
        <v>0</v>
      </c>
      <c s="125">
        <f>BC392*(1+IFERROR(INDEX(BC$10:BC$11,Предпосылки!$J287,),0))</f>
        <v>0</v>
      </c>
      <c s="125">
        <f>BD392*(1+IFERROR(INDEX(BD$10:BD$11,Предпосылки!$J287,),0))</f>
        <v>0</v>
      </c>
      <c s="125">
        <f>BE392*(1+IFERROR(INDEX(BE$10:BE$11,Предпосылки!$J287,),0))</f>
        <v>0</v>
      </c>
      <c s="125">
        <f>BF392*(1+IFERROR(INDEX(BF$10:BF$11,Предпосылки!$J287,),0))</f>
        <v>0</v>
      </c>
      <c s="125">
        <f>BG392*(1+IFERROR(INDEX(BG$10:BG$11,Предпосылки!$J287,),0))</f>
        <v>0</v>
      </c>
      <c s="125">
        <f>BH392*(1+IFERROR(INDEX(BH$10:BH$11,Предпосылки!$J287,),0))</f>
        <v>0</v>
      </c>
      <c s="125">
        <f>BI392*(1+IFERROR(INDEX(BI$10:BI$11,Предпосылки!$J287,),0))</f>
        <v>0</v>
      </c>
      <c s="125">
        <f>BJ392*(1+IFERROR(INDEX(BJ$10:BJ$11,Предпосылки!$J287,),0))</f>
        <v>0</v>
      </c>
      <c s="125">
        <f>BK392*(1+IFERROR(INDEX(BK$10:BK$11,Предпосылки!$J287,),0))</f>
        <v>0</v>
      </c>
      <c s="125">
        <f>BL392*(1+IFERROR(INDEX(BL$10:BL$11,Предпосылки!$J287,),0))</f>
        <v>0</v>
      </c>
      <c s="125">
        <f>BM392*(1+IFERROR(INDEX(BM$10:BM$11,Предпосылки!$J287,),0))</f>
        <v>0</v>
      </c>
    </row>
    <row r="451" spans="2:65" ht="15" customHeight="1">
      <c r="B451" s="12" t="str">
        <f t="shared" si="329"/>
        <v>-</v>
      </c>
      <c s="124" t="str">
        <f t="shared" si="328"/>
        <v>тыс. руб.</v>
      </c>
      <c s="125"/>
      <c s="125">
        <f>E393*(1+IFERROR(INDEX(E$10:E$11,Предпосылки!$J288,),0))</f>
        <v>0</v>
      </c>
      <c s="125">
        <f>F393*(1+IFERROR(INDEX(F$10:F$11,Предпосылки!$J288,),0))</f>
        <v>0</v>
      </c>
      <c s="125">
        <f>G393*(1+IFERROR(INDEX(G$10:G$11,Предпосылки!$J288,),0))</f>
        <v>0</v>
      </c>
      <c s="125">
        <f>H393*(1+IFERROR(INDEX(H$10:H$11,Предпосылки!$J288,),0))</f>
        <v>0</v>
      </c>
      <c s="125">
        <f>I393*(1+IFERROR(INDEX(I$10:I$11,Предпосылки!$J288,),0))</f>
        <v>0</v>
      </c>
      <c s="125">
        <f>J393*(1+IFERROR(INDEX(J$10:J$11,Предпосылки!$J288,),0))</f>
        <v>0</v>
      </c>
      <c s="125">
        <f>K393*(1+IFERROR(INDEX(K$10:K$11,Предпосылки!$J288,),0))</f>
        <v>0</v>
      </c>
      <c s="125">
        <f>L393*(1+IFERROR(INDEX(L$10:L$11,Предпосылки!$J288,),0))</f>
        <v>0</v>
      </c>
      <c s="125">
        <f>M393*(1+IFERROR(INDEX(M$10:M$11,Предпосылки!$J288,),0))</f>
        <v>0</v>
      </c>
      <c s="125">
        <f>N393*(1+IFERROR(INDEX(N$10:N$11,Предпосылки!$J288,),0))</f>
        <v>0</v>
      </c>
      <c s="125">
        <f>O393*(1+IFERROR(INDEX(O$10:O$11,Предпосылки!$J288,),0))</f>
        <v>0</v>
      </c>
      <c s="125">
        <f>P393*(1+IFERROR(INDEX(P$10:P$11,Предпосылки!$J288,),0))</f>
        <v>0</v>
      </c>
      <c s="125">
        <f>Q393*(1+IFERROR(INDEX(Q$10:Q$11,Предпосылки!$J288,),0))</f>
        <v>0</v>
      </c>
      <c s="125">
        <f>R393*(1+IFERROR(INDEX(R$10:R$11,Предпосылки!$J288,),0))</f>
        <v>0</v>
      </c>
      <c s="125">
        <f>S393*(1+IFERROR(INDEX(S$10:S$11,Предпосылки!$J288,),0))</f>
        <v>0</v>
      </c>
      <c s="125">
        <f>T393*(1+IFERROR(INDEX(T$10:T$11,Предпосылки!$J288,),0))</f>
        <v>0</v>
      </c>
      <c s="125">
        <f>U393*(1+IFERROR(INDEX(U$10:U$11,Предпосылки!$J288,),0))</f>
        <v>0</v>
      </c>
      <c s="125">
        <f>V393*(1+IFERROR(INDEX(V$10:V$11,Предпосылки!$J288,),0))</f>
        <v>0</v>
      </c>
      <c s="125">
        <f>W393*(1+IFERROR(INDEX(W$10:W$11,Предпосылки!$J288,),0))</f>
        <v>0</v>
      </c>
      <c s="125">
        <f>X393*(1+IFERROR(INDEX(X$10:X$11,Предпосылки!$J288,),0))</f>
        <v>0</v>
      </c>
      <c s="125">
        <f>Y393*(1+IFERROR(INDEX(Y$10:Y$11,Предпосылки!$J288,),0))</f>
        <v>0</v>
      </c>
      <c s="125">
        <f>Z393*(1+IFERROR(INDEX(Z$10:Z$11,Предпосылки!$J288,),0))</f>
        <v>0</v>
      </c>
      <c s="125">
        <f>AA393*(1+IFERROR(INDEX(AA$10:AA$11,Предпосылки!$J288,),0))</f>
        <v>0</v>
      </c>
      <c s="125">
        <f>AB393*(1+IFERROR(INDEX(AB$10:AB$11,Предпосылки!$J288,),0))</f>
        <v>0</v>
      </c>
      <c s="125">
        <f>AC393*(1+IFERROR(INDEX(AC$10:AC$11,Предпосылки!$J288,),0))</f>
        <v>0</v>
      </c>
      <c s="125">
        <f>AD393*(1+IFERROR(INDEX(AD$10:AD$11,Предпосылки!$J288,),0))</f>
        <v>0</v>
      </c>
      <c s="125">
        <f>AE393*(1+IFERROR(INDEX(AE$10:AE$11,Предпосылки!$J288,),0))</f>
        <v>0</v>
      </c>
      <c s="125">
        <f>AF393*(1+IFERROR(INDEX(AF$10:AF$11,Предпосылки!$J288,),0))</f>
        <v>0</v>
      </c>
      <c s="125">
        <f>AG393*(1+IFERROR(INDEX(AG$10:AG$11,Предпосылки!$J288,),0))</f>
        <v>0</v>
      </c>
      <c s="125">
        <f>AH393*(1+IFERROR(INDEX(AH$10:AH$11,Предпосылки!$J288,),0))</f>
        <v>0</v>
      </c>
      <c s="125">
        <f>AI393*(1+IFERROR(INDEX(AI$10:AI$11,Предпосылки!$J288,),0))</f>
        <v>0</v>
      </c>
      <c s="125">
        <f>AJ393*(1+IFERROR(INDEX(AJ$10:AJ$11,Предпосылки!$J288,),0))</f>
        <v>0</v>
      </c>
      <c s="125">
        <f>AK393*(1+IFERROR(INDEX(AK$10:AK$11,Предпосылки!$J288,),0))</f>
        <v>0</v>
      </c>
      <c s="125">
        <f>AL393*(1+IFERROR(INDEX(AL$10:AL$11,Предпосылки!$J288,),0))</f>
        <v>0</v>
      </c>
      <c s="125">
        <f>AM393*(1+IFERROR(INDEX(AM$10:AM$11,Предпосылки!$J288,),0))</f>
        <v>0</v>
      </c>
      <c s="125">
        <f>AN393*(1+IFERROR(INDEX(AN$10:AN$11,Предпосылки!$J288,),0))</f>
        <v>0</v>
      </c>
      <c s="125">
        <f>AO393*(1+IFERROR(INDEX(AO$10:AO$11,Предпосылки!$J288,),0))</f>
        <v>0</v>
      </c>
      <c s="125">
        <f>AP393*(1+IFERROR(INDEX(AP$10:AP$11,Предпосылки!$J288,),0))</f>
        <v>0</v>
      </c>
      <c s="125">
        <f>AQ393*(1+IFERROR(INDEX(AQ$10:AQ$11,Предпосылки!$J288,),0))</f>
        <v>0</v>
      </c>
      <c s="125">
        <f>AR393*(1+IFERROR(INDEX(AR$10:AR$11,Предпосылки!$J288,),0))</f>
        <v>0</v>
      </c>
      <c s="125">
        <f>AS393*(1+IFERROR(INDEX(AS$10:AS$11,Предпосылки!$J288,),0))</f>
        <v>0</v>
      </c>
      <c s="125">
        <f>AT393*(1+IFERROR(INDEX(AT$10:AT$11,Предпосылки!$J288,),0))</f>
        <v>0</v>
      </c>
      <c s="125">
        <f>AU393*(1+IFERROR(INDEX(AU$10:AU$11,Предпосылки!$J288,),0))</f>
        <v>0</v>
      </c>
      <c s="125">
        <f>AV393*(1+IFERROR(INDEX(AV$10:AV$11,Предпосылки!$J288,),0))</f>
        <v>0</v>
      </c>
      <c s="125">
        <f>AW393*(1+IFERROR(INDEX(AW$10:AW$11,Предпосылки!$J288,),0))</f>
        <v>0</v>
      </c>
      <c s="125">
        <f>AX393*(1+IFERROR(INDEX(AX$10:AX$11,Предпосылки!$J288,),0))</f>
        <v>0</v>
      </c>
      <c s="125">
        <f>AY393*(1+IFERROR(INDEX(AY$10:AY$11,Предпосылки!$J288,),0))</f>
        <v>0</v>
      </c>
      <c s="125">
        <f>AZ393*(1+IFERROR(INDEX(AZ$10:AZ$11,Предпосылки!$J288,),0))</f>
        <v>0</v>
      </c>
      <c s="125">
        <f>BA393*(1+IFERROR(INDEX(BA$10:BA$11,Предпосылки!$J288,),0))</f>
        <v>0</v>
      </c>
      <c s="125">
        <f>BB393*(1+IFERROR(INDEX(BB$10:BB$11,Предпосылки!$J288,),0))</f>
        <v>0</v>
      </c>
      <c s="125">
        <f>BC393*(1+IFERROR(INDEX(BC$10:BC$11,Предпосылки!$J288,),0))</f>
        <v>0</v>
      </c>
      <c s="125">
        <f>BD393*(1+IFERROR(INDEX(BD$10:BD$11,Предпосылки!$J288,),0))</f>
        <v>0</v>
      </c>
      <c s="125">
        <f>BE393*(1+IFERROR(INDEX(BE$10:BE$11,Предпосылки!$J288,),0))</f>
        <v>0</v>
      </c>
      <c s="125">
        <f>BF393*(1+IFERROR(INDEX(BF$10:BF$11,Предпосылки!$J288,),0))</f>
        <v>0</v>
      </c>
      <c s="125">
        <f>BG393*(1+IFERROR(INDEX(BG$10:BG$11,Предпосылки!$J288,),0))</f>
        <v>0</v>
      </c>
      <c s="125">
        <f>BH393*(1+IFERROR(INDEX(BH$10:BH$11,Предпосылки!$J288,),0))</f>
        <v>0</v>
      </c>
      <c s="125">
        <f>BI393*(1+IFERROR(INDEX(BI$10:BI$11,Предпосылки!$J288,),0))</f>
        <v>0</v>
      </c>
      <c s="125">
        <f>BJ393*(1+IFERROR(INDEX(BJ$10:BJ$11,Предпосылки!$J288,),0))</f>
        <v>0</v>
      </c>
      <c s="125">
        <f>BK393*(1+IFERROR(INDEX(BK$10:BK$11,Предпосылки!$J288,),0))</f>
        <v>0</v>
      </c>
      <c s="125">
        <f>BL393*(1+IFERROR(INDEX(BL$10:BL$11,Предпосылки!$J288,),0))</f>
        <v>0</v>
      </c>
      <c s="125">
        <f>BM393*(1+IFERROR(INDEX(BM$10:BM$11,Предпосылки!$J288,),0))</f>
        <v>0</v>
      </c>
    </row>
    <row r="452" spans="2:65" ht="15" customHeight="1">
      <c r="B452" s="12" t="str">
        <f t="shared" si="329"/>
        <v>-</v>
      </c>
      <c s="124" t="str">
        <f t="shared" si="328"/>
        <v>тыс. руб.</v>
      </c>
      <c s="125"/>
      <c s="125">
        <f>E394*(1+IFERROR(INDEX(E$10:E$11,Предпосылки!$J289,),0))</f>
        <v>0</v>
      </c>
      <c s="125">
        <f>F394*(1+IFERROR(INDEX(F$10:F$11,Предпосылки!$J289,),0))</f>
        <v>0</v>
      </c>
      <c s="125">
        <f>G394*(1+IFERROR(INDEX(G$10:G$11,Предпосылки!$J289,),0))</f>
        <v>0</v>
      </c>
      <c s="125">
        <f>H394*(1+IFERROR(INDEX(H$10:H$11,Предпосылки!$J289,),0))</f>
        <v>0</v>
      </c>
      <c s="125">
        <f>I394*(1+IFERROR(INDEX(I$10:I$11,Предпосылки!$J289,),0))</f>
        <v>0</v>
      </c>
      <c s="125">
        <f>J394*(1+IFERROR(INDEX(J$10:J$11,Предпосылки!$J289,),0))</f>
        <v>0</v>
      </c>
      <c s="125">
        <f>K394*(1+IFERROR(INDEX(K$10:K$11,Предпосылки!$J289,),0))</f>
        <v>0</v>
      </c>
      <c s="125">
        <f>L394*(1+IFERROR(INDEX(L$10:L$11,Предпосылки!$J289,),0))</f>
        <v>0</v>
      </c>
      <c s="125">
        <f>M394*(1+IFERROR(INDEX(M$10:M$11,Предпосылки!$J289,),0))</f>
        <v>0</v>
      </c>
      <c s="125">
        <f>N394*(1+IFERROR(INDEX(N$10:N$11,Предпосылки!$J289,),0))</f>
        <v>0</v>
      </c>
      <c s="125">
        <f>O394*(1+IFERROR(INDEX(O$10:O$11,Предпосылки!$J289,),0))</f>
        <v>0</v>
      </c>
      <c s="125">
        <f>P394*(1+IFERROR(INDEX(P$10:P$11,Предпосылки!$J289,),0))</f>
        <v>0</v>
      </c>
      <c s="125">
        <f>Q394*(1+IFERROR(INDEX(Q$10:Q$11,Предпосылки!$J289,),0))</f>
        <v>0</v>
      </c>
      <c s="125">
        <f>R394*(1+IFERROR(INDEX(R$10:R$11,Предпосылки!$J289,),0))</f>
        <v>0</v>
      </c>
      <c s="125">
        <f>S394*(1+IFERROR(INDEX(S$10:S$11,Предпосылки!$J289,),0))</f>
        <v>0</v>
      </c>
      <c s="125">
        <f>T394*(1+IFERROR(INDEX(T$10:T$11,Предпосылки!$J289,),0))</f>
        <v>0</v>
      </c>
      <c s="125">
        <f>U394*(1+IFERROR(INDEX(U$10:U$11,Предпосылки!$J289,),0))</f>
        <v>0</v>
      </c>
      <c s="125">
        <f>V394*(1+IFERROR(INDEX(V$10:V$11,Предпосылки!$J289,),0))</f>
        <v>0</v>
      </c>
      <c s="125">
        <f>W394*(1+IFERROR(INDEX(W$10:W$11,Предпосылки!$J289,),0))</f>
        <v>0</v>
      </c>
      <c s="125">
        <f>X394*(1+IFERROR(INDEX(X$10:X$11,Предпосылки!$J289,),0))</f>
        <v>0</v>
      </c>
      <c s="125">
        <f>Y394*(1+IFERROR(INDEX(Y$10:Y$11,Предпосылки!$J289,),0))</f>
        <v>0</v>
      </c>
      <c s="125">
        <f>Z394*(1+IFERROR(INDEX(Z$10:Z$11,Предпосылки!$J289,),0))</f>
        <v>0</v>
      </c>
      <c s="125">
        <f>AA394*(1+IFERROR(INDEX(AA$10:AA$11,Предпосылки!$J289,),0))</f>
        <v>0</v>
      </c>
      <c s="125">
        <f>AB394*(1+IFERROR(INDEX(AB$10:AB$11,Предпосылки!$J289,),0))</f>
        <v>0</v>
      </c>
      <c s="125">
        <f>AC394*(1+IFERROR(INDEX(AC$10:AC$11,Предпосылки!$J289,),0))</f>
        <v>0</v>
      </c>
      <c s="125">
        <f>AD394*(1+IFERROR(INDEX(AD$10:AD$11,Предпосылки!$J289,),0))</f>
        <v>0</v>
      </c>
      <c s="125">
        <f>AE394*(1+IFERROR(INDEX(AE$10:AE$11,Предпосылки!$J289,),0))</f>
        <v>0</v>
      </c>
      <c s="125">
        <f>AF394*(1+IFERROR(INDEX(AF$10:AF$11,Предпосылки!$J289,),0))</f>
        <v>0</v>
      </c>
      <c s="125">
        <f>AG394*(1+IFERROR(INDEX(AG$10:AG$11,Предпосылки!$J289,),0))</f>
        <v>0</v>
      </c>
      <c s="125">
        <f>AH394*(1+IFERROR(INDEX(AH$10:AH$11,Предпосылки!$J289,),0))</f>
        <v>0</v>
      </c>
      <c s="125">
        <f>AI394*(1+IFERROR(INDEX(AI$10:AI$11,Предпосылки!$J289,),0))</f>
        <v>0</v>
      </c>
      <c s="125">
        <f>AJ394*(1+IFERROR(INDEX(AJ$10:AJ$11,Предпосылки!$J289,),0))</f>
        <v>0</v>
      </c>
      <c s="125">
        <f>AK394*(1+IFERROR(INDEX(AK$10:AK$11,Предпосылки!$J289,),0))</f>
        <v>0</v>
      </c>
      <c s="125">
        <f>AL394*(1+IFERROR(INDEX(AL$10:AL$11,Предпосылки!$J289,),0))</f>
        <v>0</v>
      </c>
      <c s="125">
        <f>AM394*(1+IFERROR(INDEX(AM$10:AM$11,Предпосылки!$J289,),0))</f>
        <v>0</v>
      </c>
      <c s="125">
        <f>AN394*(1+IFERROR(INDEX(AN$10:AN$11,Предпосылки!$J289,),0))</f>
        <v>0</v>
      </c>
      <c s="125">
        <f>AO394*(1+IFERROR(INDEX(AO$10:AO$11,Предпосылки!$J289,),0))</f>
        <v>0</v>
      </c>
      <c s="125">
        <f>AP394*(1+IFERROR(INDEX(AP$10:AP$11,Предпосылки!$J289,),0))</f>
        <v>0</v>
      </c>
      <c s="125">
        <f>AQ394*(1+IFERROR(INDEX(AQ$10:AQ$11,Предпосылки!$J289,),0))</f>
        <v>0</v>
      </c>
      <c s="125">
        <f>AR394*(1+IFERROR(INDEX(AR$10:AR$11,Предпосылки!$J289,),0))</f>
        <v>0</v>
      </c>
      <c s="125">
        <f>AS394*(1+IFERROR(INDEX(AS$10:AS$11,Предпосылки!$J289,),0))</f>
        <v>0</v>
      </c>
      <c s="125">
        <f>AT394*(1+IFERROR(INDEX(AT$10:AT$11,Предпосылки!$J289,),0))</f>
        <v>0</v>
      </c>
      <c s="125">
        <f>AU394*(1+IFERROR(INDEX(AU$10:AU$11,Предпосылки!$J289,),0))</f>
        <v>0</v>
      </c>
      <c s="125">
        <f>AV394*(1+IFERROR(INDEX(AV$10:AV$11,Предпосылки!$J289,),0))</f>
        <v>0</v>
      </c>
      <c s="125">
        <f>AW394*(1+IFERROR(INDEX(AW$10:AW$11,Предпосылки!$J289,),0))</f>
        <v>0</v>
      </c>
      <c s="125">
        <f>AX394*(1+IFERROR(INDEX(AX$10:AX$11,Предпосылки!$J289,),0))</f>
        <v>0</v>
      </c>
      <c s="125">
        <f>AY394*(1+IFERROR(INDEX(AY$10:AY$11,Предпосылки!$J289,),0))</f>
        <v>0</v>
      </c>
      <c s="125">
        <f>AZ394*(1+IFERROR(INDEX(AZ$10:AZ$11,Предпосылки!$J289,),0))</f>
        <v>0</v>
      </c>
      <c s="125">
        <f>BA394*(1+IFERROR(INDEX(BA$10:BA$11,Предпосылки!$J289,),0))</f>
        <v>0</v>
      </c>
      <c s="125">
        <f>BB394*(1+IFERROR(INDEX(BB$10:BB$11,Предпосылки!$J289,),0))</f>
        <v>0</v>
      </c>
      <c s="125">
        <f>BC394*(1+IFERROR(INDEX(BC$10:BC$11,Предпосылки!$J289,),0))</f>
        <v>0</v>
      </c>
      <c s="125">
        <f>BD394*(1+IFERROR(INDEX(BD$10:BD$11,Предпосылки!$J289,),0))</f>
        <v>0</v>
      </c>
      <c s="125">
        <f>BE394*(1+IFERROR(INDEX(BE$10:BE$11,Предпосылки!$J289,),0))</f>
        <v>0</v>
      </c>
      <c s="125">
        <f>BF394*(1+IFERROR(INDEX(BF$10:BF$11,Предпосылки!$J289,),0))</f>
        <v>0</v>
      </c>
      <c s="125">
        <f>BG394*(1+IFERROR(INDEX(BG$10:BG$11,Предпосылки!$J289,),0))</f>
        <v>0</v>
      </c>
      <c s="125">
        <f>BH394*(1+IFERROR(INDEX(BH$10:BH$11,Предпосылки!$J289,),0))</f>
        <v>0</v>
      </c>
      <c s="125">
        <f>BI394*(1+IFERROR(INDEX(BI$10:BI$11,Предпосылки!$J289,),0))</f>
        <v>0</v>
      </c>
      <c s="125">
        <f>BJ394*(1+IFERROR(INDEX(BJ$10:BJ$11,Предпосылки!$J289,),0))</f>
        <v>0</v>
      </c>
      <c s="125">
        <f>BK394*(1+IFERROR(INDEX(BK$10:BK$11,Предпосылки!$J289,),0))</f>
        <v>0</v>
      </c>
      <c s="125">
        <f>BL394*(1+IFERROR(INDEX(BL$10:BL$11,Предпосылки!$J289,),0))</f>
        <v>0</v>
      </c>
      <c s="125">
        <f>BM394*(1+IFERROR(INDEX(BM$10:BM$11,Предпосылки!$J289,),0))</f>
        <v>0</v>
      </c>
    </row>
    <row r="453" spans="2:65" ht="15" customHeight="1">
      <c r="B453" s="12" t="str">
        <f t="shared" si="329"/>
        <v>-</v>
      </c>
      <c s="124" t="str">
        <f t="shared" si="328"/>
        <v>тыс. руб.</v>
      </c>
      <c s="125"/>
      <c s="125">
        <f>E395*(1+IFERROR(INDEX(E$10:E$11,Предпосылки!$J290,),0))</f>
        <v>0</v>
      </c>
      <c s="125">
        <f>F395*(1+IFERROR(INDEX(F$10:F$11,Предпосылки!$J290,),0))</f>
        <v>0</v>
      </c>
      <c s="125">
        <f>G395*(1+IFERROR(INDEX(G$10:G$11,Предпосылки!$J290,),0))</f>
        <v>0</v>
      </c>
      <c s="125">
        <f>H395*(1+IFERROR(INDEX(H$10:H$11,Предпосылки!$J290,),0))</f>
        <v>0</v>
      </c>
      <c s="125">
        <f>I395*(1+IFERROR(INDEX(I$10:I$11,Предпосылки!$J290,),0))</f>
        <v>0</v>
      </c>
      <c s="125">
        <f>J395*(1+IFERROR(INDEX(J$10:J$11,Предпосылки!$J290,),0))</f>
        <v>0</v>
      </c>
      <c s="125">
        <f>K395*(1+IFERROR(INDEX(K$10:K$11,Предпосылки!$J290,),0))</f>
        <v>0</v>
      </c>
      <c s="125">
        <f>L395*(1+IFERROR(INDEX(L$10:L$11,Предпосылки!$J290,),0))</f>
        <v>0</v>
      </c>
      <c s="125">
        <f>M395*(1+IFERROR(INDEX(M$10:M$11,Предпосылки!$J290,),0))</f>
        <v>0</v>
      </c>
      <c s="125">
        <f>N395*(1+IFERROR(INDEX(N$10:N$11,Предпосылки!$J290,),0))</f>
        <v>0</v>
      </c>
      <c s="125">
        <f>O395*(1+IFERROR(INDEX(O$10:O$11,Предпосылки!$J290,),0))</f>
        <v>0</v>
      </c>
      <c s="125">
        <f>P395*(1+IFERROR(INDEX(P$10:P$11,Предпосылки!$J290,),0))</f>
        <v>0</v>
      </c>
      <c s="125">
        <f>Q395*(1+IFERROR(INDEX(Q$10:Q$11,Предпосылки!$J290,),0))</f>
        <v>0</v>
      </c>
      <c s="125">
        <f>R395*(1+IFERROR(INDEX(R$10:R$11,Предпосылки!$J290,),0))</f>
        <v>0</v>
      </c>
      <c s="125">
        <f>S395*(1+IFERROR(INDEX(S$10:S$11,Предпосылки!$J290,),0))</f>
        <v>0</v>
      </c>
      <c s="125">
        <f>T395*(1+IFERROR(INDEX(T$10:T$11,Предпосылки!$J290,),0))</f>
        <v>0</v>
      </c>
      <c s="125">
        <f>U395*(1+IFERROR(INDEX(U$10:U$11,Предпосылки!$J290,),0))</f>
        <v>0</v>
      </c>
      <c s="125">
        <f>V395*(1+IFERROR(INDEX(V$10:V$11,Предпосылки!$J290,),0))</f>
        <v>0</v>
      </c>
      <c s="125">
        <f>W395*(1+IFERROR(INDEX(W$10:W$11,Предпосылки!$J290,),0))</f>
        <v>0</v>
      </c>
      <c s="125">
        <f>X395*(1+IFERROR(INDEX(X$10:X$11,Предпосылки!$J290,),0))</f>
        <v>0</v>
      </c>
      <c s="125">
        <f>Y395*(1+IFERROR(INDEX(Y$10:Y$11,Предпосылки!$J290,),0))</f>
        <v>0</v>
      </c>
      <c s="125">
        <f>Z395*(1+IFERROR(INDEX(Z$10:Z$11,Предпосылки!$J290,),0))</f>
        <v>0</v>
      </c>
      <c s="125">
        <f>AA395*(1+IFERROR(INDEX(AA$10:AA$11,Предпосылки!$J290,),0))</f>
        <v>0</v>
      </c>
      <c s="125">
        <f>AB395*(1+IFERROR(INDEX(AB$10:AB$11,Предпосылки!$J290,),0))</f>
        <v>0</v>
      </c>
      <c s="125">
        <f>AC395*(1+IFERROR(INDEX(AC$10:AC$11,Предпосылки!$J290,),0))</f>
        <v>0</v>
      </c>
      <c s="125">
        <f>AD395*(1+IFERROR(INDEX(AD$10:AD$11,Предпосылки!$J290,),0))</f>
        <v>0</v>
      </c>
      <c s="125">
        <f>AE395*(1+IFERROR(INDEX(AE$10:AE$11,Предпосылки!$J290,),0))</f>
        <v>0</v>
      </c>
      <c s="125">
        <f>AF395*(1+IFERROR(INDEX(AF$10:AF$11,Предпосылки!$J290,),0))</f>
        <v>0</v>
      </c>
      <c s="125">
        <f>AG395*(1+IFERROR(INDEX(AG$10:AG$11,Предпосылки!$J290,),0))</f>
        <v>0</v>
      </c>
      <c s="125">
        <f>AH395*(1+IFERROR(INDEX(AH$10:AH$11,Предпосылки!$J290,),0))</f>
        <v>0</v>
      </c>
      <c s="125">
        <f>AI395*(1+IFERROR(INDEX(AI$10:AI$11,Предпосылки!$J290,),0))</f>
        <v>0</v>
      </c>
      <c s="125">
        <f>AJ395*(1+IFERROR(INDEX(AJ$10:AJ$11,Предпосылки!$J290,),0))</f>
        <v>0</v>
      </c>
      <c s="125">
        <f>AK395*(1+IFERROR(INDEX(AK$10:AK$11,Предпосылки!$J290,),0))</f>
        <v>0</v>
      </c>
      <c s="125">
        <f>AL395*(1+IFERROR(INDEX(AL$10:AL$11,Предпосылки!$J290,),0))</f>
        <v>0</v>
      </c>
      <c s="125">
        <f>AM395*(1+IFERROR(INDEX(AM$10:AM$11,Предпосылки!$J290,),0))</f>
        <v>0</v>
      </c>
      <c s="125">
        <f>AN395*(1+IFERROR(INDEX(AN$10:AN$11,Предпосылки!$J290,),0))</f>
        <v>0</v>
      </c>
      <c s="125">
        <f>AO395*(1+IFERROR(INDEX(AO$10:AO$11,Предпосылки!$J290,),0))</f>
        <v>0</v>
      </c>
      <c s="125">
        <f>AP395*(1+IFERROR(INDEX(AP$10:AP$11,Предпосылки!$J290,),0))</f>
        <v>0</v>
      </c>
      <c s="125">
        <f>AQ395*(1+IFERROR(INDEX(AQ$10:AQ$11,Предпосылки!$J290,),0))</f>
        <v>0</v>
      </c>
      <c s="125">
        <f>AR395*(1+IFERROR(INDEX(AR$10:AR$11,Предпосылки!$J290,),0))</f>
        <v>0</v>
      </c>
      <c s="125">
        <f>AS395*(1+IFERROR(INDEX(AS$10:AS$11,Предпосылки!$J290,),0))</f>
        <v>0</v>
      </c>
      <c s="125">
        <f>AT395*(1+IFERROR(INDEX(AT$10:AT$11,Предпосылки!$J290,),0))</f>
        <v>0</v>
      </c>
      <c s="125">
        <f>AU395*(1+IFERROR(INDEX(AU$10:AU$11,Предпосылки!$J290,),0))</f>
        <v>0</v>
      </c>
      <c s="125">
        <f>AV395*(1+IFERROR(INDEX(AV$10:AV$11,Предпосылки!$J290,),0))</f>
        <v>0</v>
      </c>
      <c s="125">
        <f>AW395*(1+IFERROR(INDEX(AW$10:AW$11,Предпосылки!$J290,),0))</f>
        <v>0</v>
      </c>
      <c s="125">
        <f>AX395*(1+IFERROR(INDEX(AX$10:AX$11,Предпосылки!$J290,),0))</f>
        <v>0</v>
      </c>
      <c s="125">
        <f>AY395*(1+IFERROR(INDEX(AY$10:AY$11,Предпосылки!$J290,),0))</f>
        <v>0</v>
      </c>
      <c s="125">
        <f>AZ395*(1+IFERROR(INDEX(AZ$10:AZ$11,Предпосылки!$J290,),0))</f>
        <v>0</v>
      </c>
      <c s="125">
        <f>BA395*(1+IFERROR(INDEX(BA$10:BA$11,Предпосылки!$J290,),0))</f>
        <v>0</v>
      </c>
      <c s="125">
        <f>BB395*(1+IFERROR(INDEX(BB$10:BB$11,Предпосылки!$J290,),0))</f>
        <v>0</v>
      </c>
      <c s="125">
        <f>BC395*(1+IFERROR(INDEX(BC$10:BC$11,Предпосылки!$J290,),0))</f>
        <v>0</v>
      </c>
      <c s="125">
        <f>BD395*(1+IFERROR(INDEX(BD$10:BD$11,Предпосылки!$J290,),0))</f>
        <v>0</v>
      </c>
      <c s="125">
        <f>BE395*(1+IFERROR(INDEX(BE$10:BE$11,Предпосылки!$J290,),0))</f>
        <v>0</v>
      </c>
      <c s="125">
        <f>BF395*(1+IFERROR(INDEX(BF$10:BF$11,Предпосылки!$J290,),0))</f>
        <v>0</v>
      </c>
      <c s="125">
        <f>BG395*(1+IFERROR(INDEX(BG$10:BG$11,Предпосылки!$J290,),0))</f>
        <v>0</v>
      </c>
      <c s="125">
        <f>BH395*(1+IFERROR(INDEX(BH$10:BH$11,Предпосылки!$J290,),0))</f>
        <v>0</v>
      </c>
      <c s="125">
        <f>BI395*(1+IFERROR(INDEX(BI$10:BI$11,Предпосылки!$J290,),0))</f>
        <v>0</v>
      </c>
      <c s="125">
        <f>BJ395*(1+IFERROR(INDEX(BJ$10:BJ$11,Предпосылки!$J290,),0))</f>
        <v>0</v>
      </c>
      <c s="125">
        <f>BK395*(1+IFERROR(INDEX(BK$10:BK$11,Предпосылки!$J290,),0))</f>
        <v>0</v>
      </c>
      <c s="125">
        <f>BL395*(1+IFERROR(INDEX(BL$10:BL$11,Предпосылки!$J290,),0))</f>
        <v>0</v>
      </c>
      <c s="125">
        <f>BM395*(1+IFERROR(INDEX(BM$10:BM$11,Предпосылки!$J290,),0))</f>
        <v>0</v>
      </c>
    </row>
    <row r="454" spans="2:65" ht="15" customHeight="1">
      <c r="B454" s="12" t="str">
        <f t="shared" si="329"/>
        <v>-</v>
      </c>
      <c s="124" t="str">
        <f t="shared" si="328"/>
        <v>тыс. руб.</v>
      </c>
      <c s="125"/>
      <c s="125">
        <f>E396*(1+IFERROR(INDEX(E$10:E$11,Предпосылки!$J291,),0))</f>
        <v>0</v>
      </c>
      <c s="125">
        <f>F396*(1+IFERROR(INDEX(F$10:F$11,Предпосылки!$J291,),0))</f>
        <v>0</v>
      </c>
      <c s="125">
        <f>G396*(1+IFERROR(INDEX(G$10:G$11,Предпосылки!$J291,),0))</f>
        <v>0</v>
      </c>
      <c s="125">
        <f>H396*(1+IFERROR(INDEX(H$10:H$11,Предпосылки!$J291,),0))</f>
        <v>0</v>
      </c>
      <c s="125">
        <f>I396*(1+IFERROR(INDEX(I$10:I$11,Предпосылки!$J291,),0))</f>
        <v>0</v>
      </c>
      <c s="125">
        <f>J396*(1+IFERROR(INDEX(J$10:J$11,Предпосылки!$J291,),0))</f>
        <v>0</v>
      </c>
      <c s="125">
        <f>K396*(1+IFERROR(INDEX(K$10:K$11,Предпосылки!$J291,),0))</f>
        <v>0</v>
      </c>
      <c s="125">
        <f>L396*(1+IFERROR(INDEX(L$10:L$11,Предпосылки!$J291,),0))</f>
        <v>0</v>
      </c>
      <c s="125">
        <f>M396*(1+IFERROR(INDEX(M$10:M$11,Предпосылки!$J291,),0))</f>
        <v>0</v>
      </c>
      <c s="125">
        <f>N396*(1+IFERROR(INDEX(N$10:N$11,Предпосылки!$J291,),0))</f>
        <v>0</v>
      </c>
      <c s="125">
        <f>O396*(1+IFERROR(INDEX(O$10:O$11,Предпосылки!$J291,),0))</f>
        <v>0</v>
      </c>
      <c s="125">
        <f>P396*(1+IFERROR(INDEX(P$10:P$11,Предпосылки!$J291,),0))</f>
        <v>0</v>
      </c>
      <c s="125">
        <f>Q396*(1+IFERROR(INDEX(Q$10:Q$11,Предпосылки!$J291,),0))</f>
        <v>0</v>
      </c>
      <c s="125">
        <f>R396*(1+IFERROR(INDEX(R$10:R$11,Предпосылки!$J291,),0))</f>
        <v>0</v>
      </c>
      <c s="125">
        <f>S396*(1+IFERROR(INDEX(S$10:S$11,Предпосылки!$J291,),0))</f>
        <v>0</v>
      </c>
      <c s="125">
        <f>T396*(1+IFERROR(INDEX(T$10:T$11,Предпосылки!$J291,),0))</f>
        <v>0</v>
      </c>
      <c s="125">
        <f>U396*(1+IFERROR(INDEX(U$10:U$11,Предпосылки!$J291,),0))</f>
        <v>0</v>
      </c>
      <c s="125">
        <f>V396*(1+IFERROR(INDEX(V$10:V$11,Предпосылки!$J291,),0))</f>
        <v>0</v>
      </c>
      <c s="125">
        <f>W396*(1+IFERROR(INDEX(W$10:W$11,Предпосылки!$J291,),0))</f>
        <v>0</v>
      </c>
      <c s="125">
        <f>X396*(1+IFERROR(INDEX(X$10:X$11,Предпосылки!$J291,),0))</f>
        <v>0</v>
      </c>
      <c s="125">
        <f>Y396*(1+IFERROR(INDEX(Y$10:Y$11,Предпосылки!$J291,),0))</f>
        <v>0</v>
      </c>
      <c s="125">
        <f>Z396*(1+IFERROR(INDEX(Z$10:Z$11,Предпосылки!$J291,),0))</f>
        <v>0</v>
      </c>
      <c s="125">
        <f>AA396*(1+IFERROR(INDEX(AA$10:AA$11,Предпосылки!$J291,),0))</f>
        <v>0</v>
      </c>
      <c s="125">
        <f>AB396*(1+IFERROR(INDEX(AB$10:AB$11,Предпосылки!$J291,),0))</f>
        <v>0</v>
      </c>
      <c s="125">
        <f>AC396*(1+IFERROR(INDEX(AC$10:AC$11,Предпосылки!$J291,),0))</f>
        <v>0</v>
      </c>
      <c s="125">
        <f>AD396*(1+IFERROR(INDEX(AD$10:AD$11,Предпосылки!$J291,),0))</f>
        <v>0</v>
      </c>
      <c s="125">
        <f>AE396*(1+IFERROR(INDEX(AE$10:AE$11,Предпосылки!$J291,),0))</f>
        <v>0</v>
      </c>
      <c s="125">
        <f>AF396*(1+IFERROR(INDEX(AF$10:AF$11,Предпосылки!$J291,),0))</f>
        <v>0</v>
      </c>
      <c s="125">
        <f>AG396*(1+IFERROR(INDEX(AG$10:AG$11,Предпосылки!$J291,),0))</f>
        <v>0</v>
      </c>
      <c s="125">
        <f>AH396*(1+IFERROR(INDEX(AH$10:AH$11,Предпосылки!$J291,),0))</f>
        <v>0</v>
      </c>
      <c s="125">
        <f>AI396*(1+IFERROR(INDEX(AI$10:AI$11,Предпосылки!$J291,),0))</f>
        <v>0</v>
      </c>
      <c s="125">
        <f>AJ396*(1+IFERROR(INDEX(AJ$10:AJ$11,Предпосылки!$J291,),0))</f>
        <v>0</v>
      </c>
      <c s="125">
        <f>AK396*(1+IFERROR(INDEX(AK$10:AK$11,Предпосылки!$J291,),0))</f>
        <v>0</v>
      </c>
      <c s="125">
        <f>AL396*(1+IFERROR(INDEX(AL$10:AL$11,Предпосылки!$J291,),0))</f>
        <v>0</v>
      </c>
      <c s="125">
        <f>AM396*(1+IFERROR(INDEX(AM$10:AM$11,Предпосылки!$J291,),0))</f>
        <v>0</v>
      </c>
      <c s="125">
        <f>AN396*(1+IFERROR(INDEX(AN$10:AN$11,Предпосылки!$J291,),0))</f>
        <v>0</v>
      </c>
      <c s="125">
        <f>AO396*(1+IFERROR(INDEX(AO$10:AO$11,Предпосылки!$J291,),0))</f>
        <v>0</v>
      </c>
      <c s="125">
        <f>AP396*(1+IFERROR(INDEX(AP$10:AP$11,Предпосылки!$J291,),0))</f>
        <v>0</v>
      </c>
      <c s="125">
        <f>AQ396*(1+IFERROR(INDEX(AQ$10:AQ$11,Предпосылки!$J291,),0))</f>
        <v>0</v>
      </c>
      <c s="125">
        <f>AR396*(1+IFERROR(INDEX(AR$10:AR$11,Предпосылки!$J291,),0))</f>
        <v>0</v>
      </c>
      <c s="125">
        <f>AS396*(1+IFERROR(INDEX(AS$10:AS$11,Предпосылки!$J291,),0))</f>
        <v>0</v>
      </c>
      <c s="125">
        <f>AT396*(1+IFERROR(INDEX(AT$10:AT$11,Предпосылки!$J291,),0))</f>
        <v>0</v>
      </c>
      <c s="125">
        <f>AU396*(1+IFERROR(INDEX(AU$10:AU$11,Предпосылки!$J291,),0))</f>
        <v>0</v>
      </c>
      <c s="125">
        <f>AV396*(1+IFERROR(INDEX(AV$10:AV$11,Предпосылки!$J291,),0))</f>
        <v>0</v>
      </c>
      <c s="125">
        <f>AW396*(1+IFERROR(INDEX(AW$10:AW$11,Предпосылки!$J291,),0))</f>
        <v>0</v>
      </c>
      <c s="125">
        <f>AX396*(1+IFERROR(INDEX(AX$10:AX$11,Предпосылки!$J291,),0))</f>
        <v>0</v>
      </c>
      <c s="125">
        <f>AY396*(1+IFERROR(INDEX(AY$10:AY$11,Предпосылки!$J291,),0))</f>
        <v>0</v>
      </c>
      <c s="125">
        <f>AZ396*(1+IFERROR(INDEX(AZ$10:AZ$11,Предпосылки!$J291,),0))</f>
        <v>0</v>
      </c>
      <c s="125">
        <f>BA396*(1+IFERROR(INDEX(BA$10:BA$11,Предпосылки!$J291,),0))</f>
        <v>0</v>
      </c>
      <c s="125">
        <f>BB396*(1+IFERROR(INDEX(BB$10:BB$11,Предпосылки!$J291,),0))</f>
        <v>0</v>
      </c>
      <c s="125">
        <f>BC396*(1+IFERROR(INDEX(BC$10:BC$11,Предпосылки!$J291,),0))</f>
        <v>0</v>
      </c>
      <c s="125">
        <f>BD396*(1+IFERROR(INDEX(BD$10:BD$11,Предпосылки!$J291,),0))</f>
        <v>0</v>
      </c>
      <c s="125">
        <f>BE396*(1+IFERROR(INDEX(BE$10:BE$11,Предпосылки!$J291,),0))</f>
        <v>0</v>
      </c>
      <c s="125">
        <f>BF396*(1+IFERROR(INDEX(BF$10:BF$11,Предпосылки!$J291,),0))</f>
        <v>0</v>
      </c>
      <c s="125">
        <f>BG396*(1+IFERROR(INDEX(BG$10:BG$11,Предпосылки!$J291,),0))</f>
        <v>0</v>
      </c>
      <c s="125">
        <f>BH396*(1+IFERROR(INDEX(BH$10:BH$11,Предпосылки!$J291,),0))</f>
        <v>0</v>
      </c>
      <c s="125">
        <f>BI396*(1+IFERROR(INDEX(BI$10:BI$11,Предпосылки!$J291,),0))</f>
        <v>0</v>
      </c>
      <c s="125">
        <f>BJ396*(1+IFERROR(INDEX(BJ$10:BJ$11,Предпосылки!$J291,),0))</f>
        <v>0</v>
      </c>
      <c s="125">
        <f>BK396*(1+IFERROR(INDEX(BK$10:BK$11,Предпосылки!$J291,),0))</f>
        <v>0</v>
      </c>
      <c s="125">
        <f>BL396*(1+IFERROR(INDEX(BL$10:BL$11,Предпосылки!$J291,),0))</f>
        <v>0</v>
      </c>
      <c s="125">
        <f>BM396*(1+IFERROR(INDEX(BM$10:BM$11,Предпосылки!$J291,),0))</f>
        <v>0</v>
      </c>
    </row>
    <row r="455" spans="2:65" ht="15" customHeight="1">
      <c r="B455" s="12" t="str">
        <f t="shared" si="329"/>
        <v>-</v>
      </c>
      <c s="124" t="str">
        <f t="shared" si="328"/>
        <v>тыс. руб.</v>
      </c>
      <c s="125"/>
      <c s="125">
        <f>E397*(1+IFERROR(INDEX(E$10:E$11,Предпосылки!$J292,),0))</f>
        <v>0</v>
      </c>
      <c s="125">
        <f>F397*(1+IFERROR(INDEX(F$10:F$11,Предпосылки!$J292,),0))</f>
        <v>0</v>
      </c>
      <c s="125">
        <f>G397*(1+IFERROR(INDEX(G$10:G$11,Предпосылки!$J292,),0))</f>
        <v>0</v>
      </c>
      <c s="125">
        <f>H397*(1+IFERROR(INDEX(H$10:H$11,Предпосылки!$J292,),0))</f>
        <v>0</v>
      </c>
      <c s="125">
        <f>I397*(1+IFERROR(INDEX(I$10:I$11,Предпосылки!$J292,),0))</f>
        <v>0</v>
      </c>
      <c s="125">
        <f>J397*(1+IFERROR(INDEX(J$10:J$11,Предпосылки!$J292,),0))</f>
        <v>0</v>
      </c>
      <c s="125">
        <f>K397*(1+IFERROR(INDEX(K$10:K$11,Предпосылки!$J292,),0))</f>
        <v>0</v>
      </c>
      <c s="125">
        <f>L397*(1+IFERROR(INDEX(L$10:L$11,Предпосылки!$J292,),0))</f>
        <v>0</v>
      </c>
      <c s="125">
        <f>M397*(1+IFERROR(INDEX(M$10:M$11,Предпосылки!$J292,),0))</f>
        <v>0</v>
      </c>
      <c s="125">
        <f>N397*(1+IFERROR(INDEX(N$10:N$11,Предпосылки!$J292,),0))</f>
        <v>0</v>
      </c>
      <c s="125">
        <f>O397*(1+IFERROR(INDEX(O$10:O$11,Предпосылки!$J292,),0))</f>
        <v>0</v>
      </c>
      <c s="125">
        <f>P397*(1+IFERROR(INDEX(P$10:P$11,Предпосылки!$J292,),0))</f>
        <v>0</v>
      </c>
      <c s="125">
        <f>Q397*(1+IFERROR(INDEX(Q$10:Q$11,Предпосылки!$J292,),0))</f>
        <v>0</v>
      </c>
      <c s="125">
        <f>R397*(1+IFERROR(INDEX(R$10:R$11,Предпосылки!$J292,),0))</f>
        <v>0</v>
      </c>
      <c s="125">
        <f>S397*(1+IFERROR(INDEX(S$10:S$11,Предпосылки!$J292,),0))</f>
        <v>0</v>
      </c>
      <c s="125">
        <f>T397*(1+IFERROR(INDEX(T$10:T$11,Предпосылки!$J292,),0))</f>
        <v>0</v>
      </c>
      <c s="125">
        <f>U397*(1+IFERROR(INDEX(U$10:U$11,Предпосылки!$J292,),0))</f>
        <v>0</v>
      </c>
      <c s="125">
        <f>V397*(1+IFERROR(INDEX(V$10:V$11,Предпосылки!$J292,),0))</f>
        <v>0</v>
      </c>
      <c s="125">
        <f>W397*(1+IFERROR(INDEX(W$10:W$11,Предпосылки!$J292,),0))</f>
        <v>0</v>
      </c>
      <c s="125">
        <f>X397*(1+IFERROR(INDEX(X$10:X$11,Предпосылки!$J292,),0))</f>
        <v>0</v>
      </c>
      <c s="125">
        <f>Y397*(1+IFERROR(INDEX(Y$10:Y$11,Предпосылки!$J292,),0))</f>
        <v>0</v>
      </c>
      <c s="125">
        <f>Z397*(1+IFERROR(INDEX(Z$10:Z$11,Предпосылки!$J292,),0))</f>
        <v>0</v>
      </c>
      <c s="125">
        <f>AA397*(1+IFERROR(INDEX(AA$10:AA$11,Предпосылки!$J292,),0))</f>
        <v>0</v>
      </c>
      <c s="125">
        <f>AB397*(1+IFERROR(INDEX(AB$10:AB$11,Предпосылки!$J292,),0))</f>
        <v>0</v>
      </c>
      <c s="125">
        <f>AC397*(1+IFERROR(INDEX(AC$10:AC$11,Предпосылки!$J292,),0))</f>
        <v>0</v>
      </c>
      <c s="125">
        <f>AD397*(1+IFERROR(INDEX(AD$10:AD$11,Предпосылки!$J292,),0))</f>
        <v>0</v>
      </c>
      <c s="125">
        <f>AE397*(1+IFERROR(INDEX(AE$10:AE$11,Предпосылки!$J292,),0))</f>
        <v>0</v>
      </c>
      <c s="125">
        <f>AF397*(1+IFERROR(INDEX(AF$10:AF$11,Предпосылки!$J292,),0))</f>
        <v>0</v>
      </c>
      <c s="125">
        <f>AG397*(1+IFERROR(INDEX(AG$10:AG$11,Предпосылки!$J292,),0))</f>
        <v>0</v>
      </c>
      <c s="125">
        <f>AH397*(1+IFERROR(INDEX(AH$10:AH$11,Предпосылки!$J292,),0))</f>
        <v>0</v>
      </c>
      <c s="125">
        <f>AI397*(1+IFERROR(INDEX(AI$10:AI$11,Предпосылки!$J292,),0))</f>
        <v>0</v>
      </c>
      <c s="125">
        <f>AJ397*(1+IFERROR(INDEX(AJ$10:AJ$11,Предпосылки!$J292,),0))</f>
        <v>0</v>
      </c>
      <c s="125">
        <f>AK397*(1+IFERROR(INDEX(AK$10:AK$11,Предпосылки!$J292,),0))</f>
        <v>0</v>
      </c>
      <c s="125">
        <f>AL397*(1+IFERROR(INDEX(AL$10:AL$11,Предпосылки!$J292,),0))</f>
        <v>0</v>
      </c>
      <c s="125">
        <f>AM397*(1+IFERROR(INDEX(AM$10:AM$11,Предпосылки!$J292,),0))</f>
        <v>0</v>
      </c>
      <c s="125">
        <f>AN397*(1+IFERROR(INDEX(AN$10:AN$11,Предпосылки!$J292,),0))</f>
        <v>0</v>
      </c>
      <c s="125">
        <f>AO397*(1+IFERROR(INDEX(AO$10:AO$11,Предпосылки!$J292,),0))</f>
        <v>0</v>
      </c>
      <c s="125">
        <f>AP397*(1+IFERROR(INDEX(AP$10:AP$11,Предпосылки!$J292,),0))</f>
        <v>0</v>
      </c>
      <c s="125">
        <f>AQ397*(1+IFERROR(INDEX(AQ$10:AQ$11,Предпосылки!$J292,),0))</f>
        <v>0</v>
      </c>
      <c s="125">
        <f>AR397*(1+IFERROR(INDEX(AR$10:AR$11,Предпосылки!$J292,),0))</f>
        <v>0</v>
      </c>
      <c s="125">
        <f>AS397*(1+IFERROR(INDEX(AS$10:AS$11,Предпосылки!$J292,),0))</f>
        <v>0</v>
      </c>
      <c s="125">
        <f>AT397*(1+IFERROR(INDEX(AT$10:AT$11,Предпосылки!$J292,),0))</f>
        <v>0</v>
      </c>
      <c s="125">
        <f>AU397*(1+IFERROR(INDEX(AU$10:AU$11,Предпосылки!$J292,),0))</f>
        <v>0</v>
      </c>
      <c s="125">
        <f>AV397*(1+IFERROR(INDEX(AV$10:AV$11,Предпосылки!$J292,),0))</f>
        <v>0</v>
      </c>
      <c s="125">
        <f>AW397*(1+IFERROR(INDEX(AW$10:AW$11,Предпосылки!$J292,),0))</f>
        <v>0</v>
      </c>
      <c s="125">
        <f>AX397*(1+IFERROR(INDEX(AX$10:AX$11,Предпосылки!$J292,),0))</f>
        <v>0</v>
      </c>
      <c s="125">
        <f>AY397*(1+IFERROR(INDEX(AY$10:AY$11,Предпосылки!$J292,),0))</f>
        <v>0</v>
      </c>
      <c s="125">
        <f>AZ397*(1+IFERROR(INDEX(AZ$10:AZ$11,Предпосылки!$J292,),0))</f>
        <v>0</v>
      </c>
      <c s="125">
        <f>BA397*(1+IFERROR(INDEX(BA$10:BA$11,Предпосылки!$J292,),0))</f>
        <v>0</v>
      </c>
      <c s="125">
        <f>BB397*(1+IFERROR(INDEX(BB$10:BB$11,Предпосылки!$J292,),0))</f>
        <v>0</v>
      </c>
      <c s="125">
        <f>BC397*(1+IFERROR(INDEX(BC$10:BC$11,Предпосылки!$J292,),0))</f>
        <v>0</v>
      </c>
      <c s="125">
        <f>BD397*(1+IFERROR(INDEX(BD$10:BD$11,Предпосылки!$J292,),0))</f>
        <v>0</v>
      </c>
      <c s="125">
        <f>BE397*(1+IFERROR(INDEX(BE$10:BE$11,Предпосылки!$J292,),0))</f>
        <v>0</v>
      </c>
      <c s="125">
        <f>BF397*(1+IFERROR(INDEX(BF$10:BF$11,Предпосылки!$J292,),0))</f>
        <v>0</v>
      </c>
      <c s="125">
        <f>BG397*(1+IFERROR(INDEX(BG$10:BG$11,Предпосылки!$J292,),0))</f>
        <v>0</v>
      </c>
      <c s="125">
        <f>BH397*(1+IFERROR(INDEX(BH$10:BH$11,Предпосылки!$J292,),0))</f>
        <v>0</v>
      </c>
      <c s="125">
        <f>BI397*(1+IFERROR(INDEX(BI$10:BI$11,Предпосылки!$J292,),0))</f>
        <v>0</v>
      </c>
      <c s="125">
        <f>BJ397*(1+IFERROR(INDEX(BJ$10:BJ$11,Предпосылки!$J292,),0))</f>
        <v>0</v>
      </c>
      <c s="125">
        <f>BK397*(1+IFERROR(INDEX(BK$10:BK$11,Предпосылки!$J292,),0))</f>
        <v>0</v>
      </c>
      <c s="125">
        <f>BL397*(1+IFERROR(INDEX(BL$10:BL$11,Предпосылки!$J292,),0))</f>
        <v>0</v>
      </c>
      <c s="125">
        <f>BM397*(1+IFERROR(INDEX(BM$10:BM$11,Предпосылки!$J292,),0))</f>
        <v>0</v>
      </c>
    </row>
    <row r="456" spans="2:65" ht="15" customHeight="1">
      <c r="B456" s="12" t="str">
        <f t="shared" si="329"/>
        <v>-</v>
      </c>
      <c s="124" t="str">
        <f t="shared" si="328"/>
        <v>тыс. руб.</v>
      </c>
      <c s="125"/>
      <c s="125">
        <f>E398*(1+IFERROR(INDEX(E$10:E$11,Предпосылки!$J293,),0))</f>
        <v>0</v>
      </c>
      <c s="125">
        <f>F398*(1+IFERROR(INDEX(F$10:F$11,Предпосылки!$J293,),0))</f>
        <v>0</v>
      </c>
      <c s="125">
        <f>G398*(1+IFERROR(INDEX(G$10:G$11,Предпосылки!$J293,),0))</f>
        <v>0</v>
      </c>
      <c s="125">
        <f>H398*(1+IFERROR(INDEX(H$10:H$11,Предпосылки!$J293,),0))</f>
        <v>0</v>
      </c>
      <c s="125">
        <f>I398*(1+IFERROR(INDEX(I$10:I$11,Предпосылки!$J293,),0))</f>
        <v>0</v>
      </c>
      <c s="125">
        <f>J398*(1+IFERROR(INDEX(J$10:J$11,Предпосылки!$J293,),0))</f>
        <v>0</v>
      </c>
      <c s="125">
        <f>K398*(1+IFERROR(INDEX(K$10:K$11,Предпосылки!$J293,),0))</f>
        <v>0</v>
      </c>
      <c s="125">
        <f>L398*(1+IFERROR(INDEX(L$10:L$11,Предпосылки!$J293,),0))</f>
        <v>0</v>
      </c>
      <c s="125">
        <f>M398*(1+IFERROR(INDEX(M$10:M$11,Предпосылки!$J293,),0))</f>
        <v>0</v>
      </c>
      <c s="125">
        <f>N398*(1+IFERROR(INDEX(N$10:N$11,Предпосылки!$J293,),0))</f>
        <v>0</v>
      </c>
      <c s="125">
        <f>O398*(1+IFERROR(INDEX(O$10:O$11,Предпосылки!$J293,),0))</f>
        <v>0</v>
      </c>
      <c s="125">
        <f>P398*(1+IFERROR(INDEX(P$10:P$11,Предпосылки!$J293,),0))</f>
        <v>0</v>
      </c>
      <c s="125">
        <f>Q398*(1+IFERROR(INDEX(Q$10:Q$11,Предпосылки!$J293,),0))</f>
        <v>0</v>
      </c>
      <c s="125">
        <f>R398*(1+IFERROR(INDEX(R$10:R$11,Предпосылки!$J293,),0))</f>
        <v>0</v>
      </c>
      <c s="125">
        <f>S398*(1+IFERROR(INDEX(S$10:S$11,Предпосылки!$J293,),0))</f>
        <v>0</v>
      </c>
      <c s="125">
        <f>T398*(1+IFERROR(INDEX(T$10:T$11,Предпосылки!$J293,),0))</f>
        <v>0</v>
      </c>
      <c s="125">
        <f>U398*(1+IFERROR(INDEX(U$10:U$11,Предпосылки!$J293,),0))</f>
        <v>0</v>
      </c>
      <c s="125">
        <f>V398*(1+IFERROR(INDEX(V$10:V$11,Предпосылки!$J293,),0))</f>
        <v>0</v>
      </c>
      <c s="125">
        <f>W398*(1+IFERROR(INDEX(W$10:W$11,Предпосылки!$J293,),0))</f>
        <v>0</v>
      </c>
      <c s="125">
        <f>X398*(1+IFERROR(INDEX(X$10:X$11,Предпосылки!$J293,),0))</f>
        <v>0</v>
      </c>
      <c s="125">
        <f>Y398*(1+IFERROR(INDEX(Y$10:Y$11,Предпосылки!$J293,),0))</f>
        <v>0</v>
      </c>
      <c s="125">
        <f>Z398*(1+IFERROR(INDEX(Z$10:Z$11,Предпосылки!$J293,),0))</f>
        <v>0</v>
      </c>
      <c s="125">
        <f>AA398*(1+IFERROR(INDEX(AA$10:AA$11,Предпосылки!$J293,),0))</f>
        <v>0</v>
      </c>
      <c s="125">
        <f>AB398*(1+IFERROR(INDEX(AB$10:AB$11,Предпосылки!$J293,),0))</f>
        <v>0</v>
      </c>
      <c s="125">
        <f>AC398*(1+IFERROR(INDEX(AC$10:AC$11,Предпосылки!$J293,),0))</f>
        <v>0</v>
      </c>
      <c s="125">
        <f>AD398*(1+IFERROR(INDEX(AD$10:AD$11,Предпосылки!$J293,),0))</f>
        <v>0</v>
      </c>
      <c s="125">
        <f>AE398*(1+IFERROR(INDEX(AE$10:AE$11,Предпосылки!$J293,),0))</f>
        <v>0</v>
      </c>
      <c s="125">
        <f>AF398*(1+IFERROR(INDEX(AF$10:AF$11,Предпосылки!$J293,),0))</f>
        <v>0</v>
      </c>
      <c s="125">
        <f>AG398*(1+IFERROR(INDEX(AG$10:AG$11,Предпосылки!$J293,),0))</f>
        <v>0</v>
      </c>
      <c s="125">
        <f>AH398*(1+IFERROR(INDEX(AH$10:AH$11,Предпосылки!$J293,),0))</f>
        <v>0</v>
      </c>
      <c s="125">
        <f>AI398*(1+IFERROR(INDEX(AI$10:AI$11,Предпосылки!$J293,),0))</f>
        <v>0</v>
      </c>
      <c s="125">
        <f>AJ398*(1+IFERROR(INDEX(AJ$10:AJ$11,Предпосылки!$J293,),0))</f>
        <v>0</v>
      </c>
      <c s="125">
        <f>AK398*(1+IFERROR(INDEX(AK$10:AK$11,Предпосылки!$J293,),0))</f>
        <v>0</v>
      </c>
      <c s="125">
        <f>AL398*(1+IFERROR(INDEX(AL$10:AL$11,Предпосылки!$J293,),0))</f>
        <v>0</v>
      </c>
      <c s="125">
        <f>AM398*(1+IFERROR(INDEX(AM$10:AM$11,Предпосылки!$J293,),0))</f>
        <v>0</v>
      </c>
      <c s="125">
        <f>AN398*(1+IFERROR(INDEX(AN$10:AN$11,Предпосылки!$J293,),0))</f>
        <v>0</v>
      </c>
      <c s="125">
        <f>AO398*(1+IFERROR(INDEX(AO$10:AO$11,Предпосылки!$J293,),0))</f>
        <v>0</v>
      </c>
      <c s="125">
        <f>AP398*(1+IFERROR(INDEX(AP$10:AP$11,Предпосылки!$J293,),0))</f>
        <v>0</v>
      </c>
      <c s="125">
        <f>AQ398*(1+IFERROR(INDEX(AQ$10:AQ$11,Предпосылки!$J293,),0))</f>
        <v>0</v>
      </c>
      <c s="125">
        <f>AR398*(1+IFERROR(INDEX(AR$10:AR$11,Предпосылки!$J293,),0))</f>
        <v>0</v>
      </c>
      <c s="125">
        <f>AS398*(1+IFERROR(INDEX(AS$10:AS$11,Предпосылки!$J293,),0))</f>
        <v>0</v>
      </c>
      <c s="125">
        <f>AT398*(1+IFERROR(INDEX(AT$10:AT$11,Предпосылки!$J293,),0))</f>
        <v>0</v>
      </c>
      <c s="125">
        <f>AU398*(1+IFERROR(INDEX(AU$10:AU$11,Предпосылки!$J293,),0))</f>
        <v>0</v>
      </c>
      <c s="125">
        <f>AV398*(1+IFERROR(INDEX(AV$10:AV$11,Предпосылки!$J293,),0))</f>
        <v>0</v>
      </c>
      <c s="125">
        <f>AW398*(1+IFERROR(INDEX(AW$10:AW$11,Предпосылки!$J293,),0))</f>
        <v>0</v>
      </c>
      <c s="125">
        <f>AX398*(1+IFERROR(INDEX(AX$10:AX$11,Предпосылки!$J293,),0))</f>
        <v>0</v>
      </c>
      <c s="125">
        <f>AY398*(1+IFERROR(INDEX(AY$10:AY$11,Предпосылки!$J293,),0))</f>
        <v>0</v>
      </c>
      <c s="125">
        <f>AZ398*(1+IFERROR(INDEX(AZ$10:AZ$11,Предпосылки!$J293,),0))</f>
        <v>0</v>
      </c>
      <c s="125">
        <f>BA398*(1+IFERROR(INDEX(BA$10:BA$11,Предпосылки!$J293,),0))</f>
        <v>0</v>
      </c>
      <c s="125">
        <f>BB398*(1+IFERROR(INDEX(BB$10:BB$11,Предпосылки!$J293,),0))</f>
        <v>0</v>
      </c>
      <c s="125">
        <f>BC398*(1+IFERROR(INDEX(BC$10:BC$11,Предпосылки!$J293,),0))</f>
        <v>0</v>
      </c>
      <c s="125">
        <f>BD398*(1+IFERROR(INDEX(BD$10:BD$11,Предпосылки!$J293,),0))</f>
        <v>0</v>
      </c>
      <c s="125">
        <f>BE398*(1+IFERROR(INDEX(BE$10:BE$11,Предпосылки!$J293,),0))</f>
        <v>0</v>
      </c>
      <c s="125">
        <f>BF398*(1+IFERROR(INDEX(BF$10:BF$11,Предпосылки!$J293,),0))</f>
        <v>0</v>
      </c>
      <c s="125">
        <f>BG398*(1+IFERROR(INDEX(BG$10:BG$11,Предпосылки!$J293,),0))</f>
        <v>0</v>
      </c>
      <c s="125">
        <f>BH398*(1+IFERROR(INDEX(BH$10:BH$11,Предпосылки!$J293,),0))</f>
        <v>0</v>
      </c>
      <c s="125">
        <f>BI398*(1+IFERROR(INDEX(BI$10:BI$11,Предпосылки!$J293,),0))</f>
        <v>0</v>
      </c>
      <c s="125">
        <f>BJ398*(1+IFERROR(INDEX(BJ$10:BJ$11,Предпосылки!$J293,),0))</f>
        <v>0</v>
      </c>
      <c s="125">
        <f>BK398*(1+IFERROR(INDEX(BK$10:BK$11,Предпосылки!$J293,),0))</f>
        <v>0</v>
      </c>
      <c s="125">
        <f>BL398*(1+IFERROR(INDEX(BL$10:BL$11,Предпосылки!$J293,),0))</f>
        <v>0</v>
      </c>
      <c s="125">
        <f>BM398*(1+IFERROR(INDEX(BM$10:BM$11,Предпосылки!$J293,),0))</f>
        <v>0</v>
      </c>
    </row>
    <row r="457" spans="2:65" ht="15" customHeight="1">
      <c r="B457" s="12" t="str">
        <f t="shared" si="329"/>
        <v>-</v>
      </c>
      <c s="124" t="str">
        <f t="shared" si="328"/>
        <v>тыс. руб.</v>
      </c>
      <c s="125"/>
      <c s="125">
        <f>E399*(1+IFERROR(INDEX(E$10:E$11,Предпосылки!$J294,),0))</f>
        <v>0</v>
      </c>
      <c s="125">
        <f>F399*(1+IFERROR(INDEX(F$10:F$11,Предпосылки!$J294,),0))</f>
        <v>0</v>
      </c>
      <c s="125">
        <f>G399*(1+IFERROR(INDEX(G$10:G$11,Предпосылки!$J294,),0))</f>
        <v>0</v>
      </c>
      <c s="125">
        <f>H399*(1+IFERROR(INDEX(H$10:H$11,Предпосылки!$J294,),0))</f>
        <v>0</v>
      </c>
      <c s="125">
        <f>I399*(1+IFERROR(INDEX(I$10:I$11,Предпосылки!$J294,),0))</f>
        <v>0</v>
      </c>
      <c s="125">
        <f>J399*(1+IFERROR(INDEX(J$10:J$11,Предпосылки!$J294,),0))</f>
        <v>0</v>
      </c>
      <c s="125">
        <f>K399*(1+IFERROR(INDEX(K$10:K$11,Предпосылки!$J294,),0))</f>
        <v>0</v>
      </c>
      <c s="125">
        <f>L399*(1+IFERROR(INDEX(L$10:L$11,Предпосылки!$J294,),0))</f>
        <v>0</v>
      </c>
      <c s="125">
        <f>M399*(1+IFERROR(INDEX(M$10:M$11,Предпосылки!$J294,),0))</f>
        <v>0</v>
      </c>
      <c s="125">
        <f>N399*(1+IFERROR(INDEX(N$10:N$11,Предпосылки!$J294,),0))</f>
        <v>0</v>
      </c>
      <c s="125">
        <f>O399*(1+IFERROR(INDEX(O$10:O$11,Предпосылки!$J294,),0))</f>
        <v>0</v>
      </c>
      <c s="125">
        <f>P399*(1+IFERROR(INDEX(P$10:P$11,Предпосылки!$J294,),0))</f>
        <v>0</v>
      </c>
      <c s="125">
        <f>Q399*(1+IFERROR(INDEX(Q$10:Q$11,Предпосылки!$J294,),0))</f>
        <v>0</v>
      </c>
      <c s="125">
        <f>R399*(1+IFERROR(INDEX(R$10:R$11,Предпосылки!$J294,),0))</f>
        <v>0</v>
      </c>
      <c s="125">
        <f>S399*(1+IFERROR(INDEX(S$10:S$11,Предпосылки!$J294,),0))</f>
        <v>0</v>
      </c>
      <c s="125">
        <f>T399*(1+IFERROR(INDEX(T$10:T$11,Предпосылки!$J294,),0))</f>
        <v>0</v>
      </c>
      <c s="125">
        <f>U399*(1+IFERROR(INDEX(U$10:U$11,Предпосылки!$J294,),0))</f>
        <v>0</v>
      </c>
      <c s="125">
        <f>V399*(1+IFERROR(INDEX(V$10:V$11,Предпосылки!$J294,),0))</f>
        <v>0</v>
      </c>
      <c s="125">
        <f>W399*(1+IFERROR(INDEX(W$10:W$11,Предпосылки!$J294,),0))</f>
        <v>0</v>
      </c>
      <c s="125">
        <f>X399*(1+IFERROR(INDEX(X$10:X$11,Предпосылки!$J294,),0))</f>
        <v>0</v>
      </c>
      <c s="125">
        <f>Y399*(1+IFERROR(INDEX(Y$10:Y$11,Предпосылки!$J294,),0))</f>
        <v>0</v>
      </c>
      <c s="125">
        <f>Z399*(1+IFERROR(INDEX(Z$10:Z$11,Предпосылки!$J294,),0))</f>
        <v>0</v>
      </c>
      <c s="125">
        <f>AA399*(1+IFERROR(INDEX(AA$10:AA$11,Предпосылки!$J294,),0))</f>
        <v>0</v>
      </c>
      <c s="125">
        <f>AB399*(1+IFERROR(INDEX(AB$10:AB$11,Предпосылки!$J294,),0))</f>
        <v>0</v>
      </c>
      <c s="125">
        <f>AC399*(1+IFERROR(INDEX(AC$10:AC$11,Предпосылки!$J294,),0))</f>
        <v>0</v>
      </c>
      <c s="125">
        <f>AD399*(1+IFERROR(INDEX(AD$10:AD$11,Предпосылки!$J294,),0))</f>
        <v>0</v>
      </c>
      <c s="125">
        <f>AE399*(1+IFERROR(INDEX(AE$10:AE$11,Предпосылки!$J294,),0))</f>
        <v>0</v>
      </c>
      <c s="125">
        <f>AF399*(1+IFERROR(INDEX(AF$10:AF$11,Предпосылки!$J294,),0))</f>
        <v>0</v>
      </c>
      <c s="125">
        <f>AG399*(1+IFERROR(INDEX(AG$10:AG$11,Предпосылки!$J294,),0))</f>
        <v>0</v>
      </c>
      <c s="125">
        <f>AH399*(1+IFERROR(INDEX(AH$10:AH$11,Предпосылки!$J294,),0))</f>
        <v>0</v>
      </c>
      <c s="125">
        <f>AI399*(1+IFERROR(INDEX(AI$10:AI$11,Предпосылки!$J294,),0))</f>
        <v>0</v>
      </c>
      <c s="125">
        <f>AJ399*(1+IFERROR(INDEX(AJ$10:AJ$11,Предпосылки!$J294,),0))</f>
        <v>0</v>
      </c>
      <c s="125">
        <f>AK399*(1+IFERROR(INDEX(AK$10:AK$11,Предпосылки!$J294,),0))</f>
        <v>0</v>
      </c>
      <c s="125">
        <f>AL399*(1+IFERROR(INDEX(AL$10:AL$11,Предпосылки!$J294,),0))</f>
        <v>0</v>
      </c>
      <c s="125">
        <f>AM399*(1+IFERROR(INDEX(AM$10:AM$11,Предпосылки!$J294,),0))</f>
        <v>0</v>
      </c>
      <c s="125">
        <f>AN399*(1+IFERROR(INDEX(AN$10:AN$11,Предпосылки!$J294,),0))</f>
        <v>0</v>
      </c>
      <c s="125">
        <f>AO399*(1+IFERROR(INDEX(AO$10:AO$11,Предпосылки!$J294,),0))</f>
        <v>0</v>
      </c>
      <c s="125">
        <f>AP399*(1+IFERROR(INDEX(AP$10:AP$11,Предпосылки!$J294,),0))</f>
        <v>0</v>
      </c>
      <c s="125">
        <f>AQ399*(1+IFERROR(INDEX(AQ$10:AQ$11,Предпосылки!$J294,),0))</f>
        <v>0</v>
      </c>
      <c s="125">
        <f>AR399*(1+IFERROR(INDEX(AR$10:AR$11,Предпосылки!$J294,),0))</f>
        <v>0</v>
      </c>
      <c s="125">
        <f>AS399*(1+IFERROR(INDEX(AS$10:AS$11,Предпосылки!$J294,),0))</f>
        <v>0</v>
      </c>
      <c s="125">
        <f>AT399*(1+IFERROR(INDEX(AT$10:AT$11,Предпосылки!$J294,),0))</f>
        <v>0</v>
      </c>
      <c s="125">
        <f>AU399*(1+IFERROR(INDEX(AU$10:AU$11,Предпосылки!$J294,),0))</f>
        <v>0</v>
      </c>
      <c s="125">
        <f>AV399*(1+IFERROR(INDEX(AV$10:AV$11,Предпосылки!$J294,),0))</f>
        <v>0</v>
      </c>
      <c s="125">
        <f>AW399*(1+IFERROR(INDEX(AW$10:AW$11,Предпосылки!$J294,),0))</f>
        <v>0</v>
      </c>
      <c s="125">
        <f>AX399*(1+IFERROR(INDEX(AX$10:AX$11,Предпосылки!$J294,),0))</f>
        <v>0</v>
      </c>
      <c s="125">
        <f>AY399*(1+IFERROR(INDEX(AY$10:AY$11,Предпосылки!$J294,),0))</f>
        <v>0</v>
      </c>
      <c s="125">
        <f>AZ399*(1+IFERROR(INDEX(AZ$10:AZ$11,Предпосылки!$J294,),0))</f>
        <v>0</v>
      </c>
      <c s="125">
        <f>BA399*(1+IFERROR(INDEX(BA$10:BA$11,Предпосылки!$J294,),0))</f>
        <v>0</v>
      </c>
      <c s="125">
        <f>BB399*(1+IFERROR(INDEX(BB$10:BB$11,Предпосылки!$J294,),0))</f>
        <v>0</v>
      </c>
      <c s="125">
        <f>BC399*(1+IFERROR(INDEX(BC$10:BC$11,Предпосылки!$J294,),0))</f>
        <v>0</v>
      </c>
      <c s="125">
        <f>BD399*(1+IFERROR(INDEX(BD$10:BD$11,Предпосылки!$J294,),0))</f>
        <v>0</v>
      </c>
      <c s="125">
        <f>BE399*(1+IFERROR(INDEX(BE$10:BE$11,Предпосылки!$J294,),0))</f>
        <v>0</v>
      </c>
      <c s="125">
        <f>BF399*(1+IFERROR(INDEX(BF$10:BF$11,Предпосылки!$J294,),0))</f>
        <v>0</v>
      </c>
      <c s="125">
        <f>BG399*(1+IFERROR(INDEX(BG$10:BG$11,Предпосылки!$J294,),0))</f>
        <v>0</v>
      </c>
      <c s="125">
        <f>BH399*(1+IFERROR(INDEX(BH$10:BH$11,Предпосылки!$J294,),0))</f>
        <v>0</v>
      </c>
      <c s="125">
        <f>BI399*(1+IFERROR(INDEX(BI$10:BI$11,Предпосылки!$J294,),0))</f>
        <v>0</v>
      </c>
      <c s="125">
        <f>BJ399*(1+IFERROR(INDEX(BJ$10:BJ$11,Предпосылки!$J294,),0))</f>
        <v>0</v>
      </c>
      <c s="125">
        <f>BK399*(1+IFERROR(INDEX(BK$10:BK$11,Предпосылки!$J294,),0))</f>
        <v>0</v>
      </c>
      <c s="125">
        <f>BL399*(1+IFERROR(INDEX(BL$10:BL$11,Предпосылки!$J294,),0))</f>
        <v>0</v>
      </c>
      <c s="125">
        <f>BM399*(1+IFERROR(INDEX(BM$10:BM$11,Предпосылки!$J294,),0))</f>
        <v>0</v>
      </c>
    </row>
    <row r="458" spans="2:65" ht="15" customHeight="1">
      <c r="B458" s="12" t="str">
        <f t="shared" si="329"/>
        <v>-</v>
      </c>
      <c s="124" t="str">
        <f t="shared" si="328"/>
        <v>тыс. руб.</v>
      </c>
      <c s="125"/>
      <c s="125">
        <f>E400*(1+IFERROR(INDEX(E$10:E$11,Предпосылки!$J295,),0))</f>
        <v>0</v>
      </c>
      <c s="125">
        <f>F400*(1+IFERROR(INDEX(F$10:F$11,Предпосылки!$J295,),0))</f>
        <v>0</v>
      </c>
      <c s="125">
        <f>G400*(1+IFERROR(INDEX(G$10:G$11,Предпосылки!$J295,),0))</f>
        <v>0</v>
      </c>
      <c s="125">
        <f>H400*(1+IFERROR(INDEX(H$10:H$11,Предпосылки!$J295,),0))</f>
        <v>0</v>
      </c>
      <c s="125">
        <f>I400*(1+IFERROR(INDEX(I$10:I$11,Предпосылки!$J295,),0))</f>
        <v>0</v>
      </c>
      <c s="125">
        <f>J400*(1+IFERROR(INDEX(J$10:J$11,Предпосылки!$J295,),0))</f>
        <v>0</v>
      </c>
      <c s="125">
        <f>K400*(1+IFERROR(INDEX(K$10:K$11,Предпосылки!$J295,),0))</f>
        <v>0</v>
      </c>
      <c s="125">
        <f>L400*(1+IFERROR(INDEX(L$10:L$11,Предпосылки!$J295,),0))</f>
        <v>0</v>
      </c>
      <c s="125">
        <f>M400*(1+IFERROR(INDEX(M$10:M$11,Предпосылки!$J295,),0))</f>
        <v>0</v>
      </c>
      <c s="125">
        <f>N400*(1+IFERROR(INDEX(N$10:N$11,Предпосылки!$J295,),0))</f>
        <v>0</v>
      </c>
      <c s="125">
        <f>O400*(1+IFERROR(INDEX(O$10:O$11,Предпосылки!$J295,),0))</f>
        <v>0</v>
      </c>
      <c s="125">
        <f>P400*(1+IFERROR(INDEX(P$10:P$11,Предпосылки!$J295,),0))</f>
        <v>0</v>
      </c>
      <c s="125">
        <f>Q400*(1+IFERROR(INDEX(Q$10:Q$11,Предпосылки!$J295,),0))</f>
        <v>0</v>
      </c>
      <c s="125">
        <f>R400*(1+IFERROR(INDEX(R$10:R$11,Предпосылки!$J295,),0))</f>
        <v>0</v>
      </c>
      <c s="125">
        <f>S400*(1+IFERROR(INDEX(S$10:S$11,Предпосылки!$J295,),0))</f>
        <v>0</v>
      </c>
      <c s="125">
        <f>T400*(1+IFERROR(INDEX(T$10:T$11,Предпосылки!$J295,),0))</f>
        <v>0</v>
      </c>
      <c s="125">
        <f>U400*(1+IFERROR(INDEX(U$10:U$11,Предпосылки!$J295,),0))</f>
        <v>0</v>
      </c>
      <c s="125">
        <f>V400*(1+IFERROR(INDEX(V$10:V$11,Предпосылки!$J295,),0))</f>
        <v>0</v>
      </c>
      <c s="125">
        <f>W400*(1+IFERROR(INDEX(W$10:W$11,Предпосылки!$J295,),0))</f>
        <v>0</v>
      </c>
      <c s="125">
        <f>X400*(1+IFERROR(INDEX(X$10:X$11,Предпосылки!$J295,),0))</f>
        <v>0</v>
      </c>
      <c s="125">
        <f>Y400*(1+IFERROR(INDEX(Y$10:Y$11,Предпосылки!$J295,),0))</f>
        <v>0</v>
      </c>
      <c s="125">
        <f>Z400*(1+IFERROR(INDEX(Z$10:Z$11,Предпосылки!$J295,),0))</f>
        <v>0</v>
      </c>
      <c s="125">
        <f>AA400*(1+IFERROR(INDEX(AA$10:AA$11,Предпосылки!$J295,),0))</f>
        <v>0</v>
      </c>
      <c s="125">
        <f>AB400*(1+IFERROR(INDEX(AB$10:AB$11,Предпосылки!$J295,),0))</f>
        <v>0</v>
      </c>
      <c s="125">
        <f>AC400*(1+IFERROR(INDEX(AC$10:AC$11,Предпосылки!$J295,),0))</f>
        <v>0</v>
      </c>
      <c s="125">
        <f>AD400*(1+IFERROR(INDEX(AD$10:AD$11,Предпосылки!$J295,),0))</f>
        <v>0</v>
      </c>
      <c s="125">
        <f>AE400*(1+IFERROR(INDEX(AE$10:AE$11,Предпосылки!$J295,),0))</f>
        <v>0</v>
      </c>
      <c s="125">
        <f>AF400*(1+IFERROR(INDEX(AF$10:AF$11,Предпосылки!$J295,),0))</f>
        <v>0</v>
      </c>
      <c s="125">
        <f>AG400*(1+IFERROR(INDEX(AG$10:AG$11,Предпосылки!$J295,),0))</f>
        <v>0</v>
      </c>
      <c s="125">
        <f>AH400*(1+IFERROR(INDEX(AH$10:AH$11,Предпосылки!$J295,),0))</f>
        <v>0</v>
      </c>
      <c s="125">
        <f>AI400*(1+IFERROR(INDEX(AI$10:AI$11,Предпосылки!$J295,),0))</f>
        <v>0</v>
      </c>
      <c s="125">
        <f>AJ400*(1+IFERROR(INDEX(AJ$10:AJ$11,Предпосылки!$J295,),0))</f>
        <v>0</v>
      </c>
      <c s="125">
        <f>AK400*(1+IFERROR(INDEX(AK$10:AK$11,Предпосылки!$J295,),0))</f>
        <v>0</v>
      </c>
      <c s="125">
        <f>AL400*(1+IFERROR(INDEX(AL$10:AL$11,Предпосылки!$J295,),0))</f>
        <v>0</v>
      </c>
      <c s="125">
        <f>AM400*(1+IFERROR(INDEX(AM$10:AM$11,Предпосылки!$J295,),0))</f>
        <v>0</v>
      </c>
      <c s="125">
        <f>AN400*(1+IFERROR(INDEX(AN$10:AN$11,Предпосылки!$J295,),0))</f>
        <v>0</v>
      </c>
      <c s="125">
        <f>AO400*(1+IFERROR(INDEX(AO$10:AO$11,Предпосылки!$J295,),0))</f>
        <v>0</v>
      </c>
      <c s="125">
        <f>AP400*(1+IFERROR(INDEX(AP$10:AP$11,Предпосылки!$J295,),0))</f>
        <v>0</v>
      </c>
      <c s="125">
        <f>AQ400*(1+IFERROR(INDEX(AQ$10:AQ$11,Предпосылки!$J295,),0))</f>
        <v>0</v>
      </c>
      <c s="125">
        <f>AR400*(1+IFERROR(INDEX(AR$10:AR$11,Предпосылки!$J295,),0))</f>
        <v>0</v>
      </c>
      <c s="125">
        <f>AS400*(1+IFERROR(INDEX(AS$10:AS$11,Предпосылки!$J295,),0))</f>
        <v>0</v>
      </c>
      <c s="125">
        <f>AT400*(1+IFERROR(INDEX(AT$10:AT$11,Предпосылки!$J295,),0))</f>
        <v>0</v>
      </c>
      <c s="125">
        <f>AU400*(1+IFERROR(INDEX(AU$10:AU$11,Предпосылки!$J295,),0))</f>
        <v>0</v>
      </c>
      <c s="125">
        <f>AV400*(1+IFERROR(INDEX(AV$10:AV$11,Предпосылки!$J295,),0))</f>
        <v>0</v>
      </c>
      <c s="125">
        <f>AW400*(1+IFERROR(INDEX(AW$10:AW$11,Предпосылки!$J295,),0))</f>
        <v>0</v>
      </c>
      <c s="125">
        <f>AX400*(1+IFERROR(INDEX(AX$10:AX$11,Предпосылки!$J295,),0))</f>
        <v>0</v>
      </c>
      <c s="125">
        <f>AY400*(1+IFERROR(INDEX(AY$10:AY$11,Предпосылки!$J295,),0))</f>
        <v>0</v>
      </c>
      <c s="125">
        <f>AZ400*(1+IFERROR(INDEX(AZ$10:AZ$11,Предпосылки!$J295,),0))</f>
        <v>0</v>
      </c>
      <c s="125">
        <f>BA400*(1+IFERROR(INDEX(BA$10:BA$11,Предпосылки!$J295,),0))</f>
        <v>0</v>
      </c>
      <c s="125">
        <f>BB400*(1+IFERROR(INDEX(BB$10:BB$11,Предпосылки!$J295,),0))</f>
        <v>0</v>
      </c>
      <c s="125">
        <f>BC400*(1+IFERROR(INDEX(BC$10:BC$11,Предпосылки!$J295,),0))</f>
        <v>0</v>
      </c>
      <c s="125">
        <f>BD400*(1+IFERROR(INDEX(BD$10:BD$11,Предпосылки!$J295,),0))</f>
        <v>0</v>
      </c>
      <c s="125">
        <f>BE400*(1+IFERROR(INDEX(BE$10:BE$11,Предпосылки!$J295,),0))</f>
        <v>0</v>
      </c>
      <c s="125">
        <f>BF400*(1+IFERROR(INDEX(BF$10:BF$11,Предпосылки!$J295,),0))</f>
        <v>0</v>
      </c>
      <c s="125">
        <f>BG400*(1+IFERROR(INDEX(BG$10:BG$11,Предпосылки!$J295,),0))</f>
        <v>0</v>
      </c>
      <c s="125">
        <f>BH400*(1+IFERROR(INDEX(BH$10:BH$11,Предпосылки!$J295,),0))</f>
        <v>0</v>
      </c>
      <c s="125">
        <f>BI400*(1+IFERROR(INDEX(BI$10:BI$11,Предпосылки!$J295,),0))</f>
        <v>0</v>
      </c>
      <c s="125">
        <f>BJ400*(1+IFERROR(INDEX(BJ$10:BJ$11,Предпосылки!$J295,),0))</f>
        <v>0</v>
      </c>
      <c s="125">
        <f>BK400*(1+IFERROR(INDEX(BK$10:BK$11,Предпосылки!$J295,),0))</f>
        <v>0</v>
      </c>
      <c s="125">
        <f>BL400*(1+IFERROR(INDEX(BL$10:BL$11,Предпосылки!$J295,),0))</f>
        <v>0</v>
      </c>
      <c s="125">
        <f>BM400*(1+IFERROR(INDEX(BM$10:BM$11,Предпосылки!$J295,),0))</f>
        <v>0</v>
      </c>
    </row>
    <row r="459" spans="2:65" ht="15" customHeight="1">
      <c r="B459" s="12" t="str">
        <f t="shared" si="329"/>
        <v>-</v>
      </c>
      <c s="124" t="str">
        <f t="shared" si="328"/>
        <v>тыс. руб.</v>
      </c>
      <c s="125"/>
      <c s="125">
        <f>E401*(1+IFERROR(INDEX(E$10:E$11,Предпосылки!$J296,),0))</f>
        <v>0</v>
      </c>
      <c s="125">
        <f>F401*(1+IFERROR(INDEX(F$10:F$11,Предпосылки!$J296,),0))</f>
        <v>0</v>
      </c>
      <c s="125">
        <f>G401*(1+IFERROR(INDEX(G$10:G$11,Предпосылки!$J296,),0))</f>
        <v>0</v>
      </c>
      <c s="125">
        <f>H401*(1+IFERROR(INDEX(H$10:H$11,Предпосылки!$J296,),0))</f>
        <v>0</v>
      </c>
      <c s="125">
        <f>I401*(1+IFERROR(INDEX(I$10:I$11,Предпосылки!$J296,),0))</f>
        <v>0</v>
      </c>
      <c s="125">
        <f>J401*(1+IFERROR(INDEX(J$10:J$11,Предпосылки!$J296,),0))</f>
        <v>0</v>
      </c>
      <c s="125">
        <f>K401*(1+IFERROR(INDEX(K$10:K$11,Предпосылки!$J296,),0))</f>
        <v>0</v>
      </c>
      <c s="125">
        <f>L401*(1+IFERROR(INDEX(L$10:L$11,Предпосылки!$J296,),0))</f>
        <v>0</v>
      </c>
      <c s="125">
        <f>M401*(1+IFERROR(INDEX(M$10:M$11,Предпосылки!$J296,),0))</f>
        <v>0</v>
      </c>
      <c s="125">
        <f>N401*(1+IFERROR(INDEX(N$10:N$11,Предпосылки!$J296,),0))</f>
        <v>0</v>
      </c>
      <c s="125">
        <f>O401*(1+IFERROR(INDEX(O$10:O$11,Предпосылки!$J296,),0))</f>
        <v>0</v>
      </c>
      <c s="125">
        <f>P401*(1+IFERROR(INDEX(P$10:P$11,Предпосылки!$J296,),0))</f>
        <v>0</v>
      </c>
      <c s="125">
        <f>Q401*(1+IFERROR(INDEX(Q$10:Q$11,Предпосылки!$J296,),0))</f>
        <v>0</v>
      </c>
      <c s="125">
        <f>R401*(1+IFERROR(INDEX(R$10:R$11,Предпосылки!$J296,),0))</f>
        <v>0</v>
      </c>
      <c s="125">
        <f>S401*(1+IFERROR(INDEX(S$10:S$11,Предпосылки!$J296,),0))</f>
        <v>0</v>
      </c>
      <c s="125">
        <f>T401*(1+IFERROR(INDEX(T$10:T$11,Предпосылки!$J296,),0))</f>
        <v>0</v>
      </c>
      <c s="125">
        <f>U401*(1+IFERROR(INDEX(U$10:U$11,Предпосылки!$J296,),0))</f>
        <v>0</v>
      </c>
      <c s="125">
        <f>V401*(1+IFERROR(INDEX(V$10:V$11,Предпосылки!$J296,),0))</f>
        <v>0</v>
      </c>
      <c s="125">
        <f>W401*(1+IFERROR(INDEX(W$10:W$11,Предпосылки!$J296,),0))</f>
        <v>0</v>
      </c>
      <c s="125">
        <f>X401*(1+IFERROR(INDEX(X$10:X$11,Предпосылки!$J296,),0))</f>
        <v>0</v>
      </c>
      <c s="125">
        <f>Y401*(1+IFERROR(INDEX(Y$10:Y$11,Предпосылки!$J296,),0))</f>
        <v>0</v>
      </c>
      <c s="125">
        <f>Z401*(1+IFERROR(INDEX(Z$10:Z$11,Предпосылки!$J296,),0))</f>
        <v>0</v>
      </c>
      <c s="125">
        <f>AA401*(1+IFERROR(INDEX(AA$10:AA$11,Предпосылки!$J296,),0))</f>
        <v>0</v>
      </c>
      <c s="125">
        <f>AB401*(1+IFERROR(INDEX(AB$10:AB$11,Предпосылки!$J296,),0))</f>
        <v>0</v>
      </c>
      <c s="125">
        <f>AC401*(1+IFERROR(INDEX(AC$10:AC$11,Предпосылки!$J296,),0))</f>
        <v>0</v>
      </c>
      <c s="125">
        <f>AD401*(1+IFERROR(INDEX(AD$10:AD$11,Предпосылки!$J296,),0))</f>
        <v>0</v>
      </c>
      <c s="125">
        <f>AE401*(1+IFERROR(INDEX(AE$10:AE$11,Предпосылки!$J296,),0))</f>
        <v>0</v>
      </c>
      <c s="125">
        <f>AF401*(1+IFERROR(INDEX(AF$10:AF$11,Предпосылки!$J296,),0))</f>
        <v>0</v>
      </c>
      <c s="125">
        <f>AG401*(1+IFERROR(INDEX(AG$10:AG$11,Предпосылки!$J296,),0))</f>
        <v>0</v>
      </c>
      <c s="125">
        <f>AH401*(1+IFERROR(INDEX(AH$10:AH$11,Предпосылки!$J296,),0))</f>
        <v>0</v>
      </c>
      <c s="125">
        <f>AI401*(1+IFERROR(INDEX(AI$10:AI$11,Предпосылки!$J296,),0))</f>
        <v>0</v>
      </c>
      <c s="125">
        <f>AJ401*(1+IFERROR(INDEX(AJ$10:AJ$11,Предпосылки!$J296,),0))</f>
        <v>0</v>
      </c>
      <c s="125">
        <f>AK401*(1+IFERROR(INDEX(AK$10:AK$11,Предпосылки!$J296,),0))</f>
        <v>0</v>
      </c>
      <c s="125">
        <f>AL401*(1+IFERROR(INDEX(AL$10:AL$11,Предпосылки!$J296,),0))</f>
        <v>0</v>
      </c>
      <c s="125">
        <f>AM401*(1+IFERROR(INDEX(AM$10:AM$11,Предпосылки!$J296,),0))</f>
        <v>0</v>
      </c>
      <c s="125">
        <f>AN401*(1+IFERROR(INDEX(AN$10:AN$11,Предпосылки!$J296,),0))</f>
        <v>0</v>
      </c>
      <c s="125">
        <f>AO401*(1+IFERROR(INDEX(AO$10:AO$11,Предпосылки!$J296,),0))</f>
        <v>0</v>
      </c>
      <c s="125">
        <f>AP401*(1+IFERROR(INDEX(AP$10:AP$11,Предпосылки!$J296,),0))</f>
        <v>0</v>
      </c>
      <c s="125">
        <f>AQ401*(1+IFERROR(INDEX(AQ$10:AQ$11,Предпосылки!$J296,),0))</f>
        <v>0</v>
      </c>
      <c s="125">
        <f>AR401*(1+IFERROR(INDEX(AR$10:AR$11,Предпосылки!$J296,),0))</f>
        <v>0</v>
      </c>
      <c s="125">
        <f>AS401*(1+IFERROR(INDEX(AS$10:AS$11,Предпосылки!$J296,),0))</f>
        <v>0</v>
      </c>
      <c s="125">
        <f>AT401*(1+IFERROR(INDEX(AT$10:AT$11,Предпосылки!$J296,),0))</f>
        <v>0</v>
      </c>
      <c s="125">
        <f>AU401*(1+IFERROR(INDEX(AU$10:AU$11,Предпосылки!$J296,),0))</f>
        <v>0</v>
      </c>
      <c s="125">
        <f>AV401*(1+IFERROR(INDEX(AV$10:AV$11,Предпосылки!$J296,),0))</f>
        <v>0</v>
      </c>
      <c s="125">
        <f>AW401*(1+IFERROR(INDEX(AW$10:AW$11,Предпосылки!$J296,),0))</f>
        <v>0</v>
      </c>
      <c s="125">
        <f>AX401*(1+IFERROR(INDEX(AX$10:AX$11,Предпосылки!$J296,),0))</f>
        <v>0</v>
      </c>
      <c s="125">
        <f>AY401*(1+IFERROR(INDEX(AY$10:AY$11,Предпосылки!$J296,),0))</f>
        <v>0</v>
      </c>
      <c s="125">
        <f>AZ401*(1+IFERROR(INDEX(AZ$10:AZ$11,Предпосылки!$J296,),0))</f>
        <v>0</v>
      </c>
      <c s="125">
        <f>BA401*(1+IFERROR(INDEX(BA$10:BA$11,Предпосылки!$J296,),0))</f>
        <v>0</v>
      </c>
      <c s="125">
        <f>BB401*(1+IFERROR(INDEX(BB$10:BB$11,Предпосылки!$J296,),0))</f>
        <v>0</v>
      </c>
      <c s="125">
        <f>BC401*(1+IFERROR(INDEX(BC$10:BC$11,Предпосылки!$J296,),0))</f>
        <v>0</v>
      </c>
      <c s="125">
        <f>BD401*(1+IFERROR(INDEX(BD$10:BD$11,Предпосылки!$J296,),0))</f>
        <v>0</v>
      </c>
      <c s="125">
        <f>BE401*(1+IFERROR(INDEX(BE$10:BE$11,Предпосылки!$J296,),0))</f>
        <v>0</v>
      </c>
      <c s="125">
        <f>BF401*(1+IFERROR(INDEX(BF$10:BF$11,Предпосылки!$J296,),0))</f>
        <v>0</v>
      </c>
      <c s="125">
        <f>BG401*(1+IFERROR(INDEX(BG$10:BG$11,Предпосылки!$J296,),0))</f>
        <v>0</v>
      </c>
      <c s="125">
        <f>BH401*(1+IFERROR(INDEX(BH$10:BH$11,Предпосылки!$J296,),0))</f>
        <v>0</v>
      </c>
      <c s="125">
        <f>BI401*(1+IFERROR(INDEX(BI$10:BI$11,Предпосылки!$J296,),0))</f>
        <v>0</v>
      </c>
      <c s="125">
        <f>BJ401*(1+IFERROR(INDEX(BJ$10:BJ$11,Предпосылки!$J296,),0))</f>
        <v>0</v>
      </c>
      <c s="125">
        <f>BK401*(1+IFERROR(INDEX(BK$10:BK$11,Предпосылки!$J296,),0))</f>
        <v>0</v>
      </c>
      <c s="125">
        <f>BL401*(1+IFERROR(INDEX(BL$10:BL$11,Предпосылки!$J296,),0))</f>
        <v>0</v>
      </c>
      <c s="125">
        <f>BM401*(1+IFERROR(INDEX(BM$10:BM$11,Предпосылки!$J296,),0))</f>
        <v>0</v>
      </c>
    </row>
    <row r="460" spans="2:65" ht="15" customHeight="1">
      <c r="B460" s="12" t="str">
        <f t="shared" si="329"/>
        <v>-</v>
      </c>
      <c s="124" t="str">
        <f t="shared" si="328"/>
        <v>тыс. руб.</v>
      </c>
      <c s="125"/>
      <c s="125">
        <f>E402*(1+IFERROR(INDEX(E$10:E$11,Предпосылки!$J297,),0))</f>
        <v>0</v>
      </c>
      <c s="125">
        <f>F402*(1+IFERROR(INDEX(F$10:F$11,Предпосылки!$J297,),0))</f>
        <v>0</v>
      </c>
      <c s="125">
        <f>G402*(1+IFERROR(INDEX(G$10:G$11,Предпосылки!$J297,),0))</f>
        <v>0</v>
      </c>
      <c s="125">
        <f>H402*(1+IFERROR(INDEX(H$10:H$11,Предпосылки!$J297,),0))</f>
        <v>0</v>
      </c>
      <c s="125">
        <f>I402*(1+IFERROR(INDEX(I$10:I$11,Предпосылки!$J297,),0))</f>
        <v>0</v>
      </c>
      <c s="125">
        <f>J402*(1+IFERROR(INDEX(J$10:J$11,Предпосылки!$J297,),0))</f>
        <v>0</v>
      </c>
      <c s="125">
        <f>K402*(1+IFERROR(INDEX(K$10:K$11,Предпосылки!$J297,),0))</f>
        <v>0</v>
      </c>
      <c s="125">
        <f>L402*(1+IFERROR(INDEX(L$10:L$11,Предпосылки!$J297,),0))</f>
        <v>0</v>
      </c>
      <c s="125">
        <f>M402*(1+IFERROR(INDEX(M$10:M$11,Предпосылки!$J297,),0))</f>
        <v>0</v>
      </c>
      <c s="125">
        <f>N402*(1+IFERROR(INDEX(N$10:N$11,Предпосылки!$J297,),0))</f>
        <v>0</v>
      </c>
      <c s="125">
        <f>O402*(1+IFERROR(INDEX(O$10:O$11,Предпосылки!$J297,),0))</f>
        <v>0</v>
      </c>
      <c s="125">
        <f>P402*(1+IFERROR(INDEX(P$10:P$11,Предпосылки!$J297,),0))</f>
        <v>0</v>
      </c>
      <c s="125">
        <f>Q402*(1+IFERROR(INDEX(Q$10:Q$11,Предпосылки!$J297,),0))</f>
        <v>0</v>
      </c>
      <c s="125">
        <f>R402*(1+IFERROR(INDEX(R$10:R$11,Предпосылки!$J297,),0))</f>
        <v>0</v>
      </c>
      <c s="125">
        <f>S402*(1+IFERROR(INDEX(S$10:S$11,Предпосылки!$J297,),0))</f>
        <v>0</v>
      </c>
      <c s="125">
        <f>T402*(1+IFERROR(INDEX(T$10:T$11,Предпосылки!$J297,),0))</f>
        <v>0</v>
      </c>
      <c s="125">
        <f>U402*(1+IFERROR(INDEX(U$10:U$11,Предпосылки!$J297,),0))</f>
        <v>0</v>
      </c>
      <c s="125">
        <f>V402*(1+IFERROR(INDEX(V$10:V$11,Предпосылки!$J297,),0))</f>
        <v>0</v>
      </c>
      <c s="125">
        <f>W402*(1+IFERROR(INDEX(W$10:W$11,Предпосылки!$J297,),0))</f>
        <v>0</v>
      </c>
      <c s="125">
        <f>X402*(1+IFERROR(INDEX(X$10:X$11,Предпосылки!$J297,),0))</f>
        <v>0</v>
      </c>
      <c s="125">
        <f>Y402*(1+IFERROR(INDEX(Y$10:Y$11,Предпосылки!$J297,),0))</f>
        <v>0</v>
      </c>
      <c s="125">
        <f>Z402*(1+IFERROR(INDEX(Z$10:Z$11,Предпосылки!$J297,),0))</f>
        <v>0</v>
      </c>
      <c s="125">
        <f>AA402*(1+IFERROR(INDEX(AA$10:AA$11,Предпосылки!$J297,),0))</f>
        <v>0</v>
      </c>
      <c s="125">
        <f>AB402*(1+IFERROR(INDEX(AB$10:AB$11,Предпосылки!$J297,),0))</f>
        <v>0</v>
      </c>
      <c s="125">
        <f>AC402*(1+IFERROR(INDEX(AC$10:AC$11,Предпосылки!$J297,),0))</f>
        <v>0</v>
      </c>
      <c s="125">
        <f>AD402*(1+IFERROR(INDEX(AD$10:AD$11,Предпосылки!$J297,),0))</f>
        <v>0</v>
      </c>
      <c s="125">
        <f>AE402*(1+IFERROR(INDEX(AE$10:AE$11,Предпосылки!$J297,),0))</f>
        <v>0</v>
      </c>
      <c s="125">
        <f>AF402*(1+IFERROR(INDEX(AF$10:AF$11,Предпосылки!$J297,),0))</f>
        <v>0</v>
      </c>
      <c s="125">
        <f>AG402*(1+IFERROR(INDEX(AG$10:AG$11,Предпосылки!$J297,),0))</f>
        <v>0</v>
      </c>
      <c s="125">
        <f>AH402*(1+IFERROR(INDEX(AH$10:AH$11,Предпосылки!$J297,),0))</f>
        <v>0</v>
      </c>
      <c s="125">
        <f>AI402*(1+IFERROR(INDEX(AI$10:AI$11,Предпосылки!$J297,),0))</f>
        <v>0</v>
      </c>
      <c s="125">
        <f>AJ402*(1+IFERROR(INDEX(AJ$10:AJ$11,Предпосылки!$J297,),0))</f>
        <v>0</v>
      </c>
      <c s="125">
        <f>AK402*(1+IFERROR(INDEX(AK$10:AK$11,Предпосылки!$J297,),0))</f>
        <v>0</v>
      </c>
      <c s="125">
        <f>AL402*(1+IFERROR(INDEX(AL$10:AL$11,Предпосылки!$J297,),0))</f>
        <v>0</v>
      </c>
      <c s="125">
        <f>AM402*(1+IFERROR(INDEX(AM$10:AM$11,Предпосылки!$J297,),0))</f>
        <v>0</v>
      </c>
      <c s="125">
        <f>AN402*(1+IFERROR(INDEX(AN$10:AN$11,Предпосылки!$J297,),0))</f>
        <v>0</v>
      </c>
      <c s="125">
        <f>AO402*(1+IFERROR(INDEX(AO$10:AO$11,Предпосылки!$J297,),0))</f>
        <v>0</v>
      </c>
      <c s="125">
        <f>AP402*(1+IFERROR(INDEX(AP$10:AP$11,Предпосылки!$J297,),0))</f>
        <v>0</v>
      </c>
      <c s="125">
        <f>AQ402*(1+IFERROR(INDEX(AQ$10:AQ$11,Предпосылки!$J297,),0))</f>
        <v>0</v>
      </c>
      <c s="125">
        <f>AR402*(1+IFERROR(INDEX(AR$10:AR$11,Предпосылки!$J297,),0))</f>
        <v>0</v>
      </c>
      <c s="125">
        <f>AS402*(1+IFERROR(INDEX(AS$10:AS$11,Предпосылки!$J297,),0))</f>
        <v>0</v>
      </c>
      <c s="125">
        <f>AT402*(1+IFERROR(INDEX(AT$10:AT$11,Предпосылки!$J297,),0))</f>
        <v>0</v>
      </c>
      <c s="125">
        <f>AU402*(1+IFERROR(INDEX(AU$10:AU$11,Предпосылки!$J297,),0))</f>
        <v>0</v>
      </c>
      <c s="125">
        <f>AV402*(1+IFERROR(INDEX(AV$10:AV$11,Предпосылки!$J297,),0))</f>
        <v>0</v>
      </c>
      <c s="125">
        <f>AW402*(1+IFERROR(INDEX(AW$10:AW$11,Предпосылки!$J297,),0))</f>
        <v>0</v>
      </c>
      <c s="125">
        <f>AX402*(1+IFERROR(INDEX(AX$10:AX$11,Предпосылки!$J297,),0))</f>
        <v>0</v>
      </c>
      <c s="125">
        <f>AY402*(1+IFERROR(INDEX(AY$10:AY$11,Предпосылки!$J297,),0))</f>
        <v>0</v>
      </c>
      <c s="125">
        <f>AZ402*(1+IFERROR(INDEX(AZ$10:AZ$11,Предпосылки!$J297,),0))</f>
        <v>0</v>
      </c>
      <c s="125">
        <f>BA402*(1+IFERROR(INDEX(BA$10:BA$11,Предпосылки!$J297,),0))</f>
        <v>0</v>
      </c>
      <c s="125">
        <f>BB402*(1+IFERROR(INDEX(BB$10:BB$11,Предпосылки!$J297,),0))</f>
        <v>0</v>
      </c>
      <c s="125">
        <f>BC402*(1+IFERROR(INDEX(BC$10:BC$11,Предпосылки!$J297,),0))</f>
        <v>0</v>
      </c>
      <c s="125">
        <f>BD402*(1+IFERROR(INDEX(BD$10:BD$11,Предпосылки!$J297,),0))</f>
        <v>0</v>
      </c>
      <c s="125">
        <f>BE402*(1+IFERROR(INDEX(BE$10:BE$11,Предпосылки!$J297,),0))</f>
        <v>0</v>
      </c>
      <c s="125">
        <f>BF402*(1+IFERROR(INDEX(BF$10:BF$11,Предпосылки!$J297,),0))</f>
        <v>0</v>
      </c>
      <c s="125">
        <f>BG402*(1+IFERROR(INDEX(BG$10:BG$11,Предпосылки!$J297,),0))</f>
        <v>0</v>
      </c>
      <c s="125">
        <f>BH402*(1+IFERROR(INDEX(BH$10:BH$11,Предпосылки!$J297,),0))</f>
        <v>0</v>
      </c>
      <c s="125">
        <f>BI402*(1+IFERROR(INDEX(BI$10:BI$11,Предпосылки!$J297,),0))</f>
        <v>0</v>
      </c>
      <c s="125">
        <f>BJ402*(1+IFERROR(INDEX(BJ$10:BJ$11,Предпосылки!$J297,),0))</f>
        <v>0</v>
      </c>
      <c s="125">
        <f>BK402*(1+IFERROR(INDEX(BK$10:BK$11,Предпосылки!$J297,),0))</f>
        <v>0</v>
      </c>
      <c s="125">
        <f>BL402*(1+IFERROR(INDEX(BL$10:BL$11,Предпосылки!$J297,),0))</f>
        <v>0</v>
      </c>
      <c s="125">
        <f>BM402*(1+IFERROR(INDEX(BM$10:BM$11,Предпосылки!$J297,),0))</f>
        <v>0</v>
      </c>
    </row>
    <row r="461" spans="2:65" ht="15" customHeight="1">
      <c r="B461" s="12" t="str">
        <f t="shared" si="329"/>
        <v>-</v>
      </c>
      <c s="124" t="str">
        <f t="shared" si="328"/>
        <v>тыс. руб.</v>
      </c>
      <c s="125"/>
      <c s="125">
        <f>E403*(1+IFERROR(INDEX(E$10:E$11,Предпосылки!$J298,),0))</f>
        <v>0</v>
      </c>
      <c s="125">
        <f>F403*(1+IFERROR(INDEX(F$10:F$11,Предпосылки!$J298,),0))</f>
        <v>0</v>
      </c>
      <c s="125">
        <f>G403*(1+IFERROR(INDEX(G$10:G$11,Предпосылки!$J298,),0))</f>
        <v>0</v>
      </c>
      <c s="125">
        <f>H403*(1+IFERROR(INDEX(H$10:H$11,Предпосылки!$J298,),0))</f>
        <v>0</v>
      </c>
      <c s="125">
        <f>I403*(1+IFERROR(INDEX(I$10:I$11,Предпосылки!$J298,),0))</f>
        <v>0</v>
      </c>
      <c s="125">
        <f>J403*(1+IFERROR(INDEX(J$10:J$11,Предпосылки!$J298,),0))</f>
        <v>0</v>
      </c>
      <c s="125">
        <f>K403*(1+IFERROR(INDEX(K$10:K$11,Предпосылки!$J298,),0))</f>
        <v>0</v>
      </c>
      <c s="125">
        <f>L403*(1+IFERROR(INDEX(L$10:L$11,Предпосылки!$J298,),0))</f>
        <v>0</v>
      </c>
      <c s="125">
        <f>M403*(1+IFERROR(INDEX(M$10:M$11,Предпосылки!$J298,),0))</f>
        <v>0</v>
      </c>
      <c s="125">
        <f>N403*(1+IFERROR(INDEX(N$10:N$11,Предпосылки!$J298,),0))</f>
        <v>0</v>
      </c>
      <c s="125">
        <f>O403*(1+IFERROR(INDEX(O$10:O$11,Предпосылки!$J298,),0))</f>
        <v>0</v>
      </c>
      <c s="125">
        <f>P403*(1+IFERROR(INDEX(P$10:P$11,Предпосылки!$J298,),0))</f>
        <v>0</v>
      </c>
      <c s="125">
        <f>Q403*(1+IFERROR(INDEX(Q$10:Q$11,Предпосылки!$J298,),0))</f>
        <v>0</v>
      </c>
      <c s="125">
        <f>R403*(1+IFERROR(INDEX(R$10:R$11,Предпосылки!$J298,),0))</f>
        <v>0</v>
      </c>
      <c s="125">
        <f>S403*(1+IFERROR(INDEX(S$10:S$11,Предпосылки!$J298,),0))</f>
        <v>0</v>
      </c>
      <c s="125">
        <f>T403*(1+IFERROR(INDEX(T$10:T$11,Предпосылки!$J298,),0))</f>
        <v>0</v>
      </c>
      <c s="125">
        <f>U403*(1+IFERROR(INDEX(U$10:U$11,Предпосылки!$J298,),0))</f>
        <v>0</v>
      </c>
      <c s="125">
        <f>V403*(1+IFERROR(INDEX(V$10:V$11,Предпосылки!$J298,),0))</f>
        <v>0</v>
      </c>
      <c s="125">
        <f>W403*(1+IFERROR(INDEX(W$10:W$11,Предпосылки!$J298,),0))</f>
        <v>0</v>
      </c>
      <c s="125">
        <f>X403*(1+IFERROR(INDEX(X$10:X$11,Предпосылки!$J298,),0))</f>
        <v>0</v>
      </c>
      <c s="125">
        <f>Y403*(1+IFERROR(INDEX(Y$10:Y$11,Предпосылки!$J298,),0))</f>
        <v>0</v>
      </c>
      <c s="125">
        <f>Z403*(1+IFERROR(INDEX(Z$10:Z$11,Предпосылки!$J298,),0))</f>
        <v>0</v>
      </c>
      <c s="125">
        <f>AA403*(1+IFERROR(INDEX(AA$10:AA$11,Предпосылки!$J298,),0))</f>
        <v>0</v>
      </c>
      <c s="125">
        <f>AB403*(1+IFERROR(INDEX(AB$10:AB$11,Предпосылки!$J298,),0))</f>
        <v>0</v>
      </c>
      <c s="125">
        <f>AC403*(1+IFERROR(INDEX(AC$10:AC$11,Предпосылки!$J298,),0))</f>
        <v>0</v>
      </c>
      <c s="125">
        <f>AD403*(1+IFERROR(INDEX(AD$10:AD$11,Предпосылки!$J298,),0))</f>
        <v>0</v>
      </c>
      <c s="125">
        <f>AE403*(1+IFERROR(INDEX(AE$10:AE$11,Предпосылки!$J298,),0))</f>
        <v>0</v>
      </c>
      <c s="125">
        <f>AF403*(1+IFERROR(INDEX(AF$10:AF$11,Предпосылки!$J298,),0))</f>
        <v>0</v>
      </c>
      <c s="125">
        <f>AG403*(1+IFERROR(INDEX(AG$10:AG$11,Предпосылки!$J298,),0))</f>
        <v>0</v>
      </c>
      <c s="125">
        <f>AH403*(1+IFERROR(INDEX(AH$10:AH$11,Предпосылки!$J298,),0))</f>
        <v>0</v>
      </c>
      <c s="125">
        <f>AI403*(1+IFERROR(INDEX(AI$10:AI$11,Предпосылки!$J298,),0))</f>
        <v>0</v>
      </c>
      <c s="125">
        <f>AJ403*(1+IFERROR(INDEX(AJ$10:AJ$11,Предпосылки!$J298,),0))</f>
        <v>0</v>
      </c>
      <c s="125">
        <f>AK403*(1+IFERROR(INDEX(AK$10:AK$11,Предпосылки!$J298,),0))</f>
        <v>0</v>
      </c>
      <c s="125">
        <f>AL403*(1+IFERROR(INDEX(AL$10:AL$11,Предпосылки!$J298,),0))</f>
        <v>0</v>
      </c>
      <c s="125">
        <f>AM403*(1+IFERROR(INDEX(AM$10:AM$11,Предпосылки!$J298,),0))</f>
        <v>0</v>
      </c>
      <c s="125">
        <f>AN403*(1+IFERROR(INDEX(AN$10:AN$11,Предпосылки!$J298,),0))</f>
        <v>0</v>
      </c>
      <c s="125">
        <f>AO403*(1+IFERROR(INDEX(AO$10:AO$11,Предпосылки!$J298,),0))</f>
        <v>0</v>
      </c>
      <c s="125">
        <f>AP403*(1+IFERROR(INDEX(AP$10:AP$11,Предпосылки!$J298,),0))</f>
        <v>0</v>
      </c>
      <c s="125">
        <f>AQ403*(1+IFERROR(INDEX(AQ$10:AQ$11,Предпосылки!$J298,),0))</f>
        <v>0</v>
      </c>
      <c s="125">
        <f>AR403*(1+IFERROR(INDEX(AR$10:AR$11,Предпосылки!$J298,),0))</f>
        <v>0</v>
      </c>
      <c s="125">
        <f>AS403*(1+IFERROR(INDEX(AS$10:AS$11,Предпосылки!$J298,),0))</f>
        <v>0</v>
      </c>
      <c s="125">
        <f>AT403*(1+IFERROR(INDEX(AT$10:AT$11,Предпосылки!$J298,),0))</f>
        <v>0</v>
      </c>
      <c s="125">
        <f>AU403*(1+IFERROR(INDEX(AU$10:AU$11,Предпосылки!$J298,),0))</f>
        <v>0</v>
      </c>
      <c s="125">
        <f>AV403*(1+IFERROR(INDEX(AV$10:AV$11,Предпосылки!$J298,),0))</f>
        <v>0</v>
      </c>
      <c s="125">
        <f>AW403*(1+IFERROR(INDEX(AW$10:AW$11,Предпосылки!$J298,),0))</f>
        <v>0</v>
      </c>
      <c s="125">
        <f>AX403*(1+IFERROR(INDEX(AX$10:AX$11,Предпосылки!$J298,),0))</f>
        <v>0</v>
      </c>
      <c s="125">
        <f>AY403*(1+IFERROR(INDEX(AY$10:AY$11,Предпосылки!$J298,),0))</f>
        <v>0</v>
      </c>
      <c s="125">
        <f>AZ403*(1+IFERROR(INDEX(AZ$10:AZ$11,Предпосылки!$J298,),0))</f>
        <v>0</v>
      </c>
      <c s="125">
        <f>BA403*(1+IFERROR(INDEX(BA$10:BA$11,Предпосылки!$J298,),0))</f>
        <v>0</v>
      </c>
      <c s="125">
        <f>BB403*(1+IFERROR(INDEX(BB$10:BB$11,Предпосылки!$J298,),0))</f>
        <v>0</v>
      </c>
      <c s="125">
        <f>BC403*(1+IFERROR(INDEX(BC$10:BC$11,Предпосылки!$J298,),0))</f>
        <v>0</v>
      </c>
      <c s="125">
        <f>BD403*(1+IFERROR(INDEX(BD$10:BD$11,Предпосылки!$J298,),0))</f>
        <v>0</v>
      </c>
      <c s="125">
        <f>BE403*(1+IFERROR(INDEX(BE$10:BE$11,Предпосылки!$J298,),0))</f>
        <v>0</v>
      </c>
      <c s="125">
        <f>BF403*(1+IFERROR(INDEX(BF$10:BF$11,Предпосылки!$J298,),0))</f>
        <v>0</v>
      </c>
      <c s="125">
        <f>BG403*(1+IFERROR(INDEX(BG$10:BG$11,Предпосылки!$J298,),0))</f>
        <v>0</v>
      </c>
      <c s="125">
        <f>BH403*(1+IFERROR(INDEX(BH$10:BH$11,Предпосылки!$J298,),0))</f>
        <v>0</v>
      </c>
      <c s="125">
        <f>BI403*(1+IFERROR(INDEX(BI$10:BI$11,Предпосылки!$J298,),0))</f>
        <v>0</v>
      </c>
      <c s="125">
        <f>BJ403*(1+IFERROR(INDEX(BJ$10:BJ$11,Предпосылки!$J298,),0))</f>
        <v>0</v>
      </c>
      <c s="125">
        <f>BK403*(1+IFERROR(INDEX(BK$10:BK$11,Предпосылки!$J298,),0))</f>
        <v>0</v>
      </c>
      <c s="125">
        <f>BL403*(1+IFERROR(INDEX(BL$10:BL$11,Предпосылки!$J298,),0))</f>
        <v>0</v>
      </c>
      <c s="125">
        <f>BM403*(1+IFERROR(INDEX(BM$10:BM$11,Предпосылки!$J298,),0))</f>
        <v>0</v>
      </c>
    </row>
    <row r="462" spans="2:65" ht="15" customHeight="1">
      <c r="B462" s="12" t="str">
        <f t="shared" si="329"/>
        <v>-</v>
      </c>
      <c s="124" t="str">
        <f t="shared" si="328"/>
        <v>тыс. руб.</v>
      </c>
      <c s="125"/>
      <c s="125">
        <f>E404*(1+IFERROR(INDEX(E$10:E$11,Предпосылки!$J299,),0))</f>
        <v>0</v>
      </c>
      <c s="125">
        <f>F404*(1+IFERROR(INDEX(F$10:F$11,Предпосылки!$J299,),0))</f>
        <v>0</v>
      </c>
      <c s="125">
        <f>G404*(1+IFERROR(INDEX(G$10:G$11,Предпосылки!$J299,),0))</f>
        <v>0</v>
      </c>
      <c s="125">
        <f>H404*(1+IFERROR(INDEX(H$10:H$11,Предпосылки!$J299,),0))</f>
        <v>0</v>
      </c>
      <c s="125">
        <f>I404*(1+IFERROR(INDEX(I$10:I$11,Предпосылки!$J299,),0))</f>
        <v>0</v>
      </c>
      <c s="125">
        <f>J404*(1+IFERROR(INDEX(J$10:J$11,Предпосылки!$J299,),0))</f>
        <v>0</v>
      </c>
      <c s="125">
        <f>K404*(1+IFERROR(INDEX(K$10:K$11,Предпосылки!$J299,),0))</f>
        <v>0</v>
      </c>
      <c s="125">
        <f>L404*(1+IFERROR(INDEX(L$10:L$11,Предпосылки!$J299,),0))</f>
        <v>0</v>
      </c>
      <c s="125">
        <f>M404*(1+IFERROR(INDEX(M$10:M$11,Предпосылки!$J299,),0))</f>
        <v>0</v>
      </c>
      <c s="125">
        <f>N404*(1+IFERROR(INDEX(N$10:N$11,Предпосылки!$J299,),0))</f>
        <v>0</v>
      </c>
      <c s="125">
        <f>O404*(1+IFERROR(INDEX(O$10:O$11,Предпосылки!$J299,),0))</f>
        <v>0</v>
      </c>
      <c s="125">
        <f>P404*(1+IFERROR(INDEX(P$10:P$11,Предпосылки!$J299,),0))</f>
        <v>0</v>
      </c>
      <c s="125">
        <f>Q404*(1+IFERROR(INDEX(Q$10:Q$11,Предпосылки!$J299,),0))</f>
        <v>0</v>
      </c>
      <c s="125">
        <f>R404*(1+IFERROR(INDEX(R$10:R$11,Предпосылки!$J299,),0))</f>
        <v>0</v>
      </c>
      <c s="125">
        <f>S404*(1+IFERROR(INDEX(S$10:S$11,Предпосылки!$J299,),0))</f>
        <v>0</v>
      </c>
      <c s="125">
        <f>T404*(1+IFERROR(INDEX(T$10:T$11,Предпосылки!$J299,),0))</f>
        <v>0</v>
      </c>
      <c s="125">
        <f>U404*(1+IFERROR(INDEX(U$10:U$11,Предпосылки!$J299,),0))</f>
        <v>0</v>
      </c>
      <c s="125">
        <f>V404*(1+IFERROR(INDEX(V$10:V$11,Предпосылки!$J299,),0))</f>
        <v>0</v>
      </c>
      <c s="125">
        <f>W404*(1+IFERROR(INDEX(W$10:W$11,Предпосылки!$J299,),0))</f>
        <v>0</v>
      </c>
      <c s="125">
        <f>X404*(1+IFERROR(INDEX(X$10:X$11,Предпосылки!$J299,),0))</f>
        <v>0</v>
      </c>
      <c s="125">
        <f>Y404*(1+IFERROR(INDEX(Y$10:Y$11,Предпосылки!$J299,),0))</f>
        <v>0</v>
      </c>
      <c s="125">
        <f>Z404*(1+IFERROR(INDEX(Z$10:Z$11,Предпосылки!$J299,),0))</f>
        <v>0</v>
      </c>
      <c s="125">
        <f>AA404*(1+IFERROR(INDEX(AA$10:AA$11,Предпосылки!$J299,),0))</f>
        <v>0</v>
      </c>
      <c s="125">
        <f>AB404*(1+IFERROR(INDEX(AB$10:AB$11,Предпосылки!$J299,),0))</f>
        <v>0</v>
      </c>
      <c s="125">
        <f>AC404*(1+IFERROR(INDEX(AC$10:AC$11,Предпосылки!$J299,),0))</f>
        <v>0</v>
      </c>
      <c s="125">
        <f>AD404*(1+IFERROR(INDEX(AD$10:AD$11,Предпосылки!$J299,),0))</f>
        <v>0</v>
      </c>
      <c s="125">
        <f>AE404*(1+IFERROR(INDEX(AE$10:AE$11,Предпосылки!$J299,),0))</f>
        <v>0</v>
      </c>
      <c s="125">
        <f>AF404*(1+IFERROR(INDEX(AF$10:AF$11,Предпосылки!$J299,),0))</f>
        <v>0</v>
      </c>
      <c s="125">
        <f>AG404*(1+IFERROR(INDEX(AG$10:AG$11,Предпосылки!$J299,),0))</f>
        <v>0</v>
      </c>
      <c s="125">
        <f>AH404*(1+IFERROR(INDEX(AH$10:AH$11,Предпосылки!$J299,),0))</f>
        <v>0</v>
      </c>
      <c s="125">
        <f>AI404*(1+IFERROR(INDEX(AI$10:AI$11,Предпосылки!$J299,),0))</f>
        <v>0</v>
      </c>
      <c s="125">
        <f>AJ404*(1+IFERROR(INDEX(AJ$10:AJ$11,Предпосылки!$J299,),0))</f>
        <v>0</v>
      </c>
      <c s="125">
        <f>AK404*(1+IFERROR(INDEX(AK$10:AK$11,Предпосылки!$J299,),0))</f>
        <v>0</v>
      </c>
      <c s="125">
        <f>AL404*(1+IFERROR(INDEX(AL$10:AL$11,Предпосылки!$J299,),0))</f>
        <v>0</v>
      </c>
      <c s="125">
        <f>AM404*(1+IFERROR(INDEX(AM$10:AM$11,Предпосылки!$J299,),0))</f>
        <v>0</v>
      </c>
      <c s="125">
        <f>AN404*(1+IFERROR(INDEX(AN$10:AN$11,Предпосылки!$J299,),0))</f>
        <v>0</v>
      </c>
      <c s="125">
        <f>AO404*(1+IFERROR(INDEX(AO$10:AO$11,Предпосылки!$J299,),0))</f>
        <v>0</v>
      </c>
      <c s="125">
        <f>AP404*(1+IFERROR(INDEX(AP$10:AP$11,Предпосылки!$J299,),0))</f>
        <v>0</v>
      </c>
      <c s="125">
        <f>AQ404*(1+IFERROR(INDEX(AQ$10:AQ$11,Предпосылки!$J299,),0))</f>
        <v>0</v>
      </c>
      <c s="125">
        <f>AR404*(1+IFERROR(INDEX(AR$10:AR$11,Предпосылки!$J299,),0))</f>
        <v>0</v>
      </c>
      <c s="125">
        <f>AS404*(1+IFERROR(INDEX(AS$10:AS$11,Предпосылки!$J299,),0))</f>
        <v>0</v>
      </c>
      <c s="125">
        <f>AT404*(1+IFERROR(INDEX(AT$10:AT$11,Предпосылки!$J299,),0))</f>
        <v>0</v>
      </c>
      <c s="125">
        <f>AU404*(1+IFERROR(INDEX(AU$10:AU$11,Предпосылки!$J299,),0))</f>
        <v>0</v>
      </c>
      <c s="125">
        <f>AV404*(1+IFERROR(INDEX(AV$10:AV$11,Предпосылки!$J299,),0))</f>
        <v>0</v>
      </c>
      <c s="125">
        <f>AW404*(1+IFERROR(INDEX(AW$10:AW$11,Предпосылки!$J299,),0))</f>
        <v>0</v>
      </c>
      <c s="125">
        <f>AX404*(1+IFERROR(INDEX(AX$10:AX$11,Предпосылки!$J299,),0))</f>
        <v>0</v>
      </c>
      <c s="125">
        <f>AY404*(1+IFERROR(INDEX(AY$10:AY$11,Предпосылки!$J299,),0))</f>
        <v>0</v>
      </c>
      <c s="125">
        <f>AZ404*(1+IFERROR(INDEX(AZ$10:AZ$11,Предпосылки!$J299,),0))</f>
        <v>0</v>
      </c>
      <c s="125">
        <f>BA404*(1+IFERROR(INDEX(BA$10:BA$11,Предпосылки!$J299,),0))</f>
        <v>0</v>
      </c>
      <c s="125">
        <f>BB404*(1+IFERROR(INDEX(BB$10:BB$11,Предпосылки!$J299,),0))</f>
        <v>0</v>
      </c>
      <c s="125">
        <f>BC404*(1+IFERROR(INDEX(BC$10:BC$11,Предпосылки!$J299,),0))</f>
        <v>0</v>
      </c>
      <c s="125">
        <f>BD404*(1+IFERROR(INDEX(BD$10:BD$11,Предпосылки!$J299,),0))</f>
        <v>0</v>
      </c>
      <c s="125">
        <f>BE404*(1+IFERROR(INDEX(BE$10:BE$11,Предпосылки!$J299,),0))</f>
        <v>0</v>
      </c>
      <c s="125">
        <f>BF404*(1+IFERROR(INDEX(BF$10:BF$11,Предпосылки!$J299,),0))</f>
        <v>0</v>
      </c>
      <c s="125">
        <f>BG404*(1+IFERROR(INDEX(BG$10:BG$11,Предпосылки!$J299,),0))</f>
        <v>0</v>
      </c>
      <c s="125">
        <f>BH404*(1+IFERROR(INDEX(BH$10:BH$11,Предпосылки!$J299,),0))</f>
        <v>0</v>
      </c>
      <c s="125">
        <f>BI404*(1+IFERROR(INDEX(BI$10:BI$11,Предпосылки!$J299,),0))</f>
        <v>0</v>
      </c>
      <c s="125">
        <f>BJ404*(1+IFERROR(INDEX(BJ$10:BJ$11,Предпосылки!$J299,),0))</f>
        <v>0</v>
      </c>
      <c s="125">
        <f>BK404*(1+IFERROR(INDEX(BK$10:BK$11,Предпосылки!$J299,),0))</f>
        <v>0</v>
      </c>
      <c s="125">
        <f>BL404*(1+IFERROR(INDEX(BL$10:BL$11,Предпосылки!$J299,),0))</f>
        <v>0</v>
      </c>
      <c s="125">
        <f>BM404*(1+IFERROR(INDEX(BM$10:BM$11,Предпосылки!$J299,),0))</f>
        <v>0</v>
      </c>
    </row>
    <row r="463" spans="2:65" ht="15" customHeight="1">
      <c r="B463" s="12" t="str">
        <f t="shared" si="329"/>
        <v>-</v>
      </c>
      <c s="124" t="str">
        <f t="shared" si="328"/>
        <v>тыс. руб.</v>
      </c>
      <c s="125"/>
      <c s="125">
        <f>E405*(1+IFERROR(INDEX(E$10:E$11,Предпосылки!$J300,),0))</f>
        <v>0</v>
      </c>
      <c s="125">
        <f>F405*(1+IFERROR(INDEX(F$10:F$11,Предпосылки!$J300,),0))</f>
        <v>0</v>
      </c>
      <c s="125">
        <f>G405*(1+IFERROR(INDEX(G$10:G$11,Предпосылки!$J300,),0))</f>
        <v>0</v>
      </c>
      <c s="125">
        <f>H405*(1+IFERROR(INDEX(H$10:H$11,Предпосылки!$J300,),0))</f>
        <v>0</v>
      </c>
      <c s="125">
        <f>I405*(1+IFERROR(INDEX(I$10:I$11,Предпосылки!$J300,),0))</f>
        <v>0</v>
      </c>
      <c s="125">
        <f>J405*(1+IFERROR(INDEX(J$10:J$11,Предпосылки!$J300,),0))</f>
        <v>0</v>
      </c>
      <c s="125">
        <f>K405*(1+IFERROR(INDEX(K$10:K$11,Предпосылки!$J300,),0))</f>
        <v>0</v>
      </c>
      <c s="125">
        <f>L405*(1+IFERROR(INDEX(L$10:L$11,Предпосылки!$J300,),0))</f>
        <v>0</v>
      </c>
      <c s="125">
        <f>M405*(1+IFERROR(INDEX(M$10:M$11,Предпосылки!$J300,),0))</f>
        <v>0</v>
      </c>
      <c s="125">
        <f>N405*(1+IFERROR(INDEX(N$10:N$11,Предпосылки!$J300,),0))</f>
        <v>0</v>
      </c>
      <c s="125">
        <f>O405*(1+IFERROR(INDEX(O$10:O$11,Предпосылки!$J300,),0))</f>
        <v>0</v>
      </c>
      <c s="125">
        <f>P405*(1+IFERROR(INDEX(P$10:P$11,Предпосылки!$J300,),0))</f>
        <v>0</v>
      </c>
      <c s="125">
        <f>Q405*(1+IFERROR(INDEX(Q$10:Q$11,Предпосылки!$J300,),0))</f>
        <v>0</v>
      </c>
      <c s="125">
        <f>R405*(1+IFERROR(INDEX(R$10:R$11,Предпосылки!$J300,),0))</f>
        <v>0</v>
      </c>
      <c s="125">
        <f>S405*(1+IFERROR(INDEX(S$10:S$11,Предпосылки!$J300,),0))</f>
        <v>0</v>
      </c>
      <c s="125">
        <f>T405*(1+IFERROR(INDEX(T$10:T$11,Предпосылки!$J300,),0))</f>
        <v>0</v>
      </c>
      <c s="125">
        <f>U405*(1+IFERROR(INDEX(U$10:U$11,Предпосылки!$J300,),0))</f>
        <v>0</v>
      </c>
      <c s="125">
        <f>V405*(1+IFERROR(INDEX(V$10:V$11,Предпосылки!$J300,),0))</f>
        <v>0</v>
      </c>
      <c s="125">
        <f>W405*(1+IFERROR(INDEX(W$10:W$11,Предпосылки!$J300,),0))</f>
        <v>0</v>
      </c>
      <c s="125">
        <f>X405*(1+IFERROR(INDEX(X$10:X$11,Предпосылки!$J300,),0))</f>
        <v>0</v>
      </c>
      <c s="125">
        <f>Y405*(1+IFERROR(INDEX(Y$10:Y$11,Предпосылки!$J300,),0))</f>
        <v>0</v>
      </c>
      <c s="125">
        <f>Z405*(1+IFERROR(INDEX(Z$10:Z$11,Предпосылки!$J300,),0))</f>
        <v>0</v>
      </c>
      <c s="125">
        <f>AA405*(1+IFERROR(INDEX(AA$10:AA$11,Предпосылки!$J300,),0))</f>
        <v>0</v>
      </c>
      <c s="125">
        <f>AB405*(1+IFERROR(INDEX(AB$10:AB$11,Предпосылки!$J300,),0))</f>
        <v>0</v>
      </c>
      <c s="125">
        <f>AC405*(1+IFERROR(INDEX(AC$10:AC$11,Предпосылки!$J300,),0))</f>
        <v>0</v>
      </c>
      <c s="125">
        <f>AD405*(1+IFERROR(INDEX(AD$10:AD$11,Предпосылки!$J300,),0))</f>
        <v>0</v>
      </c>
      <c s="125">
        <f>AE405*(1+IFERROR(INDEX(AE$10:AE$11,Предпосылки!$J300,),0))</f>
        <v>0</v>
      </c>
      <c s="125">
        <f>AF405*(1+IFERROR(INDEX(AF$10:AF$11,Предпосылки!$J300,),0))</f>
        <v>0</v>
      </c>
      <c s="125">
        <f>AG405*(1+IFERROR(INDEX(AG$10:AG$11,Предпосылки!$J300,),0))</f>
        <v>0</v>
      </c>
      <c s="125">
        <f>AH405*(1+IFERROR(INDEX(AH$10:AH$11,Предпосылки!$J300,),0))</f>
        <v>0</v>
      </c>
      <c s="125">
        <f>AI405*(1+IFERROR(INDEX(AI$10:AI$11,Предпосылки!$J300,),0))</f>
        <v>0</v>
      </c>
      <c s="125">
        <f>AJ405*(1+IFERROR(INDEX(AJ$10:AJ$11,Предпосылки!$J300,),0))</f>
        <v>0</v>
      </c>
      <c s="125">
        <f>AK405*(1+IFERROR(INDEX(AK$10:AK$11,Предпосылки!$J300,),0))</f>
        <v>0</v>
      </c>
      <c s="125">
        <f>AL405*(1+IFERROR(INDEX(AL$10:AL$11,Предпосылки!$J300,),0))</f>
        <v>0</v>
      </c>
      <c s="125">
        <f>AM405*(1+IFERROR(INDEX(AM$10:AM$11,Предпосылки!$J300,),0))</f>
        <v>0</v>
      </c>
      <c s="125">
        <f>AN405*(1+IFERROR(INDEX(AN$10:AN$11,Предпосылки!$J300,),0))</f>
        <v>0</v>
      </c>
      <c s="125">
        <f>AO405*(1+IFERROR(INDEX(AO$10:AO$11,Предпосылки!$J300,),0))</f>
        <v>0</v>
      </c>
      <c s="125">
        <f>AP405*(1+IFERROR(INDEX(AP$10:AP$11,Предпосылки!$J300,),0))</f>
        <v>0</v>
      </c>
      <c s="125">
        <f>AQ405*(1+IFERROR(INDEX(AQ$10:AQ$11,Предпосылки!$J300,),0))</f>
        <v>0</v>
      </c>
      <c s="125">
        <f>AR405*(1+IFERROR(INDEX(AR$10:AR$11,Предпосылки!$J300,),0))</f>
        <v>0</v>
      </c>
      <c s="125">
        <f>AS405*(1+IFERROR(INDEX(AS$10:AS$11,Предпосылки!$J300,),0))</f>
        <v>0</v>
      </c>
      <c s="125">
        <f>AT405*(1+IFERROR(INDEX(AT$10:AT$11,Предпосылки!$J300,),0))</f>
        <v>0</v>
      </c>
      <c s="125">
        <f>AU405*(1+IFERROR(INDEX(AU$10:AU$11,Предпосылки!$J300,),0))</f>
        <v>0</v>
      </c>
      <c s="125">
        <f>AV405*(1+IFERROR(INDEX(AV$10:AV$11,Предпосылки!$J300,),0))</f>
        <v>0</v>
      </c>
      <c s="125">
        <f>AW405*(1+IFERROR(INDEX(AW$10:AW$11,Предпосылки!$J300,),0))</f>
        <v>0</v>
      </c>
      <c s="125">
        <f>AX405*(1+IFERROR(INDEX(AX$10:AX$11,Предпосылки!$J300,),0))</f>
        <v>0</v>
      </c>
      <c s="125">
        <f>AY405*(1+IFERROR(INDEX(AY$10:AY$11,Предпосылки!$J300,),0))</f>
        <v>0</v>
      </c>
      <c s="125">
        <f>AZ405*(1+IFERROR(INDEX(AZ$10:AZ$11,Предпосылки!$J300,),0))</f>
        <v>0</v>
      </c>
      <c s="125">
        <f>BA405*(1+IFERROR(INDEX(BA$10:BA$11,Предпосылки!$J300,),0))</f>
        <v>0</v>
      </c>
      <c s="125">
        <f>BB405*(1+IFERROR(INDEX(BB$10:BB$11,Предпосылки!$J300,),0))</f>
        <v>0</v>
      </c>
      <c s="125">
        <f>BC405*(1+IFERROR(INDEX(BC$10:BC$11,Предпосылки!$J300,),0))</f>
        <v>0</v>
      </c>
      <c s="125">
        <f>BD405*(1+IFERROR(INDEX(BD$10:BD$11,Предпосылки!$J300,),0))</f>
        <v>0</v>
      </c>
      <c s="125">
        <f>BE405*(1+IFERROR(INDEX(BE$10:BE$11,Предпосылки!$J300,),0))</f>
        <v>0</v>
      </c>
      <c s="125">
        <f>BF405*(1+IFERROR(INDEX(BF$10:BF$11,Предпосылки!$J300,),0))</f>
        <v>0</v>
      </c>
      <c s="125">
        <f>BG405*(1+IFERROR(INDEX(BG$10:BG$11,Предпосылки!$J300,),0))</f>
        <v>0</v>
      </c>
      <c s="125">
        <f>BH405*(1+IFERROR(INDEX(BH$10:BH$11,Предпосылки!$J300,),0))</f>
        <v>0</v>
      </c>
      <c s="125">
        <f>BI405*(1+IFERROR(INDEX(BI$10:BI$11,Предпосылки!$J300,),0))</f>
        <v>0</v>
      </c>
      <c s="125">
        <f>BJ405*(1+IFERROR(INDEX(BJ$10:BJ$11,Предпосылки!$J300,),0))</f>
        <v>0</v>
      </c>
      <c s="125">
        <f>BK405*(1+IFERROR(INDEX(BK$10:BK$11,Предпосылки!$J300,),0))</f>
        <v>0</v>
      </c>
      <c s="125">
        <f>BL405*(1+IFERROR(INDEX(BL$10:BL$11,Предпосылки!$J300,),0))</f>
        <v>0</v>
      </c>
      <c s="125">
        <f>BM405*(1+IFERROR(INDEX(BM$10:BM$11,Предпосылки!$J300,),0))</f>
        <v>0</v>
      </c>
    </row>
    <row r="464" spans="2:65" ht="15" customHeight="1">
      <c r="B464" s="12" t="str">
        <f t="shared" si="329"/>
        <v>-</v>
      </c>
      <c s="124" t="str">
        <f t="shared" si="328"/>
        <v>тыс. руб.</v>
      </c>
      <c s="125"/>
      <c s="125">
        <f>E406*(1+IFERROR(INDEX(E$10:E$11,Предпосылки!$J301,),0))</f>
        <v>0</v>
      </c>
      <c s="125">
        <f>F406*(1+IFERROR(INDEX(F$10:F$11,Предпосылки!$J301,),0))</f>
        <v>0</v>
      </c>
      <c s="125">
        <f>G406*(1+IFERROR(INDEX(G$10:G$11,Предпосылки!$J301,),0))</f>
        <v>0</v>
      </c>
      <c s="125">
        <f>H406*(1+IFERROR(INDEX(H$10:H$11,Предпосылки!$J301,),0))</f>
        <v>0</v>
      </c>
      <c s="125">
        <f>I406*(1+IFERROR(INDEX(I$10:I$11,Предпосылки!$J301,),0))</f>
        <v>0</v>
      </c>
      <c s="125">
        <f>J406*(1+IFERROR(INDEX(J$10:J$11,Предпосылки!$J301,),0))</f>
        <v>0</v>
      </c>
      <c s="125">
        <f>K406*(1+IFERROR(INDEX(K$10:K$11,Предпосылки!$J301,),0))</f>
        <v>0</v>
      </c>
      <c s="125">
        <f>L406*(1+IFERROR(INDEX(L$10:L$11,Предпосылки!$J301,),0))</f>
        <v>0</v>
      </c>
      <c s="125">
        <f>M406*(1+IFERROR(INDEX(M$10:M$11,Предпосылки!$J301,),0))</f>
        <v>0</v>
      </c>
      <c s="125">
        <f>N406*(1+IFERROR(INDEX(N$10:N$11,Предпосылки!$J301,),0))</f>
        <v>0</v>
      </c>
      <c s="125">
        <f>O406*(1+IFERROR(INDEX(O$10:O$11,Предпосылки!$J301,),0))</f>
        <v>0</v>
      </c>
      <c s="125">
        <f>P406*(1+IFERROR(INDEX(P$10:P$11,Предпосылки!$J301,),0))</f>
        <v>0</v>
      </c>
      <c s="125">
        <f>Q406*(1+IFERROR(INDEX(Q$10:Q$11,Предпосылки!$J301,),0))</f>
        <v>0</v>
      </c>
      <c s="125">
        <f>R406*(1+IFERROR(INDEX(R$10:R$11,Предпосылки!$J301,),0))</f>
        <v>0</v>
      </c>
      <c s="125">
        <f>S406*(1+IFERROR(INDEX(S$10:S$11,Предпосылки!$J301,),0))</f>
        <v>0</v>
      </c>
      <c s="125">
        <f>T406*(1+IFERROR(INDEX(T$10:T$11,Предпосылки!$J301,),0))</f>
        <v>0</v>
      </c>
      <c s="125">
        <f>U406*(1+IFERROR(INDEX(U$10:U$11,Предпосылки!$J301,),0))</f>
        <v>0</v>
      </c>
      <c s="125">
        <f>V406*(1+IFERROR(INDEX(V$10:V$11,Предпосылки!$J301,),0))</f>
        <v>0</v>
      </c>
      <c s="125">
        <f>W406*(1+IFERROR(INDEX(W$10:W$11,Предпосылки!$J301,),0))</f>
        <v>0</v>
      </c>
      <c s="125">
        <f>X406*(1+IFERROR(INDEX(X$10:X$11,Предпосылки!$J301,),0))</f>
        <v>0</v>
      </c>
      <c s="125">
        <f>Y406*(1+IFERROR(INDEX(Y$10:Y$11,Предпосылки!$J301,),0))</f>
        <v>0</v>
      </c>
      <c s="125">
        <f>Z406*(1+IFERROR(INDEX(Z$10:Z$11,Предпосылки!$J301,),0))</f>
        <v>0</v>
      </c>
      <c s="125">
        <f>AA406*(1+IFERROR(INDEX(AA$10:AA$11,Предпосылки!$J301,),0))</f>
        <v>0</v>
      </c>
      <c s="125">
        <f>AB406*(1+IFERROR(INDEX(AB$10:AB$11,Предпосылки!$J301,),0))</f>
        <v>0</v>
      </c>
      <c s="125">
        <f>AC406*(1+IFERROR(INDEX(AC$10:AC$11,Предпосылки!$J301,),0))</f>
        <v>0</v>
      </c>
      <c s="125">
        <f>AD406*(1+IFERROR(INDEX(AD$10:AD$11,Предпосылки!$J301,),0))</f>
        <v>0</v>
      </c>
      <c s="125">
        <f>AE406*(1+IFERROR(INDEX(AE$10:AE$11,Предпосылки!$J301,),0))</f>
        <v>0</v>
      </c>
      <c s="125">
        <f>AF406*(1+IFERROR(INDEX(AF$10:AF$11,Предпосылки!$J301,),0))</f>
        <v>0</v>
      </c>
      <c s="125">
        <f>AG406*(1+IFERROR(INDEX(AG$10:AG$11,Предпосылки!$J301,),0))</f>
        <v>0</v>
      </c>
      <c s="125">
        <f>AH406*(1+IFERROR(INDEX(AH$10:AH$11,Предпосылки!$J301,),0))</f>
        <v>0</v>
      </c>
      <c s="125">
        <f>AI406*(1+IFERROR(INDEX(AI$10:AI$11,Предпосылки!$J301,),0))</f>
        <v>0</v>
      </c>
      <c s="125">
        <f>AJ406*(1+IFERROR(INDEX(AJ$10:AJ$11,Предпосылки!$J301,),0))</f>
        <v>0</v>
      </c>
      <c s="125">
        <f>AK406*(1+IFERROR(INDEX(AK$10:AK$11,Предпосылки!$J301,),0))</f>
        <v>0</v>
      </c>
      <c s="125">
        <f>AL406*(1+IFERROR(INDEX(AL$10:AL$11,Предпосылки!$J301,),0))</f>
        <v>0</v>
      </c>
      <c s="125">
        <f>AM406*(1+IFERROR(INDEX(AM$10:AM$11,Предпосылки!$J301,),0))</f>
        <v>0</v>
      </c>
      <c s="125">
        <f>AN406*(1+IFERROR(INDEX(AN$10:AN$11,Предпосылки!$J301,),0))</f>
        <v>0</v>
      </c>
      <c s="125">
        <f>AO406*(1+IFERROR(INDEX(AO$10:AO$11,Предпосылки!$J301,),0))</f>
        <v>0</v>
      </c>
      <c s="125">
        <f>AP406*(1+IFERROR(INDEX(AP$10:AP$11,Предпосылки!$J301,),0))</f>
        <v>0</v>
      </c>
      <c s="125">
        <f>AQ406*(1+IFERROR(INDEX(AQ$10:AQ$11,Предпосылки!$J301,),0))</f>
        <v>0</v>
      </c>
      <c s="125">
        <f>AR406*(1+IFERROR(INDEX(AR$10:AR$11,Предпосылки!$J301,),0))</f>
        <v>0</v>
      </c>
      <c s="125">
        <f>AS406*(1+IFERROR(INDEX(AS$10:AS$11,Предпосылки!$J301,),0))</f>
        <v>0</v>
      </c>
      <c s="125">
        <f>AT406*(1+IFERROR(INDEX(AT$10:AT$11,Предпосылки!$J301,),0))</f>
        <v>0</v>
      </c>
      <c s="125">
        <f>AU406*(1+IFERROR(INDEX(AU$10:AU$11,Предпосылки!$J301,),0))</f>
        <v>0</v>
      </c>
      <c s="125">
        <f>AV406*(1+IFERROR(INDEX(AV$10:AV$11,Предпосылки!$J301,),0))</f>
        <v>0</v>
      </c>
      <c s="125">
        <f>AW406*(1+IFERROR(INDEX(AW$10:AW$11,Предпосылки!$J301,),0))</f>
        <v>0</v>
      </c>
      <c s="125">
        <f>AX406*(1+IFERROR(INDEX(AX$10:AX$11,Предпосылки!$J301,),0))</f>
        <v>0</v>
      </c>
      <c s="125">
        <f>AY406*(1+IFERROR(INDEX(AY$10:AY$11,Предпосылки!$J301,),0))</f>
        <v>0</v>
      </c>
      <c s="125">
        <f>AZ406*(1+IFERROR(INDEX(AZ$10:AZ$11,Предпосылки!$J301,),0))</f>
        <v>0</v>
      </c>
      <c s="125">
        <f>BA406*(1+IFERROR(INDEX(BA$10:BA$11,Предпосылки!$J301,),0))</f>
        <v>0</v>
      </c>
      <c s="125">
        <f>BB406*(1+IFERROR(INDEX(BB$10:BB$11,Предпосылки!$J301,),0))</f>
        <v>0</v>
      </c>
      <c s="125">
        <f>BC406*(1+IFERROR(INDEX(BC$10:BC$11,Предпосылки!$J301,),0))</f>
        <v>0</v>
      </c>
      <c s="125">
        <f>BD406*(1+IFERROR(INDEX(BD$10:BD$11,Предпосылки!$J301,),0))</f>
        <v>0</v>
      </c>
      <c s="125">
        <f>BE406*(1+IFERROR(INDEX(BE$10:BE$11,Предпосылки!$J301,),0))</f>
        <v>0</v>
      </c>
      <c s="125">
        <f>BF406*(1+IFERROR(INDEX(BF$10:BF$11,Предпосылки!$J301,),0))</f>
        <v>0</v>
      </c>
      <c s="125">
        <f>BG406*(1+IFERROR(INDEX(BG$10:BG$11,Предпосылки!$J301,),0))</f>
        <v>0</v>
      </c>
      <c s="125">
        <f>BH406*(1+IFERROR(INDEX(BH$10:BH$11,Предпосылки!$J301,),0))</f>
        <v>0</v>
      </c>
      <c s="125">
        <f>BI406*(1+IFERROR(INDEX(BI$10:BI$11,Предпосылки!$J301,),0))</f>
        <v>0</v>
      </c>
      <c s="125">
        <f>BJ406*(1+IFERROR(INDEX(BJ$10:BJ$11,Предпосылки!$J301,),0))</f>
        <v>0</v>
      </c>
      <c s="125">
        <f>BK406*(1+IFERROR(INDEX(BK$10:BK$11,Предпосылки!$J301,),0))</f>
        <v>0</v>
      </c>
      <c s="125">
        <f>BL406*(1+IFERROR(INDEX(BL$10:BL$11,Предпосылки!$J301,),0))</f>
        <v>0</v>
      </c>
      <c s="125">
        <f>BM406*(1+IFERROR(INDEX(BM$10:BM$11,Предпосылки!$J301,),0))</f>
        <v>0</v>
      </c>
    </row>
    <row r="465" spans="2:65" ht="15" customHeight="1">
      <c r="B465" s="12" t="str">
        <f t="shared" si="329"/>
        <v>-</v>
      </c>
      <c s="124" t="str">
        <f t="shared" si="328"/>
        <v>тыс. руб.</v>
      </c>
      <c s="125"/>
      <c s="125">
        <f>E407*(1+IFERROR(INDEX(E$10:E$11,Предпосылки!$J302,),0))</f>
        <v>0</v>
      </c>
      <c s="125">
        <f>F407*(1+IFERROR(INDEX(F$10:F$11,Предпосылки!$J302,),0))</f>
        <v>0</v>
      </c>
      <c s="125">
        <f>G407*(1+IFERROR(INDEX(G$10:G$11,Предпосылки!$J302,),0))</f>
        <v>0</v>
      </c>
      <c s="125">
        <f>H407*(1+IFERROR(INDEX(H$10:H$11,Предпосылки!$J302,),0))</f>
        <v>0</v>
      </c>
      <c s="125">
        <f>I407*(1+IFERROR(INDEX(I$10:I$11,Предпосылки!$J302,),0))</f>
        <v>0</v>
      </c>
      <c s="125">
        <f>J407*(1+IFERROR(INDEX(J$10:J$11,Предпосылки!$J302,),0))</f>
        <v>0</v>
      </c>
      <c s="125">
        <f>K407*(1+IFERROR(INDEX(K$10:K$11,Предпосылки!$J302,),0))</f>
        <v>0</v>
      </c>
      <c s="125">
        <f>L407*(1+IFERROR(INDEX(L$10:L$11,Предпосылки!$J302,),0))</f>
        <v>0</v>
      </c>
      <c s="125">
        <f>M407*(1+IFERROR(INDEX(M$10:M$11,Предпосылки!$J302,),0))</f>
        <v>0</v>
      </c>
      <c s="125">
        <f>N407*(1+IFERROR(INDEX(N$10:N$11,Предпосылки!$J302,),0))</f>
        <v>0</v>
      </c>
      <c s="125">
        <f>O407*(1+IFERROR(INDEX(O$10:O$11,Предпосылки!$J302,),0))</f>
        <v>0</v>
      </c>
      <c s="125">
        <f>P407*(1+IFERROR(INDEX(P$10:P$11,Предпосылки!$J302,),0))</f>
        <v>0</v>
      </c>
      <c s="125">
        <f>Q407*(1+IFERROR(INDEX(Q$10:Q$11,Предпосылки!$J302,),0))</f>
        <v>0</v>
      </c>
      <c s="125">
        <f>R407*(1+IFERROR(INDEX(R$10:R$11,Предпосылки!$J302,),0))</f>
        <v>0</v>
      </c>
      <c s="125">
        <f>S407*(1+IFERROR(INDEX(S$10:S$11,Предпосылки!$J302,),0))</f>
        <v>0</v>
      </c>
      <c s="125">
        <f>T407*(1+IFERROR(INDEX(T$10:T$11,Предпосылки!$J302,),0))</f>
        <v>0</v>
      </c>
      <c s="125">
        <f>U407*(1+IFERROR(INDEX(U$10:U$11,Предпосылки!$J302,),0))</f>
        <v>0</v>
      </c>
      <c s="125">
        <f>V407*(1+IFERROR(INDEX(V$10:V$11,Предпосылки!$J302,),0))</f>
        <v>0</v>
      </c>
      <c s="125">
        <f>W407*(1+IFERROR(INDEX(W$10:W$11,Предпосылки!$J302,),0))</f>
        <v>0</v>
      </c>
      <c s="125">
        <f>X407*(1+IFERROR(INDEX(X$10:X$11,Предпосылки!$J302,),0))</f>
        <v>0</v>
      </c>
      <c s="125">
        <f>Y407*(1+IFERROR(INDEX(Y$10:Y$11,Предпосылки!$J302,),0))</f>
        <v>0</v>
      </c>
      <c s="125">
        <f>Z407*(1+IFERROR(INDEX(Z$10:Z$11,Предпосылки!$J302,),0))</f>
        <v>0</v>
      </c>
      <c s="125">
        <f>AA407*(1+IFERROR(INDEX(AA$10:AA$11,Предпосылки!$J302,),0))</f>
        <v>0</v>
      </c>
      <c s="125">
        <f>AB407*(1+IFERROR(INDEX(AB$10:AB$11,Предпосылки!$J302,),0))</f>
        <v>0</v>
      </c>
      <c s="125">
        <f>AC407*(1+IFERROR(INDEX(AC$10:AC$11,Предпосылки!$J302,),0))</f>
        <v>0</v>
      </c>
      <c s="125">
        <f>AD407*(1+IFERROR(INDEX(AD$10:AD$11,Предпосылки!$J302,),0))</f>
        <v>0</v>
      </c>
      <c s="125">
        <f>AE407*(1+IFERROR(INDEX(AE$10:AE$11,Предпосылки!$J302,),0))</f>
        <v>0</v>
      </c>
      <c s="125">
        <f>AF407*(1+IFERROR(INDEX(AF$10:AF$11,Предпосылки!$J302,),0))</f>
        <v>0</v>
      </c>
      <c s="125">
        <f>AG407*(1+IFERROR(INDEX(AG$10:AG$11,Предпосылки!$J302,),0))</f>
        <v>0</v>
      </c>
      <c s="125">
        <f>AH407*(1+IFERROR(INDEX(AH$10:AH$11,Предпосылки!$J302,),0))</f>
        <v>0</v>
      </c>
      <c s="125">
        <f>AI407*(1+IFERROR(INDEX(AI$10:AI$11,Предпосылки!$J302,),0))</f>
        <v>0</v>
      </c>
      <c s="125">
        <f>AJ407*(1+IFERROR(INDEX(AJ$10:AJ$11,Предпосылки!$J302,),0))</f>
        <v>0</v>
      </c>
      <c s="125">
        <f>AK407*(1+IFERROR(INDEX(AK$10:AK$11,Предпосылки!$J302,),0))</f>
        <v>0</v>
      </c>
      <c s="125">
        <f>AL407*(1+IFERROR(INDEX(AL$10:AL$11,Предпосылки!$J302,),0))</f>
        <v>0</v>
      </c>
      <c s="125">
        <f>AM407*(1+IFERROR(INDEX(AM$10:AM$11,Предпосылки!$J302,),0))</f>
        <v>0</v>
      </c>
      <c s="125">
        <f>AN407*(1+IFERROR(INDEX(AN$10:AN$11,Предпосылки!$J302,),0))</f>
        <v>0</v>
      </c>
      <c s="125">
        <f>AO407*(1+IFERROR(INDEX(AO$10:AO$11,Предпосылки!$J302,),0))</f>
        <v>0</v>
      </c>
      <c s="125">
        <f>AP407*(1+IFERROR(INDEX(AP$10:AP$11,Предпосылки!$J302,),0))</f>
        <v>0</v>
      </c>
      <c s="125">
        <f>AQ407*(1+IFERROR(INDEX(AQ$10:AQ$11,Предпосылки!$J302,),0))</f>
        <v>0</v>
      </c>
      <c s="125">
        <f>AR407*(1+IFERROR(INDEX(AR$10:AR$11,Предпосылки!$J302,),0))</f>
        <v>0</v>
      </c>
      <c s="125">
        <f>AS407*(1+IFERROR(INDEX(AS$10:AS$11,Предпосылки!$J302,),0))</f>
        <v>0</v>
      </c>
      <c s="125">
        <f>AT407*(1+IFERROR(INDEX(AT$10:AT$11,Предпосылки!$J302,),0))</f>
        <v>0</v>
      </c>
      <c s="125">
        <f>AU407*(1+IFERROR(INDEX(AU$10:AU$11,Предпосылки!$J302,),0))</f>
        <v>0</v>
      </c>
      <c s="125">
        <f>AV407*(1+IFERROR(INDEX(AV$10:AV$11,Предпосылки!$J302,),0))</f>
        <v>0</v>
      </c>
      <c s="125">
        <f>AW407*(1+IFERROR(INDEX(AW$10:AW$11,Предпосылки!$J302,),0))</f>
        <v>0</v>
      </c>
      <c s="125">
        <f>AX407*(1+IFERROR(INDEX(AX$10:AX$11,Предпосылки!$J302,),0))</f>
        <v>0</v>
      </c>
      <c s="125">
        <f>AY407*(1+IFERROR(INDEX(AY$10:AY$11,Предпосылки!$J302,),0))</f>
        <v>0</v>
      </c>
      <c s="125">
        <f>AZ407*(1+IFERROR(INDEX(AZ$10:AZ$11,Предпосылки!$J302,),0))</f>
        <v>0</v>
      </c>
      <c s="125">
        <f>BA407*(1+IFERROR(INDEX(BA$10:BA$11,Предпосылки!$J302,),0))</f>
        <v>0</v>
      </c>
      <c s="125">
        <f>BB407*(1+IFERROR(INDEX(BB$10:BB$11,Предпосылки!$J302,),0))</f>
        <v>0</v>
      </c>
      <c s="125">
        <f>BC407*(1+IFERROR(INDEX(BC$10:BC$11,Предпосылки!$J302,),0))</f>
        <v>0</v>
      </c>
      <c s="125">
        <f>BD407*(1+IFERROR(INDEX(BD$10:BD$11,Предпосылки!$J302,),0))</f>
        <v>0</v>
      </c>
      <c s="125">
        <f>BE407*(1+IFERROR(INDEX(BE$10:BE$11,Предпосылки!$J302,),0))</f>
        <v>0</v>
      </c>
      <c s="125">
        <f>BF407*(1+IFERROR(INDEX(BF$10:BF$11,Предпосылки!$J302,),0))</f>
        <v>0</v>
      </c>
      <c s="125">
        <f>BG407*(1+IFERROR(INDEX(BG$10:BG$11,Предпосылки!$J302,),0))</f>
        <v>0</v>
      </c>
      <c s="125">
        <f>BH407*(1+IFERROR(INDEX(BH$10:BH$11,Предпосылки!$J302,),0))</f>
        <v>0</v>
      </c>
      <c s="125">
        <f>BI407*(1+IFERROR(INDEX(BI$10:BI$11,Предпосылки!$J302,),0))</f>
        <v>0</v>
      </c>
      <c s="125">
        <f>BJ407*(1+IFERROR(INDEX(BJ$10:BJ$11,Предпосылки!$J302,),0))</f>
        <v>0</v>
      </c>
      <c s="125">
        <f>BK407*(1+IFERROR(INDEX(BK$10:BK$11,Предпосылки!$J302,),0))</f>
        <v>0</v>
      </c>
      <c s="125">
        <f>BL407*(1+IFERROR(INDEX(BL$10:BL$11,Предпосылки!$J302,),0))</f>
        <v>0</v>
      </c>
      <c s="125">
        <f>BM407*(1+IFERROR(INDEX(BM$10:BM$11,Предпосылки!$J302,),0))</f>
        <v>0</v>
      </c>
    </row>
    <row r="466" spans="2:65" ht="15" customHeight="1">
      <c r="B466" s="289" t="s">
        <v>454</v>
      </c>
      <c s="290" t="str">
        <f t="shared" si="328"/>
        <v>тыс. руб.</v>
      </c>
      <c s="276"/>
      <c s="276">
        <f ca="1">SUM(E441:E465)</f>
        <v>0</v>
      </c>
      <c s="276">
        <f ca="1" t="shared" si="330" ref="F466:AG466">SUM(F441:F465)</f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t="shared" ca="1" si="330"/>
        <v>0</v>
      </c>
      <c s="276">
        <f ca="1" t="shared" si="331" ref="AH466:BM466">SUM(AH441:AH465)</f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  <c s="276">
        <f t="shared" ca="1" si="331"/>
        <v>0</v>
      </c>
    </row>
    <row r="467" ht="15" customHeight="1"/>
    <row r="468" spans="2:71" ht="21">
      <c r="B468" s="23" t="s">
        <v>907</v>
      </c>
      <c r="D46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69" spans="2:65" ht="15" customHeight="1">
      <c r="B469" s="12" t="s">
        <v>827</v>
      </c>
      <c s="124" t="str">
        <f>Единица_измерения</f>
        <v>тыс. руб.</v>
      </c>
      <c s="125"/>
      <c s="125">
        <f>D472</f>
        <v>0</v>
      </c>
      <c s="125">
        <f t="shared" si="332" ref="F469:BM469">E472</f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  <c s="125">
        <f t="shared" si="332"/>
        <v>0</v>
      </c>
    </row>
    <row r="470" spans="2:65" ht="15" customHeight="1">
      <c r="B470" s="12" t="s">
        <v>908</v>
      </c>
      <c s="124" t="str">
        <f>Единица_измерения</f>
        <v>тыс. руб.</v>
      </c>
      <c s="125"/>
      <c s="125">
        <f>ФОТ!E94</f>
        <v>0</v>
      </c>
      <c s="125">
        <f>ФОТ!F94</f>
        <v>0</v>
      </c>
      <c s="125">
        <f>ФОТ!G94</f>
        <v>0</v>
      </c>
      <c s="125">
        <f>ФОТ!H94</f>
        <v>0</v>
      </c>
      <c s="125">
        <f>ФОТ!I94</f>
        <v>0</v>
      </c>
      <c s="125">
        <f>ФОТ!J94</f>
        <v>0</v>
      </c>
      <c s="125">
        <f>ФОТ!K94</f>
        <v>0</v>
      </c>
      <c s="125">
        <f>ФОТ!L94</f>
        <v>0</v>
      </c>
      <c s="125">
        <f>ФОТ!M94</f>
        <v>0</v>
      </c>
      <c s="125">
        <f>ФОТ!N94</f>
        <v>0</v>
      </c>
      <c s="125">
        <f>ФОТ!O94</f>
        <v>0</v>
      </c>
      <c s="125">
        <f>ФОТ!P94</f>
        <v>0</v>
      </c>
      <c s="125">
        <f>ФОТ!Q94</f>
        <v>0</v>
      </c>
      <c s="125">
        <f>ФОТ!R94</f>
        <v>0</v>
      </c>
      <c s="125">
        <f>ФОТ!S94</f>
        <v>0</v>
      </c>
      <c s="125">
        <f>ФОТ!T94</f>
        <v>0</v>
      </c>
      <c s="125">
        <f>ФОТ!U94</f>
        <v>0</v>
      </c>
      <c s="125">
        <f>ФОТ!V94</f>
        <v>0</v>
      </c>
      <c s="125">
        <f>ФОТ!W94</f>
        <v>0</v>
      </c>
      <c s="125">
        <f>ФОТ!X94</f>
        <v>0</v>
      </c>
      <c s="125">
        <f>ФОТ!Y94</f>
        <v>0</v>
      </c>
      <c s="125">
        <f>ФОТ!Z94</f>
        <v>0</v>
      </c>
      <c s="125">
        <f>ФОТ!AA94</f>
        <v>0</v>
      </c>
      <c s="125">
        <f>ФОТ!AB94</f>
        <v>0</v>
      </c>
      <c s="125">
        <f>ФОТ!AC94</f>
        <v>0</v>
      </c>
      <c s="125">
        <f>ФОТ!AD94</f>
        <v>0</v>
      </c>
      <c s="125">
        <f>ФОТ!AE94</f>
        <v>0</v>
      </c>
      <c s="125">
        <f>ФОТ!AF94</f>
        <v>0</v>
      </c>
      <c s="125">
        <f>ФОТ!AG94</f>
        <v>0</v>
      </c>
      <c s="125">
        <f>ФОТ!AH94</f>
        <v>0</v>
      </c>
      <c s="125">
        <f>ФОТ!AI94</f>
        <v>0</v>
      </c>
      <c s="125">
        <f>ФОТ!AJ94</f>
        <v>0</v>
      </c>
      <c s="125">
        <f>ФОТ!AK94</f>
        <v>0</v>
      </c>
      <c s="125">
        <f>ФОТ!AL94</f>
        <v>0</v>
      </c>
      <c s="125">
        <f>ФОТ!AM94</f>
        <v>0</v>
      </c>
      <c s="125">
        <f>ФОТ!AN94</f>
        <v>0</v>
      </c>
      <c s="125">
        <f>ФОТ!AO94</f>
        <v>0</v>
      </c>
      <c s="125">
        <f>ФОТ!AP94</f>
        <v>0</v>
      </c>
      <c s="125">
        <f>ФОТ!AQ94</f>
        <v>0</v>
      </c>
      <c s="125">
        <f>ФОТ!AR94</f>
        <v>0</v>
      </c>
      <c s="125">
        <f>ФОТ!AS94</f>
        <v>0</v>
      </c>
      <c s="125">
        <f>ФОТ!AT94</f>
        <v>0</v>
      </c>
      <c s="125">
        <f>ФОТ!AU94</f>
        <v>0</v>
      </c>
      <c s="125">
        <f>ФОТ!AV94</f>
        <v>0</v>
      </c>
      <c s="125">
        <f>ФОТ!AW94</f>
        <v>0</v>
      </c>
      <c s="125">
        <f>ФОТ!AX94</f>
        <v>0</v>
      </c>
      <c s="125">
        <f>ФОТ!AY94</f>
        <v>0</v>
      </c>
      <c s="125">
        <f>ФОТ!AZ94</f>
        <v>0</v>
      </c>
      <c s="125">
        <f>ФОТ!BA94</f>
        <v>0</v>
      </c>
      <c s="125">
        <f>ФОТ!BB94</f>
        <v>0</v>
      </c>
      <c s="125">
        <f>ФОТ!BC94</f>
        <v>0</v>
      </c>
      <c s="125">
        <f>ФОТ!BD94</f>
        <v>0</v>
      </c>
      <c s="125">
        <f>ФОТ!BE94</f>
        <v>0</v>
      </c>
      <c s="125">
        <f>ФОТ!BF94</f>
        <v>0</v>
      </c>
      <c s="125">
        <f>ФОТ!BG94</f>
        <v>0</v>
      </c>
      <c s="125">
        <f>ФОТ!BH94</f>
        <v>0</v>
      </c>
      <c s="125">
        <f>ФОТ!BI94</f>
        <v>0</v>
      </c>
      <c s="125">
        <f>ФОТ!BJ94</f>
        <v>0</v>
      </c>
      <c s="125">
        <f>ФОТ!BK94</f>
        <v>0</v>
      </c>
      <c s="125">
        <f>ФОТ!BL94</f>
        <v>0</v>
      </c>
      <c s="125">
        <f>ФОТ!BM94</f>
        <v>0</v>
      </c>
    </row>
    <row r="471" spans="2:65" ht="15" customHeight="1">
      <c r="B471" s="12" t="s">
        <v>909</v>
      </c>
      <c s="124" t="str">
        <f>Единица_измерения</f>
        <v>тыс. руб.</v>
      </c>
      <c s="125"/>
      <c s="125">
        <f>SUM(E472,-E469,-E470)</f>
        <v>0</v>
      </c>
      <c s="125">
        <f t="shared" si="333" ref="F471:BM471">SUM(F472,-F469,-F470)</f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  <c s="125">
        <f t="shared" si="333"/>
        <v>0</v>
      </c>
    </row>
    <row r="472" spans="2:65" ht="15" customHeight="1">
      <c r="B472" s="289" t="s">
        <v>830</v>
      </c>
      <c s="290" t="str">
        <f>Единица_измерения</f>
        <v>тыс. руб.</v>
      </c>
      <c s="276"/>
      <c s="276">
        <f>E470*(Предпосылки!$C$375/(E$8+1-E$7))</f>
        <v>0</v>
      </c>
      <c s="276">
        <f>F470*(Предпосылки!$C$375/(F$8+1-F$7))</f>
        <v>0</v>
      </c>
      <c s="276">
        <f>G470*(Предпосылки!$C$375/(G$8+1-G$7))</f>
        <v>0</v>
      </c>
      <c s="276">
        <f>H470*(Предпосылки!$C$375/(H$8+1-H$7))</f>
        <v>0</v>
      </c>
      <c s="276">
        <f>I470*(Предпосылки!$C$375/(I$8+1-I$7))</f>
        <v>0</v>
      </c>
      <c s="276">
        <f>J470*(Предпосылки!$C$375/(J$8+1-J$7))</f>
        <v>0</v>
      </c>
      <c s="276">
        <f>K470*(Предпосылки!$C$375/(K$8+1-K$7))</f>
        <v>0</v>
      </c>
      <c s="276">
        <f>L470*(Предпосылки!$C$375/(L$8+1-L$7))</f>
        <v>0</v>
      </c>
      <c s="276">
        <f>M470*(Предпосылки!$C$375/(M$8+1-M$7))</f>
        <v>0</v>
      </c>
      <c s="276">
        <f>N470*(Предпосылки!$C$375/(N$8+1-N$7))</f>
        <v>0</v>
      </c>
      <c s="276">
        <f>O470*(Предпосылки!$C$375/(O$8+1-O$7))</f>
        <v>0</v>
      </c>
      <c s="276">
        <f>P470*(Предпосылки!$C$375/(P$8+1-P$7))</f>
        <v>0</v>
      </c>
      <c s="276">
        <f>Q470*(Предпосылки!$C$375/(Q$8+1-Q$7))</f>
        <v>0</v>
      </c>
      <c s="276">
        <f>R470*(Предпосылки!$C$375/(R$8+1-R$7))</f>
        <v>0</v>
      </c>
      <c s="276">
        <f>S470*(Предпосылки!$C$375/(S$8+1-S$7))</f>
        <v>0</v>
      </c>
      <c s="276">
        <f>T470*(Предпосылки!$C$375/(T$8+1-T$7))</f>
        <v>0</v>
      </c>
      <c s="276">
        <f>U470*(Предпосылки!$C$375/(U$8+1-U$7))</f>
        <v>0</v>
      </c>
      <c s="276">
        <f>V470*(Предпосылки!$C$375/(V$8+1-V$7))</f>
        <v>0</v>
      </c>
      <c s="276">
        <f>W470*(Предпосылки!$C$375/(W$8+1-W$7))</f>
        <v>0</v>
      </c>
      <c s="276">
        <f>X470*(Предпосылки!$C$375/(X$8+1-X$7))</f>
        <v>0</v>
      </c>
      <c s="276">
        <f>Y470*(Предпосылки!$C$375/(Y$8+1-Y$7))</f>
        <v>0</v>
      </c>
      <c s="276">
        <f>Z470*(Предпосылки!$C$375/(Z$8+1-Z$7))</f>
        <v>0</v>
      </c>
      <c s="276">
        <f>AA470*(Предпосылки!$C$375/(AA$8+1-AA$7))</f>
        <v>0</v>
      </c>
      <c s="276">
        <f>AB470*(Предпосылки!$C$375/(AB$8+1-AB$7))</f>
        <v>0</v>
      </c>
      <c s="276">
        <f>AC470*(Предпосылки!$C$375/(AC$8+1-AC$7))</f>
        <v>0</v>
      </c>
      <c s="276">
        <f>AD470*(Предпосылки!$C$375/(AD$8+1-AD$7))</f>
        <v>0</v>
      </c>
      <c s="276">
        <f>AE470*(Предпосылки!$C$375/(AE$8+1-AE$7))</f>
        <v>0</v>
      </c>
      <c s="276">
        <f>AF470*(Предпосылки!$C$375/(AF$8+1-AF$7))</f>
        <v>0</v>
      </c>
      <c s="276">
        <f>AG470*(Предпосылки!$C$375/(AG$8+1-AG$7))</f>
        <v>0</v>
      </c>
      <c s="276">
        <f>AH470*(Предпосылки!$C$375/(AH$8+1-AH$7))</f>
        <v>0</v>
      </c>
      <c s="276">
        <f>AI470*(Предпосылки!$C$375/(AI$8+1-AI$7))</f>
        <v>0</v>
      </c>
      <c s="276">
        <f>AJ470*(Предпосылки!$C$375/(AJ$8+1-AJ$7))</f>
        <v>0</v>
      </c>
      <c s="276">
        <f>AK470*(Предпосылки!$C$375/(AK$8+1-AK$7))</f>
        <v>0</v>
      </c>
      <c s="276">
        <f>AL470*(Предпосылки!$C$375/(AL$8+1-AL$7))</f>
        <v>0</v>
      </c>
      <c s="276">
        <f>AM470*(Предпосылки!$C$375/(AM$8+1-AM$7))</f>
        <v>0</v>
      </c>
      <c s="276">
        <f>AN470*(Предпосылки!$C$375/(AN$8+1-AN$7))</f>
        <v>0</v>
      </c>
      <c s="276">
        <f>AO470*(Предпосылки!$C$375/(AO$8+1-AO$7))</f>
        <v>0</v>
      </c>
      <c s="276">
        <f>AP470*(Предпосылки!$C$375/(AP$8+1-AP$7))</f>
        <v>0</v>
      </c>
      <c s="276">
        <f>AQ470*(Предпосылки!$C$375/(AQ$8+1-AQ$7))</f>
        <v>0</v>
      </c>
      <c s="276">
        <f>AR470*(Предпосылки!$C$375/(AR$8+1-AR$7))</f>
        <v>0</v>
      </c>
      <c s="276">
        <f>AS470*(Предпосылки!$C$375/(AS$8+1-AS$7))</f>
        <v>0</v>
      </c>
      <c s="276">
        <f>AT470*(Предпосылки!$C$375/(AT$8+1-AT$7))</f>
        <v>0</v>
      </c>
      <c s="276">
        <f>AU470*(Предпосылки!$C$375/(AU$8+1-AU$7))</f>
        <v>0</v>
      </c>
      <c s="276">
        <f>AV470*(Предпосылки!$C$375/(AV$8+1-AV$7))</f>
        <v>0</v>
      </c>
      <c s="276">
        <f>AW470*(Предпосылки!$C$375/(AW$8+1-AW$7))</f>
        <v>0</v>
      </c>
      <c s="276">
        <f>AX470*(Предпосылки!$C$375/(AX$8+1-AX$7))</f>
        <v>0</v>
      </c>
      <c s="276">
        <f>AY470*(Предпосылки!$C$375/(AY$8+1-AY$7))</f>
        <v>0</v>
      </c>
      <c s="276">
        <f>AZ470*(Предпосылки!$C$375/(AZ$8+1-AZ$7))</f>
        <v>0</v>
      </c>
      <c s="276">
        <f>BA470*(Предпосылки!$C$375/(BA$8+1-BA$7))</f>
        <v>0</v>
      </c>
      <c s="276">
        <f>BB470*(Предпосылки!$C$375/(BB$8+1-BB$7))</f>
        <v>0</v>
      </c>
      <c s="276">
        <f>BC470*(Предпосылки!$C$375/(BC$8+1-BC$7))</f>
        <v>0</v>
      </c>
      <c s="276">
        <f>BD470*(Предпосылки!$C$375/(BD$8+1-BD$7))</f>
        <v>0</v>
      </c>
      <c s="276">
        <f>BE470*(Предпосылки!$C$375/(BE$8+1-BE$7))</f>
        <v>0</v>
      </c>
      <c s="276">
        <f>BF470*(Предпосылки!$C$375/(BF$8+1-BF$7))</f>
        <v>0</v>
      </c>
      <c s="276">
        <f>BG470*(Предпосылки!$C$375/(BG$8+1-BG$7))</f>
        <v>0</v>
      </c>
      <c s="276">
        <f>BH470*(Предпосылки!$C$375/(BH$8+1-BH$7))</f>
        <v>0</v>
      </c>
      <c s="276">
        <f>BI470*(Предпосылки!$C$375/(BI$8+1-BI$7))</f>
        <v>0</v>
      </c>
      <c s="276">
        <f>BJ470*(Предпосылки!$C$375/(BJ$8+1-BJ$7))</f>
        <v>0</v>
      </c>
      <c s="276">
        <f>BK470*(Предпосылки!$C$375/(BK$8+1-BK$7))</f>
        <v>0</v>
      </c>
      <c s="276">
        <f>BL470*(Предпосылки!$C$375/(BL$8+1-BL$7))</f>
        <v>0</v>
      </c>
      <c s="276">
        <f>BM470*(Предпосылки!$C$375/(BM$8+1-BM$7))</f>
        <v>0</v>
      </c>
    </row>
    <row r="473" ht="15" customHeight="1"/>
    <row r="474" spans="2:71" ht="21">
      <c r="B474" s="23" t="s">
        <v>311</v>
      </c>
      <c r="D47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75" spans="2:65" ht="15" customHeight="1">
      <c r="B475" s="12" t="s">
        <v>896</v>
      </c>
      <c s="124" t="str">
        <f>Единица_измерения</f>
        <v>тыс. руб.</v>
      </c>
      <c s="125"/>
      <c s="125">
        <f t="shared" si="334" ref="E475">E181</f>
        <v>0</v>
      </c>
      <c s="125">
        <f t="shared" si="335" ref="F475:BM475">F181</f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  <c s="125">
        <f t="shared" si="335"/>
        <v>0</v>
      </c>
    </row>
    <row r="476" spans="2:65" ht="15" customHeight="1">
      <c r="B476" s="12" t="s">
        <v>910</v>
      </c>
      <c s="124" t="str">
        <f>Единица_измерения</f>
        <v>тыс. руб.</v>
      </c>
      <c s="125"/>
      <c s="125">
        <f>'Капитальные вложения'!E410</f>
        <v>0</v>
      </c>
      <c s="125">
        <f>'Капитальные вложения'!F410</f>
        <v>0</v>
      </c>
      <c s="125">
        <f>'Капитальные вложения'!G410</f>
        <v>0</v>
      </c>
      <c s="125">
        <f>'Капитальные вложения'!H410</f>
        <v>0</v>
      </c>
      <c s="125">
        <f>'Капитальные вложения'!I410</f>
        <v>0</v>
      </c>
      <c s="125">
        <f>'Капитальные вложения'!J410</f>
        <v>0</v>
      </c>
      <c s="125">
        <f>'Капитальные вложения'!K410</f>
        <v>0</v>
      </c>
      <c s="125">
        <f>'Капитальные вложения'!L410</f>
        <v>0</v>
      </c>
      <c s="125">
        <f>'Капитальные вложения'!M410</f>
        <v>0</v>
      </c>
      <c s="125">
        <f>'Капитальные вложения'!N410</f>
        <v>0</v>
      </c>
      <c s="125">
        <f>'Капитальные вложения'!O410</f>
        <v>0</v>
      </c>
      <c s="125">
        <f>'Капитальные вложения'!P410</f>
        <v>0</v>
      </c>
      <c s="125">
        <f>'Капитальные вложения'!Q410</f>
        <v>0</v>
      </c>
      <c s="125">
        <f>'Капитальные вложения'!R410</f>
        <v>0</v>
      </c>
      <c s="125">
        <f>'Капитальные вложения'!S410</f>
        <v>0</v>
      </c>
      <c s="125">
        <f>'Капитальные вложения'!T410</f>
        <v>0</v>
      </c>
      <c s="125">
        <f>'Капитальные вложения'!U410</f>
        <v>0</v>
      </c>
      <c s="125">
        <f>'Капитальные вложения'!V410</f>
        <v>0</v>
      </c>
      <c s="125">
        <f>'Капитальные вложения'!W410</f>
        <v>0</v>
      </c>
      <c s="125">
        <f>'Капитальные вложения'!X410</f>
        <v>0</v>
      </c>
      <c s="125">
        <f>'Капитальные вложения'!Y410</f>
        <v>0</v>
      </c>
      <c s="125">
        <f>'Капитальные вложения'!Z410</f>
        <v>0</v>
      </c>
      <c s="125">
        <f>'Капитальные вложения'!AA410</f>
        <v>0</v>
      </c>
      <c s="125">
        <f>'Капитальные вложения'!AB410</f>
        <v>0</v>
      </c>
      <c s="125">
        <f>'Капитальные вложения'!AC410</f>
        <v>0</v>
      </c>
      <c s="125">
        <f>'Капитальные вложения'!AD410</f>
        <v>0</v>
      </c>
      <c s="125">
        <f>'Капитальные вложения'!AE410</f>
        <v>0</v>
      </c>
      <c s="125">
        <f>'Капитальные вложения'!AF410</f>
        <v>0</v>
      </c>
      <c s="125">
        <f>'Капитальные вложения'!AG410</f>
        <v>0</v>
      </c>
      <c s="125">
        <f>'Капитальные вложения'!AH410</f>
        <v>0</v>
      </c>
      <c s="125">
        <f>'Капитальные вложения'!AI410</f>
        <v>0</v>
      </c>
      <c s="125">
        <f>'Капитальные вложения'!AJ410</f>
        <v>0</v>
      </c>
      <c s="125">
        <f>'Капитальные вложения'!AK410</f>
        <v>0</v>
      </c>
      <c s="125">
        <f>'Капитальные вложения'!AL410</f>
        <v>0</v>
      </c>
      <c s="125">
        <f>'Капитальные вложения'!AM410</f>
        <v>0</v>
      </c>
      <c s="125">
        <f>'Капитальные вложения'!AN410</f>
        <v>0</v>
      </c>
      <c s="125">
        <f>'Капитальные вложения'!AO410</f>
        <v>0</v>
      </c>
      <c s="125">
        <f>'Капитальные вложения'!AP410</f>
        <v>0</v>
      </c>
      <c s="125">
        <f>'Капитальные вложения'!AQ410</f>
        <v>0</v>
      </c>
      <c s="125">
        <f>'Капитальные вложения'!AR410</f>
        <v>0</v>
      </c>
      <c s="125">
        <f>'Капитальные вложения'!AS410</f>
        <v>0</v>
      </c>
      <c s="125">
        <f>'Капитальные вложения'!AT410</f>
        <v>0</v>
      </c>
      <c s="125">
        <f>'Капитальные вложения'!AU410</f>
        <v>0</v>
      </c>
      <c s="125">
        <f>'Капитальные вложения'!AV410</f>
        <v>0</v>
      </c>
      <c s="125">
        <f>'Капитальные вложения'!AW410</f>
        <v>0</v>
      </c>
      <c s="125">
        <f>'Капитальные вложения'!AX410</f>
        <v>0</v>
      </c>
      <c s="125">
        <f>'Капитальные вложения'!AY410</f>
        <v>0</v>
      </c>
      <c s="125">
        <f>'Капитальные вложения'!AZ410</f>
        <v>0</v>
      </c>
      <c s="125">
        <f>'Капитальные вложения'!BA410</f>
        <v>0</v>
      </c>
      <c s="125">
        <f>'Капитальные вложения'!BB410</f>
        <v>0</v>
      </c>
      <c s="125">
        <f>'Капитальные вложения'!BC410</f>
        <v>0</v>
      </c>
      <c s="125">
        <f>'Капитальные вложения'!BD410</f>
        <v>0</v>
      </c>
      <c s="125">
        <f>'Капитальные вложения'!BE410</f>
        <v>0</v>
      </c>
      <c s="125">
        <f>'Капитальные вложения'!BF410</f>
        <v>0</v>
      </c>
      <c s="125">
        <f>'Капитальные вложения'!BG410</f>
        <v>0</v>
      </c>
      <c s="125">
        <f>'Капитальные вложения'!BH410</f>
        <v>0</v>
      </c>
      <c s="125">
        <f>'Капитальные вложения'!BI410</f>
        <v>0</v>
      </c>
      <c s="125">
        <f>'Капитальные вложения'!BJ410</f>
        <v>0</v>
      </c>
      <c s="125">
        <f>'Капитальные вложения'!BK410</f>
        <v>0</v>
      </c>
      <c s="125">
        <f>'Капитальные вложения'!BL410</f>
        <v>0</v>
      </c>
      <c s="125">
        <f>'Капитальные вложения'!BM410</f>
        <v>0</v>
      </c>
    </row>
    <row r="477" spans="2:65" ht="15" customHeight="1">
      <c r="B477" s="12" t="s">
        <v>911</v>
      </c>
      <c s="124" t="str">
        <f>Единица_измерения</f>
        <v>тыс. руб.</v>
      </c>
      <c s="125"/>
      <c s="125">
        <f t="shared" si="336" ref="E477">E299</f>
        <v>0</v>
      </c>
      <c s="125">
        <f t="shared" si="337" ref="F477:BM477">F299</f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  <c s="125">
        <f t="shared" si="337"/>
        <v>0</v>
      </c>
    </row>
    <row r="478" spans="2:65" ht="15" customHeight="1">
      <c r="B478" s="12" t="s">
        <v>912</v>
      </c>
      <c s="124" t="str">
        <f>Единица_измерения</f>
        <v>тыс. руб.</v>
      </c>
      <c s="125"/>
      <c s="125">
        <f ca="1">E437</f>
        <v>0</v>
      </c>
      <c s="125">
        <f ca="1" t="shared" si="338" ref="F478:BM478">F437</f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</row>
    <row r="479" spans="2:65" ht="15" customHeight="1">
      <c r="B479" s="289" t="s">
        <v>454</v>
      </c>
      <c s="290" t="str">
        <f>Единица_измерения</f>
        <v>тыс. руб.</v>
      </c>
      <c s="276"/>
      <c s="276">
        <f ca="1">SUM(E475:E478)</f>
        <v>0</v>
      </c>
      <c s="276">
        <f ca="1" t="shared" si="339" ref="F479:AG479">SUM(F475:F478)</f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t="shared" ca="1" si="339"/>
        <v>0</v>
      </c>
      <c s="276">
        <f ca="1" t="shared" si="340" ref="AH479:BM479">SUM(AH475:AH478)</f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  <c s="276">
        <f t="shared" ca="1" si="340"/>
        <v>0</v>
      </c>
    </row>
    <row r="480" ht="15" customHeight="1"/>
    <row r="481" spans="2:71" ht="21">
      <c r="B481" s="23" t="s">
        <v>313</v>
      </c>
      <c r="D48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82" spans="2:65" ht="15" customHeight="1">
      <c r="B482" s="128" t="s">
        <v>897</v>
      </c>
      <c s="124" t="str">
        <f t="shared" si="341" ref="C482:C487">Единица_измерения</f>
        <v>тыс. руб.</v>
      </c>
      <c s="125"/>
      <c s="125">
        <f t="shared" si="342" ref="E482">E182</f>
        <v>0</v>
      </c>
      <c s="125">
        <f t="shared" si="343" ref="F482:BM482">F182</f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  <c s="125">
        <f t="shared" si="343"/>
        <v>0</v>
      </c>
    </row>
    <row r="483" spans="2:65" ht="15" customHeight="1">
      <c r="B483" s="128" t="s">
        <v>913</v>
      </c>
      <c s="124" t="str">
        <f t="shared" si="341"/>
        <v>тыс. руб.</v>
      </c>
      <c s="125"/>
      <c s="125">
        <f>'Капитальные вложения'!E411</f>
        <v>0</v>
      </c>
      <c s="125">
        <f>'Капитальные вложения'!F411</f>
        <v>0</v>
      </c>
      <c s="125">
        <f>'Капитальные вложения'!G411</f>
        <v>0</v>
      </c>
      <c s="125">
        <f>'Капитальные вложения'!H411</f>
        <v>0</v>
      </c>
      <c s="125">
        <f>'Капитальные вложения'!I411</f>
        <v>0</v>
      </c>
      <c s="125">
        <f>'Капитальные вложения'!J411</f>
        <v>0</v>
      </c>
      <c s="125">
        <f>'Капитальные вложения'!K411</f>
        <v>0</v>
      </c>
      <c s="125">
        <f>'Капитальные вложения'!L411</f>
        <v>0</v>
      </c>
      <c s="125">
        <f>'Капитальные вложения'!M411</f>
        <v>0</v>
      </c>
      <c s="125">
        <f>'Капитальные вложения'!N411</f>
        <v>0</v>
      </c>
      <c s="125">
        <f>'Капитальные вложения'!O411</f>
        <v>0</v>
      </c>
      <c s="125">
        <f>'Капитальные вложения'!P411</f>
        <v>0</v>
      </c>
      <c s="125">
        <f>'Капитальные вложения'!Q411</f>
        <v>0</v>
      </c>
      <c s="125">
        <f>'Капитальные вложения'!R411</f>
        <v>0</v>
      </c>
      <c s="125">
        <f>'Капитальные вложения'!S411</f>
        <v>0</v>
      </c>
      <c s="125">
        <f>'Капитальные вложения'!T411</f>
        <v>0</v>
      </c>
      <c s="125">
        <f>'Капитальные вложения'!U411</f>
        <v>0</v>
      </c>
      <c s="125">
        <f>'Капитальные вложения'!V411</f>
        <v>0</v>
      </c>
      <c s="125">
        <f>'Капитальные вложения'!W411</f>
        <v>0</v>
      </c>
      <c s="125">
        <f>'Капитальные вложения'!X411</f>
        <v>0</v>
      </c>
      <c s="125">
        <f>'Капитальные вложения'!Y411</f>
        <v>0</v>
      </c>
      <c s="125">
        <f>'Капитальные вложения'!Z411</f>
        <v>0</v>
      </c>
      <c s="125">
        <f>'Капитальные вложения'!AA411</f>
        <v>0</v>
      </c>
      <c s="125">
        <f>'Капитальные вложения'!AB411</f>
        <v>0</v>
      </c>
      <c s="125">
        <f>'Капитальные вложения'!AC411</f>
        <v>0</v>
      </c>
      <c s="125">
        <f>'Капитальные вложения'!AD411</f>
        <v>0</v>
      </c>
      <c s="125">
        <f>'Капитальные вложения'!AE411</f>
        <v>0</v>
      </c>
      <c s="125">
        <f>'Капитальные вложения'!AF411</f>
        <v>0</v>
      </c>
      <c s="125">
        <f>'Капитальные вложения'!AG411</f>
        <v>0</v>
      </c>
      <c s="125">
        <f>'Капитальные вложения'!AH411</f>
        <v>0</v>
      </c>
      <c s="125">
        <f>'Капитальные вложения'!AI411</f>
        <v>0</v>
      </c>
      <c s="125">
        <f>'Капитальные вложения'!AJ411</f>
        <v>0</v>
      </c>
      <c s="125">
        <f>'Капитальные вложения'!AK411</f>
        <v>0</v>
      </c>
      <c s="125">
        <f>'Капитальные вложения'!AL411</f>
        <v>0</v>
      </c>
      <c s="125">
        <f>'Капитальные вложения'!AM411</f>
        <v>0</v>
      </c>
      <c s="125">
        <f>'Капитальные вложения'!AN411</f>
        <v>0</v>
      </c>
      <c s="125">
        <f>'Капитальные вложения'!AO411</f>
        <v>0</v>
      </c>
      <c s="125">
        <f>'Капитальные вложения'!AP411</f>
        <v>0</v>
      </c>
      <c s="125">
        <f>'Капитальные вложения'!AQ411</f>
        <v>0</v>
      </c>
      <c s="125">
        <f>'Капитальные вложения'!AR411</f>
        <v>0</v>
      </c>
      <c s="125">
        <f>'Капитальные вложения'!AS411</f>
        <v>0</v>
      </c>
      <c s="125">
        <f>'Капитальные вложения'!AT411</f>
        <v>0</v>
      </c>
      <c s="125">
        <f>'Капитальные вложения'!AU411</f>
        <v>0</v>
      </c>
      <c s="125">
        <f>'Капитальные вложения'!AV411</f>
        <v>0</v>
      </c>
      <c s="125">
        <f>'Капитальные вложения'!AW411</f>
        <v>0</v>
      </c>
      <c s="125">
        <f>'Капитальные вложения'!AX411</f>
        <v>0</v>
      </c>
      <c s="125">
        <f>'Капитальные вложения'!AY411</f>
        <v>0</v>
      </c>
      <c s="125">
        <f>'Капитальные вложения'!AZ411</f>
        <v>0</v>
      </c>
      <c s="125">
        <f>'Капитальные вложения'!BA411</f>
        <v>0</v>
      </c>
      <c s="125">
        <f>'Капитальные вложения'!BB411</f>
        <v>0</v>
      </c>
      <c s="125">
        <f>'Капитальные вложения'!BC411</f>
        <v>0</v>
      </c>
      <c s="125">
        <f>'Капитальные вложения'!BD411</f>
        <v>0</v>
      </c>
      <c s="125">
        <f>'Капитальные вложения'!BE411</f>
        <v>0</v>
      </c>
      <c s="125">
        <f>'Капитальные вложения'!BF411</f>
        <v>0</v>
      </c>
      <c s="125">
        <f>'Капитальные вложения'!BG411</f>
        <v>0</v>
      </c>
      <c s="125">
        <f>'Капитальные вложения'!BH411</f>
        <v>0</v>
      </c>
      <c s="125">
        <f>'Капитальные вложения'!BI411</f>
        <v>0</v>
      </c>
      <c s="125">
        <f>'Капитальные вложения'!BJ411</f>
        <v>0</v>
      </c>
      <c s="125">
        <f>'Капитальные вложения'!BK411</f>
        <v>0</v>
      </c>
      <c s="125">
        <f>'Капитальные вложения'!BL411</f>
        <v>0</v>
      </c>
      <c s="125">
        <f>'Капитальные вложения'!BM411</f>
        <v>0</v>
      </c>
    </row>
    <row r="484" spans="2:65" ht="15" customHeight="1">
      <c r="B484" s="128" t="s">
        <v>914</v>
      </c>
      <c s="124" t="str">
        <f t="shared" si="341"/>
        <v>тыс. руб.</v>
      </c>
      <c s="125"/>
      <c s="125">
        <f t="shared" si="344" ref="E484">E300</f>
        <v>0</v>
      </c>
      <c s="125">
        <f t="shared" si="345" ref="F484:BM484">F300</f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  <c s="125">
        <f t="shared" si="345"/>
        <v>0</v>
      </c>
    </row>
    <row r="485" spans="2:65" ht="15" customHeight="1">
      <c r="B485" s="128" t="s">
        <v>915</v>
      </c>
      <c s="124" t="str">
        <f t="shared" si="341"/>
        <v>тыс. руб.</v>
      </c>
      <c s="125"/>
      <c s="125">
        <f ca="1">E438</f>
        <v>0</v>
      </c>
      <c s="125">
        <f ca="1" t="shared" si="346" ref="F485:BM485">F438</f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  <c s="125">
        <f t="shared" ca="1" si="346"/>
        <v>0</v>
      </c>
    </row>
    <row r="486" spans="2:65" ht="15" customHeight="1">
      <c r="B486" s="128" t="s">
        <v>916</v>
      </c>
      <c s="124" t="str">
        <f t="shared" si="341"/>
        <v>тыс. руб.</v>
      </c>
      <c s="125"/>
      <c s="125">
        <f>E472</f>
        <v>0</v>
      </c>
      <c s="125">
        <f t="shared" si="347" ref="F486:BM486">F472</f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  <c s="125">
        <f t="shared" si="347"/>
        <v>0</v>
      </c>
    </row>
    <row r="487" spans="2:65" ht="15" customHeight="1">
      <c r="B487" s="289" t="s">
        <v>454</v>
      </c>
      <c s="290" t="str">
        <f t="shared" si="341"/>
        <v>тыс. руб.</v>
      </c>
      <c s="276"/>
      <c s="276">
        <f ca="1">SUM(E482:E486)</f>
        <v>0</v>
      </c>
      <c s="276">
        <f ca="1" t="shared" si="348" ref="F487:AG487">SUM(F482:F486)</f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t="shared" ca="1" si="348"/>
        <v>0</v>
      </c>
      <c s="276">
        <f ca="1" t="shared" si="349" ref="AH487:BM487">SUM(AH482:AH486)</f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  <c s="276">
        <f t="shared" ca="1" si="349"/>
        <v>0</v>
      </c>
    </row>
    <row r="488" ht="15" customHeight="1"/>
    <row r="489" spans="2:71" ht="21">
      <c r="B489" s="23" t="s">
        <v>516</v>
      </c>
      <c r="D48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90" spans="2:65" ht="15" customHeight="1">
      <c r="B490" s="128" t="s">
        <v>309</v>
      </c>
      <c s="124" t="str">
        <f>Единица_измерения</f>
        <v>тыс. руб.</v>
      </c>
      <c s="125"/>
      <c s="125">
        <f t="shared" si="350" ref="E490">E58-D58</f>
        <v>0</v>
      </c>
      <c s="125">
        <f t="shared" si="351" ref="F490">F58-E58</f>
        <v>0</v>
      </c>
      <c s="125">
        <f t="shared" si="352" ref="G490">G58-F58</f>
        <v>0</v>
      </c>
      <c s="125">
        <f t="shared" si="353" ref="H490">H58-G58</f>
        <v>0</v>
      </c>
      <c s="125">
        <f t="shared" si="354" ref="I490">I58-H58</f>
        <v>0</v>
      </c>
      <c s="125">
        <f t="shared" si="355" ref="J490">J58-I58</f>
        <v>0</v>
      </c>
      <c s="125">
        <f t="shared" si="356" ref="K490">K58-J58</f>
        <v>0</v>
      </c>
      <c s="125">
        <f t="shared" si="357" ref="L490">L58-K58</f>
        <v>0</v>
      </c>
      <c s="125">
        <f t="shared" si="358" ref="M490">M58-L58</f>
        <v>0</v>
      </c>
      <c s="125">
        <f t="shared" si="359" ref="N490">N58-M58</f>
        <v>0</v>
      </c>
      <c s="125">
        <f t="shared" si="360" ref="O490">O58-N58</f>
        <v>0</v>
      </c>
      <c s="125">
        <f t="shared" si="361" ref="P490">P58-O58</f>
        <v>0</v>
      </c>
      <c s="125">
        <f t="shared" si="362" ref="Q490">Q58-P58</f>
        <v>0</v>
      </c>
      <c s="125">
        <f t="shared" si="363" ref="R490">R58-Q58</f>
        <v>0</v>
      </c>
      <c s="125">
        <f t="shared" si="364" ref="S490">S58-R58</f>
        <v>0</v>
      </c>
      <c s="125">
        <f t="shared" si="365" ref="T490">T58-S58</f>
        <v>0</v>
      </c>
      <c s="125">
        <f t="shared" si="366" ref="U490">U58-T58</f>
        <v>0</v>
      </c>
      <c s="125">
        <f t="shared" si="367" ref="V490">V58-U58</f>
        <v>0</v>
      </c>
      <c s="125">
        <f t="shared" si="368" ref="W490">W58-V58</f>
        <v>0</v>
      </c>
      <c s="125">
        <f t="shared" si="369" ref="X490">X58-W58</f>
        <v>0</v>
      </c>
      <c s="125">
        <f t="shared" si="370" ref="Y490">Y58-X58</f>
        <v>0</v>
      </c>
      <c s="125">
        <f t="shared" si="371" ref="Z490">Z58-Y58</f>
        <v>0</v>
      </c>
      <c s="125">
        <f t="shared" si="372" ref="AA490">AA58-Z58</f>
        <v>0</v>
      </c>
      <c s="125">
        <f t="shared" si="373" ref="AB490">AB58-AA58</f>
        <v>0</v>
      </c>
      <c s="125">
        <f t="shared" si="374" ref="AC490">AC58-AB58</f>
        <v>0</v>
      </c>
      <c s="125">
        <f t="shared" si="375" ref="AD490">AD58-AC58</f>
        <v>0</v>
      </c>
      <c s="125">
        <f t="shared" si="376" ref="AE490">AE58-AD58</f>
        <v>0</v>
      </c>
      <c s="125">
        <f t="shared" si="377" ref="AF490">AF58-AE58</f>
        <v>0</v>
      </c>
      <c s="125">
        <f t="shared" si="378" ref="AG490">AG58-AF58</f>
        <v>0</v>
      </c>
      <c s="125">
        <f t="shared" si="379" ref="AH490">AH58-AG58</f>
        <v>0</v>
      </c>
      <c s="125">
        <f t="shared" si="380" ref="AI490">AI58-AH58</f>
        <v>0</v>
      </c>
      <c s="125">
        <f t="shared" si="381" ref="AJ490">AJ58-AI58</f>
        <v>0</v>
      </c>
      <c s="125">
        <f t="shared" si="382" ref="AK490">AK58-AJ58</f>
        <v>0</v>
      </c>
      <c s="125">
        <f t="shared" si="383" ref="AL490">AL58-AK58</f>
        <v>0</v>
      </c>
      <c s="125">
        <f t="shared" si="384" ref="AM490">AM58-AL58</f>
        <v>0</v>
      </c>
      <c s="125">
        <f t="shared" si="385" ref="AN490">AN58-AM58</f>
        <v>0</v>
      </c>
      <c s="125">
        <f t="shared" si="386" ref="AO490">AO58-AN58</f>
        <v>0</v>
      </c>
      <c s="125">
        <f t="shared" si="387" ref="AP490">AP58-AO58</f>
        <v>0</v>
      </c>
      <c s="125">
        <f t="shared" si="388" ref="AQ490">AQ58-AP58</f>
        <v>0</v>
      </c>
      <c s="125">
        <f t="shared" si="389" ref="AR490">AR58-AQ58</f>
        <v>0</v>
      </c>
      <c s="125">
        <f t="shared" si="390" ref="AS490">AS58-AR58</f>
        <v>0</v>
      </c>
      <c s="125">
        <f t="shared" si="391" ref="AT490">AT58-AS58</f>
        <v>0</v>
      </c>
      <c s="125">
        <f t="shared" si="392" ref="AU490">AU58-AT58</f>
        <v>0</v>
      </c>
      <c s="125">
        <f t="shared" si="393" ref="AV490">AV58-AU58</f>
        <v>0</v>
      </c>
      <c s="125">
        <f t="shared" si="394" ref="AW490">AW58-AV58</f>
        <v>0</v>
      </c>
      <c s="125">
        <f t="shared" si="395" ref="AX490">AX58-AW58</f>
        <v>0</v>
      </c>
      <c s="125">
        <f t="shared" si="396" ref="AY490">AY58-AX58</f>
        <v>0</v>
      </c>
      <c s="125">
        <f t="shared" si="397" ref="AZ490">AZ58-AY58</f>
        <v>0</v>
      </c>
      <c s="125">
        <f t="shared" si="398" ref="BA490">BA58-AZ58</f>
        <v>0</v>
      </c>
      <c s="125">
        <f t="shared" si="399" ref="BB490">BB58-BA58</f>
        <v>0</v>
      </c>
      <c s="125">
        <f t="shared" si="400" ref="BC490">BC58-BB58</f>
        <v>0</v>
      </c>
      <c s="125">
        <f t="shared" si="401" ref="BD490">BD58-BC58</f>
        <v>0</v>
      </c>
      <c s="125">
        <f t="shared" si="402" ref="BE490">BE58-BD58</f>
        <v>0</v>
      </c>
      <c s="125">
        <f t="shared" si="403" ref="BF490">BF58-BE58</f>
        <v>0</v>
      </c>
      <c s="125">
        <f t="shared" si="404" ref="BG490">BG58-BF58</f>
        <v>0</v>
      </c>
      <c s="125">
        <f t="shared" si="405" ref="BH490">BH58-BG58</f>
        <v>0</v>
      </c>
      <c s="125">
        <f t="shared" si="406" ref="BI490">BI58-BH58</f>
        <v>0</v>
      </c>
      <c s="125">
        <f t="shared" si="407" ref="BJ490">BJ58-BI58</f>
        <v>0</v>
      </c>
      <c s="125">
        <f t="shared" si="408" ref="BK490">BK58-BJ58</f>
        <v>0</v>
      </c>
      <c s="125">
        <f t="shared" si="409" ref="BL490">BL58-BK58</f>
        <v>0</v>
      </c>
      <c s="125">
        <f t="shared" si="410" ref="BM490">BM58-BL58</f>
        <v>0</v>
      </c>
    </row>
    <row r="491" spans="2:65" ht="15" customHeight="1">
      <c r="B491" s="128" t="s">
        <v>311</v>
      </c>
      <c s="124" t="str">
        <f>Единица_измерения</f>
        <v>тыс. руб.</v>
      </c>
      <c s="125"/>
      <c s="125">
        <f ca="1">E479-D479</f>
        <v>0</v>
      </c>
      <c s="125">
        <f ca="1" t="shared" si="411" ref="F491:BM491">F479-E479</f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  <c s="125">
        <f t="shared" ca="1" si="411"/>
        <v>0</v>
      </c>
    </row>
    <row r="492" spans="2:65" ht="15" customHeight="1">
      <c r="B492" s="128" t="s">
        <v>313</v>
      </c>
      <c s="124" t="str">
        <f>Единица_измерения</f>
        <v>тыс. руб.</v>
      </c>
      <c s="125"/>
      <c s="125">
        <f ca="1" t="shared" si="412" ref="E492">E487-D487</f>
        <v>0</v>
      </c>
      <c s="125">
        <f ca="1" t="shared" si="413" ref="F492">F487-E487</f>
        <v>0</v>
      </c>
      <c s="125">
        <f ca="1" t="shared" si="414" ref="G492">G487-F487</f>
        <v>0</v>
      </c>
      <c s="125">
        <f ca="1" t="shared" si="415" ref="H492">H487-G487</f>
        <v>0</v>
      </c>
      <c s="125">
        <f ca="1" t="shared" si="416" ref="I492">I487-H487</f>
        <v>0</v>
      </c>
      <c s="125">
        <f ca="1" t="shared" si="417" ref="J492">J487-I487</f>
        <v>0</v>
      </c>
      <c s="125">
        <f ca="1" t="shared" si="418" ref="K492">K487-J487</f>
        <v>0</v>
      </c>
      <c s="125">
        <f ca="1" t="shared" si="419" ref="L492">L487-K487</f>
        <v>0</v>
      </c>
      <c s="125">
        <f ca="1" t="shared" si="420" ref="M492">M487-L487</f>
        <v>0</v>
      </c>
      <c s="125">
        <f ca="1" t="shared" si="421" ref="N492">N487-M487</f>
        <v>0</v>
      </c>
      <c s="125">
        <f ca="1" t="shared" si="422" ref="O492">O487-N487</f>
        <v>0</v>
      </c>
      <c s="125">
        <f ca="1" t="shared" si="423" ref="P492">P487-O487</f>
        <v>0</v>
      </c>
      <c s="125">
        <f ca="1" t="shared" si="424" ref="Q492">Q487-P487</f>
        <v>0</v>
      </c>
      <c s="125">
        <f ca="1" t="shared" si="425" ref="R492">R487-Q487</f>
        <v>0</v>
      </c>
      <c s="125">
        <f ca="1" t="shared" si="426" ref="S492">S487-R487</f>
        <v>0</v>
      </c>
      <c s="125">
        <f ca="1" t="shared" si="427" ref="T492">T487-S487</f>
        <v>0</v>
      </c>
      <c s="125">
        <f ca="1" t="shared" si="428" ref="U492">U487-T487</f>
        <v>0</v>
      </c>
      <c s="125">
        <f ca="1" t="shared" si="429" ref="V492">V487-U487</f>
        <v>0</v>
      </c>
      <c s="125">
        <f ca="1" t="shared" si="430" ref="W492">W487-V487</f>
        <v>0</v>
      </c>
      <c s="125">
        <f ca="1" t="shared" si="431" ref="X492">X487-W487</f>
        <v>0</v>
      </c>
      <c s="125">
        <f ca="1" t="shared" si="432" ref="Y492">Y487-X487</f>
        <v>0</v>
      </c>
      <c s="125">
        <f ca="1" t="shared" si="433" ref="Z492">Z487-Y487</f>
        <v>0</v>
      </c>
      <c s="125">
        <f ca="1" t="shared" si="434" ref="AA492">AA487-Z487</f>
        <v>0</v>
      </c>
      <c s="125">
        <f ca="1" t="shared" si="435" ref="AB492">AB487-AA487</f>
        <v>0</v>
      </c>
      <c s="125">
        <f ca="1" t="shared" si="436" ref="AC492">AC487-AB487</f>
        <v>0</v>
      </c>
      <c s="125">
        <f ca="1" t="shared" si="437" ref="AD492">AD487-AC487</f>
        <v>0</v>
      </c>
      <c s="125">
        <f ca="1" t="shared" si="438" ref="AE492">AE487-AD487</f>
        <v>0</v>
      </c>
      <c s="125">
        <f ca="1" t="shared" si="439" ref="AF492">AF487-AE487</f>
        <v>0</v>
      </c>
      <c s="125">
        <f ca="1" t="shared" si="440" ref="AG492">AG487-AF487</f>
        <v>0</v>
      </c>
      <c s="125">
        <f ca="1" t="shared" si="441" ref="AH492">AH487-AG487</f>
        <v>0</v>
      </c>
      <c s="125">
        <f ca="1" t="shared" si="442" ref="AI492">AI487-AH487</f>
        <v>0</v>
      </c>
      <c s="125">
        <f ca="1" t="shared" si="443" ref="AJ492">AJ487-AI487</f>
        <v>0</v>
      </c>
      <c s="125">
        <f ca="1" t="shared" si="444" ref="AK492">AK487-AJ487</f>
        <v>0</v>
      </c>
      <c s="125">
        <f ca="1" t="shared" si="445" ref="AL492">AL487-AK487</f>
        <v>0</v>
      </c>
      <c s="125">
        <f ca="1" t="shared" si="446" ref="AM492">AM487-AL487</f>
        <v>0</v>
      </c>
      <c s="125">
        <f ca="1" t="shared" si="447" ref="AN492">AN487-AM487</f>
        <v>0</v>
      </c>
      <c s="125">
        <f ca="1" t="shared" si="448" ref="AO492">AO487-AN487</f>
        <v>0</v>
      </c>
      <c s="125">
        <f ca="1" t="shared" si="449" ref="AP492">AP487-AO487</f>
        <v>0</v>
      </c>
      <c s="125">
        <f ca="1" t="shared" si="450" ref="AQ492">AQ487-AP487</f>
        <v>0</v>
      </c>
      <c s="125">
        <f ca="1" t="shared" si="451" ref="AR492">AR487-AQ487</f>
        <v>0</v>
      </c>
      <c s="125">
        <f ca="1" t="shared" si="452" ref="AS492">AS487-AR487</f>
        <v>0</v>
      </c>
      <c s="125">
        <f ca="1" t="shared" si="453" ref="AT492">AT487-AS487</f>
        <v>0</v>
      </c>
      <c s="125">
        <f ca="1" t="shared" si="454" ref="AU492">AU487-AT487</f>
        <v>0</v>
      </c>
      <c s="125">
        <f ca="1" t="shared" si="455" ref="AV492">AV487-AU487</f>
        <v>0</v>
      </c>
      <c s="125">
        <f ca="1" t="shared" si="456" ref="AW492">AW487-AV487</f>
        <v>0</v>
      </c>
      <c s="125">
        <f ca="1" t="shared" si="457" ref="AX492">AX487-AW487</f>
        <v>0</v>
      </c>
      <c s="125">
        <f ca="1" t="shared" si="458" ref="AY492">AY487-AX487</f>
        <v>0</v>
      </c>
      <c s="125">
        <f ca="1" t="shared" si="459" ref="AZ492">AZ487-AY487</f>
        <v>0</v>
      </c>
      <c s="125">
        <f ca="1" t="shared" si="460" ref="BA492">BA487-AZ487</f>
        <v>0</v>
      </c>
      <c s="125">
        <f ca="1" t="shared" si="461" ref="BB492">BB487-BA487</f>
        <v>0</v>
      </c>
      <c s="125">
        <f ca="1" t="shared" si="462" ref="BC492">BC487-BB487</f>
        <v>0</v>
      </c>
      <c s="125">
        <f ca="1" t="shared" si="463" ref="BD492">BD487-BC487</f>
        <v>0</v>
      </c>
      <c s="125">
        <f ca="1" t="shared" si="464" ref="BE492">BE487-BD487</f>
        <v>0</v>
      </c>
      <c s="125">
        <f ca="1" t="shared" si="465" ref="BF492">BF487-BE487</f>
        <v>0</v>
      </c>
      <c s="125">
        <f ca="1" t="shared" si="466" ref="BG492">BG487-BF487</f>
        <v>0</v>
      </c>
      <c s="125">
        <f ca="1" t="shared" si="467" ref="BH492">BH487-BG487</f>
        <v>0</v>
      </c>
      <c s="125">
        <f ca="1" t="shared" si="468" ref="BI492">BI487-BH487</f>
        <v>0</v>
      </c>
      <c s="125">
        <f ca="1" t="shared" si="469" ref="BJ492">BJ487-BI487</f>
        <v>0</v>
      </c>
      <c s="125">
        <f ca="1" t="shared" si="470" ref="BK492">BK487-BJ487</f>
        <v>0</v>
      </c>
      <c s="125">
        <f ca="1" t="shared" si="471" ref="BL492">BL487-BK487</f>
        <v>0</v>
      </c>
      <c s="125">
        <f ca="1" t="shared" si="472" ref="BM492">BM487-BL487</f>
        <v>0</v>
      </c>
    </row>
    <row r="493" spans="2:65" ht="15" customHeight="1">
      <c r="B493" s="289" t="s">
        <v>454</v>
      </c>
      <c s="290" t="str">
        <f>Единица_измерения</f>
        <v>тыс. руб.</v>
      </c>
      <c s="276"/>
      <c s="276">
        <f ca="1">SUM(E490:E491,-E492)</f>
        <v>0</v>
      </c>
      <c s="276">
        <f ca="1" t="shared" si="473" ref="F493:AG493">SUM(F490:F491,-F492)</f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t="shared" ca="1" si="473"/>
        <v>0</v>
      </c>
      <c s="276">
        <f ca="1" t="shared" si="474" ref="AH493:BM493">SUM(AH490:AH491,-AH492)</f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  <c s="276">
        <f t="shared" ca="1" si="474"/>
        <v>0</v>
      </c>
    </row>
    <row r="494" ht="15" customHeight="1"/>
  </sheetData>
  <sheetProtection algorithmName="SHA-512" hashValue="HIWSCFpbIyiuKm2VRdvaMYKjsxAZBKNn+2uWla6XS4bWzcTBiEQmTDocaUhWEddNgo1M9m0mQ8wlc49nEwv+BA==" saltValue="1FqZICDh3NWPK4QmQ8HvcA==" spinCount="100000" sheet="1" objects="1" scenarios="1"/>
  <mergeCells count="5">
    <mergeCell ref="B6:B8"/>
    <mergeCell ref="C6:C8"/>
    <mergeCell ref="D6:D8"/>
    <mergeCell ref="E2:H2"/>
    <mergeCell ref="E4:G4"/>
  </mergeCells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>
    <tabColor theme="0"/>
    <pageSetUpPr fitToPage="1"/>
  </sheetPr>
  <dimension ref="B2:BS319"/>
  <sheetViews>
    <sheetView showGridLines="0" workbookViewId="0" topLeftCell="A1">
      <pane xSplit="4" ySplit="8" topLeftCell="E9" activePane="bottomRight" state="frozen"/>
      <selection pane="topLeft" activeCell="A1" sqref="A1"/>
      <selection pane="bottomLeft" activeCell="A1" sqref="A1"/>
      <selection pane="topRight" activeCell="A1" sqref="A1"/>
      <selection pane="bottomRight" activeCell="I2" sqref="I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65" width="17.2857142857143" customWidth="1"/>
    <col min="66" max="66" width="2.71428571428571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17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AG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1" ref="AH6">SUM(AG6,1)</f>
        <v>30</v>
      </c>
      <c s="255">
        <f t="shared" si="2" ref="AI6">SUM(AH6,1)</f>
        <v>31</v>
      </c>
      <c s="255">
        <f t="shared" si="3" ref="AJ6">SUM(AI6,1)</f>
        <v>32</v>
      </c>
      <c s="255">
        <f t="shared" si="4" ref="AK6">SUM(AJ6,1)</f>
        <v>33</v>
      </c>
      <c s="255">
        <f t="shared" si="5" ref="AL6">SUM(AK6,1)</f>
        <v>34</v>
      </c>
      <c s="255">
        <f t="shared" si="6" ref="AM6">SUM(AL6,1)</f>
        <v>35</v>
      </c>
      <c s="255">
        <f t="shared" si="7" ref="AN6">SUM(AM6,1)</f>
        <v>36</v>
      </c>
      <c s="255">
        <f t="shared" si="8" ref="AO6">SUM(AN6,1)</f>
        <v>37</v>
      </c>
      <c s="255">
        <f t="shared" si="9" ref="AP6">SUM(AO6,1)</f>
        <v>38</v>
      </c>
      <c s="255">
        <f t="shared" si="10" ref="AQ6">SUM(AP6,1)</f>
        <v>39</v>
      </c>
      <c s="255">
        <f t="shared" si="11" ref="AR6">SUM(AQ6,1)</f>
        <v>40</v>
      </c>
      <c s="255">
        <f t="shared" si="12" ref="AS6">SUM(AR6,1)</f>
        <v>41</v>
      </c>
      <c s="255">
        <f t="shared" si="13" ref="AT6">SUM(AS6,1)</f>
        <v>42</v>
      </c>
      <c s="255">
        <f t="shared" si="14" ref="AU6">SUM(AT6,1)</f>
        <v>43</v>
      </c>
      <c s="255">
        <f t="shared" si="15" ref="AV6">SUM(AU6,1)</f>
        <v>44</v>
      </c>
      <c s="255">
        <f t="shared" si="16" ref="AW6">SUM(AV6,1)</f>
        <v>45</v>
      </c>
      <c s="255">
        <f t="shared" si="17" ref="AX6">SUM(AW6,1)</f>
        <v>46</v>
      </c>
      <c s="255">
        <f t="shared" si="18" ref="AY6">SUM(AX6,1)</f>
        <v>47</v>
      </c>
      <c s="255">
        <f t="shared" si="19" ref="AZ6">SUM(AY6,1)</f>
        <v>48</v>
      </c>
      <c s="255">
        <f t="shared" si="20" ref="BA6">SUM(AZ6,1)</f>
        <v>49</v>
      </c>
      <c s="255">
        <f t="shared" si="21" ref="BB6">SUM(BA6,1)</f>
        <v>50</v>
      </c>
      <c s="255">
        <f t="shared" si="22" ref="BC6">SUM(BB6,1)</f>
        <v>51</v>
      </c>
      <c s="255">
        <f t="shared" si="23" ref="BD6">SUM(BC6,1)</f>
        <v>52</v>
      </c>
      <c s="255">
        <f t="shared" si="24" ref="BE6">SUM(BD6,1)</f>
        <v>53</v>
      </c>
      <c s="255">
        <f t="shared" si="25" ref="BF6">SUM(BE6,1)</f>
        <v>54</v>
      </c>
      <c s="255">
        <f t="shared" si="26" ref="BG6">SUM(BF6,1)</f>
        <v>55</v>
      </c>
      <c s="255">
        <f t="shared" si="27" ref="BH6">SUM(BG6,1)</f>
        <v>56</v>
      </c>
      <c s="255">
        <f t="shared" si="28" ref="BI6">SUM(BH6,1)</f>
        <v>57</v>
      </c>
      <c s="255">
        <f t="shared" si="29" ref="BJ6">SUM(BI6,1)</f>
        <v>58</v>
      </c>
      <c s="255">
        <f t="shared" si="30" ref="BK6">SUM(BJ6,1)</f>
        <v>59</v>
      </c>
      <c s="255">
        <f t="shared" si="31" ref="BL6">SUM(BK6,1)</f>
        <v>60</v>
      </c>
      <c s="255">
        <f t="shared" si="32" ref="BM6">SUM(BL6,1)</f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71" ht="21">
      <c r="B10" s="23" t="s">
        <v>651</v>
      </c>
      <c r="D1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" spans="2:2" ht="15" customHeight="1">
      <c r="B11" s="24" t="s">
        <v>917</v>
      </c>
    </row>
    <row r="12" spans="2:65" ht="15" customHeight="1">
      <c r="B12" s="12" t="s">
        <v>821</v>
      </c>
      <c s="124" t="str">
        <f>Единица_измерения</f>
        <v>тыс. руб.</v>
      </c>
      <c s="127"/>
      <c s="125">
        <f>SUM(IF(E$6=1,'Капитальные вложения'!$D$232,0),'Капитальные вложения'!E275)</f>
        <v>0</v>
      </c>
      <c s="125">
        <f>SUM(IF(F$6=1,'Капитальные вложения'!$D$232,0),'Капитальные вложения'!F275)</f>
        <v>0</v>
      </c>
      <c s="125">
        <f>SUM(IF(G$6=1,'Капитальные вложения'!$D$232,0),'Капитальные вложения'!G275)</f>
        <v>0</v>
      </c>
      <c s="125">
        <f>SUM(IF(H$6=1,'Капитальные вложения'!$D$232,0),'Капитальные вложения'!H275)</f>
        <v>0</v>
      </c>
      <c s="125">
        <f>SUM(IF(I$6=1,'Капитальные вложения'!$D$232,0),'Капитальные вложения'!I275)</f>
        <v>0</v>
      </c>
      <c s="125">
        <f>SUM(IF(J$6=1,'Капитальные вложения'!$D$232,0),'Капитальные вложения'!J275)</f>
        <v>0</v>
      </c>
      <c s="125">
        <f>SUM(IF(K$6=1,'Капитальные вложения'!$D$232,0),'Капитальные вложения'!K275)</f>
        <v>0</v>
      </c>
      <c s="125">
        <f>SUM(IF(L$6=1,'Капитальные вложения'!$D$232,0),'Капитальные вложения'!L275)</f>
        <v>0</v>
      </c>
      <c s="125">
        <f>SUM(IF(M$6=1,'Капитальные вложения'!$D$232,0),'Капитальные вложения'!M275)</f>
        <v>0</v>
      </c>
      <c s="125">
        <f>SUM(IF(N$6=1,'Капитальные вложения'!$D$232,0),'Капитальные вложения'!N275)</f>
        <v>0</v>
      </c>
      <c s="125">
        <f>SUM(IF(O$6=1,'Капитальные вложения'!$D$232,0),'Капитальные вложения'!O275)</f>
        <v>0</v>
      </c>
      <c s="125">
        <f>SUM(IF(P$6=1,'Капитальные вложения'!$D$232,0),'Капитальные вложения'!P275)</f>
        <v>0</v>
      </c>
      <c s="125">
        <f>SUM(IF(Q$6=1,'Капитальные вложения'!$D$232,0),'Капитальные вложения'!Q275)</f>
        <v>0</v>
      </c>
      <c s="125">
        <f>SUM(IF(R$6=1,'Капитальные вложения'!$D$232,0),'Капитальные вложения'!R275)</f>
        <v>0</v>
      </c>
      <c s="125">
        <f>SUM(IF(S$6=1,'Капитальные вложения'!$D$232,0),'Капитальные вложения'!S275)</f>
        <v>0</v>
      </c>
      <c s="125">
        <f>SUM(IF(T$6=1,'Капитальные вложения'!$D$232,0),'Капитальные вложения'!T275)</f>
        <v>0</v>
      </c>
      <c s="125">
        <f>SUM(IF(U$6=1,'Капитальные вложения'!$D$232,0),'Капитальные вложения'!U275)</f>
        <v>0</v>
      </c>
      <c s="125">
        <f>SUM(IF(V$6=1,'Капитальные вложения'!$D$232,0),'Капитальные вложения'!V275)</f>
        <v>0</v>
      </c>
      <c s="125">
        <f>SUM(IF(W$6=1,'Капитальные вложения'!$D$232,0),'Капитальные вложения'!W275)</f>
        <v>0</v>
      </c>
      <c s="125">
        <f>SUM(IF(X$6=1,'Капитальные вложения'!$D$232,0),'Капитальные вложения'!X275)</f>
        <v>0</v>
      </c>
      <c s="125">
        <f>SUM(IF(Y$6=1,'Капитальные вложения'!$D$232,0),'Капитальные вложения'!Y275)</f>
        <v>0</v>
      </c>
      <c s="125">
        <f>SUM(IF(Z$6=1,'Капитальные вложения'!$D$232,0),'Капитальные вложения'!Z275)</f>
        <v>0</v>
      </c>
      <c s="125">
        <f>SUM(IF(AA$6=1,'Капитальные вложения'!$D$232,0),'Капитальные вложения'!AA275)</f>
        <v>0</v>
      </c>
      <c s="125">
        <f>SUM(IF(AB$6=1,'Капитальные вложения'!$D$232,0),'Капитальные вложения'!AB275)</f>
        <v>0</v>
      </c>
      <c s="125">
        <f>SUM(IF(AC$6=1,'Капитальные вложения'!$D$232,0),'Капитальные вложения'!AC275)</f>
        <v>0</v>
      </c>
      <c s="125">
        <f>SUM(IF(AD$6=1,'Капитальные вложения'!$D$232,0),'Капитальные вложения'!AD275)</f>
        <v>0</v>
      </c>
      <c s="125">
        <f>SUM(IF(AE$6=1,'Капитальные вложения'!$D$232,0),'Капитальные вложения'!AE275)</f>
        <v>0</v>
      </c>
      <c s="125">
        <f>SUM(IF(AF$6=1,'Капитальные вложения'!$D$232,0),'Капитальные вложения'!AF275)</f>
        <v>0</v>
      </c>
      <c s="125">
        <f>SUM(IF(AG$6=1,'Капитальные вложения'!$D$232,0),'Капитальные вложения'!AG275)</f>
        <v>0</v>
      </c>
      <c s="125">
        <f>SUM(IF(AH$6=1,'Капитальные вложения'!$D$232,0),'Капитальные вложения'!AH275)</f>
        <v>0</v>
      </c>
      <c s="125">
        <f>SUM(IF(AI$6=1,'Капитальные вложения'!$D$232,0),'Капитальные вложения'!AI275)</f>
        <v>0</v>
      </c>
      <c s="125">
        <f>SUM(IF(AJ$6=1,'Капитальные вложения'!$D$232,0),'Капитальные вложения'!AJ275)</f>
        <v>0</v>
      </c>
      <c s="125">
        <f>SUM(IF(AK$6=1,'Капитальные вложения'!$D$232,0),'Капитальные вложения'!AK275)</f>
        <v>0</v>
      </c>
      <c s="125">
        <f>SUM(IF(AL$6=1,'Капитальные вложения'!$D$232,0),'Капитальные вложения'!AL275)</f>
        <v>0</v>
      </c>
      <c s="125">
        <f>SUM(IF(AM$6=1,'Капитальные вложения'!$D$232,0),'Капитальные вложения'!AM275)</f>
        <v>0</v>
      </c>
      <c s="125">
        <f>SUM(IF(AN$6=1,'Капитальные вложения'!$D$232,0),'Капитальные вложения'!AN275)</f>
        <v>0</v>
      </c>
      <c s="125">
        <f>SUM(IF(AO$6=1,'Капитальные вложения'!$D$232,0),'Капитальные вложения'!AO275)</f>
        <v>0</v>
      </c>
      <c s="125">
        <f>SUM(IF(AP$6=1,'Капитальные вложения'!$D$232,0),'Капитальные вложения'!AP275)</f>
        <v>0</v>
      </c>
      <c s="125">
        <f>SUM(IF(AQ$6=1,'Капитальные вложения'!$D$232,0),'Капитальные вложения'!AQ275)</f>
        <v>0</v>
      </c>
      <c s="125">
        <f>SUM(IF(AR$6=1,'Капитальные вложения'!$D$232,0),'Капитальные вложения'!AR275)</f>
        <v>0</v>
      </c>
      <c s="125">
        <f>SUM(IF(AS$6=1,'Капитальные вложения'!$D$232,0),'Капитальные вложения'!AS275)</f>
        <v>0</v>
      </c>
      <c s="125">
        <f>SUM(IF(AT$6=1,'Капитальные вложения'!$D$232,0),'Капитальные вложения'!AT275)</f>
        <v>0</v>
      </c>
      <c s="125">
        <f>SUM(IF(AU$6=1,'Капитальные вложения'!$D$232,0),'Капитальные вложения'!AU275)</f>
        <v>0</v>
      </c>
      <c s="125">
        <f>SUM(IF(AV$6=1,'Капитальные вложения'!$D$232,0),'Капитальные вложения'!AV275)</f>
        <v>0</v>
      </c>
      <c s="125">
        <f>SUM(IF(AW$6=1,'Капитальные вложения'!$D$232,0),'Капитальные вложения'!AW275)</f>
        <v>0</v>
      </c>
      <c s="125">
        <f>SUM(IF(AX$6=1,'Капитальные вложения'!$D$232,0),'Капитальные вложения'!AX275)</f>
        <v>0</v>
      </c>
      <c s="125">
        <f>SUM(IF(AY$6=1,'Капитальные вложения'!$D$232,0),'Капитальные вложения'!AY275)</f>
        <v>0</v>
      </c>
      <c s="125">
        <f>SUM(IF(AZ$6=1,'Капитальные вложения'!$D$232,0),'Капитальные вложения'!AZ275)</f>
        <v>0</v>
      </c>
      <c s="125">
        <f>SUM(IF(BA$6=1,'Капитальные вложения'!$D$232,0),'Капитальные вложения'!BA275)</f>
        <v>0</v>
      </c>
      <c s="125">
        <f>SUM(IF(BB$6=1,'Капитальные вложения'!$D$232,0),'Капитальные вложения'!BB275)</f>
        <v>0</v>
      </c>
      <c s="125">
        <f>SUM(IF(BC$6=1,'Капитальные вложения'!$D$232,0),'Капитальные вложения'!BC275)</f>
        <v>0</v>
      </c>
      <c s="125">
        <f>SUM(IF(BD$6=1,'Капитальные вложения'!$D$232,0),'Капитальные вложения'!BD275)</f>
        <v>0</v>
      </c>
      <c s="125">
        <f>SUM(IF(BE$6=1,'Капитальные вложения'!$D$232,0),'Капитальные вложения'!BE275)</f>
        <v>0</v>
      </c>
      <c s="125">
        <f>SUM(IF(BF$6=1,'Капитальные вложения'!$D$232,0),'Капитальные вложения'!BF275)</f>
        <v>0</v>
      </c>
      <c s="125">
        <f>SUM(IF(BG$6=1,'Капитальные вложения'!$D$232,0),'Капитальные вложения'!BG275)</f>
        <v>0</v>
      </c>
      <c s="125">
        <f>SUM(IF(BH$6=1,'Капитальные вложения'!$D$232,0),'Капитальные вложения'!BH275)</f>
        <v>0</v>
      </c>
      <c s="125">
        <f>SUM(IF(BI$6=1,'Капитальные вложения'!$D$232,0),'Капитальные вложения'!BI275)</f>
        <v>0</v>
      </c>
      <c s="125">
        <f>SUM(IF(BJ$6=1,'Капитальные вложения'!$D$232,0),'Капитальные вложения'!BJ275)</f>
        <v>0</v>
      </c>
      <c s="125">
        <f>SUM(IF(BK$6=1,'Капитальные вложения'!$D$232,0),'Капитальные вложения'!BK275)</f>
        <v>0</v>
      </c>
      <c s="125">
        <f>SUM(IF(BL$6=1,'Капитальные вложения'!$D$232,0),'Капитальные вложения'!BL275)</f>
        <v>0</v>
      </c>
      <c s="125">
        <f>SUM(IF(BM$6=1,'Капитальные вложения'!$D$232,0),'Капитальные вложения'!BM275)</f>
        <v>0</v>
      </c>
    </row>
    <row r="13" spans="2:65" ht="15" customHeight="1">
      <c r="B13" s="12" t="s">
        <v>861</v>
      </c>
      <c s="124" t="str">
        <f>Единица_измерения</f>
        <v>тыс. руб.</v>
      </c>
      <c s="127"/>
      <c s="125">
        <f>-SUM('Оборотный капитал'!E323,-SUM('Оборотный капитал'!E255:E274))</f>
        <v>0</v>
      </c>
      <c s="125">
        <f>-SUM('Оборотный капитал'!F323,-SUM('Оборотный капитал'!F255:F274))</f>
        <v>0</v>
      </c>
      <c s="125">
        <f>-SUM('Оборотный капитал'!G323,-SUM('Оборотный капитал'!G255:G274))</f>
        <v>0</v>
      </c>
      <c s="125">
        <f>-SUM('Оборотный капитал'!H323,-SUM('Оборотный капитал'!H255:H274))</f>
        <v>0</v>
      </c>
      <c s="125">
        <f>-SUM('Оборотный капитал'!I323,-SUM('Оборотный капитал'!I255:I274))</f>
        <v>0</v>
      </c>
      <c s="125">
        <f>-SUM('Оборотный капитал'!J323,-SUM('Оборотный капитал'!J255:J274))</f>
        <v>0</v>
      </c>
      <c s="125">
        <f>-SUM('Оборотный капитал'!K323,-SUM('Оборотный капитал'!K255:K274))</f>
        <v>0</v>
      </c>
      <c s="125">
        <f>-SUM('Оборотный капитал'!L323,-SUM('Оборотный капитал'!L255:L274))</f>
        <v>0</v>
      </c>
      <c s="125">
        <f>-SUM('Оборотный капитал'!M323,-SUM('Оборотный капитал'!M255:M274))</f>
        <v>0</v>
      </c>
      <c s="125">
        <f>-SUM('Оборотный капитал'!N323,-SUM('Оборотный капитал'!N255:N274))</f>
        <v>0</v>
      </c>
      <c s="125">
        <f>-SUM('Оборотный капитал'!O323,-SUM('Оборотный капитал'!O255:O274))</f>
        <v>0</v>
      </c>
      <c s="125">
        <f>-SUM('Оборотный капитал'!P323,-SUM('Оборотный капитал'!P255:P274))</f>
        <v>0</v>
      </c>
      <c s="125">
        <f>-SUM('Оборотный капитал'!Q323,-SUM('Оборотный капитал'!Q255:Q274))</f>
        <v>0</v>
      </c>
      <c s="125">
        <f>-SUM('Оборотный капитал'!R323,-SUM('Оборотный капитал'!R255:R274))</f>
        <v>0</v>
      </c>
      <c s="125">
        <f>-SUM('Оборотный капитал'!S323,-SUM('Оборотный капитал'!S255:S274))</f>
        <v>0</v>
      </c>
      <c s="125">
        <f>-SUM('Оборотный капитал'!T323,-SUM('Оборотный капитал'!T255:T274))</f>
        <v>0</v>
      </c>
      <c s="125">
        <f>-SUM('Оборотный капитал'!U323,-SUM('Оборотный капитал'!U255:U274))</f>
        <v>0</v>
      </c>
      <c s="125">
        <f>-SUM('Оборотный капитал'!V323,-SUM('Оборотный капитал'!V255:V274))</f>
        <v>0</v>
      </c>
      <c s="125">
        <f>-SUM('Оборотный капитал'!W323,-SUM('Оборотный капитал'!W255:W274))</f>
        <v>0</v>
      </c>
      <c s="125">
        <f>-SUM('Оборотный капитал'!X323,-SUM('Оборотный капитал'!X255:X274))</f>
        <v>0</v>
      </c>
      <c s="125">
        <f>-SUM('Оборотный капитал'!Y323,-SUM('Оборотный капитал'!Y255:Y274))</f>
        <v>0</v>
      </c>
      <c s="125">
        <f>-SUM('Оборотный капитал'!Z323,-SUM('Оборотный капитал'!Z255:Z274))</f>
        <v>0</v>
      </c>
      <c s="125">
        <f>-SUM('Оборотный капитал'!AA323,-SUM('Оборотный капитал'!AA255:AA274))</f>
        <v>0</v>
      </c>
      <c s="125">
        <f>-SUM('Оборотный капитал'!AB323,-SUM('Оборотный капитал'!AB255:AB274))</f>
        <v>0</v>
      </c>
      <c s="125">
        <f>-SUM('Оборотный капитал'!AC323,-SUM('Оборотный капитал'!AC255:AC274))</f>
        <v>0</v>
      </c>
      <c s="125">
        <f>-SUM('Оборотный капитал'!AD323,-SUM('Оборотный капитал'!AD255:AD274))</f>
        <v>0</v>
      </c>
      <c s="125">
        <f>-SUM('Оборотный капитал'!AE323,-SUM('Оборотный капитал'!AE255:AE274))</f>
        <v>0</v>
      </c>
      <c s="125">
        <f>-SUM('Оборотный капитал'!AF323,-SUM('Оборотный капитал'!AF255:AF274))</f>
        <v>0</v>
      </c>
      <c s="125">
        <f>-SUM('Оборотный капитал'!AG323,-SUM('Оборотный капитал'!AG255:AG274))</f>
        <v>0</v>
      </c>
      <c s="125">
        <f>-SUM('Оборотный капитал'!AH323,-SUM('Оборотный капитал'!AH255:AH274))</f>
        <v>0</v>
      </c>
      <c s="125">
        <f>-SUM('Оборотный капитал'!AI323,-SUM('Оборотный капитал'!AI255:AI274))</f>
        <v>0</v>
      </c>
      <c s="125">
        <f>-SUM('Оборотный капитал'!AJ323,-SUM('Оборотный капитал'!AJ255:AJ274))</f>
        <v>0</v>
      </c>
      <c s="125">
        <f>-SUM('Оборотный капитал'!AK323,-SUM('Оборотный капитал'!AK255:AK274))</f>
        <v>0</v>
      </c>
      <c s="125">
        <f>-SUM('Оборотный капитал'!AL323,-SUM('Оборотный капитал'!AL255:AL274))</f>
        <v>0</v>
      </c>
      <c s="125">
        <f>-SUM('Оборотный капитал'!AM323,-SUM('Оборотный капитал'!AM255:AM274))</f>
        <v>0</v>
      </c>
      <c s="125">
        <f>-SUM('Оборотный капитал'!AN323,-SUM('Оборотный капитал'!AN255:AN274))</f>
        <v>0</v>
      </c>
      <c s="125">
        <f>-SUM('Оборотный капитал'!AO323,-SUM('Оборотный капитал'!AO255:AO274))</f>
        <v>0</v>
      </c>
      <c s="125">
        <f>-SUM('Оборотный капитал'!AP323,-SUM('Оборотный капитал'!AP255:AP274))</f>
        <v>0</v>
      </c>
      <c s="125">
        <f>-SUM('Оборотный капитал'!AQ323,-SUM('Оборотный капитал'!AQ255:AQ274))</f>
        <v>0</v>
      </c>
      <c s="125">
        <f>-SUM('Оборотный капитал'!AR323,-SUM('Оборотный капитал'!AR255:AR274))</f>
        <v>0</v>
      </c>
      <c s="125">
        <f>-SUM('Оборотный капитал'!AS323,-SUM('Оборотный капитал'!AS255:AS274))</f>
        <v>0</v>
      </c>
      <c s="125">
        <f>-SUM('Оборотный капитал'!AT323,-SUM('Оборотный капитал'!AT255:AT274))</f>
        <v>0</v>
      </c>
      <c s="125">
        <f>-SUM('Оборотный капитал'!AU323,-SUM('Оборотный капитал'!AU255:AU274))</f>
        <v>0</v>
      </c>
      <c s="125">
        <f>-SUM('Оборотный капитал'!AV323,-SUM('Оборотный капитал'!AV255:AV274))</f>
        <v>0</v>
      </c>
      <c s="125">
        <f>-SUM('Оборотный капитал'!AW323,-SUM('Оборотный капитал'!AW255:AW274))</f>
        <v>0</v>
      </c>
      <c s="125">
        <f>-SUM('Оборотный капитал'!AX323,-SUM('Оборотный капитал'!AX255:AX274))</f>
        <v>0</v>
      </c>
      <c s="125">
        <f>-SUM('Оборотный капитал'!AY323,-SUM('Оборотный капитал'!AY255:AY274))</f>
        <v>0</v>
      </c>
      <c s="125">
        <f>-SUM('Оборотный капитал'!AZ323,-SUM('Оборотный капитал'!AZ255:AZ274))</f>
        <v>0</v>
      </c>
      <c s="125">
        <f>-SUM('Оборотный капитал'!BA323,-SUM('Оборотный капитал'!BA255:BA274))</f>
        <v>0</v>
      </c>
      <c s="125">
        <f>-SUM('Оборотный капитал'!BB323,-SUM('Оборотный капитал'!BB255:BB274))</f>
        <v>0</v>
      </c>
      <c s="125">
        <f>-SUM('Оборотный капитал'!BC323,-SUM('Оборотный капитал'!BC255:BC274))</f>
        <v>0</v>
      </c>
      <c s="125">
        <f>-SUM('Оборотный капитал'!BD323,-SUM('Оборотный капитал'!BD255:BD274))</f>
        <v>0</v>
      </c>
      <c s="125">
        <f>-SUM('Оборотный капитал'!BE323,-SUM('Оборотный капитал'!BE255:BE274))</f>
        <v>0</v>
      </c>
      <c s="125">
        <f>-SUM('Оборотный капитал'!BF323,-SUM('Оборотный капитал'!BF255:BF274))</f>
        <v>0</v>
      </c>
      <c s="125">
        <f>-SUM('Оборотный капитал'!BG323,-SUM('Оборотный капитал'!BG255:BG274))</f>
        <v>0</v>
      </c>
      <c s="125">
        <f>-SUM('Оборотный капитал'!BH323,-SUM('Оборотный капитал'!BH255:BH274))</f>
        <v>0</v>
      </c>
      <c s="125">
        <f>-SUM('Оборотный капитал'!BI323,-SUM('Оборотный капитал'!BI255:BI274))</f>
        <v>0</v>
      </c>
      <c s="125">
        <f>-SUM('Оборотный капитал'!BJ323,-SUM('Оборотный капитал'!BJ255:BJ274))</f>
        <v>0</v>
      </c>
      <c s="125">
        <f>-SUM('Оборотный капитал'!BK323,-SUM('Оборотный капитал'!BK255:BK274))</f>
        <v>0</v>
      </c>
      <c s="125">
        <f>-SUM('Оборотный капитал'!BL323,-SUM('Оборотный капитал'!BL255:BL274))</f>
        <v>0</v>
      </c>
      <c s="125">
        <f>-SUM('Оборотный капитал'!BM323,-SUM('Оборотный капитал'!BM255:BM274))</f>
        <v>0</v>
      </c>
    </row>
    <row r="14" spans="2:65" ht="15" customHeight="1">
      <c r="B14" s="12" t="s">
        <v>864</v>
      </c>
      <c s="124" t="str">
        <f>Единица_измерения</f>
        <v>тыс. руб.</v>
      </c>
      <c s="127"/>
      <c s="125">
        <f ca="1">-SUM('Оборотный капитал'!E466,-SUM('Оборотный капитал'!E383:E407))</f>
        <v>0</v>
      </c>
      <c s="125">
        <f ca="1">-SUM('Оборотный капитал'!F466,-SUM('Оборотный капитал'!F383:F407))</f>
        <v>0</v>
      </c>
      <c s="125">
        <f ca="1">-SUM('Оборотный капитал'!G466,-SUM('Оборотный капитал'!G383:G407))</f>
        <v>0</v>
      </c>
      <c s="125">
        <f ca="1">-SUM('Оборотный капитал'!H466,-SUM('Оборотный капитал'!H383:H407))</f>
        <v>0</v>
      </c>
      <c s="125">
        <f ca="1">-SUM('Оборотный капитал'!I466,-SUM('Оборотный капитал'!I383:I407))</f>
        <v>0</v>
      </c>
      <c s="125">
        <f ca="1">-SUM('Оборотный капитал'!J466,-SUM('Оборотный капитал'!J383:J407))</f>
        <v>0</v>
      </c>
      <c s="125">
        <f ca="1">-SUM('Оборотный капитал'!K466,-SUM('Оборотный капитал'!K383:K407))</f>
        <v>0</v>
      </c>
      <c s="125">
        <f ca="1">-SUM('Оборотный капитал'!L466,-SUM('Оборотный капитал'!L383:L407))</f>
        <v>0</v>
      </c>
      <c s="125">
        <f ca="1">-SUM('Оборотный капитал'!M466,-SUM('Оборотный капитал'!M383:M407))</f>
        <v>0</v>
      </c>
      <c s="125">
        <f ca="1">-SUM('Оборотный капитал'!N466,-SUM('Оборотный капитал'!N383:N407))</f>
        <v>0</v>
      </c>
      <c s="125">
        <f ca="1">-SUM('Оборотный капитал'!O466,-SUM('Оборотный капитал'!O383:O407))</f>
        <v>0</v>
      </c>
      <c s="125">
        <f ca="1">-SUM('Оборотный капитал'!P466,-SUM('Оборотный капитал'!P383:P407))</f>
        <v>0</v>
      </c>
      <c s="125">
        <f ca="1">-SUM('Оборотный капитал'!Q466,-SUM('Оборотный капитал'!Q383:Q407))</f>
        <v>0</v>
      </c>
      <c s="125">
        <f ca="1">-SUM('Оборотный капитал'!R466,-SUM('Оборотный капитал'!R383:R407))</f>
        <v>0</v>
      </c>
      <c s="125">
        <f ca="1">-SUM('Оборотный капитал'!S466,-SUM('Оборотный капитал'!S383:S407))</f>
        <v>0</v>
      </c>
      <c s="125">
        <f ca="1">-SUM('Оборотный капитал'!T466,-SUM('Оборотный капитал'!T383:T407))</f>
        <v>0</v>
      </c>
      <c s="125">
        <f ca="1">-SUM('Оборотный капитал'!U466,-SUM('Оборотный капитал'!U383:U407))</f>
        <v>0</v>
      </c>
      <c s="125">
        <f ca="1">-SUM('Оборотный капитал'!V466,-SUM('Оборотный капитал'!V383:V407))</f>
        <v>0</v>
      </c>
      <c s="125">
        <f ca="1">-SUM('Оборотный капитал'!W466,-SUM('Оборотный капитал'!W383:W407))</f>
        <v>0</v>
      </c>
      <c s="125">
        <f ca="1">-SUM('Оборотный капитал'!X466,-SUM('Оборотный капитал'!X383:X407))</f>
        <v>0</v>
      </c>
      <c s="125">
        <f ca="1">-SUM('Оборотный капитал'!Y466,-SUM('Оборотный капитал'!Y383:Y407))</f>
        <v>0</v>
      </c>
      <c s="125">
        <f ca="1">-SUM('Оборотный капитал'!Z466,-SUM('Оборотный капитал'!Z383:Z407))</f>
        <v>0</v>
      </c>
      <c s="125">
        <f ca="1">-SUM('Оборотный капитал'!AA466,-SUM('Оборотный капитал'!AA383:AA407))</f>
        <v>0</v>
      </c>
      <c s="125">
        <f ca="1">-SUM('Оборотный капитал'!AB466,-SUM('Оборотный капитал'!AB383:AB407))</f>
        <v>0</v>
      </c>
      <c s="125">
        <f ca="1">-SUM('Оборотный капитал'!AC466,-SUM('Оборотный капитал'!AC383:AC407))</f>
        <v>0</v>
      </c>
      <c s="125">
        <f ca="1">-SUM('Оборотный капитал'!AD466,-SUM('Оборотный капитал'!AD383:AD407))</f>
        <v>0</v>
      </c>
      <c s="125">
        <f ca="1">-SUM('Оборотный капитал'!AE466,-SUM('Оборотный капитал'!AE383:AE407))</f>
        <v>0</v>
      </c>
      <c s="125">
        <f ca="1">-SUM('Оборотный капитал'!AF466,-SUM('Оборотный капитал'!AF383:AF407))</f>
        <v>0</v>
      </c>
      <c s="125">
        <f ca="1">-SUM('Оборотный капитал'!AG466,-SUM('Оборотный капитал'!AG383:AG407))</f>
        <v>0</v>
      </c>
      <c s="125">
        <f ca="1">-SUM('Оборотный капитал'!AH466,-SUM('Оборотный капитал'!AH383:AH407))</f>
        <v>0</v>
      </c>
      <c s="125">
        <f ca="1">-SUM('Оборотный капитал'!AI466,-SUM('Оборотный капитал'!AI383:AI407))</f>
        <v>0</v>
      </c>
      <c s="125">
        <f ca="1">-SUM('Оборотный капитал'!AJ466,-SUM('Оборотный капитал'!AJ383:AJ407))</f>
        <v>0</v>
      </c>
      <c s="125">
        <f ca="1">-SUM('Оборотный капитал'!AK466,-SUM('Оборотный капитал'!AK383:AK407))</f>
        <v>0</v>
      </c>
      <c s="125">
        <f ca="1">-SUM('Оборотный капитал'!AL466,-SUM('Оборотный капитал'!AL383:AL407))</f>
        <v>0</v>
      </c>
      <c s="125">
        <f ca="1">-SUM('Оборотный капитал'!AM466,-SUM('Оборотный капитал'!AM383:AM407))</f>
        <v>0</v>
      </c>
      <c s="125">
        <f ca="1">-SUM('Оборотный капитал'!AN466,-SUM('Оборотный капитал'!AN383:AN407))</f>
        <v>0</v>
      </c>
      <c s="125">
        <f ca="1">-SUM('Оборотный капитал'!AO466,-SUM('Оборотный капитал'!AO383:AO407))</f>
        <v>0</v>
      </c>
      <c s="125">
        <f ca="1">-SUM('Оборотный капитал'!AP466,-SUM('Оборотный капитал'!AP383:AP407))</f>
        <v>0</v>
      </c>
      <c s="125">
        <f ca="1">-SUM('Оборотный капитал'!AQ466,-SUM('Оборотный капитал'!AQ383:AQ407))</f>
        <v>0</v>
      </c>
      <c s="125">
        <f ca="1">-SUM('Оборотный капитал'!AR466,-SUM('Оборотный капитал'!AR383:AR407))</f>
        <v>0</v>
      </c>
      <c s="125">
        <f ca="1">-SUM('Оборотный капитал'!AS466,-SUM('Оборотный капитал'!AS383:AS407))</f>
        <v>0</v>
      </c>
      <c s="125">
        <f ca="1">-SUM('Оборотный капитал'!AT466,-SUM('Оборотный капитал'!AT383:AT407))</f>
        <v>0</v>
      </c>
      <c s="125">
        <f ca="1">-SUM('Оборотный капитал'!AU466,-SUM('Оборотный капитал'!AU383:AU407))</f>
        <v>0</v>
      </c>
      <c s="125">
        <f ca="1">-SUM('Оборотный капитал'!AV466,-SUM('Оборотный капитал'!AV383:AV407))</f>
        <v>0</v>
      </c>
      <c s="125">
        <f ca="1">-SUM('Оборотный капитал'!AW466,-SUM('Оборотный капитал'!AW383:AW407))</f>
        <v>0</v>
      </c>
      <c s="125">
        <f ca="1">-SUM('Оборотный капитал'!AX466,-SUM('Оборотный капитал'!AX383:AX407))</f>
        <v>0</v>
      </c>
      <c s="125">
        <f ca="1">-SUM('Оборотный капитал'!AY466,-SUM('Оборотный капитал'!AY383:AY407))</f>
        <v>0</v>
      </c>
      <c s="125">
        <f ca="1">-SUM('Оборотный капитал'!AZ466,-SUM('Оборотный капитал'!AZ383:AZ407))</f>
        <v>0</v>
      </c>
      <c s="125">
        <f ca="1">-SUM('Оборотный капитал'!BA466,-SUM('Оборотный капитал'!BA383:BA407))</f>
        <v>0</v>
      </c>
      <c s="125">
        <f ca="1">-SUM('Оборотный капитал'!BB466,-SUM('Оборотный капитал'!BB383:BB407))</f>
        <v>0</v>
      </c>
      <c s="125">
        <f ca="1">-SUM('Оборотный капитал'!BC466,-SUM('Оборотный капитал'!BC383:BC407))</f>
        <v>0</v>
      </c>
      <c s="125">
        <f ca="1">-SUM('Оборотный капитал'!BD466,-SUM('Оборотный капитал'!BD383:BD407))</f>
        <v>0</v>
      </c>
      <c s="125">
        <f ca="1">-SUM('Оборотный капитал'!BE466,-SUM('Оборотный капитал'!BE383:BE407))</f>
        <v>0</v>
      </c>
      <c s="125">
        <f ca="1">-SUM('Оборотный капитал'!BF466,-SUM('Оборотный капитал'!BF383:BF407))</f>
        <v>0</v>
      </c>
      <c s="125">
        <f ca="1">-SUM('Оборотный капитал'!BG466,-SUM('Оборотный капитал'!BG383:BG407))</f>
        <v>0</v>
      </c>
      <c s="125">
        <f ca="1">-SUM('Оборотный капитал'!BH466,-SUM('Оборотный капитал'!BH383:BH407))</f>
        <v>0</v>
      </c>
      <c s="125">
        <f ca="1">-SUM('Оборотный капитал'!BI466,-SUM('Оборотный капитал'!BI383:BI407))</f>
        <v>0</v>
      </c>
      <c s="125">
        <f ca="1">-SUM('Оборотный капитал'!BJ466,-SUM('Оборотный капитал'!BJ383:BJ407))</f>
        <v>0</v>
      </c>
      <c s="125">
        <f ca="1">-SUM('Оборотный капитал'!BK466,-SUM('Оборотный капитал'!BK383:BK407))</f>
        <v>0</v>
      </c>
      <c s="125">
        <f ca="1">-SUM('Оборотный капитал'!BL466,-SUM('Оборотный капитал'!BL383:BL407))</f>
        <v>0</v>
      </c>
      <c s="125">
        <f ca="1">-SUM('Оборотный капитал'!BM466,-SUM('Оборотный капитал'!BM383:BM407))</f>
        <v>0</v>
      </c>
    </row>
    <row r="15" spans="2:65" ht="15" customHeight="1">
      <c r="B15" s="289" t="s">
        <v>454</v>
      </c>
      <c s="290" t="str">
        <f>Единица_измерения</f>
        <v>тыс. руб.</v>
      </c>
      <c s="276"/>
      <c s="276">
        <f ca="1" t="shared" si="33" ref="E15">SUM(E12:E14)</f>
        <v>0</v>
      </c>
      <c s="276">
        <f ca="1" t="shared" si="34" ref="F15:AG15">SUM(F12:F14)</f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t="shared" ca="1" si="34"/>
        <v>0</v>
      </c>
      <c s="276">
        <f ca="1" t="shared" si="35" ref="AH15:BM15">SUM(AH12:AH14)</f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</row>
    <row r="16" ht="15" customHeight="1"/>
    <row r="17" spans="2:2" ht="15" customHeight="1">
      <c r="B17" s="24" t="s">
        <v>918</v>
      </c>
    </row>
    <row r="18" spans="2:65" ht="15" customHeight="1">
      <c r="B18" s="12" t="s">
        <v>851</v>
      </c>
      <c s="124" t="str">
        <f>Единица_измерения</f>
        <v>тыс. руб.</v>
      </c>
      <c s="127"/>
      <c s="125">
        <f>'Оборотный капитал'!E205+SUM('Оборотный капитал'!E137:E156)</f>
        <v>0</v>
      </c>
      <c s="125">
        <f>'Оборотный капитал'!F205+SUM('Оборотный капитал'!F137:F156)</f>
        <v>0</v>
      </c>
      <c s="125">
        <f>'Оборотный капитал'!G205+SUM('Оборотный капитал'!G137:G156)</f>
        <v>0</v>
      </c>
      <c s="125">
        <f>'Оборотный капитал'!H205+SUM('Оборотный капитал'!H137:H156)</f>
        <v>0</v>
      </c>
      <c s="125">
        <f>'Оборотный капитал'!I205+SUM('Оборотный капитал'!I137:I156)</f>
        <v>0</v>
      </c>
      <c s="125">
        <f>'Оборотный капитал'!J205+SUM('Оборотный капитал'!J137:J156)</f>
        <v>0</v>
      </c>
      <c s="125">
        <f>'Оборотный капитал'!K205+SUM('Оборотный капитал'!K137:K156)</f>
        <v>0</v>
      </c>
      <c s="125">
        <f>'Оборотный капитал'!L205+SUM('Оборотный капитал'!L137:L156)</f>
        <v>0</v>
      </c>
      <c s="125">
        <f>'Оборотный капитал'!M205+SUM('Оборотный капитал'!M137:M156)</f>
        <v>0</v>
      </c>
      <c s="125">
        <f>'Оборотный капитал'!N205+SUM('Оборотный капитал'!N137:N156)</f>
        <v>0</v>
      </c>
      <c s="125">
        <f>'Оборотный капитал'!O205+SUM('Оборотный капитал'!O137:O156)</f>
        <v>0</v>
      </c>
      <c s="125">
        <f>'Оборотный капитал'!P205+SUM('Оборотный капитал'!P137:P156)</f>
        <v>0</v>
      </c>
      <c s="125">
        <f>'Оборотный капитал'!Q205+SUM('Оборотный капитал'!Q137:Q156)</f>
        <v>0</v>
      </c>
      <c s="125">
        <f>'Оборотный капитал'!R205+SUM('Оборотный капитал'!R137:R156)</f>
        <v>0</v>
      </c>
      <c s="125">
        <f>'Оборотный капитал'!S205+SUM('Оборотный капитал'!S137:S156)</f>
        <v>0</v>
      </c>
      <c s="125">
        <f>'Оборотный капитал'!T205+SUM('Оборотный капитал'!T137:T156)</f>
        <v>0</v>
      </c>
      <c s="125">
        <f>'Оборотный капитал'!U205+SUM('Оборотный капитал'!U137:U156)</f>
        <v>0</v>
      </c>
      <c s="125">
        <f>'Оборотный капитал'!V205+SUM('Оборотный капитал'!V137:V156)</f>
        <v>0</v>
      </c>
      <c s="125">
        <f>'Оборотный капитал'!W205+SUM('Оборотный капитал'!W137:W156)</f>
        <v>0</v>
      </c>
      <c s="125">
        <f>'Оборотный капитал'!X205+SUM('Оборотный капитал'!X137:X156)</f>
        <v>0</v>
      </c>
      <c s="125">
        <f>'Оборотный капитал'!Y205+SUM('Оборотный капитал'!Y137:Y156)</f>
        <v>0</v>
      </c>
      <c s="125">
        <f>'Оборотный капитал'!Z205+SUM('Оборотный капитал'!Z137:Z156)</f>
        <v>0</v>
      </c>
      <c s="125">
        <f>'Оборотный капитал'!AA205+SUM('Оборотный капитал'!AA137:AA156)</f>
        <v>0</v>
      </c>
      <c s="125">
        <f>'Оборотный капитал'!AB205+SUM('Оборотный капитал'!AB137:AB156)</f>
        <v>0</v>
      </c>
      <c s="125">
        <f>'Оборотный капитал'!AC205+SUM('Оборотный капитал'!AC137:AC156)</f>
        <v>0</v>
      </c>
      <c s="125">
        <f>'Оборотный капитал'!AD205+SUM('Оборотный капитал'!AD137:AD156)</f>
        <v>0</v>
      </c>
      <c s="125">
        <f>'Оборотный капитал'!AE205+SUM('Оборотный капитал'!AE137:AE156)</f>
        <v>0</v>
      </c>
      <c s="125">
        <f>'Оборотный капитал'!AF205+SUM('Оборотный капитал'!AF137:AF156)</f>
        <v>0</v>
      </c>
      <c s="125">
        <f>'Оборотный капитал'!AG205+SUM('Оборотный капитал'!AG137:AG156)</f>
        <v>0</v>
      </c>
      <c s="125">
        <f>'Оборотный капитал'!AH205+SUM('Оборотный капитал'!AH137:AH156)</f>
        <v>0</v>
      </c>
      <c s="125">
        <f>'Оборотный капитал'!AI205+SUM('Оборотный капитал'!AI137:AI156)</f>
        <v>0</v>
      </c>
      <c s="125">
        <f>'Оборотный капитал'!AJ205+SUM('Оборотный капитал'!AJ137:AJ156)</f>
        <v>0</v>
      </c>
      <c s="125">
        <f>'Оборотный капитал'!AK205+SUM('Оборотный капитал'!AK137:AK156)</f>
        <v>0</v>
      </c>
      <c s="125">
        <f>'Оборотный капитал'!AL205+SUM('Оборотный капитал'!AL137:AL156)</f>
        <v>0</v>
      </c>
      <c s="125">
        <f>'Оборотный капитал'!AM205+SUM('Оборотный капитал'!AM137:AM156)</f>
        <v>0</v>
      </c>
      <c s="125">
        <f>'Оборотный капитал'!AN205+SUM('Оборотный капитал'!AN137:AN156)</f>
        <v>0</v>
      </c>
      <c s="125">
        <f>'Оборотный капитал'!AO205+SUM('Оборотный капитал'!AO137:AO156)</f>
        <v>0</v>
      </c>
      <c s="125">
        <f>'Оборотный капитал'!AP205+SUM('Оборотный капитал'!AP137:AP156)</f>
        <v>0</v>
      </c>
      <c s="125">
        <f>'Оборотный капитал'!AQ205+SUM('Оборотный капитал'!AQ137:AQ156)</f>
        <v>0</v>
      </c>
      <c s="125">
        <f>'Оборотный капитал'!AR205+SUM('Оборотный капитал'!AR137:AR156)</f>
        <v>0</v>
      </c>
      <c s="125">
        <f>'Оборотный капитал'!AS205+SUM('Оборотный капитал'!AS137:AS156)</f>
        <v>0</v>
      </c>
      <c s="125">
        <f>'Оборотный капитал'!AT205+SUM('Оборотный капитал'!AT137:AT156)</f>
        <v>0</v>
      </c>
      <c s="125">
        <f>'Оборотный капитал'!AU205+SUM('Оборотный капитал'!AU137:AU156)</f>
        <v>0</v>
      </c>
      <c s="125">
        <f>'Оборотный капитал'!AV205+SUM('Оборотный капитал'!AV137:AV156)</f>
        <v>0</v>
      </c>
      <c s="125">
        <f>'Оборотный капитал'!AW205+SUM('Оборотный капитал'!AW137:AW156)</f>
        <v>0</v>
      </c>
      <c s="125">
        <f>'Оборотный капитал'!AX205+SUM('Оборотный капитал'!AX137:AX156)</f>
        <v>0</v>
      </c>
      <c s="125">
        <f>'Оборотный капитал'!AY205+SUM('Оборотный капитал'!AY137:AY156)</f>
        <v>0</v>
      </c>
      <c s="125">
        <f>'Оборотный капитал'!AZ205+SUM('Оборотный капитал'!AZ137:AZ156)</f>
        <v>0</v>
      </c>
      <c s="125">
        <f>'Оборотный капитал'!BA205+SUM('Оборотный капитал'!BA137:BA156)</f>
        <v>0</v>
      </c>
      <c s="125">
        <f>'Оборотный капитал'!BB205+SUM('Оборотный капитал'!BB137:BB156)</f>
        <v>0</v>
      </c>
      <c s="125">
        <f>'Оборотный капитал'!BC205+SUM('Оборотный капитал'!BC137:BC156)</f>
        <v>0</v>
      </c>
      <c s="125">
        <f>'Оборотный капитал'!BD205+SUM('Оборотный капитал'!BD137:BD156)</f>
        <v>0</v>
      </c>
      <c s="125">
        <f>'Оборотный капитал'!BE205+SUM('Оборотный капитал'!BE137:BE156)</f>
        <v>0</v>
      </c>
      <c s="125">
        <f>'Оборотный капитал'!BF205+SUM('Оборотный капитал'!BF137:BF156)</f>
        <v>0</v>
      </c>
      <c s="125">
        <f>'Оборотный капитал'!BG205+SUM('Оборотный капитал'!BG137:BG156)</f>
        <v>0</v>
      </c>
      <c s="125">
        <f>'Оборотный капитал'!BH205+SUM('Оборотный капитал'!BH137:BH156)</f>
        <v>0</v>
      </c>
      <c s="125">
        <f>'Оборотный капитал'!BI205+SUM('Оборотный капитал'!BI137:BI156)</f>
        <v>0</v>
      </c>
      <c s="125">
        <f>'Оборотный капитал'!BJ205+SUM('Оборотный капитал'!BJ137:BJ156)</f>
        <v>0</v>
      </c>
      <c s="125">
        <f>'Оборотный капитал'!BK205+SUM('Оборотный капитал'!BK137:BK156)</f>
        <v>0</v>
      </c>
      <c s="125">
        <f>'Оборотный капитал'!BL205+SUM('Оборотный капитал'!BL137:BL156)</f>
        <v>0</v>
      </c>
      <c s="125">
        <f>'Оборотный капитал'!BM205+SUM('Оборотный капитал'!BM137:BM156)</f>
        <v>0</v>
      </c>
    </row>
    <row r="19" spans="2:65" ht="15" customHeight="1">
      <c r="B19" s="289" t="s">
        <v>454</v>
      </c>
      <c s="290" t="str">
        <f>Единица_измерения</f>
        <v>тыс. руб.</v>
      </c>
      <c s="276"/>
      <c s="276">
        <f t="shared" si="36" ref="E19">SUM(E18)</f>
        <v>0</v>
      </c>
      <c s="276">
        <f t="shared" si="37" ref="F19:AG19">SUM(F18)</f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8" ref="AH19:BM19">SUM(AH18)</f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  <c s="276">
        <f t="shared" si="38"/>
        <v>0</v>
      </c>
    </row>
    <row r="20" ht="15" customHeight="1"/>
    <row r="21" spans="2:2" ht="15" customHeight="1">
      <c r="B21" s="24" t="s">
        <v>919</v>
      </c>
    </row>
    <row r="22" spans="2:65" ht="15" customHeight="1">
      <c r="B22" s="12" t="s">
        <v>827</v>
      </c>
      <c s="124" t="str">
        <f>Единица_измерения</f>
        <v>тыс. руб.</v>
      </c>
      <c s="129"/>
      <c s="125">
        <f t="shared" si="39" ref="E22">D25</f>
        <v>0</v>
      </c>
      <c s="125">
        <f ca="1" t="shared" si="40" ref="F22">E25</f>
        <v>0</v>
      </c>
      <c s="125">
        <f ca="1" t="shared" si="41" ref="G22">F25</f>
        <v>0</v>
      </c>
      <c s="125">
        <f ca="1" t="shared" si="42" ref="H22">G25</f>
        <v>0</v>
      </c>
      <c s="125">
        <f ca="1" t="shared" si="43" ref="I22">H25</f>
        <v>0</v>
      </c>
      <c s="125">
        <f ca="1" t="shared" si="44" ref="J22">I25</f>
        <v>0</v>
      </c>
      <c s="125">
        <f ca="1" t="shared" si="45" ref="K22">J25</f>
        <v>0</v>
      </c>
      <c s="125">
        <f ca="1" t="shared" si="46" ref="L22">K25</f>
        <v>0</v>
      </c>
      <c s="125">
        <f ca="1" t="shared" si="47" ref="M22">L25</f>
        <v>0</v>
      </c>
      <c s="125">
        <f ca="1" t="shared" si="48" ref="N22">M25</f>
        <v>0</v>
      </c>
      <c s="125">
        <f ca="1" t="shared" si="49" ref="O22">N25</f>
        <v>0</v>
      </c>
      <c s="125">
        <f ca="1" t="shared" si="50" ref="P22">O25</f>
        <v>0</v>
      </c>
      <c s="125">
        <f ca="1" t="shared" si="51" ref="Q22">P25</f>
        <v>0</v>
      </c>
      <c s="125">
        <f ca="1" t="shared" si="52" ref="R22">Q25</f>
        <v>0</v>
      </c>
      <c s="125">
        <f ca="1" t="shared" si="53" ref="S22">R25</f>
        <v>0</v>
      </c>
      <c s="125">
        <f ca="1" t="shared" si="54" ref="T22">S25</f>
        <v>0</v>
      </c>
      <c s="125">
        <f ca="1" t="shared" si="55" ref="U22">T25</f>
        <v>0</v>
      </c>
      <c s="125">
        <f ca="1" t="shared" si="56" ref="V22">U25</f>
        <v>0</v>
      </c>
      <c s="125">
        <f ca="1" t="shared" si="57" ref="W22">V25</f>
        <v>0</v>
      </c>
      <c s="125">
        <f ca="1" t="shared" si="58" ref="X22">W25</f>
        <v>0</v>
      </c>
      <c s="125">
        <f ca="1" t="shared" si="59" ref="Y22">X25</f>
        <v>0</v>
      </c>
      <c s="125">
        <f ca="1" t="shared" si="60" ref="Z22">Y25</f>
        <v>0</v>
      </c>
      <c s="125">
        <f ca="1" t="shared" si="61" ref="AA22">Z25</f>
        <v>0</v>
      </c>
      <c s="125">
        <f ca="1" t="shared" si="62" ref="AB22">AA25</f>
        <v>0</v>
      </c>
      <c s="125">
        <f ca="1" t="shared" si="63" ref="AC22">AB25</f>
        <v>0</v>
      </c>
      <c s="125">
        <f ca="1" t="shared" si="64" ref="AD22">AC25</f>
        <v>0</v>
      </c>
      <c s="125">
        <f ca="1" t="shared" si="65" ref="AE22">AD25</f>
        <v>0</v>
      </c>
      <c s="125">
        <f ca="1" t="shared" si="66" ref="AF22">AE25</f>
        <v>0</v>
      </c>
      <c s="125">
        <f ca="1" t="shared" si="67" ref="AG22">AF25</f>
        <v>0</v>
      </c>
      <c s="125">
        <f ca="1" t="shared" si="68" ref="AH22">AG25</f>
        <v>0</v>
      </c>
      <c s="125">
        <f ca="1" t="shared" si="69" ref="AI22">AH25</f>
        <v>0</v>
      </c>
      <c s="125">
        <f ca="1" t="shared" si="70" ref="AJ22">AI25</f>
        <v>0</v>
      </c>
      <c s="125">
        <f ca="1" t="shared" si="71" ref="AK22">AJ25</f>
        <v>0</v>
      </c>
      <c s="125">
        <f ca="1" t="shared" si="72" ref="AL22">AK25</f>
        <v>0</v>
      </c>
      <c s="125">
        <f ca="1" t="shared" si="73" ref="AM22">AL25</f>
        <v>0</v>
      </c>
      <c s="125">
        <f ca="1" t="shared" si="74" ref="AN22">AM25</f>
        <v>0</v>
      </c>
      <c s="125">
        <f ca="1" t="shared" si="75" ref="AO22">AN25</f>
        <v>0</v>
      </c>
      <c s="125">
        <f ca="1" t="shared" si="76" ref="AP22">AO25</f>
        <v>0</v>
      </c>
      <c s="125">
        <f ca="1" t="shared" si="77" ref="AQ22">AP25</f>
        <v>0</v>
      </c>
      <c s="125">
        <f ca="1" t="shared" si="78" ref="AR22">AQ25</f>
        <v>0</v>
      </c>
      <c s="125">
        <f ca="1" t="shared" si="79" ref="AS22">AR25</f>
        <v>0</v>
      </c>
      <c s="125">
        <f ca="1" t="shared" si="80" ref="AT22">AS25</f>
        <v>0</v>
      </c>
      <c s="125">
        <f ca="1" t="shared" si="81" ref="AU22">AT25</f>
        <v>0</v>
      </c>
      <c s="125">
        <f ca="1" t="shared" si="82" ref="AV22">AU25</f>
        <v>0</v>
      </c>
      <c s="125">
        <f ca="1" t="shared" si="83" ref="AW22">AV25</f>
        <v>0</v>
      </c>
      <c s="125">
        <f ca="1" t="shared" si="84" ref="AX22">AW25</f>
        <v>0</v>
      </c>
      <c s="125">
        <f ca="1" t="shared" si="85" ref="AY22">AX25</f>
        <v>0</v>
      </c>
      <c s="125">
        <f ca="1" t="shared" si="86" ref="AZ22">AY25</f>
        <v>0</v>
      </c>
      <c s="125">
        <f ca="1" t="shared" si="87" ref="BA22">AZ25</f>
        <v>0</v>
      </c>
      <c s="125">
        <f ca="1" t="shared" si="88" ref="BB22">BA25</f>
        <v>0</v>
      </c>
      <c s="125">
        <f ca="1" t="shared" si="89" ref="BC22">BB25</f>
        <v>0</v>
      </c>
      <c s="125">
        <f ca="1" t="shared" si="90" ref="BD22">BC25</f>
        <v>0</v>
      </c>
      <c s="125">
        <f ca="1" t="shared" si="91" ref="BE22">BD25</f>
        <v>0</v>
      </c>
      <c s="125">
        <f ca="1" t="shared" si="92" ref="BF22">BE25</f>
        <v>0</v>
      </c>
      <c s="125">
        <f ca="1" t="shared" si="93" ref="BG22">BF25</f>
        <v>0</v>
      </c>
      <c s="125">
        <f ca="1" t="shared" si="94" ref="BH22">BG25</f>
        <v>0</v>
      </c>
      <c s="125">
        <f ca="1" t="shared" si="95" ref="BI22">BH25</f>
        <v>0</v>
      </c>
      <c s="125">
        <f ca="1" t="shared" si="96" ref="BJ22">BI25</f>
        <v>0</v>
      </c>
      <c s="125">
        <f ca="1" t="shared" si="97" ref="BK22">BJ25</f>
        <v>0</v>
      </c>
      <c s="125">
        <f ca="1" t="shared" si="98" ref="BL22">BK25</f>
        <v>0</v>
      </c>
      <c s="125">
        <f ca="1" t="shared" si="99" ref="BM22">BL25</f>
        <v>0</v>
      </c>
    </row>
    <row r="23" spans="2:65" ht="15" customHeight="1">
      <c r="B23" s="12" t="s">
        <v>920</v>
      </c>
      <c s="124" t="str">
        <f>Единица_измерения</f>
        <v>тыс. руб.</v>
      </c>
      <c s="129"/>
      <c s="125">
        <f ca="1" t="shared" si="100" ref="E23">MAX(E15-E19,0)</f>
        <v>0</v>
      </c>
      <c s="125">
        <f ca="1" t="shared" si="101" ref="F23:AG23">MAX(F15-F19,0)</f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t="shared" ca="1" si="101"/>
        <v>0</v>
      </c>
      <c s="125">
        <f ca="1" t="shared" si="102" ref="AH23:BM23">MAX(AH15-AH19,0)</f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  <c s="125">
        <f t="shared" ca="1" si="102"/>
        <v>0</v>
      </c>
    </row>
    <row r="24" spans="2:65" ht="15" customHeight="1">
      <c r="B24" s="12" t="s">
        <v>921</v>
      </c>
      <c s="124" t="str">
        <f>Единица_измерения</f>
        <v>тыс. руб.</v>
      </c>
      <c s="129"/>
      <c s="125">
        <f ca="1" t="shared" si="103" ref="E24">-IF(ISNUMBER(OFFSET(E23,,-Срок_возмещения_НДС)),OFFSET(E23,,-Срок_возмещения_НДС),0)</f>
        <v>0</v>
      </c>
      <c s="125">
        <f ca="1" t="shared" si="104" ref="F24:AG24">-IF(ISNUMBER(OFFSET(F23,,-Срок_возмещения_НДС)),OFFSET(F23,,-Срок_возмещения_НДС),0)</f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t="shared" ca="1" si="104"/>
        <v>0</v>
      </c>
      <c s="125">
        <f ca="1" t="shared" si="105" ref="AH24:BM24">-IF(ISNUMBER(OFFSET(AH23,,-Срок_возмещения_НДС)),OFFSET(AH23,,-Срок_возмещения_НДС),0)</f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  <c s="125">
        <f t="shared" ca="1" si="105"/>
        <v>0</v>
      </c>
    </row>
    <row r="25" spans="2:65" ht="15" customHeight="1">
      <c r="B25" s="289" t="s">
        <v>830</v>
      </c>
      <c s="290" t="str">
        <f>Единица_измерения</f>
        <v>тыс. руб.</v>
      </c>
      <c s="276"/>
      <c s="276">
        <f ca="1" t="shared" si="106" ref="E25">SUM(E22:E24)</f>
        <v>0</v>
      </c>
      <c s="276">
        <f ca="1" t="shared" si="107" ref="F25:AG25">SUM(F22:F24)</f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ca="1" t="shared" si="108" ref="AH25:BM25">SUM(AH22:AH24)</f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</row>
    <row r="26" ht="15" customHeight="1"/>
    <row r="27" spans="2:2" ht="15" customHeight="1">
      <c r="B27" s="24" t="s">
        <v>922</v>
      </c>
    </row>
    <row r="28" spans="2:65" ht="15" customHeight="1">
      <c r="B28" s="12" t="s">
        <v>827</v>
      </c>
      <c s="124" t="str">
        <f>Единица_измерения</f>
        <v>тыс. руб.</v>
      </c>
      <c s="129"/>
      <c s="125">
        <f t="shared" si="109" ref="E28">D31</f>
        <v>0</v>
      </c>
      <c s="125">
        <f ca="1" t="shared" si="110" ref="F28">E31</f>
        <v>0</v>
      </c>
      <c s="125">
        <f ca="1" t="shared" si="111" ref="G28">F31</f>
        <v>0</v>
      </c>
      <c s="125">
        <f ca="1" t="shared" si="112" ref="H28">G31</f>
        <v>0</v>
      </c>
      <c s="125">
        <f ca="1" t="shared" si="113" ref="I28">H31</f>
        <v>0</v>
      </c>
      <c s="125">
        <f ca="1" t="shared" si="114" ref="J28">I31</f>
        <v>0</v>
      </c>
      <c s="125">
        <f ca="1" t="shared" si="115" ref="K28">J31</f>
        <v>0</v>
      </c>
      <c s="125">
        <f ca="1" t="shared" si="116" ref="L28">K31</f>
        <v>0</v>
      </c>
      <c s="125">
        <f ca="1" t="shared" si="117" ref="M28">L31</f>
        <v>0</v>
      </c>
      <c s="125">
        <f ca="1" t="shared" si="118" ref="N28">M31</f>
        <v>0</v>
      </c>
      <c s="125">
        <f ca="1" t="shared" si="119" ref="O28">N31</f>
        <v>0</v>
      </c>
      <c s="125">
        <f ca="1" t="shared" si="120" ref="P28">O31</f>
        <v>0</v>
      </c>
      <c s="125">
        <f ca="1" t="shared" si="121" ref="Q28">P31</f>
        <v>0</v>
      </c>
      <c s="125">
        <f ca="1" t="shared" si="122" ref="R28">Q31</f>
        <v>0</v>
      </c>
      <c s="125">
        <f ca="1" t="shared" si="123" ref="S28">R31</f>
        <v>0</v>
      </c>
      <c s="125">
        <f ca="1" t="shared" si="124" ref="T28">S31</f>
        <v>0</v>
      </c>
      <c s="125">
        <f ca="1" t="shared" si="125" ref="U28">T31</f>
        <v>0</v>
      </c>
      <c s="125">
        <f ca="1" t="shared" si="126" ref="V28">U31</f>
        <v>0</v>
      </c>
      <c s="125">
        <f ca="1" t="shared" si="127" ref="W28">V31</f>
        <v>0</v>
      </c>
      <c s="125">
        <f ca="1" t="shared" si="128" ref="X28">W31</f>
        <v>0</v>
      </c>
      <c s="125">
        <f ca="1" t="shared" si="129" ref="Y28">X31</f>
        <v>0</v>
      </c>
      <c s="125">
        <f ca="1" t="shared" si="130" ref="Z28">Y31</f>
        <v>0</v>
      </c>
      <c s="125">
        <f ca="1" t="shared" si="131" ref="AA28">Z31</f>
        <v>0</v>
      </c>
      <c s="125">
        <f ca="1" t="shared" si="132" ref="AB28">AA31</f>
        <v>0</v>
      </c>
      <c s="125">
        <f ca="1" t="shared" si="133" ref="AC28">AB31</f>
        <v>0</v>
      </c>
      <c s="125">
        <f ca="1" t="shared" si="134" ref="AD28">AC31</f>
        <v>0</v>
      </c>
      <c s="125">
        <f ca="1" t="shared" si="135" ref="AE28">AD31</f>
        <v>0</v>
      </c>
      <c s="125">
        <f ca="1" t="shared" si="136" ref="AF28">AE31</f>
        <v>0</v>
      </c>
      <c s="125">
        <f ca="1" t="shared" si="137" ref="AG28">AF31</f>
        <v>0</v>
      </c>
      <c s="125">
        <f ca="1" t="shared" si="138" ref="AH28">AG31</f>
        <v>0</v>
      </c>
      <c s="125">
        <f ca="1" t="shared" si="139" ref="AI28">AH31</f>
        <v>0</v>
      </c>
      <c s="125">
        <f ca="1" t="shared" si="140" ref="AJ28">AI31</f>
        <v>0</v>
      </c>
      <c s="125">
        <f ca="1" t="shared" si="141" ref="AK28">AJ31</f>
        <v>0</v>
      </c>
      <c s="125">
        <f ca="1" t="shared" si="142" ref="AL28">AK31</f>
        <v>0</v>
      </c>
      <c s="125">
        <f ca="1" t="shared" si="143" ref="AM28">AL31</f>
        <v>0</v>
      </c>
      <c s="125">
        <f ca="1" t="shared" si="144" ref="AN28">AM31</f>
        <v>0</v>
      </c>
      <c s="125">
        <f ca="1" t="shared" si="145" ref="AO28">AN31</f>
        <v>0</v>
      </c>
      <c s="125">
        <f ca="1" t="shared" si="146" ref="AP28">AO31</f>
        <v>0</v>
      </c>
      <c s="125">
        <f ca="1" t="shared" si="147" ref="AQ28">AP31</f>
        <v>0</v>
      </c>
      <c s="125">
        <f ca="1" t="shared" si="148" ref="AR28">AQ31</f>
        <v>0</v>
      </c>
      <c s="125">
        <f ca="1" t="shared" si="149" ref="AS28">AR31</f>
        <v>0</v>
      </c>
      <c s="125">
        <f ca="1" t="shared" si="150" ref="AT28">AS31</f>
        <v>0</v>
      </c>
      <c s="125">
        <f ca="1" t="shared" si="151" ref="AU28">AT31</f>
        <v>0</v>
      </c>
      <c s="125">
        <f ca="1" t="shared" si="152" ref="AV28">AU31</f>
        <v>0</v>
      </c>
      <c s="125">
        <f ca="1" t="shared" si="153" ref="AW28">AV31</f>
        <v>0</v>
      </c>
      <c s="125">
        <f ca="1" t="shared" si="154" ref="AX28">AW31</f>
        <v>0</v>
      </c>
      <c s="125">
        <f ca="1" t="shared" si="155" ref="AY28">AX31</f>
        <v>0</v>
      </c>
      <c s="125">
        <f ca="1" t="shared" si="156" ref="AZ28">AY31</f>
        <v>0</v>
      </c>
      <c s="125">
        <f ca="1" t="shared" si="157" ref="BA28">AZ31</f>
        <v>0</v>
      </c>
      <c s="125">
        <f ca="1" t="shared" si="158" ref="BB28">BA31</f>
        <v>0</v>
      </c>
      <c s="125">
        <f ca="1" t="shared" si="159" ref="BC28">BB31</f>
        <v>0</v>
      </c>
      <c s="125">
        <f ca="1" t="shared" si="160" ref="BD28">BC31</f>
        <v>0</v>
      </c>
      <c s="125">
        <f ca="1" t="shared" si="161" ref="BE28">BD31</f>
        <v>0</v>
      </c>
      <c s="125">
        <f ca="1" t="shared" si="162" ref="BF28">BE31</f>
        <v>0</v>
      </c>
      <c s="125">
        <f ca="1" t="shared" si="163" ref="BG28">BF31</f>
        <v>0</v>
      </c>
      <c s="125">
        <f ca="1" t="shared" si="164" ref="BH28">BG31</f>
        <v>0</v>
      </c>
      <c s="125">
        <f ca="1" t="shared" si="165" ref="BI28">BH31</f>
        <v>0</v>
      </c>
      <c s="125">
        <f ca="1" t="shared" si="166" ref="BJ28">BI31</f>
        <v>0</v>
      </c>
      <c s="125">
        <f ca="1" t="shared" si="167" ref="BK28">BJ31</f>
        <v>0</v>
      </c>
      <c s="125">
        <f ca="1" t="shared" si="168" ref="BL28">BK31</f>
        <v>0</v>
      </c>
      <c s="125">
        <f ca="1" t="shared" si="169" ref="BM28">BL31</f>
        <v>0</v>
      </c>
    </row>
    <row r="29" spans="2:65" ht="15" customHeight="1">
      <c r="B29" s="12" t="s">
        <v>923</v>
      </c>
      <c s="124" t="str">
        <f>Единица_измерения</f>
        <v>тыс. руб.</v>
      </c>
      <c s="129"/>
      <c s="125">
        <f ca="1" t="shared" si="170" ref="E29">MAX(E19-E15,0)</f>
        <v>0</v>
      </c>
      <c s="125">
        <f ca="1" t="shared" si="171" ref="F29:AG29">MAX(F19-F15,0)</f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t="shared" ca="1" si="171"/>
        <v>0</v>
      </c>
      <c s="125">
        <f ca="1" t="shared" si="172" ref="AH29:BM29">MAX(AH19-AH15,0)</f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  <c s="125">
        <f t="shared" ca="1" si="172"/>
        <v>0</v>
      </c>
    </row>
    <row r="30" spans="2:65" ht="15" customHeight="1">
      <c r="B30" s="12" t="s">
        <v>924</v>
      </c>
      <c s="124" t="str">
        <f>Единица_измерения</f>
        <v>тыс. руб.</v>
      </c>
      <c s="129"/>
      <c s="125">
        <f t="shared" si="173" ref="E30">-E28</f>
        <v>0</v>
      </c>
      <c s="125">
        <f ca="1" t="shared" si="174" ref="F30:AG30">-F28</f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t="shared" ca="1" si="174"/>
        <v>0</v>
      </c>
      <c s="125">
        <f ca="1" t="shared" si="175" ref="AH30:BM30">-AH28</f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</row>
    <row r="31" spans="2:65" ht="15" customHeight="1">
      <c r="B31" s="289" t="s">
        <v>830</v>
      </c>
      <c s="290" t="str">
        <f>Единица_измерения</f>
        <v>тыс. руб.</v>
      </c>
      <c s="276"/>
      <c s="276">
        <f ca="1" t="shared" si="176" ref="E31">SUM(E28:E30)</f>
        <v>0</v>
      </c>
      <c s="276">
        <f ca="1" t="shared" si="177" ref="F31:AG31">SUM(F28:F30)</f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t="shared" ca="1" si="177"/>
        <v>0</v>
      </c>
      <c s="276">
        <f ca="1" t="shared" si="178" ref="AH31:BM31">SUM(AH28:AH30)</f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  <c s="276">
        <f t="shared" ca="1" si="178"/>
        <v>0</v>
      </c>
    </row>
    <row r="32" ht="15" customHeight="1"/>
    <row r="33" spans="2:71" ht="21">
      <c r="B33" s="23" t="s">
        <v>246</v>
      </c>
      <c r="D3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" spans="2:65" ht="15" customHeight="1">
      <c r="B34" s="12" t="s">
        <v>925</v>
      </c>
      <c s="124" t="s">
        <v>817</v>
      </c>
      <c s="124"/>
      <c s="126">
        <f>LOOKUP(YEAR(E$8),Предпосылки!$C$480:$R$480,Ставки_НнИ)</f>
        <v>0.021999999999999999</v>
      </c>
      <c s="126">
        <f>LOOKUP(YEAR(F$8),Предпосылки!$C$480:$R$480,Ставки_НнИ)</f>
        <v>0.021999999999999999</v>
      </c>
      <c s="126">
        <f>LOOKUP(YEAR(G$8),Предпосылки!$C$480:$R$480,Ставки_НнИ)</f>
        <v>0.021999999999999999</v>
      </c>
      <c s="126">
        <f>LOOKUP(YEAR(H$8),Предпосылки!$C$480:$R$480,Ставки_НнИ)</f>
        <v>0.021999999999999999</v>
      </c>
      <c s="126">
        <f>LOOKUP(YEAR(I$8),Предпосылки!$C$480:$R$480,Ставки_НнИ)</f>
        <v>0.021999999999999999</v>
      </c>
      <c s="126">
        <f>LOOKUP(YEAR(J$8),Предпосылки!$C$480:$R$480,Ставки_НнИ)</f>
        <v>0.021999999999999999</v>
      </c>
      <c s="126">
        <f>LOOKUP(YEAR(K$8),Предпосылки!$C$480:$R$480,Ставки_НнИ)</f>
        <v>0.021999999999999999</v>
      </c>
      <c s="126">
        <f>LOOKUP(YEAR(L$8),Предпосылки!$C$480:$R$480,Ставки_НнИ)</f>
        <v>0.021999999999999999</v>
      </c>
      <c s="126">
        <f>LOOKUP(YEAR(M$8),Предпосылки!$C$480:$R$480,Ставки_НнИ)</f>
        <v>0.021999999999999999</v>
      </c>
      <c s="126">
        <f>LOOKUP(YEAR(N$8),Предпосылки!$C$480:$R$480,Ставки_НнИ)</f>
        <v>0.021999999999999999</v>
      </c>
      <c s="126">
        <f>LOOKUP(YEAR(O$8),Предпосылки!$C$480:$R$480,Ставки_НнИ)</f>
        <v>0.021999999999999999</v>
      </c>
      <c s="126">
        <f>LOOKUP(YEAR(P$8),Предпосылки!$C$480:$R$480,Ставки_НнИ)</f>
        <v>0.021999999999999999</v>
      </c>
      <c s="126">
        <f>LOOKUP(YEAR(Q$8),Предпосылки!$C$480:$R$480,Ставки_НнИ)</f>
        <v>0.021999999999999999</v>
      </c>
      <c s="126">
        <f>LOOKUP(YEAR(R$8),Предпосылки!$C$480:$R$480,Ставки_НнИ)</f>
        <v>0.021999999999999999</v>
      </c>
      <c s="126">
        <f>LOOKUP(YEAR(S$8),Предпосылки!$C$480:$R$480,Ставки_НнИ)</f>
        <v>0.021999999999999999</v>
      </c>
      <c s="126">
        <f>LOOKUP(YEAR(T$8),Предпосылки!$C$480:$R$480,Ставки_НнИ)</f>
        <v>0.021999999999999999</v>
      </c>
      <c s="126">
        <f>LOOKUP(YEAR(U$8),Предпосылки!$C$480:$R$480,Ставки_НнИ)</f>
        <v>0.021999999999999999</v>
      </c>
      <c s="126">
        <f>LOOKUP(YEAR(V$8),Предпосылки!$C$480:$R$480,Ставки_НнИ)</f>
        <v>0.021999999999999999</v>
      </c>
      <c s="126">
        <f>LOOKUP(YEAR(W$8),Предпосылки!$C$480:$R$480,Ставки_НнИ)</f>
        <v>0.021999999999999999</v>
      </c>
      <c s="126">
        <f>LOOKUP(YEAR(X$8),Предпосылки!$C$480:$R$480,Ставки_НнИ)</f>
        <v>0.021999999999999999</v>
      </c>
      <c s="126">
        <f>LOOKUP(YEAR(Y$8),Предпосылки!$C$480:$R$480,Ставки_НнИ)</f>
        <v>0.021999999999999999</v>
      </c>
      <c s="126">
        <f>LOOKUP(YEAR(Z$8),Предпосылки!$C$480:$R$480,Ставки_НнИ)</f>
        <v>0.021999999999999999</v>
      </c>
      <c s="126">
        <f>LOOKUP(YEAR(AA$8),Предпосылки!$C$480:$R$480,Ставки_НнИ)</f>
        <v>0.021999999999999999</v>
      </c>
      <c s="126">
        <f>LOOKUP(YEAR(AB$8),Предпосылки!$C$480:$R$480,Ставки_НнИ)</f>
        <v>0.021999999999999999</v>
      </c>
      <c s="126">
        <f>LOOKUP(YEAR(AC$8),Предпосылки!$C$480:$R$480,Ставки_НнИ)</f>
        <v>0.021999999999999999</v>
      </c>
      <c s="126">
        <f>LOOKUP(YEAR(AD$8),Предпосылки!$C$480:$R$480,Ставки_НнИ)</f>
        <v>0.021999999999999999</v>
      </c>
      <c s="126">
        <f>LOOKUP(YEAR(AE$8),Предпосылки!$C$480:$R$480,Ставки_НнИ)</f>
        <v>0.021999999999999999</v>
      </c>
      <c s="126">
        <f>LOOKUP(YEAR(AF$8),Предпосылки!$C$480:$R$480,Ставки_НнИ)</f>
        <v>0.021999999999999999</v>
      </c>
      <c s="126">
        <f>LOOKUP(YEAR(AG$8),Предпосылки!$C$480:$R$480,Ставки_НнИ)</f>
        <v>0.021999999999999999</v>
      </c>
      <c s="126">
        <f>LOOKUP(YEAR(AH$8),Предпосылки!$C$480:$R$480,Ставки_НнИ)</f>
        <v>0.021999999999999999</v>
      </c>
      <c s="126">
        <f>LOOKUP(YEAR(AI$8),Предпосылки!$C$480:$R$480,Ставки_НнИ)</f>
        <v>0.021999999999999999</v>
      </c>
      <c s="126">
        <f>LOOKUP(YEAR(AJ$8),Предпосылки!$C$480:$R$480,Ставки_НнИ)</f>
        <v>0.021999999999999999</v>
      </c>
      <c s="126">
        <f>LOOKUP(YEAR(AK$8),Предпосылки!$C$480:$R$480,Ставки_НнИ)</f>
        <v>0.021999999999999999</v>
      </c>
      <c s="126">
        <f>LOOKUP(YEAR(AL$8),Предпосылки!$C$480:$R$480,Ставки_НнИ)</f>
        <v>0.021999999999999999</v>
      </c>
      <c s="126">
        <f>LOOKUP(YEAR(AM$8),Предпосылки!$C$480:$R$480,Ставки_НнИ)</f>
        <v>0.021999999999999999</v>
      </c>
      <c s="126">
        <f>LOOKUP(YEAR(AN$8),Предпосылки!$C$480:$R$480,Ставки_НнИ)</f>
        <v>0.021999999999999999</v>
      </c>
      <c s="126">
        <f>LOOKUP(YEAR(AO$8),Предпосылки!$C$480:$R$480,Ставки_НнИ)</f>
        <v>0.021999999999999999</v>
      </c>
      <c s="126">
        <f>LOOKUP(YEAR(AP$8),Предпосылки!$C$480:$R$480,Ставки_НнИ)</f>
        <v>0.021999999999999999</v>
      </c>
      <c s="126">
        <f>LOOKUP(YEAR(AQ$8),Предпосылки!$C$480:$R$480,Ставки_НнИ)</f>
        <v>0.021999999999999999</v>
      </c>
      <c s="126">
        <f>LOOKUP(YEAR(AR$8),Предпосылки!$C$480:$R$480,Ставки_НнИ)</f>
        <v>0.021999999999999999</v>
      </c>
      <c s="126">
        <f>LOOKUP(YEAR(AS$8),Предпосылки!$C$480:$R$480,Ставки_НнИ)</f>
        <v>0.021999999999999999</v>
      </c>
      <c s="126">
        <f>LOOKUP(YEAR(AT$8),Предпосылки!$C$480:$R$480,Ставки_НнИ)</f>
        <v>0.021999999999999999</v>
      </c>
      <c s="126">
        <f>LOOKUP(YEAR(AU$8),Предпосылки!$C$480:$R$480,Ставки_НнИ)</f>
        <v>0.021999999999999999</v>
      </c>
      <c s="126">
        <f>LOOKUP(YEAR(AV$8),Предпосылки!$C$480:$R$480,Ставки_НнИ)</f>
        <v>0.021999999999999999</v>
      </c>
      <c s="126">
        <f>LOOKUP(YEAR(AW$8),Предпосылки!$C$480:$R$480,Ставки_НнИ)</f>
        <v>0.021999999999999999</v>
      </c>
      <c s="126">
        <f>LOOKUP(YEAR(AX$8),Предпосылки!$C$480:$R$480,Ставки_НнИ)</f>
        <v>0.021999999999999999</v>
      </c>
      <c s="126">
        <f>LOOKUP(YEAR(AY$8),Предпосылки!$C$480:$R$480,Ставки_НнИ)</f>
        <v>0.021999999999999999</v>
      </c>
      <c s="126">
        <f>LOOKUP(YEAR(AZ$8),Предпосылки!$C$480:$R$480,Ставки_НнИ)</f>
        <v>0.021999999999999999</v>
      </c>
      <c s="126">
        <f>LOOKUP(YEAR(BA$8),Предпосылки!$C$480:$R$480,Ставки_НнИ)</f>
        <v>0.021999999999999999</v>
      </c>
      <c s="126">
        <f>LOOKUP(YEAR(BB$8),Предпосылки!$C$480:$R$480,Ставки_НнИ)</f>
        <v>0.021999999999999999</v>
      </c>
      <c s="126">
        <f>LOOKUP(YEAR(BC$8),Предпосылки!$C$480:$R$480,Ставки_НнИ)</f>
        <v>0.021999999999999999</v>
      </c>
      <c s="126">
        <f>LOOKUP(YEAR(BD$8),Предпосылки!$C$480:$R$480,Ставки_НнИ)</f>
        <v>0.021999999999999999</v>
      </c>
      <c s="126">
        <f>LOOKUP(YEAR(BE$8),Предпосылки!$C$480:$R$480,Ставки_НнИ)</f>
        <v>0.021999999999999999</v>
      </c>
      <c s="126">
        <f>LOOKUP(YEAR(BF$8),Предпосылки!$C$480:$R$480,Ставки_НнИ)</f>
        <v>0.021999999999999999</v>
      </c>
      <c s="126">
        <f>LOOKUP(YEAR(BG$8),Предпосылки!$C$480:$R$480,Ставки_НнИ)</f>
        <v>0.021999999999999999</v>
      </c>
      <c s="126">
        <f>LOOKUP(YEAR(BH$8),Предпосылки!$C$480:$R$480,Ставки_НнИ)</f>
        <v>0.021999999999999999</v>
      </c>
      <c s="126">
        <f>LOOKUP(YEAR(BI$8),Предпосылки!$C$480:$R$480,Ставки_НнИ)</f>
        <v>0.021999999999999999</v>
      </c>
      <c s="126">
        <f>LOOKUP(YEAR(BJ$8),Предпосылки!$C$480:$R$480,Ставки_НнИ)</f>
        <v>0.021999999999999999</v>
      </c>
      <c s="126">
        <f>LOOKUP(YEAR(BK$8),Предпосылки!$C$480:$R$480,Ставки_НнИ)</f>
        <v>0.021999999999999999</v>
      </c>
      <c s="126">
        <f>LOOKUP(YEAR(BL$8),Предпосылки!$C$480:$R$480,Ставки_НнИ)</f>
        <v>0.021999999999999999</v>
      </c>
      <c s="126">
        <f>LOOKUP(YEAR(BM$8),Предпосылки!$C$480:$R$480,Ставки_НнИ)</f>
        <v>0.021999999999999999</v>
      </c>
    </row>
    <row r="35" spans="2:65" ht="15" customHeight="1">
      <c r="B35" s="12" t="s">
        <v>926</v>
      </c>
      <c s="124" t="s">
        <v>817</v>
      </c>
      <c s="124"/>
      <c s="126">
        <f t="shared" si="179" ref="E35">E34/Кварталов_в_году</f>
        <v>0.0054999999999999997</v>
      </c>
      <c s="126">
        <f t="shared" si="180" ref="F35:AG35">F34/Кварталов_в_году</f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0"/>
        <v>0.0054999999999999997</v>
      </c>
      <c s="126">
        <f t="shared" si="181" ref="AH35:BM35">AH34/Кварталов_в_году</f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  <c s="126">
        <f t="shared" si="181"/>
        <v>0.0054999999999999997</v>
      </c>
    </row>
    <row r="36" ht="15" customHeight="1"/>
    <row r="37" spans="2:2" ht="15" customHeight="1">
      <c r="B37" s="24" t="s">
        <v>927</v>
      </c>
    </row>
    <row r="38" spans="2:65" ht="15" customHeight="1">
      <c r="B38" s="12" t="str">
        <f>IF(ISBLANK(Предпосылки!B30),"-",Предпосылки!B30)</f>
        <v>-</v>
      </c>
      <c s="124" t="str">
        <f t="shared" si="182" ref="C38:C78">Единица_измерения</f>
        <v>тыс. руб.</v>
      </c>
      <c s="129"/>
      <c s="125">
        <f>IF(Предпосылки!$G30="да",'Капитальные вложения'!E594,0)</f>
        <v>0</v>
      </c>
      <c s="125">
        <f>IF(Предпосылки!$G30="да",'Капитальные вложения'!F594,0)</f>
        <v>0</v>
      </c>
      <c s="125">
        <f>IF(Предпосылки!$G30="да",'Капитальные вложения'!G594,0)</f>
        <v>0</v>
      </c>
      <c s="125">
        <f>IF(Предпосылки!$G30="да",'Капитальные вложения'!H594,0)</f>
        <v>0</v>
      </c>
      <c s="125">
        <f>IF(Предпосылки!$G30="да",'Капитальные вложения'!I594,0)</f>
        <v>0</v>
      </c>
      <c s="125">
        <f>IF(Предпосылки!$G30="да",'Капитальные вложения'!J594,0)</f>
        <v>0</v>
      </c>
      <c s="125">
        <f>IF(Предпосылки!$G30="да",'Капитальные вложения'!K594,0)</f>
        <v>0</v>
      </c>
      <c s="125">
        <f>IF(Предпосылки!$G30="да",'Капитальные вложения'!L594,0)</f>
        <v>0</v>
      </c>
      <c s="125">
        <f>IF(Предпосылки!$G30="да",'Капитальные вложения'!M594,0)</f>
        <v>0</v>
      </c>
      <c s="125">
        <f>IF(Предпосылки!$G30="да",'Капитальные вложения'!N594,0)</f>
        <v>0</v>
      </c>
      <c s="125">
        <f>IF(Предпосылки!$G30="да",'Капитальные вложения'!O594,0)</f>
        <v>0</v>
      </c>
      <c s="125">
        <f>IF(Предпосылки!$G30="да",'Капитальные вложения'!P594,0)</f>
        <v>0</v>
      </c>
      <c s="125">
        <f>IF(Предпосылки!$G30="да",'Капитальные вложения'!Q594,0)</f>
        <v>0</v>
      </c>
      <c s="125">
        <f>IF(Предпосылки!$G30="да",'Капитальные вложения'!R594,0)</f>
        <v>0</v>
      </c>
      <c s="125">
        <f>IF(Предпосылки!$G30="да",'Капитальные вложения'!S594,0)</f>
        <v>0</v>
      </c>
      <c s="125">
        <f>IF(Предпосылки!$G30="да",'Капитальные вложения'!T594,0)</f>
        <v>0</v>
      </c>
      <c s="125">
        <f>IF(Предпосылки!$G30="да",'Капитальные вложения'!U594,0)</f>
        <v>0</v>
      </c>
      <c s="125">
        <f>IF(Предпосылки!$G30="да",'Капитальные вложения'!V594,0)</f>
        <v>0</v>
      </c>
      <c s="125">
        <f>IF(Предпосылки!$G30="да",'Капитальные вложения'!W594,0)</f>
        <v>0</v>
      </c>
      <c s="125">
        <f>IF(Предпосылки!$G30="да",'Капитальные вложения'!X594,0)</f>
        <v>0</v>
      </c>
      <c s="125">
        <f>IF(Предпосылки!$G30="да",'Капитальные вложения'!Y594,0)</f>
        <v>0</v>
      </c>
      <c s="125">
        <f>IF(Предпосылки!$G30="да",'Капитальные вложения'!Z594,0)</f>
        <v>0</v>
      </c>
      <c s="125">
        <f>IF(Предпосылки!$G30="да",'Капитальные вложения'!AA594,0)</f>
        <v>0</v>
      </c>
      <c s="125">
        <f>IF(Предпосылки!$G30="да",'Капитальные вложения'!AB594,0)</f>
        <v>0</v>
      </c>
      <c s="125">
        <f>IF(Предпосылки!$G30="да",'Капитальные вложения'!AC594,0)</f>
        <v>0</v>
      </c>
      <c s="125">
        <f>IF(Предпосылки!$G30="да",'Капитальные вложения'!AD594,0)</f>
        <v>0</v>
      </c>
      <c s="125">
        <f>IF(Предпосылки!$G30="да",'Капитальные вложения'!AE594,0)</f>
        <v>0</v>
      </c>
      <c s="125">
        <f>IF(Предпосылки!$G30="да",'Капитальные вложения'!AF594,0)</f>
        <v>0</v>
      </c>
      <c s="125">
        <f>IF(Предпосылки!$G30="да",'Капитальные вложения'!AG594,0)</f>
        <v>0</v>
      </c>
      <c s="125">
        <f>IF(Предпосылки!$G30="да",'Капитальные вложения'!AH594,0)</f>
        <v>0</v>
      </c>
      <c s="125">
        <f>IF(Предпосылки!$G30="да",'Капитальные вложения'!AI594,0)</f>
        <v>0</v>
      </c>
      <c s="125">
        <f>IF(Предпосылки!$G30="да",'Капитальные вложения'!AJ594,0)</f>
        <v>0</v>
      </c>
      <c s="125">
        <f>IF(Предпосылки!$G30="да",'Капитальные вложения'!AK594,0)</f>
        <v>0</v>
      </c>
      <c s="125">
        <f>IF(Предпосылки!$G30="да",'Капитальные вложения'!AL594,0)</f>
        <v>0</v>
      </c>
      <c s="125">
        <f>IF(Предпосылки!$G30="да",'Капитальные вложения'!AM594,0)</f>
        <v>0</v>
      </c>
      <c s="125">
        <f>IF(Предпосылки!$G30="да",'Капитальные вложения'!AN594,0)</f>
        <v>0</v>
      </c>
      <c s="125">
        <f>IF(Предпосылки!$G30="да",'Капитальные вложения'!AO594,0)</f>
        <v>0</v>
      </c>
      <c s="125">
        <f>IF(Предпосылки!$G30="да",'Капитальные вложения'!AP594,0)</f>
        <v>0</v>
      </c>
      <c s="125">
        <f>IF(Предпосылки!$G30="да",'Капитальные вложения'!AQ594,0)</f>
        <v>0</v>
      </c>
      <c s="125">
        <f>IF(Предпосылки!$G30="да",'Капитальные вложения'!AR594,0)</f>
        <v>0</v>
      </c>
      <c s="125">
        <f>IF(Предпосылки!$G30="да",'Капитальные вложения'!AS594,0)</f>
        <v>0</v>
      </c>
      <c s="125">
        <f>IF(Предпосылки!$G30="да",'Капитальные вложения'!AT594,0)</f>
        <v>0</v>
      </c>
      <c s="125">
        <f>IF(Предпосылки!$G30="да",'Капитальные вложения'!AU594,0)</f>
        <v>0</v>
      </c>
      <c s="125">
        <f>IF(Предпосылки!$G30="да",'Капитальные вложения'!AV594,0)</f>
        <v>0</v>
      </c>
      <c s="125">
        <f>IF(Предпосылки!$G30="да",'Капитальные вложения'!AW594,0)</f>
        <v>0</v>
      </c>
      <c s="125">
        <f>IF(Предпосылки!$G30="да",'Капитальные вложения'!AX594,0)</f>
        <v>0</v>
      </c>
      <c s="125">
        <f>IF(Предпосылки!$G30="да",'Капитальные вложения'!AY594,0)</f>
        <v>0</v>
      </c>
      <c s="125">
        <f>IF(Предпосылки!$G30="да",'Капитальные вложения'!AZ594,0)</f>
        <v>0</v>
      </c>
      <c s="125">
        <f>IF(Предпосылки!$G30="да",'Капитальные вложения'!BA594,0)</f>
        <v>0</v>
      </c>
      <c s="125">
        <f>IF(Предпосылки!$G30="да",'Капитальные вложения'!BB594,0)</f>
        <v>0</v>
      </c>
      <c s="125">
        <f>IF(Предпосылки!$G30="да",'Капитальные вложения'!BC594,0)</f>
        <v>0</v>
      </c>
      <c s="125">
        <f>IF(Предпосылки!$G30="да",'Капитальные вложения'!BD594,0)</f>
        <v>0</v>
      </c>
      <c s="125">
        <f>IF(Предпосылки!$G30="да",'Капитальные вложения'!BE594,0)</f>
        <v>0</v>
      </c>
      <c s="125">
        <f>IF(Предпосылки!$G30="да",'Капитальные вложения'!BF594,0)</f>
        <v>0</v>
      </c>
      <c s="125">
        <f>IF(Предпосылки!$G30="да",'Капитальные вложения'!BG594,0)</f>
        <v>0</v>
      </c>
      <c s="125">
        <f>IF(Предпосылки!$G30="да",'Капитальные вложения'!BH594,0)</f>
        <v>0</v>
      </c>
      <c s="125">
        <f>IF(Предпосылки!$G30="да",'Капитальные вложения'!BI594,0)</f>
        <v>0</v>
      </c>
      <c s="125">
        <f>IF(Предпосылки!$G30="да",'Капитальные вложения'!BJ594,0)</f>
        <v>0</v>
      </c>
      <c s="125">
        <f>IF(Предпосылки!$G30="да",'Капитальные вложения'!BK594,0)</f>
        <v>0</v>
      </c>
      <c s="125">
        <f>IF(Предпосылки!$G30="да",'Капитальные вложения'!BL594,0)</f>
        <v>0</v>
      </c>
      <c s="125">
        <f>IF(Предпосылки!$G30="да",'Капитальные вложения'!BM594,0)</f>
        <v>0</v>
      </c>
    </row>
    <row r="39" spans="2:65" ht="15" customHeight="1">
      <c r="B39" s="12" t="str">
        <f>IF(ISBLANK(Предпосылки!B31),"-",Предпосылки!B31)</f>
        <v>-</v>
      </c>
      <c s="124" t="str">
        <f t="shared" si="182"/>
        <v>тыс. руб.</v>
      </c>
      <c s="129"/>
      <c s="125">
        <f>IF(Предпосылки!$G31="да",'Капитальные вложения'!E595,0)</f>
        <v>0</v>
      </c>
      <c s="125">
        <f>IF(Предпосылки!$G31="да",'Капитальные вложения'!F595,0)</f>
        <v>0</v>
      </c>
      <c s="125">
        <f>IF(Предпосылки!$G31="да",'Капитальные вложения'!G595,0)</f>
        <v>0</v>
      </c>
      <c s="125">
        <f>IF(Предпосылки!$G31="да",'Капитальные вложения'!H595,0)</f>
        <v>0</v>
      </c>
      <c s="125">
        <f>IF(Предпосылки!$G31="да",'Капитальные вложения'!I595,0)</f>
        <v>0</v>
      </c>
      <c s="125">
        <f>IF(Предпосылки!$G31="да",'Капитальные вложения'!J595,0)</f>
        <v>0</v>
      </c>
      <c s="125">
        <f>IF(Предпосылки!$G31="да",'Капитальные вложения'!K595,0)</f>
        <v>0</v>
      </c>
      <c s="125">
        <f>IF(Предпосылки!$G31="да",'Капитальные вложения'!L595,0)</f>
        <v>0</v>
      </c>
      <c s="125">
        <f>IF(Предпосылки!$G31="да",'Капитальные вложения'!M595,0)</f>
        <v>0</v>
      </c>
      <c s="125">
        <f>IF(Предпосылки!$G31="да",'Капитальные вложения'!N595,0)</f>
        <v>0</v>
      </c>
      <c s="125">
        <f>IF(Предпосылки!$G31="да",'Капитальные вложения'!O595,0)</f>
        <v>0</v>
      </c>
      <c s="125">
        <f>IF(Предпосылки!$G31="да",'Капитальные вложения'!P595,0)</f>
        <v>0</v>
      </c>
      <c s="125">
        <f>IF(Предпосылки!$G31="да",'Капитальные вложения'!Q595,0)</f>
        <v>0</v>
      </c>
      <c s="125">
        <f>IF(Предпосылки!$G31="да",'Капитальные вложения'!R595,0)</f>
        <v>0</v>
      </c>
      <c s="125">
        <f>IF(Предпосылки!$G31="да",'Капитальные вложения'!S595,0)</f>
        <v>0</v>
      </c>
      <c s="125">
        <f>IF(Предпосылки!$G31="да",'Капитальные вложения'!T595,0)</f>
        <v>0</v>
      </c>
      <c s="125">
        <f>IF(Предпосылки!$G31="да",'Капитальные вложения'!U595,0)</f>
        <v>0</v>
      </c>
      <c s="125">
        <f>IF(Предпосылки!$G31="да",'Капитальные вложения'!V595,0)</f>
        <v>0</v>
      </c>
      <c s="125">
        <f>IF(Предпосылки!$G31="да",'Капитальные вложения'!W595,0)</f>
        <v>0</v>
      </c>
      <c s="125">
        <f>IF(Предпосылки!$G31="да",'Капитальные вложения'!X595,0)</f>
        <v>0</v>
      </c>
      <c s="125">
        <f>IF(Предпосылки!$G31="да",'Капитальные вложения'!Y595,0)</f>
        <v>0</v>
      </c>
      <c s="125">
        <f>IF(Предпосылки!$G31="да",'Капитальные вложения'!Z595,0)</f>
        <v>0</v>
      </c>
      <c s="125">
        <f>IF(Предпосылки!$G31="да",'Капитальные вложения'!AA595,0)</f>
        <v>0</v>
      </c>
      <c s="125">
        <f>IF(Предпосылки!$G31="да",'Капитальные вложения'!AB595,0)</f>
        <v>0</v>
      </c>
      <c s="125">
        <f>IF(Предпосылки!$G31="да",'Капитальные вложения'!AC595,0)</f>
        <v>0</v>
      </c>
      <c s="125">
        <f>IF(Предпосылки!$G31="да",'Капитальные вложения'!AD595,0)</f>
        <v>0</v>
      </c>
      <c s="125">
        <f>IF(Предпосылки!$G31="да",'Капитальные вложения'!AE595,0)</f>
        <v>0</v>
      </c>
      <c s="125">
        <f>IF(Предпосылки!$G31="да",'Капитальные вложения'!AF595,0)</f>
        <v>0</v>
      </c>
      <c s="125">
        <f>IF(Предпосылки!$G31="да",'Капитальные вложения'!AG595,0)</f>
        <v>0</v>
      </c>
      <c s="125">
        <f>IF(Предпосылки!$G31="да",'Капитальные вложения'!AH595,0)</f>
        <v>0</v>
      </c>
      <c s="125">
        <f>IF(Предпосылки!$G31="да",'Капитальные вложения'!AI595,0)</f>
        <v>0</v>
      </c>
      <c s="125">
        <f>IF(Предпосылки!$G31="да",'Капитальные вложения'!AJ595,0)</f>
        <v>0</v>
      </c>
      <c s="125">
        <f>IF(Предпосылки!$G31="да",'Капитальные вложения'!AK595,0)</f>
        <v>0</v>
      </c>
      <c s="125">
        <f>IF(Предпосылки!$G31="да",'Капитальные вложения'!AL595,0)</f>
        <v>0</v>
      </c>
      <c s="125">
        <f>IF(Предпосылки!$G31="да",'Капитальные вложения'!AM595,0)</f>
        <v>0</v>
      </c>
      <c s="125">
        <f>IF(Предпосылки!$G31="да",'Капитальные вложения'!AN595,0)</f>
        <v>0</v>
      </c>
      <c s="125">
        <f>IF(Предпосылки!$G31="да",'Капитальные вложения'!AO595,0)</f>
        <v>0</v>
      </c>
      <c s="125">
        <f>IF(Предпосылки!$G31="да",'Капитальные вложения'!AP595,0)</f>
        <v>0</v>
      </c>
      <c s="125">
        <f>IF(Предпосылки!$G31="да",'Капитальные вложения'!AQ595,0)</f>
        <v>0</v>
      </c>
      <c s="125">
        <f>IF(Предпосылки!$G31="да",'Капитальные вложения'!AR595,0)</f>
        <v>0</v>
      </c>
      <c s="125">
        <f>IF(Предпосылки!$G31="да",'Капитальные вложения'!AS595,0)</f>
        <v>0</v>
      </c>
      <c s="125">
        <f>IF(Предпосылки!$G31="да",'Капитальные вложения'!AT595,0)</f>
        <v>0</v>
      </c>
      <c s="125">
        <f>IF(Предпосылки!$G31="да",'Капитальные вложения'!AU595,0)</f>
        <v>0</v>
      </c>
      <c s="125">
        <f>IF(Предпосылки!$G31="да",'Капитальные вложения'!AV595,0)</f>
        <v>0</v>
      </c>
      <c s="125">
        <f>IF(Предпосылки!$G31="да",'Капитальные вложения'!AW595,0)</f>
        <v>0</v>
      </c>
      <c s="125">
        <f>IF(Предпосылки!$G31="да",'Капитальные вложения'!AX595,0)</f>
        <v>0</v>
      </c>
      <c s="125">
        <f>IF(Предпосылки!$G31="да",'Капитальные вложения'!AY595,0)</f>
        <v>0</v>
      </c>
      <c s="125">
        <f>IF(Предпосылки!$G31="да",'Капитальные вложения'!AZ595,0)</f>
        <v>0</v>
      </c>
      <c s="125">
        <f>IF(Предпосылки!$G31="да",'Капитальные вложения'!BA595,0)</f>
        <v>0</v>
      </c>
      <c s="125">
        <f>IF(Предпосылки!$G31="да",'Капитальные вложения'!BB595,0)</f>
        <v>0</v>
      </c>
      <c s="125">
        <f>IF(Предпосылки!$G31="да",'Капитальные вложения'!BC595,0)</f>
        <v>0</v>
      </c>
      <c s="125">
        <f>IF(Предпосылки!$G31="да",'Капитальные вложения'!BD595,0)</f>
        <v>0</v>
      </c>
      <c s="125">
        <f>IF(Предпосылки!$G31="да",'Капитальные вложения'!BE595,0)</f>
        <v>0</v>
      </c>
      <c s="125">
        <f>IF(Предпосылки!$G31="да",'Капитальные вложения'!BF595,0)</f>
        <v>0</v>
      </c>
      <c s="125">
        <f>IF(Предпосылки!$G31="да",'Капитальные вложения'!BG595,0)</f>
        <v>0</v>
      </c>
      <c s="125">
        <f>IF(Предпосылки!$G31="да",'Капитальные вложения'!BH595,0)</f>
        <v>0</v>
      </c>
      <c s="125">
        <f>IF(Предпосылки!$G31="да",'Капитальные вложения'!BI595,0)</f>
        <v>0</v>
      </c>
      <c s="125">
        <f>IF(Предпосылки!$G31="да",'Капитальные вложения'!BJ595,0)</f>
        <v>0</v>
      </c>
      <c s="125">
        <f>IF(Предпосылки!$G31="да",'Капитальные вложения'!BK595,0)</f>
        <v>0</v>
      </c>
      <c s="125">
        <f>IF(Предпосылки!$G31="да",'Капитальные вложения'!BL595,0)</f>
        <v>0</v>
      </c>
      <c s="125">
        <f>IF(Предпосылки!$G31="да",'Капитальные вложения'!BM595,0)</f>
        <v>0</v>
      </c>
    </row>
    <row r="40" spans="2:65" ht="15" customHeight="1">
      <c r="B40" s="12" t="str">
        <f>IF(ISBLANK(Предпосылки!B32),"-",Предпосылки!B32)</f>
        <v>-</v>
      </c>
      <c s="124" t="str">
        <f t="shared" si="182"/>
        <v>тыс. руб.</v>
      </c>
      <c s="129"/>
      <c s="125">
        <f>IF(Предпосылки!$G32="да",'Капитальные вложения'!E596,0)</f>
        <v>0</v>
      </c>
      <c s="125">
        <f>IF(Предпосылки!$G32="да",'Капитальные вложения'!F596,0)</f>
        <v>0</v>
      </c>
      <c s="125">
        <f>IF(Предпосылки!$G32="да",'Капитальные вложения'!G596,0)</f>
        <v>0</v>
      </c>
      <c s="125">
        <f>IF(Предпосылки!$G32="да",'Капитальные вложения'!H596,0)</f>
        <v>0</v>
      </c>
      <c s="125">
        <f>IF(Предпосылки!$G32="да",'Капитальные вложения'!I596,0)</f>
        <v>0</v>
      </c>
      <c s="125">
        <f>IF(Предпосылки!$G32="да",'Капитальные вложения'!J596,0)</f>
        <v>0</v>
      </c>
      <c s="125">
        <f>IF(Предпосылки!$G32="да",'Капитальные вложения'!K596,0)</f>
        <v>0</v>
      </c>
      <c s="125">
        <f>IF(Предпосылки!$G32="да",'Капитальные вложения'!L596,0)</f>
        <v>0</v>
      </c>
      <c s="125">
        <f>IF(Предпосылки!$G32="да",'Капитальные вложения'!M596,0)</f>
        <v>0</v>
      </c>
      <c s="125">
        <f>IF(Предпосылки!$G32="да",'Капитальные вложения'!N596,0)</f>
        <v>0</v>
      </c>
      <c s="125">
        <f>IF(Предпосылки!$G32="да",'Капитальные вложения'!O596,0)</f>
        <v>0</v>
      </c>
      <c s="125">
        <f>IF(Предпосылки!$G32="да",'Капитальные вложения'!P596,0)</f>
        <v>0</v>
      </c>
      <c s="125">
        <f>IF(Предпосылки!$G32="да",'Капитальные вложения'!Q596,0)</f>
        <v>0</v>
      </c>
      <c s="125">
        <f>IF(Предпосылки!$G32="да",'Капитальные вложения'!R596,0)</f>
        <v>0</v>
      </c>
      <c s="125">
        <f>IF(Предпосылки!$G32="да",'Капитальные вложения'!S596,0)</f>
        <v>0</v>
      </c>
      <c s="125">
        <f>IF(Предпосылки!$G32="да",'Капитальные вложения'!T596,0)</f>
        <v>0</v>
      </c>
      <c s="125">
        <f>IF(Предпосылки!$G32="да",'Капитальные вложения'!U596,0)</f>
        <v>0</v>
      </c>
      <c s="125">
        <f>IF(Предпосылки!$G32="да",'Капитальные вложения'!V596,0)</f>
        <v>0</v>
      </c>
      <c s="125">
        <f>IF(Предпосылки!$G32="да",'Капитальные вложения'!W596,0)</f>
        <v>0</v>
      </c>
      <c s="125">
        <f>IF(Предпосылки!$G32="да",'Капитальные вложения'!X596,0)</f>
        <v>0</v>
      </c>
      <c s="125">
        <f>IF(Предпосылки!$G32="да",'Капитальные вложения'!Y596,0)</f>
        <v>0</v>
      </c>
      <c s="125">
        <f>IF(Предпосылки!$G32="да",'Капитальные вложения'!Z596,0)</f>
        <v>0</v>
      </c>
      <c s="125">
        <f>IF(Предпосылки!$G32="да",'Капитальные вложения'!AA596,0)</f>
        <v>0</v>
      </c>
      <c s="125">
        <f>IF(Предпосылки!$G32="да",'Капитальные вложения'!AB596,0)</f>
        <v>0</v>
      </c>
      <c s="125">
        <f>IF(Предпосылки!$G32="да",'Капитальные вложения'!AC596,0)</f>
        <v>0</v>
      </c>
      <c s="125">
        <f>IF(Предпосылки!$G32="да",'Капитальные вложения'!AD596,0)</f>
        <v>0</v>
      </c>
      <c s="125">
        <f>IF(Предпосылки!$G32="да",'Капитальные вложения'!AE596,0)</f>
        <v>0</v>
      </c>
      <c s="125">
        <f>IF(Предпосылки!$G32="да",'Капитальные вложения'!AF596,0)</f>
        <v>0</v>
      </c>
      <c s="125">
        <f>IF(Предпосылки!$G32="да",'Капитальные вложения'!AG596,0)</f>
        <v>0</v>
      </c>
      <c s="125">
        <f>IF(Предпосылки!$G32="да",'Капитальные вложения'!AH596,0)</f>
        <v>0</v>
      </c>
      <c s="125">
        <f>IF(Предпосылки!$G32="да",'Капитальные вложения'!AI596,0)</f>
        <v>0</v>
      </c>
      <c s="125">
        <f>IF(Предпосылки!$G32="да",'Капитальные вложения'!AJ596,0)</f>
        <v>0</v>
      </c>
      <c s="125">
        <f>IF(Предпосылки!$G32="да",'Капитальные вложения'!AK596,0)</f>
        <v>0</v>
      </c>
      <c s="125">
        <f>IF(Предпосылки!$G32="да",'Капитальные вложения'!AL596,0)</f>
        <v>0</v>
      </c>
      <c s="125">
        <f>IF(Предпосылки!$G32="да",'Капитальные вложения'!AM596,0)</f>
        <v>0</v>
      </c>
      <c s="125">
        <f>IF(Предпосылки!$G32="да",'Капитальные вложения'!AN596,0)</f>
        <v>0</v>
      </c>
      <c s="125">
        <f>IF(Предпосылки!$G32="да",'Капитальные вложения'!AO596,0)</f>
        <v>0</v>
      </c>
      <c s="125">
        <f>IF(Предпосылки!$G32="да",'Капитальные вложения'!AP596,0)</f>
        <v>0</v>
      </c>
      <c s="125">
        <f>IF(Предпосылки!$G32="да",'Капитальные вложения'!AQ596,0)</f>
        <v>0</v>
      </c>
      <c s="125">
        <f>IF(Предпосылки!$G32="да",'Капитальные вложения'!AR596,0)</f>
        <v>0</v>
      </c>
      <c s="125">
        <f>IF(Предпосылки!$G32="да",'Капитальные вложения'!AS596,0)</f>
        <v>0</v>
      </c>
      <c s="125">
        <f>IF(Предпосылки!$G32="да",'Капитальные вложения'!AT596,0)</f>
        <v>0</v>
      </c>
      <c s="125">
        <f>IF(Предпосылки!$G32="да",'Капитальные вложения'!AU596,0)</f>
        <v>0</v>
      </c>
      <c s="125">
        <f>IF(Предпосылки!$G32="да",'Капитальные вложения'!AV596,0)</f>
        <v>0</v>
      </c>
      <c s="125">
        <f>IF(Предпосылки!$G32="да",'Капитальные вложения'!AW596,0)</f>
        <v>0</v>
      </c>
      <c s="125">
        <f>IF(Предпосылки!$G32="да",'Капитальные вложения'!AX596,0)</f>
        <v>0</v>
      </c>
      <c s="125">
        <f>IF(Предпосылки!$G32="да",'Капитальные вложения'!AY596,0)</f>
        <v>0</v>
      </c>
      <c s="125">
        <f>IF(Предпосылки!$G32="да",'Капитальные вложения'!AZ596,0)</f>
        <v>0</v>
      </c>
      <c s="125">
        <f>IF(Предпосылки!$G32="да",'Капитальные вложения'!BA596,0)</f>
        <v>0</v>
      </c>
      <c s="125">
        <f>IF(Предпосылки!$G32="да",'Капитальные вложения'!BB596,0)</f>
        <v>0</v>
      </c>
      <c s="125">
        <f>IF(Предпосылки!$G32="да",'Капитальные вложения'!BC596,0)</f>
        <v>0</v>
      </c>
      <c s="125">
        <f>IF(Предпосылки!$G32="да",'Капитальные вложения'!BD596,0)</f>
        <v>0</v>
      </c>
      <c s="125">
        <f>IF(Предпосылки!$G32="да",'Капитальные вложения'!BE596,0)</f>
        <v>0</v>
      </c>
      <c s="125">
        <f>IF(Предпосылки!$G32="да",'Капитальные вложения'!BF596,0)</f>
        <v>0</v>
      </c>
      <c s="125">
        <f>IF(Предпосылки!$G32="да",'Капитальные вложения'!BG596,0)</f>
        <v>0</v>
      </c>
      <c s="125">
        <f>IF(Предпосылки!$G32="да",'Капитальные вложения'!BH596,0)</f>
        <v>0</v>
      </c>
      <c s="125">
        <f>IF(Предпосылки!$G32="да",'Капитальные вложения'!BI596,0)</f>
        <v>0</v>
      </c>
      <c s="125">
        <f>IF(Предпосылки!$G32="да",'Капитальные вложения'!BJ596,0)</f>
        <v>0</v>
      </c>
      <c s="125">
        <f>IF(Предпосылки!$G32="да",'Капитальные вложения'!BK596,0)</f>
        <v>0</v>
      </c>
      <c s="125">
        <f>IF(Предпосылки!$G32="да",'Капитальные вложения'!BL596,0)</f>
        <v>0</v>
      </c>
      <c s="125">
        <f>IF(Предпосылки!$G32="да",'Капитальные вложения'!BM596,0)</f>
        <v>0</v>
      </c>
    </row>
    <row r="41" spans="2:65" ht="15" customHeight="1">
      <c r="B41" s="12" t="str">
        <f>IF(ISBLANK(Предпосылки!B33),"-",Предпосылки!B33)</f>
        <v>-</v>
      </c>
      <c s="124" t="str">
        <f t="shared" si="182"/>
        <v>тыс. руб.</v>
      </c>
      <c s="129"/>
      <c s="125">
        <f>IF(Предпосылки!$G33="да",'Капитальные вложения'!E597,0)</f>
        <v>0</v>
      </c>
      <c s="125">
        <f>IF(Предпосылки!$G33="да",'Капитальные вложения'!F597,0)</f>
        <v>0</v>
      </c>
      <c s="125">
        <f>IF(Предпосылки!$G33="да",'Капитальные вложения'!G597,0)</f>
        <v>0</v>
      </c>
      <c s="125">
        <f>IF(Предпосылки!$G33="да",'Капитальные вложения'!H597,0)</f>
        <v>0</v>
      </c>
      <c s="125">
        <f>IF(Предпосылки!$G33="да",'Капитальные вложения'!I597,0)</f>
        <v>0</v>
      </c>
      <c s="125">
        <f>IF(Предпосылки!$G33="да",'Капитальные вложения'!J597,0)</f>
        <v>0</v>
      </c>
      <c s="125">
        <f>IF(Предпосылки!$G33="да",'Капитальные вложения'!K597,0)</f>
        <v>0</v>
      </c>
      <c s="125">
        <f>IF(Предпосылки!$G33="да",'Капитальные вложения'!L597,0)</f>
        <v>0</v>
      </c>
      <c s="125">
        <f>IF(Предпосылки!$G33="да",'Капитальные вложения'!M597,0)</f>
        <v>0</v>
      </c>
      <c s="125">
        <f>IF(Предпосылки!$G33="да",'Капитальные вложения'!N597,0)</f>
        <v>0</v>
      </c>
      <c s="125">
        <f>IF(Предпосылки!$G33="да",'Капитальные вложения'!O597,0)</f>
        <v>0</v>
      </c>
      <c s="125">
        <f>IF(Предпосылки!$G33="да",'Капитальные вложения'!P597,0)</f>
        <v>0</v>
      </c>
      <c s="125">
        <f>IF(Предпосылки!$G33="да",'Капитальные вложения'!Q597,0)</f>
        <v>0</v>
      </c>
      <c s="125">
        <f>IF(Предпосылки!$G33="да",'Капитальные вложения'!R597,0)</f>
        <v>0</v>
      </c>
      <c s="125">
        <f>IF(Предпосылки!$G33="да",'Капитальные вложения'!S597,0)</f>
        <v>0</v>
      </c>
      <c s="125">
        <f>IF(Предпосылки!$G33="да",'Капитальные вложения'!T597,0)</f>
        <v>0</v>
      </c>
      <c s="125">
        <f>IF(Предпосылки!$G33="да",'Капитальные вложения'!U597,0)</f>
        <v>0</v>
      </c>
      <c s="125">
        <f>IF(Предпосылки!$G33="да",'Капитальные вложения'!V597,0)</f>
        <v>0</v>
      </c>
      <c s="125">
        <f>IF(Предпосылки!$G33="да",'Капитальные вложения'!W597,0)</f>
        <v>0</v>
      </c>
      <c s="125">
        <f>IF(Предпосылки!$G33="да",'Капитальные вложения'!X597,0)</f>
        <v>0</v>
      </c>
      <c s="125">
        <f>IF(Предпосылки!$G33="да",'Капитальные вложения'!Y597,0)</f>
        <v>0</v>
      </c>
      <c s="125">
        <f>IF(Предпосылки!$G33="да",'Капитальные вложения'!Z597,0)</f>
        <v>0</v>
      </c>
      <c s="125">
        <f>IF(Предпосылки!$G33="да",'Капитальные вложения'!AA597,0)</f>
        <v>0</v>
      </c>
      <c s="125">
        <f>IF(Предпосылки!$G33="да",'Капитальные вложения'!AB597,0)</f>
        <v>0</v>
      </c>
      <c s="125">
        <f>IF(Предпосылки!$G33="да",'Капитальные вложения'!AC597,0)</f>
        <v>0</v>
      </c>
      <c s="125">
        <f>IF(Предпосылки!$G33="да",'Капитальные вложения'!AD597,0)</f>
        <v>0</v>
      </c>
      <c s="125">
        <f>IF(Предпосылки!$G33="да",'Капитальные вложения'!AE597,0)</f>
        <v>0</v>
      </c>
      <c s="125">
        <f>IF(Предпосылки!$G33="да",'Капитальные вложения'!AF597,0)</f>
        <v>0</v>
      </c>
      <c s="125">
        <f>IF(Предпосылки!$G33="да",'Капитальные вложения'!AG597,0)</f>
        <v>0</v>
      </c>
      <c s="125">
        <f>IF(Предпосылки!$G33="да",'Капитальные вложения'!AH597,0)</f>
        <v>0</v>
      </c>
      <c s="125">
        <f>IF(Предпосылки!$G33="да",'Капитальные вложения'!AI597,0)</f>
        <v>0</v>
      </c>
      <c s="125">
        <f>IF(Предпосылки!$G33="да",'Капитальные вложения'!AJ597,0)</f>
        <v>0</v>
      </c>
      <c s="125">
        <f>IF(Предпосылки!$G33="да",'Капитальные вложения'!AK597,0)</f>
        <v>0</v>
      </c>
      <c s="125">
        <f>IF(Предпосылки!$G33="да",'Капитальные вложения'!AL597,0)</f>
        <v>0</v>
      </c>
      <c s="125">
        <f>IF(Предпосылки!$G33="да",'Капитальные вложения'!AM597,0)</f>
        <v>0</v>
      </c>
      <c s="125">
        <f>IF(Предпосылки!$G33="да",'Капитальные вложения'!AN597,0)</f>
        <v>0</v>
      </c>
      <c s="125">
        <f>IF(Предпосылки!$G33="да",'Капитальные вложения'!AO597,0)</f>
        <v>0</v>
      </c>
      <c s="125">
        <f>IF(Предпосылки!$G33="да",'Капитальные вложения'!AP597,0)</f>
        <v>0</v>
      </c>
      <c s="125">
        <f>IF(Предпосылки!$G33="да",'Капитальные вложения'!AQ597,0)</f>
        <v>0</v>
      </c>
      <c s="125">
        <f>IF(Предпосылки!$G33="да",'Капитальные вложения'!AR597,0)</f>
        <v>0</v>
      </c>
      <c s="125">
        <f>IF(Предпосылки!$G33="да",'Капитальные вложения'!AS597,0)</f>
        <v>0</v>
      </c>
      <c s="125">
        <f>IF(Предпосылки!$G33="да",'Капитальные вложения'!AT597,0)</f>
        <v>0</v>
      </c>
      <c s="125">
        <f>IF(Предпосылки!$G33="да",'Капитальные вложения'!AU597,0)</f>
        <v>0</v>
      </c>
      <c s="125">
        <f>IF(Предпосылки!$G33="да",'Капитальные вложения'!AV597,0)</f>
        <v>0</v>
      </c>
      <c s="125">
        <f>IF(Предпосылки!$G33="да",'Капитальные вложения'!AW597,0)</f>
        <v>0</v>
      </c>
      <c s="125">
        <f>IF(Предпосылки!$G33="да",'Капитальные вложения'!AX597,0)</f>
        <v>0</v>
      </c>
      <c s="125">
        <f>IF(Предпосылки!$G33="да",'Капитальные вложения'!AY597,0)</f>
        <v>0</v>
      </c>
      <c s="125">
        <f>IF(Предпосылки!$G33="да",'Капитальные вложения'!AZ597,0)</f>
        <v>0</v>
      </c>
      <c s="125">
        <f>IF(Предпосылки!$G33="да",'Капитальные вложения'!BA597,0)</f>
        <v>0</v>
      </c>
      <c s="125">
        <f>IF(Предпосылки!$G33="да",'Капитальные вложения'!BB597,0)</f>
        <v>0</v>
      </c>
      <c s="125">
        <f>IF(Предпосылки!$G33="да",'Капитальные вложения'!BC597,0)</f>
        <v>0</v>
      </c>
      <c s="125">
        <f>IF(Предпосылки!$G33="да",'Капитальные вложения'!BD597,0)</f>
        <v>0</v>
      </c>
      <c s="125">
        <f>IF(Предпосылки!$G33="да",'Капитальные вложения'!BE597,0)</f>
        <v>0</v>
      </c>
      <c s="125">
        <f>IF(Предпосылки!$G33="да",'Капитальные вложения'!BF597,0)</f>
        <v>0</v>
      </c>
      <c s="125">
        <f>IF(Предпосылки!$G33="да",'Капитальные вложения'!BG597,0)</f>
        <v>0</v>
      </c>
      <c s="125">
        <f>IF(Предпосылки!$G33="да",'Капитальные вложения'!BH597,0)</f>
        <v>0</v>
      </c>
      <c s="125">
        <f>IF(Предпосылки!$G33="да",'Капитальные вложения'!BI597,0)</f>
        <v>0</v>
      </c>
      <c s="125">
        <f>IF(Предпосылки!$G33="да",'Капитальные вложения'!BJ597,0)</f>
        <v>0</v>
      </c>
      <c s="125">
        <f>IF(Предпосылки!$G33="да",'Капитальные вложения'!BK597,0)</f>
        <v>0</v>
      </c>
      <c s="125">
        <f>IF(Предпосылки!$G33="да",'Капитальные вложения'!BL597,0)</f>
        <v>0</v>
      </c>
      <c s="125">
        <f>IF(Предпосылки!$G33="да",'Капитальные вложения'!BM597,0)</f>
        <v>0</v>
      </c>
    </row>
    <row r="42" spans="2:65" ht="15" customHeight="1">
      <c r="B42" s="12" t="str">
        <f>IF(ISBLANK(Предпосылки!B34),"-",Предпосылки!B34)</f>
        <v>-</v>
      </c>
      <c s="124" t="str">
        <f t="shared" si="182"/>
        <v>тыс. руб.</v>
      </c>
      <c s="129"/>
      <c s="125">
        <f>IF(Предпосылки!$G34="да",'Капитальные вложения'!E598,0)</f>
        <v>0</v>
      </c>
      <c s="125">
        <f>IF(Предпосылки!$G34="да",'Капитальные вложения'!F598,0)</f>
        <v>0</v>
      </c>
      <c s="125">
        <f>IF(Предпосылки!$G34="да",'Капитальные вложения'!G598,0)</f>
        <v>0</v>
      </c>
      <c s="125">
        <f>IF(Предпосылки!$G34="да",'Капитальные вложения'!H598,0)</f>
        <v>0</v>
      </c>
      <c s="125">
        <f>IF(Предпосылки!$G34="да",'Капитальные вложения'!I598,0)</f>
        <v>0</v>
      </c>
      <c s="125">
        <f>IF(Предпосылки!$G34="да",'Капитальные вложения'!J598,0)</f>
        <v>0</v>
      </c>
      <c s="125">
        <f>IF(Предпосылки!$G34="да",'Капитальные вложения'!K598,0)</f>
        <v>0</v>
      </c>
      <c s="125">
        <f>IF(Предпосылки!$G34="да",'Капитальные вложения'!L598,0)</f>
        <v>0</v>
      </c>
      <c s="125">
        <f>IF(Предпосылки!$G34="да",'Капитальные вложения'!M598,0)</f>
        <v>0</v>
      </c>
      <c s="125">
        <f>IF(Предпосылки!$G34="да",'Капитальные вложения'!N598,0)</f>
        <v>0</v>
      </c>
      <c s="125">
        <f>IF(Предпосылки!$G34="да",'Капитальные вложения'!O598,0)</f>
        <v>0</v>
      </c>
      <c s="125">
        <f>IF(Предпосылки!$G34="да",'Капитальные вложения'!P598,0)</f>
        <v>0</v>
      </c>
      <c s="125">
        <f>IF(Предпосылки!$G34="да",'Капитальные вложения'!Q598,0)</f>
        <v>0</v>
      </c>
      <c s="125">
        <f>IF(Предпосылки!$G34="да",'Капитальные вложения'!R598,0)</f>
        <v>0</v>
      </c>
      <c s="125">
        <f>IF(Предпосылки!$G34="да",'Капитальные вложения'!S598,0)</f>
        <v>0</v>
      </c>
      <c s="125">
        <f>IF(Предпосылки!$G34="да",'Капитальные вложения'!T598,0)</f>
        <v>0</v>
      </c>
      <c s="125">
        <f>IF(Предпосылки!$G34="да",'Капитальные вложения'!U598,0)</f>
        <v>0</v>
      </c>
      <c s="125">
        <f>IF(Предпосылки!$G34="да",'Капитальные вложения'!V598,0)</f>
        <v>0</v>
      </c>
      <c s="125">
        <f>IF(Предпосылки!$G34="да",'Капитальные вложения'!W598,0)</f>
        <v>0</v>
      </c>
      <c s="125">
        <f>IF(Предпосылки!$G34="да",'Капитальные вложения'!X598,0)</f>
        <v>0</v>
      </c>
      <c s="125">
        <f>IF(Предпосылки!$G34="да",'Капитальные вложения'!Y598,0)</f>
        <v>0</v>
      </c>
      <c s="125">
        <f>IF(Предпосылки!$G34="да",'Капитальные вложения'!Z598,0)</f>
        <v>0</v>
      </c>
      <c s="125">
        <f>IF(Предпосылки!$G34="да",'Капитальные вложения'!AA598,0)</f>
        <v>0</v>
      </c>
      <c s="125">
        <f>IF(Предпосылки!$G34="да",'Капитальные вложения'!AB598,0)</f>
        <v>0</v>
      </c>
      <c s="125">
        <f>IF(Предпосылки!$G34="да",'Капитальные вложения'!AC598,0)</f>
        <v>0</v>
      </c>
      <c s="125">
        <f>IF(Предпосылки!$G34="да",'Капитальные вложения'!AD598,0)</f>
        <v>0</v>
      </c>
      <c s="125">
        <f>IF(Предпосылки!$G34="да",'Капитальные вложения'!AE598,0)</f>
        <v>0</v>
      </c>
      <c s="125">
        <f>IF(Предпосылки!$G34="да",'Капитальные вложения'!AF598,0)</f>
        <v>0</v>
      </c>
      <c s="125">
        <f>IF(Предпосылки!$G34="да",'Капитальные вложения'!AG598,0)</f>
        <v>0</v>
      </c>
      <c s="125">
        <f>IF(Предпосылки!$G34="да",'Капитальные вложения'!AH598,0)</f>
        <v>0</v>
      </c>
      <c s="125">
        <f>IF(Предпосылки!$G34="да",'Капитальные вложения'!AI598,0)</f>
        <v>0</v>
      </c>
      <c s="125">
        <f>IF(Предпосылки!$G34="да",'Капитальные вложения'!AJ598,0)</f>
        <v>0</v>
      </c>
      <c s="125">
        <f>IF(Предпосылки!$G34="да",'Капитальные вложения'!AK598,0)</f>
        <v>0</v>
      </c>
      <c s="125">
        <f>IF(Предпосылки!$G34="да",'Капитальные вложения'!AL598,0)</f>
        <v>0</v>
      </c>
      <c s="125">
        <f>IF(Предпосылки!$G34="да",'Капитальные вложения'!AM598,0)</f>
        <v>0</v>
      </c>
      <c s="125">
        <f>IF(Предпосылки!$G34="да",'Капитальные вложения'!AN598,0)</f>
        <v>0</v>
      </c>
      <c s="125">
        <f>IF(Предпосылки!$G34="да",'Капитальные вложения'!AO598,0)</f>
        <v>0</v>
      </c>
      <c s="125">
        <f>IF(Предпосылки!$G34="да",'Капитальные вложения'!AP598,0)</f>
        <v>0</v>
      </c>
      <c s="125">
        <f>IF(Предпосылки!$G34="да",'Капитальные вложения'!AQ598,0)</f>
        <v>0</v>
      </c>
      <c s="125">
        <f>IF(Предпосылки!$G34="да",'Капитальные вложения'!AR598,0)</f>
        <v>0</v>
      </c>
      <c s="125">
        <f>IF(Предпосылки!$G34="да",'Капитальные вложения'!AS598,0)</f>
        <v>0</v>
      </c>
      <c s="125">
        <f>IF(Предпосылки!$G34="да",'Капитальные вложения'!AT598,0)</f>
        <v>0</v>
      </c>
      <c s="125">
        <f>IF(Предпосылки!$G34="да",'Капитальные вложения'!AU598,0)</f>
        <v>0</v>
      </c>
      <c s="125">
        <f>IF(Предпосылки!$G34="да",'Капитальные вложения'!AV598,0)</f>
        <v>0</v>
      </c>
      <c s="125">
        <f>IF(Предпосылки!$G34="да",'Капитальные вложения'!AW598,0)</f>
        <v>0</v>
      </c>
      <c s="125">
        <f>IF(Предпосылки!$G34="да",'Капитальные вложения'!AX598,0)</f>
        <v>0</v>
      </c>
      <c s="125">
        <f>IF(Предпосылки!$G34="да",'Капитальные вложения'!AY598,0)</f>
        <v>0</v>
      </c>
      <c s="125">
        <f>IF(Предпосылки!$G34="да",'Капитальные вложения'!AZ598,0)</f>
        <v>0</v>
      </c>
      <c s="125">
        <f>IF(Предпосылки!$G34="да",'Капитальные вложения'!BA598,0)</f>
        <v>0</v>
      </c>
      <c s="125">
        <f>IF(Предпосылки!$G34="да",'Капитальные вложения'!BB598,0)</f>
        <v>0</v>
      </c>
      <c s="125">
        <f>IF(Предпосылки!$G34="да",'Капитальные вложения'!BC598,0)</f>
        <v>0</v>
      </c>
      <c s="125">
        <f>IF(Предпосылки!$G34="да",'Капитальные вложения'!BD598,0)</f>
        <v>0</v>
      </c>
      <c s="125">
        <f>IF(Предпосылки!$G34="да",'Капитальные вложения'!BE598,0)</f>
        <v>0</v>
      </c>
      <c s="125">
        <f>IF(Предпосылки!$G34="да",'Капитальные вложения'!BF598,0)</f>
        <v>0</v>
      </c>
      <c s="125">
        <f>IF(Предпосылки!$G34="да",'Капитальные вложения'!BG598,0)</f>
        <v>0</v>
      </c>
      <c s="125">
        <f>IF(Предпосылки!$G34="да",'Капитальные вложения'!BH598,0)</f>
        <v>0</v>
      </c>
      <c s="125">
        <f>IF(Предпосылки!$G34="да",'Капитальные вложения'!BI598,0)</f>
        <v>0</v>
      </c>
      <c s="125">
        <f>IF(Предпосылки!$G34="да",'Капитальные вложения'!BJ598,0)</f>
        <v>0</v>
      </c>
      <c s="125">
        <f>IF(Предпосылки!$G34="да",'Капитальные вложения'!BK598,0)</f>
        <v>0</v>
      </c>
      <c s="125">
        <f>IF(Предпосылки!$G34="да",'Капитальные вложения'!BL598,0)</f>
        <v>0</v>
      </c>
      <c s="125">
        <f>IF(Предпосылки!$G34="да",'Капитальные вложения'!BM598,0)</f>
        <v>0</v>
      </c>
    </row>
    <row r="43" spans="2:65" ht="15" customHeight="1">
      <c r="B43" s="12" t="str">
        <f>IF(ISBLANK(Предпосылки!B35),"-",Предпосылки!B35)</f>
        <v>-</v>
      </c>
      <c s="124" t="str">
        <f t="shared" si="182"/>
        <v>тыс. руб.</v>
      </c>
      <c s="129"/>
      <c s="125">
        <f>IF(Предпосылки!$G35="да",'Капитальные вложения'!E599,0)</f>
        <v>0</v>
      </c>
      <c s="125">
        <f>IF(Предпосылки!$G35="да",'Капитальные вложения'!F599,0)</f>
        <v>0</v>
      </c>
      <c s="125">
        <f>IF(Предпосылки!$G35="да",'Капитальные вложения'!G599,0)</f>
        <v>0</v>
      </c>
      <c s="125">
        <f>IF(Предпосылки!$G35="да",'Капитальные вложения'!H599,0)</f>
        <v>0</v>
      </c>
      <c s="125">
        <f>IF(Предпосылки!$G35="да",'Капитальные вложения'!I599,0)</f>
        <v>0</v>
      </c>
      <c s="125">
        <f>IF(Предпосылки!$G35="да",'Капитальные вложения'!J599,0)</f>
        <v>0</v>
      </c>
      <c s="125">
        <f>IF(Предпосылки!$G35="да",'Капитальные вложения'!K599,0)</f>
        <v>0</v>
      </c>
      <c s="125">
        <f>IF(Предпосылки!$G35="да",'Капитальные вложения'!L599,0)</f>
        <v>0</v>
      </c>
      <c s="125">
        <f>IF(Предпосылки!$G35="да",'Капитальные вложения'!M599,0)</f>
        <v>0</v>
      </c>
      <c s="125">
        <f>IF(Предпосылки!$G35="да",'Капитальные вложения'!N599,0)</f>
        <v>0</v>
      </c>
      <c s="125">
        <f>IF(Предпосылки!$G35="да",'Капитальные вложения'!O599,0)</f>
        <v>0</v>
      </c>
      <c s="125">
        <f>IF(Предпосылки!$G35="да",'Капитальные вложения'!P599,0)</f>
        <v>0</v>
      </c>
      <c s="125">
        <f>IF(Предпосылки!$G35="да",'Капитальные вложения'!Q599,0)</f>
        <v>0</v>
      </c>
      <c s="125">
        <f>IF(Предпосылки!$G35="да",'Капитальные вложения'!R599,0)</f>
        <v>0</v>
      </c>
      <c s="125">
        <f>IF(Предпосылки!$G35="да",'Капитальные вложения'!S599,0)</f>
        <v>0</v>
      </c>
      <c s="125">
        <f>IF(Предпосылки!$G35="да",'Капитальные вложения'!T599,0)</f>
        <v>0</v>
      </c>
      <c s="125">
        <f>IF(Предпосылки!$G35="да",'Капитальные вложения'!U599,0)</f>
        <v>0</v>
      </c>
      <c s="125">
        <f>IF(Предпосылки!$G35="да",'Капитальные вложения'!V599,0)</f>
        <v>0</v>
      </c>
      <c s="125">
        <f>IF(Предпосылки!$G35="да",'Капитальные вложения'!W599,0)</f>
        <v>0</v>
      </c>
      <c s="125">
        <f>IF(Предпосылки!$G35="да",'Капитальные вложения'!X599,0)</f>
        <v>0</v>
      </c>
      <c s="125">
        <f>IF(Предпосылки!$G35="да",'Капитальные вложения'!Y599,0)</f>
        <v>0</v>
      </c>
      <c s="125">
        <f>IF(Предпосылки!$G35="да",'Капитальные вложения'!Z599,0)</f>
        <v>0</v>
      </c>
      <c s="125">
        <f>IF(Предпосылки!$G35="да",'Капитальные вложения'!AA599,0)</f>
        <v>0</v>
      </c>
      <c s="125">
        <f>IF(Предпосылки!$G35="да",'Капитальные вложения'!AB599,0)</f>
        <v>0</v>
      </c>
      <c s="125">
        <f>IF(Предпосылки!$G35="да",'Капитальные вложения'!AC599,0)</f>
        <v>0</v>
      </c>
      <c s="125">
        <f>IF(Предпосылки!$G35="да",'Капитальные вложения'!AD599,0)</f>
        <v>0</v>
      </c>
      <c s="125">
        <f>IF(Предпосылки!$G35="да",'Капитальные вложения'!AE599,0)</f>
        <v>0</v>
      </c>
      <c s="125">
        <f>IF(Предпосылки!$G35="да",'Капитальные вложения'!AF599,0)</f>
        <v>0</v>
      </c>
      <c s="125">
        <f>IF(Предпосылки!$G35="да",'Капитальные вложения'!AG599,0)</f>
        <v>0</v>
      </c>
      <c s="125">
        <f>IF(Предпосылки!$G35="да",'Капитальные вложения'!AH599,0)</f>
        <v>0</v>
      </c>
      <c s="125">
        <f>IF(Предпосылки!$G35="да",'Капитальные вложения'!AI599,0)</f>
        <v>0</v>
      </c>
      <c s="125">
        <f>IF(Предпосылки!$G35="да",'Капитальные вложения'!AJ599,0)</f>
        <v>0</v>
      </c>
      <c s="125">
        <f>IF(Предпосылки!$G35="да",'Капитальные вложения'!AK599,0)</f>
        <v>0</v>
      </c>
      <c s="125">
        <f>IF(Предпосылки!$G35="да",'Капитальные вложения'!AL599,0)</f>
        <v>0</v>
      </c>
      <c s="125">
        <f>IF(Предпосылки!$G35="да",'Капитальные вложения'!AM599,0)</f>
        <v>0</v>
      </c>
      <c s="125">
        <f>IF(Предпосылки!$G35="да",'Капитальные вложения'!AN599,0)</f>
        <v>0</v>
      </c>
      <c s="125">
        <f>IF(Предпосылки!$G35="да",'Капитальные вложения'!AO599,0)</f>
        <v>0</v>
      </c>
      <c s="125">
        <f>IF(Предпосылки!$G35="да",'Капитальные вложения'!AP599,0)</f>
        <v>0</v>
      </c>
      <c s="125">
        <f>IF(Предпосылки!$G35="да",'Капитальные вложения'!AQ599,0)</f>
        <v>0</v>
      </c>
      <c s="125">
        <f>IF(Предпосылки!$G35="да",'Капитальные вложения'!AR599,0)</f>
        <v>0</v>
      </c>
      <c s="125">
        <f>IF(Предпосылки!$G35="да",'Капитальные вложения'!AS599,0)</f>
        <v>0</v>
      </c>
      <c s="125">
        <f>IF(Предпосылки!$G35="да",'Капитальные вложения'!AT599,0)</f>
        <v>0</v>
      </c>
      <c s="125">
        <f>IF(Предпосылки!$G35="да",'Капитальные вложения'!AU599,0)</f>
        <v>0</v>
      </c>
      <c s="125">
        <f>IF(Предпосылки!$G35="да",'Капитальные вложения'!AV599,0)</f>
        <v>0</v>
      </c>
      <c s="125">
        <f>IF(Предпосылки!$G35="да",'Капитальные вложения'!AW599,0)</f>
        <v>0</v>
      </c>
      <c s="125">
        <f>IF(Предпосылки!$G35="да",'Капитальные вложения'!AX599,0)</f>
        <v>0</v>
      </c>
      <c s="125">
        <f>IF(Предпосылки!$G35="да",'Капитальные вложения'!AY599,0)</f>
        <v>0</v>
      </c>
      <c s="125">
        <f>IF(Предпосылки!$G35="да",'Капитальные вложения'!AZ599,0)</f>
        <v>0</v>
      </c>
      <c s="125">
        <f>IF(Предпосылки!$G35="да",'Капитальные вложения'!BA599,0)</f>
        <v>0</v>
      </c>
      <c s="125">
        <f>IF(Предпосылки!$G35="да",'Капитальные вложения'!BB599,0)</f>
        <v>0</v>
      </c>
      <c s="125">
        <f>IF(Предпосылки!$G35="да",'Капитальные вложения'!BC599,0)</f>
        <v>0</v>
      </c>
      <c s="125">
        <f>IF(Предпосылки!$G35="да",'Капитальные вложения'!BD599,0)</f>
        <v>0</v>
      </c>
      <c s="125">
        <f>IF(Предпосылки!$G35="да",'Капитальные вложения'!BE599,0)</f>
        <v>0</v>
      </c>
      <c s="125">
        <f>IF(Предпосылки!$G35="да",'Капитальные вложения'!BF599,0)</f>
        <v>0</v>
      </c>
      <c s="125">
        <f>IF(Предпосылки!$G35="да",'Капитальные вложения'!BG599,0)</f>
        <v>0</v>
      </c>
      <c s="125">
        <f>IF(Предпосылки!$G35="да",'Капитальные вложения'!BH599,0)</f>
        <v>0</v>
      </c>
      <c s="125">
        <f>IF(Предпосылки!$G35="да",'Капитальные вложения'!BI599,0)</f>
        <v>0</v>
      </c>
      <c s="125">
        <f>IF(Предпосылки!$G35="да",'Капитальные вложения'!BJ599,0)</f>
        <v>0</v>
      </c>
      <c s="125">
        <f>IF(Предпосылки!$G35="да",'Капитальные вложения'!BK599,0)</f>
        <v>0</v>
      </c>
      <c s="125">
        <f>IF(Предпосылки!$G35="да",'Капитальные вложения'!BL599,0)</f>
        <v>0</v>
      </c>
      <c s="125">
        <f>IF(Предпосылки!$G35="да",'Капитальные вложения'!BM599,0)</f>
        <v>0</v>
      </c>
    </row>
    <row r="44" spans="2:65" ht="15" customHeight="1">
      <c r="B44" s="12" t="str">
        <f>IF(ISBLANK(Предпосылки!B36),"-",Предпосылки!B36)</f>
        <v>-</v>
      </c>
      <c s="124" t="str">
        <f t="shared" si="182"/>
        <v>тыс. руб.</v>
      </c>
      <c s="129"/>
      <c s="125">
        <f>IF(Предпосылки!$G36="да",'Капитальные вложения'!E600,0)</f>
        <v>0</v>
      </c>
      <c s="125">
        <f>IF(Предпосылки!$G36="да",'Капитальные вложения'!F600,0)</f>
        <v>0</v>
      </c>
      <c s="125">
        <f>IF(Предпосылки!$G36="да",'Капитальные вложения'!G600,0)</f>
        <v>0</v>
      </c>
      <c s="125">
        <f>IF(Предпосылки!$G36="да",'Капитальные вложения'!H600,0)</f>
        <v>0</v>
      </c>
      <c s="125">
        <f>IF(Предпосылки!$G36="да",'Капитальные вложения'!I600,0)</f>
        <v>0</v>
      </c>
      <c s="125">
        <f>IF(Предпосылки!$G36="да",'Капитальные вложения'!J600,0)</f>
        <v>0</v>
      </c>
      <c s="125">
        <f>IF(Предпосылки!$G36="да",'Капитальные вложения'!K600,0)</f>
        <v>0</v>
      </c>
      <c s="125">
        <f>IF(Предпосылки!$G36="да",'Капитальные вложения'!L600,0)</f>
        <v>0</v>
      </c>
      <c s="125">
        <f>IF(Предпосылки!$G36="да",'Капитальные вложения'!M600,0)</f>
        <v>0</v>
      </c>
      <c s="125">
        <f>IF(Предпосылки!$G36="да",'Капитальные вложения'!N600,0)</f>
        <v>0</v>
      </c>
      <c s="125">
        <f>IF(Предпосылки!$G36="да",'Капитальные вложения'!O600,0)</f>
        <v>0</v>
      </c>
      <c s="125">
        <f>IF(Предпосылки!$G36="да",'Капитальные вложения'!P600,0)</f>
        <v>0</v>
      </c>
      <c s="125">
        <f>IF(Предпосылки!$G36="да",'Капитальные вложения'!Q600,0)</f>
        <v>0</v>
      </c>
      <c s="125">
        <f>IF(Предпосылки!$G36="да",'Капитальные вложения'!R600,0)</f>
        <v>0</v>
      </c>
      <c s="125">
        <f>IF(Предпосылки!$G36="да",'Капитальные вложения'!S600,0)</f>
        <v>0</v>
      </c>
      <c s="125">
        <f>IF(Предпосылки!$G36="да",'Капитальные вложения'!T600,0)</f>
        <v>0</v>
      </c>
      <c s="125">
        <f>IF(Предпосылки!$G36="да",'Капитальные вложения'!U600,0)</f>
        <v>0</v>
      </c>
      <c s="125">
        <f>IF(Предпосылки!$G36="да",'Капитальные вложения'!V600,0)</f>
        <v>0</v>
      </c>
      <c s="125">
        <f>IF(Предпосылки!$G36="да",'Капитальные вложения'!W600,0)</f>
        <v>0</v>
      </c>
      <c s="125">
        <f>IF(Предпосылки!$G36="да",'Капитальные вложения'!X600,0)</f>
        <v>0</v>
      </c>
      <c s="125">
        <f>IF(Предпосылки!$G36="да",'Капитальные вложения'!Y600,0)</f>
        <v>0</v>
      </c>
      <c s="125">
        <f>IF(Предпосылки!$G36="да",'Капитальные вложения'!Z600,0)</f>
        <v>0</v>
      </c>
      <c s="125">
        <f>IF(Предпосылки!$G36="да",'Капитальные вложения'!AA600,0)</f>
        <v>0</v>
      </c>
      <c s="125">
        <f>IF(Предпосылки!$G36="да",'Капитальные вложения'!AB600,0)</f>
        <v>0</v>
      </c>
      <c s="125">
        <f>IF(Предпосылки!$G36="да",'Капитальные вложения'!AC600,0)</f>
        <v>0</v>
      </c>
      <c s="125">
        <f>IF(Предпосылки!$G36="да",'Капитальные вложения'!AD600,0)</f>
        <v>0</v>
      </c>
      <c s="125">
        <f>IF(Предпосылки!$G36="да",'Капитальные вложения'!AE600,0)</f>
        <v>0</v>
      </c>
      <c s="125">
        <f>IF(Предпосылки!$G36="да",'Капитальные вложения'!AF600,0)</f>
        <v>0</v>
      </c>
      <c s="125">
        <f>IF(Предпосылки!$G36="да",'Капитальные вложения'!AG600,0)</f>
        <v>0</v>
      </c>
      <c s="125">
        <f>IF(Предпосылки!$G36="да",'Капитальные вложения'!AH600,0)</f>
        <v>0</v>
      </c>
      <c s="125">
        <f>IF(Предпосылки!$G36="да",'Капитальные вложения'!AI600,0)</f>
        <v>0</v>
      </c>
      <c s="125">
        <f>IF(Предпосылки!$G36="да",'Капитальные вложения'!AJ600,0)</f>
        <v>0</v>
      </c>
      <c s="125">
        <f>IF(Предпосылки!$G36="да",'Капитальные вложения'!AK600,0)</f>
        <v>0</v>
      </c>
      <c s="125">
        <f>IF(Предпосылки!$G36="да",'Капитальные вложения'!AL600,0)</f>
        <v>0</v>
      </c>
      <c s="125">
        <f>IF(Предпосылки!$G36="да",'Капитальные вложения'!AM600,0)</f>
        <v>0</v>
      </c>
      <c s="125">
        <f>IF(Предпосылки!$G36="да",'Капитальные вложения'!AN600,0)</f>
        <v>0</v>
      </c>
      <c s="125">
        <f>IF(Предпосылки!$G36="да",'Капитальные вложения'!AO600,0)</f>
        <v>0</v>
      </c>
      <c s="125">
        <f>IF(Предпосылки!$G36="да",'Капитальные вложения'!AP600,0)</f>
        <v>0</v>
      </c>
      <c s="125">
        <f>IF(Предпосылки!$G36="да",'Капитальные вложения'!AQ600,0)</f>
        <v>0</v>
      </c>
      <c s="125">
        <f>IF(Предпосылки!$G36="да",'Капитальные вложения'!AR600,0)</f>
        <v>0</v>
      </c>
      <c s="125">
        <f>IF(Предпосылки!$G36="да",'Капитальные вложения'!AS600,0)</f>
        <v>0</v>
      </c>
      <c s="125">
        <f>IF(Предпосылки!$G36="да",'Капитальные вложения'!AT600,0)</f>
        <v>0</v>
      </c>
      <c s="125">
        <f>IF(Предпосылки!$G36="да",'Капитальные вложения'!AU600,0)</f>
        <v>0</v>
      </c>
      <c s="125">
        <f>IF(Предпосылки!$G36="да",'Капитальные вложения'!AV600,0)</f>
        <v>0</v>
      </c>
      <c s="125">
        <f>IF(Предпосылки!$G36="да",'Капитальные вложения'!AW600,0)</f>
        <v>0</v>
      </c>
      <c s="125">
        <f>IF(Предпосылки!$G36="да",'Капитальные вложения'!AX600,0)</f>
        <v>0</v>
      </c>
      <c s="125">
        <f>IF(Предпосылки!$G36="да",'Капитальные вложения'!AY600,0)</f>
        <v>0</v>
      </c>
      <c s="125">
        <f>IF(Предпосылки!$G36="да",'Капитальные вложения'!AZ600,0)</f>
        <v>0</v>
      </c>
      <c s="125">
        <f>IF(Предпосылки!$G36="да",'Капитальные вложения'!BA600,0)</f>
        <v>0</v>
      </c>
      <c s="125">
        <f>IF(Предпосылки!$G36="да",'Капитальные вложения'!BB600,0)</f>
        <v>0</v>
      </c>
      <c s="125">
        <f>IF(Предпосылки!$G36="да",'Капитальные вложения'!BC600,0)</f>
        <v>0</v>
      </c>
      <c s="125">
        <f>IF(Предпосылки!$G36="да",'Капитальные вложения'!BD600,0)</f>
        <v>0</v>
      </c>
      <c s="125">
        <f>IF(Предпосылки!$G36="да",'Капитальные вложения'!BE600,0)</f>
        <v>0</v>
      </c>
      <c s="125">
        <f>IF(Предпосылки!$G36="да",'Капитальные вложения'!BF600,0)</f>
        <v>0</v>
      </c>
      <c s="125">
        <f>IF(Предпосылки!$G36="да",'Капитальные вложения'!BG600,0)</f>
        <v>0</v>
      </c>
      <c s="125">
        <f>IF(Предпосылки!$G36="да",'Капитальные вложения'!BH600,0)</f>
        <v>0</v>
      </c>
      <c s="125">
        <f>IF(Предпосылки!$G36="да",'Капитальные вложения'!BI600,0)</f>
        <v>0</v>
      </c>
      <c s="125">
        <f>IF(Предпосылки!$G36="да",'Капитальные вложения'!BJ600,0)</f>
        <v>0</v>
      </c>
      <c s="125">
        <f>IF(Предпосылки!$G36="да",'Капитальные вложения'!BK600,0)</f>
        <v>0</v>
      </c>
      <c s="125">
        <f>IF(Предпосылки!$G36="да",'Капитальные вложения'!BL600,0)</f>
        <v>0</v>
      </c>
      <c s="125">
        <f>IF(Предпосылки!$G36="да",'Капитальные вложения'!BM600,0)</f>
        <v>0</v>
      </c>
    </row>
    <row r="45" spans="2:65" ht="15" customHeight="1">
      <c r="B45" s="12" t="str">
        <f>IF(ISBLANK(Предпосылки!B37),"-",Предпосылки!B37)</f>
        <v>-</v>
      </c>
      <c s="124" t="str">
        <f t="shared" si="182"/>
        <v>тыс. руб.</v>
      </c>
      <c s="129"/>
      <c s="125">
        <f>IF(Предпосылки!$G37="да",'Капитальные вложения'!E601,0)</f>
        <v>0</v>
      </c>
      <c s="125">
        <f>IF(Предпосылки!$G37="да",'Капитальные вложения'!F601,0)</f>
        <v>0</v>
      </c>
      <c s="125">
        <f>IF(Предпосылки!$G37="да",'Капитальные вложения'!G601,0)</f>
        <v>0</v>
      </c>
      <c s="125">
        <f>IF(Предпосылки!$G37="да",'Капитальные вложения'!H601,0)</f>
        <v>0</v>
      </c>
      <c s="125">
        <f>IF(Предпосылки!$G37="да",'Капитальные вложения'!I601,0)</f>
        <v>0</v>
      </c>
      <c s="125">
        <f>IF(Предпосылки!$G37="да",'Капитальные вложения'!J601,0)</f>
        <v>0</v>
      </c>
      <c s="125">
        <f>IF(Предпосылки!$G37="да",'Капитальные вложения'!K601,0)</f>
        <v>0</v>
      </c>
      <c s="125">
        <f>IF(Предпосылки!$G37="да",'Капитальные вложения'!L601,0)</f>
        <v>0</v>
      </c>
      <c s="125">
        <f>IF(Предпосылки!$G37="да",'Капитальные вложения'!M601,0)</f>
        <v>0</v>
      </c>
      <c s="125">
        <f>IF(Предпосылки!$G37="да",'Капитальные вложения'!N601,0)</f>
        <v>0</v>
      </c>
      <c s="125">
        <f>IF(Предпосылки!$G37="да",'Капитальные вложения'!O601,0)</f>
        <v>0</v>
      </c>
      <c s="125">
        <f>IF(Предпосылки!$G37="да",'Капитальные вложения'!P601,0)</f>
        <v>0</v>
      </c>
      <c s="125">
        <f>IF(Предпосылки!$G37="да",'Капитальные вложения'!Q601,0)</f>
        <v>0</v>
      </c>
      <c s="125">
        <f>IF(Предпосылки!$G37="да",'Капитальные вложения'!R601,0)</f>
        <v>0</v>
      </c>
      <c s="125">
        <f>IF(Предпосылки!$G37="да",'Капитальные вложения'!S601,0)</f>
        <v>0</v>
      </c>
      <c s="125">
        <f>IF(Предпосылки!$G37="да",'Капитальные вложения'!T601,0)</f>
        <v>0</v>
      </c>
      <c s="125">
        <f>IF(Предпосылки!$G37="да",'Капитальные вложения'!U601,0)</f>
        <v>0</v>
      </c>
      <c s="125">
        <f>IF(Предпосылки!$G37="да",'Капитальные вложения'!V601,0)</f>
        <v>0</v>
      </c>
      <c s="125">
        <f>IF(Предпосылки!$G37="да",'Капитальные вложения'!W601,0)</f>
        <v>0</v>
      </c>
      <c s="125">
        <f>IF(Предпосылки!$G37="да",'Капитальные вложения'!X601,0)</f>
        <v>0</v>
      </c>
      <c s="125">
        <f>IF(Предпосылки!$G37="да",'Капитальные вложения'!Y601,0)</f>
        <v>0</v>
      </c>
      <c s="125">
        <f>IF(Предпосылки!$G37="да",'Капитальные вложения'!Z601,0)</f>
        <v>0</v>
      </c>
      <c s="125">
        <f>IF(Предпосылки!$G37="да",'Капитальные вложения'!AA601,0)</f>
        <v>0</v>
      </c>
      <c s="125">
        <f>IF(Предпосылки!$G37="да",'Капитальные вложения'!AB601,0)</f>
        <v>0</v>
      </c>
      <c s="125">
        <f>IF(Предпосылки!$G37="да",'Капитальные вложения'!AC601,0)</f>
        <v>0</v>
      </c>
      <c s="125">
        <f>IF(Предпосылки!$G37="да",'Капитальные вложения'!AD601,0)</f>
        <v>0</v>
      </c>
      <c s="125">
        <f>IF(Предпосылки!$G37="да",'Капитальные вложения'!AE601,0)</f>
        <v>0</v>
      </c>
      <c s="125">
        <f>IF(Предпосылки!$G37="да",'Капитальные вложения'!AF601,0)</f>
        <v>0</v>
      </c>
      <c s="125">
        <f>IF(Предпосылки!$G37="да",'Капитальные вложения'!AG601,0)</f>
        <v>0</v>
      </c>
      <c s="125">
        <f>IF(Предпосылки!$G37="да",'Капитальные вложения'!AH601,0)</f>
        <v>0</v>
      </c>
      <c s="125">
        <f>IF(Предпосылки!$G37="да",'Капитальные вложения'!AI601,0)</f>
        <v>0</v>
      </c>
      <c s="125">
        <f>IF(Предпосылки!$G37="да",'Капитальные вложения'!AJ601,0)</f>
        <v>0</v>
      </c>
      <c s="125">
        <f>IF(Предпосылки!$G37="да",'Капитальные вложения'!AK601,0)</f>
        <v>0</v>
      </c>
      <c s="125">
        <f>IF(Предпосылки!$G37="да",'Капитальные вложения'!AL601,0)</f>
        <v>0</v>
      </c>
      <c s="125">
        <f>IF(Предпосылки!$G37="да",'Капитальные вложения'!AM601,0)</f>
        <v>0</v>
      </c>
      <c s="125">
        <f>IF(Предпосылки!$G37="да",'Капитальные вложения'!AN601,0)</f>
        <v>0</v>
      </c>
      <c s="125">
        <f>IF(Предпосылки!$G37="да",'Капитальные вложения'!AO601,0)</f>
        <v>0</v>
      </c>
      <c s="125">
        <f>IF(Предпосылки!$G37="да",'Капитальные вложения'!AP601,0)</f>
        <v>0</v>
      </c>
      <c s="125">
        <f>IF(Предпосылки!$G37="да",'Капитальные вложения'!AQ601,0)</f>
        <v>0</v>
      </c>
      <c s="125">
        <f>IF(Предпосылки!$G37="да",'Капитальные вложения'!AR601,0)</f>
        <v>0</v>
      </c>
      <c s="125">
        <f>IF(Предпосылки!$G37="да",'Капитальные вложения'!AS601,0)</f>
        <v>0</v>
      </c>
      <c s="125">
        <f>IF(Предпосылки!$G37="да",'Капитальные вложения'!AT601,0)</f>
        <v>0</v>
      </c>
      <c s="125">
        <f>IF(Предпосылки!$G37="да",'Капитальные вложения'!AU601,0)</f>
        <v>0</v>
      </c>
      <c s="125">
        <f>IF(Предпосылки!$G37="да",'Капитальные вложения'!AV601,0)</f>
        <v>0</v>
      </c>
      <c s="125">
        <f>IF(Предпосылки!$G37="да",'Капитальные вложения'!AW601,0)</f>
        <v>0</v>
      </c>
      <c s="125">
        <f>IF(Предпосылки!$G37="да",'Капитальные вложения'!AX601,0)</f>
        <v>0</v>
      </c>
      <c s="125">
        <f>IF(Предпосылки!$G37="да",'Капитальные вложения'!AY601,0)</f>
        <v>0</v>
      </c>
      <c s="125">
        <f>IF(Предпосылки!$G37="да",'Капитальные вложения'!AZ601,0)</f>
        <v>0</v>
      </c>
      <c s="125">
        <f>IF(Предпосылки!$G37="да",'Капитальные вложения'!BA601,0)</f>
        <v>0</v>
      </c>
      <c s="125">
        <f>IF(Предпосылки!$G37="да",'Капитальные вложения'!BB601,0)</f>
        <v>0</v>
      </c>
      <c s="125">
        <f>IF(Предпосылки!$G37="да",'Капитальные вложения'!BC601,0)</f>
        <v>0</v>
      </c>
      <c s="125">
        <f>IF(Предпосылки!$G37="да",'Капитальные вложения'!BD601,0)</f>
        <v>0</v>
      </c>
      <c s="125">
        <f>IF(Предпосылки!$G37="да",'Капитальные вложения'!BE601,0)</f>
        <v>0</v>
      </c>
      <c s="125">
        <f>IF(Предпосылки!$G37="да",'Капитальные вложения'!BF601,0)</f>
        <v>0</v>
      </c>
      <c s="125">
        <f>IF(Предпосылки!$G37="да",'Капитальные вложения'!BG601,0)</f>
        <v>0</v>
      </c>
      <c s="125">
        <f>IF(Предпосылки!$G37="да",'Капитальные вложения'!BH601,0)</f>
        <v>0</v>
      </c>
      <c s="125">
        <f>IF(Предпосылки!$G37="да",'Капитальные вложения'!BI601,0)</f>
        <v>0</v>
      </c>
      <c s="125">
        <f>IF(Предпосылки!$G37="да",'Капитальные вложения'!BJ601,0)</f>
        <v>0</v>
      </c>
      <c s="125">
        <f>IF(Предпосылки!$G37="да",'Капитальные вложения'!BK601,0)</f>
        <v>0</v>
      </c>
      <c s="125">
        <f>IF(Предпосылки!$G37="да",'Капитальные вложения'!BL601,0)</f>
        <v>0</v>
      </c>
      <c s="125">
        <f>IF(Предпосылки!$G37="да",'Капитальные вложения'!BM601,0)</f>
        <v>0</v>
      </c>
    </row>
    <row r="46" spans="2:65" ht="15" customHeight="1">
      <c r="B46" s="12" t="str">
        <f>IF(ISBLANK(Предпосылки!B38),"-",Предпосылки!B38)</f>
        <v>-</v>
      </c>
      <c s="124" t="str">
        <f t="shared" si="182"/>
        <v>тыс. руб.</v>
      </c>
      <c s="129"/>
      <c s="125">
        <f>IF(Предпосылки!$G38="да",'Капитальные вложения'!E602,0)</f>
        <v>0</v>
      </c>
      <c s="125">
        <f>IF(Предпосылки!$G38="да",'Капитальные вложения'!F602,0)</f>
        <v>0</v>
      </c>
      <c s="125">
        <f>IF(Предпосылки!$G38="да",'Капитальные вложения'!G602,0)</f>
        <v>0</v>
      </c>
      <c s="125">
        <f>IF(Предпосылки!$G38="да",'Капитальные вложения'!H602,0)</f>
        <v>0</v>
      </c>
      <c s="125">
        <f>IF(Предпосылки!$G38="да",'Капитальные вложения'!I602,0)</f>
        <v>0</v>
      </c>
      <c s="125">
        <f>IF(Предпосылки!$G38="да",'Капитальные вложения'!J602,0)</f>
        <v>0</v>
      </c>
      <c s="125">
        <f>IF(Предпосылки!$G38="да",'Капитальные вложения'!K602,0)</f>
        <v>0</v>
      </c>
      <c s="125">
        <f>IF(Предпосылки!$G38="да",'Капитальные вложения'!L602,0)</f>
        <v>0</v>
      </c>
      <c s="125">
        <f>IF(Предпосылки!$G38="да",'Капитальные вложения'!M602,0)</f>
        <v>0</v>
      </c>
      <c s="125">
        <f>IF(Предпосылки!$G38="да",'Капитальные вложения'!N602,0)</f>
        <v>0</v>
      </c>
      <c s="125">
        <f>IF(Предпосылки!$G38="да",'Капитальные вложения'!O602,0)</f>
        <v>0</v>
      </c>
      <c s="125">
        <f>IF(Предпосылки!$G38="да",'Капитальные вложения'!P602,0)</f>
        <v>0</v>
      </c>
      <c s="125">
        <f>IF(Предпосылки!$G38="да",'Капитальные вложения'!Q602,0)</f>
        <v>0</v>
      </c>
      <c s="125">
        <f>IF(Предпосылки!$G38="да",'Капитальные вложения'!R602,0)</f>
        <v>0</v>
      </c>
      <c s="125">
        <f>IF(Предпосылки!$G38="да",'Капитальные вложения'!S602,0)</f>
        <v>0</v>
      </c>
      <c s="125">
        <f>IF(Предпосылки!$G38="да",'Капитальные вложения'!T602,0)</f>
        <v>0</v>
      </c>
      <c s="125">
        <f>IF(Предпосылки!$G38="да",'Капитальные вложения'!U602,0)</f>
        <v>0</v>
      </c>
      <c s="125">
        <f>IF(Предпосылки!$G38="да",'Капитальные вложения'!V602,0)</f>
        <v>0</v>
      </c>
      <c s="125">
        <f>IF(Предпосылки!$G38="да",'Капитальные вложения'!W602,0)</f>
        <v>0</v>
      </c>
      <c s="125">
        <f>IF(Предпосылки!$G38="да",'Капитальные вложения'!X602,0)</f>
        <v>0</v>
      </c>
      <c s="125">
        <f>IF(Предпосылки!$G38="да",'Капитальные вложения'!Y602,0)</f>
        <v>0</v>
      </c>
      <c s="125">
        <f>IF(Предпосылки!$G38="да",'Капитальные вложения'!Z602,0)</f>
        <v>0</v>
      </c>
      <c s="125">
        <f>IF(Предпосылки!$G38="да",'Капитальные вложения'!AA602,0)</f>
        <v>0</v>
      </c>
      <c s="125">
        <f>IF(Предпосылки!$G38="да",'Капитальные вложения'!AB602,0)</f>
        <v>0</v>
      </c>
      <c s="125">
        <f>IF(Предпосылки!$G38="да",'Капитальные вложения'!AC602,0)</f>
        <v>0</v>
      </c>
      <c s="125">
        <f>IF(Предпосылки!$G38="да",'Капитальные вложения'!AD602,0)</f>
        <v>0</v>
      </c>
      <c s="125">
        <f>IF(Предпосылки!$G38="да",'Капитальные вложения'!AE602,0)</f>
        <v>0</v>
      </c>
      <c s="125">
        <f>IF(Предпосылки!$G38="да",'Капитальные вложения'!AF602,0)</f>
        <v>0</v>
      </c>
      <c s="125">
        <f>IF(Предпосылки!$G38="да",'Капитальные вложения'!AG602,0)</f>
        <v>0</v>
      </c>
      <c s="125">
        <f>IF(Предпосылки!$G38="да",'Капитальные вложения'!AH602,0)</f>
        <v>0</v>
      </c>
      <c s="125">
        <f>IF(Предпосылки!$G38="да",'Капитальные вложения'!AI602,0)</f>
        <v>0</v>
      </c>
      <c s="125">
        <f>IF(Предпосылки!$G38="да",'Капитальные вложения'!AJ602,0)</f>
        <v>0</v>
      </c>
      <c s="125">
        <f>IF(Предпосылки!$G38="да",'Капитальные вложения'!AK602,0)</f>
        <v>0</v>
      </c>
      <c s="125">
        <f>IF(Предпосылки!$G38="да",'Капитальные вложения'!AL602,0)</f>
        <v>0</v>
      </c>
      <c s="125">
        <f>IF(Предпосылки!$G38="да",'Капитальные вложения'!AM602,0)</f>
        <v>0</v>
      </c>
      <c s="125">
        <f>IF(Предпосылки!$G38="да",'Капитальные вложения'!AN602,0)</f>
        <v>0</v>
      </c>
      <c s="125">
        <f>IF(Предпосылки!$G38="да",'Капитальные вложения'!AO602,0)</f>
        <v>0</v>
      </c>
      <c s="125">
        <f>IF(Предпосылки!$G38="да",'Капитальные вложения'!AP602,0)</f>
        <v>0</v>
      </c>
      <c s="125">
        <f>IF(Предпосылки!$G38="да",'Капитальные вложения'!AQ602,0)</f>
        <v>0</v>
      </c>
      <c s="125">
        <f>IF(Предпосылки!$G38="да",'Капитальные вложения'!AR602,0)</f>
        <v>0</v>
      </c>
      <c s="125">
        <f>IF(Предпосылки!$G38="да",'Капитальные вложения'!AS602,0)</f>
        <v>0</v>
      </c>
      <c s="125">
        <f>IF(Предпосылки!$G38="да",'Капитальные вложения'!AT602,0)</f>
        <v>0</v>
      </c>
      <c s="125">
        <f>IF(Предпосылки!$G38="да",'Капитальные вложения'!AU602,0)</f>
        <v>0</v>
      </c>
      <c s="125">
        <f>IF(Предпосылки!$G38="да",'Капитальные вложения'!AV602,0)</f>
        <v>0</v>
      </c>
      <c s="125">
        <f>IF(Предпосылки!$G38="да",'Капитальные вложения'!AW602,0)</f>
        <v>0</v>
      </c>
      <c s="125">
        <f>IF(Предпосылки!$G38="да",'Капитальные вложения'!AX602,0)</f>
        <v>0</v>
      </c>
      <c s="125">
        <f>IF(Предпосылки!$G38="да",'Капитальные вложения'!AY602,0)</f>
        <v>0</v>
      </c>
      <c s="125">
        <f>IF(Предпосылки!$G38="да",'Капитальные вложения'!AZ602,0)</f>
        <v>0</v>
      </c>
      <c s="125">
        <f>IF(Предпосылки!$G38="да",'Капитальные вложения'!BA602,0)</f>
        <v>0</v>
      </c>
      <c s="125">
        <f>IF(Предпосылки!$G38="да",'Капитальные вложения'!BB602,0)</f>
        <v>0</v>
      </c>
      <c s="125">
        <f>IF(Предпосылки!$G38="да",'Капитальные вложения'!BC602,0)</f>
        <v>0</v>
      </c>
      <c s="125">
        <f>IF(Предпосылки!$G38="да",'Капитальные вложения'!BD602,0)</f>
        <v>0</v>
      </c>
      <c s="125">
        <f>IF(Предпосылки!$G38="да",'Капитальные вложения'!BE602,0)</f>
        <v>0</v>
      </c>
      <c s="125">
        <f>IF(Предпосылки!$G38="да",'Капитальные вложения'!BF602,0)</f>
        <v>0</v>
      </c>
      <c s="125">
        <f>IF(Предпосылки!$G38="да",'Капитальные вложения'!BG602,0)</f>
        <v>0</v>
      </c>
      <c s="125">
        <f>IF(Предпосылки!$G38="да",'Капитальные вложения'!BH602,0)</f>
        <v>0</v>
      </c>
      <c s="125">
        <f>IF(Предпосылки!$G38="да",'Капитальные вложения'!BI602,0)</f>
        <v>0</v>
      </c>
      <c s="125">
        <f>IF(Предпосылки!$G38="да",'Капитальные вложения'!BJ602,0)</f>
        <v>0</v>
      </c>
      <c s="125">
        <f>IF(Предпосылки!$G38="да",'Капитальные вложения'!BK602,0)</f>
        <v>0</v>
      </c>
      <c s="125">
        <f>IF(Предпосылки!$G38="да",'Капитальные вложения'!BL602,0)</f>
        <v>0</v>
      </c>
      <c s="125">
        <f>IF(Предпосылки!$G38="да",'Капитальные вложения'!BM602,0)</f>
        <v>0</v>
      </c>
    </row>
    <row r="47" spans="2:65" ht="15" customHeight="1">
      <c r="B47" s="12" t="str">
        <f>IF(ISBLANK(Предпосылки!B39),"-",Предпосылки!B39)</f>
        <v>-</v>
      </c>
      <c s="124" t="str">
        <f t="shared" si="182"/>
        <v>тыс. руб.</v>
      </c>
      <c s="129"/>
      <c s="125">
        <f>IF(Предпосылки!$G39="да",'Капитальные вложения'!E603,0)</f>
        <v>0</v>
      </c>
      <c s="125">
        <f>IF(Предпосылки!$G39="да",'Капитальные вложения'!F603,0)</f>
        <v>0</v>
      </c>
      <c s="125">
        <f>IF(Предпосылки!$G39="да",'Капитальные вложения'!G603,0)</f>
        <v>0</v>
      </c>
      <c s="125">
        <f>IF(Предпосылки!$G39="да",'Капитальные вложения'!H603,0)</f>
        <v>0</v>
      </c>
      <c s="125">
        <f>IF(Предпосылки!$G39="да",'Капитальные вложения'!I603,0)</f>
        <v>0</v>
      </c>
      <c s="125">
        <f>IF(Предпосылки!$G39="да",'Капитальные вложения'!J603,0)</f>
        <v>0</v>
      </c>
      <c s="125">
        <f>IF(Предпосылки!$G39="да",'Капитальные вложения'!K603,0)</f>
        <v>0</v>
      </c>
      <c s="125">
        <f>IF(Предпосылки!$G39="да",'Капитальные вложения'!L603,0)</f>
        <v>0</v>
      </c>
      <c s="125">
        <f>IF(Предпосылки!$G39="да",'Капитальные вложения'!M603,0)</f>
        <v>0</v>
      </c>
      <c s="125">
        <f>IF(Предпосылки!$G39="да",'Капитальные вложения'!N603,0)</f>
        <v>0</v>
      </c>
      <c s="125">
        <f>IF(Предпосылки!$G39="да",'Капитальные вложения'!O603,0)</f>
        <v>0</v>
      </c>
      <c s="125">
        <f>IF(Предпосылки!$G39="да",'Капитальные вложения'!P603,0)</f>
        <v>0</v>
      </c>
      <c s="125">
        <f>IF(Предпосылки!$G39="да",'Капитальные вложения'!Q603,0)</f>
        <v>0</v>
      </c>
      <c s="125">
        <f>IF(Предпосылки!$G39="да",'Капитальные вложения'!R603,0)</f>
        <v>0</v>
      </c>
      <c s="125">
        <f>IF(Предпосылки!$G39="да",'Капитальные вложения'!S603,0)</f>
        <v>0</v>
      </c>
      <c s="125">
        <f>IF(Предпосылки!$G39="да",'Капитальные вложения'!T603,0)</f>
        <v>0</v>
      </c>
      <c s="125">
        <f>IF(Предпосылки!$G39="да",'Капитальные вложения'!U603,0)</f>
        <v>0</v>
      </c>
      <c s="125">
        <f>IF(Предпосылки!$G39="да",'Капитальные вложения'!V603,0)</f>
        <v>0</v>
      </c>
      <c s="125">
        <f>IF(Предпосылки!$G39="да",'Капитальные вложения'!W603,0)</f>
        <v>0</v>
      </c>
      <c s="125">
        <f>IF(Предпосылки!$G39="да",'Капитальные вложения'!X603,0)</f>
        <v>0</v>
      </c>
      <c s="125">
        <f>IF(Предпосылки!$G39="да",'Капитальные вложения'!Y603,0)</f>
        <v>0</v>
      </c>
      <c s="125">
        <f>IF(Предпосылки!$G39="да",'Капитальные вложения'!Z603,0)</f>
        <v>0</v>
      </c>
      <c s="125">
        <f>IF(Предпосылки!$G39="да",'Капитальные вложения'!AA603,0)</f>
        <v>0</v>
      </c>
      <c s="125">
        <f>IF(Предпосылки!$G39="да",'Капитальные вложения'!AB603,0)</f>
        <v>0</v>
      </c>
      <c s="125">
        <f>IF(Предпосылки!$G39="да",'Капитальные вложения'!AC603,0)</f>
        <v>0</v>
      </c>
      <c s="125">
        <f>IF(Предпосылки!$G39="да",'Капитальные вложения'!AD603,0)</f>
        <v>0</v>
      </c>
      <c s="125">
        <f>IF(Предпосылки!$G39="да",'Капитальные вложения'!AE603,0)</f>
        <v>0</v>
      </c>
      <c s="125">
        <f>IF(Предпосылки!$G39="да",'Капитальные вложения'!AF603,0)</f>
        <v>0</v>
      </c>
      <c s="125">
        <f>IF(Предпосылки!$G39="да",'Капитальные вложения'!AG603,0)</f>
        <v>0</v>
      </c>
      <c s="125">
        <f>IF(Предпосылки!$G39="да",'Капитальные вложения'!AH603,0)</f>
        <v>0</v>
      </c>
      <c s="125">
        <f>IF(Предпосылки!$G39="да",'Капитальные вложения'!AI603,0)</f>
        <v>0</v>
      </c>
      <c s="125">
        <f>IF(Предпосылки!$G39="да",'Капитальные вложения'!AJ603,0)</f>
        <v>0</v>
      </c>
      <c s="125">
        <f>IF(Предпосылки!$G39="да",'Капитальные вложения'!AK603,0)</f>
        <v>0</v>
      </c>
      <c s="125">
        <f>IF(Предпосылки!$G39="да",'Капитальные вложения'!AL603,0)</f>
        <v>0</v>
      </c>
      <c s="125">
        <f>IF(Предпосылки!$G39="да",'Капитальные вложения'!AM603,0)</f>
        <v>0</v>
      </c>
      <c s="125">
        <f>IF(Предпосылки!$G39="да",'Капитальные вложения'!AN603,0)</f>
        <v>0</v>
      </c>
      <c s="125">
        <f>IF(Предпосылки!$G39="да",'Капитальные вложения'!AO603,0)</f>
        <v>0</v>
      </c>
      <c s="125">
        <f>IF(Предпосылки!$G39="да",'Капитальные вложения'!AP603,0)</f>
        <v>0</v>
      </c>
      <c s="125">
        <f>IF(Предпосылки!$G39="да",'Капитальные вложения'!AQ603,0)</f>
        <v>0</v>
      </c>
      <c s="125">
        <f>IF(Предпосылки!$G39="да",'Капитальные вложения'!AR603,0)</f>
        <v>0</v>
      </c>
      <c s="125">
        <f>IF(Предпосылки!$G39="да",'Капитальные вложения'!AS603,0)</f>
        <v>0</v>
      </c>
      <c s="125">
        <f>IF(Предпосылки!$G39="да",'Капитальные вложения'!AT603,0)</f>
        <v>0</v>
      </c>
      <c s="125">
        <f>IF(Предпосылки!$G39="да",'Капитальные вложения'!AU603,0)</f>
        <v>0</v>
      </c>
      <c s="125">
        <f>IF(Предпосылки!$G39="да",'Капитальные вложения'!AV603,0)</f>
        <v>0</v>
      </c>
      <c s="125">
        <f>IF(Предпосылки!$G39="да",'Капитальные вложения'!AW603,0)</f>
        <v>0</v>
      </c>
      <c s="125">
        <f>IF(Предпосылки!$G39="да",'Капитальные вложения'!AX603,0)</f>
        <v>0</v>
      </c>
      <c s="125">
        <f>IF(Предпосылки!$G39="да",'Капитальные вложения'!AY603,0)</f>
        <v>0</v>
      </c>
      <c s="125">
        <f>IF(Предпосылки!$G39="да",'Капитальные вложения'!AZ603,0)</f>
        <v>0</v>
      </c>
      <c s="125">
        <f>IF(Предпосылки!$G39="да",'Капитальные вложения'!BA603,0)</f>
        <v>0</v>
      </c>
      <c s="125">
        <f>IF(Предпосылки!$G39="да",'Капитальные вложения'!BB603,0)</f>
        <v>0</v>
      </c>
      <c s="125">
        <f>IF(Предпосылки!$G39="да",'Капитальные вложения'!BC603,0)</f>
        <v>0</v>
      </c>
      <c s="125">
        <f>IF(Предпосылки!$G39="да",'Капитальные вложения'!BD603,0)</f>
        <v>0</v>
      </c>
      <c s="125">
        <f>IF(Предпосылки!$G39="да",'Капитальные вложения'!BE603,0)</f>
        <v>0</v>
      </c>
      <c s="125">
        <f>IF(Предпосылки!$G39="да",'Капитальные вложения'!BF603,0)</f>
        <v>0</v>
      </c>
      <c s="125">
        <f>IF(Предпосылки!$G39="да",'Капитальные вложения'!BG603,0)</f>
        <v>0</v>
      </c>
      <c s="125">
        <f>IF(Предпосылки!$G39="да",'Капитальные вложения'!BH603,0)</f>
        <v>0</v>
      </c>
      <c s="125">
        <f>IF(Предпосылки!$G39="да",'Капитальные вложения'!BI603,0)</f>
        <v>0</v>
      </c>
      <c s="125">
        <f>IF(Предпосылки!$G39="да",'Капитальные вложения'!BJ603,0)</f>
        <v>0</v>
      </c>
      <c s="125">
        <f>IF(Предпосылки!$G39="да",'Капитальные вложения'!BK603,0)</f>
        <v>0</v>
      </c>
      <c s="125">
        <f>IF(Предпосылки!$G39="да",'Капитальные вложения'!BL603,0)</f>
        <v>0</v>
      </c>
      <c s="125">
        <f>IF(Предпосылки!$G39="да",'Капитальные вложения'!BM603,0)</f>
        <v>0</v>
      </c>
    </row>
    <row r="48" spans="2:65" ht="15" customHeight="1">
      <c r="B48" s="12" t="str">
        <f>IF(ISBLANK(Предпосылки!B40),"-",Предпосылки!B40)</f>
        <v>-</v>
      </c>
      <c s="124" t="str">
        <f t="shared" si="182"/>
        <v>тыс. руб.</v>
      </c>
      <c s="129"/>
      <c s="125">
        <f>IF(Предпосылки!$G40="да",'Капитальные вложения'!E604,0)</f>
        <v>0</v>
      </c>
      <c s="125">
        <f>IF(Предпосылки!$G40="да",'Капитальные вложения'!F604,0)</f>
        <v>0</v>
      </c>
      <c s="125">
        <f>IF(Предпосылки!$G40="да",'Капитальные вложения'!G604,0)</f>
        <v>0</v>
      </c>
      <c s="125">
        <f>IF(Предпосылки!$G40="да",'Капитальные вложения'!H604,0)</f>
        <v>0</v>
      </c>
      <c s="125">
        <f>IF(Предпосылки!$G40="да",'Капитальные вложения'!I604,0)</f>
        <v>0</v>
      </c>
      <c s="125">
        <f>IF(Предпосылки!$G40="да",'Капитальные вложения'!J604,0)</f>
        <v>0</v>
      </c>
      <c s="125">
        <f>IF(Предпосылки!$G40="да",'Капитальные вложения'!K604,0)</f>
        <v>0</v>
      </c>
      <c s="125">
        <f>IF(Предпосылки!$G40="да",'Капитальные вложения'!L604,0)</f>
        <v>0</v>
      </c>
      <c s="125">
        <f>IF(Предпосылки!$G40="да",'Капитальные вложения'!M604,0)</f>
        <v>0</v>
      </c>
      <c s="125">
        <f>IF(Предпосылки!$G40="да",'Капитальные вложения'!N604,0)</f>
        <v>0</v>
      </c>
      <c s="125">
        <f>IF(Предпосылки!$G40="да",'Капитальные вложения'!O604,0)</f>
        <v>0</v>
      </c>
      <c s="125">
        <f>IF(Предпосылки!$G40="да",'Капитальные вложения'!P604,0)</f>
        <v>0</v>
      </c>
      <c s="125">
        <f>IF(Предпосылки!$G40="да",'Капитальные вложения'!Q604,0)</f>
        <v>0</v>
      </c>
      <c s="125">
        <f>IF(Предпосылки!$G40="да",'Капитальные вложения'!R604,0)</f>
        <v>0</v>
      </c>
      <c s="125">
        <f>IF(Предпосылки!$G40="да",'Капитальные вложения'!S604,0)</f>
        <v>0</v>
      </c>
      <c s="125">
        <f>IF(Предпосылки!$G40="да",'Капитальные вложения'!T604,0)</f>
        <v>0</v>
      </c>
      <c s="125">
        <f>IF(Предпосылки!$G40="да",'Капитальные вложения'!U604,0)</f>
        <v>0</v>
      </c>
      <c s="125">
        <f>IF(Предпосылки!$G40="да",'Капитальные вложения'!V604,0)</f>
        <v>0</v>
      </c>
      <c s="125">
        <f>IF(Предпосылки!$G40="да",'Капитальные вложения'!W604,0)</f>
        <v>0</v>
      </c>
      <c s="125">
        <f>IF(Предпосылки!$G40="да",'Капитальные вложения'!X604,0)</f>
        <v>0</v>
      </c>
      <c s="125">
        <f>IF(Предпосылки!$G40="да",'Капитальные вложения'!Y604,0)</f>
        <v>0</v>
      </c>
      <c s="125">
        <f>IF(Предпосылки!$G40="да",'Капитальные вложения'!Z604,0)</f>
        <v>0</v>
      </c>
      <c s="125">
        <f>IF(Предпосылки!$G40="да",'Капитальные вложения'!AA604,0)</f>
        <v>0</v>
      </c>
      <c s="125">
        <f>IF(Предпосылки!$G40="да",'Капитальные вложения'!AB604,0)</f>
        <v>0</v>
      </c>
      <c s="125">
        <f>IF(Предпосылки!$G40="да",'Капитальные вложения'!AC604,0)</f>
        <v>0</v>
      </c>
      <c s="125">
        <f>IF(Предпосылки!$G40="да",'Капитальные вложения'!AD604,0)</f>
        <v>0</v>
      </c>
      <c s="125">
        <f>IF(Предпосылки!$G40="да",'Капитальные вложения'!AE604,0)</f>
        <v>0</v>
      </c>
      <c s="125">
        <f>IF(Предпосылки!$G40="да",'Капитальные вложения'!AF604,0)</f>
        <v>0</v>
      </c>
      <c s="125">
        <f>IF(Предпосылки!$G40="да",'Капитальные вложения'!AG604,0)</f>
        <v>0</v>
      </c>
      <c s="125">
        <f>IF(Предпосылки!$G40="да",'Капитальные вложения'!AH604,0)</f>
        <v>0</v>
      </c>
      <c s="125">
        <f>IF(Предпосылки!$G40="да",'Капитальные вложения'!AI604,0)</f>
        <v>0</v>
      </c>
      <c s="125">
        <f>IF(Предпосылки!$G40="да",'Капитальные вложения'!AJ604,0)</f>
        <v>0</v>
      </c>
      <c s="125">
        <f>IF(Предпосылки!$G40="да",'Капитальные вложения'!AK604,0)</f>
        <v>0</v>
      </c>
      <c s="125">
        <f>IF(Предпосылки!$G40="да",'Капитальные вложения'!AL604,0)</f>
        <v>0</v>
      </c>
      <c s="125">
        <f>IF(Предпосылки!$G40="да",'Капитальные вложения'!AM604,0)</f>
        <v>0</v>
      </c>
      <c s="125">
        <f>IF(Предпосылки!$G40="да",'Капитальные вложения'!AN604,0)</f>
        <v>0</v>
      </c>
      <c s="125">
        <f>IF(Предпосылки!$G40="да",'Капитальные вложения'!AO604,0)</f>
        <v>0</v>
      </c>
      <c s="125">
        <f>IF(Предпосылки!$G40="да",'Капитальные вложения'!AP604,0)</f>
        <v>0</v>
      </c>
      <c s="125">
        <f>IF(Предпосылки!$G40="да",'Капитальные вложения'!AQ604,0)</f>
        <v>0</v>
      </c>
      <c s="125">
        <f>IF(Предпосылки!$G40="да",'Капитальные вложения'!AR604,0)</f>
        <v>0</v>
      </c>
      <c s="125">
        <f>IF(Предпосылки!$G40="да",'Капитальные вложения'!AS604,0)</f>
        <v>0</v>
      </c>
      <c s="125">
        <f>IF(Предпосылки!$G40="да",'Капитальные вложения'!AT604,0)</f>
        <v>0</v>
      </c>
      <c s="125">
        <f>IF(Предпосылки!$G40="да",'Капитальные вложения'!AU604,0)</f>
        <v>0</v>
      </c>
      <c s="125">
        <f>IF(Предпосылки!$G40="да",'Капитальные вложения'!AV604,0)</f>
        <v>0</v>
      </c>
      <c s="125">
        <f>IF(Предпосылки!$G40="да",'Капитальные вложения'!AW604,0)</f>
        <v>0</v>
      </c>
      <c s="125">
        <f>IF(Предпосылки!$G40="да",'Капитальные вложения'!AX604,0)</f>
        <v>0</v>
      </c>
      <c s="125">
        <f>IF(Предпосылки!$G40="да",'Капитальные вложения'!AY604,0)</f>
        <v>0</v>
      </c>
      <c s="125">
        <f>IF(Предпосылки!$G40="да",'Капитальные вложения'!AZ604,0)</f>
        <v>0</v>
      </c>
      <c s="125">
        <f>IF(Предпосылки!$G40="да",'Капитальные вложения'!BA604,0)</f>
        <v>0</v>
      </c>
      <c s="125">
        <f>IF(Предпосылки!$G40="да",'Капитальные вложения'!BB604,0)</f>
        <v>0</v>
      </c>
      <c s="125">
        <f>IF(Предпосылки!$G40="да",'Капитальные вложения'!BC604,0)</f>
        <v>0</v>
      </c>
      <c s="125">
        <f>IF(Предпосылки!$G40="да",'Капитальные вложения'!BD604,0)</f>
        <v>0</v>
      </c>
      <c s="125">
        <f>IF(Предпосылки!$G40="да",'Капитальные вложения'!BE604,0)</f>
        <v>0</v>
      </c>
      <c s="125">
        <f>IF(Предпосылки!$G40="да",'Капитальные вложения'!BF604,0)</f>
        <v>0</v>
      </c>
      <c s="125">
        <f>IF(Предпосылки!$G40="да",'Капитальные вложения'!BG604,0)</f>
        <v>0</v>
      </c>
      <c s="125">
        <f>IF(Предпосылки!$G40="да",'Капитальные вложения'!BH604,0)</f>
        <v>0</v>
      </c>
      <c s="125">
        <f>IF(Предпосылки!$G40="да",'Капитальные вложения'!BI604,0)</f>
        <v>0</v>
      </c>
      <c s="125">
        <f>IF(Предпосылки!$G40="да",'Капитальные вложения'!BJ604,0)</f>
        <v>0</v>
      </c>
      <c s="125">
        <f>IF(Предпосылки!$G40="да",'Капитальные вложения'!BK604,0)</f>
        <v>0</v>
      </c>
      <c s="125">
        <f>IF(Предпосылки!$G40="да",'Капитальные вложения'!BL604,0)</f>
        <v>0</v>
      </c>
      <c s="125">
        <f>IF(Предпосылки!$G40="да",'Капитальные вложения'!BM604,0)</f>
        <v>0</v>
      </c>
    </row>
    <row r="49" spans="2:65" ht="15" customHeight="1">
      <c r="B49" s="12" t="str">
        <f>IF(ISBLANK(Предпосылки!B41),"-",Предпосылки!B41)</f>
        <v>-</v>
      </c>
      <c s="124" t="str">
        <f t="shared" si="182"/>
        <v>тыс. руб.</v>
      </c>
      <c s="129"/>
      <c s="125">
        <f>IF(Предпосылки!$G41="да",'Капитальные вложения'!E605,0)</f>
        <v>0</v>
      </c>
      <c s="125">
        <f>IF(Предпосылки!$G41="да",'Капитальные вложения'!F605,0)</f>
        <v>0</v>
      </c>
      <c s="125">
        <f>IF(Предпосылки!$G41="да",'Капитальные вложения'!G605,0)</f>
        <v>0</v>
      </c>
      <c s="125">
        <f>IF(Предпосылки!$G41="да",'Капитальные вложения'!H605,0)</f>
        <v>0</v>
      </c>
      <c s="125">
        <f>IF(Предпосылки!$G41="да",'Капитальные вложения'!I605,0)</f>
        <v>0</v>
      </c>
      <c s="125">
        <f>IF(Предпосылки!$G41="да",'Капитальные вложения'!J605,0)</f>
        <v>0</v>
      </c>
      <c s="125">
        <f>IF(Предпосылки!$G41="да",'Капитальные вложения'!K605,0)</f>
        <v>0</v>
      </c>
      <c s="125">
        <f>IF(Предпосылки!$G41="да",'Капитальные вложения'!L605,0)</f>
        <v>0</v>
      </c>
      <c s="125">
        <f>IF(Предпосылки!$G41="да",'Капитальные вложения'!M605,0)</f>
        <v>0</v>
      </c>
      <c s="125">
        <f>IF(Предпосылки!$G41="да",'Капитальные вложения'!N605,0)</f>
        <v>0</v>
      </c>
      <c s="125">
        <f>IF(Предпосылки!$G41="да",'Капитальные вложения'!O605,0)</f>
        <v>0</v>
      </c>
      <c s="125">
        <f>IF(Предпосылки!$G41="да",'Капитальные вложения'!P605,0)</f>
        <v>0</v>
      </c>
      <c s="125">
        <f>IF(Предпосылки!$G41="да",'Капитальные вложения'!Q605,0)</f>
        <v>0</v>
      </c>
      <c s="125">
        <f>IF(Предпосылки!$G41="да",'Капитальные вложения'!R605,0)</f>
        <v>0</v>
      </c>
      <c s="125">
        <f>IF(Предпосылки!$G41="да",'Капитальные вложения'!S605,0)</f>
        <v>0</v>
      </c>
      <c s="125">
        <f>IF(Предпосылки!$G41="да",'Капитальные вложения'!T605,0)</f>
        <v>0</v>
      </c>
      <c s="125">
        <f>IF(Предпосылки!$G41="да",'Капитальные вложения'!U605,0)</f>
        <v>0</v>
      </c>
      <c s="125">
        <f>IF(Предпосылки!$G41="да",'Капитальные вложения'!V605,0)</f>
        <v>0</v>
      </c>
      <c s="125">
        <f>IF(Предпосылки!$G41="да",'Капитальные вложения'!W605,0)</f>
        <v>0</v>
      </c>
      <c s="125">
        <f>IF(Предпосылки!$G41="да",'Капитальные вложения'!X605,0)</f>
        <v>0</v>
      </c>
      <c s="125">
        <f>IF(Предпосылки!$G41="да",'Капитальные вложения'!Y605,0)</f>
        <v>0</v>
      </c>
      <c s="125">
        <f>IF(Предпосылки!$G41="да",'Капитальные вложения'!Z605,0)</f>
        <v>0</v>
      </c>
      <c s="125">
        <f>IF(Предпосылки!$G41="да",'Капитальные вложения'!AA605,0)</f>
        <v>0</v>
      </c>
      <c s="125">
        <f>IF(Предпосылки!$G41="да",'Капитальные вложения'!AB605,0)</f>
        <v>0</v>
      </c>
      <c s="125">
        <f>IF(Предпосылки!$G41="да",'Капитальные вложения'!AC605,0)</f>
        <v>0</v>
      </c>
      <c s="125">
        <f>IF(Предпосылки!$G41="да",'Капитальные вложения'!AD605,0)</f>
        <v>0</v>
      </c>
      <c s="125">
        <f>IF(Предпосылки!$G41="да",'Капитальные вложения'!AE605,0)</f>
        <v>0</v>
      </c>
      <c s="125">
        <f>IF(Предпосылки!$G41="да",'Капитальные вложения'!AF605,0)</f>
        <v>0</v>
      </c>
      <c s="125">
        <f>IF(Предпосылки!$G41="да",'Капитальные вложения'!AG605,0)</f>
        <v>0</v>
      </c>
      <c s="125">
        <f>IF(Предпосылки!$G41="да",'Капитальные вложения'!AH605,0)</f>
        <v>0</v>
      </c>
      <c s="125">
        <f>IF(Предпосылки!$G41="да",'Капитальные вложения'!AI605,0)</f>
        <v>0</v>
      </c>
      <c s="125">
        <f>IF(Предпосылки!$G41="да",'Капитальные вложения'!AJ605,0)</f>
        <v>0</v>
      </c>
      <c s="125">
        <f>IF(Предпосылки!$G41="да",'Капитальные вложения'!AK605,0)</f>
        <v>0</v>
      </c>
      <c s="125">
        <f>IF(Предпосылки!$G41="да",'Капитальные вложения'!AL605,0)</f>
        <v>0</v>
      </c>
      <c s="125">
        <f>IF(Предпосылки!$G41="да",'Капитальные вложения'!AM605,0)</f>
        <v>0</v>
      </c>
      <c s="125">
        <f>IF(Предпосылки!$G41="да",'Капитальные вложения'!AN605,0)</f>
        <v>0</v>
      </c>
      <c s="125">
        <f>IF(Предпосылки!$G41="да",'Капитальные вложения'!AO605,0)</f>
        <v>0</v>
      </c>
      <c s="125">
        <f>IF(Предпосылки!$G41="да",'Капитальные вложения'!AP605,0)</f>
        <v>0</v>
      </c>
      <c s="125">
        <f>IF(Предпосылки!$G41="да",'Капитальные вложения'!AQ605,0)</f>
        <v>0</v>
      </c>
      <c s="125">
        <f>IF(Предпосылки!$G41="да",'Капитальные вложения'!AR605,0)</f>
        <v>0</v>
      </c>
      <c s="125">
        <f>IF(Предпосылки!$G41="да",'Капитальные вложения'!AS605,0)</f>
        <v>0</v>
      </c>
      <c s="125">
        <f>IF(Предпосылки!$G41="да",'Капитальные вложения'!AT605,0)</f>
        <v>0</v>
      </c>
      <c s="125">
        <f>IF(Предпосылки!$G41="да",'Капитальные вложения'!AU605,0)</f>
        <v>0</v>
      </c>
      <c s="125">
        <f>IF(Предпосылки!$G41="да",'Капитальные вложения'!AV605,0)</f>
        <v>0</v>
      </c>
      <c s="125">
        <f>IF(Предпосылки!$G41="да",'Капитальные вложения'!AW605,0)</f>
        <v>0</v>
      </c>
      <c s="125">
        <f>IF(Предпосылки!$G41="да",'Капитальные вложения'!AX605,0)</f>
        <v>0</v>
      </c>
      <c s="125">
        <f>IF(Предпосылки!$G41="да",'Капитальные вложения'!AY605,0)</f>
        <v>0</v>
      </c>
      <c s="125">
        <f>IF(Предпосылки!$G41="да",'Капитальные вложения'!AZ605,0)</f>
        <v>0</v>
      </c>
      <c s="125">
        <f>IF(Предпосылки!$G41="да",'Капитальные вложения'!BA605,0)</f>
        <v>0</v>
      </c>
      <c s="125">
        <f>IF(Предпосылки!$G41="да",'Капитальные вложения'!BB605,0)</f>
        <v>0</v>
      </c>
      <c s="125">
        <f>IF(Предпосылки!$G41="да",'Капитальные вложения'!BC605,0)</f>
        <v>0</v>
      </c>
      <c s="125">
        <f>IF(Предпосылки!$G41="да",'Капитальные вложения'!BD605,0)</f>
        <v>0</v>
      </c>
      <c s="125">
        <f>IF(Предпосылки!$G41="да",'Капитальные вложения'!BE605,0)</f>
        <v>0</v>
      </c>
      <c s="125">
        <f>IF(Предпосылки!$G41="да",'Капитальные вложения'!BF605,0)</f>
        <v>0</v>
      </c>
      <c s="125">
        <f>IF(Предпосылки!$G41="да",'Капитальные вложения'!BG605,0)</f>
        <v>0</v>
      </c>
      <c s="125">
        <f>IF(Предпосылки!$G41="да",'Капитальные вложения'!BH605,0)</f>
        <v>0</v>
      </c>
      <c s="125">
        <f>IF(Предпосылки!$G41="да",'Капитальные вложения'!BI605,0)</f>
        <v>0</v>
      </c>
      <c s="125">
        <f>IF(Предпосылки!$G41="да",'Капитальные вложения'!BJ605,0)</f>
        <v>0</v>
      </c>
      <c s="125">
        <f>IF(Предпосылки!$G41="да",'Капитальные вложения'!BK605,0)</f>
        <v>0</v>
      </c>
      <c s="125">
        <f>IF(Предпосылки!$G41="да",'Капитальные вложения'!BL605,0)</f>
        <v>0</v>
      </c>
      <c s="125">
        <f>IF(Предпосылки!$G41="да",'Капитальные вложения'!BM605,0)</f>
        <v>0</v>
      </c>
    </row>
    <row r="50" spans="2:65" ht="15" customHeight="1">
      <c r="B50" s="12" t="str">
        <f>IF(ISBLANK(Предпосылки!B42),"-",Предпосылки!B42)</f>
        <v>-</v>
      </c>
      <c s="124" t="str">
        <f t="shared" si="182"/>
        <v>тыс. руб.</v>
      </c>
      <c s="129"/>
      <c s="125">
        <f>IF(Предпосылки!$G42="да",'Капитальные вложения'!E606,0)</f>
        <v>0</v>
      </c>
      <c s="125">
        <f>IF(Предпосылки!$G42="да",'Капитальные вложения'!F606,0)</f>
        <v>0</v>
      </c>
      <c s="125">
        <f>IF(Предпосылки!$G42="да",'Капитальные вложения'!G606,0)</f>
        <v>0</v>
      </c>
      <c s="125">
        <f>IF(Предпосылки!$G42="да",'Капитальные вложения'!H606,0)</f>
        <v>0</v>
      </c>
      <c s="125">
        <f>IF(Предпосылки!$G42="да",'Капитальные вложения'!I606,0)</f>
        <v>0</v>
      </c>
      <c s="125">
        <f>IF(Предпосылки!$G42="да",'Капитальные вложения'!J606,0)</f>
        <v>0</v>
      </c>
      <c s="125">
        <f>IF(Предпосылки!$G42="да",'Капитальные вложения'!K606,0)</f>
        <v>0</v>
      </c>
      <c s="125">
        <f>IF(Предпосылки!$G42="да",'Капитальные вложения'!L606,0)</f>
        <v>0</v>
      </c>
      <c s="125">
        <f>IF(Предпосылки!$G42="да",'Капитальные вложения'!M606,0)</f>
        <v>0</v>
      </c>
      <c s="125">
        <f>IF(Предпосылки!$G42="да",'Капитальные вложения'!N606,0)</f>
        <v>0</v>
      </c>
      <c s="125">
        <f>IF(Предпосылки!$G42="да",'Капитальные вложения'!O606,0)</f>
        <v>0</v>
      </c>
      <c s="125">
        <f>IF(Предпосылки!$G42="да",'Капитальные вложения'!P606,0)</f>
        <v>0</v>
      </c>
      <c s="125">
        <f>IF(Предпосылки!$G42="да",'Капитальные вложения'!Q606,0)</f>
        <v>0</v>
      </c>
      <c s="125">
        <f>IF(Предпосылки!$G42="да",'Капитальные вложения'!R606,0)</f>
        <v>0</v>
      </c>
      <c s="125">
        <f>IF(Предпосылки!$G42="да",'Капитальные вложения'!S606,0)</f>
        <v>0</v>
      </c>
      <c s="125">
        <f>IF(Предпосылки!$G42="да",'Капитальные вложения'!T606,0)</f>
        <v>0</v>
      </c>
      <c s="125">
        <f>IF(Предпосылки!$G42="да",'Капитальные вложения'!U606,0)</f>
        <v>0</v>
      </c>
      <c s="125">
        <f>IF(Предпосылки!$G42="да",'Капитальные вложения'!V606,0)</f>
        <v>0</v>
      </c>
      <c s="125">
        <f>IF(Предпосылки!$G42="да",'Капитальные вложения'!W606,0)</f>
        <v>0</v>
      </c>
      <c s="125">
        <f>IF(Предпосылки!$G42="да",'Капитальные вложения'!X606,0)</f>
        <v>0</v>
      </c>
      <c s="125">
        <f>IF(Предпосылки!$G42="да",'Капитальные вложения'!Y606,0)</f>
        <v>0</v>
      </c>
      <c s="125">
        <f>IF(Предпосылки!$G42="да",'Капитальные вложения'!Z606,0)</f>
        <v>0</v>
      </c>
      <c s="125">
        <f>IF(Предпосылки!$G42="да",'Капитальные вложения'!AA606,0)</f>
        <v>0</v>
      </c>
      <c s="125">
        <f>IF(Предпосылки!$G42="да",'Капитальные вложения'!AB606,0)</f>
        <v>0</v>
      </c>
      <c s="125">
        <f>IF(Предпосылки!$G42="да",'Капитальные вложения'!AC606,0)</f>
        <v>0</v>
      </c>
      <c s="125">
        <f>IF(Предпосылки!$G42="да",'Капитальные вложения'!AD606,0)</f>
        <v>0</v>
      </c>
      <c s="125">
        <f>IF(Предпосылки!$G42="да",'Капитальные вложения'!AE606,0)</f>
        <v>0</v>
      </c>
      <c s="125">
        <f>IF(Предпосылки!$G42="да",'Капитальные вложения'!AF606,0)</f>
        <v>0</v>
      </c>
      <c s="125">
        <f>IF(Предпосылки!$G42="да",'Капитальные вложения'!AG606,0)</f>
        <v>0</v>
      </c>
      <c s="125">
        <f>IF(Предпосылки!$G42="да",'Капитальные вложения'!AH606,0)</f>
        <v>0</v>
      </c>
      <c s="125">
        <f>IF(Предпосылки!$G42="да",'Капитальные вложения'!AI606,0)</f>
        <v>0</v>
      </c>
      <c s="125">
        <f>IF(Предпосылки!$G42="да",'Капитальные вложения'!AJ606,0)</f>
        <v>0</v>
      </c>
      <c s="125">
        <f>IF(Предпосылки!$G42="да",'Капитальные вложения'!AK606,0)</f>
        <v>0</v>
      </c>
      <c s="125">
        <f>IF(Предпосылки!$G42="да",'Капитальные вложения'!AL606,0)</f>
        <v>0</v>
      </c>
      <c s="125">
        <f>IF(Предпосылки!$G42="да",'Капитальные вложения'!AM606,0)</f>
        <v>0</v>
      </c>
      <c s="125">
        <f>IF(Предпосылки!$G42="да",'Капитальные вложения'!AN606,0)</f>
        <v>0</v>
      </c>
      <c s="125">
        <f>IF(Предпосылки!$G42="да",'Капитальные вложения'!AO606,0)</f>
        <v>0</v>
      </c>
      <c s="125">
        <f>IF(Предпосылки!$G42="да",'Капитальные вложения'!AP606,0)</f>
        <v>0</v>
      </c>
      <c s="125">
        <f>IF(Предпосылки!$G42="да",'Капитальные вложения'!AQ606,0)</f>
        <v>0</v>
      </c>
      <c s="125">
        <f>IF(Предпосылки!$G42="да",'Капитальные вложения'!AR606,0)</f>
        <v>0</v>
      </c>
      <c s="125">
        <f>IF(Предпосылки!$G42="да",'Капитальные вложения'!AS606,0)</f>
        <v>0</v>
      </c>
      <c s="125">
        <f>IF(Предпосылки!$G42="да",'Капитальные вложения'!AT606,0)</f>
        <v>0</v>
      </c>
      <c s="125">
        <f>IF(Предпосылки!$G42="да",'Капитальные вложения'!AU606,0)</f>
        <v>0</v>
      </c>
      <c s="125">
        <f>IF(Предпосылки!$G42="да",'Капитальные вложения'!AV606,0)</f>
        <v>0</v>
      </c>
      <c s="125">
        <f>IF(Предпосылки!$G42="да",'Капитальные вложения'!AW606,0)</f>
        <v>0</v>
      </c>
      <c s="125">
        <f>IF(Предпосылки!$G42="да",'Капитальные вложения'!AX606,0)</f>
        <v>0</v>
      </c>
      <c s="125">
        <f>IF(Предпосылки!$G42="да",'Капитальные вложения'!AY606,0)</f>
        <v>0</v>
      </c>
      <c s="125">
        <f>IF(Предпосылки!$G42="да",'Капитальные вложения'!AZ606,0)</f>
        <v>0</v>
      </c>
      <c s="125">
        <f>IF(Предпосылки!$G42="да",'Капитальные вложения'!BA606,0)</f>
        <v>0</v>
      </c>
      <c s="125">
        <f>IF(Предпосылки!$G42="да",'Капитальные вложения'!BB606,0)</f>
        <v>0</v>
      </c>
      <c s="125">
        <f>IF(Предпосылки!$G42="да",'Капитальные вложения'!BC606,0)</f>
        <v>0</v>
      </c>
      <c s="125">
        <f>IF(Предпосылки!$G42="да",'Капитальные вложения'!BD606,0)</f>
        <v>0</v>
      </c>
      <c s="125">
        <f>IF(Предпосылки!$G42="да",'Капитальные вложения'!BE606,0)</f>
        <v>0</v>
      </c>
      <c s="125">
        <f>IF(Предпосылки!$G42="да",'Капитальные вложения'!BF606,0)</f>
        <v>0</v>
      </c>
      <c s="125">
        <f>IF(Предпосылки!$G42="да",'Капитальные вложения'!BG606,0)</f>
        <v>0</v>
      </c>
      <c s="125">
        <f>IF(Предпосылки!$G42="да",'Капитальные вложения'!BH606,0)</f>
        <v>0</v>
      </c>
      <c s="125">
        <f>IF(Предпосылки!$G42="да",'Капитальные вложения'!BI606,0)</f>
        <v>0</v>
      </c>
      <c s="125">
        <f>IF(Предпосылки!$G42="да",'Капитальные вложения'!BJ606,0)</f>
        <v>0</v>
      </c>
      <c s="125">
        <f>IF(Предпосылки!$G42="да",'Капитальные вложения'!BK606,0)</f>
        <v>0</v>
      </c>
      <c s="125">
        <f>IF(Предпосылки!$G42="да",'Капитальные вложения'!BL606,0)</f>
        <v>0</v>
      </c>
      <c s="125">
        <f>IF(Предпосылки!$G42="да",'Капитальные вложения'!BM606,0)</f>
        <v>0</v>
      </c>
    </row>
    <row r="51" spans="2:65" ht="15" customHeight="1">
      <c r="B51" s="12" t="str">
        <f>IF(ISBLANK(Предпосылки!B43),"-",Предпосылки!B43)</f>
        <v>-</v>
      </c>
      <c s="124" t="str">
        <f t="shared" si="182"/>
        <v>тыс. руб.</v>
      </c>
      <c s="129"/>
      <c s="125">
        <f>IF(Предпосылки!$G43="да",'Капитальные вложения'!E607,0)</f>
        <v>0</v>
      </c>
      <c s="125">
        <f>IF(Предпосылки!$G43="да",'Капитальные вложения'!F607,0)</f>
        <v>0</v>
      </c>
      <c s="125">
        <f>IF(Предпосылки!$G43="да",'Капитальные вложения'!G607,0)</f>
        <v>0</v>
      </c>
      <c s="125">
        <f>IF(Предпосылки!$G43="да",'Капитальные вложения'!H607,0)</f>
        <v>0</v>
      </c>
      <c s="125">
        <f>IF(Предпосылки!$G43="да",'Капитальные вложения'!I607,0)</f>
        <v>0</v>
      </c>
      <c s="125">
        <f>IF(Предпосылки!$G43="да",'Капитальные вложения'!J607,0)</f>
        <v>0</v>
      </c>
      <c s="125">
        <f>IF(Предпосылки!$G43="да",'Капитальные вложения'!K607,0)</f>
        <v>0</v>
      </c>
      <c s="125">
        <f>IF(Предпосылки!$G43="да",'Капитальные вложения'!L607,0)</f>
        <v>0</v>
      </c>
      <c s="125">
        <f>IF(Предпосылки!$G43="да",'Капитальные вложения'!M607,0)</f>
        <v>0</v>
      </c>
      <c s="125">
        <f>IF(Предпосылки!$G43="да",'Капитальные вложения'!N607,0)</f>
        <v>0</v>
      </c>
      <c s="125">
        <f>IF(Предпосылки!$G43="да",'Капитальные вложения'!O607,0)</f>
        <v>0</v>
      </c>
      <c s="125">
        <f>IF(Предпосылки!$G43="да",'Капитальные вложения'!P607,0)</f>
        <v>0</v>
      </c>
      <c s="125">
        <f>IF(Предпосылки!$G43="да",'Капитальные вложения'!Q607,0)</f>
        <v>0</v>
      </c>
      <c s="125">
        <f>IF(Предпосылки!$G43="да",'Капитальные вложения'!R607,0)</f>
        <v>0</v>
      </c>
      <c s="125">
        <f>IF(Предпосылки!$G43="да",'Капитальные вложения'!S607,0)</f>
        <v>0</v>
      </c>
      <c s="125">
        <f>IF(Предпосылки!$G43="да",'Капитальные вложения'!T607,0)</f>
        <v>0</v>
      </c>
      <c s="125">
        <f>IF(Предпосылки!$G43="да",'Капитальные вложения'!U607,0)</f>
        <v>0</v>
      </c>
      <c s="125">
        <f>IF(Предпосылки!$G43="да",'Капитальные вложения'!V607,0)</f>
        <v>0</v>
      </c>
      <c s="125">
        <f>IF(Предпосылки!$G43="да",'Капитальные вложения'!W607,0)</f>
        <v>0</v>
      </c>
      <c s="125">
        <f>IF(Предпосылки!$G43="да",'Капитальные вложения'!X607,0)</f>
        <v>0</v>
      </c>
      <c s="125">
        <f>IF(Предпосылки!$G43="да",'Капитальные вложения'!Y607,0)</f>
        <v>0</v>
      </c>
      <c s="125">
        <f>IF(Предпосылки!$G43="да",'Капитальные вложения'!Z607,0)</f>
        <v>0</v>
      </c>
      <c s="125">
        <f>IF(Предпосылки!$G43="да",'Капитальные вложения'!AA607,0)</f>
        <v>0</v>
      </c>
      <c s="125">
        <f>IF(Предпосылки!$G43="да",'Капитальные вложения'!AB607,0)</f>
        <v>0</v>
      </c>
      <c s="125">
        <f>IF(Предпосылки!$G43="да",'Капитальные вложения'!AC607,0)</f>
        <v>0</v>
      </c>
      <c s="125">
        <f>IF(Предпосылки!$G43="да",'Капитальные вложения'!AD607,0)</f>
        <v>0</v>
      </c>
      <c s="125">
        <f>IF(Предпосылки!$G43="да",'Капитальные вложения'!AE607,0)</f>
        <v>0</v>
      </c>
      <c s="125">
        <f>IF(Предпосылки!$G43="да",'Капитальные вложения'!AF607,0)</f>
        <v>0</v>
      </c>
      <c s="125">
        <f>IF(Предпосылки!$G43="да",'Капитальные вложения'!AG607,0)</f>
        <v>0</v>
      </c>
      <c s="125">
        <f>IF(Предпосылки!$G43="да",'Капитальные вложения'!AH607,0)</f>
        <v>0</v>
      </c>
      <c s="125">
        <f>IF(Предпосылки!$G43="да",'Капитальные вложения'!AI607,0)</f>
        <v>0</v>
      </c>
      <c s="125">
        <f>IF(Предпосылки!$G43="да",'Капитальные вложения'!AJ607,0)</f>
        <v>0</v>
      </c>
      <c s="125">
        <f>IF(Предпосылки!$G43="да",'Капитальные вложения'!AK607,0)</f>
        <v>0</v>
      </c>
      <c s="125">
        <f>IF(Предпосылки!$G43="да",'Капитальные вложения'!AL607,0)</f>
        <v>0</v>
      </c>
      <c s="125">
        <f>IF(Предпосылки!$G43="да",'Капитальные вложения'!AM607,0)</f>
        <v>0</v>
      </c>
      <c s="125">
        <f>IF(Предпосылки!$G43="да",'Капитальные вложения'!AN607,0)</f>
        <v>0</v>
      </c>
      <c s="125">
        <f>IF(Предпосылки!$G43="да",'Капитальные вложения'!AO607,0)</f>
        <v>0</v>
      </c>
      <c s="125">
        <f>IF(Предпосылки!$G43="да",'Капитальные вложения'!AP607,0)</f>
        <v>0</v>
      </c>
      <c s="125">
        <f>IF(Предпосылки!$G43="да",'Капитальные вложения'!AQ607,0)</f>
        <v>0</v>
      </c>
      <c s="125">
        <f>IF(Предпосылки!$G43="да",'Капитальные вложения'!AR607,0)</f>
        <v>0</v>
      </c>
      <c s="125">
        <f>IF(Предпосылки!$G43="да",'Капитальные вложения'!AS607,0)</f>
        <v>0</v>
      </c>
      <c s="125">
        <f>IF(Предпосылки!$G43="да",'Капитальные вложения'!AT607,0)</f>
        <v>0</v>
      </c>
      <c s="125">
        <f>IF(Предпосылки!$G43="да",'Капитальные вложения'!AU607,0)</f>
        <v>0</v>
      </c>
      <c s="125">
        <f>IF(Предпосылки!$G43="да",'Капитальные вложения'!AV607,0)</f>
        <v>0</v>
      </c>
      <c s="125">
        <f>IF(Предпосылки!$G43="да",'Капитальные вложения'!AW607,0)</f>
        <v>0</v>
      </c>
      <c s="125">
        <f>IF(Предпосылки!$G43="да",'Капитальные вложения'!AX607,0)</f>
        <v>0</v>
      </c>
      <c s="125">
        <f>IF(Предпосылки!$G43="да",'Капитальные вложения'!AY607,0)</f>
        <v>0</v>
      </c>
      <c s="125">
        <f>IF(Предпосылки!$G43="да",'Капитальные вложения'!AZ607,0)</f>
        <v>0</v>
      </c>
      <c s="125">
        <f>IF(Предпосылки!$G43="да",'Капитальные вложения'!BA607,0)</f>
        <v>0</v>
      </c>
      <c s="125">
        <f>IF(Предпосылки!$G43="да",'Капитальные вложения'!BB607,0)</f>
        <v>0</v>
      </c>
      <c s="125">
        <f>IF(Предпосылки!$G43="да",'Капитальные вложения'!BC607,0)</f>
        <v>0</v>
      </c>
      <c s="125">
        <f>IF(Предпосылки!$G43="да",'Капитальные вложения'!BD607,0)</f>
        <v>0</v>
      </c>
      <c s="125">
        <f>IF(Предпосылки!$G43="да",'Капитальные вложения'!BE607,0)</f>
        <v>0</v>
      </c>
      <c s="125">
        <f>IF(Предпосылки!$G43="да",'Капитальные вложения'!BF607,0)</f>
        <v>0</v>
      </c>
      <c s="125">
        <f>IF(Предпосылки!$G43="да",'Капитальные вложения'!BG607,0)</f>
        <v>0</v>
      </c>
      <c s="125">
        <f>IF(Предпосылки!$G43="да",'Капитальные вложения'!BH607,0)</f>
        <v>0</v>
      </c>
      <c s="125">
        <f>IF(Предпосылки!$G43="да",'Капитальные вложения'!BI607,0)</f>
        <v>0</v>
      </c>
      <c s="125">
        <f>IF(Предпосылки!$G43="да",'Капитальные вложения'!BJ607,0)</f>
        <v>0</v>
      </c>
      <c s="125">
        <f>IF(Предпосылки!$G43="да",'Капитальные вложения'!BK607,0)</f>
        <v>0</v>
      </c>
      <c s="125">
        <f>IF(Предпосылки!$G43="да",'Капитальные вложения'!BL607,0)</f>
        <v>0</v>
      </c>
      <c s="125">
        <f>IF(Предпосылки!$G43="да",'Капитальные вложения'!BM607,0)</f>
        <v>0</v>
      </c>
    </row>
    <row r="52" spans="2:65" ht="15" customHeight="1">
      <c r="B52" s="12" t="str">
        <f>IF(ISBLANK(Предпосылки!B44),"-",Предпосылки!B44)</f>
        <v>-</v>
      </c>
      <c s="124" t="str">
        <f t="shared" si="182"/>
        <v>тыс. руб.</v>
      </c>
      <c s="129"/>
      <c s="125">
        <f>IF(Предпосылки!$G44="да",'Капитальные вложения'!E608,0)</f>
        <v>0</v>
      </c>
      <c s="125">
        <f>IF(Предпосылки!$G44="да",'Капитальные вложения'!F608,0)</f>
        <v>0</v>
      </c>
      <c s="125">
        <f>IF(Предпосылки!$G44="да",'Капитальные вложения'!G608,0)</f>
        <v>0</v>
      </c>
      <c s="125">
        <f>IF(Предпосылки!$G44="да",'Капитальные вложения'!H608,0)</f>
        <v>0</v>
      </c>
      <c s="125">
        <f>IF(Предпосылки!$G44="да",'Капитальные вложения'!I608,0)</f>
        <v>0</v>
      </c>
      <c s="125">
        <f>IF(Предпосылки!$G44="да",'Капитальные вложения'!J608,0)</f>
        <v>0</v>
      </c>
      <c s="125">
        <f>IF(Предпосылки!$G44="да",'Капитальные вложения'!K608,0)</f>
        <v>0</v>
      </c>
      <c s="125">
        <f>IF(Предпосылки!$G44="да",'Капитальные вложения'!L608,0)</f>
        <v>0</v>
      </c>
      <c s="125">
        <f>IF(Предпосылки!$G44="да",'Капитальные вложения'!M608,0)</f>
        <v>0</v>
      </c>
      <c s="125">
        <f>IF(Предпосылки!$G44="да",'Капитальные вложения'!N608,0)</f>
        <v>0</v>
      </c>
      <c s="125">
        <f>IF(Предпосылки!$G44="да",'Капитальные вложения'!O608,0)</f>
        <v>0</v>
      </c>
      <c s="125">
        <f>IF(Предпосылки!$G44="да",'Капитальные вложения'!P608,0)</f>
        <v>0</v>
      </c>
      <c s="125">
        <f>IF(Предпосылки!$G44="да",'Капитальные вложения'!Q608,0)</f>
        <v>0</v>
      </c>
      <c s="125">
        <f>IF(Предпосылки!$G44="да",'Капитальные вложения'!R608,0)</f>
        <v>0</v>
      </c>
      <c s="125">
        <f>IF(Предпосылки!$G44="да",'Капитальные вложения'!S608,0)</f>
        <v>0</v>
      </c>
      <c s="125">
        <f>IF(Предпосылки!$G44="да",'Капитальные вложения'!T608,0)</f>
        <v>0</v>
      </c>
      <c s="125">
        <f>IF(Предпосылки!$G44="да",'Капитальные вложения'!U608,0)</f>
        <v>0</v>
      </c>
      <c s="125">
        <f>IF(Предпосылки!$G44="да",'Капитальные вложения'!V608,0)</f>
        <v>0</v>
      </c>
      <c s="125">
        <f>IF(Предпосылки!$G44="да",'Капитальные вложения'!W608,0)</f>
        <v>0</v>
      </c>
      <c s="125">
        <f>IF(Предпосылки!$G44="да",'Капитальные вложения'!X608,0)</f>
        <v>0</v>
      </c>
      <c s="125">
        <f>IF(Предпосылки!$G44="да",'Капитальные вложения'!Y608,0)</f>
        <v>0</v>
      </c>
      <c s="125">
        <f>IF(Предпосылки!$G44="да",'Капитальные вложения'!Z608,0)</f>
        <v>0</v>
      </c>
      <c s="125">
        <f>IF(Предпосылки!$G44="да",'Капитальные вложения'!AA608,0)</f>
        <v>0</v>
      </c>
      <c s="125">
        <f>IF(Предпосылки!$G44="да",'Капитальные вложения'!AB608,0)</f>
        <v>0</v>
      </c>
      <c s="125">
        <f>IF(Предпосылки!$G44="да",'Капитальные вложения'!AC608,0)</f>
        <v>0</v>
      </c>
      <c s="125">
        <f>IF(Предпосылки!$G44="да",'Капитальные вложения'!AD608,0)</f>
        <v>0</v>
      </c>
      <c s="125">
        <f>IF(Предпосылки!$G44="да",'Капитальные вложения'!AE608,0)</f>
        <v>0</v>
      </c>
      <c s="125">
        <f>IF(Предпосылки!$G44="да",'Капитальные вложения'!AF608,0)</f>
        <v>0</v>
      </c>
      <c s="125">
        <f>IF(Предпосылки!$G44="да",'Капитальные вложения'!AG608,0)</f>
        <v>0</v>
      </c>
      <c s="125">
        <f>IF(Предпосылки!$G44="да",'Капитальные вложения'!AH608,0)</f>
        <v>0</v>
      </c>
      <c s="125">
        <f>IF(Предпосылки!$G44="да",'Капитальные вложения'!AI608,0)</f>
        <v>0</v>
      </c>
      <c s="125">
        <f>IF(Предпосылки!$G44="да",'Капитальные вложения'!AJ608,0)</f>
        <v>0</v>
      </c>
      <c s="125">
        <f>IF(Предпосылки!$G44="да",'Капитальные вложения'!AK608,0)</f>
        <v>0</v>
      </c>
      <c s="125">
        <f>IF(Предпосылки!$G44="да",'Капитальные вложения'!AL608,0)</f>
        <v>0</v>
      </c>
      <c s="125">
        <f>IF(Предпосылки!$G44="да",'Капитальные вложения'!AM608,0)</f>
        <v>0</v>
      </c>
      <c s="125">
        <f>IF(Предпосылки!$G44="да",'Капитальные вложения'!AN608,0)</f>
        <v>0</v>
      </c>
      <c s="125">
        <f>IF(Предпосылки!$G44="да",'Капитальные вложения'!AO608,0)</f>
        <v>0</v>
      </c>
      <c s="125">
        <f>IF(Предпосылки!$G44="да",'Капитальные вложения'!AP608,0)</f>
        <v>0</v>
      </c>
      <c s="125">
        <f>IF(Предпосылки!$G44="да",'Капитальные вложения'!AQ608,0)</f>
        <v>0</v>
      </c>
      <c s="125">
        <f>IF(Предпосылки!$G44="да",'Капитальные вложения'!AR608,0)</f>
        <v>0</v>
      </c>
      <c s="125">
        <f>IF(Предпосылки!$G44="да",'Капитальные вложения'!AS608,0)</f>
        <v>0</v>
      </c>
      <c s="125">
        <f>IF(Предпосылки!$G44="да",'Капитальные вложения'!AT608,0)</f>
        <v>0</v>
      </c>
      <c s="125">
        <f>IF(Предпосылки!$G44="да",'Капитальные вложения'!AU608,0)</f>
        <v>0</v>
      </c>
      <c s="125">
        <f>IF(Предпосылки!$G44="да",'Капитальные вложения'!AV608,0)</f>
        <v>0</v>
      </c>
      <c s="125">
        <f>IF(Предпосылки!$G44="да",'Капитальные вложения'!AW608,0)</f>
        <v>0</v>
      </c>
      <c s="125">
        <f>IF(Предпосылки!$G44="да",'Капитальные вложения'!AX608,0)</f>
        <v>0</v>
      </c>
      <c s="125">
        <f>IF(Предпосылки!$G44="да",'Капитальные вложения'!AY608,0)</f>
        <v>0</v>
      </c>
      <c s="125">
        <f>IF(Предпосылки!$G44="да",'Капитальные вложения'!AZ608,0)</f>
        <v>0</v>
      </c>
      <c s="125">
        <f>IF(Предпосылки!$G44="да",'Капитальные вложения'!BA608,0)</f>
        <v>0</v>
      </c>
      <c s="125">
        <f>IF(Предпосылки!$G44="да",'Капитальные вложения'!BB608,0)</f>
        <v>0</v>
      </c>
      <c s="125">
        <f>IF(Предпосылки!$G44="да",'Капитальные вложения'!BC608,0)</f>
        <v>0</v>
      </c>
      <c s="125">
        <f>IF(Предпосылки!$G44="да",'Капитальные вложения'!BD608,0)</f>
        <v>0</v>
      </c>
      <c s="125">
        <f>IF(Предпосылки!$G44="да",'Капитальные вложения'!BE608,0)</f>
        <v>0</v>
      </c>
      <c s="125">
        <f>IF(Предпосылки!$G44="да",'Капитальные вложения'!BF608,0)</f>
        <v>0</v>
      </c>
      <c s="125">
        <f>IF(Предпосылки!$G44="да",'Капитальные вложения'!BG608,0)</f>
        <v>0</v>
      </c>
      <c s="125">
        <f>IF(Предпосылки!$G44="да",'Капитальные вложения'!BH608,0)</f>
        <v>0</v>
      </c>
      <c s="125">
        <f>IF(Предпосылки!$G44="да",'Капитальные вложения'!BI608,0)</f>
        <v>0</v>
      </c>
      <c s="125">
        <f>IF(Предпосылки!$G44="да",'Капитальные вложения'!BJ608,0)</f>
        <v>0</v>
      </c>
      <c s="125">
        <f>IF(Предпосылки!$G44="да",'Капитальные вложения'!BK608,0)</f>
        <v>0</v>
      </c>
      <c s="125">
        <f>IF(Предпосылки!$G44="да",'Капитальные вложения'!BL608,0)</f>
        <v>0</v>
      </c>
      <c s="125">
        <f>IF(Предпосылки!$G44="да",'Капитальные вложения'!BM608,0)</f>
        <v>0</v>
      </c>
    </row>
    <row r="53" spans="2:65" ht="15" customHeight="1">
      <c r="B53" s="12" t="str">
        <f>IF(ISBLANK(Предпосылки!B45),"-",Предпосылки!B45)</f>
        <v>-</v>
      </c>
      <c s="124" t="str">
        <f t="shared" si="182"/>
        <v>тыс. руб.</v>
      </c>
      <c s="129"/>
      <c s="125">
        <f>IF(Предпосылки!$G45="да",'Капитальные вложения'!E609,0)</f>
        <v>0</v>
      </c>
      <c s="125">
        <f>IF(Предпосылки!$G45="да",'Капитальные вложения'!F609,0)</f>
        <v>0</v>
      </c>
      <c s="125">
        <f>IF(Предпосылки!$G45="да",'Капитальные вложения'!G609,0)</f>
        <v>0</v>
      </c>
      <c s="125">
        <f>IF(Предпосылки!$G45="да",'Капитальные вложения'!H609,0)</f>
        <v>0</v>
      </c>
      <c s="125">
        <f>IF(Предпосылки!$G45="да",'Капитальные вложения'!I609,0)</f>
        <v>0</v>
      </c>
      <c s="125">
        <f>IF(Предпосылки!$G45="да",'Капитальные вложения'!J609,0)</f>
        <v>0</v>
      </c>
      <c s="125">
        <f>IF(Предпосылки!$G45="да",'Капитальные вложения'!K609,0)</f>
        <v>0</v>
      </c>
      <c s="125">
        <f>IF(Предпосылки!$G45="да",'Капитальные вложения'!L609,0)</f>
        <v>0</v>
      </c>
      <c s="125">
        <f>IF(Предпосылки!$G45="да",'Капитальные вложения'!M609,0)</f>
        <v>0</v>
      </c>
      <c s="125">
        <f>IF(Предпосылки!$G45="да",'Капитальные вложения'!N609,0)</f>
        <v>0</v>
      </c>
      <c s="125">
        <f>IF(Предпосылки!$G45="да",'Капитальные вложения'!O609,0)</f>
        <v>0</v>
      </c>
      <c s="125">
        <f>IF(Предпосылки!$G45="да",'Капитальные вложения'!P609,0)</f>
        <v>0</v>
      </c>
      <c s="125">
        <f>IF(Предпосылки!$G45="да",'Капитальные вложения'!Q609,0)</f>
        <v>0</v>
      </c>
      <c s="125">
        <f>IF(Предпосылки!$G45="да",'Капитальные вложения'!R609,0)</f>
        <v>0</v>
      </c>
      <c s="125">
        <f>IF(Предпосылки!$G45="да",'Капитальные вложения'!S609,0)</f>
        <v>0</v>
      </c>
      <c s="125">
        <f>IF(Предпосылки!$G45="да",'Капитальные вложения'!T609,0)</f>
        <v>0</v>
      </c>
      <c s="125">
        <f>IF(Предпосылки!$G45="да",'Капитальные вложения'!U609,0)</f>
        <v>0</v>
      </c>
      <c s="125">
        <f>IF(Предпосылки!$G45="да",'Капитальные вложения'!V609,0)</f>
        <v>0</v>
      </c>
      <c s="125">
        <f>IF(Предпосылки!$G45="да",'Капитальные вложения'!W609,0)</f>
        <v>0</v>
      </c>
      <c s="125">
        <f>IF(Предпосылки!$G45="да",'Капитальные вложения'!X609,0)</f>
        <v>0</v>
      </c>
      <c s="125">
        <f>IF(Предпосылки!$G45="да",'Капитальные вложения'!Y609,0)</f>
        <v>0</v>
      </c>
      <c s="125">
        <f>IF(Предпосылки!$G45="да",'Капитальные вложения'!Z609,0)</f>
        <v>0</v>
      </c>
      <c s="125">
        <f>IF(Предпосылки!$G45="да",'Капитальные вложения'!AA609,0)</f>
        <v>0</v>
      </c>
      <c s="125">
        <f>IF(Предпосылки!$G45="да",'Капитальные вложения'!AB609,0)</f>
        <v>0</v>
      </c>
      <c s="125">
        <f>IF(Предпосылки!$G45="да",'Капитальные вложения'!AC609,0)</f>
        <v>0</v>
      </c>
      <c s="125">
        <f>IF(Предпосылки!$G45="да",'Капитальные вложения'!AD609,0)</f>
        <v>0</v>
      </c>
      <c s="125">
        <f>IF(Предпосылки!$G45="да",'Капитальные вложения'!AE609,0)</f>
        <v>0</v>
      </c>
      <c s="125">
        <f>IF(Предпосылки!$G45="да",'Капитальные вложения'!AF609,0)</f>
        <v>0</v>
      </c>
      <c s="125">
        <f>IF(Предпосылки!$G45="да",'Капитальные вложения'!AG609,0)</f>
        <v>0</v>
      </c>
      <c s="125">
        <f>IF(Предпосылки!$G45="да",'Капитальные вложения'!AH609,0)</f>
        <v>0</v>
      </c>
      <c s="125">
        <f>IF(Предпосылки!$G45="да",'Капитальные вложения'!AI609,0)</f>
        <v>0</v>
      </c>
      <c s="125">
        <f>IF(Предпосылки!$G45="да",'Капитальные вложения'!AJ609,0)</f>
        <v>0</v>
      </c>
      <c s="125">
        <f>IF(Предпосылки!$G45="да",'Капитальные вложения'!AK609,0)</f>
        <v>0</v>
      </c>
      <c s="125">
        <f>IF(Предпосылки!$G45="да",'Капитальные вложения'!AL609,0)</f>
        <v>0</v>
      </c>
      <c s="125">
        <f>IF(Предпосылки!$G45="да",'Капитальные вложения'!AM609,0)</f>
        <v>0</v>
      </c>
      <c s="125">
        <f>IF(Предпосылки!$G45="да",'Капитальные вложения'!AN609,0)</f>
        <v>0</v>
      </c>
      <c s="125">
        <f>IF(Предпосылки!$G45="да",'Капитальные вложения'!AO609,0)</f>
        <v>0</v>
      </c>
      <c s="125">
        <f>IF(Предпосылки!$G45="да",'Капитальные вложения'!AP609,0)</f>
        <v>0</v>
      </c>
      <c s="125">
        <f>IF(Предпосылки!$G45="да",'Капитальные вложения'!AQ609,0)</f>
        <v>0</v>
      </c>
      <c s="125">
        <f>IF(Предпосылки!$G45="да",'Капитальные вложения'!AR609,0)</f>
        <v>0</v>
      </c>
      <c s="125">
        <f>IF(Предпосылки!$G45="да",'Капитальные вложения'!AS609,0)</f>
        <v>0</v>
      </c>
      <c s="125">
        <f>IF(Предпосылки!$G45="да",'Капитальные вложения'!AT609,0)</f>
        <v>0</v>
      </c>
      <c s="125">
        <f>IF(Предпосылки!$G45="да",'Капитальные вложения'!AU609,0)</f>
        <v>0</v>
      </c>
      <c s="125">
        <f>IF(Предпосылки!$G45="да",'Капитальные вложения'!AV609,0)</f>
        <v>0</v>
      </c>
      <c s="125">
        <f>IF(Предпосылки!$G45="да",'Капитальные вложения'!AW609,0)</f>
        <v>0</v>
      </c>
      <c s="125">
        <f>IF(Предпосылки!$G45="да",'Капитальные вложения'!AX609,0)</f>
        <v>0</v>
      </c>
      <c s="125">
        <f>IF(Предпосылки!$G45="да",'Капитальные вложения'!AY609,0)</f>
        <v>0</v>
      </c>
      <c s="125">
        <f>IF(Предпосылки!$G45="да",'Капитальные вложения'!AZ609,0)</f>
        <v>0</v>
      </c>
      <c s="125">
        <f>IF(Предпосылки!$G45="да",'Капитальные вложения'!BA609,0)</f>
        <v>0</v>
      </c>
      <c s="125">
        <f>IF(Предпосылки!$G45="да",'Капитальные вложения'!BB609,0)</f>
        <v>0</v>
      </c>
      <c s="125">
        <f>IF(Предпосылки!$G45="да",'Капитальные вложения'!BC609,0)</f>
        <v>0</v>
      </c>
      <c s="125">
        <f>IF(Предпосылки!$G45="да",'Капитальные вложения'!BD609,0)</f>
        <v>0</v>
      </c>
      <c s="125">
        <f>IF(Предпосылки!$G45="да",'Капитальные вложения'!BE609,0)</f>
        <v>0</v>
      </c>
      <c s="125">
        <f>IF(Предпосылки!$G45="да",'Капитальные вложения'!BF609,0)</f>
        <v>0</v>
      </c>
      <c s="125">
        <f>IF(Предпосылки!$G45="да",'Капитальные вложения'!BG609,0)</f>
        <v>0</v>
      </c>
      <c s="125">
        <f>IF(Предпосылки!$G45="да",'Капитальные вложения'!BH609,0)</f>
        <v>0</v>
      </c>
      <c s="125">
        <f>IF(Предпосылки!$G45="да",'Капитальные вложения'!BI609,0)</f>
        <v>0</v>
      </c>
      <c s="125">
        <f>IF(Предпосылки!$G45="да",'Капитальные вложения'!BJ609,0)</f>
        <v>0</v>
      </c>
      <c s="125">
        <f>IF(Предпосылки!$G45="да",'Капитальные вложения'!BK609,0)</f>
        <v>0</v>
      </c>
      <c s="125">
        <f>IF(Предпосылки!$G45="да",'Капитальные вложения'!BL609,0)</f>
        <v>0</v>
      </c>
      <c s="125">
        <f>IF(Предпосылки!$G45="да",'Капитальные вложения'!BM609,0)</f>
        <v>0</v>
      </c>
    </row>
    <row r="54" spans="2:65" ht="15" customHeight="1">
      <c r="B54" s="12" t="str">
        <f>IF(ISBLANK(Предпосылки!B46),"-",Предпосылки!B46)</f>
        <v>-</v>
      </c>
      <c s="124" t="str">
        <f t="shared" si="182"/>
        <v>тыс. руб.</v>
      </c>
      <c s="129"/>
      <c s="125">
        <f>IF(Предпосылки!$G46="да",'Капитальные вложения'!E610,0)</f>
        <v>0</v>
      </c>
      <c s="125">
        <f>IF(Предпосылки!$G46="да",'Капитальные вложения'!F610,0)</f>
        <v>0</v>
      </c>
      <c s="125">
        <f>IF(Предпосылки!$G46="да",'Капитальные вложения'!G610,0)</f>
        <v>0</v>
      </c>
      <c s="125">
        <f>IF(Предпосылки!$G46="да",'Капитальные вложения'!H610,0)</f>
        <v>0</v>
      </c>
      <c s="125">
        <f>IF(Предпосылки!$G46="да",'Капитальные вложения'!I610,0)</f>
        <v>0</v>
      </c>
      <c s="125">
        <f>IF(Предпосылки!$G46="да",'Капитальные вложения'!J610,0)</f>
        <v>0</v>
      </c>
      <c s="125">
        <f>IF(Предпосылки!$G46="да",'Капитальные вложения'!K610,0)</f>
        <v>0</v>
      </c>
      <c s="125">
        <f>IF(Предпосылки!$G46="да",'Капитальные вложения'!L610,0)</f>
        <v>0</v>
      </c>
      <c s="125">
        <f>IF(Предпосылки!$G46="да",'Капитальные вложения'!M610,0)</f>
        <v>0</v>
      </c>
      <c s="125">
        <f>IF(Предпосылки!$G46="да",'Капитальные вложения'!N610,0)</f>
        <v>0</v>
      </c>
      <c s="125">
        <f>IF(Предпосылки!$G46="да",'Капитальные вложения'!O610,0)</f>
        <v>0</v>
      </c>
      <c s="125">
        <f>IF(Предпосылки!$G46="да",'Капитальные вложения'!P610,0)</f>
        <v>0</v>
      </c>
      <c s="125">
        <f>IF(Предпосылки!$G46="да",'Капитальные вложения'!Q610,0)</f>
        <v>0</v>
      </c>
      <c s="125">
        <f>IF(Предпосылки!$G46="да",'Капитальные вложения'!R610,0)</f>
        <v>0</v>
      </c>
      <c s="125">
        <f>IF(Предпосылки!$G46="да",'Капитальные вложения'!S610,0)</f>
        <v>0</v>
      </c>
      <c s="125">
        <f>IF(Предпосылки!$G46="да",'Капитальные вложения'!T610,0)</f>
        <v>0</v>
      </c>
      <c s="125">
        <f>IF(Предпосылки!$G46="да",'Капитальные вложения'!U610,0)</f>
        <v>0</v>
      </c>
      <c s="125">
        <f>IF(Предпосылки!$G46="да",'Капитальные вложения'!V610,0)</f>
        <v>0</v>
      </c>
      <c s="125">
        <f>IF(Предпосылки!$G46="да",'Капитальные вложения'!W610,0)</f>
        <v>0</v>
      </c>
      <c s="125">
        <f>IF(Предпосылки!$G46="да",'Капитальные вложения'!X610,0)</f>
        <v>0</v>
      </c>
      <c s="125">
        <f>IF(Предпосылки!$G46="да",'Капитальные вложения'!Y610,0)</f>
        <v>0</v>
      </c>
      <c s="125">
        <f>IF(Предпосылки!$G46="да",'Капитальные вложения'!Z610,0)</f>
        <v>0</v>
      </c>
      <c s="125">
        <f>IF(Предпосылки!$G46="да",'Капитальные вложения'!AA610,0)</f>
        <v>0</v>
      </c>
      <c s="125">
        <f>IF(Предпосылки!$G46="да",'Капитальные вложения'!AB610,0)</f>
        <v>0</v>
      </c>
      <c s="125">
        <f>IF(Предпосылки!$G46="да",'Капитальные вложения'!AC610,0)</f>
        <v>0</v>
      </c>
      <c s="125">
        <f>IF(Предпосылки!$G46="да",'Капитальные вложения'!AD610,0)</f>
        <v>0</v>
      </c>
      <c s="125">
        <f>IF(Предпосылки!$G46="да",'Капитальные вложения'!AE610,0)</f>
        <v>0</v>
      </c>
      <c s="125">
        <f>IF(Предпосылки!$G46="да",'Капитальные вложения'!AF610,0)</f>
        <v>0</v>
      </c>
      <c s="125">
        <f>IF(Предпосылки!$G46="да",'Капитальные вложения'!AG610,0)</f>
        <v>0</v>
      </c>
      <c s="125">
        <f>IF(Предпосылки!$G46="да",'Капитальные вложения'!AH610,0)</f>
        <v>0</v>
      </c>
      <c s="125">
        <f>IF(Предпосылки!$G46="да",'Капитальные вложения'!AI610,0)</f>
        <v>0</v>
      </c>
      <c s="125">
        <f>IF(Предпосылки!$G46="да",'Капитальные вложения'!AJ610,0)</f>
        <v>0</v>
      </c>
      <c s="125">
        <f>IF(Предпосылки!$G46="да",'Капитальные вложения'!AK610,0)</f>
        <v>0</v>
      </c>
      <c s="125">
        <f>IF(Предпосылки!$G46="да",'Капитальные вложения'!AL610,0)</f>
        <v>0</v>
      </c>
      <c s="125">
        <f>IF(Предпосылки!$G46="да",'Капитальные вложения'!AM610,0)</f>
        <v>0</v>
      </c>
      <c s="125">
        <f>IF(Предпосылки!$G46="да",'Капитальные вложения'!AN610,0)</f>
        <v>0</v>
      </c>
      <c s="125">
        <f>IF(Предпосылки!$G46="да",'Капитальные вложения'!AO610,0)</f>
        <v>0</v>
      </c>
      <c s="125">
        <f>IF(Предпосылки!$G46="да",'Капитальные вложения'!AP610,0)</f>
        <v>0</v>
      </c>
      <c s="125">
        <f>IF(Предпосылки!$G46="да",'Капитальные вложения'!AQ610,0)</f>
        <v>0</v>
      </c>
      <c s="125">
        <f>IF(Предпосылки!$G46="да",'Капитальные вложения'!AR610,0)</f>
        <v>0</v>
      </c>
      <c s="125">
        <f>IF(Предпосылки!$G46="да",'Капитальные вложения'!AS610,0)</f>
        <v>0</v>
      </c>
      <c s="125">
        <f>IF(Предпосылки!$G46="да",'Капитальные вложения'!AT610,0)</f>
        <v>0</v>
      </c>
      <c s="125">
        <f>IF(Предпосылки!$G46="да",'Капитальные вложения'!AU610,0)</f>
        <v>0</v>
      </c>
      <c s="125">
        <f>IF(Предпосылки!$G46="да",'Капитальные вложения'!AV610,0)</f>
        <v>0</v>
      </c>
      <c s="125">
        <f>IF(Предпосылки!$G46="да",'Капитальные вложения'!AW610,0)</f>
        <v>0</v>
      </c>
      <c s="125">
        <f>IF(Предпосылки!$G46="да",'Капитальные вложения'!AX610,0)</f>
        <v>0</v>
      </c>
      <c s="125">
        <f>IF(Предпосылки!$G46="да",'Капитальные вложения'!AY610,0)</f>
        <v>0</v>
      </c>
      <c s="125">
        <f>IF(Предпосылки!$G46="да",'Капитальные вложения'!AZ610,0)</f>
        <v>0</v>
      </c>
      <c s="125">
        <f>IF(Предпосылки!$G46="да",'Капитальные вложения'!BA610,0)</f>
        <v>0</v>
      </c>
      <c s="125">
        <f>IF(Предпосылки!$G46="да",'Капитальные вложения'!BB610,0)</f>
        <v>0</v>
      </c>
      <c s="125">
        <f>IF(Предпосылки!$G46="да",'Капитальные вложения'!BC610,0)</f>
        <v>0</v>
      </c>
      <c s="125">
        <f>IF(Предпосылки!$G46="да",'Капитальные вложения'!BD610,0)</f>
        <v>0</v>
      </c>
      <c s="125">
        <f>IF(Предпосылки!$G46="да",'Капитальные вложения'!BE610,0)</f>
        <v>0</v>
      </c>
      <c s="125">
        <f>IF(Предпосылки!$G46="да",'Капитальные вложения'!BF610,0)</f>
        <v>0</v>
      </c>
      <c s="125">
        <f>IF(Предпосылки!$G46="да",'Капитальные вложения'!BG610,0)</f>
        <v>0</v>
      </c>
      <c s="125">
        <f>IF(Предпосылки!$G46="да",'Капитальные вложения'!BH610,0)</f>
        <v>0</v>
      </c>
      <c s="125">
        <f>IF(Предпосылки!$G46="да",'Капитальные вложения'!BI610,0)</f>
        <v>0</v>
      </c>
      <c s="125">
        <f>IF(Предпосылки!$G46="да",'Капитальные вложения'!BJ610,0)</f>
        <v>0</v>
      </c>
      <c s="125">
        <f>IF(Предпосылки!$G46="да",'Капитальные вложения'!BK610,0)</f>
        <v>0</v>
      </c>
      <c s="125">
        <f>IF(Предпосылки!$G46="да",'Капитальные вложения'!BL610,0)</f>
        <v>0</v>
      </c>
      <c s="125">
        <f>IF(Предпосылки!$G46="да",'Капитальные вложения'!BM610,0)</f>
        <v>0</v>
      </c>
    </row>
    <row r="55" spans="2:65" ht="15" customHeight="1">
      <c r="B55" s="12" t="str">
        <f>IF(ISBLANK(Предпосылки!B47),"-",Предпосылки!B47)</f>
        <v>-</v>
      </c>
      <c s="124" t="str">
        <f t="shared" si="182"/>
        <v>тыс. руб.</v>
      </c>
      <c s="129"/>
      <c s="125">
        <f>IF(Предпосылки!$G47="да",'Капитальные вложения'!E611,0)</f>
        <v>0</v>
      </c>
      <c s="125">
        <f>IF(Предпосылки!$G47="да",'Капитальные вложения'!F611,0)</f>
        <v>0</v>
      </c>
      <c s="125">
        <f>IF(Предпосылки!$G47="да",'Капитальные вложения'!G611,0)</f>
        <v>0</v>
      </c>
      <c s="125">
        <f>IF(Предпосылки!$G47="да",'Капитальные вложения'!H611,0)</f>
        <v>0</v>
      </c>
      <c s="125">
        <f>IF(Предпосылки!$G47="да",'Капитальные вложения'!I611,0)</f>
        <v>0</v>
      </c>
      <c s="125">
        <f>IF(Предпосылки!$G47="да",'Капитальные вложения'!J611,0)</f>
        <v>0</v>
      </c>
      <c s="125">
        <f>IF(Предпосылки!$G47="да",'Капитальные вложения'!K611,0)</f>
        <v>0</v>
      </c>
      <c s="125">
        <f>IF(Предпосылки!$G47="да",'Капитальные вложения'!L611,0)</f>
        <v>0</v>
      </c>
      <c s="125">
        <f>IF(Предпосылки!$G47="да",'Капитальные вложения'!M611,0)</f>
        <v>0</v>
      </c>
      <c s="125">
        <f>IF(Предпосылки!$G47="да",'Капитальные вложения'!N611,0)</f>
        <v>0</v>
      </c>
      <c s="125">
        <f>IF(Предпосылки!$G47="да",'Капитальные вложения'!O611,0)</f>
        <v>0</v>
      </c>
      <c s="125">
        <f>IF(Предпосылки!$G47="да",'Капитальные вложения'!P611,0)</f>
        <v>0</v>
      </c>
      <c s="125">
        <f>IF(Предпосылки!$G47="да",'Капитальные вложения'!Q611,0)</f>
        <v>0</v>
      </c>
      <c s="125">
        <f>IF(Предпосылки!$G47="да",'Капитальные вложения'!R611,0)</f>
        <v>0</v>
      </c>
      <c s="125">
        <f>IF(Предпосылки!$G47="да",'Капитальные вложения'!S611,0)</f>
        <v>0</v>
      </c>
      <c s="125">
        <f>IF(Предпосылки!$G47="да",'Капитальные вложения'!T611,0)</f>
        <v>0</v>
      </c>
      <c s="125">
        <f>IF(Предпосылки!$G47="да",'Капитальные вложения'!U611,0)</f>
        <v>0</v>
      </c>
      <c s="125">
        <f>IF(Предпосылки!$G47="да",'Капитальные вложения'!V611,0)</f>
        <v>0</v>
      </c>
      <c s="125">
        <f>IF(Предпосылки!$G47="да",'Капитальные вложения'!W611,0)</f>
        <v>0</v>
      </c>
      <c s="125">
        <f>IF(Предпосылки!$G47="да",'Капитальные вложения'!X611,0)</f>
        <v>0</v>
      </c>
      <c s="125">
        <f>IF(Предпосылки!$G47="да",'Капитальные вложения'!Y611,0)</f>
        <v>0</v>
      </c>
      <c s="125">
        <f>IF(Предпосылки!$G47="да",'Капитальные вложения'!Z611,0)</f>
        <v>0</v>
      </c>
      <c s="125">
        <f>IF(Предпосылки!$G47="да",'Капитальные вложения'!AA611,0)</f>
        <v>0</v>
      </c>
      <c s="125">
        <f>IF(Предпосылки!$G47="да",'Капитальные вложения'!AB611,0)</f>
        <v>0</v>
      </c>
      <c s="125">
        <f>IF(Предпосылки!$G47="да",'Капитальные вложения'!AC611,0)</f>
        <v>0</v>
      </c>
      <c s="125">
        <f>IF(Предпосылки!$G47="да",'Капитальные вложения'!AD611,0)</f>
        <v>0</v>
      </c>
      <c s="125">
        <f>IF(Предпосылки!$G47="да",'Капитальные вложения'!AE611,0)</f>
        <v>0</v>
      </c>
      <c s="125">
        <f>IF(Предпосылки!$G47="да",'Капитальные вложения'!AF611,0)</f>
        <v>0</v>
      </c>
      <c s="125">
        <f>IF(Предпосылки!$G47="да",'Капитальные вложения'!AG611,0)</f>
        <v>0</v>
      </c>
      <c s="125">
        <f>IF(Предпосылки!$G47="да",'Капитальные вложения'!AH611,0)</f>
        <v>0</v>
      </c>
      <c s="125">
        <f>IF(Предпосылки!$G47="да",'Капитальные вложения'!AI611,0)</f>
        <v>0</v>
      </c>
      <c s="125">
        <f>IF(Предпосылки!$G47="да",'Капитальные вложения'!AJ611,0)</f>
        <v>0</v>
      </c>
      <c s="125">
        <f>IF(Предпосылки!$G47="да",'Капитальные вложения'!AK611,0)</f>
        <v>0</v>
      </c>
      <c s="125">
        <f>IF(Предпосылки!$G47="да",'Капитальные вложения'!AL611,0)</f>
        <v>0</v>
      </c>
      <c s="125">
        <f>IF(Предпосылки!$G47="да",'Капитальные вложения'!AM611,0)</f>
        <v>0</v>
      </c>
      <c s="125">
        <f>IF(Предпосылки!$G47="да",'Капитальные вложения'!AN611,0)</f>
        <v>0</v>
      </c>
      <c s="125">
        <f>IF(Предпосылки!$G47="да",'Капитальные вложения'!AO611,0)</f>
        <v>0</v>
      </c>
      <c s="125">
        <f>IF(Предпосылки!$G47="да",'Капитальные вложения'!AP611,0)</f>
        <v>0</v>
      </c>
      <c s="125">
        <f>IF(Предпосылки!$G47="да",'Капитальные вложения'!AQ611,0)</f>
        <v>0</v>
      </c>
      <c s="125">
        <f>IF(Предпосылки!$G47="да",'Капитальные вложения'!AR611,0)</f>
        <v>0</v>
      </c>
      <c s="125">
        <f>IF(Предпосылки!$G47="да",'Капитальные вложения'!AS611,0)</f>
        <v>0</v>
      </c>
      <c s="125">
        <f>IF(Предпосылки!$G47="да",'Капитальные вложения'!AT611,0)</f>
        <v>0</v>
      </c>
      <c s="125">
        <f>IF(Предпосылки!$G47="да",'Капитальные вложения'!AU611,0)</f>
        <v>0</v>
      </c>
      <c s="125">
        <f>IF(Предпосылки!$G47="да",'Капитальные вложения'!AV611,0)</f>
        <v>0</v>
      </c>
      <c s="125">
        <f>IF(Предпосылки!$G47="да",'Капитальные вложения'!AW611,0)</f>
        <v>0</v>
      </c>
      <c s="125">
        <f>IF(Предпосылки!$G47="да",'Капитальные вложения'!AX611,0)</f>
        <v>0</v>
      </c>
      <c s="125">
        <f>IF(Предпосылки!$G47="да",'Капитальные вложения'!AY611,0)</f>
        <v>0</v>
      </c>
      <c s="125">
        <f>IF(Предпосылки!$G47="да",'Капитальные вложения'!AZ611,0)</f>
        <v>0</v>
      </c>
      <c s="125">
        <f>IF(Предпосылки!$G47="да",'Капитальные вложения'!BA611,0)</f>
        <v>0</v>
      </c>
      <c s="125">
        <f>IF(Предпосылки!$G47="да",'Капитальные вложения'!BB611,0)</f>
        <v>0</v>
      </c>
      <c s="125">
        <f>IF(Предпосылки!$G47="да",'Капитальные вложения'!BC611,0)</f>
        <v>0</v>
      </c>
      <c s="125">
        <f>IF(Предпосылки!$G47="да",'Капитальные вложения'!BD611,0)</f>
        <v>0</v>
      </c>
      <c s="125">
        <f>IF(Предпосылки!$G47="да",'Капитальные вложения'!BE611,0)</f>
        <v>0</v>
      </c>
      <c s="125">
        <f>IF(Предпосылки!$G47="да",'Капитальные вложения'!BF611,0)</f>
        <v>0</v>
      </c>
      <c s="125">
        <f>IF(Предпосылки!$G47="да",'Капитальные вложения'!BG611,0)</f>
        <v>0</v>
      </c>
      <c s="125">
        <f>IF(Предпосылки!$G47="да",'Капитальные вложения'!BH611,0)</f>
        <v>0</v>
      </c>
      <c s="125">
        <f>IF(Предпосылки!$G47="да",'Капитальные вложения'!BI611,0)</f>
        <v>0</v>
      </c>
      <c s="125">
        <f>IF(Предпосылки!$G47="да",'Капитальные вложения'!BJ611,0)</f>
        <v>0</v>
      </c>
      <c s="125">
        <f>IF(Предпосылки!$G47="да",'Капитальные вложения'!BK611,0)</f>
        <v>0</v>
      </c>
      <c s="125">
        <f>IF(Предпосылки!$G47="да",'Капитальные вложения'!BL611,0)</f>
        <v>0</v>
      </c>
      <c s="125">
        <f>IF(Предпосылки!$G47="да",'Капитальные вложения'!BM611,0)</f>
        <v>0</v>
      </c>
    </row>
    <row r="56" spans="2:65" ht="15" customHeight="1">
      <c r="B56" s="12" t="str">
        <f>IF(ISBLANK(Предпосылки!B48),"-",Предпосылки!B48)</f>
        <v>-</v>
      </c>
      <c s="124" t="str">
        <f t="shared" si="182"/>
        <v>тыс. руб.</v>
      </c>
      <c s="129"/>
      <c s="125">
        <f>IF(Предпосылки!$G48="да",'Капитальные вложения'!E612,0)</f>
        <v>0</v>
      </c>
      <c s="125">
        <f>IF(Предпосылки!$G48="да",'Капитальные вложения'!F612,0)</f>
        <v>0</v>
      </c>
      <c s="125">
        <f>IF(Предпосылки!$G48="да",'Капитальные вложения'!G612,0)</f>
        <v>0</v>
      </c>
      <c s="125">
        <f>IF(Предпосылки!$G48="да",'Капитальные вложения'!H612,0)</f>
        <v>0</v>
      </c>
      <c s="125">
        <f>IF(Предпосылки!$G48="да",'Капитальные вложения'!I612,0)</f>
        <v>0</v>
      </c>
      <c s="125">
        <f>IF(Предпосылки!$G48="да",'Капитальные вложения'!J612,0)</f>
        <v>0</v>
      </c>
      <c s="125">
        <f>IF(Предпосылки!$G48="да",'Капитальные вложения'!K612,0)</f>
        <v>0</v>
      </c>
      <c s="125">
        <f>IF(Предпосылки!$G48="да",'Капитальные вложения'!L612,0)</f>
        <v>0</v>
      </c>
      <c s="125">
        <f>IF(Предпосылки!$G48="да",'Капитальные вложения'!M612,0)</f>
        <v>0</v>
      </c>
      <c s="125">
        <f>IF(Предпосылки!$G48="да",'Капитальные вложения'!N612,0)</f>
        <v>0</v>
      </c>
      <c s="125">
        <f>IF(Предпосылки!$G48="да",'Капитальные вложения'!O612,0)</f>
        <v>0</v>
      </c>
      <c s="125">
        <f>IF(Предпосылки!$G48="да",'Капитальные вложения'!P612,0)</f>
        <v>0</v>
      </c>
      <c s="125">
        <f>IF(Предпосылки!$G48="да",'Капитальные вложения'!Q612,0)</f>
        <v>0</v>
      </c>
      <c s="125">
        <f>IF(Предпосылки!$G48="да",'Капитальные вложения'!R612,0)</f>
        <v>0</v>
      </c>
      <c s="125">
        <f>IF(Предпосылки!$G48="да",'Капитальные вложения'!S612,0)</f>
        <v>0</v>
      </c>
      <c s="125">
        <f>IF(Предпосылки!$G48="да",'Капитальные вложения'!T612,0)</f>
        <v>0</v>
      </c>
      <c s="125">
        <f>IF(Предпосылки!$G48="да",'Капитальные вложения'!U612,0)</f>
        <v>0</v>
      </c>
      <c s="125">
        <f>IF(Предпосылки!$G48="да",'Капитальные вложения'!V612,0)</f>
        <v>0</v>
      </c>
      <c s="125">
        <f>IF(Предпосылки!$G48="да",'Капитальные вложения'!W612,0)</f>
        <v>0</v>
      </c>
      <c s="125">
        <f>IF(Предпосылки!$G48="да",'Капитальные вложения'!X612,0)</f>
        <v>0</v>
      </c>
      <c s="125">
        <f>IF(Предпосылки!$G48="да",'Капитальные вложения'!Y612,0)</f>
        <v>0</v>
      </c>
      <c s="125">
        <f>IF(Предпосылки!$G48="да",'Капитальные вложения'!Z612,0)</f>
        <v>0</v>
      </c>
      <c s="125">
        <f>IF(Предпосылки!$G48="да",'Капитальные вложения'!AA612,0)</f>
        <v>0</v>
      </c>
      <c s="125">
        <f>IF(Предпосылки!$G48="да",'Капитальные вложения'!AB612,0)</f>
        <v>0</v>
      </c>
      <c s="125">
        <f>IF(Предпосылки!$G48="да",'Капитальные вложения'!AC612,0)</f>
        <v>0</v>
      </c>
      <c s="125">
        <f>IF(Предпосылки!$G48="да",'Капитальные вложения'!AD612,0)</f>
        <v>0</v>
      </c>
      <c s="125">
        <f>IF(Предпосылки!$G48="да",'Капитальные вложения'!AE612,0)</f>
        <v>0</v>
      </c>
      <c s="125">
        <f>IF(Предпосылки!$G48="да",'Капитальные вложения'!AF612,0)</f>
        <v>0</v>
      </c>
      <c s="125">
        <f>IF(Предпосылки!$G48="да",'Капитальные вложения'!AG612,0)</f>
        <v>0</v>
      </c>
      <c s="125">
        <f>IF(Предпосылки!$G48="да",'Капитальные вложения'!AH612,0)</f>
        <v>0</v>
      </c>
      <c s="125">
        <f>IF(Предпосылки!$G48="да",'Капитальные вложения'!AI612,0)</f>
        <v>0</v>
      </c>
      <c s="125">
        <f>IF(Предпосылки!$G48="да",'Капитальные вложения'!AJ612,0)</f>
        <v>0</v>
      </c>
      <c s="125">
        <f>IF(Предпосылки!$G48="да",'Капитальные вложения'!AK612,0)</f>
        <v>0</v>
      </c>
      <c s="125">
        <f>IF(Предпосылки!$G48="да",'Капитальные вложения'!AL612,0)</f>
        <v>0</v>
      </c>
      <c s="125">
        <f>IF(Предпосылки!$G48="да",'Капитальные вложения'!AM612,0)</f>
        <v>0</v>
      </c>
      <c s="125">
        <f>IF(Предпосылки!$G48="да",'Капитальные вложения'!AN612,0)</f>
        <v>0</v>
      </c>
      <c s="125">
        <f>IF(Предпосылки!$G48="да",'Капитальные вложения'!AO612,0)</f>
        <v>0</v>
      </c>
      <c s="125">
        <f>IF(Предпосылки!$G48="да",'Капитальные вложения'!AP612,0)</f>
        <v>0</v>
      </c>
      <c s="125">
        <f>IF(Предпосылки!$G48="да",'Капитальные вложения'!AQ612,0)</f>
        <v>0</v>
      </c>
      <c s="125">
        <f>IF(Предпосылки!$G48="да",'Капитальные вложения'!AR612,0)</f>
        <v>0</v>
      </c>
      <c s="125">
        <f>IF(Предпосылки!$G48="да",'Капитальные вложения'!AS612,0)</f>
        <v>0</v>
      </c>
      <c s="125">
        <f>IF(Предпосылки!$G48="да",'Капитальные вложения'!AT612,0)</f>
        <v>0</v>
      </c>
      <c s="125">
        <f>IF(Предпосылки!$G48="да",'Капитальные вложения'!AU612,0)</f>
        <v>0</v>
      </c>
      <c s="125">
        <f>IF(Предпосылки!$G48="да",'Капитальные вложения'!AV612,0)</f>
        <v>0</v>
      </c>
      <c s="125">
        <f>IF(Предпосылки!$G48="да",'Капитальные вложения'!AW612,0)</f>
        <v>0</v>
      </c>
      <c s="125">
        <f>IF(Предпосылки!$G48="да",'Капитальные вложения'!AX612,0)</f>
        <v>0</v>
      </c>
      <c s="125">
        <f>IF(Предпосылки!$G48="да",'Капитальные вложения'!AY612,0)</f>
        <v>0</v>
      </c>
      <c s="125">
        <f>IF(Предпосылки!$G48="да",'Капитальные вложения'!AZ612,0)</f>
        <v>0</v>
      </c>
      <c s="125">
        <f>IF(Предпосылки!$G48="да",'Капитальные вложения'!BA612,0)</f>
        <v>0</v>
      </c>
      <c s="125">
        <f>IF(Предпосылки!$G48="да",'Капитальные вложения'!BB612,0)</f>
        <v>0</v>
      </c>
      <c s="125">
        <f>IF(Предпосылки!$G48="да",'Капитальные вложения'!BC612,0)</f>
        <v>0</v>
      </c>
      <c s="125">
        <f>IF(Предпосылки!$G48="да",'Капитальные вложения'!BD612,0)</f>
        <v>0</v>
      </c>
      <c s="125">
        <f>IF(Предпосылки!$G48="да",'Капитальные вложения'!BE612,0)</f>
        <v>0</v>
      </c>
      <c s="125">
        <f>IF(Предпосылки!$G48="да",'Капитальные вложения'!BF612,0)</f>
        <v>0</v>
      </c>
      <c s="125">
        <f>IF(Предпосылки!$G48="да",'Капитальные вложения'!BG612,0)</f>
        <v>0</v>
      </c>
      <c s="125">
        <f>IF(Предпосылки!$G48="да",'Капитальные вложения'!BH612,0)</f>
        <v>0</v>
      </c>
      <c s="125">
        <f>IF(Предпосылки!$G48="да",'Капитальные вложения'!BI612,0)</f>
        <v>0</v>
      </c>
      <c s="125">
        <f>IF(Предпосылки!$G48="да",'Капитальные вложения'!BJ612,0)</f>
        <v>0</v>
      </c>
      <c s="125">
        <f>IF(Предпосылки!$G48="да",'Капитальные вложения'!BK612,0)</f>
        <v>0</v>
      </c>
      <c s="125">
        <f>IF(Предпосылки!$G48="да",'Капитальные вложения'!BL612,0)</f>
        <v>0</v>
      </c>
      <c s="125">
        <f>IF(Предпосылки!$G48="да",'Капитальные вложения'!BM612,0)</f>
        <v>0</v>
      </c>
    </row>
    <row r="57" spans="2:65" ht="15" customHeight="1">
      <c r="B57" s="12" t="str">
        <f>IF(ISBLANK(Предпосылки!B49),"-",Предпосылки!B49)</f>
        <v>-</v>
      </c>
      <c s="124" t="str">
        <f t="shared" si="182"/>
        <v>тыс. руб.</v>
      </c>
      <c s="129"/>
      <c s="125">
        <f>IF(Предпосылки!$G49="да",'Капитальные вложения'!E613,0)</f>
        <v>0</v>
      </c>
      <c s="125">
        <f>IF(Предпосылки!$G49="да",'Капитальные вложения'!F613,0)</f>
        <v>0</v>
      </c>
      <c s="125">
        <f>IF(Предпосылки!$G49="да",'Капитальные вложения'!G613,0)</f>
        <v>0</v>
      </c>
      <c s="125">
        <f>IF(Предпосылки!$G49="да",'Капитальные вложения'!H613,0)</f>
        <v>0</v>
      </c>
      <c s="125">
        <f>IF(Предпосылки!$G49="да",'Капитальные вложения'!I613,0)</f>
        <v>0</v>
      </c>
      <c s="125">
        <f>IF(Предпосылки!$G49="да",'Капитальные вложения'!J613,0)</f>
        <v>0</v>
      </c>
      <c s="125">
        <f>IF(Предпосылки!$G49="да",'Капитальные вложения'!K613,0)</f>
        <v>0</v>
      </c>
      <c s="125">
        <f>IF(Предпосылки!$G49="да",'Капитальные вложения'!L613,0)</f>
        <v>0</v>
      </c>
      <c s="125">
        <f>IF(Предпосылки!$G49="да",'Капитальные вложения'!M613,0)</f>
        <v>0</v>
      </c>
      <c s="125">
        <f>IF(Предпосылки!$G49="да",'Капитальные вложения'!N613,0)</f>
        <v>0</v>
      </c>
      <c s="125">
        <f>IF(Предпосылки!$G49="да",'Капитальные вложения'!O613,0)</f>
        <v>0</v>
      </c>
      <c s="125">
        <f>IF(Предпосылки!$G49="да",'Капитальные вложения'!P613,0)</f>
        <v>0</v>
      </c>
      <c s="125">
        <f>IF(Предпосылки!$G49="да",'Капитальные вложения'!Q613,0)</f>
        <v>0</v>
      </c>
      <c s="125">
        <f>IF(Предпосылки!$G49="да",'Капитальные вложения'!R613,0)</f>
        <v>0</v>
      </c>
      <c s="125">
        <f>IF(Предпосылки!$G49="да",'Капитальные вложения'!S613,0)</f>
        <v>0</v>
      </c>
      <c s="125">
        <f>IF(Предпосылки!$G49="да",'Капитальные вложения'!T613,0)</f>
        <v>0</v>
      </c>
      <c s="125">
        <f>IF(Предпосылки!$G49="да",'Капитальные вложения'!U613,0)</f>
        <v>0</v>
      </c>
      <c s="125">
        <f>IF(Предпосылки!$G49="да",'Капитальные вложения'!V613,0)</f>
        <v>0</v>
      </c>
      <c s="125">
        <f>IF(Предпосылки!$G49="да",'Капитальные вложения'!W613,0)</f>
        <v>0</v>
      </c>
      <c s="125">
        <f>IF(Предпосылки!$G49="да",'Капитальные вложения'!X613,0)</f>
        <v>0</v>
      </c>
      <c s="125">
        <f>IF(Предпосылки!$G49="да",'Капитальные вложения'!Y613,0)</f>
        <v>0</v>
      </c>
      <c s="125">
        <f>IF(Предпосылки!$G49="да",'Капитальные вложения'!Z613,0)</f>
        <v>0</v>
      </c>
      <c s="125">
        <f>IF(Предпосылки!$G49="да",'Капитальные вложения'!AA613,0)</f>
        <v>0</v>
      </c>
      <c s="125">
        <f>IF(Предпосылки!$G49="да",'Капитальные вложения'!AB613,0)</f>
        <v>0</v>
      </c>
      <c s="125">
        <f>IF(Предпосылки!$G49="да",'Капитальные вложения'!AC613,0)</f>
        <v>0</v>
      </c>
      <c s="125">
        <f>IF(Предпосылки!$G49="да",'Капитальные вложения'!AD613,0)</f>
        <v>0</v>
      </c>
      <c s="125">
        <f>IF(Предпосылки!$G49="да",'Капитальные вложения'!AE613,0)</f>
        <v>0</v>
      </c>
      <c s="125">
        <f>IF(Предпосылки!$G49="да",'Капитальные вложения'!AF613,0)</f>
        <v>0</v>
      </c>
      <c s="125">
        <f>IF(Предпосылки!$G49="да",'Капитальные вложения'!AG613,0)</f>
        <v>0</v>
      </c>
      <c s="125">
        <f>IF(Предпосылки!$G49="да",'Капитальные вложения'!AH613,0)</f>
        <v>0</v>
      </c>
      <c s="125">
        <f>IF(Предпосылки!$G49="да",'Капитальные вложения'!AI613,0)</f>
        <v>0</v>
      </c>
      <c s="125">
        <f>IF(Предпосылки!$G49="да",'Капитальные вложения'!AJ613,0)</f>
        <v>0</v>
      </c>
      <c s="125">
        <f>IF(Предпосылки!$G49="да",'Капитальные вложения'!AK613,0)</f>
        <v>0</v>
      </c>
      <c s="125">
        <f>IF(Предпосылки!$G49="да",'Капитальные вложения'!AL613,0)</f>
        <v>0</v>
      </c>
      <c s="125">
        <f>IF(Предпосылки!$G49="да",'Капитальные вложения'!AM613,0)</f>
        <v>0</v>
      </c>
      <c s="125">
        <f>IF(Предпосылки!$G49="да",'Капитальные вложения'!AN613,0)</f>
        <v>0</v>
      </c>
      <c s="125">
        <f>IF(Предпосылки!$G49="да",'Капитальные вложения'!AO613,0)</f>
        <v>0</v>
      </c>
      <c s="125">
        <f>IF(Предпосылки!$G49="да",'Капитальные вложения'!AP613,0)</f>
        <v>0</v>
      </c>
      <c s="125">
        <f>IF(Предпосылки!$G49="да",'Капитальные вложения'!AQ613,0)</f>
        <v>0</v>
      </c>
      <c s="125">
        <f>IF(Предпосылки!$G49="да",'Капитальные вложения'!AR613,0)</f>
        <v>0</v>
      </c>
      <c s="125">
        <f>IF(Предпосылки!$G49="да",'Капитальные вложения'!AS613,0)</f>
        <v>0</v>
      </c>
      <c s="125">
        <f>IF(Предпосылки!$G49="да",'Капитальные вложения'!AT613,0)</f>
        <v>0</v>
      </c>
      <c s="125">
        <f>IF(Предпосылки!$G49="да",'Капитальные вложения'!AU613,0)</f>
        <v>0</v>
      </c>
      <c s="125">
        <f>IF(Предпосылки!$G49="да",'Капитальные вложения'!AV613,0)</f>
        <v>0</v>
      </c>
      <c s="125">
        <f>IF(Предпосылки!$G49="да",'Капитальные вложения'!AW613,0)</f>
        <v>0</v>
      </c>
      <c s="125">
        <f>IF(Предпосылки!$G49="да",'Капитальные вложения'!AX613,0)</f>
        <v>0</v>
      </c>
      <c s="125">
        <f>IF(Предпосылки!$G49="да",'Капитальные вложения'!AY613,0)</f>
        <v>0</v>
      </c>
      <c s="125">
        <f>IF(Предпосылки!$G49="да",'Капитальные вложения'!AZ613,0)</f>
        <v>0</v>
      </c>
      <c s="125">
        <f>IF(Предпосылки!$G49="да",'Капитальные вложения'!BA613,0)</f>
        <v>0</v>
      </c>
      <c s="125">
        <f>IF(Предпосылки!$G49="да",'Капитальные вложения'!BB613,0)</f>
        <v>0</v>
      </c>
      <c s="125">
        <f>IF(Предпосылки!$G49="да",'Капитальные вложения'!BC613,0)</f>
        <v>0</v>
      </c>
      <c s="125">
        <f>IF(Предпосылки!$G49="да",'Капитальные вложения'!BD613,0)</f>
        <v>0</v>
      </c>
      <c s="125">
        <f>IF(Предпосылки!$G49="да",'Капитальные вложения'!BE613,0)</f>
        <v>0</v>
      </c>
      <c s="125">
        <f>IF(Предпосылки!$G49="да",'Капитальные вложения'!BF613,0)</f>
        <v>0</v>
      </c>
      <c s="125">
        <f>IF(Предпосылки!$G49="да",'Капитальные вложения'!BG613,0)</f>
        <v>0</v>
      </c>
      <c s="125">
        <f>IF(Предпосылки!$G49="да",'Капитальные вложения'!BH613,0)</f>
        <v>0</v>
      </c>
      <c s="125">
        <f>IF(Предпосылки!$G49="да",'Капитальные вложения'!BI613,0)</f>
        <v>0</v>
      </c>
      <c s="125">
        <f>IF(Предпосылки!$G49="да",'Капитальные вложения'!BJ613,0)</f>
        <v>0</v>
      </c>
      <c s="125">
        <f>IF(Предпосылки!$G49="да",'Капитальные вложения'!BK613,0)</f>
        <v>0</v>
      </c>
      <c s="125">
        <f>IF(Предпосылки!$G49="да",'Капитальные вложения'!BL613,0)</f>
        <v>0</v>
      </c>
      <c s="125">
        <f>IF(Предпосылки!$G49="да",'Капитальные вложения'!BM613,0)</f>
        <v>0</v>
      </c>
    </row>
    <row r="58" spans="2:65" ht="15" customHeight="1">
      <c r="B58" s="12" t="str">
        <f>IF(ISBLANK(Предпосылки!B50),"-",Предпосылки!B50)</f>
        <v>-</v>
      </c>
      <c s="124" t="str">
        <f t="shared" si="182"/>
        <v>тыс. руб.</v>
      </c>
      <c s="129"/>
      <c s="125">
        <f>IF(Предпосылки!$G50="да",'Капитальные вложения'!E614,0)</f>
        <v>0</v>
      </c>
      <c s="125">
        <f>IF(Предпосылки!$G50="да",'Капитальные вложения'!F614,0)</f>
        <v>0</v>
      </c>
      <c s="125">
        <f>IF(Предпосылки!$G50="да",'Капитальные вложения'!G614,0)</f>
        <v>0</v>
      </c>
      <c s="125">
        <f>IF(Предпосылки!$G50="да",'Капитальные вложения'!H614,0)</f>
        <v>0</v>
      </c>
      <c s="125">
        <f>IF(Предпосылки!$G50="да",'Капитальные вложения'!I614,0)</f>
        <v>0</v>
      </c>
      <c s="125">
        <f>IF(Предпосылки!$G50="да",'Капитальные вложения'!J614,0)</f>
        <v>0</v>
      </c>
      <c s="125">
        <f>IF(Предпосылки!$G50="да",'Капитальные вложения'!K614,0)</f>
        <v>0</v>
      </c>
      <c s="125">
        <f>IF(Предпосылки!$G50="да",'Капитальные вложения'!L614,0)</f>
        <v>0</v>
      </c>
      <c s="125">
        <f>IF(Предпосылки!$G50="да",'Капитальные вложения'!M614,0)</f>
        <v>0</v>
      </c>
      <c s="125">
        <f>IF(Предпосылки!$G50="да",'Капитальные вложения'!N614,0)</f>
        <v>0</v>
      </c>
      <c s="125">
        <f>IF(Предпосылки!$G50="да",'Капитальные вложения'!O614,0)</f>
        <v>0</v>
      </c>
      <c s="125">
        <f>IF(Предпосылки!$G50="да",'Капитальные вложения'!P614,0)</f>
        <v>0</v>
      </c>
      <c s="125">
        <f>IF(Предпосылки!$G50="да",'Капитальные вложения'!Q614,0)</f>
        <v>0</v>
      </c>
      <c s="125">
        <f>IF(Предпосылки!$G50="да",'Капитальные вложения'!R614,0)</f>
        <v>0</v>
      </c>
      <c s="125">
        <f>IF(Предпосылки!$G50="да",'Капитальные вложения'!S614,0)</f>
        <v>0</v>
      </c>
      <c s="125">
        <f>IF(Предпосылки!$G50="да",'Капитальные вложения'!T614,0)</f>
        <v>0</v>
      </c>
      <c s="125">
        <f>IF(Предпосылки!$G50="да",'Капитальные вложения'!U614,0)</f>
        <v>0</v>
      </c>
      <c s="125">
        <f>IF(Предпосылки!$G50="да",'Капитальные вложения'!V614,0)</f>
        <v>0</v>
      </c>
      <c s="125">
        <f>IF(Предпосылки!$G50="да",'Капитальные вложения'!W614,0)</f>
        <v>0</v>
      </c>
      <c s="125">
        <f>IF(Предпосылки!$G50="да",'Капитальные вложения'!X614,0)</f>
        <v>0</v>
      </c>
      <c s="125">
        <f>IF(Предпосылки!$G50="да",'Капитальные вложения'!Y614,0)</f>
        <v>0</v>
      </c>
      <c s="125">
        <f>IF(Предпосылки!$G50="да",'Капитальные вложения'!Z614,0)</f>
        <v>0</v>
      </c>
      <c s="125">
        <f>IF(Предпосылки!$G50="да",'Капитальные вложения'!AA614,0)</f>
        <v>0</v>
      </c>
      <c s="125">
        <f>IF(Предпосылки!$G50="да",'Капитальные вложения'!AB614,0)</f>
        <v>0</v>
      </c>
      <c s="125">
        <f>IF(Предпосылки!$G50="да",'Капитальные вложения'!AC614,0)</f>
        <v>0</v>
      </c>
      <c s="125">
        <f>IF(Предпосылки!$G50="да",'Капитальные вложения'!AD614,0)</f>
        <v>0</v>
      </c>
      <c s="125">
        <f>IF(Предпосылки!$G50="да",'Капитальные вложения'!AE614,0)</f>
        <v>0</v>
      </c>
      <c s="125">
        <f>IF(Предпосылки!$G50="да",'Капитальные вложения'!AF614,0)</f>
        <v>0</v>
      </c>
      <c s="125">
        <f>IF(Предпосылки!$G50="да",'Капитальные вложения'!AG614,0)</f>
        <v>0</v>
      </c>
      <c s="125">
        <f>IF(Предпосылки!$G50="да",'Капитальные вложения'!AH614,0)</f>
        <v>0</v>
      </c>
      <c s="125">
        <f>IF(Предпосылки!$G50="да",'Капитальные вложения'!AI614,0)</f>
        <v>0</v>
      </c>
      <c s="125">
        <f>IF(Предпосылки!$G50="да",'Капитальные вложения'!AJ614,0)</f>
        <v>0</v>
      </c>
      <c s="125">
        <f>IF(Предпосылки!$G50="да",'Капитальные вложения'!AK614,0)</f>
        <v>0</v>
      </c>
      <c s="125">
        <f>IF(Предпосылки!$G50="да",'Капитальные вложения'!AL614,0)</f>
        <v>0</v>
      </c>
      <c s="125">
        <f>IF(Предпосылки!$G50="да",'Капитальные вложения'!AM614,0)</f>
        <v>0</v>
      </c>
      <c s="125">
        <f>IF(Предпосылки!$G50="да",'Капитальные вложения'!AN614,0)</f>
        <v>0</v>
      </c>
      <c s="125">
        <f>IF(Предпосылки!$G50="да",'Капитальные вложения'!AO614,0)</f>
        <v>0</v>
      </c>
      <c s="125">
        <f>IF(Предпосылки!$G50="да",'Капитальные вложения'!AP614,0)</f>
        <v>0</v>
      </c>
      <c s="125">
        <f>IF(Предпосылки!$G50="да",'Капитальные вложения'!AQ614,0)</f>
        <v>0</v>
      </c>
      <c s="125">
        <f>IF(Предпосылки!$G50="да",'Капитальные вложения'!AR614,0)</f>
        <v>0</v>
      </c>
      <c s="125">
        <f>IF(Предпосылки!$G50="да",'Капитальные вложения'!AS614,0)</f>
        <v>0</v>
      </c>
      <c s="125">
        <f>IF(Предпосылки!$G50="да",'Капитальные вложения'!AT614,0)</f>
        <v>0</v>
      </c>
      <c s="125">
        <f>IF(Предпосылки!$G50="да",'Капитальные вложения'!AU614,0)</f>
        <v>0</v>
      </c>
      <c s="125">
        <f>IF(Предпосылки!$G50="да",'Капитальные вложения'!AV614,0)</f>
        <v>0</v>
      </c>
      <c s="125">
        <f>IF(Предпосылки!$G50="да",'Капитальные вложения'!AW614,0)</f>
        <v>0</v>
      </c>
      <c s="125">
        <f>IF(Предпосылки!$G50="да",'Капитальные вложения'!AX614,0)</f>
        <v>0</v>
      </c>
      <c s="125">
        <f>IF(Предпосылки!$G50="да",'Капитальные вложения'!AY614,0)</f>
        <v>0</v>
      </c>
      <c s="125">
        <f>IF(Предпосылки!$G50="да",'Капитальные вложения'!AZ614,0)</f>
        <v>0</v>
      </c>
      <c s="125">
        <f>IF(Предпосылки!$G50="да",'Капитальные вложения'!BA614,0)</f>
        <v>0</v>
      </c>
      <c s="125">
        <f>IF(Предпосылки!$G50="да",'Капитальные вложения'!BB614,0)</f>
        <v>0</v>
      </c>
      <c s="125">
        <f>IF(Предпосылки!$G50="да",'Капитальные вложения'!BC614,0)</f>
        <v>0</v>
      </c>
      <c s="125">
        <f>IF(Предпосылки!$G50="да",'Капитальные вложения'!BD614,0)</f>
        <v>0</v>
      </c>
      <c s="125">
        <f>IF(Предпосылки!$G50="да",'Капитальные вложения'!BE614,0)</f>
        <v>0</v>
      </c>
      <c s="125">
        <f>IF(Предпосылки!$G50="да",'Капитальные вложения'!BF614,0)</f>
        <v>0</v>
      </c>
      <c s="125">
        <f>IF(Предпосылки!$G50="да",'Капитальные вложения'!BG614,0)</f>
        <v>0</v>
      </c>
      <c s="125">
        <f>IF(Предпосылки!$G50="да",'Капитальные вложения'!BH614,0)</f>
        <v>0</v>
      </c>
      <c s="125">
        <f>IF(Предпосылки!$G50="да",'Капитальные вложения'!BI614,0)</f>
        <v>0</v>
      </c>
      <c s="125">
        <f>IF(Предпосылки!$G50="да",'Капитальные вложения'!BJ614,0)</f>
        <v>0</v>
      </c>
      <c s="125">
        <f>IF(Предпосылки!$G50="да",'Капитальные вложения'!BK614,0)</f>
        <v>0</v>
      </c>
      <c s="125">
        <f>IF(Предпосылки!$G50="да",'Капитальные вложения'!BL614,0)</f>
        <v>0</v>
      </c>
      <c s="125">
        <f>IF(Предпосылки!$G50="да",'Капитальные вложения'!BM614,0)</f>
        <v>0</v>
      </c>
    </row>
    <row r="59" spans="2:65" ht="15" customHeight="1">
      <c r="B59" s="12" t="str">
        <f>IF(ISBLANK(Предпосылки!B51),"-",Предпосылки!B51)</f>
        <v>-</v>
      </c>
      <c s="124" t="str">
        <f t="shared" si="182"/>
        <v>тыс. руб.</v>
      </c>
      <c s="129"/>
      <c s="125">
        <f>IF(Предпосылки!$G51="да",'Капитальные вложения'!E615,0)</f>
        <v>0</v>
      </c>
      <c s="125">
        <f>IF(Предпосылки!$G51="да",'Капитальные вложения'!F615,0)</f>
        <v>0</v>
      </c>
      <c s="125">
        <f>IF(Предпосылки!$G51="да",'Капитальные вложения'!G615,0)</f>
        <v>0</v>
      </c>
      <c s="125">
        <f>IF(Предпосылки!$G51="да",'Капитальные вложения'!H615,0)</f>
        <v>0</v>
      </c>
      <c s="125">
        <f>IF(Предпосылки!$G51="да",'Капитальные вложения'!I615,0)</f>
        <v>0</v>
      </c>
      <c s="125">
        <f>IF(Предпосылки!$G51="да",'Капитальные вложения'!J615,0)</f>
        <v>0</v>
      </c>
      <c s="125">
        <f>IF(Предпосылки!$G51="да",'Капитальные вложения'!K615,0)</f>
        <v>0</v>
      </c>
      <c s="125">
        <f>IF(Предпосылки!$G51="да",'Капитальные вложения'!L615,0)</f>
        <v>0</v>
      </c>
      <c s="125">
        <f>IF(Предпосылки!$G51="да",'Капитальные вложения'!M615,0)</f>
        <v>0</v>
      </c>
      <c s="125">
        <f>IF(Предпосылки!$G51="да",'Капитальные вложения'!N615,0)</f>
        <v>0</v>
      </c>
      <c s="125">
        <f>IF(Предпосылки!$G51="да",'Капитальные вложения'!O615,0)</f>
        <v>0</v>
      </c>
      <c s="125">
        <f>IF(Предпосылки!$G51="да",'Капитальные вложения'!P615,0)</f>
        <v>0</v>
      </c>
      <c s="125">
        <f>IF(Предпосылки!$G51="да",'Капитальные вложения'!Q615,0)</f>
        <v>0</v>
      </c>
      <c s="125">
        <f>IF(Предпосылки!$G51="да",'Капитальные вложения'!R615,0)</f>
        <v>0</v>
      </c>
      <c s="125">
        <f>IF(Предпосылки!$G51="да",'Капитальные вложения'!S615,0)</f>
        <v>0</v>
      </c>
      <c s="125">
        <f>IF(Предпосылки!$G51="да",'Капитальные вложения'!T615,0)</f>
        <v>0</v>
      </c>
      <c s="125">
        <f>IF(Предпосылки!$G51="да",'Капитальные вложения'!U615,0)</f>
        <v>0</v>
      </c>
      <c s="125">
        <f>IF(Предпосылки!$G51="да",'Капитальные вложения'!V615,0)</f>
        <v>0</v>
      </c>
      <c s="125">
        <f>IF(Предпосылки!$G51="да",'Капитальные вложения'!W615,0)</f>
        <v>0</v>
      </c>
      <c s="125">
        <f>IF(Предпосылки!$G51="да",'Капитальные вложения'!X615,0)</f>
        <v>0</v>
      </c>
      <c s="125">
        <f>IF(Предпосылки!$G51="да",'Капитальные вложения'!Y615,0)</f>
        <v>0</v>
      </c>
      <c s="125">
        <f>IF(Предпосылки!$G51="да",'Капитальные вложения'!Z615,0)</f>
        <v>0</v>
      </c>
      <c s="125">
        <f>IF(Предпосылки!$G51="да",'Капитальные вложения'!AA615,0)</f>
        <v>0</v>
      </c>
      <c s="125">
        <f>IF(Предпосылки!$G51="да",'Капитальные вложения'!AB615,0)</f>
        <v>0</v>
      </c>
      <c s="125">
        <f>IF(Предпосылки!$G51="да",'Капитальные вложения'!AC615,0)</f>
        <v>0</v>
      </c>
      <c s="125">
        <f>IF(Предпосылки!$G51="да",'Капитальные вложения'!AD615,0)</f>
        <v>0</v>
      </c>
      <c s="125">
        <f>IF(Предпосылки!$G51="да",'Капитальные вложения'!AE615,0)</f>
        <v>0</v>
      </c>
      <c s="125">
        <f>IF(Предпосылки!$G51="да",'Капитальные вложения'!AF615,0)</f>
        <v>0</v>
      </c>
      <c s="125">
        <f>IF(Предпосылки!$G51="да",'Капитальные вложения'!AG615,0)</f>
        <v>0</v>
      </c>
      <c s="125">
        <f>IF(Предпосылки!$G51="да",'Капитальные вложения'!AH615,0)</f>
        <v>0</v>
      </c>
      <c s="125">
        <f>IF(Предпосылки!$G51="да",'Капитальные вложения'!AI615,0)</f>
        <v>0</v>
      </c>
      <c s="125">
        <f>IF(Предпосылки!$G51="да",'Капитальные вложения'!AJ615,0)</f>
        <v>0</v>
      </c>
      <c s="125">
        <f>IF(Предпосылки!$G51="да",'Капитальные вложения'!AK615,0)</f>
        <v>0</v>
      </c>
      <c s="125">
        <f>IF(Предпосылки!$G51="да",'Капитальные вложения'!AL615,0)</f>
        <v>0</v>
      </c>
      <c s="125">
        <f>IF(Предпосылки!$G51="да",'Капитальные вложения'!AM615,0)</f>
        <v>0</v>
      </c>
      <c s="125">
        <f>IF(Предпосылки!$G51="да",'Капитальные вложения'!AN615,0)</f>
        <v>0</v>
      </c>
      <c s="125">
        <f>IF(Предпосылки!$G51="да",'Капитальные вложения'!AO615,0)</f>
        <v>0</v>
      </c>
      <c s="125">
        <f>IF(Предпосылки!$G51="да",'Капитальные вложения'!AP615,0)</f>
        <v>0</v>
      </c>
      <c s="125">
        <f>IF(Предпосылки!$G51="да",'Капитальные вложения'!AQ615,0)</f>
        <v>0</v>
      </c>
      <c s="125">
        <f>IF(Предпосылки!$G51="да",'Капитальные вложения'!AR615,0)</f>
        <v>0</v>
      </c>
      <c s="125">
        <f>IF(Предпосылки!$G51="да",'Капитальные вложения'!AS615,0)</f>
        <v>0</v>
      </c>
      <c s="125">
        <f>IF(Предпосылки!$G51="да",'Капитальные вложения'!AT615,0)</f>
        <v>0</v>
      </c>
      <c s="125">
        <f>IF(Предпосылки!$G51="да",'Капитальные вложения'!AU615,0)</f>
        <v>0</v>
      </c>
      <c s="125">
        <f>IF(Предпосылки!$G51="да",'Капитальные вложения'!AV615,0)</f>
        <v>0</v>
      </c>
      <c s="125">
        <f>IF(Предпосылки!$G51="да",'Капитальные вложения'!AW615,0)</f>
        <v>0</v>
      </c>
      <c s="125">
        <f>IF(Предпосылки!$G51="да",'Капитальные вложения'!AX615,0)</f>
        <v>0</v>
      </c>
      <c s="125">
        <f>IF(Предпосылки!$G51="да",'Капитальные вложения'!AY615,0)</f>
        <v>0</v>
      </c>
      <c s="125">
        <f>IF(Предпосылки!$G51="да",'Капитальные вложения'!AZ615,0)</f>
        <v>0</v>
      </c>
      <c s="125">
        <f>IF(Предпосылки!$G51="да",'Капитальные вложения'!BA615,0)</f>
        <v>0</v>
      </c>
      <c s="125">
        <f>IF(Предпосылки!$G51="да",'Капитальные вложения'!BB615,0)</f>
        <v>0</v>
      </c>
      <c s="125">
        <f>IF(Предпосылки!$G51="да",'Капитальные вложения'!BC615,0)</f>
        <v>0</v>
      </c>
      <c s="125">
        <f>IF(Предпосылки!$G51="да",'Капитальные вложения'!BD615,0)</f>
        <v>0</v>
      </c>
      <c s="125">
        <f>IF(Предпосылки!$G51="да",'Капитальные вложения'!BE615,0)</f>
        <v>0</v>
      </c>
      <c s="125">
        <f>IF(Предпосылки!$G51="да",'Капитальные вложения'!BF615,0)</f>
        <v>0</v>
      </c>
      <c s="125">
        <f>IF(Предпосылки!$G51="да",'Капитальные вложения'!BG615,0)</f>
        <v>0</v>
      </c>
      <c s="125">
        <f>IF(Предпосылки!$G51="да",'Капитальные вложения'!BH615,0)</f>
        <v>0</v>
      </c>
      <c s="125">
        <f>IF(Предпосылки!$G51="да",'Капитальные вложения'!BI615,0)</f>
        <v>0</v>
      </c>
      <c s="125">
        <f>IF(Предпосылки!$G51="да",'Капитальные вложения'!BJ615,0)</f>
        <v>0</v>
      </c>
      <c s="125">
        <f>IF(Предпосылки!$G51="да",'Капитальные вложения'!BK615,0)</f>
        <v>0</v>
      </c>
      <c s="125">
        <f>IF(Предпосылки!$G51="да",'Капитальные вложения'!BL615,0)</f>
        <v>0</v>
      </c>
      <c s="125">
        <f>IF(Предпосылки!$G51="да",'Капитальные вложения'!BM615,0)</f>
        <v>0</v>
      </c>
    </row>
    <row r="60" spans="2:65" ht="15" customHeight="1">
      <c r="B60" s="12" t="str">
        <f>IF(ISBLANK(Предпосылки!B52),"-",Предпосылки!B52)</f>
        <v>-</v>
      </c>
      <c s="124" t="str">
        <f t="shared" si="182"/>
        <v>тыс. руб.</v>
      </c>
      <c s="129"/>
      <c s="125">
        <f>IF(Предпосылки!$G52="да",'Капитальные вложения'!E616,0)</f>
        <v>0</v>
      </c>
      <c s="125">
        <f>IF(Предпосылки!$G52="да",'Капитальные вложения'!F616,0)</f>
        <v>0</v>
      </c>
      <c s="125">
        <f>IF(Предпосылки!$G52="да",'Капитальные вложения'!G616,0)</f>
        <v>0</v>
      </c>
      <c s="125">
        <f>IF(Предпосылки!$G52="да",'Капитальные вложения'!H616,0)</f>
        <v>0</v>
      </c>
      <c s="125">
        <f>IF(Предпосылки!$G52="да",'Капитальные вложения'!I616,0)</f>
        <v>0</v>
      </c>
      <c s="125">
        <f>IF(Предпосылки!$G52="да",'Капитальные вложения'!J616,0)</f>
        <v>0</v>
      </c>
      <c s="125">
        <f>IF(Предпосылки!$G52="да",'Капитальные вложения'!K616,0)</f>
        <v>0</v>
      </c>
      <c s="125">
        <f>IF(Предпосылки!$G52="да",'Капитальные вложения'!L616,0)</f>
        <v>0</v>
      </c>
      <c s="125">
        <f>IF(Предпосылки!$G52="да",'Капитальные вложения'!M616,0)</f>
        <v>0</v>
      </c>
      <c s="125">
        <f>IF(Предпосылки!$G52="да",'Капитальные вложения'!N616,0)</f>
        <v>0</v>
      </c>
      <c s="125">
        <f>IF(Предпосылки!$G52="да",'Капитальные вложения'!O616,0)</f>
        <v>0</v>
      </c>
      <c s="125">
        <f>IF(Предпосылки!$G52="да",'Капитальные вложения'!P616,0)</f>
        <v>0</v>
      </c>
      <c s="125">
        <f>IF(Предпосылки!$G52="да",'Капитальные вложения'!Q616,0)</f>
        <v>0</v>
      </c>
      <c s="125">
        <f>IF(Предпосылки!$G52="да",'Капитальные вложения'!R616,0)</f>
        <v>0</v>
      </c>
      <c s="125">
        <f>IF(Предпосылки!$G52="да",'Капитальные вложения'!S616,0)</f>
        <v>0</v>
      </c>
      <c s="125">
        <f>IF(Предпосылки!$G52="да",'Капитальные вложения'!T616,0)</f>
        <v>0</v>
      </c>
      <c s="125">
        <f>IF(Предпосылки!$G52="да",'Капитальные вложения'!U616,0)</f>
        <v>0</v>
      </c>
      <c s="125">
        <f>IF(Предпосылки!$G52="да",'Капитальные вложения'!V616,0)</f>
        <v>0</v>
      </c>
      <c s="125">
        <f>IF(Предпосылки!$G52="да",'Капитальные вложения'!W616,0)</f>
        <v>0</v>
      </c>
      <c s="125">
        <f>IF(Предпосылки!$G52="да",'Капитальные вложения'!X616,0)</f>
        <v>0</v>
      </c>
      <c s="125">
        <f>IF(Предпосылки!$G52="да",'Капитальные вложения'!Y616,0)</f>
        <v>0</v>
      </c>
      <c s="125">
        <f>IF(Предпосылки!$G52="да",'Капитальные вложения'!Z616,0)</f>
        <v>0</v>
      </c>
      <c s="125">
        <f>IF(Предпосылки!$G52="да",'Капитальные вложения'!AA616,0)</f>
        <v>0</v>
      </c>
      <c s="125">
        <f>IF(Предпосылки!$G52="да",'Капитальные вложения'!AB616,0)</f>
        <v>0</v>
      </c>
      <c s="125">
        <f>IF(Предпосылки!$G52="да",'Капитальные вложения'!AC616,0)</f>
        <v>0</v>
      </c>
      <c s="125">
        <f>IF(Предпосылки!$G52="да",'Капитальные вложения'!AD616,0)</f>
        <v>0</v>
      </c>
      <c s="125">
        <f>IF(Предпосылки!$G52="да",'Капитальные вложения'!AE616,0)</f>
        <v>0</v>
      </c>
      <c s="125">
        <f>IF(Предпосылки!$G52="да",'Капитальные вложения'!AF616,0)</f>
        <v>0</v>
      </c>
      <c s="125">
        <f>IF(Предпосылки!$G52="да",'Капитальные вложения'!AG616,0)</f>
        <v>0</v>
      </c>
      <c s="125">
        <f>IF(Предпосылки!$G52="да",'Капитальные вложения'!AH616,0)</f>
        <v>0</v>
      </c>
      <c s="125">
        <f>IF(Предпосылки!$G52="да",'Капитальные вложения'!AI616,0)</f>
        <v>0</v>
      </c>
      <c s="125">
        <f>IF(Предпосылки!$G52="да",'Капитальные вложения'!AJ616,0)</f>
        <v>0</v>
      </c>
      <c s="125">
        <f>IF(Предпосылки!$G52="да",'Капитальные вложения'!AK616,0)</f>
        <v>0</v>
      </c>
      <c s="125">
        <f>IF(Предпосылки!$G52="да",'Капитальные вложения'!AL616,0)</f>
        <v>0</v>
      </c>
      <c s="125">
        <f>IF(Предпосылки!$G52="да",'Капитальные вложения'!AM616,0)</f>
        <v>0</v>
      </c>
      <c s="125">
        <f>IF(Предпосылки!$G52="да",'Капитальные вложения'!AN616,0)</f>
        <v>0</v>
      </c>
      <c s="125">
        <f>IF(Предпосылки!$G52="да",'Капитальные вложения'!AO616,0)</f>
        <v>0</v>
      </c>
      <c s="125">
        <f>IF(Предпосылки!$G52="да",'Капитальные вложения'!AP616,0)</f>
        <v>0</v>
      </c>
      <c s="125">
        <f>IF(Предпосылки!$G52="да",'Капитальные вложения'!AQ616,0)</f>
        <v>0</v>
      </c>
      <c s="125">
        <f>IF(Предпосылки!$G52="да",'Капитальные вложения'!AR616,0)</f>
        <v>0</v>
      </c>
      <c s="125">
        <f>IF(Предпосылки!$G52="да",'Капитальные вложения'!AS616,0)</f>
        <v>0</v>
      </c>
      <c s="125">
        <f>IF(Предпосылки!$G52="да",'Капитальные вложения'!AT616,0)</f>
        <v>0</v>
      </c>
      <c s="125">
        <f>IF(Предпосылки!$G52="да",'Капитальные вложения'!AU616,0)</f>
        <v>0</v>
      </c>
      <c s="125">
        <f>IF(Предпосылки!$G52="да",'Капитальные вложения'!AV616,0)</f>
        <v>0</v>
      </c>
      <c s="125">
        <f>IF(Предпосылки!$G52="да",'Капитальные вложения'!AW616,0)</f>
        <v>0</v>
      </c>
      <c s="125">
        <f>IF(Предпосылки!$G52="да",'Капитальные вложения'!AX616,0)</f>
        <v>0</v>
      </c>
      <c s="125">
        <f>IF(Предпосылки!$G52="да",'Капитальные вложения'!AY616,0)</f>
        <v>0</v>
      </c>
      <c s="125">
        <f>IF(Предпосылки!$G52="да",'Капитальные вложения'!AZ616,0)</f>
        <v>0</v>
      </c>
      <c s="125">
        <f>IF(Предпосылки!$G52="да",'Капитальные вложения'!BA616,0)</f>
        <v>0</v>
      </c>
      <c s="125">
        <f>IF(Предпосылки!$G52="да",'Капитальные вложения'!BB616,0)</f>
        <v>0</v>
      </c>
      <c s="125">
        <f>IF(Предпосылки!$G52="да",'Капитальные вложения'!BC616,0)</f>
        <v>0</v>
      </c>
      <c s="125">
        <f>IF(Предпосылки!$G52="да",'Капитальные вложения'!BD616,0)</f>
        <v>0</v>
      </c>
      <c s="125">
        <f>IF(Предпосылки!$G52="да",'Капитальные вложения'!BE616,0)</f>
        <v>0</v>
      </c>
      <c s="125">
        <f>IF(Предпосылки!$G52="да",'Капитальные вложения'!BF616,0)</f>
        <v>0</v>
      </c>
      <c s="125">
        <f>IF(Предпосылки!$G52="да",'Капитальные вложения'!BG616,0)</f>
        <v>0</v>
      </c>
      <c s="125">
        <f>IF(Предпосылки!$G52="да",'Капитальные вложения'!BH616,0)</f>
        <v>0</v>
      </c>
      <c s="125">
        <f>IF(Предпосылки!$G52="да",'Капитальные вложения'!BI616,0)</f>
        <v>0</v>
      </c>
      <c s="125">
        <f>IF(Предпосылки!$G52="да",'Капитальные вложения'!BJ616,0)</f>
        <v>0</v>
      </c>
      <c s="125">
        <f>IF(Предпосылки!$G52="да",'Капитальные вложения'!BK616,0)</f>
        <v>0</v>
      </c>
      <c s="125">
        <f>IF(Предпосылки!$G52="да",'Капитальные вложения'!BL616,0)</f>
        <v>0</v>
      </c>
      <c s="125">
        <f>IF(Предпосылки!$G52="да",'Капитальные вложения'!BM616,0)</f>
        <v>0</v>
      </c>
    </row>
    <row r="61" spans="2:65" ht="15" customHeight="1">
      <c r="B61" s="12" t="str">
        <f>IF(ISBLANK(Предпосылки!B53),"-",Предпосылки!B53)</f>
        <v>-</v>
      </c>
      <c s="124" t="str">
        <f t="shared" si="182"/>
        <v>тыс. руб.</v>
      </c>
      <c s="129"/>
      <c s="125">
        <f>IF(Предпосылки!$G53="да",'Капитальные вложения'!E617,0)</f>
        <v>0</v>
      </c>
      <c s="125">
        <f>IF(Предпосылки!$G53="да",'Капитальные вложения'!F617,0)</f>
        <v>0</v>
      </c>
      <c s="125">
        <f>IF(Предпосылки!$G53="да",'Капитальные вложения'!G617,0)</f>
        <v>0</v>
      </c>
      <c s="125">
        <f>IF(Предпосылки!$G53="да",'Капитальные вложения'!H617,0)</f>
        <v>0</v>
      </c>
      <c s="125">
        <f>IF(Предпосылки!$G53="да",'Капитальные вложения'!I617,0)</f>
        <v>0</v>
      </c>
      <c s="125">
        <f>IF(Предпосылки!$G53="да",'Капитальные вложения'!J617,0)</f>
        <v>0</v>
      </c>
      <c s="125">
        <f>IF(Предпосылки!$G53="да",'Капитальные вложения'!K617,0)</f>
        <v>0</v>
      </c>
      <c s="125">
        <f>IF(Предпосылки!$G53="да",'Капитальные вложения'!L617,0)</f>
        <v>0</v>
      </c>
      <c s="125">
        <f>IF(Предпосылки!$G53="да",'Капитальные вложения'!M617,0)</f>
        <v>0</v>
      </c>
      <c s="125">
        <f>IF(Предпосылки!$G53="да",'Капитальные вложения'!N617,0)</f>
        <v>0</v>
      </c>
      <c s="125">
        <f>IF(Предпосылки!$G53="да",'Капитальные вложения'!O617,0)</f>
        <v>0</v>
      </c>
      <c s="125">
        <f>IF(Предпосылки!$G53="да",'Капитальные вложения'!P617,0)</f>
        <v>0</v>
      </c>
      <c s="125">
        <f>IF(Предпосылки!$G53="да",'Капитальные вложения'!Q617,0)</f>
        <v>0</v>
      </c>
      <c s="125">
        <f>IF(Предпосылки!$G53="да",'Капитальные вложения'!R617,0)</f>
        <v>0</v>
      </c>
      <c s="125">
        <f>IF(Предпосылки!$G53="да",'Капитальные вложения'!S617,0)</f>
        <v>0</v>
      </c>
      <c s="125">
        <f>IF(Предпосылки!$G53="да",'Капитальные вложения'!T617,0)</f>
        <v>0</v>
      </c>
      <c s="125">
        <f>IF(Предпосылки!$G53="да",'Капитальные вложения'!U617,0)</f>
        <v>0</v>
      </c>
      <c s="125">
        <f>IF(Предпосылки!$G53="да",'Капитальные вложения'!V617,0)</f>
        <v>0</v>
      </c>
      <c s="125">
        <f>IF(Предпосылки!$G53="да",'Капитальные вложения'!W617,0)</f>
        <v>0</v>
      </c>
      <c s="125">
        <f>IF(Предпосылки!$G53="да",'Капитальные вложения'!X617,0)</f>
        <v>0</v>
      </c>
      <c s="125">
        <f>IF(Предпосылки!$G53="да",'Капитальные вложения'!Y617,0)</f>
        <v>0</v>
      </c>
      <c s="125">
        <f>IF(Предпосылки!$G53="да",'Капитальные вложения'!Z617,0)</f>
        <v>0</v>
      </c>
      <c s="125">
        <f>IF(Предпосылки!$G53="да",'Капитальные вложения'!AA617,0)</f>
        <v>0</v>
      </c>
      <c s="125">
        <f>IF(Предпосылки!$G53="да",'Капитальные вложения'!AB617,0)</f>
        <v>0</v>
      </c>
      <c s="125">
        <f>IF(Предпосылки!$G53="да",'Капитальные вложения'!AC617,0)</f>
        <v>0</v>
      </c>
      <c s="125">
        <f>IF(Предпосылки!$G53="да",'Капитальные вложения'!AD617,0)</f>
        <v>0</v>
      </c>
      <c s="125">
        <f>IF(Предпосылки!$G53="да",'Капитальные вложения'!AE617,0)</f>
        <v>0</v>
      </c>
      <c s="125">
        <f>IF(Предпосылки!$G53="да",'Капитальные вложения'!AF617,0)</f>
        <v>0</v>
      </c>
      <c s="125">
        <f>IF(Предпосылки!$G53="да",'Капитальные вложения'!AG617,0)</f>
        <v>0</v>
      </c>
      <c s="125">
        <f>IF(Предпосылки!$G53="да",'Капитальные вложения'!AH617,0)</f>
        <v>0</v>
      </c>
      <c s="125">
        <f>IF(Предпосылки!$G53="да",'Капитальные вложения'!AI617,0)</f>
        <v>0</v>
      </c>
      <c s="125">
        <f>IF(Предпосылки!$G53="да",'Капитальные вложения'!AJ617,0)</f>
        <v>0</v>
      </c>
      <c s="125">
        <f>IF(Предпосылки!$G53="да",'Капитальные вложения'!AK617,0)</f>
        <v>0</v>
      </c>
      <c s="125">
        <f>IF(Предпосылки!$G53="да",'Капитальные вложения'!AL617,0)</f>
        <v>0</v>
      </c>
      <c s="125">
        <f>IF(Предпосылки!$G53="да",'Капитальные вложения'!AM617,0)</f>
        <v>0</v>
      </c>
      <c s="125">
        <f>IF(Предпосылки!$G53="да",'Капитальные вложения'!AN617,0)</f>
        <v>0</v>
      </c>
      <c s="125">
        <f>IF(Предпосылки!$G53="да",'Капитальные вложения'!AO617,0)</f>
        <v>0</v>
      </c>
      <c s="125">
        <f>IF(Предпосылки!$G53="да",'Капитальные вложения'!AP617,0)</f>
        <v>0</v>
      </c>
      <c s="125">
        <f>IF(Предпосылки!$G53="да",'Капитальные вложения'!AQ617,0)</f>
        <v>0</v>
      </c>
      <c s="125">
        <f>IF(Предпосылки!$G53="да",'Капитальные вложения'!AR617,0)</f>
        <v>0</v>
      </c>
      <c s="125">
        <f>IF(Предпосылки!$G53="да",'Капитальные вложения'!AS617,0)</f>
        <v>0</v>
      </c>
      <c s="125">
        <f>IF(Предпосылки!$G53="да",'Капитальные вложения'!AT617,0)</f>
        <v>0</v>
      </c>
      <c s="125">
        <f>IF(Предпосылки!$G53="да",'Капитальные вложения'!AU617,0)</f>
        <v>0</v>
      </c>
      <c s="125">
        <f>IF(Предпосылки!$G53="да",'Капитальные вложения'!AV617,0)</f>
        <v>0</v>
      </c>
      <c s="125">
        <f>IF(Предпосылки!$G53="да",'Капитальные вложения'!AW617,0)</f>
        <v>0</v>
      </c>
      <c s="125">
        <f>IF(Предпосылки!$G53="да",'Капитальные вложения'!AX617,0)</f>
        <v>0</v>
      </c>
      <c s="125">
        <f>IF(Предпосылки!$G53="да",'Капитальные вложения'!AY617,0)</f>
        <v>0</v>
      </c>
      <c s="125">
        <f>IF(Предпосылки!$G53="да",'Капитальные вложения'!AZ617,0)</f>
        <v>0</v>
      </c>
      <c s="125">
        <f>IF(Предпосылки!$G53="да",'Капитальные вложения'!BA617,0)</f>
        <v>0</v>
      </c>
      <c s="125">
        <f>IF(Предпосылки!$G53="да",'Капитальные вложения'!BB617,0)</f>
        <v>0</v>
      </c>
      <c s="125">
        <f>IF(Предпосылки!$G53="да",'Капитальные вложения'!BC617,0)</f>
        <v>0</v>
      </c>
      <c s="125">
        <f>IF(Предпосылки!$G53="да",'Капитальные вложения'!BD617,0)</f>
        <v>0</v>
      </c>
      <c s="125">
        <f>IF(Предпосылки!$G53="да",'Капитальные вложения'!BE617,0)</f>
        <v>0</v>
      </c>
      <c s="125">
        <f>IF(Предпосылки!$G53="да",'Капитальные вложения'!BF617,0)</f>
        <v>0</v>
      </c>
      <c s="125">
        <f>IF(Предпосылки!$G53="да",'Капитальные вложения'!BG617,0)</f>
        <v>0</v>
      </c>
      <c s="125">
        <f>IF(Предпосылки!$G53="да",'Капитальные вложения'!BH617,0)</f>
        <v>0</v>
      </c>
      <c s="125">
        <f>IF(Предпосылки!$G53="да",'Капитальные вложения'!BI617,0)</f>
        <v>0</v>
      </c>
      <c s="125">
        <f>IF(Предпосылки!$G53="да",'Капитальные вложения'!BJ617,0)</f>
        <v>0</v>
      </c>
      <c s="125">
        <f>IF(Предпосылки!$G53="да",'Капитальные вложения'!BK617,0)</f>
        <v>0</v>
      </c>
      <c s="125">
        <f>IF(Предпосылки!$G53="да",'Капитальные вложения'!BL617,0)</f>
        <v>0</v>
      </c>
      <c s="125">
        <f>IF(Предпосылки!$G53="да",'Капитальные вложения'!BM617,0)</f>
        <v>0</v>
      </c>
    </row>
    <row r="62" spans="2:65" ht="15" customHeight="1">
      <c r="B62" s="12" t="str">
        <f>IF(ISBLANK(Предпосылки!B54),"-",Предпосылки!B54)</f>
        <v>-</v>
      </c>
      <c s="124" t="str">
        <f t="shared" si="182"/>
        <v>тыс. руб.</v>
      </c>
      <c s="129"/>
      <c s="125">
        <f>IF(Предпосылки!$G54="да",'Капитальные вложения'!E618,0)</f>
        <v>0</v>
      </c>
      <c s="125">
        <f>IF(Предпосылки!$G54="да",'Капитальные вложения'!F618,0)</f>
        <v>0</v>
      </c>
      <c s="125">
        <f>IF(Предпосылки!$G54="да",'Капитальные вложения'!G618,0)</f>
        <v>0</v>
      </c>
      <c s="125">
        <f>IF(Предпосылки!$G54="да",'Капитальные вложения'!H618,0)</f>
        <v>0</v>
      </c>
      <c s="125">
        <f>IF(Предпосылки!$G54="да",'Капитальные вложения'!I618,0)</f>
        <v>0</v>
      </c>
      <c s="125">
        <f>IF(Предпосылки!$G54="да",'Капитальные вложения'!J618,0)</f>
        <v>0</v>
      </c>
      <c s="125">
        <f>IF(Предпосылки!$G54="да",'Капитальные вложения'!K618,0)</f>
        <v>0</v>
      </c>
      <c s="125">
        <f>IF(Предпосылки!$G54="да",'Капитальные вложения'!L618,0)</f>
        <v>0</v>
      </c>
      <c s="125">
        <f>IF(Предпосылки!$G54="да",'Капитальные вложения'!M618,0)</f>
        <v>0</v>
      </c>
      <c s="125">
        <f>IF(Предпосылки!$G54="да",'Капитальные вложения'!N618,0)</f>
        <v>0</v>
      </c>
      <c s="125">
        <f>IF(Предпосылки!$G54="да",'Капитальные вложения'!O618,0)</f>
        <v>0</v>
      </c>
      <c s="125">
        <f>IF(Предпосылки!$G54="да",'Капитальные вложения'!P618,0)</f>
        <v>0</v>
      </c>
      <c s="125">
        <f>IF(Предпосылки!$G54="да",'Капитальные вложения'!Q618,0)</f>
        <v>0</v>
      </c>
      <c s="125">
        <f>IF(Предпосылки!$G54="да",'Капитальные вложения'!R618,0)</f>
        <v>0</v>
      </c>
      <c s="125">
        <f>IF(Предпосылки!$G54="да",'Капитальные вложения'!S618,0)</f>
        <v>0</v>
      </c>
      <c s="125">
        <f>IF(Предпосылки!$G54="да",'Капитальные вложения'!T618,0)</f>
        <v>0</v>
      </c>
      <c s="125">
        <f>IF(Предпосылки!$G54="да",'Капитальные вложения'!U618,0)</f>
        <v>0</v>
      </c>
      <c s="125">
        <f>IF(Предпосылки!$G54="да",'Капитальные вложения'!V618,0)</f>
        <v>0</v>
      </c>
      <c s="125">
        <f>IF(Предпосылки!$G54="да",'Капитальные вложения'!W618,0)</f>
        <v>0</v>
      </c>
      <c s="125">
        <f>IF(Предпосылки!$G54="да",'Капитальные вложения'!X618,0)</f>
        <v>0</v>
      </c>
      <c s="125">
        <f>IF(Предпосылки!$G54="да",'Капитальные вложения'!Y618,0)</f>
        <v>0</v>
      </c>
      <c s="125">
        <f>IF(Предпосылки!$G54="да",'Капитальные вложения'!Z618,0)</f>
        <v>0</v>
      </c>
      <c s="125">
        <f>IF(Предпосылки!$G54="да",'Капитальные вложения'!AA618,0)</f>
        <v>0</v>
      </c>
      <c s="125">
        <f>IF(Предпосылки!$G54="да",'Капитальные вложения'!AB618,0)</f>
        <v>0</v>
      </c>
      <c s="125">
        <f>IF(Предпосылки!$G54="да",'Капитальные вложения'!AC618,0)</f>
        <v>0</v>
      </c>
      <c s="125">
        <f>IF(Предпосылки!$G54="да",'Капитальные вложения'!AD618,0)</f>
        <v>0</v>
      </c>
      <c s="125">
        <f>IF(Предпосылки!$G54="да",'Капитальные вложения'!AE618,0)</f>
        <v>0</v>
      </c>
      <c s="125">
        <f>IF(Предпосылки!$G54="да",'Капитальные вложения'!AF618,0)</f>
        <v>0</v>
      </c>
      <c s="125">
        <f>IF(Предпосылки!$G54="да",'Капитальные вложения'!AG618,0)</f>
        <v>0</v>
      </c>
      <c s="125">
        <f>IF(Предпосылки!$G54="да",'Капитальные вложения'!AH618,0)</f>
        <v>0</v>
      </c>
      <c s="125">
        <f>IF(Предпосылки!$G54="да",'Капитальные вложения'!AI618,0)</f>
        <v>0</v>
      </c>
      <c s="125">
        <f>IF(Предпосылки!$G54="да",'Капитальные вложения'!AJ618,0)</f>
        <v>0</v>
      </c>
      <c s="125">
        <f>IF(Предпосылки!$G54="да",'Капитальные вложения'!AK618,0)</f>
        <v>0</v>
      </c>
      <c s="125">
        <f>IF(Предпосылки!$G54="да",'Капитальные вложения'!AL618,0)</f>
        <v>0</v>
      </c>
      <c s="125">
        <f>IF(Предпосылки!$G54="да",'Капитальные вложения'!AM618,0)</f>
        <v>0</v>
      </c>
      <c s="125">
        <f>IF(Предпосылки!$G54="да",'Капитальные вложения'!AN618,0)</f>
        <v>0</v>
      </c>
      <c s="125">
        <f>IF(Предпосылки!$G54="да",'Капитальные вложения'!AO618,0)</f>
        <v>0</v>
      </c>
      <c s="125">
        <f>IF(Предпосылки!$G54="да",'Капитальные вложения'!AP618,0)</f>
        <v>0</v>
      </c>
      <c s="125">
        <f>IF(Предпосылки!$G54="да",'Капитальные вложения'!AQ618,0)</f>
        <v>0</v>
      </c>
      <c s="125">
        <f>IF(Предпосылки!$G54="да",'Капитальные вложения'!AR618,0)</f>
        <v>0</v>
      </c>
      <c s="125">
        <f>IF(Предпосылки!$G54="да",'Капитальные вложения'!AS618,0)</f>
        <v>0</v>
      </c>
      <c s="125">
        <f>IF(Предпосылки!$G54="да",'Капитальные вложения'!AT618,0)</f>
        <v>0</v>
      </c>
      <c s="125">
        <f>IF(Предпосылки!$G54="да",'Капитальные вложения'!AU618,0)</f>
        <v>0</v>
      </c>
      <c s="125">
        <f>IF(Предпосылки!$G54="да",'Капитальные вложения'!AV618,0)</f>
        <v>0</v>
      </c>
      <c s="125">
        <f>IF(Предпосылки!$G54="да",'Капитальные вложения'!AW618,0)</f>
        <v>0</v>
      </c>
      <c s="125">
        <f>IF(Предпосылки!$G54="да",'Капитальные вложения'!AX618,0)</f>
        <v>0</v>
      </c>
      <c s="125">
        <f>IF(Предпосылки!$G54="да",'Капитальные вложения'!AY618,0)</f>
        <v>0</v>
      </c>
      <c s="125">
        <f>IF(Предпосылки!$G54="да",'Капитальные вложения'!AZ618,0)</f>
        <v>0</v>
      </c>
      <c s="125">
        <f>IF(Предпосылки!$G54="да",'Капитальные вложения'!BA618,0)</f>
        <v>0</v>
      </c>
      <c s="125">
        <f>IF(Предпосылки!$G54="да",'Капитальные вложения'!BB618,0)</f>
        <v>0</v>
      </c>
      <c s="125">
        <f>IF(Предпосылки!$G54="да",'Капитальные вложения'!BC618,0)</f>
        <v>0</v>
      </c>
      <c s="125">
        <f>IF(Предпосылки!$G54="да",'Капитальные вложения'!BD618,0)</f>
        <v>0</v>
      </c>
      <c s="125">
        <f>IF(Предпосылки!$G54="да",'Капитальные вложения'!BE618,0)</f>
        <v>0</v>
      </c>
      <c s="125">
        <f>IF(Предпосылки!$G54="да",'Капитальные вложения'!BF618,0)</f>
        <v>0</v>
      </c>
      <c s="125">
        <f>IF(Предпосылки!$G54="да",'Капитальные вложения'!BG618,0)</f>
        <v>0</v>
      </c>
      <c s="125">
        <f>IF(Предпосылки!$G54="да",'Капитальные вложения'!BH618,0)</f>
        <v>0</v>
      </c>
      <c s="125">
        <f>IF(Предпосылки!$G54="да",'Капитальные вложения'!BI618,0)</f>
        <v>0</v>
      </c>
      <c s="125">
        <f>IF(Предпосылки!$G54="да",'Капитальные вложения'!BJ618,0)</f>
        <v>0</v>
      </c>
      <c s="125">
        <f>IF(Предпосылки!$G54="да",'Капитальные вложения'!BK618,0)</f>
        <v>0</v>
      </c>
      <c s="125">
        <f>IF(Предпосылки!$G54="да",'Капитальные вложения'!BL618,0)</f>
        <v>0</v>
      </c>
      <c s="125">
        <f>IF(Предпосылки!$G54="да",'Капитальные вложения'!BM618,0)</f>
        <v>0</v>
      </c>
    </row>
    <row r="63" spans="2:65" ht="15" customHeight="1">
      <c r="B63" s="12" t="str">
        <f>IF(ISBLANK(Предпосылки!B55),"-",Предпосылки!B55)</f>
        <v>-</v>
      </c>
      <c s="124" t="str">
        <f t="shared" si="182"/>
        <v>тыс. руб.</v>
      </c>
      <c s="129"/>
      <c s="125">
        <f>IF(Предпосылки!$G55="да",'Капитальные вложения'!E619,0)</f>
        <v>0</v>
      </c>
      <c s="125">
        <f>IF(Предпосылки!$G55="да",'Капитальные вложения'!F619,0)</f>
        <v>0</v>
      </c>
      <c s="125">
        <f>IF(Предпосылки!$G55="да",'Капитальные вложения'!G619,0)</f>
        <v>0</v>
      </c>
      <c s="125">
        <f>IF(Предпосылки!$G55="да",'Капитальные вложения'!H619,0)</f>
        <v>0</v>
      </c>
      <c s="125">
        <f>IF(Предпосылки!$G55="да",'Капитальные вложения'!I619,0)</f>
        <v>0</v>
      </c>
      <c s="125">
        <f>IF(Предпосылки!$G55="да",'Капитальные вложения'!J619,0)</f>
        <v>0</v>
      </c>
      <c s="125">
        <f>IF(Предпосылки!$G55="да",'Капитальные вложения'!K619,0)</f>
        <v>0</v>
      </c>
      <c s="125">
        <f>IF(Предпосылки!$G55="да",'Капитальные вложения'!L619,0)</f>
        <v>0</v>
      </c>
      <c s="125">
        <f>IF(Предпосылки!$G55="да",'Капитальные вложения'!M619,0)</f>
        <v>0</v>
      </c>
      <c s="125">
        <f>IF(Предпосылки!$G55="да",'Капитальные вложения'!N619,0)</f>
        <v>0</v>
      </c>
      <c s="125">
        <f>IF(Предпосылки!$G55="да",'Капитальные вложения'!O619,0)</f>
        <v>0</v>
      </c>
      <c s="125">
        <f>IF(Предпосылки!$G55="да",'Капитальные вложения'!P619,0)</f>
        <v>0</v>
      </c>
      <c s="125">
        <f>IF(Предпосылки!$G55="да",'Капитальные вложения'!Q619,0)</f>
        <v>0</v>
      </c>
      <c s="125">
        <f>IF(Предпосылки!$G55="да",'Капитальные вложения'!R619,0)</f>
        <v>0</v>
      </c>
      <c s="125">
        <f>IF(Предпосылки!$G55="да",'Капитальные вложения'!S619,0)</f>
        <v>0</v>
      </c>
      <c s="125">
        <f>IF(Предпосылки!$G55="да",'Капитальные вложения'!T619,0)</f>
        <v>0</v>
      </c>
      <c s="125">
        <f>IF(Предпосылки!$G55="да",'Капитальные вложения'!U619,0)</f>
        <v>0</v>
      </c>
      <c s="125">
        <f>IF(Предпосылки!$G55="да",'Капитальные вложения'!V619,0)</f>
        <v>0</v>
      </c>
      <c s="125">
        <f>IF(Предпосылки!$G55="да",'Капитальные вложения'!W619,0)</f>
        <v>0</v>
      </c>
      <c s="125">
        <f>IF(Предпосылки!$G55="да",'Капитальные вложения'!X619,0)</f>
        <v>0</v>
      </c>
      <c s="125">
        <f>IF(Предпосылки!$G55="да",'Капитальные вложения'!Y619,0)</f>
        <v>0</v>
      </c>
      <c s="125">
        <f>IF(Предпосылки!$G55="да",'Капитальные вложения'!Z619,0)</f>
        <v>0</v>
      </c>
      <c s="125">
        <f>IF(Предпосылки!$G55="да",'Капитальные вложения'!AA619,0)</f>
        <v>0</v>
      </c>
      <c s="125">
        <f>IF(Предпосылки!$G55="да",'Капитальные вложения'!AB619,0)</f>
        <v>0</v>
      </c>
      <c s="125">
        <f>IF(Предпосылки!$G55="да",'Капитальные вложения'!AC619,0)</f>
        <v>0</v>
      </c>
      <c s="125">
        <f>IF(Предпосылки!$G55="да",'Капитальные вложения'!AD619,0)</f>
        <v>0</v>
      </c>
      <c s="125">
        <f>IF(Предпосылки!$G55="да",'Капитальные вложения'!AE619,0)</f>
        <v>0</v>
      </c>
      <c s="125">
        <f>IF(Предпосылки!$G55="да",'Капитальные вложения'!AF619,0)</f>
        <v>0</v>
      </c>
      <c s="125">
        <f>IF(Предпосылки!$G55="да",'Капитальные вложения'!AG619,0)</f>
        <v>0</v>
      </c>
      <c s="125">
        <f>IF(Предпосылки!$G55="да",'Капитальные вложения'!AH619,0)</f>
        <v>0</v>
      </c>
      <c s="125">
        <f>IF(Предпосылки!$G55="да",'Капитальные вложения'!AI619,0)</f>
        <v>0</v>
      </c>
      <c s="125">
        <f>IF(Предпосылки!$G55="да",'Капитальные вложения'!AJ619,0)</f>
        <v>0</v>
      </c>
      <c s="125">
        <f>IF(Предпосылки!$G55="да",'Капитальные вложения'!AK619,0)</f>
        <v>0</v>
      </c>
      <c s="125">
        <f>IF(Предпосылки!$G55="да",'Капитальные вложения'!AL619,0)</f>
        <v>0</v>
      </c>
      <c s="125">
        <f>IF(Предпосылки!$G55="да",'Капитальные вложения'!AM619,0)</f>
        <v>0</v>
      </c>
      <c s="125">
        <f>IF(Предпосылки!$G55="да",'Капитальные вложения'!AN619,0)</f>
        <v>0</v>
      </c>
      <c s="125">
        <f>IF(Предпосылки!$G55="да",'Капитальные вложения'!AO619,0)</f>
        <v>0</v>
      </c>
      <c s="125">
        <f>IF(Предпосылки!$G55="да",'Капитальные вложения'!AP619,0)</f>
        <v>0</v>
      </c>
      <c s="125">
        <f>IF(Предпосылки!$G55="да",'Капитальные вложения'!AQ619,0)</f>
        <v>0</v>
      </c>
      <c s="125">
        <f>IF(Предпосылки!$G55="да",'Капитальные вложения'!AR619,0)</f>
        <v>0</v>
      </c>
      <c s="125">
        <f>IF(Предпосылки!$G55="да",'Капитальные вложения'!AS619,0)</f>
        <v>0</v>
      </c>
      <c s="125">
        <f>IF(Предпосылки!$G55="да",'Капитальные вложения'!AT619,0)</f>
        <v>0</v>
      </c>
      <c s="125">
        <f>IF(Предпосылки!$G55="да",'Капитальные вложения'!AU619,0)</f>
        <v>0</v>
      </c>
      <c s="125">
        <f>IF(Предпосылки!$G55="да",'Капитальные вложения'!AV619,0)</f>
        <v>0</v>
      </c>
      <c s="125">
        <f>IF(Предпосылки!$G55="да",'Капитальные вложения'!AW619,0)</f>
        <v>0</v>
      </c>
      <c s="125">
        <f>IF(Предпосылки!$G55="да",'Капитальные вложения'!AX619,0)</f>
        <v>0</v>
      </c>
      <c s="125">
        <f>IF(Предпосылки!$G55="да",'Капитальные вложения'!AY619,0)</f>
        <v>0</v>
      </c>
      <c s="125">
        <f>IF(Предпосылки!$G55="да",'Капитальные вложения'!AZ619,0)</f>
        <v>0</v>
      </c>
      <c s="125">
        <f>IF(Предпосылки!$G55="да",'Капитальные вложения'!BA619,0)</f>
        <v>0</v>
      </c>
      <c s="125">
        <f>IF(Предпосылки!$G55="да",'Капитальные вложения'!BB619,0)</f>
        <v>0</v>
      </c>
      <c s="125">
        <f>IF(Предпосылки!$G55="да",'Капитальные вложения'!BC619,0)</f>
        <v>0</v>
      </c>
      <c s="125">
        <f>IF(Предпосылки!$G55="да",'Капитальные вложения'!BD619,0)</f>
        <v>0</v>
      </c>
      <c s="125">
        <f>IF(Предпосылки!$G55="да",'Капитальные вложения'!BE619,0)</f>
        <v>0</v>
      </c>
      <c s="125">
        <f>IF(Предпосылки!$G55="да",'Капитальные вложения'!BF619,0)</f>
        <v>0</v>
      </c>
      <c s="125">
        <f>IF(Предпосылки!$G55="да",'Капитальные вложения'!BG619,0)</f>
        <v>0</v>
      </c>
      <c s="125">
        <f>IF(Предпосылки!$G55="да",'Капитальные вложения'!BH619,0)</f>
        <v>0</v>
      </c>
      <c s="125">
        <f>IF(Предпосылки!$G55="да",'Капитальные вложения'!BI619,0)</f>
        <v>0</v>
      </c>
      <c s="125">
        <f>IF(Предпосылки!$G55="да",'Капитальные вложения'!BJ619,0)</f>
        <v>0</v>
      </c>
      <c s="125">
        <f>IF(Предпосылки!$G55="да",'Капитальные вложения'!BK619,0)</f>
        <v>0</v>
      </c>
      <c s="125">
        <f>IF(Предпосылки!$G55="да",'Капитальные вложения'!BL619,0)</f>
        <v>0</v>
      </c>
      <c s="125">
        <f>IF(Предпосылки!$G55="да",'Капитальные вложения'!BM619,0)</f>
        <v>0</v>
      </c>
    </row>
    <row r="64" spans="2:65" ht="15" customHeight="1">
      <c r="B64" s="12" t="str">
        <f>IF(ISBLANK(Предпосылки!B56),"-",Предпосылки!B56)</f>
        <v>-</v>
      </c>
      <c s="124" t="str">
        <f t="shared" si="182"/>
        <v>тыс. руб.</v>
      </c>
      <c s="129"/>
      <c s="125">
        <f>IF(Предпосылки!$G56="да",'Капитальные вложения'!E620,0)</f>
        <v>0</v>
      </c>
      <c s="125">
        <f>IF(Предпосылки!$G56="да",'Капитальные вложения'!F620,0)</f>
        <v>0</v>
      </c>
      <c s="125">
        <f>IF(Предпосылки!$G56="да",'Капитальные вложения'!G620,0)</f>
        <v>0</v>
      </c>
      <c s="125">
        <f>IF(Предпосылки!$G56="да",'Капитальные вложения'!H620,0)</f>
        <v>0</v>
      </c>
      <c s="125">
        <f>IF(Предпосылки!$G56="да",'Капитальные вложения'!I620,0)</f>
        <v>0</v>
      </c>
      <c s="125">
        <f>IF(Предпосылки!$G56="да",'Капитальные вложения'!J620,0)</f>
        <v>0</v>
      </c>
      <c s="125">
        <f>IF(Предпосылки!$G56="да",'Капитальные вложения'!K620,0)</f>
        <v>0</v>
      </c>
      <c s="125">
        <f>IF(Предпосылки!$G56="да",'Капитальные вложения'!L620,0)</f>
        <v>0</v>
      </c>
      <c s="125">
        <f>IF(Предпосылки!$G56="да",'Капитальные вложения'!M620,0)</f>
        <v>0</v>
      </c>
      <c s="125">
        <f>IF(Предпосылки!$G56="да",'Капитальные вложения'!N620,0)</f>
        <v>0</v>
      </c>
      <c s="125">
        <f>IF(Предпосылки!$G56="да",'Капитальные вложения'!O620,0)</f>
        <v>0</v>
      </c>
      <c s="125">
        <f>IF(Предпосылки!$G56="да",'Капитальные вложения'!P620,0)</f>
        <v>0</v>
      </c>
      <c s="125">
        <f>IF(Предпосылки!$G56="да",'Капитальные вложения'!Q620,0)</f>
        <v>0</v>
      </c>
      <c s="125">
        <f>IF(Предпосылки!$G56="да",'Капитальные вложения'!R620,0)</f>
        <v>0</v>
      </c>
      <c s="125">
        <f>IF(Предпосылки!$G56="да",'Капитальные вложения'!S620,0)</f>
        <v>0</v>
      </c>
      <c s="125">
        <f>IF(Предпосылки!$G56="да",'Капитальные вложения'!T620,0)</f>
        <v>0</v>
      </c>
      <c s="125">
        <f>IF(Предпосылки!$G56="да",'Капитальные вложения'!U620,0)</f>
        <v>0</v>
      </c>
      <c s="125">
        <f>IF(Предпосылки!$G56="да",'Капитальные вложения'!V620,0)</f>
        <v>0</v>
      </c>
      <c s="125">
        <f>IF(Предпосылки!$G56="да",'Капитальные вложения'!W620,0)</f>
        <v>0</v>
      </c>
      <c s="125">
        <f>IF(Предпосылки!$G56="да",'Капитальные вложения'!X620,0)</f>
        <v>0</v>
      </c>
      <c s="125">
        <f>IF(Предпосылки!$G56="да",'Капитальные вложения'!Y620,0)</f>
        <v>0</v>
      </c>
      <c s="125">
        <f>IF(Предпосылки!$G56="да",'Капитальные вложения'!Z620,0)</f>
        <v>0</v>
      </c>
      <c s="125">
        <f>IF(Предпосылки!$G56="да",'Капитальные вложения'!AA620,0)</f>
        <v>0</v>
      </c>
      <c s="125">
        <f>IF(Предпосылки!$G56="да",'Капитальные вложения'!AB620,0)</f>
        <v>0</v>
      </c>
      <c s="125">
        <f>IF(Предпосылки!$G56="да",'Капитальные вложения'!AC620,0)</f>
        <v>0</v>
      </c>
      <c s="125">
        <f>IF(Предпосылки!$G56="да",'Капитальные вложения'!AD620,0)</f>
        <v>0</v>
      </c>
      <c s="125">
        <f>IF(Предпосылки!$G56="да",'Капитальные вложения'!AE620,0)</f>
        <v>0</v>
      </c>
      <c s="125">
        <f>IF(Предпосылки!$G56="да",'Капитальные вложения'!AF620,0)</f>
        <v>0</v>
      </c>
      <c s="125">
        <f>IF(Предпосылки!$G56="да",'Капитальные вложения'!AG620,0)</f>
        <v>0</v>
      </c>
      <c s="125">
        <f>IF(Предпосылки!$G56="да",'Капитальные вложения'!AH620,0)</f>
        <v>0</v>
      </c>
      <c s="125">
        <f>IF(Предпосылки!$G56="да",'Капитальные вложения'!AI620,0)</f>
        <v>0</v>
      </c>
      <c s="125">
        <f>IF(Предпосылки!$G56="да",'Капитальные вложения'!AJ620,0)</f>
        <v>0</v>
      </c>
      <c s="125">
        <f>IF(Предпосылки!$G56="да",'Капитальные вложения'!AK620,0)</f>
        <v>0</v>
      </c>
      <c s="125">
        <f>IF(Предпосылки!$G56="да",'Капитальные вложения'!AL620,0)</f>
        <v>0</v>
      </c>
      <c s="125">
        <f>IF(Предпосылки!$G56="да",'Капитальные вложения'!AM620,0)</f>
        <v>0</v>
      </c>
      <c s="125">
        <f>IF(Предпосылки!$G56="да",'Капитальные вложения'!AN620,0)</f>
        <v>0</v>
      </c>
      <c s="125">
        <f>IF(Предпосылки!$G56="да",'Капитальные вложения'!AO620,0)</f>
        <v>0</v>
      </c>
      <c s="125">
        <f>IF(Предпосылки!$G56="да",'Капитальные вложения'!AP620,0)</f>
        <v>0</v>
      </c>
      <c s="125">
        <f>IF(Предпосылки!$G56="да",'Капитальные вложения'!AQ620,0)</f>
        <v>0</v>
      </c>
      <c s="125">
        <f>IF(Предпосылки!$G56="да",'Капитальные вложения'!AR620,0)</f>
        <v>0</v>
      </c>
      <c s="125">
        <f>IF(Предпосылки!$G56="да",'Капитальные вложения'!AS620,0)</f>
        <v>0</v>
      </c>
      <c s="125">
        <f>IF(Предпосылки!$G56="да",'Капитальные вложения'!AT620,0)</f>
        <v>0</v>
      </c>
      <c s="125">
        <f>IF(Предпосылки!$G56="да",'Капитальные вложения'!AU620,0)</f>
        <v>0</v>
      </c>
      <c s="125">
        <f>IF(Предпосылки!$G56="да",'Капитальные вложения'!AV620,0)</f>
        <v>0</v>
      </c>
      <c s="125">
        <f>IF(Предпосылки!$G56="да",'Капитальные вложения'!AW620,0)</f>
        <v>0</v>
      </c>
      <c s="125">
        <f>IF(Предпосылки!$G56="да",'Капитальные вложения'!AX620,0)</f>
        <v>0</v>
      </c>
      <c s="125">
        <f>IF(Предпосылки!$G56="да",'Капитальные вложения'!AY620,0)</f>
        <v>0</v>
      </c>
      <c s="125">
        <f>IF(Предпосылки!$G56="да",'Капитальные вложения'!AZ620,0)</f>
        <v>0</v>
      </c>
      <c s="125">
        <f>IF(Предпосылки!$G56="да",'Капитальные вложения'!BA620,0)</f>
        <v>0</v>
      </c>
      <c s="125">
        <f>IF(Предпосылки!$G56="да",'Капитальные вложения'!BB620,0)</f>
        <v>0</v>
      </c>
      <c s="125">
        <f>IF(Предпосылки!$G56="да",'Капитальные вложения'!BC620,0)</f>
        <v>0</v>
      </c>
      <c s="125">
        <f>IF(Предпосылки!$G56="да",'Капитальные вложения'!BD620,0)</f>
        <v>0</v>
      </c>
      <c s="125">
        <f>IF(Предпосылки!$G56="да",'Капитальные вложения'!BE620,0)</f>
        <v>0</v>
      </c>
      <c s="125">
        <f>IF(Предпосылки!$G56="да",'Капитальные вложения'!BF620,0)</f>
        <v>0</v>
      </c>
      <c s="125">
        <f>IF(Предпосылки!$G56="да",'Капитальные вложения'!BG620,0)</f>
        <v>0</v>
      </c>
      <c s="125">
        <f>IF(Предпосылки!$G56="да",'Капитальные вложения'!BH620,0)</f>
        <v>0</v>
      </c>
      <c s="125">
        <f>IF(Предпосылки!$G56="да",'Капитальные вложения'!BI620,0)</f>
        <v>0</v>
      </c>
      <c s="125">
        <f>IF(Предпосылки!$G56="да",'Капитальные вложения'!BJ620,0)</f>
        <v>0</v>
      </c>
      <c s="125">
        <f>IF(Предпосылки!$G56="да",'Капитальные вложения'!BK620,0)</f>
        <v>0</v>
      </c>
      <c s="125">
        <f>IF(Предпосылки!$G56="да",'Капитальные вложения'!BL620,0)</f>
        <v>0</v>
      </c>
      <c s="125">
        <f>IF(Предпосылки!$G56="да",'Капитальные вложения'!BM620,0)</f>
        <v>0</v>
      </c>
    </row>
    <row r="65" spans="2:65" ht="15" customHeight="1">
      <c r="B65" s="12" t="str">
        <f>IF(ISBLANK(Предпосылки!B57),"-",Предпосылки!B57)</f>
        <v>-</v>
      </c>
      <c s="124" t="str">
        <f t="shared" si="182"/>
        <v>тыс. руб.</v>
      </c>
      <c s="129"/>
      <c s="125">
        <f>IF(Предпосылки!$G57="да",'Капитальные вложения'!E621,0)</f>
        <v>0</v>
      </c>
      <c s="125">
        <f>IF(Предпосылки!$G57="да",'Капитальные вложения'!F621,0)</f>
        <v>0</v>
      </c>
      <c s="125">
        <f>IF(Предпосылки!$G57="да",'Капитальные вложения'!G621,0)</f>
        <v>0</v>
      </c>
      <c s="125">
        <f>IF(Предпосылки!$G57="да",'Капитальные вложения'!H621,0)</f>
        <v>0</v>
      </c>
      <c s="125">
        <f>IF(Предпосылки!$G57="да",'Капитальные вложения'!I621,0)</f>
        <v>0</v>
      </c>
      <c s="125">
        <f>IF(Предпосылки!$G57="да",'Капитальные вложения'!J621,0)</f>
        <v>0</v>
      </c>
      <c s="125">
        <f>IF(Предпосылки!$G57="да",'Капитальные вложения'!K621,0)</f>
        <v>0</v>
      </c>
      <c s="125">
        <f>IF(Предпосылки!$G57="да",'Капитальные вложения'!L621,0)</f>
        <v>0</v>
      </c>
      <c s="125">
        <f>IF(Предпосылки!$G57="да",'Капитальные вложения'!M621,0)</f>
        <v>0</v>
      </c>
      <c s="125">
        <f>IF(Предпосылки!$G57="да",'Капитальные вложения'!N621,0)</f>
        <v>0</v>
      </c>
      <c s="125">
        <f>IF(Предпосылки!$G57="да",'Капитальные вложения'!O621,0)</f>
        <v>0</v>
      </c>
      <c s="125">
        <f>IF(Предпосылки!$G57="да",'Капитальные вложения'!P621,0)</f>
        <v>0</v>
      </c>
      <c s="125">
        <f>IF(Предпосылки!$G57="да",'Капитальные вложения'!Q621,0)</f>
        <v>0</v>
      </c>
      <c s="125">
        <f>IF(Предпосылки!$G57="да",'Капитальные вложения'!R621,0)</f>
        <v>0</v>
      </c>
      <c s="125">
        <f>IF(Предпосылки!$G57="да",'Капитальные вложения'!S621,0)</f>
        <v>0</v>
      </c>
      <c s="125">
        <f>IF(Предпосылки!$G57="да",'Капитальные вложения'!T621,0)</f>
        <v>0</v>
      </c>
      <c s="125">
        <f>IF(Предпосылки!$G57="да",'Капитальные вложения'!U621,0)</f>
        <v>0</v>
      </c>
      <c s="125">
        <f>IF(Предпосылки!$G57="да",'Капитальные вложения'!V621,0)</f>
        <v>0</v>
      </c>
      <c s="125">
        <f>IF(Предпосылки!$G57="да",'Капитальные вложения'!W621,0)</f>
        <v>0</v>
      </c>
      <c s="125">
        <f>IF(Предпосылки!$G57="да",'Капитальные вложения'!X621,0)</f>
        <v>0</v>
      </c>
      <c s="125">
        <f>IF(Предпосылки!$G57="да",'Капитальные вложения'!Y621,0)</f>
        <v>0</v>
      </c>
      <c s="125">
        <f>IF(Предпосылки!$G57="да",'Капитальные вложения'!Z621,0)</f>
        <v>0</v>
      </c>
      <c s="125">
        <f>IF(Предпосылки!$G57="да",'Капитальные вложения'!AA621,0)</f>
        <v>0</v>
      </c>
      <c s="125">
        <f>IF(Предпосылки!$G57="да",'Капитальные вложения'!AB621,0)</f>
        <v>0</v>
      </c>
      <c s="125">
        <f>IF(Предпосылки!$G57="да",'Капитальные вложения'!AC621,0)</f>
        <v>0</v>
      </c>
      <c s="125">
        <f>IF(Предпосылки!$G57="да",'Капитальные вложения'!AD621,0)</f>
        <v>0</v>
      </c>
      <c s="125">
        <f>IF(Предпосылки!$G57="да",'Капитальные вложения'!AE621,0)</f>
        <v>0</v>
      </c>
      <c s="125">
        <f>IF(Предпосылки!$G57="да",'Капитальные вложения'!AF621,0)</f>
        <v>0</v>
      </c>
      <c s="125">
        <f>IF(Предпосылки!$G57="да",'Капитальные вложения'!AG621,0)</f>
        <v>0</v>
      </c>
      <c s="125">
        <f>IF(Предпосылки!$G57="да",'Капитальные вложения'!AH621,0)</f>
        <v>0</v>
      </c>
      <c s="125">
        <f>IF(Предпосылки!$G57="да",'Капитальные вложения'!AI621,0)</f>
        <v>0</v>
      </c>
      <c s="125">
        <f>IF(Предпосылки!$G57="да",'Капитальные вложения'!AJ621,0)</f>
        <v>0</v>
      </c>
      <c s="125">
        <f>IF(Предпосылки!$G57="да",'Капитальные вложения'!AK621,0)</f>
        <v>0</v>
      </c>
      <c s="125">
        <f>IF(Предпосылки!$G57="да",'Капитальные вложения'!AL621,0)</f>
        <v>0</v>
      </c>
      <c s="125">
        <f>IF(Предпосылки!$G57="да",'Капитальные вложения'!AM621,0)</f>
        <v>0</v>
      </c>
      <c s="125">
        <f>IF(Предпосылки!$G57="да",'Капитальные вложения'!AN621,0)</f>
        <v>0</v>
      </c>
      <c s="125">
        <f>IF(Предпосылки!$G57="да",'Капитальные вложения'!AO621,0)</f>
        <v>0</v>
      </c>
      <c s="125">
        <f>IF(Предпосылки!$G57="да",'Капитальные вложения'!AP621,0)</f>
        <v>0</v>
      </c>
      <c s="125">
        <f>IF(Предпосылки!$G57="да",'Капитальные вложения'!AQ621,0)</f>
        <v>0</v>
      </c>
      <c s="125">
        <f>IF(Предпосылки!$G57="да",'Капитальные вложения'!AR621,0)</f>
        <v>0</v>
      </c>
      <c s="125">
        <f>IF(Предпосылки!$G57="да",'Капитальные вложения'!AS621,0)</f>
        <v>0</v>
      </c>
      <c s="125">
        <f>IF(Предпосылки!$G57="да",'Капитальные вложения'!AT621,0)</f>
        <v>0</v>
      </c>
      <c s="125">
        <f>IF(Предпосылки!$G57="да",'Капитальные вложения'!AU621,0)</f>
        <v>0</v>
      </c>
      <c s="125">
        <f>IF(Предпосылки!$G57="да",'Капитальные вложения'!AV621,0)</f>
        <v>0</v>
      </c>
      <c s="125">
        <f>IF(Предпосылки!$G57="да",'Капитальные вложения'!AW621,0)</f>
        <v>0</v>
      </c>
      <c s="125">
        <f>IF(Предпосылки!$G57="да",'Капитальные вложения'!AX621,0)</f>
        <v>0</v>
      </c>
      <c s="125">
        <f>IF(Предпосылки!$G57="да",'Капитальные вложения'!AY621,0)</f>
        <v>0</v>
      </c>
      <c s="125">
        <f>IF(Предпосылки!$G57="да",'Капитальные вложения'!AZ621,0)</f>
        <v>0</v>
      </c>
      <c s="125">
        <f>IF(Предпосылки!$G57="да",'Капитальные вложения'!BA621,0)</f>
        <v>0</v>
      </c>
      <c s="125">
        <f>IF(Предпосылки!$G57="да",'Капитальные вложения'!BB621,0)</f>
        <v>0</v>
      </c>
      <c s="125">
        <f>IF(Предпосылки!$G57="да",'Капитальные вложения'!BC621,0)</f>
        <v>0</v>
      </c>
      <c s="125">
        <f>IF(Предпосылки!$G57="да",'Капитальные вложения'!BD621,0)</f>
        <v>0</v>
      </c>
      <c s="125">
        <f>IF(Предпосылки!$G57="да",'Капитальные вложения'!BE621,0)</f>
        <v>0</v>
      </c>
      <c s="125">
        <f>IF(Предпосылки!$G57="да",'Капитальные вложения'!BF621,0)</f>
        <v>0</v>
      </c>
      <c s="125">
        <f>IF(Предпосылки!$G57="да",'Капитальные вложения'!BG621,0)</f>
        <v>0</v>
      </c>
      <c s="125">
        <f>IF(Предпосылки!$G57="да",'Капитальные вложения'!BH621,0)</f>
        <v>0</v>
      </c>
      <c s="125">
        <f>IF(Предпосылки!$G57="да",'Капитальные вложения'!BI621,0)</f>
        <v>0</v>
      </c>
      <c s="125">
        <f>IF(Предпосылки!$G57="да",'Капитальные вложения'!BJ621,0)</f>
        <v>0</v>
      </c>
      <c s="125">
        <f>IF(Предпосылки!$G57="да",'Капитальные вложения'!BK621,0)</f>
        <v>0</v>
      </c>
      <c s="125">
        <f>IF(Предпосылки!$G57="да",'Капитальные вложения'!BL621,0)</f>
        <v>0</v>
      </c>
      <c s="125">
        <f>IF(Предпосылки!$G57="да",'Капитальные вложения'!BM621,0)</f>
        <v>0</v>
      </c>
    </row>
    <row r="66" spans="2:65" ht="15" customHeight="1">
      <c r="B66" s="12" t="str">
        <f>IF(ISBLANK(Предпосылки!B58),"-",Предпосылки!B58)</f>
        <v>-</v>
      </c>
      <c s="124" t="str">
        <f t="shared" si="182"/>
        <v>тыс. руб.</v>
      </c>
      <c s="129"/>
      <c s="125">
        <f>IF(Предпосылки!$G58="да",'Капитальные вложения'!E622,0)</f>
        <v>0</v>
      </c>
      <c s="125">
        <f>IF(Предпосылки!$G58="да",'Капитальные вложения'!F622,0)</f>
        <v>0</v>
      </c>
      <c s="125">
        <f>IF(Предпосылки!$G58="да",'Капитальные вложения'!G622,0)</f>
        <v>0</v>
      </c>
      <c s="125">
        <f>IF(Предпосылки!$G58="да",'Капитальные вложения'!H622,0)</f>
        <v>0</v>
      </c>
      <c s="125">
        <f>IF(Предпосылки!$G58="да",'Капитальные вложения'!I622,0)</f>
        <v>0</v>
      </c>
      <c s="125">
        <f>IF(Предпосылки!$G58="да",'Капитальные вложения'!J622,0)</f>
        <v>0</v>
      </c>
      <c s="125">
        <f>IF(Предпосылки!$G58="да",'Капитальные вложения'!K622,0)</f>
        <v>0</v>
      </c>
      <c s="125">
        <f>IF(Предпосылки!$G58="да",'Капитальные вложения'!L622,0)</f>
        <v>0</v>
      </c>
      <c s="125">
        <f>IF(Предпосылки!$G58="да",'Капитальные вложения'!M622,0)</f>
        <v>0</v>
      </c>
      <c s="125">
        <f>IF(Предпосылки!$G58="да",'Капитальные вложения'!N622,0)</f>
        <v>0</v>
      </c>
      <c s="125">
        <f>IF(Предпосылки!$G58="да",'Капитальные вложения'!O622,0)</f>
        <v>0</v>
      </c>
      <c s="125">
        <f>IF(Предпосылки!$G58="да",'Капитальные вложения'!P622,0)</f>
        <v>0</v>
      </c>
      <c s="125">
        <f>IF(Предпосылки!$G58="да",'Капитальные вложения'!Q622,0)</f>
        <v>0</v>
      </c>
      <c s="125">
        <f>IF(Предпосылки!$G58="да",'Капитальные вложения'!R622,0)</f>
        <v>0</v>
      </c>
      <c s="125">
        <f>IF(Предпосылки!$G58="да",'Капитальные вложения'!S622,0)</f>
        <v>0</v>
      </c>
      <c s="125">
        <f>IF(Предпосылки!$G58="да",'Капитальные вложения'!T622,0)</f>
        <v>0</v>
      </c>
      <c s="125">
        <f>IF(Предпосылки!$G58="да",'Капитальные вложения'!U622,0)</f>
        <v>0</v>
      </c>
      <c s="125">
        <f>IF(Предпосылки!$G58="да",'Капитальные вложения'!V622,0)</f>
        <v>0</v>
      </c>
      <c s="125">
        <f>IF(Предпосылки!$G58="да",'Капитальные вложения'!W622,0)</f>
        <v>0</v>
      </c>
      <c s="125">
        <f>IF(Предпосылки!$G58="да",'Капитальные вложения'!X622,0)</f>
        <v>0</v>
      </c>
      <c s="125">
        <f>IF(Предпосылки!$G58="да",'Капитальные вложения'!Y622,0)</f>
        <v>0</v>
      </c>
      <c s="125">
        <f>IF(Предпосылки!$G58="да",'Капитальные вложения'!Z622,0)</f>
        <v>0</v>
      </c>
      <c s="125">
        <f>IF(Предпосылки!$G58="да",'Капитальные вложения'!AA622,0)</f>
        <v>0</v>
      </c>
      <c s="125">
        <f>IF(Предпосылки!$G58="да",'Капитальные вложения'!AB622,0)</f>
        <v>0</v>
      </c>
      <c s="125">
        <f>IF(Предпосылки!$G58="да",'Капитальные вложения'!AC622,0)</f>
        <v>0</v>
      </c>
      <c s="125">
        <f>IF(Предпосылки!$G58="да",'Капитальные вложения'!AD622,0)</f>
        <v>0</v>
      </c>
      <c s="125">
        <f>IF(Предпосылки!$G58="да",'Капитальные вложения'!AE622,0)</f>
        <v>0</v>
      </c>
      <c s="125">
        <f>IF(Предпосылки!$G58="да",'Капитальные вложения'!AF622,0)</f>
        <v>0</v>
      </c>
      <c s="125">
        <f>IF(Предпосылки!$G58="да",'Капитальные вложения'!AG622,0)</f>
        <v>0</v>
      </c>
      <c s="125">
        <f>IF(Предпосылки!$G58="да",'Капитальные вложения'!AH622,0)</f>
        <v>0</v>
      </c>
      <c s="125">
        <f>IF(Предпосылки!$G58="да",'Капитальные вложения'!AI622,0)</f>
        <v>0</v>
      </c>
      <c s="125">
        <f>IF(Предпосылки!$G58="да",'Капитальные вложения'!AJ622,0)</f>
        <v>0</v>
      </c>
      <c s="125">
        <f>IF(Предпосылки!$G58="да",'Капитальные вложения'!AK622,0)</f>
        <v>0</v>
      </c>
      <c s="125">
        <f>IF(Предпосылки!$G58="да",'Капитальные вложения'!AL622,0)</f>
        <v>0</v>
      </c>
      <c s="125">
        <f>IF(Предпосылки!$G58="да",'Капитальные вложения'!AM622,0)</f>
        <v>0</v>
      </c>
      <c s="125">
        <f>IF(Предпосылки!$G58="да",'Капитальные вложения'!AN622,0)</f>
        <v>0</v>
      </c>
      <c s="125">
        <f>IF(Предпосылки!$G58="да",'Капитальные вложения'!AO622,0)</f>
        <v>0</v>
      </c>
      <c s="125">
        <f>IF(Предпосылки!$G58="да",'Капитальные вложения'!AP622,0)</f>
        <v>0</v>
      </c>
      <c s="125">
        <f>IF(Предпосылки!$G58="да",'Капитальные вложения'!AQ622,0)</f>
        <v>0</v>
      </c>
      <c s="125">
        <f>IF(Предпосылки!$G58="да",'Капитальные вложения'!AR622,0)</f>
        <v>0</v>
      </c>
      <c s="125">
        <f>IF(Предпосылки!$G58="да",'Капитальные вложения'!AS622,0)</f>
        <v>0</v>
      </c>
      <c s="125">
        <f>IF(Предпосылки!$G58="да",'Капитальные вложения'!AT622,0)</f>
        <v>0</v>
      </c>
      <c s="125">
        <f>IF(Предпосылки!$G58="да",'Капитальные вложения'!AU622,0)</f>
        <v>0</v>
      </c>
      <c s="125">
        <f>IF(Предпосылки!$G58="да",'Капитальные вложения'!AV622,0)</f>
        <v>0</v>
      </c>
      <c s="125">
        <f>IF(Предпосылки!$G58="да",'Капитальные вложения'!AW622,0)</f>
        <v>0</v>
      </c>
      <c s="125">
        <f>IF(Предпосылки!$G58="да",'Капитальные вложения'!AX622,0)</f>
        <v>0</v>
      </c>
      <c s="125">
        <f>IF(Предпосылки!$G58="да",'Капитальные вложения'!AY622,0)</f>
        <v>0</v>
      </c>
      <c s="125">
        <f>IF(Предпосылки!$G58="да",'Капитальные вложения'!AZ622,0)</f>
        <v>0</v>
      </c>
      <c s="125">
        <f>IF(Предпосылки!$G58="да",'Капитальные вложения'!BA622,0)</f>
        <v>0</v>
      </c>
      <c s="125">
        <f>IF(Предпосылки!$G58="да",'Капитальные вложения'!BB622,0)</f>
        <v>0</v>
      </c>
      <c s="125">
        <f>IF(Предпосылки!$G58="да",'Капитальные вложения'!BC622,0)</f>
        <v>0</v>
      </c>
      <c s="125">
        <f>IF(Предпосылки!$G58="да",'Капитальные вложения'!BD622,0)</f>
        <v>0</v>
      </c>
      <c s="125">
        <f>IF(Предпосылки!$G58="да",'Капитальные вложения'!BE622,0)</f>
        <v>0</v>
      </c>
      <c s="125">
        <f>IF(Предпосылки!$G58="да",'Капитальные вложения'!BF622,0)</f>
        <v>0</v>
      </c>
      <c s="125">
        <f>IF(Предпосылки!$G58="да",'Капитальные вложения'!BG622,0)</f>
        <v>0</v>
      </c>
      <c s="125">
        <f>IF(Предпосылки!$G58="да",'Капитальные вложения'!BH622,0)</f>
        <v>0</v>
      </c>
      <c s="125">
        <f>IF(Предпосылки!$G58="да",'Капитальные вложения'!BI622,0)</f>
        <v>0</v>
      </c>
      <c s="125">
        <f>IF(Предпосылки!$G58="да",'Капитальные вложения'!BJ622,0)</f>
        <v>0</v>
      </c>
      <c s="125">
        <f>IF(Предпосылки!$G58="да",'Капитальные вложения'!BK622,0)</f>
        <v>0</v>
      </c>
      <c s="125">
        <f>IF(Предпосылки!$G58="да",'Капитальные вложения'!BL622,0)</f>
        <v>0</v>
      </c>
      <c s="125">
        <f>IF(Предпосылки!$G58="да",'Капитальные вложения'!BM622,0)</f>
        <v>0</v>
      </c>
    </row>
    <row r="67" spans="2:65" ht="15" customHeight="1">
      <c r="B67" s="12" t="str">
        <f>IF(ISBLANK(Предпосылки!B59),"-",Предпосылки!B59)</f>
        <v>-</v>
      </c>
      <c s="124" t="str">
        <f t="shared" si="182"/>
        <v>тыс. руб.</v>
      </c>
      <c s="129"/>
      <c s="125">
        <f>IF(Предпосылки!$G59="да",'Капитальные вложения'!E623,0)</f>
        <v>0</v>
      </c>
      <c s="125">
        <f>IF(Предпосылки!$G59="да",'Капитальные вложения'!F623,0)</f>
        <v>0</v>
      </c>
      <c s="125">
        <f>IF(Предпосылки!$G59="да",'Капитальные вложения'!G623,0)</f>
        <v>0</v>
      </c>
      <c s="125">
        <f>IF(Предпосылки!$G59="да",'Капитальные вложения'!H623,0)</f>
        <v>0</v>
      </c>
      <c s="125">
        <f>IF(Предпосылки!$G59="да",'Капитальные вложения'!I623,0)</f>
        <v>0</v>
      </c>
      <c s="125">
        <f>IF(Предпосылки!$G59="да",'Капитальные вложения'!J623,0)</f>
        <v>0</v>
      </c>
      <c s="125">
        <f>IF(Предпосылки!$G59="да",'Капитальные вложения'!K623,0)</f>
        <v>0</v>
      </c>
      <c s="125">
        <f>IF(Предпосылки!$G59="да",'Капитальные вложения'!L623,0)</f>
        <v>0</v>
      </c>
      <c s="125">
        <f>IF(Предпосылки!$G59="да",'Капитальные вложения'!M623,0)</f>
        <v>0</v>
      </c>
      <c s="125">
        <f>IF(Предпосылки!$G59="да",'Капитальные вложения'!N623,0)</f>
        <v>0</v>
      </c>
      <c s="125">
        <f>IF(Предпосылки!$G59="да",'Капитальные вложения'!O623,0)</f>
        <v>0</v>
      </c>
      <c s="125">
        <f>IF(Предпосылки!$G59="да",'Капитальные вложения'!P623,0)</f>
        <v>0</v>
      </c>
      <c s="125">
        <f>IF(Предпосылки!$G59="да",'Капитальные вложения'!Q623,0)</f>
        <v>0</v>
      </c>
      <c s="125">
        <f>IF(Предпосылки!$G59="да",'Капитальные вложения'!R623,0)</f>
        <v>0</v>
      </c>
      <c s="125">
        <f>IF(Предпосылки!$G59="да",'Капитальные вложения'!S623,0)</f>
        <v>0</v>
      </c>
      <c s="125">
        <f>IF(Предпосылки!$G59="да",'Капитальные вложения'!T623,0)</f>
        <v>0</v>
      </c>
      <c s="125">
        <f>IF(Предпосылки!$G59="да",'Капитальные вложения'!U623,0)</f>
        <v>0</v>
      </c>
      <c s="125">
        <f>IF(Предпосылки!$G59="да",'Капитальные вложения'!V623,0)</f>
        <v>0</v>
      </c>
      <c s="125">
        <f>IF(Предпосылки!$G59="да",'Капитальные вложения'!W623,0)</f>
        <v>0</v>
      </c>
      <c s="125">
        <f>IF(Предпосылки!$G59="да",'Капитальные вложения'!X623,0)</f>
        <v>0</v>
      </c>
      <c s="125">
        <f>IF(Предпосылки!$G59="да",'Капитальные вложения'!Y623,0)</f>
        <v>0</v>
      </c>
      <c s="125">
        <f>IF(Предпосылки!$G59="да",'Капитальные вложения'!Z623,0)</f>
        <v>0</v>
      </c>
      <c s="125">
        <f>IF(Предпосылки!$G59="да",'Капитальные вложения'!AA623,0)</f>
        <v>0</v>
      </c>
      <c s="125">
        <f>IF(Предпосылки!$G59="да",'Капитальные вложения'!AB623,0)</f>
        <v>0</v>
      </c>
      <c s="125">
        <f>IF(Предпосылки!$G59="да",'Капитальные вложения'!AC623,0)</f>
        <v>0</v>
      </c>
      <c s="125">
        <f>IF(Предпосылки!$G59="да",'Капитальные вложения'!AD623,0)</f>
        <v>0</v>
      </c>
      <c s="125">
        <f>IF(Предпосылки!$G59="да",'Капитальные вложения'!AE623,0)</f>
        <v>0</v>
      </c>
      <c s="125">
        <f>IF(Предпосылки!$G59="да",'Капитальные вложения'!AF623,0)</f>
        <v>0</v>
      </c>
      <c s="125">
        <f>IF(Предпосылки!$G59="да",'Капитальные вложения'!AG623,0)</f>
        <v>0</v>
      </c>
      <c s="125">
        <f>IF(Предпосылки!$G59="да",'Капитальные вложения'!AH623,0)</f>
        <v>0</v>
      </c>
      <c s="125">
        <f>IF(Предпосылки!$G59="да",'Капитальные вложения'!AI623,0)</f>
        <v>0</v>
      </c>
      <c s="125">
        <f>IF(Предпосылки!$G59="да",'Капитальные вложения'!AJ623,0)</f>
        <v>0</v>
      </c>
      <c s="125">
        <f>IF(Предпосылки!$G59="да",'Капитальные вложения'!AK623,0)</f>
        <v>0</v>
      </c>
      <c s="125">
        <f>IF(Предпосылки!$G59="да",'Капитальные вложения'!AL623,0)</f>
        <v>0</v>
      </c>
      <c s="125">
        <f>IF(Предпосылки!$G59="да",'Капитальные вложения'!AM623,0)</f>
        <v>0</v>
      </c>
      <c s="125">
        <f>IF(Предпосылки!$G59="да",'Капитальные вложения'!AN623,0)</f>
        <v>0</v>
      </c>
      <c s="125">
        <f>IF(Предпосылки!$G59="да",'Капитальные вложения'!AO623,0)</f>
        <v>0</v>
      </c>
      <c s="125">
        <f>IF(Предпосылки!$G59="да",'Капитальные вложения'!AP623,0)</f>
        <v>0</v>
      </c>
      <c s="125">
        <f>IF(Предпосылки!$G59="да",'Капитальные вложения'!AQ623,0)</f>
        <v>0</v>
      </c>
      <c s="125">
        <f>IF(Предпосылки!$G59="да",'Капитальные вложения'!AR623,0)</f>
        <v>0</v>
      </c>
      <c s="125">
        <f>IF(Предпосылки!$G59="да",'Капитальные вложения'!AS623,0)</f>
        <v>0</v>
      </c>
      <c s="125">
        <f>IF(Предпосылки!$G59="да",'Капитальные вложения'!AT623,0)</f>
        <v>0</v>
      </c>
      <c s="125">
        <f>IF(Предпосылки!$G59="да",'Капитальные вложения'!AU623,0)</f>
        <v>0</v>
      </c>
      <c s="125">
        <f>IF(Предпосылки!$G59="да",'Капитальные вложения'!AV623,0)</f>
        <v>0</v>
      </c>
      <c s="125">
        <f>IF(Предпосылки!$G59="да",'Капитальные вложения'!AW623,0)</f>
        <v>0</v>
      </c>
      <c s="125">
        <f>IF(Предпосылки!$G59="да",'Капитальные вложения'!AX623,0)</f>
        <v>0</v>
      </c>
      <c s="125">
        <f>IF(Предпосылки!$G59="да",'Капитальные вложения'!AY623,0)</f>
        <v>0</v>
      </c>
      <c s="125">
        <f>IF(Предпосылки!$G59="да",'Капитальные вложения'!AZ623,0)</f>
        <v>0</v>
      </c>
      <c s="125">
        <f>IF(Предпосылки!$G59="да",'Капитальные вложения'!BA623,0)</f>
        <v>0</v>
      </c>
      <c s="125">
        <f>IF(Предпосылки!$G59="да",'Капитальные вложения'!BB623,0)</f>
        <v>0</v>
      </c>
      <c s="125">
        <f>IF(Предпосылки!$G59="да",'Капитальные вложения'!BC623,0)</f>
        <v>0</v>
      </c>
      <c s="125">
        <f>IF(Предпосылки!$G59="да",'Капитальные вложения'!BD623,0)</f>
        <v>0</v>
      </c>
      <c s="125">
        <f>IF(Предпосылки!$G59="да",'Капитальные вложения'!BE623,0)</f>
        <v>0</v>
      </c>
      <c s="125">
        <f>IF(Предпосылки!$G59="да",'Капитальные вложения'!BF623,0)</f>
        <v>0</v>
      </c>
      <c s="125">
        <f>IF(Предпосылки!$G59="да",'Капитальные вложения'!BG623,0)</f>
        <v>0</v>
      </c>
      <c s="125">
        <f>IF(Предпосылки!$G59="да",'Капитальные вложения'!BH623,0)</f>
        <v>0</v>
      </c>
      <c s="125">
        <f>IF(Предпосылки!$G59="да",'Капитальные вложения'!BI623,0)</f>
        <v>0</v>
      </c>
      <c s="125">
        <f>IF(Предпосылки!$G59="да",'Капитальные вложения'!BJ623,0)</f>
        <v>0</v>
      </c>
      <c s="125">
        <f>IF(Предпосылки!$G59="да",'Капитальные вложения'!BK623,0)</f>
        <v>0</v>
      </c>
      <c s="125">
        <f>IF(Предпосылки!$G59="да",'Капитальные вложения'!BL623,0)</f>
        <v>0</v>
      </c>
      <c s="125">
        <f>IF(Предпосылки!$G59="да",'Капитальные вложения'!BM623,0)</f>
        <v>0</v>
      </c>
    </row>
    <row r="68" spans="2:65" ht="15" customHeight="1">
      <c r="B68" s="12" t="str">
        <f>IF(ISBLANK(Предпосылки!B60),"-",Предпосылки!B60)</f>
        <v>-</v>
      </c>
      <c s="124" t="str">
        <f t="shared" si="182"/>
        <v>тыс. руб.</v>
      </c>
      <c s="129"/>
      <c s="125">
        <f>IF(Предпосылки!$G60="да",'Капитальные вложения'!E624,0)</f>
        <v>0</v>
      </c>
      <c s="125">
        <f>IF(Предпосылки!$G60="да",'Капитальные вложения'!F624,0)</f>
        <v>0</v>
      </c>
      <c s="125">
        <f>IF(Предпосылки!$G60="да",'Капитальные вложения'!G624,0)</f>
        <v>0</v>
      </c>
      <c s="125">
        <f>IF(Предпосылки!$G60="да",'Капитальные вложения'!H624,0)</f>
        <v>0</v>
      </c>
      <c s="125">
        <f>IF(Предпосылки!$G60="да",'Капитальные вложения'!I624,0)</f>
        <v>0</v>
      </c>
      <c s="125">
        <f>IF(Предпосылки!$G60="да",'Капитальные вложения'!J624,0)</f>
        <v>0</v>
      </c>
      <c s="125">
        <f>IF(Предпосылки!$G60="да",'Капитальные вложения'!K624,0)</f>
        <v>0</v>
      </c>
      <c s="125">
        <f>IF(Предпосылки!$G60="да",'Капитальные вложения'!L624,0)</f>
        <v>0</v>
      </c>
      <c s="125">
        <f>IF(Предпосылки!$G60="да",'Капитальные вложения'!M624,0)</f>
        <v>0</v>
      </c>
      <c s="125">
        <f>IF(Предпосылки!$G60="да",'Капитальные вложения'!N624,0)</f>
        <v>0</v>
      </c>
      <c s="125">
        <f>IF(Предпосылки!$G60="да",'Капитальные вложения'!O624,0)</f>
        <v>0</v>
      </c>
      <c s="125">
        <f>IF(Предпосылки!$G60="да",'Капитальные вложения'!P624,0)</f>
        <v>0</v>
      </c>
      <c s="125">
        <f>IF(Предпосылки!$G60="да",'Капитальные вложения'!Q624,0)</f>
        <v>0</v>
      </c>
      <c s="125">
        <f>IF(Предпосылки!$G60="да",'Капитальные вложения'!R624,0)</f>
        <v>0</v>
      </c>
      <c s="125">
        <f>IF(Предпосылки!$G60="да",'Капитальные вложения'!S624,0)</f>
        <v>0</v>
      </c>
      <c s="125">
        <f>IF(Предпосылки!$G60="да",'Капитальные вложения'!T624,0)</f>
        <v>0</v>
      </c>
      <c s="125">
        <f>IF(Предпосылки!$G60="да",'Капитальные вложения'!U624,0)</f>
        <v>0</v>
      </c>
      <c s="125">
        <f>IF(Предпосылки!$G60="да",'Капитальные вложения'!V624,0)</f>
        <v>0</v>
      </c>
      <c s="125">
        <f>IF(Предпосылки!$G60="да",'Капитальные вложения'!W624,0)</f>
        <v>0</v>
      </c>
      <c s="125">
        <f>IF(Предпосылки!$G60="да",'Капитальные вложения'!X624,0)</f>
        <v>0</v>
      </c>
      <c s="125">
        <f>IF(Предпосылки!$G60="да",'Капитальные вложения'!Y624,0)</f>
        <v>0</v>
      </c>
      <c s="125">
        <f>IF(Предпосылки!$G60="да",'Капитальные вложения'!Z624,0)</f>
        <v>0</v>
      </c>
      <c s="125">
        <f>IF(Предпосылки!$G60="да",'Капитальные вложения'!AA624,0)</f>
        <v>0</v>
      </c>
      <c s="125">
        <f>IF(Предпосылки!$G60="да",'Капитальные вложения'!AB624,0)</f>
        <v>0</v>
      </c>
      <c s="125">
        <f>IF(Предпосылки!$G60="да",'Капитальные вложения'!AC624,0)</f>
        <v>0</v>
      </c>
      <c s="125">
        <f>IF(Предпосылки!$G60="да",'Капитальные вложения'!AD624,0)</f>
        <v>0</v>
      </c>
      <c s="125">
        <f>IF(Предпосылки!$G60="да",'Капитальные вложения'!AE624,0)</f>
        <v>0</v>
      </c>
      <c s="125">
        <f>IF(Предпосылки!$G60="да",'Капитальные вложения'!AF624,0)</f>
        <v>0</v>
      </c>
      <c s="125">
        <f>IF(Предпосылки!$G60="да",'Капитальные вложения'!AG624,0)</f>
        <v>0</v>
      </c>
      <c s="125">
        <f>IF(Предпосылки!$G60="да",'Капитальные вложения'!AH624,0)</f>
        <v>0</v>
      </c>
      <c s="125">
        <f>IF(Предпосылки!$G60="да",'Капитальные вложения'!AI624,0)</f>
        <v>0</v>
      </c>
      <c s="125">
        <f>IF(Предпосылки!$G60="да",'Капитальные вложения'!AJ624,0)</f>
        <v>0</v>
      </c>
      <c s="125">
        <f>IF(Предпосылки!$G60="да",'Капитальные вложения'!AK624,0)</f>
        <v>0</v>
      </c>
      <c s="125">
        <f>IF(Предпосылки!$G60="да",'Капитальные вложения'!AL624,0)</f>
        <v>0</v>
      </c>
      <c s="125">
        <f>IF(Предпосылки!$G60="да",'Капитальные вложения'!AM624,0)</f>
        <v>0</v>
      </c>
      <c s="125">
        <f>IF(Предпосылки!$G60="да",'Капитальные вложения'!AN624,0)</f>
        <v>0</v>
      </c>
      <c s="125">
        <f>IF(Предпосылки!$G60="да",'Капитальные вложения'!AO624,0)</f>
        <v>0</v>
      </c>
      <c s="125">
        <f>IF(Предпосылки!$G60="да",'Капитальные вложения'!AP624,0)</f>
        <v>0</v>
      </c>
      <c s="125">
        <f>IF(Предпосылки!$G60="да",'Капитальные вложения'!AQ624,0)</f>
        <v>0</v>
      </c>
      <c s="125">
        <f>IF(Предпосылки!$G60="да",'Капитальные вложения'!AR624,0)</f>
        <v>0</v>
      </c>
      <c s="125">
        <f>IF(Предпосылки!$G60="да",'Капитальные вложения'!AS624,0)</f>
        <v>0</v>
      </c>
      <c s="125">
        <f>IF(Предпосылки!$G60="да",'Капитальные вложения'!AT624,0)</f>
        <v>0</v>
      </c>
      <c s="125">
        <f>IF(Предпосылки!$G60="да",'Капитальные вложения'!AU624,0)</f>
        <v>0</v>
      </c>
      <c s="125">
        <f>IF(Предпосылки!$G60="да",'Капитальные вложения'!AV624,0)</f>
        <v>0</v>
      </c>
      <c s="125">
        <f>IF(Предпосылки!$G60="да",'Капитальные вложения'!AW624,0)</f>
        <v>0</v>
      </c>
      <c s="125">
        <f>IF(Предпосылки!$G60="да",'Капитальные вложения'!AX624,0)</f>
        <v>0</v>
      </c>
      <c s="125">
        <f>IF(Предпосылки!$G60="да",'Капитальные вложения'!AY624,0)</f>
        <v>0</v>
      </c>
      <c s="125">
        <f>IF(Предпосылки!$G60="да",'Капитальные вложения'!AZ624,0)</f>
        <v>0</v>
      </c>
      <c s="125">
        <f>IF(Предпосылки!$G60="да",'Капитальные вложения'!BA624,0)</f>
        <v>0</v>
      </c>
      <c s="125">
        <f>IF(Предпосылки!$G60="да",'Капитальные вложения'!BB624,0)</f>
        <v>0</v>
      </c>
      <c s="125">
        <f>IF(Предпосылки!$G60="да",'Капитальные вложения'!BC624,0)</f>
        <v>0</v>
      </c>
      <c s="125">
        <f>IF(Предпосылки!$G60="да",'Капитальные вложения'!BD624,0)</f>
        <v>0</v>
      </c>
      <c s="125">
        <f>IF(Предпосылки!$G60="да",'Капитальные вложения'!BE624,0)</f>
        <v>0</v>
      </c>
      <c s="125">
        <f>IF(Предпосылки!$G60="да",'Капитальные вложения'!BF624,0)</f>
        <v>0</v>
      </c>
      <c s="125">
        <f>IF(Предпосылки!$G60="да",'Капитальные вложения'!BG624,0)</f>
        <v>0</v>
      </c>
      <c s="125">
        <f>IF(Предпосылки!$G60="да",'Капитальные вложения'!BH624,0)</f>
        <v>0</v>
      </c>
      <c s="125">
        <f>IF(Предпосылки!$G60="да",'Капитальные вложения'!BI624,0)</f>
        <v>0</v>
      </c>
      <c s="125">
        <f>IF(Предпосылки!$G60="да",'Капитальные вложения'!BJ624,0)</f>
        <v>0</v>
      </c>
      <c s="125">
        <f>IF(Предпосылки!$G60="да",'Капитальные вложения'!BK624,0)</f>
        <v>0</v>
      </c>
      <c s="125">
        <f>IF(Предпосылки!$G60="да",'Капитальные вложения'!BL624,0)</f>
        <v>0</v>
      </c>
      <c s="125">
        <f>IF(Предпосылки!$G60="да",'Капитальные вложения'!BM624,0)</f>
        <v>0</v>
      </c>
    </row>
    <row r="69" spans="2:65" ht="15" customHeight="1">
      <c r="B69" s="12" t="str">
        <f>IF(ISBLANK(Предпосылки!B61),"-",Предпосылки!B61)</f>
        <v>-</v>
      </c>
      <c s="124" t="str">
        <f t="shared" si="182"/>
        <v>тыс. руб.</v>
      </c>
      <c s="129"/>
      <c s="125">
        <f>IF(Предпосылки!$G61="да",'Капитальные вложения'!E625,0)</f>
        <v>0</v>
      </c>
      <c s="125">
        <f>IF(Предпосылки!$G61="да",'Капитальные вложения'!F625,0)</f>
        <v>0</v>
      </c>
      <c s="125">
        <f>IF(Предпосылки!$G61="да",'Капитальные вложения'!G625,0)</f>
        <v>0</v>
      </c>
      <c s="125">
        <f>IF(Предпосылки!$G61="да",'Капитальные вложения'!H625,0)</f>
        <v>0</v>
      </c>
      <c s="125">
        <f>IF(Предпосылки!$G61="да",'Капитальные вложения'!I625,0)</f>
        <v>0</v>
      </c>
      <c s="125">
        <f>IF(Предпосылки!$G61="да",'Капитальные вложения'!J625,0)</f>
        <v>0</v>
      </c>
      <c s="125">
        <f>IF(Предпосылки!$G61="да",'Капитальные вложения'!K625,0)</f>
        <v>0</v>
      </c>
      <c s="125">
        <f>IF(Предпосылки!$G61="да",'Капитальные вложения'!L625,0)</f>
        <v>0</v>
      </c>
      <c s="125">
        <f>IF(Предпосылки!$G61="да",'Капитальные вложения'!M625,0)</f>
        <v>0</v>
      </c>
      <c s="125">
        <f>IF(Предпосылки!$G61="да",'Капитальные вложения'!N625,0)</f>
        <v>0</v>
      </c>
      <c s="125">
        <f>IF(Предпосылки!$G61="да",'Капитальные вложения'!O625,0)</f>
        <v>0</v>
      </c>
      <c s="125">
        <f>IF(Предпосылки!$G61="да",'Капитальные вложения'!P625,0)</f>
        <v>0</v>
      </c>
      <c s="125">
        <f>IF(Предпосылки!$G61="да",'Капитальные вложения'!Q625,0)</f>
        <v>0</v>
      </c>
      <c s="125">
        <f>IF(Предпосылки!$G61="да",'Капитальные вложения'!R625,0)</f>
        <v>0</v>
      </c>
      <c s="125">
        <f>IF(Предпосылки!$G61="да",'Капитальные вложения'!S625,0)</f>
        <v>0</v>
      </c>
      <c s="125">
        <f>IF(Предпосылки!$G61="да",'Капитальные вложения'!T625,0)</f>
        <v>0</v>
      </c>
      <c s="125">
        <f>IF(Предпосылки!$G61="да",'Капитальные вложения'!U625,0)</f>
        <v>0</v>
      </c>
      <c s="125">
        <f>IF(Предпосылки!$G61="да",'Капитальные вложения'!V625,0)</f>
        <v>0</v>
      </c>
      <c s="125">
        <f>IF(Предпосылки!$G61="да",'Капитальные вложения'!W625,0)</f>
        <v>0</v>
      </c>
      <c s="125">
        <f>IF(Предпосылки!$G61="да",'Капитальные вложения'!X625,0)</f>
        <v>0</v>
      </c>
      <c s="125">
        <f>IF(Предпосылки!$G61="да",'Капитальные вложения'!Y625,0)</f>
        <v>0</v>
      </c>
      <c s="125">
        <f>IF(Предпосылки!$G61="да",'Капитальные вложения'!Z625,0)</f>
        <v>0</v>
      </c>
      <c s="125">
        <f>IF(Предпосылки!$G61="да",'Капитальные вложения'!AA625,0)</f>
        <v>0</v>
      </c>
      <c s="125">
        <f>IF(Предпосылки!$G61="да",'Капитальные вложения'!AB625,0)</f>
        <v>0</v>
      </c>
      <c s="125">
        <f>IF(Предпосылки!$G61="да",'Капитальные вложения'!AC625,0)</f>
        <v>0</v>
      </c>
      <c s="125">
        <f>IF(Предпосылки!$G61="да",'Капитальные вложения'!AD625,0)</f>
        <v>0</v>
      </c>
      <c s="125">
        <f>IF(Предпосылки!$G61="да",'Капитальные вложения'!AE625,0)</f>
        <v>0</v>
      </c>
      <c s="125">
        <f>IF(Предпосылки!$G61="да",'Капитальные вложения'!AF625,0)</f>
        <v>0</v>
      </c>
      <c s="125">
        <f>IF(Предпосылки!$G61="да",'Капитальные вложения'!AG625,0)</f>
        <v>0</v>
      </c>
      <c s="125">
        <f>IF(Предпосылки!$G61="да",'Капитальные вложения'!AH625,0)</f>
        <v>0</v>
      </c>
      <c s="125">
        <f>IF(Предпосылки!$G61="да",'Капитальные вложения'!AI625,0)</f>
        <v>0</v>
      </c>
      <c s="125">
        <f>IF(Предпосылки!$G61="да",'Капитальные вложения'!AJ625,0)</f>
        <v>0</v>
      </c>
      <c s="125">
        <f>IF(Предпосылки!$G61="да",'Капитальные вложения'!AK625,0)</f>
        <v>0</v>
      </c>
      <c s="125">
        <f>IF(Предпосылки!$G61="да",'Капитальные вложения'!AL625,0)</f>
        <v>0</v>
      </c>
      <c s="125">
        <f>IF(Предпосылки!$G61="да",'Капитальные вложения'!AM625,0)</f>
        <v>0</v>
      </c>
      <c s="125">
        <f>IF(Предпосылки!$G61="да",'Капитальные вложения'!AN625,0)</f>
        <v>0</v>
      </c>
      <c s="125">
        <f>IF(Предпосылки!$G61="да",'Капитальные вложения'!AO625,0)</f>
        <v>0</v>
      </c>
      <c s="125">
        <f>IF(Предпосылки!$G61="да",'Капитальные вложения'!AP625,0)</f>
        <v>0</v>
      </c>
      <c s="125">
        <f>IF(Предпосылки!$G61="да",'Капитальные вложения'!AQ625,0)</f>
        <v>0</v>
      </c>
      <c s="125">
        <f>IF(Предпосылки!$G61="да",'Капитальные вложения'!AR625,0)</f>
        <v>0</v>
      </c>
      <c s="125">
        <f>IF(Предпосылки!$G61="да",'Капитальные вложения'!AS625,0)</f>
        <v>0</v>
      </c>
      <c s="125">
        <f>IF(Предпосылки!$G61="да",'Капитальные вложения'!AT625,0)</f>
        <v>0</v>
      </c>
      <c s="125">
        <f>IF(Предпосылки!$G61="да",'Капитальные вложения'!AU625,0)</f>
        <v>0</v>
      </c>
      <c s="125">
        <f>IF(Предпосылки!$G61="да",'Капитальные вложения'!AV625,0)</f>
        <v>0</v>
      </c>
      <c s="125">
        <f>IF(Предпосылки!$G61="да",'Капитальные вложения'!AW625,0)</f>
        <v>0</v>
      </c>
      <c s="125">
        <f>IF(Предпосылки!$G61="да",'Капитальные вложения'!AX625,0)</f>
        <v>0</v>
      </c>
      <c s="125">
        <f>IF(Предпосылки!$G61="да",'Капитальные вложения'!AY625,0)</f>
        <v>0</v>
      </c>
      <c s="125">
        <f>IF(Предпосылки!$G61="да",'Капитальные вложения'!AZ625,0)</f>
        <v>0</v>
      </c>
      <c s="125">
        <f>IF(Предпосылки!$G61="да",'Капитальные вложения'!BA625,0)</f>
        <v>0</v>
      </c>
      <c s="125">
        <f>IF(Предпосылки!$G61="да",'Капитальные вложения'!BB625,0)</f>
        <v>0</v>
      </c>
      <c s="125">
        <f>IF(Предпосылки!$G61="да",'Капитальные вложения'!BC625,0)</f>
        <v>0</v>
      </c>
      <c s="125">
        <f>IF(Предпосылки!$G61="да",'Капитальные вложения'!BD625,0)</f>
        <v>0</v>
      </c>
      <c s="125">
        <f>IF(Предпосылки!$G61="да",'Капитальные вложения'!BE625,0)</f>
        <v>0</v>
      </c>
      <c s="125">
        <f>IF(Предпосылки!$G61="да",'Капитальные вложения'!BF625,0)</f>
        <v>0</v>
      </c>
      <c s="125">
        <f>IF(Предпосылки!$G61="да",'Капитальные вложения'!BG625,0)</f>
        <v>0</v>
      </c>
      <c s="125">
        <f>IF(Предпосылки!$G61="да",'Капитальные вложения'!BH625,0)</f>
        <v>0</v>
      </c>
      <c s="125">
        <f>IF(Предпосылки!$G61="да",'Капитальные вложения'!BI625,0)</f>
        <v>0</v>
      </c>
      <c s="125">
        <f>IF(Предпосылки!$G61="да",'Капитальные вложения'!BJ625,0)</f>
        <v>0</v>
      </c>
      <c s="125">
        <f>IF(Предпосылки!$G61="да",'Капитальные вложения'!BK625,0)</f>
        <v>0</v>
      </c>
      <c s="125">
        <f>IF(Предпосылки!$G61="да",'Капитальные вложения'!BL625,0)</f>
        <v>0</v>
      </c>
      <c s="125">
        <f>IF(Предпосылки!$G61="да",'Капитальные вложения'!BM625,0)</f>
        <v>0</v>
      </c>
    </row>
    <row r="70" spans="2:65" ht="15" customHeight="1">
      <c r="B70" s="12" t="str">
        <f>IF(ISBLANK(Предпосылки!B62),"-",Предпосылки!B62)</f>
        <v>-</v>
      </c>
      <c s="124" t="str">
        <f t="shared" si="182"/>
        <v>тыс. руб.</v>
      </c>
      <c s="129"/>
      <c s="125">
        <f>IF(Предпосылки!$G62="да",'Капитальные вложения'!E626,0)</f>
        <v>0</v>
      </c>
      <c s="125">
        <f>IF(Предпосылки!$G62="да",'Капитальные вложения'!F626,0)</f>
        <v>0</v>
      </c>
      <c s="125">
        <f>IF(Предпосылки!$G62="да",'Капитальные вложения'!G626,0)</f>
        <v>0</v>
      </c>
      <c s="125">
        <f>IF(Предпосылки!$G62="да",'Капитальные вложения'!H626,0)</f>
        <v>0</v>
      </c>
      <c s="125">
        <f>IF(Предпосылки!$G62="да",'Капитальные вложения'!I626,0)</f>
        <v>0</v>
      </c>
      <c s="125">
        <f>IF(Предпосылки!$G62="да",'Капитальные вложения'!J626,0)</f>
        <v>0</v>
      </c>
      <c s="125">
        <f>IF(Предпосылки!$G62="да",'Капитальные вложения'!K626,0)</f>
        <v>0</v>
      </c>
      <c s="125">
        <f>IF(Предпосылки!$G62="да",'Капитальные вложения'!L626,0)</f>
        <v>0</v>
      </c>
      <c s="125">
        <f>IF(Предпосылки!$G62="да",'Капитальные вложения'!M626,0)</f>
        <v>0</v>
      </c>
      <c s="125">
        <f>IF(Предпосылки!$G62="да",'Капитальные вложения'!N626,0)</f>
        <v>0</v>
      </c>
      <c s="125">
        <f>IF(Предпосылки!$G62="да",'Капитальные вложения'!O626,0)</f>
        <v>0</v>
      </c>
      <c s="125">
        <f>IF(Предпосылки!$G62="да",'Капитальные вложения'!P626,0)</f>
        <v>0</v>
      </c>
      <c s="125">
        <f>IF(Предпосылки!$G62="да",'Капитальные вложения'!Q626,0)</f>
        <v>0</v>
      </c>
      <c s="125">
        <f>IF(Предпосылки!$G62="да",'Капитальные вложения'!R626,0)</f>
        <v>0</v>
      </c>
      <c s="125">
        <f>IF(Предпосылки!$G62="да",'Капитальные вложения'!S626,0)</f>
        <v>0</v>
      </c>
      <c s="125">
        <f>IF(Предпосылки!$G62="да",'Капитальные вложения'!T626,0)</f>
        <v>0</v>
      </c>
      <c s="125">
        <f>IF(Предпосылки!$G62="да",'Капитальные вложения'!U626,0)</f>
        <v>0</v>
      </c>
      <c s="125">
        <f>IF(Предпосылки!$G62="да",'Капитальные вложения'!V626,0)</f>
        <v>0</v>
      </c>
      <c s="125">
        <f>IF(Предпосылки!$G62="да",'Капитальные вложения'!W626,0)</f>
        <v>0</v>
      </c>
      <c s="125">
        <f>IF(Предпосылки!$G62="да",'Капитальные вложения'!X626,0)</f>
        <v>0</v>
      </c>
      <c s="125">
        <f>IF(Предпосылки!$G62="да",'Капитальные вложения'!Y626,0)</f>
        <v>0</v>
      </c>
      <c s="125">
        <f>IF(Предпосылки!$G62="да",'Капитальные вложения'!Z626,0)</f>
        <v>0</v>
      </c>
      <c s="125">
        <f>IF(Предпосылки!$G62="да",'Капитальные вложения'!AA626,0)</f>
        <v>0</v>
      </c>
      <c s="125">
        <f>IF(Предпосылки!$G62="да",'Капитальные вложения'!AB626,0)</f>
        <v>0</v>
      </c>
      <c s="125">
        <f>IF(Предпосылки!$G62="да",'Капитальные вложения'!AC626,0)</f>
        <v>0</v>
      </c>
      <c s="125">
        <f>IF(Предпосылки!$G62="да",'Капитальные вложения'!AD626,0)</f>
        <v>0</v>
      </c>
      <c s="125">
        <f>IF(Предпосылки!$G62="да",'Капитальные вложения'!AE626,0)</f>
        <v>0</v>
      </c>
      <c s="125">
        <f>IF(Предпосылки!$G62="да",'Капитальные вложения'!AF626,0)</f>
        <v>0</v>
      </c>
      <c s="125">
        <f>IF(Предпосылки!$G62="да",'Капитальные вложения'!AG626,0)</f>
        <v>0</v>
      </c>
      <c s="125">
        <f>IF(Предпосылки!$G62="да",'Капитальные вложения'!AH626,0)</f>
        <v>0</v>
      </c>
      <c s="125">
        <f>IF(Предпосылки!$G62="да",'Капитальные вложения'!AI626,0)</f>
        <v>0</v>
      </c>
      <c s="125">
        <f>IF(Предпосылки!$G62="да",'Капитальные вложения'!AJ626,0)</f>
        <v>0</v>
      </c>
      <c s="125">
        <f>IF(Предпосылки!$G62="да",'Капитальные вложения'!AK626,0)</f>
        <v>0</v>
      </c>
      <c s="125">
        <f>IF(Предпосылки!$G62="да",'Капитальные вложения'!AL626,0)</f>
        <v>0</v>
      </c>
      <c s="125">
        <f>IF(Предпосылки!$G62="да",'Капитальные вложения'!AM626,0)</f>
        <v>0</v>
      </c>
      <c s="125">
        <f>IF(Предпосылки!$G62="да",'Капитальные вложения'!AN626,0)</f>
        <v>0</v>
      </c>
      <c s="125">
        <f>IF(Предпосылки!$G62="да",'Капитальные вложения'!AO626,0)</f>
        <v>0</v>
      </c>
      <c s="125">
        <f>IF(Предпосылки!$G62="да",'Капитальные вложения'!AP626,0)</f>
        <v>0</v>
      </c>
      <c s="125">
        <f>IF(Предпосылки!$G62="да",'Капитальные вложения'!AQ626,0)</f>
        <v>0</v>
      </c>
      <c s="125">
        <f>IF(Предпосылки!$G62="да",'Капитальные вложения'!AR626,0)</f>
        <v>0</v>
      </c>
      <c s="125">
        <f>IF(Предпосылки!$G62="да",'Капитальные вложения'!AS626,0)</f>
        <v>0</v>
      </c>
      <c s="125">
        <f>IF(Предпосылки!$G62="да",'Капитальные вложения'!AT626,0)</f>
        <v>0</v>
      </c>
      <c s="125">
        <f>IF(Предпосылки!$G62="да",'Капитальные вложения'!AU626,0)</f>
        <v>0</v>
      </c>
      <c s="125">
        <f>IF(Предпосылки!$G62="да",'Капитальные вложения'!AV626,0)</f>
        <v>0</v>
      </c>
      <c s="125">
        <f>IF(Предпосылки!$G62="да",'Капитальные вложения'!AW626,0)</f>
        <v>0</v>
      </c>
      <c s="125">
        <f>IF(Предпосылки!$G62="да",'Капитальные вложения'!AX626,0)</f>
        <v>0</v>
      </c>
      <c s="125">
        <f>IF(Предпосылки!$G62="да",'Капитальные вложения'!AY626,0)</f>
        <v>0</v>
      </c>
      <c s="125">
        <f>IF(Предпосылки!$G62="да",'Капитальные вложения'!AZ626,0)</f>
        <v>0</v>
      </c>
      <c s="125">
        <f>IF(Предпосылки!$G62="да",'Капитальные вложения'!BA626,0)</f>
        <v>0</v>
      </c>
      <c s="125">
        <f>IF(Предпосылки!$G62="да",'Капитальные вложения'!BB626,0)</f>
        <v>0</v>
      </c>
      <c s="125">
        <f>IF(Предпосылки!$G62="да",'Капитальные вложения'!BC626,0)</f>
        <v>0</v>
      </c>
      <c s="125">
        <f>IF(Предпосылки!$G62="да",'Капитальные вложения'!BD626,0)</f>
        <v>0</v>
      </c>
      <c s="125">
        <f>IF(Предпосылки!$G62="да",'Капитальные вложения'!BE626,0)</f>
        <v>0</v>
      </c>
      <c s="125">
        <f>IF(Предпосылки!$G62="да",'Капитальные вложения'!BF626,0)</f>
        <v>0</v>
      </c>
      <c s="125">
        <f>IF(Предпосылки!$G62="да",'Капитальные вложения'!BG626,0)</f>
        <v>0</v>
      </c>
      <c s="125">
        <f>IF(Предпосылки!$G62="да",'Капитальные вложения'!BH626,0)</f>
        <v>0</v>
      </c>
      <c s="125">
        <f>IF(Предпосылки!$G62="да",'Капитальные вложения'!BI626,0)</f>
        <v>0</v>
      </c>
      <c s="125">
        <f>IF(Предпосылки!$G62="да",'Капитальные вложения'!BJ626,0)</f>
        <v>0</v>
      </c>
      <c s="125">
        <f>IF(Предпосылки!$G62="да",'Капитальные вложения'!BK626,0)</f>
        <v>0</v>
      </c>
      <c s="125">
        <f>IF(Предпосылки!$G62="да",'Капитальные вложения'!BL626,0)</f>
        <v>0</v>
      </c>
      <c s="125">
        <f>IF(Предпосылки!$G62="да",'Капитальные вложения'!BM626,0)</f>
        <v>0</v>
      </c>
    </row>
    <row r="71" spans="2:65" ht="15" customHeight="1">
      <c r="B71" s="12" t="str">
        <f>IF(ISBLANK(Предпосылки!B63),"-",Предпосылки!B63)</f>
        <v>-</v>
      </c>
      <c s="124" t="str">
        <f t="shared" si="182"/>
        <v>тыс. руб.</v>
      </c>
      <c s="129"/>
      <c s="125">
        <f>IF(Предпосылки!$G63="да",'Капитальные вложения'!E627,0)</f>
        <v>0</v>
      </c>
      <c s="125">
        <f>IF(Предпосылки!$G63="да",'Капитальные вложения'!F627,0)</f>
        <v>0</v>
      </c>
      <c s="125">
        <f>IF(Предпосылки!$G63="да",'Капитальные вложения'!G627,0)</f>
        <v>0</v>
      </c>
      <c s="125">
        <f>IF(Предпосылки!$G63="да",'Капитальные вложения'!H627,0)</f>
        <v>0</v>
      </c>
      <c s="125">
        <f>IF(Предпосылки!$G63="да",'Капитальные вложения'!I627,0)</f>
        <v>0</v>
      </c>
      <c s="125">
        <f>IF(Предпосылки!$G63="да",'Капитальные вложения'!J627,0)</f>
        <v>0</v>
      </c>
      <c s="125">
        <f>IF(Предпосылки!$G63="да",'Капитальные вложения'!K627,0)</f>
        <v>0</v>
      </c>
      <c s="125">
        <f>IF(Предпосылки!$G63="да",'Капитальные вложения'!L627,0)</f>
        <v>0</v>
      </c>
      <c s="125">
        <f>IF(Предпосылки!$G63="да",'Капитальные вложения'!M627,0)</f>
        <v>0</v>
      </c>
      <c s="125">
        <f>IF(Предпосылки!$G63="да",'Капитальные вложения'!N627,0)</f>
        <v>0</v>
      </c>
      <c s="125">
        <f>IF(Предпосылки!$G63="да",'Капитальные вложения'!O627,0)</f>
        <v>0</v>
      </c>
      <c s="125">
        <f>IF(Предпосылки!$G63="да",'Капитальные вложения'!P627,0)</f>
        <v>0</v>
      </c>
      <c s="125">
        <f>IF(Предпосылки!$G63="да",'Капитальные вложения'!Q627,0)</f>
        <v>0</v>
      </c>
      <c s="125">
        <f>IF(Предпосылки!$G63="да",'Капитальные вложения'!R627,0)</f>
        <v>0</v>
      </c>
      <c s="125">
        <f>IF(Предпосылки!$G63="да",'Капитальные вложения'!S627,0)</f>
        <v>0</v>
      </c>
      <c s="125">
        <f>IF(Предпосылки!$G63="да",'Капитальные вложения'!T627,0)</f>
        <v>0</v>
      </c>
      <c s="125">
        <f>IF(Предпосылки!$G63="да",'Капитальные вложения'!U627,0)</f>
        <v>0</v>
      </c>
      <c s="125">
        <f>IF(Предпосылки!$G63="да",'Капитальные вложения'!V627,0)</f>
        <v>0</v>
      </c>
      <c s="125">
        <f>IF(Предпосылки!$G63="да",'Капитальные вложения'!W627,0)</f>
        <v>0</v>
      </c>
      <c s="125">
        <f>IF(Предпосылки!$G63="да",'Капитальные вложения'!X627,0)</f>
        <v>0</v>
      </c>
      <c s="125">
        <f>IF(Предпосылки!$G63="да",'Капитальные вложения'!Y627,0)</f>
        <v>0</v>
      </c>
      <c s="125">
        <f>IF(Предпосылки!$G63="да",'Капитальные вложения'!Z627,0)</f>
        <v>0</v>
      </c>
      <c s="125">
        <f>IF(Предпосылки!$G63="да",'Капитальные вложения'!AA627,0)</f>
        <v>0</v>
      </c>
      <c s="125">
        <f>IF(Предпосылки!$G63="да",'Капитальные вложения'!AB627,0)</f>
        <v>0</v>
      </c>
      <c s="125">
        <f>IF(Предпосылки!$G63="да",'Капитальные вложения'!AC627,0)</f>
        <v>0</v>
      </c>
      <c s="125">
        <f>IF(Предпосылки!$G63="да",'Капитальные вложения'!AD627,0)</f>
        <v>0</v>
      </c>
      <c s="125">
        <f>IF(Предпосылки!$G63="да",'Капитальные вложения'!AE627,0)</f>
        <v>0</v>
      </c>
      <c s="125">
        <f>IF(Предпосылки!$G63="да",'Капитальные вложения'!AF627,0)</f>
        <v>0</v>
      </c>
      <c s="125">
        <f>IF(Предпосылки!$G63="да",'Капитальные вложения'!AG627,0)</f>
        <v>0</v>
      </c>
      <c s="125">
        <f>IF(Предпосылки!$G63="да",'Капитальные вложения'!AH627,0)</f>
        <v>0</v>
      </c>
      <c s="125">
        <f>IF(Предпосылки!$G63="да",'Капитальные вложения'!AI627,0)</f>
        <v>0</v>
      </c>
      <c s="125">
        <f>IF(Предпосылки!$G63="да",'Капитальные вложения'!AJ627,0)</f>
        <v>0</v>
      </c>
      <c s="125">
        <f>IF(Предпосылки!$G63="да",'Капитальные вложения'!AK627,0)</f>
        <v>0</v>
      </c>
      <c s="125">
        <f>IF(Предпосылки!$G63="да",'Капитальные вложения'!AL627,0)</f>
        <v>0</v>
      </c>
      <c s="125">
        <f>IF(Предпосылки!$G63="да",'Капитальные вложения'!AM627,0)</f>
        <v>0</v>
      </c>
      <c s="125">
        <f>IF(Предпосылки!$G63="да",'Капитальные вложения'!AN627,0)</f>
        <v>0</v>
      </c>
      <c s="125">
        <f>IF(Предпосылки!$G63="да",'Капитальные вложения'!AO627,0)</f>
        <v>0</v>
      </c>
      <c s="125">
        <f>IF(Предпосылки!$G63="да",'Капитальные вложения'!AP627,0)</f>
        <v>0</v>
      </c>
      <c s="125">
        <f>IF(Предпосылки!$G63="да",'Капитальные вложения'!AQ627,0)</f>
        <v>0</v>
      </c>
      <c s="125">
        <f>IF(Предпосылки!$G63="да",'Капитальные вложения'!AR627,0)</f>
        <v>0</v>
      </c>
      <c s="125">
        <f>IF(Предпосылки!$G63="да",'Капитальные вложения'!AS627,0)</f>
        <v>0</v>
      </c>
      <c s="125">
        <f>IF(Предпосылки!$G63="да",'Капитальные вложения'!AT627,0)</f>
        <v>0</v>
      </c>
      <c s="125">
        <f>IF(Предпосылки!$G63="да",'Капитальные вложения'!AU627,0)</f>
        <v>0</v>
      </c>
      <c s="125">
        <f>IF(Предпосылки!$G63="да",'Капитальные вложения'!AV627,0)</f>
        <v>0</v>
      </c>
      <c s="125">
        <f>IF(Предпосылки!$G63="да",'Капитальные вложения'!AW627,0)</f>
        <v>0</v>
      </c>
      <c s="125">
        <f>IF(Предпосылки!$G63="да",'Капитальные вложения'!AX627,0)</f>
        <v>0</v>
      </c>
      <c s="125">
        <f>IF(Предпосылки!$G63="да",'Капитальные вложения'!AY627,0)</f>
        <v>0</v>
      </c>
      <c s="125">
        <f>IF(Предпосылки!$G63="да",'Капитальные вложения'!AZ627,0)</f>
        <v>0</v>
      </c>
      <c s="125">
        <f>IF(Предпосылки!$G63="да",'Капитальные вложения'!BA627,0)</f>
        <v>0</v>
      </c>
      <c s="125">
        <f>IF(Предпосылки!$G63="да",'Капитальные вложения'!BB627,0)</f>
        <v>0</v>
      </c>
      <c s="125">
        <f>IF(Предпосылки!$G63="да",'Капитальные вложения'!BC627,0)</f>
        <v>0</v>
      </c>
      <c s="125">
        <f>IF(Предпосылки!$G63="да",'Капитальные вложения'!BD627,0)</f>
        <v>0</v>
      </c>
      <c s="125">
        <f>IF(Предпосылки!$G63="да",'Капитальные вложения'!BE627,0)</f>
        <v>0</v>
      </c>
      <c s="125">
        <f>IF(Предпосылки!$G63="да",'Капитальные вложения'!BF627,0)</f>
        <v>0</v>
      </c>
      <c s="125">
        <f>IF(Предпосылки!$G63="да",'Капитальные вложения'!BG627,0)</f>
        <v>0</v>
      </c>
      <c s="125">
        <f>IF(Предпосылки!$G63="да",'Капитальные вложения'!BH627,0)</f>
        <v>0</v>
      </c>
      <c s="125">
        <f>IF(Предпосылки!$G63="да",'Капитальные вложения'!BI627,0)</f>
        <v>0</v>
      </c>
      <c s="125">
        <f>IF(Предпосылки!$G63="да",'Капитальные вложения'!BJ627,0)</f>
        <v>0</v>
      </c>
      <c s="125">
        <f>IF(Предпосылки!$G63="да",'Капитальные вложения'!BK627,0)</f>
        <v>0</v>
      </c>
      <c s="125">
        <f>IF(Предпосылки!$G63="да",'Капитальные вложения'!BL627,0)</f>
        <v>0</v>
      </c>
      <c s="125">
        <f>IF(Предпосылки!$G63="да",'Капитальные вложения'!BM627,0)</f>
        <v>0</v>
      </c>
    </row>
    <row r="72" spans="2:65" ht="15" customHeight="1">
      <c r="B72" s="12" t="str">
        <f>IF(ISBLANK(Предпосылки!B64),"-",Предпосылки!B64)</f>
        <v>-</v>
      </c>
      <c s="124" t="str">
        <f t="shared" si="182"/>
        <v>тыс. руб.</v>
      </c>
      <c s="129"/>
      <c s="125">
        <f>IF(Предпосылки!$G64="да",'Капитальные вложения'!E628,0)</f>
        <v>0</v>
      </c>
      <c s="125">
        <f>IF(Предпосылки!$G64="да",'Капитальные вложения'!F628,0)</f>
        <v>0</v>
      </c>
      <c s="125">
        <f>IF(Предпосылки!$G64="да",'Капитальные вложения'!G628,0)</f>
        <v>0</v>
      </c>
      <c s="125">
        <f>IF(Предпосылки!$G64="да",'Капитальные вложения'!H628,0)</f>
        <v>0</v>
      </c>
      <c s="125">
        <f>IF(Предпосылки!$G64="да",'Капитальные вложения'!I628,0)</f>
        <v>0</v>
      </c>
      <c s="125">
        <f>IF(Предпосылки!$G64="да",'Капитальные вложения'!J628,0)</f>
        <v>0</v>
      </c>
      <c s="125">
        <f>IF(Предпосылки!$G64="да",'Капитальные вложения'!K628,0)</f>
        <v>0</v>
      </c>
      <c s="125">
        <f>IF(Предпосылки!$G64="да",'Капитальные вложения'!L628,0)</f>
        <v>0</v>
      </c>
      <c s="125">
        <f>IF(Предпосылки!$G64="да",'Капитальные вложения'!M628,0)</f>
        <v>0</v>
      </c>
      <c s="125">
        <f>IF(Предпосылки!$G64="да",'Капитальные вложения'!N628,0)</f>
        <v>0</v>
      </c>
      <c s="125">
        <f>IF(Предпосылки!$G64="да",'Капитальные вложения'!O628,0)</f>
        <v>0</v>
      </c>
      <c s="125">
        <f>IF(Предпосылки!$G64="да",'Капитальные вложения'!P628,0)</f>
        <v>0</v>
      </c>
      <c s="125">
        <f>IF(Предпосылки!$G64="да",'Капитальные вложения'!Q628,0)</f>
        <v>0</v>
      </c>
      <c s="125">
        <f>IF(Предпосылки!$G64="да",'Капитальные вложения'!R628,0)</f>
        <v>0</v>
      </c>
      <c s="125">
        <f>IF(Предпосылки!$G64="да",'Капитальные вложения'!S628,0)</f>
        <v>0</v>
      </c>
      <c s="125">
        <f>IF(Предпосылки!$G64="да",'Капитальные вложения'!T628,0)</f>
        <v>0</v>
      </c>
      <c s="125">
        <f>IF(Предпосылки!$G64="да",'Капитальные вложения'!U628,0)</f>
        <v>0</v>
      </c>
      <c s="125">
        <f>IF(Предпосылки!$G64="да",'Капитальные вложения'!V628,0)</f>
        <v>0</v>
      </c>
      <c s="125">
        <f>IF(Предпосылки!$G64="да",'Капитальные вложения'!W628,0)</f>
        <v>0</v>
      </c>
      <c s="125">
        <f>IF(Предпосылки!$G64="да",'Капитальные вложения'!X628,0)</f>
        <v>0</v>
      </c>
      <c s="125">
        <f>IF(Предпосылки!$G64="да",'Капитальные вложения'!Y628,0)</f>
        <v>0</v>
      </c>
      <c s="125">
        <f>IF(Предпосылки!$G64="да",'Капитальные вложения'!Z628,0)</f>
        <v>0</v>
      </c>
      <c s="125">
        <f>IF(Предпосылки!$G64="да",'Капитальные вложения'!AA628,0)</f>
        <v>0</v>
      </c>
      <c s="125">
        <f>IF(Предпосылки!$G64="да",'Капитальные вложения'!AB628,0)</f>
        <v>0</v>
      </c>
      <c s="125">
        <f>IF(Предпосылки!$G64="да",'Капитальные вложения'!AC628,0)</f>
        <v>0</v>
      </c>
      <c s="125">
        <f>IF(Предпосылки!$G64="да",'Капитальные вложения'!AD628,0)</f>
        <v>0</v>
      </c>
      <c s="125">
        <f>IF(Предпосылки!$G64="да",'Капитальные вложения'!AE628,0)</f>
        <v>0</v>
      </c>
      <c s="125">
        <f>IF(Предпосылки!$G64="да",'Капитальные вложения'!AF628,0)</f>
        <v>0</v>
      </c>
      <c s="125">
        <f>IF(Предпосылки!$G64="да",'Капитальные вложения'!AG628,0)</f>
        <v>0</v>
      </c>
      <c s="125">
        <f>IF(Предпосылки!$G64="да",'Капитальные вложения'!AH628,0)</f>
        <v>0</v>
      </c>
      <c s="125">
        <f>IF(Предпосылки!$G64="да",'Капитальные вложения'!AI628,0)</f>
        <v>0</v>
      </c>
      <c s="125">
        <f>IF(Предпосылки!$G64="да",'Капитальные вложения'!AJ628,0)</f>
        <v>0</v>
      </c>
      <c s="125">
        <f>IF(Предпосылки!$G64="да",'Капитальные вложения'!AK628,0)</f>
        <v>0</v>
      </c>
      <c s="125">
        <f>IF(Предпосылки!$G64="да",'Капитальные вложения'!AL628,0)</f>
        <v>0</v>
      </c>
      <c s="125">
        <f>IF(Предпосылки!$G64="да",'Капитальные вложения'!AM628,0)</f>
        <v>0</v>
      </c>
      <c s="125">
        <f>IF(Предпосылки!$G64="да",'Капитальные вложения'!AN628,0)</f>
        <v>0</v>
      </c>
      <c s="125">
        <f>IF(Предпосылки!$G64="да",'Капитальные вложения'!AO628,0)</f>
        <v>0</v>
      </c>
      <c s="125">
        <f>IF(Предпосылки!$G64="да",'Капитальные вложения'!AP628,0)</f>
        <v>0</v>
      </c>
      <c s="125">
        <f>IF(Предпосылки!$G64="да",'Капитальные вложения'!AQ628,0)</f>
        <v>0</v>
      </c>
      <c s="125">
        <f>IF(Предпосылки!$G64="да",'Капитальные вложения'!AR628,0)</f>
        <v>0</v>
      </c>
      <c s="125">
        <f>IF(Предпосылки!$G64="да",'Капитальные вложения'!AS628,0)</f>
        <v>0</v>
      </c>
      <c s="125">
        <f>IF(Предпосылки!$G64="да",'Капитальные вложения'!AT628,0)</f>
        <v>0</v>
      </c>
      <c s="125">
        <f>IF(Предпосылки!$G64="да",'Капитальные вложения'!AU628,0)</f>
        <v>0</v>
      </c>
      <c s="125">
        <f>IF(Предпосылки!$G64="да",'Капитальные вложения'!AV628,0)</f>
        <v>0</v>
      </c>
      <c s="125">
        <f>IF(Предпосылки!$G64="да",'Капитальные вложения'!AW628,0)</f>
        <v>0</v>
      </c>
      <c s="125">
        <f>IF(Предпосылки!$G64="да",'Капитальные вложения'!AX628,0)</f>
        <v>0</v>
      </c>
      <c s="125">
        <f>IF(Предпосылки!$G64="да",'Капитальные вложения'!AY628,0)</f>
        <v>0</v>
      </c>
      <c s="125">
        <f>IF(Предпосылки!$G64="да",'Капитальные вложения'!AZ628,0)</f>
        <v>0</v>
      </c>
      <c s="125">
        <f>IF(Предпосылки!$G64="да",'Капитальные вложения'!BA628,0)</f>
        <v>0</v>
      </c>
      <c s="125">
        <f>IF(Предпосылки!$G64="да",'Капитальные вложения'!BB628,0)</f>
        <v>0</v>
      </c>
      <c s="125">
        <f>IF(Предпосылки!$G64="да",'Капитальные вложения'!BC628,0)</f>
        <v>0</v>
      </c>
      <c s="125">
        <f>IF(Предпосылки!$G64="да",'Капитальные вложения'!BD628,0)</f>
        <v>0</v>
      </c>
      <c s="125">
        <f>IF(Предпосылки!$G64="да",'Капитальные вложения'!BE628,0)</f>
        <v>0</v>
      </c>
      <c s="125">
        <f>IF(Предпосылки!$G64="да",'Капитальные вложения'!BF628,0)</f>
        <v>0</v>
      </c>
      <c s="125">
        <f>IF(Предпосылки!$G64="да",'Капитальные вложения'!BG628,0)</f>
        <v>0</v>
      </c>
      <c s="125">
        <f>IF(Предпосылки!$G64="да",'Капитальные вложения'!BH628,0)</f>
        <v>0</v>
      </c>
      <c s="125">
        <f>IF(Предпосылки!$G64="да",'Капитальные вложения'!BI628,0)</f>
        <v>0</v>
      </c>
      <c s="125">
        <f>IF(Предпосылки!$G64="да",'Капитальные вложения'!BJ628,0)</f>
        <v>0</v>
      </c>
      <c s="125">
        <f>IF(Предпосылки!$G64="да",'Капитальные вложения'!BK628,0)</f>
        <v>0</v>
      </c>
      <c s="125">
        <f>IF(Предпосылки!$G64="да",'Капитальные вложения'!BL628,0)</f>
        <v>0</v>
      </c>
      <c s="125">
        <f>IF(Предпосылки!$G64="да",'Капитальные вложения'!BM628,0)</f>
        <v>0</v>
      </c>
    </row>
    <row r="73" spans="2:65" ht="15" customHeight="1">
      <c r="B73" s="12" t="str">
        <f>IF(ISBLANK(Предпосылки!B65),"-",Предпосылки!B65)</f>
        <v>-</v>
      </c>
      <c s="124" t="str">
        <f t="shared" si="182"/>
        <v>тыс. руб.</v>
      </c>
      <c s="129"/>
      <c s="125">
        <f>IF(Предпосылки!$G65="да",'Капитальные вложения'!E629,0)</f>
        <v>0</v>
      </c>
      <c s="125">
        <f>IF(Предпосылки!$G65="да",'Капитальные вложения'!F629,0)</f>
        <v>0</v>
      </c>
      <c s="125">
        <f>IF(Предпосылки!$G65="да",'Капитальные вложения'!G629,0)</f>
        <v>0</v>
      </c>
      <c s="125">
        <f>IF(Предпосылки!$G65="да",'Капитальные вложения'!H629,0)</f>
        <v>0</v>
      </c>
      <c s="125">
        <f>IF(Предпосылки!$G65="да",'Капитальные вложения'!I629,0)</f>
        <v>0</v>
      </c>
      <c s="125">
        <f>IF(Предпосылки!$G65="да",'Капитальные вложения'!J629,0)</f>
        <v>0</v>
      </c>
      <c s="125">
        <f>IF(Предпосылки!$G65="да",'Капитальные вложения'!K629,0)</f>
        <v>0</v>
      </c>
      <c s="125">
        <f>IF(Предпосылки!$G65="да",'Капитальные вложения'!L629,0)</f>
        <v>0</v>
      </c>
      <c s="125">
        <f>IF(Предпосылки!$G65="да",'Капитальные вложения'!M629,0)</f>
        <v>0</v>
      </c>
      <c s="125">
        <f>IF(Предпосылки!$G65="да",'Капитальные вложения'!N629,0)</f>
        <v>0</v>
      </c>
      <c s="125">
        <f>IF(Предпосылки!$G65="да",'Капитальные вложения'!O629,0)</f>
        <v>0</v>
      </c>
      <c s="125">
        <f>IF(Предпосылки!$G65="да",'Капитальные вложения'!P629,0)</f>
        <v>0</v>
      </c>
      <c s="125">
        <f>IF(Предпосылки!$G65="да",'Капитальные вложения'!Q629,0)</f>
        <v>0</v>
      </c>
      <c s="125">
        <f>IF(Предпосылки!$G65="да",'Капитальные вложения'!R629,0)</f>
        <v>0</v>
      </c>
      <c s="125">
        <f>IF(Предпосылки!$G65="да",'Капитальные вложения'!S629,0)</f>
        <v>0</v>
      </c>
      <c s="125">
        <f>IF(Предпосылки!$G65="да",'Капитальные вложения'!T629,0)</f>
        <v>0</v>
      </c>
      <c s="125">
        <f>IF(Предпосылки!$G65="да",'Капитальные вложения'!U629,0)</f>
        <v>0</v>
      </c>
      <c s="125">
        <f>IF(Предпосылки!$G65="да",'Капитальные вложения'!V629,0)</f>
        <v>0</v>
      </c>
      <c s="125">
        <f>IF(Предпосылки!$G65="да",'Капитальные вложения'!W629,0)</f>
        <v>0</v>
      </c>
      <c s="125">
        <f>IF(Предпосылки!$G65="да",'Капитальные вложения'!X629,0)</f>
        <v>0</v>
      </c>
      <c s="125">
        <f>IF(Предпосылки!$G65="да",'Капитальные вложения'!Y629,0)</f>
        <v>0</v>
      </c>
      <c s="125">
        <f>IF(Предпосылки!$G65="да",'Капитальные вложения'!Z629,0)</f>
        <v>0</v>
      </c>
      <c s="125">
        <f>IF(Предпосылки!$G65="да",'Капитальные вложения'!AA629,0)</f>
        <v>0</v>
      </c>
      <c s="125">
        <f>IF(Предпосылки!$G65="да",'Капитальные вложения'!AB629,0)</f>
        <v>0</v>
      </c>
      <c s="125">
        <f>IF(Предпосылки!$G65="да",'Капитальные вложения'!AC629,0)</f>
        <v>0</v>
      </c>
      <c s="125">
        <f>IF(Предпосылки!$G65="да",'Капитальные вложения'!AD629,0)</f>
        <v>0</v>
      </c>
      <c s="125">
        <f>IF(Предпосылки!$G65="да",'Капитальные вложения'!AE629,0)</f>
        <v>0</v>
      </c>
      <c s="125">
        <f>IF(Предпосылки!$G65="да",'Капитальные вложения'!AF629,0)</f>
        <v>0</v>
      </c>
      <c s="125">
        <f>IF(Предпосылки!$G65="да",'Капитальные вложения'!AG629,0)</f>
        <v>0</v>
      </c>
      <c s="125">
        <f>IF(Предпосылки!$G65="да",'Капитальные вложения'!AH629,0)</f>
        <v>0</v>
      </c>
      <c s="125">
        <f>IF(Предпосылки!$G65="да",'Капитальные вложения'!AI629,0)</f>
        <v>0</v>
      </c>
      <c s="125">
        <f>IF(Предпосылки!$G65="да",'Капитальные вложения'!AJ629,0)</f>
        <v>0</v>
      </c>
      <c s="125">
        <f>IF(Предпосылки!$G65="да",'Капитальные вложения'!AK629,0)</f>
        <v>0</v>
      </c>
      <c s="125">
        <f>IF(Предпосылки!$G65="да",'Капитальные вложения'!AL629,0)</f>
        <v>0</v>
      </c>
      <c s="125">
        <f>IF(Предпосылки!$G65="да",'Капитальные вложения'!AM629,0)</f>
        <v>0</v>
      </c>
      <c s="125">
        <f>IF(Предпосылки!$G65="да",'Капитальные вложения'!AN629,0)</f>
        <v>0</v>
      </c>
      <c s="125">
        <f>IF(Предпосылки!$G65="да",'Капитальные вложения'!AO629,0)</f>
        <v>0</v>
      </c>
      <c s="125">
        <f>IF(Предпосылки!$G65="да",'Капитальные вложения'!AP629,0)</f>
        <v>0</v>
      </c>
      <c s="125">
        <f>IF(Предпосылки!$G65="да",'Капитальные вложения'!AQ629,0)</f>
        <v>0</v>
      </c>
      <c s="125">
        <f>IF(Предпосылки!$G65="да",'Капитальные вложения'!AR629,0)</f>
        <v>0</v>
      </c>
      <c s="125">
        <f>IF(Предпосылки!$G65="да",'Капитальные вложения'!AS629,0)</f>
        <v>0</v>
      </c>
      <c s="125">
        <f>IF(Предпосылки!$G65="да",'Капитальные вложения'!AT629,0)</f>
        <v>0</v>
      </c>
      <c s="125">
        <f>IF(Предпосылки!$G65="да",'Капитальные вложения'!AU629,0)</f>
        <v>0</v>
      </c>
      <c s="125">
        <f>IF(Предпосылки!$G65="да",'Капитальные вложения'!AV629,0)</f>
        <v>0</v>
      </c>
      <c s="125">
        <f>IF(Предпосылки!$G65="да",'Капитальные вложения'!AW629,0)</f>
        <v>0</v>
      </c>
      <c s="125">
        <f>IF(Предпосылки!$G65="да",'Капитальные вложения'!AX629,0)</f>
        <v>0</v>
      </c>
      <c s="125">
        <f>IF(Предпосылки!$G65="да",'Капитальные вложения'!AY629,0)</f>
        <v>0</v>
      </c>
      <c s="125">
        <f>IF(Предпосылки!$G65="да",'Капитальные вложения'!AZ629,0)</f>
        <v>0</v>
      </c>
      <c s="125">
        <f>IF(Предпосылки!$G65="да",'Капитальные вложения'!BA629,0)</f>
        <v>0</v>
      </c>
      <c s="125">
        <f>IF(Предпосылки!$G65="да",'Капитальные вложения'!BB629,0)</f>
        <v>0</v>
      </c>
      <c s="125">
        <f>IF(Предпосылки!$G65="да",'Капитальные вложения'!BC629,0)</f>
        <v>0</v>
      </c>
      <c s="125">
        <f>IF(Предпосылки!$G65="да",'Капитальные вложения'!BD629,0)</f>
        <v>0</v>
      </c>
      <c s="125">
        <f>IF(Предпосылки!$G65="да",'Капитальные вложения'!BE629,0)</f>
        <v>0</v>
      </c>
      <c s="125">
        <f>IF(Предпосылки!$G65="да",'Капитальные вложения'!BF629,0)</f>
        <v>0</v>
      </c>
      <c s="125">
        <f>IF(Предпосылки!$G65="да",'Капитальные вложения'!BG629,0)</f>
        <v>0</v>
      </c>
      <c s="125">
        <f>IF(Предпосылки!$G65="да",'Капитальные вложения'!BH629,0)</f>
        <v>0</v>
      </c>
      <c s="125">
        <f>IF(Предпосылки!$G65="да",'Капитальные вложения'!BI629,0)</f>
        <v>0</v>
      </c>
      <c s="125">
        <f>IF(Предпосылки!$G65="да",'Капитальные вложения'!BJ629,0)</f>
        <v>0</v>
      </c>
      <c s="125">
        <f>IF(Предпосылки!$G65="да",'Капитальные вложения'!BK629,0)</f>
        <v>0</v>
      </c>
      <c s="125">
        <f>IF(Предпосылки!$G65="да",'Капитальные вложения'!BL629,0)</f>
        <v>0</v>
      </c>
      <c s="125">
        <f>IF(Предпосылки!$G65="да",'Капитальные вложения'!BM629,0)</f>
        <v>0</v>
      </c>
    </row>
    <row r="74" spans="2:65" ht="15" customHeight="1">
      <c r="B74" s="12" t="str">
        <f>IF(ISBLANK(Предпосылки!B66),"-",Предпосылки!B66)</f>
        <v>-</v>
      </c>
      <c s="124" t="str">
        <f t="shared" si="182"/>
        <v>тыс. руб.</v>
      </c>
      <c s="129"/>
      <c s="125">
        <f>IF(Предпосылки!$G66="да",'Капитальные вложения'!E630,0)</f>
        <v>0</v>
      </c>
      <c s="125">
        <f>IF(Предпосылки!$G66="да",'Капитальные вложения'!F630,0)</f>
        <v>0</v>
      </c>
      <c s="125">
        <f>IF(Предпосылки!$G66="да",'Капитальные вложения'!G630,0)</f>
        <v>0</v>
      </c>
      <c s="125">
        <f>IF(Предпосылки!$G66="да",'Капитальные вложения'!H630,0)</f>
        <v>0</v>
      </c>
      <c s="125">
        <f>IF(Предпосылки!$G66="да",'Капитальные вложения'!I630,0)</f>
        <v>0</v>
      </c>
      <c s="125">
        <f>IF(Предпосылки!$G66="да",'Капитальные вложения'!J630,0)</f>
        <v>0</v>
      </c>
      <c s="125">
        <f>IF(Предпосылки!$G66="да",'Капитальные вложения'!K630,0)</f>
        <v>0</v>
      </c>
      <c s="125">
        <f>IF(Предпосылки!$G66="да",'Капитальные вложения'!L630,0)</f>
        <v>0</v>
      </c>
      <c s="125">
        <f>IF(Предпосылки!$G66="да",'Капитальные вложения'!M630,0)</f>
        <v>0</v>
      </c>
      <c s="125">
        <f>IF(Предпосылки!$G66="да",'Капитальные вложения'!N630,0)</f>
        <v>0</v>
      </c>
      <c s="125">
        <f>IF(Предпосылки!$G66="да",'Капитальные вложения'!O630,0)</f>
        <v>0</v>
      </c>
      <c s="125">
        <f>IF(Предпосылки!$G66="да",'Капитальные вложения'!P630,0)</f>
        <v>0</v>
      </c>
      <c s="125">
        <f>IF(Предпосылки!$G66="да",'Капитальные вложения'!Q630,0)</f>
        <v>0</v>
      </c>
      <c s="125">
        <f>IF(Предпосылки!$G66="да",'Капитальные вложения'!R630,0)</f>
        <v>0</v>
      </c>
      <c s="125">
        <f>IF(Предпосылки!$G66="да",'Капитальные вложения'!S630,0)</f>
        <v>0</v>
      </c>
      <c s="125">
        <f>IF(Предпосылки!$G66="да",'Капитальные вложения'!T630,0)</f>
        <v>0</v>
      </c>
      <c s="125">
        <f>IF(Предпосылки!$G66="да",'Капитальные вложения'!U630,0)</f>
        <v>0</v>
      </c>
      <c s="125">
        <f>IF(Предпосылки!$G66="да",'Капитальные вложения'!V630,0)</f>
        <v>0</v>
      </c>
      <c s="125">
        <f>IF(Предпосылки!$G66="да",'Капитальные вложения'!W630,0)</f>
        <v>0</v>
      </c>
      <c s="125">
        <f>IF(Предпосылки!$G66="да",'Капитальные вложения'!X630,0)</f>
        <v>0</v>
      </c>
      <c s="125">
        <f>IF(Предпосылки!$G66="да",'Капитальные вложения'!Y630,0)</f>
        <v>0</v>
      </c>
      <c s="125">
        <f>IF(Предпосылки!$G66="да",'Капитальные вложения'!Z630,0)</f>
        <v>0</v>
      </c>
      <c s="125">
        <f>IF(Предпосылки!$G66="да",'Капитальные вложения'!AA630,0)</f>
        <v>0</v>
      </c>
      <c s="125">
        <f>IF(Предпосылки!$G66="да",'Капитальные вложения'!AB630,0)</f>
        <v>0</v>
      </c>
      <c s="125">
        <f>IF(Предпосылки!$G66="да",'Капитальные вложения'!AC630,0)</f>
        <v>0</v>
      </c>
      <c s="125">
        <f>IF(Предпосылки!$G66="да",'Капитальные вложения'!AD630,0)</f>
        <v>0</v>
      </c>
      <c s="125">
        <f>IF(Предпосылки!$G66="да",'Капитальные вложения'!AE630,0)</f>
        <v>0</v>
      </c>
      <c s="125">
        <f>IF(Предпосылки!$G66="да",'Капитальные вложения'!AF630,0)</f>
        <v>0</v>
      </c>
      <c s="125">
        <f>IF(Предпосылки!$G66="да",'Капитальные вложения'!AG630,0)</f>
        <v>0</v>
      </c>
      <c s="125">
        <f>IF(Предпосылки!$G66="да",'Капитальные вложения'!AH630,0)</f>
        <v>0</v>
      </c>
      <c s="125">
        <f>IF(Предпосылки!$G66="да",'Капитальные вложения'!AI630,0)</f>
        <v>0</v>
      </c>
      <c s="125">
        <f>IF(Предпосылки!$G66="да",'Капитальные вложения'!AJ630,0)</f>
        <v>0</v>
      </c>
      <c s="125">
        <f>IF(Предпосылки!$G66="да",'Капитальные вложения'!AK630,0)</f>
        <v>0</v>
      </c>
      <c s="125">
        <f>IF(Предпосылки!$G66="да",'Капитальные вложения'!AL630,0)</f>
        <v>0</v>
      </c>
      <c s="125">
        <f>IF(Предпосылки!$G66="да",'Капитальные вложения'!AM630,0)</f>
        <v>0</v>
      </c>
      <c s="125">
        <f>IF(Предпосылки!$G66="да",'Капитальные вложения'!AN630,0)</f>
        <v>0</v>
      </c>
      <c s="125">
        <f>IF(Предпосылки!$G66="да",'Капитальные вложения'!AO630,0)</f>
        <v>0</v>
      </c>
      <c s="125">
        <f>IF(Предпосылки!$G66="да",'Капитальные вложения'!AP630,0)</f>
        <v>0</v>
      </c>
      <c s="125">
        <f>IF(Предпосылки!$G66="да",'Капитальные вложения'!AQ630,0)</f>
        <v>0</v>
      </c>
      <c s="125">
        <f>IF(Предпосылки!$G66="да",'Капитальные вложения'!AR630,0)</f>
        <v>0</v>
      </c>
      <c s="125">
        <f>IF(Предпосылки!$G66="да",'Капитальные вложения'!AS630,0)</f>
        <v>0</v>
      </c>
      <c s="125">
        <f>IF(Предпосылки!$G66="да",'Капитальные вложения'!AT630,0)</f>
        <v>0</v>
      </c>
      <c s="125">
        <f>IF(Предпосылки!$G66="да",'Капитальные вложения'!AU630,0)</f>
        <v>0</v>
      </c>
      <c s="125">
        <f>IF(Предпосылки!$G66="да",'Капитальные вложения'!AV630,0)</f>
        <v>0</v>
      </c>
      <c s="125">
        <f>IF(Предпосылки!$G66="да",'Капитальные вложения'!AW630,0)</f>
        <v>0</v>
      </c>
      <c s="125">
        <f>IF(Предпосылки!$G66="да",'Капитальные вложения'!AX630,0)</f>
        <v>0</v>
      </c>
      <c s="125">
        <f>IF(Предпосылки!$G66="да",'Капитальные вложения'!AY630,0)</f>
        <v>0</v>
      </c>
      <c s="125">
        <f>IF(Предпосылки!$G66="да",'Капитальные вложения'!AZ630,0)</f>
        <v>0</v>
      </c>
      <c s="125">
        <f>IF(Предпосылки!$G66="да",'Капитальные вложения'!BA630,0)</f>
        <v>0</v>
      </c>
      <c s="125">
        <f>IF(Предпосылки!$G66="да",'Капитальные вложения'!BB630,0)</f>
        <v>0</v>
      </c>
      <c s="125">
        <f>IF(Предпосылки!$G66="да",'Капитальные вложения'!BC630,0)</f>
        <v>0</v>
      </c>
      <c s="125">
        <f>IF(Предпосылки!$G66="да",'Капитальные вложения'!BD630,0)</f>
        <v>0</v>
      </c>
      <c s="125">
        <f>IF(Предпосылки!$G66="да",'Капитальные вложения'!BE630,0)</f>
        <v>0</v>
      </c>
      <c s="125">
        <f>IF(Предпосылки!$G66="да",'Капитальные вложения'!BF630,0)</f>
        <v>0</v>
      </c>
      <c s="125">
        <f>IF(Предпосылки!$G66="да",'Капитальные вложения'!BG630,0)</f>
        <v>0</v>
      </c>
      <c s="125">
        <f>IF(Предпосылки!$G66="да",'Капитальные вложения'!BH630,0)</f>
        <v>0</v>
      </c>
      <c s="125">
        <f>IF(Предпосылки!$G66="да",'Капитальные вложения'!BI630,0)</f>
        <v>0</v>
      </c>
      <c s="125">
        <f>IF(Предпосылки!$G66="да",'Капитальные вложения'!BJ630,0)</f>
        <v>0</v>
      </c>
      <c s="125">
        <f>IF(Предпосылки!$G66="да",'Капитальные вложения'!BK630,0)</f>
        <v>0</v>
      </c>
      <c s="125">
        <f>IF(Предпосылки!$G66="да",'Капитальные вложения'!BL630,0)</f>
        <v>0</v>
      </c>
      <c s="125">
        <f>IF(Предпосылки!$G66="да",'Капитальные вложения'!BM630,0)</f>
        <v>0</v>
      </c>
    </row>
    <row r="75" spans="2:65" ht="15" customHeight="1">
      <c r="B75" s="12" t="str">
        <f>IF(ISBLANK(Предпосылки!B67),"-",Предпосылки!B67)</f>
        <v>-</v>
      </c>
      <c s="124" t="str">
        <f t="shared" si="182"/>
        <v>тыс. руб.</v>
      </c>
      <c s="129"/>
      <c s="125">
        <f>IF(Предпосылки!$G67="да",'Капитальные вложения'!E631,0)</f>
        <v>0</v>
      </c>
      <c s="125">
        <f>IF(Предпосылки!$G67="да",'Капитальные вложения'!F631,0)</f>
        <v>0</v>
      </c>
      <c s="125">
        <f>IF(Предпосылки!$G67="да",'Капитальные вложения'!G631,0)</f>
        <v>0</v>
      </c>
      <c s="125">
        <f>IF(Предпосылки!$G67="да",'Капитальные вложения'!H631,0)</f>
        <v>0</v>
      </c>
      <c s="125">
        <f>IF(Предпосылки!$G67="да",'Капитальные вложения'!I631,0)</f>
        <v>0</v>
      </c>
      <c s="125">
        <f>IF(Предпосылки!$G67="да",'Капитальные вложения'!J631,0)</f>
        <v>0</v>
      </c>
      <c s="125">
        <f>IF(Предпосылки!$G67="да",'Капитальные вложения'!K631,0)</f>
        <v>0</v>
      </c>
      <c s="125">
        <f>IF(Предпосылки!$G67="да",'Капитальные вложения'!L631,0)</f>
        <v>0</v>
      </c>
      <c s="125">
        <f>IF(Предпосылки!$G67="да",'Капитальные вложения'!M631,0)</f>
        <v>0</v>
      </c>
      <c s="125">
        <f>IF(Предпосылки!$G67="да",'Капитальные вложения'!N631,0)</f>
        <v>0</v>
      </c>
      <c s="125">
        <f>IF(Предпосылки!$G67="да",'Капитальные вложения'!O631,0)</f>
        <v>0</v>
      </c>
      <c s="125">
        <f>IF(Предпосылки!$G67="да",'Капитальные вложения'!P631,0)</f>
        <v>0</v>
      </c>
      <c s="125">
        <f>IF(Предпосылки!$G67="да",'Капитальные вложения'!Q631,0)</f>
        <v>0</v>
      </c>
      <c s="125">
        <f>IF(Предпосылки!$G67="да",'Капитальные вложения'!R631,0)</f>
        <v>0</v>
      </c>
      <c s="125">
        <f>IF(Предпосылки!$G67="да",'Капитальные вложения'!S631,0)</f>
        <v>0</v>
      </c>
      <c s="125">
        <f>IF(Предпосылки!$G67="да",'Капитальные вложения'!T631,0)</f>
        <v>0</v>
      </c>
      <c s="125">
        <f>IF(Предпосылки!$G67="да",'Капитальные вложения'!U631,0)</f>
        <v>0</v>
      </c>
      <c s="125">
        <f>IF(Предпосылки!$G67="да",'Капитальные вложения'!V631,0)</f>
        <v>0</v>
      </c>
      <c s="125">
        <f>IF(Предпосылки!$G67="да",'Капитальные вложения'!W631,0)</f>
        <v>0</v>
      </c>
      <c s="125">
        <f>IF(Предпосылки!$G67="да",'Капитальные вложения'!X631,0)</f>
        <v>0</v>
      </c>
      <c s="125">
        <f>IF(Предпосылки!$G67="да",'Капитальные вложения'!Y631,0)</f>
        <v>0</v>
      </c>
      <c s="125">
        <f>IF(Предпосылки!$G67="да",'Капитальные вложения'!Z631,0)</f>
        <v>0</v>
      </c>
      <c s="125">
        <f>IF(Предпосылки!$G67="да",'Капитальные вложения'!AA631,0)</f>
        <v>0</v>
      </c>
      <c s="125">
        <f>IF(Предпосылки!$G67="да",'Капитальные вложения'!AB631,0)</f>
        <v>0</v>
      </c>
      <c s="125">
        <f>IF(Предпосылки!$G67="да",'Капитальные вложения'!AC631,0)</f>
        <v>0</v>
      </c>
      <c s="125">
        <f>IF(Предпосылки!$G67="да",'Капитальные вложения'!AD631,0)</f>
        <v>0</v>
      </c>
      <c s="125">
        <f>IF(Предпосылки!$G67="да",'Капитальные вложения'!AE631,0)</f>
        <v>0</v>
      </c>
      <c s="125">
        <f>IF(Предпосылки!$G67="да",'Капитальные вложения'!AF631,0)</f>
        <v>0</v>
      </c>
      <c s="125">
        <f>IF(Предпосылки!$G67="да",'Капитальные вложения'!AG631,0)</f>
        <v>0</v>
      </c>
      <c s="125">
        <f>IF(Предпосылки!$G67="да",'Капитальные вложения'!AH631,0)</f>
        <v>0</v>
      </c>
      <c s="125">
        <f>IF(Предпосылки!$G67="да",'Капитальные вложения'!AI631,0)</f>
        <v>0</v>
      </c>
      <c s="125">
        <f>IF(Предпосылки!$G67="да",'Капитальные вложения'!AJ631,0)</f>
        <v>0</v>
      </c>
      <c s="125">
        <f>IF(Предпосылки!$G67="да",'Капитальные вложения'!AK631,0)</f>
        <v>0</v>
      </c>
      <c s="125">
        <f>IF(Предпосылки!$G67="да",'Капитальные вложения'!AL631,0)</f>
        <v>0</v>
      </c>
      <c s="125">
        <f>IF(Предпосылки!$G67="да",'Капитальные вложения'!AM631,0)</f>
        <v>0</v>
      </c>
      <c s="125">
        <f>IF(Предпосылки!$G67="да",'Капитальные вложения'!AN631,0)</f>
        <v>0</v>
      </c>
      <c s="125">
        <f>IF(Предпосылки!$G67="да",'Капитальные вложения'!AO631,0)</f>
        <v>0</v>
      </c>
      <c s="125">
        <f>IF(Предпосылки!$G67="да",'Капитальные вложения'!AP631,0)</f>
        <v>0</v>
      </c>
      <c s="125">
        <f>IF(Предпосылки!$G67="да",'Капитальные вложения'!AQ631,0)</f>
        <v>0</v>
      </c>
      <c s="125">
        <f>IF(Предпосылки!$G67="да",'Капитальные вложения'!AR631,0)</f>
        <v>0</v>
      </c>
      <c s="125">
        <f>IF(Предпосылки!$G67="да",'Капитальные вложения'!AS631,0)</f>
        <v>0</v>
      </c>
      <c s="125">
        <f>IF(Предпосылки!$G67="да",'Капитальные вложения'!AT631,0)</f>
        <v>0</v>
      </c>
      <c s="125">
        <f>IF(Предпосылки!$G67="да",'Капитальные вложения'!AU631,0)</f>
        <v>0</v>
      </c>
      <c s="125">
        <f>IF(Предпосылки!$G67="да",'Капитальные вложения'!AV631,0)</f>
        <v>0</v>
      </c>
      <c s="125">
        <f>IF(Предпосылки!$G67="да",'Капитальные вложения'!AW631,0)</f>
        <v>0</v>
      </c>
      <c s="125">
        <f>IF(Предпосылки!$G67="да",'Капитальные вложения'!AX631,0)</f>
        <v>0</v>
      </c>
      <c s="125">
        <f>IF(Предпосылки!$G67="да",'Капитальные вложения'!AY631,0)</f>
        <v>0</v>
      </c>
      <c s="125">
        <f>IF(Предпосылки!$G67="да",'Капитальные вложения'!AZ631,0)</f>
        <v>0</v>
      </c>
      <c s="125">
        <f>IF(Предпосылки!$G67="да",'Капитальные вложения'!BA631,0)</f>
        <v>0</v>
      </c>
      <c s="125">
        <f>IF(Предпосылки!$G67="да",'Капитальные вложения'!BB631,0)</f>
        <v>0</v>
      </c>
      <c s="125">
        <f>IF(Предпосылки!$G67="да",'Капитальные вложения'!BC631,0)</f>
        <v>0</v>
      </c>
      <c s="125">
        <f>IF(Предпосылки!$G67="да",'Капитальные вложения'!BD631,0)</f>
        <v>0</v>
      </c>
      <c s="125">
        <f>IF(Предпосылки!$G67="да",'Капитальные вложения'!BE631,0)</f>
        <v>0</v>
      </c>
      <c s="125">
        <f>IF(Предпосылки!$G67="да",'Капитальные вложения'!BF631,0)</f>
        <v>0</v>
      </c>
      <c s="125">
        <f>IF(Предпосылки!$G67="да",'Капитальные вложения'!BG631,0)</f>
        <v>0</v>
      </c>
      <c s="125">
        <f>IF(Предпосылки!$G67="да",'Капитальные вложения'!BH631,0)</f>
        <v>0</v>
      </c>
      <c s="125">
        <f>IF(Предпосылки!$G67="да",'Капитальные вложения'!BI631,0)</f>
        <v>0</v>
      </c>
      <c s="125">
        <f>IF(Предпосылки!$G67="да",'Капитальные вложения'!BJ631,0)</f>
        <v>0</v>
      </c>
      <c s="125">
        <f>IF(Предпосылки!$G67="да",'Капитальные вложения'!BK631,0)</f>
        <v>0</v>
      </c>
      <c s="125">
        <f>IF(Предпосылки!$G67="да",'Капитальные вложения'!BL631,0)</f>
        <v>0</v>
      </c>
      <c s="125">
        <f>IF(Предпосылки!$G67="да",'Капитальные вложения'!BM631,0)</f>
        <v>0</v>
      </c>
    </row>
    <row r="76" spans="2:65" ht="15" customHeight="1">
      <c r="B76" s="12" t="str">
        <f>IF(ISBLANK(Предпосылки!B68),"-",Предпосылки!B68)</f>
        <v>-</v>
      </c>
      <c s="124" t="str">
        <f t="shared" si="182"/>
        <v>тыс. руб.</v>
      </c>
      <c s="129"/>
      <c s="125">
        <f>IF(Предпосылки!$G68="да",'Капитальные вложения'!E632,0)</f>
        <v>0</v>
      </c>
      <c s="125">
        <f>IF(Предпосылки!$G68="да",'Капитальные вложения'!F632,0)</f>
        <v>0</v>
      </c>
      <c s="125">
        <f>IF(Предпосылки!$G68="да",'Капитальные вложения'!G632,0)</f>
        <v>0</v>
      </c>
      <c s="125">
        <f>IF(Предпосылки!$G68="да",'Капитальные вложения'!H632,0)</f>
        <v>0</v>
      </c>
      <c s="125">
        <f>IF(Предпосылки!$G68="да",'Капитальные вложения'!I632,0)</f>
        <v>0</v>
      </c>
      <c s="125">
        <f>IF(Предпосылки!$G68="да",'Капитальные вложения'!J632,0)</f>
        <v>0</v>
      </c>
      <c s="125">
        <f>IF(Предпосылки!$G68="да",'Капитальные вложения'!K632,0)</f>
        <v>0</v>
      </c>
      <c s="125">
        <f>IF(Предпосылки!$G68="да",'Капитальные вложения'!L632,0)</f>
        <v>0</v>
      </c>
      <c s="125">
        <f>IF(Предпосылки!$G68="да",'Капитальные вложения'!M632,0)</f>
        <v>0</v>
      </c>
      <c s="125">
        <f>IF(Предпосылки!$G68="да",'Капитальные вложения'!N632,0)</f>
        <v>0</v>
      </c>
      <c s="125">
        <f>IF(Предпосылки!$G68="да",'Капитальные вложения'!O632,0)</f>
        <v>0</v>
      </c>
      <c s="125">
        <f>IF(Предпосылки!$G68="да",'Капитальные вложения'!P632,0)</f>
        <v>0</v>
      </c>
      <c s="125">
        <f>IF(Предпосылки!$G68="да",'Капитальные вложения'!Q632,0)</f>
        <v>0</v>
      </c>
      <c s="125">
        <f>IF(Предпосылки!$G68="да",'Капитальные вложения'!R632,0)</f>
        <v>0</v>
      </c>
      <c s="125">
        <f>IF(Предпосылки!$G68="да",'Капитальные вложения'!S632,0)</f>
        <v>0</v>
      </c>
      <c s="125">
        <f>IF(Предпосылки!$G68="да",'Капитальные вложения'!T632,0)</f>
        <v>0</v>
      </c>
      <c s="125">
        <f>IF(Предпосылки!$G68="да",'Капитальные вложения'!U632,0)</f>
        <v>0</v>
      </c>
      <c s="125">
        <f>IF(Предпосылки!$G68="да",'Капитальные вложения'!V632,0)</f>
        <v>0</v>
      </c>
      <c s="125">
        <f>IF(Предпосылки!$G68="да",'Капитальные вложения'!W632,0)</f>
        <v>0</v>
      </c>
      <c s="125">
        <f>IF(Предпосылки!$G68="да",'Капитальные вложения'!X632,0)</f>
        <v>0</v>
      </c>
      <c s="125">
        <f>IF(Предпосылки!$G68="да",'Капитальные вложения'!Y632,0)</f>
        <v>0</v>
      </c>
      <c s="125">
        <f>IF(Предпосылки!$G68="да",'Капитальные вложения'!Z632,0)</f>
        <v>0</v>
      </c>
      <c s="125">
        <f>IF(Предпосылки!$G68="да",'Капитальные вложения'!AA632,0)</f>
        <v>0</v>
      </c>
      <c s="125">
        <f>IF(Предпосылки!$G68="да",'Капитальные вложения'!AB632,0)</f>
        <v>0</v>
      </c>
      <c s="125">
        <f>IF(Предпосылки!$G68="да",'Капитальные вложения'!AC632,0)</f>
        <v>0</v>
      </c>
      <c s="125">
        <f>IF(Предпосылки!$G68="да",'Капитальные вложения'!AD632,0)</f>
        <v>0</v>
      </c>
      <c s="125">
        <f>IF(Предпосылки!$G68="да",'Капитальные вложения'!AE632,0)</f>
        <v>0</v>
      </c>
      <c s="125">
        <f>IF(Предпосылки!$G68="да",'Капитальные вложения'!AF632,0)</f>
        <v>0</v>
      </c>
      <c s="125">
        <f>IF(Предпосылки!$G68="да",'Капитальные вложения'!AG632,0)</f>
        <v>0</v>
      </c>
      <c s="125">
        <f>IF(Предпосылки!$G68="да",'Капитальные вложения'!AH632,0)</f>
        <v>0</v>
      </c>
      <c s="125">
        <f>IF(Предпосылки!$G68="да",'Капитальные вложения'!AI632,0)</f>
        <v>0</v>
      </c>
      <c s="125">
        <f>IF(Предпосылки!$G68="да",'Капитальные вложения'!AJ632,0)</f>
        <v>0</v>
      </c>
      <c s="125">
        <f>IF(Предпосылки!$G68="да",'Капитальные вложения'!AK632,0)</f>
        <v>0</v>
      </c>
      <c s="125">
        <f>IF(Предпосылки!$G68="да",'Капитальные вложения'!AL632,0)</f>
        <v>0</v>
      </c>
      <c s="125">
        <f>IF(Предпосылки!$G68="да",'Капитальные вложения'!AM632,0)</f>
        <v>0</v>
      </c>
      <c s="125">
        <f>IF(Предпосылки!$G68="да",'Капитальные вложения'!AN632,0)</f>
        <v>0</v>
      </c>
      <c s="125">
        <f>IF(Предпосылки!$G68="да",'Капитальные вложения'!AO632,0)</f>
        <v>0</v>
      </c>
      <c s="125">
        <f>IF(Предпосылки!$G68="да",'Капитальные вложения'!AP632,0)</f>
        <v>0</v>
      </c>
      <c s="125">
        <f>IF(Предпосылки!$G68="да",'Капитальные вложения'!AQ632,0)</f>
        <v>0</v>
      </c>
      <c s="125">
        <f>IF(Предпосылки!$G68="да",'Капитальные вложения'!AR632,0)</f>
        <v>0</v>
      </c>
      <c s="125">
        <f>IF(Предпосылки!$G68="да",'Капитальные вложения'!AS632,0)</f>
        <v>0</v>
      </c>
      <c s="125">
        <f>IF(Предпосылки!$G68="да",'Капитальные вложения'!AT632,0)</f>
        <v>0</v>
      </c>
      <c s="125">
        <f>IF(Предпосылки!$G68="да",'Капитальные вложения'!AU632,0)</f>
        <v>0</v>
      </c>
      <c s="125">
        <f>IF(Предпосылки!$G68="да",'Капитальные вложения'!AV632,0)</f>
        <v>0</v>
      </c>
      <c s="125">
        <f>IF(Предпосылки!$G68="да",'Капитальные вложения'!AW632,0)</f>
        <v>0</v>
      </c>
      <c s="125">
        <f>IF(Предпосылки!$G68="да",'Капитальные вложения'!AX632,0)</f>
        <v>0</v>
      </c>
      <c s="125">
        <f>IF(Предпосылки!$G68="да",'Капитальные вложения'!AY632,0)</f>
        <v>0</v>
      </c>
      <c s="125">
        <f>IF(Предпосылки!$G68="да",'Капитальные вложения'!AZ632,0)</f>
        <v>0</v>
      </c>
      <c s="125">
        <f>IF(Предпосылки!$G68="да",'Капитальные вложения'!BA632,0)</f>
        <v>0</v>
      </c>
      <c s="125">
        <f>IF(Предпосылки!$G68="да",'Капитальные вложения'!BB632,0)</f>
        <v>0</v>
      </c>
      <c s="125">
        <f>IF(Предпосылки!$G68="да",'Капитальные вложения'!BC632,0)</f>
        <v>0</v>
      </c>
      <c s="125">
        <f>IF(Предпосылки!$G68="да",'Капитальные вложения'!BD632,0)</f>
        <v>0</v>
      </c>
      <c s="125">
        <f>IF(Предпосылки!$G68="да",'Капитальные вложения'!BE632,0)</f>
        <v>0</v>
      </c>
      <c s="125">
        <f>IF(Предпосылки!$G68="да",'Капитальные вложения'!BF632,0)</f>
        <v>0</v>
      </c>
      <c s="125">
        <f>IF(Предпосылки!$G68="да",'Капитальные вложения'!BG632,0)</f>
        <v>0</v>
      </c>
      <c s="125">
        <f>IF(Предпосылки!$G68="да",'Капитальные вложения'!BH632,0)</f>
        <v>0</v>
      </c>
      <c s="125">
        <f>IF(Предпосылки!$G68="да",'Капитальные вложения'!BI632,0)</f>
        <v>0</v>
      </c>
      <c s="125">
        <f>IF(Предпосылки!$G68="да",'Капитальные вложения'!BJ632,0)</f>
        <v>0</v>
      </c>
      <c s="125">
        <f>IF(Предпосылки!$G68="да",'Капитальные вложения'!BK632,0)</f>
        <v>0</v>
      </c>
      <c s="125">
        <f>IF(Предпосылки!$G68="да",'Капитальные вложения'!BL632,0)</f>
        <v>0</v>
      </c>
      <c s="125">
        <f>IF(Предпосылки!$G68="да",'Капитальные вложения'!BM632,0)</f>
        <v>0</v>
      </c>
    </row>
    <row r="77" spans="2:65" ht="15" customHeight="1">
      <c r="B77" s="12" t="str">
        <f>IF(ISBLANK(Предпосылки!B69),"-",Предпосылки!B69)</f>
        <v>-</v>
      </c>
      <c s="124" t="str">
        <f t="shared" si="182"/>
        <v>тыс. руб.</v>
      </c>
      <c s="129"/>
      <c s="125">
        <f>IF(Предпосылки!$G69="да",'Капитальные вложения'!E633,0)</f>
        <v>0</v>
      </c>
      <c s="125">
        <f>IF(Предпосылки!$G69="да",'Капитальные вложения'!F633,0)</f>
        <v>0</v>
      </c>
      <c s="125">
        <f>IF(Предпосылки!$G69="да",'Капитальные вложения'!G633,0)</f>
        <v>0</v>
      </c>
      <c s="125">
        <f>IF(Предпосылки!$G69="да",'Капитальные вложения'!H633,0)</f>
        <v>0</v>
      </c>
      <c s="125">
        <f>IF(Предпосылки!$G69="да",'Капитальные вложения'!I633,0)</f>
        <v>0</v>
      </c>
      <c s="125">
        <f>IF(Предпосылки!$G69="да",'Капитальные вложения'!J633,0)</f>
        <v>0</v>
      </c>
      <c s="125">
        <f>IF(Предпосылки!$G69="да",'Капитальные вложения'!K633,0)</f>
        <v>0</v>
      </c>
      <c s="125">
        <f>IF(Предпосылки!$G69="да",'Капитальные вложения'!L633,0)</f>
        <v>0</v>
      </c>
      <c s="125">
        <f>IF(Предпосылки!$G69="да",'Капитальные вложения'!M633,0)</f>
        <v>0</v>
      </c>
      <c s="125">
        <f>IF(Предпосылки!$G69="да",'Капитальные вложения'!N633,0)</f>
        <v>0</v>
      </c>
      <c s="125">
        <f>IF(Предпосылки!$G69="да",'Капитальные вложения'!O633,0)</f>
        <v>0</v>
      </c>
      <c s="125">
        <f>IF(Предпосылки!$G69="да",'Капитальные вложения'!P633,0)</f>
        <v>0</v>
      </c>
      <c s="125">
        <f>IF(Предпосылки!$G69="да",'Капитальные вложения'!Q633,0)</f>
        <v>0</v>
      </c>
      <c s="125">
        <f>IF(Предпосылки!$G69="да",'Капитальные вложения'!R633,0)</f>
        <v>0</v>
      </c>
      <c s="125">
        <f>IF(Предпосылки!$G69="да",'Капитальные вложения'!S633,0)</f>
        <v>0</v>
      </c>
      <c s="125">
        <f>IF(Предпосылки!$G69="да",'Капитальные вложения'!T633,0)</f>
        <v>0</v>
      </c>
      <c s="125">
        <f>IF(Предпосылки!$G69="да",'Капитальные вложения'!U633,0)</f>
        <v>0</v>
      </c>
      <c s="125">
        <f>IF(Предпосылки!$G69="да",'Капитальные вложения'!V633,0)</f>
        <v>0</v>
      </c>
      <c s="125">
        <f>IF(Предпосылки!$G69="да",'Капитальные вложения'!W633,0)</f>
        <v>0</v>
      </c>
      <c s="125">
        <f>IF(Предпосылки!$G69="да",'Капитальные вложения'!X633,0)</f>
        <v>0</v>
      </c>
      <c s="125">
        <f>IF(Предпосылки!$G69="да",'Капитальные вложения'!Y633,0)</f>
        <v>0</v>
      </c>
      <c s="125">
        <f>IF(Предпосылки!$G69="да",'Капитальные вложения'!Z633,0)</f>
        <v>0</v>
      </c>
      <c s="125">
        <f>IF(Предпосылки!$G69="да",'Капитальные вложения'!AA633,0)</f>
        <v>0</v>
      </c>
      <c s="125">
        <f>IF(Предпосылки!$G69="да",'Капитальные вложения'!AB633,0)</f>
        <v>0</v>
      </c>
      <c s="125">
        <f>IF(Предпосылки!$G69="да",'Капитальные вложения'!AC633,0)</f>
        <v>0</v>
      </c>
      <c s="125">
        <f>IF(Предпосылки!$G69="да",'Капитальные вложения'!AD633,0)</f>
        <v>0</v>
      </c>
      <c s="125">
        <f>IF(Предпосылки!$G69="да",'Капитальные вложения'!AE633,0)</f>
        <v>0</v>
      </c>
      <c s="125">
        <f>IF(Предпосылки!$G69="да",'Капитальные вложения'!AF633,0)</f>
        <v>0</v>
      </c>
      <c s="125">
        <f>IF(Предпосылки!$G69="да",'Капитальные вложения'!AG633,0)</f>
        <v>0</v>
      </c>
      <c s="125">
        <f>IF(Предпосылки!$G69="да",'Капитальные вложения'!AH633,0)</f>
        <v>0</v>
      </c>
      <c s="125">
        <f>IF(Предпосылки!$G69="да",'Капитальные вложения'!AI633,0)</f>
        <v>0</v>
      </c>
      <c s="125">
        <f>IF(Предпосылки!$G69="да",'Капитальные вложения'!AJ633,0)</f>
        <v>0</v>
      </c>
      <c s="125">
        <f>IF(Предпосылки!$G69="да",'Капитальные вложения'!AK633,0)</f>
        <v>0</v>
      </c>
      <c s="125">
        <f>IF(Предпосылки!$G69="да",'Капитальные вложения'!AL633,0)</f>
        <v>0</v>
      </c>
      <c s="125">
        <f>IF(Предпосылки!$G69="да",'Капитальные вложения'!AM633,0)</f>
        <v>0</v>
      </c>
      <c s="125">
        <f>IF(Предпосылки!$G69="да",'Капитальные вложения'!AN633,0)</f>
        <v>0</v>
      </c>
      <c s="125">
        <f>IF(Предпосылки!$G69="да",'Капитальные вложения'!AO633,0)</f>
        <v>0</v>
      </c>
      <c s="125">
        <f>IF(Предпосылки!$G69="да",'Капитальные вложения'!AP633,0)</f>
        <v>0</v>
      </c>
      <c s="125">
        <f>IF(Предпосылки!$G69="да",'Капитальные вложения'!AQ633,0)</f>
        <v>0</v>
      </c>
      <c s="125">
        <f>IF(Предпосылки!$G69="да",'Капитальные вложения'!AR633,0)</f>
        <v>0</v>
      </c>
      <c s="125">
        <f>IF(Предпосылки!$G69="да",'Капитальные вложения'!AS633,0)</f>
        <v>0</v>
      </c>
      <c s="125">
        <f>IF(Предпосылки!$G69="да",'Капитальные вложения'!AT633,0)</f>
        <v>0</v>
      </c>
      <c s="125">
        <f>IF(Предпосылки!$G69="да",'Капитальные вложения'!AU633,0)</f>
        <v>0</v>
      </c>
      <c s="125">
        <f>IF(Предпосылки!$G69="да",'Капитальные вложения'!AV633,0)</f>
        <v>0</v>
      </c>
      <c s="125">
        <f>IF(Предпосылки!$G69="да",'Капитальные вложения'!AW633,0)</f>
        <v>0</v>
      </c>
      <c s="125">
        <f>IF(Предпосылки!$G69="да",'Капитальные вложения'!AX633,0)</f>
        <v>0</v>
      </c>
      <c s="125">
        <f>IF(Предпосылки!$G69="да",'Капитальные вложения'!AY633,0)</f>
        <v>0</v>
      </c>
      <c s="125">
        <f>IF(Предпосылки!$G69="да",'Капитальные вложения'!AZ633,0)</f>
        <v>0</v>
      </c>
      <c s="125">
        <f>IF(Предпосылки!$G69="да",'Капитальные вложения'!BA633,0)</f>
        <v>0</v>
      </c>
      <c s="125">
        <f>IF(Предпосылки!$G69="да",'Капитальные вложения'!BB633,0)</f>
        <v>0</v>
      </c>
      <c s="125">
        <f>IF(Предпосылки!$G69="да",'Капитальные вложения'!BC633,0)</f>
        <v>0</v>
      </c>
      <c s="125">
        <f>IF(Предпосылки!$G69="да",'Капитальные вложения'!BD633,0)</f>
        <v>0</v>
      </c>
      <c s="125">
        <f>IF(Предпосылки!$G69="да",'Капитальные вложения'!BE633,0)</f>
        <v>0</v>
      </c>
      <c s="125">
        <f>IF(Предпосылки!$G69="да",'Капитальные вложения'!BF633,0)</f>
        <v>0</v>
      </c>
      <c s="125">
        <f>IF(Предпосылки!$G69="да",'Капитальные вложения'!BG633,0)</f>
        <v>0</v>
      </c>
      <c s="125">
        <f>IF(Предпосылки!$G69="да",'Капитальные вложения'!BH633,0)</f>
        <v>0</v>
      </c>
      <c s="125">
        <f>IF(Предпосылки!$G69="да",'Капитальные вложения'!BI633,0)</f>
        <v>0</v>
      </c>
      <c s="125">
        <f>IF(Предпосылки!$G69="да",'Капитальные вложения'!BJ633,0)</f>
        <v>0</v>
      </c>
      <c s="125">
        <f>IF(Предпосылки!$G69="да",'Капитальные вложения'!BK633,0)</f>
        <v>0</v>
      </c>
      <c s="125">
        <f>IF(Предпосылки!$G69="да",'Капитальные вложения'!BL633,0)</f>
        <v>0</v>
      </c>
      <c s="125">
        <f>IF(Предпосылки!$G69="да",'Капитальные вложения'!BM633,0)</f>
        <v>0</v>
      </c>
    </row>
    <row r="78" spans="2:65" ht="15" customHeight="1">
      <c r="B78" s="289" t="s">
        <v>454</v>
      </c>
      <c s="290" t="str">
        <f t="shared" si="182"/>
        <v>тыс. руб.</v>
      </c>
      <c s="276"/>
      <c s="276">
        <f t="shared" si="183" ref="E78">SUM(E38:E77)</f>
        <v>0</v>
      </c>
      <c s="276">
        <f t="shared" si="184" ref="F78:AG78">SUM(F38:F77)</f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4"/>
        <v>0</v>
      </c>
      <c s="276">
        <f t="shared" si="185" ref="AH78:BM78">SUM(AH38:AH77)</f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  <c s="276">
        <f t="shared" si="185"/>
        <v>0</v>
      </c>
    </row>
    <row r="79" ht="15" customHeight="1"/>
    <row r="80" spans="2:2" ht="15" customHeight="1">
      <c r="B80" s="24" t="s">
        <v>928</v>
      </c>
    </row>
    <row r="81" spans="2:65" ht="15" customHeight="1">
      <c r="B81" s="12" t="s">
        <v>929</v>
      </c>
      <c s="124" t="str">
        <f>Единица_измерения</f>
        <v>тыс. руб.</v>
      </c>
      <c s="129"/>
      <c s="125">
        <f t="shared" si="186" ref="E81">AVERAGE(D78:E78)</f>
        <v>0</v>
      </c>
      <c s="125">
        <f t="shared" si="187" ref="F81">AVERAGE(E78:F78)</f>
        <v>0</v>
      </c>
      <c s="125">
        <f t="shared" si="188" ref="G81">AVERAGE(F78:G78)</f>
        <v>0</v>
      </c>
      <c s="125">
        <f t="shared" si="189" ref="H81">AVERAGE(G78:H78)</f>
        <v>0</v>
      </c>
      <c s="125">
        <f t="shared" si="190" ref="I81">AVERAGE(H78:I78)</f>
        <v>0</v>
      </c>
      <c s="125">
        <f t="shared" si="191" ref="J81">AVERAGE(I78:J78)</f>
        <v>0</v>
      </c>
      <c s="125">
        <f t="shared" si="192" ref="K81">AVERAGE(J78:K78)</f>
        <v>0</v>
      </c>
      <c s="125">
        <f t="shared" si="193" ref="L81">AVERAGE(K78:L78)</f>
        <v>0</v>
      </c>
      <c s="125">
        <f t="shared" si="194" ref="M81">AVERAGE(L78:M78)</f>
        <v>0</v>
      </c>
      <c s="125">
        <f t="shared" si="195" ref="N81">AVERAGE(M78:N78)</f>
        <v>0</v>
      </c>
      <c s="125">
        <f t="shared" si="196" ref="O81">AVERAGE(N78:O78)</f>
        <v>0</v>
      </c>
      <c s="125">
        <f t="shared" si="197" ref="P81">AVERAGE(O78:P78)</f>
        <v>0</v>
      </c>
      <c s="125">
        <f t="shared" si="198" ref="Q81">AVERAGE(P78:Q78)</f>
        <v>0</v>
      </c>
      <c s="125">
        <f t="shared" si="199" ref="R81">AVERAGE(Q78:R78)</f>
        <v>0</v>
      </c>
      <c s="125">
        <f t="shared" si="200" ref="S81">AVERAGE(R78:S78)</f>
        <v>0</v>
      </c>
      <c s="125">
        <f t="shared" si="201" ref="T81">AVERAGE(S78:T78)</f>
        <v>0</v>
      </c>
      <c s="125">
        <f t="shared" si="202" ref="U81">AVERAGE(T78:U78)</f>
        <v>0</v>
      </c>
      <c s="125">
        <f t="shared" si="203" ref="V81">AVERAGE(U78:V78)</f>
        <v>0</v>
      </c>
      <c s="125">
        <f t="shared" si="204" ref="W81">AVERAGE(V78:W78)</f>
        <v>0</v>
      </c>
      <c s="125">
        <f t="shared" si="205" ref="X81">AVERAGE(W78:X78)</f>
        <v>0</v>
      </c>
      <c s="125">
        <f t="shared" si="206" ref="Y81">AVERAGE(X78:Y78)</f>
        <v>0</v>
      </c>
      <c s="125">
        <f t="shared" si="207" ref="Z81">AVERAGE(Y78:Z78)</f>
        <v>0</v>
      </c>
      <c s="125">
        <f t="shared" si="208" ref="AA81">AVERAGE(Z78:AA78)</f>
        <v>0</v>
      </c>
      <c s="125">
        <f t="shared" si="209" ref="AB81">AVERAGE(AA78:AB78)</f>
        <v>0</v>
      </c>
      <c s="125">
        <f t="shared" si="210" ref="AC81">AVERAGE(AB78:AC78)</f>
        <v>0</v>
      </c>
      <c s="125">
        <f t="shared" si="211" ref="AD81">AVERAGE(AC78:AD78)</f>
        <v>0</v>
      </c>
      <c s="125">
        <f t="shared" si="212" ref="AE81">AVERAGE(AD78:AE78)</f>
        <v>0</v>
      </c>
      <c s="125">
        <f t="shared" si="213" ref="AF81">AVERAGE(AE78:AF78)</f>
        <v>0</v>
      </c>
      <c s="125">
        <f t="shared" si="214" ref="AG81">AVERAGE(AF78:AG78)</f>
        <v>0</v>
      </c>
      <c s="125">
        <f t="shared" si="215" ref="AH81">AVERAGE(AG78:AH78)</f>
        <v>0</v>
      </c>
      <c s="125">
        <f t="shared" si="216" ref="AI81">AVERAGE(AH78:AI78)</f>
        <v>0</v>
      </c>
      <c s="125">
        <f t="shared" si="217" ref="AJ81">AVERAGE(AI78:AJ78)</f>
        <v>0</v>
      </c>
      <c s="125">
        <f t="shared" si="218" ref="AK81">AVERAGE(AJ78:AK78)</f>
        <v>0</v>
      </c>
      <c s="125">
        <f t="shared" si="219" ref="AL81">AVERAGE(AK78:AL78)</f>
        <v>0</v>
      </c>
      <c s="125">
        <f t="shared" si="220" ref="AM81">AVERAGE(AL78:AM78)</f>
        <v>0</v>
      </c>
      <c s="125">
        <f t="shared" si="221" ref="AN81">AVERAGE(AM78:AN78)</f>
        <v>0</v>
      </c>
      <c s="125">
        <f t="shared" si="222" ref="AO81">AVERAGE(AN78:AO78)</f>
        <v>0</v>
      </c>
      <c s="125">
        <f t="shared" si="223" ref="AP81">AVERAGE(AO78:AP78)</f>
        <v>0</v>
      </c>
      <c s="125">
        <f t="shared" si="224" ref="AQ81">AVERAGE(AP78:AQ78)</f>
        <v>0</v>
      </c>
      <c s="125">
        <f t="shared" si="225" ref="AR81">AVERAGE(AQ78:AR78)</f>
        <v>0</v>
      </c>
      <c s="125">
        <f t="shared" si="226" ref="AS81">AVERAGE(AR78:AS78)</f>
        <v>0</v>
      </c>
      <c s="125">
        <f t="shared" si="227" ref="AT81">AVERAGE(AS78:AT78)</f>
        <v>0</v>
      </c>
      <c s="125">
        <f t="shared" si="228" ref="AU81">AVERAGE(AT78:AU78)</f>
        <v>0</v>
      </c>
      <c s="125">
        <f t="shared" si="229" ref="AV81">AVERAGE(AU78:AV78)</f>
        <v>0</v>
      </c>
      <c s="125">
        <f t="shared" si="230" ref="AW81">AVERAGE(AV78:AW78)</f>
        <v>0</v>
      </c>
      <c s="125">
        <f t="shared" si="231" ref="AX81">AVERAGE(AW78:AX78)</f>
        <v>0</v>
      </c>
      <c s="125">
        <f t="shared" si="232" ref="AY81">AVERAGE(AX78:AY78)</f>
        <v>0</v>
      </c>
      <c s="125">
        <f t="shared" si="233" ref="AZ81">AVERAGE(AY78:AZ78)</f>
        <v>0</v>
      </c>
      <c s="125">
        <f t="shared" si="234" ref="BA81">AVERAGE(AZ78:BA78)</f>
        <v>0</v>
      </c>
      <c s="125">
        <f t="shared" si="235" ref="BB81">AVERAGE(BA78:BB78)</f>
        <v>0</v>
      </c>
      <c s="125">
        <f t="shared" si="236" ref="BC81">AVERAGE(BB78:BC78)</f>
        <v>0</v>
      </c>
      <c s="125">
        <f t="shared" si="237" ref="BD81">AVERAGE(BC78:BD78)</f>
        <v>0</v>
      </c>
      <c s="125">
        <f t="shared" si="238" ref="BE81">AVERAGE(BD78:BE78)</f>
        <v>0</v>
      </c>
      <c s="125">
        <f t="shared" si="239" ref="BF81">AVERAGE(BE78:BF78)</f>
        <v>0</v>
      </c>
      <c s="125">
        <f t="shared" si="240" ref="BG81">AVERAGE(BF78:BG78)</f>
        <v>0</v>
      </c>
      <c s="125">
        <f t="shared" si="241" ref="BH81">AVERAGE(BG78:BH78)</f>
        <v>0</v>
      </c>
      <c s="125">
        <f t="shared" si="242" ref="BI81">AVERAGE(BH78:BI78)</f>
        <v>0</v>
      </c>
      <c s="125">
        <f t="shared" si="243" ref="BJ81">AVERAGE(BI78:BJ78)</f>
        <v>0</v>
      </c>
      <c s="125">
        <f t="shared" si="244" ref="BK81">AVERAGE(BJ78:BK78)</f>
        <v>0</v>
      </c>
      <c s="125">
        <f t="shared" si="245" ref="BL81">AVERAGE(BK78:BL78)</f>
        <v>0</v>
      </c>
      <c s="125">
        <f t="shared" si="246" ref="BM81">AVERAGE(BL78:BM78)</f>
        <v>0</v>
      </c>
    </row>
    <row r="82" ht="15" customHeight="1"/>
    <row r="83" spans="2:2" ht="15" customHeight="1">
      <c r="B83" s="24" t="s">
        <v>930</v>
      </c>
    </row>
    <row r="84" spans="2:65" ht="15" customHeight="1">
      <c r="B84" s="12" t="s">
        <v>827</v>
      </c>
      <c s="124" t="str">
        <f>Единица_измерения</f>
        <v>тыс. руб.</v>
      </c>
      <c s="129"/>
      <c s="125">
        <f t="shared" si="247" ref="E84">D87</f>
        <v>0</v>
      </c>
      <c s="125">
        <f t="shared" si="248" ref="F84">E87</f>
        <v>0</v>
      </c>
      <c s="125">
        <f t="shared" si="249" ref="G84">F87</f>
        <v>0</v>
      </c>
      <c s="125">
        <f t="shared" si="250" ref="H84">G87</f>
        <v>0</v>
      </c>
      <c s="125">
        <f t="shared" si="251" ref="I84">H87</f>
        <v>0</v>
      </c>
      <c s="125">
        <f t="shared" si="252" ref="J84">I87</f>
        <v>0</v>
      </c>
      <c s="125">
        <f t="shared" si="253" ref="K84">J87</f>
        <v>0</v>
      </c>
      <c s="125">
        <f t="shared" si="254" ref="L84">K87</f>
        <v>0</v>
      </c>
      <c s="125">
        <f t="shared" si="255" ref="M84">L87</f>
        <v>0</v>
      </c>
      <c s="125">
        <f t="shared" si="256" ref="N84">M87</f>
        <v>0</v>
      </c>
      <c s="125">
        <f t="shared" si="257" ref="O84">N87</f>
        <v>0</v>
      </c>
      <c s="125">
        <f t="shared" si="258" ref="P84">O87</f>
        <v>0</v>
      </c>
      <c s="125">
        <f t="shared" si="259" ref="Q84">P87</f>
        <v>0</v>
      </c>
      <c s="125">
        <f t="shared" si="260" ref="R84">Q87</f>
        <v>0</v>
      </c>
      <c s="125">
        <f t="shared" si="261" ref="S84">R87</f>
        <v>0</v>
      </c>
      <c s="125">
        <f t="shared" si="262" ref="T84">S87</f>
        <v>0</v>
      </c>
      <c s="125">
        <f t="shared" si="263" ref="U84">T87</f>
        <v>0</v>
      </c>
      <c s="125">
        <f t="shared" si="264" ref="V84">U87</f>
        <v>0</v>
      </c>
      <c s="125">
        <f t="shared" si="265" ref="W84">V87</f>
        <v>0</v>
      </c>
      <c s="125">
        <f t="shared" si="266" ref="X84">W87</f>
        <v>0</v>
      </c>
      <c s="125">
        <f t="shared" si="267" ref="Y84">X87</f>
        <v>0</v>
      </c>
      <c s="125">
        <f t="shared" si="268" ref="Z84">Y87</f>
        <v>0</v>
      </c>
      <c s="125">
        <f t="shared" si="269" ref="AA84">Z87</f>
        <v>0</v>
      </c>
      <c s="125">
        <f t="shared" si="270" ref="AB84">AA87</f>
        <v>0</v>
      </c>
      <c s="125">
        <f t="shared" si="271" ref="AC84">AB87</f>
        <v>0</v>
      </c>
      <c s="125">
        <f t="shared" si="272" ref="AD84">AC87</f>
        <v>0</v>
      </c>
      <c s="125">
        <f t="shared" si="273" ref="AE84">AD87</f>
        <v>0</v>
      </c>
      <c s="125">
        <f t="shared" si="274" ref="AF84">AE87</f>
        <v>0</v>
      </c>
      <c s="125">
        <f t="shared" si="275" ref="AG84">AF87</f>
        <v>0</v>
      </c>
      <c s="125">
        <f t="shared" si="276" ref="AH84">AG87</f>
        <v>0</v>
      </c>
      <c s="125">
        <f t="shared" si="277" ref="AI84">AH87</f>
        <v>0</v>
      </c>
      <c s="125">
        <f t="shared" si="278" ref="AJ84">AI87</f>
        <v>0</v>
      </c>
      <c s="125">
        <f t="shared" si="279" ref="AK84">AJ87</f>
        <v>0</v>
      </c>
      <c s="125">
        <f t="shared" si="280" ref="AL84">AK87</f>
        <v>0</v>
      </c>
      <c s="125">
        <f t="shared" si="281" ref="AM84">AL87</f>
        <v>0</v>
      </c>
      <c s="125">
        <f t="shared" si="282" ref="AN84">AM87</f>
        <v>0</v>
      </c>
      <c s="125">
        <f t="shared" si="283" ref="AO84">AN87</f>
        <v>0</v>
      </c>
      <c s="125">
        <f t="shared" si="284" ref="AP84">AO87</f>
        <v>0</v>
      </c>
      <c s="125">
        <f t="shared" si="285" ref="AQ84">AP87</f>
        <v>0</v>
      </c>
      <c s="125">
        <f t="shared" si="286" ref="AR84">AQ87</f>
        <v>0</v>
      </c>
      <c s="125">
        <f t="shared" si="287" ref="AS84">AR87</f>
        <v>0</v>
      </c>
      <c s="125">
        <f t="shared" si="288" ref="AT84">AS87</f>
        <v>0</v>
      </c>
      <c s="125">
        <f t="shared" si="289" ref="AU84">AT87</f>
        <v>0</v>
      </c>
      <c s="125">
        <f t="shared" si="290" ref="AV84">AU87</f>
        <v>0</v>
      </c>
      <c s="125">
        <f t="shared" si="291" ref="AW84">AV87</f>
        <v>0</v>
      </c>
      <c s="125">
        <f t="shared" si="292" ref="AX84">AW87</f>
        <v>0</v>
      </c>
      <c s="125">
        <f t="shared" si="293" ref="AY84">AX87</f>
        <v>0</v>
      </c>
      <c s="125">
        <f t="shared" si="294" ref="AZ84">AY87</f>
        <v>0</v>
      </c>
      <c s="125">
        <f t="shared" si="295" ref="BA84">AZ87</f>
        <v>0</v>
      </c>
      <c s="125">
        <f t="shared" si="296" ref="BB84">BA87</f>
        <v>0</v>
      </c>
      <c s="125">
        <f t="shared" si="297" ref="BC84">BB87</f>
        <v>0</v>
      </c>
      <c s="125">
        <f t="shared" si="298" ref="BD84">BC87</f>
        <v>0</v>
      </c>
      <c s="125">
        <f t="shared" si="299" ref="BE84">BD87</f>
        <v>0</v>
      </c>
      <c s="125">
        <f t="shared" si="300" ref="BF84">BE87</f>
        <v>0</v>
      </c>
      <c s="125">
        <f t="shared" si="301" ref="BG84">BF87</f>
        <v>0</v>
      </c>
      <c s="125">
        <f t="shared" si="302" ref="BH84">BG87</f>
        <v>0</v>
      </c>
      <c s="125">
        <f t="shared" si="303" ref="BI84">BH87</f>
        <v>0</v>
      </c>
      <c s="125">
        <f t="shared" si="304" ref="BJ84">BI87</f>
        <v>0</v>
      </c>
      <c s="125">
        <f t="shared" si="305" ref="BK84">BJ87</f>
        <v>0</v>
      </c>
      <c s="125">
        <f t="shared" si="306" ref="BL84">BK87</f>
        <v>0</v>
      </c>
      <c s="125">
        <f t="shared" si="307" ref="BM84">BL87</f>
        <v>0</v>
      </c>
    </row>
    <row r="85" spans="2:65" ht="15" customHeight="1">
      <c r="B85" s="12" t="s">
        <v>931</v>
      </c>
      <c s="124" t="str">
        <f>Единица_измерения</f>
        <v>тыс. руб.</v>
      </c>
      <c s="129"/>
      <c s="125">
        <f t="shared" si="308" ref="E85">E81*E35</f>
        <v>0</v>
      </c>
      <c s="125">
        <f t="shared" si="309" ref="F85:AG85">F81*F35</f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09"/>
        <v>0</v>
      </c>
      <c s="125">
        <f t="shared" si="310" ref="AH85:BM85">AH81*AH35</f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  <c s="125">
        <f t="shared" si="310"/>
        <v>0</v>
      </c>
    </row>
    <row r="86" spans="2:65" ht="15" customHeight="1">
      <c r="B86" s="12" t="s">
        <v>932</v>
      </c>
      <c s="124" t="str">
        <f>Единица_измерения</f>
        <v>тыс. руб.</v>
      </c>
      <c s="129"/>
      <c s="125">
        <f t="shared" si="311" ref="E86">-E84</f>
        <v>0</v>
      </c>
      <c s="125">
        <f t="shared" si="312" ref="F86:AG86">-F84</f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2"/>
        <v>0</v>
      </c>
      <c s="125">
        <f t="shared" si="313" ref="AH86:BM86">-AH84</f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  <c s="125">
        <f t="shared" si="313"/>
        <v>0</v>
      </c>
    </row>
    <row r="87" spans="2:65" ht="15" customHeight="1">
      <c r="B87" s="289" t="s">
        <v>830</v>
      </c>
      <c s="290" t="str">
        <f>Единица_измерения</f>
        <v>тыс. руб.</v>
      </c>
      <c s="276"/>
      <c s="276">
        <f t="shared" si="314" ref="E87">SUM(E84:E86)</f>
        <v>0</v>
      </c>
      <c s="276">
        <f t="shared" si="315" ref="F87:AG87">SUM(F84:F86)</f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5"/>
        <v>0</v>
      </c>
      <c s="276">
        <f t="shared" si="316" ref="AH87:BM87">SUM(AH84:AH86)</f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  <c s="276">
        <f t="shared" si="316"/>
        <v>0</v>
      </c>
    </row>
    <row r="88" ht="15" customHeight="1"/>
    <row r="89" spans="2:71" ht="21">
      <c r="B89" s="23" t="s">
        <v>244</v>
      </c>
      <c r="D8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0" spans="2:65" ht="15" customHeight="1">
      <c r="B90" s="12" t="s">
        <v>538</v>
      </c>
      <c s="124" t="s">
        <v>817</v>
      </c>
      <c s="124"/>
      <c s="126">
        <f>LOOKUP(YEAR(E$8),Предпосылки!$C$480:$R$480,Ставки_НнП)</f>
        <v>0.20000000000000001</v>
      </c>
      <c s="126">
        <f>LOOKUP(YEAR(F$8),Предпосылки!$C$480:$R$480,Ставки_НнП)</f>
        <v>0.20000000000000001</v>
      </c>
      <c s="126">
        <f>LOOKUP(YEAR(G$8),Предпосылки!$C$480:$R$480,Ставки_НнП)</f>
        <v>0.20000000000000001</v>
      </c>
      <c s="126">
        <f>LOOKUP(YEAR(H$8),Предпосылки!$C$480:$R$480,Ставки_НнП)</f>
        <v>0.20000000000000001</v>
      </c>
      <c s="126">
        <f>LOOKUP(YEAR(I$8),Предпосылки!$C$480:$R$480,Ставки_НнП)</f>
        <v>0.25</v>
      </c>
      <c s="126">
        <f>LOOKUP(YEAR(J$8),Предпосылки!$C$480:$R$480,Ставки_НнП)</f>
        <v>0.25</v>
      </c>
      <c s="126">
        <f>LOOKUP(YEAR(K$8),Предпосылки!$C$480:$R$480,Ставки_НнП)</f>
        <v>0.25</v>
      </c>
      <c s="126">
        <f>LOOKUP(YEAR(L$8),Предпосылки!$C$480:$R$480,Ставки_НнП)</f>
        <v>0.25</v>
      </c>
      <c s="126">
        <f>LOOKUP(YEAR(M$8),Предпосылки!$C$480:$R$480,Ставки_НнП)</f>
        <v>0.25</v>
      </c>
      <c s="126">
        <f>LOOKUP(YEAR(N$8),Предпосылки!$C$480:$R$480,Ставки_НнП)</f>
        <v>0.25</v>
      </c>
      <c s="126">
        <f>LOOKUP(YEAR(O$8),Предпосылки!$C$480:$R$480,Ставки_НнП)</f>
        <v>0.25</v>
      </c>
      <c s="126">
        <f>LOOKUP(YEAR(P$8),Предпосылки!$C$480:$R$480,Ставки_НнП)</f>
        <v>0.25</v>
      </c>
      <c s="126">
        <f>LOOKUP(YEAR(Q$8),Предпосылки!$C$480:$R$480,Ставки_НнП)</f>
        <v>0.25</v>
      </c>
      <c s="126">
        <f>LOOKUP(YEAR(R$8),Предпосылки!$C$480:$R$480,Ставки_НнП)</f>
        <v>0.25</v>
      </c>
      <c s="126">
        <f>LOOKUP(YEAR(S$8),Предпосылки!$C$480:$R$480,Ставки_НнП)</f>
        <v>0.25</v>
      </c>
      <c s="126">
        <f>LOOKUP(YEAR(T$8),Предпосылки!$C$480:$R$480,Ставки_НнП)</f>
        <v>0.25</v>
      </c>
      <c s="126">
        <f>LOOKUP(YEAR(U$8),Предпосылки!$C$480:$R$480,Ставки_НнП)</f>
        <v>0.25</v>
      </c>
      <c s="126">
        <f>LOOKUP(YEAR(V$8),Предпосылки!$C$480:$R$480,Ставки_НнП)</f>
        <v>0.25</v>
      </c>
      <c s="126">
        <f>LOOKUP(YEAR(W$8),Предпосылки!$C$480:$R$480,Ставки_НнП)</f>
        <v>0.25</v>
      </c>
      <c s="126">
        <f>LOOKUP(YEAR(X$8),Предпосылки!$C$480:$R$480,Ставки_НнП)</f>
        <v>0.25</v>
      </c>
      <c s="126">
        <f>LOOKUP(YEAR(Y$8),Предпосылки!$C$480:$R$480,Ставки_НнП)</f>
        <v>0.25</v>
      </c>
      <c s="126">
        <f>LOOKUP(YEAR(Z$8),Предпосылки!$C$480:$R$480,Ставки_НнП)</f>
        <v>0.25</v>
      </c>
      <c s="126">
        <f>LOOKUP(YEAR(AA$8),Предпосылки!$C$480:$R$480,Ставки_НнП)</f>
        <v>0.25</v>
      </c>
      <c s="126">
        <f>LOOKUP(YEAR(AB$8),Предпосылки!$C$480:$R$480,Ставки_НнП)</f>
        <v>0.25</v>
      </c>
      <c s="126">
        <f>LOOKUP(YEAR(AC$8),Предпосылки!$C$480:$R$480,Ставки_НнП)</f>
        <v>0.25</v>
      </c>
      <c s="126">
        <f>LOOKUP(YEAR(AD$8),Предпосылки!$C$480:$R$480,Ставки_НнП)</f>
        <v>0.25</v>
      </c>
      <c s="126">
        <f>LOOKUP(YEAR(AE$8),Предпосылки!$C$480:$R$480,Ставки_НнП)</f>
        <v>0.25</v>
      </c>
      <c s="126">
        <f>LOOKUP(YEAR(AF$8),Предпосылки!$C$480:$R$480,Ставки_НнП)</f>
        <v>0.25</v>
      </c>
      <c s="126">
        <f>LOOKUP(YEAR(AG$8),Предпосылки!$C$480:$R$480,Ставки_НнП)</f>
        <v>0.25</v>
      </c>
      <c s="126">
        <f>LOOKUP(YEAR(AH$8),Предпосылки!$C$480:$R$480,Ставки_НнП)</f>
        <v>0.25</v>
      </c>
      <c s="126">
        <f>LOOKUP(YEAR(AI$8),Предпосылки!$C$480:$R$480,Ставки_НнП)</f>
        <v>0.25</v>
      </c>
      <c s="126">
        <f>LOOKUP(YEAR(AJ$8),Предпосылки!$C$480:$R$480,Ставки_НнП)</f>
        <v>0.25</v>
      </c>
      <c s="126">
        <f>LOOKUP(YEAR(AK$8),Предпосылки!$C$480:$R$480,Ставки_НнП)</f>
        <v>0.25</v>
      </c>
      <c s="126">
        <f>LOOKUP(YEAR(AL$8),Предпосылки!$C$480:$R$480,Ставки_НнП)</f>
        <v>0.25</v>
      </c>
      <c s="126">
        <f>LOOKUP(YEAR(AM$8),Предпосылки!$C$480:$R$480,Ставки_НнП)</f>
        <v>0.25</v>
      </c>
      <c s="126">
        <f>LOOKUP(YEAR(AN$8),Предпосылки!$C$480:$R$480,Ставки_НнП)</f>
        <v>0.25</v>
      </c>
      <c s="126">
        <f>LOOKUP(YEAR(AO$8),Предпосылки!$C$480:$R$480,Ставки_НнП)</f>
        <v>0.25</v>
      </c>
      <c s="126">
        <f>LOOKUP(YEAR(AP$8),Предпосылки!$C$480:$R$480,Ставки_НнП)</f>
        <v>0.25</v>
      </c>
      <c s="126">
        <f>LOOKUP(YEAR(AQ$8),Предпосылки!$C$480:$R$480,Ставки_НнП)</f>
        <v>0.25</v>
      </c>
      <c s="126">
        <f>LOOKUP(YEAR(AR$8),Предпосылки!$C$480:$R$480,Ставки_НнП)</f>
        <v>0.25</v>
      </c>
      <c s="126">
        <f>LOOKUP(YEAR(AS$8),Предпосылки!$C$480:$R$480,Ставки_НнП)</f>
        <v>0.25</v>
      </c>
      <c s="126">
        <f>LOOKUP(YEAR(AT$8),Предпосылки!$C$480:$R$480,Ставки_НнП)</f>
        <v>0.25</v>
      </c>
      <c s="126">
        <f>LOOKUP(YEAR(AU$8),Предпосылки!$C$480:$R$480,Ставки_НнП)</f>
        <v>0.25</v>
      </c>
      <c s="126">
        <f>LOOKUP(YEAR(AV$8),Предпосылки!$C$480:$R$480,Ставки_НнП)</f>
        <v>0.25</v>
      </c>
      <c s="126">
        <f>LOOKUP(YEAR(AW$8),Предпосылки!$C$480:$R$480,Ставки_НнП)</f>
        <v>0.25</v>
      </c>
      <c s="126">
        <f>LOOKUP(YEAR(AX$8),Предпосылки!$C$480:$R$480,Ставки_НнП)</f>
        <v>0.25</v>
      </c>
      <c s="126">
        <f>LOOKUP(YEAR(AY$8),Предпосылки!$C$480:$R$480,Ставки_НнП)</f>
        <v>0.25</v>
      </c>
      <c s="126">
        <f>LOOKUP(YEAR(AZ$8),Предпосылки!$C$480:$R$480,Ставки_НнП)</f>
        <v>0.25</v>
      </c>
      <c s="126">
        <f>LOOKUP(YEAR(BA$8),Предпосылки!$C$480:$R$480,Ставки_НнП)</f>
        <v>0.25</v>
      </c>
      <c s="126">
        <f>LOOKUP(YEAR(BB$8),Предпосылки!$C$480:$R$480,Ставки_НнП)</f>
        <v>0.25</v>
      </c>
      <c s="126">
        <f>LOOKUP(YEAR(BC$8),Предпосылки!$C$480:$R$480,Ставки_НнП)</f>
        <v>0.25</v>
      </c>
      <c s="126">
        <f>LOOKUP(YEAR(BD$8),Предпосылки!$C$480:$R$480,Ставки_НнП)</f>
        <v>0.25</v>
      </c>
      <c s="126">
        <f>LOOKUP(YEAR(BE$8),Предпосылки!$C$480:$R$480,Ставки_НнП)</f>
        <v>0.25</v>
      </c>
      <c s="126">
        <f>LOOKUP(YEAR(BF$8),Предпосылки!$C$480:$R$480,Ставки_НнП)</f>
        <v>0.25</v>
      </c>
      <c s="126">
        <f>LOOKUP(YEAR(BG$8),Предпосылки!$C$480:$R$480,Ставки_НнП)</f>
        <v>0.25</v>
      </c>
      <c s="126">
        <f>LOOKUP(YEAR(BH$8),Предпосылки!$C$480:$R$480,Ставки_НнП)</f>
        <v>0.25</v>
      </c>
      <c s="126">
        <f>LOOKUP(YEAR(BI$8),Предпосылки!$C$480:$R$480,Ставки_НнП)</f>
        <v>0.25</v>
      </c>
      <c s="126">
        <f>LOOKUP(YEAR(BJ$8),Предпосылки!$C$480:$R$480,Ставки_НнП)</f>
        <v>0.25</v>
      </c>
      <c s="126">
        <f>LOOKUP(YEAR(BK$8),Предпосылки!$C$480:$R$480,Ставки_НнП)</f>
        <v>0.25</v>
      </c>
      <c s="126">
        <f>LOOKUP(YEAR(BL$8),Предпосылки!$C$480:$R$480,Ставки_НнП)</f>
        <v>0.25</v>
      </c>
      <c s="126">
        <f>LOOKUP(YEAR(BM$8),Предпосылки!$C$480:$R$480,Ставки_НнП)</f>
        <v>0.25</v>
      </c>
    </row>
    <row r="91" spans="2:65" ht="15" customHeight="1">
      <c r="B91" s="128" t="s">
        <v>933</v>
      </c>
      <c s="124" t="s">
        <v>817</v>
      </c>
      <c s="124"/>
      <c s="126">
        <f>LOOKUP(YEAR(E$8),Предпосылки!$C$480:$R$480,Предпосылки!$C$499:$R$499)</f>
        <v>0.5</v>
      </c>
      <c s="126">
        <f>LOOKUP(YEAR(F$8),Предпосылки!$C$480:$R$480,Предпосылки!$C$499:$R$499)</f>
        <v>0.5</v>
      </c>
      <c s="126">
        <f>LOOKUP(YEAR(G$8),Предпосылки!$C$480:$R$480,Предпосылки!$C$499:$R$499)</f>
        <v>0.5</v>
      </c>
      <c s="126">
        <f>LOOKUP(YEAR(H$8),Предпосылки!$C$480:$R$480,Предпосылки!$C$499:$R$499)</f>
        <v>0.5</v>
      </c>
      <c s="126">
        <f>LOOKUP(YEAR(I$8),Предпосылки!$C$480:$R$480,Предпосылки!$C$499:$R$499)</f>
        <v>0.5</v>
      </c>
      <c s="126">
        <f>LOOKUP(YEAR(J$8),Предпосылки!$C$480:$R$480,Предпосылки!$C$499:$R$499)</f>
        <v>0.5</v>
      </c>
      <c s="126">
        <f>LOOKUP(YEAR(K$8),Предпосылки!$C$480:$R$480,Предпосылки!$C$499:$R$499)</f>
        <v>0.5</v>
      </c>
      <c s="126">
        <f>LOOKUP(YEAR(L$8),Предпосылки!$C$480:$R$480,Предпосылки!$C$499:$R$499)</f>
        <v>0.5</v>
      </c>
      <c s="126">
        <f>LOOKUP(YEAR(M$8),Предпосылки!$C$480:$R$480,Предпосылки!$C$499:$R$499)</f>
        <v>0.5</v>
      </c>
      <c s="126">
        <f>LOOKUP(YEAR(N$8),Предпосылки!$C$480:$R$480,Предпосылки!$C$499:$R$499)</f>
        <v>0.5</v>
      </c>
      <c s="126">
        <f>LOOKUP(YEAR(O$8),Предпосылки!$C$480:$R$480,Предпосылки!$C$499:$R$499)</f>
        <v>0.5</v>
      </c>
      <c s="126">
        <f>LOOKUP(YEAR(P$8),Предпосылки!$C$480:$R$480,Предпосылки!$C$499:$R$499)</f>
        <v>0.5</v>
      </c>
      <c s="126">
        <f>LOOKUP(YEAR(Q$8),Предпосылки!$C$480:$R$480,Предпосылки!$C$499:$R$499)</f>
        <v>0.5</v>
      </c>
      <c s="126">
        <f>LOOKUP(YEAR(R$8),Предпосылки!$C$480:$R$480,Предпосылки!$C$499:$R$499)</f>
        <v>0.5</v>
      </c>
      <c s="126">
        <f>LOOKUP(YEAR(S$8),Предпосылки!$C$480:$R$480,Предпосылки!$C$499:$R$499)</f>
        <v>0.5</v>
      </c>
      <c s="126">
        <f>LOOKUP(YEAR(T$8),Предпосылки!$C$480:$R$480,Предпосылки!$C$499:$R$499)</f>
        <v>0.5</v>
      </c>
      <c s="126">
        <f>LOOKUP(YEAR(U$8),Предпосылки!$C$480:$R$480,Предпосылки!$C$499:$R$499)</f>
        <v>0.5</v>
      </c>
      <c s="126">
        <f>LOOKUP(YEAR(V$8),Предпосылки!$C$480:$R$480,Предпосылки!$C$499:$R$499)</f>
        <v>0.5</v>
      </c>
      <c s="126">
        <f>LOOKUP(YEAR(W$8),Предпосылки!$C$480:$R$480,Предпосылки!$C$499:$R$499)</f>
        <v>0.5</v>
      </c>
      <c s="126">
        <f>LOOKUP(YEAR(X$8),Предпосылки!$C$480:$R$480,Предпосылки!$C$499:$R$499)</f>
        <v>0.5</v>
      </c>
      <c s="126">
        <f>LOOKUP(YEAR(Y$8),Предпосылки!$C$480:$R$480,Предпосылки!$C$499:$R$499)</f>
        <v>0.5</v>
      </c>
      <c s="126">
        <f>LOOKUP(YEAR(Z$8),Предпосылки!$C$480:$R$480,Предпосылки!$C$499:$R$499)</f>
        <v>0.5</v>
      </c>
      <c s="126">
        <f>LOOKUP(YEAR(AA$8),Предпосылки!$C$480:$R$480,Предпосылки!$C$499:$R$499)</f>
        <v>0.5</v>
      </c>
      <c s="126">
        <f>LOOKUP(YEAR(AB$8),Предпосылки!$C$480:$R$480,Предпосылки!$C$499:$R$499)</f>
        <v>0.5</v>
      </c>
      <c s="126">
        <f>LOOKUP(YEAR(AC$8),Предпосылки!$C$480:$R$480,Предпосылки!$C$499:$R$499)</f>
        <v>0.5</v>
      </c>
      <c s="126">
        <f>LOOKUP(YEAR(AD$8),Предпосылки!$C$480:$R$480,Предпосылки!$C$499:$R$499)</f>
        <v>0.5</v>
      </c>
      <c s="126">
        <f>LOOKUP(YEAR(AE$8),Предпосылки!$C$480:$R$480,Предпосылки!$C$499:$R$499)</f>
        <v>0.5</v>
      </c>
      <c s="126">
        <f>LOOKUP(YEAR(AF$8),Предпосылки!$C$480:$R$480,Предпосылки!$C$499:$R$499)</f>
        <v>0.5</v>
      </c>
      <c s="126">
        <f>LOOKUP(YEAR(AG$8),Предпосылки!$C$480:$R$480,Предпосылки!$C$499:$R$499)</f>
        <v>0.5</v>
      </c>
      <c s="126">
        <f>LOOKUP(YEAR(AH$8),Предпосылки!$C$480:$R$480,Предпосылки!$C$499:$R$499)</f>
        <v>0.5</v>
      </c>
      <c s="126">
        <f>LOOKUP(YEAR(AI$8),Предпосылки!$C$480:$R$480,Предпосылки!$C$499:$R$499)</f>
        <v>0.5</v>
      </c>
      <c s="126">
        <f>LOOKUP(YEAR(AJ$8),Предпосылки!$C$480:$R$480,Предпосылки!$C$499:$R$499)</f>
        <v>0.5</v>
      </c>
      <c s="126">
        <f>LOOKUP(YEAR(AK$8),Предпосылки!$C$480:$R$480,Предпосылки!$C$499:$R$499)</f>
        <v>0.5</v>
      </c>
      <c s="126">
        <f>LOOKUP(YEAR(AL$8),Предпосылки!$C$480:$R$480,Предпосылки!$C$499:$R$499)</f>
        <v>0.5</v>
      </c>
      <c s="126">
        <f>LOOKUP(YEAR(AM$8),Предпосылки!$C$480:$R$480,Предпосылки!$C$499:$R$499)</f>
        <v>0.5</v>
      </c>
      <c s="126">
        <f>LOOKUP(YEAR(AN$8),Предпосылки!$C$480:$R$480,Предпосылки!$C$499:$R$499)</f>
        <v>0.5</v>
      </c>
      <c s="126">
        <f>LOOKUP(YEAR(AO$8),Предпосылки!$C$480:$R$480,Предпосылки!$C$499:$R$499)</f>
        <v>0.5</v>
      </c>
      <c s="126">
        <f>LOOKUP(YEAR(AP$8),Предпосылки!$C$480:$R$480,Предпосылки!$C$499:$R$499)</f>
        <v>0.5</v>
      </c>
      <c s="126">
        <f>LOOKUP(YEAR(AQ$8),Предпосылки!$C$480:$R$480,Предпосылки!$C$499:$R$499)</f>
        <v>0.5</v>
      </c>
      <c s="126">
        <f>LOOKUP(YEAR(AR$8),Предпосылки!$C$480:$R$480,Предпосылки!$C$499:$R$499)</f>
        <v>0.5</v>
      </c>
      <c s="126">
        <f>LOOKUP(YEAR(AS$8),Предпосылки!$C$480:$R$480,Предпосылки!$C$499:$R$499)</f>
        <v>0.5</v>
      </c>
      <c s="126">
        <f>LOOKUP(YEAR(AT$8),Предпосылки!$C$480:$R$480,Предпосылки!$C$499:$R$499)</f>
        <v>0.5</v>
      </c>
      <c s="126">
        <f>LOOKUP(YEAR(AU$8),Предпосылки!$C$480:$R$480,Предпосылки!$C$499:$R$499)</f>
        <v>0.5</v>
      </c>
      <c s="126">
        <f>LOOKUP(YEAR(AV$8),Предпосылки!$C$480:$R$480,Предпосылки!$C$499:$R$499)</f>
        <v>0.5</v>
      </c>
      <c s="126">
        <f>LOOKUP(YEAR(AW$8),Предпосылки!$C$480:$R$480,Предпосылки!$C$499:$R$499)</f>
        <v>0.5</v>
      </c>
      <c s="126">
        <f>LOOKUP(YEAR(AX$8),Предпосылки!$C$480:$R$480,Предпосылки!$C$499:$R$499)</f>
        <v>0.5</v>
      </c>
      <c s="126">
        <f>LOOKUP(YEAR(AY$8),Предпосылки!$C$480:$R$480,Предпосылки!$C$499:$R$499)</f>
        <v>0.5</v>
      </c>
      <c s="126">
        <f>LOOKUP(YEAR(AZ$8),Предпосылки!$C$480:$R$480,Предпосылки!$C$499:$R$499)</f>
        <v>0.5</v>
      </c>
      <c s="126">
        <f>LOOKUP(YEAR(BA$8),Предпосылки!$C$480:$R$480,Предпосылки!$C$499:$R$499)</f>
        <v>0.5</v>
      </c>
      <c s="126">
        <f>LOOKUP(YEAR(BB$8),Предпосылки!$C$480:$R$480,Предпосылки!$C$499:$R$499)</f>
        <v>0.5</v>
      </c>
      <c s="126">
        <f>LOOKUP(YEAR(BC$8),Предпосылки!$C$480:$R$480,Предпосылки!$C$499:$R$499)</f>
        <v>0.5</v>
      </c>
      <c s="126">
        <f>LOOKUP(YEAR(BD$8),Предпосылки!$C$480:$R$480,Предпосылки!$C$499:$R$499)</f>
        <v>0.5</v>
      </c>
      <c s="126">
        <f>LOOKUP(YEAR(BE$8),Предпосылки!$C$480:$R$480,Предпосылки!$C$499:$R$499)</f>
        <v>0.5</v>
      </c>
      <c s="126">
        <f>LOOKUP(YEAR(BF$8),Предпосылки!$C$480:$R$480,Предпосылки!$C$499:$R$499)</f>
        <v>0.5</v>
      </c>
      <c s="126">
        <f>LOOKUP(YEAR(BG$8),Предпосылки!$C$480:$R$480,Предпосылки!$C$499:$R$499)</f>
        <v>0.5</v>
      </c>
      <c s="126">
        <f>LOOKUP(YEAR(BH$8),Предпосылки!$C$480:$R$480,Предпосылки!$C$499:$R$499)</f>
        <v>0.5</v>
      </c>
      <c s="126">
        <f>LOOKUP(YEAR(BI$8),Предпосылки!$C$480:$R$480,Предпосылки!$C$499:$R$499)</f>
        <v>0.5</v>
      </c>
      <c s="126">
        <f>LOOKUP(YEAR(BJ$8),Предпосылки!$C$480:$R$480,Предпосылки!$C$499:$R$499)</f>
        <v>0.5</v>
      </c>
      <c s="126">
        <f>LOOKUP(YEAR(BK$8),Предпосылки!$C$480:$R$480,Предпосылки!$C$499:$R$499)</f>
        <v>0.5</v>
      </c>
      <c s="126">
        <f>LOOKUP(YEAR(BL$8),Предпосылки!$C$480:$R$480,Предпосылки!$C$499:$R$499)</f>
        <v>0.5</v>
      </c>
      <c s="126">
        <f>LOOKUP(YEAR(BM$8),Предпосылки!$C$480:$R$480,Предпосылки!$C$499:$R$499)</f>
        <v>0.5</v>
      </c>
    </row>
    <row r="92" ht="15" customHeight="1"/>
    <row r="93" spans="2:2" ht="15" customHeight="1">
      <c r="B93" s="24" t="s">
        <v>934</v>
      </c>
    </row>
    <row r="94" spans="2:66" ht="15" customHeight="1">
      <c r="B94" s="12" t="s">
        <v>281</v>
      </c>
      <c s="124" t="str">
        <f>Единица_измерения</f>
        <v>тыс. руб.</v>
      </c>
      <c s="129"/>
      <c s="125">
        <f>'Квартальная отчетность'!E27</f>
        <v>0</v>
      </c>
      <c s="125">
        <f ca="1">'Квартальная отчетность'!F27</f>
        <v>0</v>
      </c>
      <c s="125">
        <f ca="1">'Квартальная отчетность'!G27</f>
        <v>0</v>
      </c>
      <c s="125">
        <f ca="1">'Квартальная отчетность'!H27</f>
        <v>0</v>
      </c>
      <c s="125">
        <f ca="1">'Квартальная отчетность'!I27</f>
        <v>0</v>
      </c>
      <c s="125">
        <f ca="1">'Квартальная отчетность'!J27</f>
        <v>0</v>
      </c>
      <c s="125">
        <f ca="1">'Квартальная отчетность'!K27</f>
        <v>0</v>
      </c>
      <c s="125">
        <f ca="1">'Квартальная отчетность'!L27</f>
        <v>0</v>
      </c>
      <c s="125">
        <f ca="1">'Квартальная отчетность'!M27</f>
        <v>0</v>
      </c>
      <c s="125">
        <f ca="1">'Квартальная отчетность'!N27</f>
        <v>0</v>
      </c>
      <c s="125">
        <f ca="1">'Квартальная отчетность'!O27</f>
        <v>0</v>
      </c>
      <c s="125">
        <f ca="1">'Квартальная отчетность'!P27</f>
        <v>0</v>
      </c>
      <c s="125">
        <f ca="1">'Квартальная отчетность'!Q27</f>
        <v>0</v>
      </c>
      <c s="125">
        <f ca="1">'Квартальная отчетность'!R27</f>
        <v>0</v>
      </c>
      <c s="125">
        <f ca="1">'Квартальная отчетность'!S27</f>
        <v>0</v>
      </c>
      <c s="125">
        <f ca="1">'Квартальная отчетность'!T27</f>
        <v>0</v>
      </c>
      <c s="125">
        <f ca="1">'Квартальная отчетность'!U27</f>
        <v>0</v>
      </c>
      <c s="125">
        <f ca="1">'Квартальная отчетность'!V27</f>
        <v>0</v>
      </c>
      <c s="125">
        <f ca="1">'Квартальная отчетность'!W27</f>
        <v>0</v>
      </c>
      <c s="125">
        <f ca="1">'Квартальная отчетность'!X27</f>
        <v>0</v>
      </c>
      <c s="125">
        <f ca="1">'Квартальная отчетность'!Y27</f>
        <v>0</v>
      </c>
      <c s="125">
        <f ca="1">'Квартальная отчетность'!Z27</f>
        <v>0</v>
      </c>
      <c s="125">
        <f ca="1">'Квартальная отчетность'!AA27</f>
        <v>0</v>
      </c>
      <c s="125">
        <f ca="1">'Квартальная отчетность'!AB27</f>
        <v>0</v>
      </c>
      <c s="125">
        <f ca="1">'Квартальная отчетность'!AC27</f>
        <v>0</v>
      </c>
      <c s="125">
        <f ca="1">'Квартальная отчетность'!AD27</f>
        <v>0</v>
      </c>
      <c s="125">
        <f ca="1">'Квартальная отчетность'!AE27</f>
        <v>0</v>
      </c>
      <c s="125">
        <f ca="1">'Квартальная отчетность'!AF27</f>
        <v>0</v>
      </c>
      <c s="125">
        <f ca="1">'Квартальная отчетность'!AG27</f>
        <v>0</v>
      </c>
      <c s="125">
        <f ca="1">'Квартальная отчетность'!AH27</f>
        <v>0</v>
      </c>
      <c s="125">
        <f ca="1">'Квартальная отчетность'!AI27</f>
        <v>0</v>
      </c>
      <c s="125">
        <f ca="1">'Квартальная отчетность'!AJ27</f>
        <v>0</v>
      </c>
      <c s="125">
        <f ca="1">'Квартальная отчетность'!AK27</f>
        <v>0</v>
      </c>
      <c s="125">
        <f ca="1">'Квартальная отчетность'!AL27</f>
        <v>0</v>
      </c>
      <c s="125">
        <f ca="1">'Квартальная отчетность'!AM27</f>
        <v>0</v>
      </c>
      <c s="125">
        <f ca="1">'Квартальная отчетность'!AN27</f>
        <v>0</v>
      </c>
      <c s="125">
        <f ca="1">'Квартальная отчетность'!AO27</f>
        <v>0</v>
      </c>
      <c s="125">
        <f ca="1">'Квартальная отчетность'!AP27</f>
        <v>0</v>
      </c>
      <c s="125">
        <f ca="1">'Квартальная отчетность'!AQ27</f>
        <v>0</v>
      </c>
      <c s="125">
        <f ca="1">'Квартальная отчетность'!AR27</f>
        <v>0</v>
      </c>
      <c s="125">
        <f ca="1">'Квартальная отчетность'!AS27</f>
        <v>0</v>
      </c>
      <c s="125">
        <f ca="1">'Квартальная отчетность'!AT27</f>
        <v>0</v>
      </c>
      <c s="125">
        <f ca="1">'Квартальная отчетность'!AU27</f>
        <v>0</v>
      </c>
      <c s="125">
        <f ca="1">'Квартальная отчетность'!AV27</f>
        <v>0</v>
      </c>
      <c s="125">
        <f ca="1">'Квартальная отчетность'!AW27</f>
        <v>0</v>
      </c>
      <c s="125">
        <f ca="1">'Квартальная отчетность'!AX27</f>
        <v>0</v>
      </c>
      <c s="125">
        <f ca="1">'Квартальная отчетность'!AY27</f>
        <v>0</v>
      </c>
      <c s="125">
        <f ca="1">'Квартальная отчетность'!AZ27</f>
        <v>0</v>
      </c>
      <c s="125">
        <f ca="1">'Квартальная отчетность'!BA27</f>
        <v>0</v>
      </c>
      <c s="125">
        <f ca="1">'Квартальная отчетность'!BB27</f>
        <v>0</v>
      </c>
      <c s="125">
        <f ca="1">'Квартальная отчетность'!BC27</f>
        <v>0</v>
      </c>
      <c s="125">
        <f ca="1">'Квартальная отчетность'!BD27</f>
        <v>0</v>
      </c>
      <c s="125">
        <f ca="1">'Квартальная отчетность'!BE27</f>
        <v>0</v>
      </c>
      <c s="125">
        <f ca="1">'Квартальная отчетность'!BF27</f>
        <v>0</v>
      </c>
      <c s="125">
        <f ca="1">'Квартальная отчетность'!BG27</f>
        <v>0</v>
      </c>
      <c s="125">
        <f ca="1">'Квартальная отчетность'!BH27</f>
        <v>0</v>
      </c>
      <c s="125">
        <f ca="1">'Квартальная отчетность'!BI27</f>
        <v>0</v>
      </c>
      <c s="125">
        <f ca="1">'Квартальная отчетность'!BJ27</f>
        <v>0</v>
      </c>
      <c s="125">
        <f ca="1">'Квартальная отчетность'!BK27</f>
        <v>0</v>
      </c>
      <c s="125">
        <f ca="1">'Квартальная отчетность'!BL27</f>
        <v>0</v>
      </c>
      <c s="125">
        <f ca="1">'Квартальная отчетность'!BM27</f>
        <v>0</v>
      </c>
      <c s="125"/>
    </row>
    <row r="95" spans="2:65" ht="15" customHeight="1">
      <c r="B95" s="12" t="s">
        <v>935</v>
      </c>
      <c s="124" t="str">
        <f>Единица_измерения</f>
        <v>тыс. руб.</v>
      </c>
      <c s="129"/>
      <c s="125">
        <f t="shared" si="317" ref="E95">MAX(0,E94*E91)</f>
        <v>0</v>
      </c>
      <c s="125">
        <f ca="1" t="shared" si="318" ref="F95:BM95">MAX(0,F94*F91)</f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  <c s="125">
        <f t="shared" ca="1" si="318"/>
        <v>0</v>
      </c>
    </row>
    <row r="96" ht="15" customHeight="1"/>
    <row r="97" spans="2:69" ht="14.45">
      <c r="B97" s="25" t="s">
        <v>936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8" spans="2:65" ht="15" customHeight="1">
      <c r="B98" s="12" t="s">
        <v>827</v>
      </c>
      <c s="124" t="str">
        <f>Единица_измерения</f>
        <v>тыс. руб.</v>
      </c>
      <c s="129"/>
      <c s="125">
        <f t="shared" si="319" ref="E98">D101</f>
        <v>0</v>
      </c>
      <c s="125">
        <f t="shared" si="320" ref="F98">E101</f>
        <v>0</v>
      </c>
      <c s="125">
        <f ca="1" t="shared" si="321" ref="G98">F101</f>
        <v>0</v>
      </c>
      <c s="125">
        <f ca="1" t="shared" si="322" ref="H98">G101</f>
        <v>0</v>
      </c>
      <c s="125">
        <f ca="1" t="shared" si="323" ref="I98">H101</f>
        <v>0</v>
      </c>
      <c s="125">
        <f ca="1" t="shared" si="324" ref="J98">I101</f>
        <v>0</v>
      </c>
      <c s="125">
        <f ca="1" t="shared" si="325" ref="K98">J101</f>
        <v>0</v>
      </c>
      <c s="125">
        <f ca="1" t="shared" si="326" ref="L98">K101</f>
        <v>0</v>
      </c>
      <c s="125">
        <f ca="1" t="shared" si="327" ref="M98">L101</f>
        <v>0</v>
      </c>
      <c s="125">
        <f ca="1" t="shared" si="328" ref="N98">M101</f>
        <v>0</v>
      </c>
      <c s="125">
        <f ca="1" t="shared" si="329" ref="O98">N101</f>
        <v>0</v>
      </c>
      <c s="125">
        <f ca="1" t="shared" si="330" ref="P98">O101</f>
        <v>0</v>
      </c>
      <c s="125">
        <f ca="1" t="shared" si="331" ref="Q98">P101</f>
        <v>0</v>
      </c>
      <c s="125">
        <f ca="1" t="shared" si="332" ref="R98">Q101</f>
        <v>0</v>
      </c>
      <c s="125">
        <f ca="1" t="shared" si="333" ref="S98">R101</f>
        <v>0</v>
      </c>
      <c s="125">
        <f ca="1" t="shared" si="334" ref="T98">S101</f>
        <v>0</v>
      </c>
      <c s="125">
        <f ca="1" t="shared" si="335" ref="U98">T101</f>
        <v>0</v>
      </c>
      <c s="125">
        <f ca="1" t="shared" si="336" ref="V98">U101</f>
        <v>0</v>
      </c>
      <c s="125">
        <f ca="1" t="shared" si="337" ref="W98">V101</f>
        <v>0</v>
      </c>
      <c s="125">
        <f ca="1" t="shared" si="338" ref="X98">W101</f>
        <v>0</v>
      </c>
      <c s="125">
        <f ca="1" t="shared" si="339" ref="Y98">X101</f>
        <v>0</v>
      </c>
      <c s="125">
        <f ca="1" t="shared" si="340" ref="Z98">Y101</f>
        <v>0</v>
      </c>
      <c s="125">
        <f ca="1" t="shared" si="341" ref="AA98">Z101</f>
        <v>0</v>
      </c>
      <c s="125">
        <f ca="1" t="shared" si="342" ref="AB98">AA101</f>
        <v>0</v>
      </c>
      <c s="125">
        <f ca="1" t="shared" si="343" ref="AC98">AB101</f>
        <v>0</v>
      </c>
      <c s="125">
        <f ca="1" t="shared" si="344" ref="AD98">AC101</f>
        <v>0</v>
      </c>
      <c s="125">
        <f ca="1" t="shared" si="345" ref="AE98">AD101</f>
        <v>0</v>
      </c>
      <c s="125">
        <f ca="1" t="shared" si="346" ref="AF98">AE101</f>
        <v>0</v>
      </c>
      <c s="125">
        <f ca="1" t="shared" si="347" ref="AG98">AF101</f>
        <v>0</v>
      </c>
      <c s="125">
        <f ca="1" t="shared" si="348" ref="AH98">AG101</f>
        <v>0</v>
      </c>
      <c s="125">
        <f ca="1" t="shared" si="349" ref="AI98">AH101</f>
        <v>0</v>
      </c>
      <c s="125">
        <f ca="1" t="shared" si="350" ref="AJ98">AI101</f>
        <v>0</v>
      </c>
      <c s="125">
        <f ca="1" t="shared" si="351" ref="AK98">AJ101</f>
        <v>0</v>
      </c>
      <c s="125">
        <f ca="1" t="shared" si="352" ref="AL98">AK101</f>
        <v>0</v>
      </c>
      <c s="125">
        <f ca="1" t="shared" si="353" ref="AM98">AL101</f>
        <v>0</v>
      </c>
      <c s="125">
        <f ca="1" t="shared" si="354" ref="AN98">AM101</f>
        <v>0</v>
      </c>
      <c s="125">
        <f ca="1" t="shared" si="355" ref="AO98">AN101</f>
        <v>0</v>
      </c>
      <c s="125">
        <f ca="1" t="shared" si="356" ref="AP98">AO101</f>
        <v>0</v>
      </c>
      <c s="125">
        <f ca="1" t="shared" si="357" ref="AQ98">AP101</f>
        <v>0</v>
      </c>
      <c s="125">
        <f ca="1" t="shared" si="358" ref="AR98">AQ101</f>
        <v>0</v>
      </c>
      <c s="125">
        <f ca="1" t="shared" si="359" ref="AS98">AR101</f>
        <v>0</v>
      </c>
      <c s="125">
        <f ca="1" t="shared" si="360" ref="AT98">AS101</f>
        <v>0</v>
      </c>
      <c s="125">
        <f ca="1" t="shared" si="361" ref="AU98">AT101</f>
        <v>0</v>
      </c>
      <c s="125">
        <f ca="1" t="shared" si="362" ref="AV98">AU101</f>
        <v>0</v>
      </c>
      <c s="125">
        <f ca="1" t="shared" si="363" ref="AW98">AV101</f>
        <v>0</v>
      </c>
      <c s="125">
        <f ca="1" t="shared" si="364" ref="AX98">AW101</f>
        <v>0</v>
      </c>
      <c s="125">
        <f ca="1" t="shared" si="365" ref="AY98">AX101</f>
        <v>0</v>
      </c>
      <c s="125">
        <f ca="1" t="shared" si="366" ref="AZ98">AY101</f>
        <v>0</v>
      </c>
      <c s="125">
        <f ca="1" t="shared" si="367" ref="BA98">AZ101</f>
        <v>0</v>
      </c>
      <c s="125">
        <f ca="1" t="shared" si="368" ref="BB98">BA101</f>
        <v>0</v>
      </c>
      <c s="125">
        <f ca="1" t="shared" si="369" ref="BC98">BB101</f>
        <v>0</v>
      </c>
      <c s="125">
        <f ca="1" t="shared" si="370" ref="BD98">BC101</f>
        <v>0</v>
      </c>
      <c s="125">
        <f ca="1" t="shared" si="371" ref="BE98">BD101</f>
        <v>0</v>
      </c>
      <c s="125">
        <f ca="1" t="shared" si="372" ref="BF98">BE101</f>
        <v>0</v>
      </c>
      <c s="125">
        <f ca="1" t="shared" si="373" ref="BG98">BF101</f>
        <v>0</v>
      </c>
      <c s="125">
        <f ca="1" t="shared" si="374" ref="BH98">BG101</f>
        <v>0</v>
      </c>
      <c s="125">
        <f ca="1" t="shared" si="375" ref="BI98">BH101</f>
        <v>0</v>
      </c>
      <c s="125">
        <f ca="1" t="shared" si="376" ref="BJ98">BI101</f>
        <v>0</v>
      </c>
      <c s="125">
        <f ca="1" t="shared" si="377" ref="BK98">BJ101</f>
        <v>0</v>
      </c>
      <c s="125">
        <f ca="1" t="shared" si="378" ref="BL98">BK101</f>
        <v>0</v>
      </c>
      <c s="125">
        <f ca="1" t="shared" si="379" ref="BM98">BL101</f>
        <v>0</v>
      </c>
    </row>
    <row r="99" spans="2:65" ht="15" customHeight="1">
      <c r="B99" s="12" t="s">
        <v>937</v>
      </c>
      <c s="124" t="str">
        <f>Единица_измерения</f>
        <v>тыс. руб.</v>
      </c>
      <c s="129"/>
      <c s="125">
        <f t="shared" si="380" ref="E99">-MIN(0,E94)</f>
        <v>0</v>
      </c>
      <c s="125">
        <f ca="1" t="shared" si="381" ref="F99:AG99">-MIN(0,F94)</f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t="shared" ca="1" si="381"/>
        <v>0</v>
      </c>
      <c s="125">
        <f ca="1" t="shared" si="382" ref="AH99:BM99">-MIN(0,AH94)</f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  <c s="125">
        <f t="shared" ca="1" si="382"/>
        <v>0</v>
      </c>
    </row>
    <row r="100" spans="2:65" ht="15" customHeight="1">
      <c r="B100" s="12" t="s">
        <v>938</v>
      </c>
      <c s="124" t="str">
        <f>Единица_измерения</f>
        <v>тыс. руб.</v>
      </c>
      <c s="129"/>
      <c s="125">
        <f t="shared" si="383" ref="E100">-MIN(E98,E95)</f>
        <v>0</v>
      </c>
      <c s="125">
        <f ca="1" t="shared" si="384" ref="F100:BM100">-MIN(F98,F95)</f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  <c s="125">
        <f t="shared" ca="1" si="384"/>
        <v>0</v>
      </c>
    </row>
    <row r="101" spans="2:65" ht="15" customHeight="1">
      <c r="B101" s="289" t="s">
        <v>830</v>
      </c>
      <c s="290" t="str">
        <f>Единица_измерения</f>
        <v>тыс. руб.</v>
      </c>
      <c s="276"/>
      <c s="276">
        <f t="shared" si="385" ref="E101">SUM(E98:E100)</f>
        <v>0</v>
      </c>
      <c s="276">
        <f ca="1" t="shared" si="386" ref="F101:BM101">SUM(F98:F100)</f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  <c s="276">
        <f t="shared" ca="1" si="386"/>
        <v>0</v>
      </c>
    </row>
    <row r="102" ht="15" customHeight="1"/>
    <row r="103" spans="2:69" ht="14.45">
      <c r="B103" s="25" t="s">
        <v>928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4" spans="2:65" ht="15" customHeight="1">
      <c r="B104" s="12" t="s">
        <v>939</v>
      </c>
      <c s="124" t="str">
        <f>Единица_измерения</f>
        <v>тыс. руб.</v>
      </c>
      <c s="129"/>
      <c s="125">
        <f t="shared" si="387" ref="E104">MAX(0,E94)</f>
        <v>0</v>
      </c>
      <c s="125">
        <f ca="1" t="shared" si="388" ref="F104:BM104">MAX(0,F94)</f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  <c s="125">
        <f t="shared" ca="1" si="388"/>
        <v>0</v>
      </c>
    </row>
    <row r="105" spans="2:65" ht="15" customHeight="1">
      <c r="B105" s="12" t="s">
        <v>940</v>
      </c>
      <c s="124" t="str">
        <f>Единица_измерения</f>
        <v>тыс. руб.</v>
      </c>
      <c s="129"/>
      <c s="125">
        <f t="shared" si="389" ref="E105:BM105">E100</f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  <c s="125">
        <f t="shared" si="389"/>
        <v>0</v>
      </c>
    </row>
    <row r="106" spans="2:65" ht="15" customHeight="1">
      <c r="B106" s="289" t="s">
        <v>928</v>
      </c>
      <c s="290" t="str">
        <f>Единица_измерения</f>
        <v>тыс. руб.</v>
      </c>
      <c s="276"/>
      <c s="276">
        <f t="shared" si="390" ref="E106:BM106">SUM(E104:E105)</f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  <c s="276">
        <f t="shared" si="390"/>
        <v>0</v>
      </c>
    </row>
    <row r="107" ht="15" customHeight="1"/>
    <row r="108" spans="2:2" ht="15" customHeight="1">
      <c r="B108" s="24" t="s">
        <v>941</v>
      </c>
    </row>
    <row r="109" spans="2:65" ht="15" customHeight="1">
      <c r="B109" s="12" t="s">
        <v>827</v>
      </c>
      <c s="124" t="str">
        <f>Единица_измерения</f>
        <v>тыс. руб.</v>
      </c>
      <c s="129"/>
      <c s="125">
        <f t="shared" si="391" ref="E109">D112</f>
        <v>0</v>
      </c>
      <c s="125">
        <f t="shared" si="392" ref="F109">E112</f>
        <v>0</v>
      </c>
      <c s="125">
        <f ca="1" t="shared" si="393" ref="G109">F112</f>
        <v>0</v>
      </c>
      <c s="125">
        <f ca="1" t="shared" si="394" ref="H109">G112</f>
        <v>0</v>
      </c>
      <c s="125">
        <f ca="1" t="shared" si="395" ref="I109">H112</f>
        <v>0</v>
      </c>
      <c s="125">
        <f ca="1" t="shared" si="396" ref="J109">I112</f>
        <v>0</v>
      </c>
      <c s="125">
        <f ca="1" t="shared" si="397" ref="K109">J112</f>
        <v>0</v>
      </c>
      <c s="125">
        <f ca="1" t="shared" si="398" ref="L109">K112</f>
        <v>0</v>
      </c>
      <c s="125">
        <f ca="1" t="shared" si="399" ref="M109">L112</f>
        <v>0</v>
      </c>
      <c s="125">
        <f ca="1" t="shared" si="400" ref="N109">M112</f>
        <v>0</v>
      </c>
      <c s="125">
        <f ca="1" t="shared" si="401" ref="O109">N112</f>
        <v>0</v>
      </c>
      <c s="125">
        <f ca="1" t="shared" si="402" ref="P109">O112</f>
        <v>0</v>
      </c>
      <c s="125">
        <f ca="1" t="shared" si="403" ref="Q109">P112</f>
        <v>0</v>
      </c>
      <c s="125">
        <f ca="1" t="shared" si="404" ref="R109">Q112</f>
        <v>0</v>
      </c>
      <c s="125">
        <f ca="1" t="shared" si="405" ref="S109">R112</f>
        <v>0</v>
      </c>
      <c s="125">
        <f ca="1" t="shared" si="406" ref="T109">S112</f>
        <v>0</v>
      </c>
      <c s="125">
        <f ca="1" t="shared" si="407" ref="U109">T112</f>
        <v>0</v>
      </c>
      <c s="125">
        <f ca="1" t="shared" si="408" ref="V109">U112</f>
        <v>0</v>
      </c>
      <c s="125">
        <f ca="1" t="shared" si="409" ref="W109">V112</f>
        <v>0</v>
      </c>
      <c s="125">
        <f ca="1" t="shared" si="410" ref="X109">W112</f>
        <v>0</v>
      </c>
      <c s="125">
        <f ca="1" t="shared" si="411" ref="Y109">X112</f>
        <v>0</v>
      </c>
      <c s="125">
        <f ca="1" t="shared" si="412" ref="Z109">Y112</f>
        <v>0</v>
      </c>
      <c s="125">
        <f ca="1" t="shared" si="413" ref="AA109">Z112</f>
        <v>0</v>
      </c>
      <c s="125">
        <f ca="1" t="shared" si="414" ref="AB109">AA112</f>
        <v>0</v>
      </c>
      <c s="125">
        <f ca="1" t="shared" si="415" ref="AC109">AB112</f>
        <v>0</v>
      </c>
      <c s="125">
        <f ca="1" t="shared" si="416" ref="AD109">AC112</f>
        <v>0</v>
      </c>
      <c s="125">
        <f ca="1" t="shared" si="417" ref="AE109">AD112</f>
        <v>0</v>
      </c>
      <c s="125">
        <f ca="1" t="shared" si="418" ref="AF109">AE112</f>
        <v>0</v>
      </c>
      <c s="125">
        <f ca="1" t="shared" si="419" ref="AG109">AF112</f>
        <v>0</v>
      </c>
      <c s="125">
        <f ca="1" t="shared" si="420" ref="AH109">AG112</f>
        <v>0</v>
      </c>
      <c s="125">
        <f ca="1" t="shared" si="421" ref="AI109">AH112</f>
        <v>0</v>
      </c>
      <c s="125">
        <f ca="1" t="shared" si="422" ref="AJ109">AI112</f>
        <v>0</v>
      </c>
      <c s="125">
        <f ca="1" t="shared" si="423" ref="AK109">AJ112</f>
        <v>0</v>
      </c>
      <c s="125">
        <f ca="1" t="shared" si="424" ref="AL109">AK112</f>
        <v>0</v>
      </c>
      <c s="125">
        <f ca="1" t="shared" si="425" ref="AM109">AL112</f>
        <v>0</v>
      </c>
      <c s="125">
        <f ca="1" t="shared" si="426" ref="AN109">AM112</f>
        <v>0</v>
      </c>
      <c s="125">
        <f ca="1" t="shared" si="427" ref="AO109">AN112</f>
        <v>0</v>
      </c>
      <c s="125">
        <f ca="1" t="shared" si="428" ref="AP109">AO112</f>
        <v>0</v>
      </c>
      <c s="125">
        <f ca="1" t="shared" si="429" ref="AQ109">AP112</f>
        <v>0</v>
      </c>
      <c s="125">
        <f ca="1" t="shared" si="430" ref="AR109">AQ112</f>
        <v>0</v>
      </c>
      <c s="125">
        <f ca="1" t="shared" si="431" ref="AS109">AR112</f>
        <v>0</v>
      </c>
      <c s="125">
        <f ca="1" t="shared" si="432" ref="AT109">AS112</f>
        <v>0</v>
      </c>
      <c s="125">
        <f ca="1" t="shared" si="433" ref="AU109">AT112</f>
        <v>0</v>
      </c>
      <c s="125">
        <f ca="1" t="shared" si="434" ref="AV109">AU112</f>
        <v>0</v>
      </c>
      <c s="125">
        <f ca="1" t="shared" si="435" ref="AW109">AV112</f>
        <v>0</v>
      </c>
      <c s="125">
        <f ca="1" t="shared" si="436" ref="AX109">AW112</f>
        <v>0</v>
      </c>
      <c s="125">
        <f ca="1" t="shared" si="437" ref="AY109">AX112</f>
        <v>0</v>
      </c>
      <c s="125">
        <f ca="1" t="shared" si="438" ref="AZ109">AY112</f>
        <v>0</v>
      </c>
      <c s="125">
        <f ca="1" t="shared" si="439" ref="BA109">AZ112</f>
        <v>0</v>
      </c>
      <c s="125">
        <f ca="1" t="shared" si="440" ref="BB109">BA112</f>
        <v>0</v>
      </c>
      <c s="125">
        <f ca="1" t="shared" si="441" ref="BC109">BB112</f>
        <v>0</v>
      </c>
      <c s="125">
        <f ca="1" t="shared" si="442" ref="BD109">BC112</f>
        <v>0</v>
      </c>
      <c s="125">
        <f ca="1" t="shared" si="443" ref="BE109">BD112</f>
        <v>0</v>
      </c>
      <c s="125">
        <f ca="1" t="shared" si="444" ref="BF109">BE112</f>
        <v>0</v>
      </c>
      <c s="125">
        <f ca="1" t="shared" si="445" ref="BG109">BF112</f>
        <v>0</v>
      </c>
      <c s="125">
        <f ca="1" t="shared" si="446" ref="BH109">BG112</f>
        <v>0</v>
      </c>
      <c s="125">
        <f ca="1" t="shared" si="447" ref="BI109">BH112</f>
        <v>0</v>
      </c>
      <c s="125">
        <f ca="1" t="shared" si="448" ref="BJ109">BI112</f>
        <v>0</v>
      </c>
      <c s="125">
        <f ca="1" t="shared" si="449" ref="BK109">BJ112</f>
        <v>0</v>
      </c>
      <c s="125">
        <f ca="1" t="shared" si="450" ref="BL109">BK112</f>
        <v>0</v>
      </c>
      <c s="125">
        <f ca="1" t="shared" si="451" ref="BM109">BL112</f>
        <v>0</v>
      </c>
    </row>
    <row r="110" spans="2:65" ht="15" customHeight="1">
      <c r="B110" s="12" t="s">
        <v>942</v>
      </c>
      <c s="124" t="str">
        <f>Единица_измерения</f>
        <v>тыс. руб.</v>
      </c>
      <c s="129"/>
      <c s="125">
        <f t="shared" si="452" ref="E110">E106*E90</f>
        <v>0</v>
      </c>
      <c s="125">
        <f ca="1" t="shared" si="453" ref="F110:AH110">F106*F90</f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t="shared" ca="1" si="453"/>
        <v>0</v>
      </c>
      <c s="125">
        <f ca="1" t="shared" si="454" ref="AI110:BM110">AI106*AI90</f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  <c s="125">
        <f t="shared" ca="1" si="454"/>
        <v>0</v>
      </c>
    </row>
    <row r="111" spans="2:65" ht="15" customHeight="1">
      <c r="B111" s="12" t="s">
        <v>943</v>
      </c>
      <c s="124" t="str">
        <f>Единица_измерения</f>
        <v>тыс. руб.</v>
      </c>
      <c s="129"/>
      <c s="125">
        <f t="shared" si="455" ref="E111">-E109</f>
        <v>0</v>
      </c>
      <c s="125">
        <f t="shared" si="456" ref="F111:AG111">-F109</f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t="shared" si="456"/>
        <v>0</v>
      </c>
      <c s="125">
        <f ca="1" t="shared" si="457" ref="AH111:BM111">-AH109</f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  <c s="125">
        <f t="shared" ca="1" si="457"/>
        <v>0</v>
      </c>
    </row>
    <row r="112" spans="2:65" ht="15" customHeight="1">
      <c r="B112" s="289" t="s">
        <v>830</v>
      </c>
      <c s="290" t="str">
        <f>Единица_измерения</f>
        <v>тыс. руб.</v>
      </c>
      <c s="276"/>
      <c s="276">
        <f t="shared" si="458" ref="E112">SUM(E109:E111)</f>
        <v>0</v>
      </c>
      <c s="276">
        <f ca="1" t="shared" si="459" ref="F112:AG112">SUM(F109:F111)</f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t="shared" ca="1" si="459"/>
        <v>0</v>
      </c>
      <c s="276">
        <f ca="1" t="shared" si="460" ref="AH112:BM112">SUM(AH109:AH111)</f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  <c s="276">
        <f t="shared" ca="1" si="460"/>
        <v>0</v>
      </c>
    </row>
    <row r="113" ht="15" customHeight="1"/>
    <row r="114" spans="2:71" ht="21">
      <c r="B114" s="23" t="s">
        <v>248</v>
      </c>
      <c r="D11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5" spans="2:65" ht="15" customHeight="1">
      <c r="B115" s="12" t="str">
        <f>Предпосылки!B485</f>
        <v>НДФЛ при годовом доходе до 2,4 млн руб.</v>
      </c>
      <c s="124" t="s">
        <v>817</v>
      </c>
      <c s="124"/>
      <c s="126">
        <f>LOOKUP(YEAR(E$8),Предпосылки!$C$480:$R$480,Ставки_НДФЛ_до_2400_тыс_руб)</f>
        <v>0.13</v>
      </c>
      <c s="126">
        <f>LOOKUP(YEAR(F$8),Предпосылки!$C$480:$R$480,Ставки_НДФЛ_до_2400_тыс_руб)</f>
        <v>0.13</v>
      </c>
      <c s="126">
        <f>LOOKUP(YEAR(G$8),Предпосылки!$C$480:$R$480,Ставки_НДФЛ_до_2400_тыс_руб)</f>
        <v>0.13</v>
      </c>
      <c s="126">
        <f>LOOKUP(YEAR(H$8),Предпосылки!$C$480:$R$480,Ставки_НДФЛ_до_2400_тыс_руб)</f>
        <v>0.13</v>
      </c>
      <c s="126">
        <f>LOOKUP(YEAR(I$8),Предпосылки!$C$480:$R$480,Ставки_НДФЛ_до_2400_тыс_руб)</f>
        <v>0.13</v>
      </c>
      <c s="126">
        <f>LOOKUP(YEAR(J$8),Предпосылки!$C$480:$R$480,Ставки_НДФЛ_до_2400_тыс_руб)</f>
        <v>0.13</v>
      </c>
      <c s="126">
        <f>LOOKUP(YEAR(K$8),Предпосылки!$C$480:$R$480,Ставки_НДФЛ_до_2400_тыс_руб)</f>
        <v>0.13</v>
      </c>
      <c s="126">
        <f>LOOKUP(YEAR(L$8),Предпосылки!$C$480:$R$480,Ставки_НДФЛ_до_2400_тыс_руб)</f>
        <v>0.13</v>
      </c>
      <c s="126">
        <f>LOOKUP(YEAR(M$8),Предпосылки!$C$480:$R$480,Ставки_НДФЛ_до_2400_тыс_руб)</f>
        <v>0.13</v>
      </c>
      <c s="126">
        <f>LOOKUP(YEAR(N$8),Предпосылки!$C$480:$R$480,Ставки_НДФЛ_до_2400_тыс_руб)</f>
        <v>0.13</v>
      </c>
      <c s="126">
        <f>LOOKUP(YEAR(O$8),Предпосылки!$C$480:$R$480,Ставки_НДФЛ_до_2400_тыс_руб)</f>
        <v>0.13</v>
      </c>
      <c s="126">
        <f>LOOKUP(YEAR(P$8),Предпосылки!$C$480:$R$480,Ставки_НДФЛ_до_2400_тыс_руб)</f>
        <v>0.13</v>
      </c>
      <c s="126">
        <f>LOOKUP(YEAR(Q$8),Предпосылки!$C$480:$R$480,Ставки_НДФЛ_до_2400_тыс_руб)</f>
        <v>0.13</v>
      </c>
      <c s="126">
        <f>LOOKUP(YEAR(R$8),Предпосылки!$C$480:$R$480,Ставки_НДФЛ_до_2400_тыс_руб)</f>
        <v>0.13</v>
      </c>
      <c s="126">
        <f>LOOKUP(YEAR(S$8),Предпосылки!$C$480:$R$480,Ставки_НДФЛ_до_2400_тыс_руб)</f>
        <v>0.13</v>
      </c>
      <c s="126">
        <f>LOOKUP(YEAR(T$8),Предпосылки!$C$480:$R$480,Ставки_НДФЛ_до_2400_тыс_руб)</f>
        <v>0.13</v>
      </c>
      <c s="126">
        <f>LOOKUP(YEAR(U$8),Предпосылки!$C$480:$R$480,Ставки_НДФЛ_до_2400_тыс_руб)</f>
        <v>0.13</v>
      </c>
      <c s="126">
        <f>LOOKUP(YEAR(V$8),Предпосылки!$C$480:$R$480,Ставки_НДФЛ_до_2400_тыс_руб)</f>
        <v>0.13</v>
      </c>
      <c s="126">
        <f>LOOKUP(YEAR(W$8),Предпосылки!$C$480:$R$480,Ставки_НДФЛ_до_2400_тыс_руб)</f>
        <v>0.13</v>
      </c>
      <c s="126">
        <f>LOOKUP(YEAR(X$8),Предпосылки!$C$480:$R$480,Ставки_НДФЛ_до_2400_тыс_руб)</f>
        <v>0.13</v>
      </c>
      <c s="126">
        <f>LOOKUP(YEAR(Y$8),Предпосылки!$C$480:$R$480,Ставки_НДФЛ_до_2400_тыс_руб)</f>
        <v>0.13</v>
      </c>
      <c s="126">
        <f>LOOKUP(YEAR(Z$8),Предпосылки!$C$480:$R$480,Ставки_НДФЛ_до_2400_тыс_руб)</f>
        <v>0.13</v>
      </c>
      <c s="126">
        <f>LOOKUP(YEAR(AA$8),Предпосылки!$C$480:$R$480,Ставки_НДФЛ_до_2400_тыс_руб)</f>
        <v>0.13</v>
      </c>
      <c s="126">
        <f>LOOKUP(YEAR(AB$8),Предпосылки!$C$480:$R$480,Ставки_НДФЛ_до_2400_тыс_руб)</f>
        <v>0.13</v>
      </c>
      <c s="126">
        <f>LOOKUP(YEAR(AC$8),Предпосылки!$C$480:$R$480,Ставки_НДФЛ_до_2400_тыс_руб)</f>
        <v>0.13</v>
      </c>
      <c s="126">
        <f>LOOKUP(YEAR(AD$8),Предпосылки!$C$480:$R$480,Ставки_НДФЛ_до_2400_тыс_руб)</f>
        <v>0.13</v>
      </c>
      <c s="126">
        <f>LOOKUP(YEAR(AE$8),Предпосылки!$C$480:$R$480,Ставки_НДФЛ_до_2400_тыс_руб)</f>
        <v>0.13</v>
      </c>
      <c s="126">
        <f>LOOKUP(YEAR(AF$8),Предпосылки!$C$480:$R$480,Ставки_НДФЛ_до_2400_тыс_руб)</f>
        <v>0.13</v>
      </c>
      <c s="126">
        <f>LOOKUP(YEAR(AG$8),Предпосылки!$C$480:$R$480,Ставки_НДФЛ_до_2400_тыс_руб)</f>
        <v>0.13</v>
      </c>
      <c s="126">
        <f>LOOKUP(YEAR(AH$8),Предпосылки!$C$480:$R$480,Ставки_НДФЛ_до_2400_тыс_руб)</f>
        <v>0.13</v>
      </c>
      <c s="126">
        <f>LOOKUP(YEAR(AI$8),Предпосылки!$C$480:$R$480,Ставки_НДФЛ_до_2400_тыс_руб)</f>
        <v>0.13</v>
      </c>
      <c s="126">
        <f>LOOKUP(YEAR(AJ$8),Предпосылки!$C$480:$R$480,Ставки_НДФЛ_до_2400_тыс_руб)</f>
        <v>0.13</v>
      </c>
      <c s="126">
        <f>LOOKUP(YEAR(AK$8),Предпосылки!$C$480:$R$480,Ставки_НДФЛ_до_2400_тыс_руб)</f>
        <v>0.13</v>
      </c>
      <c s="126">
        <f>LOOKUP(YEAR(AL$8),Предпосылки!$C$480:$R$480,Ставки_НДФЛ_до_2400_тыс_руб)</f>
        <v>0.13</v>
      </c>
      <c s="126">
        <f>LOOKUP(YEAR(AM$8),Предпосылки!$C$480:$R$480,Ставки_НДФЛ_до_2400_тыс_руб)</f>
        <v>0.13</v>
      </c>
      <c s="126">
        <f>LOOKUP(YEAR(AN$8),Предпосылки!$C$480:$R$480,Ставки_НДФЛ_до_2400_тыс_руб)</f>
        <v>0.13</v>
      </c>
      <c s="126">
        <f>LOOKUP(YEAR(AO$8),Предпосылки!$C$480:$R$480,Ставки_НДФЛ_до_2400_тыс_руб)</f>
        <v>0.13</v>
      </c>
      <c s="126">
        <f>LOOKUP(YEAR(AP$8),Предпосылки!$C$480:$R$480,Ставки_НДФЛ_до_2400_тыс_руб)</f>
        <v>0.13</v>
      </c>
      <c s="126">
        <f>LOOKUP(YEAR(AQ$8),Предпосылки!$C$480:$R$480,Ставки_НДФЛ_до_2400_тыс_руб)</f>
        <v>0.13</v>
      </c>
      <c s="126">
        <f>LOOKUP(YEAR(AR$8),Предпосылки!$C$480:$R$480,Ставки_НДФЛ_до_2400_тыс_руб)</f>
        <v>0.13</v>
      </c>
      <c s="126">
        <f>LOOKUP(YEAR(AS$8),Предпосылки!$C$480:$R$480,Ставки_НДФЛ_до_2400_тыс_руб)</f>
        <v>0.13</v>
      </c>
      <c s="126">
        <f>LOOKUP(YEAR(AT$8),Предпосылки!$C$480:$R$480,Ставки_НДФЛ_до_2400_тыс_руб)</f>
        <v>0.13</v>
      </c>
      <c s="126">
        <f>LOOKUP(YEAR(AU$8),Предпосылки!$C$480:$R$480,Ставки_НДФЛ_до_2400_тыс_руб)</f>
        <v>0.13</v>
      </c>
      <c s="126">
        <f>LOOKUP(YEAR(AV$8),Предпосылки!$C$480:$R$480,Ставки_НДФЛ_до_2400_тыс_руб)</f>
        <v>0.13</v>
      </c>
      <c s="126">
        <f>LOOKUP(YEAR(AW$8),Предпосылки!$C$480:$R$480,Ставки_НДФЛ_до_2400_тыс_руб)</f>
        <v>0.13</v>
      </c>
      <c s="126">
        <f>LOOKUP(YEAR(AX$8),Предпосылки!$C$480:$R$480,Ставки_НДФЛ_до_2400_тыс_руб)</f>
        <v>0.13</v>
      </c>
      <c s="126">
        <f>LOOKUP(YEAR(AY$8),Предпосылки!$C$480:$R$480,Ставки_НДФЛ_до_2400_тыс_руб)</f>
        <v>0.13</v>
      </c>
      <c s="126">
        <f>LOOKUP(YEAR(AZ$8),Предпосылки!$C$480:$R$480,Ставки_НДФЛ_до_2400_тыс_руб)</f>
        <v>0.13</v>
      </c>
      <c s="126">
        <f>LOOKUP(YEAR(BA$8),Предпосылки!$C$480:$R$480,Ставки_НДФЛ_до_2400_тыс_руб)</f>
        <v>0.13</v>
      </c>
      <c s="126">
        <f>LOOKUP(YEAR(BB$8),Предпосылки!$C$480:$R$480,Ставки_НДФЛ_до_2400_тыс_руб)</f>
        <v>0.13</v>
      </c>
      <c s="126">
        <f>LOOKUP(YEAR(BC$8),Предпосылки!$C$480:$R$480,Ставки_НДФЛ_до_2400_тыс_руб)</f>
        <v>0.13</v>
      </c>
      <c s="126">
        <f>LOOKUP(YEAR(BD$8),Предпосылки!$C$480:$R$480,Ставки_НДФЛ_до_2400_тыс_руб)</f>
        <v>0.13</v>
      </c>
      <c s="126">
        <f>LOOKUP(YEAR(BE$8),Предпосылки!$C$480:$R$480,Ставки_НДФЛ_до_2400_тыс_руб)</f>
        <v>0.13</v>
      </c>
      <c s="126">
        <f>LOOKUP(YEAR(BF$8),Предпосылки!$C$480:$R$480,Ставки_НДФЛ_до_2400_тыс_руб)</f>
        <v>0.13</v>
      </c>
      <c s="126">
        <f>LOOKUP(YEAR(BG$8),Предпосылки!$C$480:$R$480,Ставки_НДФЛ_до_2400_тыс_руб)</f>
        <v>0.13</v>
      </c>
      <c s="126">
        <f>LOOKUP(YEAR(BH$8),Предпосылки!$C$480:$R$480,Ставки_НДФЛ_до_2400_тыс_руб)</f>
        <v>0.13</v>
      </c>
      <c s="126">
        <f>LOOKUP(YEAR(BI$8),Предпосылки!$C$480:$R$480,Ставки_НДФЛ_до_2400_тыс_руб)</f>
        <v>0.13</v>
      </c>
      <c s="126">
        <f>LOOKUP(YEAR(BJ$8),Предпосылки!$C$480:$R$480,Ставки_НДФЛ_до_2400_тыс_руб)</f>
        <v>0.13</v>
      </c>
      <c s="126">
        <f>LOOKUP(YEAR(BK$8),Предпосылки!$C$480:$R$480,Ставки_НДФЛ_до_2400_тыс_руб)</f>
        <v>0.13</v>
      </c>
      <c s="126">
        <f>LOOKUP(YEAR(BL$8),Предпосылки!$C$480:$R$480,Ставки_НДФЛ_до_2400_тыс_руб)</f>
        <v>0.13</v>
      </c>
      <c s="126">
        <f>LOOKUP(YEAR(BM$8),Предпосылки!$C$480:$R$480,Ставки_НДФЛ_до_2400_тыс_руб)</f>
        <v>0.13</v>
      </c>
    </row>
    <row r="116" spans="2:65" ht="15" customHeight="1">
      <c r="B116" s="12" t="str">
        <f>Предпосылки!B486</f>
        <v>НДФЛ при годовом доходе от 2,4 млн руб. до 5 млн руб.</v>
      </c>
      <c s="124" t="s">
        <v>817</v>
      </c>
      <c s="124"/>
      <c s="126">
        <f>LOOKUP(YEAR(E$8),Предпосылки!$C$480:$R$480,Ставки_НДФЛ_от_2400_до_5000_тыс_руб)</f>
        <v>0.13</v>
      </c>
      <c s="126">
        <f>LOOKUP(YEAR(F$8),Предпосылки!$C$480:$R$480,Ставки_НДФЛ_от_2400_до_5000_тыс_руб)</f>
        <v>0.13</v>
      </c>
      <c s="126">
        <f>LOOKUP(YEAR(G$8),Предпосылки!$C$480:$R$480,Ставки_НДФЛ_от_2400_до_5000_тыс_руб)</f>
        <v>0.13</v>
      </c>
      <c s="126">
        <f>LOOKUP(YEAR(H$8),Предпосылки!$C$480:$R$480,Ставки_НДФЛ_от_2400_до_5000_тыс_руб)</f>
        <v>0.13</v>
      </c>
      <c s="126">
        <f>LOOKUP(YEAR(I$8),Предпосылки!$C$480:$R$480,Ставки_НДФЛ_от_2400_до_5000_тыс_руб)</f>
        <v>0.14999999999999999</v>
      </c>
      <c s="126">
        <f>LOOKUP(YEAR(J$8),Предпосылки!$C$480:$R$480,Ставки_НДФЛ_от_2400_до_5000_тыс_руб)</f>
        <v>0.14999999999999999</v>
      </c>
      <c s="126">
        <f>LOOKUP(YEAR(K$8),Предпосылки!$C$480:$R$480,Ставки_НДФЛ_от_2400_до_5000_тыс_руб)</f>
        <v>0.14999999999999999</v>
      </c>
      <c s="126">
        <f>LOOKUP(YEAR(L$8),Предпосылки!$C$480:$R$480,Ставки_НДФЛ_от_2400_до_5000_тыс_руб)</f>
        <v>0.14999999999999999</v>
      </c>
      <c s="126">
        <f>LOOKUP(YEAR(M$8),Предпосылки!$C$480:$R$480,Ставки_НДФЛ_от_2400_до_5000_тыс_руб)</f>
        <v>0.14999999999999999</v>
      </c>
      <c s="126">
        <f>LOOKUP(YEAR(N$8),Предпосылки!$C$480:$R$480,Ставки_НДФЛ_от_2400_до_5000_тыс_руб)</f>
        <v>0.14999999999999999</v>
      </c>
      <c s="126">
        <f>LOOKUP(YEAR(O$8),Предпосылки!$C$480:$R$480,Ставки_НДФЛ_от_2400_до_5000_тыс_руб)</f>
        <v>0.14999999999999999</v>
      </c>
      <c s="126">
        <f>LOOKUP(YEAR(P$8),Предпосылки!$C$480:$R$480,Ставки_НДФЛ_от_2400_до_5000_тыс_руб)</f>
        <v>0.14999999999999999</v>
      </c>
      <c s="126">
        <f>LOOKUP(YEAR(Q$8),Предпосылки!$C$480:$R$480,Ставки_НДФЛ_от_2400_до_5000_тыс_руб)</f>
        <v>0.14999999999999999</v>
      </c>
      <c s="126">
        <f>LOOKUP(YEAR(R$8),Предпосылки!$C$480:$R$480,Ставки_НДФЛ_от_2400_до_5000_тыс_руб)</f>
        <v>0.14999999999999999</v>
      </c>
      <c s="126">
        <f>LOOKUP(YEAR(S$8),Предпосылки!$C$480:$R$480,Ставки_НДФЛ_от_2400_до_5000_тыс_руб)</f>
        <v>0.14999999999999999</v>
      </c>
      <c s="126">
        <f>LOOKUP(YEAR(T$8),Предпосылки!$C$480:$R$480,Ставки_НДФЛ_от_2400_до_5000_тыс_руб)</f>
        <v>0.14999999999999999</v>
      </c>
      <c s="126">
        <f>LOOKUP(YEAR(U$8),Предпосылки!$C$480:$R$480,Ставки_НДФЛ_от_2400_до_5000_тыс_руб)</f>
        <v>0.14999999999999999</v>
      </c>
      <c s="126">
        <f>LOOKUP(YEAR(V$8),Предпосылки!$C$480:$R$480,Ставки_НДФЛ_от_2400_до_5000_тыс_руб)</f>
        <v>0.14999999999999999</v>
      </c>
      <c s="126">
        <f>LOOKUP(YEAR(W$8),Предпосылки!$C$480:$R$480,Ставки_НДФЛ_от_2400_до_5000_тыс_руб)</f>
        <v>0.14999999999999999</v>
      </c>
      <c s="126">
        <f>LOOKUP(YEAR(X$8),Предпосылки!$C$480:$R$480,Ставки_НДФЛ_от_2400_до_5000_тыс_руб)</f>
        <v>0.14999999999999999</v>
      </c>
      <c s="126">
        <f>LOOKUP(YEAR(Y$8),Предпосылки!$C$480:$R$480,Ставки_НДФЛ_от_2400_до_5000_тыс_руб)</f>
        <v>0.14999999999999999</v>
      </c>
      <c s="126">
        <f>LOOKUP(YEAR(Z$8),Предпосылки!$C$480:$R$480,Ставки_НДФЛ_от_2400_до_5000_тыс_руб)</f>
        <v>0.14999999999999999</v>
      </c>
      <c s="126">
        <f>LOOKUP(YEAR(AA$8),Предпосылки!$C$480:$R$480,Ставки_НДФЛ_от_2400_до_5000_тыс_руб)</f>
        <v>0.14999999999999999</v>
      </c>
      <c s="126">
        <f>LOOKUP(YEAR(AB$8),Предпосылки!$C$480:$R$480,Ставки_НДФЛ_от_2400_до_5000_тыс_руб)</f>
        <v>0.14999999999999999</v>
      </c>
      <c s="126">
        <f>LOOKUP(YEAR(AC$8),Предпосылки!$C$480:$R$480,Ставки_НДФЛ_от_2400_до_5000_тыс_руб)</f>
        <v>0.14999999999999999</v>
      </c>
      <c s="126">
        <f>LOOKUP(YEAR(AD$8),Предпосылки!$C$480:$R$480,Ставки_НДФЛ_от_2400_до_5000_тыс_руб)</f>
        <v>0.14999999999999999</v>
      </c>
      <c s="126">
        <f>LOOKUP(YEAR(AE$8),Предпосылки!$C$480:$R$480,Ставки_НДФЛ_от_2400_до_5000_тыс_руб)</f>
        <v>0.14999999999999999</v>
      </c>
      <c s="126">
        <f>LOOKUP(YEAR(AF$8),Предпосылки!$C$480:$R$480,Ставки_НДФЛ_от_2400_до_5000_тыс_руб)</f>
        <v>0.14999999999999999</v>
      </c>
      <c s="126">
        <f>LOOKUP(YEAR(AG$8),Предпосылки!$C$480:$R$480,Ставки_НДФЛ_от_2400_до_5000_тыс_руб)</f>
        <v>0.14999999999999999</v>
      </c>
      <c s="126">
        <f>LOOKUP(YEAR(AH$8),Предпосылки!$C$480:$R$480,Ставки_НДФЛ_от_2400_до_5000_тыс_руб)</f>
        <v>0.14999999999999999</v>
      </c>
      <c s="126">
        <f>LOOKUP(YEAR(AI$8),Предпосылки!$C$480:$R$480,Ставки_НДФЛ_от_2400_до_5000_тыс_руб)</f>
        <v>0.14999999999999999</v>
      </c>
      <c s="126">
        <f>LOOKUP(YEAR(AJ$8),Предпосылки!$C$480:$R$480,Ставки_НДФЛ_от_2400_до_5000_тыс_руб)</f>
        <v>0.14999999999999999</v>
      </c>
      <c s="126">
        <f>LOOKUP(YEAR(AK$8),Предпосылки!$C$480:$R$480,Ставки_НДФЛ_от_2400_до_5000_тыс_руб)</f>
        <v>0.14999999999999999</v>
      </c>
      <c s="126">
        <f>LOOKUP(YEAR(AL$8),Предпосылки!$C$480:$R$480,Ставки_НДФЛ_от_2400_до_5000_тыс_руб)</f>
        <v>0.14999999999999999</v>
      </c>
      <c s="126">
        <f>LOOKUP(YEAR(AM$8),Предпосылки!$C$480:$R$480,Ставки_НДФЛ_от_2400_до_5000_тыс_руб)</f>
        <v>0.14999999999999999</v>
      </c>
      <c s="126">
        <f>LOOKUP(YEAR(AN$8),Предпосылки!$C$480:$R$480,Ставки_НДФЛ_от_2400_до_5000_тыс_руб)</f>
        <v>0.14999999999999999</v>
      </c>
      <c s="126">
        <f>LOOKUP(YEAR(AO$8),Предпосылки!$C$480:$R$480,Ставки_НДФЛ_от_2400_до_5000_тыс_руб)</f>
        <v>0.14999999999999999</v>
      </c>
      <c s="126">
        <f>LOOKUP(YEAR(AP$8),Предпосылки!$C$480:$R$480,Ставки_НДФЛ_от_2400_до_5000_тыс_руб)</f>
        <v>0.14999999999999999</v>
      </c>
      <c s="126">
        <f>LOOKUP(YEAR(AQ$8),Предпосылки!$C$480:$R$480,Ставки_НДФЛ_от_2400_до_5000_тыс_руб)</f>
        <v>0.14999999999999999</v>
      </c>
      <c s="126">
        <f>LOOKUP(YEAR(AR$8),Предпосылки!$C$480:$R$480,Ставки_НДФЛ_от_2400_до_5000_тыс_руб)</f>
        <v>0.14999999999999999</v>
      </c>
      <c s="126">
        <f>LOOKUP(YEAR(AS$8),Предпосылки!$C$480:$R$480,Ставки_НДФЛ_от_2400_до_5000_тыс_руб)</f>
        <v>0.14999999999999999</v>
      </c>
      <c s="126">
        <f>LOOKUP(YEAR(AT$8),Предпосылки!$C$480:$R$480,Ставки_НДФЛ_от_2400_до_5000_тыс_руб)</f>
        <v>0.14999999999999999</v>
      </c>
      <c s="126">
        <f>LOOKUP(YEAR(AU$8),Предпосылки!$C$480:$R$480,Ставки_НДФЛ_от_2400_до_5000_тыс_руб)</f>
        <v>0.14999999999999999</v>
      </c>
      <c s="126">
        <f>LOOKUP(YEAR(AV$8),Предпосылки!$C$480:$R$480,Ставки_НДФЛ_от_2400_до_5000_тыс_руб)</f>
        <v>0.14999999999999999</v>
      </c>
      <c s="126">
        <f>LOOKUP(YEAR(AW$8),Предпосылки!$C$480:$R$480,Ставки_НДФЛ_от_2400_до_5000_тыс_руб)</f>
        <v>0.14999999999999999</v>
      </c>
      <c s="126">
        <f>LOOKUP(YEAR(AX$8),Предпосылки!$C$480:$R$480,Ставки_НДФЛ_от_2400_до_5000_тыс_руб)</f>
        <v>0.14999999999999999</v>
      </c>
      <c s="126">
        <f>LOOKUP(YEAR(AY$8),Предпосылки!$C$480:$R$480,Ставки_НДФЛ_от_2400_до_5000_тыс_руб)</f>
        <v>0.14999999999999999</v>
      </c>
      <c s="126">
        <f>LOOKUP(YEAR(AZ$8),Предпосылки!$C$480:$R$480,Ставки_НДФЛ_от_2400_до_5000_тыс_руб)</f>
        <v>0.14999999999999999</v>
      </c>
      <c s="126">
        <f>LOOKUP(YEAR(BA$8),Предпосылки!$C$480:$R$480,Ставки_НДФЛ_от_2400_до_5000_тыс_руб)</f>
        <v>0.14999999999999999</v>
      </c>
      <c s="126">
        <f>LOOKUP(YEAR(BB$8),Предпосылки!$C$480:$R$480,Ставки_НДФЛ_от_2400_до_5000_тыс_руб)</f>
        <v>0.14999999999999999</v>
      </c>
      <c s="126">
        <f>LOOKUP(YEAR(BC$8),Предпосылки!$C$480:$R$480,Ставки_НДФЛ_от_2400_до_5000_тыс_руб)</f>
        <v>0.14999999999999999</v>
      </c>
      <c s="126">
        <f>LOOKUP(YEAR(BD$8),Предпосылки!$C$480:$R$480,Ставки_НДФЛ_от_2400_до_5000_тыс_руб)</f>
        <v>0.14999999999999999</v>
      </c>
      <c s="126">
        <f>LOOKUP(YEAR(BE$8),Предпосылки!$C$480:$R$480,Ставки_НДФЛ_от_2400_до_5000_тыс_руб)</f>
        <v>0.14999999999999999</v>
      </c>
      <c s="126">
        <f>LOOKUP(YEAR(BF$8),Предпосылки!$C$480:$R$480,Ставки_НДФЛ_от_2400_до_5000_тыс_руб)</f>
        <v>0.14999999999999999</v>
      </c>
      <c s="126">
        <f>LOOKUP(YEAR(BG$8),Предпосылки!$C$480:$R$480,Ставки_НДФЛ_от_2400_до_5000_тыс_руб)</f>
        <v>0.14999999999999999</v>
      </c>
      <c s="126">
        <f>LOOKUP(YEAR(BH$8),Предпосылки!$C$480:$R$480,Ставки_НДФЛ_от_2400_до_5000_тыс_руб)</f>
        <v>0.14999999999999999</v>
      </c>
      <c s="126">
        <f>LOOKUP(YEAR(BI$8),Предпосылки!$C$480:$R$480,Ставки_НДФЛ_от_2400_до_5000_тыс_руб)</f>
        <v>0.14999999999999999</v>
      </c>
      <c s="126">
        <f>LOOKUP(YEAR(BJ$8),Предпосылки!$C$480:$R$480,Ставки_НДФЛ_от_2400_до_5000_тыс_руб)</f>
        <v>0.14999999999999999</v>
      </c>
      <c s="126">
        <f>LOOKUP(YEAR(BK$8),Предпосылки!$C$480:$R$480,Ставки_НДФЛ_от_2400_до_5000_тыс_руб)</f>
        <v>0.14999999999999999</v>
      </c>
      <c s="126">
        <f>LOOKUP(YEAR(BL$8),Предпосылки!$C$480:$R$480,Ставки_НДФЛ_от_2400_до_5000_тыс_руб)</f>
        <v>0.14999999999999999</v>
      </c>
      <c s="126">
        <f>LOOKUP(YEAR(BM$8),Предпосылки!$C$480:$R$480,Ставки_НДФЛ_от_2400_до_5000_тыс_руб)</f>
        <v>0.14999999999999999</v>
      </c>
    </row>
    <row r="117" spans="2:65" ht="15" customHeight="1">
      <c r="B117" s="12" t="str">
        <f>Предпосылки!B487</f>
        <v>НДФЛ при годовом доходе от 5 млн руб. до 20 млн руб.</v>
      </c>
      <c s="124" t="s">
        <v>817</v>
      </c>
      <c s="124"/>
      <c s="126">
        <f>LOOKUP(YEAR(E$8),Предпосылки!$C$480:$R$480,Ставки_НДФЛ_от_5000_до_20000_тыс_руб)</f>
        <v>0.13</v>
      </c>
      <c s="126">
        <f>LOOKUP(YEAR(F$8),Предпосылки!$C$480:$R$480,Ставки_НДФЛ_от_5000_до_20000_тыс_руб)</f>
        <v>0.13</v>
      </c>
      <c s="126">
        <f>LOOKUP(YEAR(G$8),Предпосылки!$C$480:$R$480,Ставки_НДФЛ_от_5000_до_20000_тыс_руб)</f>
        <v>0.13</v>
      </c>
      <c s="126">
        <f>LOOKUP(YEAR(H$8),Предпосылки!$C$480:$R$480,Ставки_НДФЛ_от_5000_до_20000_тыс_руб)</f>
        <v>0.13</v>
      </c>
      <c s="126">
        <f>LOOKUP(YEAR(I$8),Предпосылки!$C$480:$R$480,Ставки_НДФЛ_от_5000_до_20000_тыс_руб)</f>
        <v>0.17999999999999999</v>
      </c>
      <c s="126">
        <f>LOOKUP(YEAR(J$8),Предпосылки!$C$480:$R$480,Ставки_НДФЛ_от_5000_до_20000_тыс_руб)</f>
        <v>0.17999999999999999</v>
      </c>
      <c s="126">
        <f>LOOKUP(YEAR(K$8),Предпосылки!$C$480:$R$480,Ставки_НДФЛ_от_5000_до_20000_тыс_руб)</f>
        <v>0.17999999999999999</v>
      </c>
      <c s="126">
        <f>LOOKUP(YEAR(L$8),Предпосылки!$C$480:$R$480,Ставки_НДФЛ_от_5000_до_20000_тыс_руб)</f>
        <v>0.17999999999999999</v>
      </c>
      <c s="126">
        <f>LOOKUP(YEAR(M$8),Предпосылки!$C$480:$R$480,Ставки_НДФЛ_от_5000_до_20000_тыс_руб)</f>
        <v>0.17999999999999999</v>
      </c>
      <c s="126">
        <f>LOOKUP(YEAR(N$8),Предпосылки!$C$480:$R$480,Ставки_НДФЛ_от_5000_до_20000_тыс_руб)</f>
        <v>0.17999999999999999</v>
      </c>
      <c s="126">
        <f>LOOKUP(YEAR(O$8),Предпосылки!$C$480:$R$480,Ставки_НДФЛ_от_5000_до_20000_тыс_руб)</f>
        <v>0.17999999999999999</v>
      </c>
      <c s="126">
        <f>LOOKUP(YEAR(P$8),Предпосылки!$C$480:$R$480,Ставки_НДФЛ_от_5000_до_20000_тыс_руб)</f>
        <v>0.17999999999999999</v>
      </c>
      <c s="126">
        <f>LOOKUP(YEAR(Q$8),Предпосылки!$C$480:$R$480,Ставки_НДФЛ_от_5000_до_20000_тыс_руб)</f>
        <v>0.17999999999999999</v>
      </c>
      <c s="126">
        <f>LOOKUP(YEAR(R$8),Предпосылки!$C$480:$R$480,Ставки_НДФЛ_от_5000_до_20000_тыс_руб)</f>
        <v>0.17999999999999999</v>
      </c>
      <c s="126">
        <f>LOOKUP(YEAR(S$8),Предпосылки!$C$480:$R$480,Ставки_НДФЛ_от_5000_до_20000_тыс_руб)</f>
        <v>0.17999999999999999</v>
      </c>
      <c s="126">
        <f>LOOKUP(YEAR(T$8),Предпосылки!$C$480:$R$480,Ставки_НДФЛ_от_5000_до_20000_тыс_руб)</f>
        <v>0.17999999999999999</v>
      </c>
      <c s="126">
        <f>LOOKUP(YEAR(U$8),Предпосылки!$C$480:$R$480,Ставки_НДФЛ_от_5000_до_20000_тыс_руб)</f>
        <v>0.17999999999999999</v>
      </c>
      <c s="126">
        <f>LOOKUP(YEAR(V$8),Предпосылки!$C$480:$R$480,Ставки_НДФЛ_от_5000_до_20000_тыс_руб)</f>
        <v>0.17999999999999999</v>
      </c>
      <c s="126">
        <f>LOOKUP(YEAR(W$8),Предпосылки!$C$480:$R$480,Ставки_НДФЛ_от_5000_до_20000_тыс_руб)</f>
        <v>0.17999999999999999</v>
      </c>
      <c s="126">
        <f>LOOKUP(YEAR(X$8),Предпосылки!$C$480:$R$480,Ставки_НДФЛ_от_5000_до_20000_тыс_руб)</f>
        <v>0.17999999999999999</v>
      </c>
      <c s="126">
        <f>LOOKUP(YEAR(Y$8),Предпосылки!$C$480:$R$480,Ставки_НДФЛ_от_5000_до_20000_тыс_руб)</f>
        <v>0.17999999999999999</v>
      </c>
      <c s="126">
        <f>LOOKUP(YEAR(Z$8),Предпосылки!$C$480:$R$480,Ставки_НДФЛ_от_5000_до_20000_тыс_руб)</f>
        <v>0.17999999999999999</v>
      </c>
      <c s="126">
        <f>LOOKUP(YEAR(AA$8),Предпосылки!$C$480:$R$480,Ставки_НДФЛ_от_5000_до_20000_тыс_руб)</f>
        <v>0.17999999999999999</v>
      </c>
      <c s="126">
        <f>LOOKUP(YEAR(AB$8),Предпосылки!$C$480:$R$480,Ставки_НДФЛ_от_5000_до_20000_тыс_руб)</f>
        <v>0.17999999999999999</v>
      </c>
      <c s="126">
        <f>LOOKUP(YEAR(AC$8),Предпосылки!$C$480:$R$480,Ставки_НДФЛ_от_5000_до_20000_тыс_руб)</f>
        <v>0.17999999999999999</v>
      </c>
      <c s="126">
        <f>LOOKUP(YEAR(AD$8),Предпосылки!$C$480:$R$480,Ставки_НДФЛ_от_5000_до_20000_тыс_руб)</f>
        <v>0.17999999999999999</v>
      </c>
      <c s="126">
        <f>LOOKUP(YEAR(AE$8),Предпосылки!$C$480:$R$480,Ставки_НДФЛ_от_5000_до_20000_тыс_руб)</f>
        <v>0.17999999999999999</v>
      </c>
      <c s="126">
        <f>LOOKUP(YEAR(AF$8),Предпосылки!$C$480:$R$480,Ставки_НДФЛ_от_5000_до_20000_тыс_руб)</f>
        <v>0.17999999999999999</v>
      </c>
      <c s="126">
        <f>LOOKUP(YEAR(AG$8),Предпосылки!$C$480:$R$480,Ставки_НДФЛ_от_5000_до_20000_тыс_руб)</f>
        <v>0.17999999999999999</v>
      </c>
      <c s="126">
        <f>LOOKUP(YEAR(AH$8),Предпосылки!$C$480:$R$480,Ставки_НДФЛ_от_5000_до_20000_тыс_руб)</f>
        <v>0.17999999999999999</v>
      </c>
      <c s="126">
        <f>LOOKUP(YEAR(AI$8),Предпосылки!$C$480:$R$480,Ставки_НДФЛ_от_5000_до_20000_тыс_руб)</f>
        <v>0.17999999999999999</v>
      </c>
      <c s="126">
        <f>LOOKUP(YEAR(AJ$8),Предпосылки!$C$480:$R$480,Ставки_НДФЛ_от_5000_до_20000_тыс_руб)</f>
        <v>0.17999999999999999</v>
      </c>
      <c s="126">
        <f>LOOKUP(YEAR(AK$8),Предпосылки!$C$480:$R$480,Ставки_НДФЛ_от_5000_до_20000_тыс_руб)</f>
        <v>0.17999999999999999</v>
      </c>
      <c s="126">
        <f>LOOKUP(YEAR(AL$8),Предпосылки!$C$480:$R$480,Ставки_НДФЛ_от_5000_до_20000_тыс_руб)</f>
        <v>0.17999999999999999</v>
      </c>
      <c s="126">
        <f>LOOKUP(YEAR(AM$8),Предпосылки!$C$480:$R$480,Ставки_НДФЛ_от_5000_до_20000_тыс_руб)</f>
        <v>0.17999999999999999</v>
      </c>
      <c s="126">
        <f>LOOKUP(YEAR(AN$8),Предпосылки!$C$480:$R$480,Ставки_НДФЛ_от_5000_до_20000_тыс_руб)</f>
        <v>0.17999999999999999</v>
      </c>
      <c s="126">
        <f>LOOKUP(YEAR(AO$8),Предпосылки!$C$480:$R$480,Ставки_НДФЛ_от_5000_до_20000_тыс_руб)</f>
        <v>0.17999999999999999</v>
      </c>
      <c s="126">
        <f>LOOKUP(YEAR(AP$8),Предпосылки!$C$480:$R$480,Ставки_НДФЛ_от_5000_до_20000_тыс_руб)</f>
        <v>0.17999999999999999</v>
      </c>
      <c s="126">
        <f>LOOKUP(YEAR(AQ$8),Предпосылки!$C$480:$R$480,Ставки_НДФЛ_от_5000_до_20000_тыс_руб)</f>
        <v>0.17999999999999999</v>
      </c>
      <c s="126">
        <f>LOOKUP(YEAR(AR$8),Предпосылки!$C$480:$R$480,Ставки_НДФЛ_от_5000_до_20000_тыс_руб)</f>
        <v>0.17999999999999999</v>
      </c>
      <c s="126">
        <f>LOOKUP(YEAR(AS$8),Предпосылки!$C$480:$R$480,Ставки_НДФЛ_от_5000_до_20000_тыс_руб)</f>
        <v>0.17999999999999999</v>
      </c>
      <c s="126">
        <f>LOOKUP(YEAR(AT$8),Предпосылки!$C$480:$R$480,Ставки_НДФЛ_от_5000_до_20000_тыс_руб)</f>
        <v>0.17999999999999999</v>
      </c>
      <c s="126">
        <f>LOOKUP(YEAR(AU$8),Предпосылки!$C$480:$R$480,Ставки_НДФЛ_от_5000_до_20000_тыс_руб)</f>
        <v>0.17999999999999999</v>
      </c>
      <c s="126">
        <f>LOOKUP(YEAR(AV$8),Предпосылки!$C$480:$R$480,Ставки_НДФЛ_от_5000_до_20000_тыс_руб)</f>
        <v>0.17999999999999999</v>
      </c>
      <c s="126">
        <f>LOOKUP(YEAR(AW$8),Предпосылки!$C$480:$R$480,Ставки_НДФЛ_от_5000_до_20000_тыс_руб)</f>
        <v>0.17999999999999999</v>
      </c>
      <c s="126">
        <f>LOOKUP(YEAR(AX$8),Предпосылки!$C$480:$R$480,Ставки_НДФЛ_от_5000_до_20000_тыс_руб)</f>
        <v>0.17999999999999999</v>
      </c>
      <c s="126">
        <f>LOOKUP(YEAR(AY$8),Предпосылки!$C$480:$R$480,Ставки_НДФЛ_от_5000_до_20000_тыс_руб)</f>
        <v>0.17999999999999999</v>
      </c>
      <c s="126">
        <f>LOOKUP(YEAR(AZ$8),Предпосылки!$C$480:$R$480,Ставки_НДФЛ_от_5000_до_20000_тыс_руб)</f>
        <v>0.17999999999999999</v>
      </c>
      <c s="126">
        <f>LOOKUP(YEAR(BA$8),Предпосылки!$C$480:$R$480,Ставки_НДФЛ_от_5000_до_20000_тыс_руб)</f>
        <v>0.17999999999999999</v>
      </c>
      <c s="126">
        <f>LOOKUP(YEAR(BB$8),Предпосылки!$C$480:$R$480,Ставки_НДФЛ_от_5000_до_20000_тыс_руб)</f>
        <v>0.17999999999999999</v>
      </c>
      <c s="126">
        <f>LOOKUP(YEAR(BC$8),Предпосылки!$C$480:$R$480,Ставки_НДФЛ_от_5000_до_20000_тыс_руб)</f>
        <v>0.17999999999999999</v>
      </c>
      <c s="126">
        <f>LOOKUP(YEAR(BD$8),Предпосылки!$C$480:$R$480,Ставки_НДФЛ_от_5000_до_20000_тыс_руб)</f>
        <v>0.17999999999999999</v>
      </c>
      <c s="126">
        <f>LOOKUP(YEAR(BE$8),Предпосылки!$C$480:$R$480,Ставки_НДФЛ_от_5000_до_20000_тыс_руб)</f>
        <v>0.17999999999999999</v>
      </c>
      <c s="126">
        <f>LOOKUP(YEAR(BF$8),Предпосылки!$C$480:$R$480,Ставки_НДФЛ_от_5000_до_20000_тыс_руб)</f>
        <v>0.17999999999999999</v>
      </c>
      <c s="126">
        <f>LOOKUP(YEAR(BG$8),Предпосылки!$C$480:$R$480,Ставки_НДФЛ_от_5000_до_20000_тыс_руб)</f>
        <v>0.17999999999999999</v>
      </c>
      <c s="126">
        <f>LOOKUP(YEAR(BH$8),Предпосылки!$C$480:$R$480,Ставки_НДФЛ_от_5000_до_20000_тыс_руб)</f>
        <v>0.17999999999999999</v>
      </c>
      <c s="126">
        <f>LOOKUP(YEAR(BI$8),Предпосылки!$C$480:$R$480,Ставки_НДФЛ_от_5000_до_20000_тыс_руб)</f>
        <v>0.17999999999999999</v>
      </c>
      <c s="126">
        <f>LOOKUP(YEAR(BJ$8),Предпосылки!$C$480:$R$480,Ставки_НДФЛ_от_5000_до_20000_тыс_руб)</f>
        <v>0.17999999999999999</v>
      </c>
      <c s="126">
        <f>LOOKUP(YEAR(BK$8),Предпосылки!$C$480:$R$480,Ставки_НДФЛ_от_5000_до_20000_тыс_руб)</f>
        <v>0.17999999999999999</v>
      </c>
      <c s="126">
        <f>LOOKUP(YEAR(BL$8),Предпосылки!$C$480:$R$480,Ставки_НДФЛ_от_5000_до_20000_тыс_руб)</f>
        <v>0.17999999999999999</v>
      </c>
      <c s="126">
        <f>LOOKUP(YEAR(BM$8),Предпосылки!$C$480:$R$480,Ставки_НДФЛ_от_5000_до_20000_тыс_руб)</f>
        <v>0.17999999999999999</v>
      </c>
    </row>
    <row r="118" spans="2:65" ht="15" customHeight="1">
      <c r="B118" s="12" t="str">
        <f>Предпосылки!B488</f>
        <v>НДФЛ при годовом доходе от 20 млн руб. до 50 млн руб.</v>
      </c>
      <c s="124" t="s">
        <v>817</v>
      </c>
      <c s="124"/>
      <c s="126">
        <f>LOOKUP(YEAR(E$8),Предпосылки!$C$480:$R$480,Ставки_НДФЛ_от_20000_до_50000_тыс_руб)</f>
        <v>0.13</v>
      </c>
      <c s="126">
        <f>LOOKUP(YEAR(F$8),Предпосылки!$C$480:$R$480,Ставки_НДФЛ_от_20000_до_50000_тыс_руб)</f>
        <v>0.13</v>
      </c>
      <c s="126">
        <f>LOOKUP(YEAR(G$8),Предпосылки!$C$480:$R$480,Ставки_НДФЛ_от_20000_до_50000_тыс_руб)</f>
        <v>0.13</v>
      </c>
      <c s="126">
        <f>LOOKUP(YEAR(H$8),Предпосылки!$C$480:$R$480,Ставки_НДФЛ_от_20000_до_50000_тыс_руб)</f>
        <v>0.13</v>
      </c>
      <c s="126">
        <f>LOOKUP(YEAR(I$8),Предпосылки!$C$480:$R$480,Ставки_НДФЛ_от_20000_до_50000_тыс_руб)</f>
        <v>0.20000000000000001</v>
      </c>
      <c s="126">
        <f>LOOKUP(YEAR(J$8),Предпосылки!$C$480:$R$480,Ставки_НДФЛ_от_20000_до_50000_тыс_руб)</f>
        <v>0.20000000000000001</v>
      </c>
      <c s="126">
        <f>LOOKUP(YEAR(K$8),Предпосылки!$C$480:$R$480,Ставки_НДФЛ_от_20000_до_50000_тыс_руб)</f>
        <v>0.20000000000000001</v>
      </c>
      <c s="126">
        <f>LOOKUP(YEAR(L$8),Предпосылки!$C$480:$R$480,Ставки_НДФЛ_от_20000_до_50000_тыс_руб)</f>
        <v>0.20000000000000001</v>
      </c>
      <c s="126">
        <f>LOOKUP(YEAR(M$8),Предпосылки!$C$480:$R$480,Ставки_НДФЛ_от_20000_до_50000_тыс_руб)</f>
        <v>0.20000000000000001</v>
      </c>
      <c s="126">
        <f>LOOKUP(YEAR(N$8),Предпосылки!$C$480:$R$480,Ставки_НДФЛ_от_20000_до_50000_тыс_руб)</f>
        <v>0.20000000000000001</v>
      </c>
      <c s="126">
        <f>LOOKUP(YEAR(O$8),Предпосылки!$C$480:$R$480,Ставки_НДФЛ_от_20000_до_50000_тыс_руб)</f>
        <v>0.20000000000000001</v>
      </c>
      <c s="126">
        <f>LOOKUP(YEAR(P$8),Предпосылки!$C$480:$R$480,Ставки_НДФЛ_от_20000_до_50000_тыс_руб)</f>
        <v>0.20000000000000001</v>
      </c>
      <c s="126">
        <f>LOOKUP(YEAR(Q$8),Предпосылки!$C$480:$R$480,Ставки_НДФЛ_от_20000_до_50000_тыс_руб)</f>
        <v>0.20000000000000001</v>
      </c>
      <c s="126">
        <f>LOOKUP(YEAR(R$8),Предпосылки!$C$480:$R$480,Ставки_НДФЛ_от_20000_до_50000_тыс_руб)</f>
        <v>0.20000000000000001</v>
      </c>
      <c s="126">
        <f>LOOKUP(YEAR(S$8),Предпосылки!$C$480:$R$480,Ставки_НДФЛ_от_20000_до_50000_тыс_руб)</f>
        <v>0.20000000000000001</v>
      </c>
      <c s="126">
        <f>LOOKUP(YEAR(T$8),Предпосылки!$C$480:$R$480,Ставки_НДФЛ_от_20000_до_50000_тыс_руб)</f>
        <v>0.20000000000000001</v>
      </c>
      <c s="126">
        <f>LOOKUP(YEAR(U$8),Предпосылки!$C$480:$R$480,Ставки_НДФЛ_от_20000_до_50000_тыс_руб)</f>
        <v>0.20000000000000001</v>
      </c>
      <c s="126">
        <f>LOOKUP(YEAR(V$8),Предпосылки!$C$480:$R$480,Ставки_НДФЛ_от_20000_до_50000_тыс_руб)</f>
        <v>0.20000000000000001</v>
      </c>
      <c s="126">
        <f>LOOKUP(YEAR(W$8),Предпосылки!$C$480:$R$480,Ставки_НДФЛ_от_20000_до_50000_тыс_руб)</f>
        <v>0.20000000000000001</v>
      </c>
      <c s="126">
        <f>LOOKUP(YEAR(X$8),Предпосылки!$C$480:$R$480,Ставки_НДФЛ_от_20000_до_50000_тыс_руб)</f>
        <v>0.20000000000000001</v>
      </c>
      <c s="126">
        <f>LOOKUP(YEAR(Y$8),Предпосылки!$C$480:$R$480,Ставки_НДФЛ_от_20000_до_50000_тыс_руб)</f>
        <v>0.20000000000000001</v>
      </c>
      <c s="126">
        <f>LOOKUP(YEAR(Z$8),Предпосылки!$C$480:$R$480,Ставки_НДФЛ_от_20000_до_50000_тыс_руб)</f>
        <v>0.20000000000000001</v>
      </c>
      <c s="126">
        <f>LOOKUP(YEAR(AA$8),Предпосылки!$C$480:$R$480,Ставки_НДФЛ_от_20000_до_50000_тыс_руб)</f>
        <v>0.20000000000000001</v>
      </c>
      <c s="126">
        <f>LOOKUP(YEAR(AB$8),Предпосылки!$C$480:$R$480,Ставки_НДФЛ_от_20000_до_50000_тыс_руб)</f>
        <v>0.20000000000000001</v>
      </c>
      <c s="126">
        <f>LOOKUP(YEAR(AC$8),Предпосылки!$C$480:$R$480,Ставки_НДФЛ_от_20000_до_50000_тыс_руб)</f>
        <v>0.20000000000000001</v>
      </c>
      <c s="126">
        <f>LOOKUP(YEAR(AD$8),Предпосылки!$C$480:$R$480,Ставки_НДФЛ_от_20000_до_50000_тыс_руб)</f>
        <v>0.20000000000000001</v>
      </c>
      <c s="126">
        <f>LOOKUP(YEAR(AE$8),Предпосылки!$C$480:$R$480,Ставки_НДФЛ_от_20000_до_50000_тыс_руб)</f>
        <v>0.20000000000000001</v>
      </c>
      <c s="126">
        <f>LOOKUP(YEAR(AF$8),Предпосылки!$C$480:$R$480,Ставки_НДФЛ_от_20000_до_50000_тыс_руб)</f>
        <v>0.20000000000000001</v>
      </c>
      <c s="126">
        <f>LOOKUP(YEAR(AG$8),Предпосылки!$C$480:$R$480,Ставки_НДФЛ_от_20000_до_50000_тыс_руб)</f>
        <v>0.20000000000000001</v>
      </c>
      <c s="126">
        <f>LOOKUP(YEAR(AH$8),Предпосылки!$C$480:$R$480,Ставки_НДФЛ_от_20000_до_50000_тыс_руб)</f>
        <v>0.20000000000000001</v>
      </c>
      <c s="126">
        <f>LOOKUP(YEAR(AI$8),Предпосылки!$C$480:$R$480,Ставки_НДФЛ_от_20000_до_50000_тыс_руб)</f>
        <v>0.20000000000000001</v>
      </c>
      <c s="126">
        <f>LOOKUP(YEAR(AJ$8),Предпосылки!$C$480:$R$480,Ставки_НДФЛ_от_20000_до_50000_тыс_руб)</f>
        <v>0.20000000000000001</v>
      </c>
      <c s="126">
        <f>LOOKUP(YEAR(AK$8),Предпосылки!$C$480:$R$480,Ставки_НДФЛ_от_20000_до_50000_тыс_руб)</f>
        <v>0.20000000000000001</v>
      </c>
      <c s="126">
        <f>LOOKUP(YEAR(AL$8),Предпосылки!$C$480:$R$480,Ставки_НДФЛ_от_20000_до_50000_тыс_руб)</f>
        <v>0.20000000000000001</v>
      </c>
      <c s="126">
        <f>LOOKUP(YEAR(AM$8),Предпосылки!$C$480:$R$480,Ставки_НДФЛ_от_20000_до_50000_тыс_руб)</f>
        <v>0.20000000000000001</v>
      </c>
      <c s="126">
        <f>LOOKUP(YEAR(AN$8),Предпосылки!$C$480:$R$480,Ставки_НДФЛ_от_20000_до_50000_тыс_руб)</f>
        <v>0.20000000000000001</v>
      </c>
      <c s="126">
        <f>LOOKUP(YEAR(AO$8),Предпосылки!$C$480:$R$480,Ставки_НДФЛ_от_20000_до_50000_тыс_руб)</f>
        <v>0.20000000000000001</v>
      </c>
      <c s="126">
        <f>LOOKUP(YEAR(AP$8),Предпосылки!$C$480:$R$480,Ставки_НДФЛ_от_20000_до_50000_тыс_руб)</f>
        <v>0.20000000000000001</v>
      </c>
      <c s="126">
        <f>LOOKUP(YEAR(AQ$8),Предпосылки!$C$480:$R$480,Ставки_НДФЛ_от_20000_до_50000_тыс_руб)</f>
        <v>0.20000000000000001</v>
      </c>
      <c s="126">
        <f>LOOKUP(YEAR(AR$8),Предпосылки!$C$480:$R$480,Ставки_НДФЛ_от_20000_до_50000_тыс_руб)</f>
        <v>0.20000000000000001</v>
      </c>
      <c s="126">
        <f>LOOKUP(YEAR(AS$8),Предпосылки!$C$480:$R$480,Ставки_НДФЛ_от_20000_до_50000_тыс_руб)</f>
        <v>0.20000000000000001</v>
      </c>
      <c s="126">
        <f>LOOKUP(YEAR(AT$8),Предпосылки!$C$480:$R$480,Ставки_НДФЛ_от_20000_до_50000_тыс_руб)</f>
        <v>0.20000000000000001</v>
      </c>
      <c s="126">
        <f>LOOKUP(YEAR(AU$8),Предпосылки!$C$480:$R$480,Ставки_НДФЛ_от_20000_до_50000_тыс_руб)</f>
        <v>0.20000000000000001</v>
      </c>
      <c s="126">
        <f>LOOKUP(YEAR(AV$8),Предпосылки!$C$480:$R$480,Ставки_НДФЛ_от_20000_до_50000_тыс_руб)</f>
        <v>0.20000000000000001</v>
      </c>
      <c s="126">
        <f>LOOKUP(YEAR(AW$8),Предпосылки!$C$480:$R$480,Ставки_НДФЛ_от_20000_до_50000_тыс_руб)</f>
        <v>0.20000000000000001</v>
      </c>
      <c s="126">
        <f>LOOKUP(YEAR(AX$8),Предпосылки!$C$480:$R$480,Ставки_НДФЛ_от_20000_до_50000_тыс_руб)</f>
        <v>0.20000000000000001</v>
      </c>
      <c s="126">
        <f>LOOKUP(YEAR(AY$8),Предпосылки!$C$480:$R$480,Ставки_НДФЛ_от_20000_до_50000_тыс_руб)</f>
        <v>0.20000000000000001</v>
      </c>
      <c s="126">
        <f>LOOKUP(YEAR(AZ$8),Предпосылки!$C$480:$R$480,Ставки_НДФЛ_от_20000_до_50000_тыс_руб)</f>
        <v>0.20000000000000001</v>
      </c>
      <c s="126">
        <f>LOOKUP(YEAR(BA$8),Предпосылки!$C$480:$R$480,Ставки_НДФЛ_от_20000_до_50000_тыс_руб)</f>
        <v>0.20000000000000001</v>
      </c>
      <c s="126">
        <f>LOOKUP(YEAR(BB$8),Предпосылки!$C$480:$R$480,Ставки_НДФЛ_от_20000_до_50000_тыс_руб)</f>
        <v>0.20000000000000001</v>
      </c>
      <c s="126">
        <f>LOOKUP(YEAR(BC$8),Предпосылки!$C$480:$R$480,Ставки_НДФЛ_от_20000_до_50000_тыс_руб)</f>
        <v>0.20000000000000001</v>
      </c>
      <c s="126">
        <f>LOOKUP(YEAR(BD$8),Предпосылки!$C$480:$R$480,Ставки_НДФЛ_от_20000_до_50000_тыс_руб)</f>
        <v>0.20000000000000001</v>
      </c>
      <c s="126">
        <f>LOOKUP(YEAR(BE$8),Предпосылки!$C$480:$R$480,Ставки_НДФЛ_от_20000_до_50000_тыс_руб)</f>
        <v>0.20000000000000001</v>
      </c>
      <c s="126">
        <f>LOOKUP(YEAR(BF$8),Предпосылки!$C$480:$R$480,Ставки_НДФЛ_от_20000_до_50000_тыс_руб)</f>
        <v>0.20000000000000001</v>
      </c>
      <c s="126">
        <f>LOOKUP(YEAR(BG$8),Предпосылки!$C$480:$R$480,Ставки_НДФЛ_от_20000_до_50000_тыс_руб)</f>
        <v>0.20000000000000001</v>
      </c>
      <c s="126">
        <f>LOOKUP(YEAR(BH$8),Предпосылки!$C$480:$R$480,Ставки_НДФЛ_от_20000_до_50000_тыс_руб)</f>
        <v>0.20000000000000001</v>
      </c>
      <c s="126">
        <f>LOOKUP(YEAR(BI$8),Предпосылки!$C$480:$R$480,Ставки_НДФЛ_от_20000_до_50000_тыс_руб)</f>
        <v>0.20000000000000001</v>
      </c>
      <c s="126">
        <f>LOOKUP(YEAR(BJ$8),Предпосылки!$C$480:$R$480,Ставки_НДФЛ_от_20000_до_50000_тыс_руб)</f>
        <v>0.20000000000000001</v>
      </c>
      <c s="126">
        <f>LOOKUP(YEAR(BK$8),Предпосылки!$C$480:$R$480,Ставки_НДФЛ_от_20000_до_50000_тыс_руб)</f>
        <v>0.20000000000000001</v>
      </c>
      <c s="126">
        <f>LOOKUP(YEAR(BL$8),Предпосылки!$C$480:$R$480,Ставки_НДФЛ_от_20000_до_50000_тыс_руб)</f>
        <v>0.20000000000000001</v>
      </c>
      <c s="126">
        <f>LOOKUP(YEAR(BM$8),Предпосылки!$C$480:$R$480,Ставки_НДФЛ_от_20000_до_50000_тыс_руб)</f>
        <v>0.20000000000000001</v>
      </c>
    </row>
    <row r="119" spans="2:65" ht="15" customHeight="1">
      <c r="B119" s="12" t="str">
        <f>Предпосылки!B489</f>
        <v>НДФЛ при годовом доходе свыше 50 млн руб.</v>
      </c>
      <c s="124" t="s">
        <v>817</v>
      </c>
      <c s="124"/>
      <c s="126">
        <f>LOOKUP(YEAR(E$8),Предпосылки!$C$480:$R$480,Ставки_НДФЛ_свыше_50000_тыс_руб)</f>
        <v>0.13</v>
      </c>
      <c s="126">
        <f>LOOKUP(YEAR(F$8),Предпосылки!$C$480:$R$480,Ставки_НДФЛ_свыше_50000_тыс_руб)</f>
        <v>0.13</v>
      </c>
      <c s="126">
        <f>LOOKUP(YEAR(G$8),Предпосылки!$C$480:$R$480,Ставки_НДФЛ_свыше_50000_тыс_руб)</f>
        <v>0.13</v>
      </c>
      <c s="126">
        <f>LOOKUP(YEAR(H$8),Предпосылки!$C$480:$R$480,Ставки_НДФЛ_свыше_50000_тыс_руб)</f>
        <v>0.13</v>
      </c>
      <c s="126">
        <f>LOOKUP(YEAR(I$8),Предпосылки!$C$480:$R$480,Ставки_НДФЛ_свыше_50000_тыс_руб)</f>
        <v>0.22</v>
      </c>
      <c s="126">
        <f>LOOKUP(YEAR(J$8),Предпосылки!$C$480:$R$480,Ставки_НДФЛ_свыше_50000_тыс_руб)</f>
        <v>0.22</v>
      </c>
      <c s="126">
        <f>LOOKUP(YEAR(K$8),Предпосылки!$C$480:$R$480,Ставки_НДФЛ_свыше_50000_тыс_руб)</f>
        <v>0.22</v>
      </c>
      <c s="126">
        <f>LOOKUP(YEAR(L$8),Предпосылки!$C$480:$R$480,Ставки_НДФЛ_свыше_50000_тыс_руб)</f>
        <v>0.22</v>
      </c>
      <c s="126">
        <f>LOOKUP(YEAR(M$8),Предпосылки!$C$480:$R$480,Ставки_НДФЛ_свыше_50000_тыс_руб)</f>
        <v>0.22</v>
      </c>
      <c s="126">
        <f>LOOKUP(YEAR(N$8),Предпосылки!$C$480:$R$480,Ставки_НДФЛ_свыше_50000_тыс_руб)</f>
        <v>0.22</v>
      </c>
      <c s="126">
        <f>LOOKUP(YEAR(O$8),Предпосылки!$C$480:$R$480,Ставки_НДФЛ_свыше_50000_тыс_руб)</f>
        <v>0.22</v>
      </c>
      <c s="126">
        <f>LOOKUP(YEAR(P$8),Предпосылки!$C$480:$R$480,Ставки_НДФЛ_свыше_50000_тыс_руб)</f>
        <v>0.22</v>
      </c>
      <c s="126">
        <f>LOOKUP(YEAR(Q$8),Предпосылки!$C$480:$R$480,Ставки_НДФЛ_свыше_50000_тыс_руб)</f>
        <v>0.22</v>
      </c>
      <c s="126">
        <f>LOOKUP(YEAR(R$8),Предпосылки!$C$480:$R$480,Ставки_НДФЛ_свыше_50000_тыс_руб)</f>
        <v>0.22</v>
      </c>
      <c s="126">
        <f>LOOKUP(YEAR(S$8),Предпосылки!$C$480:$R$480,Ставки_НДФЛ_свыше_50000_тыс_руб)</f>
        <v>0.22</v>
      </c>
      <c s="126">
        <f>LOOKUP(YEAR(T$8),Предпосылки!$C$480:$R$480,Ставки_НДФЛ_свыше_50000_тыс_руб)</f>
        <v>0.22</v>
      </c>
      <c s="126">
        <f>LOOKUP(YEAR(U$8),Предпосылки!$C$480:$R$480,Ставки_НДФЛ_свыше_50000_тыс_руб)</f>
        <v>0.22</v>
      </c>
      <c s="126">
        <f>LOOKUP(YEAR(V$8),Предпосылки!$C$480:$R$480,Ставки_НДФЛ_свыше_50000_тыс_руб)</f>
        <v>0.22</v>
      </c>
      <c s="126">
        <f>LOOKUP(YEAR(W$8),Предпосылки!$C$480:$R$480,Ставки_НДФЛ_свыше_50000_тыс_руб)</f>
        <v>0.22</v>
      </c>
      <c s="126">
        <f>LOOKUP(YEAR(X$8),Предпосылки!$C$480:$R$480,Ставки_НДФЛ_свыше_50000_тыс_руб)</f>
        <v>0.22</v>
      </c>
      <c s="126">
        <f>LOOKUP(YEAR(Y$8),Предпосылки!$C$480:$R$480,Ставки_НДФЛ_свыше_50000_тыс_руб)</f>
        <v>0.22</v>
      </c>
      <c s="126">
        <f>LOOKUP(YEAR(Z$8),Предпосылки!$C$480:$R$480,Ставки_НДФЛ_свыше_50000_тыс_руб)</f>
        <v>0.22</v>
      </c>
      <c s="126">
        <f>LOOKUP(YEAR(AA$8),Предпосылки!$C$480:$R$480,Ставки_НДФЛ_свыше_50000_тыс_руб)</f>
        <v>0.22</v>
      </c>
      <c s="126">
        <f>LOOKUP(YEAR(AB$8),Предпосылки!$C$480:$R$480,Ставки_НДФЛ_свыше_50000_тыс_руб)</f>
        <v>0.22</v>
      </c>
      <c s="126">
        <f>LOOKUP(YEAR(AC$8),Предпосылки!$C$480:$R$480,Ставки_НДФЛ_свыше_50000_тыс_руб)</f>
        <v>0.22</v>
      </c>
      <c s="126">
        <f>LOOKUP(YEAR(AD$8),Предпосылки!$C$480:$R$480,Ставки_НДФЛ_свыше_50000_тыс_руб)</f>
        <v>0.22</v>
      </c>
      <c s="126">
        <f>LOOKUP(YEAR(AE$8),Предпосылки!$C$480:$R$480,Ставки_НДФЛ_свыше_50000_тыс_руб)</f>
        <v>0.22</v>
      </c>
      <c s="126">
        <f>LOOKUP(YEAR(AF$8),Предпосылки!$C$480:$R$480,Ставки_НДФЛ_свыше_50000_тыс_руб)</f>
        <v>0.22</v>
      </c>
      <c s="126">
        <f>LOOKUP(YEAR(AG$8),Предпосылки!$C$480:$R$480,Ставки_НДФЛ_свыше_50000_тыс_руб)</f>
        <v>0.22</v>
      </c>
      <c s="126">
        <f>LOOKUP(YEAR(AH$8),Предпосылки!$C$480:$R$480,Ставки_НДФЛ_свыше_50000_тыс_руб)</f>
        <v>0.22</v>
      </c>
      <c s="126">
        <f>LOOKUP(YEAR(AI$8),Предпосылки!$C$480:$R$480,Ставки_НДФЛ_свыше_50000_тыс_руб)</f>
        <v>0.22</v>
      </c>
      <c s="126">
        <f>LOOKUP(YEAR(AJ$8),Предпосылки!$C$480:$R$480,Ставки_НДФЛ_свыше_50000_тыс_руб)</f>
        <v>0.22</v>
      </c>
      <c s="126">
        <f>LOOKUP(YEAR(AK$8),Предпосылки!$C$480:$R$480,Ставки_НДФЛ_свыше_50000_тыс_руб)</f>
        <v>0.22</v>
      </c>
      <c s="126">
        <f>LOOKUP(YEAR(AL$8),Предпосылки!$C$480:$R$480,Ставки_НДФЛ_свыше_50000_тыс_руб)</f>
        <v>0.22</v>
      </c>
      <c s="126">
        <f>LOOKUP(YEAR(AM$8),Предпосылки!$C$480:$R$480,Ставки_НДФЛ_свыше_50000_тыс_руб)</f>
        <v>0.22</v>
      </c>
      <c s="126">
        <f>LOOKUP(YEAR(AN$8),Предпосылки!$C$480:$R$480,Ставки_НДФЛ_свыше_50000_тыс_руб)</f>
        <v>0.22</v>
      </c>
      <c s="126">
        <f>LOOKUP(YEAR(AO$8),Предпосылки!$C$480:$R$480,Ставки_НДФЛ_свыше_50000_тыс_руб)</f>
        <v>0.22</v>
      </c>
      <c s="126">
        <f>LOOKUP(YEAR(AP$8),Предпосылки!$C$480:$R$480,Ставки_НДФЛ_свыше_50000_тыс_руб)</f>
        <v>0.22</v>
      </c>
      <c s="126">
        <f>LOOKUP(YEAR(AQ$8),Предпосылки!$C$480:$R$480,Ставки_НДФЛ_свыше_50000_тыс_руб)</f>
        <v>0.22</v>
      </c>
      <c s="126">
        <f>LOOKUP(YEAR(AR$8),Предпосылки!$C$480:$R$480,Ставки_НДФЛ_свыше_50000_тыс_руб)</f>
        <v>0.22</v>
      </c>
      <c s="126">
        <f>LOOKUP(YEAR(AS$8),Предпосылки!$C$480:$R$480,Ставки_НДФЛ_свыше_50000_тыс_руб)</f>
        <v>0.22</v>
      </c>
      <c s="126">
        <f>LOOKUP(YEAR(AT$8),Предпосылки!$C$480:$R$480,Ставки_НДФЛ_свыше_50000_тыс_руб)</f>
        <v>0.22</v>
      </c>
      <c s="126">
        <f>LOOKUP(YEAR(AU$8),Предпосылки!$C$480:$R$480,Ставки_НДФЛ_свыше_50000_тыс_руб)</f>
        <v>0.22</v>
      </c>
      <c s="126">
        <f>LOOKUP(YEAR(AV$8),Предпосылки!$C$480:$R$480,Ставки_НДФЛ_свыше_50000_тыс_руб)</f>
        <v>0.22</v>
      </c>
      <c s="126">
        <f>LOOKUP(YEAR(AW$8),Предпосылки!$C$480:$R$480,Ставки_НДФЛ_свыше_50000_тыс_руб)</f>
        <v>0.22</v>
      </c>
      <c s="126">
        <f>LOOKUP(YEAR(AX$8),Предпосылки!$C$480:$R$480,Ставки_НДФЛ_свыше_50000_тыс_руб)</f>
        <v>0.22</v>
      </c>
      <c s="126">
        <f>LOOKUP(YEAR(AY$8),Предпосылки!$C$480:$R$480,Ставки_НДФЛ_свыше_50000_тыс_руб)</f>
        <v>0.22</v>
      </c>
      <c s="126">
        <f>LOOKUP(YEAR(AZ$8),Предпосылки!$C$480:$R$480,Ставки_НДФЛ_свыше_50000_тыс_руб)</f>
        <v>0.22</v>
      </c>
      <c s="126">
        <f>LOOKUP(YEAR(BA$8),Предпосылки!$C$480:$R$480,Ставки_НДФЛ_свыше_50000_тыс_руб)</f>
        <v>0.22</v>
      </c>
      <c s="126">
        <f>LOOKUP(YEAR(BB$8),Предпосылки!$C$480:$R$480,Ставки_НДФЛ_свыше_50000_тыс_руб)</f>
        <v>0.22</v>
      </c>
      <c s="126">
        <f>LOOKUP(YEAR(BC$8),Предпосылки!$C$480:$R$480,Ставки_НДФЛ_свыше_50000_тыс_руб)</f>
        <v>0.22</v>
      </c>
      <c s="126">
        <f>LOOKUP(YEAR(BD$8),Предпосылки!$C$480:$R$480,Ставки_НДФЛ_свыше_50000_тыс_руб)</f>
        <v>0.22</v>
      </c>
      <c s="126">
        <f>LOOKUP(YEAR(BE$8),Предпосылки!$C$480:$R$480,Ставки_НДФЛ_свыше_50000_тыс_руб)</f>
        <v>0.22</v>
      </c>
      <c s="126">
        <f>LOOKUP(YEAR(BF$8),Предпосылки!$C$480:$R$480,Ставки_НДФЛ_свыше_50000_тыс_руб)</f>
        <v>0.22</v>
      </c>
      <c s="126">
        <f>LOOKUP(YEAR(BG$8),Предпосылки!$C$480:$R$480,Ставки_НДФЛ_свыше_50000_тыс_руб)</f>
        <v>0.22</v>
      </c>
      <c s="126">
        <f>LOOKUP(YEAR(BH$8),Предпосылки!$C$480:$R$480,Ставки_НДФЛ_свыше_50000_тыс_руб)</f>
        <v>0.22</v>
      </c>
      <c s="126">
        <f>LOOKUP(YEAR(BI$8),Предпосылки!$C$480:$R$480,Ставки_НДФЛ_свыше_50000_тыс_руб)</f>
        <v>0.22</v>
      </c>
      <c s="126">
        <f>LOOKUP(YEAR(BJ$8),Предпосылки!$C$480:$R$480,Ставки_НДФЛ_свыше_50000_тыс_руб)</f>
        <v>0.22</v>
      </c>
      <c s="126">
        <f>LOOKUP(YEAR(BK$8),Предпосылки!$C$480:$R$480,Ставки_НДФЛ_свыше_50000_тыс_руб)</f>
        <v>0.22</v>
      </c>
      <c s="126">
        <f>LOOKUP(YEAR(BL$8),Предпосылки!$C$480:$R$480,Ставки_НДФЛ_свыше_50000_тыс_руб)</f>
        <v>0.22</v>
      </c>
      <c s="126">
        <f>LOOKUP(YEAR(BM$8),Предпосылки!$C$480:$R$480,Ставки_НДФЛ_свыше_50000_тыс_руб)</f>
        <v>0.22</v>
      </c>
    </row>
    <row r="120" spans="2:65" ht="15" customHeight="1">
      <c r="B120" s="30"/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21" spans="2:65" ht="23.25" customHeight="1">
      <c r="B121" s="23" t="s">
        <v>872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22" spans="2:65" ht="15" customHeight="1">
      <c r="B122" s="12" t="str">
        <f>IF(ISBLANK(Предпосылки!B349),"-",Предпосылки!B349)</f>
        <v>-</v>
      </c>
      <c s="124" t="s">
        <v>873</v>
      </c>
      <c s="127"/>
      <c s="127">
        <f>Предпосылки!E349</f>
        <v>0</v>
      </c>
      <c s="127">
        <f>Предпосылки!F349</f>
        <v>0</v>
      </c>
      <c s="127">
        <f>Предпосылки!G349</f>
        <v>0</v>
      </c>
      <c s="127">
        <f>Предпосылки!H349</f>
        <v>0</v>
      </c>
      <c s="127">
        <f>Предпосылки!I349</f>
        <v>0</v>
      </c>
      <c s="127">
        <f>Предпосылки!J349</f>
        <v>0</v>
      </c>
      <c s="127">
        <f>Предпосылки!K349</f>
        <v>0</v>
      </c>
      <c s="127">
        <f>Предпосылки!L349</f>
        <v>0</v>
      </c>
      <c s="127">
        <f>Предпосылки!M349</f>
        <v>0</v>
      </c>
      <c s="127">
        <f>Предпосылки!N349</f>
        <v>0</v>
      </c>
      <c s="127">
        <f>Предпосылки!O349</f>
        <v>0</v>
      </c>
      <c s="127">
        <f>Предпосылки!P349</f>
        <v>0</v>
      </c>
      <c s="127">
        <f>Предпосылки!Q349</f>
        <v>0</v>
      </c>
      <c s="127">
        <f>Предпосылки!R349</f>
        <v>0</v>
      </c>
      <c s="127">
        <f>Предпосылки!S349</f>
        <v>0</v>
      </c>
      <c s="127">
        <f>Предпосылки!T349</f>
        <v>0</v>
      </c>
      <c s="127">
        <f>Предпосылки!U349</f>
        <v>0</v>
      </c>
      <c s="127">
        <f>Предпосылки!V349</f>
        <v>0</v>
      </c>
      <c s="127">
        <f>Предпосылки!W349</f>
        <v>0</v>
      </c>
      <c s="127">
        <f>Предпосылки!X349</f>
        <v>0</v>
      </c>
      <c s="127">
        <f>Предпосылки!Y349</f>
        <v>0</v>
      </c>
      <c s="127">
        <f>Предпосылки!Z349</f>
        <v>0</v>
      </c>
      <c s="127">
        <f>Предпосылки!AA349</f>
        <v>0</v>
      </c>
      <c s="127">
        <f>Предпосылки!AB349</f>
        <v>0</v>
      </c>
      <c s="127">
        <f>Предпосылки!AC349</f>
        <v>0</v>
      </c>
      <c s="127">
        <f>Предпосылки!AD349</f>
        <v>0</v>
      </c>
      <c s="127">
        <f>Предпосылки!AE349</f>
        <v>0</v>
      </c>
      <c s="127">
        <f>Предпосылки!AF349</f>
        <v>0</v>
      </c>
      <c s="127">
        <f>Предпосылки!AG349</f>
        <v>0</v>
      </c>
      <c s="127">
        <f>Предпосылки!AH349</f>
        <v>0</v>
      </c>
      <c s="127">
        <f>Предпосылки!AI349</f>
        <v>0</v>
      </c>
      <c s="127">
        <f>Предпосылки!AJ349</f>
        <v>0</v>
      </c>
      <c s="127">
        <f>Предпосылки!AK349</f>
        <v>0</v>
      </c>
      <c s="127">
        <f>Предпосылки!AL349</f>
        <v>0</v>
      </c>
      <c s="127">
        <f>Предпосылки!AM349</f>
        <v>0</v>
      </c>
      <c s="127">
        <f>Предпосылки!AN349</f>
        <v>0</v>
      </c>
      <c s="127">
        <f>Предпосылки!AO349</f>
        <v>0</v>
      </c>
      <c s="127">
        <f>Предпосылки!AP349</f>
        <v>0</v>
      </c>
      <c s="127">
        <f>Предпосылки!AQ349</f>
        <v>0</v>
      </c>
      <c s="127">
        <f>Предпосылки!AR349</f>
        <v>0</v>
      </c>
      <c s="127">
        <f>Предпосылки!AS349</f>
        <v>0</v>
      </c>
      <c s="127">
        <f>Предпосылки!AT349</f>
        <v>0</v>
      </c>
      <c s="127">
        <f>Предпосылки!AU349</f>
        <v>0</v>
      </c>
      <c s="127">
        <f>Предпосылки!AV349</f>
        <v>0</v>
      </c>
      <c s="127">
        <f>Предпосылки!AW349</f>
        <v>0</v>
      </c>
      <c s="127">
        <f>Предпосылки!AX349</f>
        <v>0</v>
      </c>
      <c s="127">
        <f>Предпосылки!AY349</f>
        <v>0</v>
      </c>
      <c s="127">
        <f>Предпосылки!AZ349</f>
        <v>0</v>
      </c>
      <c s="127">
        <f>Предпосылки!BA349</f>
        <v>0</v>
      </c>
      <c s="127">
        <f>Предпосылки!BB349</f>
        <v>0</v>
      </c>
      <c s="127">
        <f>Предпосылки!BC349</f>
        <v>0</v>
      </c>
      <c s="127">
        <f>Предпосылки!BD349</f>
        <v>0</v>
      </c>
      <c s="127">
        <f>Предпосылки!BE349</f>
        <v>0</v>
      </c>
      <c s="127">
        <f>Предпосылки!BF349</f>
        <v>0</v>
      </c>
      <c s="127">
        <f>Предпосылки!BG349</f>
        <v>0</v>
      </c>
      <c s="127">
        <f>Предпосылки!BH349</f>
        <v>0</v>
      </c>
      <c s="127">
        <f>Предпосылки!BI349</f>
        <v>0</v>
      </c>
      <c s="127">
        <f>Предпосылки!BJ349</f>
        <v>0</v>
      </c>
      <c s="127">
        <f>Предпосылки!BK349</f>
        <v>0</v>
      </c>
      <c s="127">
        <f>Предпосылки!BL349</f>
        <v>0</v>
      </c>
      <c s="127">
        <f>Предпосылки!BM349</f>
        <v>0</v>
      </c>
    </row>
    <row r="123" spans="2:65" ht="15" customHeight="1">
      <c r="B123" s="12" t="str">
        <f>IF(ISBLANK(Предпосылки!B350),"-",Предпосылки!B350)</f>
        <v>-</v>
      </c>
      <c s="124" t="s">
        <v>873</v>
      </c>
      <c s="127"/>
      <c s="127">
        <f>Предпосылки!E350</f>
        <v>0</v>
      </c>
      <c s="127">
        <f>Предпосылки!F350</f>
        <v>0</v>
      </c>
      <c s="127">
        <f>Предпосылки!G350</f>
        <v>0</v>
      </c>
      <c s="127">
        <f>Предпосылки!H350</f>
        <v>0</v>
      </c>
      <c s="127">
        <f>Предпосылки!I350</f>
        <v>0</v>
      </c>
      <c s="127">
        <f>Предпосылки!J350</f>
        <v>0</v>
      </c>
      <c s="127">
        <f>Предпосылки!K350</f>
        <v>0</v>
      </c>
      <c s="127">
        <f>Предпосылки!L350</f>
        <v>0</v>
      </c>
      <c s="127">
        <f>Предпосылки!M350</f>
        <v>0</v>
      </c>
      <c s="127">
        <f>Предпосылки!N350</f>
        <v>0</v>
      </c>
      <c s="127">
        <f>Предпосылки!O350</f>
        <v>0</v>
      </c>
      <c s="127">
        <f>Предпосылки!P350</f>
        <v>0</v>
      </c>
      <c s="127">
        <f>Предпосылки!Q350</f>
        <v>0</v>
      </c>
      <c s="127">
        <f>Предпосылки!R350</f>
        <v>0</v>
      </c>
      <c s="127">
        <f>Предпосылки!S350</f>
        <v>0</v>
      </c>
      <c s="127">
        <f>Предпосылки!T350</f>
        <v>0</v>
      </c>
      <c s="127">
        <f>Предпосылки!U350</f>
        <v>0</v>
      </c>
      <c s="127">
        <f>Предпосылки!V350</f>
        <v>0</v>
      </c>
      <c s="127">
        <f>Предпосылки!W350</f>
        <v>0</v>
      </c>
      <c s="127">
        <f>Предпосылки!X350</f>
        <v>0</v>
      </c>
      <c s="127">
        <f>Предпосылки!Y350</f>
        <v>0</v>
      </c>
      <c s="127">
        <f>Предпосылки!Z350</f>
        <v>0</v>
      </c>
      <c s="127">
        <f>Предпосылки!AA350</f>
        <v>0</v>
      </c>
      <c s="127">
        <f>Предпосылки!AB350</f>
        <v>0</v>
      </c>
      <c s="127">
        <f>Предпосылки!AC350</f>
        <v>0</v>
      </c>
      <c s="127">
        <f>Предпосылки!AD350</f>
        <v>0</v>
      </c>
      <c s="127">
        <f>Предпосылки!AE350</f>
        <v>0</v>
      </c>
      <c s="127">
        <f>Предпосылки!AF350</f>
        <v>0</v>
      </c>
      <c s="127">
        <f>Предпосылки!AG350</f>
        <v>0</v>
      </c>
      <c s="127">
        <f>Предпосылки!AH350</f>
        <v>0</v>
      </c>
      <c s="127">
        <f>Предпосылки!AI350</f>
        <v>0</v>
      </c>
      <c s="127">
        <f>Предпосылки!AJ350</f>
        <v>0</v>
      </c>
      <c s="127">
        <f>Предпосылки!AK350</f>
        <v>0</v>
      </c>
      <c s="127">
        <f>Предпосылки!AL350</f>
        <v>0</v>
      </c>
      <c s="127">
        <f>Предпосылки!AM350</f>
        <v>0</v>
      </c>
      <c s="127">
        <f>Предпосылки!AN350</f>
        <v>0</v>
      </c>
      <c s="127">
        <f>Предпосылки!AO350</f>
        <v>0</v>
      </c>
      <c s="127">
        <f>Предпосылки!AP350</f>
        <v>0</v>
      </c>
      <c s="127">
        <f>Предпосылки!AQ350</f>
        <v>0</v>
      </c>
      <c s="127">
        <f>Предпосылки!AR350</f>
        <v>0</v>
      </c>
      <c s="127">
        <f>Предпосылки!AS350</f>
        <v>0</v>
      </c>
      <c s="127">
        <f>Предпосылки!AT350</f>
        <v>0</v>
      </c>
      <c s="127">
        <f>Предпосылки!AU350</f>
        <v>0</v>
      </c>
      <c s="127">
        <f>Предпосылки!AV350</f>
        <v>0</v>
      </c>
      <c s="127">
        <f>Предпосылки!AW350</f>
        <v>0</v>
      </c>
      <c s="127">
        <f>Предпосылки!AX350</f>
        <v>0</v>
      </c>
      <c s="127">
        <f>Предпосылки!AY350</f>
        <v>0</v>
      </c>
      <c s="127">
        <f>Предпосылки!AZ350</f>
        <v>0</v>
      </c>
      <c s="127">
        <f>Предпосылки!BA350</f>
        <v>0</v>
      </c>
      <c s="127">
        <f>Предпосылки!BB350</f>
        <v>0</v>
      </c>
      <c s="127">
        <f>Предпосылки!BC350</f>
        <v>0</v>
      </c>
      <c s="127">
        <f>Предпосылки!BD350</f>
        <v>0</v>
      </c>
      <c s="127">
        <f>Предпосылки!BE350</f>
        <v>0</v>
      </c>
      <c s="127">
        <f>Предпосылки!BF350</f>
        <v>0</v>
      </c>
      <c s="127">
        <f>Предпосылки!BG350</f>
        <v>0</v>
      </c>
      <c s="127">
        <f>Предпосылки!BH350</f>
        <v>0</v>
      </c>
      <c s="127">
        <f>Предпосылки!BI350</f>
        <v>0</v>
      </c>
      <c s="127">
        <f>Предпосылки!BJ350</f>
        <v>0</v>
      </c>
      <c s="127">
        <f>Предпосылки!BK350</f>
        <v>0</v>
      </c>
      <c s="127">
        <f>Предпосылки!BL350</f>
        <v>0</v>
      </c>
      <c s="127">
        <f>Предпосылки!BM350</f>
        <v>0</v>
      </c>
    </row>
    <row r="124" spans="2:65" ht="15" customHeight="1">
      <c r="B124" s="12" t="str">
        <f>IF(ISBLANK(Предпосылки!B351),"-",Предпосылки!B351)</f>
        <v>-</v>
      </c>
      <c s="124" t="s">
        <v>873</v>
      </c>
      <c s="127"/>
      <c s="127">
        <f>Предпосылки!E351</f>
        <v>0</v>
      </c>
      <c s="127">
        <f>Предпосылки!F351</f>
        <v>0</v>
      </c>
      <c s="127">
        <f>Предпосылки!G351</f>
        <v>0</v>
      </c>
      <c s="127">
        <f>Предпосылки!H351</f>
        <v>0</v>
      </c>
      <c s="127">
        <f>Предпосылки!I351</f>
        <v>0</v>
      </c>
      <c s="127">
        <f>Предпосылки!J351</f>
        <v>0</v>
      </c>
      <c s="127">
        <f>Предпосылки!K351</f>
        <v>0</v>
      </c>
      <c s="127">
        <f>Предпосылки!L351</f>
        <v>0</v>
      </c>
      <c s="127">
        <f>Предпосылки!M351</f>
        <v>0</v>
      </c>
      <c s="127">
        <f>Предпосылки!N351</f>
        <v>0</v>
      </c>
      <c s="127">
        <f>Предпосылки!O351</f>
        <v>0</v>
      </c>
      <c s="127">
        <f>Предпосылки!P351</f>
        <v>0</v>
      </c>
      <c s="127">
        <f>Предпосылки!Q351</f>
        <v>0</v>
      </c>
      <c s="127">
        <f>Предпосылки!R351</f>
        <v>0</v>
      </c>
      <c s="127">
        <f>Предпосылки!S351</f>
        <v>0</v>
      </c>
      <c s="127">
        <f>Предпосылки!T351</f>
        <v>0</v>
      </c>
      <c s="127">
        <f>Предпосылки!U351</f>
        <v>0</v>
      </c>
      <c s="127">
        <f>Предпосылки!V351</f>
        <v>0</v>
      </c>
      <c s="127">
        <f>Предпосылки!W351</f>
        <v>0</v>
      </c>
      <c s="127">
        <f>Предпосылки!X351</f>
        <v>0</v>
      </c>
      <c s="127">
        <f>Предпосылки!Y351</f>
        <v>0</v>
      </c>
      <c s="127">
        <f>Предпосылки!Z351</f>
        <v>0</v>
      </c>
      <c s="127">
        <f>Предпосылки!AA351</f>
        <v>0</v>
      </c>
      <c s="127">
        <f>Предпосылки!AB351</f>
        <v>0</v>
      </c>
      <c s="127">
        <f>Предпосылки!AC351</f>
        <v>0</v>
      </c>
      <c s="127">
        <f>Предпосылки!AD351</f>
        <v>0</v>
      </c>
      <c s="127">
        <f>Предпосылки!AE351</f>
        <v>0</v>
      </c>
      <c s="127">
        <f>Предпосылки!AF351</f>
        <v>0</v>
      </c>
      <c s="127">
        <f>Предпосылки!AG351</f>
        <v>0</v>
      </c>
      <c s="127">
        <f>Предпосылки!AH351</f>
        <v>0</v>
      </c>
      <c s="127">
        <f>Предпосылки!AI351</f>
        <v>0</v>
      </c>
      <c s="127">
        <f>Предпосылки!AJ351</f>
        <v>0</v>
      </c>
      <c s="127">
        <f>Предпосылки!AK351</f>
        <v>0</v>
      </c>
      <c s="127">
        <f>Предпосылки!AL351</f>
        <v>0</v>
      </c>
      <c s="127">
        <f>Предпосылки!AM351</f>
        <v>0</v>
      </c>
      <c s="127">
        <f>Предпосылки!AN351</f>
        <v>0</v>
      </c>
      <c s="127">
        <f>Предпосылки!AO351</f>
        <v>0</v>
      </c>
      <c s="127">
        <f>Предпосылки!AP351</f>
        <v>0</v>
      </c>
      <c s="127">
        <f>Предпосылки!AQ351</f>
        <v>0</v>
      </c>
      <c s="127">
        <f>Предпосылки!AR351</f>
        <v>0</v>
      </c>
      <c s="127">
        <f>Предпосылки!AS351</f>
        <v>0</v>
      </c>
      <c s="127">
        <f>Предпосылки!AT351</f>
        <v>0</v>
      </c>
      <c s="127">
        <f>Предпосылки!AU351</f>
        <v>0</v>
      </c>
      <c s="127">
        <f>Предпосылки!AV351</f>
        <v>0</v>
      </c>
      <c s="127">
        <f>Предпосылки!AW351</f>
        <v>0</v>
      </c>
      <c s="127">
        <f>Предпосылки!AX351</f>
        <v>0</v>
      </c>
      <c s="127">
        <f>Предпосылки!AY351</f>
        <v>0</v>
      </c>
      <c s="127">
        <f>Предпосылки!AZ351</f>
        <v>0</v>
      </c>
      <c s="127">
        <f>Предпосылки!BA351</f>
        <v>0</v>
      </c>
      <c s="127">
        <f>Предпосылки!BB351</f>
        <v>0</v>
      </c>
      <c s="127">
        <f>Предпосылки!BC351</f>
        <v>0</v>
      </c>
      <c s="127">
        <f>Предпосылки!BD351</f>
        <v>0</v>
      </c>
      <c s="127">
        <f>Предпосылки!BE351</f>
        <v>0</v>
      </c>
      <c s="127">
        <f>Предпосылки!BF351</f>
        <v>0</v>
      </c>
      <c s="127">
        <f>Предпосылки!BG351</f>
        <v>0</v>
      </c>
      <c s="127">
        <f>Предпосылки!BH351</f>
        <v>0</v>
      </c>
      <c s="127">
        <f>Предпосылки!BI351</f>
        <v>0</v>
      </c>
      <c s="127">
        <f>Предпосылки!BJ351</f>
        <v>0</v>
      </c>
      <c s="127">
        <f>Предпосылки!BK351</f>
        <v>0</v>
      </c>
      <c s="127">
        <f>Предпосылки!BL351</f>
        <v>0</v>
      </c>
      <c s="127">
        <f>Предпосылки!BM351</f>
        <v>0</v>
      </c>
    </row>
    <row r="125" spans="2:65" ht="15" customHeight="1">
      <c r="B125" s="12" t="str">
        <f>IF(ISBLANK(Предпосылки!B352),"-",Предпосылки!B352)</f>
        <v>-</v>
      </c>
      <c s="124" t="s">
        <v>873</v>
      </c>
      <c s="127"/>
      <c s="127">
        <f>Предпосылки!E352</f>
        <v>0</v>
      </c>
      <c s="127">
        <f>Предпосылки!F352</f>
        <v>0</v>
      </c>
      <c s="127">
        <f>Предпосылки!G352</f>
        <v>0</v>
      </c>
      <c s="127">
        <f>Предпосылки!H352</f>
        <v>0</v>
      </c>
      <c s="127">
        <f>Предпосылки!I352</f>
        <v>0</v>
      </c>
      <c s="127">
        <f>Предпосылки!J352</f>
        <v>0</v>
      </c>
      <c s="127">
        <f>Предпосылки!K352</f>
        <v>0</v>
      </c>
      <c s="127">
        <f>Предпосылки!L352</f>
        <v>0</v>
      </c>
      <c s="127">
        <f>Предпосылки!M352</f>
        <v>0</v>
      </c>
      <c s="127">
        <f>Предпосылки!N352</f>
        <v>0</v>
      </c>
      <c s="127">
        <f>Предпосылки!O352</f>
        <v>0</v>
      </c>
      <c s="127">
        <f>Предпосылки!P352</f>
        <v>0</v>
      </c>
      <c s="127">
        <f>Предпосылки!Q352</f>
        <v>0</v>
      </c>
      <c s="127">
        <f>Предпосылки!R352</f>
        <v>0</v>
      </c>
      <c s="127">
        <f>Предпосылки!S352</f>
        <v>0</v>
      </c>
      <c s="127">
        <f>Предпосылки!T352</f>
        <v>0</v>
      </c>
      <c s="127">
        <f>Предпосылки!U352</f>
        <v>0</v>
      </c>
      <c s="127">
        <f>Предпосылки!V352</f>
        <v>0</v>
      </c>
      <c s="127">
        <f>Предпосылки!W352</f>
        <v>0</v>
      </c>
      <c s="127">
        <f>Предпосылки!X352</f>
        <v>0</v>
      </c>
      <c s="127">
        <f>Предпосылки!Y352</f>
        <v>0</v>
      </c>
      <c s="127">
        <f>Предпосылки!Z352</f>
        <v>0</v>
      </c>
      <c s="127">
        <f>Предпосылки!AA352</f>
        <v>0</v>
      </c>
      <c s="127">
        <f>Предпосылки!AB352</f>
        <v>0</v>
      </c>
      <c s="127">
        <f>Предпосылки!AC352</f>
        <v>0</v>
      </c>
      <c s="127">
        <f>Предпосылки!AD352</f>
        <v>0</v>
      </c>
      <c s="127">
        <f>Предпосылки!AE352</f>
        <v>0</v>
      </c>
      <c s="127">
        <f>Предпосылки!AF352</f>
        <v>0</v>
      </c>
      <c s="127">
        <f>Предпосылки!AG352</f>
        <v>0</v>
      </c>
      <c s="127">
        <f>Предпосылки!AH352</f>
        <v>0</v>
      </c>
      <c s="127">
        <f>Предпосылки!AI352</f>
        <v>0</v>
      </c>
      <c s="127">
        <f>Предпосылки!AJ352</f>
        <v>0</v>
      </c>
      <c s="127">
        <f>Предпосылки!AK352</f>
        <v>0</v>
      </c>
      <c s="127">
        <f>Предпосылки!AL352</f>
        <v>0</v>
      </c>
      <c s="127">
        <f>Предпосылки!AM352</f>
        <v>0</v>
      </c>
      <c s="127">
        <f>Предпосылки!AN352</f>
        <v>0</v>
      </c>
      <c s="127">
        <f>Предпосылки!AO352</f>
        <v>0</v>
      </c>
      <c s="127">
        <f>Предпосылки!AP352</f>
        <v>0</v>
      </c>
      <c s="127">
        <f>Предпосылки!AQ352</f>
        <v>0</v>
      </c>
      <c s="127">
        <f>Предпосылки!AR352</f>
        <v>0</v>
      </c>
      <c s="127">
        <f>Предпосылки!AS352</f>
        <v>0</v>
      </c>
      <c s="127">
        <f>Предпосылки!AT352</f>
        <v>0</v>
      </c>
      <c s="127">
        <f>Предпосылки!AU352</f>
        <v>0</v>
      </c>
      <c s="127">
        <f>Предпосылки!AV352</f>
        <v>0</v>
      </c>
      <c s="127">
        <f>Предпосылки!AW352</f>
        <v>0</v>
      </c>
      <c s="127">
        <f>Предпосылки!AX352</f>
        <v>0</v>
      </c>
      <c s="127">
        <f>Предпосылки!AY352</f>
        <v>0</v>
      </c>
      <c s="127">
        <f>Предпосылки!AZ352</f>
        <v>0</v>
      </c>
      <c s="127">
        <f>Предпосылки!BA352</f>
        <v>0</v>
      </c>
      <c s="127">
        <f>Предпосылки!BB352</f>
        <v>0</v>
      </c>
      <c s="127">
        <f>Предпосылки!BC352</f>
        <v>0</v>
      </c>
      <c s="127">
        <f>Предпосылки!BD352</f>
        <v>0</v>
      </c>
      <c s="127">
        <f>Предпосылки!BE352</f>
        <v>0</v>
      </c>
      <c s="127">
        <f>Предпосылки!BF352</f>
        <v>0</v>
      </c>
      <c s="127">
        <f>Предпосылки!BG352</f>
        <v>0</v>
      </c>
      <c s="127">
        <f>Предпосылки!BH352</f>
        <v>0</v>
      </c>
      <c s="127">
        <f>Предпосылки!BI352</f>
        <v>0</v>
      </c>
      <c s="127">
        <f>Предпосылки!BJ352</f>
        <v>0</v>
      </c>
      <c s="127">
        <f>Предпосылки!BK352</f>
        <v>0</v>
      </c>
      <c s="127">
        <f>Предпосылки!BL352</f>
        <v>0</v>
      </c>
      <c s="127">
        <f>Предпосылки!BM352</f>
        <v>0</v>
      </c>
    </row>
    <row r="126" spans="2:65" ht="15" customHeight="1">
      <c r="B126" s="12" t="str">
        <f>IF(ISBLANK(Предпосылки!B353),"-",Предпосылки!B353)</f>
        <v>-</v>
      </c>
      <c s="124" t="s">
        <v>873</v>
      </c>
      <c s="127"/>
      <c s="127">
        <f>Предпосылки!E353</f>
        <v>0</v>
      </c>
      <c s="127">
        <f>Предпосылки!F353</f>
        <v>0</v>
      </c>
      <c s="127">
        <f>Предпосылки!G353</f>
        <v>0</v>
      </c>
      <c s="127">
        <f>Предпосылки!H353</f>
        <v>0</v>
      </c>
      <c s="127">
        <f>Предпосылки!I353</f>
        <v>0</v>
      </c>
      <c s="127">
        <f>Предпосылки!J353</f>
        <v>0</v>
      </c>
      <c s="127">
        <f>Предпосылки!K353</f>
        <v>0</v>
      </c>
      <c s="127">
        <f>Предпосылки!L353</f>
        <v>0</v>
      </c>
      <c s="127">
        <f>Предпосылки!M353</f>
        <v>0</v>
      </c>
      <c s="127">
        <f>Предпосылки!N353</f>
        <v>0</v>
      </c>
      <c s="127">
        <f>Предпосылки!O353</f>
        <v>0</v>
      </c>
      <c s="127">
        <f>Предпосылки!P353</f>
        <v>0</v>
      </c>
      <c s="127">
        <f>Предпосылки!Q353</f>
        <v>0</v>
      </c>
      <c s="127">
        <f>Предпосылки!R353</f>
        <v>0</v>
      </c>
      <c s="127">
        <f>Предпосылки!S353</f>
        <v>0</v>
      </c>
      <c s="127">
        <f>Предпосылки!T353</f>
        <v>0</v>
      </c>
      <c s="127">
        <f>Предпосылки!U353</f>
        <v>0</v>
      </c>
      <c s="127">
        <f>Предпосылки!V353</f>
        <v>0</v>
      </c>
      <c s="127">
        <f>Предпосылки!W353</f>
        <v>0</v>
      </c>
      <c s="127">
        <f>Предпосылки!X353</f>
        <v>0</v>
      </c>
      <c s="127">
        <f>Предпосылки!Y353</f>
        <v>0</v>
      </c>
      <c s="127">
        <f>Предпосылки!Z353</f>
        <v>0</v>
      </c>
      <c s="127">
        <f>Предпосылки!AA353</f>
        <v>0</v>
      </c>
      <c s="127">
        <f>Предпосылки!AB353</f>
        <v>0</v>
      </c>
      <c s="127">
        <f>Предпосылки!AC353</f>
        <v>0</v>
      </c>
      <c s="127">
        <f>Предпосылки!AD353</f>
        <v>0</v>
      </c>
      <c s="127">
        <f>Предпосылки!AE353</f>
        <v>0</v>
      </c>
      <c s="127">
        <f>Предпосылки!AF353</f>
        <v>0</v>
      </c>
      <c s="127">
        <f>Предпосылки!AG353</f>
        <v>0</v>
      </c>
      <c s="127">
        <f>Предпосылки!AH353</f>
        <v>0</v>
      </c>
      <c s="127">
        <f>Предпосылки!AI353</f>
        <v>0</v>
      </c>
      <c s="127">
        <f>Предпосылки!AJ353</f>
        <v>0</v>
      </c>
      <c s="127">
        <f>Предпосылки!AK353</f>
        <v>0</v>
      </c>
      <c s="127">
        <f>Предпосылки!AL353</f>
        <v>0</v>
      </c>
      <c s="127">
        <f>Предпосылки!AM353</f>
        <v>0</v>
      </c>
      <c s="127">
        <f>Предпосылки!AN353</f>
        <v>0</v>
      </c>
      <c s="127">
        <f>Предпосылки!AO353</f>
        <v>0</v>
      </c>
      <c s="127">
        <f>Предпосылки!AP353</f>
        <v>0</v>
      </c>
      <c s="127">
        <f>Предпосылки!AQ353</f>
        <v>0</v>
      </c>
      <c s="127">
        <f>Предпосылки!AR353</f>
        <v>0</v>
      </c>
      <c s="127">
        <f>Предпосылки!AS353</f>
        <v>0</v>
      </c>
      <c s="127">
        <f>Предпосылки!AT353</f>
        <v>0</v>
      </c>
      <c s="127">
        <f>Предпосылки!AU353</f>
        <v>0</v>
      </c>
      <c s="127">
        <f>Предпосылки!AV353</f>
        <v>0</v>
      </c>
      <c s="127">
        <f>Предпосылки!AW353</f>
        <v>0</v>
      </c>
      <c s="127">
        <f>Предпосылки!AX353</f>
        <v>0</v>
      </c>
      <c s="127">
        <f>Предпосылки!AY353</f>
        <v>0</v>
      </c>
      <c s="127">
        <f>Предпосылки!AZ353</f>
        <v>0</v>
      </c>
      <c s="127">
        <f>Предпосылки!BA353</f>
        <v>0</v>
      </c>
      <c s="127">
        <f>Предпосылки!BB353</f>
        <v>0</v>
      </c>
      <c s="127">
        <f>Предпосылки!BC353</f>
        <v>0</v>
      </c>
      <c s="127">
        <f>Предпосылки!BD353</f>
        <v>0</v>
      </c>
      <c s="127">
        <f>Предпосылки!BE353</f>
        <v>0</v>
      </c>
      <c s="127">
        <f>Предпосылки!BF353</f>
        <v>0</v>
      </c>
      <c s="127">
        <f>Предпосылки!BG353</f>
        <v>0</v>
      </c>
      <c s="127">
        <f>Предпосылки!BH353</f>
        <v>0</v>
      </c>
      <c s="127">
        <f>Предпосылки!BI353</f>
        <v>0</v>
      </c>
      <c s="127">
        <f>Предпосылки!BJ353</f>
        <v>0</v>
      </c>
      <c s="127">
        <f>Предпосылки!BK353</f>
        <v>0</v>
      </c>
      <c s="127">
        <f>Предпосылки!BL353</f>
        <v>0</v>
      </c>
      <c s="127">
        <f>Предпосылки!BM353</f>
        <v>0</v>
      </c>
    </row>
    <row r="127" spans="2:65" ht="15" customHeight="1">
      <c r="B127" s="12" t="str">
        <f>IF(ISBLANK(Предпосылки!B354),"-",Предпосылки!B354)</f>
        <v>-</v>
      </c>
      <c s="124" t="s">
        <v>873</v>
      </c>
      <c s="127"/>
      <c s="127">
        <f>Предпосылки!E354</f>
        <v>0</v>
      </c>
      <c s="127">
        <f>Предпосылки!F354</f>
        <v>0</v>
      </c>
      <c s="127">
        <f>Предпосылки!G354</f>
        <v>0</v>
      </c>
      <c s="127">
        <f>Предпосылки!H354</f>
        <v>0</v>
      </c>
      <c s="127">
        <f>Предпосылки!I354</f>
        <v>0</v>
      </c>
      <c s="127">
        <f>Предпосылки!J354</f>
        <v>0</v>
      </c>
      <c s="127">
        <f>Предпосылки!K354</f>
        <v>0</v>
      </c>
      <c s="127">
        <f>Предпосылки!L354</f>
        <v>0</v>
      </c>
      <c s="127">
        <f>Предпосылки!M354</f>
        <v>0</v>
      </c>
      <c s="127">
        <f>Предпосылки!N354</f>
        <v>0</v>
      </c>
      <c s="127">
        <f>Предпосылки!O354</f>
        <v>0</v>
      </c>
      <c s="127">
        <f>Предпосылки!P354</f>
        <v>0</v>
      </c>
      <c s="127">
        <f>Предпосылки!Q354</f>
        <v>0</v>
      </c>
      <c s="127">
        <f>Предпосылки!R354</f>
        <v>0</v>
      </c>
      <c s="127">
        <f>Предпосылки!S354</f>
        <v>0</v>
      </c>
      <c s="127">
        <f>Предпосылки!T354</f>
        <v>0</v>
      </c>
      <c s="127">
        <f>Предпосылки!U354</f>
        <v>0</v>
      </c>
      <c s="127">
        <f>Предпосылки!V354</f>
        <v>0</v>
      </c>
      <c s="127">
        <f>Предпосылки!W354</f>
        <v>0</v>
      </c>
      <c s="127">
        <f>Предпосылки!X354</f>
        <v>0</v>
      </c>
      <c s="127">
        <f>Предпосылки!Y354</f>
        <v>0</v>
      </c>
      <c s="127">
        <f>Предпосылки!Z354</f>
        <v>0</v>
      </c>
      <c s="127">
        <f>Предпосылки!AA354</f>
        <v>0</v>
      </c>
      <c s="127">
        <f>Предпосылки!AB354</f>
        <v>0</v>
      </c>
      <c s="127">
        <f>Предпосылки!AC354</f>
        <v>0</v>
      </c>
      <c s="127">
        <f>Предпосылки!AD354</f>
        <v>0</v>
      </c>
      <c s="127">
        <f>Предпосылки!AE354</f>
        <v>0</v>
      </c>
      <c s="127">
        <f>Предпосылки!AF354</f>
        <v>0</v>
      </c>
      <c s="127">
        <f>Предпосылки!AG354</f>
        <v>0</v>
      </c>
      <c s="127">
        <f>Предпосылки!AH354</f>
        <v>0</v>
      </c>
      <c s="127">
        <f>Предпосылки!AI354</f>
        <v>0</v>
      </c>
      <c s="127">
        <f>Предпосылки!AJ354</f>
        <v>0</v>
      </c>
      <c s="127">
        <f>Предпосылки!AK354</f>
        <v>0</v>
      </c>
      <c s="127">
        <f>Предпосылки!AL354</f>
        <v>0</v>
      </c>
      <c s="127">
        <f>Предпосылки!AM354</f>
        <v>0</v>
      </c>
      <c s="127">
        <f>Предпосылки!AN354</f>
        <v>0</v>
      </c>
      <c s="127">
        <f>Предпосылки!AO354</f>
        <v>0</v>
      </c>
      <c s="127">
        <f>Предпосылки!AP354</f>
        <v>0</v>
      </c>
      <c s="127">
        <f>Предпосылки!AQ354</f>
        <v>0</v>
      </c>
      <c s="127">
        <f>Предпосылки!AR354</f>
        <v>0</v>
      </c>
      <c s="127">
        <f>Предпосылки!AS354</f>
        <v>0</v>
      </c>
      <c s="127">
        <f>Предпосылки!AT354</f>
        <v>0</v>
      </c>
      <c s="127">
        <f>Предпосылки!AU354</f>
        <v>0</v>
      </c>
      <c s="127">
        <f>Предпосылки!AV354</f>
        <v>0</v>
      </c>
      <c s="127">
        <f>Предпосылки!AW354</f>
        <v>0</v>
      </c>
      <c s="127">
        <f>Предпосылки!AX354</f>
        <v>0</v>
      </c>
      <c s="127">
        <f>Предпосылки!AY354</f>
        <v>0</v>
      </c>
      <c s="127">
        <f>Предпосылки!AZ354</f>
        <v>0</v>
      </c>
      <c s="127">
        <f>Предпосылки!BA354</f>
        <v>0</v>
      </c>
      <c s="127">
        <f>Предпосылки!BB354</f>
        <v>0</v>
      </c>
      <c s="127">
        <f>Предпосылки!BC354</f>
        <v>0</v>
      </c>
      <c s="127">
        <f>Предпосылки!BD354</f>
        <v>0</v>
      </c>
      <c s="127">
        <f>Предпосылки!BE354</f>
        <v>0</v>
      </c>
      <c s="127">
        <f>Предпосылки!BF354</f>
        <v>0</v>
      </c>
      <c s="127">
        <f>Предпосылки!BG354</f>
        <v>0</v>
      </c>
      <c s="127">
        <f>Предпосылки!BH354</f>
        <v>0</v>
      </c>
      <c s="127">
        <f>Предпосылки!BI354</f>
        <v>0</v>
      </c>
      <c s="127">
        <f>Предпосылки!BJ354</f>
        <v>0</v>
      </c>
      <c s="127">
        <f>Предпосылки!BK354</f>
        <v>0</v>
      </c>
      <c s="127">
        <f>Предпосылки!BL354</f>
        <v>0</v>
      </c>
      <c s="127">
        <f>Предпосылки!BM354</f>
        <v>0</v>
      </c>
    </row>
    <row r="128" spans="2:65" ht="15" customHeight="1">
      <c r="B128" s="12" t="str">
        <f>IF(ISBLANK(Предпосылки!B355),"-",Предпосылки!B355)</f>
        <v>-</v>
      </c>
      <c s="124" t="s">
        <v>873</v>
      </c>
      <c s="127"/>
      <c s="127">
        <f>Предпосылки!E355</f>
        <v>0</v>
      </c>
      <c s="127">
        <f>Предпосылки!F355</f>
        <v>0</v>
      </c>
      <c s="127">
        <f>Предпосылки!G355</f>
        <v>0</v>
      </c>
      <c s="127">
        <f>Предпосылки!H355</f>
        <v>0</v>
      </c>
      <c s="127">
        <f>Предпосылки!I355</f>
        <v>0</v>
      </c>
      <c s="127">
        <f>Предпосылки!J355</f>
        <v>0</v>
      </c>
      <c s="127">
        <f>Предпосылки!K355</f>
        <v>0</v>
      </c>
      <c s="127">
        <f>Предпосылки!L355</f>
        <v>0</v>
      </c>
      <c s="127">
        <f>Предпосылки!M355</f>
        <v>0</v>
      </c>
      <c s="127">
        <f>Предпосылки!N355</f>
        <v>0</v>
      </c>
      <c s="127">
        <f>Предпосылки!O355</f>
        <v>0</v>
      </c>
      <c s="127">
        <f>Предпосылки!P355</f>
        <v>0</v>
      </c>
      <c s="127">
        <f>Предпосылки!Q355</f>
        <v>0</v>
      </c>
      <c s="127">
        <f>Предпосылки!R355</f>
        <v>0</v>
      </c>
      <c s="127">
        <f>Предпосылки!S355</f>
        <v>0</v>
      </c>
      <c s="127">
        <f>Предпосылки!T355</f>
        <v>0</v>
      </c>
      <c s="127">
        <f>Предпосылки!U355</f>
        <v>0</v>
      </c>
      <c s="127">
        <f>Предпосылки!V355</f>
        <v>0</v>
      </c>
      <c s="127">
        <f>Предпосылки!W355</f>
        <v>0</v>
      </c>
      <c s="127">
        <f>Предпосылки!X355</f>
        <v>0</v>
      </c>
      <c s="127">
        <f>Предпосылки!Y355</f>
        <v>0</v>
      </c>
      <c s="127">
        <f>Предпосылки!Z355</f>
        <v>0</v>
      </c>
      <c s="127">
        <f>Предпосылки!AA355</f>
        <v>0</v>
      </c>
      <c s="127">
        <f>Предпосылки!AB355</f>
        <v>0</v>
      </c>
      <c s="127">
        <f>Предпосылки!AC355</f>
        <v>0</v>
      </c>
      <c s="127">
        <f>Предпосылки!AD355</f>
        <v>0</v>
      </c>
      <c s="127">
        <f>Предпосылки!AE355</f>
        <v>0</v>
      </c>
      <c s="127">
        <f>Предпосылки!AF355</f>
        <v>0</v>
      </c>
      <c s="127">
        <f>Предпосылки!AG355</f>
        <v>0</v>
      </c>
      <c s="127">
        <f>Предпосылки!AH355</f>
        <v>0</v>
      </c>
      <c s="127">
        <f>Предпосылки!AI355</f>
        <v>0</v>
      </c>
      <c s="127">
        <f>Предпосылки!AJ355</f>
        <v>0</v>
      </c>
      <c s="127">
        <f>Предпосылки!AK355</f>
        <v>0</v>
      </c>
      <c s="127">
        <f>Предпосылки!AL355</f>
        <v>0</v>
      </c>
      <c s="127">
        <f>Предпосылки!AM355</f>
        <v>0</v>
      </c>
      <c s="127">
        <f>Предпосылки!AN355</f>
        <v>0</v>
      </c>
      <c s="127">
        <f>Предпосылки!AO355</f>
        <v>0</v>
      </c>
      <c s="127">
        <f>Предпосылки!AP355</f>
        <v>0</v>
      </c>
      <c s="127">
        <f>Предпосылки!AQ355</f>
        <v>0</v>
      </c>
      <c s="127">
        <f>Предпосылки!AR355</f>
        <v>0</v>
      </c>
      <c s="127">
        <f>Предпосылки!AS355</f>
        <v>0</v>
      </c>
      <c s="127">
        <f>Предпосылки!AT355</f>
        <v>0</v>
      </c>
      <c s="127">
        <f>Предпосылки!AU355</f>
        <v>0</v>
      </c>
      <c s="127">
        <f>Предпосылки!AV355</f>
        <v>0</v>
      </c>
      <c s="127">
        <f>Предпосылки!AW355</f>
        <v>0</v>
      </c>
      <c s="127">
        <f>Предпосылки!AX355</f>
        <v>0</v>
      </c>
      <c s="127">
        <f>Предпосылки!AY355</f>
        <v>0</v>
      </c>
      <c s="127">
        <f>Предпосылки!AZ355</f>
        <v>0</v>
      </c>
      <c s="127">
        <f>Предпосылки!BA355</f>
        <v>0</v>
      </c>
      <c s="127">
        <f>Предпосылки!BB355</f>
        <v>0</v>
      </c>
      <c s="127">
        <f>Предпосылки!BC355</f>
        <v>0</v>
      </c>
      <c s="127">
        <f>Предпосылки!BD355</f>
        <v>0</v>
      </c>
      <c s="127">
        <f>Предпосылки!BE355</f>
        <v>0</v>
      </c>
      <c s="127">
        <f>Предпосылки!BF355</f>
        <v>0</v>
      </c>
      <c s="127">
        <f>Предпосылки!BG355</f>
        <v>0</v>
      </c>
      <c s="127">
        <f>Предпосылки!BH355</f>
        <v>0</v>
      </c>
      <c s="127">
        <f>Предпосылки!BI355</f>
        <v>0</v>
      </c>
      <c s="127">
        <f>Предпосылки!BJ355</f>
        <v>0</v>
      </c>
      <c s="127">
        <f>Предпосылки!BK355</f>
        <v>0</v>
      </c>
      <c s="127">
        <f>Предпосылки!BL355</f>
        <v>0</v>
      </c>
      <c s="127">
        <f>Предпосылки!BM355</f>
        <v>0</v>
      </c>
    </row>
    <row r="129" spans="2:65" ht="15" customHeight="1">
      <c r="B129" s="12" t="str">
        <f>IF(ISBLANK(Предпосылки!B356),"-",Предпосылки!B356)</f>
        <v>-</v>
      </c>
      <c s="124" t="s">
        <v>873</v>
      </c>
      <c s="127"/>
      <c s="127">
        <f>Предпосылки!E356</f>
        <v>0</v>
      </c>
      <c s="127">
        <f>Предпосылки!F356</f>
        <v>0</v>
      </c>
      <c s="127">
        <f>Предпосылки!G356</f>
        <v>0</v>
      </c>
      <c s="127">
        <f>Предпосылки!H356</f>
        <v>0</v>
      </c>
      <c s="127">
        <f>Предпосылки!I356</f>
        <v>0</v>
      </c>
      <c s="127">
        <f>Предпосылки!J356</f>
        <v>0</v>
      </c>
      <c s="127">
        <f>Предпосылки!K356</f>
        <v>0</v>
      </c>
      <c s="127">
        <f>Предпосылки!L356</f>
        <v>0</v>
      </c>
      <c s="127">
        <f>Предпосылки!M356</f>
        <v>0</v>
      </c>
      <c s="127">
        <f>Предпосылки!N356</f>
        <v>0</v>
      </c>
      <c s="127">
        <f>Предпосылки!O356</f>
        <v>0</v>
      </c>
      <c s="127">
        <f>Предпосылки!P356</f>
        <v>0</v>
      </c>
      <c s="127">
        <f>Предпосылки!Q356</f>
        <v>0</v>
      </c>
      <c s="127">
        <f>Предпосылки!R356</f>
        <v>0</v>
      </c>
      <c s="127">
        <f>Предпосылки!S356</f>
        <v>0</v>
      </c>
      <c s="127">
        <f>Предпосылки!T356</f>
        <v>0</v>
      </c>
      <c s="127">
        <f>Предпосылки!U356</f>
        <v>0</v>
      </c>
      <c s="127">
        <f>Предпосылки!V356</f>
        <v>0</v>
      </c>
      <c s="127">
        <f>Предпосылки!W356</f>
        <v>0</v>
      </c>
      <c s="127">
        <f>Предпосылки!X356</f>
        <v>0</v>
      </c>
      <c s="127">
        <f>Предпосылки!Y356</f>
        <v>0</v>
      </c>
      <c s="127">
        <f>Предпосылки!Z356</f>
        <v>0</v>
      </c>
      <c s="127">
        <f>Предпосылки!AA356</f>
        <v>0</v>
      </c>
      <c s="127">
        <f>Предпосылки!AB356</f>
        <v>0</v>
      </c>
      <c s="127">
        <f>Предпосылки!AC356</f>
        <v>0</v>
      </c>
      <c s="127">
        <f>Предпосылки!AD356</f>
        <v>0</v>
      </c>
      <c s="127">
        <f>Предпосылки!AE356</f>
        <v>0</v>
      </c>
      <c s="127">
        <f>Предпосылки!AF356</f>
        <v>0</v>
      </c>
      <c s="127">
        <f>Предпосылки!AG356</f>
        <v>0</v>
      </c>
      <c s="127">
        <f>Предпосылки!AH356</f>
        <v>0</v>
      </c>
      <c s="127">
        <f>Предпосылки!AI356</f>
        <v>0</v>
      </c>
      <c s="127">
        <f>Предпосылки!AJ356</f>
        <v>0</v>
      </c>
      <c s="127">
        <f>Предпосылки!AK356</f>
        <v>0</v>
      </c>
      <c s="127">
        <f>Предпосылки!AL356</f>
        <v>0</v>
      </c>
      <c s="127">
        <f>Предпосылки!AM356</f>
        <v>0</v>
      </c>
      <c s="127">
        <f>Предпосылки!AN356</f>
        <v>0</v>
      </c>
      <c s="127">
        <f>Предпосылки!AO356</f>
        <v>0</v>
      </c>
      <c s="127">
        <f>Предпосылки!AP356</f>
        <v>0</v>
      </c>
      <c s="127">
        <f>Предпосылки!AQ356</f>
        <v>0</v>
      </c>
      <c s="127">
        <f>Предпосылки!AR356</f>
        <v>0</v>
      </c>
      <c s="127">
        <f>Предпосылки!AS356</f>
        <v>0</v>
      </c>
      <c s="127">
        <f>Предпосылки!AT356</f>
        <v>0</v>
      </c>
      <c s="127">
        <f>Предпосылки!AU356</f>
        <v>0</v>
      </c>
      <c s="127">
        <f>Предпосылки!AV356</f>
        <v>0</v>
      </c>
      <c s="127">
        <f>Предпосылки!AW356</f>
        <v>0</v>
      </c>
      <c s="127">
        <f>Предпосылки!AX356</f>
        <v>0</v>
      </c>
      <c s="127">
        <f>Предпосылки!AY356</f>
        <v>0</v>
      </c>
      <c s="127">
        <f>Предпосылки!AZ356</f>
        <v>0</v>
      </c>
      <c s="127">
        <f>Предпосылки!BA356</f>
        <v>0</v>
      </c>
      <c s="127">
        <f>Предпосылки!BB356</f>
        <v>0</v>
      </c>
      <c s="127">
        <f>Предпосылки!BC356</f>
        <v>0</v>
      </c>
      <c s="127">
        <f>Предпосылки!BD356</f>
        <v>0</v>
      </c>
      <c s="127">
        <f>Предпосылки!BE356</f>
        <v>0</v>
      </c>
      <c s="127">
        <f>Предпосылки!BF356</f>
        <v>0</v>
      </c>
      <c s="127">
        <f>Предпосылки!BG356</f>
        <v>0</v>
      </c>
      <c s="127">
        <f>Предпосылки!BH356</f>
        <v>0</v>
      </c>
      <c s="127">
        <f>Предпосылки!BI356</f>
        <v>0</v>
      </c>
      <c s="127">
        <f>Предпосылки!BJ356</f>
        <v>0</v>
      </c>
      <c s="127">
        <f>Предпосылки!BK356</f>
        <v>0</v>
      </c>
      <c s="127">
        <f>Предпосылки!BL356</f>
        <v>0</v>
      </c>
      <c s="127">
        <f>Предпосылки!BM356</f>
        <v>0</v>
      </c>
    </row>
    <row r="130" spans="2:65" ht="15" customHeight="1">
      <c r="B130" s="12" t="str">
        <f>IF(ISBLANK(Предпосылки!B357),"-",Предпосылки!B357)</f>
        <v>-</v>
      </c>
      <c s="124" t="s">
        <v>873</v>
      </c>
      <c s="127"/>
      <c s="127">
        <f>Предпосылки!E357</f>
        <v>0</v>
      </c>
      <c s="127">
        <f>Предпосылки!F357</f>
        <v>0</v>
      </c>
      <c s="127">
        <f>Предпосылки!G357</f>
        <v>0</v>
      </c>
      <c s="127">
        <f>Предпосылки!H357</f>
        <v>0</v>
      </c>
      <c s="127">
        <f>Предпосылки!I357</f>
        <v>0</v>
      </c>
      <c s="127">
        <f>Предпосылки!J357</f>
        <v>0</v>
      </c>
      <c s="127">
        <f>Предпосылки!K357</f>
        <v>0</v>
      </c>
      <c s="127">
        <f>Предпосылки!L357</f>
        <v>0</v>
      </c>
      <c s="127">
        <f>Предпосылки!M357</f>
        <v>0</v>
      </c>
      <c s="127">
        <f>Предпосылки!N357</f>
        <v>0</v>
      </c>
      <c s="127">
        <f>Предпосылки!O357</f>
        <v>0</v>
      </c>
      <c s="127">
        <f>Предпосылки!P357</f>
        <v>0</v>
      </c>
      <c s="127">
        <f>Предпосылки!Q357</f>
        <v>0</v>
      </c>
      <c s="127">
        <f>Предпосылки!R357</f>
        <v>0</v>
      </c>
      <c s="127">
        <f>Предпосылки!S357</f>
        <v>0</v>
      </c>
      <c s="127">
        <f>Предпосылки!T357</f>
        <v>0</v>
      </c>
      <c s="127">
        <f>Предпосылки!U357</f>
        <v>0</v>
      </c>
      <c s="127">
        <f>Предпосылки!V357</f>
        <v>0</v>
      </c>
      <c s="127">
        <f>Предпосылки!W357</f>
        <v>0</v>
      </c>
      <c s="127">
        <f>Предпосылки!X357</f>
        <v>0</v>
      </c>
      <c s="127">
        <f>Предпосылки!Y357</f>
        <v>0</v>
      </c>
      <c s="127">
        <f>Предпосылки!Z357</f>
        <v>0</v>
      </c>
      <c s="127">
        <f>Предпосылки!AA357</f>
        <v>0</v>
      </c>
      <c s="127">
        <f>Предпосылки!AB357</f>
        <v>0</v>
      </c>
      <c s="127">
        <f>Предпосылки!AC357</f>
        <v>0</v>
      </c>
      <c s="127">
        <f>Предпосылки!AD357</f>
        <v>0</v>
      </c>
      <c s="127">
        <f>Предпосылки!AE357</f>
        <v>0</v>
      </c>
      <c s="127">
        <f>Предпосылки!AF357</f>
        <v>0</v>
      </c>
      <c s="127">
        <f>Предпосылки!AG357</f>
        <v>0</v>
      </c>
      <c s="127">
        <f>Предпосылки!AH357</f>
        <v>0</v>
      </c>
      <c s="127">
        <f>Предпосылки!AI357</f>
        <v>0</v>
      </c>
      <c s="127">
        <f>Предпосылки!AJ357</f>
        <v>0</v>
      </c>
      <c s="127">
        <f>Предпосылки!AK357</f>
        <v>0</v>
      </c>
      <c s="127">
        <f>Предпосылки!AL357</f>
        <v>0</v>
      </c>
      <c s="127">
        <f>Предпосылки!AM357</f>
        <v>0</v>
      </c>
      <c s="127">
        <f>Предпосылки!AN357</f>
        <v>0</v>
      </c>
      <c s="127">
        <f>Предпосылки!AO357</f>
        <v>0</v>
      </c>
      <c s="127">
        <f>Предпосылки!AP357</f>
        <v>0</v>
      </c>
      <c s="127">
        <f>Предпосылки!AQ357</f>
        <v>0</v>
      </c>
      <c s="127">
        <f>Предпосылки!AR357</f>
        <v>0</v>
      </c>
      <c s="127">
        <f>Предпосылки!AS357</f>
        <v>0</v>
      </c>
      <c s="127">
        <f>Предпосылки!AT357</f>
        <v>0</v>
      </c>
      <c s="127">
        <f>Предпосылки!AU357</f>
        <v>0</v>
      </c>
      <c s="127">
        <f>Предпосылки!AV357</f>
        <v>0</v>
      </c>
      <c s="127">
        <f>Предпосылки!AW357</f>
        <v>0</v>
      </c>
      <c s="127">
        <f>Предпосылки!AX357</f>
        <v>0</v>
      </c>
      <c s="127">
        <f>Предпосылки!AY357</f>
        <v>0</v>
      </c>
      <c s="127">
        <f>Предпосылки!AZ357</f>
        <v>0</v>
      </c>
      <c s="127">
        <f>Предпосылки!BA357</f>
        <v>0</v>
      </c>
      <c s="127">
        <f>Предпосылки!BB357</f>
        <v>0</v>
      </c>
      <c s="127">
        <f>Предпосылки!BC357</f>
        <v>0</v>
      </c>
      <c s="127">
        <f>Предпосылки!BD357</f>
        <v>0</v>
      </c>
      <c s="127">
        <f>Предпосылки!BE357</f>
        <v>0</v>
      </c>
      <c s="127">
        <f>Предпосылки!BF357</f>
        <v>0</v>
      </c>
      <c s="127">
        <f>Предпосылки!BG357</f>
        <v>0</v>
      </c>
      <c s="127">
        <f>Предпосылки!BH357</f>
        <v>0</v>
      </c>
      <c s="127">
        <f>Предпосылки!BI357</f>
        <v>0</v>
      </c>
      <c s="127">
        <f>Предпосылки!BJ357</f>
        <v>0</v>
      </c>
      <c s="127">
        <f>Предпосылки!BK357</f>
        <v>0</v>
      </c>
      <c s="127">
        <f>Предпосылки!BL357</f>
        <v>0</v>
      </c>
      <c s="127">
        <f>Предпосылки!BM357</f>
        <v>0</v>
      </c>
    </row>
    <row r="131" spans="2:65" ht="15" customHeight="1">
      <c r="B131" s="12" t="str">
        <f>IF(ISBLANK(Предпосылки!B358),"-",Предпосылки!B358)</f>
        <v>-</v>
      </c>
      <c s="124" t="s">
        <v>873</v>
      </c>
      <c s="127"/>
      <c s="127">
        <f>Предпосылки!E358</f>
        <v>0</v>
      </c>
      <c s="127">
        <f>Предпосылки!F358</f>
        <v>0</v>
      </c>
      <c s="127">
        <f>Предпосылки!G358</f>
        <v>0</v>
      </c>
      <c s="127">
        <f>Предпосылки!H358</f>
        <v>0</v>
      </c>
      <c s="127">
        <f>Предпосылки!I358</f>
        <v>0</v>
      </c>
      <c s="127">
        <f>Предпосылки!J358</f>
        <v>0</v>
      </c>
      <c s="127">
        <f>Предпосылки!K358</f>
        <v>0</v>
      </c>
      <c s="127">
        <f>Предпосылки!L358</f>
        <v>0</v>
      </c>
      <c s="127">
        <f>Предпосылки!M358</f>
        <v>0</v>
      </c>
      <c s="127">
        <f>Предпосылки!N358</f>
        <v>0</v>
      </c>
      <c s="127">
        <f>Предпосылки!O358</f>
        <v>0</v>
      </c>
      <c s="127">
        <f>Предпосылки!P358</f>
        <v>0</v>
      </c>
      <c s="127">
        <f>Предпосылки!Q358</f>
        <v>0</v>
      </c>
      <c s="127">
        <f>Предпосылки!R358</f>
        <v>0</v>
      </c>
      <c s="127">
        <f>Предпосылки!S358</f>
        <v>0</v>
      </c>
      <c s="127">
        <f>Предпосылки!T358</f>
        <v>0</v>
      </c>
      <c s="127">
        <f>Предпосылки!U358</f>
        <v>0</v>
      </c>
      <c s="127">
        <f>Предпосылки!V358</f>
        <v>0</v>
      </c>
      <c s="127">
        <f>Предпосылки!W358</f>
        <v>0</v>
      </c>
      <c s="127">
        <f>Предпосылки!X358</f>
        <v>0</v>
      </c>
      <c s="127">
        <f>Предпосылки!Y358</f>
        <v>0</v>
      </c>
      <c s="127">
        <f>Предпосылки!Z358</f>
        <v>0</v>
      </c>
      <c s="127">
        <f>Предпосылки!AA358</f>
        <v>0</v>
      </c>
      <c s="127">
        <f>Предпосылки!AB358</f>
        <v>0</v>
      </c>
      <c s="127">
        <f>Предпосылки!AC358</f>
        <v>0</v>
      </c>
      <c s="127">
        <f>Предпосылки!AD358</f>
        <v>0</v>
      </c>
      <c s="127">
        <f>Предпосылки!AE358</f>
        <v>0</v>
      </c>
      <c s="127">
        <f>Предпосылки!AF358</f>
        <v>0</v>
      </c>
      <c s="127">
        <f>Предпосылки!AG358</f>
        <v>0</v>
      </c>
      <c s="127">
        <f>Предпосылки!AH358</f>
        <v>0</v>
      </c>
      <c s="127">
        <f>Предпосылки!AI358</f>
        <v>0</v>
      </c>
      <c s="127">
        <f>Предпосылки!AJ358</f>
        <v>0</v>
      </c>
      <c s="127">
        <f>Предпосылки!AK358</f>
        <v>0</v>
      </c>
      <c s="127">
        <f>Предпосылки!AL358</f>
        <v>0</v>
      </c>
      <c s="127">
        <f>Предпосылки!AM358</f>
        <v>0</v>
      </c>
      <c s="127">
        <f>Предпосылки!AN358</f>
        <v>0</v>
      </c>
      <c s="127">
        <f>Предпосылки!AO358</f>
        <v>0</v>
      </c>
      <c s="127">
        <f>Предпосылки!AP358</f>
        <v>0</v>
      </c>
      <c s="127">
        <f>Предпосылки!AQ358</f>
        <v>0</v>
      </c>
      <c s="127">
        <f>Предпосылки!AR358</f>
        <v>0</v>
      </c>
      <c s="127">
        <f>Предпосылки!AS358</f>
        <v>0</v>
      </c>
      <c s="127">
        <f>Предпосылки!AT358</f>
        <v>0</v>
      </c>
      <c s="127">
        <f>Предпосылки!AU358</f>
        <v>0</v>
      </c>
      <c s="127">
        <f>Предпосылки!AV358</f>
        <v>0</v>
      </c>
      <c s="127">
        <f>Предпосылки!AW358</f>
        <v>0</v>
      </c>
      <c s="127">
        <f>Предпосылки!AX358</f>
        <v>0</v>
      </c>
      <c s="127">
        <f>Предпосылки!AY358</f>
        <v>0</v>
      </c>
      <c s="127">
        <f>Предпосылки!AZ358</f>
        <v>0</v>
      </c>
      <c s="127">
        <f>Предпосылки!BA358</f>
        <v>0</v>
      </c>
      <c s="127">
        <f>Предпосылки!BB358</f>
        <v>0</v>
      </c>
      <c s="127">
        <f>Предпосылки!BC358</f>
        <v>0</v>
      </c>
      <c s="127">
        <f>Предпосылки!BD358</f>
        <v>0</v>
      </c>
      <c s="127">
        <f>Предпосылки!BE358</f>
        <v>0</v>
      </c>
      <c s="127">
        <f>Предпосылки!BF358</f>
        <v>0</v>
      </c>
      <c s="127">
        <f>Предпосылки!BG358</f>
        <v>0</v>
      </c>
      <c s="127">
        <f>Предпосылки!BH358</f>
        <v>0</v>
      </c>
      <c s="127">
        <f>Предпосылки!BI358</f>
        <v>0</v>
      </c>
      <c s="127">
        <f>Предпосылки!BJ358</f>
        <v>0</v>
      </c>
      <c s="127">
        <f>Предпосылки!BK358</f>
        <v>0</v>
      </c>
      <c s="127">
        <f>Предпосылки!BL358</f>
        <v>0</v>
      </c>
      <c s="127">
        <f>Предпосылки!BM358</f>
        <v>0</v>
      </c>
    </row>
    <row r="132" spans="2:65" ht="15" customHeight="1">
      <c r="B132" s="12" t="str">
        <f>IF(ISBLANK(Предпосылки!B359),"-",Предпосылки!B359)</f>
        <v>-</v>
      </c>
      <c s="124" t="s">
        <v>873</v>
      </c>
      <c s="127"/>
      <c s="127">
        <f>Предпосылки!E359</f>
        <v>0</v>
      </c>
      <c s="127">
        <f>Предпосылки!F359</f>
        <v>0</v>
      </c>
      <c s="127">
        <f>Предпосылки!G359</f>
        <v>0</v>
      </c>
      <c s="127">
        <f>Предпосылки!H359</f>
        <v>0</v>
      </c>
      <c s="127">
        <f>Предпосылки!I359</f>
        <v>0</v>
      </c>
      <c s="127">
        <f>Предпосылки!J359</f>
        <v>0</v>
      </c>
      <c s="127">
        <f>Предпосылки!K359</f>
        <v>0</v>
      </c>
      <c s="127">
        <f>Предпосылки!L359</f>
        <v>0</v>
      </c>
      <c s="127">
        <f>Предпосылки!M359</f>
        <v>0</v>
      </c>
      <c s="127">
        <f>Предпосылки!N359</f>
        <v>0</v>
      </c>
      <c s="127">
        <f>Предпосылки!O359</f>
        <v>0</v>
      </c>
      <c s="127">
        <f>Предпосылки!P359</f>
        <v>0</v>
      </c>
      <c s="127">
        <f>Предпосылки!Q359</f>
        <v>0</v>
      </c>
      <c s="127">
        <f>Предпосылки!R359</f>
        <v>0</v>
      </c>
      <c s="127">
        <f>Предпосылки!S359</f>
        <v>0</v>
      </c>
      <c s="127">
        <f>Предпосылки!T359</f>
        <v>0</v>
      </c>
      <c s="127">
        <f>Предпосылки!U359</f>
        <v>0</v>
      </c>
      <c s="127">
        <f>Предпосылки!V359</f>
        <v>0</v>
      </c>
      <c s="127">
        <f>Предпосылки!W359</f>
        <v>0</v>
      </c>
      <c s="127">
        <f>Предпосылки!X359</f>
        <v>0</v>
      </c>
      <c s="127">
        <f>Предпосылки!Y359</f>
        <v>0</v>
      </c>
      <c s="127">
        <f>Предпосылки!Z359</f>
        <v>0</v>
      </c>
      <c s="127">
        <f>Предпосылки!AA359</f>
        <v>0</v>
      </c>
      <c s="127">
        <f>Предпосылки!AB359</f>
        <v>0</v>
      </c>
      <c s="127">
        <f>Предпосылки!AC359</f>
        <v>0</v>
      </c>
      <c s="127">
        <f>Предпосылки!AD359</f>
        <v>0</v>
      </c>
      <c s="127">
        <f>Предпосылки!AE359</f>
        <v>0</v>
      </c>
      <c s="127">
        <f>Предпосылки!AF359</f>
        <v>0</v>
      </c>
      <c s="127">
        <f>Предпосылки!AG359</f>
        <v>0</v>
      </c>
      <c s="127">
        <f>Предпосылки!AH359</f>
        <v>0</v>
      </c>
      <c s="127">
        <f>Предпосылки!AI359</f>
        <v>0</v>
      </c>
      <c s="127">
        <f>Предпосылки!AJ359</f>
        <v>0</v>
      </c>
      <c s="127">
        <f>Предпосылки!AK359</f>
        <v>0</v>
      </c>
      <c s="127">
        <f>Предпосылки!AL359</f>
        <v>0</v>
      </c>
      <c s="127">
        <f>Предпосылки!AM359</f>
        <v>0</v>
      </c>
      <c s="127">
        <f>Предпосылки!AN359</f>
        <v>0</v>
      </c>
      <c s="127">
        <f>Предпосылки!AO359</f>
        <v>0</v>
      </c>
      <c s="127">
        <f>Предпосылки!AP359</f>
        <v>0</v>
      </c>
      <c s="127">
        <f>Предпосылки!AQ359</f>
        <v>0</v>
      </c>
      <c s="127">
        <f>Предпосылки!AR359</f>
        <v>0</v>
      </c>
      <c s="127">
        <f>Предпосылки!AS359</f>
        <v>0</v>
      </c>
      <c s="127">
        <f>Предпосылки!AT359</f>
        <v>0</v>
      </c>
      <c s="127">
        <f>Предпосылки!AU359</f>
        <v>0</v>
      </c>
      <c s="127">
        <f>Предпосылки!AV359</f>
        <v>0</v>
      </c>
      <c s="127">
        <f>Предпосылки!AW359</f>
        <v>0</v>
      </c>
      <c s="127">
        <f>Предпосылки!AX359</f>
        <v>0</v>
      </c>
      <c s="127">
        <f>Предпосылки!AY359</f>
        <v>0</v>
      </c>
      <c s="127">
        <f>Предпосылки!AZ359</f>
        <v>0</v>
      </c>
      <c s="127">
        <f>Предпосылки!BA359</f>
        <v>0</v>
      </c>
      <c s="127">
        <f>Предпосылки!BB359</f>
        <v>0</v>
      </c>
      <c s="127">
        <f>Предпосылки!BC359</f>
        <v>0</v>
      </c>
      <c s="127">
        <f>Предпосылки!BD359</f>
        <v>0</v>
      </c>
      <c s="127">
        <f>Предпосылки!BE359</f>
        <v>0</v>
      </c>
      <c s="127">
        <f>Предпосылки!BF359</f>
        <v>0</v>
      </c>
      <c s="127">
        <f>Предпосылки!BG359</f>
        <v>0</v>
      </c>
      <c s="127">
        <f>Предпосылки!BH359</f>
        <v>0</v>
      </c>
      <c s="127">
        <f>Предпосылки!BI359</f>
        <v>0</v>
      </c>
      <c s="127">
        <f>Предпосылки!BJ359</f>
        <v>0</v>
      </c>
      <c s="127">
        <f>Предпосылки!BK359</f>
        <v>0</v>
      </c>
      <c s="127">
        <f>Предпосылки!BL359</f>
        <v>0</v>
      </c>
      <c s="127">
        <f>Предпосылки!BM359</f>
        <v>0</v>
      </c>
    </row>
    <row r="133" spans="2:65" ht="15" customHeight="1">
      <c r="B133" s="12" t="str">
        <f>IF(ISBLANK(Предпосылки!B360),"-",Предпосылки!B360)</f>
        <v>-</v>
      </c>
      <c s="124" t="s">
        <v>873</v>
      </c>
      <c s="127"/>
      <c s="127">
        <f>Предпосылки!E360</f>
        <v>0</v>
      </c>
      <c s="127">
        <f>Предпосылки!F360</f>
        <v>0</v>
      </c>
      <c s="127">
        <f>Предпосылки!G360</f>
        <v>0</v>
      </c>
      <c s="127">
        <f>Предпосылки!H360</f>
        <v>0</v>
      </c>
      <c s="127">
        <f>Предпосылки!I360</f>
        <v>0</v>
      </c>
      <c s="127">
        <f>Предпосылки!J360</f>
        <v>0</v>
      </c>
      <c s="127">
        <f>Предпосылки!K360</f>
        <v>0</v>
      </c>
      <c s="127">
        <f>Предпосылки!L360</f>
        <v>0</v>
      </c>
      <c s="127">
        <f>Предпосылки!M360</f>
        <v>0</v>
      </c>
      <c s="127">
        <f>Предпосылки!N360</f>
        <v>0</v>
      </c>
      <c s="127">
        <f>Предпосылки!O360</f>
        <v>0</v>
      </c>
      <c s="127">
        <f>Предпосылки!P360</f>
        <v>0</v>
      </c>
      <c s="127">
        <f>Предпосылки!Q360</f>
        <v>0</v>
      </c>
      <c s="127">
        <f>Предпосылки!R360</f>
        <v>0</v>
      </c>
      <c s="127">
        <f>Предпосылки!S360</f>
        <v>0</v>
      </c>
      <c s="127">
        <f>Предпосылки!T360</f>
        <v>0</v>
      </c>
      <c s="127">
        <f>Предпосылки!U360</f>
        <v>0</v>
      </c>
      <c s="127">
        <f>Предпосылки!V360</f>
        <v>0</v>
      </c>
      <c s="127">
        <f>Предпосылки!W360</f>
        <v>0</v>
      </c>
      <c s="127">
        <f>Предпосылки!X360</f>
        <v>0</v>
      </c>
      <c s="127">
        <f>Предпосылки!Y360</f>
        <v>0</v>
      </c>
      <c s="127">
        <f>Предпосылки!Z360</f>
        <v>0</v>
      </c>
      <c s="127">
        <f>Предпосылки!AA360</f>
        <v>0</v>
      </c>
      <c s="127">
        <f>Предпосылки!AB360</f>
        <v>0</v>
      </c>
      <c s="127">
        <f>Предпосылки!AC360</f>
        <v>0</v>
      </c>
      <c s="127">
        <f>Предпосылки!AD360</f>
        <v>0</v>
      </c>
      <c s="127">
        <f>Предпосылки!AE360</f>
        <v>0</v>
      </c>
      <c s="127">
        <f>Предпосылки!AF360</f>
        <v>0</v>
      </c>
      <c s="127">
        <f>Предпосылки!AG360</f>
        <v>0</v>
      </c>
      <c s="127">
        <f>Предпосылки!AH360</f>
        <v>0</v>
      </c>
      <c s="127">
        <f>Предпосылки!AI360</f>
        <v>0</v>
      </c>
      <c s="127">
        <f>Предпосылки!AJ360</f>
        <v>0</v>
      </c>
      <c s="127">
        <f>Предпосылки!AK360</f>
        <v>0</v>
      </c>
      <c s="127">
        <f>Предпосылки!AL360</f>
        <v>0</v>
      </c>
      <c s="127">
        <f>Предпосылки!AM360</f>
        <v>0</v>
      </c>
      <c s="127">
        <f>Предпосылки!AN360</f>
        <v>0</v>
      </c>
      <c s="127">
        <f>Предпосылки!AO360</f>
        <v>0</v>
      </c>
      <c s="127">
        <f>Предпосылки!AP360</f>
        <v>0</v>
      </c>
      <c s="127">
        <f>Предпосылки!AQ360</f>
        <v>0</v>
      </c>
      <c s="127">
        <f>Предпосылки!AR360</f>
        <v>0</v>
      </c>
      <c s="127">
        <f>Предпосылки!AS360</f>
        <v>0</v>
      </c>
      <c s="127">
        <f>Предпосылки!AT360</f>
        <v>0</v>
      </c>
      <c s="127">
        <f>Предпосылки!AU360</f>
        <v>0</v>
      </c>
      <c s="127">
        <f>Предпосылки!AV360</f>
        <v>0</v>
      </c>
      <c s="127">
        <f>Предпосылки!AW360</f>
        <v>0</v>
      </c>
      <c s="127">
        <f>Предпосылки!AX360</f>
        <v>0</v>
      </c>
      <c s="127">
        <f>Предпосылки!AY360</f>
        <v>0</v>
      </c>
      <c s="127">
        <f>Предпосылки!AZ360</f>
        <v>0</v>
      </c>
      <c s="127">
        <f>Предпосылки!BA360</f>
        <v>0</v>
      </c>
      <c s="127">
        <f>Предпосылки!BB360</f>
        <v>0</v>
      </c>
      <c s="127">
        <f>Предпосылки!BC360</f>
        <v>0</v>
      </c>
      <c s="127">
        <f>Предпосылки!BD360</f>
        <v>0</v>
      </c>
      <c s="127">
        <f>Предпосылки!BE360</f>
        <v>0</v>
      </c>
      <c s="127">
        <f>Предпосылки!BF360</f>
        <v>0</v>
      </c>
      <c s="127">
        <f>Предпосылки!BG360</f>
        <v>0</v>
      </c>
      <c s="127">
        <f>Предпосылки!BH360</f>
        <v>0</v>
      </c>
      <c s="127">
        <f>Предпосылки!BI360</f>
        <v>0</v>
      </c>
      <c s="127">
        <f>Предпосылки!BJ360</f>
        <v>0</v>
      </c>
      <c s="127">
        <f>Предпосылки!BK360</f>
        <v>0</v>
      </c>
      <c s="127">
        <f>Предпосылки!BL360</f>
        <v>0</v>
      </c>
      <c s="127">
        <f>Предпосылки!BM360</f>
        <v>0</v>
      </c>
    </row>
    <row r="134" spans="2:65" ht="15" customHeight="1">
      <c r="B134" s="12" t="str">
        <f>IF(ISBLANK(Предпосылки!B361),"-",Предпосылки!B361)</f>
        <v>-</v>
      </c>
      <c s="124" t="s">
        <v>873</v>
      </c>
      <c s="127"/>
      <c s="127">
        <f>Предпосылки!E361</f>
        <v>0</v>
      </c>
      <c s="127">
        <f>Предпосылки!F361</f>
        <v>0</v>
      </c>
      <c s="127">
        <f>Предпосылки!G361</f>
        <v>0</v>
      </c>
      <c s="127">
        <f>Предпосылки!H361</f>
        <v>0</v>
      </c>
      <c s="127">
        <f>Предпосылки!I361</f>
        <v>0</v>
      </c>
      <c s="127">
        <f>Предпосылки!J361</f>
        <v>0</v>
      </c>
      <c s="127">
        <f>Предпосылки!K361</f>
        <v>0</v>
      </c>
      <c s="127">
        <f>Предпосылки!L361</f>
        <v>0</v>
      </c>
      <c s="127">
        <f>Предпосылки!M361</f>
        <v>0</v>
      </c>
      <c s="127">
        <f>Предпосылки!N361</f>
        <v>0</v>
      </c>
      <c s="127">
        <f>Предпосылки!O361</f>
        <v>0</v>
      </c>
      <c s="127">
        <f>Предпосылки!P361</f>
        <v>0</v>
      </c>
      <c s="127">
        <f>Предпосылки!Q361</f>
        <v>0</v>
      </c>
      <c s="127">
        <f>Предпосылки!R361</f>
        <v>0</v>
      </c>
      <c s="127">
        <f>Предпосылки!S361</f>
        <v>0</v>
      </c>
      <c s="127">
        <f>Предпосылки!T361</f>
        <v>0</v>
      </c>
      <c s="127">
        <f>Предпосылки!U361</f>
        <v>0</v>
      </c>
      <c s="127">
        <f>Предпосылки!V361</f>
        <v>0</v>
      </c>
      <c s="127">
        <f>Предпосылки!W361</f>
        <v>0</v>
      </c>
      <c s="127">
        <f>Предпосылки!X361</f>
        <v>0</v>
      </c>
      <c s="127">
        <f>Предпосылки!Y361</f>
        <v>0</v>
      </c>
      <c s="127">
        <f>Предпосылки!Z361</f>
        <v>0</v>
      </c>
      <c s="127">
        <f>Предпосылки!AA361</f>
        <v>0</v>
      </c>
      <c s="127">
        <f>Предпосылки!AB361</f>
        <v>0</v>
      </c>
      <c s="127">
        <f>Предпосылки!AC361</f>
        <v>0</v>
      </c>
      <c s="127">
        <f>Предпосылки!AD361</f>
        <v>0</v>
      </c>
      <c s="127">
        <f>Предпосылки!AE361</f>
        <v>0</v>
      </c>
      <c s="127">
        <f>Предпосылки!AF361</f>
        <v>0</v>
      </c>
      <c s="127">
        <f>Предпосылки!AG361</f>
        <v>0</v>
      </c>
      <c s="127">
        <f>Предпосылки!AH361</f>
        <v>0</v>
      </c>
      <c s="127">
        <f>Предпосылки!AI361</f>
        <v>0</v>
      </c>
      <c s="127">
        <f>Предпосылки!AJ361</f>
        <v>0</v>
      </c>
      <c s="127">
        <f>Предпосылки!AK361</f>
        <v>0</v>
      </c>
      <c s="127">
        <f>Предпосылки!AL361</f>
        <v>0</v>
      </c>
      <c s="127">
        <f>Предпосылки!AM361</f>
        <v>0</v>
      </c>
      <c s="127">
        <f>Предпосылки!AN361</f>
        <v>0</v>
      </c>
      <c s="127">
        <f>Предпосылки!AO361</f>
        <v>0</v>
      </c>
      <c s="127">
        <f>Предпосылки!AP361</f>
        <v>0</v>
      </c>
      <c s="127">
        <f>Предпосылки!AQ361</f>
        <v>0</v>
      </c>
      <c s="127">
        <f>Предпосылки!AR361</f>
        <v>0</v>
      </c>
      <c s="127">
        <f>Предпосылки!AS361</f>
        <v>0</v>
      </c>
      <c s="127">
        <f>Предпосылки!AT361</f>
        <v>0</v>
      </c>
      <c s="127">
        <f>Предпосылки!AU361</f>
        <v>0</v>
      </c>
      <c s="127">
        <f>Предпосылки!AV361</f>
        <v>0</v>
      </c>
      <c s="127">
        <f>Предпосылки!AW361</f>
        <v>0</v>
      </c>
      <c s="127">
        <f>Предпосылки!AX361</f>
        <v>0</v>
      </c>
      <c s="127">
        <f>Предпосылки!AY361</f>
        <v>0</v>
      </c>
      <c s="127">
        <f>Предпосылки!AZ361</f>
        <v>0</v>
      </c>
      <c s="127">
        <f>Предпосылки!BA361</f>
        <v>0</v>
      </c>
      <c s="127">
        <f>Предпосылки!BB361</f>
        <v>0</v>
      </c>
      <c s="127">
        <f>Предпосылки!BC361</f>
        <v>0</v>
      </c>
      <c s="127">
        <f>Предпосылки!BD361</f>
        <v>0</v>
      </c>
      <c s="127">
        <f>Предпосылки!BE361</f>
        <v>0</v>
      </c>
      <c s="127">
        <f>Предпосылки!BF361</f>
        <v>0</v>
      </c>
      <c s="127">
        <f>Предпосылки!BG361</f>
        <v>0</v>
      </c>
      <c s="127">
        <f>Предпосылки!BH361</f>
        <v>0</v>
      </c>
      <c s="127">
        <f>Предпосылки!BI361</f>
        <v>0</v>
      </c>
      <c s="127">
        <f>Предпосылки!BJ361</f>
        <v>0</v>
      </c>
      <c s="127">
        <f>Предпосылки!BK361</f>
        <v>0</v>
      </c>
      <c s="127">
        <f>Предпосылки!BL361</f>
        <v>0</v>
      </c>
      <c s="127">
        <f>Предпосылки!BM361</f>
        <v>0</v>
      </c>
    </row>
    <row r="135" spans="2:65" ht="15" customHeight="1">
      <c r="B135" s="12" t="str">
        <f>IF(ISBLANK(Предпосылки!B362),"-",Предпосылки!B362)</f>
        <v>-</v>
      </c>
      <c s="124" t="s">
        <v>873</v>
      </c>
      <c s="127"/>
      <c s="127">
        <f>Предпосылки!E362</f>
        <v>0</v>
      </c>
      <c s="127">
        <f>Предпосылки!F362</f>
        <v>0</v>
      </c>
      <c s="127">
        <f>Предпосылки!G362</f>
        <v>0</v>
      </c>
      <c s="127">
        <f>Предпосылки!H362</f>
        <v>0</v>
      </c>
      <c s="127">
        <f>Предпосылки!I362</f>
        <v>0</v>
      </c>
      <c s="127">
        <f>Предпосылки!J362</f>
        <v>0</v>
      </c>
      <c s="127">
        <f>Предпосылки!K362</f>
        <v>0</v>
      </c>
      <c s="127">
        <f>Предпосылки!L362</f>
        <v>0</v>
      </c>
      <c s="127">
        <f>Предпосылки!M362</f>
        <v>0</v>
      </c>
      <c s="127">
        <f>Предпосылки!N362</f>
        <v>0</v>
      </c>
      <c s="127">
        <f>Предпосылки!O362</f>
        <v>0</v>
      </c>
      <c s="127">
        <f>Предпосылки!P362</f>
        <v>0</v>
      </c>
      <c s="127">
        <f>Предпосылки!Q362</f>
        <v>0</v>
      </c>
      <c s="127">
        <f>Предпосылки!R362</f>
        <v>0</v>
      </c>
      <c s="127">
        <f>Предпосылки!S362</f>
        <v>0</v>
      </c>
      <c s="127">
        <f>Предпосылки!T362</f>
        <v>0</v>
      </c>
      <c s="127">
        <f>Предпосылки!U362</f>
        <v>0</v>
      </c>
      <c s="127">
        <f>Предпосылки!V362</f>
        <v>0</v>
      </c>
      <c s="127">
        <f>Предпосылки!W362</f>
        <v>0</v>
      </c>
      <c s="127">
        <f>Предпосылки!X362</f>
        <v>0</v>
      </c>
      <c s="127">
        <f>Предпосылки!Y362</f>
        <v>0</v>
      </c>
      <c s="127">
        <f>Предпосылки!Z362</f>
        <v>0</v>
      </c>
      <c s="127">
        <f>Предпосылки!AA362</f>
        <v>0</v>
      </c>
      <c s="127">
        <f>Предпосылки!AB362</f>
        <v>0</v>
      </c>
      <c s="127">
        <f>Предпосылки!AC362</f>
        <v>0</v>
      </c>
      <c s="127">
        <f>Предпосылки!AD362</f>
        <v>0</v>
      </c>
      <c s="127">
        <f>Предпосылки!AE362</f>
        <v>0</v>
      </c>
      <c s="127">
        <f>Предпосылки!AF362</f>
        <v>0</v>
      </c>
      <c s="127">
        <f>Предпосылки!AG362</f>
        <v>0</v>
      </c>
      <c s="127">
        <f>Предпосылки!AH362</f>
        <v>0</v>
      </c>
      <c s="127">
        <f>Предпосылки!AI362</f>
        <v>0</v>
      </c>
      <c s="127">
        <f>Предпосылки!AJ362</f>
        <v>0</v>
      </c>
      <c s="127">
        <f>Предпосылки!AK362</f>
        <v>0</v>
      </c>
      <c s="127">
        <f>Предпосылки!AL362</f>
        <v>0</v>
      </c>
      <c s="127">
        <f>Предпосылки!AM362</f>
        <v>0</v>
      </c>
      <c s="127">
        <f>Предпосылки!AN362</f>
        <v>0</v>
      </c>
      <c s="127">
        <f>Предпосылки!AO362</f>
        <v>0</v>
      </c>
      <c s="127">
        <f>Предпосылки!AP362</f>
        <v>0</v>
      </c>
      <c s="127">
        <f>Предпосылки!AQ362</f>
        <v>0</v>
      </c>
      <c s="127">
        <f>Предпосылки!AR362</f>
        <v>0</v>
      </c>
      <c s="127">
        <f>Предпосылки!AS362</f>
        <v>0</v>
      </c>
      <c s="127">
        <f>Предпосылки!AT362</f>
        <v>0</v>
      </c>
      <c s="127">
        <f>Предпосылки!AU362</f>
        <v>0</v>
      </c>
      <c s="127">
        <f>Предпосылки!AV362</f>
        <v>0</v>
      </c>
      <c s="127">
        <f>Предпосылки!AW362</f>
        <v>0</v>
      </c>
      <c s="127">
        <f>Предпосылки!AX362</f>
        <v>0</v>
      </c>
      <c s="127">
        <f>Предпосылки!AY362</f>
        <v>0</v>
      </c>
      <c s="127">
        <f>Предпосылки!AZ362</f>
        <v>0</v>
      </c>
      <c s="127">
        <f>Предпосылки!BA362</f>
        <v>0</v>
      </c>
      <c s="127">
        <f>Предпосылки!BB362</f>
        <v>0</v>
      </c>
      <c s="127">
        <f>Предпосылки!BC362</f>
        <v>0</v>
      </c>
      <c s="127">
        <f>Предпосылки!BD362</f>
        <v>0</v>
      </c>
      <c s="127">
        <f>Предпосылки!BE362</f>
        <v>0</v>
      </c>
      <c s="127">
        <f>Предпосылки!BF362</f>
        <v>0</v>
      </c>
      <c s="127">
        <f>Предпосылки!BG362</f>
        <v>0</v>
      </c>
      <c s="127">
        <f>Предпосылки!BH362</f>
        <v>0</v>
      </c>
      <c s="127">
        <f>Предпосылки!BI362</f>
        <v>0</v>
      </c>
      <c s="127">
        <f>Предпосылки!BJ362</f>
        <v>0</v>
      </c>
      <c s="127">
        <f>Предпосылки!BK362</f>
        <v>0</v>
      </c>
      <c s="127">
        <f>Предпосылки!BL362</f>
        <v>0</v>
      </c>
      <c s="127">
        <f>Предпосылки!BM362</f>
        <v>0</v>
      </c>
    </row>
    <row r="136" spans="2:65" ht="15" customHeight="1">
      <c r="B136" s="12" t="str">
        <f>IF(ISBLANK(Предпосылки!B363),"-",Предпосылки!B363)</f>
        <v>-</v>
      </c>
      <c s="124" t="s">
        <v>873</v>
      </c>
      <c s="127"/>
      <c s="127">
        <f>Предпосылки!E363</f>
        <v>0</v>
      </c>
      <c s="127">
        <f>Предпосылки!F363</f>
        <v>0</v>
      </c>
      <c s="127">
        <f>Предпосылки!G363</f>
        <v>0</v>
      </c>
      <c s="127">
        <f>Предпосылки!H363</f>
        <v>0</v>
      </c>
      <c s="127">
        <f>Предпосылки!I363</f>
        <v>0</v>
      </c>
      <c s="127">
        <f>Предпосылки!J363</f>
        <v>0</v>
      </c>
      <c s="127">
        <f>Предпосылки!K363</f>
        <v>0</v>
      </c>
      <c s="127">
        <f>Предпосылки!L363</f>
        <v>0</v>
      </c>
      <c s="127">
        <f>Предпосылки!M363</f>
        <v>0</v>
      </c>
      <c s="127">
        <f>Предпосылки!N363</f>
        <v>0</v>
      </c>
      <c s="127">
        <f>Предпосылки!O363</f>
        <v>0</v>
      </c>
      <c s="127">
        <f>Предпосылки!P363</f>
        <v>0</v>
      </c>
      <c s="127">
        <f>Предпосылки!Q363</f>
        <v>0</v>
      </c>
      <c s="127">
        <f>Предпосылки!R363</f>
        <v>0</v>
      </c>
      <c s="127">
        <f>Предпосылки!S363</f>
        <v>0</v>
      </c>
      <c s="127">
        <f>Предпосылки!T363</f>
        <v>0</v>
      </c>
      <c s="127">
        <f>Предпосылки!U363</f>
        <v>0</v>
      </c>
      <c s="127">
        <f>Предпосылки!V363</f>
        <v>0</v>
      </c>
      <c s="127">
        <f>Предпосылки!W363</f>
        <v>0</v>
      </c>
      <c s="127">
        <f>Предпосылки!X363</f>
        <v>0</v>
      </c>
      <c s="127">
        <f>Предпосылки!Y363</f>
        <v>0</v>
      </c>
      <c s="127">
        <f>Предпосылки!Z363</f>
        <v>0</v>
      </c>
      <c s="127">
        <f>Предпосылки!AA363</f>
        <v>0</v>
      </c>
      <c s="127">
        <f>Предпосылки!AB363</f>
        <v>0</v>
      </c>
      <c s="127">
        <f>Предпосылки!AC363</f>
        <v>0</v>
      </c>
      <c s="127">
        <f>Предпосылки!AD363</f>
        <v>0</v>
      </c>
      <c s="127">
        <f>Предпосылки!AE363</f>
        <v>0</v>
      </c>
      <c s="127">
        <f>Предпосылки!AF363</f>
        <v>0</v>
      </c>
      <c s="127">
        <f>Предпосылки!AG363</f>
        <v>0</v>
      </c>
      <c s="127">
        <f>Предпосылки!AH363</f>
        <v>0</v>
      </c>
      <c s="127">
        <f>Предпосылки!AI363</f>
        <v>0</v>
      </c>
      <c s="127">
        <f>Предпосылки!AJ363</f>
        <v>0</v>
      </c>
      <c s="127">
        <f>Предпосылки!AK363</f>
        <v>0</v>
      </c>
      <c s="127">
        <f>Предпосылки!AL363</f>
        <v>0</v>
      </c>
      <c s="127">
        <f>Предпосылки!AM363</f>
        <v>0</v>
      </c>
      <c s="127">
        <f>Предпосылки!AN363</f>
        <v>0</v>
      </c>
      <c s="127">
        <f>Предпосылки!AO363</f>
        <v>0</v>
      </c>
      <c s="127">
        <f>Предпосылки!AP363</f>
        <v>0</v>
      </c>
      <c s="127">
        <f>Предпосылки!AQ363</f>
        <v>0</v>
      </c>
      <c s="127">
        <f>Предпосылки!AR363</f>
        <v>0</v>
      </c>
      <c s="127">
        <f>Предпосылки!AS363</f>
        <v>0</v>
      </c>
      <c s="127">
        <f>Предпосылки!AT363</f>
        <v>0</v>
      </c>
      <c s="127">
        <f>Предпосылки!AU363</f>
        <v>0</v>
      </c>
      <c s="127">
        <f>Предпосылки!AV363</f>
        <v>0</v>
      </c>
      <c s="127">
        <f>Предпосылки!AW363</f>
        <v>0</v>
      </c>
      <c s="127">
        <f>Предпосылки!AX363</f>
        <v>0</v>
      </c>
      <c s="127">
        <f>Предпосылки!AY363</f>
        <v>0</v>
      </c>
      <c s="127">
        <f>Предпосылки!AZ363</f>
        <v>0</v>
      </c>
      <c s="127">
        <f>Предпосылки!BA363</f>
        <v>0</v>
      </c>
      <c s="127">
        <f>Предпосылки!BB363</f>
        <v>0</v>
      </c>
      <c s="127">
        <f>Предпосылки!BC363</f>
        <v>0</v>
      </c>
      <c s="127">
        <f>Предпосылки!BD363</f>
        <v>0</v>
      </c>
      <c s="127">
        <f>Предпосылки!BE363</f>
        <v>0</v>
      </c>
      <c s="127">
        <f>Предпосылки!BF363</f>
        <v>0</v>
      </c>
      <c s="127">
        <f>Предпосылки!BG363</f>
        <v>0</v>
      </c>
      <c s="127">
        <f>Предпосылки!BH363</f>
        <v>0</v>
      </c>
      <c s="127">
        <f>Предпосылки!BI363</f>
        <v>0</v>
      </c>
      <c s="127">
        <f>Предпосылки!BJ363</f>
        <v>0</v>
      </c>
      <c s="127">
        <f>Предпосылки!BK363</f>
        <v>0</v>
      </c>
      <c s="127">
        <f>Предпосылки!BL363</f>
        <v>0</v>
      </c>
      <c s="127">
        <f>Предпосылки!BM363</f>
        <v>0</v>
      </c>
    </row>
    <row r="137" spans="2:65" ht="15" customHeight="1">
      <c r="B137" s="12" t="str">
        <f>IF(ISBLANK(Предпосылки!B364),"-",Предпосылки!B364)</f>
        <v>-</v>
      </c>
      <c s="124" t="s">
        <v>873</v>
      </c>
      <c s="127"/>
      <c s="127">
        <f>Предпосылки!E364</f>
        <v>0</v>
      </c>
      <c s="127">
        <f>Предпосылки!F364</f>
        <v>0</v>
      </c>
      <c s="127">
        <f>Предпосылки!G364</f>
        <v>0</v>
      </c>
      <c s="127">
        <f>Предпосылки!H364</f>
        <v>0</v>
      </c>
      <c s="127">
        <f>Предпосылки!I364</f>
        <v>0</v>
      </c>
      <c s="127">
        <f>Предпосылки!J364</f>
        <v>0</v>
      </c>
      <c s="127">
        <f>Предпосылки!K364</f>
        <v>0</v>
      </c>
      <c s="127">
        <f>Предпосылки!L364</f>
        <v>0</v>
      </c>
      <c s="127">
        <f>Предпосылки!M364</f>
        <v>0</v>
      </c>
      <c s="127">
        <f>Предпосылки!N364</f>
        <v>0</v>
      </c>
      <c s="127">
        <f>Предпосылки!O364</f>
        <v>0</v>
      </c>
      <c s="127">
        <f>Предпосылки!P364</f>
        <v>0</v>
      </c>
      <c s="127">
        <f>Предпосылки!Q364</f>
        <v>0</v>
      </c>
      <c s="127">
        <f>Предпосылки!R364</f>
        <v>0</v>
      </c>
      <c s="127">
        <f>Предпосылки!S364</f>
        <v>0</v>
      </c>
      <c s="127">
        <f>Предпосылки!T364</f>
        <v>0</v>
      </c>
      <c s="127">
        <f>Предпосылки!U364</f>
        <v>0</v>
      </c>
      <c s="127">
        <f>Предпосылки!V364</f>
        <v>0</v>
      </c>
      <c s="127">
        <f>Предпосылки!W364</f>
        <v>0</v>
      </c>
      <c s="127">
        <f>Предпосылки!X364</f>
        <v>0</v>
      </c>
      <c s="127">
        <f>Предпосылки!Y364</f>
        <v>0</v>
      </c>
      <c s="127">
        <f>Предпосылки!Z364</f>
        <v>0</v>
      </c>
      <c s="127">
        <f>Предпосылки!AA364</f>
        <v>0</v>
      </c>
      <c s="127">
        <f>Предпосылки!AB364</f>
        <v>0</v>
      </c>
      <c s="127">
        <f>Предпосылки!AC364</f>
        <v>0</v>
      </c>
      <c s="127">
        <f>Предпосылки!AD364</f>
        <v>0</v>
      </c>
      <c s="127">
        <f>Предпосылки!AE364</f>
        <v>0</v>
      </c>
      <c s="127">
        <f>Предпосылки!AF364</f>
        <v>0</v>
      </c>
      <c s="127">
        <f>Предпосылки!AG364</f>
        <v>0</v>
      </c>
      <c s="127">
        <f>Предпосылки!AH364</f>
        <v>0</v>
      </c>
      <c s="127">
        <f>Предпосылки!AI364</f>
        <v>0</v>
      </c>
      <c s="127">
        <f>Предпосылки!AJ364</f>
        <v>0</v>
      </c>
      <c s="127">
        <f>Предпосылки!AK364</f>
        <v>0</v>
      </c>
      <c s="127">
        <f>Предпосылки!AL364</f>
        <v>0</v>
      </c>
      <c s="127">
        <f>Предпосылки!AM364</f>
        <v>0</v>
      </c>
      <c s="127">
        <f>Предпосылки!AN364</f>
        <v>0</v>
      </c>
      <c s="127">
        <f>Предпосылки!AO364</f>
        <v>0</v>
      </c>
      <c s="127">
        <f>Предпосылки!AP364</f>
        <v>0</v>
      </c>
      <c s="127">
        <f>Предпосылки!AQ364</f>
        <v>0</v>
      </c>
      <c s="127">
        <f>Предпосылки!AR364</f>
        <v>0</v>
      </c>
      <c s="127">
        <f>Предпосылки!AS364</f>
        <v>0</v>
      </c>
      <c s="127">
        <f>Предпосылки!AT364</f>
        <v>0</v>
      </c>
      <c s="127">
        <f>Предпосылки!AU364</f>
        <v>0</v>
      </c>
      <c s="127">
        <f>Предпосылки!AV364</f>
        <v>0</v>
      </c>
      <c s="127">
        <f>Предпосылки!AW364</f>
        <v>0</v>
      </c>
      <c s="127">
        <f>Предпосылки!AX364</f>
        <v>0</v>
      </c>
      <c s="127">
        <f>Предпосылки!AY364</f>
        <v>0</v>
      </c>
      <c s="127">
        <f>Предпосылки!AZ364</f>
        <v>0</v>
      </c>
      <c s="127">
        <f>Предпосылки!BA364</f>
        <v>0</v>
      </c>
      <c s="127">
        <f>Предпосылки!BB364</f>
        <v>0</v>
      </c>
      <c s="127">
        <f>Предпосылки!BC364</f>
        <v>0</v>
      </c>
      <c s="127">
        <f>Предпосылки!BD364</f>
        <v>0</v>
      </c>
      <c s="127">
        <f>Предпосылки!BE364</f>
        <v>0</v>
      </c>
      <c s="127">
        <f>Предпосылки!BF364</f>
        <v>0</v>
      </c>
      <c s="127">
        <f>Предпосылки!BG364</f>
        <v>0</v>
      </c>
      <c s="127">
        <f>Предпосылки!BH364</f>
        <v>0</v>
      </c>
      <c s="127">
        <f>Предпосылки!BI364</f>
        <v>0</v>
      </c>
      <c s="127">
        <f>Предпосылки!BJ364</f>
        <v>0</v>
      </c>
      <c s="127">
        <f>Предпосылки!BK364</f>
        <v>0</v>
      </c>
      <c s="127">
        <f>Предпосылки!BL364</f>
        <v>0</v>
      </c>
      <c s="127">
        <f>Предпосылки!BM364</f>
        <v>0</v>
      </c>
    </row>
    <row r="138" spans="2:65" ht="15" customHeight="1">
      <c r="B138" s="12" t="str">
        <f>IF(ISBLANK(Предпосылки!B365),"-",Предпосылки!B365)</f>
        <v>-</v>
      </c>
      <c s="124" t="s">
        <v>873</v>
      </c>
      <c s="127"/>
      <c s="127">
        <f>Предпосылки!E365</f>
        <v>0</v>
      </c>
      <c s="127">
        <f>Предпосылки!F365</f>
        <v>0</v>
      </c>
      <c s="127">
        <f>Предпосылки!G365</f>
        <v>0</v>
      </c>
      <c s="127">
        <f>Предпосылки!H365</f>
        <v>0</v>
      </c>
      <c s="127">
        <f>Предпосылки!I365</f>
        <v>0</v>
      </c>
      <c s="127">
        <f>Предпосылки!J365</f>
        <v>0</v>
      </c>
      <c s="127">
        <f>Предпосылки!K365</f>
        <v>0</v>
      </c>
      <c s="127">
        <f>Предпосылки!L365</f>
        <v>0</v>
      </c>
      <c s="127">
        <f>Предпосылки!M365</f>
        <v>0</v>
      </c>
      <c s="127">
        <f>Предпосылки!N365</f>
        <v>0</v>
      </c>
      <c s="127">
        <f>Предпосылки!O365</f>
        <v>0</v>
      </c>
      <c s="127">
        <f>Предпосылки!P365</f>
        <v>0</v>
      </c>
      <c s="127">
        <f>Предпосылки!Q365</f>
        <v>0</v>
      </c>
      <c s="127">
        <f>Предпосылки!R365</f>
        <v>0</v>
      </c>
      <c s="127">
        <f>Предпосылки!S365</f>
        <v>0</v>
      </c>
      <c s="127">
        <f>Предпосылки!T365</f>
        <v>0</v>
      </c>
      <c s="127">
        <f>Предпосылки!U365</f>
        <v>0</v>
      </c>
      <c s="127">
        <f>Предпосылки!V365</f>
        <v>0</v>
      </c>
      <c s="127">
        <f>Предпосылки!W365</f>
        <v>0</v>
      </c>
      <c s="127">
        <f>Предпосылки!X365</f>
        <v>0</v>
      </c>
      <c s="127">
        <f>Предпосылки!Y365</f>
        <v>0</v>
      </c>
      <c s="127">
        <f>Предпосылки!Z365</f>
        <v>0</v>
      </c>
      <c s="127">
        <f>Предпосылки!AA365</f>
        <v>0</v>
      </c>
      <c s="127">
        <f>Предпосылки!AB365</f>
        <v>0</v>
      </c>
      <c s="127">
        <f>Предпосылки!AC365</f>
        <v>0</v>
      </c>
      <c s="127">
        <f>Предпосылки!AD365</f>
        <v>0</v>
      </c>
      <c s="127">
        <f>Предпосылки!AE365</f>
        <v>0</v>
      </c>
      <c s="127">
        <f>Предпосылки!AF365</f>
        <v>0</v>
      </c>
      <c s="127">
        <f>Предпосылки!AG365</f>
        <v>0</v>
      </c>
      <c s="127">
        <f>Предпосылки!AH365</f>
        <v>0</v>
      </c>
      <c s="127">
        <f>Предпосылки!AI365</f>
        <v>0</v>
      </c>
      <c s="127">
        <f>Предпосылки!AJ365</f>
        <v>0</v>
      </c>
      <c s="127">
        <f>Предпосылки!AK365</f>
        <v>0</v>
      </c>
      <c s="127">
        <f>Предпосылки!AL365</f>
        <v>0</v>
      </c>
      <c s="127">
        <f>Предпосылки!AM365</f>
        <v>0</v>
      </c>
      <c s="127">
        <f>Предпосылки!AN365</f>
        <v>0</v>
      </c>
      <c s="127">
        <f>Предпосылки!AO365</f>
        <v>0</v>
      </c>
      <c s="127">
        <f>Предпосылки!AP365</f>
        <v>0</v>
      </c>
      <c s="127">
        <f>Предпосылки!AQ365</f>
        <v>0</v>
      </c>
      <c s="127">
        <f>Предпосылки!AR365</f>
        <v>0</v>
      </c>
      <c s="127">
        <f>Предпосылки!AS365</f>
        <v>0</v>
      </c>
      <c s="127">
        <f>Предпосылки!AT365</f>
        <v>0</v>
      </c>
      <c s="127">
        <f>Предпосылки!AU365</f>
        <v>0</v>
      </c>
      <c s="127">
        <f>Предпосылки!AV365</f>
        <v>0</v>
      </c>
      <c s="127">
        <f>Предпосылки!AW365</f>
        <v>0</v>
      </c>
      <c s="127">
        <f>Предпосылки!AX365</f>
        <v>0</v>
      </c>
      <c s="127">
        <f>Предпосылки!AY365</f>
        <v>0</v>
      </c>
      <c s="127">
        <f>Предпосылки!AZ365</f>
        <v>0</v>
      </c>
      <c s="127">
        <f>Предпосылки!BA365</f>
        <v>0</v>
      </c>
      <c s="127">
        <f>Предпосылки!BB365</f>
        <v>0</v>
      </c>
      <c s="127">
        <f>Предпосылки!BC365</f>
        <v>0</v>
      </c>
      <c s="127">
        <f>Предпосылки!BD365</f>
        <v>0</v>
      </c>
      <c s="127">
        <f>Предпосылки!BE365</f>
        <v>0</v>
      </c>
      <c s="127">
        <f>Предпосылки!BF365</f>
        <v>0</v>
      </c>
      <c s="127">
        <f>Предпосылки!BG365</f>
        <v>0</v>
      </c>
      <c s="127">
        <f>Предпосылки!BH365</f>
        <v>0</v>
      </c>
      <c s="127">
        <f>Предпосылки!BI365</f>
        <v>0</v>
      </c>
      <c s="127">
        <f>Предпосылки!BJ365</f>
        <v>0</v>
      </c>
      <c s="127">
        <f>Предпосылки!BK365</f>
        <v>0</v>
      </c>
      <c s="127">
        <f>Предпосылки!BL365</f>
        <v>0</v>
      </c>
      <c s="127">
        <f>Предпосылки!BM365</f>
        <v>0</v>
      </c>
    </row>
    <row r="139" spans="2:65" ht="15" customHeight="1">
      <c r="B139" s="12" t="str">
        <f>IF(ISBLANK(Предпосылки!B366),"-",Предпосылки!B366)</f>
        <v>-</v>
      </c>
      <c s="124" t="s">
        <v>873</v>
      </c>
      <c s="127"/>
      <c s="127">
        <f>Предпосылки!E366</f>
        <v>0</v>
      </c>
      <c s="127">
        <f>Предпосылки!F366</f>
        <v>0</v>
      </c>
      <c s="127">
        <f>Предпосылки!G366</f>
        <v>0</v>
      </c>
      <c s="127">
        <f>Предпосылки!H366</f>
        <v>0</v>
      </c>
      <c s="127">
        <f>Предпосылки!I366</f>
        <v>0</v>
      </c>
      <c s="127">
        <f>Предпосылки!J366</f>
        <v>0</v>
      </c>
      <c s="127">
        <f>Предпосылки!K366</f>
        <v>0</v>
      </c>
      <c s="127">
        <f>Предпосылки!L366</f>
        <v>0</v>
      </c>
      <c s="127">
        <f>Предпосылки!M366</f>
        <v>0</v>
      </c>
      <c s="127">
        <f>Предпосылки!N366</f>
        <v>0</v>
      </c>
      <c s="127">
        <f>Предпосылки!O366</f>
        <v>0</v>
      </c>
      <c s="127">
        <f>Предпосылки!P366</f>
        <v>0</v>
      </c>
      <c s="127">
        <f>Предпосылки!Q366</f>
        <v>0</v>
      </c>
      <c s="127">
        <f>Предпосылки!R366</f>
        <v>0</v>
      </c>
      <c s="127">
        <f>Предпосылки!S366</f>
        <v>0</v>
      </c>
      <c s="127">
        <f>Предпосылки!T366</f>
        <v>0</v>
      </c>
      <c s="127">
        <f>Предпосылки!U366</f>
        <v>0</v>
      </c>
      <c s="127">
        <f>Предпосылки!V366</f>
        <v>0</v>
      </c>
      <c s="127">
        <f>Предпосылки!W366</f>
        <v>0</v>
      </c>
      <c s="127">
        <f>Предпосылки!X366</f>
        <v>0</v>
      </c>
      <c s="127">
        <f>Предпосылки!Y366</f>
        <v>0</v>
      </c>
      <c s="127">
        <f>Предпосылки!Z366</f>
        <v>0</v>
      </c>
      <c s="127">
        <f>Предпосылки!AA366</f>
        <v>0</v>
      </c>
      <c s="127">
        <f>Предпосылки!AB366</f>
        <v>0</v>
      </c>
      <c s="127">
        <f>Предпосылки!AC366</f>
        <v>0</v>
      </c>
      <c s="127">
        <f>Предпосылки!AD366</f>
        <v>0</v>
      </c>
      <c s="127">
        <f>Предпосылки!AE366</f>
        <v>0</v>
      </c>
      <c s="127">
        <f>Предпосылки!AF366</f>
        <v>0</v>
      </c>
      <c s="127">
        <f>Предпосылки!AG366</f>
        <v>0</v>
      </c>
      <c s="127">
        <f>Предпосылки!AH366</f>
        <v>0</v>
      </c>
      <c s="127">
        <f>Предпосылки!AI366</f>
        <v>0</v>
      </c>
      <c s="127">
        <f>Предпосылки!AJ366</f>
        <v>0</v>
      </c>
      <c s="127">
        <f>Предпосылки!AK366</f>
        <v>0</v>
      </c>
      <c s="127">
        <f>Предпосылки!AL366</f>
        <v>0</v>
      </c>
      <c s="127">
        <f>Предпосылки!AM366</f>
        <v>0</v>
      </c>
      <c s="127">
        <f>Предпосылки!AN366</f>
        <v>0</v>
      </c>
      <c s="127">
        <f>Предпосылки!AO366</f>
        <v>0</v>
      </c>
      <c s="127">
        <f>Предпосылки!AP366</f>
        <v>0</v>
      </c>
      <c s="127">
        <f>Предпосылки!AQ366</f>
        <v>0</v>
      </c>
      <c s="127">
        <f>Предпосылки!AR366</f>
        <v>0</v>
      </c>
      <c s="127">
        <f>Предпосылки!AS366</f>
        <v>0</v>
      </c>
      <c s="127">
        <f>Предпосылки!AT366</f>
        <v>0</v>
      </c>
      <c s="127">
        <f>Предпосылки!AU366</f>
        <v>0</v>
      </c>
      <c s="127">
        <f>Предпосылки!AV366</f>
        <v>0</v>
      </c>
      <c s="127">
        <f>Предпосылки!AW366</f>
        <v>0</v>
      </c>
      <c s="127">
        <f>Предпосылки!AX366</f>
        <v>0</v>
      </c>
      <c s="127">
        <f>Предпосылки!AY366</f>
        <v>0</v>
      </c>
      <c s="127">
        <f>Предпосылки!AZ366</f>
        <v>0</v>
      </c>
      <c s="127">
        <f>Предпосылки!BA366</f>
        <v>0</v>
      </c>
      <c s="127">
        <f>Предпосылки!BB366</f>
        <v>0</v>
      </c>
      <c s="127">
        <f>Предпосылки!BC366</f>
        <v>0</v>
      </c>
      <c s="127">
        <f>Предпосылки!BD366</f>
        <v>0</v>
      </c>
      <c s="127">
        <f>Предпосылки!BE366</f>
        <v>0</v>
      </c>
      <c s="127">
        <f>Предпосылки!BF366</f>
        <v>0</v>
      </c>
      <c s="127">
        <f>Предпосылки!BG366</f>
        <v>0</v>
      </c>
      <c s="127">
        <f>Предпосылки!BH366</f>
        <v>0</v>
      </c>
      <c s="127">
        <f>Предпосылки!BI366</f>
        <v>0</v>
      </c>
      <c s="127">
        <f>Предпосылки!BJ366</f>
        <v>0</v>
      </c>
      <c s="127">
        <f>Предпосылки!BK366</f>
        <v>0</v>
      </c>
      <c s="127">
        <f>Предпосылки!BL366</f>
        <v>0</v>
      </c>
      <c s="127">
        <f>Предпосылки!BM366</f>
        <v>0</v>
      </c>
    </row>
    <row r="140" spans="2:65" ht="15" customHeight="1">
      <c r="B140" s="12" t="str">
        <f>IF(ISBLANK(Предпосылки!B367),"-",Предпосылки!B367)</f>
        <v>-</v>
      </c>
      <c s="124" t="s">
        <v>873</v>
      </c>
      <c s="127"/>
      <c s="127">
        <f>Предпосылки!E367</f>
        <v>0</v>
      </c>
      <c s="127">
        <f>Предпосылки!F367</f>
        <v>0</v>
      </c>
      <c s="127">
        <f>Предпосылки!G367</f>
        <v>0</v>
      </c>
      <c s="127">
        <f>Предпосылки!H367</f>
        <v>0</v>
      </c>
      <c s="127">
        <f>Предпосылки!I367</f>
        <v>0</v>
      </c>
      <c s="127">
        <f>Предпосылки!J367</f>
        <v>0</v>
      </c>
      <c s="127">
        <f>Предпосылки!K367</f>
        <v>0</v>
      </c>
      <c s="127">
        <f>Предпосылки!L367</f>
        <v>0</v>
      </c>
      <c s="127">
        <f>Предпосылки!M367</f>
        <v>0</v>
      </c>
      <c s="127">
        <f>Предпосылки!N367</f>
        <v>0</v>
      </c>
      <c s="127">
        <f>Предпосылки!O367</f>
        <v>0</v>
      </c>
      <c s="127">
        <f>Предпосылки!P367</f>
        <v>0</v>
      </c>
      <c s="127">
        <f>Предпосылки!Q367</f>
        <v>0</v>
      </c>
      <c s="127">
        <f>Предпосылки!R367</f>
        <v>0</v>
      </c>
      <c s="127">
        <f>Предпосылки!S367</f>
        <v>0</v>
      </c>
      <c s="127">
        <f>Предпосылки!T367</f>
        <v>0</v>
      </c>
      <c s="127">
        <f>Предпосылки!U367</f>
        <v>0</v>
      </c>
      <c s="127">
        <f>Предпосылки!V367</f>
        <v>0</v>
      </c>
      <c s="127">
        <f>Предпосылки!W367</f>
        <v>0</v>
      </c>
      <c s="127">
        <f>Предпосылки!X367</f>
        <v>0</v>
      </c>
      <c s="127">
        <f>Предпосылки!Y367</f>
        <v>0</v>
      </c>
      <c s="127">
        <f>Предпосылки!Z367</f>
        <v>0</v>
      </c>
      <c s="127">
        <f>Предпосылки!AA367</f>
        <v>0</v>
      </c>
      <c s="127">
        <f>Предпосылки!AB367</f>
        <v>0</v>
      </c>
      <c s="127">
        <f>Предпосылки!AC367</f>
        <v>0</v>
      </c>
      <c s="127">
        <f>Предпосылки!AD367</f>
        <v>0</v>
      </c>
      <c s="127">
        <f>Предпосылки!AE367</f>
        <v>0</v>
      </c>
      <c s="127">
        <f>Предпосылки!AF367</f>
        <v>0</v>
      </c>
      <c s="127">
        <f>Предпосылки!AG367</f>
        <v>0</v>
      </c>
      <c s="127">
        <f>Предпосылки!AH367</f>
        <v>0</v>
      </c>
      <c s="127">
        <f>Предпосылки!AI367</f>
        <v>0</v>
      </c>
      <c s="127">
        <f>Предпосылки!AJ367</f>
        <v>0</v>
      </c>
      <c s="127">
        <f>Предпосылки!AK367</f>
        <v>0</v>
      </c>
      <c s="127">
        <f>Предпосылки!AL367</f>
        <v>0</v>
      </c>
      <c s="127">
        <f>Предпосылки!AM367</f>
        <v>0</v>
      </c>
      <c s="127">
        <f>Предпосылки!AN367</f>
        <v>0</v>
      </c>
      <c s="127">
        <f>Предпосылки!AO367</f>
        <v>0</v>
      </c>
      <c s="127">
        <f>Предпосылки!AP367</f>
        <v>0</v>
      </c>
      <c s="127">
        <f>Предпосылки!AQ367</f>
        <v>0</v>
      </c>
      <c s="127">
        <f>Предпосылки!AR367</f>
        <v>0</v>
      </c>
      <c s="127">
        <f>Предпосылки!AS367</f>
        <v>0</v>
      </c>
      <c s="127">
        <f>Предпосылки!AT367</f>
        <v>0</v>
      </c>
      <c s="127">
        <f>Предпосылки!AU367</f>
        <v>0</v>
      </c>
      <c s="127">
        <f>Предпосылки!AV367</f>
        <v>0</v>
      </c>
      <c s="127">
        <f>Предпосылки!AW367</f>
        <v>0</v>
      </c>
      <c s="127">
        <f>Предпосылки!AX367</f>
        <v>0</v>
      </c>
      <c s="127">
        <f>Предпосылки!AY367</f>
        <v>0</v>
      </c>
      <c s="127">
        <f>Предпосылки!AZ367</f>
        <v>0</v>
      </c>
      <c s="127">
        <f>Предпосылки!BA367</f>
        <v>0</v>
      </c>
      <c s="127">
        <f>Предпосылки!BB367</f>
        <v>0</v>
      </c>
      <c s="127">
        <f>Предпосылки!BC367</f>
        <v>0</v>
      </c>
      <c s="127">
        <f>Предпосылки!BD367</f>
        <v>0</v>
      </c>
      <c s="127">
        <f>Предпосылки!BE367</f>
        <v>0</v>
      </c>
      <c s="127">
        <f>Предпосылки!BF367</f>
        <v>0</v>
      </c>
      <c s="127">
        <f>Предпосылки!BG367</f>
        <v>0</v>
      </c>
      <c s="127">
        <f>Предпосылки!BH367</f>
        <v>0</v>
      </c>
      <c s="127">
        <f>Предпосылки!BI367</f>
        <v>0</v>
      </c>
      <c s="127">
        <f>Предпосылки!BJ367</f>
        <v>0</v>
      </c>
      <c s="127">
        <f>Предпосылки!BK367</f>
        <v>0</v>
      </c>
      <c s="127">
        <f>Предпосылки!BL367</f>
        <v>0</v>
      </c>
      <c s="127">
        <f>Предпосылки!BM367</f>
        <v>0</v>
      </c>
    </row>
    <row r="141" spans="2:65" ht="15" customHeight="1">
      <c r="B141" s="12" t="str">
        <f>IF(ISBLANK(Предпосылки!B368),"-",Предпосылки!B368)</f>
        <v>-</v>
      </c>
      <c s="124" t="s">
        <v>873</v>
      </c>
      <c s="127"/>
      <c s="127">
        <f>Предпосылки!E368</f>
        <v>0</v>
      </c>
      <c s="127">
        <f>Предпосылки!F368</f>
        <v>0</v>
      </c>
      <c s="127">
        <f>Предпосылки!G368</f>
        <v>0</v>
      </c>
      <c s="127">
        <f>Предпосылки!H368</f>
        <v>0</v>
      </c>
      <c s="127">
        <f>Предпосылки!I368</f>
        <v>0</v>
      </c>
      <c s="127">
        <f>Предпосылки!J368</f>
        <v>0</v>
      </c>
      <c s="127">
        <f>Предпосылки!K368</f>
        <v>0</v>
      </c>
      <c s="127">
        <f>Предпосылки!L368</f>
        <v>0</v>
      </c>
      <c s="127">
        <f>Предпосылки!M368</f>
        <v>0</v>
      </c>
      <c s="127">
        <f>Предпосылки!N368</f>
        <v>0</v>
      </c>
      <c s="127">
        <f>Предпосылки!O368</f>
        <v>0</v>
      </c>
      <c s="127">
        <f>Предпосылки!P368</f>
        <v>0</v>
      </c>
      <c s="127">
        <f>Предпосылки!Q368</f>
        <v>0</v>
      </c>
      <c s="127">
        <f>Предпосылки!R368</f>
        <v>0</v>
      </c>
      <c s="127">
        <f>Предпосылки!S368</f>
        <v>0</v>
      </c>
      <c s="127">
        <f>Предпосылки!T368</f>
        <v>0</v>
      </c>
      <c s="127">
        <f>Предпосылки!U368</f>
        <v>0</v>
      </c>
      <c s="127">
        <f>Предпосылки!V368</f>
        <v>0</v>
      </c>
      <c s="127">
        <f>Предпосылки!W368</f>
        <v>0</v>
      </c>
      <c s="127">
        <f>Предпосылки!X368</f>
        <v>0</v>
      </c>
      <c s="127">
        <f>Предпосылки!Y368</f>
        <v>0</v>
      </c>
      <c s="127">
        <f>Предпосылки!Z368</f>
        <v>0</v>
      </c>
      <c s="127">
        <f>Предпосылки!AA368</f>
        <v>0</v>
      </c>
      <c s="127">
        <f>Предпосылки!AB368</f>
        <v>0</v>
      </c>
      <c s="127">
        <f>Предпосылки!AC368</f>
        <v>0</v>
      </c>
      <c s="127">
        <f>Предпосылки!AD368</f>
        <v>0</v>
      </c>
      <c s="127">
        <f>Предпосылки!AE368</f>
        <v>0</v>
      </c>
      <c s="127">
        <f>Предпосылки!AF368</f>
        <v>0</v>
      </c>
      <c s="127">
        <f>Предпосылки!AG368</f>
        <v>0</v>
      </c>
      <c s="127">
        <f>Предпосылки!AH368</f>
        <v>0</v>
      </c>
      <c s="127">
        <f>Предпосылки!AI368</f>
        <v>0</v>
      </c>
      <c s="127">
        <f>Предпосылки!AJ368</f>
        <v>0</v>
      </c>
      <c s="127">
        <f>Предпосылки!AK368</f>
        <v>0</v>
      </c>
      <c s="127">
        <f>Предпосылки!AL368</f>
        <v>0</v>
      </c>
      <c s="127">
        <f>Предпосылки!AM368</f>
        <v>0</v>
      </c>
      <c s="127">
        <f>Предпосылки!AN368</f>
        <v>0</v>
      </c>
      <c s="127">
        <f>Предпосылки!AO368</f>
        <v>0</v>
      </c>
      <c s="127">
        <f>Предпосылки!AP368</f>
        <v>0</v>
      </c>
      <c s="127">
        <f>Предпосылки!AQ368</f>
        <v>0</v>
      </c>
      <c s="127">
        <f>Предпосылки!AR368</f>
        <v>0</v>
      </c>
      <c s="127">
        <f>Предпосылки!AS368</f>
        <v>0</v>
      </c>
      <c s="127">
        <f>Предпосылки!AT368</f>
        <v>0</v>
      </c>
      <c s="127">
        <f>Предпосылки!AU368</f>
        <v>0</v>
      </c>
      <c s="127">
        <f>Предпосылки!AV368</f>
        <v>0</v>
      </c>
      <c s="127">
        <f>Предпосылки!AW368</f>
        <v>0</v>
      </c>
      <c s="127">
        <f>Предпосылки!AX368</f>
        <v>0</v>
      </c>
      <c s="127">
        <f>Предпосылки!AY368</f>
        <v>0</v>
      </c>
      <c s="127">
        <f>Предпосылки!AZ368</f>
        <v>0</v>
      </c>
      <c s="127">
        <f>Предпосылки!BA368</f>
        <v>0</v>
      </c>
      <c s="127">
        <f>Предпосылки!BB368</f>
        <v>0</v>
      </c>
      <c s="127">
        <f>Предпосылки!BC368</f>
        <v>0</v>
      </c>
      <c s="127">
        <f>Предпосылки!BD368</f>
        <v>0</v>
      </c>
      <c s="127">
        <f>Предпосылки!BE368</f>
        <v>0</v>
      </c>
      <c s="127">
        <f>Предпосылки!BF368</f>
        <v>0</v>
      </c>
      <c s="127">
        <f>Предпосылки!BG368</f>
        <v>0</v>
      </c>
      <c s="127">
        <f>Предпосылки!BH368</f>
        <v>0</v>
      </c>
      <c s="127">
        <f>Предпосылки!BI368</f>
        <v>0</v>
      </c>
      <c s="127">
        <f>Предпосылки!BJ368</f>
        <v>0</v>
      </c>
      <c s="127">
        <f>Предпосылки!BK368</f>
        <v>0</v>
      </c>
      <c s="127">
        <f>Предпосылки!BL368</f>
        <v>0</v>
      </c>
      <c s="127">
        <f>Предпосылки!BM368</f>
        <v>0</v>
      </c>
    </row>
    <row r="142" spans="2:65" ht="15" customHeight="1">
      <c r="B142" s="12" t="str">
        <f>IF(ISBLANK(Предпосылки!B369),"-",Предпосылки!B369)</f>
        <v>-</v>
      </c>
      <c s="124" t="s">
        <v>873</v>
      </c>
      <c s="127"/>
      <c s="127">
        <f>Предпосылки!E369</f>
        <v>0</v>
      </c>
      <c s="127">
        <f>Предпосылки!F369</f>
        <v>0</v>
      </c>
      <c s="127">
        <f>Предпосылки!G369</f>
        <v>0</v>
      </c>
      <c s="127">
        <f>Предпосылки!H369</f>
        <v>0</v>
      </c>
      <c s="127">
        <f>Предпосылки!I369</f>
        <v>0</v>
      </c>
      <c s="127">
        <f>Предпосылки!J369</f>
        <v>0</v>
      </c>
      <c s="127">
        <f>Предпосылки!K369</f>
        <v>0</v>
      </c>
      <c s="127">
        <f>Предпосылки!L369</f>
        <v>0</v>
      </c>
      <c s="127">
        <f>Предпосылки!M369</f>
        <v>0</v>
      </c>
      <c s="127">
        <f>Предпосылки!N369</f>
        <v>0</v>
      </c>
      <c s="127">
        <f>Предпосылки!O369</f>
        <v>0</v>
      </c>
      <c s="127">
        <f>Предпосылки!P369</f>
        <v>0</v>
      </c>
      <c s="127">
        <f>Предпосылки!Q369</f>
        <v>0</v>
      </c>
      <c s="127">
        <f>Предпосылки!R369</f>
        <v>0</v>
      </c>
      <c s="127">
        <f>Предпосылки!S369</f>
        <v>0</v>
      </c>
      <c s="127">
        <f>Предпосылки!T369</f>
        <v>0</v>
      </c>
      <c s="127">
        <f>Предпосылки!U369</f>
        <v>0</v>
      </c>
      <c s="127">
        <f>Предпосылки!V369</f>
        <v>0</v>
      </c>
      <c s="127">
        <f>Предпосылки!W369</f>
        <v>0</v>
      </c>
      <c s="127">
        <f>Предпосылки!X369</f>
        <v>0</v>
      </c>
      <c s="127">
        <f>Предпосылки!Y369</f>
        <v>0</v>
      </c>
      <c s="127">
        <f>Предпосылки!Z369</f>
        <v>0</v>
      </c>
      <c s="127">
        <f>Предпосылки!AA369</f>
        <v>0</v>
      </c>
      <c s="127">
        <f>Предпосылки!AB369</f>
        <v>0</v>
      </c>
      <c s="127">
        <f>Предпосылки!AC369</f>
        <v>0</v>
      </c>
      <c s="127">
        <f>Предпосылки!AD369</f>
        <v>0</v>
      </c>
      <c s="127">
        <f>Предпосылки!AE369</f>
        <v>0</v>
      </c>
      <c s="127">
        <f>Предпосылки!AF369</f>
        <v>0</v>
      </c>
      <c s="127">
        <f>Предпосылки!AG369</f>
        <v>0</v>
      </c>
      <c s="127">
        <f>Предпосылки!AH369</f>
        <v>0</v>
      </c>
      <c s="127">
        <f>Предпосылки!AI369</f>
        <v>0</v>
      </c>
      <c s="127">
        <f>Предпосылки!AJ369</f>
        <v>0</v>
      </c>
      <c s="127">
        <f>Предпосылки!AK369</f>
        <v>0</v>
      </c>
      <c s="127">
        <f>Предпосылки!AL369</f>
        <v>0</v>
      </c>
      <c s="127">
        <f>Предпосылки!AM369</f>
        <v>0</v>
      </c>
      <c s="127">
        <f>Предпосылки!AN369</f>
        <v>0</v>
      </c>
      <c s="127">
        <f>Предпосылки!AO369</f>
        <v>0</v>
      </c>
      <c s="127">
        <f>Предпосылки!AP369</f>
        <v>0</v>
      </c>
      <c s="127">
        <f>Предпосылки!AQ369</f>
        <v>0</v>
      </c>
      <c s="127">
        <f>Предпосылки!AR369</f>
        <v>0</v>
      </c>
      <c s="127">
        <f>Предпосылки!AS369</f>
        <v>0</v>
      </c>
      <c s="127">
        <f>Предпосылки!AT369</f>
        <v>0</v>
      </c>
      <c s="127">
        <f>Предпосылки!AU369</f>
        <v>0</v>
      </c>
      <c s="127">
        <f>Предпосылки!AV369</f>
        <v>0</v>
      </c>
      <c s="127">
        <f>Предпосылки!AW369</f>
        <v>0</v>
      </c>
      <c s="127">
        <f>Предпосылки!AX369</f>
        <v>0</v>
      </c>
      <c s="127">
        <f>Предпосылки!AY369</f>
        <v>0</v>
      </c>
      <c s="127">
        <f>Предпосылки!AZ369</f>
        <v>0</v>
      </c>
      <c s="127">
        <f>Предпосылки!BA369</f>
        <v>0</v>
      </c>
      <c s="127">
        <f>Предпосылки!BB369</f>
        <v>0</v>
      </c>
      <c s="127">
        <f>Предпосылки!BC369</f>
        <v>0</v>
      </c>
      <c s="127">
        <f>Предпосылки!BD369</f>
        <v>0</v>
      </c>
      <c s="127">
        <f>Предпосылки!BE369</f>
        <v>0</v>
      </c>
      <c s="127">
        <f>Предпосылки!BF369</f>
        <v>0</v>
      </c>
      <c s="127">
        <f>Предпосылки!BG369</f>
        <v>0</v>
      </c>
      <c s="127">
        <f>Предпосылки!BH369</f>
        <v>0</v>
      </c>
      <c s="127">
        <f>Предпосылки!BI369</f>
        <v>0</v>
      </c>
      <c s="127">
        <f>Предпосылки!BJ369</f>
        <v>0</v>
      </c>
      <c s="127">
        <f>Предпосылки!BK369</f>
        <v>0</v>
      </c>
      <c s="127">
        <f>Предпосылки!BL369</f>
        <v>0</v>
      </c>
      <c s="127">
        <f>Предпосылки!BM369</f>
        <v>0</v>
      </c>
    </row>
    <row r="143" spans="2:65" ht="15" customHeight="1">
      <c r="B143" s="12" t="str">
        <f>IF(ISBLANK(Предпосылки!B370),"-",Предпосылки!B370)</f>
        <v>-</v>
      </c>
      <c s="124" t="s">
        <v>873</v>
      </c>
      <c s="127"/>
      <c s="127">
        <f>Предпосылки!E370</f>
        <v>0</v>
      </c>
      <c s="127">
        <f>Предпосылки!F370</f>
        <v>0</v>
      </c>
      <c s="127">
        <f>Предпосылки!G370</f>
        <v>0</v>
      </c>
      <c s="127">
        <f>Предпосылки!H370</f>
        <v>0</v>
      </c>
      <c s="127">
        <f>Предпосылки!I370</f>
        <v>0</v>
      </c>
      <c s="127">
        <f>Предпосылки!J370</f>
        <v>0</v>
      </c>
      <c s="127">
        <f>Предпосылки!K370</f>
        <v>0</v>
      </c>
      <c s="127">
        <f>Предпосылки!L370</f>
        <v>0</v>
      </c>
      <c s="127">
        <f>Предпосылки!M370</f>
        <v>0</v>
      </c>
      <c s="127">
        <f>Предпосылки!N370</f>
        <v>0</v>
      </c>
      <c s="127">
        <f>Предпосылки!O370</f>
        <v>0</v>
      </c>
      <c s="127">
        <f>Предпосылки!P370</f>
        <v>0</v>
      </c>
      <c s="127">
        <f>Предпосылки!Q370</f>
        <v>0</v>
      </c>
      <c s="127">
        <f>Предпосылки!R370</f>
        <v>0</v>
      </c>
      <c s="127">
        <f>Предпосылки!S370</f>
        <v>0</v>
      </c>
      <c s="127">
        <f>Предпосылки!T370</f>
        <v>0</v>
      </c>
      <c s="127">
        <f>Предпосылки!U370</f>
        <v>0</v>
      </c>
      <c s="127">
        <f>Предпосылки!V370</f>
        <v>0</v>
      </c>
      <c s="127">
        <f>Предпосылки!W370</f>
        <v>0</v>
      </c>
      <c s="127">
        <f>Предпосылки!X370</f>
        <v>0</v>
      </c>
      <c s="127">
        <f>Предпосылки!Y370</f>
        <v>0</v>
      </c>
      <c s="127">
        <f>Предпосылки!Z370</f>
        <v>0</v>
      </c>
      <c s="127">
        <f>Предпосылки!AA370</f>
        <v>0</v>
      </c>
      <c s="127">
        <f>Предпосылки!AB370</f>
        <v>0</v>
      </c>
      <c s="127">
        <f>Предпосылки!AC370</f>
        <v>0</v>
      </c>
      <c s="127">
        <f>Предпосылки!AD370</f>
        <v>0</v>
      </c>
      <c s="127">
        <f>Предпосылки!AE370</f>
        <v>0</v>
      </c>
      <c s="127">
        <f>Предпосылки!AF370</f>
        <v>0</v>
      </c>
      <c s="127">
        <f>Предпосылки!AG370</f>
        <v>0</v>
      </c>
      <c s="127">
        <f>Предпосылки!AH370</f>
        <v>0</v>
      </c>
      <c s="127">
        <f>Предпосылки!AI370</f>
        <v>0</v>
      </c>
      <c s="127">
        <f>Предпосылки!AJ370</f>
        <v>0</v>
      </c>
      <c s="127">
        <f>Предпосылки!AK370</f>
        <v>0</v>
      </c>
      <c s="127">
        <f>Предпосылки!AL370</f>
        <v>0</v>
      </c>
      <c s="127">
        <f>Предпосылки!AM370</f>
        <v>0</v>
      </c>
      <c s="127">
        <f>Предпосылки!AN370</f>
        <v>0</v>
      </c>
      <c s="127">
        <f>Предпосылки!AO370</f>
        <v>0</v>
      </c>
      <c s="127">
        <f>Предпосылки!AP370</f>
        <v>0</v>
      </c>
      <c s="127">
        <f>Предпосылки!AQ370</f>
        <v>0</v>
      </c>
      <c s="127">
        <f>Предпосылки!AR370</f>
        <v>0</v>
      </c>
      <c s="127">
        <f>Предпосылки!AS370</f>
        <v>0</v>
      </c>
      <c s="127">
        <f>Предпосылки!AT370</f>
        <v>0</v>
      </c>
      <c s="127">
        <f>Предпосылки!AU370</f>
        <v>0</v>
      </c>
      <c s="127">
        <f>Предпосылки!AV370</f>
        <v>0</v>
      </c>
      <c s="127">
        <f>Предпосылки!AW370</f>
        <v>0</v>
      </c>
      <c s="127">
        <f>Предпосылки!AX370</f>
        <v>0</v>
      </c>
      <c s="127">
        <f>Предпосылки!AY370</f>
        <v>0</v>
      </c>
      <c s="127">
        <f>Предпосылки!AZ370</f>
        <v>0</v>
      </c>
      <c s="127">
        <f>Предпосылки!BA370</f>
        <v>0</v>
      </c>
      <c s="127">
        <f>Предпосылки!BB370</f>
        <v>0</v>
      </c>
      <c s="127">
        <f>Предпосылки!BC370</f>
        <v>0</v>
      </c>
      <c s="127">
        <f>Предпосылки!BD370</f>
        <v>0</v>
      </c>
      <c s="127">
        <f>Предпосылки!BE370</f>
        <v>0</v>
      </c>
      <c s="127">
        <f>Предпосылки!BF370</f>
        <v>0</v>
      </c>
      <c s="127">
        <f>Предпосылки!BG370</f>
        <v>0</v>
      </c>
      <c s="127">
        <f>Предпосылки!BH370</f>
        <v>0</v>
      </c>
      <c s="127">
        <f>Предпосылки!BI370</f>
        <v>0</v>
      </c>
      <c s="127">
        <f>Предпосылки!BJ370</f>
        <v>0</v>
      </c>
      <c s="127">
        <f>Предпосылки!BK370</f>
        <v>0</v>
      </c>
      <c s="127">
        <f>Предпосылки!BL370</f>
        <v>0</v>
      </c>
      <c s="127">
        <f>Предпосылки!BM370</f>
        <v>0</v>
      </c>
    </row>
    <row r="144" spans="2:65" ht="15" customHeight="1">
      <c r="B144" s="12" t="str">
        <f>IF(ISBLANK(Предпосылки!B371),"-",Предпосылки!B371)</f>
        <v>-</v>
      </c>
      <c s="124" t="s">
        <v>873</v>
      </c>
      <c s="127"/>
      <c s="127">
        <f>Предпосылки!E371</f>
        <v>0</v>
      </c>
      <c s="127">
        <f>Предпосылки!F371</f>
        <v>0</v>
      </c>
      <c s="127">
        <f>Предпосылки!G371</f>
        <v>0</v>
      </c>
      <c s="127">
        <f>Предпосылки!H371</f>
        <v>0</v>
      </c>
      <c s="127">
        <f>Предпосылки!I371</f>
        <v>0</v>
      </c>
      <c s="127">
        <f>Предпосылки!J371</f>
        <v>0</v>
      </c>
      <c s="127">
        <f>Предпосылки!K371</f>
        <v>0</v>
      </c>
      <c s="127">
        <f>Предпосылки!L371</f>
        <v>0</v>
      </c>
      <c s="127">
        <f>Предпосылки!M371</f>
        <v>0</v>
      </c>
      <c s="127">
        <f>Предпосылки!N371</f>
        <v>0</v>
      </c>
      <c s="127">
        <f>Предпосылки!O371</f>
        <v>0</v>
      </c>
      <c s="127">
        <f>Предпосылки!P371</f>
        <v>0</v>
      </c>
      <c s="127">
        <f>Предпосылки!Q371</f>
        <v>0</v>
      </c>
      <c s="127">
        <f>Предпосылки!R371</f>
        <v>0</v>
      </c>
      <c s="127">
        <f>Предпосылки!S371</f>
        <v>0</v>
      </c>
      <c s="127">
        <f>Предпосылки!T371</f>
        <v>0</v>
      </c>
      <c s="127">
        <f>Предпосылки!U371</f>
        <v>0</v>
      </c>
      <c s="127">
        <f>Предпосылки!V371</f>
        <v>0</v>
      </c>
      <c s="127">
        <f>Предпосылки!W371</f>
        <v>0</v>
      </c>
      <c s="127">
        <f>Предпосылки!X371</f>
        <v>0</v>
      </c>
      <c s="127">
        <f>Предпосылки!Y371</f>
        <v>0</v>
      </c>
      <c s="127">
        <f>Предпосылки!Z371</f>
        <v>0</v>
      </c>
      <c s="127">
        <f>Предпосылки!AA371</f>
        <v>0</v>
      </c>
      <c s="127">
        <f>Предпосылки!AB371</f>
        <v>0</v>
      </c>
      <c s="127">
        <f>Предпосылки!AC371</f>
        <v>0</v>
      </c>
      <c s="127">
        <f>Предпосылки!AD371</f>
        <v>0</v>
      </c>
      <c s="127">
        <f>Предпосылки!AE371</f>
        <v>0</v>
      </c>
      <c s="127">
        <f>Предпосылки!AF371</f>
        <v>0</v>
      </c>
      <c s="127">
        <f>Предпосылки!AG371</f>
        <v>0</v>
      </c>
      <c s="127">
        <f>Предпосылки!AH371</f>
        <v>0</v>
      </c>
      <c s="127">
        <f>Предпосылки!AI371</f>
        <v>0</v>
      </c>
      <c s="127">
        <f>Предпосылки!AJ371</f>
        <v>0</v>
      </c>
      <c s="127">
        <f>Предпосылки!AK371</f>
        <v>0</v>
      </c>
      <c s="127">
        <f>Предпосылки!AL371</f>
        <v>0</v>
      </c>
      <c s="127">
        <f>Предпосылки!AM371</f>
        <v>0</v>
      </c>
      <c s="127">
        <f>Предпосылки!AN371</f>
        <v>0</v>
      </c>
      <c s="127">
        <f>Предпосылки!AO371</f>
        <v>0</v>
      </c>
      <c s="127">
        <f>Предпосылки!AP371</f>
        <v>0</v>
      </c>
      <c s="127">
        <f>Предпосылки!AQ371</f>
        <v>0</v>
      </c>
      <c s="127">
        <f>Предпосылки!AR371</f>
        <v>0</v>
      </c>
      <c s="127">
        <f>Предпосылки!AS371</f>
        <v>0</v>
      </c>
      <c s="127">
        <f>Предпосылки!AT371</f>
        <v>0</v>
      </c>
      <c s="127">
        <f>Предпосылки!AU371</f>
        <v>0</v>
      </c>
      <c s="127">
        <f>Предпосылки!AV371</f>
        <v>0</v>
      </c>
      <c s="127">
        <f>Предпосылки!AW371</f>
        <v>0</v>
      </c>
      <c s="127">
        <f>Предпосылки!AX371</f>
        <v>0</v>
      </c>
      <c s="127">
        <f>Предпосылки!AY371</f>
        <v>0</v>
      </c>
      <c s="127">
        <f>Предпосылки!AZ371</f>
        <v>0</v>
      </c>
      <c s="127">
        <f>Предпосылки!BA371</f>
        <v>0</v>
      </c>
      <c s="127">
        <f>Предпосылки!BB371</f>
        <v>0</v>
      </c>
      <c s="127">
        <f>Предпосылки!BC371</f>
        <v>0</v>
      </c>
      <c s="127">
        <f>Предпосылки!BD371</f>
        <v>0</v>
      </c>
      <c s="127">
        <f>Предпосылки!BE371</f>
        <v>0</v>
      </c>
      <c s="127">
        <f>Предпосылки!BF371</f>
        <v>0</v>
      </c>
      <c s="127">
        <f>Предпосылки!BG371</f>
        <v>0</v>
      </c>
      <c s="127">
        <f>Предпосылки!BH371</f>
        <v>0</v>
      </c>
      <c s="127">
        <f>Предпосылки!BI371</f>
        <v>0</v>
      </c>
      <c s="127">
        <f>Предпосылки!BJ371</f>
        <v>0</v>
      </c>
      <c s="127">
        <f>Предпосылки!BK371</f>
        <v>0</v>
      </c>
      <c s="127">
        <f>Предпосылки!BL371</f>
        <v>0</v>
      </c>
      <c s="127">
        <f>Предпосылки!BM371</f>
        <v>0</v>
      </c>
    </row>
    <row r="145" spans="2:65" ht="15" customHeight="1">
      <c r="B145" s="12" t="str">
        <f>IF(ISBLANK(Предпосылки!B372),"-",Предпосылки!B372)</f>
        <v>-</v>
      </c>
      <c s="124" t="s">
        <v>873</v>
      </c>
      <c s="127"/>
      <c s="127">
        <f>Предпосылки!E372</f>
        <v>0</v>
      </c>
      <c s="127">
        <f>Предпосылки!F372</f>
        <v>0</v>
      </c>
      <c s="127">
        <f>Предпосылки!G372</f>
        <v>0</v>
      </c>
      <c s="127">
        <f>Предпосылки!H372</f>
        <v>0</v>
      </c>
      <c s="127">
        <f>Предпосылки!I372</f>
        <v>0</v>
      </c>
      <c s="127">
        <f>Предпосылки!J372</f>
        <v>0</v>
      </c>
      <c s="127">
        <f>Предпосылки!K372</f>
        <v>0</v>
      </c>
      <c s="127">
        <f>Предпосылки!L372</f>
        <v>0</v>
      </c>
      <c s="127">
        <f>Предпосылки!M372</f>
        <v>0</v>
      </c>
      <c s="127">
        <f>Предпосылки!N372</f>
        <v>0</v>
      </c>
      <c s="127">
        <f>Предпосылки!O372</f>
        <v>0</v>
      </c>
      <c s="127">
        <f>Предпосылки!P372</f>
        <v>0</v>
      </c>
      <c s="127">
        <f>Предпосылки!Q372</f>
        <v>0</v>
      </c>
      <c s="127">
        <f>Предпосылки!R372</f>
        <v>0</v>
      </c>
      <c s="127">
        <f>Предпосылки!S372</f>
        <v>0</v>
      </c>
      <c s="127">
        <f>Предпосылки!T372</f>
        <v>0</v>
      </c>
      <c s="127">
        <f>Предпосылки!U372</f>
        <v>0</v>
      </c>
      <c s="127">
        <f>Предпосылки!V372</f>
        <v>0</v>
      </c>
      <c s="127">
        <f>Предпосылки!W372</f>
        <v>0</v>
      </c>
      <c s="127">
        <f>Предпосылки!X372</f>
        <v>0</v>
      </c>
      <c s="127">
        <f>Предпосылки!Y372</f>
        <v>0</v>
      </c>
      <c s="127">
        <f>Предпосылки!Z372</f>
        <v>0</v>
      </c>
      <c s="127">
        <f>Предпосылки!AA372</f>
        <v>0</v>
      </c>
      <c s="127">
        <f>Предпосылки!AB372</f>
        <v>0</v>
      </c>
      <c s="127">
        <f>Предпосылки!AC372</f>
        <v>0</v>
      </c>
      <c s="127">
        <f>Предпосылки!AD372</f>
        <v>0</v>
      </c>
      <c s="127">
        <f>Предпосылки!AE372</f>
        <v>0</v>
      </c>
      <c s="127">
        <f>Предпосылки!AF372</f>
        <v>0</v>
      </c>
      <c s="127">
        <f>Предпосылки!AG372</f>
        <v>0</v>
      </c>
      <c s="127">
        <f>Предпосылки!AH372</f>
        <v>0</v>
      </c>
      <c s="127">
        <f>Предпосылки!AI372</f>
        <v>0</v>
      </c>
      <c s="127">
        <f>Предпосылки!AJ372</f>
        <v>0</v>
      </c>
      <c s="127">
        <f>Предпосылки!AK372</f>
        <v>0</v>
      </c>
      <c s="127">
        <f>Предпосылки!AL372</f>
        <v>0</v>
      </c>
      <c s="127">
        <f>Предпосылки!AM372</f>
        <v>0</v>
      </c>
      <c s="127">
        <f>Предпосылки!AN372</f>
        <v>0</v>
      </c>
      <c s="127">
        <f>Предпосылки!AO372</f>
        <v>0</v>
      </c>
      <c s="127">
        <f>Предпосылки!AP372</f>
        <v>0</v>
      </c>
      <c s="127">
        <f>Предпосылки!AQ372</f>
        <v>0</v>
      </c>
      <c s="127">
        <f>Предпосылки!AR372</f>
        <v>0</v>
      </c>
      <c s="127">
        <f>Предпосылки!AS372</f>
        <v>0</v>
      </c>
      <c s="127">
        <f>Предпосылки!AT372</f>
        <v>0</v>
      </c>
      <c s="127">
        <f>Предпосылки!AU372</f>
        <v>0</v>
      </c>
      <c s="127">
        <f>Предпосылки!AV372</f>
        <v>0</v>
      </c>
      <c s="127">
        <f>Предпосылки!AW372</f>
        <v>0</v>
      </c>
      <c s="127">
        <f>Предпосылки!AX372</f>
        <v>0</v>
      </c>
      <c s="127">
        <f>Предпосылки!AY372</f>
        <v>0</v>
      </c>
      <c s="127">
        <f>Предпосылки!AZ372</f>
        <v>0</v>
      </c>
      <c s="127">
        <f>Предпосылки!BA372</f>
        <v>0</v>
      </c>
      <c s="127">
        <f>Предпосылки!BB372</f>
        <v>0</v>
      </c>
      <c s="127">
        <f>Предпосылки!BC372</f>
        <v>0</v>
      </c>
      <c s="127">
        <f>Предпосылки!BD372</f>
        <v>0</v>
      </c>
      <c s="127">
        <f>Предпосылки!BE372</f>
        <v>0</v>
      </c>
      <c s="127">
        <f>Предпосылки!BF372</f>
        <v>0</v>
      </c>
      <c s="127">
        <f>Предпосылки!BG372</f>
        <v>0</v>
      </c>
      <c s="127">
        <f>Предпосылки!BH372</f>
        <v>0</v>
      </c>
      <c s="127">
        <f>Предпосылки!BI372</f>
        <v>0</v>
      </c>
      <c s="127">
        <f>Предпосылки!BJ372</f>
        <v>0</v>
      </c>
      <c s="127">
        <f>Предпосылки!BK372</f>
        <v>0</v>
      </c>
      <c s="127">
        <f>Предпосылки!BL372</f>
        <v>0</v>
      </c>
      <c s="127">
        <f>Предпосылки!BM372</f>
        <v>0</v>
      </c>
    </row>
    <row r="146" spans="2:65" ht="15" customHeight="1">
      <c r="B146" s="12" t="str">
        <f>IF(ISBLANK(Предпосылки!B373),"-",Предпосылки!B373)</f>
        <v>-</v>
      </c>
      <c s="124" t="s">
        <v>873</v>
      </c>
      <c s="127"/>
      <c s="127">
        <f>Предпосылки!E373</f>
        <v>0</v>
      </c>
      <c s="127">
        <f>Предпосылки!F373</f>
        <v>0</v>
      </c>
      <c s="127">
        <f>Предпосылки!G373</f>
        <v>0</v>
      </c>
      <c s="127">
        <f>Предпосылки!H373</f>
        <v>0</v>
      </c>
      <c s="127">
        <f>Предпосылки!I373</f>
        <v>0</v>
      </c>
      <c s="127">
        <f>Предпосылки!J373</f>
        <v>0</v>
      </c>
      <c s="127">
        <f>Предпосылки!K373</f>
        <v>0</v>
      </c>
      <c s="127">
        <f>Предпосылки!L373</f>
        <v>0</v>
      </c>
      <c s="127">
        <f>Предпосылки!M373</f>
        <v>0</v>
      </c>
      <c s="127">
        <f>Предпосылки!N373</f>
        <v>0</v>
      </c>
      <c s="127">
        <f>Предпосылки!O373</f>
        <v>0</v>
      </c>
      <c s="127">
        <f>Предпосылки!P373</f>
        <v>0</v>
      </c>
      <c s="127">
        <f>Предпосылки!Q373</f>
        <v>0</v>
      </c>
      <c s="127">
        <f>Предпосылки!R373</f>
        <v>0</v>
      </c>
      <c s="127">
        <f>Предпосылки!S373</f>
        <v>0</v>
      </c>
      <c s="127">
        <f>Предпосылки!T373</f>
        <v>0</v>
      </c>
      <c s="127">
        <f>Предпосылки!U373</f>
        <v>0</v>
      </c>
      <c s="127">
        <f>Предпосылки!V373</f>
        <v>0</v>
      </c>
      <c s="127">
        <f>Предпосылки!W373</f>
        <v>0</v>
      </c>
      <c s="127">
        <f>Предпосылки!X373</f>
        <v>0</v>
      </c>
      <c s="127">
        <f>Предпосылки!Y373</f>
        <v>0</v>
      </c>
      <c s="127">
        <f>Предпосылки!Z373</f>
        <v>0</v>
      </c>
      <c s="127">
        <f>Предпосылки!AA373</f>
        <v>0</v>
      </c>
      <c s="127">
        <f>Предпосылки!AB373</f>
        <v>0</v>
      </c>
      <c s="127">
        <f>Предпосылки!AC373</f>
        <v>0</v>
      </c>
      <c s="127">
        <f>Предпосылки!AD373</f>
        <v>0</v>
      </c>
      <c s="127">
        <f>Предпосылки!AE373</f>
        <v>0</v>
      </c>
      <c s="127">
        <f>Предпосылки!AF373</f>
        <v>0</v>
      </c>
      <c s="127">
        <f>Предпосылки!AG373</f>
        <v>0</v>
      </c>
      <c s="127">
        <f>Предпосылки!AH373</f>
        <v>0</v>
      </c>
      <c s="127">
        <f>Предпосылки!AI373</f>
        <v>0</v>
      </c>
      <c s="127">
        <f>Предпосылки!AJ373</f>
        <v>0</v>
      </c>
      <c s="127">
        <f>Предпосылки!AK373</f>
        <v>0</v>
      </c>
      <c s="127">
        <f>Предпосылки!AL373</f>
        <v>0</v>
      </c>
      <c s="127">
        <f>Предпосылки!AM373</f>
        <v>0</v>
      </c>
      <c s="127">
        <f>Предпосылки!AN373</f>
        <v>0</v>
      </c>
      <c s="127">
        <f>Предпосылки!AO373</f>
        <v>0</v>
      </c>
      <c s="127">
        <f>Предпосылки!AP373</f>
        <v>0</v>
      </c>
      <c s="127">
        <f>Предпосылки!AQ373</f>
        <v>0</v>
      </c>
      <c s="127">
        <f>Предпосылки!AR373</f>
        <v>0</v>
      </c>
      <c s="127">
        <f>Предпосылки!AS373</f>
        <v>0</v>
      </c>
      <c s="127">
        <f>Предпосылки!AT373</f>
        <v>0</v>
      </c>
      <c s="127">
        <f>Предпосылки!AU373</f>
        <v>0</v>
      </c>
      <c s="127">
        <f>Предпосылки!AV373</f>
        <v>0</v>
      </c>
      <c s="127">
        <f>Предпосылки!AW373</f>
        <v>0</v>
      </c>
      <c s="127">
        <f>Предпосылки!AX373</f>
        <v>0</v>
      </c>
      <c s="127">
        <f>Предпосылки!AY373</f>
        <v>0</v>
      </c>
      <c s="127">
        <f>Предпосылки!AZ373</f>
        <v>0</v>
      </c>
      <c s="127">
        <f>Предпосылки!BA373</f>
        <v>0</v>
      </c>
      <c s="127">
        <f>Предпосылки!BB373</f>
        <v>0</v>
      </c>
      <c s="127">
        <f>Предпосылки!BC373</f>
        <v>0</v>
      </c>
      <c s="127">
        <f>Предпосылки!BD373</f>
        <v>0</v>
      </c>
      <c s="127">
        <f>Предпосылки!BE373</f>
        <v>0</v>
      </c>
      <c s="127">
        <f>Предпосылки!BF373</f>
        <v>0</v>
      </c>
      <c s="127">
        <f>Предпосылки!BG373</f>
        <v>0</v>
      </c>
      <c s="127">
        <f>Предпосылки!BH373</f>
        <v>0</v>
      </c>
      <c s="127">
        <f>Предпосылки!BI373</f>
        <v>0</v>
      </c>
      <c s="127">
        <f>Предпосылки!BJ373</f>
        <v>0</v>
      </c>
      <c s="127">
        <f>Предпосылки!BK373</f>
        <v>0</v>
      </c>
      <c s="127">
        <f>Предпосылки!BL373</f>
        <v>0</v>
      </c>
      <c s="127">
        <f>Предпосылки!BM373</f>
        <v>0</v>
      </c>
    </row>
    <row r="147" spans="2:65" ht="15" customHeight="1">
      <c r="B147" s="30"/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48" spans="2:65" ht="15" customHeight="1">
      <c r="B148" s="24" t="s">
        <v>874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49" spans="2:65" ht="15" customHeight="1">
      <c r="B149" s="12" t="s">
        <v>847</v>
      </c>
      <c s="124" t="s">
        <v>817</v>
      </c>
      <c s="124"/>
      <c s="126">
        <f>POWER(1+LOOKUP(YEAR(E$8),Предпосылки!$C$468:$R$468,Предпосылки!$C$472:$R$472),(E8+1-E7)/IF(MOD(YEAR(E8),4),365,366))</f>
        <v>1.0198552210205056</v>
      </c>
      <c s="126">
        <f>POWER(1+LOOKUP(YEAR(F$8),Предпосылки!$C$468:$R$468,Предпосылки!$C$472:$R$472),(F8+1-F7)/IF(MOD(YEAR(F8),4),365,366))</f>
        <v>1.0200780347359324</v>
      </c>
      <c s="126">
        <f>POWER(1+LOOKUP(YEAR(G$8),Предпосылки!$C$468:$R$468,Предпосылки!$C$472:$R$472),(G8+1-G7)/IF(MOD(YEAR(G8),4),365,366))</f>
        <v>1.0203008971307703</v>
      </c>
      <c s="126">
        <f>POWER(1+LOOKUP(YEAR(H$8),Предпосылки!$C$468:$R$468,Предпосылки!$C$472:$R$472),(H8+1-H7)/IF(MOD(YEAR(H8),4),365,366))</f>
        <v>1.0203008971307703</v>
      </c>
      <c s="126">
        <f>POWER(1+LOOKUP(YEAR(I$8),Предпосылки!$C$468:$R$468,Предпосылки!$C$472:$R$472),(I8+1-I7)/IF(MOD(YEAR(I8),4),365,366))</f>
        <v>1.0198552210205056</v>
      </c>
      <c s="126">
        <f>POWER(1+LOOKUP(YEAR(J$8),Предпосылки!$C$468:$R$468,Предпосылки!$C$472:$R$472),(J8+1-J7)/IF(MOD(YEAR(J8),4),365,366))</f>
        <v>1.0200780347359324</v>
      </c>
      <c s="126">
        <f>POWER(1+LOOKUP(YEAR(K$8),Предпосылки!$C$468:$R$468,Предпосылки!$C$472:$R$472),(K8+1-K7)/IF(MOD(YEAR(K8),4),365,366))</f>
        <v>1.0203008971307703</v>
      </c>
      <c s="126">
        <f>POWER(1+LOOKUP(YEAR(L$8),Предпосылки!$C$468:$R$468,Предпосылки!$C$472:$R$472),(L8+1-L7)/IF(MOD(YEAR(L8),4),365,366))</f>
        <v>1.0203008971307703</v>
      </c>
      <c s="126">
        <f>POWER(1+LOOKUP(YEAR(M$8),Предпосылки!$C$468:$R$468,Предпосылки!$C$472:$R$472),(M8+1-M7)/IF(MOD(YEAR(M8),4),365,366))</f>
        <v>1.0165884884841385</v>
      </c>
      <c s="126">
        <f>POWER(1+LOOKUP(YEAR(N$8),Предпосылки!$C$468:$R$468,Предпосылки!$C$472:$R$472),(N8+1-N7)/IF(MOD(YEAR(N8),4),365,366))</f>
        <v>1.0167743423923019</v>
      </c>
      <c s="126">
        <f>POWER(1+LOOKUP(YEAR(O$8),Предпосылки!$C$468:$R$468,Предпосылки!$C$472:$R$472),(O8+1-O7)/IF(MOD(YEAR(O8),4),365,366))</f>
        <v>1.0169602302784964</v>
      </c>
      <c s="126">
        <f>POWER(1+LOOKUP(YEAR(P$8),Предпосылки!$C$468:$R$468,Предпосылки!$C$472:$R$472),(P8+1-P7)/IF(MOD(YEAR(P8),4),365,366))</f>
        <v>1.0169602302784964</v>
      </c>
      <c s="126">
        <f>POWER(1+LOOKUP(YEAR(Q$8),Предпосылки!$C$468:$R$468,Предпосылки!$C$472:$R$472),(Q8+1-Q7)/IF(MOD(YEAR(Q8),4),365,366))</f>
        <v>1.0155436652958005</v>
      </c>
      <c s="126">
        <f>POWER(1+LOOKUP(YEAR(R$8),Предпосылки!$C$468:$R$468,Предпосылки!$C$472:$R$472),(R8+1-R7)/IF(MOD(YEAR(R8),4),365,366))</f>
        <v>1.0155436652958005</v>
      </c>
      <c s="126">
        <f>POWER(1+LOOKUP(YEAR(S$8),Предпосылки!$C$468:$R$468,Предпосылки!$C$472:$R$472),(S8+1-S7)/IF(MOD(YEAR(S8),4),365,366))</f>
        <v>1.0157158100708163</v>
      </c>
      <c s="126">
        <f>POWER(1+LOOKUP(YEAR(T$8),Предпосылки!$C$468:$R$468,Предпосылки!$C$472:$R$472),(T8+1-T7)/IF(MOD(YEAR(T8),4),365,366))</f>
        <v>1.0157158100708163</v>
      </c>
      <c s="126">
        <f>POWER(1+LOOKUP(YEAR(U$8),Предпосылки!$C$468:$R$468,Предпосылки!$C$472:$R$472),(U8+1-U7)/IF(MOD(YEAR(U8),4),365,366))</f>
        <v>1.0154139864492691</v>
      </c>
      <c s="126">
        <f>POWER(1+LOOKUP(YEAR(V$8),Предпосылки!$C$468:$R$468,Предпосылки!$C$472:$R$472),(V8+1-V7)/IF(MOD(YEAR(V8),4),365,366))</f>
        <v>1.015586580851799</v>
      </c>
      <c s="126">
        <f>POWER(1+LOOKUP(YEAR(W$8),Предпосылки!$C$468:$R$468,Предпосылки!$C$472:$R$472),(W8+1-W7)/IF(MOD(YEAR(W8),4),365,366))</f>
        <v>1.0157592045909623</v>
      </c>
      <c s="126">
        <f>POWER(1+LOOKUP(YEAR(X$8),Предпосылки!$C$468:$R$468,Предпосылки!$C$472:$R$472),(X8+1-X7)/IF(MOD(YEAR(X8),4),365,366))</f>
        <v>1.0157592045909623</v>
      </c>
      <c s="126">
        <f>POWER(1+LOOKUP(YEAR(Y$8),Предпосылки!$C$468:$R$468,Предпосылки!$C$472:$R$472),(Y8+1-Y7)/IF(MOD(YEAR(Y8),4),365,366))</f>
        <v>1.0154139864492691</v>
      </c>
      <c s="126">
        <f>POWER(1+LOOKUP(YEAR(Z$8),Предпосылки!$C$468:$R$468,Предпосылки!$C$472:$R$472),(Z8+1-Z7)/IF(MOD(YEAR(Z8),4),365,366))</f>
        <v>1.015586580851799</v>
      </c>
      <c s="126">
        <f>POWER(1+LOOKUP(YEAR(AA$8),Предпосылки!$C$468:$R$468,Предпосылки!$C$472:$R$472),(AA8+1-AA7)/IF(MOD(YEAR(AA8),4),365,366))</f>
        <v>1.0157592045909623</v>
      </c>
      <c s="126">
        <f>POWER(1+LOOKUP(YEAR(AB$8),Предпосылки!$C$468:$R$468,Предпосылки!$C$472:$R$472),(AB8+1-AB7)/IF(MOD(YEAR(AB8),4),365,366))</f>
        <v>1.0157592045909623</v>
      </c>
      <c s="126">
        <f>POWER(1+LOOKUP(YEAR(AC$8),Предпосылки!$C$468:$R$468,Предпосылки!$C$472:$R$472),(AC8+1-AC7)/IF(MOD(YEAR(AC8),4),365,366))</f>
        <v>1.0154139864492691</v>
      </c>
      <c s="126">
        <f>POWER(1+LOOKUP(YEAR(AD$8),Предпосылки!$C$468:$R$468,Предпосылки!$C$472:$R$472),(AD8+1-AD7)/IF(MOD(YEAR(AD8),4),365,366))</f>
        <v>1.015586580851799</v>
      </c>
      <c s="126">
        <f>POWER(1+LOOKUP(YEAR(AE$8),Предпосылки!$C$468:$R$468,Предпосылки!$C$472:$R$472),(AE8+1-AE7)/IF(MOD(YEAR(AE8),4),365,366))</f>
        <v>1.0157592045909623</v>
      </c>
      <c s="126">
        <f>POWER(1+LOOKUP(YEAR(AF$8),Предпосылки!$C$468:$R$468,Предпосылки!$C$472:$R$472),(AF8+1-AF7)/IF(MOD(YEAR(AF8),4),365,366))</f>
        <v>1.0157592045909623</v>
      </c>
      <c s="126">
        <f>POWER(1+LOOKUP(YEAR(AG$8),Предпосылки!$C$468:$R$468,Предпосылки!$C$472:$R$472),(AG8+1-AG7)/IF(MOD(YEAR(AG8),4),365,366))</f>
        <v>1.0155436652958005</v>
      </c>
      <c s="126">
        <f>POWER(1+LOOKUP(YEAR(AH$8),Предпосылки!$C$468:$R$468,Предпосылки!$C$472:$R$472),(AH8+1-AH7)/IF(MOD(YEAR(AH8),4),365,366))</f>
        <v>1.0155436652958005</v>
      </c>
      <c s="126">
        <f>POWER(1+LOOKUP(YEAR(AI$8),Предпосылки!$C$468:$R$468,Предпосылки!$C$472:$R$472),(AI8+1-AI7)/IF(MOD(YEAR(AI8),4),365,366))</f>
        <v>1.0157158100708163</v>
      </c>
      <c s="126">
        <f>POWER(1+LOOKUP(YEAR(AJ$8),Предпосылки!$C$468:$R$468,Предпосылки!$C$472:$R$472),(AJ8+1-AJ7)/IF(MOD(YEAR(AJ8),4),365,366))</f>
        <v>1.0157158100708163</v>
      </c>
      <c s="126">
        <f>POWER(1+LOOKUP(YEAR(AK$8),Предпосылки!$C$468:$R$468,Предпосылки!$C$472:$R$472),(AK8+1-AK7)/IF(MOD(YEAR(AK8),4),365,366))</f>
        <v>1.0154139864492691</v>
      </c>
      <c s="126">
        <f>POWER(1+LOOKUP(YEAR(AL$8),Предпосылки!$C$468:$R$468,Предпосылки!$C$472:$R$472),(AL8+1-AL7)/IF(MOD(YEAR(AL8),4),365,366))</f>
        <v>1.015586580851799</v>
      </c>
      <c s="126">
        <f>POWER(1+LOOKUP(YEAR(AM$8),Предпосылки!$C$468:$R$468,Предпосылки!$C$472:$R$472),(AM8+1-AM7)/IF(MOD(YEAR(AM8),4),365,366))</f>
        <v>1.0157592045909623</v>
      </c>
      <c s="126">
        <f>POWER(1+LOOKUP(YEAR(AN$8),Предпосылки!$C$468:$R$468,Предпосылки!$C$472:$R$472),(AN8+1-AN7)/IF(MOD(YEAR(AN8),4),365,366))</f>
        <v>1.0157592045909623</v>
      </c>
      <c s="126">
        <f>POWER(1+LOOKUP(YEAR(AO$8),Предпосылки!$C$468:$R$468,Предпосылки!$C$472:$R$472),(AO8+1-AO7)/IF(MOD(YEAR(AO8),4),365,366))</f>
        <v>1.0154139864492691</v>
      </c>
      <c s="126">
        <f>POWER(1+LOOKUP(YEAR(AP$8),Предпосылки!$C$468:$R$468,Предпосылки!$C$472:$R$472),(AP8+1-AP7)/IF(MOD(YEAR(AP8),4),365,366))</f>
        <v>1.015586580851799</v>
      </c>
      <c s="126">
        <f>POWER(1+LOOKUP(YEAR(AQ$8),Предпосылки!$C$468:$R$468,Предпосылки!$C$472:$R$472),(AQ8+1-AQ7)/IF(MOD(YEAR(AQ8),4),365,366))</f>
        <v>1.0157592045909623</v>
      </c>
      <c s="126">
        <f>POWER(1+LOOKUP(YEAR(AR$8),Предпосылки!$C$468:$R$468,Предпосылки!$C$472:$R$472),(AR8+1-AR7)/IF(MOD(YEAR(AR8),4),365,366))</f>
        <v>1.0157592045909623</v>
      </c>
      <c s="126">
        <f>POWER(1+LOOKUP(YEAR(AS$8),Предпосылки!$C$468:$R$468,Предпосылки!$C$472:$R$472),(AS8+1-AS7)/IF(MOD(YEAR(AS8),4),365,366))</f>
        <v>1.0154139864492691</v>
      </c>
      <c s="126">
        <f>POWER(1+LOOKUP(YEAR(AT$8),Предпосылки!$C$468:$R$468,Предпосылки!$C$472:$R$472),(AT8+1-AT7)/IF(MOD(YEAR(AT8),4),365,366))</f>
        <v>1.015586580851799</v>
      </c>
      <c s="126">
        <f>POWER(1+LOOKUP(YEAR(AU$8),Предпосылки!$C$468:$R$468,Предпосылки!$C$472:$R$472),(AU8+1-AU7)/IF(MOD(YEAR(AU8),4),365,366))</f>
        <v>1.0157592045909623</v>
      </c>
      <c s="126">
        <f>POWER(1+LOOKUP(YEAR(AV$8),Предпосылки!$C$468:$R$468,Предпосылки!$C$472:$R$472),(AV8+1-AV7)/IF(MOD(YEAR(AV8),4),365,366))</f>
        <v>1.0157592045909623</v>
      </c>
      <c s="126">
        <f>POWER(1+LOOKUP(YEAR(AW$8),Предпосылки!$C$468:$R$468,Предпосылки!$C$472:$R$472),(AW8+1-AW7)/IF(MOD(YEAR(AW8),4),365,366))</f>
        <v>1.0155436652958005</v>
      </c>
      <c s="126">
        <f>POWER(1+LOOKUP(YEAR(AX$8),Предпосылки!$C$468:$R$468,Предпосылки!$C$472:$R$472),(AX8+1-AX7)/IF(MOD(YEAR(AX8),4),365,366))</f>
        <v>1.0155436652958005</v>
      </c>
      <c s="126">
        <f>POWER(1+LOOKUP(YEAR(AY$8),Предпосылки!$C$468:$R$468,Предпосылки!$C$472:$R$472),(AY8+1-AY7)/IF(MOD(YEAR(AY8),4),365,366))</f>
        <v>1.0157158100708163</v>
      </c>
      <c s="126">
        <f>POWER(1+LOOKUP(YEAR(AZ$8),Предпосылки!$C$468:$R$468,Предпосылки!$C$472:$R$472),(AZ8+1-AZ7)/IF(MOD(YEAR(AZ8),4),365,366))</f>
        <v>1.0157158100708163</v>
      </c>
      <c s="126">
        <f>POWER(1+LOOKUP(YEAR(BA$8),Предпосылки!$C$468:$R$468,Предпосылки!$C$472:$R$472),(BA8+1-BA7)/IF(MOD(YEAR(BA8),4),365,366))</f>
        <v>1.0154139864492691</v>
      </c>
      <c s="126">
        <f>POWER(1+LOOKUP(YEAR(BB$8),Предпосылки!$C$468:$R$468,Предпосылки!$C$472:$R$472),(BB8+1-BB7)/IF(MOD(YEAR(BB8),4),365,366))</f>
        <v>1.015586580851799</v>
      </c>
      <c s="126">
        <f>POWER(1+LOOKUP(YEAR(BC$8),Предпосылки!$C$468:$R$468,Предпосылки!$C$472:$R$472),(BC8+1-BC7)/IF(MOD(YEAR(BC8),4),365,366))</f>
        <v>1.0157592045909623</v>
      </c>
      <c s="126">
        <f>POWER(1+LOOKUP(YEAR(BD$8),Предпосылки!$C$468:$R$468,Предпосылки!$C$472:$R$472),(BD8+1-BD7)/IF(MOD(YEAR(BD8),4),365,366))</f>
        <v>1.0157592045909623</v>
      </c>
      <c s="126">
        <f>POWER(1+LOOKUP(YEAR(BE$8),Предпосылки!$C$468:$R$468,Предпосылки!$C$472:$R$472),(BE8+1-BE7)/IF(MOD(YEAR(BE8),4),365,366))</f>
        <v>1.0154139864492691</v>
      </c>
      <c s="126">
        <f>POWER(1+LOOKUP(YEAR(BF$8),Предпосылки!$C$468:$R$468,Предпосылки!$C$472:$R$472),(BF8+1-BF7)/IF(MOD(YEAR(BF8),4),365,366))</f>
        <v>1.015586580851799</v>
      </c>
      <c s="126">
        <f>POWER(1+LOOKUP(YEAR(BG$8),Предпосылки!$C$468:$R$468,Предпосылки!$C$472:$R$472),(BG8+1-BG7)/IF(MOD(YEAR(BG8),4),365,366))</f>
        <v>1.0157592045909623</v>
      </c>
      <c s="126">
        <f>POWER(1+LOOKUP(YEAR(BH$8),Предпосылки!$C$468:$R$468,Предпосылки!$C$472:$R$472),(BH8+1-BH7)/IF(MOD(YEAR(BH8),4),365,366))</f>
        <v>1.0157592045909623</v>
      </c>
      <c s="126">
        <f>POWER(1+LOOKUP(YEAR(BI$8),Предпосылки!$C$468:$R$468,Предпосылки!$C$472:$R$472),(BI8+1-BI7)/IF(MOD(YEAR(BI8),4),365,366))</f>
        <v>1.0154139864492691</v>
      </c>
      <c s="126">
        <f>POWER(1+LOOKUP(YEAR(BJ$8),Предпосылки!$C$468:$R$468,Предпосылки!$C$472:$R$472),(BJ8+1-BJ7)/IF(MOD(YEAR(BJ8),4),365,366))</f>
        <v>1.015586580851799</v>
      </c>
      <c s="126">
        <f>POWER(1+LOOKUP(YEAR(BK$8),Предпосылки!$C$468:$R$468,Предпосылки!$C$472:$R$472),(BK8+1-BK7)/IF(MOD(YEAR(BK8),4),365,366))</f>
        <v>1.0157592045909623</v>
      </c>
      <c s="126">
        <f>POWER(1+LOOKUP(YEAR(BL$8),Предпосылки!$C$468:$R$468,Предпосылки!$C$472:$R$472),(BL8+1-BL7)/IF(MOD(YEAR(BL8),4),365,366))</f>
        <v>1.0157592045909623</v>
      </c>
      <c s="126">
        <f>POWER(1+LOOKUP(YEAR(BM$8),Предпосылки!$C$468:$R$468,Предпосылки!$C$472:$R$472),(BM8+1-BM7)/IF(MOD(YEAR(BM8),4),365,366))</f>
        <v>1.0155436652958005</v>
      </c>
    </row>
    <row r="150" spans="2:65" ht="15" customHeight="1">
      <c r="B150" s="289" t="s">
        <v>848</v>
      </c>
      <c s="290" t="s">
        <v>817</v>
      </c>
      <c s="282">
        <v>1</v>
      </c>
      <c s="282">
        <f>D150*E149</f>
        <v>1.0198552210205056</v>
      </c>
      <c s="282">
        <f t="shared" si="461" ref="F150:BM150">E150*F149</f>
        <v>1.0403319095737773</v>
      </c>
      <c s="282">
        <f t="shared" si="461"/>
        <v>1.0614515806518925</v>
      </c>
      <c s="282">
        <f t="shared" si="461"/>
        <v>1.0830000000000002</v>
      </c>
      <c s="282">
        <f t="shared" si="461"/>
        <v>1.1045032043652079</v>
      </c>
      <c s="282">
        <f t="shared" si="461"/>
        <v>1.1266794580684012</v>
      </c>
      <c s="282">
        <f t="shared" si="461"/>
        <v>1.1495520618459998</v>
      </c>
      <c s="282">
        <f t="shared" si="461"/>
        <v>1.1728890000000003</v>
      </c>
      <c s="282">
        <f t="shared" si="461"/>
        <v>1.1923454556696731</v>
      </c>
      <c s="282">
        <f t="shared" si="461"/>
        <v>1.2123462665929814</v>
      </c>
      <c s="282">
        <f t="shared" si="461"/>
        <v>1.2329079384516737</v>
      </c>
      <c s="282">
        <f t="shared" si="461"/>
        <v>1.2538183410000003</v>
      </c>
      <c s="282">
        <f t="shared" si="461"/>
        <v>1.2733072736342403</v>
      </c>
      <c s="282">
        <f t="shared" si="461"/>
        <v>1.2930991357143193</v>
      </c>
      <c s="282">
        <f t="shared" si="461"/>
        <v>1.3134212361339423</v>
      </c>
      <c s="282">
        <f t="shared" si="461"/>
        <v>1.3340627148240003</v>
      </c>
      <c s="282">
        <f t="shared" si="461"/>
        <v>1.3546259394327724</v>
      </c>
      <c s="282">
        <f t="shared" si="461"/>
        <v>1.3757399261616854</v>
      </c>
      <c s="282">
        <f t="shared" si="461"/>
        <v>1.3974204931220227</v>
      </c>
      <c s="282">
        <f t="shared" si="461"/>
        <v>1.419442728572736</v>
      </c>
      <c s="282">
        <f t="shared" si="461"/>
        <v>1.4413219995564697</v>
      </c>
      <c s="282">
        <f t="shared" si="461"/>
        <v>1.4637872814360331</v>
      </c>
      <c s="282">
        <f t="shared" si="461"/>
        <v>1.4868554046818321</v>
      </c>
      <c s="282">
        <f t="shared" si="461"/>
        <v>1.5102870632013909</v>
      </c>
      <c s="282">
        <f t="shared" si="461"/>
        <v>1.5335666075280836</v>
      </c>
      <c s="282">
        <f t="shared" si="461"/>
        <v>1.5574696674479391</v>
      </c>
      <c s="282">
        <f t="shared" si="461"/>
        <v>1.5820141505814691</v>
      </c>
      <c s="282">
        <f t="shared" si="461"/>
        <v>1.6069454352462798</v>
      </c>
      <c s="282">
        <f t="shared" si="461"/>
        <v>1.6319232572403624</v>
      </c>
      <c s="282">
        <f t="shared" si="461"/>
        <v>1.6572893261393391</v>
      </c>
      <c s="282">
        <f t="shared" si="461"/>
        <v>1.6833349704213361</v>
      </c>
      <c s="282">
        <f t="shared" si="461"/>
        <v>1.7097899431020411</v>
      </c>
      <c s="282">
        <f t="shared" si="461"/>
        <v>1.7361446221161125</v>
      </c>
      <c s="282">
        <f t="shared" si="461"/>
        <v>1.7632051806391413</v>
      </c>
      <c s="282">
        <f t="shared" si="461"/>
        <v>1.7909918918166781</v>
      </c>
      <c s="282">
        <f t="shared" si="461"/>
        <v>1.8192164994605715</v>
      </c>
      <c s="282">
        <f t="shared" si="461"/>
        <v>1.8472578779315434</v>
      </c>
      <c s="282">
        <f t="shared" si="461"/>
        <v>1.876050312200046</v>
      </c>
      <c s="282">
        <f t="shared" si="461"/>
        <v>1.9056153728929452</v>
      </c>
      <c s="282">
        <f t="shared" si="461"/>
        <v>1.9356463554260479</v>
      </c>
      <c s="282">
        <f t="shared" si="461"/>
        <v>1.965482382119162</v>
      </c>
      <c s="282">
        <f t="shared" si="461"/>
        <v>1.9961175321808489</v>
      </c>
      <c s="282">
        <f t="shared" si="461"/>
        <v>2.0275747567580935</v>
      </c>
      <c s="282">
        <f t="shared" si="461"/>
        <v>2.059527722173315</v>
      </c>
      <c s="282">
        <f t="shared" si="461"/>
        <v>2.0915403317541994</v>
      </c>
      <c s="282">
        <f t="shared" si="461"/>
        <v>2.1240505346236542</v>
      </c>
      <c s="282">
        <f t="shared" si="461"/>
        <v>2.1574317094066155</v>
      </c>
      <c s="282">
        <f t="shared" si="461"/>
        <v>2.1913374963924066</v>
      </c>
      <c s="282">
        <f t="shared" si="461"/>
        <v>2.2251147428675742</v>
      </c>
      <c s="282">
        <f t="shared" si="461"/>
        <v>2.2597966737118096</v>
      </c>
      <c s="282">
        <f t="shared" si="461"/>
        <v>2.2954092718268098</v>
      </c>
      <c s="282">
        <f t="shared" si="461"/>
        <v>2.3315830961615203</v>
      </c>
      <c s="282">
        <f t="shared" si="461"/>
        <v>2.3675220864110988</v>
      </c>
      <c s="282">
        <f t="shared" si="461"/>
        <v>2.4044236608293654</v>
      </c>
      <c s="282">
        <f t="shared" si="461"/>
        <v>2.442315465223726</v>
      </c>
      <c s="282">
        <f t="shared" si="461"/>
        <v>2.4808044143158576</v>
      </c>
      <c s="282">
        <f t="shared" si="461"/>
        <v>2.5190434999414091</v>
      </c>
      <c s="282">
        <f t="shared" si="461"/>
        <v>2.5583067751224444</v>
      </c>
      <c s="282">
        <f t="shared" si="461"/>
        <v>2.5986236549980437</v>
      </c>
      <c s="282">
        <f t="shared" si="461"/>
        <v>2.6395758968320719</v>
      </c>
      <c s="282">
        <f t="shared" si="461"/>
        <v>2.6806045810952921</v>
      </c>
    </row>
    <row r="151" spans="2:65" ht="15" customHeight="1">
      <c r="B151" s="30"/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52" spans="2:65" ht="23.25" customHeight="1">
      <c r="B152" s="23" t="s">
        <v>944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53" spans="2:65" ht="15" customHeight="1">
      <c r="B153" s="12" t="str">
        <f>B122</f>
        <v>-</v>
      </c>
      <c s="124" t="str">
        <f t="shared" si="462" ref="C153:C177">Единица_измерения</f>
        <v>тыс. руб.</v>
      </c>
      <c s="127"/>
      <c s="125">
        <f>Предпосылки!$D349*Месяцев_в_квартале*E$150</f>
        <v>0</v>
      </c>
      <c s="125">
        <f>Предпосылки!$D349*Месяцев_в_квартале*F$150</f>
        <v>0</v>
      </c>
      <c s="125">
        <f>Предпосылки!$D349*Месяцев_в_квартале*G$150</f>
        <v>0</v>
      </c>
      <c s="125">
        <f>Предпосылки!$D349*Месяцев_в_квартале*H$150</f>
        <v>0</v>
      </c>
      <c s="125">
        <f>Предпосылки!$D349*Месяцев_в_квартале*I$150</f>
        <v>0</v>
      </c>
      <c s="125">
        <f>Предпосылки!$D349*Месяцев_в_квартале*J$150</f>
        <v>0</v>
      </c>
      <c s="125">
        <f>Предпосылки!$D349*Месяцев_в_квартале*K$150</f>
        <v>0</v>
      </c>
      <c s="125">
        <f>Предпосылки!$D349*Месяцев_в_квартале*L$150</f>
        <v>0</v>
      </c>
      <c s="125">
        <f>Предпосылки!$D349*Месяцев_в_квартале*M$150</f>
        <v>0</v>
      </c>
      <c s="125">
        <f>Предпосылки!$D349*Месяцев_в_квартале*N$150</f>
        <v>0</v>
      </c>
      <c s="125">
        <f>Предпосылки!$D349*Месяцев_в_квартале*O$150</f>
        <v>0</v>
      </c>
      <c s="125">
        <f>Предпосылки!$D349*Месяцев_в_квартале*P$150</f>
        <v>0</v>
      </c>
      <c s="125">
        <f>Предпосылки!$D349*Месяцев_в_квартале*Q$150</f>
        <v>0</v>
      </c>
      <c s="125">
        <f>Предпосылки!$D349*Месяцев_в_квартале*R$150</f>
        <v>0</v>
      </c>
      <c s="125">
        <f>Предпосылки!$D349*Месяцев_в_квартале*S$150</f>
        <v>0</v>
      </c>
      <c s="125">
        <f>Предпосылки!$D349*Месяцев_в_квартале*T$150</f>
        <v>0</v>
      </c>
      <c s="125">
        <f>Предпосылки!$D349*Месяцев_в_квартале*U$150</f>
        <v>0</v>
      </c>
      <c s="125">
        <f>Предпосылки!$D349*Месяцев_в_квартале*V$150</f>
        <v>0</v>
      </c>
      <c s="125">
        <f>Предпосылки!$D349*Месяцев_в_квартале*W$150</f>
        <v>0</v>
      </c>
      <c s="125">
        <f>Предпосылки!$D349*Месяцев_в_квартале*X$150</f>
        <v>0</v>
      </c>
      <c s="125">
        <f>Предпосылки!$D349*Месяцев_в_квартале*Y$150</f>
        <v>0</v>
      </c>
      <c s="125">
        <f>Предпосылки!$D349*Месяцев_в_квартале*Z$150</f>
        <v>0</v>
      </c>
      <c s="125">
        <f>Предпосылки!$D349*Месяцев_в_квартале*AA$150</f>
        <v>0</v>
      </c>
      <c s="125">
        <f>Предпосылки!$D349*Месяцев_в_квартале*AB$150</f>
        <v>0</v>
      </c>
      <c s="125">
        <f>Предпосылки!$D349*Месяцев_в_квартале*AC$150</f>
        <v>0</v>
      </c>
      <c s="125">
        <f>Предпосылки!$D349*Месяцев_в_квартале*AD$150</f>
        <v>0</v>
      </c>
      <c s="125">
        <f>Предпосылки!$D349*Месяцев_в_квартале*AE$150</f>
        <v>0</v>
      </c>
      <c s="125">
        <f>Предпосылки!$D349*Месяцев_в_квартале*AF$150</f>
        <v>0</v>
      </c>
      <c s="125">
        <f>Предпосылки!$D349*Месяцев_в_квартале*AG$150</f>
        <v>0</v>
      </c>
      <c s="125">
        <f>Предпосылки!$D349*Месяцев_в_квартале*AH$150</f>
        <v>0</v>
      </c>
      <c s="125">
        <f>Предпосылки!$D349*Месяцев_в_квартале*AI$150</f>
        <v>0</v>
      </c>
      <c s="125">
        <f>Предпосылки!$D349*Месяцев_в_квартале*AJ$150</f>
        <v>0</v>
      </c>
      <c s="125">
        <f>Предпосылки!$D349*Месяцев_в_квартале*AK$150</f>
        <v>0</v>
      </c>
      <c s="125">
        <f>Предпосылки!$D349*Месяцев_в_квартале*AL$150</f>
        <v>0</v>
      </c>
      <c s="125">
        <f>Предпосылки!$D349*Месяцев_в_квартале*AM$150</f>
        <v>0</v>
      </c>
      <c s="125">
        <f>Предпосылки!$D349*Месяцев_в_квартале*AN$150</f>
        <v>0</v>
      </c>
      <c s="125">
        <f>Предпосылки!$D349*Месяцев_в_квартале*AO$150</f>
        <v>0</v>
      </c>
      <c s="125">
        <f>Предпосылки!$D349*Месяцев_в_квартале*AP$150</f>
        <v>0</v>
      </c>
      <c s="125">
        <f>Предпосылки!$D349*Месяцев_в_квартале*AQ$150</f>
        <v>0</v>
      </c>
      <c s="125">
        <f>Предпосылки!$D349*Месяцев_в_квартале*AR$150</f>
        <v>0</v>
      </c>
      <c s="125">
        <f>Предпосылки!$D349*Месяцев_в_квартале*AS$150</f>
        <v>0</v>
      </c>
      <c s="125">
        <f>Предпосылки!$D349*Месяцев_в_квартале*AT$150</f>
        <v>0</v>
      </c>
      <c s="125">
        <f>Предпосылки!$D349*Месяцев_в_квартале*AU$150</f>
        <v>0</v>
      </c>
      <c s="125">
        <f>Предпосылки!$D349*Месяцев_в_квартале*AV$150</f>
        <v>0</v>
      </c>
      <c s="125">
        <f>Предпосылки!$D349*Месяцев_в_квартале*AW$150</f>
        <v>0</v>
      </c>
      <c s="125">
        <f>Предпосылки!$D349*Месяцев_в_квартале*AX$150</f>
        <v>0</v>
      </c>
      <c s="125">
        <f>Предпосылки!$D349*Месяцев_в_квартале*AY$150</f>
        <v>0</v>
      </c>
      <c s="125">
        <f>Предпосылки!$D349*Месяцев_в_квартале*AZ$150</f>
        <v>0</v>
      </c>
      <c s="125">
        <f>Предпосылки!$D349*Месяцев_в_квартале*BA$150</f>
        <v>0</v>
      </c>
      <c s="125">
        <f>Предпосылки!$D349*Месяцев_в_квартале*BB$150</f>
        <v>0</v>
      </c>
      <c s="125">
        <f>Предпосылки!$D349*Месяцев_в_квартале*BC$150</f>
        <v>0</v>
      </c>
      <c s="125">
        <f>Предпосылки!$D349*Месяцев_в_квартале*BD$150</f>
        <v>0</v>
      </c>
      <c s="125">
        <f>Предпосылки!$D349*Месяцев_в_квартале*BE$150</f>
        <v>0</v>
      </c>
      <c s="125">
        <f>Предпосылки!$D349*Месяцев_в_квартале*BF$150</f>
        <v>0</v>
      </c>
      <c s="125">
        <f>Предпосылки!$D349*Месяцев_в_квартале*BG$150</f>
        <v>0</v>
      </c>
      <c s="125">
        <f>Предпосылки!$D349*Месяцев_в_квартале*BH$150</f>
        <v>0</v>
      </c>
      <c s="125">
        <f>Предпосылки!$D349*Месяцев_в_квартале*BI$150</f>
        <v>0</v>
      </c>
      <c s="125">
        <f>Предпосылки!$D349*Месяцев_в_квартале*BJ$150</f>
        <v>0</v>
      </c>
      <c s="125">
        <f>Предпосылки!$D349*Месяцев_в_квартале*BK$150</f>
        <v>0</v>
      </c>
      <c s="125">
        <f>Предпосылки!$D349*Месяцев_в_квартале*BL$150</f>
        <v>0</v>
      </c>
      <c s="125">
        <f>Предпосылки!$D349*Месяцев_в_квартале*BM$150</f>
        <v>0</v>
      </c>
    </row>
    <row r="154" spans="2:65" ht="15" customHeight="1">
      <c r="B154" s="12" t="str">
        <f t="shared" si="463" ref="B154:B177">B123</f>
        <v>-</v>
      </c>
      <c s="124" t="str">
        <f t="shared" si="462"/>
        <v>тыс. руб.</v>
      </c>
      <c s="127"/>
      <c s="125">
        <f>Предпосылки!$D350*Месяцев_в_квартале*E$150</f>
        <v>0</v>
      </c>
      <c s="125">
        <f>Предпосылки!$D350*Месяцев_в_квартале*F$150</f>
        <v>0</v>
      </c>
      <c s="125">
        <f>Предпосылки!$D350*Месяцев_в_квартале*G$150</f>
        <v>0</v>
      </c>
      <c s="125">
        <f>Предпосылки!$D350*Месяцев_в_квартале*H$150</f>
        <v>0</v>
      </c>
      <c s="125">
        <f>Предпосылки!$D350*Месяцев_в_квартале*I$150</f>
        <v>0</v>
      </c>
      <c s="125">
        <f>Предпосылки!$D350*Месяцев_в_квартале*J$150</f>
        <v>0</v>
      </c>
      <c s="125">
        <f>Предпосылки!$D350*Месяцев_в_квартале*K$150</f>
        <v>0</v>
      </c>
      <c s="125">
        <f>Предпосылки!$D350*Месяцев_в_квартале*L$150</f>
        <v>0</v>
      </c>
      <c s="125">
        <f>Предпосылки!$D350*Месяцев_в_квартале*M$150</f>
        <v>0</v>
      </c>
      <c s="125">
        <f>Предпосылки!$D350*Месяцев_в_квартале*N$150</f>
        <v>0</v>
      </c>
      <c s="125">
        <f>Предпосылки!$D350*Месяцев_в_квартале*O$150</f>
        <v>0</v>
      </c>
      <c s="125">
        <f>Предпосылки!$D350*Месяцев_в_квартале*P$150</f>
        <v>0</v>
      </c>
      <c s="125">
        <f>Предпосылки!$D350*Месяцев_в_квартале*Q$150</f>
        <v>0</v>
      </c>
      <c s="125">
        <f>Предпосылки!$D350*Месяцев_в_квартале*R$150</f>
        <v>0</v>
      </c>
      <c s="125">
        <f>Предпосылки!$D350*Месяцев_в_квартале*S$150</f>
        <v>0</v>
      </c>
      <c s="125">
        <f>Предпосылки!$D350*Месяцев_в_квартале*T$150</f>
        <v>0</v>
      </c>
      <c s="125">
        <f>Предпосылки!$D350*Месяцев_в_квартале*U$150</f>
        <v>0</v>
      </c>
      <c s="125">
        <f>Предпосылки!$D350*Месяцев_в_квартале*V$150</f>
        <v>0</v>
      </c>
      <c s="125">
        <f>Предпосылки!$D350*Месяцев_в_квартале*W$150</f>
        <v>0</v>
      </c>
      <c s="125">
        <f>Предпосылки!$D350*Месяцев_в_квартале*X$150</f>
        <v>0</v>
      </c>
      <c s="125">
        <f>Предпосылки!$D350*Месяцев_в_квартале*Y$150</f>
        <v>0</v>
      </c>
      <c s="125">
        <f>Предпосылки!$D350*Месяцев_в_квартале*Z$150</f>
        <v>0</v>
      </c>
      <c s="125">
        <f>Предпосылки!$D350*Месяцев_в_квартале*AA$150</f>
        <v>0</v>
      </c>
      <c s="125">
        <f>Предпосылки!$D350*Месяцев_в_квартале*AB$150</f>
        <v>0</v>
      </c>
      <c s="125">
        <f>Предпосылки!$D350*Месяцев_в_квартале*AC$150</f>
        <v>0</v>
      </c>
      <c s="125">
        <f>Предпосылки!$D350*Месяцев_в_квартале*AD$150</f>
        <v>0</v>
      </c>
      <c s="125">
        <f>Предпосылки!$D350*Месяцев_в_квартале*AE$150</f>
        <v>0</v>
      </c>
      <c s="125">
        <f>Предпосылки!$D350*Месяцев_в_квартале*AF$150</f>
        <v>0</v>
      </c>
      <c s="125">
        <f>Предпосылки!$D350*Месяцев_в_квартале*AG$150</f>
        <v>0</v>
      </c>
      <c s="125">
        <f>Предпосылки!$D350*Месяцев_в_квартале*AH$150</f>
        <v>0</v>
      </c>
      <c s="125">
        <f>Предпосылки!$D350*Месяцев_в_квартале*AI$150</f>
        <v>0</v>
      </c>
      <c s="125">
        <f>Предпосылки!$D350*Месяцев_в_квартале*AJ$150</f>
        <v>0</v>
      </c>
      <c s="125">
        <f>Предпосылки!$D350*Месяцев_в_квартале*AK$150</f>
        <v>0</v>
      </c>
      <c s="125">
        <f>Предпосылки!$D350*Месяцев_в_квартале*AL$150</f>
        <v>0</v>
      </c>
      <c s="125">
        <f>Предпосылки!$D350*Месяцев_в_квартале*AM$150</f>
        <v>0</v>
      </c>
      <c s="125">
        <f>Предпосылки!$D350*Месяцев_в_квартале*AN$150</f>
        <v>0</v>
      </c>
      <c s="125">
        <f>Предпосылки!$D350*Месяцев_в_квартале*AO$150</f>
        <v>0</v>
      </c>
      <c s="125">
        <f>Предпосылки!$D350*Месяцев_в_квартале*AP$150</f>
        <v>0</v>
      </c>
      <c s="125">
        <f>Предпосылки!$D350*Месяцев_в_квартале*AQ$150</f>
        <v>0</v>
      </c>
      <c s="125">
        <f>Предпосылки!$D350*Месяцев_в_квартале*AR$150</f>
        <v>0</v>
      </c>
      <c s="125">
        <f>Предпосылки!$D350*Месяцев_в_квартале*AS$150</f>
        <v>0</v>
      </c>
      <c s="125">
        <f>Предпосылки!$D350*Месяцев_в_квартале*AT$150</f>
        <v>0</v>
      </c>
      <c s="125">
        <f>Предпосылки!$D350*Месяцев_в_квартале*AU$150</f>
        <v>0</v>
      </c>
      <c s="125">
        <f>Предпосылки!$D350*Месяцев_в_квартале*AV$150</f>
        <v>0</v>
      </c>
      <c s="125">
        <f>Предпосылки!$D350*Месяцев_в_квартале*AW$150</f>
        <v>0</v>
      </c>
      <c s="125">
        <f>Предпосылки!$D350*Месяцев_в_квартале*AX$150</f>
        <v>0</v>
      </c>
      <c s="125">
        <f>Предпосылки!$D350*Месяцев_в_квартале*AY$150</f>
        <v>0</v>
      </c>
      <c s="125">
        <f>Предпосылки!$D350*Месяцев_в_квартале*AZ$150</f>
        <v>0</v>
      </c>
      <c s="125">
        <f>Предпосылки!$D350*Месяцев_в_квартале*BA$150</f>
        <v>0</v>
      </c>
      <c s="125">
        <f>Предпосылки!$D350*Месяцев_в_квартале*BB$150</f>
        <v>0</v>
      </c>
      <c s="125">
        <f>Предпосылки!$D350*Месяцев_в_квартале*BC$150</f>
        <v>0</v>
      </c>
      <c s="125">
        <f>Предпосылки!$D350*Месяцев_в_квартале*BD$150</f>
        <v>0</v>
      </c>
      <c s="125">
        <f>Предпосылки!$D350*Месяцев_в_квартале*BE$150</f>
        <v>0</v>
      </c>
      <c s="125">
        <f>Предпосылки!$D350*Месяцев_в_квартале*BF$150</f>
        <v>0</v>
      </c>
      <c s="125">
        <f>Предпосылки!$D350*Месяцев_в_квартале*BG$150</f>
        <v>0</v>
      </c>
      <c s="125">
        <f>Предпосылки!$D350*Месяцев_в_квартале*BH$150</f>
        <v>0</v>
      </c>
      <c s="125">
        <f>Предпосылки!$D350*Месяцев_в_квартале*BI$150</f>
        <v>0</v>
      </c>
      <c s="125">
        <f>Предпосылки!$D350*Месяцев_в_квартале*BJ$150</f>
        <v>0</v>
      </c>
      <c s="125">
        <f>Предпосылки!$D350*Месяцев_в_квартале*BK$150</f>
        <v>0</v>
      </c>
      <c s="125">
        <f>Предпосылки!$D350*Месяцев_в_квартале*BL$150</f>
        <v>0</v>
      </c>
      <c s="125">
        <f>Предпосылки!$D350*Месяцев_в_квартале*BM$150</f>
        <v>0</v>
      </c>
    </row>
    <row r="155" spans="2:65" ht="15" customHeight="1">
      <c r="B155" s="12" t="str">
        <f t="shared" si="463"/>
        <v>-</v>
      </c>
      <c s="124" t="str">
        <f t="shared" si="462"/>
        <v>тыс. руб.</v>
      </c>
      <c s="127"/>
      <c s="125">
        <f>Предпосылки!$D351*Месяцев_в_квартале*E$150</f>
        <v>0</v>
      </c>
      <c s="125">
        <f>Предпосылки!$D351*Месяцев_в_квартале*F$150</f>
        <v>0</v>
      </c>
      <c s="125">
        <f>Предпосылки!$D351*Месяцев_в_квартале*G$150</f>
        <v>0</v>
      </c>
      <c s="125">
        <f>Предпосылки!$D351*Месяцев_в_квартале*H$150</f>
        <v>0</v>
      </c>
      <c s="125">
        <f>Предпосылки!$D351*Месяцев_в_квартале*I$150</f>
        <v>0</v>
      </c>
      <c s="125">
        <f>Предпосылки!$D351*Месяцев_в_квартале*J$150</f>
        <v>0</v>
      </c>
      <c s="125">
        <f>Предпосылки!$D351*Месяцев_в_квартале*K$150</f>
        <v>0</v>
      </c>
      <c s="125">
        <f>Предпосылки!$D351*Месяцев_в_квартале*L$150</f>
        <v>0</v>
      </c>
      <c s="125">
        <f>Предпосылки!$D351*Месяцев_в_квартале*M$150</f>
        <v>0</v>
      </c>
      <c s="125">
        <f>Предпосылки!$D351*Месяцев_в_квартале*N$150</f>
        <v>0</v>
      </c>
      <c s="125">
        <f>Предпосылки!$D351*Месяцев_в_квартале*O$150</f>
        <v>0</v>
      </c>
      <c s="125">
        <f>Предпосылки!$D351*Месяцев_в_квартале*P$150</f>
        <v>0</v>
      </c>
      <c s="125">
        <f>Предпосылки!$D351*Месяцев_в_квартале*Q$150</f>
        <v>0</v>
      </c>
      <c s="125">
        <f>Предпосылки!$D351*Месяцев_в_квартале*R$150</f>
        <v>0</v>
      </c>
      <c s="125">
        <f>Предпосылки!$D351*Месяцев_в_квартале*S$150</f>
        <v>0</v>
      </c>
      <c s="125">
        <f>Предпосылки!$D351*Месяцев_в_квартале*T$150</f>
        <v>0</v>
      </c>
      <c s="125">
        <f>Предпосылки!$D351*Месяцев_в_квартале*U$150</f>
        <v>0</v>
      </c>
      <c s="125">
        <f>Предпосылки!$D351*Месяцев_в_квартале*V$150</f>
        <v>0</v>
      </c>
      <c s="125">
        <f>Предпосылки!$D351*Месяцев_в_квартале*W$150</f>
        <v>0</v>
      </c>
      <c s="125">
        <f>Предпосылки!$D351*Месяцев_в_квартале*X$150</f>
        <v>0</v>
      </c>
      <c s="125">
        <f>Предпосылки!$D351*Месяцев_в_квартале*Y$150</f>
        <v>0</v>
      </c>
      <c s="125">
        <f>Предпосылки!$D351*Месяцев_в_квартале*Z$150</f>
        <v>0</v>
      </c>
      <c s="125">
        <f>Предпосылки!$D351*Месяцев_в_квартале*AA$150</f>
        <v>0</v>
      </c>
      <c s="125">
        <f>Предпосылки!$D351*Месяцев_в_квартале*AB$150</f>
        <v>0</v>
      </c>
      <c s="125">
        <f>Предпосылки!$D351*Месяцев_в_квартале*AC$150</f>
        <v>0</v>
      </c>
      <c s="125">
        <f>Предпосылки!$D351*Месяцев_в_квартале*AD$150</f>
        <v>0</v>
      </c>
      <c s="125">
        <f>Предпосылки!$D351*Месяцев_в_квартале*AE$150</f>
        <v>0</v>
      </c>
      <c s="125">
        <f>Предпосылки!$D351*Месяцев_в_квартале*AF$150</f>
        <v>0</v>
      </c>
      <c s="125">
        <f>Предпосылки!$D351*Месяцев_в_квартале*AG$150</f>
        <v>0</v>
      </c>
      <c s="125">
        <f>Предпосылки!$D351*Месяцев_в_квартале*AH$150</f>
        <v>0</v>
      </c>
      <c s="125">
        <f>Предпосылки!$D351*Месяцев_в_квартале*AI$150</f>
        <v>0</v>
      </c>
      <c s="125">
        <f>Предпосылки!$D351*Месяцев_в_квартале*AJ$150</f>
        <v>0</v>
      </c>
      <c s="125">
        <f>Предпосылки!$D351*Месяцев_в_квартале*AK$150</f>
        <v>0</v>
      </c>
      <c s="125">
        <f>Предпосылки!$D351*Месяцев_в_квартале*AL$150</f>
        <v>0</v>
      </c>
      <c s="125">
        <f>Предпосылки!$D351*Месяцев_в_квартале*AM$150</f>
        <v>0</v>
      </c>
      <c s="125">
        <f>Предпосылки!$D351*Месяцев_в_квартале*AN$150</f>
        <v>0</v>
      </c>
      <c s="125">
        <f>Предпосылки!$D351*Месяцев_в_квартале*AO$150</f>
        <v>0</v>
      </c>
      <c s="125">
        <f>Предпосылки!$D351*Месяцев_в_квартале*AP$150</f>
        <v>0</v>
      </c>
      <c s="125">
        <f>Предпосылки!$D351*Месяцев_в_квартале*AQ$150</f>
        <v>0</v>
      </c>
      <c s="125">
        <f>Предпосылки!$D351*Месяцев_в_квартале*AR$150</f>
        <v>0</v>
      </c>
      <c s="125">
        <f>Предпосылки!$D351*Месяцев_в_квартале*AS$150</f>
        <v>0</v>
      </c>
      <c s="125">
        <f>Предпосылки!$D351*Месяцев_в_квартале*AT$150</f>
        <v>0</v>
      </c>
      <c s="125">
        <f>Предпосылки!$D351*Месяцев_в_квартале*AU$150</f>
        <v>0</v>
      </c>
      <c s="125">
        <f>Предпосылки!$D351*Месяцев_в_квартале*AV$150</f>
        <v>0</v>
      </c>
      <c s="125">
        <f>Предпосылки!$D351*Месяцев_в_квартале*AW$150</f>
        <v>0</v>
      </c>
      <c s="125">
        <f>Предпосылки!$D351*Месяцев_в_квартале*AX$150</f>
        <v>0</v>
      </c>
      <c s="125">
        <f>Предпосылки!$D351*Месяцев_в_квартале*AY$150</f>
        <v>0</v>
      </c>
      <c s="125">
        <f>Предпосылки!$D351*Месяцев_в_квартале*AZ$150</f>
        <v>0</v>
      </c>
      <c s="125">
        <f>Предпосылки!$D351*Месяцев_в_квартале*BA$150</f>
        <v>0</v>
      </c>
      <c s="125">
        <f>Предпосылки!$D351*Месяцев_в_квартале*BB$150</f>
        <v>0</v>
      </c>
      <c s="125">
        <f>Предпосылки!$D351*Месяцев_в_квартале*BC$150</f>
        <v>0</v>
      </c>
      <c s="125">
        <f>Предпосылки!$D351*Месяцев_в_квартале*BD$150</f>
        <v>0</v>
      </c>
      <c s="125">
        <f>Предпосылки!$D351*Месяцев_в_квартале*BE$150</f>
        <v>0</v>
      </c>
      <c s="125">
        <f>Предпосылки!$D351*Месяцев_в_квартале*BF$150</f>
        <v>0</v>
      </c>
      <c s="125">
        <f>Предпосылки!$D351*Месяцев_в_квартале*BG$150</f>
        <v>0</v>
      </c>
      <c s="125">
        <f>Предпосылки!$D351*Месяцев_в_квартале*BH$150</f>
        <v>0</v>
      </c>
      <c s="125">
        <f>Предпосылки!$D351*Месяцев_в_квартале*BI$150</f>
        <v>0</v>
      </c>
      <c s="125">
        <f>Предпосылки!$D351*Месяцев_в_квартале*BJ$150</f>
        <v>0</v>
      </c>
      <c s="125">
        <f>Предпосылки!$D351*Месяцев_в_квартале*BK$150</f>
        <v>0</v>
      </c>
      <c s="125">
        <f>Предпосылки!$D351*Месяцев_в_квартале*BL$150</f>
        <v>0</v>
      </c>
      <c s="125">
        <f>Предпосылки!$D351*Месяцев_в_квартале*BM$150</f>
        <v>0</v>
      </c>
    </row>
    <row r="156" spans="2:65" ht="15" customHeight="1">
      <c r="B156" s="12" t="str">
        <f t="shared" si="463"/>
        <v>-</v>
      </c>
      <c s="124" t="str">
        <f t="shared" si="462"/>
        <v>тыс. руб.</v>
      </c>
      <c s="127"/>
      <c s="125">
        <f>Предпосылки!$D352*Месяцев_в_квартале*E$150</f>
        <v>0</v>
      </c>
      <c s="125">
        <f>Предпосылки!$D352*Месяцев_в_квартале*F$150</f>
        <v>0</v>
      </c>
      <c s="125">
        <f>Предпосылки!$D352*Месяцев_в_квартале*G$150</f>
        <v>0</v>
      </c>
      <c s="125">
        <f>Предпосылки!$D352*Месяцев_в_квартале*H$150</f>
        <v>0</v>
      </c>
      <c s="125">
        <f>Предпосылки!$D352*Месяцев_в_квартале*I$150</f>
        <v>0</v>
      </c>
      <c s="125">
        <f>Предпосылки!$D352*Месяцев_в_квартале*J$150</f>
        <v>0</v>
      </c>
      <c s="125">
        <f>Предпосылки!$D352*Месяцев_в_квартале*K$150</f>
        <v>0</v>
      </c>
      <c s="125">
        <f>Предпосылки!$D352*Месяцев_в_квартале*L$150</f>
        <v>0</v>
      </c>
      <c s="125">
        <f>Предпосылки!$D352*Месяцев_в_квартале*M$150</f>
        <v>0</v>
      </c>
      <c s="125">
        <f>Предпосылки!$D352*Месяцев_в_квартале*N$150</f>
        <v>0</v>
      </c>
      <c s="125">
        <f>Предпосылки!$D352*Месяцев_в_квартале*O$150</f>
        <v>0</v>
      </c>
      <c s="125">
        <f>Предпосылки!$D352*Месяцев_в_квартале*P$150</f>
        <v>0</v>
      </c>
      <c s="125">
        <f>Предпосылки!$D352*Месяцев_в_квартале*Q$150</f>
        <v>0</v>
      </c>
      <c s="125">
        <f>Предпосылки!$D352*Месяцев_в_квартале*R$150</f>
        <v>0</v>
      </c>
      <c s="125">
        <f>Предпосылки!$D352*Месяцев_в_квартале*S$150</f>
        <v>0</v>
      </c>
      <c s="125">
        <f>Предпосылки!$D352*Месяцев_в_квартале*T$150</f>
        <v>0</v>
      </c>
      <c s="125">
        <f>Предпосылки!$D352*Месяцев_в_квартале*U$150</f>
        <v>0</v>
      </c>
      <c s="125">
        <f>Предпосылки!$D352*Месяцев_в_квартале*V$150</f>
        <v>0</v>
      </c>
      <c s="125">
        <f>Предпосылки!$D352*Месяцев_в_квартале*W$150</f>
        <v>0</v>
      </c>
      <c s="125">
        <f>Предпосылки!$D352*Месяцев_в_квартале*X$150</f>
        <v>0</v>
      </c>
      <c s="125">
        <f>Предпосылки!$D352*Месяцев_в_квартале*Y$150</f>
        <v>0</v>
      </c>
      <c s="125">
        <f>Предпосылки!$D352*Месяцев_в_квартале*Z$150</f>
        <v>0</v>
      </c>
      <c s="125">
        <f>Предпосылки!$D352*Месяцев_в_квартале*AA$150</f>
        <v>0</v>
      </c>
      <c s="125">
        <f>Предпосылки!$D352*Месяцев_в_квартале*AB$150</f>
        <v>0</v>
      </c>
      <c s="125">
        <f>Предпосылки!$D352*Месяцев_в_квартале*AC$150</f>
        <v>0</v>
      </c>
      <c s="125">
        <f>Предпосылки!$D352*Месяцев_в_квартале*AD$150</f>
        <v>0</v>
      </c>
      <c s="125">
        <f>Предпосылки!$D352*Месяцев_в_квартале*AE$150</f>
        <v>0</v>
      </c>
      <c s="125">
        <f>Предпосылки!$D352*Месяцев_в_квартале*AF$150</f>
        <v>0</v>
      </c>
      <c s="125">
        <f>Предпосылки!$D352*Месяцев_в_квартале*AG$150</f>
        <v>0</v>
      </c>
      <c s="125">
        <f>Предпосылки!$D352*Месяцев_в_квартале*AH$150</f>
        <v>0</v>
      </c>
      <c s="125">
        <f>Предпосылки!$D352*Месяцев_в_квартале*AI$150</f>
        <v>0</v>
      </c>
      <c s="125">
        <f>Предпосылки!$D352*Месяцев_в_квартале*AJ$150</f>
        <v>0</v>
      </c>
      <c s="125">
        <f>Предпосылки!$D352*Месяцев_в_квартале*AK$150</f>
        <v>0</v>
      </c>
      <c s="125">
        <f>Предпосылки!$D352*Месяцев_в_квартале*AL$150</f>
        <v>0</v>
      </c>
      <c s="125">
        <f>Предпосылки!$D352*Месяцев_в_квартале*AM$150</f>
        <v>0</v>
      </c>
      <c s="125">
        <f>Предпосылки!$D352*Месяцев_в_квартале*AN$150</f>
        <v>0</v>
      </c>
      <c s="125">
        <f>Предпосылки!$D352*Месяцев_в_квартале*AO$150</f>
        <v>0</v>
      </c>
      <c s="125">
        <f>Предпосылки!$D352*Месяцев_в_квартале*AP$150</f>
        <v>0</v>
      </c>
      <c s="125">
        <f>Предпосылки!$D352*Месяцев_в_квартале*AQ$150</f>
        <v>0</v>
      </c>
      <c s="125">
        <f>Предпосылки!$D352*Месяцев_в_квартале*AR$150</f>
        <v>0</v>
      </c>
      <c s="125">
        <f>Предпосылки!$D352*Месяцев_в_квартале*AS$150</f>
        <v>0</v>
      </c>
      <c s="125">
        <f>Предпосылки!$D352*Месяцев_в_квартале*AT$150</f>
        <v>0</v>
      </c>
      <c s="125">
        <f>Предпосылки!$D352*Месяцев_в_квартале*AU$150</f>
        <v>0</v>
      </c>
      <c s="125">
        <f>Предпосылки!$D352*Месяцев_в_квартале*AV$150</f>
        <v>0</v>
      </c>
      <c s="125">
        <f>Предпосылки!$D352*Месяцев_в_квартале*AW$150</f>
        <v>0</v>
      </c>
      <c s="125">
        <f>Предпосылки!$D352*Месяцев_в_квартале*AX$150</f>
        <v>0</v>
      </c>
      <c s="125">
        <f>Предпосылки!$D352*Месяцев_в_квартале*AY$150</f>
        <v>0</v>
      </c>
      <c s="125">
        <f>Предпосылки!$D352*Месяцев_в_квартале*AZ$150</f>
        <v>0</v>
      </c>
      <c s="125">
        <f>Предпосылки!$D352*Месяцев_в_квартале*BA$150</f>
        <v>0</v>
      </c>
      <c s="125">
        <f>Предпосылки!$D352*Месяцев_в_квартале*BB$150</f>
        <v>0</v>
      </c>
      <c s="125">
        <f>Предпосылки!$D352*Месяцев_в_квартале*BC$150</f>
        <v>0</v>
      </c>
      <c s="125">
        <f>Предпосылки!$D352*Месяцев_в_квартале*BD$150</f>
        <v>0</v>
      </c>
      <c s="125">
        <f>Предпосылки!$D352*Месяцев_в_квартале*BE$150</f>
        <v>0</v>
      </c>
      <c s="125">
        <f>Предпосылки!$D352*Месяцев_в_квартале*BF$150</f>
        <v>0</v>
      </c>
      <c s="125">
        <f>Предпосылки!$D352*Месяцев_в_квартале*BG$150</f>
        <v>0</v>
      </c>
      <c s="125">
        <f>Предпосылки!$D352*Месяцев_в_квартале*BH$150</f>
        <v>0</v>
      </c>
      <c s="125">
        <f>Предпосылки!$D352*Месяцев_в_квартале*BI$150</f>
        <v>0</v>
      </c>
      <c s="125">
        <f>Предпосылки!$D352*Месяцев_в_квартале*BJ$150</f>
        <v>0</v>
      </c>
      <c s="125">
        <f>Предпосылки!$D352*Месяцев_в_квартале*BK$150</f>
        <v>0</v>
      </c>
      <c s="125">
        <f>Предпосылки!$D352*Месяцев_в_квартале*BL$150</f>
        <v>0</v>
      </c>
      <c s="125">
        <f>Предпосылки!$D352*Месяцев_в_квартале*BM$150</f>
        <v>0</v>
      </c>
    </row>
    <row r="157" spans="2:65" ht="15" customHeight="1">
      <c r="B157" s="12" t="str">
        <f t="shared" si="463"/>
        <v>-</v>
      </c>
      <c s="124" t="str">
        <f t="shared" si="462"/>
        <v>тыс. руб.</v>
      </c>
      <c s="127"/>
      <c s="125">
        <f>Предпосылки!$D353*Месяцев_в_квартале*E$150</f>
        <v>0</v>
      </c>
      <c s="125">
        <f>Предпосылки!$D353*Месяцев_в_квартале*F$150</f>
        <v>0</v>
      </c>
      <c s="125">
        <f>Предпосылки!$D353*Месяцев_в_квартале*G$150</f>
        <v>0</v>
      </c>
      <c s="125">
        <f>Предпосылки!$D353*Месяцев_в_квартале*H$150</f>
        <v>0</v>
      </c>
      <c s="125">
        <f>Предпосылки!$D353*Месяцев_в_квартале*I$150</f>
        <v>0</v>
      </c>
      <c s="125">
        <f>Предпосылки!$D353*Месяцев_в_квартале*J$150</f>
        <v>0</v>
      </c>
      <c s="125">
        <f>Предпосылки!$D353*Месяцев_в_квартале*K$150</f>
        <v>0</v>
      </c>
      <c s="125">
        <f>Предпосылки!$D353*Месяцев_в_квартале*L$150</f>
        <v>0</v>
      </c>
      <c s="125">
        <f>Предпосылки!$D353*Месяцев_в_квартале*M$150</f>
        <v>0</v>
      </c>
      <c s="125">
        <f>Предпосылки!$D353*Месяцев_в_квартале*N$150</f>
        <v>0</v>
      </c>
      <c s="125">
        <f>Предпосылки!$D353*Месяцев_в_квартале*O$150</f>
        <v>0</v>
      </c>
      <c s="125">
        <f>Предпосылки!$D353*Месяцев_в_квартале*P$150</f>
        <v>0</v>
      </c>
      <c s="125">
        <f>Предпосылки!$D353*Месяцев_в_квартале*Q$150</f>
        <v>0</v>
      </c>
      <c s="125">
        <f>Предпосылки!$D353*Месяцев_в_квартале*R$150</f>
        <v>0</v>
      </c>
      <c s="125">
        <f>Предпосылки!$D353*Месяцев_в_квартале*S$150</f>
        <v>0</v>
      </c>
      <c s="125">
        <f>Предпосылки!$D353*Месяцев_в_квартале*T$150</f>
        <v>0</v>
      </c>
      <c s="125">
        <f>Предпосылки!$D353*Месяцев_в_квартале*U$150</f>
        <v>0</v>
      </c>
      <c s="125">
        <f>Предпосылки!$D353*Месяцев_в_квартале*V$150</f>
        <v>0</v>
      </c>
      <c s="125">
        <f>Предпосылки!$D353*Месяцев_в_квартале*W$150</f>
        <v>0</v>
      </c>
      <c s="125">
        <f>Предпосылки!$D353*Месяцев_в_квартале*X$150</f>
        <v>0</v>
      </c>
      <c s="125">
        <f>Предпосылки!$D353*Месяцев_в_квартале*Y$150</f>
        <v>0</v>
      </c>
      <c s="125">
        <f>Предпосылки!$D353*Месяцев_в_квартале*Z$150</f>
        <v>0</v>
      </c>
      <c s="125">
        <f>Предпосылки!$D353*Месяцев_в_квартале*AA$150</f>
        <v>0</v>
      </c>
      <c s="125">
        <f>Предпосылки!$D353*Месяцев_в_квартале*AB$150</f>
        <v>0</v>
      </c>
      <c s="125">
        <f>Предпосылки!$D353*Месяцев_в_квартале*AC$150</f>
        <v>0</v>
      </c>
      <c s="125">
        <f>Предпосылки!$D353*Месяцев_в_квартале*AD$150</f>
        <v>0</v>
      </c>
      <c s="125">
        <f>Предпосылки!$D353*Месяцев_в_квартале*AE$150</f>
        <v>0</v>
      </c>
      <c s="125">
        <f>Предпосылки!$D353*Месяцев_в_квартале*AF$150</f>
        <v>0</v>
      </c>
      <c s="125">
        <f>Предпосылки!$D353*Месяцев_в_квартале*AG$150</f>
        <v>0</v>
      </c>
      <c s="125">
        <f>Предпосылки!$D353*Месяцев_в_квартале*AH$150</f>
        <v>0</v>
      </c>
      <c s="125">
        <f>Предпосылки!$D353*Месяцев_в_квартале*AI$150</f>
        <v>0</v>
      </c>
      <c s="125">
        <f>Предпосылки!$D353*Месяцев_в_квартале*AJ$150</f>
        <v>0</v>
      </c>
      <c s="125">
        <f>Предпосылки!$D353*Месяцев_в_квартале*AK$150</f>
        <v>0</v>
      </c>
      <c s="125">
        <f>Предпосылки!$D353*Месяцев_в_квартале*AL$150</f>
        <v>0</v>
      </c>
      <c s="125">
        <f>Предпосылки!$D353*Месяцев_в_квартале*AM$150</f>
        <v>0</v>
      </c>
      <c s="125">
        <f>Предпосылки!$D353*Месяцев_в_квартале*AN$150</f>
        <v>0</v>
      </c>
      <c s="125">
        <f>Предпосылки!$D353*Месяцев_в_квартале*AO$150</f>
        <v>0</v>
      </c>
      <c s="125">
        <f>Предпосылки!$D353*Месяцев_в_квартале*AP$150</f>
        <v>0</v>
      </c>
      <c s="125">
        <f>Предпосылки!$D353*Месяцев_в_квартале*AQ$150</f>
        <v>0</v>
      </c>
      <c s="125">
        <f>Предпосылки!$D353*Месяцев_в_квартале*AR$150</f>
        <v>0</v>
      </c>
      <c s="125">
        <f>Предпосылки!$D353*Месяцев_в_квартале*AS$150</f>
        <v>0</v>
      </c>
      <c s="125">
        <f>Предпосылки!$D353*Месяцев_в_квартале*AT$150</f>
        <v>0</v>
      </c>
      <c s="125">
        <f>Предпосылки!$D353*Месяцев_в_квартале*AU$150</f>
        <v>0</v>
      </c>
      <c s="125">
        <f>Предпосылки!$D353*Месяцев_в_квартале*AV$150</f>
        <v>0</v>
      </c>
      <c s="125">
        <f>Предпосылки!$D353*Месяцев_в_квартале*AW$150</f>
        <v>0</v>
      </c>
      <c s="125">
        <f>Предпосылки!$D353*Месяцев_в_квартале*AX$150</f>
        <v>0</v>
      </c>
      <c s="125">
        <f>Предпосылки!$D353*Месяцев_в_квартале*AY$150</f>
        <v>0</v>
      </c>
      <c s="125">
        <f>Предпосылки!$D353*Месяцев_в_квартале*AZ$150</f>
        <v>0</v>
      </c>
      <c s="125">
        <f>Предпосылки!$D353*Месяцев_в_квартале*BA$150</f>
        <v>0</v>
      </c>
      <c s="125">
        <f>Предпосылки!$D353*Месяцев_в_квартале*BB$150</f>
        <v>0</v>
      </c>
      <c s="125">
        <f>Предпосылки!$D353*Месяцев_в_квартале*BC$150</f>
        <v>0</v>
      </c>
      <c s="125">
        <f>Предпосылки!$D353*Месяцев_в_квартале*BD$150</f>
        <v>0</v>
      </c>
      <c s="125">
        <f>Предпосылки!$D353*Месяцев_в_квартале*BE$150</f>
        <v>0</v>
      </c>
      <c s="125">
        <f>Предпосылки!$D353*Месяцев_в_квартале*BF$150</f>
        <v>0</v>
      </c>
      <c s="125">
        <f>Предпосылки!$D353*Месяцев_в_квартале*BG$150</f>
        <v>0</v>
      </c>
      <c s="125">
        <f>Предпосылки!$D353*Месяцев_в_квартале*BH$150</f>
        <v>0</v>
      </c>
      <c s="125">
        <f>Предпосылки!$D353*Месяцев_в_квартале*BI$150</f>
        <v>0</v>
      </c>
      <c s="125">
        <f>Предпосылки!$D353*Месяцев_в_квартале*BJ$150</f>
        <v>0</v>
      </c>
      <c s="125">
        <f>Предпосылки!$D353*Месяцев_в_квартале*BK$150</f>
        <v>0</v>
      </c>
      <c s="125">
        <f>Предпосылки!$D353*Месяцев_в_квартале*BL$150</f>
        <v>0</v>
      </c>
      <c s="125">
        <f>Предпосылки!$D353*Месяцев_в_квартале*BM$150</f>
        <v>0</v>
      </c>
    </row>
    <row r="158" spans="2:65" ht="15" customHeight="1">
      <c r="B158" s="12" t="str">
        <f t="shared" si="463"/>
        <v>-</v>
      </c>
      <c s="124" t="str">
        <f t="shared" si="462"/>
        <v>тыс. руб.</v>
      </c>
      <c s="127"/>
      <c s="125">
        <f>Предпосылки!$D354*Месяцев_в_квартале*E$150</f>
        <v>0</v>
      </c>
      <c s="125">
        <f>Предпосылки!$D354*Месяцев_в_квартале*F$150</f>
        <v>0</v>
      </c>
      <c s="125">
        <f>Предпосылки!$D354*Месяцев_в_квартале*G$150</f>
        <v>0</v>
      </c>
      <c s="125">
        <f>Предпосылки!$D354*Месяцев_в_квартале*H$150</f>
        <v>0</v>
      </c>
      <c s="125">
        <f>Предпосылки!$D354*Месяцев_в_квартале*I$150</f>
        <v>0</v>
      </c>
      <c s="125">
        <f>Предпосылки!$D354*Месяцев_в_квартале*J$150</f>
        <v>0</v>
      </c>
      <c s="125">
        <f>Предпосылки!$D354*Месяцев_в_квартале*K$150</f>
        <v>0</v>
      </c>
      <c s="125">
        <f>Предпосылки!$D354*Месяцев_в_квартале*L$150</f>
        <v>0</v>
      </c>
      <c s="125">
        <f>Предпосылки!$D354*Месяцев_в_квартале*M$150</f>
        <v>0</v>
      </c>
      <c s="125">
        <f>Предпосылки!$D354*Месяцев_в_квартале*N$150</f>
        <v>0</v>
      </c>
      <c s="125">
        <f>Предпосылки!$D354*Месяцев_в_квартале*O$150</f>
        <v>0</v>
      </c>
      <c s="125">
        <f>Предпосылки!$D354*Месяцев_в_квартале*P$150</f>
        <v>0</v>
      </c>
      <c s="125">
        <f>Предпосылки!$D354*Месяцев_в_квартале*Q$150</f>
        <v>0</v>
      </c>
      <c s="125">
        <f>Предпосылки!$D354*Месяцев_в_квартале*R$150</f>
        <v>0</v>
      </c>
      <c s="125">
        <f>Предпосылки!$D354*Месяцев_в_квартале*S$150</f>
        <v>0</v>
      </c>
      <c s="125">
        <f>Предпосылки!$D354*Месяцев_в_квартале*T$150</f>
        <v>0</v>
      </c>
      <c s="125">
        <f>Предпосылки!$D354*Месяцев_в_квартале*U$150</f>
        <v>0</v>
      </c>
      <c s="125">
        <f>Предпосылки!$D354*Месяцев_в_квартале*V$150</f>
        <v>0</v>
      </c>
      <c s="125">
        <f>Предпосылки!$D354*Месяцев_в_квартале*W$150</f>
        <v>0</v>
      </c>
      <c s="125">
        <f>Предпосылки!$D354*Месяцев_в_квартале*X$150</f>
        <v>0</v>
      </c>
      <c s="125">
        <f>Предпосылки!$D354*Месяцев_в_квартале*Y$150</f>
        <v>0</v>
      </c>
      <c s="125">
        <f>Предпосылки!$D354*Месяцев_в_квартале*Z$150</f>
        <v>0</v>
      </c>
      <c s="125">
        <f>Предпосылки!$D354*Месяцев_в_квартале*AA$150</f>
        <v>0</v>
      </c>
      <c s="125">
        <f>Предпосылки!$D354*Месяцев_в_квартале*AB$150</f>
        <v>0</v>
      </c>
      <c s="125">
        <f>Предпосылки!$D354*Месяцев_в_квартале*AC$150</f>
        <v>0</v>
      </c>
      <c s="125">
        <f>Предпосылки!$D354*Месяцев_в_квартале*AD$150</f>
        <v>0</v>
      </c>
      <c s="125">
        <f>Предпосылки!$D354*Месяцев_в_квартале*AE$150</f>
        <v>0</v>
      </c>
      <c s="125">
        <f>Предпосылки!$D354*Месяцев_в_квартале*AF$150</f>
        <v>0</v>
      </c>
      <c s="125">
        <f>Предпосылки!$D354*Месяцев_в_квартале*AG$150</f>
        <v>0</v>
      </c>
      <c s="125">
        <f>Предпосылки!$D354*Месяцев_в_квартале*AH$150</f>
        <v>0</v>
      </c>
      <c s="125">
        <f>Предпосылки!$D354*Месяцев_в_квартале*AI$150</f>
        <v>0</v>
      </c>
      <c s="125">
        <f>Предпосылки!$D354*Месяцев_в_квартале*AJ$150</f>
        <v>0</v>
      </c>
      <c s="125">
        <f>Предпосылки!$D354*Месяцев_в_квартале*AK$150</f>
        <v>0</v>
      </c>
      <c s="125">
        <f>Предпосылки!$D354*Месяцев_в_квартале*AL$150</f>
        <v>0</v>
      </c>
      <c s="125">
        <f>Предпосылки!$D354*Месяцев_в_квартале*AM$150</f>
        <v>0</v>
      </c>
      <c s="125">
        <f>Предпосылки!$D354*Месяцев_в_квартале*AN$150</f>
        <v>0</v>
      </c>
      <c s="125">
        <f>Предпосылки!$D354*Месяцев_в_квартале*AO$150</f>
        <v>0</v>
      </c>
      <c s="125">
        <f>Предпосылки!$D354*Месяцев_в_квартале*AP$150</f>
        <v>0</v>
      </c>
      <c s="125">
        <f>Предпосылки!$D354*Месяцев_в_квартале*AQ$150</f>
        <v>0</v>
      </c>
      <c s="125">
        <f>Предпосылки!$D354*Месяцев_в_квартале*AR$150</f>
        <v>0</v>
      </c>
      <c s="125">
        <f>Предпосылки!$D354*Месяцев_в_квартале*AS$150</f>
        <v>0</v>
      </c>
      <c s="125">
        <f>Предпосылки!$D354*Месяцев_в_квартале*AT$150</f>
        <v>0</v>
      </c>
      <c s="125">
        <f>Предпосылки!$D354*Месяцев_в_квартале*AU$150</f>
        <v>0</v>
      </c>
      <c s="125">
        <f>Предпосылки!$D354*Месяцев_в_квартале*AV$150</f>
        <v>0</v>
      </c>
      <c s="125">
        <f>Предпосылки!$D354*Месяцев_в_квартале*AW$150</f>
        <v>0</v>
      </c>
      <c s="125">
        <f>Предпосылки!$D354*Месяцев_в_квартале*AX$150</f>
        <v>0</v>
      </c>
      <c s="125">
        <f>Предпосылки!$D354*Месяцев_в_квартале*AY$150</f>
        <v>0</v>
      </c>
      <c s="125">
        <f>Предпосылки!$D354*Месяцев_в_квартале*AZ$150</f>
        <v>0</v>
      </c>
      <c s="125">
        <f>Предпосылки!$D354*Месяцев_в_квартале*BA$150</f>
        <v>0</v>
      </c>
      <c s="125">
        <f>Предпосылки!$D354*Месяцев_в_квартале*BB$150</f>
        <v>0</v>
      </c>
      <c s="125">
        <f>Предпосылки!$D354*Месяцев_в_квартале*BC$150</f>
        <v>0</v>
      </c>
      <c s="125">
        <f>Предпосылки!$D354*Месяцев_в_квартале*BD$150</f>
        <v>0</v>
      </c>
      <c s="125">
        <f>Предпосылки!$D354*Месяцев_в_квартале*BE$150</f>
        <v>0</v>
      </c>
      <c s="125">
        <f>Предпосылки!$D354*Месяцев_в_квартале*BF$150</f>
        <v>0</v>
      </c>
      <c s="125">
        <f>Предпосылки!$D354*Месяцев_в_квартале*BG$150</f>
        <v>0</v>
      </c>
      <c s="125">
        <f>Предпосылки!$D354*Месяцев_в_квартале*BH$150</f>
        <v>0</v>
      </c>
      <c s="125">
        <f>Предпосылки!$D354*Месяцев_в_квартале*BI$150</f>
        <v>0</v>
      </c>
      <c s="125">
        <f>Предпосылки!$D354*Месяцев_в_квартале*BJ$150</f>
        <v>0</v>
      </c>
      <c s="125">
        <f>Предпосылки!$D354*Месяцев_в_квартале*BK$150</f>
        <v>0</v>
      </c>
      <c s="125">
        <f>Предпосылки!$D354*Месяцев_в_квартале*BL$150</f>
        <v>0</v>
      </c>
      <c s="125">
        <f>Предпосылки!$D354*Месяцев_в_квартале*BM$150</f>
        <v>0</v>
      </c>
    </row>
    <row r="159" spans="2:65" ht="15" customHeight="1">
      <c r="B159" s="12" t="str">
        <f t="shared" si="463"/>
        <v>-</v>
      </c>
      <c s="124" t="str">
        <f t="shared" si="462"/>
        <v>тыс. руб.</v>
      </c>
      <c s="127"/>
      <c s="125">
        <f>Предпосылки!$D355*Месяцев_в_квартале*E$150</f>
        <v>0</v>
      </c>
      <c s="125">
        <f>Предпосылки!$D355*Месяцев_в_квартале*F$150</f>
        <v>0</v>
      </c>
      <c s="125">
        <f>Предпосылки!$D355*Месяцев_в_квартале*G$150</f>
        <v>0</v>
      </c>
      <c s="125">
        <f>Предпосылки!$D355*Месяцев_в_квартале*H$150</f>
        <v>0</v>
      </c>
      <c s="125">
        <f>Предпосылки!$D355*Месяцев_в_квартале*I$150</f>
        <v>0</v>
      </c>
      <c s="125">
        <f>Предпосылки!$D355*Месяцев_в_квартале*J$150</f>
        <v>0</v>
      </c>
      <c s="125">
        <f>Предпосылки!$D355*Месяцев_в_квартале*K$150</f>
        <v>0</v>
      </c>
      <c s="125">
        <f>Предпосылки!$D355*Месяцев_в_квартале*L$150</f>
        <v>0</v>
      </c>
      <c s="125">
        <f>Предпосылки!$D355*Месяцев_в_квартале*M$150</f>
        <v>0</v>
      </c>
      <c s="125">
        <f>Предпосылки!$D355*Месяцев_в_квартале*N$150</f>
        <v>0</v>
      </c>
      <c s="125">
        <f>Предпосылки!$D355*Месяцев_в_квартале*O$150</f>
        <v>0</v>
      </c>
      <c s="125">
        <f>Предпосылки!$D355*Месяцев_в_квартале*P$150</f>
        <v>0</v>
      </c>
      <c s="125">
        <f>Предпосылки!$D355*Месяцев_в_квартале*Q$150</f>
        <v>0</v>
      </c>
      <c s="125">
        <f>Предпосылки!$D355*Месяцев_в_квартале*R$150</f>
        <v>0</v>
      </c>
      <c s="125">
        <f>Предпосылки!$D355*Месяцев_в_квартале*S$150</f>
        <v>0</v>
      </c>
      <c s="125">
        <f>Предпосылки!$D355*Месяцев_в_квартале*T$150</f>
        <v>0</v>
      </c>
      <c s="125">
        <f>Предпосылки!$D355*Месяцев_в_квартале*U$150</f>
        <v>0</v>
      </c>
      <c s="125">
        <f>Предпосылки!$D355*Месяцев_в_квартале*V$150</f>
        <v>0</v>
      </c>
      <c s="125">
        <f>Предпосылки!$D355*Месяцев_в_квартале*W$150</f>
        <v>0</v>
      </c>
      <c s="125">
        <f>Предпосылки!$D355*Месяцев_в_квартале*X$150</f>
        <v>0</v>
      </c>
      <c s="125">
        <f>Предпосылки!$D355*Месяцев_в_квартале*Y$150</f>
        <v>0</v>
      </c>
      <c s="125">
        <f>Предпосылки!$D355*Месяцев_в_квартале*Z$150</f>
        <v>0</v>
      </c>
      <c s="125">
        <f>Предпосылки!$D355*Месяцев_в_квартале*AA$150</f>
        <v>0</v>
      </c>
      <c s="125">
        <f>Предпосылки!$D355*Месяцев_в_квартале*AB$150</f>
        <v>0</v>
      </c>
      <c s="125">
        <f>Предпосылки!$D355*Месяцев_в_квартале*AC$150</f>
        <v>0</v>
      </c>
      <c s="125">
        <f>Предпосылки!$D355*Месяцев_в_квартале*AD$150</f>
        <v>0</v>
      </c>
      <c s="125">
        <f>Предпосылки!$D355*Месяцев_в_квартале*AE$150</f>
        <v>0</v>
      </c>
      <c s="125">
        <f>Предпосылки!$D355*Месяцев_в_квартале*AF$150</f>
        <v>0</v>
      </c>
      <c s="125">
        <f>Предпосылки!$D355*Месяцев_в_квартале*AG$150</f>
        <v>0</v>
      </c>
      <c s="125">
        <f>Предпосылки!$D355*Месяцев_в_квартале*AH$150</f>
        <v>0</v>
      </c>
      <c s="125">
        <f>Предпосылки!$D355*Месяцев_в_квартале*AI$150</f>
        <v>0</v>
      </c>
      <c s="125">
        <f>Предпосылки!$D355*Месяцев_в_квартале*AJ$150</f>
        <v>0</v>
      </c>
      <c s="125">
        <f>Предпосылки!$D355*Месяцев_в_квартале*AK$150</f>
        <v>0</v>
      </c>
      <c s="125">
        <f>Предпосылки!$D355*Месяцев_в_квартале*AL$150</f>
        <v>0</v>
      </c>
      <c s="125">
        <f>Предпосылки!$D355*Месяцев_в_квартале*AM$150</f>
        <v>0</v>
      </c>
      <c s="125">
        <f>Предпосылки!$D355*Месяцев_в_квартале*AN$150</f>
        <v>0</v>
      </c>
      <c s="125">
        <f>Предпосылки!$D355*Месяцев_в_квартале*AO$150</f>
        <v>0</v>
      </c>
      <c s="125">
        <f>Предпосылки!$D355*Месяцев_в_квартале*AP$150</f>
        <v>0</v>
      </c>
      <c s="125">
        <f>Предпосылки!$D355*Месяцев_в_квартале*AQ$150</f>
        <v>0</v>
      </c>
      <c s="125">
        <f>Предпосылки!$D355*Месяцев_в_квартале*AR$150</f>
        <v>0</v>
      </c>
      <c s="125">
        <f>Предпосылки!$D355*Месяцев_в_квартале*AS$150</f>
        <v>0</v>
      </c>
      <c s="125">
        <f>Предпосылки!$D355*Месяцев_в_квартале*AT$150</f>
        <v>0</v>
      </c>
      <c s="125">
        <f>Предпосылки!$D355*Месяцев_в_квартале*AU$150</f>
        <v>0</v>
      </c>
      <c s="125">
        <f>Предпосылки!$D355*Месяцев_в_квартале*AV$150</f>
        <v>0</v>
      </c>
      <c s="125">
        <f>Предпосылки!$D355*Месяцев_в_квартале*AW$150</f>
        <v>0</v>
      </c>
      <c s="125">
        <f>Предпосылки!$D355*Месяцев_в_квартале*AX$150</f>
        <v>0</v>
      </c>
      <c s="125">
        <f>Предпосылки!$D355*Месяцев_в_квартале*AY$150</f>
        <v>0</v>
      </c>
      <c s="125">
        <f>Предпосылки!$D355*Месяцев_в_квартале*AZ$150</f>
        <v>0</v>
      </c>
      <c s="125">
        <f>Предпосылки!$D355*Месяцев_в_квартале*BA$150</f>
        <v>0</v>
      </c>
      <c s="125">
        <f>Предпосылки!$D355*Месяцев_в_квартале*BB$150</f>
        <v>0</v>
      </c>
      <c s="125">
        <f>Предпосылки!$D355*Месяцев_в_квартале*BC$150</f>
        <v>0</v>
      </c>
      <c s="125">
        <f>Предпосылки!$D355*Месяцев_в_квартале*BD$150</f>
        <v>0</v>
      </c>
      <c s="125">
        <f>Предпосылки!$D355*Месяцев_в_квартале*BE$150</f>
        <v>0</v>
      </c>
      <c s="125">
        <f>Предпосылки!$D355*Месяцев_в_квартале*BF$150</f>
        <v>0</v>
      </c>
      <c s="125">
        <f>Предпосылки!$D355*Месяцев_в_квартале*BG$150</f>
        <v>0</v>
      </c>
      <c s="125">
        <f>Предпосылки!$D355*Месяцев_в_квартале*BH$150</f>
        <v>0</v>
      </c>
      <c s="125">
        <f>Предпосылки!$D355*Месяцев_в_квартале*BI$150</f>
        <v>0</v>
      </c>
      <c s="125">
        <f>Предпосылки!$D355*Месяцев_в_квартале*BJ$150</f>
        <v>0</v>
      </c>
      <c s="125">
        <f>Предпосылки!$D355*Месяцев_в_квартале*BK$150</f>
        <v>0</v>
      </c>
      <c s="125">
        <f>Предпосылки!$D355*Месяцев_в_квартале*BL$150</f>
        <v>0</v>
      </c>
      <c s="125">
        <f>Предпосылки!$D355*Месяцев_в_квартале*BM$150</f>
        <v>0</v>
      </c>
    </row>
    <row r="160" spans="2:65" ht="15" customHeight="1">
      <c r="B160" s="12" t="str">
        <f t="shared" si="463"/>
        <v>-</v>
      </c>
      <c s="124" t="str">
        <f t="shared" si="462"/>
        <v>тыс. руб.</v>
      </c>
      <c s="127"/>
      <c s="125">
        <f>Предпосылки!$D356*Месяцев_в_квартале*E$150</f>
        <v>0</v>
      </c>
      <c s="125">
        <f>Предпосылки!$D356*Месяцев_в_квартале*F$150</f>
        <v>0</v>
      </c>
      <c s="125">
        <f>Предпосылки!$D356*Месяцев_в_квартале*G$150</f>
        <v>0</v>
      </c>
      <c s="125">
        <f>Предпосылки!$D356*Месяцев_в_квартале*H$150</f>
        <v>0</v>
      </c>
      <c s="125">
        <f>Предпосылки!$D356*Месяцев_в_квартале*I$150</f>
        <v>0</v>
      </c>
      <c s="125">
        <f>Предпосылки!$D356*Месяцев_в_квартале*J$150</f>
        <v>0</v>
      </c>
      <c s="125">
        <f>Предпосылки!$D356*Месяцев_в_квартале*K$150</f>
        <v>0</v>
      </c>
      <c s="125">
        <f>Предпосылки!$D356*Месяцев_в_квартале*L$150</f>
        <v>0</v>
      </c>
      <c s="125">
        <f>Предпосылки!$D356*Месяцев_в_квартале*M$150</f>
        <v>0</v>
      </c>
      <c s="125">
        <f>Предпосылки!$D356*Месяцев_в_квартале*N$150</f>
        <v>0</v>
      </c>
      <c s="125">
        <f>Предпосылки!$D356*Месяцев_в_квартале*O$150</f>
        <v>0</v>
      </c>
      <c s="125">
        <f>Предпосылки!$D356*Месяцев_в_квартале*P$150</f>
        <v>0</v>
      </c>
      <c s="125">
        <f>Предпосылки!$D356*Месяцев_в_квартале*Q$150</f>
        <v>0</v>
      </c>
      <c s="125">
        <f>Предпосылки!$D356*Месяцев_в_квартале*R$150</f>
        <v>0</v>
      </c>
      <c s="125">
        <f>Предпосылки!$D356*Месяцев_в_квартале*S$150</f>
        <v>0</v>
      </c>
      <c s="125">
        <f>Предпосылки!$D356*Месяцев_в_квартале*T$150</f>
        <v>0</v>
      </c>
      <c s="125">
        <f>Предпосылки!$D356*Месяцев_в_квартале*U$150</f>
        <v>0</v>
      </c>
      <c s="125">
        <f>Предпосылки!$D356*Месяцев_в_квартале*V$150</f>
        <v>0</v>
      </c>
      <c s="125">
        <f>Предпосылки!$D356*Месяцев_в_квартале*W$150</f>
        <v>0</v>
      </c>
      <c s="125">
        <f>Предпосылки!$D356*Месяцев_в_квартале*X$150</f>
        <v>0</v>
      </c>
      <c s="125">
        <f>Предпосылки!$D356*Месяцев_в_квартале*Y$150</f>
        <v>0</v>
      </c>
      <c s="125">
        <f>Предпосылки!$D356*Месяцев_в_квартале*Z$150</f>
        <v>0</v>
      </c>
      <c s="125">
        <f>Предпосылки!$D356*Месяцев_в_квартале*AA$150</f>
        <v>0</v>
      </c>
      <c s="125">
        <f>Предпосылки!$D356*Месяцев_в_квартале*AB$150</f>
        <v>0</v>
      </c>
      <c s="125">
        <f>Предпосылки!$D356*Месяцев_в_квартале*AC$150</f>
        <v>0</v>
      </c>
      <c s="125">
        <f>Предпосылки!$D356*Месяцев_в_квартале*AD$150</f>
        <v>0</v>
      </c>
      <c s="125">
        <f>Предпосылки!$D356*Месяцев_в_квартале*AE$150</f>
        <v>0</v>
      </c>
      <c s="125">
        <f>Предпосылки!$D356*Месяцев_в_квартале*AF$150</f>
        <v>0</v>
      </c>
      <c s="125">
        <f>Предпосылки!$D356*Месяцев_в_квартале*AG$150</f>
        <v>0</v>
      </c>
      <c s="125">
        <f>Предпосылки!$D356*Месяцев_в_квартале*AH$150</f>
        <v>0</v>
      </c>
      <c s="125">
        <f>Предпосылки!$D356*Месяцев_в_квартале*AI$150</f>
        <v>0</v>
      </c>
      <c s="125">
        <f>Предпосылки!$D356*Месяцев_в_квартале*AJ$150</f>
        <v>0</v>
      </c>
      <c s="125">
        <f>Предпосылки!$D356*Месяцев_в_квартале*AK$150</f>
        <v>0</v>
      </c>
      <c s="125">
        <f>Предпосылки!$D356*Месяцев_в_квартале*AL$150</f>
        <v>0</v>
      </c>
      <c s="125">
        <f>Предпосылки!$D356*Месяцев_в_квартале*AM$150</f>
        <v>0</v>
      </c>
      <c s="125">
        <f>Предпосылки!$D356*Месяцев_в_квартале*AN$150</f>
        <v>0</v>
      </c>
      <c s="125">
        <f>Предпосылки!$D356*Месяцев_в_квартале*AO$150</f>
        <v>0</v>
      </c>
      <c s="125">
        <f>Предпосылки!$D356*Месяцев_в_квартале*AP$150</f>
        <v>0</v>
      </c>
      <c s="125">
        <f>Предпосылки!$D356*Месяцев_в_квартале*AQ$150</f>
        <v>0</v>
      </c>
      <c s="125">
        <f>Предпосылки!$D356*Месяцев_в_квартале*AR$150</f>
        <v>0</v>
      </c>
      <c s="125">
        <f>Предпосылки!$D356*Месяцев_в_квартале*AS$150</f>
        <v>0</v>
      </c>
      <c s="125">
        <f>Предпосылки!$D356*Месяцев_в_квартале*AT$150</f>
        <v>0</v>
      </c>
      <c s="125">
        <f>Предпосылки!$D356*Месяцев_в_квартале*AU$150</f>
        <v>0</v>
      </c>
      <c s="125">
        <f>Предпосылки!$D356*Месяцев_в_квартале*AV$150</f>
        <v>0</v>
      </c>
      <c s="125">
        <f>Предпосылки!$D356*Месяцев_в_квартале*AW$150</f>
        <v>0</v>
      </c>
      <c s="125">
        <f>Предпосылки!$D356*Месяцев_в_квартале*AX$150</f>
        <v>0</v>
      </c>
      <c s="125">
        <f>Предпосылки!$D356*Месяцев_в_квартале*AY$150</f>
        <v>0</v>
      </c>
      <c s="125">
        <f>Предпосылки!$D356*Месяцев_в_квартале*AZ$150</f>
        <v>0</v>
      </c>
      <c s="125">
        <f>Предпосылки!$D356*Месяцев_в_квартале*BA$150</f>
        <v>0</v>
      </c>
      <c s="125">
        <f>Предпосылки!$D356*Месяцев_в_квартале*BB$150</f>
        <v>0</v>
      </c>
      <c s="125">
        <f>Предпосылки!$D356*Месяцев_в_квартале*BC$150</f>
        <v>0</v>
      </c>
      <c s="125">
        <f>Предпосылки!$D356*Месяцев_в_квартале*BD$150</f>
        <v>0</v>
      </c>
      <c s="125">
        <f>Предпосылки!$D356*Месяцев_в_квартале*BE$150</f>
        <v>0</v>
      </c>
      <c s="125">
        <f>Предпосылки!$D356*Месяцев_в_квартале*BF$150</f>
        <v>0</v>
      </c>
      <c s="125">
        <f>Предпосылки!$D356*Месяцев_в_квартале*BG$150</f>
        <v>0</v>
      </c>
      <c s="125">
        <f>Предпосылки!$D356*Месяцев_в_квартале*BH$150</f>
        <v>0</v>
      </c>
      <c s="125">
        <f>Предпосылки!$D356*Месяцев_в_квартале*BI$150</f>
        <v>0</v>
      </c>
      <c s="125">
        <f>Предпосылки!$D356*Месяцев_в_квартале*BJ$150</f>
        <v>0</v>
      </c>
      <c s="125">
        <f>Предпосылки!$D356*Месяцев_в_квартале*BK$150</f>
        <v>0</v>
      </c>
      <c s="125">
        <f>Предпосылки!$D356*Месяцев_в_квартале*BL$150</f>
        <v>0</v>
      </c>
      <c s="125">
        <f>Предпосылки!$D356*Месяцев_в_квартале*BM$150</f>
        <v>0</v>
      </c>
    </row>
    <row r="161" spans="2:65" ht="15" customHeight="1">
      <c r="B161" s="12" t="str">
        <f t="shared" si="463"/>
        <v>-</v>
      </c>
      <c s="124" t="str">
        <f t="shared" si="462"/>
        <v>тыс. руб.</v>
      </c>
      <c s="127"/>
      <c s="125">
        <f>Предпосылки!$D357*Месяцев_в_квартале*E$150</f>
        <v>0</v>
      </c>
      <c s="125">
        <f>Предпосылки!$D357*Месяцев_в_квартале*F$150</f>
        <v>0</v>
      </c>
      <c s="125">
        <f>Предпосылки!$D357*Месяцев_в_квартале*G$150</f>
        <v>0</v>
      </c>
      <c s="125">
        <f>Предпосылки!$D357*Месяцев_в_квартале*H$150</f>
        <v>0</v>
      </c>
      <c s="125">
        <f>Предпосылки!$D357*Месяцев_в_квартале*I$150</f>
        <v>0</v>
      </c>
      <c s="125">
        <f>Предпосылки!$D357*Месяцев_в_квартале*J$150</f>
        <v>0</v>
      </c>
      <c s="125">
        <f>Предпосылки!$D357*Месяцев_в_квартале*K$150</f>
        <v>0</v>
      </c>
      <c s="125">
        <f>Предпосылки!$D357*Месяцев_в_квартале*L$150</f>
        <v>0</v>
      </c>
      <c s="125">
        <f>Предпосылки!$D357*Месяцев_в_квартале*M$150</f>
        <v>0</v>
      </c>
      <c s="125">
        <f>Предпосылки!$D357*Месяцев_в_квартале*N$150</f>
        <v>0</v>
      </c>
      <c s="125">
        <f>Предпосылки!$D357*Месяцев_в_квартале*O$150</f>
        <v>0</v>
      </c>
      <c s="125">
        <f>Предпосылки!$D357*Месяцев_в_квартале*P$150</f>
        <v>0</v>
      </c>
      <c s="125">
        <f>Предпосылки!$D357*Месяцев_в_квартале*Q$150</f>
        <v>0</v>
      </c>
      <c s="125">
        <f>Предпосылки!$D357*Месяцев_в_квартале*R$150</f>
        <v>0</v>
      </c>
      <c s="125">
        <f>Предпосылки!$D357*Месяцев_в_квартале*S$150</f>
        <v>0</v>
      </c>
      <c s="125">
        <f>Предпосылки!$D357*Месяцев_в_квартале*T$150</f>
        <v>0</v>
      </c>
      <c s="125">
        <f>Предпосылки!$D357*Месяцев_в_квартале*U$150</f>
        <v>0</v>
      </c>
      <c s="125">
        <f>Предпосылки!$D357*Месяцев_в_квартале*V$150</f>
        <v>0</v>
      </c>
      <c s="125">
        <f>Предпосылки!$D357*Месяцев_в_квартале*W$150</f>
        <v>0</v>
      </c>
      <c s="125">
        <f>Предпосылки!$D357*Месяцев_в_квартале*X$150</f>
        <v>0</v>
      </c>
      <c s="125">
        <f>Предпосылки!$D357*Месяцев_в_квартале*Y$150</f>
        <v>0</v>
      </c>
      <c s="125">
        <f>Предпосылки!$D357*Месяцев_в_квартале*Z$150</f>
        <v>0</v>
      </c>
      <c s="125">
        <f>Предпосылки!$D357*Месяцев_в_квартале*AA$150</f>
        <v>0</v>
      </c>
      <c s="125">
        <f>Предпосылки!$D357*Месяцев_в_квартале*AB$150</f>
        <v>0</v>
      </c>
      <c s="125">
        <f>Предпосылки!$D357*Месяцев_в_квартале*AC$150</f>
        <v>0</v>
      </c>
      <c s="125">
        <f>Предпосылки!$D357*Месяцев_в_квартале*AD$150</f>
        <v>0</v>
      </c>
      <c s="125">
        <f>Предпосылки!$D357*Месяцев_в_квартале*AE$150</f>
        <v>0</v>
      </c>
      <c s="125">
        <f>Предпосылки!$D357*Месяцев_в_квартале*AF$150</f>
        <v>0</v>
      </c>
      <c s="125">
        <f>Предпосылки!$D357*Месяцев_в_квартале*AG$150</f>
        <v>0</v>
      </c>
      <c s="125">
        <f>Предпосылки!$D357*Месяцев_в_квартале*AH$150</f>
        <v>0</v>
      </c>
      <c s="125">
        <f>Предпосылки!$D357*Месяцев_в_квартале*AI$150</f>
        <v>0</v>
      </c>
      <c s="125">
        <f>Предпосылки!$D357*Месяцев_в_квартале*AJ$150</f>
        <v>0</v>
      </c>
      <c s="125">
        <f>Предпосылки!$D357*Месяцев_в_квартале*AK$150</f>
        <v>0</v>
      </c>
      <c s="125">
        <f>Предпосылки!$D357*Месяцев_в_квартале*AL$150</f>
        <v>0</v>
      </c>
      <c s="125">
        <f>Предпосылки!$D357*Месяцев_в_квартале*AM$150</f>
        <v>0</v>
      </c>
      <c s="125">
        <f>Предпосылки!$D357*Месяцев_в_квартале*AN$150</f>
        <v>0</v>
      </c>
      <c s="125">
        <f>Предпосылки!$D357*Месяцев_в_квартале*AO$150</f>
        <v>0</v>
      </c>
      <c s="125">
        <f>Предпосылки!$D357*Месяцев_в_квартале*AP$150</f>
        <v>0</v>
      </c>
      <c s="125">
        <f>Предпосылки!$D357*Месяцев_в_квартале*AQ$150</f>
        <v>0</v>
      </c>
      <c s="125">
        <f>Предпосылки!$D357*Месяцев_в_квартале*AR$150</f>
        <v>0</v>
      </c>
      <c s="125">
        <f>Предпосылки!$D357*Месяцев_в_квартале*AS$150</f>
        <v>0</v>
      </c>
      <c s="125">
        <f>Предпосылки!$D357*Месяцев_в_квартале*AT$150</f>
        <v>0</v>
      </c>
      <c s="125">
        <f>Предпосылки!$D357*Месяцев_в_квартале*AU$150</f>
        <v>0</v>
      </c>
      <c s="125">
        <f>Предпосылки!$D357*Месяцев_в_квартале*AV$150</f>
        <v>0</v>
      </c>
      <c s="125">
        <f>Предпосылки!$D357*Месяцев_в_квартале*AW$150</f>
        <v>0</v>
      </c>
      <c s="125">
        <f>Предпосылки!$D357*Месяцев_в_квартале*AX$150</f>
        <v>0</v>
      </c>
      <c s="125">
        <f>Предпосылки!$D357*Месяцев_в_квартале*AY$150</f>
        <v>0</v>
      </c>
      <c s="125">
        <f>Предпосылки!$D357*Месяцев_в_квартале*AZ$150</f>
        <v>0</v>
      </c>
      <c s="125">
        <f>Предпосылки!$D357*Месяцев_в_квартале*BA$150</f>
        <v>0</v>
      </c>
      <c s="125">
        <f>Предпосылки!$D357*Месяцев_в_квартале*BB$150</f>
        <v>0</v>
      </c>
      <c s="125">
        <f>Предпосылки!$D357*Месяцев_в_квартале*BC$150</f>
        <v>0</v>
      </c>
      <c s="125">
        <f>Предпосылки!$D357*Месяцев_в_квартале*BD$150</f>
        <v>0</v>
      </c>
      <c s="125">
        <f>Предпосылки!$D357*Месяцев_в_квартале*BE$150</f>
        <v>0</v>
      </c>
      <c s="125">
        <f>Предпосылки!$D357*Месяцев_в_квартале*BF$150</f>
        <v>0</v>
      </c>
      <c s="125">
        <f>Предпосылки!$D357*Месяцев_в_квартале*BG$150</f>
        <v>0</v>
      </c>
      <c s="125">
        <f>Предпосылки!$D357*Месяцев_в_квартале*BH$150</f>
        <v>0</v>
      </c>
      <c s="125">
        <f>Предпосылки!$D357*Месяцев_в_квартале*BI$150</f>
        <v>0</v>
      </c>
      <c s="125">
        <f>Предпосылки!$D357*Месяцев_в_квартале*BJ$150</f>
        <v>0</v>
      </c>
      <c s="125">
        <f>Предпосылки!$D357*Месяцев_в_квартале*BK$150</f>
        <v>0</v>
      </c>
      <c s="125">
        <f>Предпосылки!$D357*Месяцев_в_квартале*BL$150</f>
        <v>0</v>
      </c>
      <c s="125">
        <f>Предпосылки!$D357*Месяцев_в_квартале*BM$150</f>
        <v>0</v>
      </c>
    </row>
    <row r="162" spans="2:65" ht="15" customHeight="1">
      <c r="B162" s="12" t="str">
        <f t="shared" si="463"/>
        <v>-</v>
      </c>
      <c s="124" t="str">
        <f t="shared" si="462"/>
        <v>тыс. руб.</v>
      </c>
      <c s="127"/>
      <c s="125">
        <f>Предпосылки!$D358*Месяцев_в_квартале*E$150</f>
        <v>0</v>
      </c>
      <c s="125">
        <f>Предпосылки!$D358*Месяцев_в_квартале*F$150</f>
        <v>0</v>
      </c>
      <c s="125">
        <f>Предпосылки!$D358*Месяцев_в_квартале*G$150</f>
        <v>0</v>
      </c>
      <c s="125">
        <f>Предпосылки!$D358*Месяцев_в_квартале*H$150</f>
        <v>0</v>
      </c>
      <c s="125">
        <f>Предпосылки!$D358*Месяцев_в_квартале*I$150</f>
        <v>0</v>
      </c>
      <c s="125">
        <f>Предпосылки!$D358*Месяцев_в_квартале*J$150</f>
        <v>0</v>
      </c>
      <c s="125">
        <f>Предпосылки!$D358*Месяцев_в_квартале*K$150</f>
        <v>0</v>
      </c>
      <c s="125">
        <f>Предпосылки!$D358*Месяцев_в_квартале*L$150</f>
        <v>0</v>
      </c>
      <c s="125">
        <f>Предпосылки!$D358*Месяцев_в_квартале*M$150</f>
        <v>0</v>
      </c>
      <c s="125">
        <f>Предпосылки!$D358*Месяцев_в_квартале*N$150</f>
        <v>0</v>
      </c>
      <c s="125">
        <f>Предпосылки!$D358*Месяцев_в_квартале*O$150</f>
        <v>0</v>
      </c>
      <c s="125">
        <f>Предпосылки!$D358*Месяцев_в_квартале*P$150</f>
        <v>0</v>
      </c>
      <c s="125">
        <f>Предпосылки!$D358*Месяцев_в_квартале*Q$150</f>
        <v>0</v>
      </c>
      <c s="125">
        <f>Предпосылки!$D358*Месяцев_в_квартале*R$150</f>
        <v>0</v>
      </c>
      <c s="125">
        <f>Предпосылки!$D358*Месяцев_в_квартале*S$150</f>
        <v>0</v>
      </c>
      <c s="125">
        <f>Предпосылки!$D358*Месяцев_в_квартале*T$150</f>
        <v>0</v>
      </c>
      <c s="125">
        <f>Предпосылки!$D358*Месяцев_в_квартале*U$150</f>
        <v>0</v>
      </c>
      <c s="125">
        <f>Предпосылки!$D358*Месяцев_в_квартале*V$150</f>
        <v>0</v>
      </c>
      <c s="125">
        <f>Предпосылки!$D358*Месяцев_в_квартале*W$150</f>
        <v>0</v>
      </c>
      <c s="125">
        <f>Предпосылки!$D358*Месяцев_в_квартале*X$150</f>
        <v>0</v>
      </c>
      <c s="125">
        <f>Предпосылки!$D358*Месяцев_в_квартале*Y$150</f>
        <v>0</v>
      </c>
      <c s="125">
        <f>Предпосылки!$D358*Месяцев_в_квартале*Z$150</f>
        <v>0</v>
      </c>
      <c s="125">
        <f>Предпосылки!$D358*Месяцев_в_квартале*AA$150</f>
        <v>0</v>
      </c>
      <c s="125">
        <f>Предпосылки!$D358*Месяцев_в_квартале*AB$150</f>
        <v>0</v>
      </c>
      <c s="125">
        <f>Предпосылки!$D358*Месяцев_в_квартале*AC$150</f>
        <v>0</v>
      </c>
      <c s="125">
        <f>Предпосылки!$D358*Месяцев_в_квартале*AD$150</f>
        <v>0</v>
      </c>
      <c s="125">
        <f>Предпосылки!$D358*Месяцев_в_квартале*AE$150</f>
        <v>0</v>
      </c>
      <c s="125">
        <f>Предпосылки!$D358*Месяцев_в_квартале*AF$150</f>
        <v>0</v>
      </c>
      <c s="125">
        <f>Предпосылки!$D358*Месяцев_в_квартале*AG$150</f>
        <v>0</v>
      </c>
      <c s="125">
        <f>Предпосылки!$D358*Месяцев_в_квартале*AH$150</f>
        <v>0</v>
      </c>
      <c s="125">
        <f>Предпосылки!$D358*Месяцев_в_квартале*AI$150</f>
        <v>0</v>
      </c>
      <c s="125">
        <f>Предпосылки!$D358*Месяцев_в_квартале*AJ$150</f>
        <v>0</v>
      </c>
      <c s="125">
        <f>Предпосылки!$D358*Месяцев_в_квартале*AK$150</f>
        <v>0</v>
      </c>
      <c s="125">
        <f>Предпосылки!$D358*Месяцев_в_квартале*AL$150</f>
        <v>0</v>
      </c>
      <c s="125">
        <f>Предпосылки!$D358*Месяцев_в_квартале*AM$150</f>
        <v>0</v>
      </c>
      <c s="125">
        <f>Предпосылки!$D358*Месяцев_в_квартале*AN$150</f>
        <v>0</v>
      </c>
      <c s="125">
        <f>Предпосылки!$D358*Месяцев_в_квартале*AO$150</f>
        <v>0</v>
      </c>
      <c s="125">
        <f>Предпосылки!$D358*Месяцев_в_квартале*AP$150</f>
        <v>0</v>
      </c>
      <c s="125">
        <f>Предпосылки!$D358*Месяцев_в_квартале*AQ$150</f>
        <v>0</v>
      </c>
      <c s="125">
        <f>Предпосылки!$D358*Месяцев_в_квартале*AR$150</f>
        <v>0</v>
      </c>
      <c s="125">
        <f>Предпосылки!$D358*Месяцев_в_квартале*AS$150</f>
        <v>0</v>
      </c>
      <c s="125">
        <f>Предпосылки!$D358*Месяцев_в_квартале*AT$150</f>
        <v>0</v>
      </c>
      <c s="125">
        <f>Предпосылки!$D358*Месяцев_в_квартале*AU$150</f>
        <v>0</v>
      </c>
      <c s="125">
        <f>Предпосылки!$D358*Месяцев_в_квартале*AV$150</f>
        <v>0</v>
      </c>
      <c s="125">
        <f>Предпосылки!$D358*Месяцев_в_квартале*AW$150</f>
        <v>0</v>
      </c>
      <c s="125">
        <f>Предпосылки!$D358*Месяцев_в_квартале*AX$150</f>
        <v>0</v>
      </c>
      <c s="125">
        <f>Предпосылки!$D358*Месяцев_в_квартале*AY$150</f>
        <v>0</v>
      </c>
      <c s="125">
        <f>Предпосылки!$D358*Месяцев_в_квартале*AZ$150</f>
        <v>0</v>
      </c>
      <c s="125">
        <f>Предпосылки!$D358*Месяцев_в_квартале*BA$150</f>
        <v>0</v>
      </c>
      <c s="125">
        <f>Предпосылки!$D358*Месяцев_в_квартале*BB$150</f>
        <v>0</v>
      </c>
      <c s="125">
        <f>Предпосылки!$D358*Месяцев_в_квартале*BC$150</f>
        <v>0</v>
      </c>
      <c s="125">
        <f>Предпосылки!$D358*Месяцев_в_квартале*BD$150</f>
        <v>0</v>
      </c>
      <c s="125">
        <f>Предпосылки!$D358*Месяцев_в_квартале*BE$150</f>
        <v>0</v>
      </c>
      <c s="125">
        <f>Предпосылки!$D358*Месяцев_в_квартале*BF$150</f>
        <v>0</v>
      </c>
      <c s="125">
        <f>Предпосылки!$D358*Месяцев_в_квартале*BG$150</f>
        <v>0</v>
      </c>
      <c s="125">
        <f>Предпосылки!$D358*Месяцев_в_квартале*BH$150</f>
        <v>0</v>
      </c>
      <c s="125">
        <f>Предпосылки!$D358*Месяцев_в_квартале*BI$150</f>
        <v>0</v>
      </c>
      <c s="125">
        <f>Предпосылки!$D358*Месяцев_в_квартале*BJ$150</f>
        <v>0</v>
      </c>
      <c s="125">
        <f>Предпосылки!$D358*Месяцев_в_квартале*BK$150</f>
        <v>0</v>
      </c>
      <c s="125">
        <f>Предпосылки!$D358*Месяцев_в_квартале*BL$150</f>
        <v>0</v>
      </c>
      <c s="125">
        <f>Предпосылки!$D358*Месяцев_в_квартале*BM$150</f>
        <v>0</v>
      </c>
    </row>
    <row r="163" spans="2:65" ht="15" customHeight="1">
      <c r="B163" s="12" t="str">
        <f t="shared" si="463"/>
        <v>-</v>
      </c>
      <c s="124" t="str">
        <f t="shared" si="462"/>
        <v>тыс. руб.</v>
      </c>
      <c s="127"/>
      <c s="125">
        <f>Предпосылки!$D359*Месяцев_в_квартале*E$150</f>
        <v>0</v>
      </c>
      <c s="125">
        <f>Предпосылки!$D359*Месяцев_в_квартале*F$150</f>
        <v>0</v>
      </c>
      <c s="125">
        <f>Предпосылки!$D359*Месяцев_в_квартале*G$150</f>
        <v>0</v>
      </c>
      <c s="125">
        <f>Предпосылки!$D359*Месяцев_в_квартале*H$150</f>
        <v>0</v>
      </c>
      <c s="125">
        <f>Предпосылки!$D359*Месяцев_в_квартале*I$150</f>
        <v>0</v>
      </c>
      <c s="125">
        <f>Предпосылки!$D359*Месяцев_в_квартале*J$150</f>
        <v>0</v>
      </c>
      <c s="125">
        <f>Предпосылки!$D359*Месяцев_в_квартале*K$150</f>
        <v>0</v>
      </c>
      <c s="125">
        <f>Предпосылки!$D359*Месяцев_в_квартале*L$150</f>
        <v>0</v>
      </c>
      <c s="125">
        <f>Предпосылки!$D359*Месяцев_в_квартале*M$150</f>
        <v>0</v>
      </c>
      <c s="125">
        <f>Предпосылки!$D359*Месяцев_в_квартале*N$150</f>
        <v>0</v>
      </c>
      <c s="125">
        <f>Предпосылки!$D359*Месяцев_в_квартале*O$150</f>
        <v>0</v>
      </c>
      <c s="125">
        <f>Предпосылки!$D359*Месяцев_в_квартале*P$150</f>
        <v>0</v>
      </c>
      <c s="125">
        <f>Предпосылки!$D359*Месяцев_в_квартале*Q$150</f>
        <v>0</v>
      </c>
      <c s="125">
        <f>Предпосылки!$D359*Месяцев_в_квартале*R$150</f>
        <v>0</v>
      </c>
      <c s="125">
        <f>Предпосылки!$D359*Месяцев_в_квартале*S$150</f>
        <v>0</v>
      </c>
      <c s="125">
        <f>Предпосылки!$D359*Месяцев_в_квартале*T$150</f>
        <v>0</v>
      </c>
      <c s="125">
        <f>Предпосылки!$D359*Месяцев_в_квартале*U$150</f>
        <v>0</v>
      </c>
      <c s="125">
        <f>Предпосылки!$D359*Месяцев_в_квартале*V$150</f>
        <v>0</v>
      </c>
      <c s="125">
        <f>Предпосылки!$D359*Месяцев_в_квартале*W$150</f>
        <v>0</v>
      </c>
      <c s="125">
        <f>Предпосылки!$D359*Месяцев_в_квартале*X$150</f>
        <v>0</v>
      </c>
      <c s="125">
        <f>Предпосылки!$D359*Месяцев_в_квартале*Y$150</f>
        <v>0</v>
      </c>
      <c s="125">
        <f>Предпосылки!$D359*Месяцев_в_квартале*Z$150</f>
        <v>0</v>
      </c>
      <c s="125">
        <f>Предпосылки!$D359*Месяцев_в_квартале*AA$150</f>
        <v>0</v>
      </c>
      <c s="125">
        <f>Предпосылки!$D359*Месяцев_в_квартале*AB$150</f>
        <v>0</v>
      </c>
      <c s="125">
        <f>Предпосылки!$D359*Месяцев_в_квартале*AC$150</f>
        <v>0</v>
      </c>
      <c s="125">
        <f>Предпосылки!$D359*Месяцев_в_квартале*AD$150</f>
        <v>0</v>
      </c>
      <c s="125">
        <f>Предпосылки!$D359*Месяцев_в_квартале*AE$150</f>
        <v>0</v>
      </c>
      <c s="125">
        <f>Предпосылки!$D359*Месяцев_в_квартале*AF$150</f>
        <v>0</v>
      </c>
      <c s="125">
        <f>Предпосылки!$D359*Месяцев_в_квартале*AG$150</f>
        <v>0</v>
      </c>
      <c s="125">
        <f>Предпосылки!$D359*Месяцев_в_квартале*AH$150</f>
        <v>0</v>
      </c>
      <c s="125">
        <f>Предпосылки!$D359*Месяцев_в_квартале*AI$150</f>
        <v>0</v>
      </c>
      <c s="125">
        <f>Предпосылки!$D359*Месяцев_в_квартале*AJ$150</f>
        <v>0</v>
      </c>
      <c s="125">
        <f>Предпосылки!$D359*Месяцев_в_квартале*AK$150</f>
        <v>0</v>
      </c>
      <c s="125">
        <f>Предпосылки!$D359*Месяцев_в_квартале*AL$150</f>
        <v>0</v>
      </c>
      <c s="125">
        <f>Предпосылки!$D359*Месяцев_в_квартале*AM$150</f>
        <v>0</v>
      </c>
      <c s="125">
        <f>Предпосылки!$D359*Месяцев_в_квартале*AN$150</f>
        <v>0</v>
      </c>
      <c s="125">
        <f>Предпосылки!$D359*Месяцев_в_квартале*AO$150</f>
        <v>0</v>
      </c>
      <c s="125">
        <f>Предпосылки!$D359*Месяцев_в_квартале*AP$150</f>
        <v>0</v>
      </c>
      <c s="125">
        <f>Предпосылки!$D359*Месяцев_в_квартале*AQ$150</f>
        <v>0</v>
      </c>
      <c s="125">
        <f>Предпосылки!$D359*Месяцев_в_квартале*AR$150</f>
        <v>0</v>
      </c>
      <c s="125">
        <f>Предпосылки!$D359*Месяцев_в_квартале*AS$150</f>
        <v>0</v>
      </c>
      <c s="125">
        <f>Предпосылки!$D359*Месяцев_в_квартале*AT$150</f>
        <v>0</v>
      </c>
      <c s="125">
        <f>Предпосылки!$D359*Месяцев_в_квартале*AU$150</f>
        <v>0</v>
      </c>
      <c s="125">
        <f>Предпосылки!$D359*Месяцев_в_квартале*AV$150</f>
        <v>0</v>
      </c>
      <c s="125">
        <f>Предпосылки!$D359*Месяцев_в_квартале*AW$150</f>
        <v>0</v>
      </c>
      <c s="125">
        <f>Предпосылки!$D359*Месяцев_в_квартале*AX$150</f>
        <v>0</v>
      </c>
      <c s="125">
        <f>Предпосылки!$D359*Месяцев_в_квартале*AY$150</f>
        <v>0</v>
      </c>
      <c s="125">
        <f>Предпосылки!$D359*Месяцев_в_квартале*AZ$150</f>
        <v>0</v>
      </c>
      <c s="125">
        <f>Предпосылки!$D359*Месяцев_в_квартале*BA$150</f>
        <v>0</v>
      </c>
      <c s="125">
        <f>Предпосылки!$D359*Месяцев_в_квартале*BB$150</f>
        <v>0</v>
      </c>
      <c s="125">
        <f>Предпосылки!$D359*Месяцев_в_квартале*BC$150</f>
        <v>0</v>
      </c>
      <c s="125">
        <f>Предпосылки!$D359*Месяцев_в_квартале*BD$150</f>
        <v>0</v>
      </c>
      <c s="125">
        <f>Предпосылки!$D359*Месяцев_в_квартале*BE$150</f>
        <v>0</v>
      </c>
      <c s="125">
        <f>Предпосылки!$D359*Месяцев_в_квартале*BF$150</f>
        <v>0</v>
      </c>
      <c s="125">
        <f>Предпосылки!$D359*Месяцев_в_квартале*BG$150</f>
        <v>0</v>
      </c>
      <c s="125">
        <f>Предпосылки!$D359*Месяцев_в_квартале*BH$150</f>
        <v>0</v>
      </c>
      <c s="125">
        <f>Предпосылки!$D359*Месяцев_в_квартале*BI$150</f>
        <v>0</v>
      </c>
      <c s="125">
        <f>Предпосылки!$D359*Месяцев_в_квартале*BJ$150</f>
        <v>0</v>
      </c>
      <c s="125">
        <f>Предпосылки!$D359*Месяцев_в_квартале*BK$150</f>
        <v>0</v>
      </c>
      <c s="125">
        <f>Предпосылки!$D359*Месяцев_в_квартале*BL$150</f>
        <v>0</v>
      </c>
      <c s="125">
        <f>Предпосылки!$D359*Месяцев_в_квартале*BM$150</f>
        <v>0</v>
      </c>
    </row>
    <row r="164" spans="2:65" ht="15" customHeight="1">
      <c r="B164" s="12" t="str">
        <f t="shared" si="463"/>
        <v>-</v>
      </c>
      <c s="124" t="str">
        <f t="shared" si="462"/>
        <v>тыс. руб.</v>
      </c>
      <c s="127"/>
      <c s="125">
        <f>Предпосылки!$D360*Месяцев_в_квартале*E$150</f>
        <v>0</v>
      </c>
      <c s="125">
        <f>Предпосылки!$D360*Месяцев_в_квартале*F$150</f>
        <v>0</v>
      </c>
      <c s="125">
        <f>Предпосылки!$D360*Месяцев_в_квартале*G$150</f>
        <v>0</v>
      </c>
      <c s="125">
        <f>Предпосылки!$D360*Месяцев_в_квартале*H$150</f>
        <v>0</v>
      </c>
      <c s="125">
        <f>Предпосылки!$D360*Месяцев_в_квартале*I$150</f>
        <v>0</v>
      </c>
      <c s="125">
        <f>Предпосылки!$D360*Месяцев_в_квартале*J$150</f>
        <v>0</v>
      </c>
      <c s="125">
        <f>Предпосылки!$D360*Месяцев_в_квартале*K$150</f>
        <v>0</v>
      </c>
      <c s="125">
        <f>Предпосылки!$D360*Месяцев_в_квартале*L$150</f>
        <v>0</v>
      </c>
      <c s="125">
        <f>Предпосылки!$D360*Месяцев_в_квартале*M$150</f>
        <v>0</v>
      </c>
      <c s="125">
        <f>Предпосылки!$D360*Месяцев_в_квартале*N$150</f>
        <v>0</v>
      </c>
      <c s="125">
        <f>Предпосылки!$D360*Месяцев_в_квартале*O$150</f>
        <v>0</v>
      </c>
      <c s="125">
        <f>Предпосылки!$D360*Месяцев_в_квартале*P$150</f>
        <v>0</v>
      </c>
      <c s="125">
        <f>Предпосылки!$D360*Месяцев_в_квартале*Q$150</f>
        <v>0</v>
      </c>
      <c s="125">
        <f>Предпосылки!$D360*Месяцев_в_квартале*R$150</f>
        <v>0</v>
      </c>
      <c s="125">
        <f>Предпосылки!$D360*Месяцев_в_квартале*S$150</f>
        <v>0</v>
      </c>
      <c s="125">
        <f>Предпосылки!$D360*Месяцев_в_квартале*T$150</f>
        <v>0</v>
      </c>
      <c s="125">
        <f>Предпосылки!$D360*Месяцев_в_квартале*U$150</f>
        <v>0</v>
      </c>
      <c s="125">
        <f>Предпосылки!$D360*Месяцев_в_квартале*V$150</f>
        <v>0</v>
      </c>
      <c s="125">
        <f>Предпосылки!$D360*Месяцев_в_квартале*W$150</f>
        <v>0</v>
      </c>
      <c s="125">
        <f>Предпосылки!$D360*Месяцев_в_квартале*X$150</f>
        <v>0</v>
      </c>
      <c s="125">
        <f>Предпосылки!$D360*Месяцев_в_квартале*Y$150</f>
        <v>0</v>
      </c>
      <c s="125">
        <f>Предпосылки!$D360*Месяцев_в_квартале*Z$150</f>
        <v>0</v>
      </c>
      <c s="125">
        <f>Предпосылки!$D360*Месяцев_в_квартале*AA$150</f>
        <v>0</v>
      </c>
      <c s="125">
        <f>Предпосылки!$D360*Месяцев_в_квартале*AB$150</f>
        <v>0</v>
      </c>
      <c s="125">
        <f>Предпосылки!$D360*Месяцев_в_квартале*AC$150</f>
        <v>0</v>
      </c>
      <c s="125">
        <f>Предпосылки!$D360*Месяцев_в_квартале*AD$150</f>
        <v>0</v>
      </c>
      <c s="125">
        <f>Предпосылки!$D360*Месяцев_в_квартале*AE$150</f>
        <v>0</v>
      </c>
      <c s="125">
        <f>Предпосылки!$D360*Месяцев_в_квартале*AF$150</f>
        <v>0</v>
      </c>
      <c s="125">
        <f>Предпосылки!$D360*Месяцев_в_квартале*AG$150</f>
        <v>0</v>
      </c>
      <c s="125">
        <f>Предпосылки!$D360*Месяцев_в_квартале*AH$150</f>
        <v>0</v>
      </c>
      <c s="125">
        <f>Предпосылки!$D360*Месяцев_в_квартале*AI$150</f>
        <v>0</v>
      </c>
      <c s="125">
        <f>Предпосылки!$D360*Месяцев_в_квартале*AJ$150</f>
        <v>0</v>
      </c>
      <c s="125">
        <f>Предпосылки!$D360*Месяцев_в_квартале*AK$150</f>
        <v>0</v>
      </c>
      <c s="125">
        <f>Предпосылки!$D360*Месяцев_в_квартале*AL$150</f>
        <v>0</v>
      </c>
      <c s="125">
        <f>Предпосылки!$D360*Месяцев_в_квартале*AM$150</f>
        <v>0</v>
      </c>
      <c s="125">
        <f>Предпосылки!$D360*Месяцев_в_квартале*AN$150</f>
        <v>0</v>
      </c>
      <c s="125">
        <f>Предпосылки!$D360*Месяцев_в_квартале*AO$150</f>
        <v>0</v>
      </c>
      <c s="125">
        <f>Предпосылки!$D360*Месяцев_в_квартале*AP$150</f>
        <v>0</v>
      </c>
      <c s="125">
        <f>Предпосылки!$D360*Месяцев_в_квартале*AQ$150</f>
        <v>0</v>
      </c>
      <c s="125">
        <f>Предпосылки!$D360*Месяцев_в_квартале*AR$150</f>
        <v>0</v>
      </c>
      <c s="125">
        <f>Предпосылки!$D360*Месяцев_в_квартале*AS$150</f>
        <v>0</v>
      </c>
      <c s="125">
        <f>Предпосылки!$D360*Месяцев_в_квартале*AT$150</f>
        <v>0</v>
      </c>
      <c s="125">
        <f>Предпосылки!$D360*Месяцев_в_квартале*AU$150</f>
        <v>0</v>
      </c>
      <c s="125">
        <f>Предпосылки!$D360*Месяцев_в_квартале*AV$150</f>
        <v>0</v>
      </c>
      <c s="125">
        <f>Предпосылки!$D360*Месяцев_в_квартале*AW$150</f>
        <v>0</v>
      </c>
      <c s="125">
        <f>Предпосылки!$D360*Месяцев_в_квартале*AX$150</f>
        <v>0</v>
      </c>
      <c s="125">
        <f>Предпосылки!$D360*Месяцев_в_квартале*AY$150</f>
        <v>0</v>
      </c>
      <c s="125">
        <f>Предпосылки!$D360*Месяцев_в_квартале*AZ$150</f>
        <v>0</v>
      </c>
      <c s="125">
        <f>Предпосылки!$D360*Месяцев_в_квартале*BA$150</f>
        <v>0</v>
      </c>
      <c s="125">
        <f>Предпосылки!$D360*Месяцев_в_квартале*BB$150</f>
        <v>0</v>
      </c>
      <c s="125">
        <f>Предпосылки!$D360*Месяцев_в_квартале*BC$150</f>
        <v>0</v>
      </c>
      <c s="125">
        <f>Предпосылки!$D360*Месяцев_в_квартале*BD$150</f>
        <v>0</v>
      </c>
      <c s="125">
        <f>Предпосылки!$D360*Месяцев_в_квартале*BE$150</f>
        <v>0</v>
      </c>
      <c s="125">
        <f>Предпосылки!$D360*Месяцев_в_квартале*BF$150</f>
        <v>0</v>
      </c>
      <c s="125">
        <f>Предпосылки!$D360*Месяцев_в_квартале*BG$150</f>
        <v>0</v>
      </c>
      <c s="125">
        <f>Предпосылки!$D360*Месяцев_в_квартале*BH$150</f>
        <v>0</v>
      </c>
      <c s="125">
        <f>Предпосылки!$D360*Месяцев_в_квартале*BI$150</f>
        <v>0</v>
      </c>
      <c s="125">
        <f>Предпосылки!$D360*Месяцев_в_квартале*BJ$150</f>
        <v>0</v>
      </c>
      <c s="125">
        <f>Предпосылки!$D360*Месяцев_в_квартале*BK$150</f>
        <v>0</v>
      </c>
      <c s="125">
        <f>Предпосылки!$D360*Месяцев_в_квартале*BL$150</f>
        <v>0</v>
      </c>
      <c s="125">
        <f>Предпосылки!$D360*Месяцев_в_квартале*BM$150</f>
        <v>0</v>
      </c>
    </row>
    <row r="165" spans="2:65" ht="15" customHeight="1">
      <c r="B165" s="12" t="str">
        <f t="shared" si="463"/>
        <v>-</v>
      </c>
      <c s="124" t="str">
        <f t="shared" si="462"/>
        <v>тыс. руб.</v>
      </c>
      <c s="127"/>
      <c s="125">
        <f>Предпосылки!$D361*Месяцев_в_квартале*E$150</f>
        <v>0</v>
      </c>
      <c s="125">
        <f>Предпосылки!$D361*Месяцев_в_квартале*F$150</f>
        <v>0</v>
      </c>
      <c s="125">
        <f>Предпосылки!$D361*Месяцев_в_квартале*G$150</f>
        <v>0</v>
      </c>
      <c s="125">
        <f>Предпосылки!$D361*Месяцев_в_квартале*H$150</f>
        <v>0</v>
      </c>
      <c s="125">
        <f>Предпосылки!$D361*Месяцев_в_квартале*I$150</f>
        <v>0</v>
      </c>
      <c s="125">
        <f>Предпосылки!$D361*Месяцев_в_квартале*J$150</f>
        <v>0</v>
      </c>
      <c s="125">
        <f>Предпосылки!$D361*Месяцев_в_квартале*K$150</f>
        <v>0</v>
      </c>
      <c s="125">
        <f>Предпосылки!$D361*Месяцев_в_квартале*L$150</f>
        <v>0</v>
      </c>
      <c s="125">
        <f>Предпосылки!$D361*Месяцев_в_квартале*M$150</f>
        <v>0</v>
      </c>
      <c s="125">
        <f>Предпосылки!$D361*Месяцев_в_квартале*N$150</f>
        <v>0</v>
      </c>
      <c s="125">
        <f>Предпосылки!$D361*Месяцев_в_квартале*O$150</f>
        <v>0</v>
      </c>
      <c s="125">
        <f>Предпосылки!$D361*Месяцев_в_квартале*P$150</f>
        <v>0</v>
      </c>
      <c s="125">
        <f>Предпосылки!$D361*Месяцев_в_квартале*Q$150</f>
        <v>0</v>
      </c>
      <c s="125">
        <f>Предпосылки!$D361*Месяцев_в_квартале*R$150</f>
        <v>0</v>
      </c>
      <c s="125">
        <f>Предпосылки!$D361*Месяцев_в_квартале*S$150</f>
        <v>0</v>
      </c>
      <c s="125">
        <f>Предпосылки!$D361*Месяцев_в_квартале*T$150</f>
        <v>0</v>
      </c>
      <c s="125">
        <f>Предпосылки!$D361*Месяцев_в_квартале*U$150</f>
        <v>0</v>
      </c>
      <c s="125">
        <f>Предпосылки!$D361*Месяцев_в_квартале*V$150</f>
        <v>0</v>
      </c>
      <c s="125">
        <f>Предпосылки!$D361*Месяцев_в_квартале*W$150</f>
        <v>0</v>
      </c>
      <c s="125">
        <f>Предпосылки!$D361*Месяцев_в_квартале*X$150</f>
        <v>0</v>
      </c>
      <c s="125">
        <f>Предпосылки!$D361*Месяцев_в_квартале*Y$150</f>
        <v>0</v>
      </c>
      <c s="125">
        <f>Предпосылки!$D361*Месяцев_в_квартале*Z$150</f>
        <v>0</v>
      </c>
      <c s="125">
        <f>Предпосылки!$D361*Месяцев_в_квартале*AA$150</f>
        <v>0</v>
      </c>
      <c s="125">
        <f>Предпосылки!$D361*Месяцев_в_квартале*AB$150</f>
        <v>0</v>
      </c>
      <c s="125">
        <f>Предпосылки!$D361*Месяцев_в_квартале*AC$150</f>
        <v>0</v>
      </c>
      <c s="125">
        <f>Предпосылки!$D361*Месяцев_в_квартале*AD$150</f>
        <v>0</v>
      </c>
      <c s="125">
        <f>Предпосылки!$D361*Месяцев_в_квартале*AE$150</f>
        <v>0</v>
      </c>
      <c s="125">
        <f>Предпосылки!$D361*Месяцев_в_квартале*AF$150</f>
        <v>0</v>
      </c>
      <c s="125">
        <f>Предпосылки!$D361*Месяцев_в_квартале*AG$150</f>
        <v>0</v>
      </c>
      <c s="125">
        <f>Предпосылки!$D361*Месяцев_в_квартале*AH$150</f>
        <v>0</v>
      </c>
      <c s="125">
        <f>Предпосылки!$D361*Месяцев_в_квартале*AI$150</f>
        <v>0</v>
      </c>
      <c s="125">
        <f>Предпосылки!$D361*Месяцев_в_квартале*AJ$150</f>
        <v>0</v>
      </c>
      <c s="125">
        <f>Предпосылки!$D361*Месяцев_в_квартале*AK$150</f>
        <v>0</v>
      </c>
      <c s="125">
        <f>Предпосылки!$D361*Месяцев_в_квартале*AL$150</f>
        <v>0</v>
      </c>
      <c s="125">
        <f>Предпосылки!$D361*Месяцев_в_квартале*AM$150</f>
        <v>0</v>
      </c>
      <c s="125">
        <f>Предпосылки!$D361*Месяцев_в_квартале*AN$150</f>
        <v>0</v>
      </c>
      <c s="125">
        <f>Предпосылки!$D361*Месяцев_в_квартале*AO$150</f>
        <v>0</v>
      </c>
      <c s="125">
        <f>Предпосылки!$D361*Месяцев_в_квартале*AP$150</f>
        <v>0</v>
      </c>
      <c s="125">
        <f>Предпосылки!$D361*Месяцев_в_квартале*AQ$150</f>
        <v>0</v>
      </c>
      <c s="125">
        <f>Предпосылки!$D361*Месяцев_в_квартале*AR$150</f>
        <v>0</v>
      </c>
      <c s="125">
        <f>Предпосылки!$D361*Месяцев_в_квартале*AS$150</f>
        <v>0</v>
      </c>
      <c s="125">
        <f>Предпосылки!$D361*Месяцев_в_квартале*AT$150</f>
        <v>0</v>
      </c>
      <c s="125">
        <f>Предпосылки!$D361*Месяцев_в_квартале*AU$150</f>
        <v>0</v>
      </c>
      <c s="125">
        <f>Предпосылки!$D361*Месяцев_в_квартале*AV$150</f>
        <v>0</v>
      </c>
      <c s="125">
        <f>Предпосылки!$D361*Месяцев_в_квартале*AW$150</f>
        <v>0</v>
      </c>
      <c s="125">
        <f>Предпосылки!$D361*Месяцев_в_квартале*AX$150</f>
        <v>0</v>
      </c>
      <c s="125">
        <f>Предпосылки!$D361*Месяцев_в_квартале*AY$150</f>
        <v>0</v>
      </c>
      <c s="125">
        <f>Предпосылки!$D361*Месяцев_в_квартале*AZ$150</f>
        <v>0</v>
      </c>
      <c s="125">
        <f>Предпосылки!$D361*Месяцев_в_квартале*BA$150</f>
        <v>0</v>
      </c>
      <c s="125">
        <f>Предпосылки!$D361*Месяцев_в_квартале*BB$150</f>
        <v>0</v>
      </c>
      <c s="125">
        <f>Предпосылки!$D361*Месяцев_в_квартале*BC$150</f>
        <v>0</v>
      </c>
      <c s="125">
        <f>Предпосылки!$D361*Месяцев_в_квартале*BD$150</f>
        <v>0</v>
      </c>
      <c s="125">
        <f>Предпосылки!$D361*Месяцев_в_квартале*BE$150</f>
        <v>0</v>
      </c>
      <c s="125">
        <f>Предпосылки!$D361*Месяцев_в_квартале*BF$150</f>
        <v>0</v>
      </c>
      <c s="125">
        <f>Предпосылки!$D361*Месяцев_в_квартале*BG$150</f>
        <v>0</v>
      </c>
      <c s="125">
        <f>Предпосылки!$D361*Месяцев_в_квартале*BH$150</f>
        <v>0</v>
      </c>
      <c s="125">
        <f>Предпосылки!$D361*Месяцев_в_квартале*BI$150</f>
        <v>0</v>
      </c>
      <c s="125">
        <f>Предпосылки!$D361*Месяцев_в_квартале*BJ$150</f>
        <v>0</v>
      </c>
      <c s="125">
        <f>Предпосылки!$D361*Месяцев_в_квартале*BK$150</f>
        <v>0</v>
      </c>
      <c s="125">
        <f>Предпосылки!$D361*Месяцев_в_квартале*BL$150</f>
        <v>0</v>
      </c>
      <c s="125">
        <f>Предпосылки!$D361*Месяцев_в_квартале*BM$150</f>
        <v>0</v>
      </c>
    </row>
    <row r="166" spans="2:65" ht="15" customHeight="1">
      <c r="B166" s="12" t="str">
        <f t="shared" si="463"/>
        <v>-</v>
      </c>
      <c s="124" t="str">
        <f t="shared" si="462"/>
        <v>тыс. руб.</v>
      </c>
      <c s="127"/>
      <c s="125">
        <f>Предпосылки!$D362*Месяцев_в_квартале*E$150</f>
        <v>0</v>
      </c>
      <c s="125">
        <f>Предпосылки!$D362*Месяцев_в_квартале*F$150</f>
        <v>0</v>
      </c>
      <c s="125">
        <f>Предпосылки!$D362*Месяцев_в_квартале*G$150</f>
        <v>0</v>
      </c>
      <c s="125">
        <f>Предпосылки!$D362*Месяцев_в_квартале*H$150</f>
        <v>0</v>
      </c>
      <c s="125">
        <f>Предпосылки!$D362*Месяцев_в_квартале*I$150</f>
        <v>0</v>
      </c>
      <c s="125">
        <f>Предпосылки!$D362*Месяцев_в_квартале*J$150</f>
        <v>0</v>
      </c>
      <c s="125">
        <f>Предпосылки!$D362*Месяцев_в_квартале*K$150</f>
        <v>0</v>
      </c>
      <c s="125">
        <f>Предпосылки!$D362*Месяцев_в_квартале*L$150</f>
        <v>0</v>
      </c>
      <c s="125">
        <f>Предпосылки!$D362*Месяцев_в_квартале*M$150</f>
        <v>0</v>
      </c>
      <c s="125">
        <f>Предпосылки!$D362*Месяцев_в_квартале*N$150</f>
        <v>0</v>
      </c>
      <c s="125">
        <f>Предпосылки!$D362*Месяцев_в_квартале*O$150</f>
        <v>0</v>
      </c>
      <c s="125">
        <f>Предпосылки!$D362*Месяцев_в_квартале*P$150</f>
        <v>0</v>
      </c>
      <c s="125">
        <f>Предпосылки!$D362*Месяцев_в_квартале*Q$150</f>
        <v>0</v>
      </c>
      <c s="125">
        <f>Предпосылки!$D362*Месяцев_в_квартале*R$150</f>
        <v>0</v>
      </c>
      <c s="125">
        <f>Предпосылки!$D362*Месяцев_в_квартале*S$150</f>
        <v>0</v>
      </c>
      <c s="125">
        <f>Предпосылки!$D362*Месяцев_в_квартале*T$150</f>
        <v>0</v>
      </c>
      <c s="125">
        <f>Предпосылки!$D362*Месяцев_в_квартале*U$150</f>
        <v>0</v>
      </c>
      <c s="125">
        <f>Предпосылки!$D362*Месяцев_в_квартале*V$150</f>
        <v>0</v>
      </c>
      <c s="125">
        <f>Предпосылки!$D362*Месяцев_в_квартале*W$150</f>
        <v>0</v>
      </c>
      <c s="125">
        <f>Предпосылки!$D362*Месяцев_в_квартале*X$150</f>
        <v>0</v>
      </c>
      <c s="125">
        <f>Предпосылки!$D362*Месяцев_в_квартале*Y$150</f>
        <v>0</v>
      </c>
      <c s="125">
        <f>Предпосылки!$D362*Месяцев_в_квартале*Z$150</f>
        <v>0</v>
      </c>
      <c s="125">
        <f>Предпосылки!$D362*Месяцев_в_квартале*AA$150</f>
        <v>0</v>
      </c>
      <c s="125">
        <f>Предпосылки!$D362*Месяцев_в_квартале*AB$150</f>
        <v>0</v>
      </c>
      <c s="125">
        <f>Предпосылки!$D362*Месяцев_в_квартале*AC$150</f>
        <v>0</v>
      </c>
      <c s="125">
        <f>Предпосылки!$D362*Месяцев_в_квартале*AD$150</f>
        <v>0</v>
      </c>
      <c s="125">
        <f>Предпосылки!$D362*Месяцев_в_квартале*AE$150</f>
        <v>0</v>
      </c>
      <c s="125">
        <f>Предпосылки!$D362*Месяцев_в_квартале*AF$150</f>
        <v>0</v>
      </c>
      <c s="125">
        <f>Предпосылки!$D362*Месяцев_в_квартале*AG$150</f>
        <v>0</v>
      </c>
      <c s="125">
        <f>Предпосылки!$D362*Месяцев_в_квартале*AH$150</f>
        <v>0</v>
      </c>
      <c s="125">
        <f>Предпосылки!$D362*Месяцев_в_квартале*AI$150</f>
        <v>0</v>
      </c>
      <c s="125">
        <f>Предпосылки!$D362*Месяцев_в_квартале*AJ$150</f>
        <v>0</v>
      </c>
      <c s="125">
        <f>Предпосылки!$D362*Месяцев_в_квартале*AK$150</f>
        <v>0</v>
      </c>
      <c s="125">
        <f>Предпосылки!$D362*Месяцев_в_квартале*AL$150</f>
        <v>0</v>
      </c>
      <c s="125">
        <f>Предпосылки!$D362*Месяцев_в_квартале*AM$150</f>
        <v>0</v>
      </c>
      <c s="125">
        <f>Предпосылки!$D362*Месяцев_в_квартале*AN$150</f>
        <v>0</v>
      </c>
      <c s="125">
        <f>Предпосылки!$D362*Месяцев_в_квартале*AO$150</f>
        <v>0</v>
      </c>
      <c s="125">
        <f>Предпосылки!$D362*Месяцев_в_квартале*AP$150</f>
        <v>0</v>
      </c>
      <c s="125">
        <f>Предпосылки!$D362*Месяцев_в_квартале*AQ$150</f>
        <v>0</v>
      </c>
      <c s="125">
        <f>Предпосылки!$D362*Месяцев_в_квартале*AR$150</f>
        <v>0</v>
      </c>
      <c s="125">
        <f>Предпосылки!$D362*Месяцев_в_квартале*AS$150</f>
        <v>0</v>
      </c>
      <c s="125">
        <f>Предпосылки!$D362*Месяцев_в_квартале*AT$150</f>
        <v>0</v>
      </c>
      <c s="125">
        <f>Предпосылки!$D362*Месяцев_в_квартале*AU$150</f>
        <v>0</v>
      </c>
      <c s="125">
        <f>Предпосылки!$D362*Месяцев_в_квартале*AV$150</f>
        <v>0</v>
      </c>
      <c s="125">
        <f>Предпосылки!$D362*Месяцев_в_квартале*AW$150</f>
        <v>0</v>
      </c>
      <c s="125">
        <f>Предпосылки!$D362*Месяцев_в_квартале*AX$150</f>
        <v>0</v>
      </c>
      <c s="125">
        <f>Предпосылки!$D362*Месяцев_в_квартале*AY$150</f>
        <v>0</v>
      </c>
      <c s="125">
        <f>Предпосылки!$D362*Месяцев_в_квартале*AZ$150</f>
        <v>0</v>
      </c>
      <c s="125">
        <f>Предпосылки!$D362*Месяцев_в_квартале*BA$150</f>
        <v>0</v>
      </c>
      <c s="125">
        <f>Предпосылки!$D362*Месяцев_в_квартале*BB$150</f>
        <v>0</v>
      </c>
      <c s="125">
        <f>Предпосылки!$D362*Месяцев_в_квартале*BC$150</f>
        <v>0</v>
      </c>
      <c s="125">
        <f>Предпосылки!$D362*Месяцев_в_квартале*BD$150</f>
        <v>0</v>
      </c>
      <c s="125">
        <f>Предпосылки!$D362*Месяцев_в_квартале*BE$150</f>
        <v>0</v>
      </c>
      <c s="125">
        <f>Предпосылки!$D362*Месяцев_в_квартале*BF$150</f>
        <v>0</v>
      </c>
      <c s="125">
        <f>Предпосылки!$D362*Месяцев_в_квартале*BG$150</f>
        <v>0</v>
      </c>
      <c s="125">
        <f>Предпосылки!$D362*Месяцев_в_квартале*BH$150</f>
        <v>0</v>
      </c>
      <c s="125">
        <f>Предпосылки!$D362*Месяцев_в_квартале*BI$150</f>
        <v>0</v>
      </c>
      <c s="125">
        <f>Предпосылки!$D362*Месяцев_в_квартале*BJ$150</f>
        <v>0</v>
      </c>
      <c s="125">
        <f>Предпосылки!$D362*Месяцев_в_квартале*BK$150</f>
        <v>0</v>
      </c>
      <c s="125">
        <f>Предпосылки!$D362*Месяцев_в_квартале*BL$150</f>
        <v>0</v>
      </c>
      <c s="125">
        <f>Предпосылки!$D362*Месяцев_в_квартале*BM$150</f>
        <v>0</v>
      </c>
    </row>
    <row r="167" spans="2:65" ht="15" customHeight="1">
      <c r="B167" s="12" t="str">
        <f t="shared" si="463"/>
        <v>-</v>
      </c>
      <c s="124" t="str">
        <f t="shared" si="462"/>
        <v>тыс. руб.</v>
      </c>
      <c s="127"/>
      <c s="125">
        <f>Предпосылки!$D363*Месяцев_в_квартале*E$150</f>
        <v>0</v>
      </c>
      <c s="125">
        <f>Предпосылки!$D363*Месяцев_в_квартале*F$150</f>
        <v>0</v>
      </c>
      <c s="125">
        <f>Предпосылки!$D363*Месяцев_в_квартале*G$150</f>
        <v>0</v>
      </c>
      <c s="125">
        <f>Предпосылки!$D363*Месяцев_в_квартале*H$150</f>
        <v>0</v>
      </c>
      <c s="125">
        <f>Предпосылки!$D363*Месяцев_в_квартале*I$150</f>
        <v>0</v>
      </c>
      <c s="125">
        <f>Предпосылки!$D363*Месяцев_в_квартале*J$150</f>
        <v>0</v>
      </c>
      <c s="125">
        <f>Предпосылки!$D363*Месяцев_в_квартале*K$150</f>
        <v>0</v>
      </c>
      <c s="125">
        <f>Предпосылки!$D363*Месяцев_в_квартале*L$150</f>
        <v>0</v>
      </c>
      <c s="125">
        <f>Предпосылки!$D363*Месяцев_в_квартале*M$150</f>
        <v>0</v>
      </c>
      <c s="125">
        <f>Предпосылки!$D363*Месяцев_в_квартале*N$150</f>
        <v>0</v>
      </c>
      <c s="125">
        <f>Предпосылки!$D363*Месяцев_в_квартале*O$150</f>
        <v>0</v>
      </c>
      <c s="125">
        <f>Предпосылки!$D363*Месяцев_в_квартале*P$150</f>
        <v>0</v>
      </c>
      <c s="125">
        <f>Предпосылки!$D363*Месяцев_в_квартале*Q$150</f>
        <v>0</v>
      </c>
      <c s="125">
        <f>Предпосылки!$D363*Месяцев_в_квартале*R$150</f>
        <v>0</v>
      </c>
      <c s="125">
        <f>Предпосылки!$D363*Месяцев_в_квартале*S$150</f>
        <v>0</v>
      </c>
      <c s="125">
        <f>Предпосылки!$D363*Месяцев_в_квартале*T$150</f>
        <v>0</v>
      </c>
      <c s="125">
        <f>Предпосылки!$D363*Месяцев_в_квартале*U$150</f>
        <v>0</v>
      </c>
      <c s="125">
        <f>Предпосылки!$D363*Месяцев_в_квартале*V$150</f>
        <v>0</v>
      </c>
      <c s="125">
        <f>Предпосылки!$D363*Месяцев_в_квартале*W$150</f>
        <v>0</v>
      </c>
      <c s="125">
        <f>Предпосылки!$D363*Месяцев_в_квартале*X$150</f>
        <v>0</v>
      </c>
      <c s="125">
        <f>Предпосылки!$D363*Месяцев_в_квартале*Y$150</f>
        <v>0</v>
      </c>
      <c s="125">
        <f>Предпосылки!$D363*Месяцев_в_квартале*Z$150</f>
        <v>0</v>
      </c>
      <c s="125">
        <f>Предпосылки!$D363*Месяцев_в_квартале*AA$150</f>
        <v>0</v>
      </c>
      <c s="125">
        <f>Предпосылки!$D363*Месяцев_в_квартале*AB$150</f>
        <v>0</v>
      </c>
      <c s="125">
        <f>Предпосылки!$D363*Месяцев_в_квартале*AC$150</f>
        <v>0</v>
      </c>
      <c s="125">
        <f>Предпосылки!$D363*Месяцев_в_квартале*AD$150</f>
        <v>0</v>
      </c>
      <c s="125">
        <f>Предпосылки!$D363*Месяцев_в_квартале*AE$150</f>
        <v>0</v>
      </c>
      <c s="125">
        <f>Предпосылки!$D363*Месяцев_в_квартале*AF$150</f>
        <v>0</v>
      </c>
      <c s="125">
        <f>Предпосылки!$D363*Месяцев_в_квартале*AG$150</f>
        <v>0</v>
      </c>
      <c s="125">
        <f>Предпосылки!$D363*Месяцев_в_квартале*AH$150</f>
        <v>0</v>
      </c>
      <c s="125">
        <f>Предпосылки!$D363*Месяцев_в_квартале*AI$150</f>
        <v>0</v>
      </c>
      <c s="125">
        <f>Предпосылки!$D363*Месяцев_в_квартале*AJ$150</f>
        <v>0</v>
      </c>
      <c s="125">
        <f>Предпосылки!$D363*Месяцев_в_квартале*AK$150</f>
        <v>0</v>
      </c>
      <c s="125">
        <f>Предпосылки!$D363*Месяцев_в_квартале*AL$150</f>
        <v>0</v>
      </c>
      <c s="125">
        <f>Предпосылки!$D363*Месяцев_в_квартале*AM$150</f>
        <v>0</v>
      </c>
      <c s="125">
        <f>Предпосылки!$D363*Месяцев_в_квартале*AN$150</f>
        <v>0</v>
      </c>
      <c s="125">
        <f>Предпосылки!$D363*Месяцев_в_квартале*AO$150</f>
        <v>0</v>
      </c>
      <c s="125">
        <f>Предпосылки!$D363*Месяцев_в_квартале*AP$150</f>
        <v>0</v>
      </c>
      <c s="125">
        <f>Предпосылки!$D363*Месяцев_в_квартале*AQ$150</f>
        <v>0</v>
      </c>
      <c s="125">
        <f>Предпосылки!$D363*Месяцев_в_квартале*AR$150</f>
        <v>0</v>
      </c>
      <c s="125">
        <f>Предпосылки!$D363*Месяцев_в_квартале*AS$150</f>
        <v>0</v>
      </c>
      <c s="125">
        <f>Предпосылки!$D363*Месяцев_в_квартале*AT$150</f>
        <v>0</v>
      </c>
      <c s="125">
        <f>Предпосылки!$D363*Месяцев_в_квартале*AU$150</f>
        <v>0</v>
      </c>
      <c s="125">
        <f>Предпосылки!$D363*Месяцев_в_квартале*AV$150</f>
        <v>0</v>
      </c>
      <c s="125">
        <f>Предпосылки!$D363*Месяцев_в_квартале*AW$150</f>
        <v>0</v>
      </c>
      <c s="125">
        <f>Предпосылки!$D363*Месяцев_в_квартале*AX$150</f>
        <v>0</v>
      </c>
      <c s="125">
        <f>Предпосылки!$D363*Месяцев_в_квартале*AY$150</f>
        <v>0</v>
      </c>
      <c s="125">
        <f>Предпосылки!$D363*Месяцев_в_квартале*AZ$150</f>
        <v>0</v>
      </c>
      <c s="125">
        <f>Предпосылки!$D363*Месяцев_в_квартале*BA$150</f>
        <v>0</v>
      </c>
      <c s="125">
        <f>Предпосылки!$D363*Месяцев_в_квартале*BB$150</f>
        <v>0</v>
      </c>
      <c s="125">
        <f>Предпосылки!$D363*Месяцев_в_квартале*BC$150</f>
        <v>0</v>
      </c>
      <c s="125">
        <f>Предпосылки!$D363*Месяцев_в_квартале*BD$150</f>
        <v>0</v>
      </c>
      <c s="125">
        <f>Предпосылки!$D363*Месяцев_в_квартале*BE$150</f>
        <v>0</v>
      </c>
      <c s="125">
        <f>Предпосылки!$D363*Месяцев_в_квартале*BF$150</f>
        <v>0</v>
      </c>
      <c s="125">
        <f>Предпосылки!$D363*Месяцев_в_квартале*BG$150</f>
        <v>0</v>
      </c>
      <c s="125">
        <f>Предпосылки!$D363*Месяцев_в_квартале*BH$150</f>
        <v>0</v>
      </c>
      <c s="125">
        <f>Предпосылки!$D363*Месяцев_в_квартале*BI$150</f>
        <v>0</v>
      </c>
      <c s="125">
        <f>Предпосылки!$D363*Месяцев_в_квартале*BJ$150</f>
        <v>0</v>
      </c>
      <c s="125">
        <f>Предпосылки!$D363*Месяцев_в_квартале*BK$150</f>
        <v>0</v>
      </c>
      <c s="125">
        <f>Предпосылки!$D363*Месяцев_в_квартале*BL$150</f>
        <v>0</v>
      </c>
      <c s="125">
        <f>Предпосылки!$D363*Месяцев_в_квартале*BM$150</f>
        <v>0</v>
      </c>
    </row>
    <row r="168" spans="2:65" ht="15" customHeight="1">
      <c r="B168" s="12" t="str">
        <f t="shared" si="463"/>
        <v>-</v>
      </c>
      <c s="124" t="str">
        <f t="shared" si="462"/>
        <v>тыс. руб.</v>
      </c>
      <c s="127"/>
      <c s="125">
        <f>Предпосылки!$D364*Месяцев_в_квартале*E$150</f>
        <v>0</v>
      </c>
      <c s="125">
        <f>Предпосылки!$D364*Месяцев_в_квартале*F$150</f>
        <v>0</v>
      </c>
      <c s="125">
        <f>Предпосылки!$D364*Месяцев_в_квартале*G$150</f>
        <v>0</v>
      </c>
      <c s="125">
        <f>Предпосылки!$D364*Месяцев_в_квартале*H$150</f>
        <v>0</v>
      </c>
      <c s="125">
        <f>Предпосылки!$D364*Месяцев_в_квартале*I$150</f>
        <v>0</v>
      </c>
      <c s="125">
        <f>Предпосылки!$D364*Месяцев_в_квартале*J$150</f>
        <v>0</v>
      </c>
      <c s="125">
        <f>Предпосылки!$D364*Месяцев_в_квартале*K$150</f>
        <v>0</v>
      </c>
      <c s="125">
        <f>Предпосылки!$D364*Месяцев_в_квартале*L$150</f>
        <v>0</v>
      </c>
      <c s="125">
        <f>Предпосылки!$D364*Месяцев_в_квартале*M$150</f>
        <v>0</v>
      </c>
      <c s="125">
        <f>Предпосылки!$D364*Месяцев_в_квартале*N$150</f>
        <v>0</v>
      </c>
      <c s="125">
        <f>Предпосылки!$D364*Месяцев_в_квартале*O$150</f>
        <v>0</v>
      </c>
      <c s="125">
        <f>Предпосылки!$D364*Месяцев_в_квартале*P$150</f>
        <v>0</v>
      </c>
      <c s="125">
        <f>Предпосылки!$D364*Месяцев_в_квартале*Q$150</f>
        <v>0</v>
      </c>
      <c s="125">
        <f>Предпосылки!$D364*Месяцев_в_квартале*R$150</f>
        <v>0</v>
      </c>
      <c s="125">
        <f>Предпосылки!$D364*Месяцев_в_квартале*S$150</f>
        <v>0</v>
      </c>
      <c s="125">
        <f>Предпосылки!$D364*Месяцев_в_квартале*T$150</f>
        <v>0</v>
      </c>
      <c s="125">
        <f>Предпосылки!$D364*Месяцев_в_квартале*U$150</f>
        <v>0</v>
      </c>
      <c s="125">
        <f>Предпосылки!$D364*Месяцев_в_квартале*V$150</f>
        <v>0</v>
      </c>
      <c s="125">
        <f>Предпосылки!$D364*Месяцев_в_квартале*W$150</f>
        <v>0</v>
      </c>
      <c s="125">
        <f>Предпосылки!$D364*Месяцев_в_квартале*X$150</f>
        <v>0</v>
      </c>
      <c s="125">
        <f>Предпосылки!$D364*Месяцев_в_квартале*Y$150</f>
        <v>0</v>
      </c>
      <c s="125">
        <f>Предпосылки!$D364*Месяцев_в_квартале*Z$150</f>
        <v>0</v>
      </c>
      <c s="125">
        <f>Предпосылки!$D364*Месяцев_в_квартале*AA$150</f>
        <v>0</v>
      </c>
      <c s="125">
        <f>Предпосылки!$D364*Месяцев_в_квартале*AB$150</f>
        <v>0</v>
      </c>
      <c s="125">
        <f>Предпосылки!$D364*Месяцев_в_квартале*AC$150</f>
        <v>0</v>
      </c>
      <c s="125">
        <f>Предпосылки!$D364*Месяцев_в_квартале*AD$150</f>
        <v>0</v>
      </c>
      <c s="125">
        <f>Предпосылки!$D364*Месяцев_в_квартале*AE$150</f>
        <v>0</v>
      </c>
      <c s="125">
        <f>Предпосылки!$D364*Месяцев_в_квартале*AF$150</f>
        <v>0</v>
      </c>
      <c s="125">
        <f>Предпосылки!$D364*Месяцев_в_квартале*AG$150</f>
        <v>0</v>
      </c>
      <c s="125">
        <f>Предпосылки!$D364*Месяцев_в_квартале*AH$150</f>
        <v>0</v>
      </c>
      <c s="125">
        <f>Предпосылки!$D364*Месяцев_в_квартале*AI$150</f>
        <v>0</v>
      </c>
      <c s="125">
        <f>Предпосылки!$D364*Месяцев_в_квартале*AJ$150</f>
        <v>0</v>
      </c>
      <c s="125">
        <f>Предпосылки!$D364*Месяцев_в_квартале*AK$150</f>
        <v>0</v>
      </c>
      <c s="125">
        <f>Предпосылки!$D364*Месяцев_в_квартале*AL$150</f>
        <v>0</v>
      </c>
      <c s="125">
        <f>Предпосылки!$D364*Месяцев_в_квартале*AM$150</f>
        <v>0</v>
      </c>
      <c s="125">
        <f>Предпосылки!$D364*Месяцев_в_квартале*AN$150</f>
        <v>0</v>
      </c>
      <c s="125">
        <f>Предпосылки!$D364*Месяцев_в_квартале*AO$150</f>
        <v>0</v>
      </c>
      <c s="125">
        <f>Предпосылки!$D364*Месяцев_в_квартале*AP$150</f>
        <v>0</v>
      </c>
      <c s="125">
        <f>Предпосылки!$D364*Месяцев_в_квартале*AQ$150</f>
        <v>0</v>
      </c>
      <c s="125">
        <f>Предпосылки!$D364*Месяцев_в_квартале*AR$150</f>
        <v>0</v>
      </c>
      <c s="125">
        <f>Предпосылки!$D364*Месяцев_в_квартале*AS$150</f>
        <v>0</v>
      </c>
      <c s="125">
        <f>Предпосылки!$D364*Месяцев_в_квартале*AT$150</f>
        <v>0</v>
      </c>
      <c s="125">
        <f>Предпосылки!$D364*Месяцев_в_квартале*AU$150</f>
        <v>0</v>
      </c>
      <c s="125">
        <f>Предпосылки!$D364*Месяцев_в_квартале*AV$150</f>
        <v>0</v>
      </c>
      <c s="125">
        <f>Предпосылки!$D364*Месяцев_в_квартале*AW$150</f>
        <v>0</v>
      </c>
      <c s="125">
        <f>Предпосылки!$D364*Месяцев_в_квартале*AX$150</f>
        <v>0</v>
      </c>
      <c s="125">
        <f>Предпосылки!$D364*Месяцев_в_квартале*AY$150</f>
        <v>0</v>
      </c>
      <c s="125">
        <f>Предпосылки!$D364*Месяцев_в_квартале*AZ$150</f>
        <v>0</v>
      </c>
      <c s="125">
        <f>Предпосылки!$D364*Месяцев_в_квартале*BA$150</f>
        <v>0</v>
      </c>
      <c s="125">
        <f>Предпосылки!$D364*Месяцев_в_квартале*BB$150</f>
        <v>0</v>
      </c>
      <c s="125">
        <f>Предпосылки!$D364*Месяцев_в_квартале*BC$150</f>
        <v>0</v>
      </c>
      <c s="125">
        <f>Предпосылки!$D364*Месяцев_в_квартале*BD$150</f>
        <v>0</v>
      </c>
      <c s="125">
        <f>Предпосылки!$D364*Месяцев_в_квартале*BE$150</f>
        <v>0</v>
      </c>
      <c s="125">
        <f>Предпосылки!$D364*Месяцев_в_квартале*BF$150</f>
        <v>0</v>
      </c>
      <c s="125">
        <f>Предпосылки!$D364*Месяцев_в_квартале*BG$150</f>
        <v>0</v>
      </c>
      <c s="125">
        <f>Предпосылки!$D364*Месяцев_в_квартале*BH$150</f>
        <v>0</v>
      </c>
      <c s="125">
        <f>Предпосылки!$D364*Месяцев_в_квартале*BI$150</f>
        <v>0</v>
      </c>
      <c s="125">
        <f>Предпосылки!$D364*Месяцев_в_квартале*BJ$150</f>
        <v>0</v>
      </c>
      <c s="125">
        <f>Предпосылки!$D364*Месяцев_в_квартале*BK$150</f>
        <v>0</v>
      </c>
      <c s="125">
        <f>Предпосылки!$D364*Месяцев_в_квартале*BL$150</f>
        <v>0</v>
      </c>
      <c s="125">
        <f>Предпосылки!$D364*Месяцев_в_квартале*BM$150</f>
        <v>0</v>
      </c>
    </row>
    <row r="169" spans="2:65" ht="15" customHeight="1">
      <c r="B169" s="12" t="str">
        <f t="shared" si="463"/>
        <v>-</v>
      </c>
      <c s="124" t="str">
        <f t="shared" si="462"/>
        <v>тыс. руб.</v>
      </c>
      <c s="127"/>
      <c s="125">
        <f>Предпосылки!$D365*Месяцев_в_квартале*E$150</f>
        <v>0</v>
      </c>
      <c s="125">
        <f>Предпосылки!$D365*Месяцев_в_квартале*F$150</f>
        <v>0</v>
      </c>
      <c s="125">
        <f>Предпосылки!$D365*Месяцев_в_квартале*G$150</f>
        <v>0</v>
      </c>
      <c s="125">
        <f>Предпосылки!$D365*Месяцев_в_квартале*H$150</f>
        <v>0</v>
      </c>
      <c s="125">
        <f>Предпосылки!$D365*Месяцев_в_квартале*I$150</f>
        <v>0</v>
      </c>
      <c s="125">
        <f>Предпосылки!$D365*Месяцев_в_квартале*J$150</f>
        <v>0</v>
      </c>
      <c s="125">
        <f>Предпосылки!$D365*Месяцев_в_квартале*K$150</f>
        <v>0</v>
      </c>
      <c s="125">
        <f>Предпосылки!$D365*Месяцев_в_квартале*L$150</f>
        <v>0</v>
      </c>
      <c s="125">
        <f>Предпосылки!$D365*Месяцев_в_квартале*M$150</f>
        <v>0</v>
      </c>
      <c s="125">
        <f>Предпосылки!$D365*Месяцев_в_квартале*N$150</f>
        <v>0</v>
      </c>
      <c s="125">
        <f>Предпосылки!$D365*Месяцев_в_квартале*O$150</f>
        <v>0</v>
      </c>
      <c s="125">
        <f>Предпосылки!$D365*Месяцев_в_квартале*P$150</f>
        <v>0</v>
      </c>
      <c s="125">
        <f>Предпосылки!$D365*Месяцев_в_квартале*Q$150</f>
        <v>0</v>
      </c>
      <c s="125">
        <f>Предпосылки!$D365*Месяцев_в_квартале*R$150</f>
        <v>0</v>
      </c>
      <c s="125">
        <f>Предпосылки!$D365*Месяцев_в_квартале*S$150</f>
        <v>0</v>
      </c>
      <c s="125">
        <f>Предпосылки!$D365*Месяцев_в_квартале*T$150</f>
        <v>0</v>
      </c>
      <c s="125">
        <f>Предпосылки!$D365*Месяцев_в_квартале*U$150</f>
        <v>0</v>
      </c>
      <c s="125">
        <f>Предпосылки!$D365*Месяцев_в_квартале*V$150</f>
        <v>0</v>
      </c>
      <c s="125">
        <f>Предпосылки!$D365*Месяцев_в_квартале*W$150</f>
        <v>0</v>
      </c>
      <c s="125">
        <f>Предпосылки!$D365*Месяцев_в_квартале*X$150</f>
        <v>0</v>
      </c>
      <c s="125">
        <f>Предпосылки!$D365*Месяцев_в_квартале*Y$150</f>
        <v>0</v>
      </c>
      <c s="125">
        <f>Предпосылки!$D365*Месяцев_в_квартале*Z$150</f>
        <v>0</v>
      </c>
      <c s="125">
        <f>Предпосылки!$D365*Месяцев_в_квартале*AA$150</f>
        <v>0</v>
      </c>
      <c s="125">
        <f>Предпосылки!$D365*Месяцев_в_квартале*AB$150</f>
        <v>0</v>
      </c>
      <c s="125">
        <f>Предпосылки!$D365*Месяцев_в_квартале*AC$150</f>
        <v>0</v>
      </c>
      <c s="125">
        <f>Предпосылки!$D365*Месяцев_в_квартале*AD$150</f>
        <v>0</v>
      </c>
      <c s="125">
        <f>Предпосылки!$D365*Месяцев_в_квартале*AE$150</f>
        <v>0</v>
      </c>
      <c s="125">
        <f>Предпосылки!$D365*Месяцев_в_квартале*AF$150</f>
        <v>0</v>
      </c>
      <c s="125">
        <f>Предпосылки!$D365*Месяцев_в_квартале*AG$150</f>
        <v>0</v>
      </c>
      <c s="125">
        <f>Предпосылки!$D365*Месяцев_в_квартале*AH$150</f>
        <v>0</v>
      </c>
      <c s="125">
        <f>Предпосылки!$D365*Месяцев_в_квартале*AI$150</f>
        <v>0</v>
      </c>
      <c s="125">
        <f>Предпосылки!$D365*Месяцев_в_квартале*AJ$150</f>
        <v>0</v>
      </c>
      <c s="125">
        <f>Предпосылки!$D365*Месяцев_в_квартале*AK$150</f>
        <v>0</v>
      </c>
      <c s="125">
        <f>Предпосылки!$D365*Месяцев_в_квартале*AL$150</f>
        <v>0</v>
      </c>
      <c s="125">
        <f>Предпосылки!$D365*Месяцев_в_квартале*AM$150</f>
        <v>0</v>
      </c>
      <c s="125">
        <f>Предпосылки!$D365*Месяцев_в_квартале*AN$150</f>
        <v>0</v>
      </c>
      <c s="125">
        <f>Предпосылки!$D365*Месяцев_в_квартале*AO$150</f>
        <v>0</v>
      </c>
      <c s="125">
        <f>Предпосылки!$D365*Месяцев_в_квартале*AP$150</f>
        <v>0</v>
      </c>
      <c s="125">
        <f>Предпосылки!$D365*Месяцев_в_квартале*AQ$150</f>
        <v>0</v>
      </c>
      <c s="125">
        <f>Предпосылки!$D365*Месяцев_в_квартале*AR$150</f>
        <v>0</v>
      </c>
      <c s="125">
        <f>Предпосылки!$D365*Месяцев_в_квартале*AS$150</f>
        <v>0</v>
      </c>
      <c s="125">
        <f>Предпосылки!$D365*Месяцев_в_квартале*AT$150</f>
        <v>0</v>
      </c>
      <c s="125">
        <f>Предпосылки!$D365*Месяцев_в_квартале*AU$150</f>
        <v>0</v>
      </c>
      <c s="125">
        <f>Предпосылки!$D365*Месяцев_в_квартале*AV$150</f>
        <v>0</v>
      </c>
      <c s="125">
        <f>Предпосылки!$D365*Месяцев_в_квартале*AW$150</f>
        <v>0</v>
      </c>
      <c s="125">
        <f>Предпосылки!$D365*Месяцев_в_квартале*AX$150</f>
        <v>0</v>
      </c>
      <c s="125">
        <f>Предпосылки!$D365*Месяцев_в_квартале*AY$150</f>
        <v>0</v>
      </c>
      <c s="125">
        <f>Предпосылки!$D365*Месяцев_в_квартале*AZ$150</f>
        <v>0</v>
      </c>
      <c s="125">
        <f>Предпосылки!$D365*Месяцев_в_квартале*BA$150</f>
        <v>0</v>
      </c>
      <c s="125">
        <f>Предпосылки!$D365*Месяцев_в_квартале*BB$150</f>
        <v>0</v>
      </c>
      <c s="125">
        <f>Предпосылки!$D365*Месяцев_в_квартале*BC$150</f>
        <v>0</v>
      </c>
      <c s="125">
        <f>Предпосылки!$D365*Месяцев_в_квартале*BD$150</f>
        <v>0</v>
      </c>
      <c s="125">
        <f>Предпосылки!$D365*Месяцев_в_квартале*BE$150</f>
        <v>0</v>
      </c>
      <c s="125">
        <f>Предпосылки!$D365*Месяцев_в_квартале*BF$150</f>
        <v>0</v>
      </c>
      <c s="125">
        <f>Предпосылки!$D365*Месяцев_в_квартале*BG$150</f>
        <v>0</v>
      </c>
      <c s="125">
        <f>Предпосылки!$D365*Месяцев_в_квартале*BH$150</f>
        <v>0</v>
      </c>
      <c s="125">
        <f>Предпосылки!$D365*Месяцев_в_квартале*BI$150</f>
        <v>0</v>
      </c>
      <c s="125">
        <f>Предпосылки!$D365*Месяцев_в_квартале*BJ$150</f>
        <v>0</v>
      </c>
      <c s="125">
        <f>Предпосылки!$D365*Месяцев_в_квартале*BK$150</f>
        <v>0</v>
      </c>
      <c s="125">
        <f>Предпосылки!$D365*Месяцев_в_квартале*BL$150</f>
        <v>0</v>
      </c>
      <c s="125">
        <f>Предпосылки!$D365*Месяцев_в_квартале*BM$150</f>
        <v>0</v>
      </c>
    </row>
    <row r="170" spans="2:65" ht="15" customHeight="1">
      <c r="B170" s="12" t="str">
        <f t="shared" si="463"/>
        <v>-</v>
      </c>
      <c s="124" t="str">
        <f t="shared" si="462"/>
        <v>тыс. руб.</v>
      </c>
      <c s="127"/>
      <c s="125">
        <f>Предпосылки!$D366*Месяцев_в_квартале*E$150</f>
        <v>0</v>
      </c>
      <c s="125">
        <f>Предпосылки!$D366*Месяцев_в_квартале*F$150</f>
        <v>0</v>
      </c>
      <c s="125">
        <f>Предпосылки!$D366*Месяцев_в_квартале*G$150</f>
        <v>0</v>
      </c>
      <c s="125">
        <f>Предпосылки!$D366*Месяцев_в_квартале*H$150</f>
        <v>0</v>
      </c>
      <c s="125">
        <f>Предпосылки!$D366*Месяцев_в_квартале*I$150</f>
        <v>0</v>
      </c>
      <c s="125">
        <f>Предпосылки!$D366*Месяцев_в_квартале*J$150</f>
        <v>0</v>
      </c>
      <c s="125">
        <f>Предпосылки!$D366*Месяцев_в_квартале*K$150</f>
        <v>0</v>
      </c>
      <c s="125">
        <f>Предпосылки!$D366*Месяцев_в_квартале*L$150</f>
        <v>0</v>
      </c>
      <c s="125">
        <f>Предпосылки!$D366*Месяцев_в_квартале*M$150</f>
        <v>0</v>
      </c>
      <c s="125">
        <f>Предпосылки!$D366*Месяцев_в_квартале*N$150</f>
        <v>0</v>
      </c>
      <c s="125">
        <f>Предпосылки!$D366*Месяцев_в_квартале*O$150</f>
        <v>0</v>
      </c>
      <c s="125">
        <f>Предпосылки!$D366*Месяцев_в_квартале*P$150</f>
        <v>0</v>
      </c>
      <c s="125">
        <f>Предпосылки!$D366*Месяцев_в_квартале*Q$150</f>
        <v>0</v>
      </c>
      <c s="125">
        <f>Предпосылки!$D366*Месяцев_в_квартале*R$150</f>
        <v>0</v>
      </c>
      <c s="125">
        <f>Предпосылки!$D366*Месяцев_в_квартале*S$150</f>
        <v>0</v>
      </c>
      <c s="125">
        <f>Предпосылки!$D366*Месяцев_в_квартале*T$150</f>
        <v>0</v>
      </c>
      <c s="125">
        <f>Предпосылки!$D366*Месяцев_в_квартале*U$150</f>
        <v>0</v>
      </c>
      <c s="125">
        <f>Предпосылки!$D366*Месяцев_в_квартале*V$150</f>
        <v>0</v>
      </c>
      <c s="125">
        <f>Предпосылки!$D366*Месяцев_в_квартале*W$150</f>
        <v>0</v>
      </c>
      <c s="125">
        <f>Предпосылки!$D366*Месяцев_в_квартале*X$150</f>
        <v>0</v>
      </c>
      <c s="125">
        <f>Предпосылки!$D366*Месяцев_в_квартале*Y$150</f>
        <v>0</v>
      </c>
      <c s="125">
        <f>Предпосылки!$D366*Месяцев_в_квартале*Z$150</f>
        <v>0</v>
      </c>
      <c s="125">
        <f>Предпосылки!$D366*Месяцев_в_квартале*AA$150</f>
        <v>0</v>
      </c>
      <c s="125">
        <f>Предпосылки!$D366*Месяцев_в_квартале*AB$150</f>
        <v>0</v>
      </c>
      <c s="125">
        <f>Предпосылки!$D366*Месяцев_в_квартале*AC$150</f>
        <v>0</v>
      </c>
      <c s="125">
        <f>Предпосылки!$D366*Месяцев_в_квартале*AD$150</f>
        <v>0</v>
      </c>
      <c s="125">
        <f>Предпосылки!$D366*Месяцев_в_квартале*AE$150</f>
        <v>0</v>
      </c>
      <c s="125">
        <f>Предпосылки!$D366*Месяцев_в_квартале*AF$150</f>
        <v>0</v>
      </c>
      <c s="125">
        <f>Предпосылки!$D366*Месяцев_в_квартале*AG$150</f>
        <v>0</v>
      </c>
      <c s="125">
        <f>Предпосылки!$D366*Месяцев_в_квартале*AH$150</f>
        <v>0</v>
      </c>
      <c s="125">
        <f>Предпосылки!$D366*Месяцев_в_квартале*AI$150</f>
        <v>0</v>
      </c>
      <c s="125">
        <f>Предпосылки!$D366*Месяцев_в_квартале*AJ$150</f>
        <v>0</v>
      </c>
      <c s="125">
        <f>Предпосылки!$D366*Месяцев_в_квартале*AK$150</f>
        <v>0</v>
      </c>
      <c s="125">
        <f>Предпосылки!$D366*Месяцев_в_квартале*AL$150</f>
        <v>0</v>
      </c>
      <c s="125">
        <f>Предпосылки!$D366*Месяцев_в_квартале*AM$150</f>
        <v>0</v>
      </c>
      <c s="125">
        <f>Предпосылки!$D366*Месяцев_в_квартале*AN$150</f>
        <v>0</v>
      </c>
      <c s="125">
        <f>Предпосылки!$D366*Месяцев_в_квартале*AO$150</f>
        <v>0</v>
      </c>
      <c s="125">
        <f>Предпосылки!$D366*Месяцев_в_квартале*AP$150</f>
        <v>0</v>
      </c>
      <c s="125">
        <f>Предпосылки!$D366*Месяцев_в_квартале*AQ$150</f>
        <v>0</v>
      </c>
      <c s="125">
        <f>Предпосылки!$D366*Месяцев_в_квартале*AR$150</f>
        <v>0</v>
      </c>
      <c s="125">
        <f>Предпосылки!$D366*Месяцев_в_квартале*AS$150</f>
        <v>0</v>
      </c>
      <c s="125">
        <f>Предпосылки!$D366*Месяцев_в_квартале*AT$150</f>
        <v>0</v>
      </c>
      <c s="125">
        <f>Предпосылки!$D366*Месяцев_в_квартале*AU$150</f>
        <v>0</v>
      </c>
      <c s="125">
        <f>Предпосылки!$D366*Месяцев_в_квартале*AV$150</f>
        <v>0</v>
      </c>
      <c s="125">
        <f>Предпосылки!$D366*Месяцев_в_квартале*AW$150</f>
        <v>0</v>
      </c>
      <c s="125">
        <f>Предпосылки!$D366*Месяцев_в_квартале*AX$150</f>
        <v>0</v>
      </c>
      <c s="125">
        <f>Предпосылки!$D366*Месяцев_в_квартале*AY$150</f>
        <v>0</v>
      </c>
      <c s="125">
        <f>Предпосылки!$D366*Месяцев_в_квартале*AZ$150</f>
        <v>0</v>
      </c>
      <c s="125">
        <f>Предпосылки!$D366*Месяцев_в_квартале*BA$150</f>
        <v>0</v>
      </c>
      <c s="125">
        <f>Предпосылки!$D366*Месяцев_в_квартале*BB$150</f>
        <v>0</v>
      </c>
      <c s="125">
        <f>Предпосылки!$D366*Месяцев_в_квартале*BC$150</f>
        <v>0</v>
      </c>
      <c s="125">
        <f>Предпосылки!$D366*Месяцев_в_квартале*BD$150</f>
        <v>0</v>
      </c>
      <c s="125">
        <f>Предпосылки!$D366*Месяцев_в_квартале*BE$150</f>
        <v>0</v>
      </c>
      <c s="125">
        <f>Предпосылки!$D366*Месяцев_в_квартале*BF$150</f>
        <v>0</v>
      </c>
      <c s="125">
        <f>Предпосылки!$D366*Месяцев_в_квартале*BG$150</f>
        <v>0</v>
      </c>
      <c s="125">
        <f>Предпосылки!$D366*Месяцев_в_квартале*BH$150</f>
        <v>0</v>
      </c>
      <c s="125">
        <f>Предпосылки!$D366*Месяцев_в_квартале*BI$150</f>
        <v>0</v>
      </c>
      <c s="125">
        <f>Предпосылки!$D366*Месяцев_в_квартале*BJ$150</f>
        <v>0</v>
      </c>
      <c s="125">
        <f>Предпосылки!$D366*Месяцев_в_квартале*BK$150</f>
        <v>0</v>
      </c>
      <c s="125">
        <f>Предпосылки!$D366*Месяцев_в_квартале*BL$150</f>
        <v>0</v>
      </c>
      <c s="125">
        <f>Предпосылки!$D366*Месяцев_в_квартале*BM$150</f>
        <v>0</v>
      </c>
    </row>
    <row r="171" spans="2:65" ht="15" customHeight="1">
      <c r="B171" s="12" t="str">
        <f t="shared" si="463"/>
        <v>-</v>
      </c>
      <c s="124" t="str">
        <f t="shared" si="462"/>
        <v>тыс. руб.</v>
      </c>
      <c s="127"/>
      <c s="125">
        <f>Предпосылки!$D367*Месяцев_в_квартале*E$150</f>
        <v>0</v>
      </c>
      <c s="125">
        <f>Предпосылки!$D367*Месяцев_в_квартале*F$150</f>
        <v>0</v>
      </c>
      <c s="125">
        <f>Предпосылки!$D367*Месяцев_в_квартале*G$150</f>
        <v>0</v>
      </c>
      <c s="125">
        <f>Предпосылки!$D367*Месяцев_в_квартале*H$150</f>
        <v>0</v>
      </c>
      <c s="125">
        <f>Предпосылки!$D367*Месяцев_в_квартале*I$150</f>
        <v>0</v>
      </c>
      <c s="125">
        <f>Предпосылки!$D367*Месяцев_в_квартале*J$150</f>
        <v>0</v>
      </c>
      <c s="125">
        <f>Предпосылки!$D367*Месяцев_в_квартале*K$150</f>
        <v>0</v>
      </c>
      <c s="125">
        <f>Предпосылки!$D367*Месяцев_в_квартале*L$150</f>
        <v>0</v>
      </c>
      <c s="125">
        <f>Предпосылки!$D367*Месяцев_в_квартале*M$150</f>
        <v>0</v>
      </c>
      <c s="125">
        <f>Предпосылки!$D367*Месяцев_в_квартале*N$150</f>
        <v>0</v>
      </c>
      <c s="125">
        <f>Предпосылки!$D367*Месяцев_в_квартале*O$150</f>
        <v>0</v>
      </c>
      <c s="125">
        <f>Предпосылки!$D367*Месяцев_в_квартале*P$150</f>
        <v>0</v>
      </c>
      <c s="125">
        <f>Предпосылки!$D367*Месяцев_в_квартале*Q$150</f>
        <v>0</v>
      </c>
      <c s="125">
        <f>Предпосылки!$D367*Месяцев_в_квартале*R$150</f>
        <v>0</v>
      </c>
      <c s="125">
        <f>Предпосылки!$D367*Месяцев_в_квартале*S$150</f>
        <v>0</v>
      </c>
      <c s="125">
        <f>Предпосылки!$D367*Месяцев_в_квартале*T$150</f>
        <v>0</v>
      </c>
      <c s="125">
        <f>Предпосылки!$D367*Месяцев_в_квартале*U$150</f>
        <v>0</v>
      </c>
      <c s="125">
        <f>Предпосылки!$D367*Месяцев_в_квартале*V$150</f>
        <v>0</v>
      </c>
      <c s="125">
        <f>Предпосылки!$D367*Месяцев_в_квартале*W$150</f>
        <v>0</v>
      </c>
      <c s="125">
        <f>Предпосылки!$D367*Месяцев_в_квартале*X$150</f>
        <v>0</v>
      </c>
      <c s="125">
        <f>Предпосылки!$D367*Месяцев_в_квартале*Y$150</f>
        <v>0</v>
      </c>
      <c s="125">
        <f>Предпосылки!$D367*Месяцев_в_квартале*Z$150</f>
        <v>0</v>
      </c>
      <c s="125">
        <f>Предпосылки!$D367*Месяцев_в_квартале*AA$150</f>
        <v>0</v>
      </c>
      <c s="125">
        <f>Предпосылки!$D367*Месяцев_в_квартале*AB$150</f>
        <v>0</v>
      </c>
      <c s="125">
        <f>Предпосылки!$D367*Месяцев_в_квартале*AC$150</f>
        <v>0</v>
      </c>
      <c s="125">
        <f>Предпосылки!$D367*Месяцев_в_квартале*AD$150</f>
        <v>0</v>
      </c>
      <c s="125">
        <f>Предпосылки!$D367*Месяцев_в_квартале*AE$150</f>
        <v>0</v>
      </c>
      <c s="125">
        <f>Предпосылки!$D367*Месяцев_в_квартале*AF$150</f>
        <v>0</v>
      </c>
      <c s="125">
        <f>Предпосылки!$D367*Месяцев_в_квартале*AG$150</f>
        <v>0</v>
      </c>
      <c s="125">
        <f>Предпосылки!$D367*Месяцев_в_квартале*AH$150</f>
        <v>0</v>
      </c>
      <c s="125">
        <f>Предпосылки!$D367*Месяцев_в_квартале*AI$150</f>
        <v>0</v>
      </c>
      <c s="125">
        <f>Предпосылки!$D367*Месяцев_в_квартале*AJ$150</f>
        <v>0</v>
      </c>
      <c s="125">
        <f>Предпосылки!$D367*Месяцев_в_квартале*AK$150</f>
        <v>0</v>
      </c>
      <c s="125">
        <f>Предпосылки!$D367*Месяцев_в_квартале*AL$150</f>
        <v>0</v>
      </c>
      <c s="125">
        <f>Предпосылки!$D367*Месяцев_в_квартале*AM$150</f>
        <v>0</v>
      </c>
      <c s="125">
        <f>Предпосылки!$D367*Месяцев_в_квартале*AN$150</f>
        <v>0</v>
      </c>
      <c s="125">
        <f>Предпосылки!$D367*Месяцев_в_квартале*AO$150</f>
        <v>0</v>
      </c>
      <c s="125">
        <f>Предпосылки!$D367*Месяцев_в_квартале*AP$150</f>
        <v>0</v>
      </c>
      <c s="125">
        <f>Предпосылки!$D367*Месяцев_в_квартале*AQ$150</f>
        <v>0</v>
      </c>
      <c s="125">
        <f>Предпосылки!$D367*Месяцев_в_квартале*AR$150</f>
        <v>0</v>
      </c>
      <c s="125">
        <f>Предпосылки!$D367*Месяцев_в_квартале*AS$150</f>
        <v>0</v>
      </c>
      <c s="125">
        <f>Предпосылки!$D367*Месяцев_в_квартале*AT$150</f>
        <v>0</v>
      </c>
      <c s="125">
        <f>Предпосылки!$D367*Месяцев_в_квартале*AU$150</f>
        <v>0</v>
      </c>
      <c s="125">
        <f>Предпосылки!$D367*Месяцев_в_квартале*AV$150</f>
        <v>0</v>
      </c>
      <c s="125">
        <f>Предпосылки!$D367*Месяцев_в_квартале*AW$150</f>
        <v>0</v>
      </c>
      <c s="125">
        <f>Предпосылки!$D367*Месяцев_в_квартале*AX$150</f>
        <v>0</v>
      </c>
      <c s="125">
        <f>Предпосылки!$D367*Месяцев_в_квартале*AY$150</f>
        <v>0</v>
      </c>
      <c s="125">
        <f>Предпосылки!$D367*Месяцев_в_квартале*AZ$150</f>
        <v>0</v>
      </c>
      <c s="125">
        <f>Предпосылки!$D367*Месяцев_в_квартале*BA$150</f>
        <v>0</v>
      </c>
      <c s="125">
        <f>Предпосылки!$D367*Месяцев_в_квартале*BB$150</f>
        <v>0</v>
      </c>
      <c s="125">
        <f>Предпосылки!$D367*Месяцев_в_квартале*BC$150</f>
        <v>0</v>
      </c>
      <c s="125">
        <f>Предпосылки!$D367*Месяцев_в_квартале*BD$150</f>
        <v>0</v>
      </c>
      <c s="125">
        <f>Предпосылки!$D367*Месяцев_в_квартале*BE$150</f>
        <v>0</v>
      </c>
      <c s="125">
        <f>Предпосылки!$D367*Месяцев_в_квартале*BF$150</f>
        <v>0</v>
      </c>
      <c s="125">
        <f>Предпосылки!$D367*Месяцев_в_квартале*BG$150</f>
        <v>0</v>
      </c>
      <c s="125">
        <f>Предпосылки!$D367*Месяцев_в_квартале*BH$150</f>
        <v>0</v>
      </c>
      <c s="125">
        <f>Предпосылки!$D367*Месяцев_в_квартале*BI$150</f>
        <v>0</v>
      </c>
      <c s="125">
        <f>Предпосылки!$D367*Месяцев_в_квартале*BJ$150</f>
        <v>0</v>
      </c>
      <c s="125">
        <f>Предпосылки!$D367*Месяцев_в_квартале*BK$150</f>
        <v>0</v>
      </c>
      <c s="125">
        <f>Предпосылки!$D367*Месяцев_в_квартале*BL$150</f>
        <v>0</v>
      </c>
      <c s="125">
        <f>Предпосылки!$D367*Месяцев_в_квартале*BM$150</f>
        <v>0</v>
      </c>
    </row>
    <row r="172" spans="2:65" ht="15" customHeight="1">
      <c r="B172" s="12" t="str">
        <f t="shared" si="463"/>
        <v>-</v>
      </c>
      <c s="124" t="str">
        <f t="shared" si="462"/>
        <v>тыс. руб.</v>
      </c>
      <c s="127"/>
      <c s="125">
        <f>Предпосылки!$D368*Месяцев_в_квартале*E$150</f>
        <v>0</v>
      </c>
      <c s="125">
        <f>Предпосылки!$D368*Месяцев_в_квартале*F$150</f>
        <v>0</v>
      </c>
      <c s="125">
        <f>Предпосылки!$D368*Месяцев_в_квартале*G$150</f>
        <v>0</v>
      </c>
      <c s="125">
        <f>Предпосылки!$D368*Месяцев_в_квартале*H$150</f>
        <v>0</v>
      </c>
      <c s="125">
        <f>Предпосылки!$D368*Месяцев_в_квартале*I$150</f>
        <v>0</v>
      </c>
      <c s="125">
        <f>Предпосылки!$D368*Месяцев_в_квартале*J$150</f>
        <v>0</v>
      </c>
      <c s="125">
        <f>Предпосылки!$D368*Месяцев_в_квартале*K$150</f>
        <v>0</v>
      </c>
      <c s="125">
        <f>Предпосылки!$D368*Месяцев_в_квартале*L$150</f>
        <v>0</v>
      </c>
      <c s="125">
        <f>Предпосылки!$D368*Месяцев_в_квартале*M$150</f>
        <v>0</v>
      </c>
      <c s="125">
        <f>Предпосылки!$D368*Месяцев_в_квартале*N$150</f>
        <v>0</v>
      </c>
      <c s="125">
        <f>Предпосылки!$D368*Месяцев_в_квартале*O$150</f>
        <v>0</v>
      </c>
      <c s="125">
        <f>Предпосылки!$D368*Месяцев_в_квартале*P$150</f>
        <v>0</v>
      </c>
      <c s="125">
        <f>Предпосылки!$D368*Месяцев_в_квартале*Q$150</f>
        <v>0</v>
      </c>
      <c s="125">
        <f>Предпосылки!$D368*Месяцев_в_квартале*R$150</f>
        <v>0</v>
      </c>
      <c s="125">
        <f>Предпосылки!$D368*Месяцев_в_квартале*S$150</f>
        <v>0</v>
      </c>
      <c s="125">
        <f>Предпосылки!$D368*Месяцев_в_квартале*T$150</f>
        <v>0</v>
      </c>
      <c s="125">
        <f>Предпосылки!$D368*Месяцев_в_квартале*U$150</f>
        <v>0</v>
      </c>
      <c s="125">
        <f>Предпосылки!$D368*Месяцев_в_квартале*V$150</f>
        <v>0</v>
      </c>
      <c s="125">
        <f>Предпосылки!$D368*Месяцев_в_квартале*W$150</f>
        <v>0</v>
      </c>
      <c s="125">
        <f>Предпосылки!$D368*Месяцев_в_квартале*X$150</f>
        <v>0</v>
      </c>
      <c s="125">
        <f>Предпосылки!$D368*Месяцев_в_квартале*Y$150</f>
        <v>0</v>
      </c>
      <c s="125">
        <f>Предпосылки!$D368*Месяцев_в_квартале*Z$150</f>
        <v>0</v>
      </c>
      <c s="125">
        <f>Предпосылки!$D368*Месяцев_в_квартале*AA$150</f>
        <v>0</v>
      </c>
      <c s="125">
        <f>Предпосылки!$D368*Месяцев_в_квартале*AB$150</f>
        <v>0</v>
      </c>
      <c s="125">
        <f>Предпосылки!$D368*Месяцев_в_квартале*AC$150</f>
        <v>0</v>
      </c>
      <c s="125">
        <f>Предпосылки!$D368*Месяцев_в_квартале*AD$150</f>
        <v>0</v>
      </c>
      <c s="125">
        <f>Предпосылки!$D368*Месяцев_в_квартале*AE$150</f>
        <v>0</v>
      </c>
      <c s="125">
        <f>Предпосылки!$D368*Месяцев_в_квартале*AF$150</f>
        <v>0</v>
      </c>
      <c s="125">
        <f>Предпосылки!$D368*Месяцев_в_квартале*AG$150</f>
        <v>0</v>
      </c>
      <c s="125">
        <f>Предпосылки!$D368*Месяцев_в_квартале*AH$150</f>
        <v>0</v>
      </c>
      <c s="125">
        <f>Предпосылки!$D368*Месяцев_в_квартале*AI$150</f>
        <v>0</v>
      </c>
      <c s="125">
        <f>Предпосылки!$D368*Месяцев_в_квартале*AJ$150</f>
        <v>0</v>
      </c>
      <c s="125">
        <f>Предпосылки!$D368*Месяцев_в_квартале*AK$150</f>
        <v>0</v>
      </c>
      <c s="125">
        <f>Предпосылки!$D368*Месяцев_в_квартале*AL$150</f>
        <v>0</v>
      </c>
      <c s="125">
        <f>Предпосылки!$D368*Месяцев_в_квартале*AM$150</f>
        <v>0</v>
      </c>
      <c s="125">
        <f>Предпосылки!$D368*Месяцев_в_квартале*AN$150</f>
        <v>0</v>
      </c>
      <c s="125">
        <f>Предпосылки!$D368*Месяцев_в_квартале*AO$150</f>
        <v>0</v>
      </c>
      <c s="125">
        <f>Предпосылки!$D368*Месяцев_в_квартале*AP$150</f>
        <v>0</v>
      </c>
      <c s="125">
        <f>Предпосылки!$D368*Месяцев_в_квартале*AQ$150</f>
        <v>0</v>
      </c>
      <c s="125">
        <f>Предпосылки!$D368*Месяцев_в_квартале*AR$150</f>
        <v>0</v>
      </c>
      <c s="125">
        <f>Предпосылки!$D368*Месяцев_в_квартале*AS$150</f>
        <v>0</v>
      </c>
      <c s="125">
        <f>Предпосылки!$D368*Месяцев_в_квартале*AT$150</f>
        <v>0</v>
      </c>
      <c s="125">
        <f>Предпосылки!$D368*Месяцев_в_квартале*AU$150</f>
        <v>0</v>
      </c>
      <c s="125">
        <f>Предпосылки!$D368*Месяцев_в_квартале*AV$150</f>
        <v>0</v>
      </c>
      <c s="125">
        <f>Предпосылки!$D368*Месяцев_в_квартале*AW$150</f>
        <v>0</v>
      </c>
      <c s="125">
        <f>Предпосылки!$D368*Месяцев_в_квартале*AX$150</f>
        <v>0</v>
      </c>
      <c s="125">
        <f>Предпосылки!$D368*Месяцев_в_квартале*AY$150</f>
        <v>0</v>
      </c>
      <c s="125">
        <f>Предпосылки!$D368*Месяцев_в_квартале*AZ$150</f>
        <v>0</v>
      </c>
      <c s="125">
        <f>Предпосылки!$D368*Месяцев_в_квартале*BA$150</f>
        <v>0</v>
      </c>
      <c s="125">
        <f>Предпосылки!$D368*Месяцев_в_квартале*BB$150</f>
        <v>0</v>
      </c>
      <c s="125">
        <f>Предпосылки!$D368*Месяцев_в_квартале*BC$150</f>
        <v>0</v>
      </c>
      <c s="125">
        <f>Предпосылки!$D368*Месяцев_в_квартале*BD$150</f>
        <v>0</v>
      </c>
      <c s="125">
        <f>Предпосылки!$D368*Месяцев_в_квартале*BE$150</f>
        <v>0</v>
      </c>
      <c s="125">
        <f>Предпосылки!$D368*Месяцев_в_квартале*BF$150</f>
        <v>0</v>
      </c>
      <c s="125">
        <f>Предпосылки!$D368*Месяцев_в_квартале*BG$150</f>
        <v>0</v>
      </c>
      <c s="125">
        <f>Предпосылки!$D368*Месяцев_в_квартале*BH$150</f>
        <v>0</v>
      </c>
      <c s="125">
        <f>Предпосылки!$D368*Месяцев_в_квартале*BI$150</f>
        <v>0</v>
      </c>
      <c s="125">
        <f>Предпосылки!$D368*Месяцев_в_квартале*BJ$150</f>
        <v>0</v>
      </c>
      <c s="125">
        <f>Предпосылки!$D368*Месяцев_в_квартале*BK$150</f>
        <v>0</v>
      </c>
      <c s="125">
        <f>Предпосылки!$D368*Месяцев_в_квартале*BL$150</f>
        <v>0</v>
      </c>
      <c s="125">
        <f>Предпосылки!$D368*Месяцев_в_квартале*BM$150</f>
        <v>0</v>
      </c>
    </row>
    <row r="173" spans="2:65" ht="15" customHeight="1">
      <c r="B173" s="12" t="str">
        <f t="shared" si="463"/>
        <v>-</v>
      </c>
      <c s="124" t="str">
        <f t="shared" si="462"/>
        <v>тыс. руб.</v>
      </c>
      <c s="127"/>
      <c s="125">
        <f>Предпосылки!$D369*Месяцев_в_квартале*E$150</f>
        <v>0</v>
      </c>
      <c s="125">
        <f>Предпосылки!$D369*Месяцев_в_квартале*F$150</f>
        <v>0</v>
      </c>
      <c s="125">
        <f>Предпосылки!$D369*Месяцев_в_квартале*G$150</f>
        <v>0</v>
      </c>
      <c s="125">
        <f>Предпосылки!$D369*Месяцев_в_квартале*H$150</f>
        <v>0</v>
      </c>
      <c s="125">
        <f>Предпосылки!$D369*Месяцев_в_квартале*I$150</f>
        <v>0</v>
      </c>
      <c s="125">
        <f>Предпосылки!$D369*Месяцев_в_квартале*J$150</f>
        <v>0</v>
      </c>
      <c s="125">
        <f>Предпосылки!$D369*Месяцев_в_квартале*K$150</f>
        <v>0</v>
      </c>
      <c s="125">
        <f>Предпосылки!$D369*Месяцев_в_квартале*L$150</f>
        <v>0</v>
      </c>
      <c s="125">
        <f>Предпосылки!$D369*Месяцев_в_квартале*M$150</f>
        <v>0</v>
      </c>
      <c s="125">
        <f>Предпосылки!$D369*Месяцев_в_квартале*N$150</f>
        <v>0</v>
      </c>
      <c s="125">
        <f>Предпосылки!$D369*Месяцев_в_квартале*O$150</f>
        <v>0</v>
      </c>
      <c s="125">
        <f>Предпосылки!$D369*Месяцев_в_квартале*P$150</f>
        <v>0</v>
      </c>
      <c s="125">
        <f>Предпосылки!$D369*Месяцев_в_квартале*Q$150</f>
        <v>0</v>
      </c>
      <c s="125">
        <f>Предпосылки!$D369*Месяцев_в_квартале*R$150</f>
        <v>0</v>
      </c>
      <c s="125">
        <f>Предпосылки!$D369*Месяцев_в_квартале*S$150</f>
        <v>0</v>
      </c>
      <c s="125">
        <f>Предпосылки!$D369*Месяцев_в_квартале*T$150</f>
        <v>0</v>
      </c>
      <c s="125">
        <f>Предпосылки!$D369*Месяцев_в_квартале*U$150</f>
        <v>0</v>
      </c>
      <c s="125">
        <f>Предпосылки!$D369*Месяцев_в_квартале*V$150</f>
        <v>0</v>
      </c>
      <c s="125">
        <f>Предпосылки!$D369*Месяцев_в_квартале*W$150</f>
        <v>0</v>
      </c>
      <c s="125">
        <f>Предпосылки!$D369*Месяцев_в_квартале*X$150</f>
        <v>0</v>
      </c>
      <c s="125">
        <f>Предпосылки!$D369*Месяцев_в_квартале*Y$150</f>
        <v>0</v>
      </c>
      <c s="125">
        <f>Предпосылки!$D369*Месяцев_в_квартале*Z$150</f>
        <v>0</v>
      </c>
      <c s="125">
        <f>Предпосылки!$D369*Месяцев_в_квартале*AA$150</f>
        <v>0</v>
      </c>
      <c s="125">
        <f>Предпосылки!$D369*Месяцев_в_квартале*AB$150</f>
        <v>0</v>
      </c>
      <c s="125">
        <f>Предпосылки!$D369*Месяцев_в_квартале*AC$150</f>
        <v>0</v>
      </c>
      <c s="125">
        <f>Предпосылки!$D369*Месяцев_в_квартале*AD$150</f>
        <v>0</v>
      </c>
      <c s="125">
        <f>Предпосылки!$D369*Месяцев_в_квартале*AE$150</f>
        <v>0</v>
      </c>
      <c s="125">
        <f>Предпосылки!$D369*Месяцев_в_квартале*AF$150</f>
        <v>0</v>
      </c>
      <c s="125">
        <f>Предпосылки!$D369*Месяцев_в_квартале*AG$150</f>
        <v>0</v>
      </c>
      <c s="125">
        <f>Предпосылки!$D369*Месяцев_в_квартале*AH$150</f>
        <v>0</v>
      </c>
      <c s="125">
        <f>Предпосылки!$D369*Месяцев_в_квартале*AI$150</f>
        <v>0</v>
      </c>
      <c s="125">
        <f>Предпосылки!$D369*Месяцев_в_квартале*AJ$150</f>
        <v>0</v>
      </c>
      <c s="125">
        <f>Предпосылки!$D369*Месяцев_в_квартале*AK$150</f>
        <v>0</v>
      </c>
      <c s="125">
        <f>Предпосылки!$D369*Месяцев_в_квартале*AL$150</f>
        <v>0</v>
      </c>
      <c s="125">
        <f>Предпосылки!$D369*Месяцев_в_квартале*AM$150</f>
        <v>0</v>
      </c>
      <c s="125">
        <f>Предпосылки!$D369*Месяцев_в_квартале*AN$150</f>
        <v>0</v>
      </c>
      <c s="125">
        <f>Предпосылки!$D369*Месяцев_в_квартале*AO$150</f>
        <v>0</v>
      </c>
      <c s="125">
        <f>Предпосылки!$D369*Месяцев_в_квартале*AP$150</f>
        <v>0</v>
      </c>
      <c s="125">
        <f>Предпосылки!$D369*Месяцев_в_квартале*AQ$150</f>
        <v>0</v>
      </c>
      <c s="125">
        <f>Предпосылки!$D369*Месяцев_в_квартале*AR$150</f>
        <v>0</v>
      </c>
      <c s="125">
        <f>Предпосылки!$D369*Месяцев_в_квартале*AS$150</f>
        <v>0</v>
      </c>
      <c s="125">
        <f>Предпосылки!$D369*Месяцев_в_квартале*AT$150</f>
        <v>0</v>
      </c>
      <c s="125">
        <f>Предпосылки!$D369*Месяцев_в_квартале*AU$150</f>
        <v>0</v>
      </c>
      <c s="125">
        <f>Предпосылки!$D369*Месяцев_в_квартале*AV$150</f>
        <v>0</v>
      </c>
      <c s="125">
        <f>Предпосылки!$D369*Месяцев_в_квартале*AW$150</f>
        <v>0</v>
      </c>
      <c s="125">
        <f>Предпосылки!$D369*Месяцев_в_квартале*AX$150</f>
        <v>0</v>
      </c>
      <c s="125">
        <f>Предпосылки!$D369*Месяцев_в_квартале*AY$150</f>
        <v>0</v>
      </c>
      <c s="125">
        <f>Предпосылки!$D369*Месяцев_в_квартале*AZ$150</f>
        <v>0</v>
      </c>
      <c s="125">
        <f>Предпосылки!$D369*Месяцев_в_квартале*BA$150</f>
        <v>0</v>
      </c>
      <c s="125">
        <f>Предпосылки!$D369*Месяцев_в_квартале*BB$150</f>
        <v>0</v>
      </c>
      <c s="125">
        <f>Предпосылки!$D369*Месяцев_в_квартале*BC$150</f>
        <v>0</v>
      </c>
      <c s="125">
        <f>Предпосылки!$D369*Месяцев_в_квартале*BD$150</f>
        <v>0</v>
      </c>
      <c s="125">
        <f>Предпосылки!$D369*Месяцев_в_квартале*BE$150</f>
        <v>0</v>
      </c>
      <c s="125">
        <f>Предпосылки!$D369*Месяцев_в_квартале*BF$150</f>
        <v>0</v>
      </c>
      <c s="125">
        <f>Предпосылки!$D369*Месяцев_в_квартале*BG$150</f>
        <v>0</v>
      </c>
      <c s="125">
        <f>Предпосылки!$D369*Месяцев_в_квартале*BH$150</f>
        <v>0</v>
      </c>
      <c s="125">
        <f>Предпосылки!$D369*Месяцев_в_квартале*BI$150</f>
        <v>0</v>
      </c>
      <c s="125">
        <f>Предпосылки!$D369*Месяцев_в_квартале*BJ$150</f>
        <v>0</v>
      </c>
      <c s="125">
        <f>Предпосылки!$D369*Месяцев_в_квартале*BK$150</f>
        <v>0</v>
      </c>
      <c s="125">
        <f>Предпосылки!$D369*Месяцев_в_квартале*BL$150</f>
        <v>0</v>
      </c>
      <c s="125">
        <f>Предпосылки!$D369*Месяцев_в_квартале*BM$150</f>
        <v>0</v>
      </c>
    </row>
    <row r="174" spans="2:65" ht="15" customHeight="1">
      <c r="B174" s="12" t="str">
        <f t="shared" si="463"/>
        <v>-</v>
      </c>
      <c s="124" t="str">
        <f t="shared" si="462"/>
        <v>тыс. руб.</v>
      </c>
      <c s="127"/>
      <c s="125">
        <f>Предпосылки!$D370*Месяцев_в_квартале*E$150</f>
        <v>0</v>
      </c>
      <c s="125">
        <f>Предпосылки!$D370*Месяцев_в_квартале*F$150</f>
        <v>0</v>
      </c>
      <c s="125">
        <f>Предпосылки!$D370*Месяцев_в_квартале*G$150</f>
        <v>0</v>
      </c>
      <c s="125">
        <f>Предпосылки!$D370*Месяцев_в_квартале*H$150</f>
        <v>0</v>
      </c>
      <c s="125">
        <f>Предпосылки!$D370*Месяцев_в_квартале*I$150</f>
        <v>0</v>
      </c>
      <c s="125">
        <f>Предпосылки!$D370*Месяцев_в_квартале*J$150</f>
        <v>0</v>
      </c>
      <c s="125">
        <f>Предпосылки!$D370*Месяцев_в_квартале*K$150</f>
        <v>0</v>
      </c>
      <c s="125">
        <f>Предпосылки!$D370*Месяцев_в_квартале*L$150</f>
        <v>0</v>
      </c>
      <c s="125">
        <f>Предпосылки!$D370*Месяцев_в_квартале*M$150</f>
        <v>0</v>
      </c>
      <c s="125">
        <f>Предпосылки!$D370*Месяцев_в_квартале*N$150</f>
        <v>0</v>
      </c>
      <c s="125">
        <f>Предпосылки!$D370*Месяцев_в_квартале*O$150</f>
        <v>0</v>
      </c>
      <c s="125">
        <f>Предпосылки!$D370*Месяцев_в_квартале*P$150</f>
        <v>0</v>
      </c>
      <c s="125">
        <f>Предпосылки!$D370*Месяцев_в_квартале*Q$150</f>
        <v>0</v>
      </c>
      <c s="125">
        <f>Предпосылки!$D370*Месяцев_в_квартале*R$150</f>
        <v>0</v>
      </c>
      <c s="125">
        <f>Предпосылки!$D370*Месяцев_в_квартале*S$150</f>
        <v>0</v>
      </c>
      <c s="125">
        <f>Предпосылки!$D370*Месяцев_в_квартале*T$150</f>
        <v>0</v>
      </c>
      <c s="125">
        <f>Предпосылки!$D370*Месяцев_в_квартале*U$150</f>
        <v>0</v>
      </c>
      <c s="125">
        <f>Предпосылки!$D370*Месяцев_в_квартале*V$150</f>
        <v>0</v>
      </c>
      <c s="125">
        <f>Предпосылки!$D370*Месяцев_в_квартале*W$150</f>
        <v>0</v>
      </c>
      <c s="125">
        <f>Предпосылки!$D370*Месяцев_в_квартале*X$150</f>
        <v>0</v>
      </c>
      <c s="125">
        <f>Предпосылки!$D370*Месяцев_в_квартале*Y$150</f>
        <v>0</v>
      </c>
      <c s="125">
        <f>Предпосылки!$D370*Месяцев_в_квартале*Z$150</f>
        <v>0</v>
      </c>
      <c s="125">
        <f>Предпосылки!$D370*Месяцев_в_квартале*AA$150</f>
        <v>0</v>
      </c>
      <c s="125">
        <f>Предпосылки!$D370*Месяцев_в_квартале*AB$150</f>
        <v>0</v>
      </c>
      <c s="125">
        <f>Предпосылки!$D370*Месяцев_в_квартале*AC$150</f>
        <v>0</v>
      </c>
      <c s="125">
        <f>Предпосылки!$D370*Месяцев_в_квартале*AD$150</f>
        <v>0</v>
      </c>
      <c s="125">
        <f>Предпосылки!$D370*Месяцев_в_квартале*AE$150</f>
        <v>0</v>
      </c>
      <c s="125">
        <f>Предпосылки!$D370*Месяцев_в_квартале*AF$150</f>
        <v>0</v>
      </c>
      <c s="125">
        <f>Предпосылки!$D370*Месяцев_в_квартале*AG$150</f>
        <v>0</v>
      </c>
      <c s="125">
        <f>Предпосылки!$D370*Месяцев_в_квартале*AH$150</f>
        <v>0</v>
      </c>
      <c s="125">
        <f>Предпосылки!$D370*Месяцев_в_квартале*AI$150</f>
        <v>0</v>
      </c>
      <c s="125">
        <f>Предпосылки!$D370*Месяцев_в_квартале*AJ$150</f>
        <v>0</v>
      </c>
      <c s="125">
        <f>Предпосылки!$D370*Месяцев_в_квартале*AK$150</f>
        <v>0</v>
      </c>
      <c s="125">
        <f>Предпосылки!$D370*Месяцев_в_квартале*AL$150</f>
        <v>0</v>
      </c>
      <c s="125">
        <f>Предпосылки!$D370*Месяцев_в_квартале*AM$150</f>
        <v>0</v>
      </c>
      <c s="125">
        <f>Предпосылки!$D370*Месяцев_в_квартале*AN$150</f>
        <v>0</v>
      </c>
      <c s="125">
        <f>Предпосылки!$D370*Месяцев_в_квартале*AO$150</f>
        <v>0</v>
      </c>
      <c s="125">
        <f>Предпосылки!$D370*Месяцев_в_квартале*AP$150</f>
        <v>0</v>
      </c>
      <c s="125">
        <f>Предпосылки!$D370*Месяцев_в_квартале*AQ$150</f>
        <v>0</v>
      </c>
      <c s="125">
        <f>Предпосылки!$D370*Месяцев_в_квартале*AR$150</f>
        <v>0</v>
      </c>
      <c s="125">
        <f>Предпосылки!$D370*Месяцев_в_квартале*AS$150</f>
        <v>0</v>
      </c>
      <c s="125">
        <f>Предпосылки!$D370*Месяцев_в_квартале*AT$150</f>
        <v>0</v>
      </c>
      <c s="125">
        <f>Предпосылки!$D370*Месяцев_в_квартале*AU$150</f>
        <v>0</v>
      </c>
      <c s="125">
        <f>Предпосылки!$D370*Месяцев_в_квартале*AV$150</f>
        <v>0</v>
      </c>
      <c s="125">
        <f>Предпосылки!$D370*Месяцев_в_квартале*AW$150</f>
        <v>0</v>
      </c>
      <c s="125">
        <f>Предпосылки!$D370*Месяцев_в_квартале*AX$150</f>
        <v>0</v>
      </c>
      <c s="125">
        <f>Предпосылки!$D370*Месяцев_в_квартале*AY$150</f>
        <v>0</v>
      </c>
      <c s="125">
        <f>Предпосылки!$D370*Месяцев_в_квартале*AZ$150</f>
        <v>0</v>
      </c>
      <c s="125">
        <f>Предпосылки!$D370*Месяцев_в_квартале*BA$150</f>
        <v>0</v>
      </c>
      <c s="125">
        <f>Предпосылки!$D370*Месяцев_в_квартале*BB$150</f>
        <v>0</v>
      </c>
      <c s="125">
        <f>Предпосылки!$D370*Месяцев_в_квартале*BC$150</f>
        <v>0</v>
      </c>
      <c s="125">
        <f>Предпосылки!$D370*Месяцев_в_квартале*BD$150</f>
        <v>0</v>
      </c>
      <c s="125">
        <f>Предпосылки!$D370*Месяцев_в_квартале*BE$150</f>
        <v>0</v>
      </c>
      <c s="125">
        <f>Предпосылки!$D370*Месяцев_в_квартале*BF$150</f>
        <v>0</v>
      </c>
      <c s="125">
        <f>Предпосылки!$D370*Месяцев_в_квартале*BG$150</f>
        <v>0</v>
      </c>
      <c s="125">
        <f>Предпосылки!$D370*Месяцев_в_квартале*BH$150</f>
        <v>0</v>
      </c>
      <c s="125">
        <f>Предпосылки!$D370*Месяцев_в_квартале*BI$150</f>
        <v>0</v>
      </c>
      <c s="125">
        <f>Предпосылки!$D370*Месяцев_в_квартале*BJ$150</f>
        <v>0</v>
      </c>
      <c s="125">
        <f>Предпосылки!$D370*Месяцев_в_квартале*BK$150</f>
        <v>0</v>
      </c>
      <c s="125">
        <f>Предпосылки!$D370*Месяцев_в_квартале*BL$150</f>
        <v>0</v>
      </c>
      <c s="125">
        <f>Предпосылки!$D370*Месяцев_в_квартале*BM$150</f>
        <v>0</v>
      </c>
    </row>
    <row r="175" spans="2:65" ht="15" customHeight="1">
      <c r="B175" s="12" t="str">
        <f t="shared" si="463"/>
        <v>-</v>
      </c>
      <c s="124" t="str">
        <f t="shared" si="462"/>
        <v>тыс. руб.</v>
      </c>
      <c s="127"/>
      <c s="125">
        <f>Предпосылки!$D371*Месяцев_в_квартале*E$150</f>
        <v>0</v>
      </c>
      <c s="125">
        <f>Предпосылки!$D371*Месяцев_в_квартале*F$150</f>
        <v>0</v>
      </c>
      <c s="125">
        <f>Предпосылки!$D371*Месяцев_в_квартале*G$150</f>
        <v>0</v>
      </c>
      <c s="125">
        <f>Предпосылки!$D371*Месяцев_в_квартале*H$150</f>
        <v>0</v>
      </c>
      <c s="125">
        <f>Предпосылки!$D371*Месяцев_в_квартале*I$150</f>
        <v>0</v>
      </c>
      <c s="125">
        <f>Предпосылки!$D371*Месяцев_в_квартале*J$150</f>
        <v>0</v>
      </c>
      <c s="125">
        <f>Предпосылки!$D371*Месяцев_в_квартале*K$150</f>
        <v>0</v>
      </c>
      <c s="125">
        <f>Предпосылки!$D371*Месяцев_в_квартале*L$150</f>
        <v>0</v>
      </c>
      <c s="125">
        <f>Предпосылки!$D371*Месяцев_в_квартале*M$150</f>
        <v>0</v>
      </c>
      <c s="125">
        <f>Предпосылки!$D371*Месяцев_в_квартале*N$150</f>
        <v>0</v>
      </c>
      <c s="125">
        <f>Предпосылки!$D371*Месяцев_в_квартале*O$150</f>
        <v>0</v>
      </c>
      <c s="125">
        <f>Предпосылки!$D371*Месяцев_в_квартале*P$150</f>
        <v>0</v>
      </c>
      <c s="125">
        <f>Предпосылки!$D371*Месяцев_в_квартале*Q$150</f>
        <v>0</v>
      </c>
      <c s="125">
        <f>Предпосылки!$D371*Месяцев_в_квартале*R$150</f>
        <v>0</v>
      </c>
      <c s="125">
        <f>Предпосылки!$D371*Месяцев_в_квартале*S$150</f>
        <v>0</v>
      </c>
      <c s="125">
        <f>Предпосылки!$D371*Месяцев_в_квартале*T$150</f>
        <v>0</v>
      </c>
      <c s="125">
        <f>Предпосылки!$D371*Месяцев_в_квартале*U$150</f>
        <v>0</v>
      </c>
      <c s="125">
        <f>Предпосылки!$D371*Месяцев_в_квартале*V$150</f>
        <v>0</v>
      </c>
      <c s="125">
        <f>Предпосылки!$D371*Месяцев_в_квартале*W$150</f>
        <v>0</v>
      </c>
      <c s="125">
        <f>Предпосылки!$D371*Месяцев_в_квартале*X$150</f>
        <v>0</v>
      </c>
      <c s="125">
        <f>Предпосылки!$D371*Месяцев_в_квартале*Y$150</f>
        <v>0</v>
      </c>
      <c s="125">
        <f>Предпосылки!$D371*Месяцев_в_квартале*Z$150</f>
        <v>0</v>
      </c>
      <c s="125">
        <f>Предпосылки!$D371*Месяцев_в_квартале*AA$150</f>
        <v>0</v>
      </c>
      <c s="125">
        <f>Предпосылки!$D371*Месяцев_в_квартале*AB$150</f>
        <v>0</v>
      </c>
      <c s="125">
        <f>Предпосылки!$D371*Месяцев_в_квартале*AC$150</f>
        <v>0</v>
      </c>
      <c s="125">
        <f>Предпосылки!$D371*Месяцев_в_квартале*AD$150</f>
        <v>0</v>
      </c>
      <c s="125">
        <f>Предпосылки!$D371*Месяцев_в_квартале*AE$150</f>
        <v>0</v>
      </c>
      <c s="125">
        <f>Предпосылки!$D371*Месяцев_в_квартале*AF$150</f>
        <v>0</v>
      </c>
      <c s="125">
        <f>Предпосылки!$D371*Месяцев_в_квартале*AG$150</f>
        <v>0</v>
      </c>
      <c s="125">
        <f>Предпосылки!$D371*Месяцев_в_квартале*AH$150</f>
        <v>0</v>
      </c>
      <c s="125">
        <f>Предпосылки!$D371*Месяцев_в_квартале*AI$150</f>
        <v>0</v>
      </c>
      <c s="125">
        <f>Предпосылки!$D371*Месяцев_в_квартале*AJ$150</f>
        <v>0</v>
      </c>
      <c s="125">
        <f>Предпосылки!$D371*Месяцев_в_квартале*AK$150</f>
        <v>0</v>
      </c>
      <c s="125">
        <f>Предпосылки!$D371*Месяцев_в_квартале*AL$150</f>
        <v>0</v>
      </c>
      <c s="125">
        <f>Предпосылки!$D371*Месяцев_в_квартале*AM$150</f>
        <v>0</v>
      </c>
      <c s="125">
        <f>Предпосылки!$D371*Месяцев_в_квартале*AN$150</f>
        <v>0</v>
      </c>
      <c s="125">
        <f>Предпосылки!$D371*Месяцев_в_квартале*AO$150</f>
        <v>0</v>
      </c>
      <c s="125">
        <f>Предпосылки!$D371*Месяцев_в_квартале*AP$150</f>
        <v>0</v>
      </c>
      <c s="125">
        <f>Предпосылки!$D371*Месяцев_в_квартале*AQ$150</f>
        <v>0</v>
      </c>
      <c s="125">
        <f>Предпосылки!$D371*Месяцев_в_квартале*AR$150</f>
        <v>0</v>
      </c>
      <c s="125">
        <f>Предпосылки!$D371*Месяцев_в_квартале*AS$150</f>
        <v>0</v>
      </c>
      <c s="125">
        <f>Предпосылки!$D371*Месяцев_в_квартале*AT$150</f>
        <v>0</v>
      </c>
      <c s="125">
        <f>Предпосылки!$D371*Месяцев_в_квартале*AU$150</f>
        <v>0</v>
      </c>
      <c s="125">
        <f>Предпосылки!$D371*Месяцев_в_квартале*AV$150</f>
        <v>0</v>
      </c>
      <c s="125">
        <f>Предпосылки!$D371*Месяцев_в_квартале*AW$150</f>
        <v>0</v>
      </c>
      <c s="125">
        <f>Предпосылки!$D371*Месяцев_в_квартале*AX$150</f>
        <v>0</v>
      </c>
      <c s="125">
        <f>Предпосылки!$D371*Месяцев_в_квартале*AY$150</f>
        <v>0</v>
      </c>
      <c s="125">
        <f>Предпосылки!$D371*Месяцев_в_квартале*AZ$150</f>
        <v>0</v>
      </c>
      <c s="125">
        <f>Предпосылки!$D371*Месяцев_в_квартале*BA$150</f>
        <v>0</v>
      </c>
      <c s="125">
        <f>Предпосылки!$D371*Месяцев_в_квартале*BB$150</f>
        <v>0</v>
      </c>
      <c s="125">
        <f>Предпосылки!$D371*Месяцев_в_квартале*BC$150</f>
        <v>0</v>
      </c>
      <c s="125">
        <f>Предпосылки!$D371*Месяцев_в_квартале*BD$150</f>
        <v>0</v>
      </c>
      <c s="125">
        <f>Предпосылки!$D371*Месяцев_в_квартале*BE$150</f>
        <v>0</v>
      </c>
      <c s="125">
        <f>Предпосылки!$D371*Месяцев_в_квартале*BF$150</f>
        <v>0</v>
      </c>
      <c s="125">
        <f>Предпосылки!$D371*Месяцев_в_квартале*BG$150</f>
        <v>0</v>
      </c>
      <c s="125">
        <f>Предпосылки!$D371*Месяцев_в_квартале*BH$150</f>
        <v>0</v>
      </c>
      <c s="125">
        <f>Предпосылки!$D371*Месяцев_в_квартале*BI$150</f>
        <v>0</v>
      </c>
      <c s="125">
        <f>Предпосылки!$D371*Месяцев_в_квартале*BJ$150</f>
        <v>0</v>
      </c>
      <c s="125">
        <f>Предпосылки!$D371*Месяцев_в_квартале*BK$150</f>
        <v>0</v>
      </c>
      <c s="125">
        <f>Предпосылки!$D371*Месяцев_в_квартале*BL$150</f>
        <v>0</v>
      </c>
      <c s="125">
        <f>Предпосылки!$D371*Месяцев_в_квартале*BM$150</f>
        <v>0</v>
      </c>
    </row>
    <row r="176" spans="2:65" ht="15" customHeight="1">
      <c r="B176" s="12" t="str">
        <f t="shared" si="463"/>
        <v>-</v>
      </c>
      <c s="124" t="str">
        <f t="shared" si="462"/>
        <v>тыс. руб.</v>
      </c>
      <c s="127"/>
      <c s="125">
        <f>Предпосылки!$D372*Месяцев_в_квартале*E$150</f>
        <v>0</v>
      </c>
      <c s="125">
        <f>Предпосылки!$D372*Месяцев_в_квартале*F$150</f>
        <v>0</v>
      </c>
      <c s="125">
        <f>Предпосылки!$D372*Месяцев_в_квартале*G$150</f>
        <v>0</v>
      </c>
      <c s="125">
        <f>Предпосылки!$D372*Месяцев_в_квартале*H$150</f>
        <v>0</v>
      </c>
      <c s="125">
        <f>Предпосылки!$D372*Месяцев_в_квартале*I$150</f>
        <v>0</v>
      </c>
      <c s="125">
        <f>Предпосылки!$D372*Месяцев_в_квартале*J$150</f>
        <v>0</v>
      </c>
      <c s="125">
        <f>Предпосылки!$D372*Месяцев_в_квартале*K$150</f>
        <v>0</v>
      </c>
      <c s="125">
        <f>Предпосылки!$D372*Месяцев_в_квартале*L$150</f>
        <v>0</v>
      </c>
      <c s="125">
        <f>Предпосылки!$D372*Месяцев_в_квартале*M$150</f>
        <v>0</v>
      </c>
      <c s="125">
        <f>Предпосылки!$D372*Месяцев_в_квартале*N$150</f>
        <v>0</v>
      </c>
      <c s="125">
        <f>Предпосылки!$D372*Месяцев_в_квартале*O$150</f>
        <v>0</v>
      </c>
      <c s="125">
        <f>Предпосылки!$D372*Месяцев_в_квартале*P$150</f>
        <v>0</v>
      </c>
      <c s="125">
        <f>Предпосылки!$D372*Месяцев_в_квартале*Q$150</f>
        <v>0</v>
      </c>
      <c s="125">
        <f>Предпосылки!$D372*Месяцев_в_квартале*R$150</f>
        <v>0</v>
      </c>
      <c s="125">
        <f>Предпосылки!$D372*Месяцев_в_квартале*S$150</f>
        <v>0</v>
      </c>
      <c s="125">
        <f>Предпосылки!$D372*Месяцев_в_квартале*T$150</f>
        <v>0</v>
      </c>
      <c s="125">
        <f>Предпосылки!$D372*Месяцев_в_квартале*U$150</f>
        <v>0</v>
      </c>
      <c s="125">
        <f>Предпосылки!$D372*Месяцев_в_квартале*V$150</f>
        <v>0</v>
      </c>
      <c s="125">
        <f>Предпосылки!$D372*Месяцев_в_квартале*W$150</f>
        <v>0</v>
      </c>
      <c s="125">
        <f>Предпосылки!$D372*Месяцев_в_квартале*X$150</f>
        <v>0</v>
      </c>
      <c s="125">
        <f>Предпосылки!$D372*Месяцев_в_квартале*Y$150</f>
        <v>0</v>
      </c>
      <c s="125">
        <f>Предпосылки!$D372*Месяцев_в_квартале*Z$150</f>
        <v>0</v>
      </c>
      <c s="125">
        <f>Предпосылки!$D372*Месяцев_в_квартале*AA$150</f>
        <v>0</v>
      </c>
      <c s="125">
        <f>Предпосылки!$D372*Месяцев_в_квартале*AB$150</f>
        <v>0</v>
      </c>
      <c s="125">
        <f>Предпосылки!$D372*Месяцев_в_квартале*AC$150</f>
        <v>0</v>
      </c>
      <c s="125">
        <f>Предпосылки!$D372*Месяцев_в_квартале*AD$150</f>
        <v>0</v>
      </c>
      <c s="125">
        <f>Предпосылки!$D372*Месяцев_в_квартале*AE$150</f>
        <v>0</v>
      </c>
      <c s="125">
        <f>Предпосылки!$D372*Месяцев_в_квартале*AF$150</f>
        <v>0</v>
      </c>
      <c s="125">
        <f>Предпосылки!$D372*Месяцев_в_квартале*AG$150</f>
        <v>0</v>
      </c>
      <c s="125">
        <f>Предпосылки!$D372*Месяцев_в_квартале*AH$150</f>
        <v>0</v>
      </c>
      <c s="125">
        <f>Предпосылки!$D372*Месяцев_в_квартале*AI$150</f>
        <v>0</v>
      </c>
      <c s="125">
        <f>Предпосылки!$D372*Месяцев_в_квартале*AJ$150</f>
        <v>0</v>
      </c>
      <c s="125">
        <f>Предпосылки!$D372*Месяцев_в_квартале*AK$150</f>
        <v>0</v>
      </c>
      <c s="125">
        <f>Предпосылки!$D372*Месяцев_в_квартале*AL$150</f>
        <v>0</v>
      </c>
      <c s="125">
        <f>Предпосылки!$D372*Месяцев_в_квартале*AM$150</f>
        <v>0</v>
      </c>
      <c s="125">
        <f>Предпосылки!$D372*Месяцев_в_квартале*AN$150</f>
        <v>0</v>
      </c>
      <c s="125">
        <f>Предпосылки!$D372*Месяцев_в_квартале*AO$150</f>
        <v>0</v>
      </c>
      <c s="125">
        <f>Предпосылки!$D372*Месяцев_в_квартале*AP$150</f>
        <v>0</v>
      </c>
      <c s="125">
        <f>Предпосылки!$D372*Месяцев_в_квартале*AQ$150</f>
        <v>0</v>
      </c>
      <c s="125">
        <f>Предпосылки!$D372*Месяцев_в_квартале*AR$150</f>
        <v>0</v>
      </c>
      <c s="125">
        <f>Предпосылки!$D372*Месяцев_в_квартале*AS$150</f>
        <v>0</v>
      </c>
      <c s="125">
        <f>Предпосылки!$D372*Месяцев_в_квартале*AT$150</f>
        <v>0</v>
      </c>
      <c s="125">
        <f>Предпосылки!$D372*Месяцев_в_квартале*AU$150</f>
        <v>0</v>
      </c>
      <c s="125">
        <f>Предпосылки!$D372*Месяцев_в_квартале*AV$150</f>
        <v>0</v>
      </c>
      <c s="125">
        <f>Предпосылки!$D372*Месяцев_в_квартале*AW$150</f>
        <v>0</v>
      </c>
      <c s="125">
        <f>Предпосылки!$D372*Месяцев_в_квартале*AX$150</f>
        <v>0</v>
      </c>
      <c s="125">
        <f>Предпосылки!$D372*Месяцев_в_квартале*AY$150</f>
        <v>0</v>
      </c>
      <c s="125">
        <f>Предпосылки!$D372*Месяцев_в_квартале*AZ$150</f>
        <v>0</v>
      </c>
      <c s="125">
        <f>Предпосылки!$D372*Месяцев_в_квартале*BA$150</f>
        <v>0</v>
      </c>
      <c s="125">
        <f>Предпосылки!$D372*Месяцев_в_квартале*BB$150</f>
        <v>0</v>
      </c>
      <c s="125">
        <f>Предпосылки!$D372*Месяцев_в_квартале*BC$150</f>
        <v>0</v>
      </c>
      <c s="125">
        <f>Предпосылки!$D372*Месяцев_в_квартале*BD$150</f>
        <v>0</v>
      </c>
      <c s="125">
        <f>Предпосылки!$D372*Месяцев_в_квартале*BE$150</f>
        <v>0</v>
      </c>
      <c s="125">
        <f>Предпосылки!$D372*Месяцев_в_квартале*BF$150</f>
        <v>0</v>
      </c>
      <c s="125">
        <f>Предпосылки!$D372*Месяцев_в_квартале*BG$150</f>
        <v>0</v>
      </c>
      <c s="125">
        <f>Предпосылки!$D372*Месяцев_в_квартале*BH$150</f>
        <v>0</v>
      </c>
      <c s="125">
        <f>Предпосылки!$D372*Месяцев_в_квартале*BI$150</f>
        <v>0</v>
      </c>
      <c s="125">
        <f>Предпосылки!$D372*Месяцев_в_квартале*BJ$150</f>
        <v>0</v>
      </c>
      <c s="125">
        <f>Предпосылки!$D372*Месяцев_в_квартале*BK$150</f>
        <v>0</v>
      </c>
      <c s="125">
        <f>Предпосылки!$D372*Месяцев_в_квартале*BL$150</f>
        <v>0</v>
      </c>
      <c s="125">
        <f>Предпосылки!$D372*Месяцев_в_квартале*BM$150</f>
        <v>0</v>
      </c>
    </row>
    <row r="177" spans="2:65" ht="15" customHeight="1">
      <c r="B177" s="12" t="str">
        <f t="shared" si="463"/>
        <v>-</v>
      </c>
      <c s="124" t="str">
        <f t="shared" si="462"/>
        <v>тыс. руб.</v>
      </c>
      <c s="127"/>
      <c s="125">
        <f>Предпосылки!$D373*Месяцев_в_квартале*E$150</f>
        <v>0</v>
      </c>
      <c s="125">
        <f>Предпосылки!$D373*Месяцев_в_квартале*F$150</f>
        <v>0</v>
      </c>
      <c s="125">
        <f>Предпосылки!$D373*Месяцев_в_квартале*G$150</f>
        <v>0</v>
      </c>
      <c s="125">
        <f>Предпосылки!$D373*Месяцев_в_квартале*H$150</f>
        <v>0</v>
      </c>
      <c s="125">
        <f>Предпосылки!$D373*Месяцев_в_квартале*I$150</f>
        <v>0</v>
      </c>
      <c s="125">
        <f>Предпосылки!$D373*Месяцев_в_квартале*J$150</f>
        <v>0</v>
      </c>
      <c s="125">
        <f>Предпосылки!$D373*Месяцев_в_квартале*K$150</f>
        <v>0</v>
      </c>
      <c s="125">
        <f>Предпосылки!$D373*Месяцев_в_квартале*L$150</f>
        <v>0</v>
      </c>
      <c s="125">
        <f>Предпосылки!$D373*Месяцев_в_квартале*M$150</f>
        <v>0</v>
      </c>
      <c s="125">
        <f>Предпосылки!$D373*Месяцев_в_квартале*N$150</f>
        <v>0</v>
      </c>
      <c s="125">
        <f>Предпосылки!$D373*Месяцев_в_квартале*O$150</f>
        <v>0</v>
      </c>
      <c s="125">
        <f>Предпосылки!$D373*Месяцев_в_квартале*P$150</f>
        <v>0</v>
      </c>
      <c s="125">
        <f>Предпосылки!$D373*Месяцев_в_квартале*Q$150</f>
        <v>0</v>
      </c>
      <c s="125">
        <f>Предпосылки!$D373*Месяцев_в_квартале*R$150</f>
        <v>0</v>
      </c>
      <c s="125">
        <f>Предпосылки!$D373*Месяцев_в_квартале*S$150</f>
        <v>0</v>
      </c>
      <c s="125">
        <f>Предпосылки!$D373*Месяцев_в_квартале*T$150</f>
        <v>0</v>
      </c>
      <c s="125">
        <f>Предпосылки!$D373*Месяцев_в_квартале*U$150</f>
        <v>0</v>
      </c>
      <c s="125">
        <f>Предпосылки!$D373*Месяцев_в_квартале*V$150</f>
        <v>0</v>
      </c>
      <c s="125">
        <f>Предпосылки!$D373*Месяцев_в_квартале*W$150</f>
        <v>0</v>
      </c>
      <c s="125">
        <f>Предпосылки!$D373*Месяцев_в_квартале*X$150</f>
        <v>0</v>
      </c>
      <c s="125">
        <f>Предпосылки!$D373*Месяцев_в_квартале*Y$150</f>
        <v>0</v>
      </c>
      <c s="125">
        <f>Предпосылки!$D373*Месяцев_в_квартале*Z$150</f>
        <v>0</v>
      </c>
      <c s="125">
        <f>Предпосылки!$D373*Месяцев_в_квартале*AA$150</f>
        <v>0</v>
      </c>
      <c s="125">
        <f>Предпосылки!$D373*Месяцев_в_квартале*AB$150</f>
        <v>0</v>
      </c>
      <c s="125">
        <f>Предпосылки!$D373*Месяцев_в_квартале*AC$150</f>
        <v>0</v>
      </c>
      <c s="125">
        <f>Предпосылки!$D373*Месяцев_в_квартале*AD$150</f>
        <v>0</v>
      </c>
      <c s="125">
        <f>Предпосылки!$D373*Месяцев_в_квартале*AE$150</f>
        <v>0</v>
      </c>
      <c s="125">
        <f>Предпосылки!$D373*Месяцев_в_квартале*AF$150</f>
        <v>0</v>
      </c>
      <c s="125">
        <f>Предпосылки!$D373*Месяцев_в_квартале*AG$150</f>
        <v>0</v>
      </c>
      <c s="125">
        <f>Предпосылки!$D373*Месяцев_в_квартале*AH$150</f>
        <v>0</v>
      </c>
      <c s="125">
        <f>Предпосылки!$D373*Месяцев_в_квартале*AI$150</f>
        <v>0</v>
      </c>
      <c s="125">
        <f>Предпосылки!$D373*Месяцев_в_квартале*AJ$150</f>
        <v>0</v>
      </c>
      <c s="125">
        <f>Предпосылки!$D373*Месяцев_в_квартале*AK$150</f>
        <v>0</v>
      </c>
      <c s="125">
        <f>Предпосылки!$D373*Месяцев_в_квартале*AL$150</f>
        <v>0</v>
      </c>
      <c s="125">
        <f>Предпосылки!$D373*Месяцев_в_квартале*AM$150</f>
        <v>0</v>
      </c>
      <c s="125">
        <f>Предпосылки!$D373*Месяцев_в_квартале*AN$150</f>
        <v>0</v>
      </c>
      <c s="125">
        <f>Предпосылки!$D373*Месяцев_в_квартале*AO$150</f>
        <v>0</v>
      </c>
      <c s="125">
        <f>Предпосылки!$D373*Месяцев_в_квартале*AP$150</f>
        <v>0</v>
      </c>
      <c s="125">
        <f>Предпосылки!$D373*Месяцев_в_квартале*AQ$150</f>
        <v>0</v>
      </c>
      <c s="125">
        <f>Предпосылки!$D373*Месяцев_в_квартале*AR$150</f>
        <v>0</v>
      </c>
      <c s="125">
        <f>Предпосылки!$D373*Месяцев_в_квартале*AS$150</f>
        <v>0</v>
      </c>
      <c s="125">
        <f>Предпосылки!$D373*Месяцев_в_квартале*AT$150</f>
        <v>0</v>
      </c>
      <c s="125">
        <f>Предпосылки!$D373*Месяцев_в_квартале*AU$150</f>
        <v>0</v>
      </c>
      <c s="125">
        <f>Предпосылки!$D373*Месяцев_в_квартале*AV$150</f>
        <v>0</v>
      </c>
      <c s="125">
        <f>Предпосылки!$D373*Месяцев_в_квартале*AW$150</f>
        <v>0</v>
      </c>
      <c s="125">
        <f>Предпосылки!$D373*Месяцев_в_квартале*AX$150</f>
        <v>0</v>
      </c>
      <c s="125">
        <f>Предпосылки!$D373*Месяцев_в_квартале*AY$150</f>
        <v>0</v>
      </c>
      <c s="125">
        <f>Предпосылки!$D373*Месяцев_в_квартале*AZ$150</f>
        <v>0</v>
      </c>
      <c s="125">
        <f>Предпосылки!$D373*Месяцев_в_квартале*BA$150</f>
        <v>0</v>
      </c>
      <c s="125">
        <f>Предпосылки!$D373*Месяцев_в_квартале*BB$150</f>
        <v>0</v>
      </c>
      <c s="125">
        <f>Предпосылки!$D373*Месяцев_в_квартале*BC$150</f>
        <v>0</v>
      </c>
      <c s="125">
        <f>Предпосылки!$D373*Месяцев_в_квартале*BD$150</f>
        <v>0</v>
      </c>
      <c s="125">
        <f>Предпосылки!$D373*Месяцев_в_квартале*BE$150</f>
        <v>0</v>
      </c>
      <c s="125">
        <f>Предпосылки!$D373*Месяцев_в_квартале*BF$150</f>
        <v>0</v>
      </c>
      <c s="125">
        <f>Предпосылки!$D373*Месяцев_в_квартале*BG$150</f>
        <v>0</v>
      </c>
      <c s="125">
        <f>Предпосылки!$D373*Месяцев_в_квартале*BH$150</f>
        <v>0</v>
      </c>
      <c s="125">
        <f>Предпосылки!$D373*Месяцев_в_квартале*BI$150</f>
        <v>0</v>
      </c>
      <c s="125">
        <f>Предпосылки!$D373*Месяцев_в_квартале*BJ$150</f>
        <v>0</v>
      </c>
      <c s="125">
        <f>Предпосылки!$D373*Месяцев_в_квартале*BK$150</f>
        <v>0</v>
      </c>
      <c s="125">
        <f>Предпосылки!$D373*Месяцев_в_квартале*BL$150</f>
        <v>0</v>
      </c>
      <c s="125">
        <f>Предпосылки!$D373*Месяцев_в_квартале*BM$150</f>
        <v>0</v>
      </c>
    </row>
    <row r="178" spans="2:65" ht="15" customHeight="1">
      <c r="B178" s="30"/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79" spans="2:65" ht="22.5" customHeight="1">
      <c r="B179" s="23" t="s">
        <v>876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180" spans="2:65" ht="15" customHeight="1">
      <c r="B180" s="12" t="str">
        <f>B153</f>
        <v>-</v>
      </c>
      <c s="124" t="str">
        <f t="shared" si="464" ref="C180:C204">Единица_измерения</f>
        <v>тыс. руб.</v>
      </c>
      <c s="276">
        <f>SUM(E180:BM180)</f>
        <v>0</v>
      </c>
      <c s="125">
        <f t="shared" si="465" ref="E180:T204">E122*E153</f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5"/>
        <v>0</v>
      </c>
      <c s="125">
        <f t="shared" si="466" ref="F180:BM184">U122*U153</f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</row>
    <row r="181" spans="2:65" ht="15" customHeight="1">
      <c r="B181" s="12" t="str">
        <f t="shared" si="467" ref="B181:B204">B154</f>
        <v>-</v>
      </c>
      <c s="124" t="str">
        <f t="shared" si="464"/>
        <v>тыс. руб.</v>
      </c>
      <c s="276">
        <f t="shared" si="468" ref="D181:D204">SUM(E181:BM181)</f>
        <v>0</v>
      </c>
      <c s="125">
        <f t="shared" si="465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</row>
    <row r="182" spans="2:65" ht="15" customHeight="1">
      <c r="B182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</row>
    <row r="183" spans="2:65" ht="15" customHeight="1">
      <c r="B183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</row>
    <row r="184" spans="2:65" ht="15" customHeight="1">
      <c r="B184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6"/>
        <v>0</v>
      </c>
      <c s="125">
        <f t="shared" si="469" ref="F184:BM188">AJ126*AJ157</f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</row>
    <row r="185" spans="2:65" ht="15" customHeight="1">
      <c r="B185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</row>
    <row r="186" spans="2:65" ht="15" customHeight="1">
      <c r="B186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</row>
    <row r="187" spans="2:65" ht="15" customHeight="1">
      <c r="B187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</row>
    <row r="188" spans="2:65" ht="15" customHeight="1">
      <c r="B188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69"/>
        <v>0</v>
      </c>
      <c s="125">
        <f t="shared" si="470" ref="F188:BM192">AY130*AY161</f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</row>
    <row r="189" spans="2:65" ht="15" customHeight="1">
      <c r="B189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</row>
    <row r="190" spans="2:65" ht="15" customHeight="1">
      <c r="B190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</row>
    <row r="191" spans="2:65" ht="15" customHeight="1">
      <c r="B191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</row>
    <row r="192" spans="2:65" ht="15" customHeight="1">
      <c r="B192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  <c s="125">
        <f t="shared" si="470"/>
        <v>0</v>
      </c>
    </row>
    <row r="193" spans="2:65" ht="15" customHeight="1">
      <c r="B193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1" ref="F193:BM197">F135*F166</f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</row>
    <row r="194" spans="2:65" ht="15" customHeight="1">
      <c r="B194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</row>
    <row r="195" spans="2:65" ht="15" customHeight="1">
      <c r="B195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</row>
    <row r="196" spans="2:65" ht="15" customHeight="1">
      <c r="B196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</row>
    <row r="197" spans="2:65" ht="15" customHeight="1">
      <c r="B197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1"/>
        <v>0</v>
      </c>
      <c s="125">
        <f t="shared" si="472" ref="F197:BM201">U139*U170</f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</row>
    <row r="198" spans="2:65" ht="15" customHeight="1">
      <c r="B198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</row>
    <row r="199" spans="2:65" ht="15" customHeight="1">
      <c r="B199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</row>
    <row r="200" spans="2:65" ht="15" customHeight="1">
      <c r="B200" s="12" t="str">
        <f>B173</f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</row>
    <row r="201" spans="2:65" ht="15" customHeight="1">
      <c r="B201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2"/>
        <v>0</v>
      </c>
      <c s="125">
        <f t="shared" si="473" ref="F201:BM204">AJ143*AJ174</f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</row>
    <row r="202" spans="2:65" ht="15" customHeight="1">
      <c r="B202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</row>
    <row r="203" spans="2:65" ht="15" customHeight="1">
      <c r="B203" s="12" t="str">
        <f>B176</f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</row>
    <row r="204" spans="2:65" ht="15" customHeight="1">
      <c r="B204" s="12" t="str">
        <f t="shared" si="467"/>
        <v>-</v>
      </c>
      <c s="124" t="str">
        <f t="shared" si="464"/>
        <v>тыс. руб.</v>
      </c>
      <c s="276">
        <f t="shared" si="468"/>
        <v>0</v>
      </c>
      <c s="125">
        <f t="shared" si="465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  <c s="125">
        <f t="shared" si="473"/>
        <v>0</v>
      </c>
    </row>
    <row r="205" spans="2:65" ht="15" customHeight="1">
      <c r="B205" s="289" t="s">
        <v>454</v>
      </c>
      <c s="290" t="str">
        <f>Единица_измерения</f>
        <v>тыс. руб.</v>
      </c>
      <c s="291">
        <f>SUM(D180:D204)</f>
        <v>0</v>
      </c>
      <c s="276">
        <f>SUM(E180:E204)</f>
        <v>0</v>
      </c>
      <c s="276">
        <f t="shared" si="474" ref="F205:BM205">SUM(F180:F204)</f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  <c s="276">
        <f t="shared" si="474"/>
        <v>0</v>
      </c>
    </row>
    <row r="206" spans="2:65" ht="15" customHeight="1">
      <c r="B206" s="30"/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207" spans="2:65" ht="22.5" customHeight="1">
      <c r="B207" s="23" t="s">
        <v>248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208" spans="2:65" ht="15.6">
      <c r="B208" s="24" t="s">
        <v>877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209" spans="2:65" ht="14.45">
      <c r="B209" s="12" t="str">
        <f>B180</f>
        <v>-</v>
      </c>
      <c s="124" t="str">
        <f t="shared" si="475" ref="C209:C233">Единица_измерения</f>
        <v>тыс. руб.</v>
      </c>
      <c s="127"/>
      <c s="125">
        <f t="shared" si="476" ref="E209">D209*IF(MONTH(E$7)=1,0,1)+E153</f>
        <v>0</v>
      </c>
      <c s="125">
        <f t="shared" si="477" ref="F209:F216">E209*IF(MONTH(F$7)=1,0,1)+F153</f>
        <v>0</v>
      </c>
      <c s="125">
        <f t="shared" si="478" ref="G209:G216">F209*IF(MONTH(G$7)=1,0,1)+G153</f>
        <v>0</v>
      </c>
      <c s="125">
        <f t="shared" si="479" ref="H209:H216">G209*IF(MONTH(H$7)=1,0,1)+H153</f>
        <v>0</v>
      </c>
      <c s="125">
        <f t="shared" si="480" ref="I209:I216">H209*IF(MONTH(I$7)=1,0,1)+I153</f>
        <v>0</v>
      </c>
      <c s="125">
        <f t="shared" si="481" ref="J209:J216">I209*IF(MONTH(J$7)=1,0,1)+J153</f>
        <v>0</v>
      </c>
      <c s="125">
        <f t="shared" si="482" ref="K209:K216">J209*IF(MONTH(K$7)=1,0,1)+K153</f>
        <v>0</v>
      </c>
      <c s="125">
        <f t="shared" si="483" ref="L209:L233">K209*IF(MONTH(L$7)=1,0,1)+L153</f>
        <v>0</v>
      </c>
      <c s="125">
        <f t="shared" si="484" ref="M209:M233">L209*IF(MONTH(M$7)=1,0,1)+M153</f>
        <v>0</v>
      </c>
      <c s="125">
        <f t="shared" si="485" ref="N209:N233">M209*IF(MONTH(N$7)=1,0,1)+N153</f>
        <v>0</v>
      </c>
      <c s="125">
        <f t="shared" si="486" ref="O209:O233">N209*IF(MONTH(O$7)=1,0,1)+O153</f>
        <v>0</v>
      </c>
      <c s="125">
        <f t="shared" si="487" ref="P209:P233">O209*IF(MONTH(P$7)=1,0,1)+P153</f>
        <v>0</v>
      </c>
      <c s="125">
        <f t="shared" si="488" ref="Q209:Q233">P209*IF(MONTH(Q$7)=1,0,1)+Q153</f>
        <v>0</v>
      </c>
      <c s="125">
        <f t="shared" si="489" ref="R209:R233">Q209*IF(MONTH(R$7)=1,0,1)+R153</f>
        <v>0</v>
      </c>
      <c s="125">
        <f t="shared" si="490" ref="S209:S233">R209*IF(MONTH(S$7)=1,0,1)+S153</f>
        <v>0</v>
      </c>
      <c s="125">
        <f t="shared" si="491" ref="T209:T233">S209*IF(MONTH(T$7)=1,0,1)+T153</f>
        <v>0</v>
      </c>
      <c s="125">
        <f t="shared" si="492" ref="U209:U233">T209*IF(MONTH(U$7)=1,0,1)+U153</f>
        <v>0</v>
      </c>
      <c s="125">
        <f t="shared" si="493" ref="V209:V233">U209*IF(MONTH(V$7)=1,0,1)+V153</f>
        <v>0</v>
      </c>
      <c s="125">
        <f t="shared" si="494" ref="W209:W233">V209*IF(MONTH(W$7)=1,0,1)+W153</f>
        <v>0</v>
      </c>
      <c s="125">
        <f t="shared" si="495" ref="X209:X233">W209*IF(MONTH(X$7)=1,0,1)+X153</f>
        <v>0</v>
      </c>
      <c s="125">
        <f t="shared" si="496" ref="Y209:Y233">X209*IF(MONTH(Y$7)=1,0,1)+Y153</f>
        <v>0</v>
      </c>
      <c s="125">
        <f t="shared" si="497" ref="Z209:Z233">Y209*IF(MONTH(Z$7)=1,0,1)+Z153</f>
        <v>0</v>
      </c>
      <c s="125">
        <f t="shared" si="498" ref="AA209:AA233">Z209*IF(MONTH(AA$7)=1,0,1)+AA153</f>
        <v>0</v>
      </c>
      <c s="125">
        <f t="shared" si="499" ref="AB209:AB233">AA209*IF(MONTH(AB$7)=1,0,1)+AB153</f>
        <v>0</v>
      </c>
      <c s="125">
        <f t="shared" si="500" ref="AC209:AC233">AB209*IF(MONTH(AC$7)=1,0,1)+AC153</f>
        <v>0</v>
      </c>
      <c s="125">
        <f t="shared" si="501" ref="AD209:AD233">AC209*IF(MONTH(AD$7)=1,0,1)+AD153</f>
        <v>0</v>
      </c>
      <c s="125">
        <f t="shared" si="502" ref="AE209:AE233">AD209*IF(MONTH(AE$7)=1,0,1)+AE153</f>
        <v>0</v>
      </c>
      <c s="125">
        <f t="shared" si="503" ref="AF209:AF233">AE209*IF(MONTH(AF$7)=1,0,1)+AF153</f>
        <v>0</v>
      </c>
      <c s="125">
        <f t="shared" si="504" ref="AG209:AG233">AF209*IF(MONTH(AG$7)=1,0,1)+AG153</f>
        <v>0</v>
      </c>
      <c s="125">
        <f t="shared" si="505" ref="AH209:AH233">AG209*IF(MONTH(AH$7)=1,0,1)+AH153</f>
        <v>0</v>
      </c>
      <c s="125">
        <f t="shared" si="506" ref="AI209:AI233">AH209*IF(MONTH(AI$7)=1,0,1)+AI153</f>
        <v>0</v>
      </c>
      <c s="125">
        <f t="shared" si="507" ref="AJ209:AJ233">AI209*IF(MONTH(AJ$7)=1,0,1)+AJ153</f>
        <v>0</v>
      </c>
      <c s="125">
        <f t="shared" si="508" ref="AK209:AK233">AJ209*IF(MONTH(AK$7)=1,0,1)+AK153</f>
        <v>0</v>
      </c>
      <c s="125">
        <f t="shared" si="509" ref="AL209:AL233">AK209*IF(MONTH(AL$7)=1,0,1)+AL153</f>
        <v>0</v>
      </c>
      <c s="125">
        <f t="shared" si="510" ref="AM209:AM233">AL209*IF(MONTH(AM$7)=1,0,1)+AM153</f>
        <v>0</v>
      </c>
      <c s="125">
        <f t="shared" si="511" ref="AN209:AN233">AM209*IF(MONTH(AN$7)=1,0,1)+AN153</f>
        <v>0</v>
      </c>
      <c s="125">
        <f t="shared" si="512" ref="AO209:AO233">AN209*IF(MONTH(AO$7)=1,0,1)+AO153</f>
        <v>0</v>
      </c>
      <c s="125">
        <f t="shared" si="513" ref="AP209:AP233">AO209*IF(MONTH(AP$7)=1,0,1)+AP153</f>
        <v>0</v>
      </c>
      <c s="125">
        <f t="shared" si="514" ref="AQ209:AQ233">AP209*IF(MONTH(AQ$7)=1,0,1)+AQ153</f>
        <v>0</v>
      </c>
      <c s="125">
        <f t="shared" si="515" ref="AR209:AR233">AQ209*IF(MONTH(AR$7)=1,0,1)+AR153</f>
        <v>0</v>
      </c>
      <c s="125">
        <f t="shared" si="516" ref="AS209:AS233">AR209*IF(MONTH(AS$7)=1,0,1)+AS153</f>
        <v>0</v>
      </c>
      <c s="125">
        <f t="shared" si="517" ref="AT209:AT233">AS209*IF(MONTH(AT$7)=1,0,1)+AT153</f>
        <v>0</v>
      </c>
      <c s="125">
        <f t="shared" si="518" ref="AU209:AU233">AT209*IF(MONTH(AU$7)=1,0,1)+AU153</f>
        <v>0</v>
      </c>
      <c s="125">
        <f t="shared" si="519" ref="AV209:AV233">AU209*IF(MONTH(AV$7)=1,0,1)+AV153</f>
        <v>0</v>
      </c>
      <c s="125">
        <f t="shared" si="520" ref="AW209:AW233">AV209*IF(MONTH(AW$7)=1,0,1)+AW153</f>
        <v>0</v>
      </c>
      <c s="125">
        <f t="shared" si="521" ref="AX209:AX233">AW209*IF(MONTH(AX$7)=1,0,1)+AX153</f>
        <v>0</v>
      </c>
      <c s="125">
        <f t="shared" si="522" ref="AY209:AY233">AX209*IF(MONTH(AY$7)=1,0,1)+AY153</f>
        <v>0</v>
      </c>
      <c s="125">
        <f t="shared" si="523" ref="AZ209:AZ233">AY209*IF(MONTH(AZ$7)=1,0,1)+AZ153</f>
        <v>0</v>
      </c>
      <c s="125">
        <f t="shared" si="524" ref="BA209:BA233">AZ209*IF(MONTH(BA$7)=1,0,1)+BA153</f>
        <v>0</v>
      </c>
      <c s="125">
        <f t="shared" si="525" ref="BB209:BB233">BA209*IF(MONTH(BB$7)=1,0,1)+BB153</f>
        <v>0</v>
      </c>
      <c s="125">
        <f t="shared" si="526" ref="BC209:BC233">BB209*IF(MONTH(BC$7)=1,0,1)+BC153</f>
        <v>0</v>
      </c>
      <c s="125">
        <f t="shared" si="527" ref="BD209:BD233">BC209*IF(MONTH(BD$7)=1,0,1)+BD153</f>
        <v>0</v>
      </c>
      <c s="125">
        <f t="shared" si="528" ref="BE209:BE233">BD209*IF(MONTH(BE$7)=1,0,1)+BE153</f>
        <v>0</v>
      </c>
      <c s="125">
        <f t="shared" si="529" ref="BF209:BF233">BE209*IF(MONTH(BF$7)=1,0,1)+BF153</f>
        <v>0</v>
      </c>
      <c s="125">
        <f t="shared" si="530" ref="BG209:BG233">BF209*IF(MONTH(BG$7)=1,0,1)+BG153</f>
        <v>0</v>
      </c>
      <c s="125">
        <f t="shared" si="531" ref="BH209:BH233">BG209*IF(MONTH(BH$7)=1,0,1)+BH153</f>
        <v>0</v>
      </c>
      <c s="125">
        <f t="shared" si="532" ref="BI209:BI233">BH209*IF(MONTH(BI$7)=1,0,1)+BI153</f>
        <v>0</v>
      </c>
      <c s="125">
        <f t="shared" si="533" ref="BJ209:BJ233">BI209*IF(MONTH(BJ$7)=1,0,1)+BJ153</f>
        <v>0</v>
      </c>
      <c s="125">
        <f t="shared" si="534" ref="BK209:BK233">BJ209*IF(MONTH(BK$7)=1,0,1)+BK153</f>
        <v>0</v>
      </c>
      <c s="125">
        <f t="shared" si="535" ref="BL209:BL233">BK209*IF(MONTH(BL$7)=1,0,1)+BL153</f>
        <v>0</v>
      </c>
      <c s="125">
        <f t="shared" si="536" ref="BM209:BM233">BL209*IF(MONTH(BM$7)=1,0,1)+BM153</f>
        <v>0</v>
      </c>
    </row>
    <row r="210" spans="2:65" ht="14.45">
      <c r="B210" s="12" t="str">
        <f t="shared" si="537" ref="B210:B233">B181</f>
        <v>-</v>
      </c>
      <c s="124" t="str">
        <f t="shared" si="475"/>
        <v>тыс. руб.</v>
      </c>
      <c s="127"/>
      <c s="125">
        <f t="shared" si="538" ref="E210:E217">D210*IF(MONTH(E$7)=1,0,1)+E154</f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1" spans="2:65" ht="14.45">
      <c r="B211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2" spans="2:65" ht="14.45">
      <c r="B212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3" spans="2:65" ht="14.45">
      <c r="B213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4" spans="2:65" ht="14.45">
      <c r="B214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5" spans="2:65" ht="14.45">
      <c r="B215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6" spans="2:65" ht="14.45">
      <c r="B216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477"/>
        <v>0</v>
      </c>
      <c s="125">
        <f t="shared" si="478"/>
        <v>0</v>
      </c>
      <c s="125">
        <f t="shared" si="479"/>
        <v>0</v>
      </c>
      <c s="125">
        <f t="shared" si="480"/>
        <v>0</v>
      </c>
      <c s="125">
        <f t="shared" si="481"/>
        <v>0</v>
      </c>
      <c s="125">
        <f t="shared" si="482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7" spans="2:65" ht="14.45">
      <c r="B217" s="12" t="str">
        <f t="shared" si="537"/>
        <v>-</v>
      </c>
      <c s="124" t="str">
        <f t="shared" si="475"/>
        <v>тыс. руб.</v>
      </c>
      <c s="127"/>
      <c s="125">
        <f t="shared" si="538"/>
        <v>0</v>
      </c>
      <c s="125">
        <f t="shared" si="539" ref="F217:F233">E217*IF(MONTH(F$7)=1,0,1)+F161</f>
        <v>0</v>
      </c>
      <c s="125">
        <f t="shared" si="540" ref="G217:G233">F217*IF(MONTH(G$7)=1,0,1)+G161</f>
        <v>0</v>
      </c>
      <c s="125">
        <f t="shared" si="541" ref="H217:H233">G217*IF(MONTH(H$7)=1,0,1)+H161</f>
        <v>0</v>
      </c>
      <c s="125">
        <f t="shared" si="542" ref="I217:I233">H217*IF(MONTH(I$7)=1,0,1)+I161</f>
        <v>0</v>
      </c>
      <c s="125">
        <f t="shared" si="543" ref="J217:J233">I217*IF(MONTH(J$7)=1,0,1)+J161</f>
        <v>0</v>
      </c>
      <c s="125">
        <f t="shared" si="544" ref="K217:K233">J217*IF(MONTH(K$7)=1,0,1)+K161</f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8" spans="2:65" ht="14.45">
      <c r="B218" s="12" t="str">
        <f t="shared" si="537"/>
        <v>-</v>
      </c>
      <c s="124" t="str">
        <f t="shared" si="475"/>
        <v>тыс. руб.</v>
      </c>
      <c s="127"/>
      <c s="125">
        <f t="shared" si="545" ref="E218:E233">D218*IF(MONTH(E$7)=1,0,1)+E162</f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19" spans="2:65" ht="14.45">
      <c r="B219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0" spans="2:65" ht="14.45">
      <c r="B220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1" spans="2:65" ht="14.45">
      <c r="B221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2" spans="2:65" ht="14.45">
      <c r="B222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3" spans="2:65" ht="14.45">
      <c r="B223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4" spans="2:65" ht="14.45">
      <c r="B224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5" spans="2:65" ht="14.45">
      <c r="B225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6" spans="2:65" ht="14.45">
      <c r="B226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7" spans="2:65" ht="14.45">
      <c r="B227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8" spans="2:65" ht="14.45">
      <c r="B228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29" spans="2:65" ht="14.45">
      <c r="B229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30" spans="2:65" ht="14.45">
      <c r="B230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31" spans="2:65" ht="14.45">
      <c r="B231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32" spans="2:65" ht="14.45">
      <c r="B232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33" spans="2:65" ht="14.45">
      <c r="B233" s="12" t="str">
        <f t="shared" si="537"/>
        <v>-</v>
      </c>
      <c s="124" t="str">
        <f t="shared" si="475"/>
        <v>тыс. руб.</v>
      </c>
      <c s="127"/>
      <c s="125">
        <f t="shared" si="545"/>
        <v>0</v>
      </c>
      <c s="125">
        <f t="shared" si="539"/>
        <v>0</v>
      </c>
      <c s="125">
        <f t="shared" si="540"/>
        <v>0</v>
      </c>
      <c s="125">
        <f t="shared" si="541"/>
        <v>0</v>
      </c>
      <c s="125">
        <f t="shared" si="542"/>
        <v>0</v>
      </c>
      <c s="125">
        <f t="shared" si="543"/>
        <v>0</v>
      </c>
      <c s="125">
        <f t="shared" si="544"/>
        <v>0</v>
      </c>
      <c s="125">
        <f t="shared" si="483"/>
        <v>0</v>
      </c>
      <c s="125">
        <f t="shared" si="484"/>
        <v>0</v>
      </c>
      <c s="125">
        <f t="shared" si="485"/>
        <v>0</v>
      </c>
      <c s="125">
        <f t="shared" si="486"/>
        <v>0</v>
      </c>
      <c s="125">
        <f t="shared" si="487"/>
        <v>0</v>
      </c>
      <c s="125">
        <f t="shared" si="488"/>
        <v>0</v>
      </c>
      <c s="125">
        <f t="shared" si="489"/>
        <v>0</v>
      </c>
      <c s="125">
        <f t="shared" si="490"/>
        <v>0</v>
      </c>
      <c s="125">
        <f t="shared" si="491"/>
        <v>0</v>
      </c>
      <c s="125">
        <f t="shared" si="492"/>
        <v>0</v>
      </c>
      <c s="125">
        <f t="shared" si="493"/>
        <v>0</v>
      </c>
      <c s="125">
        <f t="shared" si="494"/>
        <v>0</v>
      </c>
      <c s="125">
        <f t="shared" si="495"/>
        <v>0</v>
      </c>
      <c s="125">
        <f t="shared" si="496"/>
        <v>0</v>
      </c>
      <c s="125">
        <f t="shared" si="497"/>
        <v>0</v>
      </c>
      <c s="125">
        <f t="shared" si="498"/>
        <v>0</v>
      </c>
      <c s="125">
        <f t="shared" si="499"/>
        <v>0</v>
      </c>
      <c s="125">
        <f t="shared" si="500"/>
        <v>0</v>
      </c>
      <c s="125">
        <f t="shared" si="501"/>
        <v>0</v>
      </c>
      <c s="125">
        <f t="shared" si="502"/>
        <v>0</v>
      </c>
      <c s="125">
        <f t="shared" si="503"/>
        <v>0</v>
      </c>
      <c s="125">
        <f t="shared" si="504"/>
        <v>0</v>
      </c>
      <c s="125">
        <f t="shared" si="505"/>
        <v>0</v>
      </c>
      <c s="125">
        <f t="shared" si="506"/>
        <v>0</v>
      </c>
      <c s="125">
        <f t="shared" si="507"/>
        <v>0</v>
      </c>
      <c s="125">
        <f t="shared" si="508"/>
        <v>0</v>
      </c>
      <c s="125">
        <f t="shared" si="509"/>
        <v>0</v>
      </c>
      <c s="125">
        <f t="shared" si="510"/>
        <v>0</v>
      </c>
      <c s="125">
        <f t="shared" si="511"/>
        <v>0</v>
      </c>
      <c s="125">
        <f t="shared" si="512"/>
        <v>0</v>
      </c>
      <c s="125">
        <f t="shared" si="513"/>
        <v>0</v>
      </c>
      <c s="125">
        <f t="shared" si="514"/>
        <v>0</v>
      </c>
      <c s="125">
        <f t="shared" si="515"/>
        <v>0</v>
      </c>
      <c s="125">
        <f t="shared" si="516"/>
        <v>0</v>
      </c>
      <c s="125">
        <f t="shared" si="517"/>
        <v>0</v>
      </c>
      <c s="125">
        <f t="shared" si="518"/>
        <v>0</v>
      </c>
      <c s="125">
        <f t="shared" si="519"/>
        <v>0</v>
      </c>
      <c s="125">
        <f t="shared" si="520"/>
        <v>0</v>
      </c>
      <c s="125">
        <f t="shared" si="521"/>
        <v>0</v>
      </c>
      <c s="125">
        <f t="shared" si="522"/>
        <v>0</v>
      </c>
      <c s="125">
        <f t="shared" si="523"/>
        <v>0</v>
      </c>
      <c s="125">
        <f t="shared" si="524"/>
        <v>0</v>
      </c>
      <c s="125">
        <f t="shared" si="525"/>
        <v>0</v>
      </c>
      <c s="125">
        <f t="shared" si="526"/>
        <v>0</v>
      </c>
      <c s="125">
        <f t="shared" si="527"/>
        <v>0</v>
      </c>
      <c s="125">
        <f t="shared" si="528"/>
        <v>0</v>
      </c>
      <c s="125">
        <f t="shared" si="529"/>
        <v>0</v>
      </c>
      <c s="125">
        <f t="shared" si="530"/>
        <v>0</v>
      </c>
      <c s="125">
        <f t="shared" si="531"/>
        <v>0</v>
      </c>
      <c s="125">
        <f t="shared" si="532"/>
        <v>0</v>
      </c>
      <c s="125">
        <f t="shared" si="533"/>
        <v>0</v>
      </c>
      <c s="125">
        <f t="shared" si="534"/>
        <v>0</v>
      </c>
      <c s="125">
        <f t="shared" si="535"/>
        <v>0</v>
      </c>
      <c s="125">
        <f t="shared" si="536"/>
        <v>0</v>
      </c>
    </row>
    <row r="234" spans="2:65" ht="15" customHeight="1">
      <c r="B234" s="30"/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235" spans="2:65" ht="15" customHeight="1">
      <c r="B235" s="30" t="s">
        <v>945</v>
      </c>
      <c s="364"/>
      <c s="364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  <c s="168"/>
    </row>
    <row r="236" spans="2:65" ht="15" customHeight="1">
      <c r="B236" s="12" t="s">
        <v>255</v>
      </c>
      <c s="124" t="s">
        <v>817</v>
      </c>
      <c s="125"/>
      <c s="126">
        <f>LOOKUP(YEAR(E$8),Предпосылки!$C$480:$R$480,Ставки_НДФЛ_до_2400_тыс_руб)</f>
        <v>0.13</v>
      </c>
      <c s="126">
        <f>LOOKUP(YEAR(F$8),Предпосылки!$C$480:$R$480,Ставки_НДФЛ_до_2400_тыс_руб)</f>
        <v>0.13</v>
      </c>
      <c s="126">
        <f>LOOKUP(YEAR(G$8),Предпосылки!$C$480:$R$480,Ставки_НДФЛ_до_2400_тыс_руб)</f>
        <v>0.13</v>
      </c>
      <c s="126">
        <f>LOOKUP(YEAR(H$8),Предпосылки!$C$480:$R$480,Ставки_НДФЛ_до_2400_тыс_руб)</f>
        <v>0.13</v>
      </c>
      <c s="126">
        <f>LOOKUP(YEAR(I$8),Предпосылки!$C$480:$R$480,Ставки_НДФЛ_до_2400_тыс_руб)</f>
        <v>0.13</v>
      </c>
      <c s="126">
        <f>LOOKUP(YEAR(J$8),Предпосылки!$C$480:$R$480,Ставки_НДФЛ_до_2400_тыс_руб)</f>
        <v>0.13</v>
      </c>
      <c s="126">
        <f>LOOKUP(YEAR(K$8),Предпосылки!$C$480:$R$480,Ставки_НДФЛ_до_2400_тыс_руб)</f>
        <v>0.13</v>
      </c>
      <c s="126">
        <f>LOOKUP(YEAR(L$8),Предпосылки!$C$480:$R$480,Ставки_НДФЛ_до_2400_тыс_руб)</f>
        <v>0.13</v>
      </c>
      <c s="126">
        <f>LOOKUP(YEAR(M$8),Предпосылки!$C$480:$R$480,Ставки_НДФЛ_до_2400_тыс_руб)</f>
        <v>0.13</v>
      </c>
      <c s="126">
        <f>LOOKUP(YEAR(N$8),Предпосылки!$C$480:$R$480,Ставки_НДФЛ_до_2400_тыс_руб)</f>
        <v>0.13</v>
      </c>
      <c s="126">
        <f>LOOKUP(YEAR(O$8),Предпосылки!$C$480:$R$480,Ставки_НДФЛ_до_2400_тыс_руб)</f>
        <v>0.13</v>
      </c>
      <c s="126">
        <f>LOOKUP(YEAR(P$8),Предпосылки!$C$480:$R$480,Ставки_НДФЛ_до_2400_тыс_руб)</f>
        <v>0.13</v>
      </c>
      <c s="126">
        <f>LOOKUP(YEAR(Q$8),Предпосылки!$C$480:$R$480,Ставки_НДФЛ_до_2400_тыс_руб)</f>
        <v>0.13</v>
      </c>
      <c s="126">
        <f>LOOKUP(YEAR(R$8),Предпосылки!$C$480:$R$480,Ставки_НДФЛ_до_2400_тыс_руб)</f>
        <v>0.13</v>
      </c>
      <c s="126">
        <f>LOOKUP(YEAR(S$8),Предпосылки!$C$480:$R$480,Ставки_НДФЛ_до_2400_тыс_руб)</f>
        <v>0.13</v>
      </c>
      <c s="126">
        <f>LOOKUP(YEAR(T$8),Предпосылки!$C$480:$R$480,Ставки_НДФЛ_до_2400_тыс_руб)</f>
        <v>0.13</v>
      </c>
      <c s="126">
        <f>LOOKUP(YEAR(U$8),Предпосылки!$C$480:$R$480,Ставки_НДФЛ_до_2400_тыс_руб)</f>
        <v>0.13</v>
      </c>
      <c s="126">
        <f>LOOKUP(YEAR(V$8),Предпосылки!$C$480:$R$480,Ставки_НДФЛ_до_2400_тыс_руб)</f>
        <v>0.13</v>
      </c>
      <c s="126">
        <f>LOOKUP(YEAR(W$8),Предпосылки!$C$480:$R$480,Ставки_НДФЛ_до_2400_тыс_руб)</f>
        <v>0.13</v>
      </c>
      <c s="126">
        <f>LOOKUP(YEAR(X$8),Предпосылки!$C$480:$R$480,Ставки_НДФЛ_до_2400_тыс_руб)</f>
        <v>0.13</v>
      </c>
      <c s="126">
        <f>LOOKUP(YEAR(Y$8),Предпосылки!$C$480:$R$480,Ставки_НДФЛ_до_2400_тыс_руб)</f>
        <v>0.13</v>
      </c>
      <c s="126">
        <f>LOOKUP(YEAR(Z$8),Предпосылки!$C$480:$R$480,Ставки_НДФЛ_до_2400_тыс_руб)</f>
        <v>0.13</v>
      </c>
      <c s="126">
        <f>LOOKUP(YEAR(AA$8),Предпосылки!$C$480:$R$480,Ставки_НДФЛ_до_2400_тыс_руб)</f>
        <v>0.13</v>
      </c>
      <c s="126">
        <f>LOOKUP(YEAR(AB$8),Предпосылки!$C$480:$R$480,Ставки_НДФЛ_до_2400_тыс_руб)</f>
        <v>0.13</v>
      </c>
      <c s="126">
        <f>LOOKUP(YEAR(AC$8),Предпосылки!$C$480:$R$480,Ставки_НДФЛ_до_2400_тыс_руб)</f>
        <v>0.13</v>
      </c>
      <c s="126">
        <f>LOOKUP(YEAR(AD$8),Предпосылки!$C$480:$R$480,Ставки_НДФЛ_до_2400_тыс_руб)</f>
        <v>0.13</v>
      </c>
      <c s="126">
        <f>LOOKUP(YEAR(AE$8),Предпосылки!$C$480:$R$480,Ставки_НДФЛ_до_2400_тыс_руб)</f>
        <v>0.13</v>
      </c>
      <c s="126">
        <f>LOOKUP(YEAR(AF$8),Предпосылки!$C$480:$R$480,Ставки_НДФЛ_до_2400_тыс_руб)</f>
        <v>0.13</v>
      </c>
      <c s="126">
        <f>LOOKUP(YEAR(AG$8),Предпосылки!$C$480:$R$480,Ставки_НДФЛ_до_2400_тыс_руб)</f>
        <v>0.13</v>
      </c>
      <c s="126">
        <f>LOOKUP(YEAR(AH$8),Предпосылки!$C$480:$R$480,Ставки_НДФЛ_до_2400_тыс_руб)</f>
        <v>0.13</v>
      </c>
      <c s="126">
        <f>LOOKUP(YEAR(AI$8),Предпосылки!$C$480:$R$480,Ставки_НДФЛ_до_2400_тыс_руб)</f>
        <v>0.13</v>
      </c>
      <c s="126">
        <f>LOOKUP(YEAR(AJ$8),Предпосылки!$C$480:$R$480,Ставки_НДФЛ_до_2400_тыс_руб)</f>
        <v>0.13</v>
      </c>
      <c s="126">
        <f>LOOKUP(YEAR(AK$8),Предпосылки!$C$480:$R$480,Ставки_НДФЛ_до_2400_тыс_руб)</f>
        <v>0.13</v>
      </c>
      <c s="126">
        <f>LOOKUP(YEAR(AL$8),Предпосылки!$C$480:$R$480,Ставки_НДФЛ_до_2400_тыс_руб)</f>
        <v>0.13</v>
      </c>
      <c s="126">
        <f>LOOKUP(YEAR(AM$8),Предпосылки!$C$480:$R$480,Ставки_НДФЛ_до_2400_тыс_руб)</f>
        <v>0.13</v>
      </c>
      <c s="126">
        <f>LOOKUP(YEAR(AN$8),Предпосылки!$C$480:$R$480,Ставки_НДФЛ_до_2400_тыс_руб)</f>
        <v>0.13</v>
      </c>
      <c s="126">
        <f>LOOKUP(YEAR(AO$8),Предпосылки!$C$480:$R$480,Ставки_НДФЛ_до_2400_тыс_руб)</f>
        <v>0.13</v>
      </c>
      <c s="126">
        <f>LOOKUP(YEAR(AP$8),Предпосылки!$C$480:$R$480,Ставки_НДФЛ_до_2400_тыс_руб)</f>
        <v>0.13</v>
      </c>
      <c s="126">
        <f>LOOKUP(YEAR(AQ$8),Предпосылки!$C$480:$R$480,Ставки_НДФЛ_до_2400_тыс_руб)</f>
        <v>0.13</v>
      </c>
      <c s="126">
        <f>LOOKUP(YEAR(AR$8),Предпосылки!$C$480:$R$480,Ставки_НДФЛ_до_2400_тыс_руб)</f>
        <v>0.13</v>
      </c>
      <c s="126">
        <f>LOOKUP(YEAR(AS$8),Предпосылки!$C$480:$R$480,Ставки_НДФЛ_до_2400_тыс_руб)</f>
        <v>0.13</v>
      </c>
      <c s="126">
        <f>LOOKUP(YEAR(AT$8),Предпосылки!$C$480:$R$480,Ставки_НДФЛ_до_2400_тыс_руб)</f>
        <v>0.13</v>
      </c>
      <c s="126">
        <f>LOOKUP(YEAR(AU$8),Предпосылки!$C$480:$R$480,Ставки_НДФЛ_до_2400_тыс_руб)</f>
        <v>0.13</v>
      </c>
      <c s="126">
        <f>LOOKUP(YEAR(AV$8),Предпосылки!$C$480:$R$480,Ставки_НДФЛ_до_2400_тыс_руб)</f>
        <v>0.13</v>
      </c>
      <c s="126">
        <f>LOOKUP(YEAR(AW$8),Предпосылки!$C$480:$R$480,Ставки_НДФЛ_до_2400_тыс_руб)</f>
        <v>0.13</v>
      </c>
      <c s="126">
        <f>LOOKUP(YEAR(AX$8),Предпосылки!$C$480:$R$480,Ставки_НДФЛ_до_2400_тыс_руб)</f>
        <v>0.13</v>
      </c>
      <c s="126">
        <f>LOOKUP(YEAR(AY$8),Предпосылки!$C$480:$R$480,Ставки_НДФЛ_до_2400_тыс_руб)</f>
        <v>0.13</v>
      </c>
      <c s="126">
        <f>LOOKUP(YEAR(AZ$8),Предпосылки!$C$480:$R$480,Ставки_НДФЛ_до_2400_тыс_руб)</f>
        <v>0.13</v>
      </c>
      <c s="126">
        <f>LOOKUP(YEAR(BA$8),Предпосылки!$C$480:$R$480,Ставки_НДФЛ_до_2400_тыс_руб)</f>
        <v>0.13</v>
      </c>
      <c s="126">
        <f>LOOKUP(YEAR(BB$8),Предпосылки!$C$480:$R$480,Ставки_НДФЛ_до_2400_тыс_руб)</f>
        <v>0.13</v>
      </c>
      <c s="126">
        <f>LOOKUP(YEAR(BC$8),Предпосылки!$C$480:$R$480,Ставки_НДФЛ_до_2400_тыс_руб)</f>
        <v>0.13</v>
      </c>
      <c s="126">
        <f>LOOKUP(YEAR(BD$8),Предпосылки!$C$480:$R$480,Ставки_НДФЛ_до_2400_тыс_руб)</f>
        <v>0.13</v>
      </c>
      <c s="126">
        <f>LOOKUP(YEAR(BE$8),Предпосылки!$C$480:$R$480,Ставки_НДФЛ_до_2400_тыс_руб)</f>
        <v>0.13</v>
      </c>
      <c s="126">
        <f>LOOKUP(YEAR(BF$8),Предпосылки!$C$480:$R$480,Ставки_НДФЛ_до_2400_тыс_руб)</f>
        <v>0.13</v>
      </c>
      <c s="126">
        <f>LOOKUP(YEAR(BG$8),Предпосылки!$C$480:$R$480,Ставки_НДФЛ_до_2400_тыс_руб)</f>
        <v>0.13</v>
      </c>
      <c s="126">
        <f>LOOKUP(YEAR(BH$8),Предпосылки!$C$480:$R$480,Ставки_НДФЛ_до_2400_тыс_руб)</f>
        <v>0.13</v>
      </c>
      <c s="126">
        <f>LOOKUP(YEAR(BI$8),Предпосылки!$C$480:$R$480,Ставки_НДФЛ_до_2400_тыс_руб)</f>
        <v>0.13</v>
      </c>
      <c s="126">
        <f>LOOKUP(YEAR(BJ$8),Предпосылки!$C$480:$R$480,Ставки_НДФЛ_до_2400_тыс_руб)</f>
        <v>0.13</v>
      </c>
      <c s="126">
        <f>LOOKUP(YEAR(BK$8),Предпосылки!$C$480:$R$480,Ставки_НДФЛ_до_2400_тыс_руб)</f>
        <v>0.13</v>
      </c>
      <c s="126">
        <f>LOOKUP(YEAR(BL$8),Предпосылки!$C$480:$R$480,Ставки_НДФЛ_до_2400_тыс_руб)</f>
        <v>0.13</v>
      </c>
      <c s="126">
        <f>LOOKUP(YEAR(BM$8),Предпосылки!$C$480:$R$480,Ставки_НДФЛ_до_2400_тыс_руб)</f>
        <v>0.13</v>
      </c>
    </row>
    <row r="237" spans="2:65" ht="15" customHeight="1">
      <c r="B237" s="12" t="s">
        <v>264</v>
      </c>
      <c s="124" t="str">
        <f>Единица_измерения</f>
        <v>тыс. руб.</v>
      </c>
      <c s="125"/>
      <c s="125">
        <f>LOOKUP(YEAR(E$8),Предпосылки!$C$492:$R$492,Предпосылки!$C$493:$R$493)</f>
        <v>2400</v>
      </c>
      <c s="125">
        <f>LOOKUP(YEAR(F$8),Предпосылки!$C$492:$R$492,Предпосылки!$C$493:$R$493)</f>
        <v>2400</v>
      </c>
      <c s="125">
        <f>LOOKUP(YEAR(G$8),Предпосылки!$C$492:$R$492,Предпосылки!$C$493:$R$493)</f>
        <v>2400</v>
      </c>
      <c s="125">
        <f>LOOKUP(YEAR(H$8),Предпосылки!$C$492:$R$492,Предпосылки!$C$493:$R$493)</f>
        <v>2400</v>
      </c>
      <c s="125">
        <f>LOOKUP(YEAR(I$8),Предпосылки!$C$492:$R$492,Предпосылки!$C$493:$R$493)</f>
        <v>2400</v>
      </c>
      <c s="125">
        <f>LOOKUP(YEAR(J$8),Предпосылки!$C$492:$R$492,Предпосылки!$C$493:$R$493)</f>
        <v>2400</v>
      </c>
      <c s="125">
        <f>LOOKUP(YEAR(K$8),Предпосылки!$C$492:$R$492,Предпосылки!$C$493:$R$493)</f>
        <v>2400</v>
      </c>
      <c s="125">
        <f>LOOKUP(YEAR(L$8),Предпосылки!$C$492:$R$492,Предпосылки!$C$493:$R$493)</f>
        <v>2400</v>
      </c>
      <c s="125">
        <f>LOOKUP(YEAR(M$8),Предпосылки!$C$492:$R$492,Предпосылки!$C$493:$R$493)</f>
        <v>2400</v>
      </c>
      <c s="125">
        <f>LOOKUP(YEAR(N$8),Предпосылки!$C$492:$R$492,Предпосылки!$C$493:$R$493)</f>
        <v>2400</v>
      </c>
      <c s="125">
        <f>LOOKUP(YEAR(O$8),Предпосылки!$C$492:$R$492,Предпосылки!$C$493:$R$493)</f>
        <v>2400</v>
      </c>
      <c s="125">
        <f>LOOKUP(YEAR(P$8),Предпосылки!$C$492:$R$492,Предпосылки!$C$493:$R$493)</f>
        <v>2400</v>
      </c>
      <c s="125">
        <f>LOOKUP(YEAR(Q$8),Предпосылки!$C$492:$R$492,Предпосылки!$C$493:$R$493)</f>
        <v>2400</v>
      </c>
      <c s="125">
        <f>LOOKUP(YEAR(R$8),Предпосылки!$C$492:$R$492,Предпосылки!$C$493:$R$493)</f>
        <v>2400</v>
      </c>
      <c s="125">
        <f>LOOKUP(YEAR(S$8),Предпосылки!$C$492:$R$492,Предпосылки!$C$493:$R$493)</f>
        <v>2400</v>
      </c>
      <c s="125">
        <f>LOOKUP(YEAR(T$8),Предпосылки!$C$492:$R$492,Предпосылки!$C$493:$R$493)</f>
        <v>2400</v>
      </c>
      <c s="125">
        <f>LOOKUP(YEAR(U$8),Предпосылки!$C$492:$R$492,Предпосылки!$C$493:$R$493)</f>
        <v>2400</v>
      </c>
      <c s="125">
        <f>LOOKUP(YEAR(V$8),Предпосылки!$C$492:$R$492,Предпосылки!$C$493:$R$493)</f>
        <v>2400</v>
      </c>
      <c s="125">
        <f>LOOKUP(YEAR(W$8),Предпосылки!$C$492:$R$492,Предпосылки!$C$493:$R$493)</f>
        <v>2400</v>
      </c>
      <c s="125">
        <f>LOOKUP(YEAR(X$8),Предпосылки!$C$492:$R$492,Предпосылки!$C$493:$R$493)</f>
        <v>2400</v>
      </c>
      <c s="125">
        <f>LOOKUP(YEAR(Y$8),Предпосылки!$C$492:$R$492,Предпосылки!$C$493:$R$493)</f>
        <v>2400</v>
      </c>
      <c s="125">
        <f>LOOKUP(YEAR(Z$8),Предпосылки!$C$492:$R$492,Предпосылки!$C$493:$R$493)</f>
        <v>2400</v>
      </c>
      <c s="125">
        <f>LOOKUP(YEAR(AA$8),Предпосылки!$C$492:$R$492,Предпосылки!$C$493:$R$493)</f>
        <v>2400</v>
      </c>
      <c s="125">
        <f>LOOKUP(YEAR(AB$8),Предпосылки!$C$492:$R$492,Предпосылки!$C$493:$R$493)</f>
        <v>2400</v>
      </c>
      <c s="125">
        <f>LOOKUP(YEAR(AC$8),Предпосылки!$C$492:$R$492,Предпосылки!$C$493:$R$493)</f>
        <v>2400</v>
      </c>
      <c s="125">
        <f>LOOKUP(YEAR(AD$8),Предпосылки!$C$492:$R$492,Предпосылки!$C$493:$R$493)</f>
        <v>2400</v>
      </c>
      <c s="125">
        <f>LOOKUP(YEAR(AE$8),Предпосылки!$C$492:$R$492,Предпосылки!$C$493:$R$493)</f>
        <v>2400</v>
      </c>
      <c s="125">
        <f>LOOKUP(YEAR(AF$8),Предпосылки!$C$492:$R$492,Предпосылки!$C$493:$R$493)</f>
        <v>2400</v>
      </c>
      <c s="125">
        <f>LOOKUP(YEAR(AG$8),Предпосылки!$C$492:$R$492,Предпосылки!$C$493:$R$493)</f>
        <v>2400</v>
      </c>
      <c s="125">
        <f>LOOKUP(YEAR(AH$8),Предпосылки!$C$492:$R$492,Предпосылки!$C$493:$R$493)</f>
        <v>2400</v>
      </c>
      <c s="125">
        <f>LOOKUP(YEAR(AI$8),Предпосылки!$C$492:$R$492,Предпосылки!$C$493:$R$493)</f>
        <v>2400</v>
      </c>
      <c s="125">
        <f>LOOKUP(YEAR(AJ$8),Предпосылки!$C$492:$R$492,Предпосылки!$C$493:$R$493)</f>
        <v>2400</v>
      </c>
      <c s="125">
        <f>LOOKUP(YEAR(AK$8),Предпосылки!$C$492:$R$492,Предпосылки!$C$493:$R$493)</f>
        <v>2400</v>
      </c>
      <c s="125">
        <f>LOOKUP(YEAR(AL$8),Предпосылки!$C$492:$R$492,Предпосылки!$C$493:$R$493)</f>
        <v>2400</v>
      </c>
      <c s="125">
        <f>LOOKUP(YEAR(AM$8),Предпосылки!$C$492:$R$492,Предпосылки!$C$493:$R$493)</f>
        <v>2400</v>
      </c>
      <c s="125">
        <f>LOOKUP(YEAR(AN$8),Предпосылки!$C$492:$R$492,Предпосылки!$C$493:$R$493)</f>
        <v>2400</v>
      </c>
      <c s="125">
        <f>LOOKUP(YEAR(AO$8),Предпосылки!$C$492:$R$492,Предпосылки!$C$493:$R$493)</f>
        <v>2400</v>
      </c>
      <c s="125">
        <f>LOOKUP(YEAR(AP$8),Предпосылки!$C$492:$R$492,Предпосылки!$C$493:$R$493)</f>
        <v>2400</v>
      </c>
      <c s="125">
        <f>LOOKUP(YEAR(AQ$8),Предпосылки!$C$492:$R$492,Предпосылки!$C$493:$R$493)</f>
        <v>2400</v>
      </c>
      <c s="125">
        <f>LOOKUP(YEAR(AR$8),Предпосылки!$C$492:$R$492,Предпосылки!$C$493:$R$493)</f>
        <v>2400</v>
      </c>
      <c s="125">
        <f>LOOKUP(YEAR(AS$8),Предпосылки!$C$492:$R$492,Предпосылки!$C$493:$R$493)</f>
        <v>2400</v>
      </c>
      <c s="125">
        <f>LOOKUP(YEAR(AT$8),Предпосылки!$C$492:$R$492,Предпосылки!$C$493:$R$493)</f>
        <v>2400</v>
      </c>
      <c s="125">
        <f>LOOKUP(YEAR(AU$8),Предпосылки!$C$492:$R$492,Предпосылки!$C$493:$R$493)</f>
        <v>2400</v>
      </c>
      <c s="125">
        <f>LOOKUP(YEAR(AV$8),Предпосылки!$C$492:$R$492,Предпосылки!$C$493:$R$493)</f>
        <v>2400</v>
      </c>
      <c s="125">
        <f>LOOKUP(YEAR(AW$8),Предпосылки!$C$492:$R$492,Предпосылки!$C$493:$R$493)</f>
        <v>2400</v>
      </c>
      <c s="125">
        <f>LOOKUP(YEAR(AX$8),Предпосылки!$C$492:$R$492,Предпосылки!$C$493:$R$493)</f>
        <v>2400</v>
      </c>
      <c s="125">
        <f>LOOKUP(YEAR(AY$8),Предпосылки!$C$492:$R$492,Предпосылки!$C$493:$R$493)</f>
        <v>2400</v>
      </c>
      <c s="125">
        <f>LOOKUP(YEAR(AZ$8),Предпосылки!$C$492:$R$492,Предпосылки!$C$493:$R$493)</f>
        <v>2400</v>
      </c>
      <c s="125">
        <f>LOOKUP(YEAR(BA$8),Предпосылки!$C$492:$R$492,Предпосылки!$C$493:$R$493)</f>
        <v>2400</v>
      </c>
      <c s="125">
        <f>LOOKUP(YEAR(BB$8),Предпосылки!$C$492:$R$492,Предпосылки!$C$493:$R$493)</f>
        <v>2400</v>
      </c>
      <c s="125">
        <f>LOOKUP(YEAR(BC$8),Предпосылки!$C$492:$R$492,Предпосылки!$C$493:$R$493)</f>
        <v>2400</v>
      </c>
      <c s="125">
        <f>LOOKUP(YEAR(BD$8),Предпосылки!$C$492:$R$492,Предпосылки!$C$493:$R$493)</f>
        <v>2400</v>
      </c>
      <c s="125">
        <f>LOOKUP(YEAR(BE$8),Предпосылки!$C$492:$R$492,Предпосылки!$C$493:$R$493)</f>
        <v>2400</v>
      </c>
      <c s="125">
        <f>LOOKUP(YEAR(BF$8),Предпосылки!$C$492:$R$492,Предпосылки!$C$493:$R$493)</f>
        <v>2400</v>
      </c>
      <c s="125">
        <f>LOOKUP(YEAR(BG$8),Предпосылки!$C$492:$R$492,Предпосылки!$C$493:$R$493)</f>
        <v>2400</v>
      </c>
      <c s="125">
        <f>LOOKUP(YEAR(BH$8),Предпосылки!$C$492:$R$492,Предпосылки!$C$493:$R$493)</f>
        <v>2400</v>
      </c>
      <c s="125">
        <f>LOOKUP(YEAR(BI$8),Предпосылки!$C$492:$R$492,Предпосылки!$C$493:$R$493)</f>
        <v>2400</v>
      </c>
      <c s="125">
        <f>LOOKUP(YEAR(BJ$8),Предпосылки!$C$492:$R$492,Предпосылки!$C$493:$R$493)</f>
        <v>2400</v>
      </c>
      <c s="125">
        <f>LOOKUP(YEAR(BK$8),Предпосылки!$C$492:$R$492,Предпосылки!$C$493:$R$493)</f>
        <v>2400</v>
      </c>
      <c s="125">
        <f>LOOKUP(YEAR(BL$8),Предпосылки!$C$492:$R$492,Предпосылки!$C$493:$R$493)</f>
        <v>2400</v>
      </c>
      <c s="125">
        <f>LOOKUP(YEAR(BM$8),Предпосылки!$C$492:$R$492,Предпосылки!$C$493:$R$493)</f>
        <v>2400</v>
      </c>
    </row>
    <row r="238" spans="2:65" ht="15" customHeight="1">
      <c r="B238" s="12" t="s">
        <v>255</v>
      </c>
      <c s="124" t="s">
        <v>817</v>
      </c>
      <c s="125"/>
      <c s="126">
        <f>LOOKUP(YEAR(E$8),Предпосылки!$C$480:$R$480,Ставки_НДФЛ_от_2400_до_5000_тыс_руб)</f>
        <v>0.13</v>
      </c>
      <c s="126">
        <f>LOOKUP(YEAR(F$8),Предпосылки!$C$480:$R$480,Ставки_НДФЛ_от_2400_до_5000_тыс_руб)</f>
        <v>0.13</v>
      </c>
      <c s="126">
        <f>LOOKUP(YEAR(G$8),Предпосылки!$C$480:$R$480,Ставки_НДФЛ_от_2400_до_5000_тыс_руб)</f>
        <v>0.13</v>
      </c>
      <c s="126">
        <f>LOOKUP(YEAR(H$8),Предпосылки!$C$480:$R$480,Ставки_НДФЛ_от_2400_до_5000_тыс_руб)</f>
        <v>0.13</v>
      </c>
      <c s="126">
        <f>LOOKUP(YEAR(I$8),Предпосылки!$C$480:$R$480,Ставки_НДФЛ_от_2400_до_5000_тыс_руб)</f>
        <v>0.14999999999999999</v>
      </c>
      <c s="126">
        <f>LOOKUP(YEAR(J$8),Предпосылки!$C$480:$R$480,Ставки_НДФЛ_от_2400_до_5000_тыс_руб)</f>
        <v>0.14999999999999999</v>
      </c>
      <c s="126">
        <f>LOOKUP(YEAR(K$8),Предпосылки!$C$480:$R$480,Ставки_НДФЛ_от_2400_до_5000_тыс_руб)</f>
        <v>0.14999999999999999</v>
      </c>
      <c s="126">
        <f>LOOKUP(YEAR(L$8),Предпосылки!$C$480:$R$480,Ставки_НДФЛ_от_2400_до_5000_тыс_руб)</f>
        <v>0.14999999999999999</v>
      </c>
      <c s="126">
        <f>LOOKUP(YEAR(M$8),Предпосылки!$C$480:$R$480,Ставки_НДФЛ_от_2400_до_5000_тыс_руб)</f>
        <v>0.14999999999999999</v>
      </c>
      <c s="126">
        <f>LOOKUP(YEAR(N$8),Предпосылки!$C$480:$R$480,Ставки_НДФЛ_от_2400_до_5000_тыс_руб)</f>
        <v>0.14999999999999999</v>
      </c>
      <c s="126">
        <f>LOOKUP(YEAR(O$8),Предпосылки!$C$480:$R$480,Ставки_НДФЛ_от_2400_до_5000_тыс_руб)</f>
        <v>0.14999999999999999</v>
      </c>
      <c s="126">
        <f>LOOKUP(YEAR(P$8),Предпосылки!$C$480:$R$480,Ставки_НДФЛ_от_2400_до_5000_тыс_руб)</f>
        <v>0.14999999999999999</v>
      </c>
      <c s="126">
        <f>LOOKUP(YEAR(Q$8),Предпосылки!$C$480:$R$480,Ставки_НДФЛ_от_2400_до_5000_тыс_руб)</f>
        <v>0.14999999999999999</v>
      </c>
      <c s="126">
        <f>LOOKUP(YEAR(R$8),Предпосылки!$C$480:$R$480,Ставки_НДФЛ_от_2400_до_5000_тыс_руб)</f>
        <v>0.14999999999999999</v>
      </c>
      <c s="126">
        <f>LOOKUP(YEAR(S$8),Предпосылки!$C$480:$R$480,Ставки_НДФЛ_от_2400_до_5000_тыс_руб)</f>
        <v>0.14999999999999999</v>
      </c>
      <c s="126">
        <f>LOOKUP(YEAR(T$8),Предпосылки!$C$480:$R$480,Ставки_НДФЛ_от_2400_до_5000_тыс_руб)</f>
        <v>0.14999999999999999</v>
      </c>
      <c s="126">
        <f>LOOKUP(YEAR(U$8),Предпосылки!$C$480:$R$480,Ставки_НДФЛ_от_2400_до_5000_тыс_руб)</f>
        <v>0.14999999999999999</v>
      </c>
      <c s="126">
        <f>LOOKUP(YEAR(V$8),Предпосылки!$C$480:$R$480,Ставки_НДФЛ_от_2400_до_5000_тыс_руб)</f>
        <v>0.14999999999999999</v>
      </c>
      <c s="126">
        <f>LOOKUP(YEAR(W$8),Предпосылки!$C$480:$R$480,Ставки_НДФЛ_от_2400_до_5000_тыс_руб)</f>
        <v>0.14999999999999999</v>
      </c>
      <c s="126">
        <f>LOOKUP(YEAR(X$8),Предпосылки!$C$480:$R$480,Ставки_НДФЛ_от_2400_до_5000_тыс_руб)</f>
        <v>0.14999999999999999</v>
      </c>
      <c s="126">
        <f>LOOKUP(YEAR(Y$8),Предпосылки!$C$480:$R$480,Ставки_НДФЛ_от_2400_до_5000_тыс_руб)</f>
        <v>0.14999999999999999</v>
      </c>
      <c s="126">
        <f>LOOKUP(YEAR(Z$8),Предпосылки!$C$480:$R$480,Ставки_НДФЛ_от_2400_до_5000_тыс_руб)</f>
        <v>0.14999999999999999</v>
      </c>
      <c s="126">
        <f>LOOKUP(YEAR(AA$8),Предпосылки!$C$480:$R$480,Ставки_НДФЛ_от_2400_до_5000_тыс_руб)</f>
        <v>0.14999999999999999</v>
      </c>
      <c s="126">
        <f>LOOKUP(YEAR(AB$8),Предпосылки!$C$480:$R$480,Ставки_НДФЛ_от_2400_до_5000_тыс_руб)</f>
        <v>0.14999999999999999</v>
      </c>
      <c s="126">
        <f>LOOKUP(YEAR(AC$8),Предпосылки!$C$480:$R$480,Ставки_НДФЛ_от_2400_до_5000_тыс_руб)</f>
        <v>0.14999999999999999</v>
      </c>
      <c s="126">
        <f>LOOKUP(YEAR(AD$8),Предпосылки!$C$480:$R$480,Ставки_НДФЛ_от_2400_до_5000_тыс_руб)</f>
        <v>0.14999999999999999</v>
      </c>
      <c s="126">
        <f>LOOKUP(YEAR(AE$8),Предпосылки!$C$480:$R$480,Ставки_НДФЛ_от_2400_до_5000_тыс_руб)</f>
        <v>0.14999999999999999</v>
      </c>
      <c s="126">
        <f>LOOKUP(YEAR(AF$8),Предпосылки!$C$480:$R$480,Ставки_НДФЛ_от_2400_до_5000_тыс_руб)</f>
        <v>0.14999999999999999</v>
      </c>
      <c s="126">
        <f>LOOKUP(YEAR(AG$8),Предпосылки!$C$480:$R$480,Ставки_НДФЛ_от_2400_до_5000_тыс_руб)</f>
        <v>0.14999999999999999</v>
      </c>
      <c s="126">
        <f>LOOKUP(YEAR(AH$8),Предпосылки!$C$480:$R$480,Ставки_НДФЛ_от_2400_до_5000_тыс_руб)</f>
        <v>0.14999999999999999</v>
      </c>
      <c s="126">
        <f>LOOKUP(YEAR(AI$8),Предпосылки!$C$480:$R$480,Ставки_НДФЛ_от_2400_до_5000_тыс_руб)</f>
        <v>0.14999999999999999</v>
      </c>
      <c s="126">
        <f>LOOKUP(YEAR(AJ$8),Предпосылки!$C$480:$R$480,Ставки_НДФЛ_от_2400_до_5000_тыс_руб)</f>
        <v>0.14999999999999999</v>
      </c>
      <c s="126">
        <f>LOOKUP(YEAR(AK$8),Предпосылки!$C$480:$R$480,Ставки_НДФЛ_от_2400_до_5000_тыс_руб)</f>
        <v>0.14999999999999999</v>
      </c>
      <c s="126">
        <f>LOOKUP(YEAR(AL$8),Предпосылки!$C$480:$R$480,Ставки_НДФЛ_от_2400_до_5000_тыс_руб)</f>
        <v>0.14999999999999999</v>
      </c>
      <c s="126">
        <f>LOOKUP(YEAR(AM$8),Предпосылки!$C$480:$R$480,Ставки_НДФЛ_от_2400_до_5000_тыс_руб)</f>
        <v>0.14999999999999999</v>
      </c>
      <c s="126">
        <f>LOOKUP(YEAR(AN$8),Предпосылки!$C$480:$R$480,Ставки_НДФЛ_от_2400_до_5000_тыс_руб)</f>
        <v>0.14999999999999999</v>
      </c>
      <c s="126">
        <f>LOOKUP(YEAR(AO$8),Предпосылки!$C$480:$R$480,Ставки_НДФЛ_от_2400_до_5000_тыс_руб)</f>
        <v>0.14999999999999999</v>
      </c>
      <c s="126">
        <f>LOOKUP(YEAR(AP$8),Предпосылки!$C$480:$R$480,Ставки_НДФЛ_от_2400_до_5000_тыс_руб)</f>
        <v>0.14999999999999999</v>
      </c>
      <c s="126">
        <f>LOOKUP(YEAR(AQ$8),Предпосылки!$C$480:$R$480,Ставки_НДФЛ_от_2400_до_5000_тыс_руб)</f>
        <v>0.14999999999999999</v>
      </c>
      <c s="126">
        <f>LOOKUP(YEAR(AR$8),Предпосылки!$C$480:$R$480,Ставки_НДФЛ_от_2400_до_5000_тыс_руб)</f>
        <v>0.14999999999999999</v>
      </c>
      <c s="126">
        <f>LOOKUP(YEAR(AS$8),Предпосылки!$C$480:$R$480,Ставки_НДФЛ_от_2400_до_5000_тыс_руб)</f>
        <v>0.14999999999999999</v>
      </c>
      <c s="126">
        <f>LOOKUP(YEAR(AT$8),Предпосылки!$C$480:$R$480,Ставки_НДФЛ_от_2400_до_5000_тыс_руб)</f>
        <v>0.14999999999999999</v>
      </c>
      <c s="126">
        <f>LOOKUP(YEAR(AU$8),Предпосылки!$C$480:$R$480,Ставки_НДФЛ_от_2400_до_5000_тыс_руб)</f>
        <v>0.14999999999999999</v>
      </c>
      <c s="126">
        <f>LOOKUP(YEAR(AV$8),Предпосылки!$C$480:$R$480,Ставки_НДФЛ_от_2400_до_5000_тыс_руб)</f>
        <v>0.14999999999999999</v>
      </c>
      <c s="126">
        <f>LOOKUP(YEAR(AW$8),Предпосылки!$C$480:$R$480,Ставки_НДФЛ_от_2400_до_5000_тыс_руб)</f>
        <v>0.14999999999999999</v>
      </c>
      <c s="126">
        <f>LOOKUP(YEAR(AX$8),Предпосылки!$C$480:$R$480,Ставки_НДФЛ_от_2400_до_5000_тыс_руб)</f>
        <v>0.14999999999999999</v>
      </c>
      <c s="126">
        <f>LOOKUP(YEAR(AY$8),Предпосылки!$C$480:$R$480,Ставки_НДФЛ_от_2400_до_5000_тыс_руб)</f>
        <v>0.14999999999999999</v>
      </c>
      <c s="126">
        <f>LOOKUP(YEAR(AZ$8),Предпосылки!$C$480:$R$480,Ставки_НДФЛ_от_2400_до_5000_тыс_руб)</f>
        <v>0.14999999999999999</v>
      </c>
      <c s="126">
        <f>LOOKUP(YEAR(BA$8),Предпосылки!$C$480:$R$480,Ставки_НДФЛ_от_2400_до_5000_тыс_руб)</f>
        <v>0.14999999999999999</v>
      </c>
      <c s="126">
        <f>LOOKUP(YEAR(BB$8),Предпосылки!$C$480:$R$480,Ставки_НДФЛ_от_2400_до_5000_тыс_руб)</f>
        <v>0.14999999999999999</v>
      </c>
      <c s="126">
        <f>LOOKUP(YEAR(BC$8),Предпосылки!$C$480:$R$480,Ставки_НДФЛ_от_2400_до_5000_тыс_руб)</f>
        <v>0.14999999999999999</v>
      </c>
      <c s="126">
        <f>LOOKUP(YEAR(BD$8),Предпосылки!$C$480:$R$480,Ставки_НДФЛ_от_2400_до_5000_тыс_руб)</f>
        <v>0.14999999999999999</v>
      </c>
      <c s="126">
        <f>LOOKUP(YEAR(BE$8),Предпосылки!$C$480:$R$480,Ставки_НДФЛ_от_2400_до_5000_тыс_руб)</f>
        <v>0.14999999999999999</v>
      </c>
      <c s="126">
        <f>LOOKUP(YEAR(BF$8),Предпосылки!$C$480:$R$480,Ставки_НДФЛ_от_2400_до_5000_тыс_руб)</f>
        <v>0.14999999999999999</v>
      </c>
      <c s="126">
        <f>LOOKUP(YEAR(BG$8),Предпосылки!$C$480:$R$480,Ставки_НДФЛ_от_2400_до_5000_тыс_руб)</f>
        <v>0.14999999999999999</v>
      </c>
      <c s="126">
        <f>LOOKUP(YEAR(BH$8),Предпосылки!$C$480:$R$480,Ставки_НДФЛ_от_2400_до_5000_тыс_руб)</f>
        <v>0.14999999999999999</v>
      </c>
      <c s="126">
        <f>LOOKUP(YEAR(BI$8),Предпосылки!$C$480:$R$480,Ставки_НДФЛ_от_2400_до_5000_тыс_руб)</f>
        <v>0.14999999999999999</v>
      </c>
      <c s="126">
        <f>LOOKUP(YEAR(BJ$8),Предпосылки!$C$480:$R$480,Ставки_НДФЛ_от_2400_до_5000_тыс_руб)</f>
        <v>0.14999999999999999</v>
      </c>
      <c s="126">
        <f>LOOKUP(YEAR(BK$8),Предпосылки!$C$480:$R$480,Ставки_НДФЛ_от_2400_до_5000_тыс_руб)</f>
        <v>0.14999999999999999</v>
      </c>
      <c s="126">
        <f>LOOKUP(YEAR(BL$8),Предпосылки!$C$480:$R$480,Ставки_НДФЛ_от_2400_до_5000_тыс_руб)</f>
        <v>0.14999999999999999</v>
      </c>
      <c s="126">
        <f>LOOKUP(YEAR(BM$8),Предпосылки!$C$480:$R$480,Ставки_НДФЛ_от_2400_до_5000_тыс_руб)</f>
        <v>0.14999999999999999</v>
      </c>
    </row>
    <row r="239" spans="2:65" ht="15" customHeight="1">
      <c r="B239" s="12" t="s">
        <v>264</v>
      </c>
      <c s="124" t="str">
        <f>Единица_измерения</f>
        <v>тыс. руб.</v>
      </c>
      <c s="125"/>
      <c s="125">
        <f>LOOKUP(YEAR(E$8),Предпосылки!$C$492:$R$492,Предпосылки!$C$494:$R$494)</f>
        <v>5000</v>
      </c>
      <c s="125">
        <f>LOOKUP(YEAR(F$8),Предпосылки!$C$492:$R$492,Предпосылки!$C$494:$R$494)</f>
        <v>5000</v>
      </c>
      <c s="125">
        <f>LOOKUP(YEAR(G$8),Предпосылки!$C$492:$R$492,Предпосылки!$C$494:$R$494)</f>
        <v>5000</v>
      </c>
      <c s="125">
        <f>LOOKUP(YEAR(H$8),Предпосылки!$C$492:$R$492,Предпосылки!$C$494:$R$494)</f>
        <v>5000</v>
      </c>
      <c s="125">
        <f>LOOKUP(YEAR(I$8),Предпосылки!$C$492:$R$492,Предпосылки!$C$494:$R$494)</f>
        <v>5000</v>
      </c>
      <c s="125">
        <f>LOOKUP(YEAR(J$8),Предпосылки!$C$492:$R$492,Предпосылки!$C$494:$R$494)</f>
        <v>5000</v>
      </c>
      <c s="125">
        <f>LOOKUP(YEAR(K$8),Предпосылки!$C$492:$R$492,Предпосылки!$C$494:$R$494)</f>
        <v>5000</v>
      </c>
      <c s="125">
        <f>LOOKUP(YEAR(L$8),Предпосылки!$C$492:$R$492,Предпосылки!$C$494:$R$494)</f>
        <v>5000</v>
      </c>
      <c s="125">
        <f>LOOKUP(YEAR(M$8),Предпосылки!$C$492:$R$492,Предпосылки!$C$494:$R$494)</f>
        <v>5000</v>
      </c>
      <c s="125">
        <f>LOOKUP(YEAR(N$8),Предпосылки!$C$492:$R$492,Предпосылки!$C$494:$R$494)</f>
        <v>5000</v>
      </c>
      <c s="125">
        <f>LOOKUP(YEAR(O$8),Предпосылки!$C$492:$R$492,Предпосылки!$C$494:$R$494)</f>
        <v>5000</v>
      </c>
      <c s="125">
        <f>LOOKUP(YEAR(P$8),Предпосылки!$C$492:$R$492,Предпосылки!$C$494:$R$494)</f>
        <v>5000</v>
      </c>
      <c s="125">
        <f>LOOKUP(YEAR(Q$8),Предпосылки!$C$492:$R$492,Предпосылки!$C$494:$R$494)</f>
        <v>5000</v>
      </c>
      <c s="125">
        <f>LOOKUP(YEAR(R$8),Предпосылки!$C$492:$R$492,Предпосылки!$C$494:$R$494)</f>
        <v>5000</v>
      </c>
      <c s="125">
        <f>LOOKUP(YEAR(S$8),Предпосылки!$C$492:$R$492,Предпосылки!$C$494:$R$494)</f>
        <v>5000</v>
      </c>
      <c s="125">
        <f>LOOKUP(YEAR(T$8),Предпосылки!$C$492:$R$492,Предпосылки!$C$494:$R$494)</f>
        <v>5000</v>
      </c>
      <c s="125">
        <f>LOOKUP(YEAR(U$8),Предпосылки!$C$492:$R$492,Предпосылки!$C$494:$R$494)</f>
        <v>5000</v>
      </c>
      <c s="125">
        <f>LOOKUP(YEAR(V$8),Предпосылки!$C$492:$R$492,Предпосылки!$C$494:$R$494)</f>
        <v>5000</v>
      </c>
      <c s="125">
        <f>LOOKUP(YEAR(W$8),Предпосылки!$C$492:$R$492,Предпосылки!$C$494:$R$494)</f>
        <v>5000</v>
      </c>
      <c s="125">
        <f>LOOKUP(YEAR(X$8),Предпосылки!$C$492:$R$492,Предпосылки!$C$494:$R$494)</f>
        <v>5000</v>
      </c>
      <c s="125">
        <f>LOOKUP(YEAR(Y$8),Предпосылки!$C$492:$R$492,Предпосылки!$C$494:$R$494)</f>
        <v>5000</v>
      </c>
      <c s="125">
        <f>LOOKUP(YEAR(Z$8),Предпосылки!$C$492:$R$492,Предпосылки!$C$494:$R$494)</f>
        <v>5000</v>
      </c>
      <c s="125">
        <f>LOOKUP(YEAR(AA$8),Предпосылки!$C$492:$R$492,Предпосылки!$C$494:$R$494)</f>
        <v>5000</v>
      </c>
      <c s="125">
        <f>LOOKUP(YEAR(AB$8),Предпосылки!$C$492:$R$492,Предпосылки!$C$494:$R$494)</f>
        <v>5000</v>
      </c>
      <c s="125">
        <f>LOOKUP(YEAR(AC$8),Предпосылки!$C$492:$R$492,Предпосылки!$C$494:$R$494)</f>
        <v>5000</v>
      </c>
      <c s="125">
        <f>LOOKUP(YEAR(AD$8),Предпосылки!$C$492:$R$492,Предпосылки!$C$494:$R$494)</f>
        <v>5000</v>
      </c>
      <c s="125">
        <f>LOOKUP(YEAR(AE$8),Предпосылки!$C$492:$R$492,Предпосылки!$C$494:$R$494)</f>
        <v>5000</v>
      </c>
      <c s="125">
        <f>LOOKUP(YEAR(AF$8),Предпосылки!$C$492:$R$492,Предпосылки!$C$494:$R$494)</f>
        <v>5000</v>
      </c>
      <c s="125">
        <f>LOOKUP(YEAR(AG$8),Предпосылки!$C$492:$R$492,Предпосылки!$C$494:$R$494)</f>
        <v>5000</v>
      </c>
      <c s="125">
        <f>LOOKUP(YEAR(AH$8),Предпосылки!$C$492:$R$492,Предпосылки!$C$494:$R$494)</f>
        <v>5000</v>
      </c>
      <c s="125">
        <f>LOOKUP(YEAR(AI$8),Предпосылки!$C$492:$R$492,Предпосылки!$C$494:$R$494)</f>
        <v>5000</v>
      </c>
      <c s="125">
        <f>LOOKUP(YEAR(AJ$8),Предпосылки!$C$492:$R$492,Предпосылки!$C$494:$R$494)</f>
        <v>5000</v>
      </c>
      <c s="125">
        <f>LOOKUP(YEAR(AK$8),Предпосылки!$C$492:$R$492,Предпосылки!$C$494:$R$494)</f>
        <v>5000</v>
      </c>
      <c s="125">
        <f>LOOKUP(YEAR(AL$8),Предпосылки!$C$492:$R$492,Предпосылки!$C$494:$R$494)</f>
        <v>5000</v>
      </c>
      <c s="125">
        <f>LOOKUP(YEAR(AM$8),Предпосылки!$C$492:$R$492,Предпосылки!$C$494:$R$494)</f>
        <v>5000</v>
      </c>
      <c s="125">
        <f>LOOKUP(YEAR(AN$8),Предпосылки!$C$492:$R$492,Предпосылки!$C$494:$R$494)</f>
        <v>5000</v>
      </c>
      <c s="125">
        <f>LOOKUP(YEAR(AO$8),Предпосылки!$C$492:$R$492,Предпосылки!$C$494:$R$494)</f>
        <v>5000</v>
      </c>
      <c s="125">
        <f>LOOKUP(YEAR(AP$8),Предпосылки!$C$492:$R$492,Предпосылки!$C$494:$R$494)</f>
        <v>5000</v>
      </c>
      <c s="125">
        <f>LOOKUP(YEAR(AQ$8),Предпосылки!$C$492:$R$492,Предпосылки!$C$494:$R$494)</f>
        <v>5000</v>
      </c>
      <c s="125">
        <f>LOOKUP(YEAR(AR$8),Предпосылки!$C$492:$R$492,Предпосылки!$C$494:$R$494)</f>
        <v>5000</v>
      </c>
      <c s="125">
        <f>LOOKUP(YEAR(AS$8),Предпосылки!$C$492:$R$492,Предпосылки!$C$494:$R$494)</f>
        <v>5000</v>
      </c>
      <c s="125">
        <f>LOOKUP(YEAR(AT$8),Предпосылки!$C$492:$R$492,Предпосылки!$C$494:$R$494)</f>
        <v>5000</v>
      </c>
      <c s="125">
        <f>LOOKUP(YEAR(AU$8),Предпосылки!$C$492:$R$492,Предпосылки!$C$494:$R$494)</f>
        <v>5000</v>
      </c>
      <c s="125">
        <f>LOOKUP(YEAR(AV$8),Предпосылки!$C$492:$R$492,Предпосылки!$C$494:$R$494)</f>
        <v>5000</v>
      </c>
      <c s="125">
        <f>LOOKUP(YEAR(AW$8),Предпосылки!$C$492:$R$492,Предпосылки!$C$494:$R$494)</f>
        <v>5000</v>
      </c>
      <c s="125">
        <f>LOOKUP(YEAR(AX$8),Предпосылки!$C$492:$R$492,Предпосылки!$C$494:$R$494)</f>
        <v>5000</v>
      </c>
      <c s="125">
        <f>LOOKUP(YEAR(AY$8),Предпосылки!$C$492:$R$492,Предпосылки!$C$494:$R$494)</f>
        <v>5000</v>
      </c>
      <c s="125">
        <f>LOOKUP(YEAR(AZ$8),Предпосылки!$C$492:$R$492,Предпосылки!$C$494:$R$494)</f>
        <v>5000</v>
      </c>
      <c s="125">
        <f>LOOKUP(YEAR(BA$8),Предпосылки!$C$492:$R$492,Предпосылки!$C$494:$R$494)</f>
        <v>5000</v>
      </c>
      <c s="125">
        <f>LOOKUP(YEAR(BB$8),Предпосылки!$C$492:$R$492,Предпосылки!$C$494:$R$494)</f>
        <v>5000</v>
      </c>
      <c s="125">
        <f>LOOKUP(YEAR(BC$8),Предпосылки!$C$492:$R$492,Предпосылки!$C$494:$R$494)</f>
        <v>5000</v>
      </c>
      <c s="125">
        <f>LOOKUP(YEAR(BD$8),Предпосылки!$C$492:$R$492,Предпосылки!$C$494:$R$494)</f>
        <v>5000</v>
      </c>
      <c s="125">
        <f>LOOKUP(YEAR(BE$8),Предпосылки!$C$492:$R$492,Предпосылки!$C$494:$R$494)</f>
        <v>5000</v>
      </c>
      <c s="125">
        <f>LOOKUP(YEAR(BF$8),Предпосылки!$C$492:$R$492,Предпосылки!$C$494:$R$494)</f>
        <v>5000</v>
      </c>
      <c s="125">
        <f>LOOKUP(YEAR(BG$8),Предпосылки!$C$492:$R$492,Предпосылки!$C$494:$R$494)</f>
        <v>5000</v>
      </c>
      <c s="125">
        <f>LOOKUP(YEAR(BH$8),Предпосылки!$C$492:$R$492,Предпосылки!$C$494:$R$494)</f>
        <v>5000</v>
      </c>
      <c s="125">
        <f>LOOKUP(YEAR(BI$8),Предпосылки!$C$492:$R$492,Предпосылки!$C$494:$R$494)</f>
        <v>5000</v>
      </c>
      <c s="125">
        <f>LOOKUP(YEAR(BJ$8),Предпосылки!$C$492:$R$492,Предпосылки!$C$494:$R$494)</f>
        <v>5000</v>
      </c>
      <c s="125">
        <f>LOOKUP(YEAR(BK$8),Предпосылки!$C$492:$R$492,Предпосылки!$C$494:$R$494)</f>
        <v>5000</v>
      </c>
      <c s="125">
        <f>LOOKUP(YEAR(BL$8),Предпосылки!$C$492:$R$492,Предпосылки!$C$494:$R$494)</f>
        <v>5000</v>
      </c>
      <c s="125">
        <f>LOOKUP(YEAR(BM$8),Предпосылки!$C$492:$R$492,Предпосылки!$C$494:$R$494)</f>
        <v>5000</v>
      </c>
    </row>
    <row r="240" spans="2:65" ht="15" customHeight="1">
      <c r="B240" s="12" t="s">
        <v>255</v>
      </c>
      <c s="124" t="s">
        <v>817</v>
      </c>
      <c s="125"/>
      <c s="126">
        <f>LOOKUP(YEAR(E$8),Предпосылки!$C$480:$R$480,Ставки_НДФЛ_от_5000_до_20000_тыс_руб)</f>
        <v>0.13</v>
      </c>
      <c s="126">
        <f>LOOKUP(YEAR(F$8),Предпосылки!$C$480:$R$480,Ставки_НДФЛ_от_5000_до_20000_тыс_руб)</f>
        <v>0.13</v>
      </c>
      <c s="126">
        <f>LOOKUP(YEAR(G$8),Предпосылки!$C$480:$R$480,Ставки_НДФЛ_от_5000_до_20000_тыс_руб)</f>
        <v>0.13</v>
      </c>
      <c s="126">
        <f>LOOKUP(YEAR(H$8),Предпосылки!$C$480:$R$480,Ставки_НДФЛ_от_5000_до_20000_тыс_руб)</f>
        <v>0.13</v>
      </c>
      <c s="126">
        <f>LOOKUP(YEAR(I$8),Предпосылки!$C$480:$R$480,Ставки_НДФЛ_от_5000_до_20000_тыс_руб)</f>
        <v>0.17999999999999999</v>
      </c>
      <c s="126">
        <f>LOOKUP(YEAR(J$8),Предпосылки!$C$480:$R$480,Ставки_НДФЛ_от_5000_до_20000_тыс_руб)</f>
        <v>0.17999999999999999</v>
      </c>
      <c s="126">
        <f>LOOKUP(YEAR(K$8),Предпосылки!$C$480:$R$480,Ставки_НДФЛ_от_5000_до_20000_тыс_руб)</f>
        <v>0.17999999999999999</v>
      </c>
      <c s="126">
        <f>LOOKUP(YEAR(L$8),Предпосылки!$C$480:$R$480,Ставки_НДФЛ_от_5000_до_20000_тыс_руб)</f>
        <v>0.17999999999999999</v>
      </c>
      <c s="126">
        <f>LOOKUP(YEAR(M$8),Предпосылки!$C$480:$R$480,Ставки_НДФЛ_от_5000_до_20000_тыс_руб)</f>
        <v>0.17999999999999999</v>
      </c>
      <c s="126">
        <f>LOOKUP(YEAR(N$8),Предпосылки!$C$480:$R$480,Ставки_НДФЛ_от_5000_до_20000_тыс_руб)</f>
        <v>0.17999999999999999</v>
      </c>
      <c s="126">
        <f>LOOKUP(YEAR(O$8),Предпосылки!$C$480:$R$480,Ставки_НДФЛ_от_5000_до_20000_тыс_руб)</f>
        <v>0.17999999999999999</v>
      </c>
      <c s="126">
        <f>LOOKUP(YEAR(P$8),Предпосылки!$C$480:$R$480,Ставки_НДФЛ_от_5000_до_20000_тыс_руб)</f>
        <v>0.17999999999999999</v>
      </c>
      <c s="126">
        <f>LOOKUP(YEAR(Q$8),Предпосылки!$C$480:$R$480,Ставки_НДФЛ_от_5000_до_20000_тыс_руб)</f>
        <v>0.17999999999999999</v>
      </c>
      <c s="126">
        <f>LOOKUP(YEAR(R$8),Предпосылки!$C$480:$R$480,Ставки_НДФЛ_от_5000_до_20000_тыс_руб)</f>
        <v>0.17999999999999999</v>
      </c>
      <c s="126">
        <f>LOOKUP(YEAR(S$8),Предпосылки!$C$480:$R$480,Ставки_НДФЛ_от_5000_до_20000_тыс_руб)</f>
        <v>0.17999999999999999</v>
      </c>
      <c s="126">
        <f>LOOKUP(YEAR(T$8),Предпосылки!$C$480:$R$480,Ставки_НДФЛ_от_5000_до_20000_тыс_руб)</f>
        <v>0.17999999999999999</v>
      </c>
      <c s="126">
        <f>LOOKUP(YEAR(U$8),Предпосылки!$C$480:$R$480,Ставки_НДФЛ_от_5000_до_20000_тыс_руб)</f>
        <v>0.17999999999999999</v>
      </c>
      <c s="126">
        <f>LOOKUP(YEAR(V$8),Предпосылки!$C$480:$R$480,Ставки_НДФЛ_от_5000_до_20000_тыс_руб)</f>
        <v>0.17999999999999999</v>
      </c>
      <c s="126">
        <f>LOOKUP(YEAR(W$8),Предпосылки!$C$480:$R$480,Ставки_НДФЛ_от_5000_до_20000_тыс_руб)</f>
        <v>0.17999999999999999</v>
      </c>
      <c s="126">
        <f>LOOKUP(YEAR(X$8),Предпосылки!$C$480:$R$480,Ставки_НДФЛ_от_5000_до_20000_тыс_руб)</f>
        <v>0.17999999999999999</v>
      </c>
      <c s="126">
        <f>LOOKUP(YEAR(Y$8),Предпосылки!$C$480:$R$480,Ставки_НДФЛ_от_5000_до_20000_тыс_руб)</f>
        <v>0.17999999999999999</v>
      </c>
      <c s="126">
        <f>LOOKUP(YEAR(Z$8),Предпосылки!$C$480:$R$480,Ставки_НДФЛ_от_5000_до_20000_тыс_руб)</f>
        <v>0.17999999999999999</v>
      </c>
      <c s="126">
        <f>LOOKUP(YEAR(AA$8),Предпосылки!$C$480:$R$480,Ставки_НДФЛ_от_5000_до_20000_тыс_руб)</f>
        <v>0.17999999999999999</v>
      </c>
      <c s="126">
        <f>LOOKUP(YEAR(AB$8),Предпосылки!$C$480:$R$480,Ставки_НДФЛ_от_5000_до_20000_тыс_руб)</f>
        <v>0.17999999999999999</v>
      </c>
      <c s="126">
        <f>LOOKUP(YEAR(AC$8),Предпосылки!$C$480:$R$480,Ставки_НДФЛ_от_5000_до_20000_тыс_руб)</f>
        <v>0.17999999999999999</v>
      </c>
      <c s="126">
        <f>LOOKUP(YEAR(AD$8),Предпосылки!$C$480:$R$480,Ставки_НДФЛ_от_5000_до_20000_тыс_руб)</f>
        <v>0.17999999999999999</v>
      </c>
      <c s="126">
        <f>LOOKUP(YEAR(AE$8),Предпосылки!$C$480:$R$480,Ставки_НДФЛ_от_5000_до_20000_тыс_руб)</f>
        <v>0.17999999999999999</v>
      </c>
      <c s="126">
        <f>LOOKUP(YEAR(AF$8),Предпосылки!$C$480:$R$480,Ставки_НДФЛ_от_5000_до_20000_тыс_руб)</f>
        <v>0.17999999999999999</v>
      </c>
      <c s="126">
        <f>LOOKUP(YEAR(AG$8),Предпосылки!$C$480:$R$480,Ставки_НДФЛ_от_5000_до_20000_тыс_руб)</f>
        <v>0.17999999999999999</v>
      </c>
      <c s="126">
        <f>LOOKUP(YEAR(AH$8),Предпосылки!$C$480:$R$480,Ставки_НДФЛ_от_5000_до_20000_тыс_руб)</f>
        <v>0.17999999999999999</v>
      </c>
      <c s="126">
        <f>LOOKUP(YEAR(AI$8),Предпосылки!$C$480:$R$480,Ставки_НДФЛ_от_5000_до_20000_тыс_руб)</f>
        <v>0.17999999999999999</v>
      </c>
      <c s="126">
        <f>LOOKUP(YEAR(AJ$8),Предпосылки!$C$480:$R$480,Ставки_НДФЛ_от_5000_до_20000_тыс_руб)</f>
        <v>0.17999999999999999</v>
      </c>
      <c s="126">
        <f>LOOKUP(YEAR(AK$8),Предпосылки!$C$480:$R$480,Ставки_НДФЛ_от_5000_до_20000_тыс_руб)</f>
        <v>0.17999999999999999</v>
      </c>
      <c s="126">
        <f>LOOKUP(YEAR(AL$8),Предпосылки!$C$480:$R$480,Ставки_НДФЛ_от_5000_до_20000_тыс_руб)</f>
        <v>0.17999999999999999</v>
      </c>
      <c s="126">
        <f>LOOKUP(YEAR(AM$8),Предпосылки!$C$480:$R$480,Ставки_НДФЛ_от_5000_до_20000_тыс_руб)</f>
        <v>0.17999999999999999</v>
      </c>
      <c s="126">
        <f>LOOKUP(YEAR(AN$8),Предпосылки!$C$480:$R$480,Ставки_НДФЛ_от_5000_до_20000_тыс_руб)</f>
        <v>0.17999999999999999</v>
      </c>
      <c s="126">
        <f>LOOKUP(YEAR(AO$8),Предпосылки!$C$480:$R$480,Ставки_НДФЛ_от_5000_до_20000_тыс_руб)</f>
        <v>0.17999999999999999</v>
      </c>
      <c s="126">
        <f>LOOKUP(YEAR(AP$8),Предпосылки!$C$480:$R$480,Ставки_НДФЛ_от_5000_до_20000_тыс_руб)</f>
        <v>0.17999999999999999</v>
      </c>
      <c s="126">
        <f>LOOKUP(YEAR(AQ$8),Предпосылки!$C$480:$R$480,Ставки_НДФЛ_от_5000_до_20000_тыс_руб)</f>
        <v>0.17999999999999999</v>
      </c>
      <c s="126">
        <f>LOOKUP(YEAR(AR$8),Предпосылки!$C$480:$R$480,Ставки_НДФЛ_от_5000_до_20000_тыс_руб)</f>
        <v>0.17999999999999999</v>
      </c>
      <c s="126">
        <f>LOOKUP(YEAR(AS$8),Предпосылки!$C$480:$R$480,Ставки_НДФЛ_от_5000_до_20000_тыс_руб)</f>
        <v>0.17999999999999999</v>
      </c>
      <c s="126">
        <f>LOOKUP(YEAR(AT$8),Предпосылки!$C$480:$R$480,Ставки_НДФЛ_от_5000_до_20000_тыс_руб)</f>
        <v>0.17999999999999999</v>
      </c>
      <c s="126">
        <f>LOOKUP(YEAR(AU$8),Предпосылки!$C$480:$R$480,Ставки_НДФЛ_от_5000_до_20000_тыс_руб)</f>
        <v>0.17999999999999999</v>
      </c>
      <c s="126">
        <f>LOOKUP(YEAR(AV$8),Предпосылки!$C$480:$R$480,Ставки_НДФЛ_от_5000_до_20000_тыс_руб)</f>
        <v>0.17999999999999999</v>
      </c>
      <c s="126">
        <f>LOOKUP(YEAR(AW$8),Предпосылки!$C$480:$R$480,Ставки_НДФЛ_от_5000_до_20000_тыс_руб)</f>
        <v>0.17999999999999999</v>
      </c>
      <c s="126">
        <f>LOOKUP(YEAR(AX$8),Предпосылки!$C$480:$R$480,Ставки_НДФЛ_от_5000_до_20000_тыс_руб)</f>
        <v>0.17999999999999999</v>
      </c>
      <c s="126">
        <f>LOOKUP(YEAR(AY$8),Предпосылки!$C$480:$R$480,Ставки_НДФЛ_от_5000_до_20000_тыс_руб)</f>
        <v>0.17999999999999999</v>
      </c>
      <c s="126">
        <f>LOOKUP(YEAR(AZ$8),Предпосылки!$C$480:$R$480,Ставки_НДФЛ_от_5000_до_20000_тыс_руб)</f>
        <v>0.17999999999999999</v>
      </c>
      <c s="126">
        <f>LOOKUP(YEAR(BA$8),Предпосылки!$C$480:$R$480,Ставки_НДФЛ_от_5000_до_20000_тыс_руб)</f>
        <v>0.17999999999999999</v>
      </c>
      <c s="126">
        <f>LOOKUP(YEAR(BB$8),Предпосылки!$C$480:$R$480,Ставки_НДФЛ_от_5000_до_20000_тыс_руб)</f>
        <v>0.17999999999999999</v>
      </c>
      <c s="126">
        <f>LOOKUP(YEAR(BC$8),Предпосылки!$C$480:$R$480,Ставки_НДФЛ_от_5000_до_20000_тыс_руб)</f>
        <v>0.17999999999999999</v>
      </c>
      <c s="126">
        <f>LOOKUP(YEAR(BD$8),Предпосылки!$C$480:$R$480,Ставки_НДФЛ_от_5000_до_20000_тыс_руб)</f>
        <v>0.17999999999999999</v>
      </c>
      <c s="126">
        <f>LOOKUP(YEAR(BE$8),Предпосылки!$C$480:$R$480,Ставки_НДФЛ_от_5000_до_20000_тыс_руб)</f>
        <v>0.17999999999999999</v>
      </c>
      <c s="126">
        <f>LOOKUP(YEAR(BF$8),Предпосылки!$C$480:$R$480,Ставки_НДФЛ_от_5000_до_20000_тыс_руб)</f>
        <v>0.17999999999999999</v>
      </c>
      <c s="126">
        <f>LOOKUP(YEAR(BG$8),Предпосылки!$C$480:$R$480,Ставки_НДФЛ_от_5000_до_20000_тыс_руб)</f>
        <v>0.17999999999999999</v>
      </c>
      <c s="126">
        <f>LOOKUP(YEAR(BH$8),Предпосылки!$C$480:$R$480,Ставки_НДФЛ_от_5000_до_20000_тыс_руб)</f>
        <v>0.17999999999999999</v>
      </c>
      <c s="126">
        <f>LOOKUP(YEAR(BI$8),Предпосылки!$C$480:$R$480,Ставки_НДФЛ_от_5000_до_20000_тыс_руб)</f>
        <v>0.17999999999999999</v>
      </c>
      <c s="126">
        <f>LOOKUP(YEAR(BJ$8),Предпосылки!$C$480:$R$480,Ставки_НДФЛ_от_5000_до_20000_тыс_руб)</f>
        <v>0.17999999999999999</v>
      </c>
      <c s="126">
        <f>LOOKUP(YEAR(BK$8),Предпосылки!$C$480:$R$480,Ставки_НДФЛ_от_5000_до_20000_тыс_руб)</f>
        <v>0.17999999999999999</v>
      </c>
      <c s="126">
        <f>LOOKUP(YEAR(BL$8),Предпосылки!$C$480:$R$480,Ставки_НДФЛ_от_5000_до_20000_тыс_руб)</f>
        <v>0.17999999999999999</v>
      </c>
      <c s="126">
        <f>LOOKUP(YEAR(BM$8),Предпосылки!$C$480:$R$480,Ставки_НДФЛ_от_5000_до_20000_тыс_руб)</f>
        <v>0.17999999999999999</v>
      </c>
    </row>
    <row r="241" spans="2:65" ht="15" customHeight="1">
      <c r="B241" s="12" t="s">
        <v>264</v>
      </c>
      <c s="124" t="str">
        <f>Единица_измерения</f>
        <v>тыс. руб.</v>
      </c>
      <c s="125"/>
      <c s="125">
        <f>LOOKUP(YEAR(E$8),Предпосылки!$C$492:$R$492,Предпосылки!$C$495:$R$495)</f>
        <v>20000</v>
      </c>
      <c s="125">
        <f>LOOKUP(YEAR(F$8),Предпосылки!$C$492:$R$492,Предпосылки!$C$495:$R$495)</f>
        <v>20000</v>
      </c>
      <c s="125">
        <f>LOOKUP(YEAR(G$8),Предпосылки!$C$492:$R$492,Предпосылки!$C$495:$R$495)</f>
        <v>20000</v>
      </c>
      <c s="125">
        <f>LOOKUP(YEAR(H$8),Предпосылки!$C$492:$R$492,Предпосылки!$C$495:$R$495)</f>
        <v>20000</v>
      </c>
      <c s="125">
        <f>LOOKUP(YEAR(I$8),Предпосылки!$C$492:$R$492,Предпосылки!$C$495:$R$495)</f>
        <v>20000</v>
      </c>
      <c s="125">
        <f>LOOKUP(YEAR(J$8),Предпосылки!$C$492:$R$492,Предпосылки!$C$495:$R$495)</f>
        <v>20000</v>
      </c>
      <c s="125">
        <f>LOOKUP(YEAR(K$8),Предпосылки!$C$492:$R$492,Предпосылки!$C$495:$R$495)</f>
        <v>20000</v>
      </c>
      <c s="125">
        <f>LOOKUP(YEAR(L$8),Предпосылки!$C$492:$R$492,Предпосылки!$C$495:$R$495)</f>
        <v>20000</v>
      </c>
      <c s="125">
        <f>LOOKUP(YEAR(M$8),Предпосылки!$C$492:$R$492,Предпосылки!$C$495:$R$495)</f>
        <v>20000</v>
      </c>
      <c s="125">
        <f>LOOKUP(YEAR(N$8),Предпосылки!$C$492:$R$492,Предпосылки!$C$495:$R$495)</f>
        <v>20000</v>
      </c>
      <c s="125">
        <f>LOOKUP(YEAR(O$8),Предпосылки!$C$492:$R$492,Предпосылки!$C$495:$R$495)</f>
        <v>20000</v>
      </c>
      <c s="125">
        <f>LOOKUP(YEAR(P$8),Предпосылки!$C$492:$R$492,Предпосылки!$C$495:$R$495)</f>
        <v>20000</v>
      </c>
      <c s="125">
        <f>LOOKUP(YEAR(Q$8),Предпосылки!$C$492:$R$492,Предпосылки!$C$495:$R$495)</f>
        <v>20000</v>
      </c>
      <c s="125">
        <f>LOOKUP(YEAR(R$8),Предпосылки!$C$492:$R$492,Предпосылки!$C$495:$R$495)</f>
        <v>20000</v>
      </c>
      <c s="125">
        <f>LOOKUP(YEAR(S$8),Предпосылки!$C$492:$R$492,Предпосылки!$C$495:$R$495)</f>
        <v>20000</v>
      </c>
      <c s="125">
        <f>LOOKUP(YEAR(T$8),Предпосылки!$C$492:$R$492,Предпосылки!$C$495:$R$495)</f>
        <v>20000</v>
      </c>
      <c s="125">
        <f>LOOKUP(YEAR(U$8),Предпосылки!$C$492:$R$492,Предпосылки!$C$495:$R$495)</f>
        <v>20000</v>
      </c>
      <c s="125">
        <f>LOOKUP(YEAR(V$8),Предпосылки!$C$492:$R$492,Предпосылки!$C$495:$R$495)</f>
        <v>20000</v>
      </c>
      <c s="125">
        <f>LOOKUP(YEAR(W$8),Предпосылки!$C$492:$R$492,Предпосылки!$C$495:$R$495)</f>
        <v>20000</v>
      </c>
      <c s="125">
        <f>LOOKUP(YEAR(X$8),Предпосылки!$C$492:$R$492,Предпосылки!$C$495:$R$495)</f>
        <v>20000</v>
      </c>
      <c s="125">
        <f>LOOKUP(YEAR(Y$8),Предпосылки!$C$492:$R$492,Предпосылки!$C$495:$R$495)</f>
        <v>20000</v>
      </c>
      <c s="125">
        <f>LOOKUP(YEAR(Z$8),Предпосылки!$C$492:$R$492,Предпосылки!$C$495:$R$495)</f>
        <v>20000</v>
      </c>
      <c s="125">
        <f>LOOKUP(YEAR(AA$8),Предпосылки!$C$492:$R$492,Предпосылки!$C$495:$R$495)</f>
        <v>20000</v>
      </c>
      <c s="125">
        <f>LOOKUP(YEAR(AB$8),Предпосылки!$C$492:$R$492,Предпосылки!$C$495:$R$495)</f>
        <v>20000</v>
      </c>
      <c s="125">
        <f>LOOKUP(YEAR(AC$8),Предпосылки!$C$492:$R$492,Предпосылки!$C$495:$R$495)</f>
        <v>20000</v>
      </c>
      <c s="125">
        <f>LOOKUP(YEAR(AD$8),Предпосылки!$C$492:$R$492,Предпосылки!$C$495:$R$495)</f>
        <v>20000</v>
      </c>
      <c s="125">
        <f>LOOKUP(YEAR(AE$8),Предпосылки!$C$492:$R$492,Предпосылки!$C$495:$R$495)</f>
        <v>20000</v>
      </c>
      <c s="125">
        <f>LOOKUP(YEAR(AF$8),Предпосылки!$C$492:$R$492,Предпосылки!$C$495:$R$495)</f>
        <v>20000</v>
      </c>
      <c s="125">
        <f>LOOKUP(YEAR(AG$8),Предпосылки!$C$492:$R$492,Предпосылки!$C$495:$R$495)</f>
        <v>20000</v>
      </c>
      <c s="125">
        <f>LOOKUP(YEAR(AH$8),Предпосылки!$C$492:$R$492,Предпосылки!$C$495:$R$495)</f>
        <v>20000</v>
      </c>
      <c s="125">
        <f>LOOKUP(YEAR(AI$8),Предпосылки!$C$492:$R$492,Предпосылки!$C$495:$R$495)</f>
        <v>20000</v>
      </c>
      <c s="125">
        <f>LOOKUP(YEAR(AJ$8),Предпосылки!$C$492:$R$492,Предпосылки!$C$495:$R$495)</f>
        <v>20000</v>
      </c>
      <c s="125">
        <f>LOOKUP(YEAR(AK$8),Предпосылки!$C$492:$R$492,Предпосылки!$C$495:$R$495)</f>
        <v>20000</v>
      </c>
      <c s="125">
        <f>LOOKUP(YEAR(AL$8),Предпосылки!$C$492:$R$492,Предпосылки!$C$495:$R$495)</f>
        <v>20000</v>
      </c>
      <c s="125">
        <f>LOOKUP(YEAR(AM$8),Предпосылки!$C$492:$R$492,Предпосылки!$C$495:$R$495)</f>
        <v>20000</v>
      </c>
      <c s="125">
        <f>LOOKUP(YEAR(AN$8),Предпосылки!$C$492:$R$492,Предпосылки!$C$495:$R$495)</f>
        <v>20000</v>
      </c>
      <c s="125">
        <f>LOOKUP(YEAR(AO$8),Предпосылки!$C$492:$R$492,Предпосылки!$C$495:$R$495)</f>
        <v>20000</v>
      </c>
      <c s="125">
        <f>LOOKUP(YEAR(AP$8),Предпосылки!$C$492:$R$492,Предпосылки!$C$495:$R$495)</f>
        <v>20000</v>
      </c>
      <c s="125">
        <f>LOOKUP(YEAR(AQ$8),Предпосылки!$C$492:$R$492,Предпосылки!$C$495:$R$495)</f>
        <v>20000</v>
      </c>
      <c s="125">
        <f>LOOKUP(YEAR(AR$8),Предпосылки!$C$492:$R$492,Предпосылки!$C$495:$R$495)</f>
        <v>20000</v>
      </c>
      <c s="125">
        <f>LOOKUP(YEAR(AS$8),Предпосылки!$C$492:$R$492,Предпосылки!$C$495:$R$495)</f>
        <v>20000</v>
      </c>
      <c s="125">
        <f>LOOKUP(YEAR(AT$8),Предпосылки!$C$492:$R$492,Предпосылки!$C$495:$R$495)</f>
        <v>20000</v>
      </c>
      <c s="125">
        <f>LOOKUP(YEAR(AU$8),Предпосылки!$C$492:$R$492,Предпосылки!$C$495:$R$495)</f>
        <v>20000</v>
      </c>
      <c s="125">
        <f>LOOKUP(YEAR(AV$8),Предпосылки!$C$492:$R$492,Предпосылки!$C$495:$R$495)</f>
        <v>20000</v>
      </c>
      <c s="125">
        <f>LOOKUP(YEAR(AW$8),Предпосылки!$C$492:$R$492,Предпосылки!$C$495:$R$495)</f>
        <v>20000</v>
      </c>
      <c s="125">
        <f>LOOKUP(YEAR(AX$8),Предпосылки!$C$492:$R$492,Предпосылки!$C$495:$R$495)</f>
        <v>20000</v>
      </c>
      <c s="125">
        <f>LOOKUP(YEAR(AY$8),Предпосылки!$C$492:$R$492,Предпосылки!$C$495:$R$495)</f>
        <v>20000</v>
      </c>
      <c s="125">
        <f>LOOKUP(YEAR(AZ$8),Предпосылки!$C$492:$R$492,Предпосылки!$C$495:$R$495)</f>
        <v>20000</v>
      </c>
      <c s="125">
        <f>LOOKUP(YEAR(BA$8),Предпосылки!$C$492:$R$492,Предпосылки!$C$495:$R$495)</f>
        <v>20000</v>
      </c>
      <c s="125">
        <f>LOOKUP(YEAR(BB$8),Предпосылки!$C$492:$R$492,Предпосылки!$C$495:$R$495)</f>
        <v>20000</v>
      </c>
      <c s="125">
        <f>LOOKUP(YEAR(BC$8),Предпосылки!$C$492:$R$492,Предпосылки!$C$495:$R$495)</f>
        <v>20000</v>
      </c>
      <c s="125">
        <f>LOOKUP(YEAR(BD$8),Предпосылки!$C$492:$R$492,Предпосылки!$C$495:$R$495)</f>
        <v>20000</v>
      </c>
      <c s="125">
        <f>LOOKUP(YEAR(BE$8),Предпосылки!$C$492:$R$492,Предпосылки!$C$495:$R$495)</f>
        <v>20000</v>
      </c>
      <c s="125">
        <f>LOOKUP(YEAR(BF$8),Предпосылки!$C$492:$R$492,Предпосылки!$C$495:$R$495)</f>
        <v>20000</v>
      </c>
      <c s="125">
        <f>LOOKUP(YEAR(BG$8),Предпосылки!$C$492:$R$492,Предпосылки!$C$495:$R$495)</f>
        <v>20000</v>
      </c>
      <c s="125">
        <f>LOOKUP(YEAR(BH$8),Предпосылки!$C$492:$R$492,Предпосылки!$C$495:$R$495)</f>
        <v>20000</v>
      </c>
      <c s="125">
        <f>LOOKUP(YEAR(BI$8),Предпосылки!$C$492:$R$492,Предпосылки!$C$495:$R$495)</f>
        <v>20000</v>
      </c>
      <c s="125">
        <f>LOOKUP(YEAR(BJ$8),Предпосылки!$C$492:$R$492,Предпосылки!$C$495:$R$495)</f>
        <v>20000</v>
      </c>
      <c s="125">
        <f>LOOKUP(YEAR(BK$8),Предпосылки!$C$492:$R$492,Предпосылки!$C$495:$R$495)</f>
        <v>20000</v>
      </c>
      <c s="125">
        <f>LOOKUP(YEAR(BL$8),Предпосылки!$C$492:$R$492,Предпосылки!$C$495:$R$495)</f>
        <v>20000</v>
      </c>
      <c s="125">
        <f>LOOKUP(YEAR(BM$8),Предпосылки!$C$492:$R$492,Предпосылки!$C$495:$R$495)</f>
        <v>20000</v>
      </c>
    </row>
    <row r="242" spans="2:65" ht="15" customHeight="1">
      <c r="B242" s="12" t="s">
        <v>255</v>
      </c>
      <c s="124" t="s">
        <v>817</v>
      </c>
      <c s="125"/>
      <c s="126">
        <f>LOOKUP(YEAR(E$8),Предпосылки!$C$480:$R$480,Ставки_НДФЛ_от_20000_до_50000_тыс_руб)</f>
        <v>0.13</v>
      </c>
      <c s="126">
        <f>LOOKUP(YEAR(F$8),Предпосылки!$C$480:$R$480,Ставки_НДФЛ_от_20000_до_50000_тыс_руб)</f>
        <v>0.13</v>
      </c>
      <c s="126">
        <f>LOOKUP(YEAR(G$8),Предпосылки!$C$480:$R$480,Ставки_НДФЛ_от_20000_до_50000_тыс_руб)</f>
        <v>0.13</v>
      </c>
      <c s="126">
        <f>LOOKUP(YEAR(H$8),Предпосылки!$C$480:$R$480,Ставки_НДФЛ_от_20000_до_50000_тыс_руб)</f>
        <v>0.13</v>
      </c>
      <c s="126">
        <f>LOOKUP(YEAR(I$8),Предпосылки!$C$480:$R$480,Ставки_НДФЛ_от_20000_до_50000_тыс_руб)</f>
        <v>0.20000000000000001</v>
      </c>
      <c s="126">
        <f>LOOKUP(YEAR(J$8),Предпосылки!$C$480:$R$480,Ставки_НДФЛ_от_20000_до_50000_тыс_руб)</f>
        <v>0.20000000000000001</v>
      </c>
      <c s="126">
        <f>LOOKUP(YEAR(K$8),Предпосылки!$C$480:$R$480,Ставки_НДФЛ_от_20000_до_50000_тыс_руб)</f>
        <v>0.20000000000000001</v>
      </c>
      <c s="126">
        <f>LOOKUP(YEAR(L$8),Предпосылки!$C$480:$R$480,Ставки_НДФЛ_от_20000_до_50000_тыс_руб)</f>
        <v>0.20000000000000001</v>
      </c>
      <c s="126">
        <f>LOOKUP(YEAR(M$8),Предпосылки!$C$480:$R$480,Ставки_НДФЛ_от_20000_до_50000_тыс_руб)</f>
        <v>0.20000000000000001</v>
      </c>
      <c s="126">
        <f>LOOKUP(YEAR(N$8),Предпосылки!$C$480:$R$480,Ставки_НДФЛ_от_20000_до_50000_тыс_руб)</f>
        <v>0.20000000000000001</v>
      </c>
      <c s="126">
        <f>LOOKUP(YEAR(O$8),Предпосылки!$C$480:$R$480,Ставки_НДФЛ_от_20000_до_50000_тыс_руб)</f>
        <v>0.20000000000000001</v>
      </c>
      <c s="126">
        <f>LOOKUP(YEAR(P$8),Предпосылки!$C$480:$R$480,Ставки_НДФЛ_от_20000_до_50000_тыс_руб)</f>
        <v>0.20000000000000001</v>
      </c>
      <c s="126">
        <f>LOOKUP(YEAR(Q$8),Предпосылки!$C$480:$R$480,Ставки_НДФЛ_от_20000_до_50000_тыс_руб)</f>
        <v>0.20000000000000001</v>
      </c>
      <c s="126">
        <f>LOOKUP(YEAR(R$8),Предпосылки!$C$480:$R$480,Ставки_НДФЛ_от_20000_до_50000_тыс_руб)</f>
        <v>0.20000000000000001</v>
      </c>
      <c s="126">
        <f>LOOKUP(YEAR(S$8),Предпосылки!$C$480:$R$480,Ставки_НДФЛ_от_20000_до_50000_тыс_руб)</f>
        <v>0.20000000000000001</v>
      </c>
      <c s="126">
        <f>LOOKUP(YEAR(T$8),Предпосылки!$C$480:$R$480,Ставки_НДФЛ_от_20000_до_50000_тыс_руб)</f>
        <v>0.20000000000000001</v>
      </c>
      <c s="126">
        <f>LOOKUP(YEAR(U$8),Предпосылки!$C$480:$R$480,Ставки_НДФЛ_от_20000_до_50000_тыс_руб)</f>
        <v>0.20000000000000001</v>
      </c>
      <c s="126">
        <f>LOOKUP(YEAR(V$8),Предпосылки!$C$480:$R$480,Ставки_НДФЛ_от_20000_до_50000_тыс_руб)</f>
        <v>0.20000000000000001</v>
      </c>
      <c s="126">
        <f>LOOKUP(YEAR(W$8),Предпосылки!$C$480:$R$480,Ставки_НДФЛ_от_20000_до_50000_тыс_руб)</f>
        <v>0.20000000000000001</v>
      </c>
      <c s="126">
        <f>LOOKUP(YEAR(X$8),Предпосылки!$C$480:$R$480,Ставки_НДФЛ_от_20000_до_50000_тыс_руб)</f>
        <v>0.20000000000000001</v>
      </c>
      <c s="126">
        <f>LOOKUP(YEAR(Y$8),Предпосылки!$C$480:$R$480,Ставки_НДФЛ_от_20000_до_50000_тыс_руб)</f>
        <v>0.20000000000000001</v>
      </c>
      <c s="126">
        <f>LOOKUP(YEAR(Z$8),Предпосылки!$C$480:$R$480,Ставки_НДФЛ_от_20000_до_50000_тыс_руб)</f>
        <v>0.20000000000000001</v>
      </c>
      <c s="126">
        <f>LOOKUP(YEAR(AA$8),Предпосылки!$C$480:$R$480,Ставки_НДФЛ_от_20000_до_50000_тыс_руб)</f>
        <v>0.20000000000000001</v>
      </c>
      <c s="126">
        <f>LOOKUP(YEAR(AB$8),Предпосылки!$C$480:$R$480,Ставки_НДФЛ_от_20000_до_50000_тыс_руб)</f>
        <v>0.20000000000000001</v>
      </c>
      <c s="126">
        <f>LOOKUP(YEAR(AC$8),Предпосылки!$C$480:$R$480,Ставки_НДФЛ_от_20000_до_50000_тыс_руб)</f>
        <v>0.20000000000000001</v>
      </c>
      <c s="126">
        <f>LOOKUP(YEAR(AD$8),Предпосылки!$C$480:$R$480,Ставки_НДФЛ_от_20000_до_50000_тыс_руб)</f>
        <v>0.20000000000000001</v>
      </c>
      <c s="126">
        <f>LOOKUP(YEAR(AE$8),Предпосылки!$C$480:$R$480,Ставки_НДФЛ_от_20000_до_50000_тыс_руб)</f>
        <v>0.20000000000000001</v>
      </c>
      <c s="126">
        <f>LOOKUP(YEAR(AF$8),Предпосылки!$C$480:$R$480,Ставки_НДФЛ_от_20000_до_50000_тыс_руб)</f>
        <v>0.20000000000000001</v>
      </c>
      <c s="126">
        <f>LOOKUP(YEAR(AG$8),Предпосылки!$C$480:$R$480,Ставки_НДФЛ_от_20000_до_50000_тыс_руб)</f>
        <v>0.20000000000000001</v>
      </c>
      <c s="126">
        <f>LOOKUP(YEAR(AH$8),Предпосылки!$C$480:$R$480,Ставки_НДФЛ_от_20000_до_50000_тыс_руб)</f>
        <v>0.20000000000000001</v>
      </c>
      <c s="126">
        <f>LOOKUP(YEAR(AI$8),Предпосылки!$C$480:$R$480,Ставки_НДФЛ_от_20000_до_50000_тыс_руб)</f>
        <v>0.20000000000000001</v>
      </c>
      <c s="126">
        <f>LOOKUP(YEAR(AJ$8),Предпосылки!$C$480:$R$480,Ставки_НДФЛ_от_20000_до_50000_тыс_руб)</f>
        <v>0.20000000000000001</v>
      </c>
      <c s="126">
        <f>LOOKUP(YEAR(AK$8),Предпосылки!$C$480:$R$480,Ставки_НДФЛ_от_20000_до_50000_тыс_руб)</f>
        <v>0.20000000000000001</v>
      </c>
      <c s="126">
        <f>LOOKUP(YEAR(AL$8),Предпосылки!$C$480:$R$480,Ставки_НДФЛ_от_20000_до_50000_тыс_руб)</f>
        <v>0.20000000000000001</v>
      </c>
      <c s="126">
        <f>LOOKUP(YEAR(AM$8),Предпосылки!$C$480:$R$480,Ставки_НДФЛ_от_20000_до_50000_тыс_руб)</f>
        <v>0.20000000000000001</v>
      </c>
      <c s="126">
        <f>LOOKUP(YEAR(AN$8),Предпосылки!$C$480:$R$480,Ставки_НДФЛ_от_20000_до_50000_тыс_руб)</f>
        <v>0.20000000000000001</v>
      </c>
      <c s="126">
        <f>LOOKUP(YEAR(AO$8),Предпосылки!$C$480:$R$480,Ставки_НДФЛ_от_20000_до_50000_тыс_руб)</f>
        <v>0.20000000000000001</v>
      </c>
      <c s="126">
        <f>LOOKUP(YEAR(AP$8),Предпосылки!$C$480:$R$480,Ставки_НДФЛ_от_20000_до_50000_тыс_руб)</f>
        <v>0.20000000000000001</v>
      </c>
      <c s="126">
        <f>LOOKUP(YEAR(AQ$8),Предпосылки!$C$480:$R$480,Ставки_НДФЛ_от_20000_до_50000_тыс_руб)</f>
        <v>0.20000000000000001</v>
      </c>
      <c s="126">
        <f>LOOKUP(YEAR(AR$8),Предпосылки!$C$480:$R$480,Ставки_НДФЛ_от_20000_до_50000_тыс_руб)</f>
        <v>0.20000000000000001</v>
      </c>
      <c s="126">
        <f>LOOKUP(YEAR(AS$8),Предпосылки!$C$480:$R$480,Ставки_НДФЛ_от_20000_до_50000_тыс_руб)</f>
        <v>0.20000000000000001</v>
      </c>
      <c s="126">
        <f>LOOKUP(YEAR(AT$8),Предпосылки!$C$480:$R$480,Ставки_НДФЛ_от_20000_до_50000_тыс_руб)</f>
        <v>0.20000000000000001</v>
      </c>
      <c s="126">
        <f>LOOKUP(YEAR(AU$8),Предпосылки!$C$480:$R$480,Ставки_НДФЛ_от_20000_до_50000_тыс_руб)</f>
        <v>0.20000000000000001</v>
      </c>
      <c s="126">
        <f>LOOKUP(YEAR(AV$8),Предпосылки!$C$480:$R$480,Ставки_НДФЛ_от_20000_до_50000_тыс_руб)</f>
        <v>0.20000000000000001</v>
      </c>
      <c s="126">
        <f>LOOKUP(YEAR(AW$8),Предпосылки!$C$480:$R$480,Ставки_НДФЛ_от_20000_до_50000_тыс_руб)</f>
        <v>0.20000000000000001</v>
      </c>
      <c s="126">
        <f>LOOKUP(YEAR(AX$8),Предпосылки!$C$480:$R$480,Ставки_НДФЛ_от_20000_до_50000_тыс_руб)</f>
        <v>0.20000000000000001</v>
      </c>
      <c s="126">
        <f>LOOKUP(YEAR(AY$8),Предпосылки!$C$480:$R$480,Ставки_НДФЛ_от_20000_до_50000_тыс_руб)</f>
        <v>0.20000000000000001</v>
      </c>
      <c s="126">
        <f>LOOKUP(YEAR(AZ$8),Предпосылки!$C$480:$R$480,Ставки_НДФЛ_от_20000_до_50000_тыс_руб)</f>
        <v>0.20000000000000001</v>
      </c>
      <c s="126">
        <f>LOOKUP(YEAR(BA$8),Предпосылки!$C$480:$R$480,Ставки_НДФЛ_от_20000_до_50000_тыс_руб)</f>
        <v>0.20000000000000001</v>
      </c>
      <c s="126">
        <f>LOOKUP(YEAR(BB$8),Предпосылки!$C$480:$R$480,Ставки_НДФЛ_от_20000_до_50000_тыс_руб)</f>
        <v>0.20000000000000001</v>
      </c>
      <c s="126">
        <f>LOOKUP(YEAR(BC$8),Предпосылки!$C$480:$R$480,Ставки_НДФЛ_от_20000_до_50000_тыс_руб)</f>
        <v>0.20000000000000001</v>
      </c>
      <c s="126">
        <f>LOOKUP(YEAR(BD$8),Предпосылки!$C$480:$R$480,Ставки_НДФЛ_от_20000_до_50000_тыс_руб)</f>
        <v>0.20000000000000001</v>
      </c>
      <c s="126">
        <f>LOOKUP(YEAR(BE$8),Предпосылки!$C$480:$R$480,Ставки_НДФЛ_от_20000_до_50000_тыс_руб)</f>
        <v>0.20000000000000001</v>
      </c>
      <c s="126">
        <f>LOOKUP(YEAR(BF$8),Предпосылки!$C$480:$R$480,Ставки_НДФЛ_от_20000_до_50000_тыс_руб)</f>
        <v>0.20000000000000001</v>
      </c>
      <c s="126">
        <f>LOOKUP(YEAR(BG$8),Предпосылки!$C$480:$R$480,Ставки_НДФЛ_от_20000_до_50000_тыс_руб)</f>
        <v>0.20000000000000001</v>
      </c>
      <c s="126">
        <f>LOOKUP(YEAR(BH$8),Предпосылки!$C$480:$R$480,Ставки_НДФЛ_от_20000_до_50000_тыс_руб)</f>
        <v>0.20000000000000001</v>
      </c>
      <c s="126">
        <f>LOOKUP(YEAR(BI$8),Предпосылки!$C$480:$R$480,Ставки_НДФЛ_от_20000_до_50000_тыс_руб)</f>
        <v>0.20000000000000001</v>
      </c>
      <c s="126">
        <f>LOOKUP(YEAR(BJ$8),Предпосылки!$C$480:$R$480,Ставки_НДФЛ_от_20000_до_50000_тыс_руб)</f>
        <v>0.20000000000000001</v>
      </c>
      <c s="126">
        <f>LOOKUP(YEAR(BK$8),Предпосылки!$C$480:$R$480,Ставки_НДФЛ_от_20000_до_50000_тыс_руб)</f>
        <v>0.20000000000000001</v>
      </c>
      <c s="126">
        <f>LOOKUP(YEAR(BL$8),Предпосылки!$C$480:$R$480,Ставки_НДФЛ_от_20000_до_50000_тыс_руб)</f>
        <v>0.20000000000000001</v>
      </c>
      <c s="126">
        <f>LOOKUP(YEAR(BM$8),Предпосылки!$C$480:$R$480,Ставки_НДФЛ_от_20000_до_50000_тыс_руб)</f>
        <v>0.20000000000000001</v>
      </c>
    </row>
    <row r="243" spans="2:65" ht="15" customHeight="1">
      <c r="B243" s="12" t="s">
        <v>264</v>
      </c>
      <c s="124" t="str">
        <f>Единица_измерения</f>
        <v>тыс. руб.</v>
      </c>
      <c s="125"/>
      <c s="125">
        <f>LOOKUP(YEAR(E$8),Предпосылки!$C$492:$R$492,Предпосылки!$C$496:$R$496)</f>
        <v>50000</v>
      </c>
      <c s="125">
        <f>LOOKUP(YEAR(F$8),Предпосылки!$C$492:$R$492,Предпосылки!$C$496:$R$496)</f>
        <v>50000</v>
      </c>
      <c s="125">
        <f>LOOKUP(YEAR(G$8),Предпосылки!$C$492:$R$492,Предпосылки!$C$496:$R$496)</f>
        <v>50000</v>
      </c>
      <c s="125">
        <f>LOOKUP(YEAR(H$8),Предпосылки!$C$492:$R$492,Предпосылки!$C$496:$R$496)</f>
        <v>50000</v>
      </c>
      <c s="125">
        <f>LOOKUP(YEAR(I$8),Предпосылки!$C$492:$R$492,Предпосылки!$C$496:$R$496)</f>
        <v>50000</v>
      </c>
      <c s="125">
        <f>LOOKUP(YEAR(J$8),Предпосылки!$C$492:$R$492,Предпосылки!$C$496:$R$496)</f>
        <v>50000</v>
      </c>
      <c s="125">
        <f>LOOKUP(YEAR(K$8),Предпосылки!$C$492:$R$492,Предпосылки!$C$496:$R$496)</f>
        <v>50000</v>
      </c>
      <c s="125">
        <f>LOOKUP(YEAR(L$8),Предпосылки!$C$492:$R$492,Предпосылки!$C$496:$R$496)</f>
        <v>50000</v>
      </c>
      <c s="125">
        <f>LOOKUP(YEAR(M$8),Предпосылки!$C$492:$R$492,Предпосылки!$C$496:$R$496)</f>
        <v>50000</v>
      </c>
      <c s="125">
        <f>LOOKUP(YEAR(N$8),Предпосылки!$C$492:$R$492,Предпосылки!$C$496:$R$496)</f>
        <v>50000</v>
      </c>
      <c s="125">
        <f>LOOKUP(YEAR(O$8),Предпосылки!$C$492:$R$492,Предпосылки!$C$496:$R$496)</f>
        <v>50000</v>
      </c>
      <c s="125">
        <f>LOOKUP(YEAR(P$8),Предпосылки!$C$492:$R$492,Предпосылки!$C$496:$R$496)</f>
        <v>50000</v>
      </c>
      <c s="125">
        <f>LOOKUP(YEAR(Q$8),Предпосылки!$C$492:$R$492,Предпосылки!$C$496:$R$496)</f>
        <v>50000</v>
      </c>
      <c s="125">
        <f>LOOKUP(YEAR(R$8),Предпосылки!$C$492:$R$492,Предпосылки!$C$496:$R$496)</f>
        <v>50000</v>
      </c>
      <c s="125">
        <f>LOOKUP(YEAR(S$8),Предпосылки!$C$492:$R$492,Предпосылки!$C$496:$R$496)</f>
        <v>50000</v>
      </c>
      <c s="125">
        <f>LOOKUP(YEAR(T$8),Предпосылки!$C$492:$R$492,Предпосылки!$C$496:$R$496)</f>
        <v>50000</v>
      </c>
      <c s="125">
        <f>LOOKUP(YEAR(U$8),Предпосылки!$C$492:$R$492,Предпосылки!$C$496:$R$496)</f>
        <v>50000</v>
      </c>
      <c s="125">
        <f>LOOKUP(YEAR(V$8),Предпосылки!$C$492:$R$492,Предпосылки!$C$496:$R$496)</f>
        <v>50000</v>
      </c>
      <c s="125">
        <f>LOOKUP(YEAR(W$8),Предпосылки!$C$492:$R$492,Предпосылки!$C$496:$R$496)</f>
        <v>50000</v>
      </c>
      <c s="125">
        <f>LOOKUP(YEAR(X$8),Предпосылки!$C$492:$R$492,Предпосылки!$C$496:$R$496)</f>
        <v>50000</v>
      </c>
      <c s="125">
        <f>LOOKUP(YEAR(Y$8),Предпосылки!$C$492:$R$492,Предпосылки!$C$496:$R$496)</f>
        <v>50000</v>
      </c>
      <c s="125">
        <f>LOOKUP(YEAR(Z$8),Предпосылки!$C$492:$R$492,Предпосылки!$C$496:$R$496)</f>
        <v>50000</v>
      </c>
      <c s="125">
        <f>LOOKUP(YEAR(AA$8),Предпосылки!$C$492:$R$492,Предпосылки!$C$496:$R$496)</f>
        <v>50000</v>
      </c>
      <c s="125">
        <f>LOOKUP(YEAR(AB$8),Предпосылки!$C$492:$R$492,Предпосылки!$C$496:$R$496)</f>
        <v>50000</v>
      </c>
      <c s="125">
        <f>LOOKUP(YEAR(AC$8),Предпосылки!$C$492:$R$492,Предпосылки!$C$496:$R$496)</f>
        <v>50000</v>
      </c>
      <c s="125">
        <f>LOOKUP(YEAR(AD$8),Предпосылки!$C$492:$R$492,Предпосылки!$C$496:$R$496)</f>
        <v>50000</v>
      </c>
      <c s="125">
        <f>LOOKUP(YEAR(AE$8),Предпосылки!$C$492:$R$492,Предпосылки!$C$496:$R$496)</f>
        <v>50000</v>
      </c>
      <c s="125">
        <f>LOOKUP(YEAR(AF$8),Предпосылки!$C$492:$R$492,Предпосылки!$C$496:$R$496)</f>
        <v>50000</v>
      </c>
      <c s="125">
        <f>LOOKUP(YEAR(AG$8),Предпосылки!$C$492:$R$492,Предпосылки!$C$496:$R$496)</f>
        <v>50000</v>
      </c>
      <c s="125">
        <f>LOOKUP(YEAR(AH$8),Предпосылки!$C$492:$R$492,Предпосылки!$C$496:$R$496)</f>
        <v>50000</v>
      </c>
      <c s="125">
        <f>LOOKUP(YEAR(AI$8),Предпосылки!$C$492:$R$492,Предпосылки!$C$496:$R$496)</f>
        <v>50000</v>
      </c>
      <c s="125">
        <f>LOOKUP(YEAR(AJ$8),Предпосылки!$C$492:$R$492,Предпосылки!$C$496:$R$496)</f>
        <v>50000</v>
      </c>
      <c s="125">
        <f>LOOKUP(YEAR(AK$8),Предпосылки!$C$492:$R$492,Предпосылки!$C$496:$R$496)</f>
        <v>50000</v>
      </c>
      <c s="125">
        <f>LOOKUP(YEAR(AL$8),Предпосылки!$C$492:$R$492,Предпосылки!$C$496:$R$496)</f>
        <v>50000</v>
      </c>
      <c s="125">
        <f>LOOKUP(YEAR(AM$8),Предпосылки!$C$492:$R$492,Предпосылки!$C$496:$R$496)</f>
        <v>50000</v>
      </c>
      <c s="125">
        <f>LOOKUP(YEAR(AN$8),Предпосылки!$C$492:$R$492,Предпосылки!$C$496:$R$496)</f>
        <v>50000</v>
      </c>
      <c s="125">
        <f>LOOKUP(YEAR(AO$8),Предпосылки!$C$492:$R$492,Предпосылки!$C$496:$R$496)</f>
        <v>50000</v>
      </c>
      <c s="125">
        <f>LOOKUP(YEAR(AP$8),Предпосылки!$C$492:$R$492,Предпосылки!$C$496:$R$496)</f>
        <v>50000</v>
      </c>
      <c s="125">
        <f>LOOKUP(YEAR(AQ$8),Предпосылки!$C$492:$R$492,Предпосылки!$C$496:$R$496)</f>
        <v>50000</v>
      </c>
      <c s="125">
        <f>LOOKUP(YEAR(AR$8),Предпосылки!$C$492:$R$492,Предпосылки!$C$496:$R$496)</f>
        <v>50000</v>
      </c>
      <c s="125">
        <f>LOOKUP(YEAR(AS$8),Предпосылки!$C$492:$R$492,Предпосылки!$C$496:$R$496)</f>
        <v>50000</v>
      </c>
      <c s="125">
        <f>LOOKUP(YEAR(AT$8),Предпосылки!$C$492:$R$492,Предпосылки!$C$496:$R$496)</f>
        <v>50000</v>
      </c>
      <c s="125">
        <f>LOOKUP(YEAR(AU$8),Предпосылки!$C$492:$R$492,Предпосылки!$C$496:$R$496)</f>
        <v>50000</v>
      </c>
      <c s="125">
        <f>LOOKUP(YEAR(AV$8),Предпосылки!$C$492:$R$492,Предпосылки!$C$496:$R$496)</f>
        <v>50000</v>
      </c>
      <c s="125">
        <f>LOOKUP(YEAR(AW$8),Предпосылки!$C$492:$R$492,Предпосылки!$C$496:$R$496)</f>
        <v>50000</v>
      </c>
      <c s="125">
        <f>LOOKUP(YEAR(AX$8),Предпосылки!$C$492:$R$492,Предпосылки!$C$496:$R$496)</f>
        <v>50000</v>
      </c>
      <c s="125">
        <f>LOOKUP(YEAR(AY$8),Предпосылки!$C$492:$R$492,Предпосылки!$C$496:$R$496)</f>
        <v>50000</v>
      </c>
      <c s="125">
        <f>LOOKUP(YEAR(AZ$8),Предпосылки!$C$492:$R$492,Предпосылки!$C$496:$R$496)</f>
        <v>50000</v>
      </c>
      <c s="125">
        <f>LOOKUP(YEAR(BA$8),Предпосылки!$C$492:$R$492,Предпосылки!$C$496:$R$496)</f>
        <v>50000</v>
      </c>
      <c s="125">
        <f>LOOKUP(YEAR(BB$8),Предпосылки!$C$492:$R$492,Предпосылки!$C$496:$R$496)</f>
        <v>50000</v>
      </c>
      <c s="125">
        <f>LOOKUP(YEAR(BC$8),Предпосылки!$C$492:$R$492,Предпосылки!$C$496:$R$496)</f>
        <v>50000</v>
      </c>
      <c s="125">
        <f>LOOKUP(YEAR(BD$8),Предпосылки!$C$492:$R$492,Предпосылки!$C$496:$R$496)</f>
        <v>50000</v>
      </c>
      <c s="125">
        <f>LOOKUP(YEAR(BE$8),Предпосылки!$C$492:$R$492,Предпосылки!$C$496:$R$496)</f>
        <v>50000</v>
      </c>
      <c s="125">
        <f>LOOKUP(YEAR(BF$8),Предпосылки!$C$492:$R$492,Предпосылки!$C$496:$R$496)</f>
        <v>50000</v>
      </c>
      <c s="125">
        <f>LOOKUP(YEAR(BG$8),Предпосылки!$C$492:$R$492,Предпосылки!$C$496:$R$496)</f>
        <v>50000</v>
      </c>
      <c s="125">
        <f>LOOKUP(YEAR(BH$8),Предпосылки!$C$492:$R$492,Предпосылки!$C$496:$R$496)</f>
        <v>50000</v>
      </c>
      <c s="125">
        <f>LOOKUP(YEAR(BI$8),Предпосылки!$C$492:$R$492,Предпосылки!$C$496:$R$496)</f>
        <v>50000</v>
      </c>
      <c s="125">
        <f>LOOKUP(YEAR(BJ$8),Предпосылки!$C$492:$R$492,Предпосылки!$C$496:$R$496)</f>
        <v>50000</v>
      </c>
      <c s="125">
        <f>LOOKUP(YEAR(BK$8),Предпосылки!$C$492:$R$492,Предпосылки!$C$496:$R$496)</f>
        <v>50000</v>
      </c>
      <c s="125">
        <f>LOOKUP(YEAR(BL$8),Предпосылки!$C$492:$R$492,Предпосылки!$C$496:$R$496)</f>
        <v>50000</v>
      </c>
      <c s="125">
        <f>LOOKUP(YEAR(BM$8),Предпосылки!$C$492:$R$492,Предпосылки!$C$496:$R$496)</f>
        <v>50000</v>
      </c>
    </row>
    <row r="244" spans="2:65" ht="15" customHeight="1">
      <c r="B244" s="12" t="s">
        <v>255</v>
      </c>
      <c s="124" t="s">
        <v>817</v>
      </c>
      <c s="125"/>
      <c s="126">
        <f>LOOKUP(YEAR(E$8),Предпосылки!$C$480:$R$480,Ставки_НДФЛ_свыше_50000_тыс_руб)</f>
        <v>0.13</v>
      </c>
      <c s="126">
        <f>LOOKUP(YEAR(F$8),Предпосылки!$C$480:$R$480,Ставки_НДФЛ_свыше_50000_тыс_руб)</f>
        <v>0.13</v>
      </c>
      <c s="126">
        <f>LOOKUP(YEAR(G$8),Предпосылки!$C$480:$R$480,Ставки_НДФЛ_свыше_50000_тыс_руб)</f>
        <v>0.13</v>
      </c>
      <c s="126">
        <f>LOOKUP(YEAR(H$8),Предпосылки!$C$480:$R$480,Ставки_НДФЛ_свыше_50000_тыс_руб)</f>
        <v>0.13</v>
      </c>
      <c s="126">
        <f>LOOKUP(YEAR(I$8),Предпосылки!$C$480:$R$480,Ставки_НДФЛ_свыше_50000_тыс_руб)</f>
        <v>0.22</v>
      </c>
      <c s="126">
        <f>LOOKUP(YEAR(J$8),Предпосылки!$C$480:$R$480,Ставки_НДФЛ_свыше_50000_тыс_руб)</f>
        <v>0.22</v>
      </c>
      <c s="126">
        <f>LOOKUP(YEAR(K$8),Предпосылки!$C$480:$R$480,Ставки_НДФЛ_свыше_50000_тыс_руб)</f>
        <v>0.22</v>
      </c>
      <c s="126">
        <f>LOOKUP(YEAR(L$8),Предпосылки!$C$480:$R$480,Ставки_НДФЛ_свыше_50000_тыс_руб)</f>
        <v>0.22</v>
      </c>
      <c s="126">
        <f>LOOKUP(YEAR(M$8),Предпосылки!$C$480:$R$480,Ставки_НДФЛ_свыше_50000_тыс_руб)</f>
        <v>0.22</v>
      </c>
      <c s="126">
        <f>LOOKUP(YEAR(N$8),Предпосылки!$C$480:$R$480,Ставки_НДФЛ_свыше_50000_тыс_руб)</f>
        <v>0.22</v>
      </c>
      <c s="126">
        <f>LOOKUP(YEAR(O$8),Предпосылки!$C$480:$R$480,Ставки_НДФЛ_свыше_50000_тыс_руб)</f>
        <v>0.22</v>
      </c>
      <c s="126">
        <f>LOOKUP(YEAR(P$8),Предпосылки!$C$480:$R$480,Ставки_НДФЛ_свыше_50000_тыс_руб)</f>
        <v>0.22</v>
      </c>
      <c s="126">
        <f>LOOKUP(YEAR(Q$8),Предпосылки!$C$480:$R$480,Ставки_НДФЛ_свыше_50000_тыс_руб)</f>
        <v>0.22</v>
      </c>
      <c s="126">
        <f>LOOKUP(YEAR(R$8),Предпосылки!$C$480:$R$480,Ставки_НДФЛ_свыше_50000_тыс_руб)</f>
        <v>0.22</v>
      </c>
      <c s="126">
        <f>LOOKUP(YEAR(S$8),Предпосылки!$C$480:$R$480,Ставки_НДФЛ_свыше_50000_тыс_руб)</f>
        <v>0.22</v>
      </c>
      <c s="126">
        <f>LOOKUP(YEAR(T$8),Предпосылки!$C$480:$R$480,Ставки_НДФЛ_свыше_50000_тыс_руб)</f>
        <v>0.22</v>
      </c>
      <c s="126">
        <f>LOOKUP(YEAR(U$8),Предпосылки!$C$480:$R$480,Ставки_НДФЛ_свыше_50000_тыс_руб)</f>
        <v>0.22</v>
      </c>
      <c s="126">
        <f>LOOKUP(YEAR(V$8),Предпосылки!$C$480:$R$480,Ставки_НДФЛ_свыше_50000_тыс_руб)</f>
        <v>0.22</v>
      </c>
      <c s="126">
        <f>LOOKUP(YEAR(W$8),Предпосылки!$C$480:$R$480,Ставки_НДФЛ_свыше_50000_тыс_руб)</f>
        <v>0.22</v>
      </c>
      <c s="126">
        <f>LOOKUP(YEAR(X$8),Предпосылки!$C$480:$R$480,Ставки_НДФЛ_свыше_50000_тыс_руб)</f>
        <v>0.22</v>
      </c>
      <c s="126">
        <f>LOOKUP(YEAR(Y$8),Предпосылки!$C$480:$R$480,Ставки_НДФЛ_свыше_50000_тыс_руб)</f>
        <v>0.22</v>
      </c>
      <c s="126">
        <f>LOOKUP(YEAR(Z$8),Предпосылки!$C$480:$R$480,Ставки_НДФЛ_свыше_50000_тыс_руб)</f>
        <v>0.22</v>
      </c>
      <c s="126">
        <f>LOOKUP(YEAR(AA$8),Предпосылки!$C$480:$R$480,Ставки_НДФЛ_свыше_50000_тыс_руб)</f>
        <v>0.22</v>
      </c>
      <c s="126">
        <f>LOOKUP(YEAR(AB$8),Предпосылки!$C$480:$R$480,Ставки_НДФЛ_свыше_50000_тыс_руб)</f>
        <v>0.22</v>
      </c>
      <c s="126">
        <f>LOOKUP(YEAR(AC$8),Предпосылки!$C$480:$R$480,Ставки_НДФЛ_свыше_50000_тыс_руб)</f>
        <v>0.22</v>
      </c>
      <c s="126">
        <f>LOOKUP(YEAR(AD$8),Предпосылки!$C$480:$R$480,Ставки_НДФЛ_свыше_50000_тыс_руб)</f>
        <v>0.22</v>
      </c>
      <c s="126">
        <f>LOOKUP(YEAR(AE$8),Предпосылки!$C$480:$R$480,Ставки_НДФЛ_свыше_50000_тыс_руб)</f>
        <v>0.22</v>
      </c>
      <c s="126">
        <f>LOOKUP(YEAR(AF$8),Предпосылки!$C$480:$R$480,Ставки_НДФЛ_свыше_50000_тыс_руб)</f>
        <v>0.22</v>
      </c>
      <c s="126">
        <f>LOOKUP(YEAR(AG$8),Предпосылки!$C$480:$R$480,Ставки_НДФЛ_свыше_50000_тыс_руб)</f>
        <v>0.22</v>
      </c>
      <c s="126">
        <f>LOOKUP(YEAR(AH$8),Предпосылки!$C$480:$R$480,Ставки_НДФЛ_свыше_50000_тыс_руб)</f>
        <v>0.22</v>
      </c>
      <c s="126">
        <f>LOOKUP(YEAR(AI$8),Предпосылки!$C$480:$R$480,Ставки_НДФЛ_свыше_50000_тыс_руб)</f>
        <v>0.22</v>
      </c>
      <c s="126">
        <f>LOOKUP(YEAR(AJ$8),Предпосылки!$C$480:$R$480,Ставки_НДФЛ_свыше_50000_тыс_руб)</f>
        <v>0.22</v>
      </c>
      <c s="126">
        <f>LOOKUP(YEAR(AK$8),Предпосылки!$C$480:$R$480,Ставки_НДФЛ_свыше_50000_тыс_руб)</f>
        <v>0.22</v>
      </c>
      <c s="126">
        <f>LOOKUP(YEAR(AL$8),Предпосылки!$C$480:$R$480,Ставки_НДФЛ_свыше_50000_тыс_руб)</f>
        <v>0.22</v>
      </c>
      <c s="126">
        <f>LOOKUP(YEAR(AM$8),Предпосылки!$C$480:$R$480,Ставки_НДФЛ_свыше_50000_тыс_руб)</f>
        <v>0.22</v>
      </c>
      <c s="126">
        <f>LOOKUP(YEAR(AN$8),Предпосылки!$C$480:$R$480,Ставки_НДФЛ_свыше_50000_тыс_руб)</f>
        <v>0.22</v>
      </c>
      <c s="126">
        <f>LOOKUP(YEAR(AO$8),Предпосылки!$C$480:$R$480,Ставки_НДФЛ_свыше_50000_тыс_руб)</f>
        <v>0.22</v>
      </c>
      <c s="126">
        <f>LOOKUP(YEAR(AP$8),Предпосылки!$C$480:$R$480,Ставки_НДФЛ_свыше_50000_тыс_руб)</f>
        <v>0.22</v>
      </c>
      <c s="126">
        <f>LOOKUP(YEAR(AQ$8),Предпосылки!$C$480:$R$480,Ставки_НДФЛ_свыше_50000_тыс_руб)</f>
        <v>0.22</v>
      </c>
      <c s="126">
        <f>LOOKUP(YEAR(AR$8),Предпосылки!$C$480:$R$480,Ставки_НДФЛ_свыше_50000_тыс_руб)</f>
        <v>0.22</v>
      </c>
      <c s="126">
        <f>LOOKUP(YEAR(AS$8),Предпосылки!$C$480:$R$480,Ставки_НДФЛ_свыше_50000_тыс_руб)</f>
        <v>0.22</v>
      </c>
      <c s="126">
        <f>LOOKUP(YEAR(AT$8),Предпосылки!$C$480:$R$480,Ставки_НДФЛ_свыше_50000_тыс_руб)</f>
        <v>0.22</v>
      </c>
      <c s="126">
        <f>LOOKUP(YEAR(AU$8),Предпосылки!$C$480:$R$480,Ставки_НДФЛ_свыше_50000_тыс_руб)</f>
        <v>0.22</v>
      </c>
      <c s="126">
        <f>LOOKUP(YEAR(AV$8),Предпосылки!$C$480:$R$480,Ставки_НДФЛ_свыше_50000_тыс_руб)</f>
        <v>0.22</v>
      </c>
      <c s="126">
        <f>LOOKUP(YEAR(AW$8),Предпосылки!$C$480:$R$480,Ставки_НДФЛ_свыше_50000_тыс_руб)</f>
        <v>0.22</v>
      </c>
      <c s="126">
        <f>LOOKUP(YEAR(AX$8),Предпосылки!$C$480:$R$480,Ставки_НДФЛ_свыше_50000_тыс_руб)</f>
        <v>0.22</v>
      </c>
      <c s="126">
        <f>LOOKUP(YEAR(AY$8),Предпосылки!$C$480:$R$480,Ставки_НДФЛ_свыше_50000_тыс_руб)</f>
        <v>0.22</v>
      </c>
      <c s="126">
        <f>LOOKUP(YEAR(AZ$8),Предпосылки!$C$480:$R$480,Ставки_НДФЛ_свыше_50000_тыс_руб)</f>
        <v>0.22</v>
      </c>
      <c s="126">
        <f>LOOKUP(YEAR(BA$8),Предпосылки!$C$480:$R$480,Ставки_НДФЛ_свыше_50000_тыс_руб)</f>
        <v>0.22</v>
      </c>
      <c s="126">
        <f>LOOKUP(YEAR(BB$8),Предпосылки!$C$480:$R$480,Ставки_НДФЛ_свыше_50000_тыс_руб)</f>
        <v>0.22</v>
      </c>
      <c s="126">
        <f>LOOKUP(YEAR(BC$8),Предпосылки!$C$480:$R$480,Ставки_НДФЛ_свыше_50000_тыс_руб)</f>
        <v>0.22</v>
      </c>
      <c s="126">
        <f>LOOKUP(YEAR(BD$8),Предпосылки!$C$480:$R$480,Ставки_НДФЛ_свыше_50000_тыс_руб)</f>
        <v>0.22</v>
      </c>
      <c s="126">
        <f>LOOKUP(YEAR(BE$8),Предпосылки!$C$480:$R$480,Ставки_НДФЛ_свыше_50000_тыс_руб)</f>
        <v>0.22</v>
      </c>
      <c s="126">
        <f>LOOKUP(YEAR(BF$8),Предпосылки!$C$480:$R$480,Ставки_НДФЛ_свыше_50000_тыс_руб)</f>
        <v>0.22</v>
      </c>
      <c s="126">
        <f>LOOKUP(YEAR(BG$8),Предпосылки!$C$480:$R$480,Ставки_НДФЛ_свыше_50000_тыс_руб)</f>
        <v>0.22</v>
      </c>
      <c s="126">
        <f>LOOKUP(YEAR(BH$8),Предпосылки!$C$480:$R$480,Ставки_НДФЛ_свыше_50000_тыс_руб)</f>
        <v>0.22</v>
      </c>
      <c s="126">
        <f>LOOKUP(YEAR(BI$8),Предпосылки!$C$480:$R$480,Ставки_НДФЛ_свыше_50000_тыс_руб)</f>
        <v>0.22</v>
      </c>
      <c s="126">
        <f>LOOKUP(YEAR(BJ$8),Предпосылки!$C$480:$R$480,Ставки_НДФЛ_свыше_50000_тыс_руб)</f>
        <v>0.22</v>
      </c>
      <c s="126">
        <f>LOOKUP(YEAR(BK$8),Предпосылки!$C$480:$R$480,Ставки_НДФЛ_свыше_50000_тыс_руб)</f>
        <v>0.22</v>
      </c>
      <c s="126">
        <f>LOOKUP(YEAR(BL$8),Предпосылки!$C$480:$R$480,Ставки_НДФЛ_свыше_50000_тыс_руб)</f>
        <v>0.22</v>
      </c>
      <c s="126">
        <f>LOOKUP(YEAR(BM$8),Предпосылки!$C$480:$R$480,Ставки_НДФЛ_свыше_50000_тыс_руб)</f>
        <v>0.22</v>
      </c>
    </row>
    <row r="245" spans="2:65" ht="15" customHeight="1">
      <c r="B245" s="12" t="s">
        <v>264</v>
      </c>
      <c s="124" t="str">
        <f>Единица_измерения</f>
        <v>тыс. руб.</v>
      </c>
      <c s="125"/>
      <c s="125" t="str">
        <f>LOOKUP(YEAR(E$8),Предпосылки!$C$492:$R$492,Предпосылки!$C$497:$R$497)</f>
        <v>&gt;50000</v>
      </c>
      <c s="125" t="str">
        <f>LOOKUP(YEAR(F$8),Предпосылки!$C$492:$R$492,Предпосылки!$C$497:$R$497)</f>
        <v>&gt;50000</v>
      </c>
      <c s="125" t="str">
        <f>LOOKUP(YEAR(G$8),Предпосылки!$C$492:$R$492,Предпосылки!$C$497:$R$497)</f>
        <v>&gt;50000</v>
      </c>
      <c s="125" t="str">
        <f>LOOKUP(YEAR(H$8),Предпосылки!$C$492:$R$492,Предпосылки!$C$497:$R$497)</f>
        <v>&gt;50000</v>
      </c>
      <c s="125" t="str">
        <f>LOOKUP(YEAR(I$8),Предпосылки!$C$492:$R$492,Предпосылки!$C$497:$R$497)</f>
        <v>&gt;50000</v>
      </c>
      <c s="125" t="str">
        <f>LOOKUP(YEAR(J$8),Предпосылки!$C$492:$R$492,Предпосылки!$C$497:$R$497)</f>
        <v>&gt;50000</v>
      </c>
      <c s="125" t="str">
        <f>LOOKUP(YEAR(K$8),Предпосылки!$C$492:$R$492,Предпосылки!$C$497:$R$497)</f>
        <v>&gt;50000</v>
      </c>
      <c s="125" t="str">
        <f>LOOKUP(YEAR(L$8),Предпосылки!$C$492:$R$492,Предпосылки!$C$497:$R$497)</f>
        <v>&gt;50000</v>
      </c>
      <c s="125" t="str">
        <f>LOOKUP(YEAR(M$8),Предпосылки!$C$492:$R$492,Предпосылки!$C$497:$R$497)</f>
        <v>&gt;50000</v>
      </c>
      <c s="125" t="str">
        <f>LOOKUP(YEAR(N$8),Предпосылки!$C$492:$R$492,Предпосылки!$C$497:$R$497)</f>
        <v>&gt;50000</v>
      </c>
      <c s="125" t="str">
        <f>LOOKUP(YEAR(O$8),Предпосылки!$C$492:$R$492,Предпосылки!$C$497:$R$497)</f>
        <v>&gt;50000</v>
      </c>
      <c s="125" t="str">
        <f>LOOKUP(YEAR(P$8),Предпосылки!$C$492:$R$492,Предпосылки!$C$497:$R$497)</f>
        <v>&gt;50000</v>
      </c>
      <c s="125" t="str">
        <f>LOOKUP(YEAR(Q$8),Предпосылки!$C$492:$R$492,Предпосылки!$C$497:$R$497)</f>
        <v>&gt;50000</v>
      </c>
      <c s="125" t="str">
        <f>LOOKUP(YEAR(R$8),Предпосылки!$C$492:$R$492,Предпосылки!$C$497:$R$497)</f>
        <v>&gt;50000</v>
      </c>
      <c s="125" t="str">
        <f>LOOKUP(YEAR(S$8),Предпосылки!$C$492:$R$492,Предпосылки!$C$497:$R$497)</f>
        <v>&gt;50000</v>
      </c>
      <c s="125" t="str">
        <f>LOOKUP(YEAR(T$8),Предпосылки!$C$492:$R$492,Предпосылки!$C$497:$R$497)</f>
        <v>&gt;50000</v>
      </c>
      <c s="125" t="str">
        <f>LOOKUP(YEAR(U$8),Предпосылки!$C$492:$R$492,Предпосылки!$C$497:$R$497)</f>
        <v>&gt;50000</v>
      </c>
      <c s="125" t="str">
        <f>LOOKUP(YEAR(V$8),Предпосылки!$C$492:$R$492,Предпосылки!$C$497:$R$497)</f>
        <v>&gt;50000</v>
      </c>
      <c s="125" t="str">
        <f>LOOKUP(YEAR(W$8),Предпосылки!$C$492:$R$492,Предпосылки!$C$497:$R$497)</f>
        <v>&gt;50000</v>
      </c>
      <c s="125" t="str">
        <f>LOOKUP(YEAR(X$8),Предпосылки!$C$492:$R$492,Предпосылки!$C$497:$R$497)</f>
        <v>&gt;50000</v>
      </c>
      <c s="125" t="str">
        <f>LOOKUP(YEAR(Y$8),Предпосылки!$C$492:$R$492,Предпосылки!$C$497:$R$497)</f>
        <v>&gt;50000</v>
      </c>
      <c s="125" t="str">
        <f>LOOKUP(YEAR(Z$8),Предпосылки!$C$492:$R$492,Предпосылки!$C$497:$R$497)</f>
        <v>&gt;50000</v>
      </c>
      <c s="125" t="str">
        <f>LOOKUP(YEAR(AA$8),Предпосылки!$C$492:$R$492,Предпосылки!$C$497:$R$497)</f>
        <v>&gt;50000</v>
      </c>
      <c s="125" t="str">
        <f>LOOKUP(YEAR(AB$8),Предпосылки!$C$492:$R$492,Предпосылки!$C$497:$R$497)</f>
        <v>&gt;50000</v>
      </c>
      <c s="125" t="str">
        <f>LOOKUP(YEAR(AC$8),Предпосылки!$C$492:$R$492,Предпосылки!$C$497:$R$497)</f>
        <v>&gt;50000</v>
      </c>
      <c s="125" t="str">
        <f>LOOKUP(YEAR(AD$8),Предпосылки!$C$492:$R$492,Предпосылки!$C$497:$R$497)</f>
        <v>&gt;50000</v>
      </c>
      <c s="125" t="str">
        <f>LOOKUP(YEAR(AE$8),Предпосылки!$C$492:$R$492,Предпосылки!$C$497:$R$497)</f>
        <v>&gt;50000</v>
      </c>
      <c s="125" t="str">
        <f>LOOKUP(YEAR(AF$8),Предпосылки!$C$492:$R$492,Предпосылки!$C$497:$R$497)</f>
        <v>&gt;50000</v>
      </c>
      <c s="125" t="str">
        <f>LOOKUP(YEAR(AG$8),Предпосылки!$C$492:$R$492,Предпосылки!$C$497:$R$497)</f>
        <v>&gt;50000</v>
      </c>
      <c s="125" t="str">
        <f>LOOKUP(YEAR(AH$8),Предпосылки!$C$492:$R$492,Предпосылки!$C$497:$R$497)</f>
        <v>&gt;50000</v>
      </c>
      <c s="125" t="str">
        <f>LOOKUP(YEAR(AI$8),Предпосылки!$C$492:$R$492,Предпосылки!$C$497:$R$497)</f>
        <v>&gt;50000</v>
      </c>
      <c s="125" t="str">
        <f>LOOKUP(YEAR(AJ$8),Предпосылки!$C$492:$R$492,Предпосылки!$C$497:$R$497)</f>
        <v>&gt;50000</v>
      </c>
      <c s="125" t="str">
        <f>LOOKUP(YEAR(AK$8),Предпосылки!$C$492:$R$492,Предпосылки!$C$497:$R$497)</f>
        <v>&gt;50000</v>
      </c>
      <c s="125" t="str">
        <f>LOOKUP(YEAR(AL$8),Предпосылки!$C$492:$R$492,Предпосылки!$C$497:$R$497)</f>
        <v>&gt;50000</v>
      </c>
      <c s="125" t="str">
        <f>LOOKUP(YEAR(AM$8),Предпосылки!$C$492:$R$492,Предпосылки!$C$497:$R$497)</f>
        <v>&gt;50000</v>
      </c>
      <c s="125" t="str">
        <f>LOOKUP(YEAR(AN$8),Предпосылки!$C$492:$R$492,Предпосылки!$C$497:$R$497)</f>
        <v>&gt;50000</v>
      </c>
      <c s="125" t="str">
        <f>LOOKUP(YEAR(AO$8),Предпосылки!$C$492:$R$492,Предпосылки!$C$497:$R$497)</f>
        <v>&gt;50000</v>
      </c>
      <c s="125" t="str">
        <f>LOOKUP(YEAR(AP$8),Предпосылки!$C$492:$R$492,Предпосылки!$C$497:$R$497)</f>
        <v>&gt;50000</v>
      </c>
      <c s="125" t="str">
        <f>LOOKUP(YEAR(AQ$8),Предпосылки!$C$492:$R$492,Предпосылки!$C$497:$R$497)</f>
        <v>&gt;50000</v>
      </c>
      <c s="125" t="str">
        <f>LOOKUP(YEAR(AR$8),Предпосылки!$C$492:$R$492,Предпосылки!$C$497:$R$497)</f>
        <v>&gt;50000</v>
      </c>
      <c s="125" t="str">
        <f>LOOKUP(YEAR(AS$8),Предпосылки!$C$492:$R$492,Предпосылки!$C$497:$R$497)</f>
        <v>&gt;50000</v>
      </c>
      <c s="125" t="str">
        <f>LOOKUP(YEAR(AT$8),Предпосылки!$C$492:$R$492,Предпосылки!$C$497:$R$497)</f>
        <v>&gt;50000</v>
      </c>
      <c s="125" t="str">
        <f>LOOKUP(YEAR(AU$8),Предпосылки!$C$492:$R$492,Предпосылки!$C$497:$R$497)</f>
        <v>&gt;50000</v>
      </c>
      <c s="125" t="str">
        <f>LOOKUP(YEAR(AV$8),Предпосылки!$C$492:$R$492,Предпосылки!$C$497:$R$497)</f>
        <v>&gt;50000</v>
      </c>
      <c s="125" t="str">
        <f>LOOKUP(YEAR(AW$8),Предпосылки!$C$492:$R$492,Предпосылки!$C$497:$R$497)</f>
        <v>&gt;50000</v>
      </c>
      <c s="125" t="str">
        <f>LOOKUP(YEAR(AX$8),Предпосылки!$C$492:$R$492,Предпосылки!$C$497:$R$497)</f>
        <v>&gt;50000</v>
      </c>
      <c s="125" t="str">
        <f>LOOKUP(YEAR(AY$8),Предпосылки!$C$492:$R$492,Предпосылки!$C$497:$R$497)</f>
        <v>&gt;50000</v>
      </c>
      <c s="125" t="str">
        <f>LOOKUP(YEAR(AZ$8),Предпосылки!$C$492:$R$492,Предпосылки!$C$497:$R$497)</f>
        <v>&gt;50000</v>
      </c>
      <c s="125" t="str">
        <f>LOOKUP(YEAR(BA$8),Предпосылки!$C$492:$R$492,Предпосылки!$C$497:$R$497)</f>
        <v>&gt;50000</v>
      </c>
      <c s="125" t="str">
        <f>LOOKUP(YEAR(BB$8),Предпосылки!$C$492:$R$492,Предпосылки!$C$497:$R$497)</f>
        <v>&gt;50000</v>
      </c>
      <c s="125" t="str">
        <f>LOOKUP(YEAR(BC$8),Предпосылки!$C$492:$R$492,Предпосылки!$C$497:$R$497)</f>
        <v>&gt;50000</v>
      </c>
      <c s="125" t="str">
        <f>LOOKUP(YEAR(BD$8),Предпосылки!$C$492:$R$492,Предпосылки!$C$497:$R$497)</f>
        <v>&gt;50000</v>
      </c>
      <c s="125" t="str">
        <f>LOOKUP(YEAR(BE$8),Предпосылки!$C$492:$R$492,Предпосылки!$C$497:$R$497)</f>
        <v>&gt;50000</v>
      </c>
      <c s="125" t="str">
        <f>LOOKUP(YEAR(BF$8),Предпосылки!$C$492:$R$492,Предпосылки!$C$497:$R$497)</f>
        <v>&gt;50000</v>
      </c>
      <c s="125" t="str">
        <f>LOOKUP(YEAR(BG$8),Предпосылки!$C$492:$R$492,Предпосылки!$C$497:$R$497)</f>
        <v>&gt;50000</v>
      </c>
      <c s="125" t="str">
        <f>LOOKUP(YEAR(BH$8),Предпосылки!$C$492:$R$492,Предпосылки!$C$497:$R$497)</f>
        <v>&gt;50000</v>
      </c>
      <c s="125" t="str">
        <f>LOOKUP(YEAR(BI$8),Предпосылки!$C$492:$R$492,Предпосылки!$C$497:$R$497)</f>
        <v>&gt;50000</v>
      </c>
      <c s="125" t="str">
        <f>LOOKUP(YEAR(BJ$8),Предпосылки!$C$492:$R$492,Предпосылки!$C$497:$R$497)</f>
        <v>&gt;50000</v>
      </c>
      <c s="125" t="str">
        <f>LOOKUP(YEAR(BK$8),Предпосылки!$C$492:$R$492,Предпосылки!$C$497:$R$497)</f>
        <v>&gt;50000</v>
      </c>
      <c s="125" t="str">
        <f>LOOKUP(YEAR(BL$8),Предпосылки!$C$492:$R$492,Предпосылки!$C$497:$R$497)</f>
        <v>&gt;50000</v>
      </c>
      <c s="125" t="str">
        <f>LOOKUP(YEAR(BM$8),Предпосылки!$C$492:$R$492,Предпосылки!$C$497:$R$497)</f>
        <v>&gt;50000</v>
      </c>
    </row>
    <row r="246" spans="2:65" ht="15" customHeight="1">
      <c r="B246" s="30"/>
      <c s="364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247" spans="2:65" ht="22.5" customHeight="1">
      <c r="B247" s="30" t="s">
        <v>946</v>
      </c>
      <c s="364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248" spans="2:65" ht="15" customHeight="1">
      <c r="B248" s="12" t="str">
        <f t="shared" si="546" ref="B248:B272">B209</f>
        <v>-</v>
      </c>
      <c s="124" t="str">
        <f t="shared" si="547" ref="C248:C272">Единица_измерения</f>
        <v>тыс. руб.</v>
      </c>
      <c s="276">
        <f>SUM(E248:BM248)</f>
        <v>0</v>
      </c>
      <c s="170">
        <f>MIN(E209,E$237)*E$236+IF(E209&gt;E$237,MIN(E$239-E$237,E209-E$237),0)*E$238+IF(E209&gt;E$239,MIN(E$241-E$239,E209-E$239),0)*E$240+IF(E209&gt;E$241,MIN(E$243-E$241,E209-E$241),0)*E$242+IF(E209&gt;E$243,E209-E$243,0)*E$244</f>
        <v>0</v>
      </c>
      <c s="170">
        <f t="shared" si="548" ref="F248:H248">MIN(F209,F$237)*F$236+IF(F209&gt;F$237,MIN(F$239-F$237,F209-F$237),0)*F$238+IF(F209&gt;F$239,MIN(F$241-F$239,F209-F$239),0)*F$240+IF(F209&gt;F$241,MIN(F$243-F$241,F209-F$241),0)*F$242+IF(F209&gt;F$243,F209-F$243,0)*F$244</f>
        <v>0</v>
      </c>
      <c s="170">
        <f t="shared" si="548"/>
        <v>0</v>
      </c>
      <c s="170">
        <f t="shared" si="548"/>
        <v>0</v>
      </c>
      <c s="170">
        <f t="shared" si="549" ref="I248:P258">MIN(I209,I$237)*I$236+IF(I209&gt;I$237,MIN(I$239-I$237,I209-I$237),0)*I$238+IF(I209&gt;I$239,MIN(I$241-I$239,I209-I$239),0)*I$240+IF(I209&gt;I$241,MIN(I$243-I$241,I209-I$241),0)*I$242+IF(I209&gt;I$243,I209-I$243,0)*I$244</f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50" ref="Q248:BM248">MIN(Q209,Q$237)*Q$236+IF(Q209&gt;Q$237,MIN(Q$239-Q$237,Q209-Q$237),0)*Q$238+IF(Q209&gt;Q$239,MIN(Q$241-Q$239,Q209-Q$239),0)*Q$240+IF(Q209&gt;Q$241,MIN(Q$243-Q$241,Q209-Q$241),0)*Q$242+IF(Q209&gt;Q$243,Q209-Q$243,0)*Q$244</f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  <c s="170">
        <f t="shared" si="550"/>
        <v>0</v>
      </c>
    </row>
    <row r="249" spans="2:65" ht="15" customHeight="1">
      <c r="B249" s="12" t="str">
        <f t="shared" si="546"/>
        <v>-</v>
      </c>
      <c s="124" t="str">
        <f t="shared" si="547"/>
        <v>тыс. руб.</v>
      </c>
      <c s="276">
        <f t="shared" si="551" ref="D249:D272">SUM(E249:BM249)</f>
        <v>0</v>
      </c>
      <c s="170">
        <f>MIN(E210,E$237)*E$236+IF(E210&gt;E$237,MIN(E$239-E$237,E210-E$237),0)*E$238+IF(E210&gt;E$239,MIN(E$241-E$239,E210-E$239),0)*E$240+IF(E210&gt;E$241,MIN(E$243-E$241,E210-E$241),0)*E$242+IF(E210&gt;E$243,E210-E$243,0)*E$244</f>
        <v>0</v>
      </c>
      <c s="170">
        <f t="shared" si="552" ref="F249:H249">MIN(F210,F$237)*F$236+IF(F210&gt;F$237,MIN(F$239-F$237,F210-F$237),0)*F$238+IF(F210&gt;F$239,MIN(F$241-F$239,F210-F$239),0)*F$240+IF(F210&gt;F$241,MIN(F$243-F$241,F210-F$241),0)*F$242+IF(F210&gt;F$243,F210-F$243,0)*F$244</f>
        <v>0</v>
      </c>
      <c s="170">
        <f t="shared" si="552"/>
        <v>0</v>
      </c>
      <c s="170">
        <f t="shared" si="552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53" ref="Q249:BM249">MIN(Q210,Q$237)*Q$236+IF(Q210&gt;Q$237,MIN(Q$239-Q$237,Q210-Q$237),0)*Q$238+IF(Q210&gt;Q$239,MIN(Q$241-Q$239,Q210-Q$239),0)*Q$240+IF(Q210&gt;Q$241,MIN(Q$243-Q$241,Q210-Q$241),0)*Q$242+IF(Q210&gt;Q$243,Q210-Q$243,0)*Q$244</f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  <c s="170">
        <f t="shared" si="553"/>
        <v>0</v>
      </c>
    </row>
    <row r="250" spans="2:65" ht="15" customHeight="1">
      <c r="B250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>MIN(E211,E$237)*E$236+IF(E211&gt;E$237,MIN(E$239-E$237,E211-E$237),0)*E$238+IF(E211&gt;E$239,MIN(E$241-E$239,E211-E$239),0)*E$240+IF(E211&gt;E$241,MIN(E$243-E$241,E211-E$241),0)*E$242+IF(E211&gt;E$243,E211-E$243,0)*E$244</f>
        <v>0</v>
      </c>
      <c s="170">
        <f t="shared" si="554" ref="F250:H250">MIN(F211,F$237)*F$236+IF(F211&gt;F$237,MIN(F$239-F$237,F211-F$237),0)*F$238+IF(F211&gt;F$239,MIN(F$241-F$239,F211-F$239),0)*F$240+IF(F211&gt;F$241,MIN(F$243-F$241,F211-F$241),0)*F$242+IF(F211&gt;F$243,F211-F$243,0)*F$244</f>
        <v>0</v>
      </c>
      <c s="170">
        <f t="shared" si="554"/>
        <v>0</v>
      </c>
      <c s="170">
        <f t="shared" si="554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55" ref="Q250:BM250">MIN(Q211,Q$237)*Q$236+IF(Q211&gt;Q$237,MIN(Q$239-Q$237,Q211-Q$237),0)*Q$238+IF(Q211&gt;Q$239,MIN(Q$241-Q$239,Q211-Q$239),0)*Q$240+IF(Q211&gt;Q$241,MIN(Q$243-Q$241,Q211-Q$241),0)*Q$242+IF(Q211&gt;Q$243,Q211-Q$243,0)*Q$244</f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  <c s="170">
        <f t="shared" si="555"/>
        <v>0</v>
      </c>
    </row>
    <row r="251" spans="2:65" ht="15" customHeight="1">
      <c r="B251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>MIN(E212,E$237)*E$236+IF(E212&gt;E$237,MIN(E$239-E$237,E212-E$237),0)*E$238+IF(E212&gt;E$239,MIN(E$241-E$239,E212-E$239),0)*E$240+IF(E212&gt;E$241,MIN(E$243-E$241,E212-E$241),0)*E$242+IF(E212&gt;E$243,E212-E$243,0)*E$244</f>
        <v>0</v>
      </c>
      <c s="170">
        <f t="shared" si="556" ref="F251:H251">MIN(F212,F$237)*F$236+IF(F212&gt;F$237,MIN(F$239-F$237,F212-F$237),0)*F$238+IF(F212&gt;F$239,MIN(F$241-F$239,F212-F$239),0)*F$240+IF(F212&gt;F$241,MIN(F$243-F$241,F212-F$241),0)*F$242+IF(F212&gt;F$243,F212-F$243,0)*F$244</f>
        <v>0</v>
      </c>
      <c s="170">
        <f t="shared" si="556"/>
        <v>0</v>
      </c>
      <c s="170">
        <f t="shared" si="556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57" ref="Q251:BM251">MIN(Q212,Q$237)*Q$236+IF(Q212&gt;Q$237,MIN(Q$239-Q$237,Q212-Q$237),0)*Q$238+IF(Q212&gt;Q$239,MIN(Q$241-Q$239,Q212-Q$239),0)*Q$240+IF(Q212&gt;Q$241,MIN(Q$243-Q$241,Q212-Q$241),0)*Q$242+IF(Q212&gt;Q$243,Q212-Q$243,0)*Q$244</f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</row>
    <row r="252" spans="2:65" ht="15" customHeight="1">
      <c r="B252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>MIN(E213,E$237)*E$236+IF(E213&gt;E$237,MIN(E$239-E$237,E213-E$237),0)*E$238+IF(E213&gt;E$239,MIN(E$241-E$239,E213-E$239),0)*E$240+IF(E213&gt;E$241,MIN(E$243-E$241,E213-E$241),0)*E$242+IF(E213&gt;E$243,E213-E$243,0)*E$244</f>
        <v>0</v>
      </c>
      <c s="170">
        <f t="shared" si="558" ref="F252:H252">MIN(F213,F$237)*F$236+IF(F213&gt;F$237,MIN(F$239-F$237,F213-F$237),0)*F$238+IF(F213&gt;F$239,MIN(F$241-F$239,F213-F$239),0)*F$240+IF(F213&gt;F$241,MIN(F$243-F$241,F213-F$241),0)*F$242+IF(F213&gt;F$243,F213-F$243,0)*F$244</f>
        <v>0</v>
      </c>
      <c s="170">
        <f t="shared" si="558"/>
        <v>0</v>
      </c>
      <c s="170">
        <f t="shared" si="558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59" ref="Q252:BM252">MIN(Q213,Q$237)*Q$236+IF(Q213&gt;Q$237,MIN(Q$239-Q$237,Q213-Q$237),0)*Q$238+IF(Q213&gt;Q$239,MIN(Q$241-Q$239,Q213-Q$239),0)*Q$240+IF(Q213&gt;Q$241,MIN(Q$243-Q$241,Q213-Q$241),0)*Q$242+IF(Q213&gt;Q$243,Q213-Q$243,0)*Q$244</f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  <c s="170">
        <f t="shared" si="559"/>
        <v>0</v>
      </c>
    </row>
    <row r="253" spans="2:65" ht="15" customHeight="1">
      <c r="B253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60" ref="E253:H253">MIN(E214,E$237)*E$236+IF(E214&gt;E$237,MIN(E$239-E$237,E214-E$237),0)*E$238+IF(E214&gt;E$239,MIN(E$241-E$239,E214-E$239),0)*E$240+IF(E214&gt;E$241,MIN(E$243-E$241,E214-E$241),0)*E$242+IF(E214&gt;E$243,E214-E$243,0)*E$244</f>
        <v>0</v>
      </c>
      <c s="170">
        <f t="shared" si="560"/>
        <v>0</v>
      </c>
      <c s="170">
        <f t="shared" si="560"/>
        <v>0</v>
      </c>
      <c s="170">
        <f t="shared" si="560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61" ref="Q253:BM253">MIN(Q214,Q$237)*Q$236+IF(Q214&gt;Q$237,MIN(Q$239-Q$237,Q214-Q$237),0)*Q$238+IF(Q214&gt;Q$239,MIN(Q$241-Q$239,Q214-Q$239),0)*Q$240+IF(Q214&gt;Q$241,MIN(Q$243-Q$241,Q214-Q$241),0)*Q$242+IF(Q214&gt;Q$243,Q214-Q$243,0)*Q$244</f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  <c s="170">
        <f t="shared" si="561"/>
        <v>0</v>
      </c>
    </row>
    <row r="254" spans="2:65" ht="15" customHeight="1">
      <c r="B254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62" ref="E254:H254">MIN(E215,E$237)*E$236+IF(E215&gt;E$237,MIN(E$239-E$237,E215-E$237),0)*E$238+IF(E215&gt;E$239,MIN(E$241-E$239,E215-E$239),0)*E$240+IF(E215&gt;E$241,MIN(E$243-E$241,E215-E$241),0)*E$242+IF(E215&gt;E$243,E215-E$243,0)*E$244</f>
        <v>0</v>
      </c>
      <c s="170">
        <f t="shared" si="562"/>
        <v>0</v>
      </c>
      <c s="170">
        <f t="shared" si="562"/>
        <v>0</v>
      </c>
      <c s="170">
        <f t="shared" si="562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63" ref="Q254:BM254">MIN(Q215,Q$237)*Q$236+IF(Q215&gt;Q$237,MIN(Q$239-Q$237,Q215-Q$237),0)*Q$238+IF(Q215&gt;Q$239,MIN(Q$241-Q$239,Q215-Q$239),0)*Q$240+IF(Q215&gt;Q$241,MIN(Q$243-Q$241,Q215-Q$241),0)*Q$242+IF(Q215&gt;Q$243,Q215-Q$243,0)*Q$244</f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  <c s="170">
        <f t="shared" si="563"/>
        <v>0</v>
      </c>
    </row>
    <row r="255" spans="2:65" ht="15" customHeight="1">
      <c r="B255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64" ref="E255:H255">MIN(E216,E$237)*E$236+IF(E216&gt;E$237,MIN(E$239-E$237,E216-E$237),0)*E$238+IF(E216&gt;E$239,MIN(E$241-E$239,E216-E$239),0)*E$240+IF(E216&gt;E$241,MIN(E$243-E$241,E216-E$241),0)*E$242+IF(E216&gt;E$243,E216-E$243,0)*E$244</f>
        <v>0</v>
      </c>
      <c s="170">
        <f t="shared" si="564"/>
        <v>0</v>
      </c>
      <c s="170">
        <f t="shared" si="564"/>
        <v>0</v>
      </c>
      <c s="170">
        <f t="shared" si="564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65" ref="Q255:BM255">MIN(Q216,Q$237)*Q$236+IF(Q216&gt;Q$237,MIN(Q$239-Q$237,Q216-Q$237),0)*Q$238+IF(Q216&gt;Q$239,MIN(Q$241-Q$239,Q216-Q$239),0)*Q$240+IF(Q216&gt;Q$241,MIN(Q$243-Q$241,Q216-Q$241),0)*Q$242+IF(Q216&gt;Q$243,Q216-Q$243,0)*Q$244</f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  <c s="170">
        <f t="shared" si="565"/>
        <v>0</v>
      </c>
    </row>
    <row r="256" spans="2:65" ht="15" customHeight="1">
      <c r="B256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66" ref="E256:H256">MIN(E217,E$237)*E$236+IF(E217&gt;E$237,MIN(E$239-E$237,E217-E$237),0)*E$238+IF(E217&gt;E$239,MIN(E$241-E$239,E217-E$239),0)*E$240+IF(E217&gt;E$241,MIN(E$243-E$241,E217-E$241),0)*E$242+IF(E217&gt;E$243,E217-E$243,0)*E$244</f>
        <v>0</v>
      </c>
      <c s="170">
        <f t="shared" si="566"/>
        <v>0</v>
      </c>
      <c s="170">
        <f t="shared" si="566"/>
        <v>0</v>
      </c>
      <c s="170">
        <f t="shared" si="566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67" ref="Q256:BM256">MIN(Q217,Q$237)*Q$236+IF(Q217&gt;Q$237,MIN(Q$239-Q$237,Q217-Q$237),0)*Q$238+IF(Q217&gt;Q$239,MIN(Q$241-Q$239,Q217-Q$239),0)*Q$240+IF(Q217&gt;Q$241,MIN(Q$243-Q$241,Q217-Q$241),0)*Q$242+IF(Q217&gt;Q$243,Q217-Q$243,0)*Q$244</f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  <c s="170">
        <f t="shared" si="567"/>
        <v>0</v>
      </c>
    </row>
    <row r="257" spans="2:65" ht="15" customHeight="1">
      <c r="B257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68" ref="E257:H257">MIN(E218,E$237)*E$236+IF(E218&gt;E$237,MIN(E$239-E$237,E218-E$237),0)*E$238+IF(E218&gt;E$239,MIN(E$241-E$239,E218-E$239),0)*E$240+IF(E218&gt;E$241,MIN(E$243-E$241,E218-E$241),0)*E$242+IF(E218&gt;E$243,E218-E$243,0)*E$244</f>
        <v>0</v>
      </c>
      <c s="170">
        <f t="shared" si="568"/>
        <v>0</v>
      </c>
      <c s="170">
        <f t="shared" si="568"/>
        <v>0</v>
      </c>
      <c s="170">
        <f t="shared" si="568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69" ref="Q257:BM257">MIN(Q218,Q$237)*Q$236+IF(Q218&gt;Q$237,MIN(Q$239-Q$237,Q218-Q$237),0)*Q$238+IF(Q218&gt;Q$239,MIN(Q$241-Q$239,Q218-Q$239),0)*Q$240+IF(Q218&gt;Q$241,MIN(Q$243-Q$241,Q218-Q$241),0)*Q$242+IF(Q218&gt;Q$243,Q218-Q$243,0)*Q$244</f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  <c s="170">
        <f t="shared" si="569"/>
        <v>0</v>
      </c>
    </row>
    <row r="258" spans="2:65" ht="15" customHeight="1">
      <c r="B258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70" ref="E258:H258">MIN(E219,E$237)*E$236+IF(E219&gt;E$237,MIN(E$239-E$237,E219-E$237),0)*E$238+IF(E219&gt;E$239,MIN(E$241-E$239,E219-E$239),0)*E$240+IF(E219&gt;E$241,MIN(E$243-E$241,E219-E$241),0)*E$242+IF(E219&gt;E$243,E219-E$243,0)*E$244</f>
        <v>0</v>
      </c>
      <c s="170">
        <f t="shared" si="570"/>
        <v>0</v>
      </c>
      <c s="170">
        <f t="shared" si="570"/>
        <v>0</v>
      </c>
      <c s="170">
        <f t="shared" si="570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49"/>
        <v>0</v>
      </c>
      <c s="170">
        <f t="shared" si="571" ref="Q258:BM258">MIN(Q219,Q$237)*Q$236+IF(Q219&gt;Q$237,MIN(Q$239-Q$237,Q219-Q$237),0)*Q$238+IF(Q219&gt;Q$239,MIN(Q$241-Q$239,Q219-Q$239),0)*Q$240+IF(Q219&gt;Q$241,MIN(Q$243-Q$241,Q219-Q$241),0)*Q$242+IF(Q219&gt;Q$243,Q219-Q$243,0)*Q$244</f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  <c s="170">
        <f t="shared" si="571"/>
        <v>0</v>
      </c>
    </row>
    <row r="259" spans="2:65" ht="15" customHeight="1">
      <c r="B259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72" ref="E259:H259">MIN(E220,E$237)*E$236+IF(E220&gt;E$237,MIN(E$239-E$237,E220-E$237),0)*E$238+IF(E220&gt;E$239,MIN(E$241-E$239,E220-E$239),0)*E$240+IF(E220&gt;E$241,MIN(E$243-E$241,E220-E$241),0)*E$242+IF(E220&gt;E$243,E220-E$243,0)*E$244</f>
        <v>0</v>
      </c>
      <c s="170">
        <f t="shared" si="572"/>
        <v>0</v>
      </c>
      <c s="170">
        <f t="shared" si="572"/>
        <v>0</v>
      </c>
      <c s="170">
        <f t="shared" si="572"/>
        <v>0</v>
      </c>
      <c s="170">
        <f t="shared" si="573" ref="I259:P259">MIN(I220,I$237)*I$236+IF(I220&gt;I$237,MIN(I$239-I$237,I220-I$237),0)*I$238+IF(I220&gt;I$239,MIN(I$241-I$239,I220-I$239),0)*I$240+IF(I220&gt;I$241,MIN(I$243-I$241,I220-I$241),0)*I$242+IF(I220&gt;I$243,I220-I$243,0)*I$244</f>
        <v>0</v>
      </c>
      <c s="170">
        <f t="shared" si="573"/>
        <v>0</v>
      </c>
      <c s="170">
        <f t="shared" si="573"/>
        <v>0</v>
      </c>
      <c s="170">
        <f t="shared" si="573"/>
        <v>0</v>
      </c>
      <c s="170">
        <f t="shared" si="573"/>
        <v>0</v>
      </c>
      <c s="170">
        <f t="shared" si="573"/>
        <v>0</v>
      </c>
      <c s="170">
        <f t="shared" si="573"/>
        <v>0</v>
      </c>
      <c s="170">
        <f t="shared" si="573"/>
        <v>0</v>
      </c>
      <c s="170">
        <f t="shared" si="574" ref="Q259:BM259">MIN(Q220,Q$237)*Q$236+IF(Q220&gt;Q$237,MIN(Q$239-Q$237,Q220-Q$237),0)*Q$238+IF(Q220&gt;Q$239,MIN(Q$241-Q$239,Q220-Q$239),0)*Q$240+IF(Q220&gt;Q$241,MIN(Q$243-Q$241,Q220-Q$241),0)*Q$242+IF(Q220&gt;Q$243,Q220-Q$243,0)*Q$244</f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  <c s="170">
        <f t="shared" si="574"/>
        <v>0</v>
      </c>
    </row>
    <row r="260" spans="2:65" ht="15" customHeight="1">
      <c r="B260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75" ref="E260:H260">MIN(E221,E$237)*E$236+IF(E221&gt;E$237,MIN(E$239-E$237,E221-E$237),0)*E$238+IF(E221&gt;E$239,MIN(E$241-E$239,E221-E$239),0)*E$240+IF(E221&gt;E$241,MIN(E$243-E$241,E221-E$241),0)*E$242+IF(E221&gt;E$243,E221-E$243,0)*E$244</f>
        <v>0</v>
      </c>
      <c s="170">
        <f t="shared" si="575"/>
        <v>0</v>
      </c>
      <c s="170">
        <f t="shared" si="575"/>
        <v>0</v>
      </c>
      <c s="170">
        <f t="shared" si="575"/>
        <v>0</v>
      </c>
      <c s="170">
        <f t="shared" si="576" ref="I260:P260">MIN(I221,I$237)*I$236+IF(I221&gt;I$237,MIN(I$239-I$237,I221-I$237),0)*I$238+IF(I221&gt;I$239,MIN(I$241-I$239,I221-I$239),0)*I$240+IF(I221&gt;I$241,MIN(I$243-I$241,I221-I$241),0)*I$242+IF(I221&gt;I$243,I221-I$243,0)*I$244</f>
        <v>0</v>
      </c>
      <c s="170">
        <f t="shared" si="576"/>
        <v>0</v>
      </c>
      <c s="170">
        <f t="shared" si="576"/>
        <v>0</v>
      </c>
      <c s="170">
        <f t="shared" si="576"/>
        <v>0</v>
      </c>
      <c s="170">
        <f t="shared" si="576"/>
        <v>0</v>
      </c>
      <c s="170">
        <f t="shared" si="576"/>
        <v>0</v>
      </c>
      <c s="170">
        <f t="shared" si="576"/>
        <v>0</v>
      </c>
      <c s="170">
        <f t="shared" si="576"/>
        <v>0</v>
      </c>
      <c s="170">
        <f t="shared" si="577" ref="Q260:BM260">MIN(Q221,Q$237)*Q$236+IF(Q221&gt;Q$237,MIN(Q$239-Q$237,Q221-Q$237),0)*Q$238+IF(Q221&gt;Q$239,MIN(Q$241-Q$239,Q221-Q$239),0)*Q$240+IF(Q221&gt;Q$241,MIN(Q$243-Q$241,Q221-Q$241),0)*Q$242+IF(Q221&gt;Q$243,Q221-Q$243,0)*Q$244</f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  <c s="170">
        <f t="shared" si="577"/>
        <v>0</v>
      </c>
    </row>
    <row r="261" spans="2:65" ht="15" customHeight="1">
      <c r="B261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78" ref="E261:H261">MIN(E222,E$237)*E$236+IF(E222&gt;E$237,MIN(E$239-E$237,E222-E$237),0)*E$238+IF(E222&gt;E$239,MIN(E$241-E$239,E222-E$239),0)*E$240+IF(E222&gt;E$241,MIN(E$243-E$241,E222-E$241),0)*E$242+IF(E222&gt;E$243,E222-E$243,0)*E$244</f>
        <v>0</v>
      </c>
      <c s="170">
        <f t="shared" si="578"/>
        <v>0</v>
      </c>
      <c s="170">
        <f t="shared" si="578"/>
        <v>0</v>
      </c>
      <c s="170">
        <f t="shared" si="578"/>
        <v>0</v>
      </c>
      <c s="170">
        <f t="shared" si="579" ref="I261:P261">MIN(I222,I$237)*I$236+IF(I222&gt;I$237,MIN(I$239-I$237,I222-I$237),0)*I$238+IF(I222&gt;I$239,MIN(I$241-I$239,I222-I$239),0)*I$240+IF(I222&gt;I$241,MIN(I$243-I$241,I222-I$241),0)*I$242+IF(I222&gt;I$243,I222-I$243,0)*I$244</f>
        <v>0</v>
      </c>
      <c s="170">
        <f t="shared" si="579"/>
        <v>0</v>
      </c>
      <c s="170">
        <f t="shared" si="579"/>
        <v>0</v>
      </c>
      <c s="170">
        <f t="shared" si="579"/>
        <v>0</v>
      </c>
      <c s="170">
        <f t="shared" si="579"/>
        <v>0</v>
      </c>
      <c s="170">
        <f t="shared" si="579"/>
        <v>0</v>
      </c>
      <c s="170">
        <f t="shared" si="579"/>
        <v>0</v>
      </c>
      <c s="170">
        <f t="shared" si="579"/>
        <v>0</v>
      </c>
      <c s="170">
        <f t="shared" si="580" ref="Q261:BM261">MIN(Q222,Q$237)*Q$236+IF(Q222&gt;Q$237,MIN(Q$239-Q$237,Q222-Q$237),0)*Q$238+IF(Q222&gt;Q$239,MIN(Q$241-Q$239,Q222-Q$239),0)*Q$240+IF(Q222&gt;Q$241,MIN(Q$243-Q$241,Q222-Q$241),0)*Q$242+IF(Q222&gt;Q$243,Q222-Q$243,0)*Q$244</f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  <c s="170">
        <f t="shared" si="580"/>
        <v>0</v>
      </c>
    </row>
    <row r="262" spans="2:65" ht="15" customHeight="1">
      <c r="B262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81" ref="E262:H262">MIN(E223,E$237)*E$236+IF(E223&gt;E$237,MIN(E$239-E$237,E223-E$237),0)*E$238+IF(E223&gt;E$239,MIN(E$241-E$239,E223-E$239),0)*E$240+IF(E223&gt;E$241,MIN(E$243-E$241,E223-E$241),0)*E$242+IF(E223&gt;E$243,E223-E$243,0)*E$244</f>
        <v>0</v>
      </c>
      <c s="170">
        <f t="shared" si="581"/>
        <v>0</v>
      </c>
      <c s="170">
        <f t="shared" si="581"/>
        <v>0</v>
      </c>
      <c s="170">
        <f t="shared" si="581"/>
        <v>0</v>
      </c>
      <c s="170">
        <f t="shared" si="582" ref="I262:P262">MIN(I223,I$237)*I$236+IF(I223&gt;I$237,MIN(I$239-I$237,I223-I$237),0)*I$238+IF(I223&gt;I$239,MIN(I$241-I$239,I223-I$239),0)*I$240+IF(I223&gt;I$241,MIN(I$243-I$241,I223-I$241),0)*I$242+IF(I223&gt;I$243,I223-I$243,0)*I$244</f>
        <v>0</v>
      </c>
      <c s="170">
        <f t="shared" si="582"/>
        <v>0</v>
      </c>
      <c s="170">
        <f t="shared" si="582"/>
        <v>0</v>
      </c>
      <c s="170">
        <f t="shared" si="582"/>
        <v>0</v>
      </c>
      <c s="170">
        <f t="shared" si="582"/>
        <v>0</v>
      </c>
      <c s="170">
        <f t="shared" si="582"/>
        <v>0</v>
      </c>
      <c s="170">
        <f t="shared" si="582"/>
        <v>0</v>
      </c>
      <c s="170">
        <f t="shared" si="582"/>
        <v>0</v>
      </c>
      <c s="170">
        <f t="shared" si="583" ref="Q262:BM262">MIN(Q223,Q$237)*Q$236+IF(Q223&gt;Q$237,MIN(Q$239-Q$237,Q223-Q$237),0)*Q$238+IF(Q223&gt;Q$239,MIN(Q$241-Q$239,Q223-Q$239),0)*Q$240+IF(Q223&gt;Q$241,MIN(Q$243-Q$241,Q223-Q$241),0)*Q$242+IF(Q223&gt;Q$243,Q223-Q$243,0)*Q$244</f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  <c s="170">
        <f t="shared" si="583"/>
        <v>0</v>
      </c>
    </row>
    <row r="263" spans="2:65" ht="15" customHeight="1">
      <c r="B263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84" ref="E263:H263">MIN(E224,E$237)*E$236+IF(E224&gt;E$237,MIN(E$239-E$237,E224-E$237),0)*E$238+IF(E224&gt;E$239,MIN(E$241-E$239,E224-E$239),0)*E$240+IF(E224&gt;E$241,MIN(E$243-E$241,E224-E$241),0)*E$242+IF(E224&gt;E$243,E224-E$243,0)*E$244</f>
        <v>0</v>
      </c>
      <c s="170">
        <f t="shared" si="584"/>
        <v>0</v>
      </c>
      <c s="170">
        <f t="shared" si="584"/>
        <v>0</v>
      </c>
      <c s="170">
        <f t="shared" si="584"/>
        <v>0</v>
      </c>
      <c s="170">
        <f t="shared" si="585" ref="I263:P263">MIN(I224,I$237)*I$236+IF(I224&gt;I$237,MIN(I$239-I$237,I224-I$237),0)*I$238+IF(I224&gt;I$239,MIN(I$241-I$239,I224-I$239),0)*I$240+IF(I224&gt;I$241,MIN(I$243-I$241,I224-I$241),0)*I$242+IF(I224&gt;I$243,I224-I$243,0)*I$244</f>
        <v>0</v>
      </c>
      <c s="170">
        <f t="shared" si="585"/>
        <v>0</v>
      </c>
      <c s="170">
        <f t="shared" si="585"/>
        <v>0</v>
      </c>
      <c s="170">
        <f t="shared" si="585"/>
        <v>0</v>
      </c>
      <c s="170">
        <f t="shared" si="585"/>
        <v>0</v>
      </c>
      <c s="170">
        <f t="shared" si="585"/>
        <v>0</v>
      </c>
      <c s="170">
        <f t="shared" si="585"/>
        <v>0</v>
      </c>
      <c s="170">
        <f t="shared" si="585"/>
        <v>0</v>
      </c>
      <c s="170">
        <f t="shared" si="586" ref="Q263:BM263">MIN(Q224,Q$237)*Q$236+IF(Q224&gt;Q$237,MIN(Q$239-Q$237,Q224-Q$237),0)*Q$238+IF(Q224&gt;Q$239,MIN(Q$241-Q$239,Q224-Q$239),0)*Q$240+IF(Q224&gt;Q$241,MIN(Q$243-Q$241,Q224-Q$241),0)*Q$242+IF(Q224&gt;Q$243,Q224-Q$243,0)*Q$244</f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  <c s="170">
        <f t="shared" si="586"/>
        <v>0</v>
      </c>
    </row>
    <row r="264" spans="2:65" ht="15" customHeight="1">
      <c r="B264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87" ref="E264:H264">MIN(E225,E$237)*E$236+IF(E225&gt;E$237,MIN(E$239-E$237,E225-E$237),0)*E$238+IF(E225&gt;E$239,MIN(E$241-E$239,E225-E$239),0)*E$240+IF(E225&gt;E$241,MIN(E$243-E$241,E225-E$241),0)*E$242+IF(E225&gt;E$243,E225-E$243,0)*E$244</f>
        <v>0</v>
      </c>
      <c s="170">
        <f t="shared" si="587"/>
        <v>0</v>
      </c>
      <c s="170">
        <f t="shared" si="587"/>
        <v>0</v>
      </c>
      <c s="170">
        <f t="shared" si="587"/>
        <v>0</v>
      </c>
      <c s="170">
        <f t="shared" si="588" ref="I264:P264">MIN(I225,I$237)*I$236+IF(I225&gt;I$237,MIN(I$239-I$237,I225-I$237),0)*I$238+IF(I225&gt;I$239,MIN(I$241-I$239,I225-I$239),0)*I$240+IF(I225&gt;I$241,MIN(I$243-I$241,I225-I$241),0)*I$242+IF(I225&gt;I$243,I225-I$243,0)*I$244</f>
        <v>0</v>
      </c>
      <c s="170">
        <f t="shared" si="588"/>
        <v>0</v>
      </c>
      <c s="170">
        <f t="shared" si="588"/>
        <v>0</v>
      </c>
      <c s="170">
        <f t="shared" si="588"/>
        <v>0</v>
      </c>
      <c s="170">
        <f t="shared" si="588"/>
        <v>0</v>
      </c>
      <c s="170">
        <f t="shared" si="588"/>
        <v>0</v>
      </c>
      <c s="170">
        <f t="shared" si="588"/>
        <v>0</v>
      </c>
      <c s="170">
        <f t="shared" si="588"/>
        <v>0</v>
      </c>
      <c s="170">
        <f t="shared" si="589" ref="Q264:BM264">MIN(Q225,Q$237)*Q$236+IF(Q225&gt;Q$237,MIN(Q$239-Q$237,Q225-Q$237),0)*Q$238+IF(Q225&gt;Q$239,MIN(Q$241-Q$239,Q225-Q$239),0)*Q$240+IF(Q225&gt;Q$241,MIN(Q$243-Q$241,Q225-Q$241),0)*Q$242+IF(Q225&gt;Q$243,Q225-Q$243,0)*Q$244</f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</row>
    <row r="265" spans="2:65" ht="15" customHeight="1">
      <c r="B265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90" ref="E265:H265">MIN(E226,E$237)*E$236+IF(E226&gt;E$237,MIN(E$239-E$237,E226-E$237),0)*E$238+IF(E226&gt;E$239,MIN(E$241-E$239,E226-E$239),0)*E$240+IF(E226&gt;E$241,MIN(E$243-E$241,E226-E$241),0)*E$242+IF(E226&gt;E$243,E226-E$243,0)*E$244</f>
        <v>0</v>
      </c>
      <c s="170">
        <f t="shared" si="590"/>
        <v>0</v>
      </c>
      <c s="170">
        <f t="shared" si="590"/>
        <v>0</v>
      </c>
      <c s="170">
        <f t="shared" si="590"/>
        <v>0</v>
      </c>
      <c s="170">
        <f t="shared" si="591" ref="I265:P265">MIN(I226,I$237)*I$236+IF(I226&gt;I$237,MIN(I$239-I$237,I226-I$237),0)*I$238+IF(I226&gt;I$239,MIN(I$241-I$239,I226-I$239),0)*I$240+IF(I226&gt;I$241,MIN(I$243-I$241,I226-I$241),0)*I$242+IF(I226&gt;I$243,I226-I$243,0)*I$244</f>
        <v>0</v>
      </c>
      <c s="170">
        <f t="shared" si="591"/>
        <v>0</v>
      </c>
      <c s="170">
        <f t="shared" si="591"/>
        <v>0</v>
      </c>
      <c s="170">
        <f t="shared" si="591"/>
        <v>0</v>
      </c>
      <c s="170">
        <f t="shared" si="591"/>
        <v>0</v>
      </c>
      <c s="170">
        <f t="shared" si="591"/>
        <v>0</v>
      </c>
      <c s="170">
        <f t="shared" si="591"/>
        <v>0</v>
      </c>
      <c s="170">
        <f t="shared" si="591"/>
        <v>0</v>
      </c>
      <c s="170">
        <f t="shared" si="592" ref="Q265:BM265">MIN(Q226,Q$237)*Q$236+IF(Q226&gt;Q$237,MIN(Q$239-Q$237,Q226-Q$237),0)*Q$238+IF(Q226&gt;Q$239,MIN(Q$241-Q$239,Q226-Q$239),0)*Q$240+IF(Q226&gt;Q$241,MIN(Q$243-Q$241,Q226-Q$241),0)*Q$242+IF(Q226&gt;Q$243,Q226-Q$243,0)*Q$244</f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  <c s="170">
        <f t="shared" si="592"/>
        <v>0</v>
      </c>
    </row>
    <row r="266" spans="2:65" ht="15" customHeight="1">
      <c r="B266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93" ref="E266:H266">MIN(E227,E$237)*E$236+IF(E227&gt;E$237,MIN(E$239-E$237,E227-E$237),0)*E$238+IF(E227&gt;E$239,MIN(E$241-E$239,E227-E$239),0)*E$240+IF(E227&gt;E$241,MIN(E$243-E$241,E227-E$241),0)*E$242+IF(E227&gt;E$243,E227-E$243,0)*E$244</f>
        <v>0</v>
      </c>
      <c s="170">
        <f t="shared" si="593"/>
        <v>0</v>
      </c>
      <c s="170">
        <f t="shared" si="593"/>
        <v>0</v>
      </c>
      <c s="170">
        <f t="shared" si="593"/>
        <v>0</v>
      </c>
      <c s="170">
        <f t="shared" si="594" ref="I266:P266">MIN(I227,I$237)*I$236+IF(I227&gt;I$237,MIN(I$239-I$237,I227-I$237),0)*I$238+IF(I227&gt;I$239,MIN(I$241-I$239,I227-I$239),0)*I$240+IF(I227&gt;I$241,MIN(I$243-I$241,I227-I$241),0)*I$242+IF(I227&gt;I$243,I227-I$243,0)*I$244</f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5" ref="Q266:BM266">MIN(Q227,Q$237)*Q$236+IF(Q227&gt;Q$237,MIN(Q$239-Q$237,Q227-Q$237),0)*Q$238+IF(Q227&gt;Q$239,MIN(Q$241-Q$239,Q227-Q$239),0)*Q$240+IF(Q227&gt;Q$241,MIN(Q$243-Q$241,Q227-Q$241),0)*Q$242+IF(Q227&gt;Q$243,Q227-Q$243,0)*Q$244</f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</row>
    <row r="267" spans="2:65" ht="15" customHeight="1">
      <c r="B267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96" ref="E267:H267">MIN(E228,E$237)*E$236+IF(E228&gt;E$237,MIN(E$239-E$237,E228-E$237),0)*E$238+IF(E228&gt;E$239,MIN(E$241-E$239,E228-E$239),0)*E$240+IF(E228&gt;E$241,MIN(E$243-E$241,E228-E$241),0)*E$242+IF(E228&gt;E$243,E228-E$243,0)*E$244</f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7" ref="I267:P267">MIN(I228,I$237)*I$236+IF(I228&gt;I$237,MIN(I$239-I$237,I228-I$237),0)*I$238+IF(I228&gt;I$239,MIN(I$241-I$239,I228-I$239),0)*I$240+IF(I228&gt;I$241,MIN(I$243-I$241,I228-I$241),0)*I$242+IF(I228&gt;I$243,I228-I$243,0)*I$244</f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8" ref="Q267:BM267">MIN(Q228,Q$237)*Q$236+IF(Q228&gt;Q$237,MIN(Q$239-Q$237,Q228-Q$237),0)*Q$238+IF(Q228&gt;Q$239,MIN(Q$241-Q$239,Q228-Q$239),0)*Q$240+IF(Q228&gt;Q$241,MIN(Q$243-Q$241,Q228-Q$241),0)*Q$242+IF(Q228&gt;Q$243,Q228-Q$243,0)*Q$244</f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  <c s="170">
        <f t="shared" si="598"/>
        <v>0</v>
      </c>
    </row>
    <row r="268" spans="2:65" ht="15" customHeight="1">
      <c r="B268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599" ref="E268:H268">MIN(E229,E$237)*E$236+IF(E229&gt;E$237,MIN(E$239-E$237,E229-E$237),0)*E$238+IF(E229&gt;E$239,MIN(E$241-E$239,E229-E$239),0)*E$240+IF(E229&gt;E$241,MIN(E$243-E$241,E229-E$241),0)*E$242+IF(E229&gt;E$243,E229-E$243,0)*E$244</f>
        <v>0</v>
      </c>
      <c s="170">
        <f t="shared" si="599"/>
        <v>0</v>
      </c>
      <c s="170">
        <f t="shared" si="599"/>
        <v>0</v>
      </c>
      <c s="170">
        <f t="shared" si="599"/>
        <v>0</v>
      </c>
      <c s="170">
        <f t="shared" si="600" ref="I268:P268">MIN(I229,I$237)*I$236+IF(I229&gt;I$237,MIN(I$239-I$237,I229-I$237),0)*I$238+IF(I229&gt;I$239,MIN(I$241-I$239,I229-I$239),0)*I$240+IF(I229&gt;I$241,MIN(I$243-I$241,I229-I$241),0)*I$242+IF(I229&gt;I$243,I229-I$243,0)*I$244</f>
        <v>0</v>
      </c>
      <c s="170">
        <f t="shared" si="600"/>
        <v>0</v>
      </c>
      <c s="170">
        <f t="shared" si="600"/>
        <v>0</v>
      </c>
      <c s="170">
        <f t="shared" si="600"/>
        <v>0</v>
      </c>
      <c s="170">
        <f t="shared" si="600"/>
        <v>0</v>
      </c>
      <c s="170">
        <f t="shared" si="600"/>
        <v>0</v>
      </c>
      <c s="170">
        <f t="shared" si="600"/>
        <v>0</v>
      </c>
      <c s="170">
        <f t="shared" si="600"/>
        <v>0</v>
      </c>
      <c s="170">
        <f t="shared" si="601" ref="Q268:BM268">MIN(Q229,Q$237)*Q$236+IF(Q229&gt;Q$237,MIN(Q$239-Q$237,Q229-Q$237),0)*Q$238+IF(Q229&gt;Q$239,MIN(Q$241-Q$239,Q229-Q$239),0)*Q$240+IF(Q229&gt;Q$241,MIN(Q$243-Q$241,Q229-Q$241),0)*Q$242+IF(Q229&gt;Q$243,Q229-Q$243,0)*Q$244</f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  <c s="170">
        <f t="shared" si="601"/>
        <v>0</v>
      </c>
    </row>
    <row r="269" spans="2:65" ht="15" customHeight="1">
      <c r="B269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602" ref="E269:H269">MIN(E230,E$237)*E$236+IF(E230&gt;E$237,MIN(E$239-E$237,E230-E$237),0)*E$238+IF(E230&gt;E$239,MIN(E$241-E$239,E230-E$239),0)*E$240+IF(E230&gt;E$241,MIN(E$243-E$241,E230-E$241),0)*E$242+IF(E230&gt;E$243,E230-E$243,0)*E$244</f>
        <v>0</v>
      </c>
      <c s="170">
        <f t="shared" si="602"/>
        <v>0</v>
      </c>
      <c s="170">
        <f t="shared" si="602"/>
        <v>0</v>
      </c>
      <c s="170">
        <f t="shared" si="602"/>
        <v>0</v>
      </c>
      <c s="170">
        <f t="shared" si="603" ref="I269:P269">MIN(I230,I$237)*I$236+IF(I230&gt;I$237,MIN(I$239-I$237,I230-I$237),0)*I$238+IF(I230&gt;I$239,MIN(I$241-I$239,I230-I$239),0)*I$240+IF(I230&gt;I$241,MIN(I$243-I$241,I230-I$241),0)*I$242+IF(I230&gt;I$243,I230-I$243,0)*I$244</f>
        <v>0</v>
      </c>
      <c s="170">
        <f t="shared" si="603"/>
        <v>0</v>
      </c>
      <c s="170">
        <f t="shared" si="603"/>
        <v>0</v>
      </c>
      <c s="170">
        <f t="shared" si="603"/>
        <v>0</v>
      </c>
      <c s="170">
        <f t="shared" si="603"/>
        <v>0</v>
      </c>
      <c s="170">
        <f t="shared" si="603"/>
        <v>0</v>
      </c>
      <c s="170">
        <f t="shared" si="603"/>
        <v>0</v>
      </c>
      <c s="170">
        <f t="shared" si="603"/>
        <v>0</v>
      </c>
      <c s="170">
        <f t="shared" si="604" ref="Q269:BM269">MIN(Q230,Q$237)*Q$236+IF(Q230&gt;Q$237,MIN(Q$239-Q$237,Q230-Q$237),0)*Q$238+IF(Q230&gt;Q$239,MIN(Q$241-Q$239,Q230-Q$239),0)*Q$240+IF(Q230&gt;Q$241,MIN(Q$243-Q$241,Q230-Q$241),0)*Q$242+IF(Q230&gt;Q$243,Q230-Q$243,0)*Q$244</f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  <c s="170">
        <f t="shared" si="604"/>
        <v>0</v>
      </c>
    </row>
    <row r="270" spans="2:65" ht="15" customHeight="1">
      <c r="B270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605" ref="E270:H270">MIN(E231,E$237)*E$236+IF(E231&gt;E$237,MIN(E$239-E$237,E231-E$237),0)*E$238+IF(E231&gt;E$239,MIN(E$241-E$239,E231-E$239),0)*E$240+IF(E231&gt;E$241,MIN(E$243-E$241,E231-E$241),0)*E$242+IF(E231&gt;E$243,E231-E$243,0)*E$244</f>
        <v>0</v>
      </c>
      <c s="170">
        <f t="shared" si="605"/>
        <v>0</v>
      </c>
      <c s="170">
        <f t="shared" si="605"/>
        <v>0</v>
      </c>
      <c s="170">
        <f t="shared" si="605"/>
        <v>0</v>
      </c>
      <c s="170">
        <f t="shared" si="606" ref="I270:P270">MIN(I231,I$237)*I$236+IF(I231&gt;I$237,MIN(I$239-I$237,I231-I$237),0)*I$238+IF(I231&gt;I$239,MIN(I$241-I$239,I231-I$239),0)*I$240+IF(I231&gt;I$241,MIN(I$243-I$241,I231-I$241),0)*I$242+IF(I231&gt;I$243,I231-I$243,0)*I$244</f>
        <v>0</v>
      </c>
      <c s="170">
        <f t="shared" si="606"/>
        <v>0</v>
      </c>
      <c s="170">
        <f t="shared" si="606"/>
        <v>0</v>
      </c>
      <c s="170">
        <f t="shared" si="606"/>
        <v>0</v>
      </c>
      <c s="170">
        <f t="shared" si="606"/>
        <v>0</v>
      </c>
      <c s="170">
        <f t="shared" si="606"/>
        <v>0</v>
      </c>
      <c s="170">
        <f t="shared" si="606"/>
        <v>0</v>
      </c>
      <c s="170">
        <f t="shared" si="606"/>
        <v>0</v>
      </c>
      <c s="170">
        <f t="shared" si="607" ref="Q270:BM270">MIN(Q231,Q$237)*Q$236+IF(Q231&gt;Q$237,MIN(Q$239-Q$237,Q231-Q$237),0)*Q$238+IF(Q231&gt;Q$239,MIN(Q$241-Q$239,Q231-Q$239),0)*Q$240+IF(Q231&gt;Q$241,MIN(Q$243-Q$241,Q231-Q$241),0)*Q$242+IF(Q231&gt;Q$243,Q231-Q$243,0)*Q$244</f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  <c s="170">
        <f t="shared" si="607"/>
        <v>0</v>
      </c>
    </row>
    <row r="271" spans="2:65" ht="15" customHeight="1">
      <c r="B271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608" ref="E271:H271">MIN(E232,E$237)*E$236+IF(E232&gt;E$237,MIN(E$239-E$237,E232-E$237),0)*E$238+IF(E232&gt;E$239,MIN(E$241-E$239,E232-E$239),0)*E$240+IF(E232&gt;E$241,MIN(E$243-E$241,E232-E$241),0)*E$242+IF(E232&gt;E$243,E232-E$243,0)*E$244</f>
        <v>0</v>
      </c>
      <c s="170">
        <f t="shared" si="608"/>
        <v>0</v>
      </c>
      <c s="170">
        <f t="shared" si="608"/>
        <v>0</v>
      </c>
      <c s="170">
        <f t="shared" si="608"/>
        <v>0</v>
      </c>
      <c s="170">
        <f t="shared" si="609" ref="I271:P271">MIN(I232,I$237)*I$236+IF(I232&gt;I$237,MIN(I$239-I$237,I232-I$237),0)*I$238+IF(I232&gt;I$239,MIN(I$241-I$239,I232-I$239),0)*I$240+IF(I232&gt;I$241,MIN(I$243-I$241,I232-I$241),0)*I$242+IF(I232&gt;I$243,I232-I$243,0)*I$244</f>
        <v>0</v>
      </c>
      <c s="170">
        <f t="shared" si="609"/>
        <v>0</v>
      </c>
      <c s="170">
        <f t="shared" si="609"/>
        <v>0</v>
      </c>
      <c s="170">
        <f t="shared" si="609"/>
        <v>0</v>
      </c>
      <c s="170">
        <f t="shared" si="609"/>
        <v>0</v>
      </c>
      <c s="170">
        <f t="shared" si="609"/>
        <v>0</v>
      </c>
      <c s="170">
        <f t="shared" si="609"/>
        <v>0</v>
      </c>
      <c s="170">
        <f t="shared" si="609"/>
        <v>0</v>
      </c>
      <c s="170">
        <f t="shared" si="610" ref="Q271:BM271">MIN(Q232,Q$237)*Q$236+IF(Q232&gt;Q$237,MIN(Q$239-Q$237,Q232-Q$237),0)*Q$238+IF(Q232&gt;Q$239,MIN(Q$241-Q$239,Q232-Q$239),0)*Q$240+IF(Q232&gt;Q$241,MIN(Q$243-Q$241,Q232-Q$241),0)*Q$242+IF(Q232&gt;Q$243,Q232-Q$243,0)*Q$244</f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  <c s="170">
        <f t="shared" si="610"/>
        <v>0</v>
      </c>
    </row>
    <row r="272" spans="2:65" ht="15" customHeight="1">
      <c r="B272" s="12" t="str">
        <f t="shared" si="546"/>
        <v>-</v>
      </c>
      <c s="124" t="str">
        <f t="shared" si="547"/>
        <v>тыс. руб.</v>
      </c>
      <c s="276">
        <f t="shared" si="551"/>
        <v>0</v>
      </c>
      <c s="170">
        <f t="shared" si="611" ref="E272:H272">MIN(E233,E$237)*E$236+IF(E233&gt;E$237,MIN(E$239-E$237,E233-E$237),0)*E$238+IF(E233&gt;E$239,MIN(E$241-E$239,E233-E$239),0)*E$240+IF(E233&gt;E$241,MIN(E$243-E$241,E233-E$241),0)*E$242+IF(E233&gt;E$243,E233-E$243,0)*E$244</f>
        <v>0</v>
      </c>
      <c s="170">
        <f t="shared" si="611"/>
        <v>0</v>
      </c>
      <c s="170">
        <f t="shared" si="611"/>
        <v>0</v>
      </c>
      <c s="170">
        <f t="shared" si="611"/>
        <v>0</v>
      </c>
      <c s="170">
        <f t="shared" si="612" ref="I272:P272">MIN(I233,I$237)*I$236+IF(I233&gt;I$237,MIN(I$239-I$237,I233-I$237),0)*I$238+IF(I233&gt;I$239,MIN(I$241-I$239,I233-I$239),0)*I$240+IF(I233&gt;I$241,MIN(I$243-I$241,I233-I$241),0)*I$242+IF(I233&gt;I$243,I233-I$243,0)*I$244</f>
        <v>0</v>
      </c>
      <c s="170">
        <f t="shared" si="612"/>
        <v>0</v>
      </c>
      <c s="170">
        <f t="shared" si="612"/>
        <v>0</v>
      </c>
      <c s="170">
        <f t="shared" si="612"/>
        <v>0</v>
      </c>
      <c s="170">
        <f t="shared" si="612"/>
        <v>0</v>
      </c>
      <c s="170">
        <f t="shared" si="612"/>
        <v>0</v>
      </c>
      <c s="170">
        <f t="shared" si="612"/>
        <v>0</v>
      </c>
      <c s="170">
        <f t="shared" si="612"/>
        <v>0</v>
      </c>
      <c s="170">
        <f t="shared" si="613" ref="Q272:BM272">MIN(Q233,Q$237)*Q$236+IF(Q233&gt;Q$237,MIN(Q$239-Q$237,Q233-Q$237),0)*Q$238+IF(Q233&gt;Q$239,MIN(Q$241-Q$239,Q233-Q$239),0)*Q$240+IF(Q233&gt;Q$241,MIN(Q$243-Q$241,Q233-Q$241),0)*Q$242+IF(Q233&gt;Q$243,Q233-Q$243,0)*Q$244</f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  <c s="170">
        <f t="shared" si="613"/>
        <v>0</v>
      </c>
    </row>
    <row r="273" spans="2:65" ht="15" customHeight="1">
      <c r="B273" s="289" t="s">
        <v>454</v>
      </c>
      <c s="290" t="str">
        <f>Единица_измерения</f>
        <v>тыс. руб.</v>
      </c>
      <c s="291">
        <f>SUM(D248:D272)</f>
        <v>0</v>
      </c>
      <c s="291">
        <f>SUM(E248:E272)</f>
        <v>0</v>
      </c>
      <c s="291">
        <f t="shared" si="614" ref="F273:BM273">SUM(F248:F272)</f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  <c s="291">
        <f t="shared" si="614"/>
        <v>0</v>
      </c>
    </row>
    <row r="274" spans="2:65" ht="15" customHeight="1">
      <c r="B274" s="30"/>
      <c s="364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275" spans="2:65" ht="15" customHeight="1">
      <c r="B275" s="30" t="s">
        <v>947</v>
      </c>
      <c s="364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276" spans="2:65" ht="15" customHeight="1">
      <c r="B276" s="12" t="str">
        <f t="shared" si="615" ref="B276:B301">B248</f>
        <v>-</v>
      </c>
      <c s="124" t="str">
        <f t="shared" si="616" ref="C276:C300">Единица_измерения</f>
        <v>тыс. руб.</v>
      </c>
      <c s="276">
        <f>SUM(E276:BM276)</f>
        <v>0</v>
      </c>
      <c s="376">
        <f>E248*E122</f>
        <v>0</v>
      </c>
      <c s="376">
        <f t="shared" si="617" ref="F276:I280">IF(MONTH(F$7)=1,F248,F248-E248)*F122</f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18" ref="J276:BM276">IF(MONTH(J$7)=1,J248,J248-I248)*J122</f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  <c s="376">
        <f t="shared" si="618"/>
        <v>0</v>
      </c>
    </row>
    <row r="277" spans="2:65" ht="15" customHeight="1">
      <c r="B277" s="12" t="str">
        <f t="shared" si="615"/>
        <v>-</v>
      </c>
      <c s="124" t="str">
        <f t="shared" si="616"/>
        <v>тыс. руб.</v>
      </c>
      <c s="276">
        <f t="shared" si="619" ref="D277:D300">SUM(E277:BM277)</f>
        <v>0</v>
      </c>
      <c s="376">
        <f t="shared" si="620" ref="E277:E300">E249*E123</f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21" ref="J277:BM277">IF(MONTH(J$7)=1,J249,J249-I249)*J123</f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  <c s="376">
        <f t="shared" si="621"/>
        <v>0</v>
      </c>
    </row>
    <row r="278" spans="2:65" ht="15" customHeight="1">
      <c r="B278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22" ref="J278:BM278">IF(MONTH(J$7)=1,J250,J250-I250)*J124</f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  <c s="376">
        <f t="shared" si="622"/>
        <v>0</v>
      </c>
    </row>
    <row r="279" spans="2:65" ht="15" customHeight="1">
      <c r="B279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23" ref="J279:BM279">IF(MONTH(J$7)=1,J251,J251-I251)*J125</f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  <c s="376">
        <f t="shared" si="623"/>
        <v>0</v>
      </c>
    </row>
    <row r="280" spans="2:65" ht="15" customHeight="1">
      <c r="B280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17"/>
        <v>0</v>
      </c>
      <c s="376">
        <f t="shared" si="624" ref="J280:BM280">IF(MONTH(J$7)=1,J252,J252-I252)*J126</f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  <c s="376">
        <f t="shared" si="624"/>
        <v>0</v>
      </c>
    </row>
    <row r="281" spans="2:65" ht="15" customHeight="1">
      <c r="B281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 ref="F281:G300">IF(MONTH(F$7)=1,F253,F253-E253)*F127</f>
        <v>0</v>
      </c>
      <c s="376">
        <f t="shared" si="625"/>
        <v>0</v>
      </c>
      <c s="376">
        <f t="shared" si="626" ref="H281:I281">IF(MONTH(H$7)=1,H253,H253-G253)*H127</f>
        <v>0</v>
      </c>
      <c s="376">
        <f t="shared" si="626"/>
        <v>0</v>
      </c>
      <c s="376">
        <f t="shared" si="627" ref="J281:BM281">IF(MONTH(J$7)=1,J253,J253-I253)*J127</f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  <c s="376">
        <f t="shared" si="627"/>
        <v>0</v>
      </c>
    </row>
    <row r="282" spans="2:65" ht="15" customHeight="1">
      <c r="B282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28" ref="H282:I282">IF(MONTH(H$7)=1,H254,H254-G254)*H128</f>
        <v>0</v>
      </c>
      <c s="376">
        <f t="shared" si="628"/>
        <v>0</v>
      </c>
      <c s="376">
        <f t="shared" si="629" ref="J282:BM282">IF(MONTH(J$7)=1,J254,J254-I254)*J128</f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  <c s="376">
        <f t="shared" si="629"/>
        <v>0</v>
      </c>
    </row>
    <row r="283" spans="2:65" ht="15" customHeight="1">
      <c r="B283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30" ref="H283:I283">IF(MONTH(H$7)=1,H255,H255-G255)*H129</f>
        <v>0</v>
      </c>
      <c s="376">
        <f t="shared" si="630"/>
        <v>0</v>
      </c>
      <c s="376">
        <f t="shared" si="631" ref="J283:BM283">IF(MONTH(J$7)=1,J255,J255-I255)*J129</f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  <c s="376">
        <f t="shared" si="631"/>
        <v>0</v>
      </c>
    </row>
    <row r="284" spans="2:65" ht="15" customHeight="1">
      <c r="B284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32" ref="H284:I284">IF(MONTH(H$7)=1,H256,H256-G256)*H130</f>
        <v>0</v>
      </c>
      <c s="376">
        <f t="shared" si="632"/>
        <v>0</v>
      </c>
      <c s="376">
        <f t="shared" si="633" ref="J284:BM284">IF(MONTH(J$7)=1,J256,J256-I256)*J130</f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  <c s="376">
        <f t="shared" si="633"/>
        <v>0</v>
      </c>
    </row>
    <row r="285" spans="2:65" ht="15" customHeight="1">
      <c r="B285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34" ref="H285:I285">IF(MONTH(H$7)=1,H257,H257-G257)*H131</f>
        <v>0</v>
      </c>
      <c s="376">
        <f t="shared" si="634"/>
        <v>0</v>
      </c>
      <c s="376">
        <f t="shared" si="635" ref="J285:BM285">IF(MONTH(J$7)=1,J257,J257-I257)*J131</f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  <c s="376">
        <f t="shared" si="635"/>
        <v>0</v>
      </c>
    </row>
    <row r="286" spans="2:65" ht="15" customHeight="1">
      <c r="B286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36" ref="H286:I286">IF(MONTH(H$7)=1,H258,H258-G258)*H132</f>
        <v>0</v>
      </c>
      <c s="376">
        <f t="shared" si="636"/>
        <v>0</v>
      </c>
      <c s="376">
        <f t="shared" si="637" ref="J286:BM286">IF(MONTH(J$7)=1,J258,J258-I258)*J132</f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  <c s="376">
        <f t="shared" si="637"/>
        <v>0</v>
      </c>
    </row>
    <row r="287" spans="2:65" ht="15" customHeight="1">
      <c r="B287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38" ref="H287:I287">IF(MONTH(H$7)=1,H259,H259-G259)*H133</f>
        <v>0</v>
      </c>
      <c s="376">
        <f t="shared" si="638"/>
        <v>0</v>
      </c>
      <c s="376">
        <f t="shared" si="639" ref="J287:BM287">IF(MONTH(J$7)=1,J259,J259-I259)*J133</f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  <c s="376">
        <f t="shared" si="639"/>
        <v>0</v>
      </c>
    </row>
    <row r="288" spans="2:65" ht="15" customHeight="1">
      <c r="B288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40" ref="H288:I288">IF(MONTH(H$7)=1,H260,H260-G260)*H134</f>
        <v>0</v>
      </c>
      <c s="376">
        <f t="shared" si="640"/>
        <v>0</v>
      </c>
      <c s="376">
        <f t="shared" si="641" ref="J288:BM288">IF(MONTH(J$7)=1,J260,J260-I260)*J134</f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  <c s="376">
        <f t="shared" si="641"/>
        <v>0</v>
      </c>
    </row>
    <row r="289" spans="2:65" ht="15" customHeight="1">
      <c r="B289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42" ref="H289:I289">IF(MONTH(H$7)=1,H261,H261-G261)*H135</f>
        <v>0</v>
      </c>
      <c s="376">
        <f t="shared" si="642"/>
        <v>0</v>
      </c>
      <c s="376">
        <f t="shared" si="643" ref="J289:BM289">IF(MONTH(J$7)=1,J261,J261-I261)*J135</f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  <c s="376">
        <f t="shared" si="643"/>
        <v>0</v>
      </c>
    </row>
    <row r="290" spans="2:65" ht="15" customHeight="1">
      <c r="B290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44" ref="H290:I290">IF(MONTH(H$7)=1,H262,H262-G262)*H136</f>
        <v>0</v>
      </c>
      <c s="376">
        <f t="shared" si="644"/>
        <v>0</v>
      </c>
      <c s="376">
        <f t="shared" si="645" ref="J290:BM290">IF(MONTH(J$7)=1,J262,J262-I262)*J136</f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  <c s="376">
        <f t="shared" si="645"/>
        <v>0</v>
      </c>
    </row>
    <row r="291" spans="2:65" ht="15" customHeight="1">
      <c r="B291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46" ref="H291:I291">IF(MONTH(H$7)=1,H263,H263-G263)*H137</f>
        <v>0</v>
      </c>
      <c s="376">
        <f t="shared" si="646"/>
        <v>0</v>
      </c>
      <c s="376">
        <f t="shared" si="647" ref="J291:BM291">IF(MONTH(J$7)=1,J263,J263-I263)*J137</f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  <c s="376">
        <f t="shared" si="647"/>
        <v>0</v>
      </c>
    </row>
    <row r="292" spans="2:65" ht="15" customHeight="1">
      <c r="B292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48" ref="H292:I292">IF(MONTH(H$7)=1,H264,H264-G264)*H138</f>
        <v>0</v>
      </c>
      <c s="376">
        <f t="shared" si="648"/>
        <v>0</v>
      </c>
      <c s="376">
        <f t="shared" si="649" ref="J292:BM292">IF(MONTH(J$7)=1,J264,J264-I264)*J138</f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  <c s="376">
        <f t="shared" si="649"/>
        <v>0</v>
      </c>
    </row>
    <row r="293" spans="2:65" ht="15" customHeight="1">
      <c r="B293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50" ref="H293:I293">IF(MONTH(H$7)=1,H265,H265-G265)*H139</f>
        <v>0</v>
      </c>
      <c s="376">
        <f t="shared" si="650"/>
        <v>0</v>
      </c>
      <c s="376">
        <f t="shared" si="651" ref="J293:BM293">IF(MONTH(J$7)=1,J265,J265-I265)*J139</f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  <c s="376">
        <f t="shared" si="651"/>
        <v>0</v>
      </c>
    </row>
    <row r="294" spans="2:65" ht="15" customHeight="1">
      <c r="B294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52" ref="H294:I294">IF(MONTH(H$7)=1,H266,H266-G266)*H140</f>
        <v>0</v>
      </c>
      <c s="376">
        <f t="shared" si="652"/>
        <v>0</v>
      </c>
      <c s="376">
        <f t="shared" si="653" ref="J294:BM294">IF(MONTH(J$7)=1,J266,J266-I266)*J140</f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  <c s="376">
        <f t="shared" si="653"/>
        <v>0</v>
      </c>
    </row>
    <row r="295" spans="2:65" ht="15" customHeight="1">
      <c r="B295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54" ref="H295:I295">IF(MONTH(H$7)=1,H267,H267-G267)*H141</f>
        <v>0</v>
      </c>
      <c s="376">
        <f t="shared" si="654"/>
        <v>0</v>
      </c>
      <c s="376">
        <f t="shared" si="655" ref="J295:BM295">IF(MONTH(J$7)=1,J267,J267-I267)*J141</f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  <c s="376">
        <f t="shared" si="655"/>
        <v>0</v>
      </c>
    </row>
    <row r="296" spans="2:65" ht="15" customHeight="1">
      <c r="B296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56" ref="H296:I296">IF(MONTH(H$7)=1,H268,H268-G268)*H142</f>
        <v>0</v>
      </c>
      <c s="376">
        <f t="shared" si="656"/>
        <v>0</v>
      </c>
      <c s="376">
        <f t="shared" si="657" ref="J296:BM296">IF(MONTH(J$7)=1,J268,J268-I268)*J142</f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  <c s="376">
        <f t="shared" si="657"/>
        <v>0</v>
      </c>
    </row>
    <row r="297" spans="2:65" ht="15" customHeight="1">
      <c r="B297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58" ref="H297:I297">IF(MONTH(H$7)=1,H269,H269-G269)*H143</f>
        <v>0</v>
      </c>
      <c s="376">
        <f t="shared" si="658"/>
        <v>0</v>
      </c>
      <c s="376">
        <f t="shared" si="659" ref="J297:BM297">IF(MONTH(J$7)=1,J269,J269-I269)*J143</f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  <c s="376">
        <f t="shared" si="659"/>
        <v>0</v>
      </c>
    </row>
    <row r="298" spans="2:65" ht="15" customHeight="1">
      <c r="B298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60" ref="H298:I298">IF(MONTH(H$7)=1,H270,H270-G270)*H144</f>
        <v>0</v>
      </c>
      <c s="376">
        <f t="shared" si="660"/>
        <v>0</v>
      </c>
      <c s="376">
        <f t="shared" si="661" ref="J298:BM298">IF(MONTH(J$7)=1,J270,J270-I270)*J144</f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  <c s="376">
        <f t="shared" si="661"/>
        <v>0</v>
      </c>
    </row>
    <row r="299" spans="2:65" ht="15" customHeight="1">
      <c r="B299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62" ref="H299:I299">IF(MONTH(H$7)=1,H271,H271-G271)*H145</f>
        <v>0</v>
      </c>
      <c s="376">
        <f t="shared" si="662"/>
        <v>0</v>
      </c>
      <c s="376">
        <f t="shared" si="663" ref="J299:BM299">IF(MONTH(J$7)=1,J271,J271-I271)*J145</f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  <c s="376">
        <f t="shared" si="663"/>
        <v>0</v>
      </c>
    </row>
    <row r="300" spans="2:65" ht="15" customHeight="1">
      <c r="B300" s="12" t="str">
        <f t="shared" si="615"/>
        <v>-</v>
      </c>
      <c s="124" t="str">
        <f t="shared" si="616"/>
        <v>тыс. руб.</v>
      </c>
      <c s="276">
        <f t="shared" si="619"/>
        <v>0</v>
      </c>
      <c s="376">
        <f t="shared" si="620"/>
        <v>0</v>
      </c>
      <c s="376">
        <f t="shared" si="625"/>
        <v>0</v>
      </c>
      <c s="376">
        <f t="shared" si="625"/>
        <v>0</v>
      </c>
      <c s="376">
        <f t="shared" si="664" ref="H300:I300">IF(MONTH(H$7)=1,H272,H272-G272)*H146</f>
        <v>0</v>
      </c>
      <c s="376">
        <f t="shared" si="664"/>
        <v>0</v>
      </c>
      <c s="376">
        <f t="shared" si="665" ref="J300:BM300">IF(MONTH(J$7)=1,J272,J272-I272)*J146</f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  <c s="376">
        <f t="shared" si="665"/>
        <v>0</v>
      </c>
    </row>
    <row r="301" spans="2:65" ht="15" customHeight="1">
      <c r="B301" s="289" t="str">
        <f t="shared" si="615"/>
        <v>Итого</v>
      </c>
      <c s="290" t="str">
        <f>Единица_измерения</f>
        <v>тыс. руб.</v>
      </c>
      <c s="291">
        <f t="shared" si="666" ref="D301:J301">SUM(D276:D300)</f>
        <v>0</v>
      </c>
      <c s="367">
        <f t="shared" si="666"/>
        <v>0</v>
      </c>
      <c s="367">
        <f t="shared" si="666"/>
        <v>0</v>
      </c>
      <c s="367">
        <f t="shared" si="666"/>
        <v>0</v>
      </c>
      <c s="367">
        <f t="shared" si="666"/>
        <v>0</v>
      </c>
      <c s="367">
        <f t="shared" si="666"/>
        <v>0</v>
      </c>
      <c s="367">
        <f t="shared" si="666"/>
        <v>0</v>
      </c>
      <c s="367">
        <f t="shared" si="667" ref="K301:BM301">SUM(K276:K300)</f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  <c s="367">
        <f t="shared" si="667"/>
        <v>0</v>
      </c>
    </row>
    <row r="302" spans="2:65" ht="15" customHeight="1">
      <c r="B302" s="30"/>
      <c s="364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303" spans="2:65" ht="15" customHeight="1">
      <c r="B303" s="30"/>
      <c s="364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</row>
    <row r="304" ht="15" customHeight="1"/>
    <row r="305" spans="2:2" ht="15" customHeight="1">
      <c r="B305" s="24" t="s">
        <v>948</v>
      </c>
    </row>
    <row r="306" spans="2:65" ht="15" customHeight="1">
      <c r="B306" s="12" t="s">
        <v>827</v>
      </c>
      <c s="124" t="str">
        <f>Единица_измерения</f>
        <v>тыс. руб.</v>
      </c>
      <c s="129"/>
      <c s="125">
        <f t="shared" si="668" ref="E306">D309</f>
        <v>0</v>
      </c>
      <c s="125">
        <f t="shared" si="669" ref="F306">E309</f>
        <v>0</v>
      </c>
      <c s="125">
        <f t="shared" si="670" ref="G306">F309</f>
        <v>0</v>
      </c>
      <c s="125">
        <f t="shared" si="671" ref="H306">G309</f>
        <v>0</v>
      </c>
      <c s="125">
        <f t="shared" si="672" ref="I306">H309</f>
        <v>0</v>
      </c>
      <c s="125">
        <f t="shared" si="673" ref="J306">I309</f>
        <v>0</v>
      </c>
      <c s="125">
        <f t="shared" si="674" ref="K306">J309</f>
        <v>0</v>
      </c>
      <c s="125">
        <f t="shared" si="675" ref="L306">K309</f>
        <v>0</v>
      </c>
      <c s="125">
        <f t="shared" si="676" ref="M306">L309</f>
        <v>0</v>
      </c>
      <c s="125">
        <f t="shared" si="677" ref="N306">M309</f>
        <v>0</v>
      </c>
      <c s="125">
        <f t="shared" si="678" ref="O306">N309</f>
        <v>0</v>
      </c>
      <c s="125">
        <f t="shared" si="679" ref="P306">O309</f>
        <v>0</v>
      </c>
      <c s="125">
        <f t="shared" si="680" ref="Q306">P309</f>
        <v>0</v>
      </c>
      <c s="125">
        <f t="shared" si="681" ref="R306">Q309</f>
        <v>0</v>
      </c>
      <c s="125">
        <f t="shared" si="682" ref="S306">R309</f>
        <v>0</v>
      </c>
      <c s="125">
        <f t="shared" si="683" ref="T306">S309</f>
        <v>0</v>
      </c>
      <c s="125">
        <f t="shared" si="684" ref="U306">T309</f>
        <v>0</v>
      </c>
      <c s="125">
        <f t="shared" si="685" ref="V306">U309</f>
        <v>0</v>
      </c>
      <c s="125">
        <f t="shared" si="686" ref="W306">V309</f>
        <v>0</v>
      </c>
      <c s="125">
        <f t="shared" si="687" ref="X306">W309</f>
        <v>0</v>
      </c>
      <c s="125">
        <f t="shared" si="688" ref="Y306">X309</f>
        <v>0</v>
      </c>
      <c s="125">
        <f t="shared" si="689" ref="Z306">Y309</f>
        <v>0</v>
      </c>
      <c s="125">
        <f t="shared" si="690" ref="AA306">Z309</f>
        <v>0</v>
      </c>
      <c s="125">
        <f t="shared" si="691" ref="AB306">AA309</f>
        <v>0</v>
      </c>
      <c s="125">
        <f t="shared" si="692" ref="AC306">AB309</f>
        <v>0</v>
      </c>
      <c s="125">
        <f t="shared" si="693" ref="AD306">AC309</f>
        <v>0</v>
      </c>
      <c s="125">
        <f t="shared" si="694" ref="AE306">AD309</f>
        <v>0</v>
      </c>
      <c s="125">
        <f t="shared" si="695" ref="AF306">AE309</f>
        <v>0</v>
      </c>
      <c s="125">
        <f t="shared" si="696" ref="AG306">AF309</f>
        <v>0</v>
      </c>
      <c s="125">
        <f t="shared" si="697" ref="AH306">AG309</f>
        <v>0</v>
      </c>
      <c s="125">
        <f t="shared" si="698" ref="AI306">AH309</f>
        <v>0</v>
      </c>
      <c s="125">
        <f t="shared" si="699" ref="AJ306">AI309</f>
        <v>0</v>
      </c>
      <c s="125">
        <f t="shared" si="700" ref="AK306">AJ309</f>
        <v>0</v>
      </c>
      <c s="125">
        <f t="shared" si="701" ref="AL306">AK309</f>
        <v>0</v>
      </c>
      <c s="125">
        <f t="shared" si="702" ref="AM306">AL309</f>
        <v>0</v>
      </c>
      <c s="125">
        <f t="shared" si="703" ref="AN306">AM309</f>
        <v>0</v>
      </c>
      <c s="125">
        <f t="shared" si="704" ref="AO306">AN309</f>
        <v>0</v>
      </c>
      <c s="125">
        <f t="shared" si="705" ref="AP306">AO309</f>
        <v>0</v>
      </c>
      <c s="125">
        <f t="shared" si="706" ref="AQ306">AP309</f>
        <v>0</v>
      </c>
      <c s="125">
        <f t="shared" si="707" ref="AR306">AQ309</f>
        <v>0</v>
      </c>
      <c s="125">
        <f t="shared" si="708" ref="AS306">AR309</f>
        <v>0</v>
      </c>
      <c s="125">
        <f t="shared" si="709" ref="AT306">AS309</f>
        <v>0</v>
      </c>
      <c s="125">
        <f t="shared" si="710" ref="AU306">AT309</f>
        <v>0</v>
      </c>
      <c s="125">
        <f t="shared" si="711" ref="AV306">AU309</f>
        <v>0</v>
      </c>
      <c s="125">
        <f t="shared" si="712" ref="AW306">AV309</f>
        <v>0</v>
      </c>
      <c s="125">
        <f t="shared" si="713" ref="AX306">AW309</f>
        <v>0</v>
      </c>
      <c s="125">
        <f t="shared" si="714" ref="AY306">AX309</f>
        <v>0</v>
      </c>
      <c s="125">
        <f t="shared" si="715" ref="AZ306">AY309</f>
        <v>0</v>
      </c>
      <c s="125">
        <f t="shared" si="716" ref="BA306">AZ309</f>
        <v>0</v>
      </c>
      <c s="125">
        <f t="shared" si="717" ref="BB306">BA309</f>
        <v>0</v>
      </c>
      <c s="125">
        <f t="shared" si="718" ref="BC306">BB309</f>
        <v>0</v>
      </c>
      <c s="125">
        <f t="shared" si="719" ref="BD306">BC309</f>
        <v>0</v>
      </c>
      <c s="125">
        <f t="shared" si="720" ref="BE306">BD309</f>
        <v>0</v>
      </c>
      <c s="125">
        <f t="shared" si="721" ref="BF306">BE309</f>
        <v>0</v>
      </c>
      <c s="125">
        <f t="shared" si="722" ref="BG306">BF309</f>
        <v>0</v>
      </c>
      <c s="125">
        <f t="shared" si="723" ref="BH306">BG309</f>
        <v>0</v>
      </c>
      <c s="125">
        <f t="shared" si="724" ref="BI306">BH309</f>
        <v>0</v>
      </c>
      <c s="125">
        <f t="shared" si="725" ref="BJ306">BI309</f>
        <v>0</v>
      </c>
      <c s="125">
        <f t="shared" si="726" ref="BK306">BJ309</f>
        <v>0</v>
      </c>
      <c s="125">
        <f t="shared" si="727" ref="BL306">BK309</f>
        <v>0</v>
      </c>
      <c s="125">
        <f t="shared" si="728" ref="BM306">BL309</f>
        <v>0</v>
      </c>
    </row>
    <row r="307" spans="2:65" ht="15" customHeight="1">
      <c r="B307" s="12" t="s">
        <v>949</v>
      </c>
      <c s="124" t="str">
        <f>Единица_измерения</f>
        <v>тыс. руб.</v>
      </c>
      <c s="129"/>
      <c s="125">
        <f>E301</f>
        <v>0</v>
      </c>
      <c s="125">
        <f>F301</f>
        <v>0</v>
      </c>
      <c s="125">
        <f>G301</f>
        <v>0</v>
      </c>
      <c s="125">
        <f>H301</f>
        <v>0</v>
      </c>
      <c s="125">
        <f t="shared" si="729" ref="I307:BM307">I301</f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  <c s="125">
        <f t="shared" si="729"/>
        <v>0</v>
      </c>
    </row>
    <row r="308" spans="2:65" ht="15" customHeight="1">
      <c r="B308" s="12" t="s">
        <v>950</v>
      </c>
      <c s="124" t="str">
        <f>Единица_измерения</f>
        <v>тыс. руб.</v>
      </c>
      <c s="129"/>
      <c s="125">
        <f t="shared" si="730" ref="E308">-E307</f>
        <v>0</v>
      </c>
      <c s="125">
        <f t="shared" si="731" ref="F308:AG308">-F307</f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1"/>
        <v>0</v>
      </c>
      <c s="125">
        <f t="shared" si="732" ref="AH308:BM308">-AH307</f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  <c s="125">
        <f t="shared" si="732"/>
        <v>0</v>
      </c>
    </row>
    <row r="309" spans="2:65" ht="15" customHeight="1">
      <c r="B309" s="289" t="s">
        <v>830</v>
      </c>
      <c s="290" t="str">
        <f>Единица_измерения</f>
        <v>тыс. руб.</v>
      </c>
      <c s="276"/>
      <c s="276">
        <f t="shared" si="733" ref="E309">SUM(E306:E308)</f>
        <v>0</v>
      </c>
      <c s="276">
        <f t="shared" si="734" ref="F309:AG309">SUM(F306:F308)</f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4"/>
        <v>0</v>
      </c>
      <c s="276">
        <f t="shared" si="735" ref="AH309:BM309">SUM(AH306:AH308)</f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  <c s="276">
        <f t="shared" si="735"/>
        <v>0</v>
      </c>
    </row>
    <row r="310" ht="15" customHeight="1"/>
    <row r="311" spans="2:71" ht="21">
      <c r="B311" s="23" t="s">
        <v>254</v>
      </c>
      <c r="D31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12" spans="2:2" ht="15" customHeight="1">
      <c r="B312" s="24" t="s">
        <v>951</v>
      </c>
    </row>
    <row r="313" spans="2:65" ht="15" customHeight="1">
      <c r="B313" s="12" t="s">
        <v>827</v>
      </c>
      <c s="124" t="str">
        <f>Единица_измерения</f>
        <v>тыс. руб.</v>
      </c>
      <c s="129"/>
      <c s="125">
        <f t="shared" si="736" ref="E313">D316</f>
        <v>0</v>
      </c>
      <c s="125">
        <f t="shared" si="737" ref="F313">E316</f>
        <v>0</v>
      </c>
      <c s="125">
        <f t="shared" si="738" ref="G313">F316</f>
        <v>0</v>
      </c>
      <c s="125">
        <f t="shared" si="739" ref="H313">G316</f>
        <v>0</v>
      </c>
      <c s="125">
        <f t="shared" si="740" ref="I313">H316</f>
        <v>0</v>
      </c>
      <c s="125">
        <f t="shared" si="741" ref="J313">I316</f>
        <v>0</v>
      </c>
      <c s="125">
        <f t="shared" si="742" ref="K313">J316</f>
        <v>0</v>
      </c>
      <c s="125">
        <f t="shared" si="743" ref="L313">K316</f>
        <v>0</v>
      </c>
      <c s="125">
        <f t="shared" si="744" ref="M313">L316</f>
        <v>0</v>
      </c>
      <c s="125">
        <f t="shared" si="745" ref="N313">M316</f>
        <v>0</v>
      </c>
      <c s="125">
        <f t="shared" si="746" ref="O313">N316</f>
        <v>0</v>
      </c>
      <c s="125">
        <f t="shared" si="747" ref="P313">O316</f>
        <v>0</v>
      </c>
      <c s="125">
        <f t="shared" si="748" ref="Q313">P316</f>
        <v>0</v>
      </c>
      <c s="125">
        <f t="shared" si="749" ref="R313">Q316</f>
        <v>0</v>
      </c>
      <c s="125">
        <f t="shared" si="750" ref="S313">R316</f>
        <v>0</v>
      </c>
      <c s="125">
        <f t="shared" si="751" ref="T313">S316</f>
        <v>0</v>
      </c>
      <c s="125">
        <f t="shared" si="752" ref="U313">T316</f>
        <v>0</v>
      </c>
      <c s="125">
        <f t="shared" si="753" ref="V313">U316</f>
        <v>0</v>
      </c>
      <c s="125">
        <f t="shared" si="754" ref="W313">V316</f>
        <v>0</v>
      </c>
      <c s="125">
        <f t="shared" si="755" ref="X313">W316</f>
        <v>0</v>
      </c>
      <c s="125">
        <f t="shared" si="756" ref="Y313">X316</f>
        <v>0</v>
      </c>
      <c s="125">
        <f t="shared" si="757" ref="Z313">Y316</f>
        <v>0</v>
      </c>
      <c s="125">
        <f t="shared" si="758" ref="AA313">Z316</f>
        <v>0</v>
      </c>
      <c s="125">
        <f t="shared" si="759" ref="AB313">AA316</f>
        <v>0</v>
      </c>
      <c s="125">
        <f t="shared" si="760" ref="AC313">AB316</f>
        <v>0</v>
      </c>
      <c s="125">
        <f t="shared" si="761" ref="AD313">AC316</f>
        <v>0</v>
      </c>
      <c s="125">
        <f t="shared" si="762" ref="AE313">AD316</f>
        <v>0</v>
      </c>
      <c s="125">
        <f t="shared" si="763" ref="AF313">AE316</f>
        <v>0</v>
      </c>
      <c s="125">
        <f t="shared" si="764" ref="AG313">AF316</f>
        <v>0</v>
      </c>
      <c s="125">
        <f t="shared" si="765" ref="AH313">AG316</f>
        <v>0</v>
      </c>
      <c s="125">
        <f t="shared" si="766" ref="AI313">AH316</f>
        <v>0</v>
      </c>
      <c s="125">
        <f t="shared" si="767" ref="AJ313">AI316</f>
        <v>0</v>
      </c>
      <c s="125">
        <f t="shared" si="768" ref="AK313">AJ316</f>
        <v>0</v>
      </c>
      <c s="125">
        <f t="shared" si="769" ref="AL313">AK316</f>
        <v>0</v>
      </c>
      <c s="125">
        <f t="shared" si="770" ref="AM313">AL316</f>
        <v>0</v>
      </c>
      <c s="125">
        <f t="shared" si="771" ref="AN313">AM316</f>
        <v>0</v>
      </c>
      <c s="125">
        <f t="shared" si="772" ref="AO313">AN316</f>
        <v>0</v>
      </c>
      <c s="125">
        <f t="shared" si="773" ref="AP313">AO316</f>
        <v>0</v>
      </c>
      <c s="125">
        <f t="shared" si="774" ref="AQ313">AP316</f>
        <v>0</v>
      </c>
      <c s="125">
        <f t="shared" si="775" ref="AR313">AQ316</f>
        <v>0</v>
      </c>
      <c s="125">
        <f t="shared" si="776" ref="AS313">AR316</f>
        <v>0</v>
      </c>
      <c s="125">
        <f t="shared" si="777" ref="AT313">AS316</f>
        <v>0</v>
      </c>
      <c s="125">
        <f t="shared" si="778" ref="AU313">AT316</f>
        <v>0</v>
      </c>
      <c s="125">
        <f t="shared" si="779" ref="AV313">AU316</f>
        <v>0</v>
      </c>
      <c s="125">
        <f t="shared" si="780" ref="AW313">AV316</f>
        <v>0</v>
      </c>
      <c s="125">
        <f t="shared" si="781" ref="AX313">AW316</f>
        <v>0</v>
      </c>
      <c s="125">
        <f t="shared" si="782" ref="AY313">AX316</f>
        <v>0</v>
      </c>
      <c s="125">
        <f t="shared" si="783" ref="AZ313">AY316</f>
        <v>0</v>
      </c>
      <c s="125">
        <f t="shared" si="784" ref="BA313">AZ316</f>
        <v>0</v>
      </c>
      <c s="125">
        <f t="shared" si="785" ref="BB313">BA316</f>
        <v>0</v>
      </c>
      <c s="125">
        <f t="shared" si="786" ref="BC313">BB316</f>
        <v>0</v>
      </c>
      <c s="125">
        <f t="shared" si="787" ref="BD313">BC316</f>
        <v>0</v>
      </c>
      <c s="125">
        <f t="shared" si="788" ref="BE313">BD316</f>
        <v>0</v>
      </c>
      <c s="125">
        <f t="shared" si="789" ref="BF313">BE316</f>
        <v>0</v>
      </c>
      <c s="125">
        <f t="shared" si="790" ref="BG313">BF316</f>
        <v>0</v>
      </c>
      <c s="125">
        <f t="shared" si="791" ref="BH313">BG316</f>
        <v>0</v>
      </c>
      <c s="125">
        <f t="shared" si="792" ref="BI313">BH316</f>
        <v>0</v>
      </c>
      <c s="125">
        <f t="shared" si="793" ref="BJ313">BI316</f>
        <v>0</v>
      </c>
      <c s="125">
        <f t="shared" si="794" ref="BK313">BJ316</f>
        <v>0</v>
      </c>
      <c s="125">
        <f t="shared" si="795" ref="BL313">BK316</f>
        <v>0</v>
      </c>
      <c s="125">
        <f t="shared" si="796" ref="BM313">BL316</f>
        <v>0</v>
      </c>
    </row>
    <row r="314" spans="2:65" ht="15" customHeight="1">
      <c r="B314" s="12" t="s">
        <v>952</v>
      </c>
      <c s="124" t="str">
        <f>Единица_измерения</f>
        <v>тыс. руб.</v>
      </c>
      <c s="129"/>
      <c s="125">
        <f>ФОТ!E346</f>
        <v>0</v>
      </c>
      <c s="125">
        <f>ФОТ!F346</f>
        <v>0</v>
      </c>
      <c s="125">
        <f>ФОТ!G346</f>
        <v>0</v>
      </c>
      <c s="125">
        <f>ФОТ!H346</f>
        <v>0</v>
      </c>
      <c s="125">
        <f>ФОТ!I346</f>
        <v>0</v>
      </c>
      <c s="125">
        <f>ФОТ!J346</f>
        <v>0</v>
      </c>
      <c s="125">
        <f>ФОТ!K346</f>
        <v>0</v>
      </c>
      <c s="125">
        <f>ФОТ!L346</f>
        <v>0</v>
      </c>
      <c s="125">
        <f>ФОТ!M346</f>
        <v>0</v>
      </c>
      <c s="125">
        <f>ФОТ!N346</f>
        <v>0</v>
      </c>
      <c s="125">
        <f>ФОТ!O346</f>
        <v>0</v>
      </c>
      <c s="125">
        <f>ФОТ!P346</f>
        <v>0</v>
      </c>
      <c s="125">
        <f>ФОТ!Q346</f>
        <v>0</v>
      </c>
      <c s="125">
        <f>ФОТ!R346</f>
        <v>0</v>
      </c>
      <c s="125">
        <f>ФОТ!S346</f>
        <v>0</v>
      </c>
      <c s="125">
        <f>ФОТ!T346</f>
        <v>0</v>
      </c>
      <c s="125">
        <f>ФОТ!U346</f>
        <v>0</v>
      </c>
      <c s="125">
        <f>ФОТ!V346</f>
        <v>0</v>
      </c>
      <c s="125">
        <f>ФОТ!W346</f>
        <v>0</v>
      </c>
      <c s="125">
        <f>ФОТ!X346</f>
        <v>0</v>
      </c>
      <c s="125">
        <f>ФОТ!Y346</f>
        <v>0</v>
      </c>
      <c s="125">
        <f>ФОТ!Z346</f>
        <v>0</v>
      </c>
      <c s="125">
        <f>ФОТ!AA346</f>
        <v>0</v>
      </c>
      <c s="125">
        <f>ФОТ!AB346</f>
        <v>0</v>
      </c>
      <c s="125">
        <f>ФОТ!AC346</f>
        <v>0</v>
      </c>
      <c s="125">
        <f>ФОТ!AD346</f>
        <v>0</v>
      </c>
      <c s="125">
        <f>ФОТ!AE346</f>
        <v>0</v>
      </c>
      <c s="125">
        <f>ФОТ!AF346</f>
        <v>0</v>
      </c>
      <c s="125">
        <f>ФОТ!AG346</f>
        <v>0</v>
      </c>
      <c s="125">
        <f>ФОТ!AH346</f>
        <v>0</v>
      </c>
      <c s="125">
        <f>ФОТ!AI346</f>
        <v>0</v>
      </c>
      <c s="125">
        <f>ФОТ!AJ346</f>
        <v>0</v>
      </c>
      <c s="125">
        <f>ФОТ!AK346</f>
        <v>0</v>
      </c>
      <c s="125">
        <f>ФОТ!AL346</f>
        <v>0</v>
      </c>
      <c s="125">
        <f>ФОТ!AM346</f>
        <v>0</v>
      </c>
      <c s="125">
        <f>ФОТ!AN346</f>
        <v>0</v>
      </c>
      <c s="125">
        <f>ФОТ!AO346</f>
        <v>0</v>
      </c>
      <c s="125">
        <f>ФОТ!AP346</f>
        <v>0</v>
      </c>
      <c s="125">
        <f>ФОТ!AQ346</f>
        <v>0</v>
      </c>
      <c s="125">
        <f>ФОТ!AR346</f>
        <v>0</v>
      </c>
      <c s="125">
        <f>ФОТ!AS346</f>
        <v>0</v>
      </c>
      <c s="125">
        <f>ФОТ!AT346</f>
        <v>0</v>
      </c>
      <c s="125">
        <f>ФОТ!AU346</f>
        <v>0</v>
      </c>
      <c s="125">
        <f>ФОТ!AV346</f>
        <v>0</v>
      </c>
      <c s="125">
        <f>ФОТ!AW346</f>
        <v>0</v>
      </c>
      <c s="125">
        <f>ФОТ!AX346</f>
        <v>0</v>
      </c>
      <c s="125">
        <f>ФОТ!AY346</f>
        <v>0</v>
      </c>
      <c s="125">
        <f>ФОТ!AZ346</f>
        <v>0</v>
      </c>
      <c s="125">
        <f>ФОТ!BA346</f>
        <v>0</v>
      </c>
      <c s="125">
        <f>ФОТ!BB346</f>
        <v>0</v>
      </c>
      <c s="125">
        <f>ФОТ!BC346</f>
        <v>0</v>
      </c>
      <c s="125">
        <f>ФОТ!BD346</f>
        <v>0</v>
      </c>
      <c s="125">
        <f>ФОТ!BE346</f>
        <v>0</v>
      </c>
      <c s="125">
        <f>ФОТ!BF346</f>
        <v>0</v>
      </c>
      <c s="125">
        <f>ФОТ!BG346</f>
        <v>0</v>
      </c>
      <c s="125">
        <f>ФОТ!BH346</f>
        <v>0</v>
      </c>
      <c s="125">
        <f>ФОТ!BI346</f>
        <v>0</v>
      </c>
      <c s="125">
        <f>ФОТ!BJ346</f>
        <v>0</v>
      </c>
      <c s="125">
        <f>ФОТ!BK346</f>
        <v>0</v>
      </c>
      <c s="125">
        <f>ФОТ!BL346</f>
        <v>0</v>
      </c>
      <c s="125">
        <f>ФОТ!BM346</f>
        <v>0</v>
      </c>
    </row>
    <row r="315" spans="2:65" ht="15" customHeight="1">
      <c r="B315" s="12" t="s">
        <v>953</v>
      </c>
      <c s="124" t="str">
        <f>Единица_измерения</f>
        <v>тыс. руб.</v>
      </c>
      <c s="129"/>
      <c s="125">
        <f t="shared" si="797" ref="E315">-E314</f>
        <v>0</v>
      </c>
      <c s="125">
        <f t="shared" si="798" ref="F315:AG315">-F314</f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8"/>
        <v>0</v>
      </c>
      <c s="125">
        <f t="shared" si="799" ref="AH315:BM315">-AH314</f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  <c s="125">
        <f t="shared" si="799"/>
        <v>0</v>
      </c>
    </row>
    <row r="316" spans="2:65" ht="15" customHeight="1">
      <c r="B316" s="289" t="s">
        <v>830</v>
      </c>
      <c s="290" t="str">
        <f>Единица_измерения</f>
        <v>тыс. руб.</v>
      </c>
      <c s="276"/>
      <c s="276">
        <f t="shared" si="800" ref="E316">SUM(E313:E315)</f>
        <v>0</v>
      </c>
      <c s="276">
        <f t="shared" si="801" ref="F316:AG316">SUM(F313:F315)</f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1"/>
        <v>0</v>
      </c>
      <c s="276">
        <f t="shared" si="802" ref="AH316:BM316">SUM(AH313:AH315)</f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  <c s="276">
        <f t="shared" si="802"/>
        <v>0</v>
      </c>
    </row>
    <row r="317" ht="15" customHeight="1"/>
    <row r="318" spans="2:71" ht="21">
      <c r="B318" s="23" t="s">
        <v>954</v>
      </c>
      <c r="D31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19" spans="2:65" ht="15" customHeight="1">
      <c r="B319" s="12" t="s">
        <v>955</v>
      </c>
      <c s="124" t="str">
        <f>Единица_измерения</f>
        <v>тыс. руб.</v>
      </c>
      <c s="125"/>
      <c s="125">
        <f ca="1" t="shared" si="803" ref="E319">SUM(E31,E87,E112,E309,E316)</f>
        <v>0</v>
      </c>
      <c s="125">
        <f ca="1" t="shared" si="804" ref="F319:BM319">SUM(F31,F87,F112,F309,F316)</f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  <c s="125">
        <f t="shared" ca="1" si="804"/>
        <v>0</v>
      </c>
    </row>
    <row r="320" ht="15" customHeight="1"/>
  </sheetData>
  <sheetProtection algorithmName="SHA-512" hashValue="4ioZphcRwg+sl5DsxPTbhm23I4cfZKsPr4S9w2JQRif/6ip834WbUiCu7b5ds5wZKX8PBgYCKOBfLsIBgeVtwQ==" saltValue="Gb6I2FjRsV/1lTyZYIDXnQ==" spinCount="100000" sheet="1" objects="1" scenarios="1"/>
  <mergeCells count="5">
    <mergeCell ref="B6:B8"/>
    <mergeCell ref="C6:C8"/>
    <mergeCell ref="D6:D8"/>
    <mergeCell ref="E2:H2"/>
    <mergeCell ref="E4:G4"/>
  </mergeCells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5">
    <tabColor theme="0"/>
    <pageSetUpPr fitToPage="1"/>
  </sheetPr>
  <dimension ref="B2:BS68"/>
  <sheetViews>
    <sheetView showGridLines="0" workbookViewId="0" topLeftCell="A1">
      <pane xSplit="4" ySplit="8" topLeftCell="E9" activePane="bottomRight" state="frozen"/>
      <selection pane="topLeft" activeCell="A1" sqref="A1"/>
      <selection pane="bottomLeft" activeCell="A1" sqref="A1"/>
      <selection pane="topRight" activeCell="A1" sqref="A1"/>
      <selection pane="bottomRight" activeCell="E2" sqref="E2:H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65" width="17.2857142857143" customWidth="1"/>
    <col min="66" max="66" width="2.71428571428571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18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AG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1" ref="AH6">SUM(AG6,1)</f>
        <v>30</v>
      </c>
      <c s="255">
        <f t="shared" si="2" ref="AI6">SUM(AH6,1)</f>
        <v>31</v>
      </c>
      <c s="255">
        <f t="shared" si="3" ref="AJ6">SUM(AI6,1)</f>
        <v>32</v>
      </c>
      <c s="255">
        <f t="shared" si="4" ref="AK6">SUM(AJ6,1)</f>
        <v>33</v>
      </c>
      <c s="255">
        <f t="shared" si="5" ref="AL6">SUM(AK6,1)</f>
        <v>34</v>
      </c>
      <c s="255">
        <f t="shared" si="6" ref="AM6">SUM(AL6,1)</f>
        <v>35</v>
      </c>
      <c s="255">
        <f t="shared" si="7" ref="AN6">SUM(AM6,1)</f>
        <v>36</v>
      </c>
      <c s="255">
        <f t="shared" si="8" ref="AO6">SUM(AN6,1)</f>
        <v>37</v>
      </c>
      <c s="255">
        <f t="shared" si="9" ref="AP6">SUM(AO6,1)</f>
        <v>38</v>
      </c>
      <c s="255">
        <f t="shared" si="10" ref="AQ6">SUM(AP6,1)</f>
        <v>39</v>
      </c>
      <c s="255">
        <f t="shared" si="11" ref="AR6">SUM(AQ6,1)</f>
        <v>40</v>
      </c>
      <c s="255">
        <f t="shared" si="12" ref="AS6">SUM(AR6,1)</f>
        <v>41</v>
      </c>
      <c s="255">
        <f t="shared" si="13" ref="AT6">SUM(AS6,1)</f>
        <v>42</v>
      </c>
      <c s="255">
        <f t="shared" si="14" ref="AU6">SUM(AT6,1)</f>
        <v>43</v>
      </c>
      <c s="255">
        <f t="shared" si="15" ref="AV6">SUM(AU6,1)</f>
        <v>44</v>
      </c>
      <c s="255">
        <f t="shared" si="16" ref="AW6">SUM(AV6,1)</f>
        <v>45</v>
      </c>
      <c s="255">
        <f t="shared" si="17" ref="AX6">SUM(AW6,1)</f>
        <v>46</v>
      </c>
      <c s="255">
        <f t="shared" si="18" ref="AY6">SUM(AX6,1)</f>
        <v>47</v>
      </c>
      <c s="255">
        <f t="shared" si="19" ref="AZ6">SUM(AY6,1)</f>
        <v>48</v>
      </c>
      <c s="255">
        <f t="shared" si="20" ref="BA6">SUM(AZ6,1)</f>
        <v>49</v>
      </c>
      <c s="255">
        <f t="shared" si="21" ref="BB6">SUM(BA6,1)</f>
        <v>50</v>
      </c>
      <c s="255">
        <f t="shared" si="22" ref="BC6">SUM(BB6,1)</f>
        <v>51</v>
      </c>
      <c s="255">
        <f t="shared" si="23" ref="BD6">SUM(BC6,1)</f>
        <v>52</v>
      </c>
      <c s="255">
        <f t="shared" si="24" ref="BE6">SUM(BD6,1)</f>
        <v>53</v>
      </c>
      <c s="255">
        <f t="shared" si="25" ref="BF6">SUM(BE6,1)</f>
        <v>54</v>
      </c>
      <c s="255">
        <f t="shared" si="26" ref="BG6">SUM(BF6,1)</f>
        <v>55</v>
      </c>
      <c s="255">
        <f t="shared" si="27" ref="BH6">SUM(BG6,1)</f>
        <v>56</v>
      </c>
      <c s="255">
        <f t="shared" si="28" ref="BI6">SUM(BH6,1)</f>
        <v>57</v>
      </c>
      <c s="255">
        <f t="shared" si="29" ref="BJ6">SUM(BI6,1)</f>
        <v>58</v>
      </c>
      <c s="255">
        <f t="shared" si="30" ref="BK6">SUM(BJ6,1)</f>
        <v>59</v>
      </c>
      <c s="255">
        <f t="shared" si="31" ref="BL6:BM6">SUM(BK6,1)</f>
        <v>60</v>
      </c>
      <c s="255">
        <f t="shared" si="31"/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65" ht="15" customHeight="1">
      <c r="B10" s="12" t="s">
        <v>956</v>
      </c>
      <c s="124" t="str">
        <f>Единица_измерения</f>
        <v>тыс. руб.</v>
      </c>
      <c s="125"/>
      <c s="125">
        <f ca="1">SUM('Квартальная отчетность'!E53,'Квартальная отчетность'!E60)</f>
        <v>0</v>
      </c>
      <c s="125">
        <f ca="1">SUM('Квартальная отчетность'!F53,'Квартальная отчетность'!F60)</f>
        <v>0</v>
      </c>
      <c s="125">
        <f ca="1">SUM('Квартальная отчетность'!G53,'Квартальная отчетность'!G60)</f>
        <v>0</v>
      </c>
      <c s="125">
        <f ca="1">SUM('Квартальная отчетность'!H53,'Квартальная отчетность'!H60)</f>
        <v>0</v>
      </c>
      <c s="125">
        <f ca="1">SUM('Квартальная отчетность'!I53,'Квартальная отчетность'!I60)</f>
        <v>0</v>
      </c>
      <c s="125">
        <f ca="1">SUM('Квартальная отчетность'!J53,'Квартальная отчетность'!J60)</f>
        <v>0</v>
      </c>
      <c s="125">
        <f ca="1">SUM('Квартальная отчетность'!K53,'Квартальная отчетность'!K60)</f>
        <v>0</v>
      </c>
      <c s="125">
        <f ca="1">SUM('Квартальная отчетность'!L53,'Квартальная отчетность'!L60)</f>
        <v>0</v>
      </c>
      <c s="125">
        <f ca="1">SUM('Квартальная отчетность'!M53,'Квартальная отчетность'!M60)</f>
        <v>0</v>
      </c>
      <c s="125">
        <f ca="1">SUM('Квартальная отчетность'!N53,'Квартальная отчетность'!N60)</f>
        <v>0</v>
      </c>
      <c s="125">
        <f ca="1">SUM('Квартальная отчетность'!O53,'Квартальная отчетность'!O60)</f>
        <v>0</v>
      </c>
      <c s="125">
        <f ca="1">SUM('Квартальная отчетность'!P53,'Квартальная отчетность'!P60)</f>
        <v>0</v>
      </c>
      <c s="125">
        <f ca="1">SUM('Квартальная отчетность'!Q53,'Квартальная отчетность'!Q60)</f>
        <v>0</v>
      </c>
      <c s="125">
        <f ca="1">SUM('Квартальная отчетность'!R53,'Квартальная отчетность'!R60)</f>
        <v>0</v>
      </c>
      <c s="125">
        <f ca="1">SUM('Квартальная отчетность'!S53,'Квартальная отчетность'!S60)</f>
        <v>0</v>
      </c>
      <c s="125">
        <f ca="1">SUM('Квартальная отчетность'!T53,'Квартальная отчетность'!T60)</f>
        <v>0</v>
      </c>
      <c s="125">
        <f ca="1">SUM('Квартальная отчетность'!U53,'Квартальная отчетность'!U60)</f>
        <v>0</v>
      </c>
      <c s="125">
        <f ca="1">SUM('Квартальная отчетность'!V53,'Квартальная отчетность'!V60)</f>
        <v>0</v>
      </c>
      <c s="125">
        <f ca="1">SUM('Квартальная отчетность'!W53,'Квартальная отчетность'!W60)</f>
        <v>0</v>
      </c>
      <c s="125">
        <f ca="1">SUM('Квартальная отчетность'!X53,'Квартальная отчетность'!X60)</f>
        <v>0</v>
      </c>
      <c s="125">
        <f ca="1">SUM('Квартальная отчетность'!Y53,'Квартальная отчетность'!Y60)</f>
        <v>0</v>
      </c>
      <c s="125">
        <f ca="1">SUM('Квартальная отчетность'!Z53,'Квартальная отчетность'!Z60)</f>
        <v>0</v>
      </c>
      <c s="125">
        <f ca="1">SUM('Квартальная отчетность'!AA53,'Квартальная отчетность'!AA60)</f>
        <v>0</v>
      </c>
      <c s="125">
        <f ca="1">SUM('Квартальная отчетность'!AB53,'Квартальная отчетность'!AB60)</f>
        <v>0</v>
      </c>
      <c s="125">
        <f ca="1">SUM('Квартальная отчетность'!AC53,'Квартальная отчетность'!AC60)</f>
        <v>0</v>
      </c>
      <c s="125">
        <f ca="1">SUM('Квартальная отчетность'!AD53,'Квартальная отчетность'!AD60)</f>
        <v>0</v>
      </c>
      <c s="125">
        <f ca="1">SUM('Квартальная отчетность'!AE53,'Квартальная отчетность'!AE60)</f>
        <v>0</v>
      </c>
      <c s="125">
        <f ca="1">SUM('Квартальная отчетность'!AF53,'Квартальная отчетность'!AF60)</f>
        <v>0</v>
      </c>
      <c s="125">
        <f ca="1">SUM('Квартальная отчетность'!AG53,'Квартальная отчетность'!AG60)</f>
        <v>0</v>
      </c>
      <c s="125">
        <f ca="1">SUM('Квартальная отчетность'!AH53,'Квартальная отчетность'!AH60)</f>
        <v>0</v>
      </c>
      <c s="125">
        <f ca="1">SUM('Квартальная отчетность'!AI53,'Квартальная отчетность'!AI60)</f>
        <v>0</v>
      </c>
      <c s="125">
        <f ca="1">SUM('Квартальная отчетность'!AJ53,'Квартальная отчетность'!AJ60)</f>
        <v>0</v>
      </c>
      <c s="125">
        <f ca="1">SUM('Квартальная отчетность'!AK53,'Квартальная отчетность'!AK60)</f>
        <v>0</v>
      </c>
      <c s="125">
        <f ca="1">SUM('Квартальная отчетность'!AL53,'Квартальная отчетность'!AL60)</f>
        <v>0</v>
      </c>
      <c s="125">
        <f ca="1">SUM('Квартальная отчетность'!AM53,'Квартальная отчетность'!AM60)</f>
        <v>0</v>
      </c>
      <c s="125">
        <f ca="1">SUM('Квартальная отчетность'!AN53,'Квартальная отчетность'!AN60)</f>
        <v>0</v>
      </c>
      <c s="125">
        <f ca="1">SUM('Квартальная отчетность'!AO53,'Квартальная отчетность'!AO60)</f>
        <v>0</v>
      </c>
      <c s="125">
        <f ca="1">SUM('Квартальная отчетность'!AP53,'Квартальная отчетность'!AP60)</f>
        <v>0</v>
      </c>
      <c s="125">
        <f ca="1">SUM('Квартальная отчетность'!AQ53,'Квартальная отчетность'!AQ60)</f>
        <v>0</v>
      </c>
      <c s="125">
        <f ca="1">SUM('Квартальная отчетность'!AR53,'Квартальная отчетность'!AR60)</f>
        <v>0</v>
      </c>
      <c s="125">
        <f ca="1">SUM('Квартальная отчетность'!AS53,'Квартальная отчетность'!AS60)</f>
        <v>0</v>
      </c>
      <c s="125">
        <f ca="1">SUM('Квартальная отчетность'!AT53,'Квартальная отчетность'!AT60)</f>
        <v>0</v>
      </c>
      <c s="125">
        <f ca="1">SUM('Квартальная отчетность'!AU53,'Квартальная отчетность'!AU60)</f>
        <v>0</v>
      </c>
      <c s="125">
        <f ca="1">SUM('Квартальная отчетность'!AV53,'Квартальная отчетность'!AV60)</f>
        <v>0</v>
      </c>
      <c s="125">
        <f ca="1">SUM('Квартальная отчетность'!AW53,'Квартальная отчетность'!AW60)</f>
        <v>0</v>
      </c>
      <c s="125">
        <f ca="1">SUM('Квартальная отчетность'!AX53,'Квартальная отчетность'!AX60)</f>
        <v>0</v>
      </c>
      <c s="125">
        <f ca="1">SUM('Квартальная отчетность'!AY53,'Квартальная отчетность'!AY60)</f>
        <v>0</v>
      </c>
      <c s="125">
        <f ca="1">SUM('Квартальная отчетность'!AZ53,'Квартальная отчетность'!AZ60)</f>
        <v>0</v>
      </c>
      <c s="125">
        <f ca="1">SUM('Квартальная отчетность'!BA53,'Квартальная отчетность'!BA60)</f>
        <v>0</v>
      </c>
      <c s="125">
        <f ca="1">SUM('Квартальная отчетность'!BB53,'Квартальная отчетность'!BB60)</f>
        <v>0</v>
      </c>
      <c s="125">
        <f ca="1">SUM('Квартальная отчетность'!BC53,'Квартальная отчетность'!BC60)</f>
        <v>0</v>
      </c>
      <c s="125">
        <f ca="1">SUM('Квартальная отчетность'!BD53,'Квартальная отчетность'!BD60)</f>
        <v>0</v>
      </c>
      <c s="125">
        <f ca="1">SUM('Квартальная отчетность'!BE53,'Квартальная отчетность'!BE60)</f>
        <v>0</v>
      </c>
      <c s="125">
        <f ca="1">SUM('Квартальная отчетность'!BF53,'Квартальная отчетность'!BF60)</f>
        <v>0</v>
      </c>
      <c s="125">
        <f ca="1">SUM('Квартальная отчетность'!BG53,'Квартальная отчетность'!BG60)</f>
        <v>0</v>
      </c>
      <c s="125">
        <f ca="1">SUM('Квартальная отчетность'!BH53,'Квартальная отчетность'!BH60)</f>
        <v>0</v>
      </c>
      <c s="125">
        <f ca="1">SUM('Квартальная отчетность'!BI53,'Квартальная отчетность'!BI60)</f>
        <v>0</v>
      </c>
      <c s="125">
        <f ca="1">SUM('Квартальная отчетность'!BJ53,'Квартальная отчетность'!BJ60)</f>
        <v>0</v>
      </c>
      <c s="125">
        <f ca="1">SUM('Квартальная отчетность'!BK53,'Квартальная отчетность'!BK60)</f>
        <v>0</v>
      </c>
      <c s="125">
        <f ca="1">SUM('Квартальная отчетность'!BL53,'Квартальная отчетность'!BL60)</f>
        <v>0</v>
      </c>
      <c s="125">
        <f ca="1">SUM('Квартальная отчетность'!BM53,'Квартальная отчетность'!BM60)</f>
        <v>0</v>
      </c>
    </row>
    <row r="11" ht="15" customHeight="1"/>
    <row r="12" spans="2:2" ht="21">
      <c r="B12" s="23" t="str">
        <f>"Заём "&amp;IF(ISNUMBER(SEARCH("РФРП",Программа)),"ФРП и РФРП","ФРП")</f>
        <v>Заём ФРП</v>
      </c>
    </row>
    <row r="13" spans="2:2" ht="15" customHeight="1">
      <c r="B13" s="24" t="str">
        <f>"ОСВ: Основной долг - Заём "&amp;IF(ISNUMBER(SEARCH("РФРП",Программа)),"ФРП и РФРП","ФРП")</f>
        <v>ОСВ: Основной долг - Заём ФРП</v>
      </c>
    </row>
    <row r="14" spans="2:65" ht="15" customHeight="1">
      <c r="B14" s="12" t="s">
        <v>827</v>
      </c>
      <c s="124" t="str">
        <f>Единица_измерения</f>
        <v>тыс. руб.</v>
      </c>
      <c s="125"/>
      <c s="125">
        <f t="shared" si="32" ref="E14">D17</f>
        <v>0</v>
      </c>
      <c s="125">
        <f t="shared" si="33" ref="F14">E17</f>
        <v>0</v>
      </c>
      <c s="125">
        <f t="shared" si="34" ref="G14">F17</f>
        <v>0</v>
      </c>
      <c s="125">
        <f t="shared" si="35" ref="H14">G17</f>
        <v>0</v>
      </c>
      <c s="125">
        <f t="shared" si="36" ref="I14">H17</f>
        <v>0</v>
      </c>
      <c s="125">
        <f t="shared" si="37" ref="J14">I17</f>
        <v>0</v>
      </c>
      <c s="125">
        <f t="shared" si="38" ref="K14">J17</f>
        <v>0</v>
      </c>
      <c s="125">
        <f t="shared" si="39" ref="L14">K17</f>
        <v>0</v>
      </c>
      <c s="125">
        <f t="shared" si="40" ref="M14">L17</f>
        <v>0</v>
      </c>
      <c s="125">
        <f t="shared" si="41" ref="N14">M17</f>
        <v>0</v>
      </c>
      <c s="125">
        <f t="shared" si="42" ref="O14">N17</f>
        <v>0</v>
      </c>
      <c s="125">
        <f t="shared" si="43" ref="P14">O17</f>
        <v>0</v>
      </c>
      <c s="125">
        <f t="shared" si="44" ref="Q14">P17</f>
        <v>0</v>
      </c>
      <c s="125">
        <f t="shared" si="45" ref="R14">Q17</f>
        <v>0</v>
      </c>
      <c s="125">
        <f t="shared" si="46" ref="S14">R17</f>
        <v>0</v>
      </c>
      <c s="125">
        <f t="shared" si="47" ref="T14">S17</f>
        <v>0</v>
      </c>
      <c s="125">
        <f t="shared" si="48" ref="U14">T17</f>
        <v>0</v>
      </c>
      <c s="125">
        <f t="shared" si="49" ref="V14">U17</f>
        <v>0</v>
      </c>
      <c s="125">
        <f t="shared" si="50" ref="W14">V17</f>
        <v>0</v>
      </c>
      <c s="125">
        <f t="shared" si="51" ref="X14">W17</f>
        <v>0</v>
      </c>
      <c s="125">
        <f t="shared" si="52" ref="Y14">X17</f>
        <v>0</v>
      </c>
      <c s="125">
        <f t="shared" si="53" ref="Z14">Y17</f>
        <v>0</v>
      </c>
      <c s="125">
        <f t="shared" si="54" ref="AA14">Z17</f>
        <v>0</v>
      </c>
      <c s="125">
        <f t="shared" si="55" ref="AB14">AA17</f>
        <v>0</v>
      </c>
      <c s="125">
        <f t="shared" si="56" ref="AC14">AB17</f>
        <v>0</v>
      </c>
      <c s="125">
        <f t="shared" si="57" ref="AD14">AC17</f>
        <v>0</v>
      </c>
      <c s="125">
        <f t="shared" si="58" ref="AE14">AD17</f>
        <v>0</v>
      </c>
      <c s="125">
        <f t="shared" si="59" ref="AF14">AE17</f>
        <v>0</v>
      </c>
      <c s="125">
        <f t="shared" si="60" ref="AG14">AF17</f>
        <v>0</v>
      </c>
      <c s="125">
        <f t="shared" si="61" ref="AH14">AG17</f>
        <v>0</v>
      </c>
      <c s="125">
        <f t="shared" si="62" ref="AI14">AH17</f>
        <v>0</v>
      </c>
      <c s="125">
        <f t="shared" si="63" ref="AJ14">AI17</f>
        <v>0</v>
      </c>
      <c s="125">
        <f t="shared" si="64" ref="AK14">AJ17</f>
        <v>0</v>
      </c>
      <c s="125">
        <f t="shared" si="65" ref="AL14">AK17</f>
        <v>0</v>
      </c>
      <c s="125">
        <f t="shared" si="66" ref="AM14">AL17</f>
        <v>0</v>
      </c>
      <c s="125">
        <f t="shared" si="67" ref="AN14">AM17</f>
        <v>0</v>
      </c>
      <c s="125">
        <f t="shared" si="68" ref="AO14">AN17</f>
        <v>0</v>
      </c>
      <c s="125">
        <f t="shared" si="69" ref="AP14">AO17</f>
        <v>0</v>
      </c>
      <c s="125">
        <f t="shared" si="70" ref="AQ14">AP17</f>
        <v>0</v>
      </c>
      <c s="125">
        <f t="shared" si="71" ref="AR14">AQ17</f>
        <v>0</v>
      </c>
      <c s="125">
        <f t="shared" si="72" ref="AS14">AR17</f>
        <v>0</v>
      </c>
      <c s="125">
        <f t="shared" si="73" ref="AT14">AS17</f>
        <v>0</v>
      </c>
      <c s="125">
        <f t="shared" si="74" ref="AU14">AT17</f>
        <v>0</v>
      </c>
      <c s="125">
        <f t="shared" si="75" ref="AV14">AU17</f>
        <v>0</v>
      </c>
      <c s="125">
        <f t="shared" si="76" ref="AW14">AV17</f>
        <v>0</v>
      </c>
      <c s="125">
        <f t="shared" si="77" ref="AX14">AW17</f>
        <v>0</v>
      </c>
      <c s="125">
        <f t="shared" si="78" ref="AY14">AX17</f>
        <v>0</v>
      </c>
      <c s="125">
        <f t="shared" si="79" ref="AZ14">AY17</f>
        <v>0</v>
      </c>
      <c s="125">
        <f t="shared" si="80" ref="BA14">AZ17</f>
        <v>0</v>
      </c>
      <c s="125">
        <f t="shared" si="81" ref="BB14">BA17</f>
        <v>0</v>
      </c>
      <c s="125">
        <f t="shared" si="82" ref="BC14">BB17</f>
        <v>0</v>
      </c>
      <c s="125">
        <f t="shared" si="83" ref="BD14">BC17</f>
        <v>0</v>
      </c>
      <c s="125">
        <f t="shared" si="84" ref="BE14">BD17</f>
        <v>0</v>
      </c>
      <c s="125">
        <f t="shared" si="85" ref="BF14">BE17</f>
        <v>0</v>
      </c>
      <c s="125">
        <f t="shared" si="86" ref="BG14">BF17</f>
        <v>0</v>
      </c>
      <c s="125">
        <f t="shared" si="87" ref="BH14">BG17</f>
        <v>0</v>
      </c>
      <c s="125">
        <f t="shared" si="88" ref="BI14">BH17</f>
        <v>0</v>
      </c>
      <c s="125">
        <f t="shared" si="89" ref="BJ14">BI17</f>
        <v>0</v>
      </c>
      <c s="125">
        <f t="shared" si="90" ref="BK14">BJ17</f>
        <v>0</v>
      </c>
      <c s="125">
        <f t="shared" si="91" ref="BL14">BK17</f>
        <v>0</v>
      </c>
      <c s="125">
        <f t="shared" si="92" ref="BM14">BL17</f>
        <v>0</v>
      </c>
    </row>
    <row r="15" spans="2:65" ht="15" customHeight="1">
      <c r="B15" s="12" t="s">
        <v>957</v>
      </c>
      <c s="124" t="str">
        <f>Единица_измерения</f>
        <v>тыс. руб.</v>
      </c>
      <c s="125"/>
      <c s="125">
        <f>Предпосылки!D429</f>
        <v>0</v>
      </c>
      <c s="125">
        <f>Предпосылки!E429</f>
        <v>0</v>
      </c>
      <c s="125">
        <f>Предпосылки!F429</f>
        <v>0</v>
      </c>
      <c s="125">
        <f>Предпосылки!G429</f>
        <v>0</v>
      </c>
      <c s="125">
        <f>Предпосылки!H429</f>
        <v>0</v>
      </c>
      <c s="125">
        <f>Предпосылки!I429</f>
        <v>0</v>
      </c>
      <c s="125">
        <f>Предпосылки!J429</f>
        <v>0</v>
      </c>
      <c s="125">
        <f>Предпосылки!K429</f>
        <v>0</v>
      </c>
      <c s="125">
        <f>Предпосылки!L429</f>
        <v>0</v>
      </c>
      <c s="125">
        <f>Предпосылки!M429</f>
        <v>0</v>
      </c>
      <c s="125">
        <f>Предпосылки!N429</f>
        <v>0</v>
      </c>
      <c s="125">
        <f>Предпосылки!O429</f>
        <v>0</v>
      </c>
      <c s="125">
        <f>Предпосылки!P429</f>
        <v>0</v>
      </c>
      <c s="125">
        <f>Предпосылки!Q429</f>
        <v>0</v>
      </c>
      <c s="125">
        <f>Предпосылки!R429</f>
        <v>0</v>
      </c>
      <c s="125">
        <f>Предпосылки!S429</f>
        <v>0</v>
      </c>
      <c s="125">
        <f>Предпосылки!T429</f>
        <v>0</v>
      </c>
      <c s="125">
        <f>Предпосылки!U429</f>
        <v>0</v>
      </c>
      <c s="125">
        <f>Предпосылки!V429</f>
        <v>0</v>
      </c>
      <c s="125">
        <f>Предпосылки!W429</f>
        <v>0</v>
      </c>
      <c s="125">
        <f>Предпосылки!X429</f>
        <v>0</v>
      </c>
      <c s="125">
        <f>Предпосылки!Y429</f>
        <v>0</v>
      </c>
      <c s="125">
        <f>Предпосылки!Z429</f>
        <v>0</v>
      </c>
      <c s="125">
        <f>Предпосылки!AA429</f>
        <v>0</v>
      </c>
      <c s="125">
        <f>Предпосылки!AB429</f>
        <v>0</v>
      </c>
      <c s="125">
        <f>Предпосылки!AC429</f>
        <v>0</v>
      </c>
      <c s="125">
        <f>Предпосылки!AD429</f>
        <v>0</v>
      </c>
      <c s="125">
        <f>Предпосылки!AE429</f>
        <v>0</v>
      </c>
      <c s="125">
        <f>Предпосылки!AF429</f>
        <v>0</v>
      </c>
      <c s="125">
        <f>Предпосылки!AG429</f>
        <v>0</v>
      </c>
      <c s="125">
        <f>Предпосылки!AH429</f>
        <v>0</v>
      </c>
      <c s="125">
        <f>Предпосылки!AI429</f>
        <v>0</v>
      </c>
      <c s="125">
        <f>Предпосылки!AJ429</f>
        <v>0</v>
      </c>
      <c s="125">
        <f>Предпосылки!AK429</f>
        <v>0</v>
      </c>
      <c s="125">
        <f>Предпосылки!AL429</f>
        <v>0</v>
      </c>
      <c s="125">
        <f>Предпосылки!AM429</f>
        <v>0</v>
      </c>
      <c s="125">
        <f>Предпосылки!AN429</f>
        <v>0</v>
      </c>
      <c s="125">
        <f>Предпосылки!AO429</f>
        <v>0</v>
      </c>
      <c s="125">
        <f>Предпосылки!AP429</f>
        <v>0</v>
      </c>
      <c s="125">
        <f>Предпосылки!AQ429</f>
        <v>0</v>
      </c>
      <c s="125">
        <f>Предпосылки!AR429</f>
        <v>0</v>
      </c>
      <c s="125">
        <f>Предпосылки!AS429</f>
        <v>0</v>
      </c>
      <c s="125">
        <f>Предпосылки!AT429</f>
        <v>0</v>
      </c>
      <c s="125">
        <f>Предпосылки!AU429</f>
        <v>0</v>
      </c>
      <c s="125">
        <f>Предпосылки!AV429</f>
        <v>0</v>
      </c>
      <c s="125">
        <f>Предпосылки!AW429</f>
        <v>0</v>
      </c>
      <c s="125">
        <f>Предпосылки!AX429</f>
        <v>0</v>
      </c>
      <c s="125">
        <f>Предпосылки!AY429</f>
        <v>0</v>
      </c>
      <c s="125">
        <f>Предпосылки!AZ429</f>
        <v>0</v>
      </c>
      <c s="125">
        <f>Предпосылки!BA429</f>
        <v>0</v>
      </c>
      <c s="125">
        <f>Предпосылки!BB429</f>
        <v>0</v>
      </c>
      <c s="125">
        <f>Предпосылки!BC429</f>
        <v>0</v>
      </c>
      <c s="125">
        <f>Предпосылки!BD429</f>
        <v>0</v>
      </c>
      <c s="125">
        <f>Предпосылки!BE429</f>
        <v>0</v>
      </c>
      <c s="125">
        <f>Предпосылки!BF429</f>
        <v>0</v>
      </c>
      <c s="125">
        <f>Предпосылки!BG429</f>
        <v>0</v>
      </c>
      <c s="125">
        <f>Предпосылки!BH429</f>
        <v>0</v>
      </c>
      <c s="125">
        <f>Предпосылки!BI429</f>
        <v>0</v>
      </c>
      <c s="125">
        <f>Предпосылки!BJ429</f>
        <v>0</v>
      </c>
      <c s="125">
        <f>Предпосылки!BK429</f>
        <v>0</v>
      </c>
      <c s="125">
        <f>Предпосылки!BL429</f>
        <v>0</v>
      </c>
    </row>
    <row r="16" spans="2:65" ht="15" customHeight="1">
      <c r="B16" s="12" t="s">
        <v>191</v>
      </c>
      <c s="124" t="str">
        <f>Единица_измерения</f>
        <v>тыс. руб.</v>
      </c>
      <c s="125"/>
      <c s="125">
        <f>-Предпосылки!D430</f>
        <v>0</v>
      </c>
      <c s="125">
        <f>-Предпосылки!E430</f>
        <v>0</v>
      </c>
      <c s="125">
        <f>-Предпосылки!F430</f>
        <v>0</v>
      </c>
      <c s="125">
        <f>-Предпосылки!G430</f>
        <v>0</v>
      </c>
      <c s="125">
        <f>-Предпосылки!H430</f>
        <v>0</v>
      </c>
      <c s="125">
        <f>-Предпосылки!I430</f>
        <v>0</v>
      </c>
      <c s="125">
        <f>-Предпосылки!J430</f>
        <v>0</v>
      </c>
      <c s="125">
        <f>-Предпосылки!K430</f>
        <v>0</v>
      </c>
      <c s="125">
        <f>-Предпосылки!L430</f>
        <v>0</v>
      </c>
      <c s="125">
        <f>-Предпосылки!M430</f>
        <v>0</v>
      </c>
      <c s="125">
        <f>-Предпосылки!N430</f>
        <v>0</v>
      </c>
      <c s="125">
        <f>-Предпосылки!O430</f>
        <v>0</v>
      </c>
      <c s="125">
        <f>-Предпосылки!P430</f>
        <v>0</v>
      </c>
      <c s="125">
        <f>-Предпосылки!Q430</f>
        <v>0</v>
      </c>
      <c s="125">
        <f>-Предпосылки!R430</f>
        <v>0</v>
      </c>
      <c s="125">
        <f>-Предпосылки!S430</f>
        <v>0</v>
      </c>
      <c s="125">
        <f>-Предпосылки!T430</f>
        <v>0</v>
      </c>
      <c s="125">
        <f>-Предпосылки!U430</f>
        <v>0</v>
      </c>
      <c s="125">
        <f>-Предпосылки!V430</f>
        <v>0</v>
      </c>
      <c s="125">
        <f>-Предпосылки!W430</f>
        <v>0</v>
      </c>
      <c s="125">
        <f>-Предпосылки!X430</f>
        <v>0</v>
      </c>
      <c s="125">
        <f>-Предпосылки!Y430</f>
        <v>0</v>
      </c>
      <c s="125">
        <f>-Предпосылки!Z430</f>
        <v>0</v>
      </c>
      <c s="125">
        <f>-Предпосылки!AA430</f>
        <v>0</v>
      </c>
      <c s="125">
        <f>-Предпосылки!AB430</f>
        <v>0</v>
      </c>
      <c s="125">
        <f>-Предпосылки!AC430</f>
        <v>0</v>
      </c>
      <c s="125">
        <f>-Предпосылки!AD430</f>
        <v>0</v>
      </c>
      <c s="125">
        <f>-Предпосылки!AE430</f>
        <v>0</v>
      </c>
      <c s="125">
        <f>-Предпосылки!AF430</f>
        <v>0</v>
      </c>
      <c s="125">
        <f>-Предпосылки!AG430</f>
        <v>0</v>
      </c>
      <c s="125">
        <f>-Предпосылки!AH430</f>
        <v>0</v>
      </c>
      <c s="125">
        <f>-Предпосылки!AI430</f>
        <v>0</v>
      </c>
      <c s="125">
        <f>-Предпосылки!AJ430</f>
        <v>0</v>
      </c>
      <c s="125">
        <f>-Предпосылки!AK430</f>
        <v>0</v>
      </c>
      <c s="125">
        <f>-Предпосылки!AL430</f>
        <v>0</v>
      </c>
      <c s="125">
        <f>-Предпосылки!AM430</f>
        <v>0</v>
      </c>
      <c s="125">
        <f>-Предпосылки!AN430</f>
        <v>0</v>
      </c>
      <c s="125">
        <f>-Предпосылки!AO430</f>
        <v>0</v>
      </c>
      <c s="125">
        <f>-Предпосылки!AP430</f>
        <v>0</v>
      </c>
      <c s="125">
        <f>-Предпосылки!AQ430</f>
        <v>0</v>
      </c>
      <c s="125">
        <f>-Предпосылки!AR430</f>
        <v>0</v>
      </c>
      <c s="125">
        <f>-Предпосылки!AS430</f>
        <v>0</v>
      </c>
      <c s="125">
        <f>-Предпосылки!AT430</f>
        <v>0</v>
      </c>
      <c s="125">
        <f>-Предпосылки!AU430</f>
        <v>0</v>
      </c>
      <c s="125">
        <f>-Предпосылки!AV430</f>
        <v>0</v>
      </c>
      <c s="125">
        <f>-Предпосылки!AW430</f>
        <v>0</v>
      </c>
      <c s="125">
        <f>-Предпосылки!AX430</f>
        <v>0</v>
      </c>
      <c s="125">
        <f>-Предпосылки!AY430</f>
        <v>0</v>
      </c>
      <c s="125">
        <f>-Предпосылки!AZ430</f>
        <v>0</v>
      </c>
      <c s="125">
        <f>-Предпосылки!BA430</f>
        <v>0</v>
      </c>
      <c s="125">
        <f>-Предпосылки!BB430</f>
        <v>0</v>
      </c>
      <c s="125">
        <f>-Предпосылки!BC430</f>
        <v>0</v>
      </c>
      <c s="125">
        <f>-Предпосылки!BD430</f>
        <v>0</v>
      </c>
      <c s="125">
        <f>-Предпосылки!BE430</f>
        <v>0</v>
      </c>
      <c s="125">
        <f>-Предпосылки!BF430</f>
        <v>0</v>
      </c>
      <c s="125">
        <f>-Предпосылки!BG430</f>
        <v>0</v>
      </c>
      <c s="125">
        <f>-Предпосылки!BH430</f>
        <v>0</v>
      </c>
      <c s="125">
        <f>-Предпосылки!BI430</f>
        <v>0</v>
      </c>
      <c s="125">
        <f>-Предпосылки!BJ430</f>
        <v>0</v>
      </c>
      <c s="125">
        <f>-Предпосылки!BK430</f>
        <v>0</v>
      </c>
      <c s="125">
        <f>-Предпосылки!BL430</f>
        <v>0</v>
      </c>
    </row>
    <row r="17" spans="2:65" ht="15" customHeight="1">
      <c r="B17" s="289" t="s">
        <v>830</v>
      </c>
      <c s="290" t="str">
        <f>Единица_измерения</f>
        <v>тыс. руб.</v>
      </c>
      <c s="276"/>
      <c s="276">
        <f t="shared" si="93" ref="E17">SUM(E14:E16)</f>
        <v>0</v>
      </c>
      <c s="276">
        <f t="shared" si="94" ref="F17:AG17">SUM(F14:F16)</f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4"/>
        <v>0</v>
      </c>
      <c s="276">
        <f t="shared" si="95" ref="AH17:BM17">SUM(AH14:AH16)</f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  <c s="276">
        <f t="shared" si="95"/>
        <v>0</v>
      </c>
    </row>
    <row r="18" ht="15" customHeight="1"/>
    <row r="19" spans="2:2" ht="15" customHeight="1">
      <c r="B19" s="24" t="str">
        <f>"ОСВ: Проценты - Заём "&amp;IF(ISNUMBER(SEARCH("РФРП",Программа)),"ФРП и РФРП","ФРП")</f>
        <v>ОСВ: Проценты - Заём ФРП</v>
      </c>
    </row>
    <row r="20" spans="2:65" ht="15" customHeight="1">
      <c r="B20" s="12" t="s">
        <v>827</v>
      </c>
      <c s="124" t="str">
        <f>Единица_измерения</f>
        <v>тыс. руб.</v>
      </c>
      <c s="125"/>
      <c s="125">
        <f t="shared" si="96" ref="E20">D23</f>
        <v>0</v>
      </c>
      <c s="125">
        <f t="shared" si="97" ref="F20">E23</f>
        <v>0</v>
      </c>
      <c s="125">
        <f t="shared" si="98" ref="G20">F23</f>
        <v>0</v>
      </c>
      <c s="125">
        <f t="shared" si="99" ref="H20">G23</f>
        <v>0</v>
      </c>
      <c s="125">
        <f t="shared" si="100" ref="I20">H23</f>
        <v>0</v>
      </c>
      <c s="125">
        <f t="shared" si="101" ref="J20">I23</f>
        <v>0</v>
      </c>
      <c s="125">
        <f t="shared" si="102" ref="K20">J23</f>
        <v>0</v>
      </c>
      <c s="125">
        <f t="shared" si="103" ref="L20">K23</f>
        <v>0</v>
      </c>
      <c s="125">
        <f t="shared" si="104" ref="M20">L23</f>
        <v>0</v>
      </c>
      <c s="125">
        <f t="shared" si="105" ref="N20">M23</f>
        <v>0</v>
      </c>
      <c s="125">
        <f t="shared" si="106" ref="O20">N23</f>
        <v>0</v>
      </c>
      <c s="125">
        <f t="shared" si="107" ref="P20">O23</f>
        <v>0</v>
      </c>
      <c s="125">
        <f t="shared" si="108" ref="Q20">P23</f>
        <v>0</v>
      </c>
      <c s="125">
        <f t="shared" si="109" ref="R20">Q23</f>
        <v>0</v>
      </c>
      <c s="125">
        <f t="shared" si="110" ref="S20">R23</f>
        <v>0</v>
      </c>
      <c s="125">
        <f t="shared" si="111" ref="T20">S23</f>
        <v>0</v>
      </c>
      <c s="125">
        <f t="shared" si="112" ref="U20">T23</f>
        <v>0</v>
      </c>
      <c s="125">
        <f t="shared" si="113" ref="V20">U23</f>
        <v>0</v>
      </c>
      <c s="125">
        <f t="shared" si="114" ref="W20">V23</f>
        <v>0</v>
      </c>
      <c s="125">
        <f t="shared" si="115" ref="X20">W23</f>
        <v>0</v>
      </c>
      <c s="125">
        <f t="shared" si="116" ref="Y20">X23</f>
        <v>0</v>
      </c>
      <c s="125">
        <f t="shared" si="117" ref="Z20">Y23</f>
        <v>0</v>
      </c>
      <c s="125">
        <f t="shared" si="118" ref="AA20">Z23</f>
        <v>0</v>
      </c>
      <c s="125">
        <f t="shared" si="119" ref="AB20">AA23</f>
        <v>0</v>
      </c>
      <c s="125">
        <f t="shared" si="120" ref="AC20">AB23</f>
        <v>0</v>
      </c>
      <c s="125">
        <f t="shared" si="121" ref="AD20">AC23</f>
        <v>0</v>
      </c>
      <c s="125">
        <f t="shared" si="122" ref="AE20">AD23</f>
        <v>0</v>
      </c>
      <c s="125">
        <f t="shared" si="123" ref="AF20">AE23</f>
        <v>0</v>
      </c>
      <c s="125">
        <f t="shared" si="124" ref="AG20">AF23</f>
        <v>0</v>
      </c>
      <c s="125">
        <f t="shared" si="125" ref="AH20">AG23</f>
        <v>0</v>
      </c>
      <c s="125">
        <f t="shared" si="126" ref="AI20">AH23</f>
        <v>0</v>
      </c>
      <c s="125">
        <f t="shared" si="127" ref="AJ20">AI23</f>
        <v>0</v>
      </c>
      <c s="125">
        <f t="shared" si="128" ref="AK20">AJ23</f>
        <v>0</v>
      </c>
      <c s="125">
        <f t="shared" si="129" ref="AL20">AK23</f>
        <v>0</v>
      </c>
      <c s="125">
        <f t="shared" si="130" ref="AM20">AL23</f>
        <v>0</v>
      </c>
      <c s="125">
        <f t="shared" si="131" ref="AN20">AM23</f>
        <v>0</v>
      </c>
      <c s="125">
        <f t="shared" si="132" ref="AO20">AN23</f>
        <v>0</v>
      </c>
      <c s="125">
        <f t="shared" si="133" ref="AP20">AO23</f>
        <v>0</v>
      </c>
      <c s="125">
        <f t="shared" si="134" ref="AQ20">AP23</f>
        <v>0</v>
      </c>
      <c s="125">
        <f t="shared" si="135" ref="AR20">AQ23</f>
        <v>0</v>
      </c>
      <c s="125">
        <f t="shared" si="136" ref="AS20">AR23</f>
        <v>0</v>
      </c>
      <c s="125">
        <f t="shared" si="137" ref="AT20">AS23</f>
        <v>0</v>
      </c>
      <c s="125">
        <f t="shared" si="138" ref="AU20">AT23</f>
        <v>0</v>
      </c>
      <c s="125">
        <f t="shared" si="139" ref="AV20">AU23</f>
        <v>0</v>
      </c>
      <c s="125">
        <f t="shared" si="140" ref="AW20">AV23</f>
        <v>0</v>
      </c>
      <c s="125">
        <f t="shared" si="141" ref="AX20">AW23</f>
        <v>0</v>
      </c>
      <c s="125">
        <f t="shared" si="142" ref="AY20">AX23</f>
        <v>0</v>
      </c>
      <c s="125">
        <f t="shared" si="143" ref="AZ20">AY23</f>
        <v>0</v>
      </c>
      <c s="125">
        <f t="shared" si="144" ref="BA20">AZ23</f>
        <v>0</v>
      </c>
      <c s="125">
        <f t="shared" si="145" ref="BB20">BA23</f>
        <v>0</v>
      </c>
      <c s="125">
        <f t="shared" si="146" ref="BC20">BB23</f>
        <v>0</v>
      </c>
      <c s="125">
        <f t="shared" si="147" ref="BD20">BC23</f>
        <v>0</v>
      </c>
      <c s="125">
        <f t="shared" si="148" ref="BE20">BD23</f>
        <v>0</v>
      </c>
      <c s="125">
        <f t="shared" si="149" ref="BF20">BE23</f>
        <v>0</v>
      </c>
      <c s="125">
        <f t="shared" si="150" ref="BG20">BF23</f>
        <v>0</v>
      </c>
      <c s="125">
        <f t="shared" si="151" ref="BH20">BG23</f>
        <v>0</v>
      </c>
      <c s="125">
        <f t="shared" si="152" ref="BI20">BH23</f>
        <v>0</v>
      </c>
      <c s="125">
        <f t="shared" si="153" ref="BJ20">BI23</f>
        <v>0</v>
      </c>
      <c s="125">
        <f t="shared" si="154" ref="BK20">BJ23</f>
        <v>0</v>
      </c>
      <c s="125">
        <f t="shared" si="155" ref="BL20">BK23</f>
        <v>0</v>
      </c>
      <c s="125">
        <f t="shared" si="156" ref="BM20">BL23</f>
        <v>0</v>
      </c>
    </row>
    <row r="21" spans="2:65" ht="15" customHeight="1">
      <c r="B21" s="12" t="s">
        <v>958</v>
      </c>
      <c s="124" t="str">
        <f>Единица_измерения</f>
        <v>тыс. руб.</v>
      </c>
      <c s="125"/>
      <c s="125">
        <f t="shared" si="157" ref="E21:BM21">-E22</f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  <c s="125">
        <f t="shared" si="157"/>
        <v>0</v>
      </c>
    </row>
    <row r="22" spans="2:65" ht="15" customHeight="1">
      <c r="B22" s="12" t="s">
        <v>959</v>
      </c>
      <c s="124" t="str">
        <f>Единица_измерения</f>
        <v>тыс. руб.</v>
      </c>
      <c s="125"/>
      <c s="125">
        <f>-SUMIFS('Параметры займа'!$J$19:$J$80,'Параметры займа'!$H$19:$H$80,YEAR(E8),'Параметры займа'!$I$19:$I$80,ROUNDUP(MONTH(E8)/Месяцев_в_квартале,0))</f>
        <v>0</v>
      </c>
      <c s="125">
        <f>-SUMIFS('Параметры займа'!$J$19:$J$80,'Параметры займа'!$H$19:$H$80,YEAR(F8),'Параметры займа'!$I$19:$I$80,ROUNDUP(MONTH(F8)/Месяцев_в_квартале,0))</f>
        <v>0</v>
      </c>
      <c s="125">
        <f>-SUMIFS('Параметры займа'!$J$19:$J$80,'Параметры займа'!$H$19:$H$80,YEAR(G8),'Параметры займа'!$I$19:$I$80,ROUNDUP(MONTH(G8)/Месяцев_в_квартале,0))</f>
        <v>0</v>
      </c>
      <c s="125">
        <f>-SUMIFS('Параметры займа'!$J$19:$J$80,'Параметры займа'!$H$19:$H$80,YEAR(H8),'Параметры займа'!$I$19:$I$80,ROUNDUP(MONTH(H8)/Месяцев_в_квартале,0))</f>
        <v>0</v>
      </c>
      <c s="125">
        <f>-SUMIFS('Параметры займа'!$J$19:$J$80,'Параметры займа'!$H$19:$H$80,YEAR(I8),'Параметры займа'!$I$19:$I$80,ROUNDUP(MONTH(I8)/Месяцев_в_квартале,0))</f>
        <v>0</v>
      </c>
      <c s="125">
        <f>-SUMIFS('Параметры займа'!$J$19:$J$80,'Параметры займа'!$H$19:$H$80,YEAR(J8),'Параметры займа'!$I$19:$I$80,ROUNDUP(MONTH(J8)/Месяцев_в_квартале,0))</f>
        <v>0</v>
      </c>
      <c s="125">
        <f>-SUMIFS('Параметры займа'!$J$19:$J$80,'Параметры займа'!$H$19:$H$80,YEAR(K8),'Параметры займа'!$I$19:$I$80,ROUNDUP(MONTH(K8)/Месяцев_в_квартале,0))</f>
        <v>0</v>
      </c>
      <c s="125">
        <f>-SUMIFS('Параметры займа'!$J$19:$J$80,'Параметры займа'!$H$19:$H$80,YEAR(L8),'Параметры займа'!$I$19:$I$80,ROUNDUP(MONTH(L8)/Месяцев_в_квартале,0))</f>
        <v>0</v>
      </c>
      <c s="125">
        <f>-SUMIFS('Параметры займа'!$J$19:$J$80,'Параметры займа'!$H$19:$H$80,YEAR(M8),'Параметры займа'!$I$19:$I$80,ROUNDUP(MONTH(M8)/Месяцев_в_квартале,0))</f>
        <v>0</v>
      </c>
      <c s="125">
        <f>-SUMIFS('Параметры займа'!$J$19:$J$80,'Параметры займа'!$H$19:$H$80,YEAR(N8),'Параметры займа'!$I$19:$I$80,ROUNDUP(MONTH(N8)/Месяцев_в_квартале,0))</f>
        <v>0</v>
      </c>
      <c s="125">
        <f>-SUMIFS('Параметры займа'!$J$19:$J$80,'Параметры займа'!$H$19:$H$80,YEAR(O8),'Параметры займа'!$I$19:$I$80,ROUNDUP(MONTH(O8)/Месяцев_в_квартале,0))</f>
        <v>0</v>
      </c>
      <c s="125">
        <f>-SUMIFS('Параметры займа'!$J$19:$J$80,'Параметры займа'!$H$19:$H$80,YEAR(P8),'Параметры займа'!$I$19:$I$80,ROUNDUP(MONTH(P8)/Месяцев_в_квартале,0))</f>
        <v>0</v>
      </c>
      <c s="125">
        <f>-SUMIFS('Параметры займа'!$J$19:$J$80,'Параметры займа'!$H$19:$H$80,YEAR(Q8),'Параметры займа'!$I$19:$I$80,ROUNDUP(MONTH(Q8)/Месяцев_в_квартале,0))</f>
        <v>0</v>
      </c>
      <c s="125">
        <f>-SUMIFS('Параметры займа'!$J$19:$J$80,'Параметры займа'!$H$19:$H$80,YEAR(R8),'Параметры займа'!$I$19:$I$80,ROUNDUP(MONTH(R8)/Месяцев_в_квартале,0))</f>
        <v>0</v>
      </c>
      <c s="125">
        <f>-SUMIFS('Параметры займа'!$J$19:$J$80,'Параметры займа'!$H$19:$H$80,YEAR(S8),'Параметры займа'!$I$19:$I$80,ROUNDUP(MONTH(S8)/Месяцев_в_квартале,0))</f>
        <v>0</v>
      </c>
      <c s="125">
        <f>-SUMIFS('Параметры займа'!$J$19:$J$80,'Параметры займа'!$H$19:$H$80,YEAR(T8),'Параметры займа'!$I$19:$I$80,ROUNDUP(MONTH(T8)/Месяцев_в_квартале,0))</f>
        <v>0</v>
      </c>
      <c s="125">
        <f>-SUMIFS('Параметры займа'!$J$19:$J$80,'Параметры займа'!$H$19:$H$80,YEAR(U8),'Параметры займа'!$I$19:$I$80,ROUNDUP(MONTH(U8)/Месяцев_в_квартале,0))</f>
        <v>0</v>
      </c>
      <c s="125">
        <f>-SUMIFS('Параметры займа'!$J$19:$J$80,'Параметры займа'!$H$19:$H$80,YEAR(V8),'Параметры займа'!$I$19:$I$80,ROUNDUP(MONTH(V8)/Месяцев_в_квартале,0))</f>
        <v>0</v>
      </c>
      <c s="125">
        <f>-SUMIFS('Параметры займа'!$J$19:$J$80,'Параметры займа'!$H$19:$H$80,YEAR(W8),'Параметры займа'!$I$19:$I$80,ROUNDUP(MONTH(W8)/Месяцев_в_квартале,0))</f>
        <v>0</v>
      </c>
      <c s="125">
        <f>-SUMIFS('Параметры займа'!$J$19:$J$80,'Параметры займа'!$H$19:$H$80,YEAR(X8),'Параметры займа'!$I$19:$I$80,ROUNDUP(MONTH(X8)/Месяцев_в_квартале,0))</f>
        <v>0</v>
      </c>
      <c s="125">
        <f>-SUMIFS('Параметры займа'!$J$19:$J$80,'Параметры займа'!$H$19:$H$80,YEAR(Y8),'Параметры займа'!$I$19:$I$80,ROUNDUP(MONTH(Y8)/Месяцев_в_квартале,0))</f>
        <v>0</v>
      </c>
      <c s="125">
        <f>-SUMIFS('Параметры займа'!$J$19:$J$80,'Параметры займа'!$H$19:$H$80,YEAR(Z8),'Параметры займа'!$I$19:$I$80,ROUNDUP(MONTH(Z8)/Месяцев_в_квартале,0))</f>
        <v>0</v>
      </c>
      <c s="125">
        <f>-SUMIFS('Параметры займа'!$J$19:$J$80,'Параметры займа'!$H$19:$H$80,YEAR(AA8),'Параметры займа'!$I$19:$I$80,ROUNDUP(MONTH(AA8)/Месяцев_в_квартале,0))</f>
        <v>0</v>
      </c>
      <c s="125">
        <f>-SUMIFS('Параметры займа'!$J$19:$J$80,'Параметры займа'!$H$19:$H$80,YEAR(AB8),'Параметры займа'!$I$19:$I$80,ROUNDUP(MONTH(AB8)/Месяцев_в_квартале,0))</f>
        <v>0</v>
      </c>
      <c s="125">
        <f>-SUMIFS('Параметры займа'!$J$19:$J$80,'Параметры займа'!$H$19:$H$80,YEAR(AC8),'Параметры займа'!$I$19:$I$80,ROUNDUP(MONTH(AC8)/Месяцев_в_квартале,0))</f>
        <v>0</v>
      </c>
      <c s="125">
        <f>-SUMIFS('Параметры займа'!$J$19:$J$80,'Параметры займа'!$H$19:$H$80,YEAR(AD8),'Параметры займа'!$I$19:$I$80,ROUNDUP(MONTH(AD8)/Месяцев_в_квартале,0))</f>
        <v>0</v>
      </c>
      <c s="125">
        <f>-SUMIFS('Параметры займа'!$J$19:$J$80,'Параметры займа'!$H$19:$H$80,YEAR(AE8),'Параметры займа'!$I$19:$I$80,ROUNDUP(MONTH(AE8)/Месяцев_в_квартале,0))</f>
        <v>0</v>
      </c>
      <c s="125">
        <f>-SUMIFS('Параметры займа'!$J$19:$J$80,'Параметры займа'!$H$19:$H$80,YEAR(AF8),'Параметры займа'!$I$19:$I$80,ROUNDUP(MONTH(AF8)/Месяцев_в_квартале,0))</f>
        <v>0</v>
      </c>
      <c s="125">
        <f>-SUMIFS('Параметры займа'!$J$19:$J$80,'Параметры займа'!$H$19:$H$80,YEAR(AG8),'Параметры займа'!$I$19:$I$80,ROUNDUP(MONTH(AG8)/Месяцев_в_квартале,0))</f>
        <v>0</v>
      </c>
      <c s="125">
        <f>-SUMIFS('Параметры займа'!$J$19:$J$80,'Параметры займа'!$H$19:$H$80,YEAR(AH8),'Параметры займа'!$I$19:$I$80,ROUNDUP(MONTH(AH8)/Месяцев_в_квартале,0))</f>
        <v>0</v>
      </c>
      <c s="125">
        <f>-SUMIFS('Параметры займа'!$J$19:$J$80,'Параметры займа'!$H$19:$H$80,YEAR(AI8),'Параметры займа'!$I$19:$I$80,ROUNDUP(MONTH(AI8)/Месяцев_в_квартале,0))</f>
        <v>0</v>
      </c>
      <c s="125">
        <f>-SUMIFS('Параметры займа'!$J$19:$J$80,'Параметры займа'!$H$19:$H$80,YEAR(AJ8),'Параметры займа'!$I$19:$I$80,ROUNDUP(MONTH(AJ8)/Месяцев_в_квартале,0))</f>
        <v>0</v>
      </c>
      <c s="125">
        <f>-SUMIFS('Параметры займа'!$J$19:$J$80,'Параметры займа'!$H$19:$H$80,YEAR(AK8),'Параметры займа'!$I$19:$I$80,ROUNDUP(MONTH(AK8)/Месяцев_в_квартале,0))</f>
        <v>0</v>
      </c>
      <c s="125">
        <f>-SUMIFS('Параметры займа'!$J$19:$J$80,'Параметры займа'!$H$19:$H$80,YEAR(AL8),'Параметры займа'!$I$19:$I$80,ROUNDUP(MONTH(AL8)/Месяцев_в_квартале,0))</f>
        <v>0</v>
      </c>
      <c s="125">
        <f>-SUMIFS('Параметры займа'!$J$19:$J$80,'Параметры займа'!$H$19:$H$80,YEAR(AM8),'Параметры займа'!$I$19:$I$80,ROUNDUP(MONTH(AM8)/Месяцев_в_квартале,0))</f>
        <v>0</v>
      </c>
      <c s="125">
        <f>-SUMIFS('Параметры займа'!$J$19:$J$80,'Параметры займа'!$H$19:$H$80,YEAR(AN8),'Параметры займа'!$I$19:$I$80,ROUNDUP(MONTH(AN8)/Месяцев_в_квартале,0))</f>
        <v>0</v>
      </c>
      <c s="125">
        <f>-SUMIFS('Параметры займа'!$J$19:$J$80,'Параметры займа'!$H$19:$H$80,YEAR(AO8),'Параметры займа'!$I$19:$I$80,ROUNDUP(MONTH(AO8)/Месяцев_в_квартале,0))</f>
        <v>0</v>
      </c>
      <c s="125">
        <f>-SUMIFS('Параметры займа'!$J$19:$J$80,'Параметры займа'!$H$19:$H$80,YEAR(AP8),'Параметры займа'!$I$19:$I$80,ROUNDUP(MONTH(AP8)/Месяцев_в_квартале,0))</f>
        <v>0</v>
      </c>
      <c s="125">
        <f>-SUMIFS('Параметры займа'!$J$19:$J$80,'Параметры займа'!$H$19:$H$80,YEAR(AQ8),'Параметры займа'!$I$19:$I$80,ROUNDUP(MONTH(AQ8)/Месяцев_в_квартале,0))</f>
        <v>0</v>
      </c>
      <c s="125">
        <f>-SUMIFS('Параметры займа'!$J$19:$J$80,'Параметры займа'!$H$19:$H$80,YEAR(AR8),'Параметры займа'!$I$19:$I$80,ROUNDUP(MONTH(AR8)/Месяцев_в_квартале,0))</f>
        <v>0</v>
      </c>
      <c s="125">
        <f>-SUMIFS('Параметры займа'!$J$19:$J$80,'Параметры займа'!$H$19:$H$80,YEAR(AS8),'Параметры займа'!$I$19:$I$80,ROUNDUP(MONTH(AS8)/Месяцев_в_квартале,0))</f>
        <v>0</v>
      </c>
      <c s="125">
        <f>-SUMIFS('Параметры займа'!$J$19:$J$80,'Параметры займа'!$H$19:$H$80,YEAR(AT8),'Параметры займа'!$I$19:$I$80,ROUNDUP(MONTH(AT8)/Месяцев_в_квартале,0))</f>
        <v>0</v>
      </c>
      <c s="125">
        <f>-SUMIFS('Параметры займа'!$J$19:$J$80,'Параметры займа'!$H$19:$H$80,YEAR(AU8),'Параметры займа'!$I$19:$I$80,ROUNDUP(MONTH(AU8)/Месяцев_в_квартале,0))</f>
        <v>0</v>
      </c>
      <c s="125">
        <f>-SUMIFS('Параметры займа'!$J$19:$J$80,'Параметры займа'!$H$19:$H$80,YEAR(AV8),'Параметры займа'!$I$19:$I$80,ROUNDUP(MONTH(AV8)/Месяцев_в_квартале,0))</f>
        <v>0</v>
      </c>
      <c s="125">
        <f>-SUMIFS('Параметры займа'!$J$19:$J$80,'Параметры займа'!$H$19:$H$80,YEAR(AW8),'Параметры займа'!$I$19:$I$80,ROUNDUP(MONTH(AW8)/Месяцев_в_квартале,0))</f>
        <v>0</v>
      </c>
      <c s="125">
        <f>-SUMIFS('Параметры займа'!$J$19:$J$80,'Параметры займа'!$H$19:$H$80,YEAR(AX8),'Параметры займа'!$I$19:$I$80,ROUNDUP(MONTH(AX8)/Месяцев_в_квартале,0))</f>
        <v>0</v>
      </c>
      <c s="125">
        <f>-SUMIFS('Параметры займа'!$J$19:$J$80,'Параметры займа'!$H$19:$H$80,YEAR(AY8),'Параметры займа'!$I$19:$I$80,ROUNDUP(MONTH(AY8)/Месяцев_в_квартале,0))</f>
        <v>0</v>
      </c>
      <c s="125">
        <f>-SUMIFS('Параметры займа'!$J$19:$J$80,'Параметры займа'!$H$19:$H$80,YEAR(AZ8),'Параметры займа'!$I$19:$I$80,ROUNDUP(MONTH(AZ8)/Месяцев_в_квартале,0))</f>
        <v>0</v>
      </c>
      <c s="125">
        <f>-SUMIFS('Параметры займа'!$J$19:$J$80,'Параметры займа'!$H$19:$H$80,YEAR(BA8),'Параметры займа'!$I$19:$I$80,ROUNDUP(MONTH(BA8)/Месяцев_в_квартале,0))</f>
        <v>0</v>
      </c>
      <c s="125">
        <f>-SUMIFS('Параметры займа'!$J$19:$J$80,'Параметры займа'!$H$19:$H$80,YEAR(BB8),'Параметры займа'!$I$19:$I$80,ROUNDUP(MONTH(BB8)/Месяцев_в_квартале,0))</f>
        <v>0</v>
      </c>
      <c s="125">
        <f>-SUMIFS('Параметры займа'!$J$19:$J$80,'Параметры займа'!$H$19:$H$80,YEAR(BC8),'Параметры займа'!$I$19:$I$80,ROUNDUP(MONTH(BC8)/Месяцев_в_квартале,0))</f>
        <v>0</v>
      </c>
      <c s="125">
        <f>-SUMIFS('Параметры займа'!$J$19:$J$80,'Параметры займа'!$H$19:$H$80,YEAR(BD8),'Параметры займа'!$I$19:$I$80,ROUNDUP(MONTH(BD8)/Месяцев_в_квартале,0))</f>
        <v>0</v>
      </c>
      <c s="125">
        <f>-SUMIFS('Параметры займа'!$J$19:$J$80,'Параметры займа'!$H$19:$H$80,YEAR(BE8),'Параметры займа'!$I$19:$I$80,ROUNDUP(MONTH(BE8)/Месяцев_в_квартале,0))</f>
        <v>0</v>
      </c>
      <c s="125">
        <f>-SUMIFS('Параметры займа'!$J$19:$J$80,'Параметры займа'!$H$19:$H$80,YEAR(BF8),'Параметры займа'!$I$19:$I$80,ROUNDUP(MONTH(BF8)/Месяцев_в_квартале,0))</f>
        <v>0</v>
      </c>
      <c s="125">
        <f>-SUMIFS('Параметры займа'!$J$19:$J$80,'Параметры займа'!$H$19:$H$80,YEAR(BG8),'Параметры займа'!$I$19:$I$80,ROUNDUP(MONTH(BG8)/Месяцев_в_квартале,0))</f>
        <v>0</v>
      </c>
      <c s="125">
        <f>-SUMIFS('Параметры займа'!$J$19:$J$80,'Параметры займа'!$H$19:$H$80,YEAR(BH8),'Параметры займа'!$I$19:$I$80,ROUNDUP(MONTH(BH8)/Месяцев_в_квартале,0))</f>
        <v>0</v>
      </c>
      <c s="125">
        <f>-SUMIFS('Параметры займа'!$J$19:$J$80,'Параметры займа'!$H$19:$H$80,YEAR(BI8),'Параметры займа'!$I$19:$I$80,ROUNDUP(MONTH(BI8)/Месяцев_в_квартале,0))</f>
        <v>0</v>
      </c>
      <c s="125">
        <f>-SUMIFS('Параметры займа'!$J$19:$J$80,'Параметры займа'!$H$19:$H$80,YEAR(BJ8),'Параметры займа'!$I$19:$I$80,ROUNDUP(MONTH(BJ8)/Месяцев_в_квартале,0))</f>
        <v>0</v>
      </c>
      <c s="125">
        <f>-SUMIFS('Параметры займа'!$J$19:$J$80,'Параметры займа'!$H$19:$H$80,YEAR(BK8),'Параметры займа'!$I$19:$I$80,ROUNDUP(MONTH(BK8)/Месяцев_в_квартале,0))</f>
        <v>0</v>
      </c>
      <c s="125">
        <f>-SUMIFS('Параметры займа'!$J$19:$J$80,'Параметры займа'!$H$19:$H$80,YEAR(BL8),'Параметры займа'!$I$19:$I$80,ROUNDUP(MONTH(BL8)/Месяцев_в_квартале,0))</f>
        <v>0</v>
      </c>
      <c s="125">
        <f>-SUMIFS('Параметры займа'!$J$19:$J$80,'Параметры займа'!$H$19:$H$80,YEAR(BM8),'Параметры займа'!$I$19:$I$80,ROUNDUP(MONTH(BM8)/Месяцев_в_квартале,0))</f>
        <v>0</v>
      </c>
    </row>
    <row r="23" spans="2:65" ht="15" customHeight="1">
      <c r="B23" s="289" t="s">
        <v>830</v>
      </c>
      <c s="290" t="str">
        <f>Единица_измерения</f>
        <v>тыс. руб.</v>
      </c>
      <c s="276"/>
      <c s="276">
        <f t="shared" si="158" ref="E23">SUM(E20:E22)</f>
        <v>0</v>
      </c>
      <c s="276">
        <f t="shared" si="159" ref="F23:AG23">SUM(F20:F22)</f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59"/>
        <v>0</v>
      </c>
      <c s="276">
        <f t="shared" si="160" ref="AH23:BM23">SUM(AH20:AH22)</f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  <c s="276">
        <f t="shared" si="160"/>
        <v>0</v>
      </c>
    </row>
    <row r="24" ht="15" customHeight="1"/>
    <row r="25" spans="2:2" ht="21">
      <c r="B25" s="23" t="str">
        <f>IF(ISBLANK(Предпосылки!C396),"Кредитор (займодавец) не указан",Предпосылки!C396)</f>
        <v>Кредитор (займодавец) не указан</v>
      </c>
    </row>
    <row r="26" spans="2:2" ht="15" customHeight="1">
      <c r="B26" s="24" t="str">
        <f>"ОСВ: Основной долг - "&amp;Предпосылки!C396</f>
        <v xml:space="preserve">ОСВ: Основной долг - </v>
      </c>
    </row>
    <row r="27" spans="2:65" ht="15" customHeight="1">
      <c r="B27" s="12" t="s">
        <v>827</v>
      </c>
      <c s="124" t="str">
        <f>Единица_измерения</f>
        <v>тыс. руб.</v>
      </c>
      <c s="125"/>
      <c s="125">
        <f t="shared" si="161" ref="E27">D30</f>
        <v>0</v>
      </c>
      <c s="125">
        <f t="shared" si="162" ref="F27">E30</f>
        <v>0</v>
      </c>
      <c s="125">
        <f t="shared" si="163" ref="G27">F30</f>
        <v>0</v>
      </c>
      <c s="125">
        <f t="shared" si="164" ref="H27">G30</f>
        <v>0</v>
      </c>
      <c s="125">
        <f t="shared" si="165" ref="I27">H30</f>
        <v>0</v>
      </c>
      <c s="125">
        <f t="shared" si="166" ref="J27">I30</f>
        <v>0</v>
      </c>
      <c s="125">
        <f t="shared" si="167" ref="K27">J30</f>
        <v>0</v>
      </c>
      <c s="125">
        <f t="shared" si="168" ref="L27">K30</f>
        <v>0</v>
      </c>
      <c s="125">
        <f t="shared" si="169" ref="M27">L30</f>
        <v>0</v>
      </c>
      <c s="125">
        <f t="shared" si="170" ref="N27">M30</f>
        <v>0</v>
      </c>
      <c s="125">
        <f t="shared" si="171" ref="O27">N30</f>
        <v>0</v>
      </c>
      <c s="125">
        <f t="shared" si="172" ref="P27">O30</f>
        <v>0</v>
      </c>
      <c s="125">
        <f t="shared" si="173" ref="Q27">P30</f>
        <v>0</v>
      </c>
      <c s="125">
        <f t="shared" si="174" ref="R27">Q30</f>
        <v>0</v>
      </c>
      <c s="125">
        <f t="shared" si="175" ref="S27">R30</f>
        <v>0</v>
      </c>
      <c s="125">
        <f t="shared" si="176" ref="T27">S30</f>
        <v>0</v>
      </c>
      <c s="125">
        <f t="shared" si="177" ref="U27">T30</f>
        <v>0</v>
      </c>
      <c s="125">
        <f t="shared" si="178" ref="V27">U30</f>
        <v>0</v>
      </c>
      <c s="125">
        <f t="shared" si="179" ref="W27">V30</f>
        <v>0</v>
      </c>
      <c s="125">
        <f t="shared" si="180" ref="X27">W30</f>
        <v>0</v>
      </c>
      <c s="125">
        <f t="shared" si="181" ref="Y27">X30</f>
        <v>0</v>
      </c>
      <c s="125">
        <f t="shared" si="182" ref="Z27">Y30</f>
        <v>0</v>
      </c>
      <c s="125">
        <f t="shared" si="183" ref="AA27">Z30</f>
        <v>0</v>
      </c>
      <c s="125">
        <f t="shared" si="184" ref="AB27">AA30</f>
        <v>0</v>
      </c>
      <c s="125">
        <f t="shared" si="185" ref="AC27">AB30</f>
        <v>0</v>
      </c>
      <c s="125">
        <f t="shared" si="186" ref="AD27">AC30</f>
        <v>0</v>
      </c>
      <c s="125">
        <f t="shared" si="187" ref="AE27">AD30</f>
        <v>0</v>
      </c>
      <c s="125">
        <f t="shared" si="188" ref="AF27">AE30</f>
        <v>0</v>
      </c>
      <c s="125">
        <f t="shared" si="189" ref="AG27">AF30</f>
        <v>0</v>
      </c>
      <c s="125">
        <f t="shared" si="190" ref="AH27">AG30</f>
        <v>0</v>
      </c>
      <c s="125">
        <f t="shared" si="191" ref="AI27">AH30</f>
        <v>0</v>
      </c>
      <c s="125">
        <f t="shared" si="192" ref="AJ27">AI30</f>
        <v>0</v>
      </c>
      <c s="125">
        <f t="shared" si="193" ref="AK27">AJ30</f>
        <v>0</v>
      </c>
      <c s="125">
        <f t="shared" si="194" ref="AL27">AK30</f>
        <v>0</v>
      </c>
      <c s="125">
        <f t="shared" si="195" ref="AM27">AL30</f>
        <v>0</v>
      </c>
      <c s="125">
        <f t="shared" si="196" ref="AN27">AM30</f>
        <v>0</v>
      </c>
      <c s="125">
        <f t="shared" si="197" ref="AO27">AN30</f>
        <v>0</v>
      </c>
      <c s="125">
        <f t="shared" si="198" ref="AP27">AO30</f>
        <v>0</v>
      </c>
      <c s="125">
        <f t="shared" si="199" ref="AQ27">AP30</f>
        <v>0</v>
      </c>
      <c s="125">
        <f t="shared" si="200" ref="AR27">AQ30</f>
        <v>0</v>
      </c>
      <c s="125">
        <f t="shared" si="201" ref="AS27">AR30</f>
        <v>0</v>
      </c>
      <c s="125">
        <f t="shared" si="202" ref="AT27">AS30</f>
        <v>0</v>
      </c>
      <c s="125">
        <f t="shared" si="203" ref="AU27">AT30</f>
        <v>0</v>
      </c>
      <c s="125">
        <f t="shared" si="204" ref="AV27">AU30</f>
        <v>0</v>
      </c>
      <c s="125">
        <f t="shared" si="205" ref="AW27">AV30</f>
        <v>0</v>
      </c>
      <c s="125">
        <f t="shared" si="206" ref="AX27">AW30</f>
        <v>0</v>
      </c>
      <c s="125">
        <f t="shared" si="207" ref="AY27">AX30</f>
        <v>0</v>
      </c>
      <c s="125">
        <f t="shared" si="208" ref="AZ27">AY30</f>
        <v>0</v>
      </c>
      <c s="125">
        <f t="shared" si="209" ref="BA27">AZ30</f>
        <v>0</v>
      </c>
      <c s="125">
        <f t="shared" si="210" ref="BB27">BA30</f>
        <v>0</v>
      </c>
      <c s="125">
        <f t="shared" si="211" ref="BC27">BB30</f>
        <v>0</v>
      </c>
      <c s="125">
        <f t="shared" si="212" ref="BD27">BC30</f>
        <v>0</v>
      </c>
      <c s="125">
        <f t="shared" si="213" ref="BE27">BD30</f>
        <v>0</v>
      </c>
      <c s="125">
        <f t="shared" si="214" ref="BF27">BE30</f>
        <v>0</v>
      </c>
      <c s="125">
        <f t="shared" si="215" ref="BG27">BF30</f>
        <v>0</v>
      </c>
      <c s="125">
        <f t="shared" si="216" ref="BH27">BG30</f>
        <v>0</v>
      </c>
      <c s="125">
        <f t="shared" si="217" ref="BI27">BH30</f>
        <v>0</v>
      </c>
      <c s="125">
        <f t="shared" si="218" ref="BJ27">BI30</f>
        <v>0</v>
      </c>
      <c s="125">
        <f t="shared" si="219" ref="BK27">BJ30</f>
        <v>0</v>
      </c>
      <c s="125">
        <f t="shared" si="220" ref="BL27">BK30</f>
        <v>0</v>
      </c>
      <c s="125">
        <f t="shared" si="221" ref="BM27">BL30</f>
        <v>0</v>
      </c>
    </row>
    <row r="28" spans="2:65" ht="15" customHeight="1">
      <c r="B28" s="12" t="s">
        <v>960</v>
      </c>
      <c s="124" t="str">
        <f>Единица_измерения</f>
        <v>тыс. руб.</v>
      </c>
      <c s="125"/>
      <c s="125">
        <f>Предпосылки!D404</f>
        <v>0</v>
      </c>
      <c s="125">
        <f>Предпосылки!E404</f>
        <v>0</v>
      </c>
      <c s="125">
        <f>Предпосылки!F404</f>
        <v>0</v>
      </c>
      <c s="125">
        <f>Предпосылки!G404</f>
        <v>0</v>
      </c>
      <c s="125">
        <f>Предпосылки!H404</f>
        <v>0</v>
      </c>
      <c s="125">
        <f>Предпосылки!I404</f>
        <v>0</v>
      </c>
      <c s="125">
        <f>Предпосылки!J404</f>
        <v>0</v>
      </c>
      <c s="125">
        <f>Предпосылки!K404</f>
        <v>0</v>
      </c>
      <c s="125">
        <f>Предпосылки!L404</f>
        <v>0</v>
      </c>
      <c s="125">
        <f>Предпосылки!M404</f>
        <v>0</v>
      </c>
      <c s="125">
        <f>Предпосылки!N404</f>
        <v>0</v>
      </c>
      <c s="125">
        <f>Предпосылки!O404</f>
        <v>0</v>
      </c>
      <c s="125">
        <f>Предпосылки!P404</f>
        <v>0</v>
      </c>
      <c s="125">
        <f>Предпосылки!Q404</f>
        <v>0</v>
      </c>
      <c s="125">
        <f>Предпосылки!R404</f>
        <v>0</v>
      </c>
      <c s="125">
        <f>Предпосылки!S404</f>
        <v>0</v>
      </c>
      <c s="125">
        <f>Предпосылки!T404</f>
        <v>0</v>
      </c>
      <c s="125">
        <f>Предпосылки!U404</f>
        <v>0</v>
      </c>
      <c s="125">
        <f>Предпосылки!V404</f>
        <v>0</v>
      </c>
      <c s="125">
        <f>Предпосылки!W404</f>
        <v>0</v>
      </c>
      <c s="125">
        <f>Предпосылки!X404</f>
        <v>0</v>
      </c>
      <c s="125">
        <f>Предпосылки!Y404</f>
        <v>0</v>
      </c>
      <c s="125">
        <f>Предпосылки!Z404</f>
        <v>0</v>
      </c>
      <c s="125">
        <f>Предпосылки!AA404</f>
        <v>0</v>
      </c>
      <c s="125">
        <f>Предпосылки!AB404</f>
        <v>0</v>
      </c>
      <c s="125">
        <f>Предпосылки!AC404</f>
        <v>0</v>
      </c>
      <c s="125">
        <f>Предпосылки!AD404</f>
        <v>0</v>
      </c>
      <c s="125">
        <f>Предпосылки!AE404</f>
        <v>0</v>
      </c>
      <c s="125">
        <f>Предпосылки!AF404</f>
        <v>0</v>
      </c>
      <c s="125">
        <f>Предпосылки!AG404</f>
        <v>0</v>
      </c>
      <c s="125">
        <f>Предпосылки!AH404</f>
        <v>0</v>
      </c>
      <c s="125">
        <f>Предпосылки!AI404</f>
        <v>0</v>
      </c>
      <c s="125">
        <f>Предпосылки!AJ404</f>
        <v>0</v>
      </c>
      <c s="125">
        <f>Предпосылки!AK404</f>
        <v>0</v>
      </c>
      <c s="125">
        <f>Предпосылки!AL404</f>
        <v>0</v>
      </c>
      <c s="125">
        <f>Предпосылки!AM404</f>
        <v>0</v>
      </c>
      <c s="125">
        <f>Предпосылки!AN404</f>
        <v>0</v>
      </c>
      <c s="125">
        <f>Предпосылки!AO404</f>
        <v>0</v>
      </c>
      <c s="125">
        <f>Предпосылки!AP404</f>
        <v>0</v>
      </c>
      <c s="125">
        <f>Предпосылки!AQ404</f>
        <v>0</v>
      </c>
      <c s="125">
        <f>Предпосылки!AR404</f>
        <v>0</v>
      </c>
      <c s="125">
        <f>Предпосылки!AS404</f>
        <v>0</v>
      </c>
      <c s="125">
        <f>Предпосылки!AT404</f>
        <v>0</v>
      </c>
      <c s="125">
        <f>Предпосылки!AU404</f>
        <v>0</v>
      </c>
      <c s="125">
        <f>Предпосылки!AV404</f>
        <v>0</v>
      </c>
      <c s="125">
        <f>Предпосылки!AW404</f>
        <v>0</v>
      </c>
      <c s="125">
        <f>Предпосылки!AX404</f>
        <v>0</v>
      </c>
      <c s="125">
        <f>Предпосылки!AY404</f>
        <v>0</v>
      </c>
      <c s="125">
        <f>Предпосылки!AZ404</f>
        <v>0</v>
      </c>
      <c s="125">
        <f>Предпосылки!BA404</f>
        <v>0</v>
      </c>
      <c s="125">
        <f>Предпосылки!BB404</f>
        <v>0</v>
      </c>
      <c s="125">
        <f>Предпосылки!BC404</f>
        <v>0</v>
      </c>
      <c s="125">
        <f>Предпосылки!BD404</f>
        <v>0</v>
      </c>
      <c s="125">
        <f>Предпосылки!BE404</f>
        <v>0</v>
      </c>
      <c s="125">
        <f>Предпосылки!BF404</f>
        <v>0</v>
      </c>
      <c s="125">
        <f>Предпосылки!BG404</f>
        <v>0</v>
      </c>
      <c s="125">
        <f>Предпосылки!BH404</f>
        <v>0</v>
      </c>
      <c s="125">
        <f>Предпосылки!BI404</f>
        <v>0</v>
      </c>
      <c s="125">
        <f>Предпосылки!BJ404</f>
        <v>0</v>
      </c>
      <c s="125">
        <f>Предпосылки!BK404</f>
        <v>0</v>
      </c>
      <c s="125">
        <f>Предпосылки!BL404</f>
        <v>0</v>
      </c>
    </row>
    <row r="29" spans="2:65" ht="15" customHeight="1">
      <c r="B29" s="12" t="s">
        <v>961</v>
      </c>
      <c s="124" t="str">
        <f>Единица_измерения</f>
        <v>тыс. руб.</v>
      </c>
      <c s="125"/>
      <c s="125">
        <f>-Предпосылки!D405</f>
        <v>0</v>
      </c>
      <c s="125">
        <f>-Предпосылки!E405</f>
        <v>0</v>
      </c>
      <c s="125">
        <f>-Предпосылки!F405</f>
        <v>0</v>
      </c>
      <c s="125">
        <f>-Предпосылки!G405</f>
        <v>0</v>
      </c>
      <c s="125">
        <f>-Предпосылки!H405</f>
        <v>0</v>
      </c>
      <c s="125">
        <f>-Предпосылки!I405</f>
        <v>0</v>
      </c>
      <c s="125">
        <f>-Предпосылки!J405</f>
        <v>0</v>
      </c>
      <c s="125">
        <f>-Предпосылки!K405</f>
        <v>0</v>
      </c>
      <c s="125">
        <f>-Предпосылки!L405</f>
        <v>0</v>
      </c>
      <c s="125">
        <f>-Предпосылки!M405</f>
        <v>0</v>
      </c>
      <c s="125">
        <f>-Предпосылки!N405</f>
        <v>0</v>
      </c>
      <c s="125">
        <f>-Предпосылки!O405</f>
        <v>0</v>
      </c>
      <c s="125">
        <f>-Предпосылки!P405</f>
        <v>0</v>
      </c>
      <c s="125">
        <f>-Предпосылки!Q405</f>
        <v>0</v>
      </c>
      <c s="125">
        <f>-Предпосылки!R405</f>
        <v>0</v>
      </c>
      <c s="125">
        <f>-Предпосылки!S405</f>
        <v>0</v>
      </c>
      <c s="125">
        <f>-Предпосылки!T405</f>
        <v>0</v>
      </c>
      <c s="125">
        <f>-Предпосылки!U405</f>
        <v>0</v>
      </c>
      <c s="125">
        <f>-Предпосылки!V405</f>
        <v>0</v>
      </c>
      <c s="125">
        <f>-Предпосылки!W405</f>
        <v>0</v>
      </c>
      <c s="125">
        <f>-Предпосылки!X405</f>
        <v>0</v>
      </c>
      <c s="125">
        <f>-Предпосылки!Y405</f>
        <v>0</v>
      </c>
      <c s="125">
        <f>-Предпосылки!Z405</f>
        <v>0</v>
      </c>
      <c s="125">
        <f>-Предпосылки!AA405</f>
        <v>0</v>
      </c>
      <c s="125">
        <f>-Предпосылки!AB405</f>
        <v>0</v>
      </c>
      <c s="125">
        <f>-Предпосылки!AC405</f>
        <v>0</v>
      </c>
      <c s="125">
        <f>-Предпосылки!AD405</f>
        <v>0</v>
      </c>
      <c s="125">
        <f>-Предпосылки!AE405</f>
        <v>0</v>
      </c>
      <c s="125">
        <f>-Предпосылки!AF405</f>
        <v>0</v>
      </c>
      <c s="125">
        <f>-Предпосылки!AG405</f>
        <v>0</v>
      </c>
      <c s="125">
        <f>-Предпосылки!AH405</f>
        <v>0</v>
      </c>
      <c s="125">
        <f>-Предпосылки!AI405</f>
        <v>0</v>
      </c>
      <c s="125">
        <f>-Предпосылки!AJ405</f>
        <v>0</v>
      </c>
      <c s="125">
        <f>-Предпосылки!AK405</f>
        <v>0</v>
      </c>
      <c s="125">
        <f>-Предпосылки!AL405</f>
        <v>0</v>
      </c>
      <c s="125">
        <f>-Предпосылки!AM405</f>
        <v>0</v>
      </c>
      <c s="125">
        <f>-Предпосылки!AN405</f>
        <v>0</v>
      </c>
      <c s="125">
        <f>-Предпосылки!AO405</f>
        <v>0</v>
      </c>
      <c s="125">
        <f>-Предпосылки!AP405</f>
        <v>0</v>
      </c>
      <c s="125">
        <f>-Предпосылки!AQ405</f>
        <v>0</v>
      </c>
      <c s="125">
        <f>-Предпосылки!AR405</f>
        <v>0</v>
      </c>
      <c s="125">
        <f>-Предпосылки!AS405</f>
        <v>0</v>
      </c>
      <c s="125">
        <f>-Предпосылки!AT405</f>
        <v>0</v>
      </c>
      <c s="125">
        <f>-Предпосылки!AU405</f>
        <v>0</v>
      </c>
      <c s="125">
        <f>-Предпосылки!AV405</f>
        <v>0</v>
      </c>
      <c s="125">
        <f>-Предпосылки!AW405</f>
        <v>0</v>
      </c>
      <c s="125">
        <f>-Предпосылки!AX405</f>
        <v>0</v>
      </c>
      <c s="125">
        <f>-Предпосылки!AY405</f>
        <v>0</v>
      </c>
      <c s="125">
        <f>-Предпосылки!AZ405</f>
        <v>0</v>
      </c>
      <c s="125">
        <f>-Предпосылки!BA405</f>
        <v>0</v>
      </c>
      <c s="125">
        <f>-Предпосылки!BB405</f>
        <v>0</v>
      </c>
      <c s="125">
        <f>-Предпосылки!BC405</f>
        <v>0</v>
      </c>
      <c s="125">
        <f>-Предпосылки!BD405</f>
        <v>0</v>
      </c>
      <c s="125">
        <f>-Предпосылки!BE405</f>
        <v>0</v>
      </c>
      <c s="125">
        <f>-Предпосылки!BF405</f>
        <v>0</v>
      </c>
      <c s="125">
        <f>-Предпосылки!BG405</f>
        <v>0</v>
      </c>
      <c s="125">
        <f>-Предпосылки!BH405</f>
        <v>0</v>
      </c>
      <c s="125">
        <f>-Предпосылки!BI405</f>
        <v>0</v>
      </c>
      <c s="125">
        <f>-Предпосылки!BJ405</f>
        <v>0</v>
      </c>
      <c s="125">
        <f>-Предпосылки!BK405</f>
        <v>0</v>
      </c>
      <c s="125">
        <f>-Предпосылки!BL405</f>
        <v>0</v>
      </c>
    </row>
    <row r="30" spans="2:65" ht="15" customHeight="1">
      <c r="B30" s="289" t="s">
        <v>830</v>
      </c>
      <c s="290" t="str">
        <f>Единица_измерения</f>
        <v>тыс. руб.</v>
      </c>
      <c s="276">
        <f>Предпосылки!C398</f>
        <v>0</v>
      </c>
      <c s="276">
        <f t="shared" si="222" ref="E30">SUM(E27:E29)</f>
        <v>0</v>
      </c>
      <c s="276">
        <f t="shared" si="223" ref="F30:AG30">SUM(F27:F29)</f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4" ref="AH30:BM30">SUM(AH27:AH29)</f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  <c s="276">
        <f t="shared" si="224"/>
        <v>0</v>
      </c>
    </row>
    <row r="31" ht="15" customHeight="1"/>
    <row r="32" spans="2:65" ht="15" customHeight="1">
      <c r="B32" s="12" t="s">
        <v>962</v>
      </c>
      <c s="124" t="str">
        <f>Единица_измерения</f>
        <v>тыс. руб.</v>
      </c>
      <c s="125"/>
      <c s="126">
        <f>Предпосылки!$C$397*(E$8-E$7)/IF(MOD(YEAR(E$8),4),365,366)</f>
        <v>0</v>
      </c>
      <c s="126">
        <f>Предпосылки!$C$397*(F$8-F$7)/IF(MOD(YEAR(F$8),4),365,366)</f>
        <v>0</v>
      </c>
      <c s="126">
        <f>Предпосылки!$C$397*(G$8-G$7)/IF(MOD(YEAR(G$8),4),365,366)</f>
        <v>0</v>
      </c>
      <c s="126">
        <f>Предпосылки!$C$397*(H$8-H$7)/IF(MOD(YEAR(H$8),4),365,366)</f>
        <v>0</v>
      </c>
      <c s="126">
        <f>Предпосылки!$C$397*(I$8-I$7)/IF(MOD(YEAR(I$8),4),365,366)</f>
        <v>0</v>
      </c>
      <c s="126">
        <f>Предпосылки!$C$397*(J$8-J$7)/IF(MOD(YEAR(J$8),4),365,366)</f>
        <v>0</v>
      </c>
      <c s="126">
        <f>Предпосылки!$C$397*(K$8-K$7)/IF(MOD(YEAR(K$8),4),365,366)</f>
        <v>0</v>
      </c>
      <c s="126">
        <f>Предпосылки!$C$397*(L$8-L$7)/IF(MOD(YEAR(L$8),4),365,366)</f>
        <v>0</v>
      </c>
      <c s="126">
        <f>Предпосылки!$C$397*(M$8-M$7)/IF(MOD(YEAR(M$8),4),365,366)</f>
        <v>0</v>
      </c>
      <c s="126">
        <f>Предпосылки!$C$397*(N$8-N$7)/IF(MOD(YEAR(N$8),4),365,366)</f>
        <v>0</v>
      </c>
      <c s="126">
        <f>Предпосылки!$C$397*(O$8-O$7)/IF(MOD(YEAR(O$8),4),365,366)</f>
        <v>0</v>
      </c>
      <c s="126">
        <f>Предпосылки!$C$397*(P$8-P$7)/IF(MOD(YEAR(P$8),4),365,366)</f>
        <v>0</v>
      </c>
      <c s="126">
        <f>Предпосылки!$C$397*(Q$8-Q$7)/IF(MOD(YEAR(Q$8),4),365,366)</f>
        <v>0</v>
      </c>
      <c s="126">
        <f>Предпосылки!$C$397*(R$8-R$7)/IF(MOD(YEAR(R$8),4),365,366)</f>
        <v>0</v>
      </c>
      <c s="126">
        <f>Предпосылки!$C$397*(S$8-S$7)/IF(MOD(YEAR(S$8),4),365,366)</f>
        <v>0</v>
      </c>
      <c s="126">
        <f>Предпосылки!$C$397*(T$8-T$7)/IF(MOD(YEAR(T$8),4),365,366)</f>
        <v>0</v>
      </c>
      <c s="126">
        <f>Предпосылки!$C$397*(U$8-U$7)/IF(MOD(YEAR(U$8),4),365,366)</f>
        <v>0</v>
      </c>
      <c s="126">
        <f>Предпосылки!$C$397*(V$8-V$7)/IF(MOD(YEAR(V$8),4),365,366)</f>
        <v>0</v>
      </c>
      <c s="126">
        <f>Предпосылки!$C$397*(W$8-W$7)/IF(MOD(YEAR(W$8),4),365,366)</f>
        <v>0</v>
      </c>
      <c s="126">
        <f>Предпосылки!$C$397*(X$8-X$7)/IF(MOD(YEAR(X$8),4),365,366)</f>
        <v>0</v>
      </c>
      <c s="126">
        <f>Предпосылки!$C$397*(Y$8-Y$7)/IF(MOD(YEAR(Y$8),4),365,366)</f>
        <v>0</v>
      </c>
      <c s="126">
        <f>Предпосылки!$C$397*(Z$8-Z$7)/IF(MOD(YEAR(Z$8),4),365,366)</f>
        <v>0</v>
      </c>
      <c s="126">
        <f>Предпосылки!$C$397*(AA$8-AA$7)/IF(MOD(YEAR(AA$8),4),365,366)</f>
        <v>0</v>
      </c>
      <c s="126">
        <f>Предпосылки!$C$397*(AB$8-AB$7)/IF(MOD(YEAR(AB$8),4),365,366)</f>
        <v>0</v>
      </c>
      <c s="126">
        <f>Предпосылки!$C$397*(AC$8-AC$7)/IF(MOD(YEAR(AC$8),4),365,366)</f>
        <v>0</v>
      </c>
      <c s="126">
        <f>Предпосылки!$C$397*(AD$8-AD$7)/IF(MOD(YEAR(AD$8),4),365,366)</f>
        <v>0</v>
      </c>
      <c s="126">
        <f>Предпосылки!$C$397*(AE$8-AE$7)/IF(MOD(YEAR(AE$8),4),365,366)</f>
        <v>0</v>
      </c>
      <c s="126">
        <f>Предпосылки!$C$397*(AF$8-AF$7)/IF(MOD(YEAR(AF$8),4),365,366)</f>
        <v>0</v>
      </c>
      <c s="126">
        <f>Предпосылки!$C$397*(AG$8-AG$7)/IF(MOD(YEAR(AG$8),4),365,366)</f>
        <v>0</v>
      </c>
      <c s="126">
        <f>Предпосылки!$C$397*(AH$8-AH$7)/IF(MOD(YEAR(AH$8),4),365,366)</f>
        <v>0</v>
      </c>
      <c s="126">
        <f>Предпосылки!$C$397*(AI$8-AI$7)/IF(MOD(YEAR(AI$8),4),365,366)</f>
        <v>0</v>
      </c>
      <c s="126">
        <f>Предпосылки!$C$397*(AJ$8-AJ$7)/IF(MOD(YEAR(AJ$8),4),365,366)</f>
        <v>0</v>
      </c>
      <c s="126">
        <f>Предпосылки!$C$397*(AK$8-AK$7)/IF(MOD(YEAR(AK$8),4),365,366)</f>
        <v>0</v>
      </c>
      <c s="126">
        <f>Предпосылки!$C$397*(AL$8-AL$7)/IF(MOD(YEAR(AL$8),4),365,366)</f>
        <v>0</v>
      </c>
      <c s="126">
        <f>Предпосылки!$C$397*(AM$8-AM$7)/IF(MOD(YEAR(AM$8),4),365,366)</f>
        <v>0</v>
      </c>
      <c s="126">
        <f>Предпосылки!$C$397*(AN$8-AN$7)/IF(MOD(YEAR(AN$8),4),365,366)</f>
        <v>0</v>
      </c>
      <c s="126">
        <f>Предпосылки!$C$397*(AO$8-AO$7)/IF(MOD(YEAR(AO$8),4),365,366)</f>
        <v>0</v>
      </c>
      <c s="126">
        <f>Предпосылки!$C$397*(AP$8-AP$7)/IF(MOD(YEAR(AP$8),4),365,366)</f>
        <v>0</v>
      </c>
      <c s="126">
        <f>Предпосылки!$C$397*(AQ$8-AQ$7)/IF(MOD(YEAR(AQ$8),4),365,366)</f>
        <v>0</v>
      </c>
      <c s="126">
        <f>Предпосылки!$C$397*(AR$8-AR$7)/IF(MOD(YEAR(AR$8),4),365,366)</f>
        <v>0</v>
      </c>
      <c s="126">
        <f>Предпосылки!$C$397*(AS$8-AS$7)/IF(MOD(YEAR(AS$8),4),365,366)</f>
        <v>0</v>
      </c>
      <c s="126">
        <f>Предпосылки!$C$397*(AT$8-AT$7)/IF(MOD(YEAR(AT$8),4),365,366)</f>
        <v>0</v>
      </c>
      <c s="126">
        <f>Предпосылки!$C$397*(AU$8-AU$7)/IF(MOD(YEAR(AU$8),4),365,366)</f>
        <v>0</v>
      </c>
      <c s="126">
        <f>Предпосылки!$C$397*(AV$8-AV$7)/IF(MOD(YEAR(AV$8),4),365,366)</f>
        <v>0</v>
      </c>
      <c s="126">
        <f>Предпосылки!$C$397*(AW$8-AW$7)/IF(MOD(YEAR(AW$8),4),365,366)</f>
        <v>0</v>
      </c>
      <c s="126">
        <f>Предпосылки!$C$397*(AX$8-AX$7)/IF(MOD(YEAR(AX$8),4),365,366)</f>
        <v>0</v>
      </c>
      <c s="126">
        <f>Предпосылки!$C$397*(AY$8-AY$7)/IF(MOD(YEAR(AY$8),4),365,366)</f>
        <v>0</v>
      </c>
      <c s="126">
        <f>Предпосылки!$C$397*(AZ$8-AZ$7)/IF(MOD(YEAR(AZ$8),4),365,366)</f>
        <v>0</v>
      </c>
      <c s="126">
        <f>Предпосылки!$C$397*(BA$8-BA$7)/IF(MOD(YEAR(BA$8),4),365,366)</f>
        <v>0</v>
      </c>
      <c s="126">
        <f>Предпосылки!$C$397*(BB$8-BB$7)/IF(MOD(YEAR(BB$8),4),365,366)</f>
        <v>0</v>
      </c>
      <c s="126">
        <f>Предпосылки!$C$397*(BC$8-BC$7)/IF(MOD(YEAR(BC$8),4),365,366)</f>
        <v>0</v>
      </c>
      <c s="126">
        <f>Предпосылки!$C$397*(BD$8-BD$7)/IF(MOD(YEAR(BD$8),4),365,366)</f>
        <v>0</v>
      </c>
      <c s="126">
        <f>Предпосылки!$C$397*(BE$8-BE$7)/IF(MOD(YEAR(BE$8),4),365,366)</f>
        <v>0</v>
      </c>
      <c s="126">
        <f>Предпосылки!$C$397*(BF$8-BF$7)/IF(MOD(YEAR(BF$8),4),365,366)</f>
        <v>0</v>
      </c>
      <c s="126">
        <f>Предпосылки!$C$397*(BG$8-BG$7)/IF(MOD(YEAR(BG$8),4),365,366)</f>
        <v>0</v>
      </c>
      <c s="126">
        <f>Предпосылки!$C$397*(BH$8-BH$7)/IF(MOD(YEAR(BH$8),4),365,366)</f>
        <v>0</v>
      </c>
      <c s="126">
        <f>Предпосылки!$C$397*(BI$8-BI$7)/IF(MOD(YEAR(BI$8),4),365,366)</f>
        <v>0</v>
      </c>
      <c s="126">
        <f>Предпосылки!$C$397*(BJ$8-BJ$7)/IF(MOD(YEAR(BJ$8),4),365,366)</f>
        <v>0</v>
      </c>
      <c s="126">
        <f>Предпосылки!$C$397*(BK$8-BK$7)/IF(MOD(YEAR(BK$8),4),365,366)</f>
        <v>0</v>
      </c>
      <c s="126">
        <f>Предпосылки!$C$397*(BL$8-BL$7)/IF(MOD(YEAR(BL$8),4),365,366)</f>
        <v>0</v>
      </c>
      <c s="126">
        <f>Предпосылки!$C$397*(BM$8-BM$7)/IF(MOD(YEAR(BM$8),4),365,366)</f>
        <v>0</v>
      </c>
    </row>
    <row r="33" ht="15" customHeight="1"/>
    <row r="34" spans="2:2" ht="15" customHeight="1">
      <c r="B34" s="24" t="str">
        <f>"ОСВ: Проценты по "&amp;Предпосылки!C396</f>
        <v xml:space="preserve">ОСВ: Проценты по </v>
      </c>
    </row>
    <row r="35" spans="2:65" ht="15" customHeight="1">
      <c r="B35" s="12" t="s">
        <v>827</v>
      </c>
      <c s="124" t="str">
        <f>Единица_измерения</f>
        <v>тыс. руб.</v>
      </c>
      <c s="125"/>
      <c s="125">
        <f t="shared" si="225" ref="E35">D38</f>
        <v>0</v>
      </c>
      <c s="125">
        <f t="shared" si="226" ref="F35">E38</f>
        <v>0</v>
      </c>
      <c s="125">
        <f t="shared" si="227" ref="G35">F38</f>
        <v>0</v>
      </c>
      <c s="125">
        <f t="shared" si="228" ref="H35">G38</f>
        <v>0</v>
      </c>
      <c s="125">
        <f t="shared" si="229" ref="I35">H38</f>
        <v>0</v>
      </c>
      <c s="125">
        <f t="shared" si="230" ref="J35">I38</f>
        <v>0</v>
      </c>
      <c s="125">
        <f t="shared" si="231" ref="K35">J38</f>
        <v>0</v>
      </c>
      <c s="125">
        <f t="shared" si="232" ref="L35">K38</f>
        <v>0</v>
      </c>
      <c s="125">
        <f t="shared" si="233" ref="M35">L38</f>
        <v>0</v>
      </c>
      <c s="125">
        <f t="shared" si="234" ref="N35">M38</f>
        <v>0</v>
      </c>
      <c s="125">
        <f t="shared" si="235" ref="O35">N38</f>
        <v>0</v>
      </c>
      <c s="125">
        <f t="shared" si="236" ref="P35">O38</f>
        <v>0</v>
      </c>
      <c s="125">
        <f t="shared" si="237" ref="Q35">P38</f>
        <v>0</v>
      </c>
      <c s="125">
        <f t="shared" si="238" ref="R35">Q38</f>
        <v>0</v>
      </c>
      <c s="125">
        <f t="shared" si="239" ref="S35">R38</f>
        <v>0</v>
      </c>
      <c s="125">
        <f t="shared" si="240" ref="T35">S38</f>
        <v>0</v>
      </c>
      <c s="125">
        <f t="shared" si="241" ref="U35">T38</f>
        <v>0</v>
      </c>
      <c s="125">
        <f t="shared" si="242" ref="V35">U38</f>
        <v>0</v>
      </c>
      <c s="125">
        <f t="shared" si="243" ref="W35">V38</f>
        <v>0</v>
      </c>
      <c s="125">
        <f t="shared" si="244" ref="X35">W38</f>
        <v>0</v>
      </c>
      <c s="125">
        <f t="shared" si="245" ref="Y35">X38</f>
        <v>0</v>
      </c>
      <c s="125">
        <f t="shared" si="246" ref="Z35">Y38</f>
        <v>0</v>
      </c>
      <c s="125">
        <f t="shared" si="247" ref="AA35">Z38</f>
        <v>0</v>
      </c>
      <c s="125">
        <f t="shared" si="248" ref="AB35">AA38</f>
        <v>0</v>
      </c>
      <c s="125">
        <f t="shared" si="249" ref="AC35">AB38</f>
        <v>0</v>
      </c>
      <c s="125">
        <f t="shared" si="250" ref="AD35">AC38</f>
        <v>0</v>
      </c>
      <c s="125">
        <f t="shared" si="251" ref="AE35">AD38</f>
        <v>0</v>
      </c>
      <c s="125">
        <f t="shared" si="252" ref="AF35">AE38</f>
        <v>0</v>
      </c>
      <c s="125">
        <f t="shared" si="253" ref="AG35">AF38</f>
        <v>0</v>
      </c>
      <c s="125">
        <f t="shared" si="254" ref="AH35">AG38</f>
        <v>0</v>
      </c>
      <c s="125">
        <f t="shared" si="255" ref="AI35">AH38</f>
        <v>0</v>
      </c>
      <c s="125">
        <f t="shared" si="256" ref="AJ35">AI38</f>
        <v>0</v>
      </c>
      <c s="125">
        <f t="shared" si="257" ref="AK35">AJ38</f>
        <v>0</v>
      </c>
      <c s="125">
        <f t="shared" si="258" ref="AL35">AK38</f>
        <v>0</v>
      </c>
      <c s="125">
        <f t="shared" si="259" ref="AM35">AL38</f>
        <v>0</v>
      </c>
      <c s="125">
        <f t="shared" si="260" ref="AN35">AM38</f>
        <v>0</v>
      </c>
      <c s="125">
        <f t="shared" si="261" ref="AO35">AN38</f>
        <v>0</v>
      </c>
      <c s="125">
        <f t="shared" si="262" ref="AP35">AO38</f>
        <v>0</v>
      </c>
      <c s="125">
        <f t="shared" si="263" ref="AQ35">AP38</f>
        <v>0</v>
      </c>
      <c s="125">
        <f t="shared" si="264" ref="AR35">AQ38</f>
        <v>0</v>
      </c>
      <c s="125">
        <f t="shared" si="265" ref="AS35">AR38</f>
        <v>0</v>
      </c>
      <c s="125">
        <f t="shared" si="266" ref="AT35">AS38</f>
        <v>0</v>
      </c>
      <c s="125">
        <f t="shared" si="267" ref="AU35">AT38</f>
        <v>0</v>
      </c>
      <c s="125">
        <f t="shared" si="268" ref="AV35">AU38</f>
        <v>0</v>
      </c>
      <c s="125">
        <f t="shared" si="269" ref="AW35">AV38</f>
        <v>0</v>
      </c>
      <c s="125">
        <f t="shared" si="270" ref="AX35">AW38</f>
        <v>0</v>
      </c>
      <c s="125">
        <f t="shared" si="271" ref="AY35">AX38</f>
        <v>0</v>
      </c>
      <c s="125">
        <f t="shared" si="272" ref="AZ35">AY38</f>
        <v>0</v>
      </c>
      <c s="125">
        <f t="shared" si="273" ref="BA35">AZ38</f>
        <v>0</v>
      </c>
      <c s="125">
        <f t="shared" si="274" ref="BB35">BA38</f>
        <v>0</v>
      </c>
      <c s="125">
        <f t="shared" si="275" ref="BC35">BB38</f>
        <v>0</v>
      </c>
      <c s="125">
        <f t="shared" si="276" ref="BD35">BC38</f>
        <v>0</v>
      </c>
      <c s="125">
        <f t="shared" si="277" ref="BE35">BD38</f>
        <v>0</v>
      </c>
      <c s="125">
        <f t="shared" si="278" ref="BF35">BE38</f>
        <v>0</v>
      </c>
      <c s="125">
        <f t="shared" si="279" ref="BG35">BF38</f>
        <v>0</v>
      </c>
      <c s="125">
        <f t="shared" si="280" ref="BH35">BG38</f>
        <v>0</v>
      </c>
      <c s="125">
        <f t="shared" si="281" ref="BI35">BH38</f>
        <v>0</v>
      </c>
      <c s="125">
        <f t="shared" si="282" ref="BJ35">BI38</f>
        <v>0</v>
      </c>
      <c s="125">
        <f t="shared" si="283" ref="BK35">BJ38</f>
        <v>0</v>
      </c>
      <c s="125">
        <f t="shared" si="284" ref="BL35">BK38</f>
        <v>0</v>
      </c>
      <c s="125">
        <f t="shared" si="285" ref="BM35">BL38</f>
        <v>0</v>
      </c>
    </row>
    <row r="36" spans="2:65" ht="15" customHeight="1">
      <c r="B36" s="12" t="s">
        <v>958</v>
      </c>
      <c s="124" t="str">
        <f>Единица_измерения</f>
        <v>тыс. руб.</v>
      </c>
      <c s="125"/>
      <c s="125">
        <f t="shared" si="286" ref="E36">E27*E32</f>
        <v>0</v>
      </c>
      <c s="125">
        <f t="shared" si="287" ref="F36:AG36">F27*F32</f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7"/>
        <v>0</v>
      </c>
      <c s="125">
        <f t="shared" si="288" ref="AH36:BM36">AH27*AH32</f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  <c s="125">
        <f t="shared" si="288"/>
        <v>0</v>
      </c>
    </row>
    <row r="37" spans="2:65" ht="15" customHeight="1">
      <c r="B37" s="12" t="s">
        <v>959</v>
      </c>
      <c s="124" t="str">
        <f>Единица_измерения</f>
        <v>тыс. руб.</v>
      </c>
      <c s="125"/>
      <c s="125">
        <f t="shared" si="289" ref="E37">-E36</f>
        <v>0</v>
      </c>
      <c s="125">
        <f t="shared" si="290" ref="F37:AG37">-F36</f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0"/>
        <v>0</v>
      </c>
      <c s="125">
        <f t="shared" si="291" ref="AH37:BM37">-AH36</f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  <c s="125">
        <f t="shared" si="291"/>
        <v>0</v>
      </c>
    </row>
    <row r="38" spans="2:65" ht="15" customHeight="1">
      <c r="B38" s="289" t="s">
        <v>830</v>
      </c>
      <c s="290" t="str">
        <f>Единица_измерения</f>
        <v>тыс. руб.</v>
      </c>
      <c s="276"/>
      <c s="276">
        <f t="shared" si="292" ref="E38">SUM(E35:E37)</f>
        <v>0</v>
      </c>
      <c s="276">
        <f t="shared" si="293" ref="F38:AG38">SUM(F35:F37)</f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3"/>
        <v>0</v>
      </c>
      <c s="276">
        <f t="shared" si="294" ref="AH38:BM38">SUM(AH35:AH37)</f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</row>
    <row r="39" ht="15" customHeight="1"/>
    <row r="40" spans="2:2" ht="21">
      <c r="B40" s="23" t="str">
        <f>IF(ISBLANK(Предпосылки!C411),"Кредитор (займодавец) не указан",Предпосылки!C411)</f>
        <v>Кредитор (займодавец) не указан</v>
      </c>
    </row>
    <row r="41" spans="2:2" ht="15" customHeight="1">
      <c r="B41" s="24" t="str">
        <f>"ОСВ: Основной долг - "&amp;Предпосылки!C411</f>
        <v xml:space="preserve">ОСВ: Основной долг - </v>
      </c>
    </row>
    <row r="42" spans="2:65" ht="15" customHeight="1">
      <c r="B42" s="12" t="s">
        <v>827</v>
      </c>
      <c s="124" t="str">
        <f>Единица_измерения</f>
        <v>тыс. руб.</v>
      </c>
      <c s="125"/>
      <c s="125">
        <f t="shared" si="295" ref="E42">D45</f>
        <v>0</v>
      </c>
      <c s="125">
        <f t="shared" si="296" ref="F42">E45</f>
        <v>0</v>
      </c>
      <c s="125">
        <f t="shared" si="297" ref="G42">F45</f>
        <v>0</v>
      </c>
      <c s="125">
        <f t="shared" si="298" ref="H42">G45</f>
        <v>0</v>
      </c>
      <c s="125">
        <f t="shared" si="299" ref="I42">H45</f>
        <v>0</v>
      </c>
      <c s="125">
        <f t="shared" si="300" ref="J42">I45</f>
        <v>0</v>
      </c>
      <c s="125">
        <f t="shared" si="301" ref="K42">J45</f>
        <v>0</v>
      </c>
      <c s="125">
        <f t="shared" si="302" ref="L42">K45</f>
        <v>0</v>
      </c>
      <c s="125">
        <f t="shared" si="303" ref="M42">L45</f>
        <v>0</v>
      </c>
      <c s="125">
        <f t="shared" si="304" ref="N42">M45</f>
        <v>0</v>
      </c>
      <c s="125">
        <f t="shared" si="305" ref="O42">N45</f>
        <v>0</v>
      </c>
      <c s="125">
        <f t="shared" si="306" ref="P42">O45</f>
        <v>0</v>
      </c>
      <c s="125">
        <f t="shared" si="307" ref="Q42">P45</f>
        <v>0</v>
      </c>
      <c s="125">
        <f t="shared" si="308" ref="R42">Q45</f>
        <v>0</v>
      </c>
      <c s="125">
        <f t="shared" si="309" ref="S42">R45</f>
        <v>0</v>
      </c>
      <c s="125">
        <f t="shared" si="310" ref="T42">S45</f>
        <v>0</v>
      </c>
      <c s="125">
        <f t="shared" si="311" ref="U42">T45</f>
        <v>0</v>
      </c>
      <c s="125">
        <f t="shared" si="312" ref="V42">U45</f>
        <v>0</v>
      </c>
      <c s="125">
        <f t="shared" si="313" ref="W42">V45</f>
        <v>0</v>
      </c>
      <c s="125">
        <f t="shared" si="314" ref="X42">W45</f>
        <v>0</v>
      </c>
      <c s="125">
        <f t="shared" si="315" ref="Y42">X45</f>
        <v>0</v>
      </c>
      <c s="125">
        <f t="shared" si="316" ref="Z42">Y45</f>
        <v>0</v>
      </c>
      <c s="125">
        <f t="shared" si="317" ref="AA42">Z45</f>
        <v>0</v>
      </c>
      <c s="125">
        <f t="shared" si="318" ref="AB42">AA45</f>
        <v>0</v>
      </c>
      <c s="125">
        <f t="shared" si="319" ref="AC42">AB45</f>
        <v>0</v>
      </c>
      <c s="125">
        <f t="shared" si="320" ref="AD42">AC45</f>
        <v>0</v>
      </c>
      <c s="125">
        <f t="shared" si="321" ref="AE42">AD45</f>
        <v>0</v>
      </c>
      <c s="125">
        <f t="shared" si="322" ref="AF42">AE45</f>
        <v>0</v>
      </c>
      <c s="125">
        <f t="shared" si="323" ref="AG42">AF45</f>
        <v>0</v>
      </c>
      <c s="125">
        <f t="shared" si="324" ref="AH42">AG45</f>
        <v>0</v>
      </c>
      <c s="125">
        <f t="shared" si="325" ref="AI42">AH45</f>
        <v>0</v>
      </c>
      <c s="125">
        <f t="shared" si="326" ref="AJ42">AI45</f>
        <v>0</v>
      </c>
      <c s="125">
        <f t="shared" si="327" ref="AK42">AJ45</f>
        <v>0</v>
      </c>
      <c s="125">
        <f t="shared" si="328" ref="AL42">AK45</f>
        <v>0</v>
      </c>
      <c s="125">
        <f t="shared" si="329" ref="AM42">AL45</f>
        <v>0</v>
      </c>
      <c s="125">
        <f t="shared" si="330" ref="AN42">AM45</f>
        <v>0</v>
      </c>
      <c s="125">
        <f t="shared" si="331" ref="AO42">AN45</f>
        <v>0</v>
      </c>
      <c s="125">
        <f t="shared" si="332" ref="AP42">AO45</f>
        <v>0</v>
      </c>
      <c s="125">
        <f t="shared" si="333" ref="AQ42">AP45</f>
        <v>0</v>
      </c>
      <c s="125">
        <f t="shared" si="334" ref="AR42">AQ45</f>
        <v>0</v>
      </c>
      <c s="125">
        <f t="shared" si="335" ref="AS42">AR45</f>
        <v>0</v>
      </c>
      <c s="125">
        <f t="shared" si="336" ref="AT42">AS45</f>
        <v>0</v>
      </c>
      <c s="125">
        <f t="shared" si="337" ref="AU42">AT45</f>
        <v>0</v>
      </c>
      <c s="125">
        <f t="shared" si="338" ref="AV42">AU45</f>
        <v>0</v>
      </c>
      <c s="125">
        <f t="shared" si="339" ref="AW42">AV45</f>
        <v>0</v>
      </c>
      <c s="125">
        <f t="shared" si="340" ref="AX42">AW45</f>
        <v>0</v>
      </c>
      <c s="125">
        <f t="shared" si="341" ref="AY42">AX45</f>
        <v>0</v>
      </c>
      <c s="125">
        <f t="shared" si="342" ref="AZ42">AY45</f>
        <v>0</v>
      </c>
      <c s="125">
        <f t="shared" si="343" ref="BA42">AZ45</f>
        <v>0</v>
      </c>
      <c s="125">
        <f t="shared" si="344" ref="BB42">BA45</f>
        <v>0</v>
      </c>
      <c s="125">
        <f t="shared" si="345" ref="BC42">BB45</f>
        <v>0</v>
      </c>
      <c s="125">
        <f t="shared" si="346" ref="BD42">BC45</f>
        <v>0</v>
      </c>
      <c s="125">
        <f t="shared" si="347" ref="BE42">BD45</f>
        <v>0</v>
      </c>
      <c s="125">
        <f t="shared" si="348" ref="BF42">BE45</f>
        <v>0</v>
      </c>
      <c s="125">
        <f t="shared" si="349" ref="BG42">BF45</f>
        <v>0</v>
      </c>
      <c s="125">
        <f t="shared" si="350" ref="BH42">BG45</f>
        <v>0</v>
      </c>
      <c s="125">
        <f t="shared" si="351" ref="BI42">BH45</f>
        <v>0</v>
      </c>
      <c s="125">
        <f t="shared" si="352" ref="BJ42">BI45</f>
        <v>0</v>
      </c>
      <c s="125">
        <f t="shared" si="353" ref="BK42">BJ45</f>
        <v>0</v>
      </c>
      <c s="125">
        <f t="shared" si="354" ref="BL42">BK45</f>
        <v>0</v>
      </c>
      <c s="125">
        <f t="shared" si="355" ref="BM42">BL45</f>
        <v>0</v>
      </c>
    </row>
    <row r="43" spans="2:65" ht="15" customHeight="1">
      <c r="B43" s="12" t="s">
        <v>960</v>
      </c>
      <c s="124" t="str">
        <f>Единица_измерения</f>
        <v>тыс. руб.</v>
      </c>
      <c s="125"/>
      <c s="125">
        <f>Предпосылки!D419</f>
        <v>0</v>
      </c>
      <c s="125">
        <f>Предпосылки!E419</f>
        <v>0</v>
      </c>
      <c s="125">
        <f>Предпосылки!F419</f>
        <v>0</v>
      </c>
      <c s="125">
        <f>Предпосылки!G419</f>
        <v>0</v>
      </c>
      <c s="125">
        <f>Предпосылки!H419</f>
        <v>0</v>
      </c>
      <c s="125">
        <f>Предпосылки!I419</f>
        <v>0</v>
      </c>
      <c s="125">
        <f>Предпосылки!J419</f>
        <v>0</v>
      </c>
      <c s="125">
        <f>Предпосылки!K419</f>
        <v>0</v>
      </c>
      <c s="125">
        <f>Предпосылки!L419</f>
        <v>0</v>
      </c>
      <c s="125">
        <f>Предпосылки!M419</f>
        <v>0</v>
      </c>
      <c s="125">
        <f>Предпосылки!N419</f>
        <v>0</v>
      </c>
      <c s="125">
        <f>Предпосылки!O419</f>
        <v>0</v>
      </c>
      <c s="125">
        <f>Предпосылки!P419</f>
        <v>0</v>
      </c>
      <c s="125">
        <f>Предпосылки!Q419</f>
        <v>0</v>
      </c>
      <c s="125">
        <f>Предпосылки!R419</f>
        <v>0</v>
      </c>
      <c s="125">
        <f>Предпосылки!S419</f>
        <v>0</v>
      </c>
      <c s="125">
        <f>Предпосылки!T419</f>
        <v>0</v>
      </c>
      <c s="125">
        <f>Предпосылки!U419</f>
        <v>0</v>
      </c>
      <c s="125">
        <f>Предпосылки!V419</f>
        <v>0</v>
      </c>
      <c s="125">
        <f>Предпосылки!W419</f>
        <v>0</v>
      </c>
      <c s="125">
        <f>Предпосылки!X419</f>
        <v>0</v>
      </c>
      <c s="125">
        <f>Предпосылки!Y419</f>
        <v>0</v>
      </c>
      <c s="125">
        <f>Предпосылки!Z419</f>
        <v>0</v>
      </c>
      <c s="125">
        <f>Предпосылки!AA419</f>
        <v>0</v>
      </c>
      <c s="125">
        <f>Предпосылки!AB419</f>
        <v>0</v>
      </c>
      <c s="125">
        <f>Предпосылки!AC419</f>
        <v>0</v>
      </c>
      <c s="125">
        <f>Предпосылки!AD419</f>
        <v>0</v>
      </c>
      <c s="125">
        <f>Предпосылки!AE419</f>
        <v>0</v>
      </c>
      <c s="125">
        <f>Предпосылки!AF419</f>
        <v>0</v>
      </c>
      <c s="125">
        <f>Предпосылки!AG419</f>
        <v>0</v>
      </c>
      <c s="125">
        <f>Предпосылки!AH419</f>
        <v>0</v>
      </c>
      <c s="125">
        <f>Предпосылки!AI419</f>
        <v>0</v>
      </c>
      <c s="125">
        <f>Предпосылки!AJ419</f>
        <v>0</v>
      </c>
      <c s="125">
        <f>Предпосылки!AK419</f>
        <v>0</v>
      </c>
      <c s="125">
        <f>Предпосылки!AL419</f>
        <v>0</v>
      </c>
      <c s="125">
        <f>Предпосылки!AM419</f>
        <v>0</v>
      </c>
      <c s="125">
        <f>Предпосылки!AN419</f>
        <v>0</v>
      </c>
      <c s="125">
        <f>Предпосылки!AO419</f>
        <v>0</v>
      </c>
      <c s="125">
        <f>Предпосылки!AP419</f>
        <v>0</v>
      </c>
      <c s="125">
        <f>Предпосылки!AQ419</f>
        <v>0</v>
      </c>
      <c s="125">
        <f>Предпосылки!AR419</f>
        <v>0</v>
      </c>
      <c s="125">
        <f>Предпосылки!AS419</f>
        <v>0</v>
      </c>
      <c s="125">
        <f>Предпосылки!AT419</f>
        <v>0</v>
      </c>
      <c s="125">
        <f>Предпосылки!AU419</f>
        <v>0</v>
      </c>
      <c s="125">
        <f>Предпосылки!AV419</f>
        <v>0</v>
      </c>
      <c s="125">
        <f>Предпосылки!AW419</f>
        <v>0</v>
      </c>
      <c s="125">
        <f>Предпосылки!AX419</f>
        <v>0</v>
      </c>
      <c s="125">
        <f>Предпосылки!AY419</f>
        <v>0</v>
      </c>
      <c s="125">
        <f>Предпосылки!AZ419</f>
        <v>0</v>
      </c>
      <c s="125">
        <f>Предпосылки!BA419</f>
        <v>0</v>
      </c>
      <c s="125">
        <f>Предпосылки!BB419</f>
        <v>0</v>
      </c>
      <c s="125">
        <f>Предпосылки!BC419</f>
        <v>0</v>
      </c>
      <c s="125">
        <f>Предпосылки!BD419</f>
        <v>0</v>
      </c>
      <c s="125">
        <f>Предпосылки!BE419</f>
        <v>0</v>
      </c>
      <c s="125">
        <f>Предпосылки!BF419</f>
        <v>0</v>
      </c>
      <c s="125">
        <f>Предпосылки!BG419</f>
        <v>0</v>
      </c>
      <c s="125">
        <f>Предпосылки!BH419</f>
        <v>0</v>
      </c>
      <c s="125">
        <f>Предпосылки!BI419</f>
        <v>0</v>
      </c>
      <c s="125">
        <f>Предпосылки!BJ419</f>
        <v>0</v>
      </c>
      <c s="125">
        <f>Предпосылки!BK419</f>
        <v>0</v>
      </c>
      <c s="125">
        <f>Предпосылки!BL419</f>
        <v>0</v>
      </c>
    </row>
    <row r="44" spans="2:65" ht="15" customHeight="1">
      <c r="B44" s="12" t="s">
        <v>961</v>
      </c>
      <c s="124" t="str">
        <f>Единица_измерения</f>
        <v>тыс. руб.</v>
      </c>
      <c s="125"/>
      <c s="125">
        <f>-Предпосылки!D420</f>
        <v>0</v>
      </c>
      <c s="125">
        <f>-Предпосылки!E420</f>
        <v>0</v>
      </c>
      <c s="125">
        <f>-Предпосылки!F420</f>
        <v>0</v>
      </c>
      <c s="125">
        <f>-Предпосылки!G420</f>
        <v>0</v>
      </c>
      <c s="125">
        <f>-Предпосылки!H420</f>
        <v>0</v>
      </c>
      <c s="125">
        <f>-Предпосылки!I420</f>
        <v>0</v>
      </c>
      <c s="125">
        <f>-Предпосылки!J420</f>
        <v>0</v>
      </c>
      <c s="125">
        <f>-Предпосылки!K420</f>
        <v>0</v>
      </c>
      <c s="125">
        <f>-Предпосылки!L420</f>
        <v>0</v>
      </c>
      <c s="125">
        <f>-Предпосылки!M420</f>
        <v>0</v>
      </c>
      <c s="125">
        <f>-Предпосылки!N420</f>
        <v>0</v>
      </c>
      <c s="125">
        <f>-Предпосылки!O420</f>
        <v>0</v>
      </c>
      <c s="125">
        <f>-Предпосылки!P420</f>
        <v>0</v>
      </c>
      <c s="125">
        <f>-Предпосылки!Q420</f>
        <v>0</v>
      </c>
      <c s="125">
        <f>-Предпосылки!R420</f>
        <v>0</v>
      </c>
      <c s="125">
        <f>-Предпосылки!S420</f>
        <v>0</v>
      </c>
      <c s="125">
        <f>-Предпосылки!T420</f>
        <v>0</v>
      </c>
      <c s="125">
        <f>-Предпосылки!U420</f>
        <v>0</v>
      </c>
      <c s="125">
        <f>-Предпосылки!V420</f>
        <v>0</v>
      </c>
      <c s="125">
        <f>-Предпосылки!W420</f>
        <v>0</v>
      </c>
      <c s="125">
        <f>-Предпосылки!X420</f>
        <v>0</v>
      </c>
      <c s="125">
        <f>-Предпосылки!Y420</f>
        <v>0</v>
      </c>
      <c s="125">
        <f>-Предпосылки!Z420</f>
        <v>0</v>
      </c>
      <c s="125">
        <f>-Предпосылки!AA420</f>
        <v>0</v>
      </c>
      <c s="125">
        <f>-Предпосылки!AB420</f>
        <v>0</v>
      </c>
      <c s="125">
        <f>-Предпосылки!AC420</f>
        <v>0</v>
      </c>
      <c s="125">
        <f>-Предпосылки!AD420</f>
        <v>0</v>
      </c>
      <c s="125">
        <f>-Предпосылки!AE420</f>
        <v>0</v>
      </c>
      <c s="125">
        <f>-Предпосылки!AF420</f>
        <v>0</v>
      </c>
      <c s="125">
        <f>-Предпосылки!AG420</f>
        <v>0</v>
      </c>
      <c s="125">
        <f>-Предпосылки!AH420</f>
        <v>0</v>
      </c>
      <c s="125">
        <f>-Предпосылки!AI420</f>
        <v>0</v>
      </c>
      <c s="125">
        <f>-Предпосылки!AJ420</f>
        <v>0</v>
      </c>
      <c s="125">
        <f>-Предпосылки!AK420</f>
        <v>0</v>
      </c>
      <c s="125">
        <f>-Предпосылки!AL420</f>
        <v>0</v>
      </c>
      <c s="125">
        <f>-Предпосылки!AM420</f>
        <v>0</v>
      </c>
      <c s="125">
        <f>-Предпосылки!AN420</f>
        <v>0</v>
      </c>
      <c s="125">
        <f>-Предпосылки!AO420</f>
        <v>0</v>
      </c>
      <c s="125">
        <f>-Предпосылки!AP420</f>
        <v>0</v>
      </c>
      <c s="125">
        <f>-Предпосылки!AQ420</f>
        <v>0</v>
      </c>
      <c s="125">
        <f>-Предпосылки!AR420</f>
        <v>0</v>
      </c>
      <c s="125">
        <f>-Предпосылки!AS420</f>
        <v>0</v>
      </c>
      <c s="125">
        <f>-Предпосылки!AT420</f>
        <v>0</v>
      </c>
      <c s="125">
        <f>-Предпосылки!AU420</f>
        <v>0</v>
      </c>
      <c s="125">
        <f>-Предпосылки!AV420</f>
        <v>0</v>
      </c>
      <c s="125">
        <f>-Предпосылки!AW420</f>
        <v>0</v>
      </c>
      <c s="125">
        <f>-Предпосылки!AX420</f>
        <v>0</v>
      </c>
      <c s="125">
        <f>-Предпосылки!AY420</f>
        <v>0</v>
      </c>
      <c s="125">
        <f>-Предпосылки!AZ420</f>
        <v>0</v>
      </c>
      <c s="125">
        <f>-Предпосылки!BA420</f>
        <v>0</v>
      </c>
      <c s="125">
        <f>-Предпосылки!BB420</f>
        <v>0</v>
      </c>
      <c s="125">
        <f>-Предпосылки!BC420</f>
        <v>0</v>
      </c>
      <c s="125">
        <f>-Предпосылки!BD420</f>
        <v>0</v>
      </c>
      <c s="125">
        <f>-Предпосылки!BE420</f>
        <v>0</v>
      </c>
      <c s="125">
        <f>-Предпосылки!BF420</f>
        <v>0</v>
      </c>
      <c s="125">
        <f>-Предпосылки!BG420</f>
        <v>0</v>
      </c>
      <c s="125">
        <f>-Предпосылки!BH420</f>
        <v>0</v>
      </c>
      <c s="125">
        <f>-Предпосылки!BI420</f>
        <v>0</v>
      </c>
      <c s="125">
        <f>-Предпосылки!BJ420</f>
        <v>0</v>
      </c>
      <c s="125">
        <f>-Предпосылки!BK420</f>
        <v>0</v>
      </c>
      <c s="125">
        <f>-Предпосылки!BL420</f>
        <v>0</v>
      </c>
    </row>
    <row r="45" spans="2:65" ht="15" customHeight="1">
      <c r="B45" s="289" t="s">
        <v>830</v>
      </c>
      <c s="290" t="str">
        <f>Единица_измерения</f>
        <v>тыс. руб.</v>
      </c>
      <c s="276">
        <f>Предпосылки!C413</f>
        <v>0</v>
      </c>
      <c s="276">
        <f t="shared" si="356" ref="E45">SUM(E42:E44)</f>
        <v>0</v>
      </c>
      <c s="276">
        <f t="shared" si="357" ref="F45:BM45">SUM(F42:F44)</f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  <c s="276">
        <f t="shared" si="357"/>
        <v>0</v>
      </c>
    </row>
    <row r="46" ht="15" customHeight="1"/>
    <row r="47" spans="2:65" ht="15" customHeight="1">
      <c r="B47" s="12" t="s">
        <v>962</v>
      </c>
      <c s="124" t="str">
        <f>Единица_измерения</f>
        <v>тыс. руб.</v>
      </c>
      <c s="125"/>
      <c s="126">
        <f>Предпосылки!$C$412*(E$8-E$7)/IF(MOD(YEAR(E$8),4),365,366)</f>
        <v>0</v>
      </c>
      <c s="126">
        <f>Предпосылки!$C$412*(F$8-F$7)/IF(MOD(YEAR(F$8),4),365,366)</f>
        <v>0</v>
      </c>
      <c s="126">
        <f>Предпосылки!$C$412*(G$8-G$7)/IF(MOD(YEAR(G$8),4),365,366)</f>
        <v>0</v>
      </c>
      <c s="126">
        <f>Предпосылки!$C$412*(H$8-H$7)/IF(MOD(YEAR(H$8),4),365,366)</f>
        <v>0</v>
      </c>
      <c s="126">
        <f>Предпосылки!$C$412*(I$8-I$7)/IF(MOD(YEAR(I$8),4),365,366)</f>
        <v>0</v>
      </c>
      <c s="126">
        <f>Предпосылки!$C$412*(J$8-J$7)/IF(MOD(YEAR(J$8),4),365,366)</f>
        <v>0</v>
      </c>
      <c s="126">
        <f>Предпосылки!$C$412*(K$8-K$7)/IF(MOD(YEAR(K$8),4),365,366)</f>
        <v>0</v>
      </c>
      <c s="126">
        <f>Предпосылки!$C$412*(L$8-L$7)/IF(MOD(YEAR(L$8),4),365,366)</f>
        <v>0</v>
      </c>
      <c s="126">
        <f>Предпосылки!$C$412*(M$8-M$7)/IF(MOD(YEAR(M$8),4),365,366)</f>
        <v>0</v>
      </c>
      <c s="126">
        <f>Предпосылки!$C$412*(N$8-N$7)/IF(MOD(YEAR(N$8),4),365,366)</f>
        <v>0</v>
      </c>
      <c s="126">
        <f>Предпосылки!$C$412*(O$8-O$7)/IF(MOD(YEAR(O$8),4),365,366)</f>
        <v>0</v>
      </c>
      <c s="126">
        <f>Предпосылки!$C$412*(P$8-P$7)/IF(MOD(YEAR(P$8),4),365,366)</f>
        <v>0</v>
      </c>
      <c s="126">
        <f>Предпосылки!$C$412*(Q$8-Q$7)/IF(MOD(YEAR(Q$8),4),365,366)</f>
        <v>0</v>
      </c>
      <c s="126">
        <f>Предпосылки!$C$412*(R$8-R$7)/IF(MOD(YEAR(R$8),4),365,366)</f>
        <v>0</v>
      </c>
      <c s="126">
        <f>Предпосылки!$C$412*(S$8-S$7)/IF(MOD(YEAR(S$8),4),365,366)</f>
        <v>0</v>
      </c>
      <c s="126">
        <f>Предпосылки!$C$412*(T$8-T$7)/IF(MOD(YEAR(T$8),4),365,366)</f>
        <v>0</v>
      </c>
      <c s="126">
        <f>Предпосылки!$C$412*(U$8-U$7)/IF(MOD(YEAR(U$8),4),365,366)</f>
        <v>0</v>
      </c>
      <c s="126">
        <f>Предпосылки!$C$412*(V$8-V$7)/IF(MOD(YEAR(V$8),4),365,366)</f>
        <v>0</v>
      </c>
      <c s="126">
        <f>Предпосылки!$C$412*(W$8-W$7)/IF(MOD(YEAR(W$8),4),365,366)</f>
        <v>0</v>
      </c>
      <c s="126">
        <f>Предпосылки!$C$412*(X$8-X$7)/IF(MOD(YEAR(X$8),4),365,366)</f>
        <v>0</v>
      </c>
      <c s="126">
        <f>Предпосылки!$C$412*(Y$8-Y$7)/IF(MOD(YEAR(Y$8),4),365,366)</f>
        <v>0</v>
      </c>
      <c s="126">
        <f>Предпосылки!$C$412*(Z$8-Z$7)/IF(MOD(YEAR(Z$8),4),365,366)</f>
        <v>0</v>
      </c>
      <c s="126">
        <f>Предпосылки!$C$412*(AA$8-AA$7)/IF(MOD(YEAR(AA$8),4),365,366)</f>
        <v>0</v>
      </c>
      <c s="126">
        <f>Предпосылки!$C$412*(AB$8-AB$7)/IF(MOD(YEAR(AB$8),4),365,366)</f>
        <v>0</v>
      </c>
      <c s="126">
        <f>Предпосылки!$C$412*(AC$8-AC$7)/IF(MOD(YEAR(AC$8),4),365,366)</f>
        <v>0</v>
      </c>
      <c s="126">
        <f>Предпосылки!$C$412*(AD$8-AD$7)/IF(MOD(YEAR(AD$8),4),365,366)</f>
        <v>0</v>
      </c>
      <c s="126">
        <f>Предпосылки!$C$412*(AE$8-AE$7)/IF(MOD(YEAR(AE$8),4),365,366)</f>
        <v>0</v>
      </c>
      <c s="126">
        <f>Предпосылки!$C$412*(AF$8-AF$7)/IF(MOD(YEAR(AF$8),4),365,366)</f>
        <v>0</v>
      </c>
      <c s="126">
        <f>Предпосылки!$C$412*(AG$8-AG$7)/IF(MOD(YEAR(AG$8),4),365,366)</f>
        <v>0</v>
      </c>
      <c s="126">
        <f>Предпосылки!$C$412*(AH$8-AH$7)/IF(MOD(YEAR(AH$8),4),365,366)</f>
        <v>0</v>
      </c>
      <c s="126">
        <f>Предпосылки!$C$412*(AI$8-AI$7)/IF(MOD(YEAR(AI$8),4),365,366)</f>
        <v>0</v>
      </c>
      <c s="126">
        <f>Предпосылки!$C$412*(AJ$8-AJ$7)/IF(MOD(YEAR(AJ$8),4),365,366)</f>
        <v>0</v>
      </c>
      <c s="126">
        <f>Предпосылки!$C$412*(AK$8-AK$7)/IF(MOD(YEAR(AK$8),4),365,366)</f>
        <v>0</v>
      </c>
      <c s="126">
        <f>Предпосылки!$C$412*(AL$8-AL$7)/IF(MOD(YEAR(AL$8),4),365,366)</f>
        <v>0</v>
      </c>
      <c s="126">
        <f>Предпосылки!$C$412*(AM$8-AM$7)/IF(MOD(YEAR(AM$8),4),365,366)</f>
        <v>0</v>
      </c>
      <c s="126">
        <f>Предпосылки!$C$412*(AN$8-AN$7)/IF(MOD(YEAR(AN$8),4),365,366)</f>
        <v>0</v>
      </c>
      <c s="126">
        <f>Предпосылки!$C$412*(AO$8-AO$7)/IF(MOD(YEAR(AO$8),4),365,366)</f>
        <v>0</v>
      </c>
      <c s="126">
        <f>Предпосылки!$C$412*(AP$8-AP$7)/IF(MOD(YEAR(AP$8),4),365,366)</f>
        <v>0</v>
      </c>
      <c s="126">
        <f>Предпосылки!$C$412*(AQ$8-AQ$7)/IF(MOD(YEAR(AQ$8),4),365,366)</f>
        <v>0</v>
      </c>
      <c s="126">
        <f>Предпосылки!$C$412*(AR$8-AR$7)/IF(MOD(YEAR(AR$8),4),365,366)</f>
        <v>0</v>
      </c>
      <c s="126">
        <f>Предпосылки!$C$412*(AS$8-AS$7)/IF(MOD(YEAR(AS$8),4),365,366)</f>
        <v>0</v>
      </c>
      <c s="126">
        <f>Предпосылки!$C$412*(AT$8-AT$7)/IF(MOD(YEAR(AT$8),4),365,366)</f>
        <v>0</v>
      </c>
      <c s="126">
        <f>Предпосылки!$C$412*(AU$8-AU$7)/IF(MOD(YEAR(AU$8),4),365,366)</f>
        <v>0</v>
      </c>
      <c s="126">
        <f>Предпосылки!$C$412*(AV$8-AV$7)/IF(MOD(YEAR(AV$8),4),365,366)</f>
        <v>0</v>
      </c>
      <c s="126">
        <f>Предпосылки!$C$412*(AW$8-AW$7)/IF(MOD(YEAR(AW$8),4),365,366)</f>
        <v>0</v>
      </c>
      <c s="126">
        <f>Предпосылки!$C$412*(AX$8-AX$7)/IF(MOD(YEAR(AX$8),4),365,366)</f>
        <v>0</v>
      </c>
      <c s="126">
        <f>Предпосылки!$C$412*(AY$8-AY$7)/IF(MOD(YEAR(AY$8),4),365,366)</f>
        <v>0</v>
      </c>
      <c s="126">
        <f>Предпосылки!$C$412*(AZ$8-AZ$7)/IF(MOD(YEAR(AZ$8),4),365,366)</f>
        <v>0</v>
      </c>
      <c s="126">
        <f>Предпосылки!$C$412*(BA$8-BA$7)/IF(MOD(YEAR(BA$8),4),365,366)</f>
        <v>0</v>
      </c>
      <c s="126">
        <f>Предпосылки!$C$412*(BB$8-BB$7)/IF(MOD(YEAR(BB$8),4),365,366)</f>
        <v>0</v>
      </c>
      <c s="126">
        <f>Предпосылки!$C$412*(BC$8-BC$7)/IF(MOD(YEAR(BC$8),4),365,366)</f>
        <v>0</v>
      </c>
      <c s="126">
        <f>Предпосылки!$C$412*(BD$8-BD$7)/IF(MOD(YEAR(BD$8),4),365,366)</f>
        <v>0</v>
      </c>
      <c s="126">
        <f>Предпосылки!$C$412*(BE$8-BE$7)/IF(MOD(YEAR(BE$8),4),365,366)</f>
        <v>0</v>
      </c>
      <c s="126">
        <f>Предпосылки!$C$412*(BF$8-BF$7)/IF(MOD(YEAR(BF$8),4),365,366)</f>
        <v>0</v>
      </c>
      <c s="126">
        <f>Предпосылки!$C$412*(BG$8-BG$7)/IF(MOD(YEAR(BG$8),4),365,366)</f>
        <v>0</v>
      </c>
      <c s="126">
        <f>Предпосылки!$C$412*(BH$8-BH$7)/IF(MOD(YEAR(BH$8),4),365,366)</f>
        <v>0</v>
      </c>
      <c s="126">
        <f>Предпосылки!$C$412*(BI$8-BI$7)/IF(MOD(YEAR(BI$8),4),365,366)</f>
        <v>0</v>
      </c>
      <c s="126">
        <f>Предпосылки!$C$412*(BJ$8-BJ$7)/IF(MOD(YEAR(BJ$8),4),365,366)</f>
        <v>0</v>
      </c>
      <c s="126">
        <f>Предпосылки!$C$412*(BK$8-BK$7)/IF(MOD(YEAR(BK$8),4),365,366)</f>
        <v>0</v>
      </c>
      <c s="126">
        <f>Предпосылки!$C$412*(BL$8-BL$7)/IF(MOD(YEAR(BL$8),4),365,366)</f>
        <v>0</v>
      </c>
      <c s="126">
        <f>Предпосылки!$C$412*(BM$8-BM$7)/IF(MOD(YEAR(BM$8),4),365,366)</f>
        <v>0</v>
      </c>
    </row>
    <row r="48" ht="15" customHeight="1"/>
    <row r="49" spans="2:2" ht="15" customHeight="1">
      <c r="B49" s="24" t="str">
        <f>"ОСВ: Проценты - "&amp;Предпосылки!C411</f>
        <v xml:space="preserve">ОСВ: Проценты - </v>
      </c>
    </row>
    <row r="50" spans="2:65" ht="15" customHeight="1">
      <c r="B50" s="12" t="s">
        <v>827</v>
      </c>
      <c s="124" t="str">
        <f>Единица_измерения</f>
        <v>тыс. руб.</v>
      </c>
      <c s="125"/>
      <c s="125">
        <f t="shared" si="358" ref="E50">D53</f>
        <v>0</v>
      </c>
      <c s="125">
        <f t="shared" si="359" ref="F50">E53</f>
        <v>0</v>
      </c>
      <c s="125">
        <f t="shared" si="360" ref="G50">F53</f>
        <v>0</v>
      </c>
      <c s="125">
        <f t="shared" si="361" ref="H50">G53</f>
        <v>0</v>
      </c>
      <c s="125">
        <f t="shared" si="362" ref="I50">H53</f>
        <v>0</v>
      </c>
      <c s="125">
        <f t="shared" si="363" ref="J50">I53</f>
        <v>0</v>
      </c>
      <c s="125">
        <f t="shared" si="364" ref="K50">J53</f>
        <v>0</v>
      </c>
      <c s="125">
        <f t="shared" si="365" ref="L50">K53</f>
        <v>0</v>
      </c>
      <c s="125">
        <f t="shared" si="366" ref="M50">L53</f>
        <v>0</v>
      </c>
      <c s="125">
        <f t="shared" si="367" ref="N50">M53</f>
        <v>0</v>
      </c>
      <c s="125">
        <f t="shared" si="368" ref="O50">N53</f>
        <v>0</v>
      </c>
      <c s="125">
        <f t="shared" si="369" ref="P50">O53</f>
        <v>0</v>
      </c>
      <c s="125">
        <f t="shared" si="370" ref="Q50">P53</f>
        <v>0</v>
      </c>
      <c s="125">
        <f t="shared" si="371" ref="R50">Q53</f>
        <v>0</v>
      </c>
      <c s="125">
        <f t="shared" si="372" ref="S50">R53</f>
        <v>0</v>
      </c>
      <c s="125">
        <f t="shared" si="373" ref="T50">S53</f>
        <v>0</v>
      </c>
      <c s="125">
        <f t="shared" si="374" ref="U50">T53</f>
        <v>0</v>
      </c>
      <c s="125">
        <f t="shared" si="375" ref="V50">U53</f>
        <v>0</v>
      </c>
      <c s="125">
        <f t="shared" si="376" ref="W50">V53</f>
        <v>0</v>
      </c>
      <c s="125">
        <f t="shared" si="377" ref="X50">W53</f>
        <v>0</v>
      </c>
      <c s="125">
        <f t="shared" si="378" ref="Y50">X53</f>
        <v>0</v>
      </c>
      <c s="125">
        <f t="shared" si="379" ref="Z50">Y53</f>
        <v>0</v>
      </c>
      <c s="125">
        <f t="shared" si="380" ref="AA50">Z53</f>
        <v>0</v>
      </c>
      <c s="125">
        <f t="shared" si="381" ref="AB50">AA53</f>
        <v>0</v>
      </c>
      <c s="125">
        <f t="shared" si="382" ref="AC50">AB53</f>
        <v>0</v>
      </c>
      <c s="125">
        <f t="shared" si="383" ref="AD50">AC53</f>
        <v>0</v>
      </c>
      <c s="125">
        <f t="shared" si="384" ref="AE50">AD53</f>
        <v>0</v>
      </c>
      <c s="125">
        <f t="shared" si="385" ref="AF50">AE53</f>
        <v>0</v>
      </c>
      <c s="125">
        <f t="shared" si="386" ref="AG50">AF53</f>
        <v>0</v>
      </c>
      <c s="125">
        <f t="shared" si="387" ref="AH50">AG53</f>
        <v>0</v>
      </c>
      <c s="125">
        <f t="shared" si="388" ref="AI50">AH53</f>
        <v>0</v>
      </c>
      <c s="125">
        <f t="shared" si="389" ref="AJ50">AI53</f>
        <v>0</v>
      </c>
      <c s="125">
        <f t="shared" si="390" ref="AK50">AJ53</f>
        <v>0</v>
      </c>
      <c s="125">
        <f t="shared" si="391" ref="AL50">AK53</f>
        <v>0</v>
      </c>
      <c s="125">
        <f t="shared" si="392" ref="AM50">AL53</f>
        <v>0</v>
      </c>
      <c s="125">
        <f t="shared" si="393" ref="AN50">AM53</f>
        <v>0</v>
      </c>
      <c s="125">
        <f t="shared" si="394" ref="AO50">AN53</f>
        <v>0</v>
      </c>
      <c s="125">
        <f t="shared" si="395" ref="AP50">AO53</f>
        <v>0</v>
      </c>
      <c s="125">
        <f t="shared" si="396" ref="AQ50">AP53</f>
        <v>0</v>
      </c>
      <c s="125">
        <f t="shared" si="397" ref="AR50">AQ53</f>
        <v>0</v>
      </c>
      <c s="125">
        <f t="shared" si="398" ref="AS50">AR53</f>
        <v>0</v>
      </c>
      <c s="125">
        <f t="shared" si="399" ref="AT50">AS53</f>
        <v>0</v>
      </c>
      <c s="125">
        <f t="shared" si="400" ref="AU50">AT53</f>
        <v>0</v>
      </c>
      <c s="125">
        <f t="shared" si="401" ref="AV50">AU53</f>
        <v>0</v>
      </c>
      <c s="125">
        <f t="shared" si="402" ref="AW50">AV53</f>
        <v>0</v>
      </c>
      <c s="125">
        <f t="shared" si="403" ref="AX50">AW53</f>
        <v>0</v>
      </c>
      <c s="125">
        <f t="shared" si="404" ref="AY50">AX53</f>
        <v>0</v>
      </c>
      <c s="125">
        <f t="shared" si="405" ref="AZ50">AY53</f>
        <v>0</v>
      </c>
      <c s="125">
        <f t="shared" si="406" ref="BA50">AZ53</f>
        <v>0</v>
      </c>
      <c s="125">
        <f t="shared" si="407" ref="BB50">BA53</f>
        <v>0</v>
      </c>
      <c s="125">
        <f t="shared" si="408" ref="BC50">BB53</f>
        <v>0</v>
      </c>
      <c s="125">
        <f t="shared" si="409" ref="BD50">BC53</f>
        <v>0</v>
      </c>
      <c s="125">
        <f t="shared" si="410" ref="BE50">BD53</f>
        <v>0</v>
      </c>
      <c s="125">
        <f t="shared" si="411" ref="BF50">BE53</f>
        <v>0</v>
      </c>
      <c s="125">
        <f t="shared" si="412" ref="BG50">BF53</f>
        <v>0</v>
      </c>
      <c s="125">
        <f t="shared" si="413" ref="BH50">BG53</f>
        <v>0</v>
      </c>
      <c s="125">
        <f t="shared" si="414" ref="BI50">BH53</f>
        <v>0</v>
      </c>
      <c s="125">
        <f t="shared" si="415" ref="BJ50">BI53</f>
        <v>0</v>
      </c>
      <c s="125">
        <f t="shared" si="416" ref="BK50">BJ53</f>
        <v>0</v>
      </c>
      <c s="125">
        <f t="shared" si="417" ref="BL50">BK53</f>
        <v>0</v>
      </c>
      <c s="125">
        <f t="shared" si="418" ref="BM50">BL53</f>
        <v>0</v>
      </c>
    </row>
    <row r="51" spans="2:65" ht="15" customHeight="1">
      <c r="B51" s="12" t="s">
        <v>958</v>
      </c>
      <c s="124" t="str">
        <f>Единица_измерения</f>
        <v>тыс. руб.</v>
      </c>
      <c s="125"/>
      <c s="125">
        <f t="shared" si="419" ref="E51">E42*E47</f>
        <v>0</v>
      </c>
      <c s="125">
        <f t="shared" si="420" ref="F51:AG51">F42*F47</f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0"/>
        <v>0</v>
      </c>
      <c s="125">
        <f t="shared" si="421" ref="AH51:BM51">AH42*AH47</f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  <c s="125">
        <f t="shared" si="421"/>
        <v>0</v>
      </c>
    </row>
    <row r="52" spans="2:65" ht="15" customHeight="1">
      <c r="B52" s="12" t="s">
        <v>959</v>
      </c>
      <c s="124" t="str">
        <f>Единица_измерения</f>
        <v>тыс. руб.</v>
      </c>
      <c s="125"/>
      <c s="125">
        <f t="shared" si="422" ref="E52">-E51</f>
        <v>0</v>
      </c>
      <c s="125">
        <f t="shared" si="423" ref="F52:AG52">-F51</f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3"/>
        <v>0</v>
      </c>
      <c s="125">
        <f t="shared" si="424" ref="AH52:BM52">-AH51</f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  <c s="125">
        <f t="shared" si="424"/>
        <v>0</v>
      </c>
    </row>
    <row r="53" spans="2:65" ht="15" customHeight="1">
      <c r="B53" s="289" t="s">
        <v>830</v>
      </c>
      <c s="290" t="str">
        <f>Единица_измерения</f>
        <v>тыс. руб.</v>
      </c>
      <c s="276"/>
      <c s="276">
        <f t="shared" si="425" ref="E53">SUM(E50:E52)</f>
        <v>0</v>
      </c>
      <c s="276">
        <f t="shared" si="426" ref="F53:AG53">SUM(F50:F52)</f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6"/>
        <v>0</v>
      </c>
      <c s="276">
        <f t="shared" si="427" ref="AH53:BM53">SUM(AH50:AH52)</f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  <c s="276">
        <f t="shared" si="427"/>
        <v>0</v>
      </c>
    </row>
    <row r="54" ht="15" customHeight="1"/>
    <row r="55" spans="2:71" ht="21">
      <c r="B55" s="23" t="s">
        <v>177</v>
      </c>
      <c r="D5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6" spans="2:2" ht="15" customHeight="1">
      <c r="B56" s="24" t="s">
        <v>520</v>
      </c>
    </row>
    <row r="57" spans="2:65" ht="15" customHeight="1">
      <c r="B57" s="12" t="s">
        <v>963</v>
      </c>
      <c s="124" t="str">
        <f>Единица_измерения</f>
        <v>тыс. руб.</v>
      </c>
      <c s="125"/>
      <c s="125">
        <f>Предпосылки!D$392</f>
        <v>0</v>
      </c>
      <c s="125">
        <f>Предпосылки!E$392</f>
        <v>0</v>
      </c>
      <c s="125">
        <f>Предпосылки!F$392</f>
        <v>0</v>
      </c>
      <c s="125">
        <f>Предпосылки!G$392</f>
        <v>0</v>
      </c>
      <c s="125">
        <f>Предпосылки!H$392</f>
        <v>0</v>
      </c>
      <c s="125">
        <f>Предпосылки!I$392</f>
        <v>0</v>
      </c>
      <c s="125">
        <f>Предпосылки!J$392</f>
        <v>0</v>
      </c>
      <c s="125">
        <f>Предпосылки!K$392</f>
        <v>0</v>
      </c>
      <c s="125">
        <f>Предпосылки!L$392</f>
        <v>0</v>
      </c>
      <c s="125">
        <f>Предпосылки!M$392</f>
        <v>0</v>
      </c>
      <c s="125">
        <f>Предпосылки!N$392</f>
        <v>0</v>
      </c>
      <c s="125">
        <f>Предпосылки!O$392</f>
        <v>0</v>
      </c>
      <c s="125">
        <f>Предпосылки!P$392</f>
        <v>0</v>
      </c>
      <c s="125">
        <f>Предпосылки!Q$392</f>
        <v>0</v>
      </c>
      <c s="125">
        <f>Предпосылки!R$392</f>
        <v>0</v>
      </c>
      <c s="125">
        <f>Предпосылки!S$392</f>
        <v>0</v>
      </c>
      <c s="125">
        <f>Предпосылки!T$392</f>
        <v>0</v>
      </c>
      <c s="125">
        <f>Предпосылки!U$392</f>
        <v>0</v>
      </c>
      <c s="125">
        <f>Предпосылки!V$392</f>
        <v>0</v>
      </c>
      <c s="125">
        <f>Предпосылки!W$392</f>
        <v>0</v>
      </c>
      <c s="125">
        <f>Предпосылки!X$392</f>
        <v>0</v>
      </c>
      <c s="125">
        <f>Предпосылки!Y$392</f>
        <v>0</v>
      </c>
      <c s="125">
        <f>Предпосылки!Z$392</f>
        <v>0</v>
      </c>
      <c s="125">
        <f>Предпосылки!AA$392</f>
        <v>0</v>
      </c>
      <c s="125">
        <f>Предпосылки!AB$392</f>
        <v>0</v>
      </c>
      <c s="125">
        <f>Предпосылки!AC$392</f>
        <v>0</v>
      </c>
      <c s="125">
        <f>Предпосылки!AD$392</f>
        <v>0</v>
      </c>
      <c s="125">
        <f>Предпосылки!AE$392</f>
        <v>0</v>
      </c>
      <c s="125">
        <f>Предпосылки!AF$392</f>
        <v>0</v>
      </c>
      <c s="125">
        <f>Предпосылки!AG$392</f>
        <v>0</v>
      </c>
      <c s="125">
        <f>Предпосылки!AH$392</f>
        <v>0</v>
      </c>
      <c s="125">
        <f>Предпосылки!AI$392</f>
        <v>0</v>
      </c>
      <c s="125">
        <f>Предпосылки!AJ$392</f>
        <v>0</v>
      </c>
      <c s="125">
        <f>Предпосылки!AK$392</f>
        <v>0</v>
      </c>
      <c s="125">
        <f>Предпосылки!AL$392</f>
        <v>0</v>
      </c>
      <c s="125">
        <f>Предпосылки!AM$392</f>
        <v>0</v>
      </c>
      <c s="125">
        <f>Предпосылки!AN$392</f>
        <v>0</v>
      </c>
      <c s="125">
        <f>Предпосылки!AO$392</f>
        <v>0</v>
      </c>
      <c s="125">
        <f>Предпосылки!AP$392</f>
        <v>0</v>
      </c>
      <c s="125">
        <f>Предпосылки!AQ$392</f>
        <v>0</v>
      </c>
      <c s="125">
        <f>Предпосылки!AR$392</f>
        <v>0</v>
      </c>
      <c s="125">
        <f>Предпосылки!AS$392</f>
        <v>0</v>
      </c>
      <c s="125">
        <f>Предпосылки!AT$392</f>
        <v>0</v>
      </c>
      <c s="125">
        <f>Предпосылки!AU$392</f>
        <v>0</v>
      </c>
      <c s="125">
        <f>Предпосылки!AV$392</f>
        <v>0</v>
      </c>
      <c s="125">
        <f>Предпосылки!AW$392</f>
        <v>0</v>
      </c>
      <c s="125">
        <f>Предпосылки!AX$392</f>
        <v>0</v>
      </c>
      <c s="125">
        <f>Предпосылки!AY$392</f>
        <v>0</v>
      </c>
      <c s="125">
        <f>Предпосылки!AZ$392</f>
        <v>0</v>
      </c>
      <c s="125">
        <f>Предпосылки!BA$392</f>
        <v>0</v>
      </c>
      <c s="125">
        <f>Предпосылки!BB$392</f>
        <v>0</v>
      </c>
      <c s="125">
        <f>Предпосылки!BC$392</f>
        <v>0</v>
      </c>
      <c s="125">
        <f>Предпосылки!BD$392</f>
        <v>0</v>
      </c>
      <c s="125">
        <f>Предпосылки!BE$392</f>
        <v>0</v>
      </c>
      <c s="125">
        <f>Предпосылки!BF$392</f>
        <v>0</v>
      </c>
      <c s="125">
        <f>Предпосылки!BG$392</f>
        <v>0</v>
      </c>
      <c s="125">
        <f>Предпосылки!BH$392</f>
        <v>0</v>
      </c>
      <c s="125">
        <f>Предпосылки!BI$392</f>
        <v>0</v>
      </c>
      <c s="125">
        <f>Предпосылки!BJ$392</f>
        <v>0</v>
      </c>
      <c s="125">
        <f>Предпосылки!BK$392</f>
        <v>0</v>
      </c>
      <c s="125">
        <f>Предпосылки!BL$392</f>
        <v>0</v>
      </c>
    </row>
    <row r="58" ht="15" customHeight="1"/>
    <row r="59" spans="2:2" ht="15" customHeight="1">
      <c r="B59" s="24" t="s">
        <v>964</v>
      </c>
    </row>
    <row r="60" spans="2:65" ht="15" customHeight="1">
      <c r="B60" s="12" t="s">
        <v>965</v>
      </c>
      <c s="124" t="str">
        <f>Единица_измерения</f>
        <v>тыс. руб.</v>
      </c>
      <c s="125"/>
      <c s="125">
        <f ca="1" t="shared" si="428" ref="E60:AG60">SUM(E10,E15:E16,E22,E28:E29,E37,E43:E44,E52,E57)</f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t="shared" ca="1" si="428"/>
        <v>0</v>
      </c>
      <c s="125">
        <f ca="1" t="shared" si="429" ref="AH60:BM60">SUM(AH10,AH15:AH16,AH22,AH28:AH29,AH37,AH43:AH44,AH52,AH57)</f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  <c s="125">
        <f t="shared" ca="1" si="429"/>
        <v>0</v>
      </c>
    </row>
    <row r="61" spans="2:65" ht="15" customHeight="1">
      <c r="B61" s="289" t="s">
        <v>966</v>
      </c>
      <c s="290" t="str">
        <f>Единица_измерения</f>
        <v>тыс. руб.</v>
      </c>
      <c s="276"/>
      <c s="276">
        <f ca="1">D61+E60</f>
        <v>0</v>
      </c>
      <c s="276">
        <f ca="1" t="shared" si="430" ref="F61:AG61">E61+F60</f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t="shared" ca="1" si="430"/>
        <v>0</v>
      </c>
      <c s="276">
        <f ca="1" t="shared" si="431" ref="AH61">AG61+AH60</f>
        <v>0</v>
      </c>
      <c s="276">
        <f ca="1" t="shared" si="432" ref="AI61">AH61+AI60</f>
        <v>0</v>
      </c>
      <c s="276">
        <f ca="1" t="shared" si="433" ref="AJ61">AI61+AJ60</f>
        <v>0</v>
      </c>
      <c s="276">
        <f ca="1" t="shared" si="434" ref="AK61">AJ61+AK60</f>
        <v>0</v>
      </c>
      <c s="276">
        <f ca="1" t="shared" si="435" ref="AL61">AK61+AL60</f>
        <v>0</v>
      </c>
      <c s="276">
        <f ca="1" t="shared" si="436" ref="AM61">AL61+AM60</f>
        <v>0</v>
      </c>
      <c s="276">
        <f ca="1" t="shared" si="437" ref="AN61">AM61+AN60</f>
        <v>0</v>
      </c>
      <c s="276">
        <f ca="1" t="shared" si="438" ref="AO61">AN61+AO60</f>
        <v>0</v>
      </c>
      <c s="276">
        <f ca="1" t="shared" si="439" ref="AP61">AO61+AP60</f>
        <v>0</v>
      </c>
      <c s="276">
        <f ca="1" t="shared" si="440" ref="AQ61">AP61+AQ60</f>
        <v>0</v>
      </c>
      <c s="276">
        <f ca="1" t="shared" si="441" ref="AR61">AQ61+AR60</f>
        <v>0</v>
      </c>
      <c s="276">
        <f ca="1" t="shared" si="442" ref="AS61">AR61+AS60</f>
        <v>0</v>
      </c>
      <c s="276">
        <f ca="1" t="shared" si="443" ref="AT61">AS61+AT60</f>
        <v>0</v>
      </c>
      <c s="276">
        <f ca="1" t="shared" si="444" ref="AU61">AT61+AU60</f>
        <v>0</v>
      </c>
      <c s="276">
        <f ca="1" t="shared" si="445" ref="AV61">AU61+AV60</f>
        <v>0</v>
      </c>
      <c s="276">
        <f ca="1" t="shared" si="446" ref="AW61">AV61+AW60</f>
        <v>0</v>
      </c>
      <c s="276">
        <f ca="1" t="shared" si="447" ref="AX61">AW61+AX60</f>
        <v>0</v>
      </c>
      <c s="276">
        <f ca="1" t="shared" si="448" ref="AY61">AX61+AY60</f>
        <v>0</v>
      </c>
      <c s="276">
        <f ca="1" t="shared" si="449" ref="AZ61">AY61+AZ60</f>
        <v>0</v>
      </c>
      <c s="276">
        <f ca="1" t="shared" si="450" ref="BA61">AZ61+BA60</f>
        <v>0</v>
      </c>
      <c s="276">
        <f ca="1" t="shared" si="451" ref="BB61">BA61+BB60</f>
        <v>0</v>
      </c>
      <c s="276">
        <f ca="1" t="shared" si="452" ref="BC61">BB61+BC60</f>
        <v>0</v>
      </c>
      <c s="276">
        <f ca="1" t="shared" si="453" ref="BD61">BC61+BD60</f>
        <v>0</v>
      </c>
      <c s="276">
        <f ca="1" t="shared" si="454" ref="BE61">BD61+BE60</f>
        <v>0</v>
      </c>
      <c s="276">
        <f ca="1" t="shared" si="455" ref="BF61">BE61+BF60</f>
        <v>0</v>
      </c>
      <c s="276">
        <f ca="1" t="shared" si="456" ref="BG61">BF61+BG60</f>
        <v>0</v>
      </c>
      <c s="276">
        <f ca="1" t="shared" si="457" ref="BH61">BG61+BH60</f>
        <v>0</v>
      </c>
      <c s="276">
        <f ca="1" t="shared" si="458" ref="BI61">BH61+BI60</f>
        <v>0</v>
      </c>
      <c s="276">
        <f ca="1" t="shared" si="459" ref="BJ61">BI61+BJ60</f>
        <v>0</v>
      </c>
      <c s="276">
        <f ca="1" t="shared" si="460" ref="BK61">BJ61+BK60</f>
        <v>0</v>
      </c>
      <c s="276">
        <f ca="1" t="shared" si="461" ref="BL61">BK61+BL60</f>
        <v>0</v>
      </c>
      <c s="276">
        <f ca="1" t="shared" si="462" ref="BM61">BL61+BM60</f>
        <v>0</v>
      </c>
    </row>
    <row r="62" ht="15" customHeight="1"/>
    <row r="63" spans="2:65" ht="15" customHeight="1">
      <c r="B63" s="12" t="s">
        <v>963</v>
      </c>
      <c s="124" t="str">
        <f>Единица_измерения</f>
        <v>тыс. руб.</v>
      </c>
      <c s="125"/>
      <c s="125">
        <f ca="1" t="shared" si="463" ref="E63:BM63">-IF(AND(E60&lt;0,E61&lt;0),MAX(E60:E61),0)</f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  <c s="125">
        <f t="shared" ca="1" si="463"/>
        <v>0</v>
      </c>
    </row>
    <row r="64" spans="2:2" ht="15" customHeight="1">
      <c r="B64" s="24"/>
    </row>
    <row r="65" spans="2:2" ht="15" customHeight="1">
      <c r="B65" s="24" t="s">
        <v>967</v>
      </c>
    </row>
    <row r="66" spans="2:65" ht="15" customHeight="1">
      <c r="B66" s="12" t="s">
        <v>827</v>
      </c>
      <c s="124" t="str">
        <f>Единица_измерения</f>
        <v>тыс. руб.</v>
      </c>
      <c s="125"/>
      <c s="125">
        <f t="shared" si="464" ref="E66:AG66">D68</f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t="shared" si="464"/>
        <v>0</v>
      </c>
      <c s="125">
        <f ca="1" t="shared" si="465" ref="AH66">AG68</f>
        <v>0</v>
      </c>
      <c s="125">
        <f ca="1" t="shared" si="466" ref="AI66">AH68</f>
        <v>0</v>
      </c>
      <c s="125">
        <f ca="1" t="shared" si="467" ref="AJ66">AI68</f>
        <v>0</v>
      </c>
      <c s="125">
        <f ca="1" t="shared" si="468" ref="AK66">AJ68</f>
        <v>0</v>
      </c>
      <c s="125">
        <f ca="1" t="shared" si="469" ref="AL66">AK68</f>
        <v>0</v>
      </c>
      <c s="125">
        <f ca="1" t="shared" si="470" ref="AM66">AL68</f>
        <v>0</v>
      </c>
      <c s="125">
        <f ca="1" t="shared" si="471" ref="AN66">AM68</f>
        <v>0</v>
      </c>
      <c s="125">
        <f ca="1" t="shared" si="472" ref="AO66">AN68</f>
        <v>0</v>
      </c>
      <c s="125">
        <f ca="1" t="shared" si="473" ref="AP66">AO68</f>
        <v>0</v>
      </c>
      <c s="125">
        <f ca="1" t="shared" si="474" ref="AQ66">AP68</f>
        <v>0</v>
      </c>
      <c s="125">
        <f ca="1" t="shared" si="475" ref="AR66">AQ68</f>
        <v>0</v>
      </c>
      <c s="125">
        <f ca="1" t="shared" si="476" ref="AS66">AR68</f>
        <v>0</v>
      </c>
      <c s="125">
        <f ca="1" t="shared" si="477" ref="AT66">AS68</f>
        <v>0</v>
      </c>
      <c s="125">
        <f ca="1" t="shared" si="478" ref="AU66">AT68</f>
        <v>0</v>
      </c>
      <c s="125">
        <f ca="1" t="shared" si="479" ref="AV66">AU68</f>
        <v>0</v>
      </c>
      <c s="125">
        <f ca="1" t="shared" si="480" ref="AW66">AV68</f>
        <v>0</v>
      </c>
      <c s="125">
        <f ca="1" t="shared" si="481" ref="AX66">AW68</f>
        <v>0</v>
      </c>
      <c s="125">
        <f ca="1" t="shared" si="482" ref="AY66">AX68</f>
        <v>0</v>
      </c>
      <c s="125">
        <f ca="1" t="shared" si="483" ref="AZ66">AY68</f>
        <v>0</v>
      </c>
      <c s="125">
        <f ca="1" t="shared" si="484" ref="BA66">AZ68</f>
        <v>0</v>
      </c>
      <c s="125">
        <f ca="1" t="shared" si="485" ref="BB66">BA68</f>
        <v>0</v>
      </c>
      <c s="125">
        <f ca="1" t="shared" si="486" ref="BC66">BB68</f>
        <v>0</v>
      </c>
      <c s="125">
        <f ca="1" t="shared" si="487" ref="BD66">BC68</f>
        <v>0</v>
      </c>
      <c s="125">
        <f ca="1" t="shared" si="488" ref="BE66">BD68</f>
        <v>0</v>
      </c>
      <c s="125">
        <f ca="1" t="shared" si="489" ref="BF66">BE68</f>
        <v>0</v>
      </c>
      <c s="125">
        <f ca="1" t="shared" si="490" ref="BG66">BF68</f>
        <v>0</v>
      </c>
      <c s="125">
        <f ca="1" t="shared" si="491" ref="BH66">BG68</f>
        <v>0</v>
      </c>
      <c s="125">
        <f ca="1" t="shared" si="492" ref="BI66">BH68</f>
        <v>0</v>
      </c>
      <c s="125">
        <f ca="1" t="shared" si="493" ref="BJ66">BI68</f>
        <v>0</v>
      </c>
      <c s="125">
        <f ca="1" t="shared" si="494" ref="BK66">BJ68</f>
        <v>0</v>
      </c>
      <c s="125">
        <f ca="1" t="shared" si="495" ref="BL66">BK68</f>
        <v>0</v>
      </c>
      <c s="125">
        <f ca="1" t="shared" si="496" ref="BM66">BL68</f>
        <v>0</v>
      </c>
    </row>
    <row r="67" spans="2:65" ht="15" customHeight="1">
      <c r="B67" s="12" t="s">
        <v>968</v>
      </c>
      <c s="124" t="str">
        <f>Единица_измерения</f>
        <v>тыс. руб.</v>
      </c>
      <c s="125"/>
      <c s="125">
        <f ca="1">SUM(E57,E63)</f>
        <v>0</v>
      </c>
      <c s="125">
        <f ca="1" t="shared" si="497" ref="F67:AG67">SUM(F57,F63)</f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t="shared" ca="1" si="497"/>
        <v>0</v>
      </c>
      <c s="125">
        <f ca="1" t="shared" si="498" ref="AH67:BM67">SUM(AH57,AH63)</f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  <c s="125">
        <f t="shared" ca="1" si="498"/>
        <v>0</v>
      </c>
    </row>
    <row r="68" spans="2:65" ht="15" customHeight="1">
      <c r="B68" s="289" t="s">
        <v>830</v>
      </c>
      <c s="290" t="str">
        <f>Единица_измерения</f>
        <v>тыс. руб.</v>
      </c>
      <c s="276">
        <f>SUM(Предпосылки!$C$386,MAX(0,Предпосылки!$D$343))</f>
        <v>0</v>
      </c>
      <c s="276">
        <f ca="1" t="shared" si="499" ref="E68:AG68">SUM(E66:E67)</f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t="shared" ca="1" si="499"/>
        <v>0</v>
      </c>
      <c s="276">
        <f ca="1" t="shared" si="500" ref="AH68:BM68">SUM(AH66:AH67)</f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  <c s="276">
        <f t="shared" ca="1" si="500"/>
        <v>0</v>
      </c>
    </row>
    <row r="69" ht="15" customHeight="1"/>
  </sheetData>
  <sheetProtection algorithmName="SHA-512" hashValue="9XXVf8koaAeqHMVAsvnm5TJY+R5IpXRR4wxZ4dTy5K9LsL1na73wiskbMuua3Q+LqKLtVEmUHJ1GSTZhX3wCeQ==" saltValue="tdm+lhFHsra+64O6CfxctQ==" spinCount="100000" sheet="1" objects="1" scenarios="1"/>
  <mergeCells count="5">
    <mergeCell ref="B6:B8"/>
    <mergeCell ref="C6:C8"/>
    <mergeCell ref="D6:D8"/>
    <mergeCell ref="E2:H2"/>
    <mergeCell ref="E4:G4"/>
  </mergeCells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6">
    <tabColor rgb="FFC8E6E5"/>
    <pageSetUpPr fitToPage="1"/>
  </sheetPr>
  <dimension ref="B2:BS395"/>
  <sheetViews>
    <sheetView showGridLines="0" workbookViewId="0" topLeftCell="A1">
      <pane xSplit="4" ySplit="8" topLeftCell="E57" activePane="bottomRight" state="frozen"/>
      <selection pane="topLeft" activeCell="A1" sqref="A1"/>
      <selection pane="bottomLeft" activeCell="K3" sqref="K3"/>
      <selection pane="topRight" activeCell="K3" sqref="K3"/>
      <selection pane="bottomRight" activeCell="I2" sqref="I2"/>
    </sheetView>
  </sheetViews>
  <sheetFormatPr defaultColWidth="0" defaultRowHeight="15" customHeight="1" zeroHeight="1"/>
  <cols>
    <col min="1" max="1" width="2.71428571428571" customWidth="1"/>
    <col min="2" max="2" width="50.1428571428571" customWidth="1"/>
    <col min="3" max="65" width="17.2857142857143" customWidth="1"/>
    <col min="66" max="66" width="2.85714285714286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11" ht="15" customHeight="1">
      <c r="E3" s="63" t="s">
        <v>8</v>
      </c>
      <c s="63" t="s">
        <v>9</v>
      </c>
      <c s="63" t="s">
        <v>10</v>
      </c>
      <c s="63" t="s">
        <v>24</v>
      </c>
      <c r="J3" t="s">
        <v>969</v>
      </c>
      <c s="349">
        <v>47848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71" ht="31.15">
      <c r="B5" s="7" t="s">
        <v>970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605"/>
      <c s="255">
        <f>SUM(D6,1)</f>
        <v>1</v>
      </c>
      <c s="255">
        <f t="shared" si="0" ref="F6:AG6">SUM(E6,1)</f>
        <v>2</v>
      </c>
      <c s="255">
        <f t="shared" si="0"/>
        <v>3</v>
      </c>
      <c s="255">
        <f t="shared" si="0"/>
        <v>4</v>
      </c>
      <c s="255">
        <f t="shared" si="0"/>
        <v>5</v>
      </c>
      <c s="255">
        <f t="shared" si="0"/>
        <v>6</v>
      </c>
      <c s="255">
        <f t="shared" si="0"/>
        <v>7</v>
      </c>
      <c s="255">
        <f t="shared" si="0"/>
        <v>8</v>
      </c>
      <c s="255">
        <f t="shared" si="0"/>
        <v>9</v>
      </c>
      <c s="255">
        <f t="shared" si="0"/>
        <v>10</v>
      </c>
      <c s="255">
        <f t="shared" si="0"/>
        <v>11</v>
      </c>
      <c s="255">
        <f t="shared" si="0"/>
        <v>12</v>
      </c>
      <c s="255">
        <f t="shared" si="0"/>
        <v>13</v>
      </c>
      <c s="255">
        <f t="shared" si="0"/>
        <v>14</v>
      </c>
      <c s="255">
        <f t="shared" si="0"/>
        <v>15</v>
      </c>
      <c s="255">
        <f t="shared" si="0"/>
        <v>16</v>
      </c>
      <c s="255">
        <f t="shared" si="0"/>
        <v>17</v>
      </c>
      <c s="255">
        <f t="shared" si="0"/>
        <v>18</v>
      </c>
      <c s="255">
        <f t="shared" si="0"/>
        <v>19</v>
      </c>
      <c s="255">
        <f t="shared" si="0"/>
        <v>20</v>
      </c>
      <c s="255">
        <f t="shared" si="0"/>
        <v>21</v>
      </c>
      <c s="255">
        <f t="shared" si="0"/>
        <v>22</v>
      </c>
      <c s="255">
        <f t="shared" si="0"/>
        <v>23</v>
      </c>
      <c s="255">
        <f t="shared" si="0"/>
        <v>24</v>
      </c>
      <c s="255">
        <f t="shared" si="0"/>
        <v>25</v>
      </c>
      <c s="255">
        <f t="shared" si="0"/>
        <v>26</v>
      </c>
      <c s="255">
        <f t="shared" si="0"/>
        <v>27</v>
      </c>
      <c s="255">
        <f t="shared" si="0"/>
        <v>28</v>
      </c>
      <c s="255">
        <f t="shared" si="0"/>
        <v>29</v>
      </c>
      <c s="255">
        <f t="shared" si="1" ref="AH6">SUM(AG6,1)</f>
        <v>30</v>
      </c>
      <c s="255">
        <f t="shared" si="2" ref="AI6">SUM(AH6,1)</f>
        <v>31</v>
      </c>
      <c s="255">
        <f t="shared" si="3" ref="AJ6">SUM(AI6,1)</f>
        <v>32</v>
      </c>
      <c s="255">
        <f t="shared" si="4" ref="AK6">SUM(AJ6,1)</f>
        <v>33</v>
      </c>
      <c s="255">
        <f t="shared" si="5" ref="AL6">SUM(AK6,1)</f>
        <v>34</v>
      </c>
      <c s="255">
        <f t="shared" si="6" ref="AM6">SUM(AL6,1)</f>
        <v>35</v>
      </c>
      <c s="255">
        <f t="shared" si="7" ref="AN6">SUM(AM6,1)</f>
        <v>36</v>
      </c>
      <c s="255">
        <f t="shared" si="8" ref="AO6">SUM(AN6,1)</f>
        <v>37</v>
      </c>
      <c s="255">
        <f t="shared" si="9" ref="AP6">SUM(AO6,1)</f>
        <v>38</v>
      </c>
      <c s="255">
        <f t="shared" si="10" ref="AQ6">SUM(AP6,1)</f>
        <v>39</v>
      </c>
      <c s="255">
        <f t="shared" si="11" ref="AR6">SUM(AQ6,1)</f>
        <v>40</v>
      </c>
      <c s="255">
        <f t="shared" si="12" ref="AS6">SUM(AR6,1)</f>
        <v>41</v>
      </c>
      <c s="255">
        <f t="shared" si="13" ref="AT6">SUM(AS6,1)</f>
        <v>42</v>
      </c>
      <c s="255">
        <f t="shared" si="14" ref="AU6">SUM(AT6,1)</f>
        <v>43</v>
      </c>
      <c s="255">
        <f t="shared" si="15" ref="AV6">SUM(AU6,1)</f>
        <v>44</v>
      </c>
      <c s="255">
        <f t="shared" si="16" ref="AW6">SUM(AV6,1)</f>
        <v>45</v>
      </c>
      <c s="255">
        <f t="shared" si="17" ref="AX6">SUM(AW6,1)</f>
        <v>46</v>
      </c>
      <c s="255">
        <f t="shared" si="18" ref="AY6">SUM(AX6,1)</f>
        <v>47</v>
      </c>
      <c s="255">
        <f t="shared" si="19" ref="AZ6">SUM(AY6,1)</f>
        <v>48</v>
      </c>
      <c s="255">
        <f t="shared" si="20" ref="BA6">SUM(AZ6,1)</f>
        <v>49</v>
      </c>
      <c s="255">
        <f t="shared" si="21" ref="BB6">SUM(BA6,1)</f>
        <v>50</v>
      </c>
      <c s="255">
        <f t="shared" si="22" ref="BC6">SUM(BB6,1)</f>
        <v>51</v>
      </c>
      <c s="255">
        <f t="shared" si="23" ref="BD6">SUM(BC6,1)</f>
        <v>52</v>
      </c>
      <c s="255">
        <f t="shared" si="24" ref="BE6">SUM(BD6,1)</f>
        <v>53</v>
      </c>
      <c s="255">
        <f t="shared" si="25" ref="BF6">SUM(BE6,1)</f>
        <v>54</v>
      </c>
      <c s="255">
        <f t="shared" si="26" ref="BG6">SUM(BF6,1)</f>
        <v>55</v>
      </c>
      <c s="255">
        <f t="shared" si="27" ref="BH6">SUM(BG6,1)</f>
        <v>56</v>
      </c>
      <c s="255">
        <f t="shared" si="28" ref="BI6">SUM(BH6,1)</f>
        <v>57</v>
      </c>
      <c s="255">
        <f t="shared" si="29" ref="BJ6">SUM(BI6,1)</f>
        <v>58</v>
      </c>
      <c s="255">
        <f t="shared" si="30" ref="BK6:BM6">SUM(BJ6,1)</f>
        <v>59</v>
      </c>
      <c s="255">
        <f t="shared" si="30"/>
        <v>60</v>
      </c>
      <c s="255">
        <f t="shared" si="30"/>
        <v>61</v>
      </c>
    </row>
    <row r="7" spans="2:65" ht="15" customHeight="1">
      <c r="B7" s="606"/>
      <c s="606"/>
      <c s="606"/>
      <c s="250">
        <f>'Капитальные вложения'!E7</f>
        <v>45658</v>
      </c>
      <c s="250">
        <f>'Капитальные вложения'!F7</f>
        <v>45748</v>
      </c>
      <c s="250">
        <f>'Капитальные вложения'!G7</f>
        <v>45839</v>
      </c>
      <c s="250">
        <f>'Капитальные вложения'!H7</f>
        <v>45931</v>
      </c>
      <c s="250">
        <f>'Капитальные вложения'!I7</f>
        <v>46023</v>
      </c>
      <c s="250">
        <f>'Капитальные вложения'!J7</f>
        <v>46113</v>
      </c>
      <c s="250">
        <f>'Капитальные вложения'!K7</f>
        <v>46204</v>
      </c>
      <c s="250">
        <f>'Капитальные вложения'!L7</f>
        <v>46296</v>
      </c>
      <c s="250">
        <f>'Капитальные вложения'!M7</f>
        <v>46388</v>
      </c>
      <c s="250">
        <f>'Капитальные вложения'!N7</f>
        <v>46478</v>
      </c>
      <c s="250">
        <f>'Капитальные вложения'!O7</f>
        <v>46569</v>
      </c>
      <c s="250">
        <f>'Капитальные вложения'!P7</f>
        <v>46661</v>
      </c>
      <c s="250">
        <f>'Капитальные вложения'!Q7</f>
        <v>46753</v>
      </c>
      <c s="250">
        <f>'Капитальные вложения'!R7</f>
        <v>46844</v>
      </c>
      <c s="250">
        <f>'Капитальные вложения'!S7</f>
        <v>46935</v>
      </c>
      <c s="250">
        <f>'Капитальные вложения'!T7</f>
        <v>47027</v>
      </c>
      <c s="250">
        <f>'Капитальные вложения'!U7</f>
        <v>47119</v>
      </c>
      <c s="250">
        <f>'Капитальные вложения'!V7</f>
        <v>47209</v>
      </c>
      <c s="250">
        <f>'Капитальные вложения'!W7</f>
        <v>47300</v>
      </c>
      <c s="250">
        <f>'Капитальные вложения'!X7</f>
        <v>47392</v>
      </c>
      <c s="250">
        <f>'Капитальные вложения'!Y7</f>
        <v>47484</v>
      </c>
      <c s="250">
        <f>'Капитальные вложения'!Z7</f>
        <v>47574</v>
      </c>
      <c s="250">
        <f>'Капитальные вложения'!AA7</f>
        <v>47665</v>
      </c>
      <c s="250">
        <f>'Капитальные вложения'!AB7</f>
        <v>47757</v>
      </c>
      <c s="250">
        <f>'Капитальные вложения'!AC7</f>
        <v>47849</v>
      </c>
      <c s="250">
        <f>'Капитальные вложения'!AD7</f>
        <v>47939</v>
      </c>
      <c s="250">
        <f>'Капитальные вложения'!AE7</f>
        <v>48030</v>
      </c>
      <c s="250">
        <f>'Капитальные вложения'!AF7</f>
        <v>48122</v>
      </c>
      <c s="250">
        <f>'Капитальные вложения'!AG7</f>
        <v>48214</v>
      </c>
      <c s="250">
        <f>'Капитальные вложения'!AH7</f>
        <v>48305</v>
      </c>
      <c s="250">
        <f>'Капитальные вложения'!AI7</f>
        <v>48396</v>
      </c>
      <c s="250">
        <f>'Капитальные вложения'!AJ7</f>
        <v>48488</v>
      </c>
      <c s="250">
        <f>'Капитальные вложения'!AK7</f>
        <v>48580</v>
      </c>
      <c s="250">
        <f>'Капитальные вложения'!AL7</f>
        <v>48670</v>
      </c>
      <c s="250">
        <f>'Капитальные вложения'!AM7</f>
        <v>48761</v>
      </c>
      <c s="250">
        <f>'Капитальные вложения'!AN7</f>
        <v>48853</v>
      </c>
      <c s="250">
        <f>'Капитальные вложения'!AO7</f>
        <v>48945</v>
      </c>
      <c s="250">
        <f>'Капитальные вложения'!AP7</f>
        <v>49035</v>
      </c>
      <c s="250">
        <f>'Капитальные вложения'!AQ7</f>
        <v>49126</v>
      </c>
      <c s="250">
        <f>'Капитальные вложения'!AR7</f>
        <v>49218</v>
      </c>
      <c s="250">
        <f>'Капитальные вложения'!AS7</f>
        <v>49310</v>
      </c>
      <c s="250">
        <f>'Капитальные вложения'!AT7</f>
        <v>49400</v>
      </c>
      <c s="250">
        <f>'Капитальные вложения'!AU7</f>
        <v>49491</v>
      </c>
      <c s="250">
        <f>'Капитальные вложения'!AV7</f>
        <v>49583</v>
      </c>
      <c s="250">
        <f>'Капитальные вложения'!AW7</f>
        <v>49675</v>
      </c>
      <c s="250">
        <f>'Капитальные вложения'!AX7</f>
        <v>49766</v>
      </c>
      <c s="250">
        <f>'Капитальные вложения'!AY7</f>
        <v>49857</v>
      </c>
      <c s="250">
        <f>'Капитальные вложения'!AZ7</f>
        <v>49949</v>
      </c>
      <c s="250">
        <f>'Капитальные вложения'!BA7</f>
        <v>50041</v>
      </c>
      <c s="250">
        <f>'Капитальные вложения'!BB7</f>
        <v>50131</v>
      </c>
      <c s="250">
        <f>'Капитальные вложения'!BC7</f>
        <v>50222</v>
      </c>
      <c s="250">
        <f>'Капитальные вложения'!BD7</f>
        <v>50314</v>
      </c>
      <c s="250">
        <f>'Капитальные вложения'!BE7</f>
        <v>50406</v>
      </c>
      <c s="250">
        <f>'Капитальные вложения'!BF7</f>
        <v>50496</v>
      </c>
      <c s="250">
        <f>'Капитальные вложения'!BG7</f>
        <v>50587</v>
      </c>
      <c s="250">
        <f>'Капитальные вложения'!BH7</f>
        <v>50679</v>
      </c>
      <c s="250">
        <f>'Капитальные вложения'!BI7</f>
        <v>50771</v>
      </c>
      <c s="250">
        <f>'Капитальные вложения'!BJ7</f>
        <v>50861</v>
      </c>
      <c s="250">
        <f>'Капитальные вложения'!BK7</f>
        <v>50952</v>
      </c>
      <c s="250">
        <f>'Капитальные вложения'!BL7</f>
        <v>51044</v>
      </c>
      <c s="250">
        <f>'Капитальные вложения'!BM7</f>
        <v>51136</v>
      </c>
    </row>
    <row r="8" spans="2:65" ht="15" customHeight="1">
      <c r="B8" s="607"/>
      <c s="607"/>
      <c s="607"/>
      <c s="250">
        <f>'Капитальные вложения'!E8</f>
        <v>45747</v>
      </c>
      <c s="250">
        <f>'Капитальные вложения'!F8</f>
        <v>45838</v>
      </c>
      <c s="250">
        <f>'Капитальные вложения'!G8</f>
        <v>45930</v>
      </c>
      <c s="250">
        <f>'Капитальные вложения'!H8</f>
        <v>46022</v>
      </c>
      <c s="250">
        <f>'Капитальные вложения'!I8</f>
        <v>46112</v>
      </c>
      <c s="250">
        <f>'Капитальные вложения'!J8</f>
        <v>46203</v>
      </c>
      <c s="250">
        <f>'Капитальные вложения'!K8</f>
        <v>46295</v>
      </c>
      <c s="250">
        <f>'Капитальные вложения'!L8</f>
        <v>46387</v>
      </c>
      <c s="250">
        <f>'Капитальные вложения'!M8</f>
        <v>46477</v>
      </c>
      <c s="250">
        <f>'Капитальные вложения'!N8</f>
        <v>46568</v>
      </c>
      <c s="250">
        <f>'Капитальные вложения'!O8</f>
        <v>46660</v>
      </c>
      <c s="250">
        <f>'Капитальные вложения'!P8</f>
        <v>46752</v>
      </c>
      <c s="250">
        <f>'Капитальные вложения'!Q8</f>
        <v>46843</v>
      </c>
      <c s="250">
        <f>'Капитальные вложения'!R8</f>
        <v>46934</v>
      </c>
      <c s="250">
        <f>'Капитальные вложения'!S8</f>
        <v>47026</v>
      </c>
      <c s="250">
        <f>'Капитальные вложения'!T8</f>
        <v>47118</v>
      </c>
      <c s="250">
        <f>'Капитальные вложения'!U8</f>
        <v>47208</v>
      </c>
      <c s="250">
        <f>'Капитальные вложения'!V8</f>
        <v>47299</v>
      </c>
      <c s="250">
        <f>'Капитальные вложения'!W8</f>
        <v>47391</v>
      </c>
      <c s="250">
        <f>'Капитальные вложения'!X8</f>
        <v>47483</v>
      </c>
      <c s="250">
        <f>'Капитальные вложения'!Y8</f>
        <v>47573</v>
      </c>
      <c s="250">
        <f>'Капитальные вложения'!Z8</f>
        <v>47664</v>
      </c>
      <c s="250">
        <f>'Капитальные вложения'!AA8</f>
        <v>47756</v>
      </c>
      <c s="250">
        <f>'Капитальные вложения'!AB8</f>
        <v>47848</v>
      </c>
      <c s="250">
        <f>'Капитальные вложения'!AC8</f>
        <v>47938</v>
      </c>
      <c s="250">
        <f>'Капитальные вложения'!AD8</f>
        <v>48029</v>
      </c>
      <c s="250">
        <f>'Капитальные вложения'!AE8</f>
        <v>48121</v>
      </c>
      <c s="250">
        <f>'Капитальные вложения'!AF8</f>
        <v>48213</v>
      </c>
      <c s="250">
        <f>'Капитальные вложения'!AG8</f>
        <v>48304</v>
      </c>
      <c s="250">
        <f>'Капитальные вложения'!AH8</f>
        <v>48395</v>
      </c>
      <c s="250">
        <f>'Капитальные вложения'!AI8</f>
        <v>48487</v>
      </c>
      <c s="250">
        <f>'Капитальные вложения'!AJ8</f>
        <v>48579</v>
      </c>
      <c s="250">
        <f>'Капитальные вложения'!AK8</f>
        <v>48669</v>
      </c>
      <c s="250">
        <f>'Капитальные вложения'!AL8</f>
        <v>48760</v>
      </c>
      <c s="250">
        <f>'Капитальные вложения'!AM8</f>
        <v>48852</v>
      </c>
      <c s="250">
        <f>'Капитальные вложения'!AN8</f>
        <v>48944</v>
      </c>
      <c s="250">
        <f>'Капитальные вложения'!AO8</f>
        <v>49034</v>
      </c>
      <c s="250">
        <f>'Капитальные вложения'!AP8</f>
        <v>49125</v>
      </c>
      <c s="250">
        <f>'Капитальные вложения'!AQ8</f>
        <v>49217</v>
      </c>
      <c s="250">
        <f>'Капитальные вложения'!AR8</f>
        <v>49309</v>
      </c>
      <c s="250">
        <f>'Капитальные вложения'!AS8</f>
        <v>49399</v>
      </c>
      <c s="250">
        <f>'Капитальные вложения'!AT8</f>
        <v>49490</v>
      </c>
      <c s="250">
        <f>'Капитальные вложения'!AU8</f>
        <v>49582</v>
      </c>
      <c s="250">
        <f>'Капитальные вложения'!AV8</f>
        <v>49674</v>
      </c>
      <c s="250">
        <f>'Капитальные вложения'!AW8</f>
        <v>49765</v>
      </c>
      <c s="250">
        <f>'Капитальные вложения'!AX8</f>
        <v>49856</v>
      </c>
      <c s="250">
        <f>'Капитальные вложения'!AY8</f>
        <v>49948</v>
      </c>
      <c s="250">
        <f>'Капитальные вложения'!AZ8</f>
        <v>50040</v>
      </c>
      <c s="250">
        <f>'Капитальные вложения'!BA8</f>
        <v>50130</v>
      </c>
      <c s="250">
        <f>'Капитальные вложения'!BB8</f>
        <v>50221</v>
      </c>
      <c s="250">
        <f>'Капитальные вложения'!BC8</f>
        <v>50313</v>
      </c>
      <c s="250">
        <f>'Капитальные вложения'!BD8</f>
        <v>50405</v>
      </c>
      <c s="250">
        <f>'Капитальные вложения'!BE8</f>
        <v>50495</v>
      </c>
      <c s="250">
        <f>'Капитальные вложения'!BF8</f>
        <v>50586</v>
      </c>
      <c s="250">
        <f>'Капитальные вложения'!BG8</f>
        <v>50678</v>
      </c>
      <c s="250">
        <f>'Капитальные вложения'!BH8</f>
        <v>50770</v>
      </c>
      <c s="250">
        <f>'Капитальные вложения'!BI8</f>
        <v>50860</v>
      </c>
      <c s="250">
        <f>'Капитальные вложения'!BJ8</f>
        <v>50951</v>
      </c>
      <c s="250">
        <f>'Капитальные вложения'!BK8</f>
        <v>51043</v>
      </c>
      <c s="250">
        <f>'Капитальные вложения'!BL8</f>
        <v>51135</v>
      </c>
      <c s="250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65" ht="15" customHeight="1">
      <c r="B10" s="12" t="s">
        <v>843</v>
      </c>
      <c s="124"/>
      <c s="125"/>
      <c s="124">
        <f>YEAR(E8)</f>
        <v>2025</v>
      </c>
      <c s="124">
        <f t="shared" si="31" ref="F10:AG10">YEAR(F8)</f>
        <v>2025</v>
      </c>
      <c s="124">
        <f t="shared" si="31"/>
        <v>2025</v>
      </c>
      <c s="124">
        <f t="shared" si="31"/>
        <v>2025</v>
      </c>
      <c s="124">
        <f t="shared" si="31"/>
        <v>2026</v>
      </c>
      <c s="124">
        <f t="shared" si="31"/>
        <v>2026</v>
      </c>
      <c s="124">
        <f t="shared" si="31"/>
        <v>2026</v>
      </c>
      <c s="124">
        <f t="shared" si="31"/>
        <v>2026</v>
      </c>
      <c s="124">
        <f t="shared" si="31"/>
        <v>2027</v>
      </c>
      <c s="124">
        <f t="shared" si="31"/>
        <v>2027</v>
      </c>
      <c s="124">
        <f t="shared" si="31"/>
        <v>2027</v>
      </c>
      <c s="124">
        <f t="shared" si="31"/>
        <v>2027</v>
      </c>
      <c s="124">
        <f t="shared" si="31"/>
        <v>2028</v>
      </c>
      <c s="124">
        <f t="shared" si="31"/>
        <v>2028</v>
      </c>
      <c s="124">
        <f t="shared" si="31"/>
        <v>2028</v>
      </c>
      <c s="124">
        <f t="shared" si="31"/>
        <v>2028</v>
      </c>
      <c s="124">
        <f t="shared" si="31"/>
        <v>2029</v>
      </c>
      <c s="124">
        <f t="shared" si="31"/>
        <v>2029</v>
      </c>
      <c s="124">
        <f t="shared" si="31"/>
        <v>2029</v>
      </c>
      <c s="124">
        <f t="shared" si="31"/>
        <v>2029</v>
      </c>
      <c s="124">
        <f t="shared" si="31"/>
        <v>2030</v>
      </c>
      <c s="124">
        <f t="shared" si="31"/>
        <v>2030</v>
      </c>
      <c s="124">
        <f t="shared" si="31"/>
        <v>2030</v>
      </c>
      <c s="124">
        <f t="shared" si="31"/>
        <v>2030</v>
      </c>
      <c s="124">
        <f t="shared" si="31"/>
        <v>2031</v>
      </c>
      <c s="124">
        <f t="shared" si="31"/>
        <v>2031</v>
      </c>
      <c s="124">
        <f t="shared" si="31"/>
        <v>2031</v>
      </c>
      <c s="124">
        <f t="shared" si="31"/>
        <v>2031</v>
      </c>
      <c s="124">
        <f t="shared" si="31"/>
        <v>2032</v>
      </c>
      <c s="124">
        <f t="shared" si="32" ref="AH10:BM10">YEAR(AH8)</f>
        <v>2032</v>
      </c>
      <c s="124">
        <f t="shared" si="32"/>
        <v>2032</v>
      </c>
      <c s="124">
        <f t="shared" si="32"/>
        <v>2032</v>
      </c>
      <c s="124">
        <f t="shared" si="32"/>
        <v>2033</v>
      </c>
      <c s="124">
        <f t="shared" si="32"/>
        <v>2033</v>
      </c>
      <c s="124">
        <f t="shared" si="32"/>
        <v>2033</v>
      </c>
      <c s="124">
        <f t="shared" si="32"/>
        <v>2033</v>
      </c>
      <c s="124">
        <f t="shared" si="32"/>
        <v>2034</v>
      </c>
      <c s="124">
        <f t="shared" si="32"/>
        <v>2034</v>
      </c>
      <c s="124">
        <f t="shared" si="32"/>
        <v>2034</v>
      </c>
      <c s="124">
        <f t="shared" si="32"/>
        <v>2034</v>
      </c>
      <c s="124">
        <f t="shared" si="32"/>
        <v>2035</v>
      </c>
      <c s="124">
        <f t="shared" si="32"/>
        <v>2035</v>
      </c>
      <c s="124">
        <f t="shared" si="32"/>
        <v>2035</v>
      </c>
      <c s="124">
        <f t="shared" si="32"/>
        <v>2035</v>
      </c>
      <c s="124">
        <f t="shared" si="32"/>
        <v>2036</v>
      </c>
      <c s="124">
        <f t="shared" si="32"/>
        <v>2036</v>
      </c>
      <c s="124">
        <f t="shared" si="32"/>
        <v>2036</v>
      </c>
      <c s="124">
        <f t="shared" si="32"/>
        <v>2036</v>
      </c>
      <c s="124">
        <f t="shared" si="32"/>
        <v>2037</v>
      </c>
      <c s="124">
        <f t="shared" si="32"/>
        <v>2037</v>
      </c>
      <c s="124">
        <f t="shared" si="32"/>
        <v>2037</v>
      </c>
      <c s="124">
        <f t="shared" si="32"/>
        <v>2037</v>
      </c>
      <c s="124">
        <f t="shared" si="32"/>
        <v>2038</v>
      </c>
      <c s="124">
        <f t="shared" si="32"/>
        <v>2038</v>
      </c>
      <c s="124">
        <f t="shared" si="32"/>
        <v>2038</v>
      </c>
      <c s="124">
        <f t="shared" si="32"/>
        <v>2038</v>
      </c>
      <c s="124">
        <f t="shared" si="32"/>
        <v>2039</v>
      </c>
      <c s="124">
        <f t="shared" si="32"/>
        <v>2039</v>
      </c>
      <c s="124">
        <f t="shared" si="32"/>
        <v>2039</v>
      </c>
      <c s="124">
        <f t="shared" si="32"/>
        <v>2039</v>
      </c>
      <c s="124">
        <f t="shared" si="32"/>
        <v>2040</v>
      </c>
    </row>
    <row r="11" spans="2:65" ht="15" customHeight="1">
      <c r="B11" s="12" t="s">
        <v>815</v>
      </c>
      <c s="124"/>
      <c s="125"/>
      <c s="124" t="str">
        <f t="shared" si="33" ref="E11">ROUNDUP(MONTH(E7)/Месяцев_в_квартале,0)&amp;" кв. "&amp;YEAR(E8)</f>
        <v>1 кв. 2025</v>
      </c>
      <c s="124" t="str">
        <f t="shared" si="34" ref="F11:AG11">ROUNDUP(MONTH(F7)/Месяцев_в_квартале,0)&amp;" кв. "&amp;YEAR(F8)</f>
        <v>2 кв. 2025</v>
      </c>
      <c s="124" t="str">
        <f t="shared" si="34"/>
        <v>3 кв. 2025</v>
      </c>
      <c s="124" t="str">
        <f t="shared" si="34"/>
        <v>4 кв. 2025</v>
      </c>
      <c s="124" t="str">
        <f t="shared" si="34"/>
        <v>1 кв. 2026</v>
      </c>
      <c s="124" t="str">
        <f t="shared" si="34"/>
        <v>2 кв. 2026</v>
      </c>
      <c s="124" t="str">
        <f t="shared" si="34"/>
        <v>3 кв. 2026</v>
      </c>
      <c s="124" t="str">
        <f t="shared" si="34"/>
        <v>4 кв. 2026</v>
      </c>
      <c s="124" t="str">
        <f t="shared" si="34"/>
        <v>1 кв. 2027</v>
      </c>
      <c s="124" t="str">
        <f t="shared" si="34"/>
        <v>2 кв. 2027</v>
      </c>
      <c s="124" t="str">
        <f t="shared" si="34"/>
        <v>3 кв. 2027</v>
      </c>
      <c s="124" t="str">
        <f t="shared" si="34"/>
        <v>4 кв. 2027</v>
      </c>
      <c s="124" t="str">
        <f t="shared" si="34"/>
        <v>1 кв. 2028</v>
      </c>
      <c s="124" t="str">
        <f t="shared" si="34"/>
        <v>2 кв. 2028</v>
      </c>
      <c s="124" t="str">
        <f t="shared" si="34"/>
        <v>3 кв. 2028</v>
      </c>
      <c s="124" t="str">
        <f t="shared" si="34"/>
        <v>4 кв. 2028</v>
      </c>
      <c s="124" t="str">
        <f t="shared" si="34"/>
        <v>1 кв. 2029</v>
      </c>
      <c s="124" t="str">
        <f t="shared" si="34"/>
        <v>2 кв. 2029</v>
      </c>
      <c s="124" t="str">
        <f t="shared" si="34"/>
        <v>3 кв. 2029</v>
      </c>
      <c s="124" t="str">
        <f t="shared" si="34"/>
        <v>4 кв. 2029</v>
      </c>
      <c s="124" t="str">
        <f t="shared" si="34"/>
        <v>1 кв. 2030</v>
      </c>
      <c s="124" t="str">
        <f t="shared" si="34"/>
        <v>2 кв. 2030</v>
      </c>
      <c s="124" t="str">
        <f t="shared" si="34"/>
        <v>3 кв. 2030</v>
      </c>
      <c s="124" t="str">
        <f t="shared" si="34"/>
        <v>4 кв. 2030</v>
      </c>
      <c s="124" t="str">
        <f t="shared" si="34"/>
        <v>1 кв. 2031</v>
      </c>
      <c s="124" t="str">
        <f t="shared" si="34"/>
        <v>2 кв. 2031</v>
      </c>
      <c s="124" t="str">
        <f t="shared" si="34"/>
        <v>3 кв. 2031</v>
      </c>
      <c s="124" t="str">
        <f t="shared" si="34"/>
        <v>4 кв. 2031</v>
      </c>
      <c s="124" t="str">
        <f t="shared" si="34"/>
        <v>1 кв. 2032</v>
      </c>
      <c s="124" t="str">
        <f t="shared" si="35" ref="AH11:BM11">ROUNDUP(MONTH(AH7)/Месяцев_в_квартале,0)&amp;" кв. "&amp;YEAR(AH8)</f>
        <v>2 кв. 2032</v>
      </c>
      <c s="124" t="str">
        <f t="shared" si="35"/>
        <v>3 кв. 2032</v>
      </c>
      <c s="124" t="str">
        <f t="shared" si="35"/>
        <v>4 кв. 2032</v>
      </c>
      <c s="124" t="str">
        <f t="shared" si="35"/>
        <v>1 кв. 2033</v>
      </c>
      <c s="124" t="str">
        <f t="shared" si="35"/>
        <v>2 кв. 2033</v>
      </c>
      <c s="124" t="str">
        <f t="shared" si="35"/>
        <v>3 кв. 2033</v>
      </c>
      <c s="124" t="str">
        <f t="shared" si="35"/>
        <v>4 кв. 2033</v>
      </c>
      <c s="124" t="str">
        <f t="shared" si="35"/>
        <v>1 кв. 2034</v>
      </c>
      <c s="124" t="str">
        <f t="shared" si="35"/>
        <v>2 кв. 2034</v>
      </c>
      <c s="124" t="str">
        <f t="shared" si="35"/>
        <v>3 кв. 2034</v>
      </c>
      <c s="124" t="str">
        <f t="shared" si="35"/>
        <v>4 кв. 2034</v>
      </c>
      <c s="124" t="str">
        <f t="shared" si="35"/>
        <v>1 кв. 2035</v>
      </c>
      <c s="124" t="str">
        <f t="shared" si="35"/>
        <v>2 кв. 2035</v>
      </c>
      <c s="124" t="str">
        <f t="shared" si="35"/>
        <v>3 кв. 2035</v>
      </c>
      <c s="124" t="str">
        <f t="shared" si="35"/>
        <v>4 кв. 2035</v>
      </c>
      <c s="124" t="str">
        <f t="shared" si="35"/>
        <v>1 кв. 2036</v>
      </c>
      <c s="124" t="str">
        <f t="shared" si="35"/>
        <v>2 кв. 2036</v>
      </c>
      <c s="124" t="str">
        <f t="shared" si="35"/>
        <v>3 кв. 2036</v>
      </c>
      <c s="124" t="str">
        <f t="shared" si="35"/>
        <v>4 кв. 2036</v>
      </c>
      <c s="124" t="str">
        <f t="shared" si="35"/>
        <v>1 кв. 2037</v>
      </c>
      <c s="124" t="str">
        <f t="shared" si="35"/>
        <v>2 кв. 2037</v>
      </c>
      <c s="124" t="str">
        <f t="shared" si="35"/>
        <v>3 кв. 2037</v>
      </c>
      <c s="124" t="str">
        <f t="shared" si="35"/>
        <v>4 кв. 2037</v>
      </c>
      <c s="124" t="str">
        <f t="shared" si="35"/>
        <v>1 кв. 2038</v>
      </c>
      <c s="124" t="str">
        <f t="shared" si="35"/>
        <v>2 кв. 2038</v>
      </c>
      <c s="124" t="str">
        <f t="shared" si="35"/>
        <v>3 кв. 2038</v>
      </c>
      <c s="124" t="str">
        <f t="shared" si="35"/>
        <v>4 кв. 2038</v>
      </c>
      <c s="124" t="str">
        <f t="shared" si="35"/>
        <v>1 кв. 2039</v>
      </c>
      <c s="124" t="str">
        <f t="shared" si="35"/>
        <v>2 кв. 2039</v>
      </c>
      <c s="124" t="str">
        <f t="shared" si="35"/>
        <v>3 кв. 2039</v>
      </c>
      <c s="124" t="str">
        <f t="shared" si="35"/>
        <v>4 кв. 2039</v>
      </c>
      <c s="124" t="str">
        <f t="shared" si="35"/>
        <v>1 кв. 2040</v>
      </c>
    </row>
    <row r="12" spans="2:65" ht="15" customHeight="1">
      <c r="B12" s="12" t="str">
        <f>"Период займа "&amp;IF(ISNUMBER(SEARCH("РФРП",Программа)),"ФРП и РФРП","ФРП")</f>
        <v>Период займа ФРП</v>
      </c>
      <c s="124"/>
      <c s="125"/>
      <c s="124">
        <f>IF(AND(E7&gt;=Предпосылки!$C$13,E8&lt;=Предпосылки!$C$15),1,0)</f>
        <v>1</v>
      </c>
      <c s="124">
        <f>IF(AND(F7&gt;=Предпосылки!$C$13,F8&lt;=Предпосылки!$C$15),1,0)</f>
        <v>1</v>
      </c>
      <c s="124">
        <f>IF(AND(G7&gt;=Предпосылки!$C$13,G8&lt;=Предпосылки!$C$15),1,0)</f>
        <v>1</v>
      </c>
      <c s="124">
        <f>IF(AND(H7&gt;=Предпосылки!$C$13,H8&lt;=Предпосылки!$C$15),1,0)</f>
        <v>1</v>
      </c>
      <c s="124">
        <f>IF(AND(I7&gt;=Предпосылки!$C$13,I8&lt;=Предпосылки!$C$15),1,0)</f>
        <v>1</v>
      </c>
      <c s="124">
        <f>IF(AND(J7&gt;=Предпосылки!$C$13,J8&lt;=Предпосылки!$C$15),1,0)</f>
        <v>1</v>
      </c>
      <c s="124">
        <f>IF(AND(K7&gt;=Предпосылки!$C$13,K8&lt;=Предпосылки!$C$15),1,0)</f>
        <v>1</v>
      </c>
      <c s="124">
        <f>IF(AND(L7&gt;=Предпосылки!$C$13,L8&lt;=Предпосылки!$C$15),1,0)</f>
        <v>1</v>
      </c>
      <c s="124">
        <f>IF(AND(M7&gt;=Предпосылки!$C$13,M8&lt;=Предпосылки!$C$15),1,0)</f>
        <v>1</v>
      </c>
      <c s="124">
        <f>IF(AND(N7&gt;=Предпосылки!$C$13,N8&lt;=Предпосылки!$C$15),1,0)</f>
        <v>1</v>
      </c>
      <c s="124">
        <f>IF(AND(O7&gt;=Предпосылки!$C$13,O8&lt;=Предпосылки!$C$15),1,0)</f>
        <v>1</v>
      </c>
      <c s="124">
        <f>IF(AND(P7&gt;=Предпосылки!$C$13,P8&lt;=Предпосылки!$C$15),1,0)</f>
        <v>1</v>
      </c>
      <c s="124">
        <f>IF(AND(Q7&gt;=Предпосылки!$C$13,Q8&lt;=Предпосылки!$C$15),1,0)</f>
        <v>1</v>
      </c>
      <c s="124">
        <f>IF(AND(R7&gt;=Предпосылки!$C$13,R8&lt;=Предпосылки!$C$15),1,0)</f>
        <v>1</v>
      </c>
      <c s="124">
        <f>IF(AND(S7&gt;=Предпосылки!$C$13,S8&lt;=Предпосылки!$C$15),1,0)</f>
        <v>1</v>
      </c>
      <c s="124">
        <f>IF(AND(T7&gt;=Предпосылки!$C$13,T8&lt;=Предпосылки!$C$15),1,0)</f>
        <v>1</v>
      </c>
      <c s="124">
        <f>IF(AND(U7&gt;=Предпосылки!$C$13,U8&lt;=Предпосылки!$C$15),1,0)</f>
        <v>1</v>
      </c>
      <c s="124">
        <f>IF(AND(V7&gt;=Предпосылки!$C$13,V8&lt;=Предпосылки!$C$15),1,0)</f>
        <v>1</v>
      </c>
      <c s="124">
        <f>IF(AND(W7&gt;=Предпосылки!$C$13,W8&lt;=Предпосылки!$C$15),1,0)</f>
        <v>1</v>
      </c>
      <c s="124">
        <f>IF(AND(X7&gt;=Предпосылки!$C$13,X8&lt;=Предпосылки!$C$15),1,0)</f>
        <v>1</v>
      </c>
      <c s="124">
        <f>IF(AND(Y7&gt;=Предпосылки!$C$13,Y8&lt;=Предпосылки!$C$15),1,0)</f>
        <v>1</v>
      </c>
      <c s="124">
        <f>IF(AND(Z7&gt;=Предпосылки!$C$13,Z8&lt;=Предпосылки!$C$15),1,0)</f>
        <v>0</v>
      </c>
      <c s="124">
        <f>IF(AND(AA7&gt;=Предпосылки!$C$13,AA8&lt;=Предпосылки!$C$15),1,0)</f>
        <v>0</v>
      </c>
      <c s="124">
        <f>IF(AND(AB7&gt;=Предпосылки!$C$13,AB8&lt;=Предпосылки!$C$15),1,0)</f>
        <v>0</v>
      </c>
      <c s="124">
        <f>IF(AND(AC7&gt;=Предпосылки!$C$13,AC8&lt;=Предпосылки!$C$15),1,0)</f>
        <v>0</v>
      </c>
      <c s="124">
        <f>IF(AND(AD7&gt;=Предпосылки!$C$13,AD8&lt;=Предпосылки!$C$15),1,0)</f>
        <v>0</v>
      </c>
      <c s="124">
        <f>IF(AND(AE7&gt;=Предпосылки!$C$13,AE8&lt;=Предпосылки!$C$15),1,0)</f>
        <v>0</v>
      </c>
      <c s="124">
        <f>IF(AND(AF7&gt;=Предпосылки!$C$13,AF8&lt;=Предпосылки!$C$15),1,0)</f>
        <v>0</v>
      </c>
      <c s="124">
        <f>IF(AND(AG7&gt;=Предпосылки!$C$13,AG8&lt;=Предпосылки!$C$15),1,0)</f>
        <v>0</v>
      </c>
      <c s="124">
        <f>IF(AND(AH7&gt;=Предпосылки!$C$13,AH8&lt;=Предпосылки!$C$15),1,0)</f>
        <v>0</v>
      </c>
      <c s="124">
        <f>IF(AND(AI7&gt;=Предпосылки!$C$13,AI8&lt;=Предпосылки!$C$15),1,0)</f>
        <v>0</v>
      </c>
      <c s="124">
        <f>IF(AND(AJ7&gt;=Предпосылки!$C$13,AJ8&lt;=Предпосылки!$C$15),1,0)</f>
        <v>0</v>
      </c>
      <c s="124">
        <f>IF(AND(AK7&gt;=Предпосылки!$C$13,AK8&lt;=Предпосылки!$C$15),1,0)</f>
        <v>0</v>
      </c>
      <c s="124">
        <f>IF(AND(AL7&gt;=Предпосылки!$C$13,AL8&lt;=Предпосылки!$C$15),1,0)</f>
        <v>0</v>
      </c>
      <c s="124">
        <f>IF(AND(AM7&gt;=Предпосылки!$C$13,AM8&lt;=Предпосылки!$C$15),1,0)</f>
        <v>0</v>
      </c>
      <c s="124">
        <f>IF(AND(AN7&gt;=Предпосылки!$C$13,AN8&lt;=Предпосылки!$C$15),1,0)</f>
        <v>0</v>
      </c>
      <c s="124">
        <f>IF(AND(AO7&gt;=Предпосылки!$C$13,AO8&lt;=Предпосылки!$C$15),1,0)</f>
        <v>0</v>
      </c>
      <c s="124">
        <f>IF(AND(AP7&gt;=Предпосылки!$C$13,AP8&lt;=Предпосылки!$C$15),1,0)</f>
        <v>0</v>
      </c>
      <c s="124">
        <f>IF(AND(AQ7&gt;=Предпосылки!$C$13,AQ8&lt;=Предпосылки!$C$15),1,0)</f>
        <v>0</v>
      </c>
      <c s="124">
        <f>IF(AND(AR7&gt;=Предпосылки!$C$13,AR8&lt;=Предпосылки!$C$15),1,0)</f>
        <v>0</v>
      </c>
      <c s="124">
        <f>IF(AND(AS7&gt;=Предпосылки!$C$13,AS8&lt;=Предпосылки!$C$15),1,0)</f>
        <v>0</v>
      </c>
      <c s="124">
        <f>IF(AND(AT7&gt;=Предпосылки!$C$13,AT8&lt;=Предпосылки!$C$15),1,0)</f>
        <v>0</v>
      </c>
      <c s="124">
        <f>IF(AND(AU7&gt;=Предпосылки!$C$13,AU8&lt;=Предпосылки!$C$15),1,0)</f>
        <v>0</v>
      </c>
      <c s="124">
        <f>IF(AND(AV7&gt;=Предпосылки!$C$13,AV8&lt;=Предпосылки!$C$15),1,0)</f>
        <v>0</v>
      </c>
      <c s="124">
        <f>IF(AND(AW7&gt;=Предпосылки!$C$13,AW8&lt;=Предпосылки!$C$15),1,0)</f>
        <v>0</v>
      </c>
      <c s="124">
        <f>IF(AND(AX7&gt;=Предпосылки!$C$13,AX8&lt;=Предпосылки!$C$15),1,0)</f>
        <v>0</v>
      </c>
      <c s="124">
        <f>IF(AND(AY7&gt;=Предпосылки!$C$13,AY8&lt;=Предпосылки!$C$15),1,0)</f>
        <v>0</v>
      </c>
      <c s="124">
        <f>IF(AND(AZ7&gt;=Предпосылки!$C$13,AZ8&lt;=Предпосылки!$C$15),1,0)</f>
        <v>0</v>
      </c>
      <c s="124">
        <f>IF(AND(BA7&gt;=Предпосылки!$C$13,BA8&lt;=Предпосылки!$C$15),1,0)</f>
        <v>0</v>
      </c>
      <c s="124">
        <f>IF(AND(BB7&gt;=Предпосылки!$C$13,BB8&lt;=Предпосылки!$C$15),1,0)</f>
        <v>0</v>
      </c>
      <c s="124">
        <f>IF(AND(BC7&gt;=Предпосылки!$C$13,BC8&lt;=Предпосылки!$C$15),1,0)</f>
        <v>0</v>
      </c>
      <c s="124">
        <f>IF(AND(BD7&gt;=Предпосылки!$C$13,BD8&lt;=Предпосылки!$C$15),1,0)</f>
        <v>0</v>
      </c>
      <c s="124">
        <f>IF(AND(BE7&gt;=Предпосылки!$C$13,BE8&lt;=Предпосылки!$C$15),1,0)</f>
        <v>0</v>
      </c>
      <c s="124">
        <f>IF(AND(BF7&gt;=Предпосылки!$C$13,BF8&lt;=Предпосылки!$C$15),1,0)</f>
        <v>0</v>
      </c>
      <c s="124">
        <f>IF(AND(BG7&gt;=Предпосылки!$C$13,BG8&lt;=Предпосылки!$C$15),1,0)</f>
        <v>0</v>
      </c>
      <c s="124">
        <f>IF(AND(BH7&gt;=Предпосылки!$C$13,BH8&lt;=Предпосылки!$C$15),1,0)</f>
        <v>0</v>
      </c>
      <c s="124">
        <f>IF(AND(BI7&gt;=Предпосылки!$C$13,BI8&lt;=Предпосылки!$C$15),1,0)</f>
        <v>0</v>
      </c>
      <c s="124">
        <f>IF(AND(BJ7&gt;=Предпосылки!$C$13,BJ8&lt;=Предпосылки!$C$15),1,0)</f>
        <v>0</v>
      </c>
      <c s="124">
        <f>IF(AND(BK7&gt;=Предпосылки!$C$13,BK8&lt;=Предпосылки!$C$15),1,0)</f>
        <v>0</v>
      </c>
      <c s="124">
        <f>IF(AND(BL7&gt;=Предпосылки!$C$13,BL8&lt;=Предпосылки!$C$15),1,0)</f>
        <v>0</v>
      </c>
      <c s="124">
        <f>IF(AND(BM7&gt;=Предпосылки!$C$13,BM8&lt;=Предпосылки!$C$15),1,0)</f>
        <v>0</v>
      </c>
    </row>
    <row r="13" ht="15" customHeight="1"/>
    <row r="14" spans="2:71" ht="31.15">
      <c r="B14" s="7" t="s">
        <v>971</v>
      </c>
      <c r="D14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15" spans="2:71" ht="21">
      <c r="B15" s="23" t="s">
        <v>326</v>
      </c>
      <c r="D1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" spans="2:65" ht="15" customHeight="1">
      <c r="B16" s="12" t="s">
        <v>273</v>
      </c>
      <c s="124" t="str">
        <f>Единица_измерения</f>
        <v>тыс. руб.</v>
      </c>
      <c s="276">
        <f>SUM(E16:BM16)</f>
        <v>0</v>
      </c>
      <c s="125">
        <f>Продажи!E132*IF($K$3&lt;E8,0,1)</f>
        <v>0</v>
      </c>
      <c s="125">
        <f>Продажи!F132*IF($K$3&lt;F8,0,1)</f>
        <v>0</v>
      </c>
      <c s="125">
        <f>Продажи!G132*IF($K$3&lt;G8,0,1)</f>
        <v>0</v>
      </c>
      <c s="125">
        <f>Продажи!H132*IF($K$3&lt;H8,0,1)</f>
        <v>0</v>
      </c>
      <c s="125">
        <f>Продажи!I132*IF($K$3&lt;I8,0,1)</f>
        <v>0</v>
      </c>
      <c s="125">
        <f>Продажи!J132*IF($K$3&lt;J8,0,1)</f>
        <v>0</v>
      </c>
      <c s="125">
        <f>Продажи!K132*IF($K$3&lt;K8,0,1)</f>
        <v>0</v>
      </c>
      <c s="125">
        <f>Продажи!L132*IF($K$3&lt;L8,0,1)</f>
        <v>0</v>
      </c>
      <c s="125">
        <f>Продажи!M132*IF($K$3&lt;M8,0,1)</f>
        <v>0</v>
      </c>
      <c s="125">
        <f>Продажи!N132*IF($K$3&lt;N8,0,1)</f>
        <v>0</v>
      </c>
      <c s="125">
        <f>Продажи!O132*IF($K$3&lt;O8,0,1)</f>
        <v>0</v>
      </c>
      <c s="125">
        <f>Продажи!P132*IF($K$3&lt;P8,0,1)</f>
        <v>0</v>
      </c>
      <c s="125">
        <f>Продажи!Q132*IF($K$3&lt;Q8,0,1)</f>
        <v>0</v>
      </c>
      <c s="125">
        <f>Продажи!R132*IF($K$3&lt;R8,0,1)</f>
        <v>0</v>
      </c>
      <c s="125">
        <f>Продажи!S132*IF($K$3&lt;S8,0,1)</f>
        <v>0</v>
      </c>
      <c s="125">
        <f>Продажи!T132*IF($K$3&lt;T8,0,1)</f>
        <v>0</v>
      </c>
      <c s="125">
        <f>Продажи!U132*IF($K$3&lt;U8,0,1)</f>
        <v>0</v>
      </c>
      <c s="125">
        <f>Продажи!V132*IF($K$3&lt;V8,0,1)</f>
        <v>0</v>
      </c>
      <c s="125">
        <f>Продажи!W132*IF($K$3&lt;W8,0,1)</f>
        <v>0</v>
      </c>
      <c s="125">
        <f>Продажи!X132*IF($K$3&lt;X8,0,1)</f>
        <v>0</v>
      </c>
      <c s="125">
        <f>Продажи!Y132*IF($K$3&lt;Y8,0,1)</f>
        <v>0</v>
      </c>
      <c s="125">
        <f>Продажи!Z132*IF($K$3&lt;Z8,0,1)</f>
        <v>0</v>
      </c>
      <c s="125">
        <f>Продажи!AA132*IF($K$3&lt;AA8,0,1)</f>
        <v>0</v>
      </c>
      <c s="125">
        <f>Продажи!AB132*IF($K$3&lt;AB8,0,1)</f>
        <v>0</v>
      </c>
      <c s="125">
        <f>Продажи!AC132*IF($K$3&lt;AC8,0,1)</f>
        <v>0</v>
      </c>
      <c s="125">
        <f>Продажи!AD132*IF($K$3&lt;AD8,0,1)</f>
        <v>0</v>
      </c>
      <c s="125">
        <f>Продажи!AE132*IF($K$3&lt;AE8,0,1)</f>
        <v>0</v>
      </c>
      <c s="125">
        <f>Продажи!AF132*IF($K$3&lt;AF8,0,1)</f>
        <v>0</v>
      </c>
      <c s="125">
        <f>Продажи!AG132*IF($K$3&lt;AG8,0,1)</f>
        <v>0</v>
      </c>
      <c s="125">
        <f>Продажи!AH132*IF($K$3&lt;AH8,0,1)</f>
        <v>0</v>
      </c>
      <c s="125">
        <f>Продажи!AI132*IF($K$3&lt;AI8,0,1)</f>
        <v>0</v>
      </c>
      <c s="125">
        <f>Продажи!AJ132*IF($K$3&lt;AJ8,0,1)</f>
        <v>0</v>
      </c>
      <c s="125">
        <f>Продажи!AK132*IF($K$3&lt;AK8,0,1)</f>
        <v>0</v>
      </c>
      <c s="125">
        <f>Продажи!AL132*IF($K$3&lt;AL8,0,1)</f>
        <v>0</v>
      </c>
      <c s="125">
        <f>Продажи!AM132*IF($K$3&lt;AM8,0,1)</f>
        <v>0</v>
      </c>
      <c s="125">
        <f>Продажи!AN132*IF($K$3&lt;AN8,0,1)</f>
        <v>0</v>
      </c>
      <c s="125">
        <f>Продажи!AO132*IF($K$3&lt;AO8,0,1)</f>
        <v>0</v>
      </c>
      <c s="125">
        <f>Продажи!AP132*IF($K$3&lt;AP8,0,1)</f>
        <v>0</v>
      </c>
      <c s="125">
        <f>Продажи!AQ132*IF($K$3&lt;AQ8,0,1)</f>
        <v>0</v>
      </c>
      <c s="125">
        <f>Продажи!AR132*IF($K$3&lt;AR8,0,1)</f>
        <v>0</v>
      </c>
      <c s="125">
        <f>Продажи!AS132*IF($K$3&lt;AS8,0,1)</f>
        <v>0</v>
      </c>
      <c s="125">
        <f>Продажи!AT132*IF($K$3&lt;AT8,0,1)</f>
        <v>0</v>
      </c>
      <c s="125">
        <f>Продажи!AU132*IF($K$3&lt;AU8,0,1)</f>
        <v>0</v>
      </c>
      <c s="125">
        <f>Продажи!AV132*IF($K$3&lt;AV8,0,1)</f>
        <v>0</v>
      </c>
      <c s="125">
        <f>Продажи!AW132*IF($K$3&lt;AW8,0,1)</f>
        <v>0</v>
      </c>
      <c s="125">
        <f>Продажи!AX132*IF($K$3&lt;AX8,0,1)</f>
        <v>0</v>
      </c>
      <c s="125">
        <f>Продажи!AY132*IF($K$3&lt;AY8,0,1)</f>
        <v>0</v>
      </c>
      <c s="125">
        <f>Продажи!AZ132*IF($K$3&lt;AZ8,0,1)</f>
        <v>0</v>
      </c>
      <c s="125">
        <f>Продажи!BA132*IF($K$3&lt;BA8,0,1)</f>
        <v>0</v>
      </c>
      <c s="125">
        <f>Продажи!BB132*IF($K$3&lt;BB8,0,1)</f>
        <v>0</v>
      </c>
      <c s="125">
        <f>Продажи!BC132*IF($K$3&lt;BC8,0,1)</f>
        <v>0</v>
      </c>
      <c s="125">
        <f>Продажи!BD132*IF($K$3&lt;BD8,0,1)</f>
        <v>0</v>
      </c>
      <c s="125">
        <f>Продажи!BE132*IF($K$3&lt;BE8,0,1)</f>
        <v>0</v>
      </c>
      <c s="125">
        <f>Продажи!BF132*IF($K$3&lt;BF8,0,1)</f>
        <v>0</v>
      </c>
      <c s="125">
        <f>Продажи!BG132*IF($K$3&lt;BG8,0,1)</f>
        <v>0</v>
      </c>
      <c s="125">
        <f>Продажи!BH132*IF($K$3&lt;BH8,0,1)</f>
        <v>0</v>
      </c>
      <c s="125">
        <f>Продажи!BI132*IF($K$3&lt;BI8,0,1)</f>
        <v>0</v>
      </c>
      <c s="125">
        <f>Продажи!BJ132*IF($K$3&lt;BJ8,0,1)</f>
        <v>0</v>
      </c>
      <c s="125">
        <f>Продажи!BK132*IF($K$3&lt;BK8,0,1)</f>
        <v>0</v>
      </c>
      <c s="125">
        <f>Продажи!BL132*IF($K$3&lt;BL8,0,1)</f>
        <v>0</v>
      </c>
      <c s="125">
        <f>Продажи!BM132*IF($K$3&lt;BM8,0,1)</f>
        <v>0</v>
      </c>
    </row>
    <row r="17" spans="2:65" ht="15" customHeight="1">
      <c r="B17" s="22" t="s">
        <v>972</v>
      </c>
      <c s="124" t="str">
        <f>Единица_измерения</f>
        <v>тыс. руб.</v>
      </c>
      <c s="276">
        <f ca="1" t="shared" si="36" ref="D17:D28">SUM(E17:BM17)</f>
        <v>0</v>
      </c>
      <c s="125">
        <f>-'Операционные затраты'!E702*IF($K$3&lt;E8,0,1)</f>
        <v>0</v>
      </c>
      <c s="125">
        <f ca="1">-'Операционные затраты'!F702*IF($K$3&lt;F8,0,1)</f>
        <v>0</v>
      </c>
      <c s="125">
        <f ca="1">-'Операционные затраты'!G702*IF($K$3&lt;G8,0,1)</f>
        <v>0</v>
      </c>
      <c s="125">
        <f ca="1">-'Операционные затраты'!H702*IF($K$3&lt;H8,0,1)</f>
        <v>0</v>
      </c>
      <c s="125">
        <f ca="1">-'Операционные затраты'!I702*IF($K$3&lt;I8,0,1)</f>
        <v>0</v>
      </c>
      <c s="125">
        <f ca="1">-'Операционные затраты'!J702*IF($K$3&lt;J8,0,1)</f>
        <v>0</v>
      </c>
      <c s="125">
        <f ca="1">-'Операционные затраты'!K702*IF($K$3&lt;K8,0,1)</f>
        <v>0</v>
      </c>
      <c s="125">
        <f ca="1">-'Операционные затраты'!L702*IF($K$3&lt;L8,0,1)</f>
        <v>0</v>
      </c>
      <c s="125">
        <f ca="1">-'Операционные затраты'!M702*IF($K$3&lt;M8,0,1)</f>
        <v>0</v>
      </c>
      <c s="125">
        <f ca="1">-'Операционные затраты'!N702*IF($K$3&lt;N8,0,1)</f>
        <v>0</v>
      </c>
      <c s="125">
        <f ca="1">-'Операционные затраты'!O702*IF($K$3&lt;O8,0,1)</f>
        <v>0</v>
      </c>
      <c s="125">
        <f ca="1">-'Операционные затраты'!P702*IF($K$3&lt;P8,0,1)</f>
        <v>0</v>
      </c>
      <c s="125">
        <f ca="1">-'Операционные затраты'!Q702*IF($K$3&lt;Q8,0,1)</f>
        <v>0</v>
      </c>
      <c s="125">
        <f ca="1">-'Операционные затраты'!R702*IF($K$3&lt;R8,0,1)</f>
        <v>0</v>
      </c>
      <c s="125">
        <f ca="1">-'Операционные затраты'!S702*IF($K$3&lt;S8,0,1)</f>
        <v>0</v>
      </c>
      <c s="125">
        <f ca="1">-'Операционные затраты'!T702*IF($K$3&lt;T8,0,1)</f>
        <v>0</v>
      </c>
      <c s="125">
        <f ca="1">-'Операционные затраты'!U702*IF($K$3&lt;U8,0,1)</f>
        <v>0</v>
      </c>
      <c s="125">
        <f ca="1">-'Операционные затраты'!V702*IF($K$3&lt;V8,0,1)</f>
        <v>0</v>
      </c>
      <c s="125">
        <f ca="1">-'Операционные затраты'!W702*IF($K$3&lt;W8,0,1)</f>
        <v>0</v>
      </c>
      <c s="125">
        <f ca="1">-'Операционные затраты'!X702*IF($K$3&lt;X8,0,1)</f>
        <v>0</v>
      </c>
      <c s="125">
        <f ca="1">-'Операционные затраты'!Y702*IF($K$3&lt;Y8,0,1)</f>
        <v>0</v>
      </c>
      <c s="125">
        <f ca="1">-'Операционные затраты'!Z702*IF($K$3&lt;Z8,0,1)</f>
        <v>0</v>
      </c>
      <c s="125">
        <f ca="1">-'Операционные затраты'!AA702*IF($K$3&lt;AA8,0,1)</f>
        <v>0</v>
      </c>
      <c s="125">
        <f ca="1">-'Операционные затраты'!AB702*IF($K$3&lt;AB8,0,1)</f>
        <v>0</v>
      </c>
      <c s="125">
        <f ca="1">-'Операционные затраты'!AC702*IF($K$3&lt;AC8,0,1)</f>
        <v>0</v>
      </c>
      <c s="125">
        <f ca="1">-'Операционные затраты'!AD702*IF($K$3&lt;AD8,0,1)</f>
        <v>0</v>
      </c>
      <c s="125">
        <f ca="1">-'Операционные затраты'!AE702*IF($K$3&lt;AE8,0,1)</f>
        <v>0</v>
      </c>
      <c s="125">
        <f ca="1">-'Операционные затраты'!AF702*IF($K$3&lt;AF8,0,1)</f>
        <v>0</v>
      </c>
      <c s="125">
        <f ca="1">-'Операционные затраты'!AG702*IF($K$3&lt;AG8,0,1)</f>
        <v>0</v>
      </c>
      <c s="125">
        <f ca="1">-'Операционные затраты'!AH702*IF($K$3&lt;AH8,0,1)</f>
        <v>0</v>
      </c>
      <c s="125">
        <f ca="1">-'Операционные затраты'!AI702*IF($K$3&lt;AI8,0,1)</f>
        <v>0</v>
      </c>
      <c s="125">
        <f ca="1">-'Операционные затраты'!AJ702*IF($K$3&lt;AJ8,0,1)</f>
        <v>0</v>
      </c>
      <c s="125">
        <f ca="1">-'Операционные затраты'!AK702*IF($K$3&lt;AK8,0,1)</f>
        <v>0</v>
      </c>
      <c s="125">
        <f ca="1">-'Операционные затраты'!AL702*IF($K$3&lt;AL8,0,1)</f>
        <v>0</v>
      </c>
      <c s="125">
        <f ca="1">-'Операционные затраты'!AM702*IF($K$3&lt;AM8,0,1)</f>
        <v>0</v>
      </c>
      <c s="125">
        <f ca="1">-'Операционные затраты'!AN702*IF($K$3&lt;AN8,0,1)</f>
        <v>0</v>
      </c>
      <c s="125">
        <f ca="1">-'Операционные затраты'!AO702*IF($K$3&lt;AO8,0,1)</f>
        <v>0</v>
      </c>
      <c s="125">
        <f ca="1">-'Операционные затраты'!AP702*IF($K$3&lt;AP8,0,1)</f>
        <v>0</v>
      </c>
      <c s="125">
        <f ca="1">-'Операционные затраты'!AQ702*IF($K$3&lt;AQ8,0,1)</f>
        <v>0</v>
      </c>
      <c s="125">
        <f ca="1">-'Операционные затраты'!AR702*IF($K$3&lt;AR8,0,1)</f>
        <v>0</v>
      </c>
      <c s="125">
        <f ca="1">-'Операционные затраты'!AS702*IF($K$3&lt;AS8,0,1)</f>
        <v>0</v>
      </c>
      <c s="125">
        <f ca="1">-'Операционные затраты'!AT702*IF($K$3&lt;AT8,0,1)</f>
        <v>0</v>
      </c>
      <c s="125">
        <f ca="1">-'Операционные затраты'!AU702*IF($K$3&lt;AU8,0,1)</f>
        <v>0</v>
      </c>
      <c s="125">
        <f ca="1">-'Операционные затраты'!AV702*IF($K$3&lt;AV8,0,1)</f>
        <v>0</v>
      </c>
      <c s="125">
        <f ca="1">-'Операционные затраты'!AW702*IF($K$3&lt;AW8,0,1)</f>
        <v>0</v>
      </c>
      <c s="125">
        <f ca="1">-'Операционные затраты'!AX702*IF($K$3&lt;AX8,0,1)</f>
        <v>0</v>
      </c>
      <c s="125">
        <f ca="1">-'Операционные затраты'!AY702*IF($K$3&lt;AY8,0,1)</f>
        <v>0</v>
      </c>
      <c s="125">
        <f ca="1">-'Операционные затраты'!AZ702*IF($K$3&lt;AZ8,0,1)</f>
        <v>0</v>
      </c>
      <c s="125">
        <f ca="1">-'Операционные затраты'!BA702*IF($K$3&lt;BA8,0,1)</f>
        <v>0</v>
      </c>
      <c s="125">
        <f ca="1">-'Операционные затраты'!BB702*IF($K$3&lt;BB8,0,1)</f>
        <v>0</v>
      </c>
      <c s="125">
        <f ca="1">-'Операционные затраты'!BC702*IF($K$3&lt;BC8,0,1)</f>
        <v>0</v>
      </c>
      <c s="125">
        <f ca="1">-'Операционные затраты'!BD702*IF($K$3&lt;BD8,0,1)</f>
        <v>0</v>
      </c>
      <c s="125">
        <f ca="1">-'Операционные затраты'!BE702*IF($K$3&lt;BE8,0,1)</f>
        <v>0</v>
      </c>
      <c s="125">
        <f ca="1">-'Операционные затраты'!BF702*IF($K$3&lt;BF8,0,1)</f>
        <v>0</v>
      </c>
      <c s="125">
        <f ca="1">-'Операционные затраты'!BG702*IF($K$3&lt;BG8,0,1)</f>
        <v>0</v>
      </c>
      <c s="125">
        <f ca="1">-'Операционные затраты'!BH702*IF($K$3&lt;BH8,0,1)</f>
        <v>0</v>
      </c>
      <c s="125">
        <f ca="1">-'Операционные затраты'!BI702*IF($K$3&lt;BI8,0,1)</f>
        <v>0</v>
      </c>
      <c s="125">
        <f ca="1">-'Операционные затраты'!BJ702*IF($K$3&lt;BJ8,0,1)</f>
        <v>0</v>
      </c>
      <c s="125">
        <f ca="1">-'Операционные затраты'!BK702*IF($K$3&lt;BK8,0,1)</f>
        <v>0</v>
      </c>
      <c s="125">
        <f ca="1">-'Операционные затраты'!BL702*IF($K$3&lt;BL8,0,1)</f>
        <v>0</v>
      </c>
      <c s="125">
        <f ca="1">-'Операционные затраты'!BM702*IF($K$3&lt;BM8,0,1)</f>
        <v>0</v>
      </c>
    </row>
    <row r="18" spans="2:65" ht="15" customHeight="1">
      <c r="B18" s="289" t="s">
        <v>973</v>
      </c>
      <c s="290" t="str">
        <f>Единица_измерения</f>
        <v>тыс. руб.</v>
      </c>
      <c s="276">
        <f t="shared" ca="1" si="36"/>
        <v>0</v>
      </c>
      <c s="276">
        <f>SUM(E16:E17)</f>
        <v>0</v>
      </c>
      <c s="276">
        <f ca="1" t="shared" si="37" ref="F18:AG18">SUM(F16:F17)</f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t="shared" ca="1" si="37"/>
        <v>0</v>
      </c>
      <c s="276">
        <f ca="1" t="shared" si="38" ref="AH18:BM18">SUM(AH16:AH17)</f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  <c s="276">
        <f t="shared" ca="1" si="38"/>
        <v>0</v>
      </c>
    </row>
    <row r="19" spans="2:65" ht="15" customHeight="1">
      <c r="B19" s="12" t="s">
        <v>974</v>
      </c>
      <c s="124" t="str">
        <f t="shared" si="39" ref="C19:C29">Единица_измерения</f>
        <v>тыс. руб.</v>
      </c>
      <c s="276">
        <f t="shared" ca="1" si="36"/>
        <v>0</v>
      </c>
      <c s="125">
        <f>-SUM('Операционные затраты'!E692,ФОТ!E350)*IF($K$3&lt;E8,0,1)</f>
        <v>0</v>
      </c>
      <c s="125">
        <f ca="1">-SUM('Операционные затраты'!F692,ФОТ!F350)*IF($K$3&lt;F8,0,1)</f>
        <v>0</v>
      </c>
      <c s="125">
        <f ca="1">-SUM('Операционные затраты'!G692,ФОТ!G350)*IF($K$3&lt;G8,0,1)</f>
        <v>0</v>
      </c>
      <c s="125">
        <f ca="1">-SUM('Операционные затраты'!H692,ФОТ!H350)*IF($K$3&lt;H8,0,1)</f>
        <v>0</v>
      </c>
      <c s="125">
        <f ca="1">-SUM('Операционные затраты'!I692,ФОТ!I350)*IF($K$3&lt;I8,0,1)</f>
        <v>0</v>
      </c>
      <c s="125">
        <f ca="1">-SUM('Операционные затраты'!J692,ФОТ!J350)*IF($K$3&lt;J8,0,1)</f>
        <v>0</v>
      </c>
      <c s="125">
        <f ca="1">-SUM('Операционные затраты'!K692,ФОТ!K350)*IF($K$3&lt;K8,0,1)</f>
        <v>0</v>
      </c>
      <c s="125">
        <f ca="1">-SUM('Операционные затраты'!L692,ФОТ!L350)*IF($K$3&lt;L8,0,1)</f>
        <v>0</v>
      </c>
      <c s="125">
        <f ca="1">-SUM('Операционные затраты'!M692,ФОТ!M350)*IF($K$3&lt;M8,0,1)</f>
        <v>0</v>
      </c>
      <c s="125">
        <f ca="1">-SUM('Операционные затраты'!N692,ФОТ!N350)*IF($K$3&lt;N8,0,1)</f>
        <v>0</v>
      </c>
      <c s="125">
        <f ca="1">-SUM('Операционные затраты'!O692,ФОТ!O350)*IF($K$3&lt;O8,0,1)</f>
        <v>0</v>
      </c>
      <c s="125">
        <f ca="1">-SUM('Операционные затраты'!P692,ФОТ!P350)*IF($K$3&lt;P8,0,1)</f>
        <v>0</v>
      </c>
      <c s="125">
        <f ca="1">-SUM('Операционные затраты'!Q692,ФОТ!Q350)*IF($K$3&lt;Q8,0,1)</f>
        <v>0</v>
      </c>
      <c s="125">
        <f ca="1">-SUM('Операционные затраты'!R692,ФОТ!R350)*IF($K$3&lt;R8,0,1)</f>
        <v>0</v>
      </c>
      <c s="125">
        <f ca="1">-SUM('Операционные затраты'!S692,ФОТ!S350)*IF($K$3&lt;S8,0,1)</f>
        <v>0</v>
      </c>
      <c s="125">
        <f ca="1">-SUM('Операционные затраты'!T692,ФОТ!T350)*IF($K$3&lt;T8,0,1)</f>
        <v>0</v>
      </c>
      <c s="125">
        <f ca="1">-SUM('Операционные затраты'!U692,ФОТ!U350)*IF($K$3&lt;U8,0,1)</f>
        <v>0</v>
      </c>
      <c s="125">
        <f ca="1">-SUM('Операционные затраты'!V692,ФОТ!V350)*IF($K$3&lt;V8,0,1)</f>
        <v>0</v>
      </c>
      <c s="125">
        <f ca="1">-SUM('Операционные затраты'!W692,ФОТ!W350)*IF($K$3&lt;W8,0,1)</f>
        <v>0</v>
      </c>
      <c s="125">
        <f ca="1">-SUM('Операционные затраты'!X692,ФОТ!X350)*IF($K$3&lt;X8,0,1)</f>
        <v>0</v>
      </c>
      <c s="125">
        <f ca="1">-SUM('Операционные затраты'!Y692,ФОТ!Y350)*IF($K$3&lt;Y8,0,1)</f>
        <v>0</v>
      </c>
      <c s="125">
        <f ca="1">-SUM('Операционные затраты'!Z692,ФОТ!Z350)*IF($K$3&lt;Z8,0,1)</f>
        <v>0</v>
      </c>
      <c s="125">
        <f ca="1">-SUM('Операционные затраты'!AA692,ФОТ!AA350)*IF($K$3&lt;AA8,0,1)</f>
        <v>0</v>
      </c>
      <c s="125">
        <f ca="1">-SUM('Операционные затраты'!AB692,ФОТ!AB350)*IF($K$3&lt;AB8,0,1)</f>
        <v>0</v>
      </c>
      <c s="125">
        <f ca="1">-SUM('Операционные затраты'!AC692,ФОТ!AC350)*IF($K$3&lt;AC8,0,1)</f>
        <v>0</v>
      </c>
      <c s="125">
        <f ca="1">-SUM('Операционные затраты'!AD692,ФОТ!AD350)*IF($K$3&lt;AD8,0,1)</f>
        <v>0</v>
      </c>
      <c s="125">
        <f ca="1">-SUM('Операционные затраты'!AE692,ФОТ!AE350)*IF($K$3&lt;AE8,0,1)</f>
        <v>0</v>
      </c>
      <c s="125">
        <f ca="1">-SUM('Операционные затраты'!AF692,ФОТ!AF350)*IF($K$3&lt;AF8,0,1)</f>
        <v>0</v>
      </c>
      <c s="125">
        <f ca="1">-SUM('Операционные затраты'!AG692,ФОТ!AG350)*IF($K$3&lt;AG8,0,1)</f>
        <v>0</v>
      </c>
      <c s="125">
        <f ca="1">-SUM('Операционные затраты'!AH692,ФОТ!AH350)*IF($K$3&lt;AH8,0,1)</f>
        <v>0</v>
      </c>
      <c s="125">
        <f ca="1">-SUM('Операционные затраты'!AI692,ФОТ!AI350)*IF($K$3&lt;AI8,0,1)</f>
        <v>0</v>
      </c>
      <c s="125">
        <f ca="1">-SUM('Операционные затраты'!AJ692,ФОТ!AJ350)*IF($K$3&lt;AJ8,0,1)</f>
        <v>0</v>
      </c>
      <c s="125">
        <f ca="1">-SUM('Операционные затраты'!AK692,ФОТ!AK350)*IF($K$3&lt;AK8,0,1)</f>
        <v>0</v>
      </c>
      <c s="125">
        <f ca="1">-SUM('Операционные затраты'!AL692,ФОТ!AL350)*IF($K$3&lt;AL8,0,1)</f>
        <v>0</v>
      </c>
      <c s="125">
        <f ca="1">-SUM('Операционные затраты'!AM692,ФОТ!AM350)*IF($K$3&lt;AM8,0,1)</f>
        <v>0</v>
      </c>
      <c s="125">
        <f ca="1">-SUM('Операционные затраты'!AN692,ФОТ!AN350)*IF($K$3&lt;AN8,0,1)</f>
        <v>0</v>
      </c>
      <c s="125">
        <f ca="1">-SUM('Операционные затраты'!AO692,ФОТ!AO350)*IF($K$3&lt;AO8,0,1)</f>
        <v>0</v>
      </c>
      <c s="125">
        <f ca="1">-SUM('Операционные затраты'!AP692,ФОТ!AP350)*IF($K$3&lt;AP8,0,1)</f>
        <v>0</v>
      </c>
      <c s="125">
        <f ca="1">-SUM('Операционные затраты'!AQ692,ФОТ!AQ350)*IF($K$3&lt;AQ8,0,1)</f>
        <v>0</v>
      </c>
      <c s="125">
        <f ca="1">-SUM('Операционные затраты'!AR692,ФОТ!AR350)*IF($K$3&lt;AR8,0,1)</f>
        <v>0</v>
      </c>
      <c s="125">
        <f ca="1">-SUM('Операционные затраты'!AS692,ФОТ!AS350)*IF($K$3&lt;AS8,0,1)</f>
        <v>0</v>
      </c>
      <c s="125">
        <f ca="1">-SUM('Операционные затраты'!AT692,ФОТ!AT350)*IF($K$3&lt;AT8,0,1)</f>
        <v>0</v>
      </c>
      <c s="125">
        <f ca="1">-SUM('Операционные затраты'!AU692,ФОТ!AU350)*IF($K$3&lt;AU8,0,1)</f>
        <v>0</v>
      </c>
      <c s="125">
        <f ca="1">-SUM('Операционные затраты'!AV692,ФОТ!AV350)*IF($K$3&lt;AV8,0,1)</f>
        <v>0</v>
      </c>
      <c s="125">
        <f ca="1">-SUM('Операционные затраты'!AW692,ФОТ!AW350)*IF($K$3&lt;AW8,0,1)</f>
        <v>0</v>
      </c>
      <c s="125">
        <f ca="1">-SUM('Операционные затраты'!AX692,ФОТ!AX350)*IF($K$3&lt;AX8,0,1)</f>
        <v>0</v>
      </c>
      <c s="125">
        <f ca="1">-SUM('Операционные затраты'!AY692,ФОТ!AY350)*IF($K$3&lt;AY8,0,1)</f>
        <v>0</v>
      </c>
      <c s="125">
        <f ca="1">-SUM('Операционные затраты'!AZ692,ФОТ!AZ350)*IF($K$3&lt;AZ8,0,1)</f>
        <v>0</v>
      </c>
      <c s="125">
        <f ca="1">-SUM('Операционные затраты'!BA692,ФОТ!BA350)*IF($K$3&lt;BA8,0,1)</f>
        <v>0</v>
      </c>
      <c s="125">
        <f ca="1">-SUM('Операционные затраты'!BB692,ФОТ!BB350)*IF($K$3&lt;BB8,0,1)</f>
        <v>0</v>
      </c>
      <c s="125">
        <f ca="1">-SUM('Операционные затраты'!BC692,ФОТ!BC350)*IF($K$3&lt;BC8,0,1)</f>
        <v>0</v>
      </c>
      <c s="125">
        <f ca="1">-SUM('Операционные затраты'!BD692,ФОТ!BD350)*IF($K$3&lt;BD8,0,1)</f>
        <v>0</v>
      </c>
      <c s="125">
        <f ca="1">-SUM('Операционные затраты'!BE692,ФОТ!BE350)*IF($K$3&lt;BE8,0,1)</f>
        <v>0</v>
      </c>
      <c s="125">
        <f ca="1">-SUM('Операционные затраты'!BF692,ФОТ!BF350)*IF($K$3&lt;BF8,0,1)</f>
        <v>0</v>
      </c>
      <c s="125">
        <f ca="1">-SUM('Операционные затраты'!BG692,ФОТ!BG350)*IF($K$3&lt;BG8,0,1)</f>
        <v>0</v>
      </c>
      <c s="125">
        <f ca="1">-SUM('Операционные затраты'!BH692,ФОТ!BH350)*IF($K$3&lt;BH8,0,1)</f>
        <v>0</v>
      </c>
      <c s="125">
        <f ca="1">-SUM('Операционные затраты'!BI692,ФОТ!BI350)*IF($K$3&lt;BI8,0,1)</f>
        <v>0</v>
      </c>
      <c s="125">
        <f ca="1">-SUM('Операционные затраты'!BJ692,ФОТ!BJ350)*IF($K$3&lt;BJ8,0,1)</f>
        <v>0</v>
      </c>
      <c s="125">
        <f ca="1">-SUM('Операционные затраты'!BK692,ФОТ!BK350)*IF($K$3&lt;BK8,0,1)</f>
        <v>0</v>
      </c>
      <c s="125">
        <f ca="1">-SUM('Операционные затраты'!BL692,ФОТ!BL350)*IF($K$3&lt;BL8,0,1)</f>
        <v>0</v>
      </c>
      <c s="125">
        <f ca="1">-SUM('Операционные затраты'!BM692,ФОТ!BM350)*IF($K$3&lt;BM8,0,1)</f>
        <v>0</v>
      </c>
    </row>
    <row r="20" spans="2:65" ht="15" customHeight="1">
      <c r="B20" s="12" t="s">
        <v>566</v>
      </c>
      <c s="124" t="str">
        <f t="shared" si="39"/>
        <v>тыс. руб.</v>
      </c>
      <c s="276">
        <f t="shared" ca="1" si="36"/>
        <v>0</v>
      </c>
      <c s="125">
        <f>-SUM('Операционные затраты'!E693,ФОТ!E351)*IF($K$3&lt;E8,0,1)</f>
        <v>0</v>
      </c>
      <c s="125">
        <f ca="1">-SUM('Операционные затраты'!F693,ФОТ!F351)*IF($K$3&lt;F8,0,1)</f>
        <v>0</v>
      </c>
      <c s="125">
        <f ca="1">-SUM('Операционные затраты'!G693,ФОТ!G351)*IF($K$3&lt;G8,0,1)</f>
        <v>0</v>
      </c>
      <c s="125">
        <f ca="1">-SUM('Операционные затраты'!H693,ФОТ!H351)*IF($K$3&lt;H8,0,1)</f>
        <v>0</v>
      </c>
      <c s="125">
        <f ca="1">-SUM('Операционные затраты'!I693,ФОТ!I351)*IF($K$3&lt;I8,0,1)</f>
        <v>0</v>
      </c>
      <c s="125">
        <f ca="1">-SUM('Операционные затраты'!J693,ФОТ!J351)*IF($K$3&lt;J8,0,1)</f>
        <v>0</v>
      </c>
      <c s="125">
        <f ca="1">-SUM('Операционные затраты'!K693,ФОТ!K351)*IF($K$3&lt;K8,0,1)</f>
        <v>0</v>
      </c>
      <c s="125">
        <f ca="1">-SUM('Операционные затраты'!L693,ФОТ!L351)*IF($K$3&lt;L8,0,1)</f>
        <v>0</v>
      </c>
      <c s="125">
        <f ca="1">-SUM('Операционные затраты'!M693,ФОТ!M351)*IF($K$3&lt;M8,0,1)</f>
        <v>0</v>
      </c>
      <c s="125">
        <f ca="1">-SUM('Операционные затраты'!N693,ФОТ!N351)*IF($K$3&lt;N8,0,1)</f>
        <v>0</v>
      </c>
      <c s="125">
        <f ca="1">-SUM('Операционные затраты'!O693,ФОТ!O351)*IF($K$3&lt;O8,0,1)</f>
        <v>0</v>
      </c>
      <c s="125">
        <f ca="1">-SUM('Операционные затраты'!P693,ФОТ!P351)*IF($K$3&lt;P8,0,1)</f>
        <v>0</v>
      </c>
      <c s="125">
        <f ca="1">-SUM('Операционные затраты'!Q693,ФОТ!Q351)*IF($K$3&lt;Q8,0,1)</f>
        <v>0</v>
      </c>
      <c s="125">
        <f ca="1">-SUM('Операционные затраты'!R693,ФОТ!R351)*IF($K$3&lt;R8,0,1)</f>
        <v>0</v>
      </c>
      <c s="125">
        <f ca="1">-SUM('Операционные затраты'!S693,ФОТ!S351)*IF($K$3&lt;S8,0,1)</f>
        <v>0</v>
      </c>
      <c s="125">
        <f ca="1">-SUM('Операционные затраты'!T693,ФОТ!T351)*IF($K$3&lt;T8,0,1)</f>
        <v>0</v>
      </c>
      <c s="125">
        <f ca="1">-SUM('Операционные затраты'!U693,ФОТ!U351)*IF($K$3&lt;U8,0,1)</f>
        <v>0</v>
      </c>
      <c s="125">
        <f ca="1">-SUM('Операционные затраты'!V693,ФОТ!V351)*IF($K$3&lt;V8,0,1)</f>
        <v>0</v>
      </c>
      <c s="125">
        <f ca="1">-SUM('Операционные затраты'!W693,ФОТ!W351)*IF($K$3&lt;W8,0,1)</f>
        <v>0</v>
      </c>
      <c s="125">
        <f ca="1">-SUM('Операционные затраты'!X693,ФОТ!X351)*IF($K$3&lt;X8,0,1)</f>
        <v>0</v>
      </c>
      <c s="125">
        <f ca="1">-SUM('Операционные затраты'!Y693,ФОТ!Y351)*IF($K$3&lt;Y8,0,1)</f>
        <v>0</v>
      </c>
      <c s="125">
        <f ca="1">-SUM('Операционные затраты'!Z693,ФОТ!Z351)*IF($K$3&lt;Z8,0,1)</f>
        <v>0</v>
      </c>
      <c s="125">
        <f ca="1">-SUM('Операционные затраты'!AA693,ФОТ!AA351)*IF($K$3&lt;AA8,0,1)</f>
        <v>0</v>
      </c>
      <c s="125">
        <f ca="1">-SUM('Операционные затраты'!AB693,ФОТ!AB351)*IF($K$3&lt;AB8,0,1)</f>
        <v>0</v>
      </c>
      <c s="125">
        <f ca="1">-SUM('Операционные затраты'!AC693,ФОТ!AC351)*IF($K$3&lt;AC8,0,1)</f>
        <v>0</v>
      </c>
      <c s="125">
        <f ca="1">-SUM('Операционные затраты'!AD693,ФОТ!AD351)*IF($K$3&lt;AD8,0,1)</f>
        <v>0</v>
      </c>
      <c s="125">
        <f ca="1">-SUM('Операционные затраты'!AE693,ФОТ!AE351)*IF($K$3&lt;AE8,0,1)</f>
        <v>0</v>
      </c>
      <c s="125">
        <f ca="1">-SUM('Операционные затраты'!AF693,ФОТ!AF351)*IF($K$3&lt;AF8,0,1)</f>
        <v>0</v>
      </c>
      <c s="125">
        <f ca="1">-SUM('Операционные затраты'!AG693,ФОТ!AG351)*IF($K$3&lt;AG8,0,1)</f>
        <v>0</v>
      </c>
      <c s="125">
        <f ca="1">-SUM('Операционные затраты'!AH693,ФОТ!AH351)*IF($K$3&lt;AH8,0,1)</f>
        <v>0</v>
      </c>
      <c s="125">
        <f ca="1">-SUM('Операционные затраты'!AI693,ФОТ!AI351)*IF($K$3&lt;AI8,0,1)</f>
        <v>0</v>
      </c>
      <c s="125">
        <f ca="1">-SUM('Операционные затраты'!AJ693,ФОТ!AJ351)*IF($K$3&lt;AJ8,0,1)</f>
        <v>0</v>
      </c>
      <c s="125">
        <f ca="1">-SUM('Операционные затраты'!AK693,ФОТ!AK351)*IF($K$3&lt;AK8,0,1)</f>
        <v>0</v>
      </c>
      <c s="125">
        <f ca="1">-SUM('Операционные затраты'!AL693,ФОТ!AL351)*IF($K$3&lt;AL8,0,1)</f>
        <v>0</v>
      </c>
      <c s="125">
        <f ca="1">-SUM('Операционные затраты'!AM693,ФОТ!AM351)*IF($K$3&lt;AM8,0,1)</f>
        <v>0</v>
      </c>
      <c s="125">
        <f ca="1">-SUM('Операционные затраты'!AN693,ФОТ!AN351)*IF($K$3&lt;AN8,0,1)</f>
        <v>0</v>
      </c>
      <c s="125">
        <f ca="1">-SUM('Операционные затраты'!AO693,ФОТ!AO351)*IF($K$3&lt;AO8,0,1)</f>
        <v>0</v>
      </c>
      <c s="125">
        <f ca="1">-SUM('Операционные затраты'!AP693,ФОТ!AP351)*IF($K$3&lt;AP8,0,1)</f>
        <v>0</v>
      </c>
      <c s="125">
        <f ca="1">-SUM('Операционные затраты'!AQ693,ФОТ!AQ351)*IF($K$3&lt;AQ8,0,1)</f>
        <v>0</v>
      </c>
      <c s="125">
        <f ca="1">-SUM('Операционные затраты'!AR693,ФОТ!AR351)*IF($K$3&lt;AR8,0,1)</f>
        <v>0</v>
      </c>
      <c s="125">
        <f ca="1">-SUM('Операционные затраты'!AS693,ФОТ!AS351)*IF($K$3&lt;AS8,0,1)</f>
        <v>0</v>
      </c>
      <c s="125">
        <f ca="1">-SUM('Операционные затраты'!AT693,ФОТ!AT351)*IF($K$3&lt;AT8,0,1)</f>
        <v>0</v>
      </c>
      <c s="125">
        <f ca="1">-SUM('Операционные затраты'!AU693,ФОТ!AU351)*IF($K$3&lt;AU8,0,1)</f>
        <v>0</v>
      </c>
      <c s="125">
        <f ca="1">-SUM('Операционные затраты'!AV693,ФОТ!AV351)*IF($K$3&lt;AV8,0,1)</f>
        <v>0</v>
      </c>
      <c s="125">
        <f ca="1">-SUM('Операционные затраты'!AW693,ФОТ!AW351)*IF($K$3&lt;AW8,0,1)</f>
        <v>0</v>
      </c>
      <c s="125">
        <f ca="1">-SUM('Операционные затраты'!AX693,ФОТ!AX351)*IF($K$3&lt;AX8,0,1)</f>
        <v>0</v>
      </c>
      <c s="125">
        <f ca="1">-SUM('Операционные затраты'!AY693,ФОТ!AY351)*IF($K$3&lt;AY8,0,1)</f>
        <v>0</v>
      </c>
      <c s="125">
        <f ca="1">-SUM('Операционные затраты'!AZ693,ФОТ!AZ351)*IF($K$3&lt;AZ8,0,1)</f>
        <v>0</v>
      </c>
      <c s="125">
        <f ca="1">-SUM('Операционные затраты'!BA693,ФОТ!BA351)*IF($K$3&lt;BA8,0,1)</f>
        <v>0</v>
      </c>
      <c s="125">
        <f ca="1">-SUM('Операционные затраты'!BB693,ФОТ!BB351)*IF($K$3&lt;BB8,0,1)</f>
        <v>0</v>
      </c>
      <c s="125">
        <f ca="1">-SUM('Операционные затраты'!BC693,ФОТ!BC351)*IF($K$3&lt;BC8,0,1)</f>
        <v>0</v>
      </c>
      <c s="125">
        <f ca="1">-SUM('Операционные затраты'!BD693,ФОТ!BD351)*IF($K$3&lt;BD8,0,1)</f>
        <v>0</v>
      </c>
      <c s="125">
        <f ca="1">-SUM('Операционные затраты'!BE693,ФОТ!BE351)*IF($K$3&lt;BE8,0,1)</f>
        <v>0</v>
      </c>
      <c s="125">
        <f ca="1">-SUM('Операционные затраты'!BF693,ФОТ!BF351)*IF($K$3&lt;BF8,0,1)</f>
        <v>0</v>
      </c>
      <c s="125">
        <f ca="1">-SUM('Операционные затраты'!BG693,ФОТ!BG351)*IF($K$3&lt;BG8,0,1)</f>
        <v>0</v>
      </c>
      <c s="125">
        <f ca="1">-SUM('Операционные затраты'!BH693,ФОТ!BH351)*IF($K$3&lt;BH8,0,1)</f>
        <v>0</v>
      </c>
      <c s="125">
        <f ca="1">-SUM('Операционные затраты'!BI693,ФОТ!BI351)*IF($K$3&lt;BI8,0,1)</f>
        <v>0</v>
      </c>
      <c s="125">
        <f ca="1">-SUM('Операционные затраты'!BJ693,ФОТ!BJ351)*IF($K$3&lt;BJ8,0,1)</f>
        <v>0</v>
      </c>
      <c s="125">
        <f ca="1">-SUM('Операционные затраты'!BK693,ФОТ!BK351)*IF($K$3&lt;BK8,0,1)</f>
        <v>0</v>
      </c>
      <c s="125">
        <f ca="1">-SUM('Операционные затраты'!BL693,ФОТ!BL351)*IF($K$3&lt;BL8,0,1)</f>
        <v>0</v>
      </c>
      <c s="125">
        <f ca="1">-SUM('Операционные затраты'!BM693,ФОТ!BM351)*IF($K$3&lt;BM8,0,1)</f>
        <v>0</v>
      </c>
    </row>
    <row r="21" spans="2:65" ht="15" customHeight="1">
      <c r="B21" s="289" t="s">
        <v>975</v>
      </c>
      <c s="290" t="str">
        <f t="shared" si="39"/>
        <v>тыс. руб.</v>
      </c>
      <c s="276">
        <f t="shared" ca="1" si="36"/>
        <v>0</v>
      </c>
      <c s="276">
        <f>SUM(E18:E20)</f>
        <v>0</v>
      </c>
      <c s="276">
        <f ca="1" t="shared" si="40" ref="F21:AG21">SUM(F18:F20)</f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t="shared" ca="1" si="40"/>
        <v>0</v>
      </c>
      <c s="276">
        <f ca="1" t="shared" si="41" ref="AH21:BM21">SUM(AH18:AH20)</f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  <c s="276">
        <f t="shared" ca="1" si="41"/>
        <v>0</v>
      </c>
    </row>
    <row r="22" spans="2:65" ht="15" customHeight="1">
      <c r="B22" s="12" t="s">
        <v>568</v>
      </c>
      <c s="124" t="str">
        <f t="shared" si="39"/>
        <v>тыс. руб.</v>
      </c>
      <c s="276">
        <f t="shared" ca="1" si="36"/>
        <v>0</v>
      </c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</row>
    <row r="23" spans="2:65" ht="15" customHeight="1">
      <c r="B23" s="12" t="s">
        <v>277</v>
      </c>
      <c s="124" t="str">
        <f t="shared" si="39"/>
        <v>тыс. руб.</v>
      </c>
      <c s="276">
        <f t="shared" ca="1" si="36"/>
        <v>0</v>
      </c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</row>
    <row r="24" spans="2:65" ht="15" customHeight="1">
      <c r="B24" s="12" t="s">
        <v>569</v>
      </c>
      <c s="124" t="str">
        <f t="shared" si="39"/>
        <v>тыс. руб.</v>
      </c>
      <c s="276">
        <f t="shared" ca="1" si="36"/>
        <v>0</v>
      </c>
      <c s="125">
        <f>-SUM(Финансирование!E21,Финансирование!E36,Финансирование!E51)*IF($K$3&lt;E8,0,1)</f>
        <v>0</v>
      </c>
      <c s="125">
        <f>-SUM(Финансирование!F21,Финансирование!F36,Финансирование!F51)*IF($K$3&lt;F8,0,1)</f>
        <v>0</v>
      </c>
      <c s="125">
        <f>-SUM(Финансирование!G21,Финансирование!G36,Финансирование!G51)*IF($K$3&lt;G8,0,1)</f>
        <v>0</v>
      </c>
      <c s="125">
        <f>-SUM(Финансирование!H21,Финансирование!H36,Финансирование!H51)*IF($K$3&lt;H8,0,1)</f>
        <v>0</v>
      </c>
      <c s="125">
        <f>-SUM(Финансирование!I21,Финансирование!I36,Финансирование!I51)*IF($K$3&lt;I8,0,1)</f>
        <v>0</v>
      </c>
      <c s="125">
        <f>-SUM(Финансирование!J21,Финансирование!J36,Финансирование!J51)*IF($K$3&lt;J8,0,1)</f>
        <v>0</v>
      </c>
      <c s="125">
        <f>-SUM(Финансирование!K21,Финансирование!K36,Финансирование!K51)*IF($K$3&lt;K8,0,1)</f>
        <v>0</v>
      </c>
      <c s="125">
        <f>-SUM(Финансирование!L21,Финансирование!L36,Финансирование!L51)*IF($K$3&lt;L8,0,1)</f>
        <v>0</v>
      </c>
      <c s="125">
        <f>-SUM(Финансирование!M21,Финансирование!M36,Финансирование!M51)*IF($K$3&lt;M8,0,1)</f>
        <v>0</v>
      </c>
      <c s="125">
        <f>-SUM(Финансирование!N21,Финансирование!N36,Финансирование!N51)*IF($K$3&lt;N8,0,1)</f>
        <v>0</v>
      </c>
      <c s="125">
        <f>-SUM(Финансирование!O21,Финансирование!O36,Финансирование!O51)*IF($K$3&lt;O8,0,1)</f>
        <v>0</v>
      </c>
      <c s="125">
        <f>-SUM(Финансирование!P21,Финансирование!P36,Финансирование!P51)*IF($K$3&lt;P8,0,1)</f>
        <v>0</v>
      </c>
      <c s="125">
        <f>-SUM(Финансирование!Q21,Финансирование!Q36,Финансирование!Q51)*IF($K$3&lt;Q8,0,1)</f>
        <v>0</v>
      </c>
      <c s="125">
        <f>-SUM(Финансирование!R21,Финансирование!R36,Финансирование!R51)*IF($K$3&lt;R8,0,1)</f>
        <v>0</v>
      </c>
      <c s="125">
        <f>-SUM(Финансирование!S21,Финансирование!S36,Финансирование!S51)*IF($K$3&lt;S8,0,1)</f>
        <v>0</v>
      </c>
      <c s="125">
        <f>-SUM(Финансирование!T21,Финансирование!T36,Финансирование!T51)*IF($K$3&lt;T8,0,1)</f>
        <v>0</v>
      </c>
      <c s="125">
        <f>-SUM(Финансирование!U21,Финансирование!U36,Финансирование!U51)*IF($K$3&lt;U8,0,1)</f>
        <v>0</v>
      </c>
      <c s="125">
        <f>-SUM(Финансирование!V21,Финансирование!V36,Финансирование!V51)*IF($K$3&lt;V8,0,1)</f>
        <v>0</v>
      </c>
      <c s="125">
        <f>-SUM(Финансирование!W21,Финансирование!W36,Финансирование!W51)*IF($K$3&lt;W8,0,1)</f>
        <v>0</v>
      </c>
      <c s="125">
        <f>-SUM(Финансирование!X21,Финансирование!X36,Финансирование!X51)*IF($K$3&lt;X8,0,1)</f>
        <v>0</v>
      </c>
      <c s="125">
        <f>-SUM(Финансирование!Y21,Финансирование!Y36,Финансирование!Y51)*IF($K$3&lt;Y8,0,1)</f>
        <v>0</v>
      </c>
      <c s="125">
        <f>-SUM(Финансирование!Z21,Финансирование!Z36,Финансирование!Z51)*IF($K$3&lt;Z8,0,1)</f>
        <v>0</v>
      </c>
      <c s="125">
        <f>-SUM(Финансирование!AA21,Финансирование!AA36,Финансирование!AA51)*IF($K$3&lt;AA8,0,1)</f>
        <v>0</v>
      </c>
      <c s="125">
        <f>-SUM(Финансирование!AB21,Финансирование!AB36,Финансирование!AB51)*IF($K$3&lt;AB8,0,1)</f>
        <v>0</v>
      </c>
      <c s="125">
        <f>-SUM(Финансирование!AC21,Финансирование!AC36,Финансирование!AC51)*IF($K$3&lt;AC8,0,1)</f>
        <v>0</v>
      </c>
      <c s="125">
        <f>-SUM(Финансирование!AD21,Финансирование!AD36,Финансирование!AD51)*IF($K$3&lt;AD8,0,1)</f>
        <v>0</v>
      </c>
      <c s="125">
        <f>-SUM(Финансирование!AE21,Финансирование!AE36,Финансирование!AE51)*IF($K$3&lt;AE8,0,1)</f>
        <v>0</v>
      </c>
      <c s="125">
        <f>-SUM(Финансирование!AF21,Финансирование!AF36,Финансирование!AF51)*IF($K$3&lt;AF8,0,1)</f>
        <v>0</v>
      </c>
      <c s="125">
        <f>-SUM(Финансирование!AG21,Финансирование!AG36,Финансирование!AG51)*IF($K$3&lt;AG8,0,1)</f>
        <v>0</v>
      </c>
      <c s="125">
        <f>-SUM(Финансирование!AH21,Финансирование!AH36,Финансирование!AH51)*IF($K$3&lt;AH8,0,1)</f>
        <v>0</v>
      </c>
      <c s="125">
        <f>-SUM(Финансирование!AI21,Финансирование!AI36,Финансирование!AI51)*IF($K$3&lt;AI8,0,1)</f>
        <v>0</v>
      </c>
      <c s="125">
        <f>-SUM(Финансирование!AJ21,Финансирование!AJ36,Финансирование!AJ51)*IF($K$3&lt;AJ8,0,1)</f>
        <v>0</v>
      </c>
      <c s="125">
        <f>-SUM(Финансирование!AK21,Финансирование!AK36,Финансирование!AK51)*IF($K$3&lt;AK8,0,1)</f>
        <v>0</v>
      </c>
      <c s="125">
        <f>-SUM(Финансирование!AL21,Финансирование!AL36,Финансирование!AL51)*IF($K$3&lt;AL8,0,1)</f>
        <v>0</v>
      </c>
      <c s="125">
        <f>-SUM(Финансирование!AM21,Финансирование!AM36,Финансирование!AM51)*IF($K$3&lt;AM8,0,1)</f>
        <v>0</v>
      </c>
      <c s="125">
        <f>-SUM(Финансирование!AN21,Финансирование!AN36,Финансирование!AN51)*IF($K$3&lt;AN8,0,1)</f>
        <v>0</v>
      </c>
      <c s="125">
        <f>-SUM(Финансирование!AO21,Финансирование!AO36,Финансирование!AO51)*IF($K$3&lt;AO8,0,1)</f>
        <v>0</v>
      </c>
      <c s="125">
        <f>-SUM(Финансирование!AP21,Финансирование!AP36,Финансирование!AP51)*IF($K$3&lt;AP8,0,1)</f>
        <v>0</v>
      </c>
      <c s="125">
        <f>-SUM(Финансирование!AQ21,Финансирование!AQ36,Финансирование!AQ51)*IF($K$3&lt;AQ8,0,1)</f>
        <v>0</v>
      </c>
      <c s="125">
        <f>-SUM(Финансирование!AR21,Финансирование!AR36,Финансирование!AR51)*IF($K$3&lt;AR8,0,1)</f>
        <v>0</v>
      </c>
      <c s="125">
        <f>-SUM(Финансирование!AS21,Финансирование!AS36,Финансирование!AS51)*IF($K$3&lt;AS8,0,1)</f>
        <v>0</v>
      </c>
      <c s="125">
        <f>-SUM(Финансирование!AT21,Финансирование!AT36,Финансирование!AT51)*IF($K$3&lt;AT8,0,1)</f>
        <v>0</v>
      </c>
      <c s="125">
        <f>-SUM(Финансирование!AU21,Финансирование!AU36,Финансирование!AU51)*IF($K$3&lt;AU8,0,1)</f>
        <v>0</v>
      </c>
      <c s="125">
        <f>-SUM(Финансирование!AV21,Финансирование!AV36,Финансирование!AV51)*IF($K$3&lt;AV8,0,1)</f>
        <v>0</v>
      </c>
      <c s="125">
        <f>-SUM(Финансирование!AW21,Финансирование!AW36,Финансирование!AW51)*IF($K$3&lt;AW8,0,1)</f>
        <v>0</v>
      </c>
      <c s="125">
        <f>-SUM(Финансирование!AX21,Финансирование!AX36,Финансирование!AX51)*IF($K$3&lt;AX8,0,1)</f>
        <v>0</v>
      </c>
      <c s="125">
        <f>-SUM(Финансирование!AY21,Финансирование!AY36,Финансирование!AY51)*IF($K$3&lt;AY8,0,1)</f>
        <v>0</v>
      </c>
      <c s="125">
        <f>-SUM(Финансирование!AZ21,Финансирование!AZ36,Финансирование!AZ51)*IF($K$3&lt;AZ8,0,1)</f>
        <v>0</v>
      </c>
      <c s="125">
        <f>-SUM(Финансирование!BA21,Финансирование!BA36,Финансирование!BA51)*IF($K$3&lt;BA8,0,1)</f>
        <v>0</v>
      </c>
      <c s="125">
        <f>-SUM(Финансирование!BB21,Финансирование!BB36,Финансирование!BB51)*IF($K$3&lt;BB8,0,1)</f>
        <v>0</v>
      </c>
      <c s="125">
        <f>-SUM(Финансирование!BC21,Финансирование!BC36,Финансирование!BC51)*IF($K$3&lt;BC8,0,1)</f>
        <v>0</v>
      </c>
      <c s="125">
        <f>-SUM(Финансирование!BD21,Финансирование!BD36,Финансирование!BD51)*IF($K$3&lt;BD8,0,1)</f>
        <v>0</v>
      </c>
      <c s="125">
        <f>-SUM(Финансирование!BE21,Финансирование!BE36,Финансирование!BE51)*IF($K$3&lt;BE8,0,1)</f>
        <v>0</v>
      </c>
      <c s="125">
        <f>-SUM(Финансирование!BF21,Финансирование!BF36,Финансирование!BF51)*IF($K$3&lt;BF8,0,1)</f>
        <v>0</v>
      </c>
      <c s="125">
        <f>-SUM(Финансирование!BG21,Финансирование!BG36,Финансирование!BG51)*IF($K$3&lt;BG8,0,1)</f>
        <v>0</v>
      </c>
      <c s="125">
        <f>-SUM(Финансирование!BH21,Финансирование!BH36,Финансирование!BH51)*IF($K$3&lt;BH8,0,1)</f>
        <v>0</v>
      </c>
      <c s="125">
        <f>-SUM(Финансирование!BI21,Финансирование!BI36,Финансирование!BI51)*IF($K$3&lt;BI8,0,1)</f>
        <v>0</v>
      </c>
      <c s="125">
        <f>-SUM(Финансирование!BJ21,Финансирование!BJ36,Финансирование!BJ51)*IF($K$3&lt;BJ8,0,1)</f>
        <v>0</v>
      </c>
      <c s="125">
        <f>-SUM(Финансирование!BK21,Финансирование!BK36,Финансирование!BK51)*IF($K$3&lt;BK8,0,1)</f>
        <v>0</v>
      </c>
      <c s="125">
        <f>-SUM(Финансирование!BL21,Финансирование!BL36,Финансирование!BL51)*IF($K$3&lt;BL8,0,1)</f>
        <v>0</v>
      </c>
      <c s="125">
        <f>-SUM(Финансирование!BM21,Финансирование!BM36,Финансирование!BM51)*IF($K$3&lt;BM8,0,1)</f>
        <v>0</v>
      </c>
    </row>
    <row r="25" spans="2:65" ht="15" customHeight="1">
      <c r="B25" s="12" t="s">
        <v>570</v>
      </c>
      <c s="124" t="str">
        <f t="shared" si="39"/>
        <v>тыс. руб.</v>
      </c>
      <c s="276">
        <f t="shared" ca="1" si="36"/>
        <v>0</v>
      </c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  <c s="125"/>
    </row>
    <row r="26" spans="2:65" ht="15" customHeight="1">
      <c r="B26" s="12" t="s">
        <v>976</v>
      </c>
      <c s="124" t="str">
        <f t="shared" si="39"/>
        <v>тыс. руб.</v>
      </c>
      <c s="276">
        <f t="shared" ca="1" si="36"/>
        <v>0</v>
      </c>
      <c s="125">
        <f>-Налоги!E85*IF($K$3&lt;E8,0,1)</f>
        <v>0</v>
      </c>
      <c s="125">
        <f>-Налоги!F85*IF($K$3&lt;F8,0,1)</f>
        <v>0</v>
      </c>
      <c s="125">
        <f>-Налоги!G85*IF($K$3&lt;G8,0,1)</f>
        <v>0</v>
      </c>
      <c s="125">
        <f>-Налоги!H85*IF($K$3&lt;H8,0,1)</f>
        <v>0</v>
      </c>
      <c s="125">
        <f>-Налоги!I85*IF($K$3&lt;I8,0,1)</f>
        <v>0</v>
      </c>
      <c s="125">
        <f>-Налоги!J85*IF($K$3&lt;J8,0,1)</f>
        <v>0</v>
      </c>
      <c s="125">
        <f>-Налоги!K85*IF($K$3&lt;K8,0,1)</f>
        <v>0</v>
      </c>
      <c s="125">
        <f>-Налоги!L85*IF($K$3&lt;L8,0,1)</f>
        <v>0</v>
      </c>
      <c s="125">
        <f>-Налоги!M85*IF($K$3&lt;M8,0,1)</f>
        <v>0</v>
      </c>
      <c s="125">
        <f>-Налоги!N85*IF($K$3&lt;N8,0,1)</f>
        <v>0</v>
      </c>
      <c s="125">
        <f>-Налоги!O85*IF($K$3&lt;O8,0,1)</f>
        <v>0</v>
      </c>
      <c s="125">
        <f>-Налоги!P85*IF($K$3&lt;P8,0,1)</f>
        <v>0</v>
      </c>
      <c s="125">
        <f>-Налоги!Q85*IF($K$3&lt;Q8,0,1)</f>
        <v>0</v>
      </c>
      <c s="125">
        <f>-Налоги!R85*IF($K$3&lt;R8,0,1)</f>
        <v>0</v>
      </c>
      <c s="125">
        <f>-Налоги!S85*IF($K$3&lt;S8,0,1)</f>
        <v>0</v>
      </c>
      <c s="125">
        <f>-Налоги!T85*IF($K$3&lt;T8,0,1)</f>
        <v>0</v>
      </c>
      <c s="125">
        <f>-Налоги!U85*IF($K$3&lt;U8,0,1)</f>
        <v>0</v>
      </c>
      <c s="125">
        <f>-Налоги!V85*IF($K$3&lt;V8,0,1)</f>
        <v>0</v>
      </c>
      <c s="125">
        <f>-Налоги!W85*IF($K$3&lt;W8,0,1)</f>
        <v>0</v>
      </c>
      <c s="125">
        <f>-Налоги!X85*IF($K$3&lt;X8,0,1)</f>
        <v>0</v>
      </c>
      <c s="125">
        <f>-Налоги!Y85*IF($K$3&lt;Y8,0,1)</f>
        <v>0</v>
      </c>
      <c s="125">
        <f>-Налоги!Z85*IF($K$3&lt;Z8,0,1)</f>
        <v>0</v>
      </c>
      <c s="125">
        <f>-Налоги!AA85*IF($K$3&lt;AA8,0,1)</f>
        <v>0</v>
      </c>
      <c s="125">
        <f>-Налоги!AB85*IF($K$3&lt;AB8,0,1)</f>
        <v>0</v>
      </c>
      <c s="125">
        <f>-Налоги!AC85*IF($K$3&lt;AC8,0,1)</f>
        <v>0</v>
      </c>
      <c s="125">
        <f>-Налоги!AD85*IF($K$3&lt;AD8,0,1)</f>
        <v>0</v>
      </c>
      <c s="125">
        <f>-Налоги!AE85*IF($K$3&lt;AE8,0,1)</f>
        <v>0</v>
      </c>
      <c s="125">
        <f>-Налоги!AF85*IF($K$3&lt;AF8,0,1)</f>
        <v>0</v>
      </c>
      <c s="125">
        <f>-Налоги!AG85*IF($K$3&lt;AG8,0,1)</f>
        <v>0</v>
      </c>
      <c s="125">
        <f>-Налоги!AH85*IF($K$3&lt;AH8,0,1)</f>
        <v>0</v>
      </c>
      <c s="125">
        <f>-Налоги!AI85*IF($K$3&lt;AI8,0,1)</f>
        <v>0</v>
      </c>
      <c s="125">
        <f>-Налоги!AJ85*IF($K$3&lt;AJ8,0,1)</f>
        <v>0</v>
      </c>
      <c s="125">
        <f>-Налоги!AK85*IF($K$3&lt;AK8,0,1)</f>
        <v>0</v>
      </c>
      <c s="125">
        <f>-Налоги!AL85*IF($K$3&lt;AL8,0,1)</f>
        <v>0</v>
      </c>
      <c s="125">
        <f>-Налоги!AM85*IF($K$3&lt;AM8,0,1)</f>
        <v>0</v>
      </c>
      <c s="125">
        <f>-Налоги!AN85*IF($K$3&lt;AN8,0,1)</f>
        <v>0</v>
      </c>
      <c s="125">
        <f>-Налоги!AO85*IF($K$3&lt;AO8,0,1)</f>
        <v>0</v>
      </c>
      <c s="125">
        <f>-Налоги!AP85*IF($K$3&lt;AP8,0,1)</f>
        <v>0</v>
      </c>
      <c s="125">
        <f>-Налоги!AQ85*IF($K$3&lt;AQ8,0,1)</f>
        <v>0</v>
      </c>
      <c s="125">
        <f>-Налоги!AR85*IF($K$3&lt;AR8,0,1)</f>
        <v>0</v>
      </c>
      <c s="125">
        <f>-Налоги!AS85*IF($K$3&lt;AS8,0,1)</f>
        <v>0</v>
      </c>
      <c s="125">
        <f>-Налоги!AT85*IF($K$3&lt;AT8,0,1)</f>
        <v>0</v>
      </c>
      <c s="125">
        <f>-Налоги!AU85*IF($K$3&lt;AU8,0,1)</f>
        <v>0</v>
      </c>
      <c s="125">
        <f>-Налоги!AV85*IF($K$3&lt;AV8,0,1)</f>
        <v>0</v>
      </c>
      <c s="125">
        <f>-Налоги!AW85*IF($K$3&lt;AW8,0,1)</f>
        <v>0</v>
      </c>
      <c s="125">
        <f>-Налоги!AX85*IF($K$3&lt;AX8,0,1)</f>
        <v>0</v>
      </c>
      <c s="125">
        <f>-Налоги!AY85*IF($K$3&lt;AY8,0,1)</f>
        <v>0</v>
      </c>
      <c s="125">
        <f>-Налоги!AZ85*IF($K$3&lt;AZ8,0,1)</f>
        <v>0</v>
      </c>
      <c s="125">
        <f>-Налоги!BA85*IF($K$3&lt;BA8,0,1)</f>
        <v>0</v>
      </c>
      <c s="125">
        <f>-Налоги!BB85*IF($K$3&lt;BB8,0,1)</f>
        <v>0</v>
      </c>
      <c s="125">
        <f>-Налоги!BC85*IF($K$3&lt;BC8,0,1)</f>
        <v>0</v>
      </c>
      <c s="125">
        <f>-Налоги!BD85*IF($K$3&lt;BD8,0,1)</f>
        <v>0</v>
      </c>
      <c s="125">
        <f>-Налоги!BE85*IF($K$3&lt;BE8,0,1)</f>
        <v>0</v>
      </c>
      <c s="125">
        <f>-Налоги!BF85*IF($K$3&lt;BF8,0,1)</f>
        <v>0</v>
      </c>
      <c s="125">
        <f>-Налоги!BG85*IF($K$3&lt;BG8,0,1)</f>
        <v>0</v>
      </c>
      <c s="125">
        <f>-Налоги!BH85*IF($K$3&lt;BH8,0,1)</f>
        <v>0</v>
      </c>
      <c s="125">
        <f>-Налоги!BI85*IF($K$3&lt;BI8,0,1)</f>
        <v>0</v>
      </c>
      <c s="125">
        <f>-Налоги!BJ85*IF($K$3&lt;BJ8,0,1)</f>
        <v>0</v>
      </c>
      <c s="125">
        <f>-Налоги!BK85*IF($K$3&lt;BK8,0,1)</f>
        <v>0</v>
      </c>
      <c s="125">
        <f>-Налоги!BL85*IF($K$3&lt;BL8,0,1)</f>
        <v>0</v>
      </c>
      <c s="125">
        <f>-Налоги!BM85*IF($K$3&lt;BM8,0,1)</f>
        <v>0</v>
      </c>
    </row>
    <row r="27" spans="2:65" ht="15" customHeight="1">
      <c r="B27" s="289" t="s">
        <v>281</v>
      </c>
      <c s="290" t="str">
        <f t="shared" si="39"/>
        <v>тыс. руб.</v>
      </c>
      <c s="276">
        <f t="shared" ca="1" si="36"/>
        <v>0</v>
      </c>
      <c s="276">
        <f>SUM(E21:E26)</f>
        <v>0</v>
      </c>
      <c s="276">
        <f ca="1" t="shared" si="42" ref="F27:AG27">SUM(F21:F26)</f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t="shared" ca="1" si="42"/>
        <v>0</v>
      </c>
      <c s="276">
        <f ca="1" t="shared" si="43" ref="AH27:BM27">SUM(AH21:AH26)</f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  <c s="276">
        <f t="shared" ca="1" si="43"/>
        <v>0</v>
      </c>
    </row>
    <row r="28" spans="2:65" ht="15" customHeight="1">
      <c r="B28" s="12" t="s">
        <v>573</v>
      </c>
      <c s="124" t="str">
        <f t="shared" si="39"/>
        <v>тыс. руб.</v>
      </c>
      <c s="276">
        <f t="shared" ca="1" si="36"/>
        <v>0</v>
      </c>
      <c s="125">
        <f>-Налоги!E110*IF($K$3&lt;E8,0,1)</f>
        <v>0</v>
      </c>
      <c s="125">
        <f ca="1">-Налоги!F110*IF($K$3&lt;F8,0,1)</f>
        <v>0</v>
      </c>
      <c s="125">
        <f ca="1">-Налоги!G110*IF($K$3&lt;G8,0,1)</f>
        <v>0</v>
      </c>
      <c s="125">
        <f ca="1">-Налоги!H110*IF($K$3&lt;H8,0,1)</f>
        <v>0</v>
      </c>
      <c s="125">
        <f ca="1">-Налоги!I110*IF($K$3&lt;I8,0,1)</f>
        <v>0</v>
      </c>
      <c s="125">
        <f ca="1">-Налоги!J110*IF($K$3&lt;J8,0,1)</f>
        <v>0</v>
      </c>
      <c s="125">
        <f ca="1">-Налоги!K110*IF($K$3&lt;K8,0,1)</f>
        <v>0</v>
      </c>
      <c s="125">
        <f ca="1">-Налоги!L110*IF($K$3&lt;L8,0,1)</f>
        <v>0</v>
      </c>
      <c s="125">
        <f ca="1">-Налоги!M110*IF($K$3&lt;M8,0,1)</f>
        <v>0</v>
      </c>
      <c s="125">
        <f ca="1">-Налоги!N110*IF($K$3&lt;N8,0,1)</f>
        <v>0</v>
      </c>
      <c s="125">
        <f ca="1">-Налоги!O110*IF($K$3&lt;O8,0,1)</f>
        <v>0</v>
      </c>
      <c s="125">
        <f ca="1">-Налоги!P110*IF($K$3&lt;P8,0,1)</f>
        <v>0</v>
      </c>
      <c s="125">
        <f ca="1">-Налоги!Q110*IF($K$3&lt;Q8,0,1)</f>
        <v>0</v>
      </c>
      <c s="125">
        <f ca="1">-Налоги!R110*IF($K$3&lt;R8,0,1)</f>
        <v>0</v>
      </c>
      <c s="125">
        <f ca="1">-Налоги!S110*IF($K$3&lt;S8,0,1)</f>
        <v>0</v>
      </c>
      <c s="125">
        <f ca="1">-Налоги!T110*IF($K$3&lt;T8,0,1)</f>
        <v>0</v>
      </c>
      <c s="125">
        <f ca="1">-Налоги!U110*IF($K$3&lt;U8,0,1)</f>
        <v>0</v>
      </c>
      <c s="125">
        <f ca="1">-Налоги!V110*IF($K$3&lt;V8,0,1)</f>
        <v>0</v>
      </c>
      <c s="125">
        <f ca="1">-Налоги!W110*IF($K$3&lt;W8,0,1)</f>
        <v>0</v>
      </c>
      <c s="125">
        <f ca="1">-Налоги!X110*IF($K$3&lt;X8,0,1)</f>
        <v>0</v>
      </c>
      <c s="125">
        <f ca="1">-Налоги!Y110*IF($K$3&lt;Y8,0,1)</f>
        <v>0</v>
      </c>
      <c s="125">
        <f ca="1">-Налоги!Z110*IF($K$3&lt;Z8,0,1)</f>
        <v>0</v>
      </c>
      <c s="125">
        <f ca="1">-Налоги!AA110*IF($K$3&lt;AA8,0,1)</f>
        <v>0</v>
      </c>
      <c s="125">
        <f ca="1">-Налоги!AB110*IF($K$3&lt;AB8,0,1)</f>
        <v>0</v>
      </c>
      <c s="125">
        <f ca="1">-Налоги!AC110*IF($K$3&lt;AC8,0,1)</f>
        <v>0</v>
      </c>
      <c s="125">
        <f ca="1">-Налоги!AD110*IF($K$3&lt;AD8,0,1)</f>
        <v>0</v>
      </c>
      <c s="125">
        <f ca="1">-Налоги!AE110*IF($K$3&lt;AE8,0,1)</f>
        <v>0</v>
      </c>
      <c s="125">
        <f ca="1">-Налоги!AF110*IF($K$3&lt;AF8,0,1)</f>
        <v>0</v>
      </c>
      <c s="125">
        <f ca="1">-Налоги!AG110*IF($K$3&lt;AG8,0,1)</f>
        <v>0</v>
      </c>
      <c s="125">
        <f ca="1">-Налоги!AH110*IF($K$3&lt;AH8,0,1)</f>
        <v>0</v>
      </c>
      <c s="125">
        <f ca="1">-Налоги!AI110*IF($K$3&lt;AI8,0,1)</f>
        <v>0</v>
      </c>
      <c s="125">
        <f ca="1">-Налоги!AJ110*IF($K$3&lt;AJ8,0,1)</f>
        <v>0</v>
      </c>
      <c s="125">
        <f ca="1">-Налоги!AK110*IF($K$3&lt;AK8,0,1)</f>
        <v>0</v>
      </c>
      <c s="125">
        <f ca="1">-Налоги!AL110*IF($K$3&lt;AL8,0,1)</f>
        <v>0</v>
      </c>
      <c s="125">
        <f ca="1">-Налоги!AM110*IF($K$3&lt;AM8,0,1)</f>
        <v>0</v>
      </c>
      <c s="125">
        <f ca="1">-Налоги!AN110*IF($K$3&lt;AN8,0,1)</f>
        <v>0</v>
      </c>
      <c s="125">
        <f ca="1">-Налоги!AO110*IF($K$3&lt;AO8,0,1)</f>
        <v>0</v>
      </c>
      <c s="125">
        <f ca="1">-Налоги!AP110*IF($K$3&lt;AP8,0,1)</f>
        <v>0</v>
      </c>
      <c s="125">
        <f ca="1">-Налоги!AQ110*IF($K$3&lt;AQ8,0,1)</f>
        <v>0</v>
      </c>
      <c s="125">
        <f ca="1">-Налоги!AR110*IF($K$3&lt;AR8,0,1)</f>
        <v>0</v>
      </c>
      <c s="125">
        <f ca="1">-Налоги!AS110*IF($K$3&lt;AS8,0,1)</f>
        <v>0</v>
      </c>
      <c s="125">
        <f ca="1">-Налоги!AT110*IF($K$3&lt;AT8,0,1)</f>
        <v>0</v>
      </c>
      <c s="125">
        <f ca="1">-Налоги!AU110*IF($K$3&lt;AU8,0,1)</f>
        <v>0</v>
      </c>
      <c s="125">
        <f ca="1">-Налоги!AV110*IF($K$3&lt;AV8,0,1)</f>
        <v>0</v>
      </c>
      <c s="125">
        <f ca="1">-Налоги!AW110*IF($K$3&lt;AW8,0,1)</f>
        <v>0</v>
      </c>
      <c s="125">
        <f ca="1">-Налоги!AX110*IF($K$3&lt;AX8,0,1)</f>
        <v>0</v>
      </c>
      <c s="125">
        <f ca="1">-Налоги!AY110*IF($K$3&lt;AY8,0,1)</f>
        <v>0</v>
      </c>
      <c s="125">
        <f ca="1">-Налоги!AZ110*IF($K$3&lt;AZ8,0,1)</f>
        <v>0</v>
      </c>
      <c s="125">
        <f ca="1">-Налоги!BA110*IF($K$3&lt;BA8,0,1)</f>
        <v>0</v>
      </c>
      <c s="125">
        <f ca="1">-Налоги!BB110*IF($K$3&lt;BB8,0,1)</f>
        <v>0</v>
      </c>
      <c s="125">
        <f ca="1">-Налоги!BC110*IF($K$3&lt;BC8,0,1)</f>
        <v>0</v>
      </c>
      <c s="125">
        <f ca="1">-Налоги!BD110*IF($K$3&lt;BD8,0,1)</f>
        <v>0</v>
      </c>
      <c s="125">
        <f ca="1">-Налоги!BE110*IF($K$3&lt;BE8,0,1)</f>
        <v>0</v>
      </c>
      <c s="125">
        <f ca="1">-Налоги!BF110*IF($K$3&lt;BF8,0,1)</f>
        <v>0</v>
      </c>
      <c s="125">
        <f ca="1">-Налоги!BG110*IF($K$3&lt;BG8,0,1)</f>
        <v>0</v>
      </c>
      <c s="125">
        <f ca="1">-Налоги!BH110*IF($K$3&lt;BH8,0,1)</f>
        <v>0</v>
      </c>
      <c s="125">
        <f ca="1">-Налоги!BI110*IF($K$3&lt;BI8,0,1)</f>
        <v>0</v>
      </c>
      <c s="125">
        <f ca="1">-Налоги!BJ110*IF($K$3&lt;BJ8,0,1)</f>
        <v>0</v>
      </c>
      <c s="125">
        <f ca="1">-Налоги!BK110*IF($K$3&lt;BK8,0,1)</f>
        <v>0</v>
      </c>
      <c s="125">
        <f ca="1">-Налоги!BL110*IF($K$3&lt;BL8,0,1)</f>
        <v>0</v>
      </c>
      <c s="125">
        <f ca="1">-Налоги!BM110*IF($K$3&lt;BM8,0,1)</f>
        <v>0</v>
      </c>
    </row>
    <row r="29" spans="2:65" ht="15" customHeight="1">
      <c r="B29" s="289" t="s">
        <v>283</v>
      </c>
      <c s="290" t="str">
        <f t="shared" si="39"/>
        <v>тыс. руб.</v>
      </c>
      <c s="291">
        <f ca="1">SUM(D27:D28)</f>
        <v>0</v>
      </c>
      <c s="276">
        <f>SUM(E27:E28)</f>
        <v>0</v>
      </c>
      <c s="276">
        <f ca="1" t="shared" si="44" ref="F29:AG29">SUM(F27:F28)</f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t="shared" ca="1" si="44"/>
        <v>0</v>
      </c>
      <c s="276">
        <f ca="1" t="shared" si="45" ref="AH29:BM29">SUM(AH27:AH28)</f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  <c s="276">
        <f t="shared" ca="1" si="45"/>
        <v>0</v>
      </c>
    </row>
    <row r="30" ht="15" customHeight="1"/>
    <row r="31" spans="2:71" ht="21">
      <c r="B31" s="24" t="s">
        <v>977</v>
      </c>
      <c r="D3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2" spans="2:65" ht="15" customHeight="1">
      <c r="B32" s="12" t="s">
        <v>827</v>
      </c>
      <c s="124" t="str">
        <f>Единица_измерения</f>
        <v>тыс. руб.</v>
      </c>
      <c s="125"/>
      <c s="125">
        <f>D34</f>
        <v>0</v>
      </c>
      <c s="125">
        <f t="shared" si="46" ref="F32:AG32">E34</f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t="shared" si="46"/>
        <v>0</v>
      </c>
      <c s="125">
        <f ca="1" t="shared" si="47" ref="AH32">AG34</f>
        <v>0</v>
      </c>
      <c s="125">
        <f ca="1" t="shared" si="48" ref="AI32">AH34</f>
        <v>0</v>
      </c>
      <c s="125">
        <f ca="1" t="shared" si="49" ref="AJ32">AI34</f>
        <v>0</v>
      </c>
      <c s="125">
        <f ca="1" t="shared" si="50" ref="AK32">AJ34</f>
        <v>0</v>
      </c>
      <c s="125">
        <f ca="1" t="shared" si="51" ref="AL32">AK34</f>
        <v>0</v>
      </c>
      <c s="125">
        <f ca="1" t="shared" si="52" ref="AM32">AL34</f>
        <v>0</v>
      </c>
      <c s="125">
        <f ca="1" t="shared" si="53" ref="AN32">AM34</f>
        <v>0</v>
      </c>
      <c s="125">
        <f ca="1" t="shared" si="54" ref="AO32">AN34</f>
        <v>0</v>
      </c>
      <c s="125">
        <f ca="1" t="shared" si="55" ref="AP32">AO34</f>
        <v>0</v>
      </c>
      <c s="125">
        <f ca="1" t="shared" si="56" ref="AQ32">AP34</f>
        <v>0</v>
      </c>
      <c s="125">
        <f ca="1" t="shared" si="57" ref="AR32">AQ34</f>
        <v>0</v>
      </c>
      <c s="125">
        <f ca="1" t="shared" si="58" ref="AS32">AR34</f>
        <v>0</v>
      </c>
      <c s="125">
        <f ca="1" t="shared" si="59" ref="AT32">AS34</f>
        <v>0</v>
      </c>
      <c s="125">
        <f ca="1" t="shared" si="60" ref="AU32">AT34</f>
        <v>0</v>
      </c>
      <c s="125">
        <f ca="1" t="shared" si="61" ref="AV32">AU34</f>
        <v>0</v>
      </c>
      <c s="125">
        <f ca="1" t="shared" si="62" ref="AW32">AV34</f>
        <v>0</v>
      </c>
      <c s="125">
        <f ca="1" t="shared" si="63" ref="AX32">AW34</f>
        <v>0</v>
      </c>
      <c s="125">
        <f ca="1" t="shared" si="64" ref="AY32">AX34</f>
        <v>0</v>
      </c>
      <c s="125">
        <f ca="1" t="shared" si="65" ref="AZ32">AY34</f>
        <v>0</v>
      </c>
      <c s="125">
        <f ca="1" t="shared" si="66" ref="BA32">AZ34</f>
        <v>0</v>
      </c>
      <c s="125">
        <f ca="1" t="shared" si="67" ref="BB32">BA34</f>
        <v>0</v>
      </c>
      <c s="125">
        <f ca="1" t="shared" si="68" ref="BC32">BB34</f>
        <v>0</v>
      </c>
      <c s="125">
        <f ca="1" t="shared" si="69" ref="BD32">BC34</f>
        <v>0</v>
      </c>
      <c s="125">
        <f ca="1" t="shared" si="70" ref="BE32">BD34</f>
        <v>0</v>
      </c>
      <c s="125">
        <f ca="1" t="shared" si="71" ref="BF32">BE34</f>
        <v>0</v>
      </c>
      <c s="125">
        <f ca="1" t="shared" si="72" ref="BG32">BF34</f>
        <v>0</v>
      </c>
      <c s="125">
        <f ca="1" t="shared" si="73" ref="BH32">BG34</f>
        <v>0</v>
      </c>
      <c s="125">
        <f ca="1" t="shared" si="74" ref="BI32">BH34</f>
        <v>0</v>
      </c>
      <c s="125">
        <f ca="1" t="shared" si="75" ref="BJ32">BI34</f>
        <v>0</v>
      </c>
      <c s="125">
        <f ca="1" t="shared" si="76" ref="BK32">BJ34</f>
        <v>0</v>
      </c>
      <c s="125">
        <f ca="1" t="shared" si="77" ref="BL32">BK34</f>
        <v>0</v>
      </c>
      <c s="125">
        <f ca="1" t="shared" si="78" ref="BM32">BL34</f>
        <v>0</v>
      </c>
    </row>
    <row r="33" spans="2:65" ht="15" customHeight="1">
      <c r="B33" s="12" t="s">
        <v>978</v>
      </c>
      <c s="124" t="str">
        <f>Единица_измерения</f>
        <v>тыс. руб.</v>
      </c>
      <c s="125"/>
      <c s="125">
        <f>E29</f>
        <v>0</v>
      </c>
      <c s="125">
        <f ca="1" t="shared" si="79" ref="F33:AG33">F29</f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t="shared" ca="1" si="79"/>
        <v>0</v>
      </c>
      <c s="125">
        <f ca="1" t="shared" si="80" ref="AH33:BM33">AH29</f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  <c s="125">
        <f t="shared" ca="1" si="80"/>
        <v>0</v>
      </c>
    </row>
    <row r="34" spans="2:65" ht="15" customHeight="1">
      <c r="B34" s="289" t="s">
        <v>830</v>
      </c>
      <c s="290" t="str">
        <f>Единица_измерения</f>
        <v>тыс. руб.</v>
      </c>
      <c s="276">
        <f>-'Операционные затраты'!$D$632</f>
        <v>0</v>
      </c>
      <c s="276">
        <f>SUM(E32:E33)</f>
        <v>0</v>
      </c>
      <c s="276">
        <f ca="1" t="shared" si="81" ref="F34:AG34">SUM(F32:F33)</f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t="shared" ca="1" si="81"/>
        <v>0</v>
      </c>
      <c s="276">
        <f ca="1" t="shared" si="82" ref="AH34:BM34">SUM(AH32:AH33)</f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  <c s="276">
        <f t="shared" ca="1" si="82"/>
        <v>0</v>
      </c>
    </row>
    <row r="35" ht="15" customHeight="1"/>
    <row r="36" spans="2:71" ht="21">
      <c r="B36" s="23" t="s">
        <v>330</v>
      </c>
      <c r="D36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7" spans="2:71" ht="21">
      <c r="B37" s="24" t="s">
        <v>979</v>
      </c>
      <c r="D3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" spans="2:69" ht="14.45">
      <c r="B38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9" spans="2:65" ht="15" customHeight="1">
      <c r="B39" s="12" t="s">
        <v>981</v>
      </c>
      <c s="124" t="s">
        <v>438</v>
      </c>
      <c s="276">
        <f>SUM(E39:BM39)</f>
        <v>0</v>
      </c>
      <c s="125">
        <f>'Оборотный капитал'!E205*IF($K$3&lt;E8,0,1)</f>
        <v>0</v>
      </c>
      <c s="125">
        <f>'Оборотный капитал'!F205*IF($K$3&lt;F8,0,1)</f>
        <v>0</v>
      </c>
      <c s="125">
        <f>'Оборотный капитал'!G205*IF($K$3&lt;G8,0,1)</f>
        <v>0</v>
      </c>
      <c s="125">
        <f>'Оборотный капитал'!H205*IF($K$3&lt;H8,0,1)</f>
        <v>0</v>
      </c>
      <c s="125">
        <f>'Оборотный капитал'!I205*IF($K$3&lt;I8,0,1)</f>
        <v>0</v>
      </c>
      <c s="125">
        <f>'Оборотный капитал'!J205*IF($K$3&lt;J8,0,1)</f>
        <v>0</v>
      </c>
      <c s="125">
        <f>'Оборотный капитал'!K205*IF($K$3&lt;K8,0,1)</f>
        <v>0</v>
      </c>
      <c s="125">
        <f>'Оборотный капитал'!L205*IF($K$3&lt;L8,0,1)</f>
        <v>0</v>
      </c>
      <c s="125">
        <f>'Оборотный капитал'!M205*IF($K$3&lt;M8,0,1)</f>
        <v>0</v>
      </c>
      <c s="125">
        <f>'Оборотный капитал'!N205*IF($K$3&lt;N8,0,1)</f>
        <v>0</v>
      </c>
      <c s="125">
        <f>'Оборотный капитал'!O205*IF($K$3&lt;O8,0,1)</f>
        <v>0</v>
      </c>
      <c s="125">
        <f>'Оборотный капитал'!P205*IF($K$3&lt;P8,0,1)</f>
        <v>0</v>
      </c>
      <c s="125">
        <f>'Оборотный капитал'!Q205*IF($K$3&lt;Q8,0,1)</f>
        <v>0</v>
      </c>
      <c s="125">
        <f>'Оборотный капитал'!R205*IF($K$3&lt;R8,0,1)</f>
        <v>0</v>
      </c>
      <c s="125">
        <f>'Оборотный капитал'!S205*IF($K$3&lt;S8,0,1)</f>
        <v>0</v>
      </c>
      <c s="125">
        <f>'Оборотный капитал'!T205*IF($K$3&lt;T8,0,1)</f>
        <v>0</v>
      </c>
      <c s="125">
        <f>'Оборотный капитал'!U205*IF($K$3&lt;U8,0,1)</f>
        <v>0</v>
      </c>
      <c s="125">
        <f>'Оборотный капитал'!V205*IF($K$3&lt;V8,0,1)</f>
        <v>0</v>
      </c>
      <c s="125">
        <f>'Оборотный капитал'!W205*IF($K$3&lt;W8,0,1)</f>
        <v>0</v>
      </c>
      <c s="125">
        <f>'Оборотный капитал'!X205*IF($K$3&lt;X8,0,1)</f>
        <v>0</v>
      </c>
      <c s="125">
        <f>'Оборотный капитал'!Y205*IF($K$3&lt;Y8,0,1)</f>
        <v>0</v>
      </c>
      <c s="125">
        <f>'Оборотный капитал'!Z205*IF($K$3&lt;Z8,0,1)</f>
        <v>0</v>
      </c>
      <c s="125">
        <f>'Оборотный капитал'!AA205*IF($K$3&lt;AA8,0,1)</f>
        <v>0</v>
      </c>
      <c s="125">
        <f>'Оборотный капитал'!AB205*IF($K$3&lt;AB8,0,1)</f>
        <v>0</v>
      </c>
      <c s="125">
        <f>'Оборотный капитал'!AC205*IF($K$3&lt;AC8,0,1)</f>
        <v>0</v>
      </c>
      <c s="125">
        <f>'Оборотный капитал'!AD205*IF($K$3&lt;AD8,0,1)</f>
        <v>0</v>
      </c>
      <c s="125">
        <f>'Оборотный капитал'!AE205*IF($K$3&lt;AE8,0,1)</f>
        <v>0</v>
      </c>
      <c s="125">
        <f>'Оборотный капитал'!AF205*IF($K$3&lt;AF8,0,1)</f>
        <v>0</v>
      </c>
      <c s="125">
        <f>'Оборотный капитал'!AG205*IF($K$3&lt;AG8,0,1)</f>
        <v>0</v>
      </c>
      <c s="125">
        <f>'Оборотный капитал'!AH205*IF($K$3&lt;AH8,0,1)</f>
        <v>0</v>
      </c>
      <c s="125">
        <f>'Оборотный капитал'!AI205*IF($K$3&lt;AI8,0,1)</f>
        <v>0</v>
      </c>
      <c s="125">
        <f>'Оборотный капитал'!AJ205*IF($K$3&lt;AJ8,0,1)</f>
        <v>0</v>
      </c>
      <c s="125">
        <f>'Оборотный капитал'!AK205*IF($K$3&lt;AK8,0,1)</f>
        <v>0</v>
      </c>
      <c s="125">
        <f>'Оборотный капитал'!AL205*IF($K$3&lt;AL8,0,1)</f>
        <v>0</v>
      </c>
      <c s="125">
        <f>'Оборотный капитал'!AM205*IF($K$3&lt;AM8,0,1)</f>
        <v>0</v>
      </c>
      <c s="125">
        <f>'Оборотный капитал'!AN205*IF($K$3&lt;AN8,0,1)</f>
        <v>0</v>
      </c>
      <c s="125">
        <f>'Оборотный капитал'!AO205*IF($K$3&lt;AO8,0,1)</f>
        <v>0</v>
      </c>
      <c s="125">
        <f>'Оборотный капитал'!AP205*IF($K$3&lt;AP8,0,1)</f>
        <v>0</v>
      </c>
      <c s="125">
        <f>'Оборотный капитал'!AQ205*IF($K$3&lt;AQ8,0,1)</f>
        <v>0</v>
      </c>
      <c s="125">
        <f>'Оборотный капитал'!AR205*IF($K$3&lt;AR8,0,1)</f>
        <v>0</v>
      </c>
      <c s="125">
        <f>'Оборотный капитал'!AS205*IF($K$3&lt;AS8,0,1)</f>
        <v>0</v>
      </c>
      <c s="125">
        <f>'Оборотный капитал'!AT205*IF($K$3&lt;AT8,0,1)</f>
        <v>0</v>
      </c>
      <c s="125">
        <f>'Оборотный капитал'!AU205*IF($K$3&lt;AU8,0,1)</f>
        <v>0</v>
      </c>
      <c s="125">
        <f>'Оборотный капитал'!AV205*IF($K$3&lt;AV8,0,1)</f>
        <v>0</v>
      </c>
      <c s="125">
        <f>'Оборотный капитал'!AW205*IF($K$3&lt;AW8,0,1)</f>
        <v>0</v>
      </c>
      <c s="125">
        <f>'Оборотный капитал'!AX205*IF($K$3&lt;AX8,0,1)</f>
        <v>0</v>
      </c>
      <c s="125">
        <f>'Оборотный капитал'!AY205*IF($K$3&lt;AY8,0,1)</f>
        <v>0</v>
      </c>
      <c s="125">
        <f>'Оборотный капитал'!AZ205*IF($K$3&lt;AZ8,0,1)</f>
        <v>0</v>
      </c>
      <c s="125">
        <f>'Оборотный капитал'!BA205*IF($K$3&lt;BA8,0,1)</f>
        <v>0</v>
      </c>
      <c s="125">
        <f>'Оборотный капитал'!BB205*IF($K$3&lt;BB8,0,1)</f>
        <v>0</v>
      </c>
      <c s="125">
        <f>'Оборотный капитал'!BC205*IF($K$3&lt;BC8,0,1)</f>
        <v>0</v>
      </c>
      <c s="125">
        <f>'Оборотный капитал'!BD205*IF($K$3&lt;BD8,0,1)</f>
        <v>0</v>
      </c>
      <c s="125">
        <f>'Оборотный капитал'!BE205*IF($K$3&lt;BE8,0,1)</f>
        <v>0</v>
      </c>
      <c s="125">
        <f>'Оборотный капитал'!BF205*IF($K$3&lt;BF8,0,1)</f>
        <v>0</v>
      </c>
      <c s="125">
        <f>'Оборотный капитал'!BG205*IF($K$3&lt;BG8,0,1)</f>
        <v>0</v>
      </c>
      <c s="125">
        <f>'Оборотный капитал'!BH205*IF($K$3&lt;BH8,0,1)</f>
        <v>0</v>
      </c>
      <c s="125">
        <f>'Оборотный капитал'!BI205*IF($K$3&lt;BI8,0,1)</f>
        <v>0</v>
      </c>
      <c s="125">
        <f>'Оборотный капитал'!BJ205*IF($K$3&lt;BJ8,0,1)</f>
        <v>0</v>
      </c>
      <c s="125">
        <f>'Оборотный капитал'!BK205*IF($K$3&lt;BK8,0,1)</f>
        <v>0</v>
      </c>
      <c s="125">
        <f>'Оборотный капитал'!BL205*IF($K$3&lt;BL8,0,1)</f>
        <v>0</v>
      </c>
      <c s="125">
        <f>'Оборотный капитал'!BM205*IF($K$3&lt;BM8,0,1)</f>
        <v>0</v>
      </c>
    </row>
    <row r="40" spans="2:65" ht="15" customHeight="1">
      <c r="B40" s="12" t="s">
        <v>982</v>
      </c>
      <c s="124" t="s">
        <v>438</v>
      </c>
      <c s="276">
        <f ca="1">SUM(E40:BM40)</f>
        <v>0</v>
      </c>
      <c s="125">
        <f ca="1">-Налоги!E24*IF($K$3&lt;E8,0,1)</f>
        <v>0</v>
      </c>
      <c s="125">
        <f ca="1">-Налоги!F24*IF($K$3&lt;F8,0,1)</f>
        <v>0</v>
      </c>
      <c s="125">
        <f ca="1">-Налоги!G24*IF($K$3&lt;G8,0,1)</f>
        <v>0</v>
      </c>
      <c s="125">
        <f ca="1">-Налоги!H24*IF($K$3&lt;H8,0,1)</f>
        <v>0</v>
      </c>
      <c s="125">
        <f ca="1">-Налоги!I24*IF($K$3&lt;I8,0,1)</f>
        <v>0</v>
      </c>
      <c s="125">
        <f ca="1">-Налоги!J24*IF($K$3&lt;J8,0,1)</f>
        <v>0</v>
      </c>
      <c s="125">
        <f ca="1">-Налоги!K24*IF($K$3&lt;K8,0,1)</f>
        <v>0</v>
      </c>
      <c s="125">
        <f ca="1">-Налоги!L24*IF($K$3&lt;L8,0,1)</f>
        <v>0</v>
      </c>
      <c s="125">
        <f ca="1">-Налоги!M24*IF($K$3&lt;M8,0,1)</f>
        <v>0</v>
      </c>
      <c s="125">
        <f ca="1">-Налоги!N24*IF($K$3&lt;N8,0,1)</f>
        <v>0</v>
      </c>
      <c s="125">
        <f ca="1">-Налоги!O24*IF($K$3&lt;O8,0,1)</f>
        <v>0</v>
      </c>
      <c s="125">
        <f ca="1">-Налоги!P24*IF($K$3&lt;P8,0,1)</f>
        <v>0</v>
      </c>
      <c s="125">
        <f ca="1">-Налоги!Q24*IF($K$3&lt;Q8,0,1)</f>
        <v>0</v>
      </c>
      <c s="125">
        <f ca="1">-Налоги!R24*IF($K$3&lt;R8,0,1)</f>
        <v>0</v>
      </c>
      <c s="125">
        <f ca="1">-Налоги!S24*IF($K$3&lt;S8,0,1)</f>
        <v>0</v>
      </c>
      <c s="125">
        <f ca="1">-Налоги!T24*IF($K$3&lt;T8,0,1)</f>
        <v>0</v>
      </c>
      <c s="125">
        <f ca="1">-Налоги!U24*IF($K$3&lt;U8,0,1)</f>
        <v>0</v>
      </c>
      <c s="125">
        <f ca="1">-Налоги!V24*IF($K$3&lt;V8,0,1)</f>
        <v>0</v>
      </c>
      <c s="125">
        <f ca="1">-Налоги!W24*IF($K$3&lt;W8,0,1)</f>
        <v>0</v>
      </c>
      <c s="125">
        <f ca="1">-Налоги!X24*IF($K$3&lt;X8,0,1)</f>
        <v>0</v>
      </c>
      <c s="125">
        <f ca="1">-Налоги!Y24*IF($K$3&lt;Y8,0,1)</f>
        <v>0</v>
      </c>
      <c s="125">
        <f ca="1">-Налоги!Z24*IF($K$3&lt;Z8,0,1)</f>
        <v>0</v>
      </c>
      <c s="125">
        <f ca="1">-Налоги!AA24*IF($K$3&lt;AA8,0,1)</f>
        <v>0</v>
      </c>
      <c s="125">
        <f ca="1">-Налоги!AB24*IF($K$3&lt;AB8,0,1)</f>
        <v>0</v>
      </c>
      <c s="125">
        <f ca="1">-Налоги!AC24*IF($K$3&lt;AC8,0,1)</f>
        <v>0</v>
      </c>
      <c s="125">
        <f ca="1">-Налоги!AD24*IF($K$3&lt;AD8,0,1)</f>
        <v>0</v>
      </c>
      <c s="125">
        <f ca="1">-Налоги!AE24*IF($K$3&lt;AE8,0,1)</f>
        <v>0</v>
      </c>
      <c s="125">
        <f ca="1">-Налоги!AF24*IF($K$3&lt;AF8,0,1)</f>
        <v>0</v>
      </c>
      <c s="125">
        <f ca="1">-Налоги!AG24*IF($K$3&lt;AG8,0,1)</f>
        <v>0</v>
      </c>
      <c s="125">
        <f ca="1">-Налоги!AH24*IF($K$3&lt;AH8,0,1)</f>
        <v>0</v>
      </c>
      <c s="125">
        <f ca="1">-Налоги!AI24*IF($K$3&lt;AI8,0,1)</f>
        <v>0</v>
      </c>
      <c s="125">
        <f ca="1">-Налоги!AJ24*IF($K$3&lt;AJ8,0,1)</f>
        <v>0</v>
      </c>
      <c s="125">
        <f ca="1">-Налоги!AK24*IF($K$3&lt;AK8,0,1)</f>
        <v>0</v>
      </c>
      <c s="125">
        <f ca="1">-Налоги!AL24*IF($K$3&lt;AL8,0,1)</f>
        <v>0</v>
      </c>
      <c s="125">
        <f ca="1">-Налоги!AM24*IF($K$3&lt;AM8,0,1)</f>
        <v>0</v>
      </c>
      <c s="125">
        <f ca="1">-Налоги!AN24*IF($K$3&lt;AN8,0,1)</f>
        <v>0</v>
      </c>
      <c s="125">
        <f ca="1">-Налоги!AO24*IF($K$3&lt;AO8,0,1)</f>
        <v>0</v>
      </c>
      <c s="125">
        <f ca="1">-Налоги!AP24*IF($K$3&lt;AP8,0,1)</f>
        <v>0</v>
      </c>
      <c s="125">
        <f ca="1">-Налоги!AQ24*IF($K$3&lt;AQ8,0,1)</f>
        <v>0</v>
      </c>
      <c s="125">
        <f ca="1">-Налоги!AR24*IF($K$3&lt;AR8,0,1)</f>
        <v>0</v>
      </c>
      <c s="125">
        <f ca="1">-Налоги!AS24*IF($K$3&lt;AS8,0,1)</f>
        <v>0</v>
      </c>
      <c s="125">
        <f ca="1">-Налоги!AT24*IF($K$3&lt;AT8,0,1)</f>
        <v>0</v>
      </c>
      <c s="125">
        <f ca="1">-Налоги!AU24*IF($K$3&lt;AU8,0,1)</f>
        <v>0</v>
      </c>
      <c s="125">
        <f ca="1">-Налоги!AV24*IF($K$3&lt;AV8,0,1)</f>
        <v>0</v>
      </c>
      <c s="125">
        <f ca="1">-Налоги!AW24*IF($K$3&lt;AW8,0,1)</f>
        <v>0</v>
      </c>
      <c s="125">
        <f ca="1">-Налоги!AX24*IF($K$3&lt;AX8,0,1)</f>
        <v>0</v>
      </c>
      <c s="125">
        <f ca="1">-Налоги!AY24*IF($K$3&lt;AY8,0,1)</f>
        <v>0</v>
      </c>
      <c s="125">
        <f ca="1">-Налоги!AZ24*IF($K$3&lt;AZ8,0,1)</f>
        <v>0</v>
      </c>
      <c s="125">
        <f ca="1">-Налоги!BA24*IF($K$3&lt;BA8,0,1)</f>
        <v>0</v>
      </c>
      <c s="125">
        <f ca="1">-Налоги!BB24*IF($K$3&lt;BB8,0,1)</f>
        <v>0</v>
      </c>
      <c s="125">
        <f ca="1">-Налоги!BC24*IF($K$3&lt;BC8,0,1)</f>
        <v>0</v>
      </c>
      <c s="125">
        <f ca="1">-Налоги!BD24*IF($K$3&lt;BD8,0,1)</f>
        <v>0</v>
      </c>
      <c s="125">
        <f ca="1">-Налоги!BE24*IF($K$3&lt;BE8,0,1)</f>
        <v>0</v>
      </c>
      <c s="125">
        <f ca="1">-Налоги!BF24*IF($K$3&lt;BF8,0,1)</f>
        <v>0</v>
      </c>
      <c s="125">
        <f ca="1">-Налоги!BG24*IF($K$3&lt;BG8,0,1)</f>
        <v>0</v>
      </c>
      <c s="125">
        <f ca="1">-Налоги!BH24*IF($K$3&lt;BH8,0,1)</f>
        <v>0</v>
      </c>
      <c s="125">
        <f ca="1">-Налоги!BI24*IF($K$3&lt;BI8,0,1)</f>
        <v>0</v>
      </c>
      <c s="125">
        <f ca="1">-Налоги!BJ24*IF($K$3&lt;BJ8,0,1)</f>
        <v>0</v>
      </c>
      <c s="125">
        <f ca="1">-Налоги!BK24*IF($K$3&lt;BK8,0,1)</f>
        <v>0</v>
      </c>
      <c s="125">
        <f ca="1">-Налоги!BL24*IF($K$3&lt;BL8,0,1)</f>
        <v>0</v>
      </c>
      <c s="125">
        <f ca="1">-Налоги!BM24*IF($K$3&lt;BM8,0,1)</f>
        <v>0</v>
      </c>
    </row>
    <row r="41" spans="2:65" ht="15" customHeight="1">
      <c r="B41" s="289" t="s">
        <v>454</v>
      </c>
      <c s="290" t="s">
        <v>438</v>
      </c>
      <c s="291">
        <f ca="1">SUM(D39:D40)</f>
        <v>0</v>
      </c>
      <c s="276">
        <f ca="1">SUM(E39:E40)</f>
        <v>0</v>
      </c>
      <c s="276">
        <f ca="1" t="shared" si="83" ref="F41:AG41">SUM(F39:F40)</f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t="shared" ca="1" si="83"/>
        <v>0</v>
      </c>
      <c s="276">
        <f ca="1" t="shared" si="84" ref="AH41:BM41">SUM(AH39:AH40)</f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  <c s="276">
        <f t="shared" ca="1" si="84"/>
        <v>0</v>
      </c>
    </row>
    <row r="42" ht="15" customHeight="1"/>
    <row r="43" spans="2:69" ht="14.45">
      <c r="B43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" spans="2:65" ht="15" customHeight="1">
      <c r="B44" s="12" t="s">
        <v>984</v>
      </c>
      <c s="124" t="s">
        <v>438</v>
      </c>
      <c s="276">
        <f ca="1" t="shared" si="85" ref="D44:D50">SUM(E44:BM44)</f>
        <v>0</v>
      </c>
      <c s="125">
        <f ca="1">SUM(-'Оборотный капитал'!E81,'Оборотный капитал'!E323,'Оборотный капитал'!E466)*IF($K$3&lt;E8,0,1)</f>
        <v>0</v>
      </c>
      <c s="125">
        <f ca="1">SUM(-'Оборотный капитал'!F81,'Оборотный капитал'!F323,'Оборотный капитал'!F466)*IF($K$3&lt;F8,0,1)</f>
        <v>0</v>
      </c>
      <c s="125">
        <f ca="1">SUM(-'Оборотный капитал'!G81,'Оборотный капитал'!G323,'Оборотный капитал'!G466)*IF($K$3&lt;G8,0,1)</f>
        <v>0</v>
      </c>
      <c s="125">
        <f ca="1">SUM(-'Оборотный капитал'!H81,'Оборотный капитал'!H323,'Оборотный капитал'!H466)*IF($K$3&lt;H8,0,1)</f>
        <v>0</v>
      </c>
      <c s="125">
        <f ca="1">SUM(-'Оборотный капитал'!I81,'Оборотный капитал'!I323,'Оборотный капитал'!I466)*IF($K$3&lt;I8,0,1)</f>
        <v>0</v>
      </c>
      <c s="125">
        <f ca="1">SUM(-'Оборотный капитал'!J81,'Оборотный капитал'!J323,'Оборотный капитал'!J466)*IF($K$3&lt;J8,0,1)</f>
        <v>0</v>
      </c>
      <c s="125">
        <f ca="1">SUM(-'Оборотный капитал'!K81,'Оборотный капитал'!K323,'Оборотный капитал'!K466)*IF($K$3&lt;K8,0,1)</f>
        <v>0</v>
      </c>
      <c s="125">
        <f ca="1">SUM(-'Оборотный капитал'!L81,'Оборотный капитал'!L323,'Оборотный капитал'!L466)*IF($K$3&lt;L8,0,1)</f>
        <v>0</v>
      </c>
      <c s="125">
        <f ca="1">SUM(-'Оборотный капитал'!M81,'Оборотный капитал'!M323,'Оборотный капитал'!M466)*IF($K$3&lt;M8,0,1)</f>
        <v>0</v>
      </c>
      <c s="125">
        <f ca="1">SUM(-'Оборотный капитал'!N81,'Оборотный капитал'!N323,'Оборотный капитал'!N466)*IF($K$3&lt;N8,0,1)</f>
        <v>0</v>
      </c>
      <c s="125">
        <f ca="1">SUM(-'Оборотный капитал'!O81,'Оборотный капитал'!O323,'Оборотный капитал'!O466)*IF($K$3&lt;O8,0,1)</f>
        <v>0</v>
      </c>
      <c s="125">
        <f ca="1">SUM(-'Оборотный капитал'!P81,'Оборотный капитал'!P323,'Оборотный капитал'!P466)*IF($K$3&lt;P8,0,1)</f>
        <v>0</v>
      </c>
      <c s="125">
        <f ca="1">SUM(-'Оборотный капитал'!Q81,'Оборотный капитал'!Q323,'Оборотный капитал'!Q466)*IF($K$3&lt;Q8,0,1)</f>
        <v>0</v>
      </c>
      <c s="125">
        <f ca="1">SUM(-'Оборотный капитал'!R81,'Оборотный капитал'!R323,'Оборотный капитал'!R466)*IF($K$3&lt;R8,0,1)</f>
        <v>0</v>
      </c>
      <c s="125">
        <f ca="1">SUM(-'Оборотный капитал'!S81,'Оборотный капитал'!S323,'Оборотный капитал'!S466)*IF($K$3&lt;S8,0,1)</f>
        <v>0</v>
      </c>
      <c s="125">
        <f ca="1">SUM(-'Оборотный капитал'!T81,'Оборотный капитал'!T323,'Оборотный капитал'!T466)*IF($K$3&lt;T8,0,1)</f>
        <v>0</v>
      </c>
      <c s="125">
        <f ca="1">SUM(-'Оборотный капитал'!U81,'Оборотный капитал'!U323,'Оборотный капитал'!U466)*IF($K$3&lt;U8,0,1)</f>
        <v>0</v>
      </c>
      <c s="125">
        <f ca="1">SUM(-'Оборотный капитал'!V81,'Оборотный капитал'!V323,'Оборотный капитал'!V466)*IF($K$3&lt;V8,0,1)</f>
        <v>0</v>
      </c>
      <c s="125">
        <f ca="1">SUM(-'Оборотный капитал'!W81,'Оборотный капитал'!W323,'Оборотный капитал'!W466)*IF($K$3&lt;W8,0,1)</f>
        <v>0</v>
      </c>
      <c s="125">
        <f ca="1">SUM(-'Оборотный капитал'!X81,'Оборотный капитал'!X323,'Оборотный капитал'!X466)*IF($K$3&lt;X8,0,1)</f>
        <v>0</v>
      </c>
      <c s="125">
        <f ca="1">SUM(-'Оборотный капитал'!Y81,'Оборотный капитал'!Y323,'Оборотный капитал'!Y466)*IF($K$3&lt;Y8,0,1)</f>
        <v>0</v>
      </c>
      <c s="125">
        <f ca="1">SUM(-'Оборотный капитал'!Z81,'Оборотный капитал'!Z323,'Оборотный капитал'!Z466)*IF($K$3&lt;Z8,0,1)</f>
        <v>0</v>
      </c>
      <c s="125">
        <f ca="1">SUM(-'Оборотный капитал'!AA81,'Оборотный капитал'!AA323,'Оборотный капитал'!AA466)*IF($K$3&lt;AA8,0,1)</f>
        <v>0</v>
      </c>
      <c s="125">
        <f ca="1">SUM(-'Оборотный капитал'!AB81,'Оборотный капитал'!AB323,'Оборотный капитал'!AB466)*IF($K$3&lt;AB8,0,1)</f>
        <v>0</v>
      </c>
      <c s="125">
        <f ca="1">SUM(-'Оборотный капитал'!AC81,'Оборотный капитал'!AC323,'Оборотный капитал'!AC466)*IF($K$3&lt;AC8,0,1)</f>
        <v>0</v>
      </c>
      <c s="125">
        <f ca="1">SUM(-'Оборотный капитал'!AD81,'Оборотный капитал'!AD323,'Оборотный капитал'!AD466)*IF($K$3&lt;AD8,0,1)</f>
        <v>0</v>
      </c>
      <c s="125">
        <f ca="1">SUM(-'Оборотный капитал'!AE81,'Оборотный капитал'!AE323,'Оборотный капитал'!AE466)*IF($K$3&lt;AE8,0,1)</f>
        <v>0</v>
      </c>
      <c s="125">
        <f ca="1">SUM(-'Оборотный капитал'!AF81,'Оборотный капитал'!AF323,'Оборотный капитал'!AF466)*IF($K$3&lt;AF8,0,1)</f>
        <v>0</v>
      </c>
      <c s="125">
        <f ca="1">SUM(-'Оборотный капитал'!AG81,'Оборотный капитал'!AG323,'Оборотный капитал'!AG466)*IF($K$3&lt;AG8,0,1)</f>
        <v>0</v>
      </c>
      <c s="125">
        <f ca="1">SUM(-'Оборотный капитал'!AH81,'Оборотный капитал'!AH323,'Оборотный капитал'!AH466)*IF($K$3&lt;AH8,0,1)</f>
        <v>0</v>
      </c>
      <c s="125">
        <f ca="1">SUM(-'Оборотный капитал'!AI81,'Оборотный капитал'!AI323,'Оборотный капитал'!AI466)*IF($K$3&lt;AI8,0,1)</f>
        <v>0</v>
      </c>
      <c s="125">
        <f ca="1">SUM(-'Оборотный капитал'!AJ81,'Оборотный капитал'!AJ323,'Оборотный капитал'!AJ466)*IF($K$3&lt;AJ8,0,1)</f>
        <v>0</v>
      </c>
      <c s="125">
        <f ca="1">SUM(-'Оборотный капитал'!AK81,'Оборотный капитал'!AK323,'Оборотный капитал'!AK466)*IF($K$3&lt;AK8,0,1)</f>
        <v>0</v>
      </c>
      <c s="125">
        <f ca="1">SUM(-'Оборотный капитал'!AL81,'Оборотный капитал'!AL323,'Оборотный капитал'!AL466)*IF($K$3&lt;AL8,0,1)</f>
        <v>0</v>
      </c>
      <c s="125">
        <f ca="1">SUM(-'Оборотный капитал'!AM81,'Оборотный капитал'!AM323,'Оборотный капитал'!AM466)*IF($K$3&lt;AM8,0,1)</f>
        <v>0</v>
      </c>
      <c s="125">
        <f ca="1">SUM(-'Оборотный капитал'!AN81,'Оборотный капитал'!AN323,'Оборотный капитал'!AN466)*IF($K$3&lt;AN8,0,1)</f>
        <v>0</v>
      </c>
      <c s="125">
        <f ca="1">SUM(-'Оборотный капитал'!AO81,'Оборотный капитал'!AO323,'Оборотный капитал'!AO466)*IF($K$3&lt;AO8,0,1)</f>
        <v>0</v>
      </c>
      <c s="125">
        <f ca="1">SUM(-'Оборотный капитал'!AP81,'Оборотный капитал'!AP323,'Оборотный капитал'!AP466)*IF($K$3&lt;AP8,0,1)</f>
        <v>0</v>
      </c>
      <c s="125">
        <f ca="1">SUM(-'Оборотный капитал'!AQ81,'Оборотный капитал'!AQ323,'Оборотный капитал'!AQ466)*IF($K$3&lt;AQ8,0,1)</f>
        <v>0</v>
      </c>
      <c s="125">
        <f ca="1">SUM(-'Оборотный капитал'!AR81,'Оборотный капитал'!AR323,'Оборотный капитал'!AR466)*IF($K$3&lt;AR8,0,1)</f>
        <v>0</v>
      </c>
      <c s="125">
        <f ca="1">SUM(-'Оборотный капитал'!AS81,'Оборотный капитал'!AS323,'Оборотный капитал'!AS466)*IF($K$3&lt;AS8,0,1)</f>
        <v>0</v>
      </c>
      <c s="125">
        <f ca="1">SUM(-'Оборотный капитал'!AT81,'Оборотный капитал'!AT323,'Оборотный капитал'!AT466)*IF($K$3&lt;AT8,0,1)</f>
        <v>0</v>
      </c>
      <c s="125">
        <f ca="1">SUM(-'Оборотный капитал'!AU81,'Оборотный капитал'!AU323,'Оборотный капитал'!AU466)*IF($K$3&lt;AU8,0,1)</f>
        <v>0</v>
      </c>
      <c s="125">
        <f ca="1">SUM(-'Оборотный капитал'!AV81,'Оборотный капитал'!AV323,'Оборотный капитал'!AV466)*IF($K$3&lt;AV8,0,1)</f>
        <v>0</v>
      </c>
      <c s="125">
        <f ca="1">SUM(-'Оборотный капитал'!AW81,'Оборотный капитал'!AW323,'Оборотный капитал'!AW466)*IF($K$3&lt;AW8,0,1)</f>
        <v>0</v>
      </c>
      <c s="125">
        <f ca="1">SUM(-'Оборотный капитал'!AX81,'Оборотный капитал'!AX323,'Оборотный капитал'!AX466)*IF($K$3&lt;AX8,0,1)</f>
        <v>0</v>
      </c>
      <c s="125">
        <f ca="1">SUM(-'Оборотный капитал'!AY81,'Оборотный капитал'!AY323,'Оборотный капитал'!AY466)*IF($K$3&lt;AY8,0,1)</f>
        <v>0</v>
      </c>
      <c s="125">
        <f ca="1">SUM(-'Оборотный капитал'!AZ81,'Оборотный капитал'!AZ323,'Оборотный капитал'!AZ466)*IF($K$3&lt;AZ8,0,1)</f>
        <v>0</v>
      </c>
      <c s="125">
        <f ca="1">SUM(-'Оборотный капитал'!BA81,'Оборотный капитал'!BA323,'Оборотный капитал'!BA466)*IF($K$3&lt;BA8,0,1)</f>
        <v>0</v>
      </c>
      <c s="125">
        <f ca="1">SUM(-'Оборотный капитал'!BB81,'Оборотный капитал'!BB323,'Оборотный капитал'!BB466)*IF($K$3&lt;BB8,0,1)</f>
        <v>0</v>
      </c>
      <c s="125">
        <f ca="1">SUM(-'Оборотный капитал'!BC81,'Оборотный капитал'!BC323,'Оборотный капитал'!BC466)*IF($K$3&lt;BC8,0,1)</f>
        <v>0</v>
      </c>
      <c s="125">
        <f ca="1">SUM(-'Оборотный капитал'!BD81,'Оборотный капитал'!BD323,'Оборотный капитал'!BD466)*IF($K$3&lt;BD8,0,1)</f>
        <v>0</v>
      </c>
      <c s="125">
        <f ca="1">SUM(-'Оборотный капитал'!BE81,'Оборотный капитал'!BE323,'Оборотный капитал'!BE466)*IF($K$3&lt;BE8,0,1)</f>
        <v>0</v>
      </c>
      <c s="125">
        <f ca="1">SUM(-'Оборотный капитал'!BF81,'Оборотный капитал'!BF323,'Оборотный капитал'!BF466)*IF($K$3&lt;BF8,0,1)</f>
        <v>0</v>
      </c>
      <c s="125">
        <f ca="1">SUM(-'Оборотный капитал'!BG81,'Оборотный капитал'!BG323,'Оборотный капитал'!BG466)*IF($K$3&lt;BG8,0,1)</f>
        <v>0</v>
      </c>
      <c s="125">
        <f ca="1">SUM(-'Оборотный капитал'!BH81,'Оборотный капитал'!BH323,'Оборотный капитал'!BH466)*IF($K$3&lt;BH8,0,1)</f>
        <v>0</v>
      </c>
      <c s="125">
        <f ca="1">SUM(-'Оборотный капитал'!BI81,'Оборотный капитал'!BI323,'Оборотный капитал'!BI466)*IF($K$3&lt;BI8,0,1)</f>
        <v>0</v>
      </c>
      <c s="125">
        <f ca="1">SUM(-'Оборотный капитал'!BJ81,'Оборотный капитал'!BJ323,'Оборотный капитал'!BJ466)*IF($K$3&lt;BJ8,0,1)</f>
        <v>0</v>
      </c>
      <c s="125">
        <f ca="1">SUM(-'Оборотный капитал'!BK81,'Оборотный капитал'!BK323,'Оборотный капитал'!BK466)*IF($K$3&lt;BK8,0,1)</f>
        <v>0</v>
      </c>
      <c s="125">
        <f ca="1">SUM(-'Оборотный капитал'!BL81,'Оборотный капитал'!BL323,'Оборотный капитал'!BL466)*IF($K$3&lt;BL8,0,1)</f>
        <v>0</v>
      </c>
      <c s="125">
        <f ca="1">SUM(-'Оборотный капитал'!BM81,'Оборотный капитал'!BM323,'Оборотный капитал'!BM466)*IF($K$3&lt;BM8,0,1)</f>
        <v>0</v>
      </c>
    </row>
    <row r="45" spans="2:65" ht="15" customHeight="1">
      <c r="B45" s="12" t="s">
        <v>985</v>
      </c>
      <c s="124" t="s">
        <v>438</v>
      </c>
      <c s="276">
        <f t="shared" ca="1" si="85"/>
        <v>0</v>
      </c>
      <c s="125">
        <f>('Оборотный капитал'!E471-Налоги!E308)*IF($K$3&lt;E8,0,1)</f>
        <v>0</v>
      </c>
      <c s="125">
        <f>('Оборотный капитал'!F471-Налоги!F308)*IF($K$3&lt;F8,0,1)</f>
        <v>0</v>
      </c>
      <c s="125">
        <f>('Оборотный капитал'!G471-Налоги!G308)*IF($K$3&lt;G8,0,1)</f>
        <v>0</v>
      </c>
      <c s="125">
        <f>('Оборотный капитал'!H471-Налоги!H308)*IF($K$3&lt;H8,0,1)</f>
        <v>0</v>
      </c>
      <c s="125">
        <f>('Оборотный капитал'!I471-Налоги!I308)*IF($K$3&lt;I8,0,1)</f>
        <v>0</v>
      </c>
      <c s="125">
        <f>('Оборотный капитал'!J471-Налоги!J308)*IF($K$3&lt;J8,0,1)</f>
        <v>0</v>
      </c>
      <c s="125">
        <f>('Оборотный капитал'!K471-Налоги!K308)*IF($K$3&lt;K8,0,1)</f>
        <v>0</v>
      </c>
      <c s="125">
        <f>('Оборотный капитал'!L471-Налоги!L308)*IF($K$3&lt;L8,0,1)</f>
        <v>0</v>
      </c>
      <c s="125">
        <f>('Оборотный капитал'!M471-Налоги!M308)*IF($K$3&lt;M8,0,1)</f>
        <v>0</v>
      </c>
      <c s="125">
        <f>('Оборотный капитал'!N471-Налоги!N308)*IF($K$3&lt;N8,0,1)</f>
        <v>0</v>
      </c>
      <c s="125">
        <f>('Оборотный капитал'!O471-Налоги!O308)*IF($K$3&lt;O8,0,1)</f>
        <v>0</v>
      </c>
      <c s="125">
        <f>('Оборотный капитал'!P471-Налоги!P308)*IF($K$3&lt;P8,0,1)</f>
        <v>0</v>
      </c>
      <c s="125">
        <f>('Оборотный капитал'!Q471-Налоги!Q308)*IF($K$3&lt;Q8,0,1)</f>
        <v>0</v>
      </c>
      <c s="125">
        <f>('Оборотный капитал'!R471-Налоги!R308)*IF($K$3&lt;R8,0,1)</f>
        <v>0</v>
      </c>
      <c s="125">
        <f>('Оборотный капитал'!S471-Налоги!S308)*IF($K$3&lt;S8,0,1)</f>
        <v>0</v>
      </c>
      <c s="125">
        <f>('Оборотный капитал'!T471-Налоги!T308)*IF($K$3&lt;T8,0,1)</f>
        <v>0</v>
      </c>
      <c s="125">
        <f>('Оборотный капитал'!U471-Налоги!U308)*IF($K$3&lt;U8,0,1)</f>
        <v>0</v>
      </c>
      <c s="125">
        <f>('Оборотный капитал'!V471-Налоги!V308)*IF($K$3&lt;V8,0,1)</f>
        <v>0</v>
      </c>
      <c s="125">
        <f>('Оборотный капитал'!W471-Налоги!W308)*IF($K$3&lt;W8,0,1)</f>
        <v>0</v>
      </c>
      <c s="125">
        <f>('Оборотный капитал'!X471-Налоги!X308)*IF($K$3&lt;X8,0,1)</f>
        <v>0</v>
      </c>
      <c s="125">
        <f>('Оборотный капитал'!Y471-Налоги!Y308)*IF($K$3&lt;Y8,0,1)</f>
        <v>0</v>
      </c>
      <c s="125">
        <f>('Оборотный капитал'!Z471-Налоги!Z308)*IF($K$3&lt;Z8,0,1)</f>
        <v>0</v>
      </c>
      <c s="125">
        <f>('Оборотный капитал'!AA471-Налоги!AA308)*IF($K$3&lt;AA8,0,1)</f>
        <v>0</v>
      </c>
      <c s="125">
        <f>('Оборотный капитал'!AB471-Налоги!AB308)*IF($K$3&lt;AB8,0,1)</f>
        <v>0</v>
      </c>
      <c s="125">
        <f>('Оборотный капитал'!AC471-Налоги!AC308)*IF($K$3&lt;AC8,0,1)</f>
        <v>0</v>
      </c>
      <c s="125">
        <f>('Оборотный капитал'!AD471-Налоги!AD308)*IF($K$3&lt;AD8,0,1)</f>
        <v>0</v>
      </c>
      <c s="125">
        <f>('Оборотный капитал'!AE471-Налоги!AE308)*IF($K$3&lt;AE8,0,1)</f>
        <v>0</v>
      </c>
      <c s="125">
        <f>('Оборотный капитал'!AF471-Налоги!AF308)*IF($K$3&lt;AF8,0,1)</f>
        <v>0</v>
      </c>
      <c s="125">
        <f>('Оборотный капитал'!AG471-Налоги!AG308)*IF($K$3&lt;AG8,0,1)</f>
        <v>0</v>
      </c>
      <c s="125">
        <f>('Оборотный капитал'!AH471-Налоги!AH308)*IF($K$3&lt;AH8,0,1)</f>
        <v>0</v>
      </c>
      <c s="125">
        <f>('Оборотный капитал'!AI471-Налоги!AI308)*IF($K$3&lt;AI8,0,1)</f>
        <v>0</v>
      </c>
      <c s="125">
        <f>('Оборотный капитал'!AJ471-Налоги!AJ308)*IF($K$3&lt;AJ8,0,1)</f>
        <v>0</v>
      </c>
      <c s="125">
        <f>('Оборотный капитал'!AK471-Налоги!AK308)*IF($K$3&lt;AK8,0,1)</f>
        <v>0</v>
      </c>
      <c s="125">
        <f>('Оборотный капитал'!AL471-Налоги!AL308)*IF($K$3&lt;AL8,0,1)</f>
        <v>0</v>
      </c>
      <c s="125">
        <f>('Оборотный капитал'!AM471-Налоги!AM308)*IF($K$3&lt;AM8,0,1)</f>
        <v>0</v>
      </c>
      <c s="125">
        <f>('Оборотный капитал'!AN471-Налоги!AN308)*IF($K$3&lt;AN8,0,1)</f>
        <v>0</v>
      </c>
      <c s="125">
        <f>('Оборотный капитал'!AO471-Налоги!AO308)*IF($K$3&lt;AO8,0,1)</f>
        <v>0</v>
      </c>
      <c s="125">
        <f>('Оборотный капитал'!AP471-Налоги!AP308)*IF($K$3&lt;AP8,0,1)</f>
        <v>0</v>
      </c>
      <c s="125">
        <f>('Оборотный капитал'!AQ471-Налоги!AQ308)*IF($K$3&lt;AQ8,0,1)</f>
        <v>0</v>
      </c>
      <c s="125">
        <f>('Оборотный капитал'!AR471-Налоги!AR308)*IF($K$3&lt;AR8,0,1)</f>
        <v>0</v>
      </c>
      <c s="125">
        <f>('Оборотный капитал'!AS471-Налоги!AS308)*IF($K$3&lt;AS8,0,1)</f>
        <v>0</v>
      </c>
      <c s="125">
        <f>('Оборотный капитал'!AT471-Налоги!AT308)*IF($K$3&lt;AT8,0,1)</f>
        <v>0</v>
      </c>
      <c s="125">
        <f>('Оборотный капитал'!AU471-Налоги!AU308)*IF($K$3&lt;AU8,0,1)</f>
        <v>0</v>
      </c>
      <c s="125">
        <f>('Оборотный капитал'!AV471-Налоги!AV308)*IF($K$3&lt;AV8,0,1)</f>
        <v>0</v>
      </c>
      <c s="125">
        <f>('Оборотный капитал'!AW471-Налоги!AW308)*IF($K$3&lt;AW8,0,1)</f>
        <v>0</v>
      </c>
      <c s="125">
        <f>('Оборотный капитал'!AX471-Налоги!AX308)*IF($K$3&lt;AX8,0,1)</f>
        <v>0</v>
      </c>
      <c s="125">
        <f>('Оборотный капитал'!AY471-Налоги!AY308)*IF($K$3&lt;AY8,0,1)</f>
        <v>0</v>
      </c>
      <c s="125">
        <f>('Оборотный капитал'!AZ471-Налоги!AZ308)*IF($K$3&lt;AZ8,0,1)</f>
        <v>0</v>
      </c>
      <c s="125">
        <f>('Оборотный капитал'!BA471-Налоги!BA308)*IF($K$3&lt;BA8,0,1)</f>
        <v>0</v>
      </c>
      <c s="125">
        <f>('Оборотный капитал'!BB471-Налоги!BB308)*IF($K$3&lt;BB8,0,1)</f>
        <v>0</v>
      </c>
      <c s="125">
        <f>('Оборотный капитал'!BC471-Налоги!BC308)*IF($K$3&lt;BC8,0,1)</f>
        <v>0</v>
      </c>
      <c s="125">
        <f>('Оборотный капитал'!BD471-Налоги!BD308)*IF($K$3&lt;BD8,0,1)</f>
        <v>0</v>
      </c>
      <c s="125">
        <f>('Оборотный капитал'!BE471-Налоги!BE308)*IF($K$3&lt;BE8,0,1)</f>
        <v>0</v>
      </c>
      <c s="125">
        <f>('Оборотный капитал'!BF471-Налоги!BF308)*IF($K$3&lt;BF8,0,1)</f>
        <v>0</v>
      </c>
      <c s="125">
        <f>('Оборотный капитал'!BG471-Налоги!BG308)*IF($K$3&lt;BG8,0,1)</f>
        <v>0</v>
      </c>
      <c s="125">
        <f>('Оборотный капитал'!BH471-Налоги!BH308)*IF($K$3&lt;BH8,0,1)</f>
        <v>0</v>
      </c>
      <c s="125">
        <f>('Оборотный капитал'!BI471-Налоги!BI308)*IF($K$3&lt;BI8,0,1)</f>
        <v>0</v>
      </c>
      <c s="125">
        <f>('Оборотный капитал'!BJ471-Налоги!BJ308)*IF($K$3&lt;BJ8,0,1)</f>
        <v>0</v>
      </c>
      <c s="125">
        <f>('Оборотный капитал'!BK471-Налоги!BK308)*IF($K$3&lt;BK8,0,1)</f>
        <v>0</v>
      </c>
      <c s="125">
        <f>('Оборотный капитал'!BL471-Налоги!BL308)*IF($K$3&lt;BL8,0,1)</f>
        <v>0</v>
      </c>
      <c s="125">
        <f>('Оборотный капитал'!BM471-Налоги!BM308)*IF($K$3&lt;BM8,0,1)</f>
        <v>0</v>
      </c>
    </row>
    <row r="46" spans="2:65" ht="15" customHeight="1">
      <c r="B46" s="12" t="s">
        <v>924</v>
      </c>
      <c s="124" t="s">
        <v>438</v>
      </c>
      <c s="276">
        <f t="shared" ca="1" si="85"/>
        <v>0</v>
      </c>
      <c s="125">
        <f>Налоги!E30*IF($K$3&lt;E8,0,1)</f>
        <v>0</v>
      </c>
      <c s="125">
        <f ca="1">Налоги!F30*IF($K$3&lt;F8,0,1)</f>
        <v>0</v>
      </c>
      <c s="125">
        <f ca="1">Налоги!G30*IF($K$3&lt;G8,0,1)</f>
        <v>0</v>
      </c>
      <c s="125">
        <f ca="1">Налоги!H30*IF($K$3&lt;H8,0,1)</f>
        <v>0</v>
      </c>
      <c s="125">
        <f ca="1">Налоги!I30*IF($K$3&lt;I8,0,1)</f>
        <v>0</v>
      </c>
      <c s="125">
        <f ca="1">Налоги!J30*IF($K$3&lt;J8,0,1)</f>
        <v>0</v>
      </c>
      <c s="125">
        <f ca="1">Налоги!K30*IF($K$3&lt;K8,0,1)</f>
        <v>0</v>
      </c>
      <c s="125">
        <f ca="1">Налоги!L30*IF($K$3&lt;L8,0,1)</f>
        <v>0</v>
      </c>
      <c s="125">
        <f ca="1">Налоги!M30*IF($K$3&lt;M8,0,1)</f>
        <v>0</v>
      </c>
      <c s="125">
        <f ca="1">Налоги!N30*IF($K$3&lt;N8,0,1)</f>
        <v>0</v>
      </c>
      <c s="125">
        <f ca="1">Налоги!O30*IF($K$3&lt;O8,0,1)</f>
        <v>0</v>
      </c>
      <c s="125">
        <f ca="1">Налоги!P30*IF($K$3&lt;P8,0,1)</f>
        <v>0</v>
      </c>
      <c s="125">
        <f ca="1">Налоги!Q30*IF($K$3&lt;Q8,0,1)</f>
        <v>0</v>
      </c>
      <c s="125">
        <f ca="1">Налоги!R30*IF($K$3&lt;R8,0,1)</f>
        <v>0</v>
      </c>
      <c s="125">
        <f ca="1">Налоги!S30*IF($K$3&lt;S8,0,1)</f>
        <v>0</v>
      </c>
      <c s="125">
        <f ca="1">Налоги!T30*IF($K$3&lt;T8,0,1)</f>
        <v>0</v>
      </c>
      <c s="125">
        <f ca="1">Налоги!U30*IF($K$3&lt;U8,0,1)</f>
        <v>0</v>
      </c>
      <c s="125">
        <f ca="1">Налоги!V30*IF($K$3&lt;V8,0,1)</f>
        <v>0</v>
      </c>
      <c s="125">
        <f ca="1">Налоги!W30*IF($K$3&lt;W8,0,1)</f>
        <v>0</v>
      </c>
      <c s="125">
        <f ca="1">Налоги!X30*IF($K$3&lt;X8,0,1)</f>
        <v>0</v>
      </c>
      <c s="125">
        <f ca="1">Налоги!Y30*IF($K$3&lt;Y8,0,1)</f>
        <v>0</v>
      </c>
      <c s="125">
        <f ca="1">Налоги!Z30*IF($K$3&lt;Z8,0,1)</f>
        <v>0</v>
      </c>
      <c s="125">
        <f ca="1">Налоги!AA30*IF($K$3&lt;AA8,0,1)</f>
        <v>0</v>
      </c>
      <c s="125">
        <f ca="1">Налоги!AB30*IF($K$3&lt;AB8,0,1)</f>
        <v>0</v>
      </c>
      <c s="125">
        <f ca="1">Налоги!AC30*IF($K$3&lt;AC8,0,1)</f>
        <v>0</v>
      </c>
      <c s="125">
        <f ca="1">Налоги!AD30*IF($K$3&lt;AD8,0,1)</f>
        <v>0</v>
      </c>
      <c s="125">
        <f ca="1">Налоги!AE30*IF($K$3&lt;AE8,0,1)</f>
        <v>0</v>
      </c>
      <c s="125">
        <f ca="1">Налоги!AF30*IF($K$3&lt;AF8,0,1)</f>
        <v>0</v>
      </c>
      <c s="125">
        <f ca="1">Налоги!AG30*IF($K$3&lt;AG8,0,1)</f>
        <v>0</v>
      </c>
      <c s="125">
        <f ca="1">Налоги!AH30*IF($K$3&lt;AH8,0,1)</f>
        <v>0</v>
      </c>
      <c s="125">
        <f ca="1">Налоги!AI30*IF($K$3&lt;AI8,0,1)</f>
        <v>0</v>
      </c>
      <c s="125">
        <f ca="1">Налоги!AJ30*IF($K$3&lt;AJ8,0,1)</f>
        <v>0</v>
      </c>
      <c s="125">
        <f ca="1">Налоги!AK30*IF($K$3&lt;AK8,0,1)</f>
        <v>0</v>
      </c>
      <c s="125">
        <f ca="1">Налоги!AL30*IF($K$3&lt;AL8,0,1)</f>
        <v>0</v>
      </c>
      <c s="125">
        <f ca="1">Налоги!AM30*IF($K$3&lt;AM8,0,1)</f>
        <v>0</v>
      </c>
      <c s="125">
        <f ca="1">Налоги!AN30*IF($K$3&lt;AN8,0,1)</f>
        <v>0</v>
      </c>
      <c s="125">
        <f ca="1">Налоги!AO30*IF($K$3&lt;AO8,0,1)</f>
        <v>0</v>
      </c>
      <c s="125">
        <f ca="1">Налоги!AP30*IF($K$3&lt;AP8,0,1)</f>
        <v>0</v>
      </c>
      <c s="125">
        <f ca="1">Налоги!AQ30*IF($K$3&lt;AQ8,0,1)</f>
        <v>0</v>
      </c>
      <c s="125">
        <f ca="1">Налоги!AR30*IF($K$3&lt;AR8,0,1)</f>
        <v>0</v>
      </c>
      <c s="125">
        <f ca="1">Налоги!AS30*IF($K$3&lt;AS8,0,1)</f>
        <v>0</v>
      </c>
      <c s="125">
        <f ca="1">Налоги!AT30*IF($K$3&lt;AT8,0,1)</f>
        <v>0</v>
      </c>
      <c s="125">
        <f ca="1">Налоги!AU30*IF($K$3&lt;AU8,0,1)</f>
        <v>0</v>
      </c>
      <c s="125">
        <f ca="1">Налоги!AV30*IF($K$3&lt;AV8,0,1)</f>
        <v>0</v>
      </c>
      <c s="125">
        <f ca="1">Налоги!AW30*IF($K$3&lt;AW8,0,1)</f>
        <v>0</v>
      </c>
      <c s="125">
        <f ca="1">Налоги!AX30*IF($K$3&lt;AX8,0,1)</f>
        <v>0</v>
      </c>
      <c s="125">
        <f ca="1">Налоги!AY30*IF($K$3&lt;AY8,0,1)</f>
        <v>0</v>
      </c>
      <c s="125">
        <f ca="1">Налоги!AZ30*IF($K$3&lt;AZ8,0,1)</f>
        <v>0</v>
      </c>
      <c s="125">
        <f ca="1">Налоги!BA30*IF($K$3&lt;BA8,0,1)</f>
        <v>0</v>
      </c>
      <c s="125">
        <f ca="1">Налоги!BB30*IF($K$3&lt;BB8,0,1)</f>
        <v>0</v>
      </c>
      <c s="125">
        <f ca="1">Налоги!BC30*IF($K$3&lt;BC8,0,1)</f>
        <v>0</v>
      </c>
      <c s="125">
        <f ca="1">Налоги!BD30*IF($K$3&lt;BD8,0,1)</f>
        <v>0</v>
      </c>
      <c s="125">
        <f ca="1">Налоги!BE30*IF($K$3&lt;BE8,0,1)</f>
        <v>0</v>
      </c>
      <c s="125">
        <f ca="1">Налоги!BF30*IF($K$3&lt;BF8,0,1)</f>
        <v>0</v>
      </c>
      <c s="125">
        <f ca="1">Налоги!BG30*IF($K$3&lt;BG8,0,1)</f>
        <v>0</v>
      </c>
      <c s="125">
        <f ca="1">Налоги!BH30*IF($K$3&lt;BH8,0,1)</f>
        <v>0</v>
      </c>
      <c s="125">
        <f ca="1">Налоги!BI30*IF($K$3&lt;BI8,0,1)</f>
        <v>0</v>
      </c>
      <c s="125">
        <f ca="1">Налоги!BJ30*IF($K$3&lt;BJ8,0,1)</f>
        <v>0</v>
      </c>
      <c s="125">
        <f ca="1">Налоги!BK30*IF($K$3&lt;BK8,0,1)</f>
        <v>0</v>
      </c>
      <c s="125">
        <f ca="1">Налоги!BL30*IF($K$3&lt;BL8,0,1)</f>
        <v>0</v>
      </c>
      <c s="125">
        <f ca="1">Налоги!BM30*IF($K$3&lt;BM8,0,1)</f>
        <v>0</v>
      </c>
    </row>
    <row r="47" spans="2:65" ht="15" customHeight="1">
      <c r="B47" s="12" t="s">
        <v>932</v>
      </c>
      <c s="124" t="s">
        <v>438</v>
      </c>
      <c s="276">
        <f t="shared" ca="1" si="85"/>
        <v>0</v>
      </c>
      <c s="125">
        <f>Налоги!E86*IF($K$3&lt;E8,0,1)</f>
        <v>0</v>
      </c>
      <c s="125">
        <f>Налоги!F86*IF($K$3&lt;F8,0,1)</f>
        <v>0</v>
      </c>
      <c s="125">
        <f>Налоги!G86*IF($K$3&lt;G8,0,1)</f>
        <v>0</v>
      </c>
      <c s="125">
        <f>Налоги!H86*IF($K$3&lt;H8,0,1)</f>
        <v>0</v>
      </c>
      <c s="125">
        <f>Налоги!I86*IF($K$3&lt;I8,0,1)</f>
        <v>0</v>
      </c>
      <c s="125">
        <f>Налоги!J86*IF($K$3&lt;J8,0,1)</f>
        <v>0</v>
      </c>
      <c s="125">
        <f>Налоги!K86*IF($K$3&lt;K8,0,1)</f>
        <v>0</v>
      </c>
      <c s="125">
        <f>Налоги!L86*IF($K$3&lt;L8,0,1)</f>
        <v>0</v>
      </c>
      <c s="125">
        <f>Налоги!M86*IF($K$3&lt;M8,0,1)</f>
        <v>0</v>
      </c>
      <c s="125">
        <f>Налоги!N86*IF($K$3&lt;N8,0,1)</f>
        <v>0</v>
      </c>
      <c s="125">
        <f>Налоги!O86*IF($K$3&lt;O8,0,1)</f>
        <v>0</v>
      </c>
      <c s="125">
        <f>Налоги!P86*IF($K$3&lt;P8,0,1)</f>
        <v>0</v>
      </c>
      <c s="125">
        <f>Налоги!Q86*IF($K$3&lt;Q8,0,1)</f>
        <v>0</v>
      </c>
      <c s="125">
        <f>Налоги!R86*IF($K$3&lt;R8,0,1)</f>
        <v>0</v>
      </c>
      <c s="125">
        <f>Налоги!S86*IF($K$3&lt;S8,0,1)</f>
        <v>0</v>
      </c>
      <c s="125">
        <f>Налоги!T86*IF($K$3&lt;T8,0,1)</f>
        <v>0</v>
      </c>
      <c s="125">
        <f>Налоги!U86*IF($K$3&lt;U8,0,1)</f>
        <v>0</v>
      </c>
      <c s="125">
        <f>Налоги!V86*IF($K$3&lt;V8,0,1)</f>
        <v>0</v>
      </c>
      <c s="125">
        <f>Налоги!W86*IF($K$3&lt;W8,0,1)</f>
        <v>0</v>
      </c>
      <c s="125">
        <f>Налоги!X86*IF($K$3&lt;X8,0,1)</f>
        <v>0</v>
      </c>
      <c s="125">
        <f>Налоги!Y86*IF($K$3&lt;Y8,0,1)</f>
        <v>0</v>
      </c>
      <c s="125">
        <f>Налоги!Z86*IF($K$3&lt;Z8,0,1)</f>
        <v>0</v>
      </c>
      <c s="125">
        <f>Налоги!AA86*IF($K$3&lt;AA8,0,1)</f>
        <v>0</v>
      </c>
      <c s="125">
        <f>Налоги!AB86*IF($K$3&lt;AB8,0,1)</f>
        <v>0</v>
      </c>
      <c s="125">
        <f>Налоги!AC86*IF($K$3&lt;AC8,0,1)</f>
        <v>0</v>
      </c>
      <c s="125">
        <f>Налоги!AD86*IF($K$3&lt;AD8,0,1)</f>
        <v>0</v>
      </c>
      <c s="125">
        <f>Налоги!AE86*IF($K$3&lt;AE8,0,1)</f>
        <v>0</v>
      </c>
      <c s="125">
        <f>Налоги!AF86*IF($K$3&lt;AF8,0,1)</f>
        <v>0</v>
      </c>
      <c s="125">
        <f>Налоги!AG86*IF($K$3&lt;AG8,0,1)</f>
        <v>0</v>
      </c>
      <c s="125">
        <f>Налоги!AH86*IF($K$3&lt;AH8,0,1)</f>
        <v>0</v>
      </c>
      <c s="125">
        <f>Налоги!AI86*IF($K$3&lt;AI8,0,1)</f>
        <v>0</v>
      </c>
      <c s="125">
        <f>Налоги!AJ86*IF($K$3&lt;AJ8,0,1)</f>
        <v>0</v>
      </c>
      <c s="125">
        <f>Налоги!AK86*IF($K$3&lt;AK8,0,1)</f>
        <v>0</v>
      </c>
      <c s="125">
        <f>Налоги!AL86*IF($K$3&lt;AL8,0,1)</f>
        <v>0</v>
      </c>
      <c s="125">
        <f>Налоги!AM86*IF($K$3&lt;AM8,0,1)</f>
        <v>0</v>
      </c>
      <c s="125">
        <f>Налоги!AN86*IF($K$3&lt;AN8,0,1)</f>
        <v>0</v>
      </c>
      <c s="125">
        <f>Налоги!AO86*IF($K$3&lt;AO8,0,1)</f>
        <v>0</v>
      </c>
      <c s="125">
        <f>Налоги!AP86*IF($K$3&lt;AP8,0,1)</f>
        <v>0</v>
      </c>
      <c s="125">
        <f>Налоги!AQ86*IF($K$3&lt;AQ8,0,1)</f>
        <v>0</v>
      </c>
      <c s="125">
        <f>Налоги!AR86*IF($K$3&lt;AR8,0,1)</f>
        <v>0</v>
      </c>
      <c s="125">
        <f>Налоги!AS86*IF($K$3&lt;AS8,0,1)</f>
        <v>0</v>
      </c>
      <c s="125">
        <f>Налоги!AT86*IF($K$3&lt;AT8,0,1)</f>
        <v>0</v>
      </c>
      <c s="125">
        <f>Налоги!AU86*IF($K$3&lt;AU8,0,1)</f>
        <v>0</v>
      </c>
      <c s="125">
        <f>Налоги!AV86*IF($K$3&lt;AV8,0,1)</f>
        <v>0</v>
      </c>
      <c s="125">
        <f>Налоги!AW86*IF($K$3&lt;AW8,0,1)</f>
        <v>0</v>
      </c>
      <c s="125">
        <f>Налоги!AX86*IF($K$3&lt;AX8,0,1)</f>
        <v>0</v>
      </c>
      <c s="125">
        <f>Налоги!AY86*IF($K$3&lt;AY8,0,1)</f>
        <v>0</v>
      </c>
      <c s="125">
        <f>Налоги!AZ86*IF($K$3&lt;AZ8,0,1)</f>
        <v>0</v>
      </c>
      <c s="125">
        <f>Налоги!BA86*IF($K$3&lt;BA8,0,1)</f>
        <v>0</v>
      </c>
      <c s="125">
        <f>Налоги!BB86*IF($K$3&lt;BB8,0,1)</f>
        <v>0</v>
      </c>
      <c s="125">
        <f>Налоги!BC86*IF($K$3&lt;BC8,0,1)</f>
        <v>0</v>
      </c>
      <c s="125">
        <f>Налоги!BD86*IF($K$3&lt;BD8,0,1)</f>
        <v>0</v>
      </c>
      <c s="125">
        <f>Налоги!BE86*IF($K$3&lt;BE8,0,1)</f>
        <v>0</v>
      </c>
      <c s="125">
        <f>Налоги!BF86*IF($K$3&lt;BF8,0,1)</f>
        <v>0</v>
      </c>
      <c s="125">
        <f>Налоги!BG86*IF($K$3&lt;BG8,0,1)</f>
        <v>0</v>
      </c>
      <c s="125">
        <f>Налоги!BH86*IF($K$3&lt;BH8,0,1)</f>
        <v>0</v>
      </c>
      <c s="125">
        <f>Налоги!BI86*IF($K$3&lt;BI8,0,1)</f>
        <v>0</v>
      </c>
      <c s="125">
        <f>Налоги!BJ86*IF($K$3&lt;BJ8,0,1)</f>
        <v>0</v>
      </c>
      <c s="125">
        <f>Налоги!BK86*IF($K$3&lt;BK8,0,1)</f>
        <v>0</v>
      </c>
      <c s="125">
        <f>Налоги!BL86*IF($K$3&lt;BL8,0,1)</f>
        <v>0</v>
      </c>
      <c s="125">
        <f>Налоги!BM86*IF($K$3&lt;BM8,0,1)</f>
        <v>0</v>
      </c>
    </row>
    <row r="48" spans="2:65" ht="15" customHeight="1">
      <c r="B48" s="12" t="s">
        <v>943</v>
      </c>
      <c s="124" t="s">
        <v>438</v>
      </c>
      <c s="276">
        <f t="shared" ca="1" si="85"/>
        <v>0</v>
      </c>
      <c s="125">
        <f>Налоги!E111*IF($K$3&lt;E8,0,1)</f>
        <v>0</v>
      </c>
      <c s="125">
        <f>Налоги!F111*IF($K$3&lt;F8,0,1)</f>
        <v>0</v>
      </c>
      <c s="125">
        <f ca="1">Налоги!G111*IF($K$3&lt;G8,0,1)</f>
        <v>0</v>
      </c>
      <c s="125">
        <f ca="1">Налоги!H111*IF($K$3&lt;H8,0,1)</f>
        <v>0</v>
      </c>
      <c s="125">
        <f ca="1">Налоги!I111*IF($K$3&lt;I8,0,1)</f>
        <v>0</v>
      </c>
      <c s="125">
        <f ca="1">Налоги!J111*IF($K$3&lt;J8,0,1)</f>
        <v>0</v>
      </c>
      <c s="125">
        <f ca="1">Налоги!K111*IF($K$3&lt;K8,0,1)</f>
        <v>0</v>
      </c>
      <c s="125">
        <f ca="1">Налоги!L111*IF($K$3&lt;L8,0,1)</f>
        <v>0</v>
      </c>
      <c s="125">
        <f ca="1">Налоги!M111*IF($K$3&lt;M8,0,1)</f>
        <v>0</v>
      </c>
      <c s="125">
        <f ca="1">Налоги!N111*IF($K$3&lt;N8,0,1)</f>
        <v>0</v>
      </c>
      <c s="125">
        <f ca="1">Налоги!O111*IF($K$3&lt;O8,0,1)</f>
        <v>0</v>
      </c>
      <c s="125">
        <f ca="1">Налоги!P111*IF($K$3&lt;P8,0,1)</f>
        <v>0</v>
      </c>
      <c s="125">
        <f ca="1">Налоги!Q111*IF($K$3&lt;Q8,0,1)</f>
        <v>0</v>
      </c>
      <c s="125">
        <f ca="1">Налоги!R111*IF($K$3&lt;R8,0,1)</f>
        <v>0</v>
      </c>
      <c s="125">
        <f ca="1">Налоги!S111*IF($K$3&lt;S8,0,1)</f>
        <v>0</v>
      </c>
      <c s="125">
        <f ca="1">Налоги!T111*IF($K$3&lt;T8,0,1)</f>
        <v>0</v>
      </c>
      <c s="125">
        <f ca="1">Налоги!U111*IF($K$3&lt;U8,0,1)</f>
        <v>0</v>
      </c>
      <c s="125">
        <f ca="1">Налоги!V111*IF($K$3&lt;V8,0,1)</f>
        <v>0</v>
      </c>
      <c s="125">
        <f ca="1">Налоги!W111*IF($K$3&lt;W8,0,1)</f>
        <v>0</v>
      </c>
      <c s="125">
        <f ca="1">Налоги!X111*IF($K$3&lt;X8,0,1)</f>
        <v>0</v>
      </c>
      <c s="125">
        <f ca="1">Налоги!Y111*IF($K$3&lt;Y8,0,1)</f>
        <v>0</v>
      </c>
      <c s="125">
        <f ca="1">Налоги!Z111*IF($K$3&lt;Z8,0,1)</f>
        <v>0</v>
      </c>
      <c s="125">
        <f ca="1">Налоги!AA111*IF($K$3&lt;AA8,0,1)</f>
        <v>0</v>
      </c>
      <c s="125">
        <f ca="1">Налоги!AB111*IF($K$3&lt;AB8,0,1)</f>
        <v>0</v>
      </c>
      <c s="125">
        <f ca="1">Налоги!AC111*IF($K$3&lt;AC8,0,1)</f>
        <v>0</v>
      </c>
      <c s="125">
        <f ca="1">Налоги!AD111*IF($K$3&lt;AD8,0,1)</f>
        <v>0</v>
      </c>
      <c s="125">
        <f ca="1">Налоги!AE111*IF($K$3&lt;AE8,0,1)</f>
        <v>0</v>
      </c>
      <c s="125">
        <f ca="1">Налоги!AF111*IF($K$3&lt;AF8,0,1)</f>
        <v>0</v>
      </c>
      <c s="125">
        <f ca="1">Налоги!AG111*IF($K$3&lt;AG8,0,1)</f>
        <v>0</v>
      </c>
      <c s="125">
        <f ca="1">Налоги!AH111*IF($K$3&lt;AH8,0,1)</f>
        <v>0</v>
      </c>
      <c s="125">
        <f ca="1">Налоги!AI111*IF($K$3&lt;AI8,0,1)</f>
        <v>0</v>
      </c>
      <c s="125">
        <f ca="1">Налоги!AJ111*IF($K$3&lt;AJ8,0,1)</f>
        <v>0</v>
      </c>
      <c s="125">
        <f ca="1">Налоги!AK111*IF($K$3&lt;AK8,0,1)</f>
        <v>0</v>
      </c>
      <c s="125">
        <f ca="1">Налоги!AL111*IF($K$3&lt;AL8,0,1)</f>
        <v>0</v>
      </c>
      <c s="125">
        <f ca="1">Налоги!AM111*IF($K$3&lt;AM8,0,1)</f>
        <v>0</v>
      </c>
      <c s="125">
        <f ca="1">Налоги!AN111*IF($K$3&lt;AN8,0,1)</f>
        <v>0</v>
      </c>
      <c s="125">
        <f ca="1">Налоги!AO111*IF($K$3&lt;AO8,0,1)</f>
        <v>0</v>
      </c>
      <c s="125">
        <f ca="1">Налоги!AP111*IF($K$3&lt;AP8,0,1)</f>
        <v>0</v>
      </c>
      <c s="125">
        <f ca="1">Налоги!AQ111*IF($K$3&lt;AQ8,0,1)</f>
        <v>0</v>
      </c>
      <c s="125">
        <f ca="1">Налоги!AR111*IF($K$3&lt;AR8,0,1)</f>
        <v>0</v>
      </c>
      <c s="125">
        <f ca="1">Налоги!AS111*IF($K$3&lt;AS8,0,1)</f>
        <v>0</v>
      </c>
      <c s="125">
        <f ca="1">Налоги!AT111*IF($K$3&lt;AT8,0,1)</f>
        <v>0</v>
      </c>
      <c s="125">
        <f ca="1">Налоги!AU111*IF($K$3&lt;AU8,0,1)</f>
        <v>0</v>
      </c>
      <c s="125">
        <f ca="1">Налоги!AV111*IF($K$3&lt;AV8,0,1)</f>
        <v>0</v>
      </c>
      <c s="125">
        <f ca="1">Налоги!AW111*IF($K$3&lt;AW8,0,1)</f>
        <v>0</v>
      </c>
      <c s="125">
        <f ca="1">Налоги!AX111*IF($K$3&lt;AX8,0,1)</f>
        <v>0</v>
      </c>
      <c s="125">
        <f ca="1">Налоги!AY111*IF($K$3&lt;AY8,0,1)</f>
        <v>0</v>
      </c>
      <c s="125">
        <f ca="1">Налоги!AZ111*IF($K$3&lt;AZ8,0,1)</f>
        <v>0</v>
      </c>
      <c s="125">
        <f ca="1">Налоги!BA111*IF($K$3&lt;BA8,0,1)</f>
        <v>0</v>
      </c>
      <c s="125">
        <f ca="1">Налоги!BB111*IF($K$3&lt;BB8,0,1)</f>
        <v>0</v>
      </c>
      <c s="125">
        <f ca="1">Налоги!BC111*IF($K$3&lt;BC8,0,1)</f>
        <v>0</v>
      </c>
      <c s="125">
        <f ca="1">Налоги!BD111*IF($K$3&lt;BD8,0,1)</f>
        <v>0</v>
      </c>
      <c s="125">
        <f ca="1">Налоги!BE111*IF($K$3&lt;BE8,0,1)</f>
        <v>0</v>
      </c>
      <c s="125">
        <f ca="1">Налоги!BF111*IF($K$3&lt;BF8,0,1)</f>
        <v>0</v>
      </c>
      <c s="125">
        <f ca="1">Налоги!BG111*IF($K$3&lt;BG8,0,1)</f>
        <v>0</v>
      </c>
      <c s="125">
        <f ca="1">Налоги!BH111*IF($K$3&lt;BH8,0,1)</f>
        <v>0</v>
      </c>
      <c s="125">
        <f ca="1">Налоги!BI111*IF($K$3&lt;BI8,0,1)</f>
        <v>0</v>
      </c>
      <c s="125">
        <f ca="1">Налоги!BJ111*IF($K$3&lt;BJ8,0,1)</f>
        <v>0</v>
      </c>
      <c s="125">
        <f ca="1">Налоги!BK111*IF($K$3&lt;BK8,0,1)</f>
        <v>0</v>
      </c>
      <c s="125">
        <f ca="1">Налоги!BL111*IF($K$3&lt;BL8,0,1)</f>
        <v>0</v>
      </c>
      <c s="125">
        <f ca="1">Налоги!BM111*IF($K$3&lt;BM8,0,1)</f>
        <v>0</v>
      </c>
    </row>
    <row r="49" spans="2:65" ht="15" customHeight="1">
      <c r="B49" s="12" t="s">
        <v>950</v>
      </c>
      <c s="124" t="s">
        <v>438</v>
      </c>
      <c s="276">
        <f t="shared" ca="1" si="85"/>
        <v>0</v>
      </c>
      <c s="125">
        <f>Налоги!E308*IF($K$3&lt;E8,0,1)</f>
        <v>0</v>
      </c>
      <c s="125">
        <f>Налоги!F308*IF($K$3&lt;F8,0,1)</f>
        <v>0</v>
      </c>
      <c s="125">
        <f>Налоги!G308*IF($K$3&lt;G8,0,1)</f>
        <v>0</v>
      </c>
      <c s="125">
        <f>Налоги!H308*IF($K$3&lt;H8,0,1)</f>
        <v>0</v>
      </c>
      <c s="125">
        <f>Налоги!I308*IF($K$3&lt;I8,0,1)</f>
        <v>0</v>
      </c>
      <c s="125">
        <f>Налоги!J308*IF($K$3&lt;J8,0,1)</f>
        <v>0</v>
      </c>
      <c s="125">
        <f>Налоги!K308*IF($K$3&lt;K8,0,1)</f>
        <v>0</v>
      </c>
      <c s="125">
        <f>Налоги!L308*IF($K$3&lt;L8,0,1)</f>
        <v>0</v>
      </c>
      <c s="125">
        <f>Налоги!M308*IF($K$3&lt;M8,0,1)</f>
        <v>0</v>
      </c>
      <c s="125">
        <f>Налоги!N308*IF($K$3&lt;N8,0,1)</f>
        <v>0</v>
      </c>
      <c s="125">
        <f>Налоги!O308*IF($K$3&lt;O8,0,1)</f>
        <v>0</v>
      </c>
      <c s="125">
        <f>Налоги!P308*IF($K$3&lt;P8,0,1)</f>
        <v>0</v>
      </c>
      <c s="125">
        <f>Налоги!Q308*IF($K$3&lt;Q8,0,1)</f>
        <v>0</v>
      </c>
      <c s="125">
        <f>Налоги!R308*IF($K$3&lt;R8,0,1)</f>
        <v>0</v>
      </c>
      <c s="125">
        <f>Налоги!S308*IF($K$3&lt;S8,0,1)</f>
        <v>0</v>
      </c>
      <c s="125">
        <f>Налоги!T308*IF($K$3&lt;T8,0,1)</f>
        <v>0</v>
      </c>
      <c s="125">
        <f>Налоги!U308*IF($K$3&lt;U8,0,1)</f>
        <v>0</v>
      </c>
      <c s="125">
        <f>Налоги!V308*IF($K$3&lt;V8,0,1)</f>
        <v>0</v>
      </c>
      <c s="125">
        <f>Налоги!W308*IF($K$3&lt;W8,0,1)</f>
        <v>0</v>
      </c>
      <c s="125">
        <f>Налоги!X308*IF($K$3&lt;X8,0,1)</f>
        <v>0</v>
      </c>
      <c s="125">
        <f>Налоги!Y308*IF($K$3&lt;Y8,0,1)</f>
        <v>0</v>
      </c>
      <c s="125">
        <f>Налоги!Z308*IF($K$3&lt;Z8,0,1)</f>
        <v>0</v>
      </c>
      <c s="125">
        <f>Налоги!AA308*IF($K$3&lt;AA8,0,1)</f>
        <v>0</v>
      </c>
      <c s="125">
        <f>Налоги!AB308*IF($K$3&lt;AB8,0,1)</f>
        <v>0</v>
      </c>
      <c s="125">
        <f>Налоги!AC308*IF($K$3&lt;AC8,0,1)</f>
        <v>0</v>
      </c>
      <c s="125">
        <f>Налоги!AD308*IF($K$3&lt;AD8,0,1)</f>
        <v>0</v>
      </c>
      <c s="125">
        <f>Налоги!AE308*IF($K$3&lt;AE8,0,1)</f>
        <v>0</v>
      </c>
      <c s="125">
        <f>Налоги!AF308*IF($K$3&lt;AF8,0,1)</f>
        <v>0</v>
      </c>
      <c s="125">
        <f>Налоги!AG308*IF($K$3&lt;AG8,0,1)</f>
        <v>0</v>
      </c>
      <c s="125">
        <f>Налоги!AH308*IF($K$3&lt;AH8,0,1)</f>
        <v>0</v>
      </c>
      <c s="125">
        <f>Налоги!AI308*IF($K$3&lt;AI8,0,1)</f>
        <v>0</v>
      </c>
      <c s="125">
        <f>Налоги!AJ308*IF($K$3&lt;AJ8,0,1)</f>
        <v>0</v>
      </c>
      <c s="125">
        <f>Налоги!AK308*IF($K$3&lt;AK8,0,1)</f>
        <v>0</v>
      </c>
      <c s="125">
        <f>Налоги!AL308*IF($K$3&lt;AL8,0,1)</f>
        <v>0</v>
      </c>
      <c s="125">
        <f>Налоги!AM308*IF($K$3&lt;AM8,0,1)</f>
        <v>0</v>
      </c>
      <c s="125">
        <f>Налоги!AN308*IF($K$3&lt;AN8,0,1)</f>
        <v>0</v>
      </c>
      <c s="125">
        <f>Налоги!AO308*IF($K$3&lt;AO8,0,1)</f>
        <v>0</v>
      </c>
      <c s="125">
        <f>Налоги!AP308*IF($K$3&lt;AP8,0,1)</f>
        <v>0</v>
      </c>
      <c s="125">
        <f>Налоги!AQ308*IF($K$3&lt;AQ8,0,1)</f>
        <v>0</v>
      </c>
      <c s="125">
        <f>Налоги!AR308*IF($K$3&lt;AR8,0,1)</f>
        <v>0</v>
      </c>
      <c s="125">
        <f>Налоги!AS308*IF($K$3&lt;AS8,0,1)</f>
        <v>0</v>
      </c>
      <c s="125">
        <f>Налоги!AT308*IF($K$3&lt;AT8,0,1)</f>
        <v>0</v>
      </c>
      <c s="125">
        <f>Налоги!AU308*IF($K$3&lt;AU8,0,1)</f>
        <v>0</v>
      </c>
      <c s="125">
        <f>Налоги!AV308*IF($K$3&lt;AV8,0,1)</f>
        <v>0</v>
      </c>
      <c s="125">
        <f>Налоги!AW308*IF($K$3&lt;AW8,0,1)</f>
        <v>0</v>
      </c>
      <c s="125">
        <f>Налоги!AX308*IF($K$3&lt;AX8,0,1)</f>
        <v>0</v>
      </c>
      <c s="125">
        <f>Налоги!AY308*IF($K$3&lt;AY8,0,1)</f>
        <v>0</v>
      </c>
      <c s="125">
        <f>Налоги!AZ308*IF($K$3&lt;AZ8,0,1)</f>
        <v>0</v>
      </c>
      <c s="125">
        <f>Налоги!BA308*IF($K$3&lt;BA8,0,1)</f>
        <v>0</v>
      </c>
      <c s="125">
        <f>Налоги!BB308*IF($K$3&lt;BB8,0,1)</f>
        <v>0</v>
      </c>
      <c s="125">
        <f>Налоги!BC308*IF($K$3&lt;BC8,0,1)</f>
        <v>0</v>
      </c>
      <c s="125">
        <f>Налоги!BD308*IF($K$3&lt;BD8,0,1)</f>
        <v>0</v>
      </c>
      <c s="125">
        <f>Налоги!BE308*IF($K$3&lt;BE8,0,1)</f>
        <v>0</v>
      </c>
      <c s="125">
        <f>Налоги!BF308*IF($K$3&lt;BF8,0,1)</f>
        <v>0</v>
      </c>
      <c s="125">
        <f>Налоги!BG308*IF($K$3&lt;BG8,0,1)</f>
        <v>0</v>
      </c>
      <c s="125">
        <f>Налоги!BH308*IF($K$3&lt;BH8,0,1)</f>
        <v>0</v>
      </c>
      <c s="125">
        <f>Налоги!BI308*IF($K$3&lt;BI8,0,1)</f>
        <v>0</v>
      </c>
      <c s="125">
        <f>Налоги!BJ308*IF($K$3&lt;BJ8,0,1)</f>
        <v>0</v>
      </c>
      <c s="125">
        <f>Налоги!BK308*IF($K$3&lt;BK8,0,1)</f>
        <v>0</v>
      </c>
      <c s="125">
        <f>Налоги!BL308*IF($K$3&lt;BL8,0,1)</f>
        <v>0</v>
      </c>
      <c s="125">
        <f>Налоги!BM308*IF($K$3&lt;BM8,0,1)</f>
        <v>0</v>
      </c>
    </row>
    <row r="50" spans="2:65" ht="15" customHeight="1">
      <c r="B50" s="12" t="s">
        <v>953</v>
      </c>
      <c s="124" t="s">
        <v>438</v>
      </c>
      <c s="276">
        <f t="shared" ca="1" si="85"/>
        <v>0</v>
      </c>
      <c s="125">
        <f>Налоги!E315*IF($K$3&lt;E8,0,1)</f>
        <v>0</v>
      </c>
      <c s="125">
        <f>Налоги!F315*IF($K$3&lt;F8,0,1)</f>
        <v>0</v>
      </c>
      <c s="125">
        <f>Налоги!G315*IF($K$3&lt;G8,0,1)</f>
        <v>0</v>
      </c>
      <c s="125">
        <f>Налоги!H315*IF($K$3&lt;H8,0,1)</f>
        <v>0</v>
      </c>
      <c s="125">
        <f>Налоги!I315*IF($K$3&lt;I8,0,1)</f>
        <v>0</v>
      </c>
      <c s="125">
        <f>Налоги!J315*IF($K$3&lt;J8,0,1)</f>
        <v>0</v>
      </c>
      <c s="125">
        <f>Налоги!K315*IF($K$3&lt;K8,0,1)</f>
        <v>0</v>
      </c>
      <c s="125">
        <f>Налоги!L315*IF($K$3&lt;L8,0,1)</f>
        <v>0</v>
      </c>
      <c s="125">
        <f>Налоги!M315*IF($K$3&lt;M8,0,1)</f>
        <v>0</v>
      </c>
      <c s="125">
        <f>Налоги!N315*IF($K$3&lt;N8,0,1)</f>
        <v>0</v>
      </c>
      <c s="125">
        <f>Налоги!O315*IF($K$3&lt;O8,0,1)</f>
        <v>0</v>
      </c>
      <c s="125">
        <f>Налоги!P315*IF($K$3&lt;P8,0,1)</f>
        <v>0</v>
      </c>
      <c s="125">
        <f>Налоги!Q315*IF($K$3&lt;Q8,0,1)</f>
        <v>0</v>
      </c>
      <c s="125">
        <f>Налоги!R315*IF($K$3&lt;R8,0,1)</f>
        <v>0</v>
      </c>
      <c s="125">
        <f>Налоги!S315*IF($K$3&lt;S8,0,1)</f>
        <v>0</v>
      </c>
      <c s="125">
        <f>Налоги!T315*IF($K$3&lt;T8,0,1)</f>
        <v>0</v>
      </c>
      <c s="125">
        <f>Налоги!U315*IF($K$3&lt;U8,0,1)</f>
        <v>0</v>
      </c>
      <c s="125">
        <f>Налоги!V315*IF($K$3&lt;V8,0,1)</f>
        <v>0</v>
      </c>
      <c s="125">
        <f>Налоги!W315*IF($K$3&lt;W8,0,1)</f>
        <v>0</v>
      </c>
      <c s="125">
        <f>Налоги!X315*IF($K$3&lt;X8,0,1)</f>
        <v>0</v>
      </c>
      <c s="125">
        <f>Налоги!Y315*IF($K$3&lt;Y8,0,1)</f>
        <v>0</v>
      </c>
      <c s="125">
        <f>Налоги!Z315*IF($K$3&lt;Z8,0,1)</f>
        <v>0</v>
      </c>
      <c s="125">
        <f>Налоги!AA315*IF($K$3&lt;AA8,0,1)</f>
        <v>0</v>
      </c>
      <c s="125">
        <f>Налоги!AB315*IF($K$3&lt;AB8,0,1)</f>
        <v>0</v>
      </c>
      <c s="125">
        <f>Налоги!AC315*IF($K$3&lt;AC8,0,1)</f>
        <v>0</v>
      </c>
      <c s="125">
        <f>Налоги!AD315*IF($K$3&lt;AD8,0,1)</f>
        <v>0</v>
      </c>
      <c s="125">
        <f>Налоги!AE315*IF($K$3&lt;AE8,0,1)</f>
        <v>0</v>
      </c>
      <c s="125">
        <f>Налоги!AF315*IF($K$3&lt;AF8,0,1)</f>
        <v>0</v>
      </c>
      <c s="125">
        <f>Налоги!AG315*IF($K$3&lt;AG8,0,1)</f>
        <v>0</v>
      </c>
      <c s="125">
        <f>Налоги!AH315*IF($K$3&lt;AH8,0,1)</f>
        <v>0</v>
      </c>
      <c s="125">
        <f>Налоги!AI315*IF($K$3&lt;AI8,0,1)</f>
        <v>0</v>
      </c>
      <c s="125">
        <f>Налоги!AJ315*IF($K$3&lt;AJ8,0,1)</f>
        <v>0</v>
      </c>
      <c s="125">
        <f>Налоги!AK315*IF($K$3&lt;AK8,0,1)</f>
        <v>0</v>
      </c>
      <c s="125">
        <f>Налоги!AL315*IF($K$3&lt;AL8,0,1)</f>
        <v>0</v>
      </c>
      <c s="125">
        <f>Налоги!AM315*IF($K$3&lt;AM8,0,1)</f>
        <v>0</v>
      </c>
      <c s="125">
        <f>Налоги!AN315*IF($K$3&lt;AN8,0,1)</f>
        <v>0</v>
      </c>
      <c s="125">
        <f>Налоги!AO315*IF($K$3&lt;AO8,0,1)</f>
        <v>0</v>
      </c>
      <c s="125">
        <f>Налоги!AP315*IF($K$3&lt;AP8,0,1)</f>
        <v>0</v>
      </c>
      <c s="125">
        <f>Налоги!AQ315*IF($K$3&lt;AQ8,0,1)</f>
        <v>0</v>
      </c>
      <c s="125">
        <f>Налоги!AR315*IF($K$3&lt;AR8,0,1)</f>
        <v>0</v>
      </c>
      <c s="125">
        <f>Налоги!AS315*IF($K$3&lt;AS8,0,1)</f>
        <v>0</v>
      </c>
      <c s="125">
        <f>Налоги!AT315*IF($K$3&lt;AT8,0,1)</f>
        <v>0</v>
      </c>
      <c s="125">
        <f>Налоги!AU315*IF($K$3&lt;AU8,0,1)</f>
        <v>0</v>
      </c>
      <c s="125">
        <f>Налоги!AV315*IF($K$3&lt;AV8,0,1)</f>
        <v>0</v>
      </c>
      <c s="125">
        <f>Налоги!AW315*IF($K$3&lt;AW8,0,1)</f>
        <v>0</v>
      </c>
      <c s="125">
        <f>Налоги!AX315*IF($K$3&lt;AX8,0,1)</f>
        <v>0</v>
      </c>
      <c s="125">
        <f>Налоги!AY315*IF($K$3&lt;AY8,0,1)</f>
        <v>0</v>
      </c>
      <c s="125">
        <f>Налоги!AZ315*IF($K$3&lt;AZ8,0,1)</f>
        <v>0</v>
      </c>
      <c s="125">
        <f>Налоги!BA315*IF($K$3&lt;BA8,0,1)</f>
        <v>0</v>
      </c>
      <c s="125">
        <f>Налоги!BB315*IF($K$3&lt;BB8,0,1)</f>
        <v>0</v>
      </c>
      <c s="125">
        <f>Налоги!BC315*IF($K$3&lt;BC8,0,1)</f>
        <v>0</v>
      </c>
      <c s="125">
        <f>Налоги!BD315*IF($K$3&lt;BD8,0,1)</f>
        <v>0</v>
      </c>
      <c s="125">
        <f>Налоги!BE315*IF($K$3&lt;BE8,0,1)</f>
        <v>0</v>
      </c>
      <c s="125">
        <f>Налоги!BF315*IF($K$3&lt;BF8,0,1)</f>
        <v>0</v>
      </c>
      <c s="125">
        <f>Налоги!BG315*IF($K$3&lt;BG8,0,1)</f>
        <v>0</v>
      </c>
      <c s="125">
        <f>Налоги!BH315*IF($K$3&lt;BH8,0,1)</f>
        <v>0</v>
      </c>
      <c s="125">
        <f>Налоги!BI315*IF($K$3&lt;BI8,0,1)</f>
        <v>0</v>
      </c>
      <c s="125">
        <f>Налоги!BJ315*IF($K$3&lt;BJ8,0,1)</f>
        <v>0</v>
      </c>
      <c s="125">
        <f>Налоги!BK315*IF($K$3&lt;BK8,0,1)</f>
        <v>0</v>
      </c>
      <c s="125">
        <f>Налоги!BL315*IF($K$3&lt;BL8,0,1)</f>
        <v>0</v>
      </c>
      <c s="125">
        <f>Налоги!BM315*IF($K$3&lt;BM8,0,1)</f>
        <v>0</v>
      </c>
    </row>
    <row r="51" spans="2:65" ht="15" customHeight="1">
      <c r="B51" s="289" t="s">
        <v>454</v>
      </c>
      <c s="290" t="s">
        <v>438</v>
      </c>
      <c s="291">
        <f ca="1">SUM(D44:D50)</f>
        <v>0</v>
      </c>
      <c s="276">
        <f ca="1">SUM(E44:E50)</f>
        <v>0</v>
      </c>
      <c s="276">
        <f ca="1" t="shared" si="86" ref="F51:AG51">SUM(F44:F50)</f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t="shared" ca="1" si="86"/>
        <v>0</v>
      </c>
      <c s="276">
        <f ca="1" t="shared" si="87" ref="AH51:BM51">SUM(AH44:AH50)</f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  <c s="276">
        <f t="shared" ca="1" si="87"/>
        <v>0</v>
      </c>
    </row>
    <row r="52" ht="15" customHeight="1"/>
    <row r="53" spans="2:65" ht="15" customHeight="1">
      <c r="B53" s="292" t="s">
        <v>986</v>
      </c>
      <c s="293" t="s">
        <v>438</v>
      </c>
      <c s="291">
        <f ca="1">SUM(D41,D51)</f>
        <v>0</v>
      </c>
      <c s="291">
        <f ca="1">SUM(E41,E51)</f>
        <v>0</v>
      </c>
      <c s="291">
        <f ca="1" t="shared" si="88" ref="F53:AG53">SUM(F41,F51)</f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t="shared" ca="1" si="88"/>
        <v>0</v>
      </c>
      <c s="291">
        <f ca="1" t="shared" si="89" ref="AH53:BM53">SUM(AH41,AH51)</f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  <c s="291">
        <f t="shared" ca="1" si="89"/>
        <v>0</v>
      </c>
    </row>
    <row r="54" ht="15" customHeight="1"/>
    <row r="55" spans="2:71" ht="21">
      <c r="B55" s="24" t="s">
        <v>987</v>
      </c>
      <c r="D5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6" spans="2:69" ht="14.45">
      <c r="B56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7" spans="2:65" ht="15" customHeight="1">
      <c r="B57" s="12" t="s">
        <v>988</v>
      </c>
      <c s="124" t="s">
        <v>438</v>
      </c>
      <c s="276">
        <f>SUM(E57:BM57)</f>
        <v>0</v>
      </c>
      <c s="125">
        <f>-'Капитальные вложения'!E101*IF($K$3&lt;E8,0,1)</f>
        <v>0</v>
      </c>
      <c s="125">
        <f>-'Капитальные вложения'!F101*IF($K$3&lt;F8,0,1)</f>
        <v>0</v>
      </c>
      <c s="125">
        <f>-'Капитальные вложения'!G101*IF($K$3&lt;G8,0,1)</f>
        <v>0</v>
      </c>
      <c s="125">
        <f>-'Капитальные вложения'!H101*IF($K$3&lt;H8,0,1)</f>
        <v>0</v>
      </c>
      <c s="125">
        <f>-'Капитальные вложения'!I101*IF($K$3&lt;I8,0,1)</f>
        <v>0</v>
      </c>
      <c s="125">
        <f>-'Капитальные вложения'!J101*IF($K$3&lt;J8,0,1)</f>
        <v>0</v>
      </c>
      <c s="125">
        <f>-'Капитальные вложения'!K101*IF($K$3&lt;K8,0,1)</f>
        <v>0</v>
      </c>
      <c s="125">
        <f>-'Капитальные вложения'!L101*IF($K$3&lt;L8,0,1)</f>
        <v>0</v>
      </c>
      <c s="125">
        <f>-'Капитальные вложения'!M101*IF($K$3&lt;M8,0,1)</f>
        <v>0</v>
      </c>
      <c s="125">
        <f>-'Капитальные вложения'!N101*IF($K$3&lt;N8,0,1)</f>
        <v>0</v>
      </c>
      <c s="125">
        <f>-'Капитальные вложения'!O101*IF($K$3&lt;O8,0,1)</f>
        <v>0</v>
      </c>
      <c s="125">
        <f>-'Капитальные вложения'!P101*IF($K$3&lt;P8,0,1)</f>
        <v>0</v>
      </c>
      <c s="125">
        <f>-'Капитальные вложения'!Q101*IF($K$3&lt;Q8,0,1)</f>
        <v>0</v>
      </c>
      <c s="125">
        <f>-'Капитальные вложения'!R101*IF($K$3&lt;R8,0,1)</f>
        <v>0</v>
      </c>
      <c s="125">
        <f>-'Капитальные вложения'!S101*IF($K$3&lt;S8,0,1)</f>
        <v>0</v>
      </c>
      <c s="125">
        <f>-'Капитальные вложения'!T101*IF($K$3&lt;T8,0,1)</f>
        <v>0</v>
      </c>
      <c s="125">
        <f>-'Капитальные вложения'!U101*IF($K$3&lt;U8,0,1)</f>
        <v>0</v>
      </c>
      <c s="125">
        <f>-'Капитальные вложения'!V101*IF($K$3&lt;V8,0,1)</f>
        <v>0</v>
      </c>
      <c s="125">
        <f>-'Капитальные вложения'!W101*IF($K$3&lt;W8,0,1)</f>
        <v>0</v>
      </c>
      <c s="125">
        <f>-'Капитальные вложения'!X101*IF($K$3&lt;X8,0,1)</f>
        <v>0</v>
      </c>
      <c s="125">
        <f>-'Капитальные вложения'!Y101*IF($K$3&lt;Y8,0,1)</f>
        <v>0</v>
      </c>
      <c s="125">
        <f>-'Капитальные вложения'!Z101*IF($K$3&lt;Z8,0,1)</f>
        <v>0</v>
      </c>
      <c s="125">
        <f>-'Капитальные вложения'!AA101*IF($K$3&lt;AA8,0,1)</f>
        <v>0</v>
      </c>
      <c s="125">
        <f>-'Капитальные вложения'!AB101*IF($K$3&lt;AB8,0,1)</f>
        <v>0</v>
      </c>
      <c s="125">
        <f>-'Капитальные вложения'!AC101*IF($K$3&lt;AC8,0,1)</f>
        <v>0</v>
      </c>
      <c s="125">
        <f>-'Капитальные вложения'!AD101*IF($K$3&lt;AD8,0,1)</f>
        <v>0</v>
      </c>
      <c s="125">
        <f>-'Капитальные вложения'!AE101*IF($K$3&lt;AE8,0,1)</f>
        <v>0</v>
      </c>
      <c s="125">
        <f>-'Капитальные вложения'!AF101*IF($K$3&lt;AF8,0,1)</f>
        <v>0</v>
      </c>
      <c s="125">
        <f>-'Капитальные вложения'!AG101*IF($K$3&lt;AG8,0,1)</f>
        <v>0</v>
      </c>
      <c s="125">
        <f>-'Капитальные вложения'!AH101*IF($K$3&lt;AH8,0,1)</f>
        <v>0</v>
      </c>
      <c s="125">
        <f>-'Капитальные вложения'!AI101*IF($K$3&lt;AI8,0,1)</f>
        <v>0</v>
      </c>
      <c s="125">
        <f>-'Капитальные вложения'!AJ101*IF($K$3&lt;AJ8,0,1)</f>
        <v>0</v>
      </c>
      <c s="125">
        <f>-'Капитальные вложения'!AK101*IF($K$3&lt;AK8,0,1)</f>
        <v>0</v>
      </c>
      <c s="125">
        <f>-'Капитальные вложения'!AL101*IF($K$3&lt;AL8,0,1)</f>
        <v>0</v>
      </c>
      <c s="125">
        <f>-'Капитальные вложения'!AM101*IF($K$3&lt;AM8,0,1)</f>
        <v>0</v>
      </c>
      <c s="125">
        <f>-'Капитальные вложения'!AN101*IF($K$3&lt;AN8,0,1)</f>
        <v>0</v>
      </c>
      <c s="125">
        <f>-'Капитальные вложения'!AO101*IF($K$3&lt;AO8,0,1)</f>
        <v>0</v>
      </c>
      <c s="125">
        <f>-'Капитальные вложения'!AP101*IF($K$3&lt;AP8,0,1)</f>
        <v>0</v>
      </c>
      <c s="125">
        <f>-'Капитальные вложения'!AQ101*IF($K$3&lt;AQ8,0,1)</f>
        <v>0</v>
      </c>
      <c s="125">
        <f>-'Капитальные вложения'!AR101*IF($K$3&lt;AR8,0,1)</f>
        <v>0</v>
      </c>
      <c s="125">
        <f>-'Капитальные вложения'!AS101*IF($K$3&lt;AS8,0,1)</f>
        <v>0</v>
      </c>
      <c s="125">
        <f>-'Капитальные вложения'!AT101*IF($K$3&lt;AT8,0,1)</f>
        <v>0</v>
      </c>
      <c s="125">
        <f>-'Капитальные вложения'!AU101*IF($K$3&lt;AU8,0,1)</f>
        <v>0</v>
      </c>
      <c s="125">
        <f>-'Капитальные вложения'!AV101*IF($K$3&lt;AV8,0,1)</f>
        <v>0</v>
      </c>
      <c s="125">
        <f>-'Капитальные вложения'!AW101*IF($K$3&lt;AW8,0,1)</f>
        <v>0</v>
      </c>
      <c s="125">
        <f>-'Капитальные вложения'!AX101*IF($K$3&lt;AX8,0,1)</f>
        <v>0</v>
      </c>
      <c s="125">
        <f>-'Капитальные вложения'!AY101*IF($K$3&lt;AY8,0,1)</f>
        <v>0</v>
      </c>
      <c s="125">
        <f>-'Капитальные вложения'!AZ101*IF($K$3&lt;AZ8,0,1)</f>
        <v>0</v>
      </c>
      <c s="125">
        <f>-'Капитальные вложения'!BA101*IF($K$3&lt;BA8,0,1)</f>
        <v>0</v>
      </c>
      <c s="125">
        <f>-'Капитальные вложения'!BB101*IF($K$3&lt;BB8,0,1)</f>
        <v>0</v>
      </c>
      <c s="125">
        <f>-'Капитальные вложения'!BC101*IF($K$3&lt;BC8,0,1)</f>
        <v>0</v>
      </c>
      <c s="125">
        <f>-'Капитальные вложения'!BD101*IF($K$3&lt;BD8,0,1)</f>
        <v>0</v>
      </c>
      <c s="125">
        <f>-'Капитальные вложения'!BE101*IF($K$3&lt;BE8,0,1)</f>
        <v>0</v>
      </c>
      <c s="125">
        <f>-'Капитальные вложения'!BF101*IF($K$3&lt;BF8,0,1)</f>
        <v>0</v>
      </c>
      <c s="125">
        <f>-'Капитальные вложения'!BG101*IF($K$3&lt;BG8,0,1)</f>
        <v>0</v>
      </c>
      <c s="125">
        <f>-'Капитальные вложения'!BH101*IF($K$3&lt;BH8,0,1)</f>
        <v>0</v>
      </c>
      <c s="125">
        <f>-'Капитальные вложения'!BI101*IF($K$3&lt;BI8,0,1)</f>
        <v>0</v>
      </c>
      <c s="125">
        <f>-'Капитальные вложения'!BJ101*IF($K$3&lt;BJ8,0,1)</f>
        <v>0</v>
      </c>
      <c s="125">
        <f>-'Капитальные вложения'!BK101*IF($K$3&lt;BK8,0,1)</f>
        <v>0</v>
      </c>
      <c s="125">
        <f>-'Капитальные вложения'!BL101*IF($K$3&lt;BL8,0,1)</f>
        <v>0</v>
      </c>
      <c s="125">
        <f>-'Капитальные вложения'!BM101*IF($K$3&lt;BM8,0,1)</f>
        <v>0</v>
      </c>
    </row>
    <row r="58" spans="2:65" ht="15" customHeight="1">
      <c r="B58" s="289" t="s">
        <v>454</v>
      </c>
      <c s="290" t="s">
        <v>438</v>
      </c>
      <c s="291">
        <f>SUM(D57:D57)</f>
        <v>0</v>
      </c>
      <c s="276">
        <f>SUM(E57:E57)</f>
        <v>0</v>
      </c>
      <c s="276">
        <f t="shared" si="90" ref="F58:AG58">SUM(F57:F57)</f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0"/>
        <v>0</v>
      </c>
      <c s="276">
        <f t="shared" si="91" ref="AH58:BM58">SUM(AH57:AH57)</f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  <c s="276">
        <f t="shared" si="91"/>
        <v>0</v>
      </c>
    </row>
    <row r="59" ht="15" customHeight="1"/>
    <row r="60" spans="2:65" ht="15" customHeight="1">
      <c r="B60" s="292" t="s">
        <v>989</v>
      </c>
      <c s="293" t="s">
        <v>438</v>
      </c>
      <c s="291">
        <f>D58</f>
        <v>0</v>
      </c>
      <c s="291">
        <f>E58</f>
        <v>0</v>
      </c>
      <c s="291">
        <f t="shared" si="92" ref="F60:AG60">F58</f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2"/>
        <v>0</v>
      </c>
      <c s="291">
        <f t="shared" si="93" ref="AH60:BM60">AH58</f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  <c s="291">
        <f t="shared" si="93"/>
        <v>0</v>
      </c>
    </row>
    <row r="61" ht="15" customHeight="1"/>
    <row r="62" spans="2:71" ht="21">
      <c r="B62" s="24" t="s">
        <v>990</v>
      </c>
      <c r="D6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3" spans="2:69" ht="14.45">
      <c r="B63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4" spans="2:65" ht="15" customHeight="1">
      <c r="B64" s="12" t="s">
        <v>991</v>
      </c>
      <c s="124" t="s">
        <v>438</v>
      </c>
      <c s="276">
        <f>SUM(E64:BM64)</f>
        <v>0</v>
      </c>
      <c s="125">
        <f>SUM(Финансирование!E15,Финансирование!E28,Финансирование!E43)*IF($K$3&lt;E8,0,1)</f>
        <v>0</v>
      </c>
      <c s="125">
        <f>SUM(Финансирование!F15,Финансирование!F28,Финансирование!F43)*IF($K$3&lt;F8,0,1)</f>
        <v>0</v>
      </c>
      <c s="125">
        <f>SUM(Финансирование!G15,Финансирование!G28,Финансирование!G43)*IF($K$3&lt;G8,0,1)</f>
        <v>0</v>
      </c>
      <c s="125">
        <f>SUM(Финансирование!H15,Финансирование!H28,Финансирование!H43)*IF($K$3&lt;H8,0,1)</f>
        <v>0</v>
      </c>
      <c s="125">
        <f>SUM(Финансирование!I15,Финансирование!I28,Финансирование!I43)*IF($K$3&lt;I8,0,1)</f>
        <v>0</v>
      </c>
      <c s="125">
        <f>SUM(Финансирование!J15,Финансирование!J28,Финансирование!J43)*IF($K$3&lt;J8,0,1)</f>
        <v>0</v>
      </c>
      <c s="125">
        <f>SUM(Финансирование!K15,Финансирование!K28,Финансирование!K43)*IF($K$3&lt;K8,0,1)</f>
        <v>0</v>
      </c>
      <c s="125">
        <f>SUM(Финансирование!L15,Финансирование!L28,Финансирование!L43)*IF($K$3&lt;L8,0,1)</f>
        <v>0</v>
      </c>
      <c s="125">
        <f>SUM(Финансирование!M15,Финансирование!M28,Финансирование!M43)*IF($K$3&lt;M8,0,1)</f>
        <v>0</v>
      </c>
      <c s="125">
        <f>SUM(Финансирование!N15,Финансирование!N28,Финансирование!N43)*IF($K$3&lt;N8,0,1)</f>
        <v>0</v>
      </c>
      <c s="125">
        <f>SUM(Финансирование!O15,Финансирование!O28,Финансирование!O43)*IF($K$3&lt;O8,0,1)</f>
        <v>0</v>
      </c>
      <c s="125">
        <f>SUM(Финансирование!P15,Финансирование!P28,Финансирование!P43)*IF($K$3&lt;P8,0,1)</f>
        <v>0</v>
      </c>
      <c s="125">
        <f>SUM(Финансирование!Q15,Финансирование!Q28,Финансирование!Q43)*IF($K$3&lt;Q8,0,1)</f>
        <v>0</v>
      </c>
      <c s="125">
        <f>SUM(Финансирование!R15,Финансирование!R28,Финансирование!R43)*IF($K$3&lt;R8,0,1)</f>
        <v>0</v>
      </c>
      <c s="125">
        <f>SUM(Финансирование!S15,Финансирование!S28,Финансирование!S43)*IF($K$3&lt;S8,0,1)</f>
        <v>0</v>
      </c>
      <c s="125">
        <f>SUM(Финансирование!T15,Финансирование!T28,Финансирование!T43)*IF($K$3&lt;T8,0,1)</f>
        <v>0</v>
      </c>
      <c s="125">
        <f>SUM(Финансирование!U15,Финансирование!U28,Финансирование!U43)*IF($K$3&lt;U8,0,1)</f>
        <v>0</v>
      </c>
      <c s="125">
        <f>SUM(Финансирование!V15,Финансирование!V28,Финансирование!V43)*IF($K$3&lt;V8,0,1)</f>
        <v>0</v>
      </c>
      <c s="125">
        <f>SUM(Финансирование!W15,Финансирование!W28,Финансирование!W43)*IF($K$3&lt;W8,0,1)</f>
        <v>0</v>
      </c>
      <c s="125">
        <f>SUM(Финансирование!X15,Финансирование!X28,Финансирование!X43)*IF($K$3&lt;X8,0,1)</f>
        <v>0</v>
      </c>
      <c s="125">
        <f>SUM(Финансирование!Y15,Финансирование!Y28,Финансирование!Y43)*IF($K$3&lt;Y8,0,1)</f>
        <v>0</v>
      </c>
      <c s="125">
        <f>SUM(Финансирование!Z15,Финансирование!Z28,Финансирование!Z43)*IF($K$3&lt;Z8,0,1)</f>
        <v>0</v>
      </c>
      <c s="125">
        <f>SUM(Финансирование!AA15,Финансирование!AA28,Финансирование!AA43)*IF($K$3&lt;AA8,0,1)</f>
        <v>0</v>
      </c>
      <c s="125">
        <f>SUM(Финансирование!AB15,Финансирование!AB28,Финансирование!AB43)*IF($K$3&lt;AB8,0,1)</f>
        <v>0</v>
      </c>
      <c s="125">
        <f>SUM(Финансирование!AC15,Финансирование!AC28,Финансирование!AC43)*IF($K$3&lt;AC8,0,1)</f>
        <v>0</v>
      </c>
      <c s="125">
        <f>SUM(Финансирование!AD15,Финансирование!AD28,Финансирование!AD43)*IF($K$3&lt;AD8,0,1)</f>
        <v>0</v>
      </c>
      <c s="125">
        <f>SUM(Финансирование!AE15,Финансирование!AE28,Финансирование!AE43)*IF($K$3&lt;AE8,0,1)</f>
        <v>0</v>
      </c>
      <c s="125">
        <f>SUM(Финансирование!AF15,Финансирование!AF28,Финансирование!AF43)*IF($K$3&lt;AF8,0,1)</f>
        <v>0</v>
      </c>
      <c s="125">
        <f>SUM(Финансирование!AG15,Финансирование!AG28,Финансирование!AG43)*IF($K$3&lt;AG8,0,1)</f>
        <v>0</v>
      </c>
      <c s="125">
        <f>SUM(Финансирование!AH15,Финансирование!AH28,Финансирование!AH43)*IF($K$3&lt;AH8,0,1)</f>
        <v>0</v>
      </c>
      <c s="125">
        <f>SUM(Финансирование!AI15,Финансирование!AI28,Финансирование!AI43)*IF($K$3&lt;AI8,0,1)</f>
        <v>0</v>
      </c>
      <c s="125">
        <f>SUM(Финансирование!AJ15,Финансирование!AJ28,Финансирование!AJ43)*IF($K$3&lt;AJ8,0,1)</f>
        <v>0</v>
      </c>
      <c s="125">
        <f>SUM(Финансирование!AK15,Финансирование!AK28,Финансирование!AK43)*IF($K$3&lt;AK8,0,1)</f>
        <v>0</v>
      </c>
      <c s="125">
        <f>SUM(Финансирование!AL15,Финансирование!AL28,Финансирование!AL43)*IF($K$3&lt;AL8,0,1)</f>
        <v>0</v>
      </c>
      <c s="125">
        <f>SUM(Финансирование!AM15,Финансирование!AM28,Финансирование!AM43)*IF($K$3&lt;AM8,0,1)</f>
        <v>0</v>
      </c>
      <c s="125">
        <f>SUM(Финансирование!AN15,Финансирование!AN28,Финансирование!AN43)*IF($K$3&lt;AN8,0,1)</f>
        <v>0</v>
      </c>
      <c s="125">
        <f>SUM(Финансирование!AO15,Финансирование!AO28,Финансирование!AO43)*IF($K$3&lt;AO8,0,1)</f>
        <v>0</v>
      </c>
      <c s="125">
        <f>SUM(Финансирование!AP15,Финансирование!AP28,Финансирование!AP43)*IF($K$3&lt;AP8,0,1)</f>
        <v>0</v>
      </c>
      <c s="125">
        <f>SUM(Финансирование!AQ15,Финансирование!AQ28,Финансирование!AQ43)*IF($K$3&lt;AQ8,0,1)</f>
        <v>0</v>
      </c>
      <c s="125">
        <f>SUM(Финансирование!AR15,Финансирование!AR28,Финансирование!AR43)*IF($K$3&lt;AR8,0,1)</f>
        <v>0</v>
      </c>
      <c s="125">
        <f>SUM(Финансирование!AS15,Финансирование!AS28,Финансирование!AS43)*IF($K$3&lt;AS8,0,1)</f>
        <v>0</v>
      </c>
      <c s="125">
        <f>SUM(Финансирование!AT15,Финансирование!AT28,Финансирование!AT43)*IF($K$3&lt;AT8,0,1)</f>
        <v>0</v>
      </c>
      <c s="125">
        <f>SUM(Финансирование!AU15,Финансирование!AU28,Финансирование!AU43)*IF($K$3&lt;AU8,0,1)</f>
        <v>0</v>
      </c>
      <c s="125">
        <f>SUM(Финансирование!AV15,Финансирование!AV28,Финансирование!AV43)*IF($K$3&lt;AV8,0,1)</f>
        <v>0</v>
      </c>
      <c s="125">
        <f>SUM(Финансирование!AW15,Финансирование!AW28,Финансирование!AW43)*IF($K$3&lt;AW8,0,1)</f>
        <v>0</v>
      </c>
      <c s="125">
        <f>SUM(Финансирование!AX15,Финансирование!AX28,Финансирование!AX43)*IF($K$3&lt;AX8,0,1)</f>
        <v>0</v>
      </c>
      <c s="125">
        <f>SUM(Финансирование!AY15,Финансирование!AY28,Финансирование!AY43)*IF($K$3&lt;AY8,0,1)</f>
        <v>0</v>
      </c>
      <c s="125">
        <f>SUM(Финансирование!AZ15,Финансирование!AZ28,Финансирование!AZ43)*IF($K$3&lt;AZ8,0,1)</f>
        <v>0</v>
      </c>
      <c s="125">
        <f>SUM(Финансирование!BA15,Финансирование!BA28,Финансирование!BA43)*IF($K$3&lt;BA8,0,1)</f>
        <v>0</v>
      </c>
      <c s="125">
        <f>SUM(Финансирование!BB15,Финансирование!BB28,Финансирование!BB43)*IF($K$3&lt;BB8,0,1)</f>
        <v>0</v>
      </c>
      <c s="125">
        <f>SUM(Финансирование!BC15,Финансирование!BC28,Финансирование!BC43)*IF($K$3&lt;BC8,0,1)</f>
        <v>0</v>
      </c>
      <c s="125">
        <f>SUM(Финансирование!BD15,Финансирование!BD28,Финансирование!BD43)*IF($K$3&lt;BD8,0,1)</f>
        <v>0</v>
      </c>
      <c s="125">
        <f>SUM(Финансирование!BE15,Финансирование!BE28,Финансирование!BE43)*IF($K$3&lt;BE8,0,1)</f>
        <v>0</v>
      </c>
      <c s="125">
        <f>SUM(Финансирование!BF15,Финансирование!BF28,Финансирование!BF43)*IF($K$3&lt;BF8,0,1)</f>
        <v>0</v>
      </c>
      <c s="125">
        <f>SUM(Финансирование!BG15,Финансирование!BG28,Финансирование!BG43)*IF($K$3&lt;BG8,0,1)</f>
        <v>0</v>
      </c>
      <c s="125">
        <f>SUM(Финансирование!BH15,Финансирование!BH28,Финансирование!BH43)*IF($K$3&lt;BH8,0,1)</f>
        <v>0</v>
      </c>
      <c s="125">
        <f>SUM(Финансирование!BI15,Финансирование!BI28,Финансирование!BI43)*IF($K$3&lt;BI8,0,1)</f>
        <v>0</v>
      </c>
      <c s="125">
        <f>SUM(Финансирование!BJ15,Финансирование!BJ28,Финансирование!BJ43)*IF($K$3&lt;BJ8,0,1)</f>
        <v>0</v>
      </c>
      <c s="125">
        <f>SUM(Финансирование!BK15,Финансирование!BK28,Финансирование!BK43)*IF($K$3&lt;BK8,0,1)</f>
        <v>0</v>
      </c>
      <c s="125">
        <f>SUM(Финансирование!BL15,Финансирование!BL28,Финансирование!BL43)*IF($K$3&lt;BL8,0,1)</f>
        <v>0</v>
      </c>
      <c s="125">
        <f>SUM(Финансирование!BM15,Финансирование!BM28,Финансирование!BM43)*IF($K$3&lt;BM8,0,1)</f>
        <v>0</v>
      </c>
    </row>
    <row r="65" spans="2:65" ht="15" customHeight="1">
      <c r="B65" s="12" t="s">
        <v>968</v>
      </c>
      <c s="124" t="s">
        <v>438</v>
      </c>
      <c s="276">
        <f ca="1">SUM(E65:BM65)</f>
        <v>0</v>
      </c>
      <c s="125">
        <f ca="1">Финансирование!E67*IF($K$3&lt;E8,0,1)</f>
        <v>0</v>
      </c>
      <c s="125">
        <f ca="1">Финансирование!F67*IF($K$3&lt;F8,0,1)</f>
        <v>0</v>
      </c>
      <c s="125">
        <f ca="1">Финансирование!G67*IF($K$3&lt;G8,0,1)</f>
        <v>0</v>
      </c>
      <c s="125">
        <f ca="1">Финансирование!H67*IF($K$3&lt;H8,0,1)</f>
        <v>0</v>
      </c>
      <c s="125">
        <f ca="1">Финансирование!I67*IF($K$3&lt;I8,0,1)</f>
        <v>0</v>
      </c>
      <c s="125">
        <f ca="1">Финансирование!J67*IF($K$3&lt;J8,0,1)</f>
        <v>0</v>
      </c>
      <c s="125">
        <f ca="1">Финансирование!K67*IF($K$3&lt;K8,0,1)</f>
        <v>0</v>
      </c>
      <c s="125">
        <f ca="1">Финансирование!L67*IF($K$3&lt;L8,0,1)</f>
        <v>0</v>
      </c>
      <c s="125">
        <f ca="1">Финансирование!M67*IF($K$3&lt;M8,0,1)</f>
        <v>0</v>
      </c>
      <c s="125">
        <f ca="1">Финансирование!N67*IF($K$3&lt;N8,0,1)</f>
        <v>0</v>
      </c>
      <c s="125">
        <f ca="1">Финансирование!O67*IF($K$3&lt;O8,0,1)</f>
        <v>0</v>
      </c>
      <c s="125">
        <f ca="1">Финансирование!P67*IF($K$3&lt;P8,0,1)</f>
        <v>0</v>
      </c>
      <c s="125">
        <f ca="1">Финансирование!Q67*IF($K$3&lt;Q8,0,1)</f>
        <v>0</v>
      </c>
      <c s="125">
        <f ca="1">Финансирование!R67*IF($K$3&lt;R8,0,1)</f>
        <v>0</v>
      </c>
      <c s="125">
        <f ca="1">Финансирование!S67*IF($K$3&lt;S8,0,1)</f>
        <v>0</v>
      </c>
      <c s="125">
        <f ca="1">Финансирование!T67*IF($K$3&lt;T8,0,1)</f>
        <v>0</v>
      </c>
      <c s="125">
        <f ca="1">Финансирование!U67*IF($K$3&lt;U8,0,1)</f>
        <v>0</v>
      </c>
      <c s="125">
        <f ca="1">Финансирование!V67*IF($K$3&lt;V8,0,1)</f>
        <v>0</v>
      </c>
      <c s="125">
        <f ca="1">Финансирование!W67*IF($K$3&lt;W8,0,1)</f>
        <v>0</v>
      </c>
      <c s="125">
        <f ca="1">Финансирование!X67*IF($K$3&lt;X8,0,1)</f>
        <v>0</v>
      </c>
      <c s="125">
        <f ca="1">Финансирование!Y67*IF($K$3&lt;Y8,0,1)</f>
        <v>0</v>
      </c>
      <c s="125">
        <f ca="1">Финансирование!Z67*IF($K$3&lt;Z8,0,1)</f>
        <v>0</v>
      </c>
      <c s="125">
        <f ca="1">Финансирование!AA67*IF($K$3&lt;AA8,0,1)</f>
        <v>0</v>
      </c>
      <c s="125">
        <f ca="1">Финансирование!AB67*IF($K$3&lt;AB8,0,1)</f>
        <v>0</v>
      </c>
      <c s="125">
        <f ca="1">Финансирование!AC67*IF($K$3&lt;AC8,0,1)</f>
        <v>0</v>
      </c>
      <c s="125">
        <f ca="1">Финансирование!AD67*IF($K$3&lt;AD8,0,1)</f>
        <v>0</v>
      </c>
      <c s="125">
        <f ca="1">Финансирование!AE67*IF($K$3&lt;AE8,0,1)</f>
        <v>0</v>
      </c>
      <c s="125">
        <f ca="1">Финансирование!AF67*IF($K$3&lt;AF8,0,1)</f>
        <v>0</v>
      </c>
      <c s="125">
        <f ca="1">Финансирование!AG67*IF($K$3&lt;AG8,0,1)</f>
        <v>0</v>
      </c>
      <c s="125">
        <f ca="1">Финансирование!AH67*IF($K$3&lt;AH8,0,1)</f>
        <v>0</v>
      </c>
      <c s="125">
        <f ca="1">Финансирование!AI67*IF($K$3&lt;AI8,0,1)</f>
        <v>0</v>
      </c>
      <c s="125">
        <f ca="1">Финансирование!AJ67*IF($K$3&lt;AJ8,0,1)</f>
        <v>0</v>
      </c>
      <c s="125">
        <f ca="1">Финансирование!AK67*IF($K$3&lt;AK8,0,1)</f>
        <v>0</v>
      </c>
      <c s="125">
        <f ca="1">Финансирование!AL67*IF($K$3&lt;AL8,0,1)</f>
        <v>0</v>
      </c>
      <c s="125">
        <f ca="1">Финансирование!AM67*IF($K$3&lt;AM8,0,1)</f>
        <v>0</v>
      </c>
      <c s="125">
        <f ca="1">Финансирование!AN67*IF($K$3&lt;AN8,0,1)</f>
        <v>0</v>
      </c>
      <c s="125">
        <f ca="1">Финансирование!AO67*IF($K$3&lt;AO8,0,1)</f>
        <v>0</v>
      </c>
      <c s="125">
        <f ca="1">Финансирование!AP67*IF($K$3&lt;AP8,0,1)</f>
        <v>0</v>
      </c>
      <c s="125">
        <f ca="1">Финансирование!AQ67*IF($K$3&lt;AQ8,0,1)</f>
        <v>0</v>
      </c>
      <c s="125">
        <f ca="1">Финансирование!AR67*IF($K$3&lt;AR8,0,1)</f>
        <v>0</v>
      </c>
      <c s="125">
        <f ca="1">Финансирование!AS67*IF($K$3&lt;AS8,0,1)</f>
        <v>0</v>
      </c>
      <c s="125">
        <f ca="1">Финансирование!AT67*IF($K$3&lt;AT8,0,1)</f>
        <v>0</v>
      </c>
      <c s="125">
        <f ca="1">Финансирование!AU67*IF($K$3&lt;AU8,0,1)</f>
        <v>0</v>
      </c>
      <c s="125">
        <f ca="1">Финансирование!AV67*IF($K$3&lt;AV8,0,1)</f>
        <v>0</v>
      </c>
      <c s="125">
        <f ca="1">Финансирование!AW67*IF($K$3&lt;AW8,0,1)</f>
        <v>0</v>
      </c>
      <c s="125">
        <f ca="1">Финансирование!AX67*IF($K$3&lt;AX8,0,1)</f>
        <v>0</v>
      </c>
      <c s="125">
        <f ca="1">Финансирование!AY67*IF($K$3&lt;AY8,0,1)</f>
        <v>0</v>
      </c>
      <c s="125">
        <f ca="1">Финансирование!AZ67*IF($K$3&lt;AZ8,0,1)</f>
        <v>0</v>
      </c>
      <c s="125">
        <f ca="1">Финансирование!BA67*IF($K$3&lt;BA8,0,1)</f>
        <v>0</v>
      </c>
      <c s="125">
        <f ca="1">Финансирование!BB67*IF($K$3&lt;BB8,0,1)</f>
        <v>0</v>
      </c>
      <c s="125">
        <f ca="1">Финансирование!BC67*IF($K$3&lt;BC8,0,1)</f>
        <v>0</v>
      </c>
      <c s="125">
        <f ca="1">Финансирование!BD67*IF($K$3&lt;BD8,0,1)</f>
        <v>0</v>
      </c>
      <c s="125">
        <f ca="1">Финансирование!BE67*IF($K$3&lt;BE8,0,1)</f>
        <v>0</v>
      </c>
      <c s="125">
        <f ca="1">Финансирование!BF67*IF($K$3&lt;BF8,0,1)</f>
        <v>0</v>
      </c>
      <c s="125">
        <f ca="1">Финансирование!BG67*IF($K$3&lt;BG8,0,1)</f>
        <v>0</v>
      </c>
      <c s="125">
        <f ca="1">Финансирование!BH67*IF($K$3&lt;BH8,0,1)</f>
        <v>0</v>
      </c>
      <c s="125">
        <f ca="1">Финансирование!BI67*IF($K$3&lt;BI8,0,1)</f>
        <v>0</v>
      </c>
      <c s="125">
        <f ca="1">Финансирование!BJ67*IF($K$3&lt;BJ8,0,1)</f>
        <v>0</v>
      </c>
      <c s="125">
        <f ca="1">Финансирование!BK67*IF($K$3&lt;BK8,0,1)</f>
        <v>0</v>
      </c>
      <c s="125">
        <f ca="1">Финансирование!BL67*IF($K$3&lt;BL8,0,1)</f>
        <v>0</v>
      </c>
      <c s="125">
        <f ca="1">Финансирование!BM67*IF($K$3&lt;BM8,0,1)</f>
        <v>0</v>
      </c>
    </row>
    <row r="66" spans="2:65" ht="15" customHeight="1">
      <c r="B66" s="289" t="s">
        <v>454</v>
      </c>
      <c s="290" t="s">
        <v>438</v>
      </c>
      <c s="291">
        <f ca="1">SUM(D64:D65)</f>
        <v>0</v>
      </c>
      <c s="276">
        <f ca="1">SUM(E64:E65)</f>
        <v>0</v>
      </c>
      <c s="276">
        <f ca="1" t="shared" si="94" ref="F66:AG66">SUM(F64:F65)</f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t="shared" ca="1" si="94"/>
        <v>0</v>
      </c>
      <c s="276">
        <f ca="1" t="shared" si="95" ref="AH66:BM66">SUM(AH64:AH65)</f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</row>
    <row r="67" ht="15" customHeight="1"/>
    <row r="68" spans="2:69" ht="14.45">
      <c r="B68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9" spans="2:65" ht="15" customHeight="1">
      <c r="B69" s="12" t="s">
        <v>582</v>
      </c>
      <c s="124" t="s">
        <v>438</v>
      </c>
      <c s="276">
        <f>SUM(E69:BM69)</f>
        <v>0</v>
      </c>
      <c s="125">
        <f>SUM(Финансирование!E16,Финансирование!E29,Финансирование!E44)*IF($K$3&lt;E8,0,1)</f>
        <v>0</v>
      </c>
      <c s="125">
        <f>SUM(Финансирование!F16,Финансирование!F29,Финансирование!F44)*IF($K$3&lt;F8,0,1)</f>
        <v>0</v>
      </c>
      <c s="125">
        <f>SUM(Финансирование!G16,Финансирование!G29,Финансирование!G44)*IF($K$3&lt;G8,0,1)</f>
        <v>0</v>
      </c>
      <c s="125">
        <f>SUM(Финансирование!H16,Финансирование!H29,Финансирование!H44)*IF($K$3&lt;H8,0,1)</f>
        <v>0</v>
      </c>
      <c s="125">
        <f>SUM(Финансирование!I16,Финансирование!I29,Финансирование!I44)*IF($K$3&lt;I8,0,1)</f>
        <v>0</v>
      </c>
      <c s="125">
        <f>SUM(Финансирование!J16,Финансирование!J29,Финансирование!J44)*IF($K$3&lt;J8,0,1)</f>
        <v>0</v>
      </c>
      <c s="125">
        <f>SUM(Финансирование!K16,Финансирование!K29,Финансирование!K44)*IF($K$3&lt;K8,0,1)</f>
        <v>0</v>
      </c>
      <c s="125">
        <f>SUM(Финансирование!L16,Финансирование!L29,Финансирование!L44)*IF($K$3&lt;L8,0,1)</f>
        <v>0</v>
      </c>
      <c s="125">
        <f>SUM(Финансирование!M16,Финансирование!M29,Финансирование!M44)*IF($K$3&lt;M8,0,1)</f>
        <v>0</v>
      </c>
      <c s="125">
        <f>SUM(Финансирование!N16,Финансирование!N29,Финансирование!N44)*IF($K$3&lt;N8,0,1)</f>
        <v>0</v>
      </c>
      <c s="125">
        <f>SUM(Финансирование!O16,Финансирование!O29,Финансирование!O44)*IF($K$3&lt;O8,0,1)</f>
        <v>0</v>
      </c>
      <c s="125">
        <f>SUM(Финансирование!P16,Финансирование!P29,Финансирование!P44)*IF($K$3&lt;P8,0,1)</f>
        <v>0</v>
      </c>
      <c s="125">
        <f>SUM(Финансирование!Q16,Финансирование!Q29,Финансирование!Q44)*IF($K$3&lt;Q8,0,1)</f>
        <v>0</v>
      </c>
      <c s="125">
        <f>SUM(Финансирование!R16,Финансирование!R29,Финансирование!R44)*IF($K$3&lt;R8,0,1)</f>
        <v>0</v>
      </c>
      <c s="125">
        <f>SUM(Финансирование!S16,Финансирование!S29,Финансирование!S44)*IF($K$3&lt;S8,0,1)</f>
        <v>0</v>
      </c>
      <c s="125">
        <f>SUM(Финансирование!T16,Финансирование!T29,Финансирование!T44)*IF($K$3&lt;T8,0,1)</f>
        <v>0</v>
      </c>
      <c s="125">
        <f>SUM(Финансирование!U16,Финансирование!U29,Финансирование!U44)*IF($K$3&lt;U8,0,1)</f>
        <v>0</v>
      </c>
      <c s="125">
        <f>SUM(Финансирование!V16,Финансирование!V29,Финансирование!V44)*IF($K$3&lt;V8,0,1)</f>
        <v>0</v>
      </c>
      <c s="125">
        <f>SUM(Финансирование!W16,Финансирование!W29,Финансирование!W44)*IF($K$3&lt;W8,0,1)</f>
        <v>0</v>
      </c>
      <c s="125">
        <f>SUM(Финансирование!X16,Финансирование!X29,Финансирование!X44)*IF($K$3&lt;X8,0,1)</f>
        <v>0</v>
      </c>
      <c s="125">
        <f>SUM(Финансирование!Y16,Финансирование!Y29,Финансирование!Y44)*IF($K$3&lt;Y8,0,1)</f>
        <v>0</v>
      </c>
      <c s="125">
        <f>SUM(Финансирование!Z16,Финансирование!Z29,Финансирование!Z44)*IF($K$3&lt;Z8,0,1)</f>
        <v>0</v>
      </c>
      <c s="125">
        <f>SUM(Финансирование!AA16,Финансирование!AA29,Финансирование!AA44)*IF($K$3&lt;AA8,0,1)</f>
        <v>0</v>
      </c>
      <c s="125">
        <f>SUM(Финансирование!AB16,Финансирование!AB29,Финансирование!AB44)*IF($K$3&lt;AB8,0,1)</f>
        <v>0</v>
      </c>
      <c s="125">
        <f>SUM(Финансирование!AC16,Финансирование!AC29,Финансирование!AC44)*IF($K$3&lt;AC8,0,1)</f>
        <v>0</v>
      </c>
      <c s="125">
        <f>SUM(Финансирование!AD16,Финансирование!AD29,Финансирование!AD44)*IF($K$3&lt;AD8,0,1)</f>
        <v>0</v>
      </c>
      <c s="125">
        <f>SUM(Финансирование!AE16,Финансирование!AE29,Финансирование!AE44)*IF($K$3&lt;AE8,0,1)</f>
        <v>0</v>
      </c>
      <c s="125">
        <f>SUM(Финансирование!AF16,Финансирование!AF29,Финансирование!AF44)*IF($K$3&lt;AF8,0,1)</f>
        <v>0</v>
      </c>
      <c s="125">
        <f>SUM(Финансирование!AG16,Финансирование!AG29,Финансирование!AG44)*IF($K$3&lt;AG8,0,1)</f>
        <v>0</v>
      </c>
      <c s="125">
        <f>SUM(Финансирование!AH16,Финансирование!AH29,Финансирование!AH44)*IF($K$3&lt;AH8,0,1)</f>
        <v>0</v>
      </c>
      <c s="125">
        <f>SUM(Финансирование!AI16,Финансирование!AI29,Финансирование!AI44)*IF($K$3&lt;AI8,0,1)</f>
        <v>0</v>
      </c>
      <c s="125">
        <f>SUM(Финансирование!AJ16,Финансирование!AJ29,Финансирование!AJ44)*IF($K$3&lt;AJ8,0,1)</f>
        <v>0</v>
      </c>
      <c s="125">
        <f>SUM(Финансирование!AK16,Финансирование!AK29,Финансирование!AK44)*IF($K$3&lt;AK8,0,1)</f>
        <v>0</v>
      </c>
      <c s="125">
        <f>SUM(Финансирование!AL16,Финансирование!AL29,Финансирование!AL44)*IF($K$3&lt;AL8,0,1)</f>
        <v>0</v>
      </c>
      <c s="125">
        <f>SUM(Финансирование!AM16,Финансирование!AM29,Финансирование!AM44)*IF($K$3&lt;AM8,0,1)</f>
        <v>0</v>
      </c>
      <c s="125">
        <f>SUM(Финансирование!AN16,Финансирование!AN29,Финансирование!AN44)*IF($K$3&lt;AN8,0,1)</f>
        <v>0</v>
      </c>
      <c s="125">
        <f>SUM(Финансирование!AO16,Финансирование!AO29,Финансирование!AO44)*IF($K$3&lt;AO8,0,1)</f>
        <v>0</v>
      </c>
      <c s="125">
        <f>SUM(Финансирование!AP16,Финансирование!AP29,Финансирование!AP44)*IF($K$3&lt;AP8,0,1)</f>
        <v>0</v>
      </c>
      <c s="125">
        <f>SUM(Финансирование!AQ16,Финансирование!AQ29,Финансирование!AQ44)*IF($K$3&lt;AQ8,0,1)</f>
        <v>0</v>
      </c>
      <c s="125">
        <f>SUM(Финансирование!AR16,Финансирование!AR29,Финансирование!AR44)*IF($K$3&lt;AR8,0,1)</f>
        <v>0</v>
      </c>
      <c s="125">
        <f>SUM(Финансирование!AS16,Финансирование!AS29,Финансирование!AS44)*IF($K$3&lt;AS8,0,1)</f>
        <v>0</v>
      </c>
      <c s="125">
        <f>SUM(Финансирование!AT16,Финансирование!AT29,Финансирование!AT44)*IF($K$3&lt;AT8,0,1)</f>
        <v>0</v>
      </c>
      <c s="125">
        <f>SUM(Финансирование!AU16,Финансирование!AU29,Финансирование!AU44)*IF($K$3&lt;AU8,0,1)</f>
        <v>0</v>
      </c>
      <c s="125">
        <f>SUM(Финансирование!AV16,Финансирование!AV29,Финансирование!AV44)*IF($K$3&lt;AV8,0,1)</f>
        <v>0</v>
      </c>
      <c s="125">
        <f>SUM(Финансирование!AW16,Финансирование!AW29,Финансирование!AW44)*IF($K$3&lt;AW8,0,1)</f>
        <v>0</v>
      </c>
      <c s="125">
        <f>SUM(Финансирование!AX16,Финансирование!AX29,Финансирование!AX44)*IF($K$3&lt;AX8,0,1)</f>
        <v>0</v>
      </c>
      <c s="125">
        <f>SUM(Финансирование!AY16,Финансирование!AY29,Финансирование!AY44)*IF($K$3&lt;AY8,0,1)</f>
        <v>0</v>
      </c>
      <c s="125">
        <f>SUM(Финансирование!AZ16,Финансирование!AZ29,Финансирование!AZ44)*IF($K$3&lt;AZ8,0,1)</f>
        <v>0</v>
      </c>
      <c s="125">
        <f>SUM(Финансирование!BA16,Финансирование!BA29,Финансирование!BA44)*IF($K$3&lt;BA8,0,1)</f>
        <v>0</v>
      </c>
      <c s="125">
        <f>SUM(Финансирование!BB16,Финансирование!BB29,Финансирование!BB44)*IF($K$3&lt;BB8,0,1)</f>
        <v>0</v>
      </c>
      <c s="125">
        <f>SUM(Финансирование!BC16,Финансирование!BC29,Финансирование!BC44)*IF($K$3&lt;BC8,0,1)</f>
        <v>0</v>
      </c>
      <c s="125">
        <f>SUM(Финансирование!BD16,Финансирование!BD29,Финансирование!BD44)*IF($K$3&lt;BD8,0,1)</f>
        <v>0</v>
      </c>
      <c s="125">
        <f>SUM(Финансирование!BE16,Финансирование!BE29,Финансирование!BE44)*IF($K$3&lt;BE8,0,1)</f>
        <v>0</v>
      </c>
      <c s="125">
        <f>SUM(Финансирование!BF16,Финансирование!BF29,Финансирование!BF44)*IF($K$3&lt;BF8,0,1)</f>
        <v>0</v>
      </c>
      <c s="125">
        <f>SUM(Финансирование!BG16,Финансирование!BG29,Финансирование!BG44)*IF($K$3&lt;BG8,0,1)</f>
        <v>0</v>
      </c>
      <c s="125">
        <f>SUM(Финансирование!BH16,Финансирование!BH29,Финансирование!BH44)*IF($K$3&lt;BH8,0,1)</f>
        <v>0</v>
      </c>
      <c s="125">
        <f>SUM(Финансирование!BI16,Финансирование!BI29,Финансирование!BI44)*IF($K$3&lt;BI8,0,1)</f>
        <v>0</v>
      </c>
      <c s="125">
        <f>SUM(Финансирование!BJ16,Финансирование!BJ29,Финансирование!BJ44)*IF($K$3&lt;BJ8,0,1)</f>
        <v>0</v>
      </c>
      <c s="125">
        <f>SUM(Финансирование!BK16,Финансирование!BK29,Финансирование!BK44)*IF($K$3&lt;BK8,0,1)</f>
        <v>0</v>
      </c>
      <c s="125">
        <f>SUM(Финансирование!BL16,Финансирование!BL29,Финансирование!BL44)*IF($K$3&lt;BL8,0,1)</f>
        <v>0</v>
      </c>
      <c s="125">
        <f>SUM(Финансирование!BM16,Финансирование!BM29,Финансирование!BM44)*IF($K$3&lt;BM8,0,1)</f>
        <v>0</v>
      </c>
    </row>
    <row r="70" spans="2:65" ht="15" customHeight="1">
      <c r="B70" s="12" t="s">
        <v>583</v>
      </c>
      <c s="124" t="s">
        <v>438</v>
      </c>
      <c s="276">
        <f>SUM(E70:BM70)</f>
        <v>0</v>
      </c>
      <c s="125">
        <f>SUM(Финансирование!E22,Финансирование!E37,Финансирование!E52)*IF($K$3&lt;E8,0,1)</f>
        <v>0</v>
      </c>
      <c s="125">
        <f>SUM(Финансирование!F22,Финансирование!F37,Финансирование!F52)*IF($K$3&lt;F8,0,1)</f>
        <v>0</v>
      </c>
      <c s="125">
        <f>SUM(Финансирование!G22,Финансирование!G37,Финансирование!G52)*IF($K$3&lt;G8,0,1)</f>
        <v>0</v>
      </c>
      <c s="125">
        <f>SUM(Финансирование!H22,Финансирование!H37,Финансирование!H52)*IF($K$3&lt;H8,0,1)</f>
        <v>0</v>
      </c>
      <c s="125">
        <f>SUM(Финансирование!I22,Финансирование!I37,Финансирование!I52)*IF($K$3&lt;I8,0,1)</f>
        <v>0</v>
      </c>
      <c s="125">
        <f>SUM(Финансирование!J22,Финансирование!J37,Финансирование!J52)*IF($K$3&lt;J8,0,1)</f>
        <v>0</v>
      </c>
      <c s="125">
        <f>SUM(Финансирование!K22,Финансирование!K37,Финансирование!K52)*IF($K$3&lt;K8,0,1)</f>
        <v>0</v>
      </c>
      <c s="125">
        <f>SUM(Финансирование!L22,Финансирование!L37,Финансирование!L52)*IF($K$3&lt;L8,0,1)</f>
        <v>0</v>
      </c>
      <c s="125">
        <f>SUM(Финансирование!M22,Финансирование!M37,Финансирование!M52)*IF($K$3&lt;M8,0,1)</f>
        <v>0</v>
      </c>
      <c s="125">
        <f>SUM(Финансирование!N22,Финансирование!N37,Финансирование!N52)*IF($K$3&lt;N8,0,1)</f>
        <v>0</v>
      </c>
      <c s="125">
        <f>SUM(Финансирование!O22,Финансирование!O37,Финансирование!O52)*IF($K$3&lt;O8,0,1)</f>
        <v>0</v>
      </c>
      <c s="125">
        <f>SUM(Финансирование!P22,Финансирование!P37,Финансирование!P52)*IF($K$3&lt;P8,0,1)</f>
        <v>0</v>
      </c>
      <c s="125">
        <f>SUM(Финансирование!Q22,Финансирование!Q37,Финансирование!Q52)*IF($K$3&lt;Q8,0,1)</f>
        <v>0</v>
      </c>
      <c s="125">
        <f>SUM(Финансирование!R22,Финансирование!R37,Финансирование!R52)*IF($K$3&lt;R8,0,1)</f>
        <v>0</v>
      </c>
      <c s="125">
        <f>SUM(Финансирование!S22,Финансирование!S37,Финансирование!S52)*IF($K$3&lt;S8,0,1)</f>
        <v>0</v>
      </c>
      <c s="125">
        <f>SUM(Финансирование!T22,Финансирование!T37,Финансирование!T52)*IF($K$3&lt;T8,0,1)</f>
        <v>0</v>
      </c>
      <c s="125">
        <f>SUM(Финансирование!U22,Финансирование!U37,Финансирование!U52)*IF($K$3&lt;U8,0,1)</f>
        <v>0</v>
      </c>
      <c s="125">
        <f>SUM(Финансирование!V22,Финансирование!V37,Финансирование!V52)*IF($K$3&lt;V8,0,1)</f>
        <v>0</v>
      </c>
      <c s="125">
        <f>SUM(Финансирование!W22,Финансирование!W37,Финансирование!W52)*IF($K$3&lt;W8,0,1)</f>
        <v>0</v>
      </c>
      <c s="125">
        <f>SUM(Финансирование!X22,Финансирование!X37,Финансирование!X52)*IF($K$3&lt;X8,0,1)</f>
        <v>0</v>
      </c>
      <c s="125">
        <f>SUM(Финансирование!Y22,Финансирование!Y37,Финансирование!Y52)*IF($K$3&lt;Y8,0,1)</f>
        <v>0</v>
      </c>
      <c s="125">
        <f>SUM(Финансирование!Z22,Финансирование!Z37,Финансирование!Z52)*IF($K$3&lt;Z8,0,1)</f>
        <v>0</v>
      </c>
      <c s="125">
        <f>SUM(Финансирование!AA22,Финансирование!AA37,Финансирование!AA52)*IF($K$3&lt;AA8,0,1)</f>
        <v>0</v>
      </c>
      <c s="125">
        <f>SUM(Финансирование!AB22,Финансирование!AB37,Финансирование!AB52)*IF($K$3&lt;AB8,0,1)</f>
        <v>0</v>
      </c>
      <c s="125">
        <f>SUM(Финансирование!AC22,Финансирование!AC37,Финансирование!AC52)*IF($K$3&lt;AC8,0,1)</f>
        <v>0</v>
      </c>
      <c s="125">
        <f>SUM(Финансирование!AD22,Финансирование!AD37,Финансирование!AD52)*IF($K$3&lt;AD8,0,1)</f>
        <v>0</v>
      </c>
      <c s="125">
        <f>SUM(Финансирование!AE22,Финансирование!AE37,Финансирование!AE52)*IF($K$3&lt;AE8,0,1)</f>
        <v>0</v>
      </c>
      <c s="125">
        <f>SUM(Финансирование!AF22,Финансирование!AF37,Финансирование!AF52)*IF($K$3&lt;AF8,0,1)</f>
        <v>0</v>
      </c>
      <c s="125">
        <f>SUM(Финансирование!AG22,Финансирование!AG37,Финансирование!AG52)*IF($K$3&lt;AG8,0,1)</f>
        <v>0</v>
      </c>
      <c s="125">
        <f>SUM(Финансирование!AH22,Финансирование!AH37,Финансирование!AH52)*IF($K$3&lt;AH8,0,1)</f>
        <v>0</v>
      </c>
      <c s="125">
        <f>SUM(Финансирование!AI22,Финансирование!AI37,Финансирование!AI52)*IF($K$3&lt;AI8,0,1)</f>
        <v>0</v>
      </c>
      <c s="125">
        <f>SUM(Финансирование!AJ22,Финансирование!AJ37,Финансирование!AJ52)*IF($K$3&lt;AJ8,0,1)</f>
        <v>0</v>
      </c>
      <c s="125">
        <f>SUM(Финансирование!AK22,Финансирование!AK37,Финансирование!AK52)*IF($K$3&lt;AK8,0,1)</f>
        <v>0</v>
      </c>
      <c s="125">
        <f>SUM(Финансирование!AL22,Финансирование!AL37,Финансирование!AL52)*IF($K$3&lt;AL8,0,1)</f>
        <v>0</v>
      </c>
      <c s="125">
        <f>SUM(Финансирование!AM22,Финансирование!AM37,Финансирование!AM52)*IF($K$3&lt;AM8,0,1)</f>
        <v>0</v>
      </c>
      <c s="125">
        <f>SUM(Финансирование!AN22,Финансирование!AN37,Финансирование!AN52)*IF($K$3&lt;AN8,0,1)</f>
        <v>0</v>
      </c>
      <c s="125">
        <f>SUM(Финансирование!AO22,Финансирование!AO37,Финансирование!AO52)*IF($K$3&lt;AO8,0,1)</f>
        <v>0</v>
      </c>
      <c s="125">
        <f>SUM(Финансирование!AP22,Финансирование!AP37,Финансирование!AP52)*IF($K$3&lt;AP8,0,1)</f>
        <v>0</v>
      </c>
      <c s="125">
        <f>SUM(Финансирование!AQ22,Финансирование!AQ37,Финансирование!AQ52)*IF($K$3&lt;AQ8,0,1)</f>
        <v>0</v>
      </c>
      <c s="125">
        <f>SUM(Финансирование!AR22,Финансирование!AR37,Финансирование!AR52)*IF($K$3&lt;AR8,0,1)</f>
        <v>0</v>
      </c>
      <c s="125">
        <f>SUM(Финансирование!AS22,Финансирование!AS37,Финансирование!AS52)*IF($K$3&lt;AS8,0,1)</f>
        <v>0</v>
      </c>
      <c s="125">
        <f>SUM(Финансирование!AT22,Финансирование!AT37,Финансирование!AT52)*IF($K$3&lt;AT8,0,1)</f>
        <v>0</v>
      </c>
      <c s="125">
        <f>SUM(Финансирование!AU22,Финансирование!AU37,Финансирование!AU52)*IF($K$3&lt;AU8,0,1)</f>
        <v>0</v>
      </c>
      <c s="125">
        <f>SUM(Финансирование!AV22,Финансирование!AV37,Финансирование!AV52)*IF($K$3&lt;AV8,0,1)</f>
        <v>0</v>
      </c>
      <c s="125">
        <f>SUM(Финансирование!AW22,Финансирование!AW37,Финансирование!AW52)*IF($K$3&lt;AW8,0,1)</f>
        <v>0</v>
      </c>
      <c s="125">
        <f>SUM(Финансирование!AX22,Финансирование!AX37,Финансирование!AX52)*IF($K$3&lt;AX8,0,1)</f>
        <v>0</v>
      </c>
      <c s="125">
        <f>SUM(Финансирование!AY22,Финансирование!AY37,Финансирование!AY52)*IF($K$3&lt;AY8,0,1)</f>
        <v>0</v>
      </c>
      <c s="125">
        <f>SUM(Финансирование!AZ22,Финансирование!AZ37,Финансирование!AZ52)*IF($K$3&lt;AZ8,0,1)</f>
        <v>0</v>
      </c>
      <c s="125">
        <f>SUM(Финансирование!BA22,Финансирование!BA37,Финансирование!BA52)*IF($K$3&lt;BA8,0,1)</f>
        <v>0</v>
      </c>
      <c s="125">
        <f>SUM(Финансирование!BB22,Финансирование!BB37,Финансирование!BB52)*IF($K$3&lt;BB8,0,1)</f>
        <v>0</v>
      </c>
      <c s="125">
        <f>SUM(Финансирование!BC22,Финансирование!BC37,Финансирование!BC52)*IF($K$3&lt;BC8,0,1)</f>
        <v>0</v>
      </c>
      <c s="125">
        <f>SUM(Финансирование!BD22,Финансирование!BD37,Финансирование!BD52)*IF($K$3&lt;BD8,0,1)</f>
        <v>0</v>
      </c>
      <c s="125">
        <f>SUM(Финансирование!BE22,Финансирование!BE37,Финансирование!BE52)*IF($K$3&lt;BE8,0,1)</f>
        <v>0</v>
      </c>
      <c s="125">
        <f>SUM(Финансирование!BF22,Финансирование!BF37,Финансирование!BF52)*IF($K$3&lt;BF8,0,1)</f>
        <v>0</v>
      </c>
      <c s="125">
        <f>SUM(Финансирование!BG22,Финансирование!BG37,Финансирование!BG52)*IF($K$3&lt;BG8,0,1)</f>
        <v>0</v>
      </c>
      <c s="125">
        <f>SUM(Финансирование!BH22,Финансирование!BH37,Финансирование!BH52)*IF($K$3&lt;BH8,0,1)</f>
        <v>0</v>
      </c>
      <c s="125">
        <f>SUM(Финансирование!BI22,Финансирование!BI37,Финансирование!BI52)*IF($K$3&lt;BI8,0,1)</f>
        <v>0</v>
      </c>
      <c s="125">
        <f>SUM(Финансирование!BJ22,Финансирование!BJ37,Финансирование!BJ52)*IF($K$3&lt;BJ8,0,1)</f>
        <v>0</v>
      </c>
      <c s="125">
        <f>SUM(Финансирование!BK22,Финансирование!BK37,Финансирование!BK52)*IF($K$3&lt;BK8,0,1)</f>
        <v>0</v>
      </c>
      <c s="125">
        <f>SUM(Финансирование!BL22,Финансирование!BL37,Финансирование!BL52)*IF($K$3&lt;BL8,0,1)</f>
        <v>0</v>
      </c>
      <c s="125">
        <f>SUM(Финансирование!BM22,Финансирование!BM37,Финансирование!BM52)*IF($K$3&lt;BM8,0,1)</f>
        <v>0</v>
      </c>
    </row>
    <row r="71" spans="2:65" ht="15" customHeight="1">
      <c r="B71" s="289" t="s">
        <v>454</v>
      </c>
      <c s="290" t="s">
        <v>438</v>
      </c>
      <c s="291">
        <f>SUM(D69:D70)</f>
        <v>0</v>
      </c>
      <c s="276">
        <f>SUM(E69:E70)</f>
        <v>0</v>
      </c>
      <c s="276">
        <f t="shared" si="96" ref="F71:AG71">SUM(F69:F70)</f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6"/>
        <v>0</v>
      </c>
      <c s="276">
        <f t="shared" si="97" ref="AH71:BM71">SUM(AH69:AH70)</f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  <c s="276">
        <f t="shared" si="97"/>
        <v>0</v>
      </c>
    </row>
    <row r="72" ht="15" customHeight="1"/>
    <row r="73" spans="2:65" ht="15" customHeight="1">
      <c r="B73" s="292" t="s">
        <v>992</v>
      </c>
      <c s="293" t="s">
        <v>438</v>
      </c>
      <c s="291">
        <f ca="1">SUM(D66,D71)</f>
        <v>0</v>
      </c>
      <c s="291">
        <f ca="1">SUM(E66,E71)</f>
        <v>0</v>
      </c>
      <c s="291">
        <f ca="1" t="shared" si="98" ref="F73:BM73">SUM(F66,F71)</f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  <c s="291">
        <f t="shared" ca="1" si="98"/>
        <v>0</v>
      </c>
    </row>
    <row r="74" ht="15" customHeight="1"/>
    <row r="75" spans="2:2" ht="15" customHeight="1">
      <c r="B75" s="24" t="s">
        <v>993</v>
      </c>
    </row>
    <row r="76" spans="2:65" ht="15" customHeight="1">
      <c r="B76" s="12" t="s">
        <v>994</v>
      </c>
      <c s="124" t="s">
        <v>438</v>
      </c>
      <c s="276">
        <f ca="1">SUM(E76:BM76)</f>
        <v>0</v>
      </c>
      <c s="125">
        <f ca="1">IF(E6=1,Предпосылки!$C$445,D78)</f>
        <v>0</v>
      </c>
      <c s="125">
        <f ca="1">IF(F6=1,Предпосылки!$C$445,E78)*IF($K$3&lt;F8,0,1)</f>
        <v>0</v>
      </c>
      <c s="125">
        <f ca="1">IF(G6=1,Предпосылки!$C$445,F78)*IF($K$3&lt;G8,0,1)</f>
        <v>0</v>
      </c>
      <c s="125">
        <f ca="1">IF(H6=1,Предпосылки!$C$445,G78)*IF($K$3&lt;H8,0,1)</f>
        <v>0</v>
      </c>
      <c s="125">
        <f ca="1">IF(I6=1,Предпосылки!$C$445,H78)*IF($K$3&lt;I8,0,1)</f>
        <v>0</v>
      </c>
      <c s="125">
        <f ca="1">IF(J6=1,Предпосылки!$C$445,I78)*IF($K$3&lt;J8,0,1)</f>
        <v>0</v>
      </c>
      <c s="125">
        <f ca="1">IF(K6=1,Предпосылки!$C$445,J78)*IF($K$3&lt;K8,0,1)</f>
        <v>0</v>
      </c>
      <c s="125">
        <f ca="1">IF(L6=1,Предпосылки!$C$445,K78)*IF($K$3&lt;L8,0,1)</f>
        <v>0</v>
      </c>
      <c s="125">
        <f ca="1">IF(M6=1,Предпосылки!$C$445,L78)*IF($K$3&lt;M8,0,1)</f>
        <v>0</v>
      </c>
      <c s="125">
        <f ca="1">IF(N6=1,Предпосылки!$C$445,M78)*IF($K$3&lt;N8,0,1)</f>
        <v>0</v>
      </c>
      <c s="125">
        <f ca="1">IF(O6=1,Предпосылки!$C$445,N78)*IF($K$3&lt;O8,0,1)</f>
        <v>0</v>
      </c>
      <c s="125">
        <f ca="1">IF(P6=1,Предпосылки!$C$445,O78)*IF($K$3&lt;P8,0,1)</f>
        <v>0</v>
      </c>
      <c s="125">
        <f ca="1">IF(Q6=1,Предпосылки!$C$445,P78)*IF($K$3&lt;Q8,0,1)</f>
        <v>0</v>
      </c>
      <c s="125">
        <f ca="1">IF(R6=1,Предпосылки!$C$445,Q78)*IF($K$3&lt;R8,0,1)</f>
        <v>0</v>
      </c>
      <c s="125">
        <f ca="1">IF(S6=1,Предпосылки!$C$445,R78)*IF($K$3&lt;S8,0,1)</f>
        <v>0</v>
      </c>
      <c s="125">
        <f ca="1">IF(T6=1,Предпосылки!$C$445,S78)*IF($K$3&lt;T8,0,1)</f>
        <v>0</v>
      </c>
      <c s="125">
        <f ca="1">IF(U6=1,Предпосылки!$C$445,T78)*IF($K$3&lt;U8,0,1)</f>
        <v>0</v>
      </c>
      <c s="125">
        <f ca="1">IF(V6=1,Предпосылки!$C$445,U78)*IF($K$3&lt;V8,0,1)</f>
        <v>0</v>
      </c>
      <c s="125">
        <f ca="1">IF(W6=1,Предпосылки!$C$445,V78)*IF($K$3&lt;W8,0,1)</f>
        <v>0</v>
      </c>
      <c s="125">
        <f ca="1">IF(X6=1,Предпосылки!$C$445,W78)*IF($K$3&lt;X8,0,1)</f>
        <v>0</v>
      </c>
      <c s="125">
        <f ca="1">IF(Y6=1,Предпосылки!$C$445,X78)*IF($K$3&lt;Y8,0,1)</f>
        <v>0</v>
      </c>
      <c s="125">
        <f ca="1">IF(Z6=1,Предпосылки!$C$445,Y78)*IF($K$3&lt;Z8,0,1)</f>
        <v>0</v>
      </c>
      <c s="125">
        <f ca="1">IF(AA6=1,Предпосылки!$C$445,Z78)*IF($K$3&lt;AA8,0,1)</f>
        <v>0</v>
      </c>
      <c s="125">
        <f ca="1">IF(AB6=1,Предпосылки!$C$445,AA78)*IF($K$3&lt;AB8,0,1)</f>
        <v>0</v>
      </c>
      <c s="125">
        <f ca="1">IF(AC6=1,Предпосылки!$C$445,AB78)*IF($K$3&lt;AC8,0,1)</f>
        <v>0</v>
      </c>
      <c s="125">
        <f ca="1">IF(AD6=1,Предпосылки!$C$445,AC78)*IF($K$3&lt;AD8,0,1)</f>
        <v>0</v>
      </c>
      <c s="125">
        <f ca="1">IF(AE6=1,Предпосылки!$C$445,AD78)*IF($K$3&lt;AE8,0,1)</f>
        <v>0</v>
      </c>
      <c s="125">
        <f ca="1">IF(AF6=1,Предпосылки!$C$445,AE78)*IF($K$3&lt;AF8,0,1)</f>
        <v>0</v>
      </c>
      <c s="125">
        <f ca="1">IF(AG6=1,Предпосылки!$C$445,AF78)*IF($K$3&lt;AG8,0,1)</f>
        <v>0</v>
      </c>
      <c s="125">
        <f ca="1">IF(AH6=1,Предпосылки!$C$445,AG78)*IF($K$3&lt;AH8,0,1)</f>
        <v>0</v>
      </c>
      <c s="125">
        <f ca="1">IF(AI6=1,Предпосылки!$C$445,AH78)*IF($K$3&lt;AI8,0,1)</f>
        <v>0</v>
      </c>
      <c s="125">
        <f ca="1">IF(AJ6=1,Предпосылки!$C$445,AI78)*IF($K$3&lt;AJ8,0,1)</f>
        <v>0</v>
      </c>
      <c s="125">
        <f ca="1">IF(AK6=1,Предпосылки!$C$445,AJ78)*IF($K$3&lt;AK8,0,1)</f>
        <v>0</v>
      </c>
      <c s="125">
        <f ca="1">IF(AL6=1,Предпосылки!$C$445,AK78)*IF($K$3&lt;AL8,0,1)</f>
        <v>0</v>
      </c>
      <c s="125">
        <f ca="1">IF(AM6=1,Предпосылки!$C$445,AL78)*IF($K$3&lt;AM8,0,1)</f>
        <v>0</v>
      </c>
      <c s="125">
        <f ca="1">IF(AN6=1,Предпосылки!$C$445,AM78)*IF($K$3&lt;AN8,0,1)</f>
        <v>0</v>
      </c>
      <c s="125">
        <f ca="1">IF(AO6=1,Предпосылки!$C$445,AN78)*IF($K$3&lt;AO8,0,1)</f>
        <v>0</v>
      </c>
      <c s="125">
        <f ca="1">IF(AP6=1,Предпосылки!$C$445,AO78)*IF($K$3&lt;AP8,0,1)</f>
        <v>0</v>
      </c>
      <c s="125">
        <f ca="1">IF(AQ6=1,Предпосылки!$C$445,AP78)*IF($K$3&lt;AQ8,0,1)</f>
        <v>0</v>
      </c>
      <c s="125">
        <f ca="1">IF(AR6=1,Предпосылки!$C$445,AQ78)*IF($K$3&lt;AR8,0,1)</f>
        <v>0</v>
      </c>
      <c s="125">
        <f ca="1">IF(AS6=1,Предпосылки!$C$445,AR78)*IF($K$3&lt;AS8,0,1)</f>
        <v>0</v>
      </c>
      <c s="125">
        <f ca="1">IF(AT6=1,Предпосылки!$C$445,AS78)*IF($K$3&lt;AT8,0,1)</f>
        <v>0</v>
      </c>
      <c s="125">
        <f ca="1">IF(AU6=1,Предпосылки!$C$445,AT78)*IF($K$3&lt;AU8,0,1)</f>
        <v>0</v>
      </c>
      <c s="125">
        <f ca="1">IF(AV6=1,Предпосылки!$C$445,AU78)*IF($K$3&lt;AV8,0,1)</f>
        <v>0</v>
      </c>
      <c s="125">
        <f ca="1">IF(AW6=1,Предпосылки!$C$445,AV78)*IF($K$3&lt;AW8,0,1)</f>
        <v>0</v>
      </c>
      <c s="125">
        <f ca="1">IF(AX6=1,Предпосылки!$C$445,AW78)*IF($K$3&lt;AX8,0,1)</f>
        <v>0</v>
      </c>
      <c s="125">
        <f ca="1">IF(AY6=1,Предпосылки!$C$445,AX78)*IF($K$3&lt;AY8,0,1)</f>
        <v>0</v>
      </c>
      <c s="125">
        <f ca="1">IF(AZ6=1,Предпосылки!$C$445,AY78)*IF($K$3&lt;AZ8,0,1)</f>
        <v>0</v>
      </c>
      <c s="125">
        <f ca="1">IF(BA6=1,Предпосылки!$C$445,AZ78)*IF($K$3&lt;BA8,0,1)</f>
        <v>0</v>
      </c>
      <c s="125">
        <f ca="1">IF(BB6=1,Предпосылки!$C$445,BA78)*IF($K$3&lt;BB8,0,1)</f>
        <v>0</v>
      </c>
      <c s="125">
        <f ca="1">IF(BC6=1,Предпосылки!$C$445,BB78)*IF($K$3&lt;BC8,0,1)</f>
        <v>0</v>
      </c>
      <c s="125">
        <f ca="1">IF(BD6=1,Предпосылки!$C$445,BC78)*IF($K$3&lt;BD8,0,1)</f>
        <v>0</v>
      </c>
      <c s="125">
        <f ca="1">IF(BE6=1,Предпосылки!$C$445,BD78)*IF($K$3&lt;BE8,0,1)</f>
        <v>0</v>
      </c>
      <c s="125">
        <f ca="1">IF(BF6=1,Предпосылки!$C$445,BE78)*IF($K$3&lt;BF8,0,1)</f>
        <v>0</v>
      </c>
      <c s="125">
        <f ca="1">IF(BG6=1,Предпосылки!$C$445,BF78)*IF($K$3&lt;BG8,0,1)</f>
        <v>0</v>
      </c>
      <c s="125">
        <f ca="1">IF(BH6=1,Предпосылки!$C$445,BG78)*IF($K$3&lt;BH8,0,1)</f>
        <v>0</v>
      </c>
      <c s="125">
        <f ca="1">IF(BI6=1,Предпосылки!$C$445,BH78)*IF($K$3&lt;BI8,0,1)</f>
        <v>0</v>
      </c>
      <c s="125">
        <f ca="1">IF(BJ6=1,Предпосылки!$C$445,BI78)*IF($K$3&lt;BJ8,0,1)</f>
        <v>0</v>
      </c>
      <c s="125">
        <f ca="1">IF(BK6=1,Предпосылки!$C$445,BJ78)*IF($K$3&lt;BK8,0,1)</f>
        <v>0</v>
      </c>
      <c s="125">
        <f ca="1">IF(BL6=1,Предпосылки!$C$445,BK78)*IF($K$3&lt;BL8,0,1)</f>
        <v>0</v>
      </c>
      <c s="125">
        <f ca="1">IF(BM6=1,Предпосылки!$C$445,BL78)*IF($K$3&lt;BM8,0,1)</f>
        <v>0</v>
      </c>
    </row>
    <row r="77" spans="2:65" ht="15" customHeight="1">
      <c r="B77" s="12" t="s">
        <v>995</v>
      </c>
      <c s="124" t="s">
        <v>438</v>
      </c>
      <c s="276">
        <f ca="1">SUM(E77:BM77)</f>
        <v>0</v>
      </c>
      <c s="125">
        <f ca="1">SUM(E53,E60,E73)</f>
        <v>0</v>
      </c>
      <c s="125">
        <f ca="1" t="shared" si="99" ref="F77:AG77">SUM(F53,F60,F73)</f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t="shared" ca="1" si="99"/>
        <v>0</v>
      </c>
      <c s="125">
        <f ca="1" t="shared" si="100" ref="AH77:BM77">SUM(AH53,AH60,AH73)</f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  <c s="125">
        <f t="shared" ca="1" si="100"/>
        <v>0</v>
      </c>
    </row>
    <row r="78" spans="2:65" ht="15" customHeight="1">
      <c r="B78" s="289" t="s">
        <v>996</v>
      </c>
      <c s="290" t="s">
        <v>438</v>
      </c>
      <c s="291">
        <f ca="1">SUM(D77:D77)</f>
        <v>0</v>
      </c>
      <c s="276">
        <f ca="1">SUM(E76:E77)</f>
        <v>0</v>
      </c>
      <c s="276">
        <f ca="1" t="shared" si="101" ref="F78:AG78">SUM(F76:F77)</f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t="shared" ca="1" si="101"/>
        <v>0</v>
      </c>
      <c s="276">
        <f ca="1" t="shared" si="102" ref="AH78:BM78">SUM(AH76:AH77)</f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  <c s="276">
        <f t="shared" ca="1" si="102"/>
        <v>0</v>
      </c>
    </row>
    <row r="79" ht="15" customHeight="1"/>
    <row r="80" spans="2:4" ht="15" customHeight="1">
      <c r="B80" s="608" t="s">
        <v>997</v>
      </c>
      <c s="609"/>
      <c s="47" t="str">
        <f ca="1">IFERROR(IF(ROUND(MIN(OFFSET(E78,,,,MAX(SUM($E$12:$BM$12),1))),2)&lt;0,"Q","R"),"Q")</f>
        <v>R</v>
      </c>
    </row>
    <row r="81" spans="2:4" ht="15" customHeight="1">
      <c r="B81" s="608" t="s">
        <v>998</v>
      </c>
      <c s="609"/>
      <c s="47" t="str">
        <f ca="1">IFERROR(IF(ROUND(MIN(E78:BM78),2)&lt;0,"Q","R"),"Q")</f>
        <v>R</v>
      </c>
    </row>
    <row r="82" ht="15" customHeight="1"/>
    <row r="83" spans="2:71" ht="21">
      <c r="B83" s="23" t="s">
        <v>335</v>
      </c>
      <c r="D8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4" spans="2:71" ht="21">
      <c r="B84" s="24" t="s">
        <v>999</v>
      </c>
      <c r="D8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5" spans="2:65" ht="15" customHeight="1">
      <c r="B85" s="12" t="s">
        <v>1000</v>
      </c>
      <c s="124" t="str">
        <f>Единица_измерения</f>
        <v>тыс. руб.</v>
      </c>
      <c s="125"/>
      <c s="125">
        <f>'Капитальные вложения'!E417*IF($K$3&lt;E8,0,1)</f>
        <v>0</v>
      </c>
      <c s="125">
        <f>'Капитальные вложения'!F417*IF($K$3&lt;F8,0,1)</f>
        <v>0</v>
      </c>
      <c s="125">
        <f>'Капитальные вложения'!G417*IF($K$3&lt;G8,0,1)</f>
        <v>0</v>
      </c>
      <c s="125">
        <f>'Капитальные вложения'!H417*IF($K$3&lt;H8,0,1)</f>
        <v>0</v>
      </c>
      <c s="125">
        <f>'Капитальные вложения'!I417*IF($K$3&lt;I8,0,1)</f>
        <v>0</v>
      </c>
      <c s="125">
        <f>'Капитальные вложения'!J417*IF($K$3&lt;J8,0,1)</f>
        <v>0</v>
      </c>
      <c s="125">
        <f>'Капитальные вложения'!K417*IF($K$3&lt;K8,0,1)</f>
        <v>0</v>
      </c>
      <c s="125">
        <f>'Капитальные вложения'!L417*IF($K$3&lt;L8,0,1)</f>
        <v>0</v>
      </c>
      <c s="125">
        <f>'Капитальные вложения'!M417*IF($K$3&lt;M8,0,1)</f>
        <v>0</v>
      </c>
      <c s="125">
        <f>'Капитальные вложения'!N417*IF($K$3&lt;N8,0,1)</f>
        <v>0</v>
      </c>
      <c s="125">
        <f>'Капитальные вложения'!O417*IF($K$3&lt;O8,0,1)</f>
        <v>0</v>
      </c>
      <c s="125">
        <f>'Капитальные вложения'!P417*IF($K$3&lt;P8,0,1)</f>
        <v>0</v>
      </c>
      <c s="125">
        <f>'Капитальные вложения'!Q417*IF($K$3&lt;Q8,0,1)</f>
        <v>0</v>
      </c>
      <c s="125">
        <f>'Капитальные вложения'!R417*IF($K$3&lt;R8,0,1)</f>
        <v>0</v>
      </c>
      <c s="125">
        <f>'Капитальные вложения'!S417*IF($K$3&lt;S8,0,1)</f>
        <v>0</v>
      </c>
      <c s="125">
        <f>'Капитальные вложения'!T417*IF($K$3&lt;T8,0,1)</f>
        <v>0</v>
      </c>
      <c s="125">
        <f>'Капитальные вложения'!U417*IF($K$3&lt;U8,0,1)</f>
        <v>0</v>
      </c>
      <c s="125">
        <f>'Капитальные вложения'!V417*IF($K$3&lt;V8,0,1)</f>
        <v>0</v>
      </c>
      <c s="125">
        <f>'Капитальные вложения'!W417*IF($K$3&lt;W8,0,1)</f>
        <v>0</v>
      </c>
      <c s="125">
        <f>'Капитальные вложения'!X417*IF($K$3&lt;X8,0,1)</f>
        <v>0</v>
      </c>
      <c s="125">
        <f>'Капитальные вложения'!Y417*IF($K$3&lt;Y8,0,1)</f>
        <v>0</v>
      </c>
      <c s="125">
        <f>'Капитальные вложения'!Z417*IF($K$3&lt;Z8,0,1)</f>
        <v>0</v>
      </c>
      <c s="125">
        <f>'Капитальные вложения'!AA417*IF($K$3&lt;AA8,0,1)</f>
        <v>0</v>
      </c>
      <c s="125">
        <f>'Капитальные вложения'!AB417*IF($K$3&lt;AB8,0,1)</f>
        <v>0</v>
      </c>
      <c s="125">
        <f>'Капитальные вложения'!AC417*IF($K$3&lt;AC8,0,1)</f>
        <v>0</v>
      </c>
      <c s="125">
        <f>'Капитальные вложения'!AD417*IF($K$3&lt;AD8,0,1)</f>
        <v>0</v>
      </c>
      <c s="125">
        <f>'Капитальные вложения'!AE417*IF($K$3&lt;AE8,0,1)</f>
        <v>0</v>
      </c>
      <c s="125">
        <f>'Капитальные вложения'!AF417*IF($K$3&lt;AF8,0,1)</f>
        <v>0</v>
      </c>
      <c s="125">
        <f>'Капитальные вложения'!AG417*IF($K$3&lt;AG8,0,1)</f>
        <v>0</v>
      </c>
      <c s="125">
        <f>'Капитальные вложения'!AH417*IF($K$3&lt;AH8,0,1)</f>
        <v>0</v>
      </c>
      <c s="125">
        <f>'Капитальные вложения'!AI417*IF($K$3&lt;AI8,0,1)</f>
        <v>0</v>
      </c>
      <c s="125">
        <f>'Капитальные вложения'!AJ417*IF($K$3&lt;AJ8,0,1)</f>
        <v>0</v>
      </c>
      <c s="125">
        <f>'Капитальные вложения'!AK417*IF($K$3&lt;AK8,0,1)</f>
        <v>0</v>
      </c>
      <c s="125">
        <f>'Капитальные вложения'!AL417*IF($K$3&lt;AL8,0,1)</f>
        <v>0</v>
      </c>
      <c s="125">
        <f>'Капитальные вложения'!AM417*IF($K$3&lt;AM8,0,1)</f>
        <v>0</v>
      </c>
      <c s="125">
        <f>'Капитальные вложения'!AN417*IF($K$3&lt;AN8,0,1)</f>
        <v>0</v>
      </c>
      <c s="125">
        <f>'Капитальные вложения'!AO417*IF($K$3&lt;AO8,0,1)</f>
        <v>0</v>
      </c>
      <c s="125">
        <f>'Капитальные вложения'!AP417*IF($K$3&lt;AP8,0,1)</f>
        <v>0</v>
      </c>
      <c s="125">
        <f>'Капитальные вложения'!AQ417*IF($K$3&lt;AQ8,0,1)</f>
        <v>0</v>
      </c>
      <c s="125">
        <f>'Капитальные вложения'!AR417*IF($K$3&lt;AR8,0,1)</f>
        <v>0</v>
      </c>
      <c s="125">
        <f>'Капитальные вложения'!AS417*IF($K$3&lt;AS8,0,1)</f>
        <v>0</v>
      </c>
      <c s="125">
        <f>'Капитальные вложения'!AT417*IF($K$3&lt;AT8,0,1)</f>
        <v>0</v>
      </c>
      <c s="125">
        <f>'Капитальные вложения'!AU417*IF($K$3&lt;AU8,0,1)</f>
        <v>0</v>
      </c>
      <c s="125">
        <f>'Капитальные вложения'!AV417*IF($K$3&lt;AV8,0,1)</f>
        <v>0</v>
      </c>
      <c s="125">
        <f>'Капитальные вложения'!AW417*IF($K$3&lt;AW8,0,1)</f>
        <v>0</v>
      </c>
      <c s="125">
        <f>'Капитальные вложения'!AX417*IF($K$3&lt;AX8,0,1)</f>
        <v>0</v>
      </c>
      <c s="125">
        <f>'Капитальные вложения'!AY417*IF($K$3&lt;AY8,0,1)</f>
        <v>0</v>
      </c>
      <c s="125">
        <f>'Капитальные вложения'!AZ417*IF($K$3&lt;AZ8,0,1)</f>
        <v>0</v>
      </c>
      <c s="125">
        <f>'Капитальные вложения'!BA417*IF($K$3&lt;BA8,0,1)</f>
        <v>0</v>
      </c>
      <c s="125">
        <f>'Капитальные вложения'!BB417*IF($K$3&lt;BB8,0,1)</f>
        <v>0</v>
      </c>
      <c s="125">
        <f>'Капитальные вложения'!BC417*IF($K$3&lt;BC8,0,1)</f>
        <v>0</v>
      </c>
      <c s="125">
        <f>'Капитальные вложения'!BD417*IF($K$3&lt;BD8,0,1)</f>
        <v>0</v>
      </c>
      <c s="125">
        <f>'Капитальные вложения'!BE417*IF($K$3&lt;BE8,0,1)</f>
        <v>0</v>
      </c>
      <c s="125">
        <f>'Капитальные вложения'!BF417*IF($K$3&lt;BF8,0,1)</f>
        <v>0</v>
      </c>
      <c s="125">
        <f>'Капитальные вложения'!BG417*IF($K$3&lt;BG8,0,1)</f>
        <v>0</v>
      </c>
      <c s="125">
        <f>'Капитальные вложения'!BH417*IF($K$3&lt;BH8,0,1)</f>
        <v>0</v>
      </c>
      <c s="125">
        <f>'Капитальные вложения'!BI417*IF($K$3&lt;BI8,0,1)</f>
        <v>0</v>
      </c>
      <c s="125">
        <f>'Капитальные вложения'!BJ417*IF($K$3&lt;BJ8,0,1)</f>
        <v>0</v>
      </c>
      <c s="125">
        <f>'Капитальные вложения'!BK417*IF($K$3&lt;BK8,0,1)</f>
        <v>0</v>
      </c>
      <c s="125">
        <f>'Капитальные вложения'!BL417*IF($K$3&lt;BL8,0,1)</f>
        <v>0</v>
      </c>
      <c s="125">
        <f>'Капитальные вложения'!BM417*IF($K$3&lt;BM8,0,1)</f>
        <v>0</v>
      </c>
    </row>
    <row r="86" spans="2:65" ht="15" customHeight="1">
      <c r="B86" s="22" t="s">
        <v>1001</v>
      </c>
      <c s="124" t="str">
        <f>Единица_измерения</f>
        <v>тыс. руб.</v>
      </c>
      <c s="125"/>
      <c s="125">
        <f>'Капитальные вложения'!E634*IF($K$3&lt;E8,0,1)</f>
        <v>0</v>
      </c>
      <c s="125">
        <f>'Капитальные вложения'!F634*IF($K$3&lt;F8,0,1)</f>
        <v>0</v>
      </c>
      <c s="125">
        <f>'Капитальные вложения'!G634*IF($K$3&lt;G8,0,1)</f>
        <v>0</v>
      </c>
      <c s="125">
        <f>'Капитальные вложения'!H634*IF($K$3&lt;H8,0,1)</f>
        <v>0</v>
      </c>
      <c s="125">
        <f>'Капитальные вложения'!I634*IF($K$3&lt;I8,0,1)</f>
        <v>0</v>
      </c>
      <c s="125">
        <f>'Капитальные вложения'!J634*IF($K$3&lt;J8,0,1)</f>
        <v>0</v>
      </c>
      <c s="125">
        <f>'Капитальные вложения'!K634*IF($K$3&lt;K8,0,1)</f>
        <v>0</v>
      </c>
      <c s="125">
        <f>'Капитальные вложения'!L634*IF($K$3&lt;L8,0,1)</f>
        <v>0</v>
      </c>
      <c s="125">
        <f>'Капитальные вложения'!M634*IF($K$3&lt;M8,0,1)</f>
        <v>0</v>
      </c>
      <c s="125">
        <f>'Капитальные вложения'!N634*IF($K$3&lt;N8,0,1)</f>
        <v>0</v>
      </c>
      <c s="125">
        <f>'Капитальные вложения'!O634*IF($K$3&lt;O8,0,1)</f>
        <v>0</v>
      </c>
      <c s="125">
        <f>'Капитальные вложения'!P634*IF($K$3&lt;P8,0,1)</f>
        <v>0</v>
      </c>
      <c s="125">
        <f>'Капитальные вложения'!Q634*IF($K$3&lt;Q8,0,1)</f>
        <v>0</v>
      </c>
      <c s="125">
        <f>'Капитальные вложения'!R634*IF($K$3&lt;R8,0,1)</f>
        <v>0</v>
      </c>
      <c s="125">
        <f>'Капитальные вложения'!S634*IF($K$3&lt;S8,0,1)</f>
        <v>0</v>
      </c>
      <c s="125">
        <f>'Капитальные вложения'!T634*IF($K$3&lt;T8,0,1)</f>
        <v>0</v>
      </c>
      <c s="125">
        <f>'Капитальные вложения'!U634*IF($K$3&lt;U8,0,1)</f>
        <v>0</v>
      </c>
      <c s="125">
        <f>'Капитальные вложения'!V634*IF($K$3&lt;V8,0,1)</f>
        <v>0</v>
      </c>
      <c s="125">
        <f>'Капитальные вложения'!W634*IF($K$3&lt;W8,0,1)</f>
        <v>0</v>
      </c>
      <c s="125">
        <f>'Капитальные вложения'!X634*IF($K$3&lt;X8,0,1)</f>
        <v>0</v>
      </c>
      <c s="125">
        <f>'Капитальные вложения'!Y634*IF($K$3&lt;Y8,0,1)</f>
        <v>0</v>
      </c>
      <c s="125">
        <f>'Капитальные вложения'!Z634*IF($K$3&lt;Z8,0,1)</f>
        <v>0</v>
      </c>
      <c s="125">
        <f>'Капитальные вложения'!AA634*IF($K$3&lt;AA8,0,1)</f>
        <v>0</v>
      </c>
      <c s="125">
        <f>'Капитальные вложения'!AB634*IF($K$3&lt;AB8,0,1)</f>
        <v>0</v>
      </c>
      <c s="125">
        <f>'Капитальные вложения'!AC634*IF($K$3&lt;AC8,0,1)</f>
        <v>0</v>
      </c>
      <c s="125">
        <f>'Капитальные вложения'!AD634*IF($K$3&lt;AD8,0,1)</f>
        <v>0</v>
      </c>
      <c s="125">
        <f>'Капитальные вложения'!AE634*IF($K$3&lt;AE8,0,1)</f>
        <v>0</v>
      </c>
      <c s="125">
        <f>'Капитальные вложения'!AF634*IF($K$3&lt;AF8,0,1)</f>
        <v>0</v>
      </c>
      <c s="125">
        <f>'Капитальные вложения'!AG634*IF($K$3&lt;AG8,0,1)</f>
        <v>0</v>
      </c>
      <c s="125">
        <f>'Капитальные вложения'!AH634*IF($K$3&lt;AH8,0,1)</f>
        <v>0</v>
      </c>
      <c s="125">
        <f>'Капитальные вложения'!AI634*IF($K$3&lt;AI8,0,1)</f>
        <v>0</v>
      </c>
      <c s="125">
        <f>'Капитальные вложения'!AJ634*IF($K$3&lt;AJ8,0,1)</f>
        <v>0</v>
      </c>
      <c s="125">
        <f>'Капитальные вложения'!AK634*IF($K$3&lt;AK8,0,1)</f>
        <v>0</v>
      </c>
      <c s="125">
        <f>'Капитальные вложения'!AL634*IF($K$3&lt;AL8,0,1)</f>
        <v>0</v>
      </c>
      <c s="125">
        <f>'Капитальные вложения'!AM634*IF($K$3&lt;AM8,0,1)</f>
        <v>0</v>
      </c>
      <c s="125">
        <f>'Капитальные вложения'!AN634*IF($K$3&lt;AN8,0,1)</f>
        <v>0</v>
      </c>
      <c s="125">
        <f>'Капитальные вложения'!AO634*IF($K$3&lt;AO8,0,1)</f>
        <v>0</v>
      </c>
      <c s="125">
        <f>'Капитальные вложения'!AP634*IF($K$3&lt;AP8,0,1)</f>
        <v>0</v>
      </c>
      <c s="125">
        <f>'Капитальные вложения'!AQ634*IF($K$3&lt;AQ8,0,1)</f>
        <v>0</v>
      </c>
      <c s="125">
        <f>'Капитальные вложения'!AR634*IF($K$3&lt;AR8,0,1)</f>
        <v>0</v>
      </c>
      <c s="125">
        <f>'Капитальные вложения'!AS634*IF($K$3&lt;AS8,0,1)</f>
        <v>0</v>
      </c>
      <c s="125">
        <f>'Капитальные вложения'!AT634*IF($K$3&lt;AT8,0,1)</f>
        <v>0</v>
      </c>
      <c s="125">
        <f>'Капитальные вложения'!AU634*IF($K$3&lt;AU8,0,1)</f>
        <v>0</v>
      </c>
      <c s="125">
        <f>'Капитальные вложения'!AV634*IF($K$3&lt;AV8,0,1)</f>
        <v>0</v>
      </c>
      <c s="125">
        <f>'Капитальные вложения'!AW634*IF($K$3&lt;AW8,0,1)</f>
        <v>0</v>
      </c>
      <c s="125">
        <f>'Капитальные вложения'!AX634*IF($K$3&lt;AX8,0,1)</f>
        <v>0</v>
      </c>
      <c s="125">
        <f>'Капитальные вложения'!AY634*IF($K$3&lt;AY8,0,1)</f>
        <v>0</v>
      </c>
      <c s="125">
        <f>'Капитальные вложения'!AZ634*IF($K$3&lt;AZ8,0,1)</f>
        <v>0</v>
      </c>
      <c s="125">
        <f>'Капитальные вложения'!BA634*IF($K$3&lt;BA8,0,1)</f>
        <v>0</v>
      </c>
      <c s="125">
        <f>'Капитальные вложения'!BB634*IF($K$3&lt;BB8,0,1)</f>
        <v>0</v>
      </c>
      <c s="125">
        <f>'Капитальные вложения'!BC634*IF($K$3&lt;BC8,0,1)</f>
        <v>0</v>
      </c>
      <c s="125">
        <f>'Капитальные вложения'!BD634*IF($K$3&lt;BD8,0,1)</f>
        <v>0</v>
      </c>
      <c s="125">
        <f>'Капитальные вложения'!BE634*IF($K$3&lt;BE8,0,1)</f>
        <v>0</v>
      </c>
      <c s="125">
        <f>'Капитальные вложения'!BF634*IF($K$3&lt;BF8,0,1)</f>
        <v>0</v>
      </c>
      <c s="125">
        <f>'Капитальные вложения'!BG634*IF($K$3&lt;BG8,0,1)</f>
        <v>0</v>
      </c>
      <c s="125">
        <f>'Капитальные вложения'!BH634*IF($K$3&lt;BH8,0,1)</f>
        <v>0</v>
      </c>
      <c s="125">
        <f>'Капитальные вложения'!BI634*IF($K$3&lt;BI8,0,1)</f>
        <v>0</v>
      </c>
      <c s="125">
        <f>'Капитальные вложения'!BJ634*IF($K$3&lt;BJ8,0,1)</f>
        <v>0</v>
      </c>
      <c s="125">
        <f>'Капитальные вложения'!BK634*IF($K$3&lt;BK8,0,1)</f>
        <v>0</v>
      </c>
      <c s="125">
        <f>'Капитальные вложения'!BL634*IF($K$3&lt;BL8,0,1)</f>
        <v>0</v>
      </c>
      <c s="125">
        <f>'Капитальные вложения'!BM634*IF($K$3&lt;BM8,0,1)</f>
        <v>0</v>
      </c>
    </row>
    <row r="87" spans="2:65" ht="15" customHeight="1">
      <c r="B87" s="289" t="s">
        <v>1002</v>
      </c>
      <c s="290" t="str">
        <f>Единица_измерения</f>
        <v>тыс. руб.</v>
      </c>
      <c s="276"/>
      <c s="276">
        <f>SUM(E85:E86)</f>
        <v>0</v>
      </c>
      <c s="276">
        <f t="shared" si="103" ref="F87:AG87">SUM(F85:F86)</f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3"/>
        <v>0</v>
      </c>
      <c s="276">
        <f t="shared" si="104" ref="AH87:BM87">SUM(AH85:AH86)</f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</row>
    <row r="88" ht="15" customHeight="1"/>
    <row r="89" spans="2:71" ht="21">
      <c r="B89" s="24" t="s">
        <v>1003</v>
      </c>
      <c r="D8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171"/>
      <c s="5"/>
      <c s="5"/>
      <c s="5"/>
      <c s="5"/>
      <c s="5"/>
      <c s="5"/>
      <c s="5"/>
    </row>
    <row r="90" spans="2:65" ht="15" customHeight="1">
      <c r="B90" s="12" t="s">
        <v>309</v>
      </c>
      <c s="124" t="str">
        <f t="shared" si="105" ref="C90:C96">Единица_измерения</f>
        <v>тыс. руб.</v>
      </c>
      <c s="125"/>
      <c s="125">
        <f>'Оборотный капитал'!E87*IF($K$3&lt;E8,0,1)</f>
        <v>0</v>
      </c>
      <c s="125">
        <f>'Оборотный капитал'!F87*IF($K$3&lt;F8,0,1)</f>
        <v>0</v>
      </c>
      <c s="125">
        <f>'Оборотный капитал'!G87*IF($K$3&lt;G8,0,1)</f>
        <v>0</v>
      </c>
      <c s="125">
        <f>'Оборотный капитал'!H87*IF($K$3&lt;H8,0,1)</f>
        <v>0</v>
      </c>
      <c s="125">
        <f>'Оборотный капитал'!I87*IF($K$3&lt;I8,0,1)</f>
        <v>0</v>
      </c>
      <c s="125">
        <f>'Оборотный капитал'!J87*IF($K$3&lt;J8,0,1)</f>
        <v>0</v>
      </c>
      <c s="125">
        <f>'Оборотный капитал'!K87*IF($K$3&lt;K8,0,1)</f>
        <v>0</v>
      </c>
      <c s="125">
        <f>'Оборотный капитал'!L87*IF($K$3&lt;L8,0,1)</f>
        <v>0</v>
      </c>
      <c s="125">
        <f>'Оборотный капитал'!M87*IF($K$3&lt;M8,0,1)</f>
        <v>0</v>
      </c>
      <c s="125">
        <f>'Оборотный капитал'!N87*IF($K$3&lt;N8,0,1)</f>
        <v>0</v>
      </c>
      <c s="125">
        <f>'Оборотный капитал'!O87*IF($K$3&lt;O8,0,1)</f>
        <v>0</v>
      </c>
      <c s="125">
        <f>'Оборотный капитал'!P87*IF($K$3&lt;P8,0,1)</f>
        <v>0</v>
      </c>
      <c s="125">
        <f>'Оборотный капитал'!Q87*IF($K$3&lt;Q8,0,1)</f>
        <v>0</v>
      </c>
      <c s="125">
        <f>'Оборотный капитал'!R87*IF($K$3&lt;R8,0,1)</f>
        <v>0</v>
      </c>
      <c s="125">
        <f>'Оборотный капитал'!S87*IF($K$3&lt;S8,0,1)</f>
        <v>0</v>
      </c>
      <c s="125">
        <f>'Оборотный капитал'!T87*IF($K$3&lt;T8,0,1)</f>
        <v>0</v>
      </c>
      <c s="125">
        <f>'Оборотный капитал'!U87*IF($K$3&lt;U8,0,1)</f>
        <v>0</v>
      </c>
      <c s="125">
        <f>'Оборотный капитал'!V87*IF($K$3&lt;V8,0,1)</f>
        <v>0</v>
      </c>
      <c s="125">
        <f>'Оборотный капитал'!W87*IF($K$3&lt;W8,0,1)</f>
        <v>0</v>
      </c>
      <c s="125">
        <f>'Оборотный капитал'!X87*IF($K$3&lt;X8,0,1)</f>
        <v>0</v>
      </c>
      <c s="125">
        <f>'Оборотный капитал'!Y87*IF($K$3&lt;Y8,0,1)</f>
        <v>0</v>
      </c>
      <c s="125">
        <f>'Оборотный капитал'!Z87*IF($K$3&lt;Z8,0,1)</f>
        <v>0</v>
      </c>
      <c s="125">
        <f>'Оборотный капитал'!AA87*IF($K$3&lt;AA8,0,1)</f>
        <v>0</v>
      </c>
      <c s="125">
        <f>'Оборотный капитал'!AB87*IF($K$3&lt;AB8,0,1)</f>
        <v>0</v>
      </c>
      <c s="125">
        <f>'Оборотный капитал'!AC87*IF($K$3&lt;AC8,0,1)</f>
        <v>0</v>
      </c>
      <c s="125">
        <f>'Оборотный капитал'!AD87*IF($K$3&lt;AD8,0,1)</f>
        <v>0</v>
      </c>
      <c s="125">
        <f>'Оборотный капитал'!AE87*IF($K$3&lt;AE8,0,1)</f>
        <v>0</v>
      </c>
      <c s="125">
        <f>'Оборотный капитал'!AF87*IF($K$3&lt;AF8,0,1)</f>
        <v>0</v>
      </c>
      <c s="125">
        <f>'Оборотный капитал'!AG87*IF($K$3&lt;AG8,0,1)</f>
        <v>0</v>
      </c>
      <c s="125">
        <f>'Оборотный капитал'!AH87*IF($K$3&lt;AH8,0,1)</f>
        <v>0</v>
      </c>
      <c s="125">
        <f>'Оборотный капитал'!AI87*IF($K$3&lt;AI8,0,1)</f>
        <v>0</v>
      </c>
      <c s="125">
        <f>'Оборотный капитал'!AJ87*IF($K$3&lt;AJ8,0,1)</f>
        <v>0</v>
      </c>
      <c s="125">
        <f>'Оборотный капитал'!AK87*IF($K$3&lt;AK8,0,1)</f>
        <v>0</v>
      </c>
      <c s="125">
        <f>'Оборотный капитал'!AL87*IF($K$3&lt;AL8,0,1)</f>
        <v>0</v>
      </c>
      <c s="125">
        <f>'Оборотный капитал'!AM87*IF($K$3&lt;AM8,0,1)</f>
        <v>0</v>
      </c>
      <c s="125">
        <f>'Оборотный капитал'!AN87*IF($K$3&lt;AN8,0,1)</f>
        <v>0</v>
      </c>
      <c s="125">
        <f>'Оборотный капитал'!AO87*IF($K$3&lt;AO8,0,1)</f>
        <v>0</v>
      </c>
      <c s="125">
        <f>'Оборотный капитал'!AP87*IF($K$3&lt;AP8,0,1)</f>
        <v>0</v>
      </c>
      <c s="125">
        <f>'Оборотный капитал'!AQ87*IF($K$3&lt;AQ8,0,1)</f>
        <v>0</v>
      </c>
      <c s="125">
        <f>'Оборотный капитал'!AR87*IF($K$3&lt;AR8,0,1)</f>
        <v>0</v>
      </c>
      <c s="125">
        <f>'Оборотный капитал'!AS87*IF($K$3&lt;AS8,0,1)</f>
        <v>0</v>
      </c>
      <c s="125">
        <f>'Оборотный капитал'!AT87*IF($K$3&lt;AT8,0,1)</f>
        <v>0</v>
      </c>
      <c s="125">
        <f>'Оборотный капитал'!AU87*IF($K$3&lt;AU8,0,1)</f>
        <v>0</v>
      </c>
      <c s="125">
        <f>'Оборотный капитал'!AV87*IF($K$3&lt;AV8,0,1)</f>
        <v>0</v>
      </c>
      <c s="125">
        <f>'Оборотный капитал'!AW87*IF($K$3&lt;AW8,0,1)</f>
        <v>0</v>
      </c>
      <c s="125">
        <f>'Оборотный капитал'!AX87*IF($K$3&lt;AX8,0,1)</f>
        <v>0</v>
      </c>
      <c s="125">
        <f>'Оборотный капитал'!AY87*IF($K$3&lt;AY8,0,1)</f>
        <v>0</v>
      </c>
      <c s="125">
        <f>'Оборотный капитал'!AZ87*IF($K$3&lt;AZ8,0,1)</f>
        <v>0</v>
      </c>
      <c s="125">
        <f>'Оборотный капитал'!BA87*IF($K$3&lt;BA8,0,1)</f>
        <v>0</v>
      </c>
      <c s="125">
        <f>'Оборотный капитал'!BB87*IF($K$3&lt;BB8,0,1)</f>
        <v>0</v>
      </c>
      <c s="125">
        <f>'Оборотный капитал'!BC87*IF($K$3&lt;BC8,0,1)</f>
        <v>0</v>
      </c>
      <c s="125">
        <f>'Оборотный капитал'!BD87*IF($K$3&lt;BD8,0,1)</f>
        <v>0</v>
      </c>
      <c s="125">
        <f>'Оборотный капитал'!BE87*IF($K$3&lt;BE8,0,1)</f>
        <v>0</v>
      </c>
      <c s="125">
        <f>'Оборотный капитал'!BF87*IF($K$3&lt;BF8,0,1)</f>
        <v>0</v>
      </c>
      <c s="125">
        <f>'Оборотный капитал'!BG87*IF($K$3&lt;BG8,0,1)</f>
        <v>0</v>
      </c>
      <c s="125">
        <f>'Оборотный капитал'!BH87*IF($K$3&lt;BH8,0,1)</f>
        <v>0</v>
      </c>
      <c s="125">
        <f>'Оборотный капитал'!BI87*IF($K$3&lt;BI8,0,1)</f>
        <v>0</v>
      </c>
      <c s="125">
        <f>'Оборотный капитал'!BJ87*IF($K$3&lt;BJ8,0,1)</f>
        <v>0</v>
      </c>
      <c s="125">
        <f>'Оборотный капитал'!BK87*IF($K$3&lt;BK8,0,1)</f>
        <v>0</v>
      </c>
      <c s="125">
        <f>'Оборотный капитал'!BL87*IF($K$3&lt;BL8,0,1)</f>
        <v>0</v>
      </c>
      <c s="125">
        <f>'Оборотный капитал'!BM87*IF($K$3&lt;BM8,0,1)</f>
        <v>0</v>
      </c>
    </row>
    <row r="91" spans="2:65" ht="15" customHeight="1">
      <c r="B91" s="22" t="s">
        <v>1004</v>
      </c>
      <c s="124" t="str">
        <f t="shared" si="105"/>
        <v>тыс. руб.</v>
      </c>
      <c s="125"/>
      <c s="125">
        <f ca="1">Налоги!E25*IF($K$3&lt;E8,0,1)</f>
        <v>0</v>
      </c>
      <c s="125">
        <f ca="1">Налоги!F25*IF($K$3&lt;F8,0,1)</f>
        <v>0</v>
      </c>
      <c s="125">
        <f ca="1">Налоги!G25*IF($K$3&lt;G8,0,1)</f>
        <v>0</v>
      </c>
      <c s="125">
        <f ca="1">Налоги!H25*IF($K$3&lt;H8,0,1)</f>
        <v>0</v>
      </c>
      <c s="125">
        <f ca="1">Налоги!I25*IF($K$3&lt;I8,0,1)</f>
        <v>0</v>
      </c>
      <c s="125">
        <f ca="1">Налоги!J25*IF($K$3&lt;J8,0,1)</f>
        <v>0</v>
      </c>
      <c s="125">
        <f ca="1">Налоги!K25*IF($K$3&lt;K8,0,1)</f>
        <v>0</v>
      </c>
      <c s="125">
        <f ca="1">Налоги!L25*IF($K$3&lt;L8,0,1)</f>
        <v>0</v>
      </c>
      <c s="125">
        <f ca="1">Налоги!M25*IF($K$3&lt;M8,0,1)</f>
        <v>0</v>
      </c>
      <c s="125">
        <f ca="1">Налоги!N25*IF($K$3&lt;N8,0,1)</f>
        <v>0</v>
      </c>
      <c s="125">
        <f ca="1">Налоги!O25*IF($K$3&lt;O8,0,1)</f>
        <v>0</v>
      </c>
      <c s="125">
        <f ca="1">Налоги!P25*IF($K$3&lt;P8,0,1)</f>
        <v>0</v>
      </c>
      <c s="125">
        <f ca="1">Налоги!Q25*IF($K$3&lt;Q8,0,1)</f>
        <v>0</v>
      </c>
      <c s="125">
        <f ca="1">Налоги!R25*IF($K$3&lt;R8,0,1)</f>
        <v>0</v>
      </c>
      <c s="125">
        <f ca="1">Налоги!S25*IF($K$3&lt;S8,0,1)</f>
        <v>0</v>
      </c>
      <c s="125">
        <f ca="1">Налоги!T25*IF($K$3&lt;T8,0,1)</f>
        <v>0</v>
      </c>
      <c s="125">
        <f ca="1">Налоги!U25*IF($K$3&lt;U8,0,1)</f>
        <v>0</v>
      </c>
      <c s="125">
        <f ca="1">Налоги!V25*IF($K$3&lt;V8,0,1)</f>
        <v>0</v>
      </c>
      <c s="125">
        <f ca="1">Налоги!W25*IF($K$3&lt;W8,0,1)</f>
        <v>0</v>
      </c>
      <c s="125">
        <f ca="1">Налоги!X25*IF($K$3&lt;X8,0,1)</f>
        <v>0</v>
      </c>
      <c s="125">
        <f ca="1">Налоги!Y25*IF($K$3&lt;Y8,0,1)</f>
        <v>0</v>
      </c>
      <c s="125">
        <f ca="1">Налоги!Z25*IF($K$3&lt;Z8,0,1)</f>
        <v>0</v>
      </c>
      <c s="125">
        <f ca="1">Налоги!AA25*IF($K$3&lt;AA8,0,1)</f>
        <v>0</v>
      </c>
      <c s="125">
        <f ca="1">Налоги!AB25*IF($K$3&lt;AB8,0,1)</f>
        <v>0</v>
      </c>
      <c s="125">
        <f ca="1">Налоги!AC25*IF($K$3&lt;AC8,0,1)</f>
        <v>0</v>
      </c>
      <c s="125">
        <f ca="1">Налоги!AD25*IF($K$3&lt;AD8,0,1)</f>
        <v>0</v>
      </c>
      <c s="125">
        <f ca="1">Налоги!AE25*IF($K$3&lt;AE8,0,1)</f>
        <v>0</v>
      </c>
      <c s="125">
        <f ca="1">Налоги!AF25*IF($K$3&lt;AF8,0,1)</f>
        <v>0</v>
      </c>
      <c s="125">
        <f ca="1">Налоги!AG25*IF($K$3&lt;AG8,0,1)</f>
        <v>0</v>
      </c>
      <c s="125">
        <f ca="1">Налоги!AH25*IF($K$3&lt;AH8,0,1)</f>
        <v>0</v>
      </c>
      <c s="125">
        <f ca="1">Налоги!AI25*IF($K$3&lt;AI8,0,1)</f>
        <v>0</v>
      </c>
      <c s="125">
        <f ca="1">Налоги!AJ25*IF($K$3&lt;AJ8,0,1)</f>
        <v>0</v>
      </c>
      <c s="125">
        <f ca="1">Налоги!AK25*IF($K$3&lt;AK8,0,1)</f>
        <v>0</v>
      </c>
      <c s="125">
        <f ca="1">Налоги!AL25*IF($K$3&lt;AL8,0,1)</f>
        <v>0</v>
      </c>
      <c s="125">
        <f ca="1">Налоги!AM25*IF($K$3&lt;AM8,0,1)</f>
        <v>0</v>
      </c>
      <c s="125">
        <f ca="1">Налоги!AN25*IF($K$3&lt;AN8,0,1)</f>
        <v>0</v>
      </c>
      <c s="125">
        <f ca="1">Налоги!AO25*IF($K$3&lt;AO8,0,1)</f>
        <v>0</v>
      </c>
      <c s="125">
        <f ca="1">Налоги!AP25*IF($K$3&lt;AP8,0,1)</f>
        <v>0</v>
      </c>
      <c s="125">
        <f ca="1">Налоги!AQ25*IF($K$3&lt;AQ8,0,1)</f>
        <v>0</v>
      </c>
      <c s="125">
        <f ca="1">Налоги!AR25*IF($K$3&lt;AR8,0,1)</f>
        <v>0</v>
      </c>
      <c s="125">
        <f ca="1">Налоги!AS25*IF($K$3&lt;AS8,0,1)</f>
        <v>0</v>
      </c>
      <c s="125">
        <f ca="1">Налоги!AT25*IF($K$3&lt;AT8,0,1)</f>
        <v>0</v>
      </c>
      <c s="125">
        <f ca="1">Налоги!AU25*IF($K$3&lt;AU8,0,1)</f>
        <v>0</v>
      </c>
      <c s="125">
        <f ca="1">Налоги!AV25*IF($K$3&lt;AV8,0,1)</f>
        <v>0</v>
      </c>
      <c s="125">
        <f ca="1">Налоги!AW25*IF($K$3&lt;AW8,0,1)</f>
        <v>0</v>
      </c>
      <c s="125">
        <f ca="1">Налоги!AX25*IF($K$3&lt;AX8,0,1)</f>
        <v>0</v>
      </c>
      <c s="125">
        <f ca="1">Налоги!AY25*IF($K$3&lt;AY8,0,1)</f>
        <v>0</v>
      </c>
      <c s="125">
        <f ca="1">Налоги!AZ25*IF($K$3&lt;AZ8,0,1)</f>
        <v>0</v>
      </c>
      <c s="125">
        <f ca="1">Налоги!BA25*IF($K$3&lt;BA8,0,1)</f>
        <v>0</v>
      </c>
      <c s="125">
        <f ca="1">Налоги!BB25*IF($K$3&lt;BB8,0,1)</f>
        <v>0</v>
      </c>
      <c s="125">
        <f ca="1">Налоги!BC25*IF($K$3&lt;BC8,0,1)</f>
        <v>0</v>
      </c>
      <c s="125">
        <f ca="1">Налоги!BD25*IF($K$3&lt;BD8,0,1)</f>
        <v>0</v>
      </c>
      <c s="125">
        <f ca="1">Налоги!BE25*IF($K$3&lt;BE8,0,1)</f>
        <v>0</v>
      </c>
      <c s="125">
        <f ca="1">Налоги!BF25*IF($K$3&lt;BF8,0,1)</f>
        <v>0</v>
      </c>
      <c s="125">
        <f ca="1">Налоги!BG25*IF($K$3&lt;BG8,0,1)</f>
        <v>0</v>
      </c>
      <c s="125">
        <f ca="1">Налоги!BH25*IF($K$3&lt;BH8,0,1)</f>
        <v>0</v>
      </c>
      <c s="125">
        <f ca="1">Налоги!BI25*IF($K$3&lt;BI8,0,1)</f>
        <v>0</v>
      </c>
      <c s="125">
        <f ca="1">Налоги!BJ25*IF($K$3&lt;BJ8,0,1)</f>
        <v>0</v>
      </c>
      <c s="125">
        <f ca="1">Налоги!BK25*IF($K$3&lt;BK8,0,1)</f>
        <v>0</v>
      </c>
      <c s="125">
        <f ca="1">Налоги!BL25*IF($K$3&lt;BL8,0,1)</f>
        <v>0</v>
      </c>
      <c s="125">
        <f ca="1">Налоги!BM25*IF($K$3&lt;BM8,0,1)</f>
        <v>0</v>
      </c>
    </row>
    <row r="92" spans="2:65" ht="15" customHeight="1">
      <c r="B92" s="22" t="s">
        <v>311</v>
      </c>
      <c s="124" t="str">
        <f t="shared" si="105"/>
        <v>тыс. руб.</v>
      </c>
      <c s="125"/>
      <c s="125">
        <f ca="1">'Оборотный капитал'!E479*IF($K$3&lt;E8,0,1)</f>
        <v>0</v>
      </c>
      <c s="125">
        <f ca="1">'Оборотный капитал'!F479*IF($K$3&lt;F8,0,1)</f>
        <v>0</v>
      </c>
      <c s="125">
        <f ca="1">'Оборотный капитал'!G479*IF($K$3&lt;G8,0,1)</f>
        <v>0</v>
      </c>
      <c s="125">
        <f ca="1">'Оборотный капитал'!H479*IF($K$3&lt;H8,0,1)</f>
        <v>0</v>
      </c>
      <c s="125">
        <f ca="1">'Оборотный капитал'!I479*IF($K$3&lt;I8,0,1)</f>
        <v>0</v>
      </c>
      <c s="125">
        <f ca="1">'Оборотный капитал'!J479*IF($K$3&lt;J8,0,1)</f>
        <v>0</v>
      </c>
      <c s="125">
        <f ca="1">'Оборотный капитал'!K479*IF($K$3&lt;K8,0,1)</f>
        <v>0</v>
      </c>
      <c s="125">
        <f ca="1">'Оборотный капитал'!L479*IF($K$3&lt;L8,0,1)</f>
        <v>0</v>
      </c>
      <c s="125">
        <f ca="1">'Оборотный капитал'!M479*IF($K$3&lt;M8,0,1)</f>
        <v>0</v>
      </c>
      <c s="125">
        <f ca="1">'Оборотный капитал'!N479*IF($K$3&lt;N8,0,1)</f>
        <v>0</v>
      </c>
      <c s="125">
        <f ca="1">'Оборотный капитал'!O479*IF($K$3&lt;O8,0,1)</f>
        <v>0</v>
      </c>
      <c s="125">
        <f ca="1">'Оборотный капитал'!P479*IF($K$3&lt;P8,0,1)</f>
        <v>0</v>
      </c>
      <c s="125">
        <f ca="1">'Оборотный капитал'!Q479*IF($K$3&lt;Q8,0,1)</f>
        <v>0</v>
      </c>
      <c s="125">
        <f ca="1">'Оборотный капитал'!R479*IF($K$3&lt;R8,0,1)</f>
        <v>0</v>
      </c>
      <c s="125">
        <f ca="1">'Оборотный капитал'!S479*IF($K$3&lt;S8,0,1)</f>
        <v>0</v>
      </c>
      <c s="125">
        <f ca="1">'Оборотный капитал'!T479*IF($K$3&lt;T8,0,1)</f>
        <v>0</v>
      </c>
      <c s="125">
        <f ca="1">'Оборотный капитал'!U479*IF($K$3&lt;U8,0,1)</f>
        <v>0</v>
      </c>
      <c s="125">
        <f ca="1">'Оборотный капитал'!V479*IF($K$3&lt;V8,0,1)</f>
        <v>0</v>
      </c>
      <c s="125">
        <f ca="1">'Оборотный капитал'!W479*IF($K$3&lt;W8,0,1)</f>
        <v>0</v>
      </c>
      <c s="125">
        <f ca="1">'Оборотный капитал'!X479*IF($K$3&lt;X8,0,1)</f>
        <v>0</v>
      </c>
      <c s="125">
        <f ca="1">'Оборотный капитал'!Y479*IF($K$3&lt;Y8,0,1)</f>
        <v>0</v>
      </c>
      <c s="125">
        <f ca="1">'Оборотный капитал'!Z479*IF($K$3&lt;Z8,0,1)</f>
        <v>0</v>
      </c>
      <c s="125">
        <f ca="1">'Оборотный капитал'!AA479*IF($K$3&lt;AA8,0,1)</f>
        <v>0</v>
      </c>
      <c s="125">
        <f ca="1">'Оборотный капитал'!AB479*IF($K$3&lt;AB8,0,1)</f>
        <v>0</v>
      </c>
      <c s="125">
        <f ca="1">'Оборотный капитал'!AC479*IF($K$3&lt;AC8,0,1)</f>
        <v>0</v>
      </c>
      <c s="125">
        <f ca="1">'Оборотный капитал'!AD479*IF($K$3&lt;AD8,0,1)</f>
        <v>0</v>
      </c>
      <c s="125">
        <f ca="1">'Оборотный капитал'!AE479*IF($K$3&lt;AE8,0,1)</f>
        <v>0</v>
      </c>
      <c s="125">
        <f ca="1">'Оборотный капитал'!AF479*IF($K$3&lt;AF8,0,1)</f>
        <v>0</v>
      </c>
      <c s="125">
        <f ca="1">'Оборотный капитал'!AG479*IF($K$3&lt;AG8,0,1)</f>
        <v>0</v>
      </c>
      <c s="125">
        <f ca="1">'Оборотный капитал'!AH479*IF($K$3&lt;AH8,0,1)</f>
        <v>0</v>
      </c>
      <c s="125">
        <f ca="1">'Оборотный капитал'!AI479*IF($K$3&lt;AI8,0,1)</f>
        <v>0</v>
      </c>
      <c s="125">
        <f ca="1">'Оборотный капитал'!AJ479*IF($K$3&lt;AJ8,0,1)</f>
        <v>0</v>
      </c>
      <c s="125">
        <f ca="1">'Оборотный капитал'!AK479*IF($K$3&lt;AK8,0,1)</f>
        <v>0</v>
      </c>
      <c s="125">
        <f ca="1">'Оборотный капитал'!AL479*IF($K$3&lt;AL8,0,1)</f>
        <v>0</v>
      </c>
      <c s="125">
        <f ca="1">'Оборотный капитал'!AM479*IF($K$3&lt;AM8,0,1)</f>
        <v>0</v>
      </c>
      <c s="125">
        <f ca="1">'Оборотный капитал'!AN479*IF($K$3&lt;AN8,0,1)</f>
        <v>0</v>
      </c>
      <c s="125">
        <f ca="1">'Оборотный капитал'!AO479*IF($K$3&lt;AO8,0,1)</f>
        <v>0</v>
      </c>
      <c s="125">
        <f ca="1">'Оборотный капитал'!AP479*IF($K$3&lt;AP8,0,1)</f>
        <v>0</v>
      </c>
      <c s="125">
        <f ca="1">'Оборотный капитал'!AQ479*IF($K$3&lt;AQ8,0,1)</f>
        <v>0</v>
      </c>
      <c s="125">
        <f ca="1">'Оборотный капитал'!AR479*IF($K$3&lt;AR8,0,1)</f>
        <v>0</v>
      </c>
      <c s="125">
        <f ca="1">'Оборотный капитал'!AS479*IF($K$3&lt;AS8,0,1)</f>
        <v>0</v>
      </c>
      <c s="125">
        <f ca="1">'Оборотный капитал'!AT479*IF($K$3&lt;AT8,0,1)</f>
        <v>0</v>
      </c>
      <c s="125">
        <f ca="1">'Оборотный капитал'!AU479*IF($K$3&lt;AU8,0,1)</f>
        <v>0</v>
      </c>
      <c s="125">
        <f ca="1">'Оборотный капитал'!AV479*IF($K$3&lt;AV8,0,1)</f>
        <v>0</v>
      </c>
      <c s="125">
        <f ca="1">'Оборотный капитал'!AW479*IF($K$3&lt;AW8,0,1)</f>
        <v>0</v>
      </c>
      <c s="125">
        <f ca="1">'Оборотный капитал'!AX479*IF($K$3&lt;AX8,0,1)</f>
        <v>0</v>
      </c>
      <c s="125">
        <f ca="1">'Оборотный капитал'!AY479*IF($K$3&lt;AY8,0,1)</f>
        <v>0</v>
      </c>
      <c s="125">
        <f ca="1">'Оборотный капитал'!AZ479*IF($K$3&lt;AZ8,0,1)</f>
        <v>0</v>
      </c>
      <c s="125">
        <f ca="1">'Оборотный капитал'!BA479*IF($K$3&lt;BA8,0,1)</f>
        <v>0</v>
      </c>
      <c s="125">
        <f ca="1">'Оборотный капитал'!BB479*IF($K$3&lt;BB8,0,1)</f>
        <v>0</v>
      </c>
      <c s="125">
        <f ca="1">'Оборотный капитал'!BC479*IF($K$3&lt;BC8,0,1)</f>
        <v>0</v>
      </c>
      <c s="125">
        <f ca="1">'Оборотный капитал'!BD479*IF($K$3&lt;BD8,0,1)</f>
        <v>0</v>
      </c>
      <c s="125">
        <f ca="1">'Оборотный капитал'!BE479*IF($K$3&lt;BE8,0,1)</f>
        <v>0</v>
      </c>
      <c s="125">
        <f ca="1">'Оборотный капитал'!BF479*IF($K$3&lt;BF8,0,1)</f>
        <v>0</v>
      </c>
      <c s="125">
        <f ca="1">'Оборотный капитал'!BG479*IF($K$3&lt;BG8,0,1)</f>
        <v>0</v>
      </c>
      <c s="125">
        <f ca="1">'Оборотный капитал'!BH479*IF($K$3&lt;BH8,0,1)</f>
        <v>0</v>
      </c>
      <c s="125">
        <f ca="1">'Оборотный капитал'!BI479*IF($K$3&lt;BI8,0,1)</f>
        <v>0</v>
      </c>
      <c s="125">
        <f ca="1">'Оборотный капитал'!BJ479*IF($K$3&lt;BJ8,0,1)</f>
        <v>0</v>
      </c>
      <c s="125">
        <f ca="1">'Оборотный капитал'!BK479*IF($K$3&lt;BK8,0,1)</f>
        <v>0</v>
      </c>
      <c s="125">
        <f ca="1">'Оборотный капитал'!BL479*IF($K$3&lt;BL8,0,1)</f>
        <v>0</v>
      </c>
      <c s="125">
        <f ca="1">'Оборотный капитал'!BM479*IF($K$3&lt;BM8,0,1)</f>
        <v>0</v>
      </c>
    </row>
    <row r="93" spans="2:65" ht="15" customHeight="1">
      <c r="B93" s="22" t="s">
        <v>1005</v>
      </c>
      <c s="124" t="str">
        <f t="shared" si="105"/>
        <v>тыс. руб.</v>
      </c>
      <c s="125"/>
      <c s="125">
        <f ca="1">E78*IF($K$3&lt;E8,0,1)</f>
        <v>0</v>
      </c>
      <c s="125">
        <f ca="1">F78*IF($K$3&lt;F8,0,1)</f>
        <v>0</v>
      </c>
      <c s="125">
        <f ca="1" t="shared" si="106" ref="G93:BM93">G78*IF($K$3&lt;G8,0,1)</f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</row>
    <row r="94" spans="2:65" ht="15" customHeight="1">
      <c r="B94" s="289" t="s">
        <v>1006</v>
      </c>
      <c s="290" t="str">
        <f t="shared" si="105"/>
        <v>тыс. руб.</v>
      </c>
      <c s="276"/>
      <c s="276">
        <f ca="1">SUM(E90:E93)</f>
        <v>0</v>
      </c>
      <c s="276">
        <f ca="1" t="shared" si="107" ref="F94:AG94">SUM(F90:F93)</f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t="shared" ca="1" si="107"/>
        <v>0</v>
      </c>
      <c s="276">
        <f ca="1" t="shared" si="108" ref="AH94:BM94">SUM(AH90:AH93)</f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  <c s="276">
        <f t="shared" ca="1" si="108"/>
        <v>0</v>
      </c>
    </row>
    <row r="95" ht="15" customHeight="1"/>
    <row r="96" spans="2:65" ht="15" customHeight="1">
      <c r="B96" s="292" t="s">
        <v>1007</v>
      </c>
      <c s="293" t="str">
        <f t="shared" si="105"/>
        <v>тыс. руб.</v>
      </c>
      <c s="291"/>
      <c s="291">
        <f ca="1">SUM(E87,E94)</f>
        <v>0</v>
      </c>
      <c s="291">
        <f ca="1" t="shared" si="109" ref="F96:AG96">SUM(F87,F94)</f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t="shared" ca="1" si="109"/>
        <v>0</v>
      </c>
      <c s="291">
        <f ca="1" t="shared" si="110" ref="AH96:BM96">SUM(AH87,AH94)</f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  <c s="291">
        <f t="shared" ca="1" si="110"/>
        <v>0</v>
      </c>
    </row>
    <row r="97" ht="15" customHeight="1"/>
    <row r="98" spans="2:71" ht="21">
      <c r="B98" s="24" t="s">
        <v>177</v>
      </c>
      <c r="D9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171"/>
      <c s="5"/>
      <c s="5"/>
      <c s="5"/>
      <c s="5"/>
      <c s="5"/>
      <c s="5"/>
      <c s="5"/>
    </row>
    <row r="99" spans="2:65" ht="15" customHeight="1">
      <c r="B99" s="12" t="s">
        <v>1008</v>
      </c>
      <c s="124" t="str">
        <f>Единица_измерения</f>
        <v>тыс. руб.</v>
      </c>
      <c s="125"/>
      <c s="125">
        <f ca="1">Финансирование!E68*IF($K$3&lt;E8,0,1)</f>
        <v>0</v>
      </c>
      <c s="125">
        <f ca="1">Финансирование!F68*IF($K$3&lt;F8,0,1)</f>
        <v>0</v>
      </c>
      <c s="125">
        <f ca="1">Финансирование!G68*IF($K$3&lt;G8,0,1)</f>
        <v>0</v>
      </c>
      <c s="125">
        <f ca="1">Финансирование!H68*IF($K$3&lt;H8,0,1)</f>
        <v>0</v>
      </c>
      <c s="125">
        <f ca="1">Финансирование!I68*IF($K$3&lt;I8,0,1)</f>
        <v>0</v>
      </c>
      <c s="125">
        <f ca="1">Финансирование!J68*IF($K$3&lt;J8,0,1)</f>
        <v>0</v>
      </c>
      <c s="125">
        <f ca="1">Финансирование!K68*IF($K$3&lt;K8,0,1)</f>
        <v>0</v>
      </c>
      <c s="125">
        <f ca="1">Финансирование!L68*IF($K$3&lt;L8,0,1)</f>
        <v>0</v>
      </c>
      <c s="125">
        <f ca="1">Финансирование!M68*IF($K$3&lt;M8,0,1)</f>
        <v>0</v>
      </c>
      <c s="125">
        <f ca="1">Финансирование!N68*IF($K$3&lt;N8,0,1)</f>
        <v>0</v>
      </c>
      <c s="125">
        <f ca="1">Финансирование!O68*IF($K$3&lt;O8,0,1)</f>
        <v>0</v>
      </c>
      <c s="125">
        <f ca="1">Финансирование!P68*IF($K$3&lt;P8,0,1)</f>
        <v>0</v>
      </c>
      <c s="125">
        <f ca="1">Финансирование!Q68*IF($K$3&lt;Q8,0,1)</f>
        <v>0</v>
      </c>
      <c s="125">
        <f ca="1">Финансирование!R68*IF($K$3&lt;R8,0,1)</f>
        <v>0</v>
      </c>
      <c s="125">
        <f ca="1">Финансирование!S68*IF($K$3&lt;S8,0,1)</f>
        <v>0</v>
      </c>
      <c s="125">
        <f ca="1">Финансирование!T68*IF($K$3&lt;T8,0,1)</f>
        <v>0</v>
      </c>
      <c s="125">
        <f ca="1">Финансирование!U68*IF($K$3&lt;U8,0,1)</f>
        <v>0</v>
      </c>
      <c s="125">
        <f ca="1">Финансирование!V68*IF($K$3&lt;V8,0,1)</f>
        <v>0</v>
      </c>
      <c s="125">
        <f ca="1">Финансирование!W68*IF($K$3&lt;W8,0,1)</f>
        <v>0</v>
      </c>
      <c s="125">
        <f ca="1">Финансирование!X68*IF($K$3&lt;X8,0,1)</f>
        <v>0</v>
      </c>
      <c s="125">
        <f ca="1">Финансирование!Y68*IF($K$3&lt;Y8,0,1)</f>
        <v>0</v>
      </c>
      <c s="125">
        <f ca="1">Финансирование!Z68*IF($K$3&lt;Z8,0,1)</f>
        <v>0</v>
      </c>
      <c s="125">
        <f ca="1">Финансирование!AA68*IF($K$3&lt;AA8,0,1)</f>
        <v>0</v>
      </c>
      <c s="125">
        <f ca="1">Финансирование!AB68*IF($K$3&lt;AB8,0,1)</f>
        <v>0</v>
      </c>
      <c s="125">
        <f ca="1">Финансирование!AC68*IF($K$3&lt;AC8,0,1)</f>
        <v>0</v>
      </c>
      <c s="125">
        <f ca="1">Финансирование!AD68*IF($K$3&lt;AD8,0,1)</f>
        <v>0</v>
      </c>
      <c s="125">
        <f ca="1">Финансирование!AE68*IF($K$3&lt;AE8,0,1)</f>
        <v>0</v>
      </c>
      <c s="125">
        <f ca="1">Финансирование!AF68*IF($K$3&lt;AF8,0,1)</f>
        <v>0</v>
      </c>
      <c s="125">
        <f ca="1">Финансирование!AG68*IF($K$3&lt;AG8,0,1)</f>
        <v>0</v>
      </c>
      <c s="125">
        <f ca="1">Финансирование!AH68*IF($K$3&lt;AH8,0,1)</f>
        <v>0</v>
      </c>
      <c s="125">
        <f ca="1">Финансирование!AI68*IF($K$3&lt;AI8,0,1)</f>
        <v>0</v>
      </c>
      <c s="125">
        <f ca="1">Финансирование!AJ68*IF($K$3&lt;AJ8,0,1)</f>
        <v>0</v>
      </c>
      <c s="125">
        <f ca="1">Финансирование!AK68*IF($K$3&lt;AK8,0,1)</f>
        <v>0</v>
      </c>
      <c s="125">
        <f ca="1">Финансирование!AL68*IF($K$3&lt;AL8,0,1)</f>
        <v>0</v>
      </c>
      <c s="125">
        <f ca="1">Финансирование!AM68*IF($K$3&lt;AM8,0,1)</f>
        <v>0</v>
      </c>
      <c s="125">
        <f ca="1">Финансирование!AN68*IF($K$3&lt;AN8,0,1)</f>
        <v>0</v>
      </c>
      <c s="125">
        <f ca="1">Финансирование!AO68*IF($K$3&lt;AO8,0,1)</f>
        <v>0</v>
      </c>
      <c s="125">
        <f ca="1">Финансирование!AP68*IF($K$3&lt;AP8,0,1)</f>
        <v>0</v>
      </c>
      <c s="125">
        <f ca="1">Финансирование!AQ68*IF($K$3&lt;AQ8,0,1)</f>
        <v>0</v>
      </c>
      <c s="125">
        <f ca="1">Финансирование!AR68*IF($K$3&lt;AR8,0,1)</f>
        <v>0</v>
      </c>
      <c s="125">
        <f ca="1">Финансирование!AS68*IF($K$3&lt;AS8,0,1)</f>
        <v>0</v>
      </c>
      <c s="125">
        <f ca="1">Финансирование!AT68*IF($K$3&lt;AT8,0,1)</f>
        <v>0</v>
      </c>
      <c s="125">
        <f ca="1">Финансирование!AU68*IF($K$3&lt;AU8,0,1)</f>
        <v>0</v>
      </c>
      <c s="125">
        <f ca="1">Финансирование!AV68*IF($K$3&lt;AV8,0,1)</f>
        <v>0</v>
      </c>
      <c s="125">
        <f ca="1">Финансирование!AW68*IF($K$3&lt;AW8,0,1)</f>
        <v>0</v>
      </c>
      <c s="125">
        <f ca="1">Финансирование!AX68*IF($K$3&lt;AX8,0,1)</f>
        <v>0</v>
      </c>
      <c s="125">
        <f ca="1">Финансирование!AY68*IF($K$3&lt;AY8,0,1)</f>
        <v>0</v>
      </c>
      <c s="125">
        <f ca="1">Финансирование!AZ68*IF($K$3&lt;AZ8,0,1)</f>
        <v>0</v>
      </c>
      <c s="125">
        <f ca="1">Финансирование!BA68*IF($K$3&lt;BA8,0,1)</f>
        <v>0</v>
      </c>
      <c s="125">
        <f ca="1">Финансирование!BB68*IF($K$3&lt;BB8,0,1)</f>
        <v>0</v>
      </c>
      <c s="125">
        <f ca="1">Финансирование!BC68*IF($K$3&lt;BC8,0,1)</f>
        <v>0</v>
      </c>
      <c s="125">
        <f ca="1">Финансирование!BD68*IF($K$3&lt;BD8,0,1)</f>
        <v>0</v>
      </c>
      <c s="125">
        <f ca="1">Финансирование!BE68*IF($K$3&lt;BE8,0,1)</f>
        <v>0</v>
      </c>
      <c s="125">
        <f ca="1">Финансирование!BF68*IF($K$3&lt;BF8,0,1)</f>
        <v>0</v>
      </c>
      <c s="125">
        <f ca="1">Финансирование!BG68*IF($K$3&lt;BG8,0,1)</f>
        <v>0</v>
      </c>
      <c s="125">
        <f ca="1">Финансирование!BH68*IF($K$3&lt;BH8,0,1)</f>
        <v>0</v>
      </c>
      <c s="125">
        <f ca="1">Финансирование!BI68*IF($K$3&lt;BI8,0,1)</f>
        <v>0</v>
      </c>
      <c s="125">
        <f ca="1">Финансирование!BJ68*IF($K$3&lt;BJ8,0,1)</f>
        <v>0</v>
      </c>
      <c s="125">
        <f ca="1">Финансирование!BK68*IF($K$3&lt;BK8,0,1)</f>
        <v>0</v>
      </c>
      <c s="125">
        <f ca="1">Финансирование!BL68*IF($K$3&lt;BL8,0,1)</f>
        <v>0</v>
      </c>
      <c s="125">
        <f ca="1">Финансирование!BM68*IF($K$3&lt;BM8,0,1)</f>
        <v>0</v>
      </c>
    </row>
    <row r="100" spans="2:65" ht="15" customHeight="1">
      <c r="B100" s="22" t="s">
        <v>1009</v>
      </c>
      <c s="124" t="str">
        <f>Единица_измерения</f>
        <v>тыс. руб.</v>
      </c>
      <c s="125"/>
      <c s="125">
        <f>E34*IF($K$3&lt;E8,0,1)</f>
        <v>0</v>
      </c>
      <c s="125">
        <f ca="1">F34*IF($K$3&lt;F8,0,1)</f>
        <v>0</v>
      </c>
      <c s="125">
        <f ca="1" t="shared" si="111" ref="G100:BM100">G34*IF($K$3&lt;G8,0,1)</f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  <c s="125">
        <f t="shared" ca="1" si="111"/>
        <v>0</v>
      </c>
    </row>
    <row r="101" spans="2:65" ht="15" customHeight="1">
      <c r="B101" s="289" t="s">
        <v>1010</v>
      </c>
      <c s="290" t="str">
        <f>Единица_измерения</f>
        <v>тыс. руб.</v>
      </c>
      <c s="276"/>
      <c s="276">
        <f ca="1">SUM(E99:E100)</f>
        <v>0</v>
      </c>
      <c s="276">
        <f ca="1" t="shared" si="112" ref="F101:AG101">SUM(F99:F100)</f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ca="1" t="shared" si="113" ref="AH101:BM101">SUM(AH99:AH100)</f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</row>
    <row r="102" ht="15" customHeight="1"/>
    <row r="103" spans="2:71" ht="21">
      <c r="B103" s="24" t="s">
        <v>1011</v>
      </c>
      <c r="D10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4" spans="2:65" ht="15" customHeight="1">
      <c r="B104" s="12" t="s">
        <v>1012</v>
      </c>
      <c s="124" t="str">
        <f>Единица_измерения</f>
        <v>тыс. руб.</v>
      </c>
      <c s="125"/>
      <c s="125">
        <f>SUM(Финансирование!E17,Финансирование!E30,Финансирование!E45)*IF($K$3&lt;E8,0,1)</f>
        <v>0</v>
      </c>
      <c s="125">
        <f>SUM(Финансирование!F17,Финансирование!F30,Финансирование!F45)*IF($K$3&lt;F8,0,1)</f>
        <v>0</v>
      </c>
      <c s="125">
        <f>SUM(Финансирование!G17,Финансирование!G30,Финансирование!G45)*IF($K$3&lt;G8,0,1)</f>
        <v>0</v>
      </c>
      <c s="125">
        <f>SUM(Финансирование!H17,Финансирование!H30,Финансирование!H45)*IF($K$3&lt;H8,0,1)</f>
        <v>0</v>
      </c>
      <c s="125">
        <f>SUM(Финансирование!I17,Финансирование!I30,Финансирование!I45)*IF($K$3&lt;I8,0,1)</f>
        <v>0</v>
      </c>
      <c s="125">
        <f>SUM(Финансирование!J17,Финансирование!J30,Финансирование!J45)*IF($K$3&lt;J8,0,1)</f>
        <v>0</v>
      </c>
      <c s="125">
        <f>SUM(Финансирование!K17,Финансирование!K30,Финансирование!K45)*IF($K$3&lt;K8,0,1)</f>
        <v>0</v>
      </c>
      <c s="125">
        <f>SUM(Финансирование!L17,Финансирование!L30,Финансирование!L45)*IF($K$3&lt;L8,0,1)</f>
        <v>0</v>
      </c>
      <c s="125">
        <f>SUM(Финансирование!M17,Финансирование!M30,Финансирование!M45)*IF($K$3&lt;M8,0,1)</f>
        <v>0</v>
      </c>
      <c s="125">
        <f>SUM(Финансирование!N17,Финансирование!N30,Финансирование!N45)*IF($K$3&lt;N8,0,1)</f>
        <v>0</v>
      </c>
      <c s="125">
        <f>SUM(Финансирование!O17,Финансирование!O30,Финансирование!O45)*IF($K$3&lt;O8,0,1)</f>
        <v>0</v>
      </c>
      <c s="125">
        <f>SUM(Финансирование!P17,Финансирование!P30,Финансирование!P45)*IF($K$3&lt;P8,0,1)</f>
        <v>0</v>
      </c>
      <c s="125">
        <f>SUM(Финансирование!Q17,Финансирование!Q30,Финансирование!Q45)*IF($K$3&lt;Q8,0,1)</f>
        <v>0</v>
      </c>
      <c s="125">
        <f>SUM(Финансирование!R17,Финансирование!R30,Финансирование!R45)*IF($K$3&lt;R8,0,1)</f>
        <v>0</v>
      </c>
      <c s="125">
        <f>SUM(Финансирование!S17,Финансирование!S30,Финансирование!S45)*IF($K$3&lt;S8,0,1)</f>
        <v>0</v>
      </c>
      <c s="125">
        <f>SUM(Финансирование!T17,Финансирование!T30,Финансирование!T45)*IF($K$3&lt;T8,0,1)</f>
        <v>0</v>
      </c>
      <c s="125">
        <f>SUM(Финансирование!U17,Финансирование!U30,Финансирование!U45)*IF($K$3&lt;U8,0,1)</f>
        <v>0</v>
      </c>
      <c s="125">
        <f>SUM(Финансирование!V17,Финансирование!V30,Финансирование!V45)*IF($K$3&lt;V8,0,1)</f>
        <v>0</v>
      </c>
      <c s="125">
        <f>SUM(Финансирование!W17,Финансирование!W30,Финансирование!W45)*IF($K$3&lt;W8,0,1)</f>
        <v>0</v>
      </c>
      <c s="125">
        <f>SUM(Финансирование!X17,Финансирование!X30,Финансирование!X45)*IF($K$3&lt;X8,0,1)</f>
        <v>0</v>
      </c>
      <c s="125">
        <f>SUM(Финансирование!Y17,Финансирование!Y30,Финансирование!Y45)*IF($K$3&lt;Y8,0,1)</f>
        <v>0</v>
      </c>
      <c s="125">
        <f>SUM(Финансирование!Z17,Финансирование!Z30,Финансирование!Z45)*IF($K$3&lt;Z8,0,1)</f>
        <v>0</v>
      </c>
      <c s="125">
        <f>SUM(Финансирование!AA17,Финансирование!AA30,Финансирование!AA45)*IF($K$3&lt;AA8,0,1)</f>
        <v>0</v>
      </c>
      <c s="125">
        <f>SUM(Финансирование!AB17,Финансирование!AB30,Финансирование!AB45)*IF($K$3&lt;AB8,0,1)</f>
        <v>0</v>
      </c>
      <c s="125">
        <f>SUM(Финансирование!AC17,Финансирование!AC30,Финансирование!AC45)*IF($K$3&lt;AC8,0,1)</f>
        <v>0</v>
      </c>
      <c s="125">
        <f>SUM(Финансирование!AD17,Финансирование!AD30,Финансирование!AD45)*IF($K$3&lt;AD8,0,1)</f>
        <v>0</v>
      </c>
      <c s="125">
        <f>SUM(Финансирование!AE17,Финансирование!AE30,Финансирование!AE45)*IF($K$3&lt;AE8,0,1)</f>
        <v>0</v>
      </c>
      <c s="125">
        <f>SUM(Финансирование!AF17,Финансирование!AF30,Финансирование!AF45)*IF($K$3&lt;AF8,0,1)</f>
        <v>0</v>
      </c>
      <c s="125">
        <f>SUM(Финансирование!AG17,Финансирование!AG30,Финансирование!AG45)*IF($K$3&lt;AG8,0,1)</f>
        <v>0</v>
      </c>
      <c s="125">
        <f>SUM(Финансирование!AH17,Финансирование!AH30,Финансирование!AH45)*IF($K$3&lt;AH8,0,1)</f>
        <v>0</v>
      </c>
      <c s="125">
        <f>SUM(Финансирование!AI17,Финансирование!AI30,Финансирование!AI45)*IF($K$3&lt;AI8,0,1)</f>
        <v>0</v>
      </c>
      <c s="125">
        <f>SUM(Финансирование!AJ17,Финансирование!AJ30,Финансирование!AJ45)*IF($K$3&lt;AJ8,0,1)</f>
        <v>0</v>
      </c>
      <c s="125">
        <f>SUM(Финансирование!AK17,Финансирование!AK30,Финансирование!AK45)*IF($K$3&lt;AK8,0,1)</f>
        <v>0</v>
      </c>
      <c s="125">
        <f>SUM(Финансирование!AL17,Финансирование!AL30,Финансирование!AL45)*IF($K$3&lt;AL8,0,1)</f>
        <v>0</v>
      </c>
      <c s="125">
        <f>SUM(Финансирование!AM17,Финансирование!AM30,Финансирование!AM45)*IF($K$3&lt;AM8,0,1)</f>
        <v>0</v>
      </c>
      <c s="125">
        <f>SUM(Финансирование!AN17,Финансирование!AN30,Финансирование!AN45)*IF($K$3&lt;AN8,0,1)</f>
        <v>0</v>
      </c>
      <c s="125">
        <f>SUM(Финансирование!AO17,Финансирование!AO30,Финансирование!AO45)*IF($K$3&lt;AO8,0,1)</f>
        <v>0</v>
      </c>
      <c s="125">
        <f>SUM(Финансирование!AP17,Финансирование!AP30,Финансирование!AP45)*IF($K$3&lt;AP8,0,1)</f>
        <v>0</v>
      </c>
      <c s="125">
        <f>SUM(Финансирование!AQ17,Финансирование!AQ30,Финансирование!AQ45)*IF($K$3&lt;AQ8,0,1)</f>
        <v>0</v>
      </c>
      <c s="125">
        <f>SUM(Финансирование!AR17,Финансирование!AR30,Финансирование!AR45)*IF($K$3&lt;AR8,0,1)</f>
        <v>0</v>
      </c>
      <c s="125">
        <f>SUM(Финансирование!AS17,Финансирование!AS30,Финансирование!AS45)*IF($K$3&lt;AS8,0,1)</f>
        <v>0</v>
      </c>
      <c s="125">
        <f>SUM(Финансирование!AT17,Финансирование!AT30,Финансирование!AT45)*IF($K$3&lt;AT8,0,1)</f>
        <v>0</v>
      </c>
      <c s="125">
        <f>SUM(Финансирование!AU17,Финансирование!AU30,Финансирование!AU45)*IF($K$3&lt;AU8,0,1)</f>
        <v>0</v>
      </c>
      <c s="125">
        <f>SUM(Финансирование!AV17,Финансирование!AV30,Финансирование!AV45)*IF($K$3&lt;AV8,0,1)</f>
        <v>0</v>
      </c>
      <c s="125">
        <f>SUM(Финансирование!AW17,Финансирование!AW30,Финансирование!AW45)*IF($K$3&lt;AW8,0,1)</f>
        <v>0</v>
      </c>
      <c s="125">
        <f>SUM(Финансирование!AX17,Финансирование!AX30,Финансирование!AX45)*IF($K$3&lt;AX8,0,1)</f>
        <v>0</v>
      </c>
      <c s="125">
        <f>SUM(Финансирование!AY17,Финансирование!AY30,Финансирование!AY45)*IF($K$3&lt;AY8,0,1)</f>
        <v>0</v>
      </c>
      <c s="125">
        <f>SUM(Финансирование!AZ17,Финансирование!AZ30,Финансирование!AZ45)*IF($K$3&lt;AZ8,0,1)</f>
        <v>0</v>
      </c>
      <c s="125">
        <f>SUM(Финансирование!BA17,Финансирование!BA30,Финансирование!BA45)*IF($K$3&lt;BA8,0,1)</f>
        <v>0</v>
      </c>
      <c s="125">
        <f>SUM(Финансирование!BB17,Финансирование!BB30,Финансирование!BB45)*IF($K$3&lt;BB8,0,1)</f>
        <v>0</v>
      </c>
      <c s="125">
        <f>SUM(Финансирование!BC17,Финансирование!BC30,Финансирование!BC45)*IF($K$3&lt;BC8,0,1)</f>
        <v>0</v>
      </c>
      <c s="125">
        <f>SUM(Финансирование!BD17,Финансирование!BD30,Финансирование!BD45)*IF($K$3&lt;BD8,0,1)</f>
        <v>0</v>
      </c>
      <c s="125">
        <f>SUM(Финансирование!BE17,Финансирование!BE30,Финансирование!BE45)*IF($K$3&lt;BE8,0,1)</f>
        <v>0</v>
      </c>
      <c s="125">
        <f>SUM(Финансирование!BF17,Финансирование!BF30,Финансирование!BF45)*IF($K$3&lt;BF8,0,1)</f>
        <v>0</v>
      </c>
      <c s="125">
        <f>SUM(Финансирование!BG17,Финансирование!BG30,Финансирование!BG45)*IF($K$3&lt;BG8,0,1)</f>
        <v>0</v>
      </c>
      <c s="125">
        <f>SUM(Финансирование!BH17,Финансирование!BH30,Финансирование!BH45)*IF($K$3&lt;BH8,0,1)</f>
        <v>0</v>
      </c>
      <c s="125">
        <f>SUM(Финансирование!BI17,Финансирование!BI30,Финансирование!BI45)*IF($K$3&lt;BI8,0,1)</f>
        <v>0</v>
      </c>
      <c s="125">
        <f>SUM(Финансирование!BJ17,Финансирование!BJ30,Финансирование!BJ45)*IF($K$3&lt;BJ8,0,1)</f>
        <v>0</v>
      </c>
      <c s="125">
        <f>SUM(Финансирование!BK17,Финансирование!BK30,Финансирование!BK45)*IF($K$3&lt;BK8,0,1)</f>
        <v>0</v>
      </c>
      <c s="125">
        <f>SUM(Финансирование!BL17,Финансирование!BL30,Финансирование!BL45)*IF($K$3&lt;BL8,0,1)</f>
        <v>0</v>
      </c>
      <c s="125">
        <f>SUM(Финансирование!BM17,Финансирование!BM30,Финансирование!BM45)*IF($K$3&lt;BM8,0,1)</f>
        <v>0</v>
      </c>
    </row>
    <row r="105" spans="2:65" ht="15" customHeight="1">
      <c r="B105" s="22" t="s">
        <v>313</v>
      </c>
      <c s="124" t="str">
        <f>Единица_измерения</f>
        <v>тыс. руб.</v>
      </c>
      <c s="125"/>
      <c s="125">
        <f ca="1">SUM('Оборотный капитал'!E487,Налоги!E319)*IF($K$3&lt;E8,0,1)</f>
        <v>0</v>
      </c>
      <c s="125">
        <f ca="1">SUM('Оборотный капитал'!F487,Налоги!F319)*IF($K$3&lt;F8,0,1)</f>
        <v>0</v>
      </c>
      <c s="125">
        <f ca="1">SUM('Оборотный капитал'!G487,Налоги!G319)*IF($K$3&lt;G8,0,1)</f>
        <v>0</v>
      </c>
      <c s="125">
        <f ca="1">SUM('Оборотный капитал'!H487,Налоги!H319)*IF($K$3&lt;H8,0,1)</f>
        <v>0</v>
      </c>
      <c s="125">
        <f ca="1">SUM('Оборотный капитал'!I487,Налоги!I319)*IF($K$3&lt;I8,0,1)</f>
        <v>0</v>
      </c>
      <c s="125">
        <f ca="1">SUM('Оборотный капитал'!J487,Налоги!J319)*IF($K$3&lt;J8,0,1)</f>
        <v>0</v>
      </c>
      <c s="125">
        <f ca="1">SUM('Оборотный капитал'!K487,Налоги!K319)*IF($K$3&lt;K8,0,1)</f>
        <v>0</v>
      </c>
      <c s="125">
        <f ca="1">SUM('Оборотный капитал'!L487,Налоги!L319)*IF($K$3&lt;L8,0,1)</f>
        <v>0</v>
      </c>
      <c s="125">
        <f ca="1">SUM('Оборотный капитал'!M487,Налоги!M319)*IF($K$3&lt;M8,0,1)</f>
        <v>0</v>
      </c>
      <c s="125">
        <f ca="1">SUM('Оборотный капитал'!N487,Налоги!N319)*IF($K$3&lt;N8,0,1)</f>
        <v>0</v>
      </c>
      <c s="125">
        <f ca="1">SUM('Оборотный капитал'!O487,Налоги!O319)*IF($K$3&lt;O8,0,1)</f>
        <v>0</v>
      </c>
      <c s="125">
        <f ca="1">SUM('Оборотный капитал'!P487,Налоги!P319)*IF($K$3&lt;P8,0,1)</f>
        <v>0</v>
      </c>
      <c s="125">
        <f ca="1">SUM('Оборотный капитал'!Q487,Налоги!Q319)*IF($K$3&lt;Q8,0,1)</f>
        <v>0</v>
      </c>
      <c s="125">
        <f ca="1">SUM('Оборотный капитал'!R487,Налоги!R319)*IF($K$3&lt;R8,0,1)</f>
        <v>0</v>
      </c>
      <c s="125">
        <f ca="1">SUM('Оборотный капитал'!S487,Налоги!S319)*IF($K$3&lt;S8,0,1)</f>
        <v>0</v>
      </c>
      <c s="125">
        <f ca="1">SUM('Оборотный капитал'!T487,Налоги!T319)*IF($K$3&lt;T8,0,1)</f>
        <v>0</v>
      </c>
      <c s="125">
        <f ca="1">SUM('Оборотный капитал'!U487,Налоги!U319)*IF($K$3&lt;U8,0,1)</f>
        <v>0</v>
      </c>
      <c s="125">
        <f ca="1">SUM('Оборотный капитал'!V487,Налоги!V319)*IF($K$3&lt;V8,0,1)</f>
        <v>0</v>
      </c>
      <c s="125">
        <f ca="1">SUM('Оборотный капитал'!W487,Налоги!W319)*IF($K$3&lt;W8,0,1)</f>
        <v>0</v>
      </c>
      <c s="125">
        <f ca="1">SUM('Оборотный капитал'!X487,Налоги!X319)*IF($K$3&lt;X8,0,1)</f>
        <v>0</v>
      </c>
      <c s="125">
        <f ca="1">SUM('Оборотный капитал'!Y487,Налоги!Y319)*IF($K$3&lt;Y8,0,1)</f>
        <v>0</v>
      </c>
      <c s="125">
        <f ca="1">SUM('Оборотный капитал'!Z487,Налоги!Z319)*IF($K$3&lt;Z8,0,1)</f>
        <v>0</v>
      </c>
      <c s="125">
        <f ca="1">SUM('Оборотный капитал'!AA487,Налоги!AA319)*IF($K$3&lt;AA8,0,1)</f>
        <v>0</v>
      </c>
      <c s="125">
        <f ca="1">SUM('Оборотный капитал'!AB487,Налоги!AB319)*IF($K$3&lt;AB8,0,1)</f>
        <v>0</v>
      </c>
      <c s="125">
        <f ca="1">SUM('Оборотный капитал'!AC487,Налоги!AC319)*IF($K$3&lt;AC8,0,1)</f>
        <v>0</v>
      </c>
      <c s="125">
        <f ca="1">SUM('Оборотный капитал'!AD487,Налоги!AD319)*IF($K$3&lt;AD8,0,1)</f>
        <v>0</v>
      </c>
      <c s="125">
        <f ca="1">SUM('Оборотный капитал'!AE487,Налоги!AE319)*IF($K$3&lt;AE8,0,1)</f>
        <v>0</v>
      </c>
      <c s="125">
        <f ca="1">SUM('Оборотный капитал'!AF487,Налоги!AF319)*IF($K$3&lt;AF8,0,1)</f>
        <v>0</v>
      </c>
      <c s="125">
        <f ca="1">SUM('Оборотный капитал'!AG487,Налоги!AG319)*IF($K$3&lt;AG8,0,1)</f>
        <v>0</v>
      </c>
      <c s="125">
        <f ca="1">SUM('Оборотный капитал'!AH487,Налоги!AH319)*IF($K$3&lt;AH8,0,1)</f>
        <v>0</v>
      </c>
      <c s="125">
        <f ca="1">SUM('Оборотный капитал'!AI487,Налоги!AI319)*IF($K$3&lt;AI8,0,1)</f>
        <v>0</v>
      </c>
      <c s="125">
        <f ca="1">SUM('Оборотный капитал'!AJ487,Налоги!AJ319)*IF($K$3&lt;AJ8,0,1)</f>
        <v>0</v>
      </c>
      <c s="125">
        <f ca="1">SUM('Оборотный капитал'!AK487,Налоги!AK319)*IF($K$3&lt;AK8,0,1)</f>
        <v>0</v>
      </c>
      <c s="125">
        <f ca="1">SUM('Оборотный капитал'!AL487,Налоги!AL319)*IF($K$3&lt;AL8,0,1)</f>
        <v>0</v>
      </c>
      <c s="125">
        <f ca="1">SUM('Оборотный капитал'!AM487,Налоги!AM319)*IF($K$3&lt;AM8,0,1)</f>
        <v>0</v>
      </c>
      <c s="125">
        <f ca="1">SUM('Оборотный капитал'!AN487,Налоги!AN319)*IF($K$3&lt;AN8,0,1)</f>
        <v>0</v>
      </c>
      <c s="125">
        <f ca="1">SUM('Оборотный капитал'!AO487,Налоги!AO319)*IF($K$3&lt;AO8,0,1)</f>
        <v>0</v>
      </c>
      <c s="125">
        <f ca="1">SUM('Оборотный капитал'!AP487,Налоги!AP319)*IF($K$3&lt;AP8,0,1)</f>
        <v>0</v>
      </c>
      <c s="125">
        <f ca="1">SUM('Оборотный капитал'!AQ487,Налоги!AQ319)*IF($K$3&lt;AQ8,0,1)</f>
        <v>0</v>
      </c>
      <c s="125">
        <f ca="1">SUM('Оборотный капитал'!AR487,Налоги!AR319)*IF($K$3&lt;AR8,0,1)</f>
        <v>0</v>
      </c>
      <c s="125">
        <f ca="1">SUM('Оборотный капитал'!AS487,Налоги!AS319)*IF($K$3&lt;AS8,0,1)</f>
        <v>0</v>
      </c>
      <c s="125">
        <f ca="1">SUM('Оборотный капитал'!AT487,Налоги!AT319)*IF($K$3&lt;AT8,0,1)</f>
        <v>0</v>
      </c>
      <c s="125">
        <f ca="1">SUM('Оборотный капитал'!AU487,Налоги!AU319)*IF($K$3&lt;AU8,0,1)</f>
        <v>0</v>
      </c>
      <c s="125">
        <f ca="1">SUM('Оборотный капитал'!AV487,Налоги!AV319)*IF($K$3&lt;AV8,0,1)</f>
        <v>0</v>
      </c>
      <c s="125">
        <f ca="1">SUM('Оборотный капитал'!AW487,Налоги!AW319)*IF($K$3&lt;AW8,0,1)</f>
        <v>0</v>
      </c>
      <c s="125">
        <f ca="1">SUM('Оборотный капитал'!AX487,Налоги!AX319)*IF($K$3&lt;AX8,0,1)</f>
        <v>0</v>
      </c>
      <c s="125">
        <f ca="1">SUM('Оборотный капитал'!AY487,Налоги!AY319)*IF($K$3&lt;AY8,0,1)</f>
        <v>0</v>
      </c>
      <c s="125">
        <f ca="1">SUM('Оборотный капитал'!AZ487,Налоги!AZ319)*IF($K$3&lt;AZ8,0,1)</f>
        <v>0</v>
      </c>
      <c s="125">
        <f ca="1">SUM('Оборотный капитал'!BA487,Налоги!BA319)*IF($K$3&lt;BA8,0,1)</f>
        <v>0</v>
      </c>
      <c s="125">
        <f ca="1">SUM('Оборотный капитал'!BB487,Налоги!BB319)*IF($K$3&lt;BB8,0,1)</f>
        <v>0</v>
      </c>
      <c s="125">
        <f ca="1">SUM('Оборотный капитал'!BC487,Налоги!BC319)*IF($K$3&lt;BC8,0,1)</f>
        <v>0</v>
      </c>
      <c s="125">
        <f ca="1">SUM('Оборотный капитал'!BD487,Налоги!BD319)*IF($K$3&lt;BD8,0,1)</f>
        <v>0</v>
      </c>
      <c s="125">
        <f ca="1">SUM('Оборотный капитал'!BE487,Налоги!BE319)*IF($K$3&lt;BE8,0,1)</f>
        <v>0</v>
      </c>
      <c s="125">
        <f ca="1">SUM('Оборотный капитал'!BF487,Налоги!BF319)*IF($K$3&lt;BF8,0,1)</f>
        <v>0</v>
      </c>
      <c s="125">
        <f ca="1">SUM('Оборотный капитал'!BG487,Налоги!BG319)*IF($K$3&lt;BG8,0,1)</f>
        <v>0</v>
      </c>
      <c s="125">
        <f ca="1">SUM('Оборотный капитал'!BH487,Налоги!BH319)*IF($K$3&lt;BH8,0,1)</f>
        <v>0</v>
      </c>
      <c s="125">
        <f ca="1">SUM('Оборотный капитал'!BI487,Налоги!BI319)*IF($K$3&lt;BI8,0,1)</f>
        <v>0</v>
      </c>
      <c s="125">
        <f ca="1">SUM('Оборотный капитал'!BJ487,Налоги!BJ319)*IF($K$3&lt;BJ8,0,1)</f>
        <v>0</v>
      </c>
      <c s="125">
        <f ca="1">SUM('Оборотный капитал'!BK487,Налоги!BK319)*IF($K$3&lt;BK8,0,1)</f>
        <v>0</v>
      </c>
      <c s="125">
        <f ca="1">SUM('Оборотный капитал'!BL487,Налоги!BL319)*IF($K$3&lt;BL8,0,1)</f>
        <v>0</v>
      </c>
      <c s="125">
        <f ca="1">SUM('Оборотный капитал'!BM487,Налоги!BM319)*IF($K$3&lt;BM8,0,1)</f>
        <v>0</v>
      </c>
    </row>
    <row r="106" spans="2:65" ht="15" customHeight="1">
      <c r="B106" s="289" t="s">
        <v>1013</v>
      </c>
      <c s="290" t="str">
        <f>Единица_измерения</f>
        <v>тыс. руб.</v>
      </c>
      <c s="276"/>
      <c s="276">
        <f ca="1">SUM(E104:E105)</f>
        <v>0</v>
      </c>
      <c s="276">
        <f ca="1" t="shared" si="114" ref="F106:AG106">SUM(F104:F105)</f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t="shared" ca="1" si="114"/>
        <v>0</v>
      </c>
      <c s="276">
        <f ca="1" t="shared" si="115" ref="AH106:BM106">SUM(AH104:AH105)</f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</row>
    <row r="107" ht="15" customHeight="1"/>
    <row r="108" spans="2:65" ht="15" customHeight="1">
      <c r="B108" s="292" t="s">
        <v>1014</v>
      </c>
      <c s="293" t="str">
        <f>Единица_измерения</f>
        <v>тыс. руб.</v>
      </c>
      <c s="291"/>
      <c s="291">
        <f ca="1">SUM(E101,E106)</f>
        <v>0</v>
      </c>
      <c s="291">
        <f ca="1" t="shared" si="116" ref="F108:AG108">SUM(F101,F106)</f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t="shared" ca="1" si="116"/>
        <v>0</v>
      </c>
      <c s="291">
        <f ca="1" t="shared" si="117" ref="AH108:BM108">SUM(AH101,AH106)</f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  <c s="291">
        <f t="shared" ca="1" si="117"/>
        <v>0</v>
      </c>
    </row>
    <row r="109" ht="15" customHeight="1"/>
    <row r="110" spans="2:65" ht="15" customHeight="1">
      <c r="B110" s="12" t="s">
        <v>1015</v>
      </c>
      <c s="124"/>
      <c s="125"/>
      <c s="125">
        <f ca="1">ROUND(E96-E108,1)</f>
        <v>0</v>
      </c>
      <c s="125">
        <f ca="1" t="shared" si="118" ref="F110:AG110">ROUND(F96-F108,1)</f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t="shared" ca="1" si="118"/>
        <v>0</v>
      </c>
      <c s="125">
        <f ca="1" t="shared" si="119" ref="AH110:BM110">ROUND(AH96-AH108,1)</f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  <c s="125">
        <f t="shared" ca="1" si="119"/>
        <v>0</v>
      </c>
    </row>
    <row r="111" ht="15" customHeight="1"/>
    <row r="112" spans="2:34" ht="15" customHeight="1">
      <c r="B112" s="608" t="s">
        <v>1016</v>
      </c>
      <c s="609"/>
      <c s="47" t="str">
        <f ca="1">IFERROR(IF(COUNTIF(OFFSET(E110,,,,MAX(SUM($E$12:$BM$12),1)),"&lt;&gt;0")&gt;0,"Q","R"),"Q")</f>
        <v>R</v>
      </c>
      <c r="AH112" s="131"/>
    </row>
    <row r="113" spans="2:4" ht="15" customHeight="1">
      <c r="B113" s="608" t="s">
        <v>1017</v>
      </c>
      <c s="609"/>
      <c s="47" t="str">
        <f ca="1">IFERROR(IF(COUNTIF(E110:BM110,"&lt;&gt;0")&gt;0,"Q","R"),"Q")</f>
        <v>R</v>
      </c>
    </row>
    <row r="114" ht="15" customHeight="1"/>
    <row r="115" spans="2:71" ht="31.15">
      <c r="B115" s="7" t="s">
        <v>271</v>
      </c>
      <c r="D115" s="7"/>
      <c s="6"/>
      <c s="6"/>
      <c s="6"/>
      <c s="650" t="s">
        <v>1018</v>
      </c>
      <c s="344">
        <v>0.02</v>
      </c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116" spans="2:71" ht="21">
      <c r="B116" s="23" t="s">
        <v>326</v>
      </c>
      <c s="6" t="s">
        <v>1019</v>
      </c>
      <c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7" spans="2:65" ht="15" customHeight="1">
      <c r="B117" s="12" t="s">
        <v>273</v>
      </c>
      <c s="124" t="str">
        <f t="shared" si="120" ref="C117:C132">Единица_измерения</f>
        <v>тыс. руб.</v>
      </c>
      <c s="276">
        <f>SUM(E117:BM117)</f>
        <v>0</v>
      </c>
      <c s="330">
        <f>ROUND(Предпосылки!C538*(1+'Квартальная отчетность'!$I$115),0)</f>
        <v>0</v>
      </c>
      <c s="330">
        <f>ROUND(Предпосылки!D538*(1+'Квартальная отчетность'!$I$115),0)</f>
        <v>0</v>
      </c>
      <c s="330">
        <f>ROUND(Предпосылки!E538*(1+'Квартальная отчетность'!$I$115),0)</f>
        <v>0</v>
      </c>
      <c s="330">
        <f>ROUND(Предпосылки!F538*(1+'Квартальная отчетность'!$I$115),0)</f>
        <v>0</v>
      </c>
      <c s="330">
        <f t="shared" si="121" ref="I117:P117">ROUND(E117*(1+$I$115),0)</f>
        <v>0</v>
      </c>
      <c s="330">
        <f t="shared" si="121"/>
        <v>0</v>
      </c>
      <c s="330">
        <f t="shared" si="121"/>
        <v>0</v>
      </c>
      <c s="330">
        <f t="shared" si="121"/>
        <v>0</v>
      </c>
      <c s="330">
        <f t="shared" si="121"/>
        <v>0</v>
      </c>
      <c s="330">
        <f t="shared" si="121"/>
        <v>0</v>
      </c>
      <c s="330">
        <f t="shared" si="121"/>
        <v>0</v>
      </c>
      <c s="330">
        <f t="shared" si="121"/>
        <v>0</v>
      </c>
      <c s="330">
        <f t="shared" si="122" ref="Q117:BM118">ROUND(M117*(1+$I$115),0)</f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</row>
    <row r="118" spans="2:65" ht="15" customHeight="1">
      <c r="B118" s="22" t="s">
        <v>972</v>
      </c>
      <c s="124" t="str">
        <f t="shared" si="120"/>
        <v>тыс. руб.</v>
      </c>
      <c s="276">
        <f>SUM(E118:BM118)</f>
        <v>0</v>
      </c>
      <c s="330">
        <f>ROUND(Предпосылки!C539*(1+'Квартальная отчетность'!$I$115),0)</f>
        <v>0</v>
      </c>
      <c s="330">
        <f>ROUND(Предпосылки!D539*(1+'Квартальная отчетность'!$I$115),0)</f>
        <v>0</v>
      </c>
      <c s="330">
        <f>ROUND(Предпосылки!E539*(1+'Квартальная отчетность'!$I$115),0)</f>
        <v>0</v>
      </c>
      <c s="330">
        <f>ROUND(Предпосылки!F539*(1+'Квартальная отчетность'!$I$115),0)</f>
        <v>0</v>
      </c>
      <c s="330">
        <f>ROUND(E118*(1+$I$115),0)</f>
        <v>0</v>
      </c>
      <c s="330">
        <f t="shared" si="123" ref="J118:P118">ROUND(F118*(1+$I$115),0)</f>
        <v>0</v>
      </c>
      <c s="330">
        <f t="shared" si="123"/>
        <v>0</v>
      </c>
      <c s="330">
        <f t="shared" si="123"/>
        <v>0</v>
      </c>
      <c s="330">
        <f t="shared" si="123"/>
        <v>0</v>
      </c>
      <c s="330">
        <f t="shared" si="123"/>
        <v>0</v>
      </c>
      <c s="330">
        <f t="shared" si="123"/>
        <v>0</v>
      </c>
      <c s="330">
        <f t="shared" si="123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  <c s="330">
        <f t="shared" si="122"/>
        <v>0</v>
      </c>
    </row>
    <row r="119" spans="2:65" ht="15" customHeight="1">
      <c r="B119" s="289" t="s">
        <v>973</v>
      </c>
      <c s="290" t="str">
        <f t="shared" si="120"/>
        <v>тыс. руб.</v>
      </c>
      <c s="276">
        <f t="shared" si="124" ref="D119:E119">SUM(D117:D118)</f>
        <v>0</v>
      </c>
      <c s="276">
        <f t="shared" si="124"/>
        <v>0</v>
      </c>
      <c s="276">
        <f t="shared" si="125" ref="F119:BM119">SUM(F117:F118)</f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  <c s="276">
        <f t="shared" si="125"/>
        <v>0</v>
      </c>
    </row>
    <row r="120" spans="2:65" ht="15" customHeight="1">
      <c r="B120" s="289" t="s">
        <v>1020</v>
      </c>
      <c s="290" t="s">
        <v>817</v>
      </c>
      <c s="282" t="str">
        <f>IF(D117=0,"-",D119/D117)</f>
        <v>-</v>
      </c>
      <c s="282" t="str">
        <f>IF(E117=0,"-",E119/E117)</f>
        <v>-</v>
      </c>
      <c s="282" t="str">
        <f t="shared" si="126" ref="F120:BM120">IF(F117=0,"-",F119/F117)</f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  <c s="282" t="str">
        <f t="shared" si="126"/>
        <v>-</v>
      </c>
    </row>
    <row r="121" spans="2:65" ht="15" customHeight="1">
      <c r="B121" s="12" t="s">
        <v>974</v>
      </c>
      <c s="124" t="str">
        <f t="shared" si="120"/>
        <v>тыс. руб.</v>
      </c>
      <c s="276">
        <f>SUM(E121:BM121)</f>
        <v>0</v>
      </c>
      <c s="330">
        <f>ROUND(Предпосылки!C541*(1+'Квартальная отчетность'!$I$115),0)</f>
        <v>0</v>
      </c>
      <c s="330">
        <f>ROUND(Предпосылки!D541*(1+'Квартальная отчетность'!$I$115),0)</f>
        <v>0</v>
      </c>
      <c s="330">
        <f>ROUND(Предпосылки!E541*(1+'Квартальная отчетность'!$I$115),0)</f>
        <v>0</v>
      </c>
      <c s="330">
        <f>ROUND(Предпосылки!F541*(1+'Квартальная отчетность'!$I$115),0)</f>
        <v>0</v>
      </c>
      <c s="330">
        <f>ROUND(E121*(1+$I$115),0)</f>
        <v>0</v>
      </c>
      <c s="330">
        <f t="shared" si="127" ref="J121:BM122">ROUND(F121*(1+$I$115),0)</f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</row>
    <row r="122" spans="2:65" ht="15" customHeight="1">
      <c r="B122" s="12" t="s">
        <v>566</v>
      </c>
      <c s="124" t="str">
        <f t="shared" si="120"/>
        <v>тыс. руб.</v>
      </c>
      <c s="276">
        <f>SUM(E122:BM122)</f>
        <v>0</v>
      </c>
      <c s="330">
        <f>ROUND(Предпосылки!C542*(1+'Квартальная отчетность'!$I$115),0)</f>
        <v>0</v>
      </c>
      <c s="330">
        <f>ROUND(Предпосылки!D542*(1+'Квартальная отчетность'!$I$115),0)</f>
        <v>0</v>
      </c>
      <c s="330">
        <f>ROUND(Предпосылки!E542*(1+'Квартальная отчетность'!$I$115),0)</f>
        <v>0</v>
      </c>
      <c s="330">
        <f>ROUND(Предпосылки!F542*(1+'Квартальная отчетность'!$I$115),0)</f>
        <v>0</v>
      </c>
      <c s="330">
        <f>ROUND(E122*(1+$I$115),0)</f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  <c s="330">
        <f t="shared" si="127"/>
        <v>0</v>
      </c>
    </row>
    <row r="123" spans="2:65" ht="15" customHeight="1">
      <c r="B123" s="289" t="s">
        <v>975</v>
      </c>
      <c s="290" t="str">
        <f t="shared" si="120"/>
        <v>тыс. руб.</v>
      </c>
      <c s="276">
        <f t="shared" si="128" ref="D123">SUM(D119:D122)</f>
        <v>0</v>
      </c>
      <c s="276">
        <f>SUM(E119,E121,E122)</f>
        <v>0</v>
      </c>
      <c s="276">
        <f t="shared" si="129" ref="F123:BM123">SUM(F119,F121,F122)</f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</row>
    <row r="124" spans="2:65" ht="15" customHeight="1">
      <c r="B124" s="289" t="s">
        <v>1021</v>
      </c>
      <c s="290" t="s">
        <v>817</v>
      </c>
      <c s="282" t="str">
        <f t="shared" si="130" ref="D124">IF(D117=0,"-",D123/D117)</f>
        <v>-</v>
      </c>
      <c s="282" t="str">
        <f>IF(E117=0,"-",E123/E117)</f>
        <v>-</v>
      </c>
      <c s="282" t="str">
        <f t="shared" si="131" ref="F124:BM124">IF(F117=0,"-",F123/F117)</f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  <c s="282" t="str">
        <f t="shared" si="131"/>
        <v>-</v>
      </c>
    </row>
    <row r="125" spans="2:65" ht="15" customHeight="1">
      <c r="B125" s="12" t="s">
        <v>568</v>
      </c>
      <c s="124" t="str">
        <f t="shared" si="120"/>
        <v>тыс. руб.</v>
      </c>
      <c s="276">
        <f>SUM(E125:BM125)</f>
        <v>0</v>
      </c>
      <c s="330">
        <f>ROUND(Предпосылки!C544,0)</f>
        <v>0</v>
      </c>
      <c s="330">
        <f>ROUND(Предпосылки!D544,0)</f>
        <v>0</v>
      </c>
      <c s="330">
        <f>ROUND(Предпосылки!E544,0)</f>
        <v>0</v>
      </c>
      <c s="330">
        <f>ROUND(Предпосылки!F544,0)</f>
        <v>0</v>
      </c>
      <c s="330">
        <f>ROUND(E125,0)</f>
        <v>0</v>
      </c>
      <c s="330">
        <f>ROUND(F125,0)</f>
        <v>0</v>
      </c>
      <c s="330">
        <f t="shared" si="132" ref="K125:BM129">ROUND(G125,0)</f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</row>
    <row r="126" spans="2:65" ht="15" customHeight="1">
      <c r="B126" s="12" t="s">
        <v>277</v>
      </c>
      <c s="124" t="str">
        <f t="shared" si="120"/>
        <v>тыс. руб.</v>
      </c>
      <c s="276">
        <f>SUM(E126:BM126)</f>
        <v>0</v>
      </c>
      <c s="330">
        <f>ROUND(Предпосылки!C545,0)</f>
        <v>0</v>
      </c>
      <c s="330">
        <f>ROUND(Предпосылки!D545,0)</f>
        <v>0</v>
      </c>
      <c s="330">
        <f>ROUND(Предпосылки!E545,0)</f>
        <v>0</v>
      </c>
      <c s="330">
        <f>ROUND(Предпосылки!F545,0)</f>
        <v>0</v>
      </c>
      <c s="330">
        <f t="shared" si="133" ref="I126:J129">ROUND(E126,0)</f>
        <v>0</v>
      </c>
      <c s="330">
        <f t="shared" si="133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</row>
    <row r="127" spans="2:65" ht="15" customHeight="1">
      <c r="B127" s="12" t="s">
        <v>569</v>
      </c>
      <c s="124" t="str">
        <f t="shared" si="120"/>
        <v>тыс. руб.</v>
      </c>
      <c s="276">
        <f>SUM(E127:BM127)</f>
        <v>0</v>
      </c>
      <c s="330">
        <f>ROUND(Предпосылки!C546,0)</f>
        <v>0</v>
      </c>
      <c s="330">
        <f>ROUND(Предпосылки!D546,0)</f>
        <v>0</v>
      </c>
      <c s="330">
        <f>ROUND(Предпосылки!E546,0)</f>
        <v>0</v>
      </c>
      <c s="330">
        <f>ROUND(Предпосылки!F546,0)</f>
        <v>0</v>
      </c>
      <c s="330">
        <f t="shared" si="133"/>
        <v>0</v>
      </c>
      <c s="330">
        <f t="shared" si="133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</row>
    <row r="128" spans="2:65" ht="15" customHeight="1">
      <c r="B128" s="12" t="s">
        <v>570</v>
      </c>
      <c s="124" t="str">
        <f t="shared" si="120"/>
        <v>тыс. руб.</v>
      </c>
      <c s="276">
        <f>SUM(E128:BM128)</f>
        <v>0</v>
      </c>
      <c s="330">
        <f>ROUND(Предпосылки!C547,0)</f>
        <v>0</v>
      </c>
      <c s="330">
        <f>ROUND(Предпосылки!D547,0)</f>
        <v>0</v>
      </c>
      <c s="330">
        <f>ROUND(Предпосылки!E547,0)</f>
        <v>0</v>
      </c>
      <c s="330">
        <f>ROUND(Предпосылки!F547,0)</f>
        <v>0</v>
      </c>
      <c s="330">
        <f t="shared" si="133"/>
        <v>0</v>
      </c>
      <c s="330">
        <f t="shared" si="133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</row>
    <row r="129" spans="2:65" ht="15" customHeight="1">
      <c r="B129" s="12" t="s">
        <v>976</v>
      </c>
      <c s="124" t="str">
        <f t="shared" si="120"/>
        <v>тыс. руб.</v>
      </c>
      <c s="276">
        <f>SUM(E129:BM129)</f>
        <v>0</v>
      </c>
      <c s="330">
        <f>ROUND(Предпосылки!C548,0)</f>
        <v>0</v>
      </c>
      <c s="330">
        <f>ROUND(Предпосылки!D548,0)</f>
        <v>0</v>
      </c>
      <c s="330">
        <f>ROUND(Предпосылки!E548,0)</f>
        <v>0</v>
      </c>
      <c s="330">
        <f>ROUND(Предпосылки!F548,0)</f>
        <v>0</v>
      </c>
      <c s="330">
        <f t="shared" si="133"/>
        <v>0</v>
      </c>
      <c s="330">
        <f t="shared" si="133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2"/>
        <v>0</v>
      </c>
      <c s="330">
        <f t="shared" si="134" ref="AT129">ROUND(AP129,0)</f>
        <v>0</v>
      </c>
      <c s="330">
        <f t="shared" si="135" ref="AU129">ROUND(AQ129,0)</f>
        <v>0</v>
      </c>
      <c s="330">
        <f t="shared" si="136" ref="AV129">ROUND(AR129,0)</f>
        <v>0</v>
      </c>
      <c s="330">
        <f t="shared" si="137" ref="AW129">ROUND(AS129,0)</f>
        <v>0</v>
      </c>
      <c s="330">
        <f t="shared" si="138" ref="AX129">ROUND(AT129,0)</f>
        <v>0</v>
      </c>
      <c s="330">
        <f t="shared" si="139" ref="AY129">ROUND(AU129,0)</f>
        <v>0</v>
      </c>
      <c s="330">
        <f t="shared" si="140" ref="AZ129">ROUND(AV129,0)</f>
        <v>0</v>
      </c>
      <c s="330">
        <f t="shared" si="141" ref="BA129">ROUND(AW129,0)</f>
        <v>0</v>
      </c>
      <c s="330">
        <f t="shared" si="142" ref="BB129">ROUND(AX129,0)</f>
        <v>0</v>
      </c>
      <c s="330">
        <f t="shared" si="143" ref="BC129">ROUND(AY129,0)</f>
        <v>0</v>
      </c>
      <c s="330">
        <f t="shared" si="144" ref="BD129">ROUND(AZ129,0)</f>
        <v>0</v>
      </c>
      <c s="330">
        <f t="shared" si="145" ref="BE129">ROUND(BA129,0)</f>
        <v>0</v>
      </c>
      <c s="330">
        <f t="shared" si="146" ref="BF129">ROUND(BB129,0)</f>
        <v>0</v>
      </c>
      <c s="330">
        <f t="shared" si="147" ref="BG129">ROUND(BC129,0)</f>
        <v>0</v>
      </c>
      <c s="330">
        <f t="shared" si="148" ref="BH129">ROUND(BD129,0)</f>
        <v>0</v>
      </c>
      <c s="330">
        <f t="shared" si="149" ref="BI129">ROUND(BE129,0)</f>
        <v>0</v>
      </c>
      <c s="330">
        <f t="shared" si="150" ref="BJ129">ROUND(BF129,0)</f>
        <v>0</v>
      </c>
      <c s="330">
        <f t="shared" si="151" ref="BK129">ROUND(BG129,0)</f>
        <v>0</v>
      </c>
      <c s="330">
        <f t="shared" si="152" ref="BL129">ROUND(BH129,0)</f>
        <v>0</v>
      </c>
      <c s="330">
        <f t="shared" si="153" ref="BM129">ROUND(BI129,0)</f>
        <v>0</v>
      </c>
    </row>
    <row r="130" spans="2:65" ht="15" customHeight="1">
      <c r="B130" s="289" t="s">
        <v>281</v>
      </c>
      <c s="290" t="str">
        <f t="shared" si="120"/>
        <v>тыс. руб.</v>
      </c>
      <c s="276">
        <f t="shared" si="154" ref="D130">SUM(D123:D129)</f>
        <v>0</v>
      </c>
      <c s="276">
        <f>SUM(E123,E125:E129)</f>
        <v>0</v>
      </c>
      <c s="276">
        <f t="shared" si="155" ref="F130:BM130">SUM(F123,F125:F129)</f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  <c s="276">
        <f t="shared" si="155"/>
        <v>0</v>
      </c>
    </row>
    <row r="131" spans="2:65" ht="15" customHeight="1">
      <c r="B131" s="12" t="s">
        <v>573</v>
      </c>
      <c s="124" t="str">
        <f t="shared" si="120"/>
        <v>тыс. руб.</v>
      </c>
      <c s="276">
        <f>SUM(E131:BM131)</f>
        <v>0</v>
      </c>
      <c s="330">
        <f>E130*(-0.2)</f>
        <v>0</v>
      </c>
      <c s="330">
        <f t="shared" si="156" ref="F131:BM131">F130*(-0.2)</f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  <c s="330">
        <f t="shared" si="156"/>
        <v>0</v>
      </c>
    </row>
    <row r="132" spans="2:65" ht="15" customHeight="1">
      <c r="B132" s="289" t="s">
        <v>283</v>
      </c>
      <c s="290" t="str">
        <f t="shared" si="120"/>
        <v>тыс. руб.</v>
      </c>
      <c s="276">
        <f t="shared" si="157" ref="D132:E132">SUM(D130:D131)</f>
        <v>0</v>
      </c>
      <c s="276">
        <f t="shared" si="157"/>
        <v>0</v>
      </c>
      <c s="276">
        <f t="shared" si="158" ref="F132:BM132">SUM(F130:F131)</f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  <c s="276">
        <f t="shared" si="158"/>
        <v>0</v>
      </c>
    </row>
    <row r="133" spans="2:65" ht="15" customHeight="1">
      <c r="B133" s="289" t="s">
        <v>1022</v>
      </c>
      <c s="290" t="s">
        <v>817</v>
      </c>
      <c s="354" t="str">
        <f>IF(D117=0,"-",D132/D117)</f>
        <v>-</v>
      </c>
      <c s="354" t="str">
        <f>IF(E117=0,"-",E132/E117)</f>
        <v>-</v>
      </c>
      <c s="354" t="str">
        <f t="shared" si="159" ref="F133:BM133">IF(F117=0,"-",F132/F117)</f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  <c s="354" t="str">
        <f t="shared" si="159"/>
        <v>-</v>
      </c>
    </row>
    <row r="134" ht="15" customHeight="1"/>
    <row r="135" spans="2:71" ht="21">
      <c r="B135" s="24" t="s">
        <v>1023</v>
      </c>
      <c r="D13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6" spans="2:65" ht="15" customHeight="1">
      <c r="B136" s="192" t="s">
        <v>1024</v>
      </c>
      <c s="124" t="str">
        <f>Единица_измерения</f>
        <v>тыс. руб.</v>
      </c>
      <c s="276">
        <f>SUM(E136:BM136)</f>
        <v>0</v>
      </c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37" spans="2:65" ht="15" customHeight="1">
      <c r="B137" s="192" t="s">
        <v>577</v>
      </c>
      <c s="124" t="str">
        <f>Единица_измерения</f>
        <v>тыс. руб.</v>
      </c>
      <c s="276">
        <f>SUM(E137:BM137)</f>
        <v>0</v>
      </c>
      <c s="276">
        <f>SUMIF(Показатели!$E$8:$BM$8,'Квартальная отчетность'!E8,Показатели!$E$230:$BM$230)</f>
        <v>0</v>
      </c>
      <c s="276">
        <f>SUMIF(Показатели!$E$8:$BM$8,'Квартальная отчетность'!F8,Показатели!$E$230:$BM$230)</f>
        <v>0</v>
      </c>
      <c s="276">
        <f>SUMIF(Показатели!$E$8:$BM$8,'Квартальная отчетность'!G8,Показатели!$E$230:$BM$230)</f>
        <v>0</v>
      </c>
      <c s="276">
        <f>SUMIF(Показатели!$E$8:$BM$8,'Квартальная отчетность'!H8,Показатели!$E$230:$BM$230)</f>
        <v>0</v>
      </c>
      <c s="276">
        <f>SUMIF(Показатели!$E$8:$BM$8,'Квартальная отчетность'!I8,Показатели!$E$230:$BM$230)</f>
        <v>0</v>
      </c>
      <c s="276">
        <f>SUMIF(Показатели!$E$8:$BM$8,'Квартальная отчетность'!J8,Показатели!$E$230:$BM$230)</f>
        <v>0</v>
      </c>
      <c s="276">
        <f>SUMIF(Показатели!$E$8:$BM$8,'Квартальная отчетность'!K8,Показатели!$E$230:$BM$230)</f>
        <v>0</v>
      </c>
      <c s="276">
        <f>SUMIF(Показатели!$E$8:$BM$8,'Квартальная отчетность'!L8,Показатели!$E$230:$BM$230)</f>
        <v>0</v>
      </c>
      <c s="276">
        <f>SUMIF(Показатели!$E$8:$BM$8,'Квартальная отчетность'!M8,Показатели!$E$230:$BM$230)</f>
        <v>0</v>
      </c>
      <c s="276">
        <f>SUMIF(Показатели!$E$8:$BM$8,'Квартальная отчетность'!N8,Показатели!$E$230:$BM$230)</f>
        <v>0</v>
      </c>
      <c s="276">
        <f>SUMIF(Показатели!$E$8:$BM$8,'Квартальная отчетность'!O8,Показатели!$E$230:$BM$230)</f>
        <v>0</v>
      </c>
      <c s="276">
        <f>SUMIF(Показатели!$E$8:$BM$8,'Квартальная отчетность'!P8,Показатели!$E$230:$BM$230)</f>
        <v>0</v>
      </c>
      <c s="276">
        <f>SUMIF(Показатели!$E$8:$BM$8,'Квартальная отчетность'!Q8,Показатели!$E$230:$BM$230)</f>
        <v>0</v>
      </c>
      <c s="276">
        <f>SUMIF(Показатели!$E$8:$BM$8,'Квартальная отчетность'!R8,Показатели!$E$230:$BM$230)</f>
        <v>0</v>
      </c>
      <c s="276">
        <f>SUMIF(Показатели!$E$8:$BM$8,'Квартальная отчетность'!S8,Показатели!$E$230:$BM$230)</f>
        <v>0</v>
      </c>
      <c s="276">
        <f>SUMIF(Показатели!$E$8:$BM$8,'Квартальная отчетность'!T8,Показатели!$E$230:$BM$230)</f>
        <v>0</v>
      </c>
      <c s="276">
        <f>SUMIF(Показатели!$E$8:$BM$8,'Квартальная отчетность'!U8,Показатели!$E$230:$BM$230)</f>
        <v>0</v>
      </c>
      <c s="276">
        <f>SUMIF(Показатели!$E$8:$BM$8,'Квартальная отчетность'!V8,Показатели!$E$230:$BM$230)</f>
        <v>0</v>
      </c>
      <c s="276">
        <f>SUMIF(Показатели!$E$8:$BM$8,'Квартальная отчетность'!W8,Показатели!$E$230:$BM$230)</f>
        <v>0</v>
      </c>
      <c s="276">
        <f>SUMIF(Показатели!$E$8:$BM$8,'Квартальная отчетность'!X8,Показатели!$E$230:$BM$230)</f>
        <v>0</v>
      </c>
      <c s="276">
        <f>SUMIF(Показатели!$E$8:$BM$8,'Квартальная отчетность'!Y8,Показатели!$E$230:$BM$230)</f>
        <v>0</v>
      </c>
      <c s="276">
        <f>SUMIF(Показатели!$E$8:$BM$8,'Квартальная отчетность'!Z8,Показатели!$E$230:$BM$230)</f>
        <v>0</v>
      </c>
      <c s="276">
        <f>SUMIF(Показатели!$E$8:$BM$8,'Квартальная отчетность'!AA8,Показатели!$E$230:$BM$230)</f>
        <v>0</v>
      </c>
      <c s="276">
        <f>SUMIF(Показатели!$E$8:$BM$8,'Квартальная отчетность'!AB8,Показатели!$E$230:$BM$230)</f>
        <v>0</v>
      </c>
      <c s="276">
        <f>SUMIF(Показатели!$E$8:$BM$8,'Квартальная отчетность'!AC8,Показатели!$E$230:$BM$230)</f>
        <v>0</v>
      </c>
      <c s="276">
        <f>SUMIF(Показатели!$E$8:$BM$8,'Квартальная отчетность'!AD8,Показатели!$E$230:$BM$230)</f>
        <v>0</v>
      </c>
      <c s="276">
        <f>SUMIF(Показатели!$E$8:$BM$8,'Квартальная отчетность'!AE8,Показатели!$E$230:$BM$230)</f>
        <v>0</v>
      </c>
      <c s="276">
        <f>SUMIF(Показатели!$E$8:$BM$8,'Квартальная отчетность'!AF8,Показатели!$E$230:$BM$230)</f>
        <v>0</v>
      </c>
      <c s="276">
        <f>SUMIF(Показатели!$E$8:$BM$8,'Квартальная отчетность'!AG8,Показатели!$E$230:$BM$230)</f>
        <v>0</v>
      </c>
      <c s="276">
        <f>SUMIF(Показатели!$E$8:$BM$8,'Квартальная отчетность'!AH8,Показатели!$E$230:$BM$230)</f>
        <v>0</v>
      </c>
      <c s="276">
        <f>SUMIF(Показатели!$E$8:$BM$8,'Квартальная отчетность'!AI8,Показатели!$E$230:$BM$230)</f>
        <v>0</v>
      </c>
      <c s="276">
        <f>SUMIF(Показатели!$E$8:$BM$8,'Квартальная отчетность'!AJ8,Показатели!$E$230:$BM$230)</f>
        <v>0</v>
      </c>
      <c s="276">
        <f>SUMIF(Показатели!$E$8:$BM$8,'Квартальная отчетность'!AK8,Показатели!$E$230:$BM$230)</f>
        <v>0</v>
      </c>
      <c s="276">
        <f>SUMIF(Показатели!$E$8:$BM$8,'Квартальная отчетность'!AL8,Показатели!$E$230:$BM$230)</f>
        <v>0</v>
      </c>
      <c s="276">
        <f>SUMIF(Показатели!$E$8:$BM$8,'Квартальная отчетность'!AM8,Показатели!$E$230:$BM$230)</f>
        <v>0</v>
      </c>
      <c s="276">
        <f>SUMIF(Показатели!$E$8:$BM$8,'Квартальная отчетность'!AN8,Показатели!$E$230:$BM$230)</f>
        <v>0</v>
      </c>
      <c s="276">
        <f>SUMIF(Показатели!$E$8:$BM$8,'Квартальная отчетность'!AO8,Показатели!$E$230:$BM$230)</f>
        <v>0</v>
      </c>
      <c s="276">
        <f>SUMIF(Показатели!$E$8:$BM$8,'Квартальная отчетность'!AP8,Показатели!$E$230:$BM$230)</f>
        <v>0</v>
      </c>
      <c s="276">
        <f>SUMIF(Показатели!$E$8:$BM$8,'Квартальная отчетность'!AQ8,Показатели!$E$230:$BM$230)</f>
        <v>0</v>
      </c>
      <c s="276">
        <f>SUMIF(Показатели!$E$8:$BM$8,'Квартальная отчетность'!AR8,Показатели!$E$230:$BM$230)</f>
        <v>0</v>
      </c>
      <c s="276">
        <f>SUMIF(Показатели!$E$8:$BM$8,'Квартальная отчетность'!AS8,Показатели!$E$230:$BM$230)</f>
        <v>0</v>
      </c>
      <c s="276">
        <f>SUMIF(Показатели!$E$8:$BM$8,'Квартальная отчетность'!AT8,Показатели!$E$230:$BM$230)</f>
        <v>0</v>
      </c>
      <c s="276">
        <f>SUMIF(Показатели!$E$8:$BM$8,'Квартальная отчетность'!AU8,Показатели!$E$230:$BM$230)</f>
        <v>0</v>
      </c>
      <c s="276">
        <f>SUMIF(Показатели!$E$8:$BM$8,'Квартальная отчетность'!AV8,Показатели!$E$230:$BM$230)</f>
        <v>0</v>
      </c>
      <c s="276">
        <f>SUMIF(Показатели!$E$8:$BM$8,'Квартальная отчетность'!AW8,Показатели!$E$230:$BM$230)</f>
        <v>0</v>
      </c>
      <c s="276">
        <f>SUMIF(Показатели!$E$8:$BM$8,'Квартальная отчетность'!AX8,Показатели!$E$230:$BM$230)</f>
        <v>0</v>
      </c>
      <c s="276">
        <f>SUMIF(Показатели!$E$8:$BM$8,'Квартальная отчетность'!AY8,Показатели!$E$230:$BM$230)</f>
        <v>0</v>
      </c>
      <c s="276">
        <f>SUMIF(Показатели!$E$8:$BM$8,'Квартальная отчетность'!AZ8,Показатели!$E$230:$BM$230)</f>
        <v>0</v>
      </c>
      <c s="276">
        <f>SUMIF(Показатели!$E$8:$BM$8,'Квартальная отчетность'!BA8,Показатели!$E$230:$BM$230)</f>
        <v>0</v>
      </c>
      <c s="276">
        <f>SUMIF(Показатели!$E$8:$BM$8,'Квартальная отчетность'!BB8,Показатели!$E$230:$BM$230)</f>
        <v>0</v>
      </c>
      <c s="276">
        <f>SUMIF(Показатели!$E$8:$BM$8,'Квартальная отчетность'!BC8,Показатели!$E$230:$BM$230)</f>
        <v>0</v>
      </c>
      <c s="276">
        <f>SUMIF(Показатели!$E$8:$BM$8,'Квартальная отчетность'!BD8,Показатели!$E$230:$BM$230)</f>
        <v>0</v>
      </c>
      <c s="276">
        <f>SUMIF(Показатели!$E$8:$BM$8,'Квартальная отчетность'!BE8,Показатели!$E$230:$BM$230)</f>
        <v>0</v>
      </c>
      <c s="276">
        <f>SUMIF(Показатели!$E$8:$BM$8,'Квартальная отчетность'!BF8,Показатели!$E$230:$BM$230)</f>
        <v>0</v>
      </c>
      <c s="276">
        <f>SUMIF(Показатели!$E$8:$BM$8,'Квартальная отчетность'!BG8,Показатели!$E$230:$BM$230)</f>
        <v>0</v>
      </c>
      <c s="276">
        <f>SUMIF(Показатели!$E$8:$BM$8,'Квартальная отчетность'!BH8,Показатели!$E$230:$BM$230)</f>
        <v>0</v>
      </c>
      <c s="276">
        <f>SUMIF(Показатели!$E$8:$BM$8,'Квартальная отчетность'!BI8,Показатели!$E$230:$BM$230)</f>
        <v>0</v>
      </c>
      <c s="276">
        <f>SUMIF(Показатели!$E$8:$BM$8,'Квартальная отчетность'!BJ8,Показатели!$E$230:$BM$230)</f>
        <v>0</v>
      </c>
      <c s="276">
        <f>SUMIF(Показатели!$E$8:$BM$8,'Квартальная отчетность'!BK8,Показатели!$E$230:$BM$230)</f>
        <v>0</v>
      </c>
      <c s="276">
        <f>SUMIF(Показатели!$E$8:$BM$8,'Квартальная отчетность'!BL8,Показатели!$E$230:$BM$230)</f>
        <v>0</v>
      </c>
      <c s="276">
        <f>SUMIF(Показатели!$E$8:$BM$8,'Квартальная отчетность'!BM8,Показатели!$E$230:$BM$230)</f>
        <v>0</v>
      </c>
    </row>
    <row r="138" spans="2:65" ht="15" customHeight="1">
      <c r="B138" s="192" t="s">
        <v>1025</v>
      </c>
      <c s="124" t="s">
        <v>817</v>
      </c>
      <c s="282" t="str">
        <f>IF(D117=0,"-",D137/D117)</f>
        <v>-</v>
      </c>
      <c s="282" t="str">
        <f t="shared" si="160" ref="E138:BM138">IF(E117=0,"-",E137/E117)</f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  <c s="282" t="str">
        <f t="shared" si="160"/>
        <v>-</v>
      </c>
    </row>
    <row r="139" ht="15" customHeight="1"/>
    <row r="140" spans="2:71" ht="21">
      <c r="B140" s="23" t="s">
        <v>330</v>
      </c>
      <c r="D14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1" spans="2:71" ht="21">
      <c r="B141" s="24" t="s">
        <v>979</v>
      </c>
      <c r="D14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2" spans="2:69" ht="14.45">
      <c r="B142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3" spans="2:65" ht="15" customHeight="1">
      <c r="B143" s="130" t="s">
        <v>1026</v>
      </c>
      <c s="124" t="s">
        <v>438</v>
      </c>
      <c s="276">
        <f>SUM(E143:BM143)</f>
        <v>0</v>
      </c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44" spans="2:65" ht="15" customHeight="1">
      <c r="B144" s="12" t="s">
        <v>1027</v>
      </c>
      <c s="124" t="s">
        <v>438</v>
      </c>
      <c s="276">
        <f>SUM(E144:BM144)</f>
        <v>0</v>
      </c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45" spans="2:65" ht="15" customHeight="1">
      <c r="B145" s="12" t="s">
        <v>1028</v>
      </c>
      <c s="124" t="s">
        <v>438</v>
      </c>
      <c s="276">
        <f>SUM(E145:BM145)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46" spans="2:65" ht="15" customHeight="1">
      <c r="B146" s="12" t="s">
        <v>1029</v>
      </c>
      <c s="124" t="s">
        <v>438</v>
      </c>
      <c s="276">
        <f>SUM(E146:BM146)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47" spans="2:65" ht="15" customHeight="1">
      <c r="B147" s="289" t="s">
        <v>454</v>
      </c>
      <c s="290" t="s">
        <v>438</v>
      </c>
      <c s="291">
        <f t="shared" si="161" ref="D147:E147">SUM(D143:D146)</f>
        <v>0</v>
      </c>
      <c s="276">
        <f t="shared" si="161"/>
        <v>0</v>
      </c>
      <c s="276">
        <f t="shared" si="162" ref="F147:AG147">SUM(F143:F146)</f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2"/>
        <v>0</v>
      </c>
      <c s="276">
        <f t="shared" si="163" ref="AH147:BM147">SUM(AH143:AH146)</f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  <c s="276">
        <f t="shared" si="163"/>
        <v>0</v>
      </c>
    </row>
    <row r="148" ht="15" customHeight="1"/>
    <row r="149" spans="2:69" ht="14.45">
      <c r="B149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0" spans="2:65" ht="15" customHeight="1">
      <c r="B150" s="12" t="s">
        <v>1030</v>
      </c>
      <c s="124" t="s">
        <v>438</v>
      </c>
      <c s="276">
        <f>SUM(E150:BM150)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</row>
    <row r="151" spans="2:65" ht="15" customHeight="1">
      <c r="B151" s="12" t="s">
        <v>1031</v>
      </c>
      <c s="124" t="s">
        <v>438</v>
      </c>
      <c s="276">
        <f>SUM(E151:BM151)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</row>
    <row r="152" spans="2:65" ht="15" customHeight="1">
      <c r="B152" s="12" t="s">
        <v>1032</v>
      </c>
      <c s="124" t="s">
        <v>438</v>
      </c>
      <c s="276">
        <f>SUM(E152:BM152)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</row>
    <row r="153" spans="2:65" ht="15" customHeight="1">
      <c r="B153" s="12" t="s">
        <v>943</v>
      </c>
      <c s="124" t="s">
        <v>438</v>
      </c>
      <c s="276">
        <f>SUM(E153:BM153)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</row>
    <row r="154" spans="2:65" ht="15" customHeight="1">
      <c r="B154" s="12" t="s">
        <v>1033</v>
      </c>
      <c s="124" t="s">
        <v>438</v>
      </c>
      <c s="276">
        <f>SUM(E154:BM154)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</row>
    <row r="155" spans="2:65" ht="15" customHeight="1">
      <c r="B155" s="289" t="s">
        <v>454</v>
      </c>
      <c s="290" t="s">
        <v>438</v>
      </c>
      <c s="291">
        <f t="shared" si="164" ref="D155:AG155">SUM(D150:D154)</f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4"/>
        <v>0</v>
      </c>
      <c s="276">
        <f t="shared" si="165" ref="AH155:BM155">SUM(AH150:AH154)</f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  <c s="276">
        <f t="shared" si="165"/>
        <v>0</v>
      </c>
    </row>
    <row r="156" ht="15" customHeight="1"/>
    <row r="157" spans="2:65" ht="15" customHeight="1">
      <c r="B157" s="292" t="s">
        <v>986</v>
      </c>
      <c s="293" t="s">
        <v>438</v>
      </c>
      <c s="291">
        <f t="shared" si="166" ref="D157:BM157">SUM(D147,D155)</f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  <c s="291">
        <f t="shared" si="166"/>
        <v>0</v>
      </c>
    </row>
    <row r="158" ht="15" customHeight="1"/>
    <row r="159" spans="2:71" ht="21">
      <c r="B159" s="24" t="s">
        <v>987</v>
      </c>
      <c r="D15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0" spans="2:69" ht="14.45">
      <c r="B160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1" spans="2:65" ht="15" customHeight="1">
      <c r="B161" s="130" t="s">
        <v>1034</v>
      </c>
      <c s="124" t="s">
        <v>438</v>
      </c>
      <c s="276">
        <f>SUM(E161:BM161)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62" spans="2:65" ht="15" customHeight="1">
      <c r="B162" s="12" t="s">
        <v>1035</v>
      </c>
      <c s="124" t="s">
        <v>438</v>
      </c>
      <c s="276">
        <f>SUM(E162:BM162)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63" spans="2:65" ht="15" customHeight="1">
      <c r="B163" s="12" t="s">
        <v>1036</v>
      </c>
      <c s="124" t="s">
        <v>438</v>
      </c>
      <c s="276">
        <f>SUM(E163:BM163)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64" spans="2:65" ht="15" customHeight="1">
      <c r="B164" s="12" t="s">
        <v>1037</v>
      </c>
      <c s="124" t="s">
        <v>438</v>
      </c>
      <c s="276">
        <f>SUM(E164:BM164)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65" spans="2:65" ht="15" customHeight="1">
      <c r="B165" s="12" t="s">
        <v>1029</v>
      </c>
      <c s="124" t="s">
        <v>438</v>
      </c>
      <c s="276">
        <f>SUM(E165:BM165)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66" spans="2:65" ht="15" customHeight="1">
      <c r="B166" s="289" t="s">
        <v>454</v>
      </c>
      <c s="290" t="s">
        <v>438</v>
      </c>
      <c s="291">
        <f t="shared" si="167" ref="D166:E166">SUM(D161:D165)</f>
        <v>0</v>
      </c>
      <c s="276">
        <f t="shared" si="167"/>
        <v>0</v>
      </c>
      <c s="276">
        <f t="shared" si="168" ref="F166:AG166">SUM(F161:F165)</f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9" ref="AH166:BM166">SUM(AH161:AH165)</f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  <c s="276">
        <f t="shared" si="169"/>
        <v>0</v>
      </c>
    </row>
    <row r="167" ht="15" customHeight="1"/>
    <row r="168" spans="2:69" ht="14.45">
      <c r="B168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9" spans="2:65" ht="15" customHeight="1">
      <c r="B169" s="12" t="s">
        <v>1038</v>
      </c>
      <c s="124" t="s">
        <v>438</v>
      </c>
      <c s="276">
        <f ca="1">SUM(E169:BM169)</f>
        <v>0</v>
      </c>
      <c s="125">
        <f ca="1">-SUM(Финансирование!E$57,Финансирование!E$63)</f>
        <v>0</v>
      </c>
      <c s="125">
        <f ca="1">-SUM(Финансирование!F$57,Финансирование!F$63)</f>
        <v>0</v>
      </c>
      <c s="125">
        <f ca="1">-SUM(Финансирование!G$57,Финансирование!G$63)</f>
        <v>0</v>
      </c>
      <c s="125">
        <f ca="1">-SUM(Финансирование!H$57,Финансирование!H$63)</f>
        <v>0</v>
      </c>
      <c s="125">
        <f ca="1">-SUM(Финансирование!I$57,Финансирование!I$63)</f>
        <v>0</v>
      </c>
      <c s="125">
        <f ca="1">-SUM(Финансирование!J$57,Финансирование!J$63)</f>
        <v>0</v>
      </c>
      <c s="125">
        <f ca="1">-SUM(Финансирование!K$57,Финансирование!K$63)</f>
        <v>0</v>
      </c>
      <c s="125">
        <f ca="1">-SUM(Финансирование!L$57,Финансирование!L$63)</f>
        <v>0</v>
      </c>
      <c s="125">
        <f ca="1">-SUM(Финансирование!M$57,Финансирование!M$63)</f>
        <v>0</v>
      </c>
      <c s="125">
        <f ca="1">-SUM(Финансирование!N$57,Финансирование!N$63)</f>
        <v>0</v>
      </c>
      <c s="125">
        <f ca="1">-SUM(Финансирование!O$57,Финансирование!O$63)</f>
        <v>0</v>
      </c>
      <c s="125">
        <f ca="1">-SUM(Финансирование!P$57,Финансирование!P$63)</f>
        <v>0</v>
      </c>
      <c s="125">
        <f ca="1">-SUM(Финансирование!Q$57,Финансирование!Q$63)</f>
        <v>0</v>
      </c>
      <c s="125">
        <f ca="1">-SUM(Финансирование!R$57,Финансирование!R$63)</f>
        <v>0</v>
      </c>
      <c s="125">
        <f ca="1">-SUM(Финансирование!S$57,Финансирование!S$63)</f>
        <v>0</v>
      </c>
      <c s="125">
        <f ca="1">-SUM(Финансирование!T$57,Финансирование!T$63)</f>
        <v>0</v>
      </c>
      <c s="125">
        <f ca="1">-SUM(Финансирование!U$57,Финансирование!U$63)</f>
        <v>0</v>
      </c>
      <c s="125">
        <f ca="1">-SUM(Финансирование!V$57,Финансирование!V$63)</f>
        <v>0</v>
      </c>
      <c s="125">
        <f ca="1">-SUM(Финансирование!W$57,Финансирование!W$63)</f>
        <v>0</v>
      </c>
      <c s="125">
        <f ca="1">-SUM(Финансирование!X$57,Финансирование!X$63)</f>
        <v>0</v>
      </c>
      <c s="125">
        <f ca="1">-SUM(Финансирование!Y$57,Финансирование!Y$63)</f>
        <v>0</v>
      </c>
      <c s="125">
        <f ca="1">-SUM(Финансирование!Z$57,Финансирование!Z$63)</f>
        <v>0</v>
      </c>
      <c s="125">
        <f ca="1">-SUM(Финансирование!AA$57,Финансирование!AA$63)</f>
        <v>0</v>
      </c>
      <c s="125">
        <f ca="1">-SUM(Финансирование!AB$57,Финансирование!AB$63)</f>
        <v>0</v>
      </c>
      <c s="125">
        <f ca="1">-SUM(Финансирование!AC$57,Финансирование!AC$63)</f>
        <v>0</v>
      </c>
      <c s="125">
        <f ca="1">-SUM(Финансирование!AD$57,Финансирование!AD$63)</f>
        <v>0</v>
      </c>
      <c s="125">
        <f ca="1">-SUM(Финансирование!AE$57,Финансирование!AE$63)</f>
        <v>0</v>
      </c>
      <c s="125">
        <f ca="1">-SUM(Финансирование!AF$57,Финансирование!AF$63)</f>
        <v>0</v>
      </c>
      <c s="125">
        <f ca="1">-SUM(Финансирование!AG$57,Финансирование!AG$63)</f>
        <v>0</v>
      </c>
      <c s="125">
        <f ca="1">-SUM(Финансирование!AH$57,Финансирование!AH$63)</f>
        <v>0</v>
      </c>
      <c s="125">
        <f ca="1">-SUM(Финансирование!AI$57,Финансирование!AI$63)</f>
        <v>0</v>
      </c>
      <c s="125">
        <f ca="1">-SUM(Финансирование!AJ$57,Финансирование!AJ$63)</f>
        <v>0</v>
      </c>
      <c s="125">
        <f ca="1">-SUM(Финансирование!AK$57,Финансирование!AK$63)</f>
        <v>0</v>
      </c>
      <c s="125">
        <f ca="1">-SUM(Финансирование!AL$57,Финансирование!AL$63)</f>
        <v>0</v>
      </c>
      <c s="125">
        <f ca="1">-SUM(Финансирование!AM$57,Финансирование!AM$63)</f>
        <v>0</v>
      </c>
      <c s="125">
        <f ca="1">-SUM(Финансирование!AN$57,Финансирование!AN$63)</f>
        <v>0</v>
      </c>
      <c s="125">
        <f ca="1">-SUM(Финансирование!AO$57,Финансирование!AO$63)</f>
        <v>0</v>
      </c>
      <c s="125">
        <f ca="1">-SUM(Финансирование!AP$57,Финансирование!AP$63)</f>
        <v>0</v>
      </c>
      <c s="125">
        <f ca="1">-SUM(Финансирование!AQ$57,Финансирование!AQ$63)</f>
        <v>0</v>
      </c>
      <c s="125">
        <f ca="1">-SUM(Финансирование!AR$57,Финансирование!AR$63)</f>
        <v>0</v>
      </c>
      <c s="125">
        <f ca="1">-SUM(Финансирование!AS$57,Финансирование!AS$63)</f>
        <v>0</v>
      </c>
      <c s="125">
        <f ca="1">-SUM(Финансирование!AT$57,Финансирование!AT$63)</f>
        <v>0</v>
      </c>
      <c s="125">
        <f ca="1">-SUM(Финансирование!AU$57,Финансирование!AU$63)</f>
        <v>0</v>
      </c>
      <c s="125">
        <f ca="1">-SUM(Финансирование!AV$57,Финансирование!AV$63)</f>
        <v>0</v>
      </c>
      <c s="125">
        <f ca="1">-SUM(Финансирование!AW$57,Финансирование!AW$63)</f>
        <v>0</v>
      </c>
      <c s="125">
        <f ca="1">-SUM(Финансирование!AX$57,Финансирование!AX$63)</f>
        <v>0</v>
      </c>
      <c s="125">
        <f ca="1">-SUM(Финансирование!AY$57,Финансирование!AY$63)</f>
        <v>0</v>
      </c>
      <c s="125">
        <f ca="1">-SUM(Финансирование!AZ$57,Финансирование!AZ$63)</f>
        <v>0</v>
      </c>
      <c s="125">
        <f ca="1">-SUM(Финансирование!BA$57,Финансирование!BA$63)</f>
        <v>0</v>
      </c>
      <c s="125">
        <f ca="1">-SUM(Финансирование!BB$57,Финансирование!BB$63)</f>
        <v>0</v>
      </c>
      <c s="125">
        <f ca="1">-SUM(Финансирование!BC$57,Финансирование!BC$63)</f>
        <v>0</v>
      </c>
      <c s="125">
        <f ca="1">-SUM(Финансирование!BD$57,Финансирование!BD$63)</f>
        <v>0</v>
      </c>
      <c s="125">
        <f ca="1">-SUM(Финансирование!BE$57,Финансирование!BE$63)</f>
        <v>0</v>
      </c>
      <c s="125">
        <f ca="1">-SUM(Финансирование!BF$57,Финансирование!BF$63)</f>
        <v>0</v>
      </c>
      <c s="125">
        <f ca="1">-SUM(Финансирование!BG$57,Финансирование!BG$63)</f>
        <v>0</v>
      </c>
      <c s="125">
        <f ca="1">-SUM(Финансирование!BH$57,Финансирование!BH$63)</f>
        <v>0</v>
      </c>
      <c s="125">
        <f ca="1">-SUM(Финансирование!BI$57,Финансирование!BI$63)</f>
        <v>0</v>
      </c>
      <c s="125">
        <f ca="1">-SUM(Финансирование!BJ$57,Финансирование!BJ$63)</f>
        <v>0</v>
      </c>
      <c s="125">
        <f ca="1">-SUM(Финансирование!BK$57,Финансирование!BK$63)</f>
        <v>0</v>
      </c>
      <c s="125">
        <f ca="1">-SUM(Финансирование!BL$57,Финансирование!BL$63)</f>
        <v>0</v>
      </c>
      <c s="125">
        <f ca="1">-SUM(Финансирование!BM$57,Финансирование!BM$63)</f>
        <v>0</v>
      </c>
    </row>
    <row r="170" spans="2:65" ht="15" customHeight="1">
      <c r="B170" s="12" t="s">
        <v>988</v>
      </c>
      <c s="124" t="s">
        <v>438</v>
      </c>
      <c s="276">
        <f>SUM(E170:BM170)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71" spans="2:65" ht="15" customHeight="1">
      <c r="B171" s="12" t="s">
        <v>1039</v>
      </c>
      <c s="124" t="s">
        <v>438</v>
      </c>
      <c s="276">
        <f>SUM(E171:BM171)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72" spans="2:65" ht="15" customHeight="1">
      <c r="B172" s="12" t="s">
        <v>1040</v>
      </c>
      <c s="124" t="s">
        <v>438</v>
      </c>
      <c s="276">
        <f>SUM(E172:BM172)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73" spans="2:65" ht="15" customHeight="1">
      <c r="B173" s="12" t="s">
        <v>1033</v>
      </c>
      <c s="124" t="s">
        <v>438</v>
      </c>
      <c s="276">
        <f>SUM(E173:BM173)</f>
        <v>0</v>
      </c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74" spans="2:65" ht="15" customHeight="1">
      <c r="B174" s="289" t="s">
        <v>454</v>
      </c>
      <c s="290" t="s">
        <v>438</v>
      </c>
      <c s="291">
        <f ca="1">SUM(D169:D173)</f>
        <v>0</v>
      </c>
      <c s="276">
        <f ca="1">SUM(E169:E173)</f>
        <v>0</v>
      </c>
      <c s="276">
        <f ca="1" t="shared" si="170" ref="F174:AG174">SUM(F169:F173)</f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t="shared" ca="1" si="170"/>
        <v>0</v>
      </c>
      <c s="276">
        <f ca="1" t="shared" si="171" ref="AH174:BM174">SUM(AH169:AH173)</f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</row>
    <row r="175" ht="15" customHeight="1"/>
    <row r="176" spans="2:65" ht="15" customHeight="1">
      <c r="B176" s="292" t="s">
        <v>989</v>
      </c>
      <c s="293" t="s">
        <v>438</v>
      </c>
      <c s="291">
        <f ca="1" t="shared" si="172" ref="D176:E176">SUM(D166,D174)</f>
        <v>0</v>
      </c>
      <c s="291">
        <f t="shared" ca="1" si="172"/>
        <v>0</v>
      </c>
      <c s="291">
        <f ca="1" t="shared" si="173" ref="F176:BM176">SUM(F166,F174)</f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  <c s="291">
        <f t="shared" ca="1" si="173"/>
        <v>0</v>
      </c>
    </row>
    <row r="177" ht="15" customHeight="1"/>
    <row r="178" spans="2:71" ht="21">
      <c r="B178" s="24" t="s">
        <v>990</v>
      </c>
      <c r="D17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9" spans="2:69" ht="14.45">
      <c r="B179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80" spans="2:65" ht="15" customHeight="1">
      <c r="B180" s="12" t="s">
        <v>1041</v>
      </c>
      <c s="124" t="s">
        <v>438</v>
      </c>
      <c s="276">
        <f>SUM(E180:BM180)</f>
        <v>0</v>
      </c>
      <c s="170">
        <f>SUM(E181:E182)</f>
        <v>0</v>
      </c>
      <c s="170">
        <f t="shared" si="174" ref="F180:BM180">SUM(F181:F182)</f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  <c s="170">
        <f t="shared" si="174"/>
        <v>0</v>
      </c>
    </row>
    <row r="181" spans="2:65" ht="15" customHeight="1">
      <c r="B181" s="12" t="s">
        <v>1042</v>
      </c>
      <c s="124" t="s">
        <v>438</v>
      </c>
      <c s="276"/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</row>
    <row r="182" spans="2:65" ht="15" customHeight="1">
      <c r="B182" s="12" t="s">
        <v>1043</v>
      </c>
      <c s="124" t="s">
        <v>438</v>
      </c>
      <c s="276"/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  <c s="345">
        <v>0</v>
      </c>
    </row>
    <row r="183" spans="2:65" ht="15" customHeight="1">
      <c r="B183" s="12" t="s">
        <v>1044</v>
      </c>
      <c s="124" t="s">
        <v>438</v>
      </c>
      <c s="276">
        <f>SUM(E183:BM183)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84" spans="2:65" ht="15" customHeight="1">
      <c r="B184" s="12" t="s">
        <v>1045</v>
      </c>
      <c s="124" t="s">
        <v>438</v>
      </c>
      <c s="276">
        <f>SUM(E184:BM184)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85" spans="2:65" ht="15" customHeight="1">
      <c r="B185" s="12" t="s">
        <v>1046</v>
      </c>
      <c s="124" t="s">
        <v>438</v>
      </c>
      <c s="276">
        <f>SUM(E185:BM185)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86" spans="2:65" ht="15" customHeight="1">
      <c r="B186" s="12" t="s">
        <v>1029</v>
      </c>
      <c s="124" t="s">
        <v>438</v>
      </c>
      <c s="276">
        <f>SUM(E186:BM186)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87" spans="2:65" ht="15" customHeight="1">
      <c r="B187" s="289" t="s">
        <v>454</v>
      </c>
      <c s="290" t="s">
        <v>438</v>
      </c>
      <c s="291">
        <f t="shared" si="175" ref="D187">SUM(D180:D186)</f>
        <v>0</v>
      </c>
      <c s="276">
        <f>SUM(E180,E183:E186)</f>
        <v>0</v>
      </c>
      <c s="276">
        <f t="shared" si="176" ref="F187:BM187">SUM(F180,F183:F186)</f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  <c s="276">
        <f t="shared" si="176"/>
        <v>0</v>
      </c>
    </row>
    <row r="188" ht="15" customHeight="1"/>
    <row r="189" spans="2:69" ht="14.45">
      <c r="B189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0" spans="2:65" ht="15" customHeight="1">
      <c r="B190" s="12" t="s">
        <v>1047</v>
      </c>
      <c s="124" t="s">
        <v>438</v>
      </c>
      <c s="276">
        <f>SUM(E190:BM190)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91" spans="2:65" ht="15" customHeight="1">
      <c r="B191" s="12" t="s">
        <v>1048</v>
      </c>
      <c s="124" t="s">
        <v>438</v>
      </c>
      <c s="276">
        <f>SUM(E191:BM191)</f>
        <v>0</v>
      </c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92" spans="2:65" ht="15" customHeight="1">
      <c r="B192" s="12" t="s">
        <v>582</v>
      </c>
      <c s="124" t="s">
        <v>438</v>
      </c>
      <c s="276">
        <f>SUM(E192:BM192)</f>
        <v>0</v>
      </c>
      <c s="170">
        <f>SUM(E193:E194)</f>
        <v>0</v>
      </c>
      <c s="170">
        <f t="shared" si="177" ref="F192:BM192">SUM(F193:F194)</f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  <c s="170">
        <f t="shared" si="177"/>
        <v>0</v>
      </c>
    </row>
    <row r="193" spans="2:65" ht="15" customHeight="1">
      <c r="B193" s="12" t="s">
        <v>1049</v>
      </c>
      <c s="124" t="s">
        <v>438</v>
      </c>
      <c s="276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194" spans="2:65" ht="15" customHeight="1">
      <c r="B194" s="12" t="s">
        <v>1050</v>
      </c>
      <c s="124" t="s">
        <v>438</v>
      </c>
      <c s="276"/>
      <c s="345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45"/>
      <c s="345"/>
      <c s="345"/>
      <c s="345"/>
      <c s="345"/>
      <c s="345"/>
      <c s="345"/>
      <c s="345"/>
      <c s="345"/>
      <c s="345"/>
      <c s="345"/>
      <c s="345"/>
    </row>
    <row r="195" spans="2:65" ht="15" customHeight="1">
      <c r="B195" s="289" t="s">
        <v>454</v>
      </c>
      <c s="290" t="s">
        <v>438</v>
      </c>
      <c s="291">
        <f t="shared" si="178" ref="D195">SUM(D190:D192)</f>
        <v>0</v>
      </c>
      <c s="276">
        <f>SUM(E190:E192)</f>
        <v>0</v>
      </c>
      <c s="276">
        <f t="shared" si="179" ref="F195:BM195">SUM(F190:F192)</f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  <c s="276">
        <f t="shared" si="179"/>
        <v>0</v>
      </c>
    </row>
    <row r="196" ht="15" customHeight="1"/>
    <row r="197" spans="2:65" ht="15" customHeight="1">
      <c r="B197" s="292" t="s">
        <v>992</v>
      </c>
      <c s="293" t="s">
        <v>438</v>
      </c>
      <c s="291">
        <f t="shared" si="180" ref="D197:E197">SUM(D187,D195)</f>
        <v>0</v>
      </c>
      <c s="291">
        <f t="shared" si="180"/>
        <v>0</v>
      </c>
      <c s="291">
        <f t="shared" si="181" ref="F197:BM197">SUM(F187,F195)</f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  <c s="291">
        <f t="shared" si="181"/>
        <v>0</v>
      </c>
    </row>
    <row r="198" ht="15" customHeight="1"/>
    <row r="199" spans="2:2" ht="15" customHeight="1">
      <c r="B199" s="24" t="s">
        <v>993</v>
      </c>
    </row>
    <row r="200" spans="2:65" ht="15" customHeight="1">
      <c r="B200" s="12" t="s">
        <v>994</v>
      </c>
      <c s="124" t="s">
        <v>438</v>
      </c>
      <c s="276">
        <f>E200</f>
        <v>0</v>
      </c>
      <c s="345"/>
      <c s="125">
        <f ca="1">E202</f>
        <v>0</v>
      </c>
      <c s="125">
        <f ca="1" t="shared" si="182" ref="G200:AG200">F202</f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t="shared" ca="1" si="182"/>
        <v>0</v>
      </c>
      <c s="125">
        <f ca="1" t="shared" si="183" ref="AH200">AG202</f>
        <v>0</v>
      </c>
      <c s="125">
        <f ca="1" t="shared" si="184" ref="AI200">AH202</f>
        <v>0</v>
      </c>
      <c s="125">
        <f ca="1" t="shared" si="185" ref="AJ200">AI202</f>
        <v>0</v>
      </c>
      <c s="125">
        <f ca="1" t="shared" si="186" ref="AK200">AJ202</f>
        <v>0</v>
      </c>
      <c s="125">
        <f ca="1" t="shared" si="187" ref="AL200">AK202</f>
        <v>0</v>
      </c>
      <c s="125">
        <f ca="1" t="shared" si="188" ref="AM200">AL202</f>
        <v>0</v>
      </c>
      <c s="125">
        <f ca="1" t="shared" si="189" ref="AN200">AM202</f>
        <v>0</v>
      </c>
      <c s="125">
        <f ca="1" t="shared" si="190" ref="AO200">AN202</f>
        <v>0</v>
      </c>
      <c s="125">
        <f ca="1" t="shared" si="191" ref="AP200">AO202</f>
        <v>0</v>
      </c>
      <c s="125">
        <f ca="1" t="shared" si="192" ref="AQ200">AP202</f>
        <v>0</v>
      </c>
      <c s="125">
        <f ca="1" t="shared" si="193" ref="AR200">AQ202</f>
        <v>0</v>
      </c>
      <c s="125">
        <f ca="1" t="shared" si="194" ref="AS200">AR202</f>
        <v>0</v>
      </c>
      <c s="125">
        <f ca="1" t="shared" si="195" ref="AT200">AS202</f>
        <v>0</v>
      </c>
      <c s="125">
        <f ca="1" t="shared" si="196" ref="AU200">AT202</f>
        <v>0</v>
      </c>
      <c s="125">
        <f ca="1" t="shared" si="197" ref="AV200">AU202</f>
        <v>0</v>
      </c>
      <c s="125">
        <f ca="1" t="shared" si="198" ref="AW200">AV202</f>
        <v>0</v>
      </c>
      <c s="125">
        <f ca="1" t="shared" si="199" ref="AX200">AW202</f>
        <v>0</v>
      </c>
      <c s="125">
        <f ca="1" t="shared" si="200" ref="AY200">AX202</f>
        <v>0</v>
      </c>
      <c s="125">
        <f ca="1" t="shared" si="201" ref="AZ200">AY202</f>
        <v>0</v>
      </c>
      <c s="125">
        <f ca="1" t="shared" si="202" ref="BA200">AZ202</f>
        <v>0</v>
      </c>
      <c s="125">
        <f ca="1" t="shared" si="203" ref="BB200">BA202</f>
        <v>0</v>
      </c>
      <c s="125">
        <f ca="1" t="shared" si="204" ref="BC200">BB202</f>
        <v>0</v>
      </c>
      <c s="125">
        <f ca="1" t="shared" si="205" ref="BD200">BC202</f>
        <v>0</v>
      </c>
      <c s="125">
        <f ca="1" t="shared" si="206" ref="BE200">BD202</f>
        <v>0</v>
      </c>
      <c s="125">
        <f ca="1" t="shared" si="207" ref="BF200">BE202</f>
        <v>0</v>
      </c>
      <c s="125">
        <f ca="1" t="shared" si="208" ref="BG200">BF202</f>
        <v>0</v>
      </c>
      <c s="125">
        <f ca="1" t="shared" si="209" ref="BH200">BG202</f>
        <v>0</v>
      </c>
      <c s="125">
        <f ca="1" t="shared" si="210" ref="BI200">BH202</f>
        <v>0</v>
      </c>
      <c s="125">
        <f ca="1" t="shared" si="211" ref="BJ200">BI202</f>
        <v>0</v>
      </c>
      <c s="125">
        <f ca="1" t="shared" si="212" ref="BK200">BJ202</f>
        <v>0</v>
      </c>
      <c s="125">
        <f ca="1" t="shared" si="213" ref="BL200">BK202</f>
        <v>0</v>
      </c>
      <c s="125">
        <f ca="1" t="shared" si="214" ref="BM200">BL202</f>
        <v>0</v>
      </c>
    </row>
    <row r="201" spans="2:65" ht="15" customHeight="1">
      <c r="B201" s="12" t="s">
        <v>995</v>
      </c>
      <c s="124" t="s">
        <v>438</v>
      </c>
      <c s="276">
        <f ca="1">SUM(E201:BM201)</f>
        <v>0</v>
      </c>
      <c s="125">
        <f ca="1">SUM(E157,E176,E197)</f>
        <v>0</v>
      </c>
      <c s="125">
        <f ca="1" t="shared" si="215" ref="F201:AG201">SUM(F157,F176,F197)</f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t="shared" ca="1" si="215"/>
        <v>0</v>
      </c>
      <c s="125">
        <f ca="1" t="shared" si="216" ref="AH201:BM201">SUM(AH157,AH176,AH197)</f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  <c s="125">
        <f t="shared" ca="1" si="216"/>
        <v>0</v>
      </c>
    </row>
    <row r="202" spans="2:65" ht="15" customHeight="1">
      <c r="B202" s="289" t="s">
        <v>996</v>
      </c>
      <c s="290" t="s">
        <v>438</v>
      </c>
      <c s="291">
        <f ca="1">SUM(D200:D201)</f>
        <v>0</v>
      </c>
      <c s="276">
        <f ca="1" t="shared" si="217" ref="E202:AG202">SUM(E200:E201)</f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t="shared" ca="1" si="217"/>
        <v>0</v>
      </c>
      <c s="276">
        <f ca="1" t="shared" si="218" ref="AH202:BM202">SUM(AH200:AH201)</f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  <c s="276">
        <f t="shared" ca="1" si="218"/>
        <v>0</v>
      </c>
    </row>
    <row r="203" ht="15" customHeight="1"/>
    <row r="204" spans="2:4" ht="15" customHeight="1">
      <c r="B204" s="608" t="s">
        <v>997</v>
      </c>
      <c s="609"/>
      <c s="47" t="str">
        <f ca="1">IFERROR(IF(ROUND(MIN(OFFSET(E202,,,,MAX(SUM($E$12:$BM$12),1))),2)&lt;0,"Q","R"),"Q")</f>
        <v>R</v>
      </c>
    </row>
    <row r="205" spans="2:4" ht="15" customHeight="1">
      <c r="B205" s="608" t="s">
        <v>998</v>
      </c>
      <c s="609"/>
      <c s="47" t="str">
        <f ca="1">IFERROR(IF(ROUND(MIN(E202:BM202),2)&lt;0,"Q","R"),"Q")</f>
        <v>R</v>
      </c>
    </row>
    <row r="206" ht="15" customHeight="1"/>
    <row r="207" spans="2:71" ht="21">
      <c r="B207" s="23" t="s">
        <v>335</v>
      </c>
      <c r="D20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08" spans="2:71" ht="21">
      <c r="B208" s="24" t="s">
        <v>999</v>
      </c>
      <c r="D20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09" spans="2:65" ht="15" customHeight="1">
      <c r="B209" s="12" t="s">
        <v>1051</v>
      </c>
      <c s="124" t="str">
        <f t="shared" si="219" ref="C209:C218">Единица_измерения</f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0" spans="2:65" ht="15" customHeight="1">
      <c r="B210" s="22" t="s">
        <v>1052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1" spans="2:65" ht="15" customHeight="1">
      <c r="B211" s="22" t="s">
        <v>1053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2" spans="2:65" ht="15" customHeight="1">
      <c r="B212" s="22" t="s">
        <v>1054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3" spans="2:65" ht="15" customHeight="1">
      <c r="B213" s="22" t="s">
        <v>1001</v>
      </c>
      <c s="124" t="str">
        <f t="shared" si="219"/>
        <v>тыс. руб.</v>
      </c>
      <c s="125"/>
      <c s="345"/>
      <c s="170">
        <f t="shared" si="220" ref="F213:AK213">(E213-F136-F170/1.2-F161)*IF($K$3&lt;F8,0,1)</f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0"/>
        <v>0</v>
      </c>
      <c s="170">
        <f t="shared" si="221" ref="AL213:BM213">(AK213-AL136-AL170/1.2-AL161)*IF($K$3&lt;AL8,0,1)</f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  <c s="170">
        <f t="shared" si="221"/>
        <v>0</v>
      </c>
    </row>
    <row r="214" spans="2:65" ht="15" customHeight="1">
      <c r="B214" s="22" t="s">
        <v>1055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5" spans="2:65" ht="15" customHeight="1">
      <c r="B215" s="22" t="s">
        <v>1056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6" spans="2:65" ht="15" customHeight="1">
      <c r="B216" s="22" t="s">
        <v>1057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7" spans="2:65" ht="15" customHeight="1">
      <c r="B217" s="22" t="s">
        <v>1058</v>
      </c>
      <c s="124" t="str">
        <f t="shared" si="21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18" spans="2:65" ht="15" customHeight="1">
      <c r="B218" s="289" t="s">
        <v>1002</v>
      </c>
      <c s="290" t="str">
        <f t="shared" si="219"/>
        <v>тыс. руб.</v>
      </c>
      <c s="276"/>
      <c s="276">
        <f t="shared" si="222" ref="E218:AG218">SUM(E209:E217)</f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2"/>
        <v>0</v>
      </c>
      <c s="276">
        <f t="shared" si="223" ref="AH218:BM218">SUM(AH209:AH217)</f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  <c s="276">
        <f t="shared" si="223"/>
        <v>0</v>
      </c>
    </row>
    <row r="219" ht="15" customHeight="1"/>
    <row r="220" spans="2:71" ht="21">
      <c r="B220" s="24" t="s">
        <v>1003</v>
      </c>
      <c r="D22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21" spans="2:65" ht="15" customHeight="1">
      <c r="B221" s="12" t="s">
        <v>309</v>
      </c>
      <c s="124" t="str">
        <f t="shared" si="224" ref="C221:C228">Единица_измерения</f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22" spans="2:65" ht="15" customHeight="1">
      <c r="B222" s="22" t="s">
        <v>1004</v>
      </c>
      <c s="124" t="str">
        <f t="shared" si="224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23" spans="2:65" ht="15" customHeight="1">
      <c r="B223" s="22" t="s">
        <v>311</v>
      </c>
      <c s="124" t="str">
        <f t="shared" si="224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24" spans="2:65" ht="15" customHeight="1">
      <c r="B224" s="22" t="s">
        <v>1056</v>
      </c>
      <c s="124" t="str">
        <f t="shared" si="224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25" spans="2:65" ht="15" customHeight="1">
      <c r="B225" s="22" t="s">
        <v>1059</v>
      </c>
      <c s="124" t="str">
        <f t="shared" si="224"/>
        <v>тыс. руб.</v>
      </c>
      <c s="125"/>
      <c s="125">
        <f ca="1">Финансирование!E68*IF($K$3&lt;E8,0,1)</f>
        <v>0</v>
      </c>
      <c s="125">
        <f ca="1">Финансирование!F68*IF($K$3&lt;F8,0,1)</f>
        <v>0</v>
      </c>
      <c s="125">
        <f ca="1">Финансирование!G68*IF($K$3&lt;G8,0,1)</f>
        <v>0</v>
      </c>
      <c s="125">
        <f ca="1">Финансирование!H68*IF($K$3&lt;H8,0,1)</f>
        <v>0</v>
      </c>
      <c s="125">
        <f ca="1">Финансирование!I68*IF($K$3&lt;I8,0,1)</f>
        <v>0</v>
      </c>
      <c s="125">
        <f ca="1">Финансирование!J68*IF($K$3&lt;J8,0,1)</f>
        <v>0</v>
      </c>
      <c s="125">
        <f ca="1">Финансирование!K68*IF($K$3&lt;K8,0,1)</f>
        <v>0</v>
      </c>
      <c s="125">
        <f ca="1">Финансирование!L68*IF($K$3&lt;L8,0,1)</f>
        <v>0</v>
      </c>
      <c s="125">
        <f ca="1">Финансирование!M68*IF($K$3&lt;M8,0,1)</f>
        <v>0</v>
      </c>
      <c s="125">
        <f ca="1">Финансирование!N68*IF($K$3&lt;N8,0,1)</f>
        <v>0</v>
      </c>
      <c s="125">
        <f ca="1">Финансирование!O68*IF($K$3&lt;O8,0,1)</f>
        <v>0</v>
      </c>
      <c s="125">
        <f ca="1">Финансирование!P68*IF($K$3&lt;P8,0,1)</f>
        <v>0</v>
      </c>
      <c s="125">
        <f ca="1">Финансирование!Q68*IF($K$3&lt;Q8,0,1)</f>
        <v>0</v>
      </c>
      <c s="125">
        <f ca="1">Финансирование!R68*IF($K$3&lt;R8,0,1)</f>
        <v>0</v>
      </c>
      <c s="125">
        <f ca="1">Финансирование!S68*IF($K$3&lt;S8,0,1)</f>
        <v>0</v>
      </c>
      <c s="125">
        <f ca="1">Финансирование!T68*IF($K$3&lt;T8,0,1)</f>
        <v>0</v>
      </c>
      <c s="125">
        <f ca="1">Финансирование!U68*IF($K$3&lt;U8,0,1)</f>
        <v>0</v>
      </c>
      <c s="125">
        <f ca="1">Финансирование!V68*IF($K$3&lt;V8,0,1)</f>
        <v>0</v>
      </c>
      <c s="125">
        <f ca="1">Финансирование!W68*IF($K$3&lt;W8,0,1)</f>
        <v>0</v>
      </c>
      <c s="125">
        <f ca="1">Финансирование!X68*IF($K$3&lt;X8,0,1)</f>
        <v>0</v>
      </c>
      <c s="125">
        <f ca="1">Финансирование!Y68*IF($K$3&lt;Y8,0,1)</f>
        <v>0</v>
      </c>
      <c s="125">
        <f ca="1">Финансирование!Z68*IF($K$3&lt;Z8,0,1)</f>
        <v>0</v>
      </c>
      <c s="125">
        <f ca="1">Финансирование!AA68*IF($K$3&lt;AA8,0,1)</f>
        <v>0</v>
      </c>
      <c s="125">
        <f ca="1">Финансирование!AB68*IF($K$3&lt;AB8,0,1)</f>
        <v>0</v>
      </c>
      <c s="125">
        <f ca="1">Финансирование!AC68*IF($K$3&lt;AC8,0,1)</f>
        <v>0</v>
      </c>
      <c s="125">
        <f ca="1">Финансирование!AD68*IF($K$3&lt;AD8,0,1)</f>
        <v>0</v>
      </c>
      <c s="125">
        <f ca="1">Финансирование!AE68*IF($K$3&lt;AE8,0,1)</f>
        <v>0</v>
      </c>
      <c s="125">
        <f ca="1">Финансирование!AF68*IF($K$3&lt;AF8,0,1)</f>
        <v>0</v>
      </c>
      <c s="125">
        <f ca="1">Финансирование!AG68*IF($K$3&lt;AG8,0,1)</f>
        <v>0</v>
      </c>
      <c s="125">
        <f ca="1">Финансирование!AH68*IF($K$3&lt;AH8,0,1)</f>
        <v>0</v>
      </c>
      <c s="125">
        <f ca="1">Финансирование!AI68*IF($K$3&lt;AI8,0,1)</f>
        <v>0</v>
      </c>
      <c s="125">
        <f ca="1">Финансирование!AJ68*IF($K$3&lt;AJ8,0,1)</f>
        <v>0</v>
      </c>
      <c s="125">
        <f ca="1">Финансирование!AK68*IF($K$3&lt;AK8,0,1)</f>
        <v>0</v>
      </c>
      <c s="125">
        <f ca="1">Финансирование!AL68*IF($K$3&lt;AL8,0,1)</f>
        <v>0</v>
      </c>
      <c s="125">
        <f ca="1">Финансирование!AM68*IF($K$3&lt;AM8,0,1)</f>
        <v>0</v>
      </c>
      <c s="125">
        <f ca="1">Финансирование!AN68*IF($K$3&lt;AN8,0,1)</f>
        <v>0</v>
      </c>
      <c s="125">
        <f ca="1">Финансирование!AO68*IF($K$3&lt;AO8,0,1)</f>
        <v>0</v>
      </c>
      <c s="125">
        <f ca="1">Финансирование!AP68*IF($K$3&lt;AP8,0,1)</f>
        <v>0</v>
      </c>
      <c s="125">
        <f ca="1">Финансирование!AQ68*IF($K$3&lt;AQ8,0,1)</f>
        <v>0</v>
      </c>
      <c s="125">
        <f ca="1">Финансирование!AR68*IF($K$3&lt;AR8,0,1)</f>
        <v>0</v>
      </c>
      <c s="125">
        <f ca="1">Финансирование!AS68*IF($K$3&lt;AS8,0,1)</f>
        <v>0</v>
      </c>
      <c s="125">
        <f ca="1">Финансирование!AT68*IF($K$3&lt;AT8,0,1)</f>
        <v>0</v>
      </c>
      <c s="125">
        <f ca="1">Финансирование!AU68*IF($K$3&lt;AU8,0,1)</f>
        <v>0</v>
      </c>
      <c s="125">
        <f ca="1">Финансирование!AV68*IF($K$3&lt;AV8,0,1)</f>
        <v>0</v>
      </c>
      <c s="125">
        <f ca="1">Финансирование!AW68*IF($K$3&lt;AW8,0,1)</f>
        <v>0</v>
      </c>
      <c s="125">
        <f ca="1">Финансирование!AX68*IF($K$3&lt;AX8,0,1)</f>
        <v>0</v>
      </c>
      <c s="125">
        <f ca="1">Финансирование!AY68*IF($K$3&lt;AY8,0,1)</f>
        <v>0</v>
      </c>
      <c s="125">
        <f ca="1">Финансирование!AZ68*IF($K$3&lt;AZ8,0,1)</f>
        <v>0</v>
      </c>
      <c s="125">
        <f ca="1">Финансирование!BA68*IF($K$3&lt;BA8,0,1)</f>
        <v>0</v>
      </c>
      <c s="125">
        <f ca="1">Финансирование!BB68*IF($K$3&lt;BB8,0,1)</f>
        <v>0</v>
      </c>
      <c s="125">
        <f ca="1">Финансирование!BC68*IF($K$3&lt;BC8,0,1)</f>
        <v>0</v>
      </c>
      <c s="125">
        <f ca="1">Финансирование!BD68*IF($K$3&lt;BD8,0,1)</f>
        <v>0</v>
      </c>
      <c s="125">
        <f ca="1">Финансирование!BE68*IF($K$3&lt;BE8,0,1)</f>
        <v>0</v>
      </c>
      <c s="125">
        <f ca="1">Финансирование!BF68*IF($K$3&lt;BF8,0,1)</f>
        <v>0</v>
      </c>
      <c s="125">
        <f ca="1">Финансирование!BG68*IF($K$3&lt;BG8,0,1)</f>
        <v>0</v>
      </c>
      <c s="125">
        <f ca="1">Финансирование!BH68*IF($K$3&lt;BH8,0,1)</f>
        <v>0</v>
      </c>
      <c s="125">
        <f ca="1">Финансирование!BI68*IF($K$3&lt;BI8,0,1)</f>
        <v>0</v>
      </c>
      <c s="125">
        <f ca="1">Финансирование!BJ68*IF($K$3&lt;BJ8,0,1)</f>
        <v>0</v>
      </c>
      <c s="125">
        <f ca="1">Финансирование!BK68*IF($K$3&lt;BK8,0,1)</f>
        <v>0</v>
      </c>
      <c s="125">
        <f ca="1">Финансирование!BL68*IF($K$3&lt;BL8,0,1)</f>
        <v>0</v>
      </c>
      <c s="125">
        <f ca="1">Финансирование!BM68*IF($K$3&lt;BM8,0,1)</f>
        <v>0</v>
      </c>
    </row>
    <row r="226" spans="2:65" ht="15" customHeight="1">
      <c r="B226" s="22" t="s">
        <v>1060</v>
      </c>
      <c s="124" t="str">
        <f t="shared" si="224"/>
        <v>тыс. руб.</v>
      </c>
      <c s="125"/>
      <c s="125">
        <f ca="1" t="shared" si="225" ref="E226:AJ226">E202*IF($K$3&lt;E8,0,1)</f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t="shared" ca="1" si="225"/>
        <v>0</v>
      </c>
      <c s="125">
        <f ca="1" t="shared" si="226" ref="AK226:BM226">AK202*IF($K$3&lt;AK8,0,1)</f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  <c s="125">
        <f t="shared" ca="1" si="226"/>
        <v>0</v>
      </c>
    </row>
    <row r="227" spans="2:65" ht="15" customHeight="1">
      <c r="B227" s="22" t="s">
        <v>1061</v>
      </c>
      <c s="124" t="str">
        <f t="shared" si="224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28" spans="2:65" ht="15" customHeight="1">
      <c r="B228" s="289" t="s">
        <v>1006</v>
      </c>
      <c s="290" t="str">
        <f t="shared" si="224"/>
        <v>тыс. руб.</v>
      </c>
      <c s="276"/>
      <c s="276">
        <f ca="1">SUM(E221:E227)</f>
        <v>0</v>
      </c>
      <c s="276">
        <f ca="1" t="shared" si="227" ref="F228:AG228">SUM(F221:F227)</f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t="shared" ca="1" si="227"/>
        <v>0</v>
      </c>
      <c s="276">
        <f ca="1" t="shared" si="228" ref="AH228:BM228">SUM(AH221:AH227)</f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  <c s="276">
        <f t="shared" ca="1" si="228"/>
        <v>0</v>
      </c>
    </row>
    <row r="229" ht="15" customHeight="1"/>
    <row r="230" spans="2:65" ht="15" customHeight="1">
      <c r="B230" s="292" t="s">
        <v>1007</v>
      </c>
      <c s="293" t="str">
        <f>Единица_измерения</f>
        <v>тыс. руб.</v>
      </c>
      <c s="291"/>
      <c s="291">
        <f ca="1">SUM(E218,E228)</f>
        <v>0</v>
      </c>
      <c s="291">
        <f ca="1" t="shared" si="229" ref="F230:BM230">SUM(F218,F228)</f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  <c s="291">
        <f t="shared" ca="1" si="229"/>
        <v>0</v>
      </c>
    </row>
    <row r="231" ht="15" customHeight="1"/>
    <row r="232" spans="2:71" ht="21">
      <c r="B232" s="24" t="s">
        <v>1062</v>
      </c>
      <c r="D23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3" spans="2:65" ht="15" customHeight="1">
      <c r="B233" s="12" t="s">
        <v>1063</v>
      </c>
      <c s="124" t="str">
        <f t="shared" si="230" ref="C233:C239">Единица_измерения</f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34" spans="2:65" ht="15" customHeight="1">
      <c r="B234" s="22" t="s">
        <v>1064</v>
      </c>
      <c s="124" t="str">
        <f t="shared" si="230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35" spans="2:65" ht="15" customHeight="1">
      <c r="B235" s="22" t="s">
        <v>1065</v>
      </c>
      <c s="124" t="str">
        <f t="shared" si="230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36" spans="2:65" ht="15" customHeight="1">
      <c r="B236" s="22" t="s">
        <v>1066</v>
      </c>
      <c s="124" t="str">
        <f t="shared" si="230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37" spans="2:65" ht="15" customHeight="1">
      <c r="B237" s="22" t="s">
        <v>1067</v>
      </c>
      <c s="124" t="str">
        <f t="shared" si="230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38" spans="2:65" ht="15" customHeight="1">
      <c r="B238" s="22" t="s">
        <v>1009</v>
      </c>
      <c s="124" t="str">
        <f t="shared" si="230"/>
        <v>тыс. руб.</v>
      </c>
      <c s="125"/>
      <c s="345"/>
      <c s="170">
        <f t="shared" si="231" ref="F238:AK238">(E238+F132+F191)*IF($K$3&lt;F8,0,1)</f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1"/>
        <v>0</v>
      </c>
      <c s="170">
        <f t="shared" si="232" ref="AL238:BM238">(AK238+AL132+AL191)*IF($K$3&lt;AL8,0,1)</f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  <c s="170">
        <f t="shared" si="232"/>
        <v>0</v>
      </c>
    </row>
    <row r="239" spans="2:65" ht="15" customHeight="1">
      <c r="B239" s="289" t="s">
        <v>1068</v>
      </c>
      <c s="290" t="str">
        <f t="shared" si="230"/>
        <v>тыс. руб.</v>
      </c>
      <c s="276"/>
      <c s="276">
        <f t="shared" si="233" ref="E239:AG239">SUM(E233:E238)</f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3"/>
        <v>0</v>
      </c>
      <c s="276">
        <f t="shared" si="234" ref="AH239:BM239">SUM(AH233:AH238)</f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  <c s="276">
        <f t="shared" si="234"/>
        <v>0</v>
      </c>
    </row>
    <row r="240" ht="15" customHeight="1"/>
    <row r="241" spans="2:71" ht="21">
      <c r="B241" s="24" t="s">
        <v>1069</v>
      </c>
      <c r="D24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42" spans="2:65" ht="15" customHeight="1">
      <c r="B242" s="12" t="s">
        <v>1012</v>
      </c>
      <c s="124" t="str">
        <f>Единица_измерения</f>
        <v>тыс. руб.</v>
      </c>
      <c s="125"/>
      <c s="345"/>
      <c s="170">
        <f t="shared" si="235" ref="F242:AK242">(E242+F182+F194)*IF($K$3&lt;F8,0,1)</f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6" ref="AL242:BM242">(AK242+AL182+AL194)*IF($K$3&lt;AL8,0,1)</f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</row>
    <row r="243" spans="2:65" ht="15" customHeight="1">
      <c r="B243" s="22" t="s">
        <v>1070</v>
      </c>
      <c s="124" t="str">
        <f>Единица_измерения</f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44" spans="2:65" ht="15" customHeight="1">
      <c r="B244" s="22" t="s">
        <v>1071</v>
      </c>
      <c s="124" t="str">
        <f>Единица_измерения</f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45" spans="2:65" ht="15" customHeight="1">
      <c r="B245" s="22" t="s">
        <v>1072</v>
      </c>
      <c s="124" t="str">
        <f>Единица_измерения</f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46" spans="2:65" ht="15" customHeight="1">
      <c r="B246" s="289" t="s">
        <v>1073</v>
      </c>
      <c s="290" t="str">
        <f>Единица_измерения</f>
        <v>тыс. руб.</v>
      </c>
      <c s="276"/>
      <c s="276">
        <f t="shared" si="237" ref="E246:AG246">SUM(E242:E245)</f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7"/>
        <v>0</v>
      </c>
      <c s="276">
        <f t="shared" si="238" ref="AH246:BM246">SUM(AH242:AH245)</f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  <c s="276">
        <f t="shared" si="238"/>
        <v>0</v>
      </c>
    </row>
    <row r="247" ht="15" customHeight="1"/>
    <row r="248" spans="2:71" ht="21">
      <c r="B248" s="24" t="s">
        <v>1074</v>
      </c>
      <c r="D24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49" spans="2:65" ht="15" customHeight="1">
      <c r="B249" s="12" t="s">
        <v>1012</v>
      </c>
      <c s="124" t="str">
        <f t="shared" si="239" ref="C249:C254">Единица_измерения</f>
        <v>тыс. руб.</v>
      </c>
      <c s="125"/>
      <c s="345"/>
      <c s="170">
        <f t="shared" si="240" ref="F249:AK249">(E249+F181+F193)*IF($K$3&lt;F8,0,1)</f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1" ref="AL249:BM249">(AK249+AL181+AL193)*IF($K$3&lt;AL8,0,1)</f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</row>
    <row r="250" spans="2:65" ht="15" customHeight="1">
      <c r="B250" s="22" t="s">
        <v>313</v>
      </c>
      <c s="124" t="str">
        <f t="shared" si="23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51" spans="2:65" ht="15" customHeight="1">
      <c r="B251" s="22" t="s">
        <v>1075</v>
      </c>
      <c s="124" t="str">
        <f t="shared" si="23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52" spans="2:65" ht="15" customHeight="1">
      <c r="B252" s="22" t="s">
        <v>1071</v>
      </c>
      <c s="124" t="str">
        <f t="shared" si="23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53" spans="2:65" ht="15" customHeight="1">
      <c r="B253" s="22" t="s">
        <v>1072</v>
      </c>
      <c s="124" t="str">
        <f t="shared" si="239"/>
        <v>тыс. руб.</v>
      </c>
      <c s="12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  <c s="345"/>
    </row>
    <row r="254" spans="2:65" ht="15" customHeight="1">
      <c r="B254" s="289" t="s">
        <v>1076</v>
      </c>
      <c s="290" t="str">
        <f t="shared" si="239"/>
        <v>тыс. руб.</v>
      </c>
      <c s="276"/>
      <c s="276">
        <f t="shared" si="242" ref="E254:AG254">SUM(E249:E253)</f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2"/>
        <v>0</v>
      </c>
      <c s="276">
        <f t="shared" si="243" ref="AH254:BM254">SUM(AH249:AH253)</f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  <c s="276">
        <f t="shared" si="243"/>
        <v>0</v>
      </c>
    </row>
    <row r="255" ht="15" customHeight="1"/>
    <row r="256" spans="2:65" ht="15" customHeight="1">
      <c r="B256" s="292" t="s">
        <v>1014</v>
      </c>
      <c s="293" t="str">
        <f>Единица_измерения</f>
        <v>тыс. руб.</v>
      </c>
      <c s="291"/>
      <c s="291">
        <f>SUM(E239,E246,E254)</f>
        <v>0</v>
      </c>
      <c s="291">
        <f t="shared" si="244" ref="F256:BM256">SUM(F239,F246,F254)</f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  <c s="291">
        <f t="shared" si="244"/>
        <v>0</v>
      </c>
    </row>
    <row r="257" ht="15" customHeight="1"/>
    <row r="258" spans="2:65" ht="15" customHeight="1">
      <c r="B258" s="12" t="s">
        <v>1015</v>
      </c>
      <c s="124"/>
      <c s="125"/>
      <c s="125">
        <f ca="1">ROUND(E230-E256,1)</f>
        <v>0</v>
      </c>
      <c s="125">
        <f ca="1" t="shared" si="245" ref="F258:BM258">ROUND(F230-F256,1)</f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  <c s="125">
        <f t="shared" ca="1" si="245"/>
        <v>0</v>
      </c>
    </row>
    <row r="259" spans="6:65" ht="15" customHeight="1">
      <c r="F259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260" spans="2:4" ht="15" customHeight="1">
      <c r="B260" s="608" t="s">
        <v>1016</v>
      </c>
      <c s="609"/>
      <c s="47" t="str">
        <f ca="1">IFERROR(IF(COUNTIF(OFFSET(E258,,,,MAX(SUM($E$12:$BM$12),1)),"&lt;&gt;0")&gt;0,"Q","R"),"Q")</f>
        <v>R</v>
      </c>
    </row>
    <row r="261" spans="2:4" ht="15" customHeight="1">
      <c r="B261" s="608" t="s">
        <v>1017</v>
      </c>
      <c s="609"/>
      <c s="47" t="str">
        <f ca="1">IFERROR(IF(COUNTIF(E258:BM258,"&lt;&gt;0")&gt;0,"Q","R"),"Q")</f>
        <v>R</v>
      </c>
    </row>
    <row r="262" ht="15" customHeight="1"/>
    <row r="263" spans="2:2" ht="31.15">
      <c r="B263" s="7" t="s">
        <v>1077</v>
      </c>
    </row>
    <row r="264" spans="2:71" ht="21">
      <c r="B264" s="23" t="s">
        <v>326</v>
      </c>
      <c r="D26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65" spans="2:65" ht="15" customHeight="1">
      <c r="B265" s="12" t="s">
        <v>273</v>
      </c>
      <c s="124" t="str">
        <f t="shared" si="246" ref="C265:C278">Единица_измерения</f>
        <v>тыс. руб.</v>
      </c>
      <c s="276">
        <f>SUM(E265:BM265)</f>
        <v>0</v>
      </c>
      <c s="125">
        <f>SUM('Квартальная отчетность'!E16,'Квартальная отчетность'!E117)</f>
        <v>0</v>
      </c>
      <c s="125">
        <f>SUM('Квартальная отчетность'!F16,'Квартальная отчетность'!F117)</f>
        <v>0</v>
      </c>
      <c s="125">
        <f>SUM('Квартальная отчетность'!G16,'Квартальная отчетность'!G117)</f>
        <v>0</v>
      </c>
      <c s="125">
        <f>SUM('Квартальная отчетность'!H16,'Квартальная отчетность'!H117)</f>
        <v>0</v>
      </c>
      <c s="125">
        <f>SUM('Квартальная отчетность'!I16,'Квартальная отчетность'!I117)</f>
        <v>0</v>
      </c>
      <c s="125">
        <f>SUM('Квартальная отчетность'!J16,'Квартальная отчетность'!J117)</f>
        <v>0</v>
      </c>
      <c s="125">
        <f>SUM('Квартальная отчетность'!K16,'Квартальная отчетность'!K117)</f>
        <v>0</v>
      </c>
      <c s="125">
        <f>SUM('Квартальная отчетность'!L16,'Квартальная отчетность'!L117)</f>
        <v>0</v>
      </c>
      <c s="125">
        <f>SUM('Квартальная отчетность'!M16,'Квартальная отчетность'!M117)</f>
        <v>0</v>
      </c>
      <c s="125">
        <f>SUM('Квартальная отчетность'!N16,'Квартальная отчетность'!N117)</f>
        <v>0</v>
      </c>
      <c s="125">
        <f>SUM('Квартальная отчетность'!O16,'Квартальная отчетность'!O117)</f>
        <v>0</v>
      </c>
      <c s="125">
        <f>SUM('Квартальная отчетность'!P16,'Квартальная отчетность'!P117)</f>
        <v>0</v>
      </c>
      <c s="125">
        <f>SUM('Квартальная отчетность'!Q16,'Квартальная отчетность'!Q117)</f>
        <v>0</v>
      </c>
      <c s="125">
        <f>SUM('Квартальная отчетность'!R16,'Квартальная отчетность'!R117)</f>
        <v>0</v>
      </c>
      <c s="125">
        <f>SUM('Квартальная отчетность'!S16,'Квартальная отчетность'!S117)</f>
        <v>0</v>
      </c>
      <c s="125">
        <f>SUM('Квартальная отчетность'!T16,'Квартальная отчетность'!T117)</f>
        <v>0</v>
      </c>
      <c s="125">
        <f>SUM('Квартальная отчетность'!U16,'Квартальная отчетность'!U117)</f>
        <v>0</v>
      </c>
      <c s="125">
        <f>SUM('Квартальная отчетность'!V16,'Квартальная отчетность'!V117)</f>
        <v>0</v>
      </c>
      <c s="125">
        <f>SUM('Квартальная отчетность'!W16,'Квартальная отчетность'!W117)</f>
        <v>0</v>
      </c>
      <c s="125">
        <f>SUM('Квартальная отчетность'!X16,'Квартальная отчетность'!X117)</f>
        <v>0</v>
      </c>
      <c s="125">
        <f>SUM('Квартальная отчетность'!Y16,'Квартальная отчетность'!Y117)</f>
        <v>0</v>
      </c>
      <c s="125">
        <f>SUM('Квартальная отчетность'!Z16,'Квартальная отчетность'!Z117)</f>
        <v>0</v>
      </c>
      <c s="125">
        <f>SUM('Квартальная отчетность'!AA16,'Квартальная отчетность'!AA117)</f>
        <v>0</v>
      </c>
      <c s="125">
        <f>SUM('Квартальная отчетность'!AB16,'Квартальная отчетность'!AB117)</f>
        <v>0</v>
      </c>
      <c s="125">
        <f>SUM('Квартальная отчетность'!AC16,'Квартальная отчетность'!AC117)</f>
        <v>0</v>
      </c>
      <c s="125">
        <f>SUM('Квартальная отчетность'!AD16,'Квартальная отчетность'!AD117)</f>
        <v>0</v>
      </c>
      <c s="125">
        <f>SUM('Квартальная отчетность'!AE16,'Квартальная отчетность'!AE117)</f>
        <v>0</v>
      </c>
      <c s="125">
        <f>SUM('Квартальная отчетность'!AF16,'Квартальная отчетность'!AF117)</f>
        <v>0</v>
      </c>
      <c s="125">
        <f>SUM('Квартальная отчетность'!AG16,'Квартальная отчетность'!AG117)</f>
        <v>0</v>
      </c>
      <c s="125">
        <f>SUM('Квартальная отчетность'!AH16,'Квартальная отчетность'!AH117)</f>
        <v>0</v>
      </c>
      <c s="125">
        <f>SUM('Квартальная отчетность'!AI16,'Квартальная отчетность'!AI117)</f>
        <v>0</v>
      </c>
      <c s="125">
        <f>SUM('Квартальная отчетность'!AJ16,'Квартальная отчетность'!AJ117)</f>
        <v>0</v>
      </c>
      <c s="125">
        <f>SUM('Квартальная отчетность'!AK16,'Квартальная отчетность'!AK117)</f>
        <v>0</v>
      </c>
      <c s="125">
        <f>SUM('Квартальная отчетность'!AL16,'Квартальная отчетность'!AL117)</f>
        <v>0</v>
      </c>
      <c s="125">
        <f>SUM('Квартальная отчетность'!AM16,'Квартальная отчетность'!AM117)</f>
        <v>0</v>
      </c>
      <c s="125">
        <f>SUM('Квартальная отчетность'!AN16,'Квартальная отчетность'!AN117)</f>
        <v>0</v>
      </c>
      <c s="125">
        <f>SUM('Квартальная отчетность'!AO16,'Квартальная отчетность'!AO117)</f>
        <v>0</v>
      </c>
      <c s="125">
        <f>SUM('Квартальная отчетность'!AP16,'Квартальная отчетность'!AP117)</f>
        <v>0</v>
      </c>
      <c s="125">
        <f>SUM('Квартальная отчетность'!AQ16,'Квартальная отчетность'!AQ117)</f>
        <v>0</v>
      </c>
      <c s="125">
        <f>SUM('Квартальная отчетность'!AR16,'Квартальная отчетность'!AR117)</f>
        <v>0</v>
      </c>
      <c s="125">
        <f>SUM('Квартальная отчетность'!AS16,'Квартальная отчетность'!AS117)</f>
        <v>0</v>
      </c>
      <c s="125">
        <f>SUM('Квартальная отчетность'!AT16,'Квартальная отчетность'!AT117)</f>
        <v>0</v>
      </c>
      <c s="125">
        <f>SUM('Квартальная отчетность'!AU16,'Квартальная отчетность'!AU117)</f>
        <v>0</v>
      </c>
      <c s="125">
        <f>SUM('Квартальная отчетность'!AV16,'Квартальная отчетность'!AV117)</f>
        <v>0</v>
      </c>
      <c s="125">
        <f>SUM('Квартальная отчетность'!AW16,'Квартальная отчетность'!AW117)</f>
        <v>0</v>
      </c>
      <c s="125">
        <f>SUM('Квартальная отчетность'!AX16,'Квартальная отчетность'!AX117)</f>
        <v>0</v>
      </c>
      <c s="125">
        <f>SUM('Квартальная отчетность'!AY16,'Квартальная отчетность'!AY117)</f>
        <v>0</v>
      </c>
      <c s="125">
        <f>SUM('Квартальная отчетность'!AZ16,'Квартальная отчетность'!AZ117)</f>
        <v>0</v>
      </c>
      <c s="125">
        <f>SUM('Квартальная отчетность'!BA16,'Квартальная отчетность'!BA117)</f>
        <v>0</v>
      </c>
      <c s="125">
        <f>SUM('Квартальная отчетность'!BB16,'Квартальная отчетность'!BB117)</f>
        <v>0</v>
      </c>
      <c s="125">
        <f>SUM('Квартальная отчетность'!BC16,'Квартальная отчетность'!BC117)</f>
        <v>0</v>
      </c>
      <c s="125">
        <f>SUM('Квартальная отчетность'!BD16,'Квартальная отчетность'!BD117)</f>
        <v>0</v>
      </c>
      <c s="125">
        <f>SUM('Квартальная отчетность'!BE16,'Квартальная отчетность'!BE117)</f>
        <v>0</v>
      </c>
      <c s="125">
        <f>SUM('Квартальная отчетность'!BF16,'Квартальная отчетность'!BF117)</f>
        <v>0</v>
      </c>
      <c s="125">
        <f>SUM('Квартальная отчетность'!BG16,'Квартальная отчетность'!BG117)</f>
        <v>0</v>
      </c>
      <c s="125">
        <f>SUM('Квартальная отчетность'!BH16,'Квартальная отчетность'!BH117)</f>
        <v>0</v>
      </c>
      <c s="125">
        <f>SUM('Квартальная отчетность'!BI16,'Квартальная отчетность'!BI117)</f>
        <v>0</v>
      </c>
      <c s="125">
        <f>SUM('Квартальная отчетность'!BJ16,'Квартальная отчетность'!BJ117)</f>
        <v>0</v>
      </c>
      <c s="125">
        <f>SUM('Квартальная отчетность'!BK16,'Квартальная отчетность'!BK117)</f>
        <v>0</v>
      </c>
      <c s="125">
        <f>SUM('Квартальная отчетность'!BL16,'Квартальная отчетность'!BL117)</f>
        <v>0</v>
      </c>
      <c s="125">
        <f>SUM('Квартальная отчетность'!BM16,'Квартальная отчетность'!BM117)</f>
        <v>0</v>
      </c>
    </row>
    <row r="266" spans="2:65" ht="15" customHeight="1">
      <c r="B266" s="22" t="s">
        <v>972</v>
      </c>
      <c s="124" t="str">
        <f t="shared" si="246"/>
        <v>тыс. руб.</v>
      </c>
      <c s="276">
        <f ca="1">SUM(E266:BM266)</f>
        <v>0</v>
      </c>
      <c s="125">
        <f>SUM('Квартальная отчетность'!E17,'Квартальная отчетность'!E118)</f>
        <v>0</v>
      </c>
      <c s="125">
        <f ca="1">SUM('Квартальная отчетность'!F17,'Квартальная отчетность'!F118)</f>
        <v>0</v>
      </c>
      <c s="125">
        <f ca="1">SUM('Квартальная отчетность'!G17,'Квартальная отчетность'!G118)</f>
        <v>0</v>
      </c>
      <c s="125">
        <f ca="1">SUM('Квартальная отчетность'!H17,'Квартальная отчетность'!H118)</f>
        <v>0</v>
      </c>
      <c s="125">
        <f ca="1">SUM('Квартальная отчетность'!I17,'Квартальная отчетность'!I118)</f>
        <v>0</v>
      </c>
      <c s="125">
        <f ca="1">SUM('Квартальная отчетность'!J17,'Квартальная отчетность'!J118)</f>
        <v>0</v>
      </c>
      <c s="125">
        <f ca="1">SUM('Квартальная отчетность'!K17,'Квартальная отчетность'!K118)</f>
        <v>0</v>
      </c>
      <c s="125">
        <f ca="1">SUM('Квартальная отчетность'!L17,'Квартальная отчетность'!L118)</f>
        <v>0</v>
      </c>
      <c s="125">
        <f ca="1">SUM('Квартальная отчетность'!M17,'Квартальная отчетность'!M118)</f>
        <v>0</v>
      </c>
      <c s="125">
        <f ca="1">SUM('Квартальная отчетность'!N17,'Квартальная отчетность'!N118)</f>
        <v>0</v>
      </c>
      <c s="125">
        <f ca="1">SUM('Квартальная отчетность'!O17,'Квартальная отчетность'!O118)</f>
        <v>0</v>
      </c>
      <c s="125">
        <f ca="1">SUM('Квартальная отчетность'!P17,'Квартальная отчетность'!P118)</f>
        <v>0</v>
      </c>
      <c s="125">
        <f ca="1">SUM('Квартальная отчетность'!Q17,'Квартальная отчетность'!Q118)</f>
        <v>0</v>
      </c>
      <c s="125">
        <f ca="1">SUM('Квартальная отчетность'!R17,'Квартальная отчетность'!R118)</f>
        <v>0</v>
      </c>
      <c s="125">
        <f ca="1">SUM('Квартальная отчетность'!S17,'Квартальная отчетность'!S118)</f>
        <v>0</v>
      </c>
      <c s="125">
        <f ca="1">SUM('Квартальная отчетность'!T17,'Квартальная отчетность'!T118)</f>
        <v>0</v>
      </c>
      <c s="125">
        <f ca="1">SUM('Квартальная отчетность'!U17,'Квартальная отчетность'!U118)</f>
        <v>0</v>
      </c>
      <c s="125">
        <f ca="1">SUM('Квартальная отчетность'!V17,'Квартальная отчетность'!V118)</f>
        <v>0</v>
      </c>
      <c s="125">
        <f ca="1">SUM('Квартальная отчетность'!W17,'Квартальная отчетность'!W118)</f>
        <v>0</v>
      </c>
      <c s="125">
        <f ca="1">SUM('Квартальная отчетность'!X17,'Квартальная отчетность'!X118)</f>
        <v>0</v>
      </c>
      <c s="125">
        <f ca="1">SUM('Квартальная отчетность'!Y17,'Квартальная отчетность'!Y118)</f>
        <v>0</v>
      </c>
      <c s="125">
        <f ca="1">SUM('Квартальная отчетность'!Z17,'Квартальная отчетность'!Z118)</f>
        <v>0</v>
      </c>
      <c s="125">
        <f ca="1">SUM('Квартальная отчетность'!AA17,'Квартальная отчетность'!AA118)</f>
        <v>0</v>
      </c>
      <c s="125">
        <f ca="1">SUM('Квартальная отчетность'!AB17,'Квартальная отчетность'!AB118)</f>
        <v>0</v>
      </c>
      <c s="125">
        <f ca="1">SUM('Квартальная отчетность'!AC17,'Квартальная отчетность'!AC118)</f>
        <v>0</v>
      </c>
      <c s="125">
        <f ca="1">SUM('Квартальная отчетность'!AD17,'Квартальная отчетность'!AD118)</f>
        <v>0</v>
      </c>
      <c s="125">
        <f ca="1">SUM('Квартальная отчетность'!AE17,'Квартальная отчетность'!AE118)</f>
        <v>0</v>
      </c>
      <c s="125">
        <f ca="1">SUM('Квартальная отчетность'!AF17,'Квартальная отчетность'!AF118)</f>
        <v>0</v>
      </c>
      <c s="125">
        <f ca="1">SUM('Квартальная отчетность'!AG17,'Квартальная отчетность'!AG118)</f>
        <v>0</v>
      </c>
      <c s="125">
        <f ca="1">SUM('Квартальная отчетность'!AH17,'Квартальная отчетность'!AH118)</f>
        <v>0</v>
      </c>
      <c s="125">
        <f ca="1">SUM('Квартальная отчетность'!AI17,'Квартальная отчетность'!AI118)</f>
        <v>0</v>
      </c>
      <c s="125">
        <f ca="1">SUM('Квартальная отчетность'!AJ17,'Квартальная отчетность'!AJ118)</f>
        <v>0</v>
      </c>
      <c s="125">
        <f ca="1">SUM('Квартальная отчетность'!AK17,'Квартальная отчетность'!AK118)</f>
        <v>0</v>
      </c>
      <c s="125">
        <f ca="1">SUM('Квартальная отчетность'!AL17,'Квартальная отчетность'!AL118)</f>
        <v>0</v>
      </c>
      <c s="125">
        <f ca="1">SUM('Квартальная отчетность'!AM17,'Квартальная отчетность'!AM118)</f>
        <v>0</v>
      </c>
      <c s="125">
        <f ca="1">SUM('Квартальная отчетность'!AN17,'Квартальная отчетность'!AN118)</f>
        <v>0</v>
      </c>
      <c s="125">
        <f ca="1">SUM('Квартальная отчетность'!AO17,'Квартальная отчетность'!AO118)</f>
        <v>0</v>
      </c>
      <c s="125">
        <f ca="1">SUM('Квартальная отчетность'!AP17,'Квартальная отчетность'!AP118)</f>
        <v>0</v>
      </c>
      <c s="125">
        <f ca="1">SUM('Квартальная отчетность'!AQ17,'Квартальная отчетность'!AQ118)</f>
        <v>0</v>
      </c>
      <c s="125">
        <f ca="1">SUM('Квартальная отчетность'!AR17,'Квартальная отчетность'!AR118)</f>
        <v>0</v>
      </c>
      <c s="125">
        <f ca="1">SUM('Квартальная отчетность'!AS17,'Квартальная отчетность'!AS118)</f>
        <v>0</v>
      </c>
      <c s="125">
        <f ca="1">SUM('Квартальная отчетность'!AT17,'Квартальная отчетность'!AT118)</f>
        <v>0</v>
      </c>
      <c s="125">
        <f ca="1">SUM('Квартальная отчетность'!AU17,'Квартальная отчетность'!AU118)</f>
        <v>0</v>
      </c>
      <c s="125">
        <f ca="1">SUM('Квартальная отчетность'!AV17,'Квартальная отчетность'!AV118)</f>
        <v>0</v>
      </c>
      <c s="125">
        <f ca="1">SUM('Квартальная отчетность'!AW17,'Квартальная отчетность'!AW118)</f>
        <v>0</v>
      </c>
      <c s="125">
        <f ca="1">SUM('Квартальная отчетность'!AX17,'Квартальная отчетность'!AX118)</f>
        <v>0</v>
      </c>
      <c s="125">
        <f ca="1">SUM('Квартальная отчетность'!AY17,'Квартальная отчетность'!AY118)</f>
        <v>0</v>
      </c>
      <c s="125">
        <f ca="1">SUM('Квартальная отчетность'!AZ17,'Квартальная отчетность'!AZ118)</f>
        <v>0</v>
      </c>
      <c s="125">
        <f ca="1">SUM('Квартальная отчетность'!BA17,'Квартальная отчетность'!BA118)</f>
        <v>0</v>
      </c>
      <c s="125">
        <f ca="1">SUM('Квартальная отчетность'!BB17,'Квартальная отчетность'!BB118)</f>
        <v>0</v>
      </c>
      <c s="125">
        <f ca="1">SUM('Квартальная отчетность'!BC17,'Квартальная отчетность'!BC118)</f>
        <v>0</v>
      </c>
      <c s="125">
        <f ca="1">SUM('Квартальная отчетность'!BD17,'Квартальная отчетность'!BD118)</f>
        <v>0</v>
      </c>
      <c s="125">
        <f ca="1">SUM('Квартальная отчетность'!BE17,'Квартальная отчетность'!BE118)</f>
        <v>0</v>
      </c>
      <c s="125">
        <f ca="1">SUM('Квартальная отчетность'!BF17,'Квартальная отчетность'!BF118)</f>
        <v>0</v>
      </c>
      <c s="125">
        <f ca="1">SUM('Квартальная отчетность'!BG17,'Квартальная отчетность'!BG118)</f>
        <v>0</v>
      </c>
      <c s="125">
        <f ca="1">SUM('Квартальная отчетность'!BH17,'Квартальная отчетность'!BH118)</f>
        <v>0</v>
      </c>
      <c s="125">
        <f ca="1">SUM('Квартальная отчетность'!BI17,'Квартальная отчетность'!BI118)</f>
        <v>0</v>
      </c>
      <c s="125">
        <f ca="1">SUM('Квартальная отчетность'!BJ17,'Квартальная отчетность'!BJ118)</f>
        <v>0</v>
      </c>
      <c s="125">
        <f ca="1">SUM('Квартальная отчетность'!BK17,'Квартальная отчетность'!BK118)</f>
        <v>0</v>
      </c>
      <c s="125">
        <f ca="1">SUM('Квартальная отчетность'!BL17,'Квартальная отчетность'!BL118)</f>
        <v>0</v>
      </c>
      <c s="125">
        <f ca="1">SUM('Квартальная отчетность'!BM17,'Квартальная отчетность'!BM118)</f>
        <v>0</v>
      </c>
    </row>
    <row r="267" spans="2:65" ht="15" customHeight="1">
      <c r="B267" s="289" t="s">
        <v>973</v>
      </c>
      <c s="290" t="str">
        <f t="shared" si="246"/>
        <v>тыс. руб.</v>
      </c>
      <c s="276">
        <f ca="1" t="shared" si="247" ref="D267:E267">SUM(D265:D266)</f>
        <v>0</v>
      </c>
      <c s="276">
        <f t="shared" ca="1" si="247"/>
        <v>0</v>
      </c>
      <c s="276">
        <f ca="1" t="shared" si="248" ref="F267:AG267">SUM(F265:F266)</f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t="shared" ca="1" si="248"/>
        <v>0</v>
      </c>
      <c s="276">
        <f ca="1" t="shared" si="249" ref="AH267:BM267">SUM(AH265:AH266)</f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  <c s="276">
        <f t="shared" ca="1" si="249"/>
        <v>0</v>
      </c>
    </row>
    <row r="268" spans="2:65" ht="15" customHeight="1">
      <c r="B268" s="12" t="s">
        <v>974</v>
      </c>
      <c s="124" t="str">
        <f t="shared" si="246"/>
        <v>тыс. руб.</v>
      </c>
      <c s="276">
        <f ca="1">SUM(E268:BM268)</f>
        <v>0</v>
      </c>
      <c s="125">
        <f>SUM('Квартальная отчетность'!E19,'Квартальная отчетность'!E121)</f>
        <v>0</v>
      </c>
      <c s="125">
        <f ca="1">SUM('Квартальная отчетность'!F19,'Квартальная отчетность'!F121)</f>
        <v>0</v>
      </c>
      <c s="125">
        <f ca="1">SUM('Квартальная отчетность'!G19,'Квартальная отчетность'!G121)</f>
        <v>0</v>
      </c>
      <c s="125">
        <f ca="1">SUM('Квартальная отчетность'!H19,'Квартальная отчетность'!H121)</f>
        <v>0</v>
      </c>
      <c s="125">
        <f ca="1">SUM('Квартальная отчетность'!I19,'Квартальная отчетность'!I121)</f>
        <v>0</v>
      </c>
      <c s="125">
        <f ca="1">SUM('Квартальная отчетность'!J19,'Квартальная отчетность'!J121)</f>
        <v>0</v>
      </c>
      <c s="125">
        <f ca="1">SUM('Квартальная отчетность'!K19,'Квартальная отчетность'!K121)</f>
        <v>0</v>
      </c>
      <c s="125">
        <f ca="1">SUM('Квартальная отчетность'!L19,'Квартальная отчетность'!L121)</f>
        <v>0</v>
      </c>
      <c s="125">
        <f ca="1">SUM('Квартальная отчетность'!M19,'Квартальная отчетность'!M121)</f>
        <v>0</v>
      </c>
      <c s="125">
        <f ca="1">SUM('Квартальная отчетность'!N19,'Квартальная отчетность'!N121)</f>
        <v>0</v>
      </c>
      <c s="125">
        <f ca="1">SUM('Квартальная отчетность'!O19,'Квартальная отчетность'!O121)</f>
        <v>0</v>
      </c>
      <c s="125">
        <f ca="1">SUM('Квартальная отчетность'!P19,'Квартальная отчетность'!P121)</f>
        <v>0</v>
      </c>
      <c s="125">
        <f ca="1">SUM('Квартальная отчетность'!Q19,'Квартальная отчетность'!Q121)</f>
        <v>0</v>
      </c>
      <c s="125">
        <f ca="1">SUM('Квартальная отчетность'!R19,'Квартальная отчетность'!R121)</f>
        <v>0</v>
      </c>
      <c s="125">
        <f ca="1">SUM('Квартальная отчетность'!S19,'Квартальная отчетность'!S121)</f>
        <v>0</v>
      </c>
      <c s="125">
        <f ca="1">SUM('Квартальная отчетность'!T19,'Квартальная отчетность'!T121)</f>
        <v>0</v>
      </c>
      <c s="125">
        <f ca="1">SUM('Квартальная отчетность'!U19,'Квартальная отчетность'!U121)</f>
        <v>0</v>
      </c>
      <c s="125">
        <f ca="1">SUM('Квартальная отчетность'!V19,'Квартальная отчетность'!V121)</f>
        <v>0</v>
      </c>
      <c s="125">
        <f ca="1">SUM('Квартальная отчетность'!W19,'Квартальная отчетность'!W121)</f>
        <v>0</v>
      </c>
      <c s="125">
        <f ca="1">SUM('Квартальная отчетность'!X19,'Квартальная отчетность'!X121)</f>
        <v>0</v>
      </c>
      <c s="125">
        <f ca="1">SUM('Квартальная отчетность'!Y19,'Квартальная отчетность'!Y121)</f>
        <v>0</v>
      </c>
      <c s="125">
        <f ca="1">SUM('Квартальная отчетность'!Z19,'Квартальная отчетность'!Z121)</f>
        <v>0</v>
      </c>
      <c s="125">
        <f ca="1">SUM('Квартальная отчетность'!AA19,'Квартальная отчетность'!AA121)</f>
        <v>0</v>
      </c>
      <c s="125">
        <f ca="1">SUM('Квартальная отчетность'!AB19,'Квартальная отчетность'!AB121)</f>
        <v>0</v>
      </c>
      <c s="125">
        <f ca="1">SUM('Квартальная отчетность'!AC19,'Квартальная отчетность'!AC121)</f>
        <v>0</v>
      </c>
      <c s="125">
        <f ca="1">SUM('Квартальная отчетность'!AD19,'Квартальная отчетность'!AD121)</f>
        <v>0</v>
      </c>
      <c s="125">
        <f ca="1">SUM('Квартальная отчетность'!AE19,'Квартальная отчетность'!AE121)</f>
        <v>0</v>
      </c>
      <c s="125">
        <f ca="1">SUM('Квартальная отчетность'!AF19,'Квартальная отчетность'!AF121)</f>
        <v>0</v>
      </c>
      <c s="125">
        <f ca="1">SUM('Квартальная отчетность'!AG19,'Квартальная отчетность'!AG121)</f>
        <v>0</v>
      </c>
      <c s="125">
        <f ca="1">SUM('Квартальная отчетность'!AH19,'Квартальная отчетность'!AH121)</f>
        <v>0</v>
      </c>
      <c s="125">
        <f ca="1">SUM('Квартальная отчетность'!AI19,'Квартальная отчетность'!AI121)</f>
        <v>0</v>
      </c>
      <c s="125">
        <f ca="1">SUM('Квартальная отчетность'!AJ19,'Квартальная отчетность'!AJ121)</f>
        <v>0</v>
      </c>
      <c s="125">
        <f ca="1">SUM('Квартальная отчетность'!AK19,'Квартальная отчетность'!AK121)</f>
        <v>0</v>
      </c>
      <c s="125">
        <f ca="1">SUM('Квартальная отчетность'!AL19,'Квартальная отчетность'!AL121)</f>
        <v>0</v>
      </c>
      <c s="125">
        <f ca="1">SUM('Квартальная отчетность'!AM19,'Квартальная отчетность'!AM121)</f>
        <v>0</v>
      </c>
      <c s="125">
        <f ca="1">SUM('Квартальная отчетность'!AN19,'Квартальная отчетность'!AN121)</f>
        <v>0</v>
      </c>
      <c s="125">
        <f ca="1">SUM('Квартальная отчетность'!AO19,'Квартальная отчетность'!AO121)</f>
        <v>0</v>
      </c>
      <c s="125">
        <f ca="1">SUM('Квартальная отчетность'!AP19,'Квартальная отчетность'!AP121)</f>
        <v>0</v>
      </c>
      <c s="125">
        <f ca="1">SUM('Квартальная отчетность'!AQ19,'Квартальная отчетность'!AQ121)</f>
        <v>0</v>
      </c>
      <c s="125">
        <f ca="1">SUM('Квартальная отчетность'!AR19,'Квартальная отчетность'!AR121)</f>
        <v>0</v>
      </c>
      <c s="125">
        <f ca="1">SUM('Квартальная отчетность'!AS19,'Квартальная отчетность'!AS121)</f>
        <v>0</v>
      </c>
      <c s="125">
        <f ca="1">SUM('Квартальная отчетность'!AT19,'Квартальная отчетность'!AT121)</f>
        <v>0</v>
      </c>
      <c s="125">
        <f ca="1">SUM('Квартальная отчетность'!AU19,'Квартальная отчетность'!AU121)</f>
        <v>0</v>
      </c>
      <c s="125">
        <f ca="1">SUM('Квартальная отчетность'!AV19,'Квартальная отчетность'!AV121)</f>
        <v>0</v>
      </c>
      <c s="125">
        <f ca="1">SUM('Квартальная отчетность'!AW19,'Квартальная отчетность'!AW121)</f>
        <v>0</v>
      </c>
      <c s="125">
        <f ca="1">SUM('Квартальная отчетность'!AX19,'Квартальная отчетность'!AX121)</f>
        <v>0</v>
      </c>
      <c s="125">
        <f ca="1">SUM('Квартальная отчетность'!AY19,'Квартальная отчетность'!AY121)</f>
        <v>0</v>
      </c>
      <c s="125">
        <f ca="1">SUM('Квартальная отчетность'!AZ19,'Квартальная отчетность'!AZ121)</f>
        <v>0</v>
      </c>
      <c s="125">
        <f ca="1">SUM('Квартальная отчетность'!BA19,'Квартальная отчетность'!BA121)</f>
        <v>0</v>
      </c>
      <c s="125">
        <f ca="1">SUM('Квартальная отчетность'!BB19,'Квартальная отчетность'!BB121)</f>
        <v>0</v>
      </c>
      <c s="125">
        <f ca="1">SUM('Квартальная отчетность'!BC19,'Квартальная отчетность'!BC121)</f>
        <v>0</v>
      </c>
      <c s="125">
        <f ca="1">SUM('Квартальная отчетность'!BD19,'Квартальная отчетность'!BD121)</f>
        <v>0</v>
      </c>
      <c s="125">
        <f ca="1">SUM('Квартальная отчетность'!BE19,'Квартальная отчетность'!BE121)</f>
        <v>0</v>
      </c>
      <c s="125">
        <f ca="1">SUM('Квартальная отчетность'!BF19,'Квартальная отчетность'!BF121)</f>
        <v>0</v>
      </c>
      <c s="125">
        <f ca="1">SUM('Квартальная отчетность'!BG19,'Квартальная отчетность'!BG121)</f>
        <v>0</v>
      </c>
      <c s="125">
        <f ca="1">SUM('Квартальная отчетность'!BH19,'Квартальная отчетность'!BH121)</f>
        <v>0</v>
      </c>
      <c s="125">
        <f ca="1">SUM('Квартальная отчетность'!BI19,'Квартальная отчетность'!BI121)</f>
        <v>0</v>
      </c>
      <c s="125">
        <f ca="1">SUM('Квартальная отчетность'!BJ19,'Квартальная отчетность'!BJ121)</f>
        <v>0</v>
      </c>
      <c s="125">
        <f ca="1">SUM('Квартальная отчетность'!BK19,'Квартальная отчетность'!BK121)</f>
        <v>0</v>
      </c>
      <c s="125">
        <f ca="1">SUM('Квартальная отчетность'!BL19,'Квартальная отчетность'!BL121)</f>
        <v>0</v>
      </c>
      <c s="125">
        <f ca="1">SUM('Квартальная отчетность'!BM19,'Квартальная отчетность'!BM121)</f>
        <v>0</v>
      </c>
    </row>
    <row r="269" spans="2:65" ht="15" customHeight="1">
      <c r="B269" s="12" t="s">
        <v>566</v>
      </c>
      <c s="124" t="str">
        <f t="shared" si="246"/>
        <v>тыс. руб.</v>
      </c>
      <c s="276">
        <f ca="1">SUM(E269:BM269)</f>
        <v>0</v>
      </c>
      <c s="125">
        <f>SUM('Квартальная отчетность'!E20,'Квартальная отчетность'!E122)</f>
        <v>0</v>
      </c>
      <c s="125">
        <f ca="1">SUM('Квартальная отчетность'!F20,'Квартальная отчетность'!F122)</f>
        <v>0</v>
      </c>
      <c s="125">
        <f ca="1">SUM('Квартальная отчетность'!G20,'Квартальная отчетность'!G122)</f>
        <v>0</v>
      </c>
      <c s="125">
        <f ca="1">SUM('Квартальная отчетность'!H20,'Квартальная отчетность'!H122)</f>
        <v>0</v>
      </c>
      <c s="125">
        <f ca="1">SUM('Квартальная отчетность'!I20,'Квартальная отчетность'!I122)</f>
        <v>0</v>
      </c>
      <c s="125">
        <f ca="1">SUM('Квартальная отчетность'!J20,'Квартальная отчетность'!J122)</f>
        <v>0</v>
      </c>
      <c s="125">
        <f ca="1">SUM('Квартальная отчетность'!K20,'Квартальная отчетность'!K122)</f>
        <v>0</v>
      </c>
      <c s="125">
        <f ca="1">SUM('Квартальная отчетность'!L20,'Квартальная отчетность'!L122)</f>
        <v>0</v>
      </c>
      <c s="125">
        <f ca="1">SUM('Квартальная отчетность'!M20,'Квартальная отчетность'!M122)</f>
        <v>0</v>
      </c>
      <c s="125">
        <f ca="1">SUM('Квартальная отчетность'!N20,'Квартальная отчетность'!N122)</f>
        <v>0</v>
      </c>
      <c s="125">
        <f ca="1">SUM('Квартальная отчетность'!O20,'Квартальная отчетность'!O122)</f>
        <v>0</v>
      </c>
      <c s="125">
        <f ca="1">SUM('Квартальная отчетность'!P20,'Квартальная отчетность'!P122)</f>
        <v>0</v>
      </c>
      <c s="125">
        <f ca="1">SUM('Квартальная отчетность'!Q20,'Квартальная отчетность'!Q122)</f>
        <v>0</v>
      </c>
      <c s="125">
        <f ca="1">SUM('Квартальная отчетность'!R20,'Квартальная отчетность'!R122)</f>
        <v>0</v>
      </c>
      <c s="125">
        <f ca="1">SUM('Квартальная отчетность'!S20,'Квартальная отчетность'!S122)</f>
        <v>0</v>
      </c>
      <c s="125">
        <f ca="1">SUM('Квартальная отчетность'!T20,'Квартальная отчетность'!T122)</f>
        <v>0</v>
      </c>
      <c s="125">
        <f ca="1">SUM('Квартальная отчетность'!U20,'Квартальная отчетность'!U122)</f>
        <v>0</v>
      </c>
      <c s="125">
        <f ca="1">SUM('Квартальная отчетность'!V20,'Квартальная отчетность'!V122)</f>
        <v>0</v>
      </c>
      <c s="125">
        <f ca="1">SUM('Квартальная отчетность'!W20,'Квартальная отчетность'!W122)</f>
        <v>0</v>
      </c>
      <c s="125">
        <f ca="1">SUM('Квартальная отчетность'!X20,'Квартальная отчетность'!X122)</f>
        <v>0</v>
      </c>
      <c s="125">
        <f ca="1">SUM('Квартальная отчетность'!Y20,'Квартальная отчетность'!Y122)</f>
        <v>0</v>
      </c>
      <c s="125">
        <f ca="1">SUM('Квартальная отчетность'!Z20,'Квартальная отчетность'!Z122)</f>
        <v>0</v>
      </c>
      <c s="125">
        <f ca="1">SUM('Квартальная отчетность'!AA20,'Квартальная отчетность'!AA122)</f>
        <v>0</v>
      </c>
      <c s="125">
        <f ca="1">SUM('Квартальная отчетность'!AB20,'Квартальная отчетность'!AB122)</f>
        <v>0</v>
      </c>
      <c s="125">
        <f ca="1">SUM('Квартальная отчетность'!AC20,'Квартальная отчетность'!AC122)</f>
        <v>0</v>
      </c>
      <c s="125">
        <f ca="1">SUM('Квартальная отчетность'!AD20,'Квартальная отчетность'!AD122)</f>
        <v>0</v>
      </c>
      <c s="125">
        <f ca="1">SUM('Квартальная отчетность'!AE20,'Квартальная отчетность'!AE122)</f>
        <v>0</v>
      </c>
      <c s="125">
        <f ca="1">SUM('Квартальная отчетность'!AF20,'Квартальная отчетность'!AF122)</f>
        <v>0</v>
      </c>
      <c s="125">
        <f ca="1">SUM('Квартальная отчетность'!AG20,'Квартальная отчетность'!AG122)</f>
        <v>0</v>
      </c>
      <c s="125">
        <f ca="1">SUM('Квартальная отчетность'!AH20,'Квартальная отчетность'!AH122)</f>
        <v>0</v>
      </c>
      <c s="125">
        <f ca="1">SUM('Квартальная отчетность'!AI20,'Квартальная отчетность'!AI122)</f>
        <v>0</v>
      </c>
      <c s="125">
        <f ca="1">SUM('Квартальная отчетность'!AJ20,'Квартальная отчетность'!AJ122)</f>
        <v>0</v>
      </c>
      <c s="125">
        <f ca="1">SUM('Квартальная отчетность'!AK20,'Квартальная отчетность'!AK122)</f>
        <v>0</v>
      </c>
      <c s="125">
        <f ca="1">SUM('Квартальная отчетность'!AL20,'Квартальная отчетность'!AL122)</f>
        <v>0</v>
      </c>
      <c s="125">
        <f ca="1">SUM('Квартальная отчетность'!AM20,'Квартальная отчетность'!AM122)</f>
        <v>0</v>
      </c>
      <c s="125">
        <f ca="1">SUM('Квартальная отчетность'!AN20,'Квартальная отчетность'!AN122)</f>
        <v>0</v>
      </c>
      <c s="125">
        <f ca="1">SUM('Квартальная отчетность'!AO20,'Квартальная отчетность'!AO122)</f>
        <v>0</v>
      </c>
      <c s="125">
        <f ca="1">SUM('Квартальная отчетность'!AP20,'Квартальная отчетность'!AP122)</f>
        <v>0</v>
      </c>
      <c s="125">
        <f ca="1">SUM('Квартальная отчетность'!AQ20,'Квартальная отчетность'!AQ122)</f>
        <v>0</v>
      </c>
      <c s="125">
        <f ca="1">SUM('Квартальная отчетность'!AR20,'Квартальная отчетность'!AR122)</f>
        <v>0</v>
      </c>
      <c s="125">
        <f ca="1">SUM('Квартальная отчетность'!AS20,'Квартальная отчетность'!AS122)</f>
        <v>0</v>
      </c>
      <c s="125">
        <f ca="1">SUM('Квартальная отчетность'!AT20,'Квартальная отчетность'!AT122)</f>
        <v>0</v>
      </c>
      <c s="125">
        <f ca="1">SUM('Квартальная отчетность'!AU20,'Квартальная отчетность'!AU122)</f>
        <v>0</v>
      </c>
      <c s="125">
        <f ca="1">SUM('Квартальная отчетность'!AV20,'Квартальная отчетность'!AV122)</f>
        <v>0</v>
      </c>
      <c s="125">
        <f ca="1">SUM('Квартальная отчетность'!AW20,'Квартальная отчетность'!AW122)</f>
        <v>0</v>
      </c>
      <c s="125">
        <f ca="1">SUM('Квартальная отчетность'!AX20,'Квартальная отчетность'!AX122)</f>
        <v>0</v>
      </c>
      <c s="125">
        <f ca="1">SUM('Квартальная отчетность'!AY20,'Квартальная отчетность'!AY122)</f>
        <v>0</v>
      </c>
      <c s="125">
        <f ca="1">SUM('Квартальная отчетность'!AZ20,'Квартальная отчетность'!AZ122)</f>
        <v>0</v>
      </c>
      <c s="125">
        <f ca="1">SUM('Квартальная отчетность'!BA20,'Квартальная отчетность'!BA122)</f>
        <v>0</v>
      </c>
      <c s="125">
        <f ca="1">SUM('Квартальная отчетность'!BB20,'Квартальная отчетность'!BB122)</f>
        <v>0</v>
      </c>
      <c s="125">
        <f ca="1">SUM('Квартальная отчетность'!BC20,'Квартальная отчетность'!BC122)</f>
        <v>0</v>
      </c>
      <c s="125">
        <f ca="1">SUM('Квартальная отчетность'!BD20,'Квартальная отчетность'!BD122)</f>
        <v>0</v>
      </c>
      <c s="125">
        <f ca="1">SUM('Квартальная отчетность'!BE20,'Квартальная отчетность'!BE122)</f>
        <v>0</v>
      </c>
      <c s="125">
        <f ca="1">SUM('Квартальная отчетность'!BF20,'Квартальная отчетность'!BF122)</f>
        <v>0</v>
      </c>
      <c s="125">
        <f ca="1">SUM('Квартальная отчетность'!BG20,'Квартальная отчетность'!BG122)</f>
        <v>0</v>
      </c>
      <c s="125">
        <f ca="1">SUM('Квартальная отчетность'!BH20,'Квартальная отчетность'!BH122)</f>
        <v>0</v>
      </c>
      <c s="125">
        <f ca="1">SUM('Квартальная отчетность'!BI20,'Квартальная отчетность'!BI122)</f>
        <v>0</v>
      </c>
      <c s="125">
        <f ca="1">SUM('Квартальная отчетность'!BJ20,'Квартальная отчетность'!BJ122)</f>
        <v>0</v>
      </c>
      <c s="125">
        <f ca="1">SUM('Квартальная отчетность'!BK20,'Квартальная отчетность'!BK122)</f>
        <v>0</v>
      </c>
      <c s="125">
        <f ca="1">SUM('Квартальная отчетность'!BL20,'Квартальная отчетность'!BL122)</f>
        <v>0</v>
      </c>
      <c s="125">
        <f ca="1">SUM('Квартальная отчетность'!BM20,'Квартальная отчетность'!BM122)</f>
        <v>0</v>
      </c>
    </row>
    <row r="270" spans="2:65" ht="15" customHeight="1">
      <c r="B270" s="289" t="s">
        <v>975</v>
      </c>
      <c s="290" t="str">
        <f t="shared" si="246"/>
        <v>тыс. руб.</v>
      </c>
      <c s="276">
        <f ca="1" t="shared" si="250" ref="D270:E270">SUM(D267:D269)</f>
        <v>0</v>
      </c>
      <c s="276">
        <f t="shared" ca="1" si="250"/>
        <v>0</v>
      </c>
      <c s="276">
        <f ca="1" t="shared" si="251" ref="F270:AG270">SUM(F267:F269)</f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t="shared" ca="1" si="251"/>
        <v>0</v>
      </c>
      <c s="276">
        <f ca="1" t="shared" si="252" ref="AH270:BM270">SUM(AH267:AH269)</f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  <c s="276">
        <f t="shared" ca="1" si="252"/>
        <v>0</v>
      </c>
    </row>
    <row r="271" spans="2:65" ht="15" customHeight="1">
      <c r="B271" s="12" t="s">
        <v>568</v>
      </c>
      <c s="124" t="str">
        <f t="shared" si="246"/>
        <v>тыс. руб.</v>
      </c>
      <c s="276">
        <f>SUM(E271:BM271)</f>
        <v>0</v>
      </c>
      <c s="125">
        <f>SUM('Квартальная отчетность'!E22,'Квартальная отчетность'!E125)</f>
        <v>0</v>
      </c>
      <c s="125">
        <f>SUM('Квартальная отчетность'!F22,'Квартальная отчетность'!F125)</f>
        <v>0</v>
      </c>
      <c s="125">
        <f>SUM('Квартальная отчетность'!G22,'Квартальная отчетность'!G125)</f>
        <v>0</v>
      </c>
      <c s="125">
        <f>SUM('Квартальная отчетность'!H22,'Квартальная отчетность'!H125)</f>
        <v>0</v>
      </c>
      <c s="125">
        <f>SUM('Квартальная отчетность'!I22,'Квартальная отчетность'!I125)</f>
        <v>0</v>
      </c>
      <c s="125">
        <f>SUM('Квартальная отчетность'!J22,'Квартальная отчетность'!J125)</f>
        <v>0</v>
      </c>
      <c s="125">
        <f>SUM('Квартальная отчетность'!K22,'Квартальная отчетность'!K125)</f>
        <v>0</v>
      </c>
      <c s="125">
        <f>SUM('Квартальная отчетность'!L22,'Квартальная отчетность'!L125)</f>
        <v>0</v>
      </c>
      <c s="125">
        <f>SUM('Квартальная отчетность'!M22,'Квартальная отчетность'!M125)</f>
        <v>0</v>
      </c>
      <c s="125">
        <f>SUM('Квартальная отчетность'!N22,'Квартальная отчетность'!N125)</f>
        <v>0</v>
      </c>
      <c s="125">
        <f>SUM('Квартальная отчетность'!O22,'Квартальная отчетность'!O125)</f>
        <v>0</v>
      </c>
      <c s="125">
        <f>SUM('Квартальная отчетность'!P22,'Квартальная отчетность'!P125)</f>
        <v>0</v>
      </c>
      <c s="125">
        <f>SUM('Квартальная отчетность'!Q22,'Квартальная отчетность'!Q125)</f>
        <v>0</v>
      </c>
      <c s="125">
        <f>SUM('Квартальная отчетность'!R22,'Квартальная отчетность'!R125)</f>
        <v>0</v>
      </c>
      <c s="125">
        <f>SUM('Квартальная отчетность'!S22,'Квартальная отчетность'!S125)</f>
        <v>0</v>
      </c>
      <c s="125">
        <f>SUM('Квартальная отчетность'!T22,'Квартальная отчетность'!T125)</f>
        <v>0</v>
      </c>
      <c s="125">
        <f>SUM('Квартальная отчетность'!U22,'Квартальная отчетность'!U125)</f>
        <v>0</v>
      </c>
      <c s="125">
        <f>SUM('Квартальная отчетность'!V22,'Квартальная отчетность'!V125)</f>
        <v>0</v>
      </c>
      <c s="125">
        <f>SUM('Квартальная отчетность'!W22,'Квартальная отчетность'!W125)</f>
        <v>0</v>
      </c>
      <c s="125">
        <f>SUM('Квартальная отчетность'!X22,'Квартальная отчетность'!X125)</f>
        <v>0</v>
      </c>
      <c s="125">
        <f>SUM('Квартальная отчетность'!Y22,'Квартальная отчетность'!Y125)</f>
        <v>0</v>
      </c>
      <c s="125">
        <f>SUM('Квартальная отчетность'!Z22,'Квартальная отчетность'!Z125)</f>
        <v>0</v>
      </c>
      <c s="125">
        <f>SUM('Квартальная отчетность'!AA22,'Квартальная отчетность'!AA125)</f>
        <v>0</v>
      </c>
      <c s="125">
        <f>SUM('Квартальная отчетность'!AB22,'Квартальная отчетность'!AB125)</f>
        <v>0</v>
      </c>
      <c s="125">
        <f>SUM('Квартальная отчетность'!AC22,'Квартальная отчетность'!AC125)</f>
        <v>0</v>
      </c>
      <c s="125">
        <f>SUM('Квартальная отчетность'!AD22,'Квартальная отчетность'!AD125)</f>
        <v>0</v>
      </c>
      <c s="125">
        <f>SUM('Квартальная отчетность'!AE22,'Квартальная отчетность'!AE125)</f>
        <v>0</v>
      </c>
      <c s="125">
        <f>SUM('Квартальная отчетность'!AF22,'Квартальная отчетность'!AF125)</f>
        <v>0</v>
      </c>
      <c s="125">
        <f>SUM('Квартальная отчетность'!AG22,'Квартальная отчетность'!AG125)</f>
        <v>0</v>
      </c>
      <c s="125">
        <f>SUM('Квартальная отчетность'!AH22,'Квартальная отчетность'!AH125)</f>
        <v>0</v>
      </c>
      <c s="125">
        <f>SUM('Квартальная отчетность'!AI22,'Квартальная отчетность'!AI125)</f>
        <v>0</v>
      </c>
      <c s="125">
        <f>SUM('Квартальная отчетность'!AJ22,'Квартальная отчетность'!AJ125)</f>
        <v>0</v>
      </c>
      <c s="125">
        <f>SUM('Квартальная отчетность'!AK22,'Квартальная отчетность'!AK125)</f>
        <v>0</v>
      </c>
      <c s="125">
        <f>SUM('Квартальная отчетность'!AL22,'Квартальная отчетность'!AL125)</f>
        <v>0</v>
      </c>
      <c s="125">
        <f>SUM('Квартальная отчетность'!AM22,'Квартальная отчетность'!AM125)</f>
        <v>0</v>
      </c>
      <c s="125">
        <f>SUM('Квартальная отчетность'!AN22,'Квартальная отчетность'!AN125)</f>
        <v>0</v>
      </c>
      <c s="125">
        <f>SUM('Квартальная отчетность'!AO22,'Квартальная отчетность'!AO125)</f>
        <v>0</v>
      </c>
      <c s="125">
        <f>SUM('Квартальная отчетность'!AP22,'Квартальная отчетность'!AP125)</f>
        <v>0</v>
      </c>
      <c s="125">
        <f>SUM('Квартальная отчетность'!AQ22,'Квартальная отчетность'!AQ125)</f>
        <v>0</v>
      </c>
      <c s="125">
        <f>SUM('Квартальная отчетность'!AR22,'Квартальная отчетность'!AR125)</f>
        <v>0</v>
      </c>
      <c s="125">
        <f>SUM('Квартальная отчетность'!AS22,'Квартальная отчетность'!AS125)</f>
        <v>0</v>
      </c>
      <c s="125">
        <f>SUM('Квартальная отчетность'!AT22,'Квартальная отчетность'!AT125)</f>
        <v>0</v>
      </c>
      <c s="125">
        <f>SUM('Квартальная отчетность'!AU22,'Квартальная отчетность'!AU125)</f>
        <v>0</v>
      </c>
      <c s="125">
        <f>SUM('Квартальная отчетность'!AV22,'Квартальная отчетность'!AV125)</f>
        <v>0</v>
      </c>
      <c s="125">
        <f>SUM('Квартальная отчетность'!AW22,'Квартальная отчетность'!AW125)</f>
        <v>0</v>
      </c>
      <c s="125">
        <f>SUM('Квартальная отчетность'!AX22,'Квартальная отчетность'!AX125)</f>
        <v>0</v>
      </c>
      <c s="125">
        <f>SUM('Квартальная отчетность'!AY22,'Квартальная отчетность'!AY125)</f>
        <v>0</v>
      </c>
      <c s="125">
        <f>SUM('Квартальная отчетность'!AZ22,'Квартальная отчетность'!AZ125)</f>
        <v>0</v>
      </c>
      <c s="125">
        <f>SUM('Квартальная отчетность'!BA22,'Квартальная отчетность'!BA125)</f>
        <v>0</v>
      </c>
      <c s="125">
        <f>SUM('Квартальная отчетность'!BB22,'Квартальная отчетность'!BB125)</f>
        <v>0</v>
      </c>
      <c s="125">
        <f>SUM('Квартальная отчетность'!BC22,'Квартальная отчетность'!BC125)</f>
        <v>0</v>
      </c>
      <c s="125">
        <f>SUM('Квартальная отчетность'!BD22,'Квартальная отчетность'!BD125)</f>
        <v>0</v>
      </c>
      <c s="125">
        <f>SUM('Квартальная отчетность'!BE22,'Квартальная отчетность'!BE125)</f>
        <v>0</v>
      </c>
      <c s="125">
        <f>SUM('Квартальная отчетность'!BF22,'Квартальная отчетность'!BF125)</f>
        <v>0</v>
      </c>
      <c s="125">
        <f>SUM('Квартальная отчетность'!BG22,'Квартальная отчетность'!BG125)</f>
        <v>0</v>
      </c>
      <c s="125">
        <f>SUM('Квартальная отчетность'!BH22,'Квартальная отчетность'!BH125)</f>
        <v>0</v>
      </c>
      <c s="125">
        <f>SUM('Квартальная отчетность'!BI22,'Квартальная отчетность'!BI125)</f>
        <v>0</v>
      </c>
      <c s="125">
        <f>SUM('Квартальная отчетность'!BJ22,'Квартальная отчетность'!BJ125)</f>
        <v>0</v>
      </c>
      <c s="125">
        <f>SUM('Квартальная отчетность'!BK22,'Квартальная отчетность'!BK125)</f>
        <v>0</v>
      </c>
      <c s="125">
        <f>SUM('Квартальная отчетность'!BL22,'Квартальная отчетность'!BL125)</f>
        <v>0</v>
      </c>
      <c s="125">
        <f>SUM('Квартальная отчетность'!BM22,'Квартальная отчетность'!BM125)</f>
        <v>0</v>
      </c>
    </row>
    <row r="272" spans="2:65" ht="15" customHeight="1">
      <c r="B272" s="12" t="s">
        <v>277</v>
      </c>
      <c s="124" t="str">
        <f t="shared" si="246"/>
        <v>тыс. руб.</v>
      </c>
      <c s="276">
        <f>SUM(E272:BM272)</f>
        <v>0</v>
      </c>
      <c s="125">
        <f>SUM('Квартальная отчетность'!E23,'Квартальная отчетность'!E126)</f>
        <v>0</v>
      </c>
      <c s="125">
        <f>SUM('Квартальная отчетность'!F23,'Квартальная отчетность'!F126)</f>
        <v>0</v>
      </c>
      <c s="125">
        <f>SUM('Квартальная отчетность'!G23,'Квартальная отчетность'!G126)</f>
        <v>0</v>
      </c>
      <c s="125">
        <f>SUM('Квартальная отчетность'!H23,'Квартальная отчетность'!H126)</f>
        <v>0</v>
      </c>
      <c s="125">
        <f>SUM('Квартальная отчетность'!I23,'Квартальная отчетность'!I126)</f>
        <v>0</v>
      </c>
      <c s="125">
        <f>SUM('Квартальная отчетность'!J23,'Квартальная отчетность'!J126)</f>
        <v>0</v>
      </c>
      <c s="125">
        <f>SUM('Квартальная отчетность'!K23,'Квартальная отчетность'!K126)</f>
        <v>0</v>
      </c>
      <c s="125">
        <f>SUM('Квартальная отчетность'!L23,'Квартальная отчетность'!L126)</f>
        <v>0</v>
      </c>
      <c s="125">
        <f>SUM('Квартальная отчетность'!M23,'Квартальная отчетность'!M126)</f>
        <v>0</v>
      </c>
      <c s="125">
        <f>SUM('Квартальная отчетность'!N23,'Квартальная отчетность'!N126)</f>
        <v>0</v>
      </c>
      <c s="125">
        <f>SUM('Квартальная отчетность'!O23,'Квартальная отчетность'!O126)</f>
        <v>0</v>
      </c>
      <c s="125">
        <f>SUM('Квартальная отчетность'!P23,'Квартальная отчетность'!P126)</f>
        <v>0</v>
      </c>
      <c s="125">
        <f>SUM('Квартальная отчетность'!Q23,'Квартальная отчетность'!Q126)</f>
        <v>0</v>
      </c>
      <c s="125">
        <f>SUM('Квартальная отчетность'!R23,'Квартальная отчетность'!R126)</f>
        <v>0</v>
      </c>
      <c s="125">
        <f>SUM('Квартальная отчетность'!S23,'Квартальная отчетность'!S126)</f>
        <v>0</v>
      </c>
      <c s="125">
        <f>SUM('Квартальная отчетность'!T23,'Квартальная отчетность'!T126)</f>
        <v>0</v>
      </c>
      <c s="125">
        <f>SUM('Квартальная отчетность'!U23,'Квартальная отчетность'!U126)</f>
        <v>0</v>
      </c>
      <c s="125">
        <f>SUM('Квартальная отчетность'!V23,'Квартальная отчетность'!V126)</f>
        <v>0</v>
      </c>
      <c s="125">
        <f>SUM('Квартальная отчетность'!W23,'Квартальная отчетность'!W126)</f>
        <v>0</v>
      </c>
      <c s="125">
        <f>SUM('Квартальная отчетность'!X23,'Квартальная отчетность'!X126)</f>
        <v>0</v>
      </c>
      <c s="125">
        <f>SUM('Квартальная отчетность'!Y23,'Квартальная отчетность'!Y126)</f>
        <v>0</v>
      </c>
      <c s="125">
        <f>SUM('Квартальная отчетность'!Z23,'Квартальная отчетность'!Z126)</f>
        <v>0</v>
      </c>
      <c s="125">
        <f>SUM('Квартальная отчетность'!AA23,'Квартальная отчетность'!AA126)</f>
        <v>0</v>
      </c>
      <c s="125">
        <f>SUM('Квартальная отчетность'!AB23,'Квартальная отчетность'!AB126)</f>
        <v>0</v>
      </c>
      <c s="125">
        <f>SUM('Квартальная отчетность'!AC23,'Квартальная отчетность'!AC126)</f>
        <v>0</v>
      </c>
      <c s="125">
        <f>SUM('Квартальная отчетность'!AD23,'Квартальная отчетность'!AD126)</f>
        <v>0</v>
      </c>
      <c s="125">
        <f>SUM('Квартальная отчетность'!AE23,'Квартальная отчетность'!AE126)</f>
        <v>0</v>
      </c>
      <c s="125">
        <f>SUM('Квартальная отчетность'!AF23,'Квартальная отчетность'!AF126)</f>
        <v>0</v>
      </c>
      <c s="125">
        <f>SUM('Квартальная отчетность'!AG23,'Квартальная отчетность'!AG126)</f>
        <v>0</v>
      </c>
      <c s="125">
        <f>SUM('Квартальная отчетность'!AH23,'Квартальная отчетность'!AH126)</f>
        <v>0</v>
      </c>
      <c s="125">
        <f>SUM('Квартальная отчетность'!AI23,'Квартальная отчетность'!AI126)</f>
        <v>0</v>
      </c>
      <c s="125">
        <f>SUM('Квартальная отчетность'!AJ23,'Квартальная отчетность'!AJ126)</f>
        <v>0</v>
      </c>
      <c s="125">
        <f>SUM('Квартальная отчетность'!AK23,'Квартальная отчетность'!AK126)</f>
        <v>0</v>
      </c>
      <c s="125">
        <f>SUM('Квартальная отчетность'!AL23,'Квартальная отчетность'!AL126)</f>
        <v>0</v>
      </c>
      <c s="125">
        <f>SUM('Квартальная отчетность'!AM23,'Квартальная отчетность'!AM126)</f>
        <v>0</v>
      </c>
      <c s="125">
        <f>SUM('Квартальная отчетность'!AN23,'Квартальная отчетность'!AN126)</f>
        <v>0</v>
      </c>
      <c s="125">
        <f>SUM('Квартальная отчетность'!AO23,'Квартальная отчетность'!AO126)</f>
        <v>0</v>
      </c>
      <c s="125">
        <f>SUM('Квартальная отчетность'!AP23,'Квартальная отчетность'!AP126)</f>
        <v>0</v>
      </c>
      <c s="125">
        <f>SUM('Квартальная отчетность'!AQ23,'Квартальная отчетность'!AQ126)</f>
        <v>0</v>
      </c>
      <c s="125">
        <f>SUM('Квартальная отчетность'!AR23,'Квартальная отчетность'!AR126)</f>
        <v>0</v>
      </c>
      <c s="125">
        <f>SUM('Квартальная отчетность'!AS23,'Квартальная отчетность'!AS126)</f>
        <v>0</v>
      </c>
      <c s="125">
        <f>SUM('Квартальная отчетность'!AT23,'Квартальная отчетность'!AT126)</f>
        <v>0</v>
      </c>
      <c s="125">
        <f>SUM('Квартальная отчетность'!AU23,'Квартальная отчетность'!AU126)</f>
        <v>0</v>
      </c>
      <c s="125">
        <f>SUM('Квартальная отчетность'!AV23,'Квартальная отчетность'!AV126)</f>
        <v>0</v>
      </c>
      <c s="125">
        <f>SUM('Квартальная отчетность'!AW23,'Квартальная отчетность'!AW126)</f>
        <v>0</v>
      </c>
      <c s="125">
        <f>SUM('Квартальная отчетность'!AX23,'Квартальная отчетность'!AX126)</f>
        <v>0</v>
      </c>
      <c s="125">
        <f>SUM('Квартальная отчетность'!AY23,'Квартальная отчетность'!AY126)</f>
        <v>0</v>
      </c>
      <c s="125">
        <f>SUM('Квартальная отчетность'!AZ23,'Квартальная отчетность'!AZ126)</f>
        <v>0</v>
      </c>
      <c s="125">
        <f>SUM('Квартальная отчетность'!BA23,'Квартальная отчетность'!BA126)</f>
        <v>0</v>
      </c>
      <c s="125">
        <f>SUM('Квартальная отчетность'!BB23,'Квартальная отчетность'!BB126)</f>
        <v>0</v>
      </c>
      <c s="125">
        <f>SUM('Квартальная отчетность'!BC23,'Квартальная отчетность'!BC126)</f>
        <v>0</v>
      </c>
      <c s="125">
        <f>SUM('Квартальная отчетность'!BD23,'Квартальная отчетность'!BD126)</f>
        <v>0</v>
      </c>
      <c s="125">
        <f>SUM('Квартальная отчетность'!BE23,'Квартальная отчетность'!BE126)</f>
        <v>0</v>
      </c>
      <c s="125">
        <f>SUM('Квартальная отчетность'!BF23,'Квартальная отчетность'!BF126)</f>
        <v>0</v>
      </c>
      <c s="125">
        <f>SUM('Квартальная отчетность'!BG23,'Квартальная отчетность'!BG126)</f>
        <v>0</v>
      </c>
      <c s="125">
        <f>SUM('Квартальная отчетность'!BH23,'Квартальная отчетность'!BH126)</f>
        <v>0</v>
      </c>
      <c s="125">
        <f>SUM('Квартальная отчетность'!BI23,'Квартальная отчетность'!BI126)</f>
        <v>0</v>
      </c>
      <c s="125">
        <f>SUM('Квартальная отчетность'!BJ23,'Квартальная отчетность'!BJ126)</f>
        <v>0</v>
      </c>
      <c s="125">
        <f>SUM('Квартальная отчетность'!BK23,'Квартальная отчетность'!BK126)</f>
        <v>0</v>
      </c>
      <c s="125">
        <f>SUM('Квартальная отчетность'!BL23,'Квартальная отчетность'!BL126)</f>
        <v>0</v>
      </c>
      <c s="125">
        <f>SUM('Квартальная отчетность'!BM23,'Квартальная отчетность'!BM126)</f>
        <v>0</v>
      </c>
    </row>
    <row r="273" spans="2:65" ht="15" customHeight="1">
      <c r="B273" s="12" t="s">
        <v>569</v>
      </c>
      <c s="124" t="str">
        <f t="shared" si="246"/>
        <v>тыс. руб.</v>
      </c>
      <c s="276">
        <f>SUM(E273:BM273)</f>
        <v>0</v>
      </c>
      <c s="125">
        <f>SUM('Квартальная отчетность'!E24,'Квартальная отчетность'!E127)</f>
        <v>0</v>
      </c>
      <c s="125">
        <f>SUM('Квартальная отчетность'!F24,'Квартальная отчетность'!F127)</f>
        <v>0</v>
      </c>
      <c s="125">
        <f>SUM('Квартальная отчетность'!G24,'Квартальная отчетность'!G127)</f>
        <v>0</v>
      </c>
      <c s="125">
        <f>SUM('Квартальная отчетность'!H24,'Квартальная отчетность'!H127)</f>
        <v>0</v>
      </c>
      <c s="125">
        <f>SUM('Квартальная отчетность'!I24,'Квартальная отчетность'!I127)</f>
        <v>0</v>
      </c>
      <c s="125">
        <f>SUM('Квартальная отчетность'!J24,'Квартальная отчетность'!J127)</f>
        <v>0</v>
      </c>
      <c s="125">
        <f>SUM('Квартальная отчетность'!K24,'Квартальная отчетность'!K127)</f>
        <v>0</v>
      </c>
      <c s="125">
        <f>SUM('Квартальная отчетность'!L24,'Квартальная отчетность'!L127)</f>
        <v>0</v>
      </c>
      <c s="125">
        <f>SUM('Квартальная отчетность'!M24,'Квартальная отчетность'!M127)</f>
        <v>0</v>
      </c>
      <c s="125">
        <f>SUM('Квартальная отчетность'!N24,'Квартальная отчетность'!N127)</f>
        <v>0</v>
      </c>
      <c s="125">
        <f>SUM('Квартальная отчетность'!O24,'Квартальная отчетность'!O127)</f>
        <v>0</v>
      </c>
      <c s="125">
        <f>SUM('Квартальная отчетность'!P24,'Квартальная отчетность'!P127)</f>
        <v>0</v>
      </c>
      <c s="125">
        <f>SUM('Квартальная отчетность'!Q24,'Квартальная отчетность'!Q127)</f>
        <v>0</v>
      </c>
      <c s="125">
        <f>SUM('Квартальная отчетность'!R24,'Квартальная отчетность'!R127)</f>
        <v>0</v>
      </c>
      <c s="125">
        <f>SUM('Квартальная отчетность'!S24,'Квартальная отчетность'!S127)</f>
        <v>0</v>
      </c>
      <c s="125">
        <f>SUM('Квартальная отчетность'!T24,'Квартальная отчетность'!T127)</f>
        <v>0</v>
      </c>
      <c s="125">
        <f>SUM('Квартальная отчетность'!U24,'Квартальная отчетность'!U127)</f>
        <v>0</v>
      </c>
      <c s="125">
        <f>SUM('Квартальная отчетность'!V24,'Квартальная отчетность'!V127)</f>
        <v>0</v>
      </c>
      <c s="125">
        <f>SUM('Квартальная отчетность'!W24,'Квартальная отчетность'!W127)</f>
        <v>0</v>
      </c>
      <c s="125">
        <f>SUM('Квартальная отчетность'!X24,'Квартальная отчетность'!X127)</f>
        <v>0</v>
      </c>
      <c s="125">
        <f>SUM('Квартальная отчетность'!Y24,'Квартальная отчетность'!Y127)</f>
        <v>0</v>
      </c>
      <c s="125">
        <f>SUM('Квартальная отчетность'!Z24,'Квартальная отчетность'!Z127)</f>
        <v>0</v>
      </c>
      <c s="125">
        <f>SUM('Квартальная отчетность'!AA24,'Квартальная отчетность'!AA127)</f>
        <v>0</v>
      </c>
      <c s="125">
        <f>SUM('Квартальная отчетность'!AB24,'Квартальная отчетность'!AB127)</f>
        <v>0</v>
      </c>
      <c s="125">
        <f>SUM('Квартальная отчетность'!AC24,'Квартальная отчетность'!AC127)</f>
        <v>0</v>
      </c>
      <c s="125">
        <f>SUM('Квартальная отчетность'!AD24,'Квартальная отчетность'!AD127)</f>
        <v>0</v>
      </c>
      <c s="125">
        <f>SUM('Квартальная отчетность'!AE24,'Квартальная отчетность'!AE127)</f>
        <v>0</v>
      </c>
      <c s="125">
        <f>SUM('Квартальная отчетность'!AF24,'Квартальная отчетность'!AG127)</f>
        <v>0</v>
      </c>
      <c s="125">
        <f>SUM('Квартальная отчетность'!AG24,'Квартальная отчетность'!AH127)</f>
        <v>0</v>
      </c>
      <c s="125">
        <f>SUM('Квартальная отчетность'!AH24,'Квартальная отчетность'!AH127)</f>
        <v>0</v>
      </c>
      <c s="125">
        <f>SUM('Квартальная отчетность'!AI24,'Квартальная отчетность'!AI127)</f>
        <v>0</v>
      </c>
      <c s="125">
        <f>SUM('Квартальная отчетность'!AJ24,'Квартальная отчетность'!AJ127)</f>
        <v>0</v>
      </c>
      <c s="125">
        <f>SUM('Квартальная отчетность'!AK24,'Квартальная отчетность'!AK127)</f>
        <v>0</v>
      </c>
      <c s="125">
        <f>SUM('Квартальная отчетность'!AL24,'Квартальная отчетность'!AL127)</f>
        <v>0</v>
      </c>
      <c s="125">
        <f>SUM('Квартальная отчетность'!AM24,'Квартальная отчетность'!AM127)</f>
        <v>0</v>
      </c>
      <c s="125">
        <f>SUM('Квартальная отчетность'!AN24,'Квартальная отчетность'!AN127)</f>
        <v>0</v>
      </c>
      <c s="125">
        <f>SUM('Квартальная отчетность'!AO24,'Квартальная отчетность'!AO127)</f>
        <v>0</v>
      </c>
      <c s="125">
        <f>SUM('Квартальная отчетность'!AP24,'Квартальная отчетность'!AP127)</f>
        <v>0</v>
      </c>
      <c s="125">
        <f>SUM('Квартальная отчетность'!AQ24,'Квартальная отчетность'!AQ127)</f>
        <v>0</v>
      </c>
      <c s="125">
        <f>SUM('Квартальная отчетность'!AR24,'Квартальная отчетность'!AR127)</f>
        <v>0</v>
      </c>
      <c s="125">
        <f>SUM('Квартальная отчетность'!AS24,'Квартальная отчетность'!AS127)</f>
        <v>0</v>
      </c>
      <c s="125">
        <f>SUM('Квартальная отчетность'!AT24,'Квартальная отчетность'!AT127)</f>
        <v>0</v>
      </c>
      <c s="125">
        <f>SUM('Квартальная отчетность'!AU24,'Квартальная отчетность'!AU127)</f>
        <v>0</v>
      </c>
      <c s="125">
        <f>SUM('Квартальная отчетность'!AV24,'Квартальная отчетность'!AV127)</f>
        <v>0</v>
      </c>
      <c s="125">
        <f>SUM('Квартальная отчетность'!AW24,'Квартальная отчетность'!AW127)</f>
        <v>0</v>
      </c>
      <c s="125">
        <f>SUM('Квартальная отчетность'!AX24,'Квартальная отчетность'!AX127)</f>
        <v>0</v>
      </c>
      <c s="125">
        <f>SUM('Квартальная отчетность'!AY24,'Квартальная отчетность'!AY127)</f>
        <v>0</v>
      </c>
      <c s="125">
        <f>SUM('Квартальная отчетность'!AZ24,'Квартальная отчетность'!AZ127)</f>
        <v>0</v>
      </c>
      <c s="125">
        <f>SUM('Квартальная отчетность'!BA24,'Квартальная отчетность'!BA127)</f>
        <v>0</v>
      </c>
      <c s="125">
        <f>SUM('Квартальная отчетность'!BB24,'Квартальная отчетность'!BB127)</f>
        <v>0</v>
      </c>
      <c s="125">
        <f>SUM('Квартальная отчетность'!BC24,'Квартальная отчетность'!BC127)</f>
        <v>0</v>
      </c>
      <c s="125">
        <f>SUM('Квартальная отчетность'!BD24,'Квартальная отчетность'!BD127)</f>
        <v>0</v>
      </c>
      <c s="125">
        <f>SUM('Квартальная отчетность'!BE24,'Квартальная отчетность'!BE127)</f>
        <v>0</v>
      </c>
      <c s="125">
        <f>SUM('Квартальная отчетность'!BF24,'Квартальная отчетность'!BF127)</f>
        <v>0</v>
      </c>
      <c s="125">
        <f>SUM('Квартальная отчетность'!BG24,'Квартальная отчетность'!BG127)</f>
        <v>0</v>
      </c>
      <c s="125">
        <f>SUM('Квартальная отчетность'!BH24,'Квартальная отчетность'!BH127)</f>
        <v>0</v>
      </c>
      <c s="125">
        <f>SUM('Квартальная отчетность'!BI24,'Квартальная отчетность'!BI127)</f>
        <v>0</v>
      </c>
      <c s="125">
        <f>SUM('Квартальная отчетность'!BJ24,'Квартальная отчетность'!BJ127)</f>
        <v>0</v>
      </c>
      <c s="125">
        <f>SUM('Квартальная отчетность'!BK24,'Квартальная отчетность'!BK127)</f>
        <v>0</v>
      </c>
      <c s="125">
        <f>SUM('Квартальная отчетность'!BL24,'Квартальная отчетность'!BL127)</f>
        <v>0</v>
      </c>
      <c s="125">
        <f>SUM('Квартальная отчетность'!BM24,'Квартальная отчетность'!BM127)</f>
        <v>0</v>
      </c>
    </row>
    <row r="274" spans="2:65" ht="15" customHeight="1">
      <c r="B274" s="12" t="s">
        <v>570</v>
      </c>
      <c s="124" t="str">
        <f t="shared" si="246"/>
        <v>тыс. руб.</v>
      </c>
      <c s="276">
        <f>SUM(E274:BM274)</f>
        <v>0</v>
      </c>
      <c s="125">
        <f>SUM('Квартальная отчетность'!E25,'Квартальная отчетность'!E128)</f>
        <v>0</v>
      </c>
      <c s="125">
        <f>SUM('Квартальная отчетность'!F25,'Квартальная отчетность'!F128)</f>
        <v>0</v>
      </c>
      <c s="125">
        <f>SUM('Квартальная отчетность'!G25,'Квартальная отчетность'!G128)</f>
        <v>0</v>
      </c>
      <c s="125">
        <f>SUM('Квартальная отчетность'!H25,'Квартальная отчетность'!H128)</f>
        <v>0</v>
      </c>
      <c s="125">
        <f>SUM('Квартальная отчетность'!I25,'Квартальная отчетность'!I128)</f>
        <v>0</v>
      </c>
      <c s="125">
        <f>SUM('Квартальная отчетность'!J25,'Квартальная отчетность'!J128)</f>
        <v>0</v>
      </c>
      <c s="125">
        <f>SUM('Квартальная отчетность'!K25,'Квартальная отчетность'!K128)</f>
        <v>0</v>
      </c>
      <c s="125">
        <f>SUM('Квартальная отчетность'!L25,'Квартальная отчетность'!L128)</f>
        <v>0</v>
      </c>
      <c s="125">
        <f>SUM('Квартальная отчетность'!M25,'Квартальная отчетность'!M128)</f>
        <v>0</v>
      </c>
      <c s="125">
        <f>SUM('Квартальная отчетность'!N25,'Квартальная отчетность'!N128)</f>
        <v>0</v>
      </c>
      <c s="125">
        <f>SUM('Квартальная отчетность'!O25,'Квартальная отчетность'!O128)</f>
        <v>0</v>
      </c>
      <c s="125">
        <f>SUM('Квартальная отчетность'!P25,'Квартальная отчетность'!P128)</f>
        <v>0</v>
      </c>
      <c s="125">
        <f>SUM('Квартальная отчетность'!Q25,'Квартальная отчетность'!Q128)</f>
        <v>0</v>
      </c>
      <c s="125">
        <f>SUM('Квартальная отчетность'!R25,'Квартальная отчетность'!R128)</f>
        <v>0</v>
      </c>
      <c s="125">
        <f>SUM('Квартальная отчетность'!S25,'Квартальная отчетность'!S128)</f>
        <v>0</v>
      </c>
      <c s="125">
        <f>SUM('Квартальная отчетность'!T25,'Квартальная отчетность'!T128)</f>
        <v>0</v>
      </c>
      <c s="125">
        <f>SUM('Квартальная отчетность'!U25,'Квартальная отчетность'!U128)</f>
        <v>0</v>
      </c>
      <c s="125">
        <f>SUM('Квартальная отчетность'!V25,'Квартальная отчетность'!V128)</f>
        <v>0</v>
      </c>
      <c s="125">
        <f>SUM('Квартальная отчетность'!W25,'Квартальная отчетность'!W128)</f>
        <v>0</v>
      </c>
      <c s="125">
        <f>SUM('Квартальная отчетность'!X25,'Квартальная отчетность'!X128)</f>
        <v>0</v>
      </c>
      <c s="125">
        <f>SUM('Квартальная отчетность'!Y25,'Квартальная отчетность'!Y128)</f>
        <v>0</v>
      </c>
      <c s="125">
        <f>SUM('Квартальная отчетность'!Z25,'Квартальная отчетность'!Z128)</f>
        <v>0</v>
      </c>
      <c s="125">
        <f>SUM('Квартальная отчетность'!AA25,'Квартальная отчетность'!AA128)</f>
        <v>0</v>
      </c>
      <c s="125">
        <f>SUM('Квартальная отчетность'!AB25,'Квартальная отчетность'!AB128)</f>
        <v>0</v>
      </c>
      <c s="125">
        <f>SUM('Квартальная отчетность'!AC25,'Квартальная отчетность'!AC128)</f>
        <v>0</v>
      </c>
      <c s="125">
        <f>SUM('Квартальная отчетность'!AD25,'Квартальная отчетность'!AD128)</f>
        <v>0</v>
      </c>
      <c s="125">
        <f>SUM('Квартальная отчетность'!AE25,'Квартальная отчетность'!AE128)</f>
        <v>0</v>
      </c>
      <c s="125">
        <f>SUM('Квартальная отчетность'!AF25,'Квартальная отчетность'!AF128)</f>
        <v>0</v>
      </c>
      <c s="125">
        <f>SUM('Квартальная отчетность'!AG25,'Квартальная отчетность'!AG128)</f>
        <v>0</v>
      </c>
      <c s="125">
        <f>SUM('Квартальная отчетность'!AH25,'Квартальная отчетность'!AH128)</f>
        <v>0</v>
      </c>
      <c s="125">
        <f>SUM('Квартальная отчетность'!AI25,'Квартальная отчетность'!AI128)</f>
        <v>0</v>
      </c>
      <c s="125">
        <f>SUM('Квартальная отчетность'!AJ25,'Квартальная отчетность'!AJ128)</f>
        <v>0</v>
      </c>
      <c s="125">
        <f>SUM('Квартальная отчетность'!AK25,'Квартальная отчетность'!AK128)</f>
        <v>0</v>
      </c>
      <c s="125">
        <f>SUM('Квартальная отчетность'!AL25,'Квартальная отчетность'!AL128)</f>
        <v>0</v>
      </c>
      <c s="125">
        <f>SUM('Квартальная отчетность'!AM25,'Квартальная отчетность'!AM128)</f>
        <v>0</v>
      </c>
      <c s="125">
        <f>SUM('Квартальная отчетность'!AN25,'Квартальная отчетность'!AN128)</f>
        <v>0</v>
      </c>
      <c s="125">
        <f>SUM('Квартальная отчетность'!AO25,'Квартальная отчетность'!AO128)</f>
        <v>0</v>
      </c>
      <c s="125">
        <f>SUM('Квартальная отчетность'!AP25,'Квартальная отчетность'!AP128)</f>
        <v>0</v>
      </c>
      <c s="125">
        <f>SUM('Квартальная отчетность'!AQ25,'Квартальная отчетность'!AQ128)</f>
        <v>0</v>
      </c>
      <c s="125">
        <f>SUM('Квартальная отчетность'!AR25,'Квартальная отчетность'!AR128)</f>
        <v>0</v>
      </c>
      <c s="125">
        <f>SUM('Квартальная отчетность'!AS25,'Квартальная отчетность'!AS128)</f>
        <v>0</v>
      </c>
      <c s="125">
        <f>SUM('Квартальная отчетность'!AT25,'Квартальная отчетность'!AT128)</f>
        <v>0</v>
      </c>
      <c s="125">
        <f>SUM('Квартальная отчетность'!AU25,'Квартальная отчетность'!AU128)</f>
        <v>0</v>
      </c>
      <c s="125">
        <f>SUM('Квартальная отчетность'!AV25,'Квартальная отчетность'!AV128)</f>
        <v>0</v>
      </c>
      <c s="125">
        <f>SUM('Квартальная отчетность'!AW25,'Квартальная отчетность'!AW128)</f>
        <v>0</v>
      </c>
      <c s="125">
        <f>SUM('Квартальная отчетность'!AX25,'Квартальная отчетность'!AX128)</f>
        <v>0</v>
      </c>
      <c s="125">
        <f>SUM('Квартальная отчетность'!AY25,'Квартальная отчетность'!AY128)</f>
        <v>0</v>
      </c>
      <c s="125">
        <f>SUM('Квартальная отчетность'!AZ25,'Квартальная отчетность'!AZ128)</f>
        <v>0</v>
      </c>
      <c s="125">
        <f>SUM('Квартальная отчетность'!BA25,'Квартальная отчетность'!BA128)</f>
        <v>0</v>
      </c>
      <c s="125">
        <f>SUM('Квартальная отчетность'!BB25,'Квартальная отчетность'!BB128)</f>
        <v>0</v>
      </c>
      <c s="125">
        <f>SUM('Квартальная отчетность'!BC25,'Квартальная отчетность'!BC128)</f>
        <v>0</v>
      </c>
      <c s="125">
        <f>SUM('Квартальная отчетность'!BD25,'Квартальная отчетность'!BD128)</f>
        <v>0</v>
      </c>
      <c s="125">
        <f>SUM('Квартальная отчетность'!BE25,'Квартальная отчетность'!BE128)</f>
        <v>0</v>
      </c>
      <c s="125">
        <f>SUM('Квартальная отчетность'!BF25,'Квартальная отчетность'!BF128)</f>
        <v>0</v>
      </c>
      <c s="125">
        <f>SUM('Квартальная отчетность'!BG25,'Квартальная отчетность'!BG128)</f>
        <v>0</v>
      </c>
      <c s="125">
        <f>SUM('Квартальная отчетность'!BH25,'Квартальная отчетность'!BH128)</f>
        <v>0</v>
      </c>
      <c s="125">
        <f>SUM('Квартальная отчетность'!BI25,'Квартальная отчетность'!BI128)</f>
        <v>0</v>
      </c>
      <c s="125">
        <f>SUM('Квартальная отчетность'!BJ25,'Квартальная отчетность'!BJ128)</f>
        <v>0</v>
      </c>
      <c s="125">
        <f>SUM('Квартальная отчетность'!BK25,'Квартальная отчетность'!BK128)</f>
        <v>0</v>
      </c>
      <c s="125">
        <f>SUM('Квартальная отчетность'!BL25,'Квартальная отчетность'!BL128)</f>
        <v>0</v>
      </c>
      <c s="125">
        <f>SUM('Квартальная отчетность'!BM25,'Квартальная отчетность'!BM128)</f>
        <v>0</v>
      </c>
    </row>
    <row r="275" spans="2:65" ht="15" customHeight="1">
      <c r="B275" s="12" t="s">
        <v>976</v>
      </c>
      <c s="124" t="str">
        <f t="shared" si="246"/>
        <v>тыс. руб.</v>
      </c>
      <c s="276">
        <f>SUM(E275:BM275)</f>
        <v>0</v>
      </c>
      <c s="125">
        <f>SUM('Квартальная отчетность'!E26,'Квартальная отчетность'!E129)</f>
        <v>0</v>
      </c>
      <c s="125">
        <f>SUM('Квартальная отчетность'!F26,'Квартальная отчетность'!F129)</f>
        <v>0</v>
      </c>
      <c s="125">
        <f>SUM('Квартальная отчетность'!G26,'Квартальная отчетность'!G129)</f>
        <v>0</v>
      </c>
      <c s="125">
        <f>SUM('Квартальная отчетность'!H26,'Квартальная отчетность'!H129)</f>
        <v>0</v>
      </c>
      <c s="125">
        <f>SUM('Квартальная отчетность'!I26,'Квартальная отчетность'!I129)</f>
        <v>0</v>
      </c>
      <c s="125">
        <f>SUM('Квартальная отчетность'!J26,'Квартальная отчетность'!J129)</f>
        <v>0</v>
      </c>
      <c s="125">
        <f>SUM('Квартальная отчетность'!K26,'Квартальная отчетность'!K129)</f>
        <v>0</v>
      </c>
      <c s="125">
        <f>SUM('Квартальная отчетность'!L26,'Квартальная отчетность'!L129)</f>
        <v>0</v>
      </c>
      <c s="125">
        <f>SUM('Квартальная отчетность'!M26,'Квартальная отчетность'!M129)</f>
        <v>0</v>
      </c>
      <c s="125">
        <f>SUM('Квартальная отчетность'!N26,'Квартальная отчетность'!N129)</f>
        <v>0</v>
      </c>
      <c s="125">
        <f>SUM('Квартальная отчетность'!O26,'Квартальная отчетность'!O129)</f>
        <v>0</v>
      </c>
      <c s="125">
        <f>SUM('Квартальная отчетность'!P26,'Квартальная отчетность'!P129)</f>
        <v>0</v>
      </c>
      <c s="125">
        <f>SUM('Квартальная отчетность'!Q26,'Квартальная отчетность'!Q129)</f>
        <v>0</v>
      </c>
      <c s="125">
        <f>SUM('Квартальная отчетность'!R26,'Квартальная отчетность'!R129)</f>
        <v>0</v>
      </c>
      <c s="125">
        <f>SUM('Квартальная отчетность'!S26,'Квартальная отчетность'!S129)</f>
        <v>0</v>
      </c>
      <c s="125">
        <f>SUM('Квартальная отчетность'!T26,'Квартальная отчетность'!T129)</f>
        <v>0</v>
      </c>
      <c s="125">
        <f>SUM('Квартальная отчетность'!U26,'Квартальная отчетность'!U129)</f>
        <v>0</v>
      </c>
      <c s="125">
        <f>SUM('Квартальная отчетность'!V26,'Квартальная отчетность'!V129)</f>
        <v>0</v>
      </c>
      <c s="125">
        <f>SUM('Квартальная отчетность'!W26,'Квартальная отчетность'!W129)</f>
        <v>0</v>
      </c>
      <c s="125">
        <f>SUM('Квартальная отчетность'!X26,'Квартальная отчетность'!X129)</f>
        <v>0</v>
      </c>
      <c s="125">
        <f>SUM('Квартальная отчетность'!Y26,'Квартальная отчетность'!Y129)</f>
        <v>0</v>
      </c>
      <c s="125">
        <f>SUM('Квартальная отчетность'!Z26,'Квартальная отчетность'!Z129)</f>
        <v>0</v>
      </c>
      <c s="125">
        <f>SUM('Квартальная отчетность'!AA26,'Квартальная отчетность'!AA129)</f>
        <v>0</v>
      </c>
      <c s="125">
        <f>SUM('Квартальная отчетность'!AB26,'Квартальная отчетность'!AB129)</f>
        <v>0</v>
      </c>
      <c s="125">
        <f>SUM('Квартальная отчетность'!AC26,'Квартальная отчетность'!AC129)</f>
        <v>0</v>
      </c>
      <c s="125">
        <f>SUM('Квартальная отчетность'!AD26,'Квартальная отчетность'!AD129)</f>
        <v>0</v>
      </c>
      <c s="125">
        <f>SUM('Квартальная отчетность'!AE26,'Квартальная отчетность'!AE129)</f>
        <v>0</v>
      </c>
      <c s="125">
        <f>SUM('Квартальная отчетность'!AF26,'Квартальная отчетность'!AF129)</f>
        <v>0</v>
      </c>
      <c s="125">
        <f>SUM('Квартальная отчетность'!AG26,'Квартальная отчетность'!AG129)</f>
        <v>0</v>
      </c>
      <c s="125">
        <f>SUM('Квартальная отчетность'!AH26,'Квартальная отчетность'!AH129)</f>
        <v>0</v>
      </c>
      <c s="125">
        <f>SUM('Квартальная отчетность'!AI26,'Квартальная отчетность'!AI129)</f>
        <v>0</v>
      </c>
      <c s="125">
        <f>SUM('Квартальная отчетность'!AJ26,'Квартальная отчетность'!AJ129)</f>
        <v>0</v>
      </c>
      <c s="125">
        <f>SUM('Квартальная отчетность'!AK26,'Квартальная отчетность'!AK129)</f>
        <v>0</v>
      </c>
      <c s="125">
        <f>SUM('Квартальная отчетность'!AL26,'Квартальная отчетность'!AL129)</f>
        <v>0</v>
      </c>
      <c s="125">
        <f>SUM('Квартальная отчетность'!AM26,'Квартальная отчетность'!AM129)</f>
        <v>0</v>
      </c>
      <c s="125">
        <f>SUM('Квартальная отчетность'!AN26,'Квартальная отчетность'!AN129)</f>
        <v>0</v>
      </c>
      <c s="125">
        <f>SUM('Квартальная отчетность'!AO26,'Квартальная отчетность'!AO129)</f>
        <v>0</v>
      </c>
      <c s="125">
        <f>SUM('Квартальная отчетность'!AP26,'Квартальная отчетность'!AP129)</f>
        <v>0</v>
      </c>
      <c s="125">
        <f>SUM('Квартальная отчетность'!AQ26,'Квартальная отчетность'!AQ129)</f>
        <v>0</v>
      </c>
      <c s="125">
        <f>SUM('Квартальная отчетность'!AR26,'Квартальная отчетность'!AR129)</f>
        <v>0</v>
      </c>
      <c s="125">
        <f>SUM('Квартальная отчетность'!AS26,'Квартальная отчетность'!AS129)</f>
        <v>0</v>
      </c>
      <c s="125">
        <f>SUM('Квартальная отчетность'!AT26,'Квартальная отчетность'!AT129)</f>
        <v>0</v>
      </c>
      <c s="125">
        <f>SUM('Квартальная отчетность'!AU26,'Квартальная отчетность'!AU129)</f>
        <v>0</v>
      </c>
      <c s="125">
        <f>SUM('Квартальная отчетность'!AV26,'Квартальная отчетность'!AV129)</f>
        <v>0</v>
      </c>
      <c s="125">
        <f>SUM('Квартальная отчетность'!AW26,'Квартальная отчетность'!AW129)</f>
        <v>0</v>
      </c>
      <c s="125">
        <f>SUM('Квартальная отчетность'!AX26,'Квартальная отчетность'!AX129)</f>
        <v>0</v>
      </c>
      <c s="125">
        <f>SUM('Квартальная отчетность'!AY26,'Квартальная отчетность'!AY129)</f>
        <v>0</v>
      </c>
      <c s="125">
        <f>SUM('Квартальная отчетность'!AZ26,'Квартальная отчетность'!AZ129)</f>
        <v>0</v>
      </c>
      <c s="125">
        <f>SUM('Квартальная отчетность'!BA26,'Квартальная отчетность'!BA129)</f>
        <v>0</v>
      </c>
      <c s="125">
        <f>SUM('Квартальная отчетность'!BB26,'Квартальная отчетность'!BB129)</f>
        <v>0</v>
      </c>
      <c s="125">
        <f>SUM('Квартальная отчетность'!BC26,'Квартальная отчетность'!BC129)</f>
        <v>0</v>
      </c>
      <c s="125">
        <f>SUM('Квартальная отчетность'!BD26,'Квартальная отчетность'!BD129)</f>
        <v>0</v>
      </c>
      <c s="125">
        <f>SUM('Квартальная отчетность'!BE26,'Квартальная отчетность'!BE129)</f>
        <v>0</v>
      </c>
      <c s="125">
        <f>SUM('Квартальная отчетность'!BF26,'Квартальная отчетность'!BF129)</f>
        <v>0</v>
      </c>
      <c s="125">
        <f>SUM('Квартальная отчетность'!BG26,'Квартальная отчетность'!BG129)</f>
        <v>0</v>
      </c>
      <c s="125">
        <f>SUM('Квартальная отчетность'!BH26,'Квартальная отчетность'!BH129)</f>
        <v>0</v>
      </c>
      <c s="125">
        <f>SUM('Квартальная отчетность'!BI26,'Квартальная отчетность'!BI129)</f>
        <v>0</v>
      </c>
      <c s="125">
        <f>SUM('Квартальная отчетность'!BJ26,'Квартальная отчетность'!BJ129)</f>
        <v>0</v>
      </c>
      <c s="125">
        <f>SUM('Квартальная отчетность'!BK26,'Квартальная отчетность'!BK129)</f>
        <v>0</v>
      </c>
      <c s="125">
        <f>SUM('Квартальная отчетность'!BL26,'Квартальная отчетность'!BL129)</f>
        <v>0</v>
      </c>
      <c s="125">
        <f>SUM('Квартальная отчетность'!BM26,'Квартальная отчетность'!BM129)</f>
        <v>0</v>
      </c>
    </row>
    <row r="276" spans="2:65" ht="15" customHeight="1">
      <c r="B276" s="289" t="s">
        <v>281</v>
      </c>
      <c s="290" t="str">
        <f t="shared" si="246"/>
        <v>тыс. руб.</v>
      </c>
      <c s="276">
        <f ca="1" t="shared" si="253" ref="D276:E276">SUM(D270:D275)</f>
        <v>0</v>
      </c>
      <c s="276">
        <f t="shared" ca="1" si="253"/>
        <v>0</v>
      </c>
      <c s="276">
        <f ca="1" t="shared" si="254" ref="F276:AG276">SUM(F270:F275)</f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t="shared" ca="1" si="254"/>
        <v>0</v>
      </c>
      <c s="276">
        <f ca="1" t="shared" si="255" ref="AH276:BM276">SUM(AH270:AH275)</f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  <c s="276">
        <f t="shared" ca="1" si="255"/>
        <v>0</v>
      </c>
    </row>
    <row r="277" spans="2:65" ht="15" customHeight="1">
      <c r="B277" s="12" t="s">
        <v>573</v>
      </c>
      <c s="124" t="str">
        <f t="shared" si="246"/>
        <v>тыс. руб.</v>
      </c>
      <c s="276">
        <f ca="1">SUM(E277:BM277)</f>
        <v>0</v>
      </c>
      <c s="125">
        <f>SUM('Квартальная отчетность'!E28,'Квартальная отчетность'!E131)</f>
        <v>0</v>
      </c>
      <c s="125">
        <f ca="1">SUM('Квартальная отчетность'!F28,'Квартальная отчетность'!F131)</f>
        <v>0</v>
      </c>
      <c s="125">
        <f ca="1">SUM('Квартальная отчетность'!G28,'Квартальная отчетность'!G131)</f>
        <v>0</v>
      </c>
      <c s="125">
        <f ca="1">SUM('Квартальная отчетность'!H28,'Квартальная отчетность'!H131)</f>
        <v>0</v>
      </c>
      <c s="125">
        <f ca="1">SUM('Квартальная отчетность'!I28,'Квартальная отчетность'!I131)</f>
        <v>0</v>
      </c>
      <c s="125">
        <f ca="1">SUM('Квартальная отчетность'!J28,'Квартальная отчетность'!J131)</f>
        <v>0</v>
      </c>
      <c s="125">
        <f ca="1">SUM('Квартальная отчетность'!K28,'Квартальная отчетность'!K131)</f>
        <v>0</v>
      </c>
      <c s="125">
        <f ca="1">SUM('Квартальная отчетность'!L28,'Квартальная отчетность'!L131)</f>
        <v>0</v>
      </c>
      <c s="125">
        <f ca="1">SUM('Квартальная отчетность'!M28,'Квартальная отчетность'!M131)</f>
        <v>0</v>
      </c>
      <c s="125">
        <f ca="1">SUM('Квартальная отчетность'!N28,'Квартальная отчетность'!N131)</f>
        <v>0</v>
      </c>
      <c s="125">
        <f ca="1">SUM('Квартальная отчетность'!O28,'Квартальная отчетность'!O131)</f>
        <v>0</v>
      </c>
      <c s="125">
        <f ca="1">SUM('Квартальная отчетность'!P28,'Квартальная отчетность'!P131)</f>
        <v>0</v>
      </c>
      <c s="125">
        <f ca="1">SUM('Квартальная отчетность'!Q28,'Квартальная отчетность'!Q131)</f>
        <v>0</v>
      </c>
      <c s="125">
        <f ca="1">SUM('Квартальная отчетность'!R28,'Квартальная отчетность'!R131)</f>
        <v>0</v>
      </c>
      <c s="125">
        <f ca="1">SUM('Квартальная отчетность'!S28,'Квартальная отчетность'!S131)</f>
        <v>0</v>
      </c>
      <c s="125">
        <f ca="1">SUM('Квартальная отчетность'!T28,'Квартальная отчетность'!T131)</f>
        <v>0</v>
      </c>
      <c s="125">
        <f ca="1">SUM('Квартальная отчетность'!U28,'Квартальная отчетность'!U131)</f>
        <v>0</v>
      </c>
      <c s="125">
        <f ca="1">SUM('Квартальная отчетность'!V28,'Квартальная отчетность'!V131)</f>
        <v>0</v>
      </c>
      <c s="125">
        <f ca="1">SUM('Квартальная отчетность'!W28,'Квартальная отчетность'!W131)</f>
        <v>0</v>
      </c>
      <c s="125">
        <f ca="1">SUM('Квартальная отчетность'!X28,'Квартальная отчетность'!X131)</f>
        <v>0</v>
      </c>
      <c s="125">
        <f ca="1">SUM('Квартальная отчетность'!Y28,'Квартальная отчетность'!Y131)</f>
        <v>0</v>
      </c>
      <c s="125">
        <f ca="1">SUM('Квартальная отчетность'!Z28,'Квартальная отчетность'!Z131)</f>
        <v>0</v>
      </c>
      <c s="125">
        <f ca="1">SUM('Квартальная отчетность'!AA28,'Квартальная отчетность'!AA131)</f>
        <v>0</v>
      </c>
      <c s="125">
        <f ca="1">SUM('Квартальная отчетность'!AB28,'Квартальная отчетность'!AB131)</f>
        <v>0</v>
      </c>
      <c s="125">
        <f ca="1">SUM('Квартальная отчетность'!AC28,'Квартальная отчетность'!AC131)</f>
        <v>0</v>
      </c>
      <c s="125">
        <f ca="1">SUM('Квартальная отчетность'!AD28,'Квартальная отчетность'!AD131)</f>
        <v>0</v>
      </c>
      <c s="125">
        <f ca="1">SUM('Квартальная отчетность'!AE28,'Квартальная отчетность'!AE131)</f>
        <v>0</v>
      </c>
      <c s="125">
        <f ca="1">SUM('Квартальная отчетность'!AF28,'Квартальная отчетность'!AF131)</f>
        <v>0</v>
      </c>
      <c s="125">
        <f ca="1">SUM('Квартальная отчетность'!AG28,'Квартальная отчетность'!AG131)</f>
        <v>0</v>
      </c>
      <c s="125">
        <f ca="1">SUM('Квартальная отчетность'!AH28,'Квартальная отчетность'!AH131)</f>
        <v>0</v>
      </c>
      <c s="125">
        <f ca="1">SUM('Квартальная отчетность'!AI28,'Квартальная отчетность'!AI131)</f>
        <v>0</v>
      </c>
      <c s="125">
        <f ca="1">SUM('Квартальная отчетность'!AJ28,'Квартальная отчетность'!AJ131)</f>
        <v>0</v>
      </c>
      <c s="125">
        <f ca="1">SUM('Квартальная отчетность'!AK28,'Квартальная отчетность'!AK131)</f>
        <v>0</v>
      </c>
      <c s="125">
        <f ca="1">SUM('Квартальная отчетность'!AL28,'Квартальная отчетность'!AL131)</f>
        <v>0</v>
      </c>
      <c s="125">
        <f ca="1">SUM('Квартальная отчетность'!AM28,'Квартальная отчетность'!AM131)</f>
        <v>0</v>
      </c>
      <c s="125">
        <f ca="1">SUM('Квартальная отчетность'!AN28,'Квартальная отчетность'!AN131)</f>
        <v>0</v>
      </c>
      <c s="125">
        <f ca="1">SUM('Квартальная отчетность'!AO28,'Квартальная отчетность'!AO131)</f>
        <v>0</v>
      </c>
      <c s="125">
        <f ca="1">SUM('Квартальная отчетность'!AP28,'Квартальная отчетность'!AP131)</f>
        <v>0</v>
      </c>
      <c s="125">
        <f ca="1">SUM('Квартальная отчетность'!AQ28,'Квартальная отчетность'!AQ131)</f>
        <v>0</v>
      </c>
      <c s="125">
        <f ca="1">SUM('Квартальная отчетность'!AR28,'Квартальная отчетность'!AR131)</f>
        <v>0</v>
      </c>
      <c s="125">
        <f ca="1">SUM('Квартальная отчетность'!AS28,'Квартальная отчетность'!AS131)</f>
        <v>0</v>
      </c>
      <c s="125">
        <f ca="1">SUM('Квартальная отчетность'!AT28,'Квартальная отчетность'!AT131)</f>
        <v>0</v>
      </c>
      <c s="125">
        <f ca="1">SUM('Квартальная отчетность'!AU28,'Квартальная отчетность'!AU131)</f>
        <v>0</v>
      </c>
      <c s="125">
        <f ca="1">SUM('Квартальная отчетность'!AV28,'Квартальная отчетность'!AV131)</f>
        <v>0</v>
      </c>
      <c s="125">
        <f ca="1">SUM('Квартальная отчетность'!AW28,'Квартальная отчетность'!AW131)</f>
        <v>0</v>
      </c>
      <c s="125">
        <f ca="1">SUM('Квартальная отчетность'!AX28,'Квартальная отчетность'!AX131)</f>
        <v>0</v>
      </c>
      <c s="125">
        <f ca="1">SUM('Квартальная отчетность'!AY28,'Квартальная отчетность'!AY131)</f>
        <v>0</v>
      </c>
      <c s="125">
        <f ca="1">SUM('Квартальная отчетность'!AZ28,'Квартальная отчетность'!AZ131)</f>
        <v>0</v>
      </c>
      <c s="125">
        <f ca="1">SUM('Квартальная отчетность'!BA28,'Квартальная отчетность'!BA131)</f>
        <v>0</v>
      </c>
      <c s="125">
        <f ca="1">SUM('Квартальная отчетность'!BB28,'Квартальная отчетность'!BB131)</f>
        <v>0</v>
      </c>
      <c s="125">
        <f ca="1">SUM('Квартальная отчетность'!BC28,'Квартальная отчетность'!BC131)</f>
        <v>0</v>
      </c>
      <c s="125">
        <f ca="1">SUM('Квартальная отчетность'!BD28,'Квартальная отчетность'!BD131)</f>
        <v>0</v>
      </c>
      <c s="125">
        <f ca="1">SUM('Квартальная отчетность'!BE28,'Квартальная отчетность'!BE131)</f>
        <v>0</v>
      </c>
      <c s="125">
        <f ca="1">SUM('Квартальная отчетность'!BF28,'Квартальная отчетность'!BF131)</f>
        <v>0</v>
      </c>
      <c s="125">
        <f ca="1">SUM('Квартальная отчетность'!BG28,'Квартальная отчетность'!BG131)</f>
        <v>0</v>
      </c>
      <c s="125">
        <f ca="1">SUM('Квартальная отчетность'!BH28,'Квартальная отчетность'!BH131)</f>
        <v>0</v>
      </c>
      <c s="125">
        <f ca="1">SUM('Квартальная отчетность'!BI28,'Квартальная отчетность'!BI131)</f>
        <v>0</v>
      </c>
      <c s="125">
        <f ca="1">SUM('Квартальная отчетность'!BJ28,'Квартальная отчетность'!BJ131)</f>
        <v>0</v>
      </c>
      <c s="125">
        <f ca="1">SUM('Квартальная отчетность'!BK28,'Квартальная отчетность'!BK131)</f>
        <v>0</v>
      </c>
      <c s="125">
        <f ca="1">SUM('Квартальная отчетность'!BL28,'Квартальная отчетность'!BL131)</f>
        <v>0</v>
      </c>
      <c s="125">
        <f ca="1">SUM('Квартальная отчетность'!BM28,'Квартальная отчетность'!BM131)</f>
        <v>0</v>
      </c>
    </row>
    <row r="278" spans="2:65" ht="15" customHeight="1">
      <c r="B278" s="289" t="s">
        <v>283</v>
      </c>
      <c s="290" t="str">
        <f t="shared" si="246"/>
        <v>тыс. руб.</v>
      </c>
      <c s="291">
        <f ca="1" t="shared" si="256" ref="D278:E278">SUM(D276:D277)</f>
        <v>0</v>
      </c>
      <c s="276">
        <f t="shared" ca="1" si="256"/>
        <v>0</v>
      </c>
      <c s="276">
        <f ca="1" t="shared" si="257" ref="F278:AG278">SUM(F276:F277)</f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t="shared" ca="1" si="257"/>
        <v>0</v>
      </c>
      <c s="276">
        <f ca="1" t="shared" si="258" ref="AH278:BM278">SUM(AH276:AH277)</f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  <c s="276">
        <f t="shared" ca="1" si="258"/>
        <v>0</v>
      </c>
    </row>
    <row r="279" ht="15" customHeight="1"/>
    <row r="280" spans="2:71" ht="21">
      <c r="B280" s="23" t="s">
        <v>330</v>
      </c>
      <c r="D28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1" spans="2:71" ht="21">
      <c r="B281" s="24" t="s">
        <v>979</v>
      </c>
      <c r="D28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2" spans="2:69" ht="14.45">
      <c r="B282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3" spans="2:65" ht="15" customHeight="1">
      <c r="B283" s="130" t="s">
        <v>1026</v>
      </c>
      <c s="124" t="s">
        <v>438</v>
      </c>
      <c s="276">
        <f>SUM(E283:BM283)</f>
        <v>0</v>
      </c>
      <c s="125">
        <f>SUM('Квартальная отчетность'!E39,'Квартальная отчетность'!E143)</f>
        <v>0</v>
      </c>
      <c s="125">
        <f>SUM('Квартальная отчетность'!F39,'Квартальная отчетность'!F143)</f>
        <v>0</v>
      </c>
      <c s="125">
        <f>SUM('Квартальная отчетность'!G39,'Квартальная отчетность'!G143)</f>
        <v>0</v>
      </c>
      <c s="125">
        <f>SUM('Квартальная отчетность'!H39,'Квартальная отчетность'!H143)</f>
        <v>0</v>
      </c>
      <c s="125">
        <f>SUM('Квартальная отчетность'!I39,'Квартальная отчетность'!I143)</f>
        <v>0</v>
      </c>
      <c s="125">
        <f>SUM('Квартальная отчетность'!J39,'Квартальная отчетность'!J143)</f>
        <v>0</v>
      </c>
      <c s="125">
        <f>SUM('Квартальная отчетность'!K39,'Квартальная отчетность'!K143)</f>
        <v>0</v>
      </c>
      <c s="125">
        <f>SUM('Квартальная отчетность'!L39,'Квартальная отчетность'!L143)</f>
        <v>0</v>
      </c>
      <c s="125">
        <f>SUM('Квартальная отчетность'!M39,'Квартальная отчетность'!M143)</f>
        <v>0</v>
      </c>
      <c s="125">
        <f>SUM('Квартальная отчетность'!N39,'Квартальная отчетность'!N143)</f>
        <v>0</v>
      </c>
      <c s="125">
        <f>SUM('Квартальная отчетность'!O39,'Квартальная отчетность'!O143)</f>
        <v>0</v>
      </c>
      <c s="125">
        <f>SUM('Квартальная отчетность'!P39,'Квартальная отчетность'!P143)</f>
        <v>0</v>
      </c>
      <c s="125">
        <f>SUM('Квартальная отчетность'!Q39,'Квартальная отчетность'!Q143)</f>
        <v>0</v>
      </c>
      <c s="125">
        <f>SUM('Квартальная отчетность'!R39,'Квартальная отчетность'!R143)</f>
        <v>0</v>
      </c>
      <c s="125">
        <f>SUM('Квартальная отчетность'!S39,'Квартальная отчетность'!S143)</f>
        <v>0</v>
      </c>
      <c s="125">
        <f>SUM('Квартальная отчетность'!T39,'Квартальная отчетность'!T143)</f>
        <v>0</v>
      </c>
      <c s="125">
        <f>SUM('Квартальная отчетность'!U39,'Квартальная отчетность'!U143)</f>
        <v>0</v>
      </c>
      <c s="125">
        <f>SUM('Квартальная отчетность'!V39,'Квартальная отчетность'!V143)</f>
        <v>0</v>
      </c>
      <c s="125">
        <f>SUM('Квартальная отчетность'!W39,'Квартальная отчетность'!W143)</f>
        <v>0</v>
      </c>
      <c s="125">
        <f>SUM('Квартальная отчетность'!X39,'Квартальная отчетность'!X143)</f>
        <v>0</v>
      </c>
      <c s="125">
        <f>SUM('Квартальная отчетность'!Y39,'Квартальная отчетность'!Y143)</f>
        <v>0</v>
      </c>
      <c s="125">
        <f>SUM('Квартальная отчетность'!Z39,'Квартальная отчетность'!Z143)</f>
        <v>0</v>
      </c>
      <c s="125">
        <f>SUM('Квартальная отчетность'!AA39,'Квартальная отчетность'!AA143)</f>
        <v>0</v>
      </c>
      <c s="125">
        <f>SUM('Квартальная отчетность'!AB39,'Квартальная отчетность'!AB143)</f>
        <v>0</v>
      </c>
      <c s="125">
        <f>SUM('Квартальная отчетность'!AC39,'Квартальная отчетность'!AC143)</f>
        <v>0</v>
      </c>
      <c s="125">
        <f>SUM('Квартальная отчетность'!AD39,'Квартальная отчетность'!AD143)</f>
        <v>0</v>
      </c>
      <c s="125">
        <f>SUM('Квартальная отчетность'!AE39,'Квартальная отчетность'!AE143)</f>
        <v>0</v>
      </c>
      <c s="125">
        <f>SUM('Квартальная отчетность'!AF39,'Квартальная отчетность'!AF143)</f>
        <v>0</v>
      </c>
      <c s="125">
        <f>SUM('Квартальная отчетность'!AG39,'Квартальная отчетность'!AG143)</f>
        <v>0</v>
      </c>
      <c s="125">
        <f>SUM('Квартальная отчетность'!AH39,'Квартальная отчетность'!AH143)</f>
        <v>0</v>
      </c>
      <c s="125">
        <f>SUM('Квартальная отчетность'!AI39,'Квартальная отчетность'!AI143)</f>
        <v>0</v>
      </c>
      <c s="125">
        <f>SUM('Квартальная отчетность'!AJ39,'Квартальная отчетность'!AJ143)</f>
        <v>0</v>
      </c>
      <c s="125">
        <f>SUM('Квартальная отчетность'!AK39,'Квартальная отчетность'!AK143)</f>
        <v>0</v>
      </c>
      <c s="125">
        <f>SUM('Квартальная отчетность'!AL39,'Квартальная отчетность'!AL143)</f>
        <v>0</v>
      </c>
      <c s="125">
        <f>SUM('Квартальная отчетность'!AM39,'Квартальная отчетность'!AM143)</f>
        <v>0</v>
      </c>
      <c s="125">
        <f>SUM('Квартальная отчетность'!AN39,'Квартальная отчетность'!AN143)</f>
        <v>0</v>
      </c>
      <c s="125">
        <f>SUM('Квартальная отчетность'!AO39,'Квартальная отчетность'!AO143)</f>
        <v>0</v>
      </c>
      <c s="125">
        <f>SUM('Квартальная отчетность'!AP39,'Квартальная отчетность'!AP143)</f>
        <v>0</v>
      </c>
      <c s="125">
        <f>SUM('Квартальная отчетность'!AQ39,'Квартальная отчетность'!AQ143)</f>
        <v>0</v>
      </c>
      <c s="125">
        <f>SUM('Квартальная отчетность'!AR39,'Квартальная отчетность'!AR143)</f>
        <v>0</v>
      </c>
      <c s="125">
        <f>SUM('Квартальная отчетность'!AS39,'Квартальная отчетность'!AS143)</f>
        <v>0</v>
      </c>
      <c s="125">
        <f>SUM('Квартальная отчетность'!AT39,'Квартальная отчетность'!AT143)</f>
        <v>0</v>
      </c>
      <c s="125">
        <f>SUM('Квартальная отчетность'!AU39,'Квартальная отчетность'!AU143)</f>
        <v>0</v>
      </c>
      <c s="125">
        <f>SUM('Квартальная отчетность'!AV39,'Квартальная отчетность'!AV143)</f>
        <v>0</v>
      </c>
      <c s="125">
        <f>SUM('Квартальная отчетность'!AW39,'Квартальная отчетность'!AW143)</f>
        <v>0</v>
      </c>
      <c s="125">
        <f>SUM('Квартальная отчетность'!AX39,'Квартальная отчетность'!AX143)</f>
        <v>0</v>
      </c>
      <c s="125">
        <f>SUM('Квартальная отчетность'!AY39,'Квартальная отчетность'!AY143)</f>
        <v>0</v>
      </c>
      <c s="125">
        <f>SUM('Квартальная отчетность'!AZ39,'Квартальная отчетность'!AZ143)</f>
        <v>0</v>
      </c>
      <c s="125">
        <f>SUM('Квартальная отчетность'!BA39,'Квартальная отчетность'!BA143)</f>
        <v>0</v>
      </c>
      <c s="125">
        <f>SUM('Квартальная отчетность'!BB39,'Квартальная отчетность'!BB143)</f>
        <v>0</v>
      </c>
      <c s="125">
        <f>SUM('Квартальная отчетность'!BC39,'Квартальная отчетность'!BC143)</f>
        <v>0</v>
      </c>
      <c s="125">
        <f>SUM('Квартальная отчетность'!BD39,'Квартальная отчетность'!BD143)</f>
        <v>0</v>
      </c>
      <c s="125">
        <f>SUM('Квартальная отчетность'!BE39,'Квартальная отчетность'!BE143)</f>
        <v>0</v>
      </c>
      <c s="125">
        <f>SUM('Квартальная отчетность'!BF39,'Квартальная отчетность'!BF143)</f>
        <v>0</v>
      </c>
      <c s="125">
        <f>SUM('Квартальная отчетность'!BG39,'Квартальная отчетность'!BG143)</f>
        <v>0</v>
      </c>
      <c s="125">
        <f>SUM('Квартальная отчетность'!BH39,'Квартальная отчетность'!BH143)</f>
        <v>0</v>
      </c>
      <c s="125">
        <f>SUM('Квартальная отчетность'!BI39,'Квартальная отчетность'!BI143)</f>
        <v>0</v>
      </c>
      <c s="125">
        <f>SUM('Квартальная отчетность'!BJ39,'Квартальная отчетность'!BJ143)</f>
        <v>0</v>
      </c>
      <c s="125">
        <f>SUM('Квартальная отчетность'!BK39,'Квартальная отчетность'!BK143)</f>
        <v>0</v>
      </c>
      <c s="125">
        <f>SUM('Квартальная отчетность'!BL39,'Квартальная отчетность'!BL143)</f>
        <v>0</v>
      </c>
      <c s="125">
        <f>SUM('Квартальная отчетность'!BM39,'Квартальная отчетность'!BM143)</f>
        <v>0</v>
      </c>
    </row>
    <row r="284" spans="2:65" ht="15" customHeight="1">
      <c r="B284" s="12" t="s">
        <v>1027</v>
      </c>
      <c s="124" t="s">
        <v>438</v>
      </c>
      <c s="276">
        <f>SUM(E284:BM284)</f>
        <v>0</v>
      </c>
      <c s="125">
        <f>'Квартальная отчетность'!E144</f>
        <v>0</v>
      </c>
      <c s="125">
        <f>'Квартальная отчетность'!F144</f>
        <v>0</v>
      </c>
      <c s="125">
        <f>'Квартальная отчетность'!G144</f>
        <v>0</v>
      </c>
      <c s="125">
        <f>'Квартальная отчетность'!H144</f>
        <v>0</v>
      </c>
      <c s="125">
        <f>'Квартальная отчетность'!I144</f>
        <v>0</v>
      </c>
      <c s="125">
        <f>'Квартальная отчетность'!J144</f>
        <v>0</v>
      </c>
      <c s="125">
        <f>'Квартальная отчетность'!K144</f>
        <v>0</v>
      </c>
      <c s="125">
        <f>'Квартальная отчетность'!L144</f>
        <v>0</v>
      </c>
      <c s="125">
        <f>'Квартальная отчетность'!M144</f>
        <v>0</v>
      </c>
      <c s="125">
        <f>'Квартальная отчетность'!N144</f>
        <v>0</v>
      </c>
      <c s="125">
        <f>'Квартальная отчетность'!O144</f>
        <v>0</v>
      </c>
      <c s="125">
        <f>'Квартальная отчетность'!P144</f>
        <v>0</v>
      </c>
      <c s="125">
        <f>'Квартальная отчетность'!Q144</f>
        <v>0</v>
      </c>
      <c s="125">
        <f>'Квартальная отчетность'!R144</f>
        <v>0</v>
      </c>
      <c s="125">
        <f>'Квартальная отчетность'!S144</f>
        <v>0</v>
      </c>
      <c s="125">
        <f>'Квартальная отчетность'!T144</f>
        <v>0</v>
      </c>
      <c s="125">
        <f>'Квартальная отчетность'!U144</f>
        <v>0</v>
      </c>
      <c s="125">
        <f>'Квартальная отчетность'!V144</f>
        <v>0</v>
      </c>
      <c s="125">
        <f>'Квартальная отчетность'!W144</f>
        <v>0</v>
      </c>
      <c s="125">
        <f>'Квартальная отчетность'!X144</f>
        <v>0</v>
      </c>
      <c s="125">
        <f>'Квартальная отчетность'!Y144</f>
        <v>0</v>
      </c>
      <c s="125">
        <f>'Квартальная отчетность'!Z144</f>
        <v>0</v>
      </c>
      <c s="125">
        <f>'Квартальная отчетность'!AA144</f>
        <v>0</v>
      </c>
      <c s="125">
        <f>'Квартальная отчетность'!AB144</f>
        <v>0</v>
      </c>
      <c s="125">
        <f>'Квартальная отчетность'!AC144</f>
        <v>0</v>
      </c>
      <c s="125">
        <f>'Квартальная отчетность'!AD144</f>
        <v>0</v>
      </c>
      <c s="125">
        <f>'Квартальная отчетность'!AE144</f>
        <v>0</v>
      </c>
      <c s="125">
        <f>'Квартальная отчетность'!AF144</f>
        <v>0</v>
      </c>
      <c s="125">
        <f>'Квартальная отчетность'!AG144</f>
        <v>0</v>
      </c>
      <c s="125">
        <f>'Квартальная отчетность'!AH144</f>
        <v>0</v>
      </c>
      <c s="125">
        <f>'Квартальная отчетность'!AI144</f>
        <v>0</v>
      </c>
      <c s="125">
        <f>'Квартальная отчетность'!AJ144</f>
        <v>0</v>
      </c>
      <c s="125">
        <f>'Квартальная отчетность'!AK144</f>
        <v>0</v>
      </c>
      <c s="125">
        <f>'Квартальная отчетность'!AL144</f>
        <v>0</v>
      </c>
      <c s="125">
        <f>'Квартальная отчетность'!AM144</f>
        <v>0</v>
      </c>
      <c s="125">
        <f>'Квартальная отчетность'!AN144</f>
        <v>0</v>
      </c>
      <c s="125">
        <f>'Квартальная отчетность'!AO144</f>
        <v>0</v>
      </c>
      <c s="125">
        <f>'Квартальная отчетность'!AP144</f>
        <v>0</v>
      </c>
      <c s="125">
        <f>'Квартальная отчетность'!AQ144</f>
        <v>0</v>
      </c>
      <c s="125">
        <f>'Квартальная отчетность'!AR144</f>
        <v>0</v>
      </c>
      <c s="125">
        <f>'Квартальная отчетность'!AS144</f>
        <v>0</v>
      </c>
      <c s="125">
        <f>'Квартальная отчетность'!AT144</f>
        <v>0</v>
      </c>
      <c s="125">
        <f>'Квартальная отчетность'!AU144</f>
        <v>0</v>
      </c>
      <c s="125">
        <f>'Квартальная отчетность'!AV144</f>
        <v>0</v>
      </c>
      <c s="125">
        <f>'Квартальная отчетность'!AW144</f>
        <v>0</v>
      </c>
      <c s="125">
        <f>'Квартальная отчетность'!AX144</f>
        <v>0</v>
      </c>
      <c s="125">
        <f>'Квартальная отчетность'!AY144</f>
        <v>0</v>
      </c>
      <c s="125">
        <f>'Квартальная отчетность'!AZ144</f>
        <v>0</v>
      </c>
      <c s="125">
        <f>'Квартальная отчетность'!BA144</f>
        <v>0</v>
      </c>
      <c s="125">
        <f>'Квартальная отчетность'!BB144</f>
        <v>0</v>
      </c>
      <c s="125">
        <f>'Квартальная отчетность'!BC144</f>
        <v>0</v>
      </c>
      <c s="125">
        <f>'Квартальная отчетность'!BD144</f>
        <v>0</v>
      </c>
      <c s="125">
        <f>'Квартальная отчетность'!BE144</f>
        <v>0</v>
      </c>
      <c s="125">
        <f>'Квартальная отчетность'!BF144</f>
        <v>0</v>
      </c>
      <c s="125">
        <f>'Квартальная отчетность'!BG144</f>
        <v>0</v>
      </c>
      <c s="125">
        <f>'Квартальная отчетность'!BH144</f>
        <v>0</v>
      </c>
      <c s="125">
        <f>'Квартальная отчетность'!BI144</f>
        <v>0</v>
      </c>
      <c s="125">
        <f>'Квартальная отчетность'!BJ144</f>
        <v>0</v>
      </c>
      <c s="125">
        <f>'Квартальная отчетность'!BK144</f>
        <v>0</v>
      </c>
      <c s="125">
        <f>'Квартальная отчетность'!BL144</f>
        <v>0</v>
      </c>
      <c s="125">
        <f>'Квартальная отчетность'!BM144</f>
        <v>0</v>
      </c>
    </row>
    <row r="285" spans="2:65" ht="15" customHeight="1">
      <c r="B285" s="12" t="s">
        <v>1028</v>
      </c>
      <c s="124" t="s">
        <v>438</v>
      </c>
      <c s="276">
        <f>SUM(E285:BM285)</f>
        <v>0</v>
      </c>
      <c s="125">
        <f>'Квартальная отчетность'!E145</f>
        <v>0</v>
      </c>
      <c s="125">
        <f>'Квартальная отчетность'!F145</f>
        <v>0</v>
      </c>
      <c s="125">
        <f>'Квартальная отчетность'!G145</f>
        <v>0</v>
      </c>
      <c s="125">
        <f>'Квартальная отчетность'!H145</f>
        <v>0</v>
      </c>
      <c s="125">
        <f>'Квартальная отчетность'!I145</f>
        <v>0</v>
      </c>
      <c s="125">
        <f>'Квартальная отчетность'!J145</f>
        <v>0</v>
      </c>
      <c s="125">
        <f>'Квартальная отчетность'!K145</f>
        <v>0</v>
      </c>
      <c s="125">
        <f>'Квартальная отчетность'!L145</f>
        <v>0</v>
      </c>
      <c s="125">
        <f>'Квартальная отчетность'!M145</f>
        <v>0</v>
      </c>
      <c s="125">
        <f>'Квартальная отчетность'!N145</f>
        <v>0</v>
      </c>
      <c s="125">
        <f>'Квартальная отчетность'!O145</f>
        <v>0</v>
      </c>
      <c s="125">
        <f>'Квартальная отчетность'!P145</f>
        <v>0</v>
      </c>
      <c s="125">
        <f>'Квартальная отчетность'!Q145</f>
        <v>0</v>
      </c>
      <c s="125">
        <f>'Квартальная отчетность'!R145</f>
        <v>0</v>
      </c>
      <c s="125">
        <f>'Квартальная отчетность'!S145</f>
        <v>0</v>
      </c>
      <c s="125">
        <f>'Квартальная отчетность'!T145</f>
        <v>0</v>
      </c>
      <c s="125">
        <f>'Квартальная отчетность'!U145</f>
        <v>0</v>
      </c>
      <c s="125">
        <f>'Квартальная отчетность'!V145</f>
        <v>0</v>
      </c>
      <c s="125">
        <f>'Квартальная отчетность'!W145</f>
        <v>0</v>
      </c>
      <c s="125">
        <f>'Квартальная отчетность'!X145</f>
        <v>0</v>
      </c>
      <c s="125">
        <f>'Квартальная отчетность'!Y145</f>
        <v>0</v>
      </c>
      <c s="125">
        <f>'Квартальная отчетность'!Z145</f>
        <v>0</v>
      </c>
      <c s="125">
        <f>'Квартальная отчетность'!AA145</f>
        <v>0</v>
      </c>
      <c s="125">
        <f>'Квартальная отчетность'!AB145</f>
        <v>0</v>
      </c>
      <c s="125">
        <f>'Квартальная отчетность'!AC145</f>
        <v>0</v>
      </c>
      <c s="125">
        <f>'Квартальная отчетность'!AD145</f>
        <v>0</v>
      </c>
      <c s="125">
        <f>'Квартальная отчетность'!AE145</f>
        <v>0</v>
      </c>
      <c s="125">
        <f>'Квартальная отчетность'!AF145</f>
        <v>0</v>
      </c>
      <c s="125">
        <f>'Квартальная отчетность'!AG145</f>
        <v>0</v>
      </c>
      <c s="125">
        <f>'Квартальная отчетность'!AH145</f>
        <v>0</v>
      </c>
      <c s="125">
        <f>'Квартальная отчетность'!AI145</f>
        <v>0</v>
      </c>
      <c s="125">
        <f>'Квартальная отчетность'!AJ145</f>
        <v>0</v>
      </c>
      <c s="125">
        <f>'Квартальная отчетность'!AK145</f>
        <v>0</v>
      </c>
      <c s="125">
        <f>'Квартальная отчетность'!AL145</f>
        <v>0</v>
      </c>
      <c s="125">
        <f>'Квартальная отчетность'!AM145</f>
        <v>0</v>
      </c>
      <c s="125">
        <f>'Квартальная отчетность'!AN145</f>
        <v>0</v>
      </c>
      <c s="125">
        <f>'Квартальная отчетность'!AO145</f>
        <v>0</v>
      </c>
      <c s="125">
        <f>'Квартальная отчетность'!AP145</f>
        <v>0</v>
      </c>
      <c s="125">
        <f>'Квартальная отчетность'!AQ145</f>
        <v>0</v>
      </c>
      <c s="125">
        <f>'Квартальная отчетность'!AR145</f>
        <v>0</v>
      </c>
      <c s="125">
        <f>'Квартальная отчетность'!AS145</f>
        <v>0</v>
      </c>
      <c s="125">
        <f>'Квартальная отчетность'!AT145</f>
        <v>0</v>
      </c>
      <c s="125">
        <f>'Квартальная отчетность'!AU145</f>
        <v>0</v>
      </c>
      <c s="125">
        <f>'Квартальная отчетность'!AV145</f>
        <v>0</v>
      </c>
      <c s="125">
        <f>'Квартальная отчетность'!AW145</f>
        <v>0</v>
      </c>
      <c s="125">
        <f>'Квартальная отчетность'!AX145</f>
        <v>0</v>
      </c>
      <c s="125">
        <f>'Квартальная отчетность'!AY145</f>
        <v>0</v>
      </c>
      <c s="125">
        <f>'Квартальная отчетность'!AZ145</f>
        <v>0</v>
      </c>
      <c s="125">
        <f>'Квартальная отчетность'!BA145</f>
        <v>0</v>
      </c>
      <c s="125">
        <f>'Квартальная отчетность'!BB145</f>
        <v>0</v>
      </c>
      <c s="125">
        <f>'Квартальная отчетность'!BC145</f>
        <v>0</v>
      </c>
      <c s="125">
        <f>'Квартальная отчетность'!BD145</f>
        <v>0</v>
      </c>
      <c s="125">
        <f>'Квартальная отчетность'!BE145</f>
        <v>0</v>
      </c>
      <c s="125">
        <f>'Квартальная отчетность'!BF145</f>
        <v>0</v>
      </c>
      <c s="125">
        <f>'Квартальная отчетность'!BG145</f>
        <v>0</v>
      </c>
      <c s="125">
        <f>'Квартальная отчетность'!BH145</f>
        <v>0</v>
      </c>
      <c s="125">
        <f>'Квартальная отчетность'!BI145</f>
        <v>0</v>
      </c>
      <c s="125">
        <f>'Квартальная отчетность'!BJ145</f>
        <v>0</v>
      </c>
      <c s="125">
        <f>'Квартальная отчетность'!BK145</f>
        <v>0</v>
      </c>
      <c s="125">
        <f>'Квартальная отчетность'!BL145</f>
        <v>0</v>
      </c>
      <c s="125">
        <f>'Квартальная отчетность'!BM145</f>
        <v>0</v>
      </c>
    </row>
    <row r="286" spans="2:65" ht="15" customHeight="1">
      <c r="B286" s="12" t="s">
        <v>1029</v>
      </c>
      <c s="124" t="s">
        <v>438</v>
      </c>
      <c s="276">
        <f ca="1">SUM(E286:BM286)</f>
        <v>0</v>
      </c>
      <c s="125">
        <f ca="1">SUM('Квартальная отчетность'!E40,'Квартальная отчетность'!E146)</f>
        <v>0</v>
      </c>
      <c s="125">
        <f ca="1">SUM('Квартальная отчетность'!F40,'Квартальная отчетность'!F146)</f>
        <v>0</v>
      </c>
      <c s="125">
        <f ca="1">SUM('Квартальная отчетность'!G40,'Квартальная отчетность'!G146)</f>
        <v>0</v>
      </c>
      <c s="125">
        <f ca="1">SUM('Квартальная отчетность'!H40,'Квартальная отчетность'!H146)</f>
        <v>0</v>
      </c>
      <c s="125">
        <f ca="1">SUM('Квартальная отчетность'!I40,'Квартальная отчетность'!I146)</f>
        <v>0</v>
      </c>
      <c s="125">
        <f ca="1">SUM('Квартальная отчетность'!J40,'Квартальная отчетность'!J146)</f>
        <v>0</v>
      </c>
      <c s="125">
        <f ca="1">SUM('Квартальная отчетность'!K40,'Квартальная отчетность'!K146)</f>
        <v>0</v>
      </c>
      <c s="125">
        <f ca="1">SUM('Квартальная отчетность'!L40,'Квартальная отчетность'!L146)</f>
        <v>0</v>
      </c>
      <c s="125">
        <f ca="1">SUM('Квартальная отчетность'!M40,'Квартальная отчетность'!M146)</f>
        <v>0</v>
      </c>
      <c s="125">
        <f ca="1">SUM('Квартальная отчетность'!N40,'Квартальная отчетность'!N146)</f>
        <v>0</v>
      </c>
      <c s="125">
        <f ca="1">SUM('Квартальная отчетность'!O40,'Квартальная отчетность'!O146)</f>
        <v>0</v>
      </c>
      <c s="125">
        <f ca="1">SUM('Квартальная отчетность'!P40,'Квартальная отчетность'!P146)</f>
        <v>0</v>
      </c>
      <c s="125">
        <f ca="1">SUM('Квартальная отчетность'!Q40,'Квартальная отчетность'!Q146)</f>
        <v>0</v>
      </c>
      <c s="125">
        <f ca="1">SUM('Квартальная отчетность'!R40,'Квартальная отчетность'!R146)</f>
        <v>0</v>
      </c>
      <c s="125">
        <f ca="1">SUM('Квартальная отчетность'!S40,'Квартальная отчетность'!S146)</f>
        <v>0</v>
      </c>
      <c s="125">
        <f ca="1">SUM('Квартальная отчетность'!T40,'Квартальная отчетность'!T146)</f>
        <v>0</v>
      </c>
      <c s="125">
        <f ca="1">SUM('Квартальная отчетность'!U40,'Квартальная отчетность'!U146)</f>
        <v>0</v>
      </c>
      <c s="125">
        <f ca="1">SUM('Квартальная отчетность'!V40,'Квартальная отчетность'!V146)</f>
        <v>0</v>
      </c>
      <c s="125">
        <f ca="1">SUM('Квартальная отчетность'!W40,'Квартальная отчетность'!W146)</f>
        <v>0</v>
      </c>
      <c s="125">
        <f ca="1">SUM('Квартальная отчетность'!X40,'Квартальная отчетность'!X146)</f>
        <v>0</v>
      </c>
      <c s="125">
        <f ca="1">SUM('Квартальная отчетность'!Y40,'Квартальная отчетность'!Y146)</f>
        <v>0</v>
      </c>
      <c s="125">
        <f ca="1">SUM('Квартальная отчетность'!Z40,'Квартальная отчетность'!Z146)</f>
        <v>0</v>
      </c>
      <c s="125">
        <f ca="1">SUM('Квартальная отчетность'!AA40,'Квартальная отчетность'!AA146)</f>
        <v>0</v>
      </c>
      <c s="125">
        <f ca="1">SUM('Квартальная отчетность'!AB40,'Квартальная отчетность'!AB146)</f>
        <v>0</v>
      </c>
      <c s="125">
        <f ca="1">SUM('Квартальная отчетность'!AC40,'Квартальная отчетность'!AC146)</f>
        <v>0</v>
      </c>
      <c s="125">
        <f ca="1">SUM('Квартальная отчетность'!AD40,'Квартальная отчетность'!AD146)</f>
        <v>0</v>
      </c>
      <c s="125">
        <f ca="1">SUM('Квартальная отчетность'!AE40,'Квартальная отчетность'!AE146)</f>
        <v>0</v>
      </c>
      <c s="125">
        <f ca="1">SUM('Квартальная отчетность'!AF40,'Квартальная отчетность'!AF146)</f>
        <v>0</v>
      </c>
      <c s="125">
        <f ca="1">SUM('Квартальная отчетность'!AG40,'Квартальная отчетность'!AG146)</f>
        <v>0</v>
      </c>
      <c s="125">
        <f ca="1">SUM('Квартальная отчетность'!AH40,'Квартальная отчетность'!AH146)</f>
        <v>0</v>
      </c>
      <c s="125">
        <f ca="1">SUM('Квартальная отчетность'!AI40,'Квартальная отчетность'!AI146)</f>
        <v>0</v>
      </c>
      <c s="125">
        <f ca="1">SUM('Квартальная отчетность'!AJ40,'Квартальная отчетность'!AJ146)</f>
        <v>0</v>
      </c>
      <c s="125">
        <f ca="1">SUM('Квартальная отчетность'!AK40,'Квартальная отчетность'!AK146)</f>
        <v>0</v>
      </c>
      <c s="125">
        <f ca="1">SUM('Квартальная отчетность'!AL40,'Квартальная отчетность'!AL146)</f>
        <v>0</v>
      </c>
      <c s="125">
        <f ca="1">SUM('Квартальная отчетность'!AM40,'Квартальная отчетность'!AM146)</f>
        <v>0</v>
      </c>
      <c s="125">
        <f ca="1">SUM('Квартальная отчетность'!AN40,'Квартальная отчетность'!AN146)</f>
        <v>0</v>
      </c>
      <c s="125">
        <f ca="1">SUM('Квартальная отчетность'!AO40,'Квартальная отчетность'!AO146)</f>
        <v>0</v>
      </c>
      <c s="125">
        <f ca="1">SUM('Квартальная отчетность'!AP40,'Квартальная отчетность'!AP146)</f>
        <v>0</v>
      </c>
      <c s="125">
        <f ca="1">SUM('Квартальная отчетность'!AQ40,'Квартальная отчетность'!AQ146)</f>
        <v>0</v>
      </c>
      <c s="125">
        <f ca="1">SUM('Квартальная отчетность'!AR40,'Квартальная отчетность'!AR146)</f>
        <v>0</v>
      </c>
      <c s="125">
        <f ca="1">SUM('Квартальная отчетность'!AS40,'Квартальная отчетность'!AS146)</f>
        <v>0</v>
      </c>
      <c s="125">
        <f ca="1">SUM('Квартальная отчетность'!AT40,'Квартальная отчетность'!AT146)</f>
        <v>0</v>
      </c>
      <c s="125">
        <f ca="1">SUM('Квартальная отчетность'!AU40,'Квартальная отчетность'!AU146)</f>
        <v>0</v>
      </c>
      <c s="125">
        <f ca="1">SUM('Квартальная отчетность'!AV40,'Квартальная отчетность'!AV146)</f>
        <v>0</v>
      </c>
      <c s="125">
        <f ca="1">SUM('Квартальная отчетность'!AW40,'Квартальная отчетность'!AW146)</f>
        <v>0</v>
      </c>
      <c s="125">
        <f ca="1">SUM('Квартальная отчетность'!AX40,'Квартальная отчетность'!AX146)</f>
        <v>0</v>
      </c>
      <c s="125">
        <f ca="1">SUM('Квартальная отчетность'!AY40,'Квартальная отчетность'!AY146)</f>
        <v>0</v>
      </c>
      <c s="125">
        <f ca="1">SUM('Квартальная отчетность'!AZ40,'Квартальная отчетность'!AZ146)</f>
        <v>0</v>
      </c>
      <c s="125">
        <f ca="1">SUM('Квартальная отчетность'!BA40,'Квартальная отчетность'!BA146)</f>
        <v>0</v>
      </c>
      <c s="125">
        <f ca="1">SUM('Квартальная отчетность'!BB40,'Квартальная отчетность'!BB146)</f>
        <v>0</v>
      </c>
      <c s="125">
        <f ca="1">SUM('Квартальная отчетность'!BC40,'Квартальная отчетность'!BC146)</f>
        <v>0</v>
      </c>
      <c s="125">
        <f ca="1">SUM('Квартальная отчетность'!BD40,'Квартальная отчетность'!BD146)</f>
        <v>0</v>
      </c>
      <c s="125">
        <f ca="1">SUM('Квартальная отчетность'!BE40,'Квартальная отчетность'!BE146)</f>
        <v>0</v>
      </c>
      <c s="125">
        <f ca="1">SUM('Квартальная отчетность'!BF40,'Квартальная отчетность'!BF146)</f>
        <v>0</v>
      </c>
      <c s="125">
        <f ca="1">SUM('Квартальная отчетность'!BG40,'Квартальная отчетность'!BG146)</f>
        <v>0</v>
      </c>
      <c s="125">
        <f ca="1">SUM('Квартальная отчетность'!BH40,'Квартальная отчетность'!BH146)</f>
        <v>0</v>
      </c>
      <c s="125">
        <f ca="1">SUM('Квартальная отчетность'!BI40,'Квартальная отчетность'!BI146)</f>
        <v>0</v>
      </c>
      <c s="125">
        <f ca="1">SUM('Квартальная отчетность'!BJ40,'Квартальная отчетность'!BJ146)</f>
        <v>0</v>
      </c>
      <c s="125">
        <f ca="1">SUM('Квартальная отчетность'!BK40,'Квартальная отчетность'!BK146)</f>
        <v>0</v>
      </c>
      <c s="125">
        <f ca="1">SUM('Квартальная отчетность'!BL40,'Квартальная отчетность'!BL146)</f>
        <v>0</v>
      </c>
      <c s="125">
        <f ca="1">SUM('Квартальная отчетность'!BM40,'Квартальная отчетность'!BM146)</f>
        <v>0</v>
      </c>
    </row>
    <row r="287" spans="2:65" ht="15" customHeight="1">
      <c r="B287" s="289" t="s">
        <v>454</v>
      </c>
      <c s="290" t="s">
        <v>438</v>
      </c>
      <c s="291">
        <f ca="1" t="shared" si="259" ref="D287:E287">SUM(D283:D286)</f>
        <v>0</v>
      </c>
      <c s="276">
        <f t="shared" ca="1" si="259"/>
        <v>0</v>
      </c>
      <c s="276">
        <f ca="1" t="shared" si="260" ref="F287:AG287">SUM(F283:F286)</f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t="shared" ca="1" si="260"/>
        <v>0</v>
      </c>
      <c s="276">
        <f ca="1" t="shared" si="261" ref="AH287:BM287">SUM(AH283:AH286)</f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  <c s="276">
        <f t="shared" ca="1" si="261"/>
        <v>0</v>
      </c>
    </row>
    <row r="288" ht="15" customHeight="1"/>
    <row r="289" spans="2:69" ht="14.45">
      <c r="B289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90" spans="2:65" ht="15" customHeight="1">
      <c r="B290" s="12" t="s">
        <v>1078</v>
      </c>
      <c s="124" t="s">
        <v>438</v>
      </c>
      <c s="276">
        <f ca="1">SUM(E290:BM290)</f>
        <v>0</v>
      </c>
      <c s="125">
        <f ca="1">SUM('Квартальная отчетность'!E44,'Квартальная отчетность'!E150)</f>
        <v>0</v>
      </c>
      <c s="125">
        <f ca="1">SUM('Квартальная отчетность'!F44,'Квартальная отчетность'!F150)</f>
        <v>0</v>
      </c>
      <c s="125">
        <f ca="1">SUM('Квартальная отчетность'!G44,'Квартальная отчетность'!G150)</f>
        <v>0</v>
      </c>
      <c s="125">
        <f ca="1">SUM('Квартальная отчетность'!H44,'Квартальная отчетность'!H150)</f>
        <v>0</v>
      </c>
      <c s="125">
        <f ca="1">SUM('Квартальная отчетность'!I44,'Квартальная отчетность'!I150)</f>
        <v>0</v>
      </c>
      <c s="125">
        <f ca="1">SUM('Квартальная отчетность'!J44,'Квартальная отчетность'!J150)</f>
        <v>0</v>
      </c>
      <c s="125">
        <f ca="1">SUM('Квартальная отчетность'!K44,'Квартальная отчетность'!K150)</f>
        <v>0</v>
      </c>
      <c s="125">
        <f ca="1">SUM('Квартальная отчетность'!L44,'Квартальная отчетность'!L150)</f>
        <v>0</v>
      </c>
      <c s="125">
        <f ca="1">SUM('Квартальная отчетность'!M44,'Квартальная отчетность'!M150)</f>
        <v>0</v>
      </c>
      <c s="125">
        <f ca="1">SUM('Квартальная отчетность'!N44,'Квартальная отчетность'!N150)</f>
        <v>0</v>
      </c>
      <c s="125">
        <f ca="1">SUM('Квартальная отчетность'!O44,'Квартальная отчетность'!O150)</f>
        <v>0</v>
      </c>
      <c s="125">
        <f ca="1">SUM('Квартальная отчетность'!P44,'Квартальная отчетность'!P150)</f>
        <v>0</v>
      </c>
      <c s="125">
        <f ca="1">SUM('Квартальная отчетность'!Q44,'Квартальная отчетность'!Q150)</f>
        <v>0</v>
      </c>
      <c s="125">
        <f ca="1">SUM('Квартальная отчетность'!R44,'Квартальная отчетность'!R150)</f>
        <v>0</v>
      </c>
      <c s="125">
        <f ca="1">SUM('Квартальная отчетность'!S44,'Квартальная отчетность'!S150)</f>
        <v>0</v>
      </c>
      <c s="125">
        <f ca="1">SUM('Квартальная отчетность'!T44,'Квартальная отчетность'!T150)</f>
        <v>0</v>
      </c>
      <c s="125">
        <f ca="1">SUM('Квартальная отчетность'!U44,'Квартальная отчетность'!U150)</f>
        <v>0</v>
      </c>
      <c s="125">
        <f ca="1">SUM('Квартальная отчетность'!V44,'Квартальная отчетность'!V150)</f>
        <v>0</v>
      </c>
      <c s="125">
        <f ca="1">SUM('Квартальная отчетность'!W44,'Квартальная отчетность'!W150)</f>
        <v>0</v>
      </c>
      <c s="125">
        <f ca="1">SUM('Квартальная отчетность'!X44,'Квартальная отчетность'!X150)</f>
        <v>0</v>
      </c>
      <c s="125">
        <f ca="1">SUM('Квартальная отчетность'!Y44,'Квартальная отчетность'!Y150)</f>
        <v>0</v>
      </c>
      <c s="125">
        <f ca="1">SUM('Квартальная отчетность'!Z44,'Квартальная отчетность'!Z150)</f>
        <v>0</v>
      </c>
      <c s="125">
        <f ca="1">SUM('Квартальная отчетность'!AA44,'Квартальная отчетность'!AA150)</f>
        <v>0</v>
      </c>
      <c s="125">
        <f ca="1">SUM('Квартальная отчетность'!AB44,'Квартальная отчетность'!AB150)</f>
        <v>0</v>
      </c>
      <c s="125">
        <f ca="1">SUM('Квартальная отчетность'!AC44,'Квартальная отчетность'!AC150)</f>
        <v>0</v>
      </c>
      <c s="125">
        <f ca="1">SUM('Квартальная отчетность'!AD44,'Квартальная отчетность'!AD150)</f>
        <v>0</v>
      </c>
      <c s="125">
        <f ca="1">SUM('Квартальная отчетность'!AE44,'Квартальная отчетность'!AE150)</f>
        <v>0</v>
      </c>
      <c s="125">
        <f ca="1">SUM('Квартальная отчетность'!AF44,'Квартальная отчетность'!AF150)</f>
        <v>0</v>
      </c>
      <c s="125">
        <f ca="1">SUM('Квартальная отчетность'!AG44,'Квартальная отчетность'!AG150)</f>
        <v>0</v>
      </c>
      <c s="125">
        <f ca="1">SUM('Квартальная отчетность'!AH44,'Квартальная отчетность'!AH150)</f>
        <v>0</v>
      </c>
      <c s="125">
        <f ca="1">SUM('Квартальная отчетность'!AI44,'Квартальная отчетность'!AI150)</f>
        <v>0</v>
      </c>
      <c s="125">
        <f ca="1">SUM('Квартальная отчетность'!AJ44,'Квартальная отчетность'!AJ150)</f>
        <v>0</v>
      </c>
      <c s="125">
        <f ca="1">SUM('Квартальная отчетность'!AK44,'Квартальная отчетность'!AK150)</f>
        <v>0</v>
      </c>
      <c s="125">
        <f ca="1">SUM('Квартальная отчетность'!AL44,'Квартальная отчетность'!AL150)</f>
        <v>0</v>
      </c>
      <c s="125">
        <f ca="1">SUM('Квартальная отчетность'!AM44,'Квартальная отчетность'!AM150)</f>
        <v>0</v>
      </c>
      <c s="125">
        <f ca="1">SUM('Квартальная отчетность'!AN44,'Квартальная отчетность'!AN150)</f>
        <v>0</v>
      </c>
      <c s="125">
        <f ca="1">SUM('Квартальная отчетность'!AO44,'Квартальная отчетность'!AO150)</f>
        <v>0</v>
      </c>
      <c s="125">
        <f ca="1">SUM('Квартальная отчетность'!AP44,'Квартальная отчетность'!AP150)</f>
        <v>0</v>
      </c>
      <c s="125">
        <f ca="1">SUM('Квартальная отчетность'!AQ44,'Квартальная отчетность'!AQ150)</f>
        <v>0</v>
      </c>
      <c s="125">
        <f ca="1">SUM('Квартальная отчетность'!AR44,'Квартальная отчетность'!AR150)</f>
        <v>0</v>
      </c>
      <c s="125">
        <f ca="1">SUM('Квартальная отчетность'!AS44,'Квартальная отчетность'!AS150)</f>
        <v>0</v>
      </c>
      <c s="125">
        <f ca="1">SUM('Квартальная отчетность'!AT44,'Квартальная отчетность'!AT150)</f>
        <v>0</v>
      </c>
      <c s="125">
        <f ca="1">SUM('Квартальная отчетность'!AU44,'Квартальная отчетность'!AU150)</f>
        <v>0</v>
      </c>
      <c s="125">
        <f ca="1">SUM('Квартальная отчетность'!AV44,'Квартальная отчетность'!AV150)</f>
        <v>0</v>
      </c>
      <c s="125">
        <f ca="1">SUM('Квартальная отчетность'!AW44,'Квартальная отчетность'!AW150)</f>
        <v>0</v>
      </c>
      <c s="125">
        <f ca="1">SUM('Квартальная отчетность'!AX44,'Квартальная отчетность'!AX150)</f>
        <v>0</v>
      </c>
      <c s="125">
        <f ca="1">SUM('Квартальная отчетность'!AY44,'Квартальная отчетность'!AY150)</f>
        <v>0</v>
      </c>
      <c s="125">
        <f ca="1">SUM('Квартальная отчетность'!AZ44,'Квартальная отчетность'!AZ150)</f>
        <v>0</v>
      </c>
      <c s="125">
        <f ca="1">SUM('Квартальная отчетность'!BA44,'Квартальная отчетность'!BA150)</f>
        <v>0</v>
      </c>
      <c s="125">
        <f ca="1">SUM('Квартальная отчетность'!BB44,'Квартальная отчетность'!BB150)</f>
        <v>0</v>
      </c>
      <c s="125">
        <f ca="1">SUM('Квартальная отчетность'!BC44,'Квартальная отчетность'!BC150)</f>
        <v>0</v>
      </c>
      <c s="125">
        <f ca="1">SUM('Квартальная отчетность'!BD44,'Квартальная отчетность'!BD150)</f>
        <v>0</v>
      </c>
      <c s="125">
        <f ca="1">SUM('Квартальная отчетность'!BE44,'Квартальная отчетность'!BE150)</f>
        <v>0</v>
      </c>
      <c s="125">
        <f ca="1">SUM('Квартальная отчетность'!BF44,'Квартальная отчетность'!BF150)</f>
        <v>0</v>
      </c>
      <c s="125">
        <f ca="1">SUM('Квартальная отчетность'!BG44,'Квартальная отчетность'!BG150)</f>
        <v>0</v>
      </c>
      <c s="125">
        <f ca="1">SUM('Квартальная отчетность'!BH44,'Квартальная отчетность'!BH150)</f>
        <v>0</v>
      </c>
      <c s="125">
        <f ca="1">SUM('Квартальная отчетность'!BI44,'Квартальная отчетность'!BI150)</f>
        <v>0</v>
      </c>
      <c s="125">
        <f ca="1">SUM('Квартальная отчетность'!BJ44,'Квартальная отчетность'!BJ150)</f>
        <v>0</v>
      </c>
      <c s="125">
        <f ca="1">SUM('Квартальная отчетность'!BK44,'Квартальная отчетность'!BK150)</f>
        <v>0</v>
      </c>
      <c s="125">
        <f ca="1">SUM('Квартальная отчетность'!BL44,'Квартальная отчетность'!BL150)</f>
        <v>0</v>
      </c>
      <c s="125">
        <f ca="1">SUM('Квартальная отчетность'!BM44,'Квартальная отчетность'!BM150)</f>
        <v>0</v>
      </c>
    </row>
    <row r="291" spans="2:65" ht="15" customHeight="1">
      <c r="B291" s="12" t="s">
        <v>1031</v>
      </c>
      <c s="124" t="s">
        <v>438</v>
      </c>
      <c s="276">
        <f>SUM(E291:BM291)</f>
        <v>0</v>
      </c>
      <c s="125">
        <f>SUM('Квартальная отчетность'!E45,'Квартальная отчетность'!E151)</f>
        <v>0</v>
      </c>
      <c s="125">
        <f>SUM('Квартальная отчетность'!F45,'Квартальная отчетность'!F151)</f>
        <v>0</v>
      </c>
      <c s="125">
        <f>SUM('Квартальная отчетность'!G45,'Квартальная отчетность'!G151)</f>
        <v>0</v>
      </c>
      <c s="125">
        <f>SUM('Квартальная отчетность'!H45,'Квартальная отчетность'!H151)</f>
        <v>0</v>
      </c>
      <c s="125">
        <f>SUM('Квартальная отчетность'!I45,'Квартальная отчетность'!I151)</f>
        <v>0</v>
      </c>
      <c s="125">
        <f>SUM('Квартальная отчетность'!J45,'Квартальная отчетность'!J151)</f>
        <v>0</v>
      </c>
      <c s="125">
        <f>SUM('Квартальная отчетность'!K45,'Квартальная отчетность'!K151)</f>
        <v>0</v>
      </c>
      <c s="125">
        <f>SUM('Квартальная отчетность'!L45,'Квартальная отчетность'!L151)</f>
        <v>0</v>
      </c>
      <c s="125">
        <f>SUM('Квартальная отчетность'!M45,'Квартальная отчетность'!M151)</f>
        <v>0</v>
      </c>
      <c s="125">
        <f>SUM('Квартальная отчетность'!N45,'Квартальная отчетность'!N151)</f>
        <v>0</v>
      </c>
      <c s="125">
        <f>SUM('Квартальная отчетность'!O45,'Квартальная отчетность'!O151)</f>
        <v>0</v>
      </c>
      <c s="125">
        <f>SUM('Квартальная отчетность'!P45,'Квартальная отчетность'!P151)</f>
        <v>0</v>
      </c>
      <c s="125">
        <f>SUM('Квартальная отчетность'!Q45,'Квартальная отчетность'!Q151)</f>
        <v>0</v>
      </c>
      <c s="125">
        <f>SUM('Квартальная отчетность'!R45,'Квартальная отчетность'!R151)</f>
        <v>0</v>
      </c>
      <c s="125">
        <f>SUM('Квартальная отчетность'!S45,'Квартальная отчетность'!S151)</f>
        <v>0</v>
      </c>
      <c s="125">
        <f>SUM('Квартальная отчетность'!T45,'Квартальная отчетность'!T151)</f>
        <v>0</v>
      </c>
      <c s="125">
        <f>SUM('Квартальная отчетность'!U45,'Квартальная отчетность'!U151)</f>
        <v>0</v>
      </c>
      <c s="125">
        <f>SUM('Квартальная отчетность'!V45,'Квартальная отчетность'!V151)</f>
        <v>0</v>
      </c>
      <c s="125">
        <f>SUM('Квартальная отчетность'!W45,'Квартальная отчетность'!W151)</f>
        <v>0</v>
      </c>
      <c s="125">
        <f>SUM('Квартальная отчетность'!X45,'Квартальная отчетность'!X151)</f>
        <v>0</v>
      </c>
      <c s="125">
        <f>SUM('Квартальная отчетность'!Y45,'Квартальная отчетность'!Y151)</f>
        <v>0</v>
      </c>
      <c s="125">
        <f>SUM('Квартальная отчетность'!Z45,'Квартальная отчетность'!Z151)</f>
        <v>0</v>
      </c>
      <c s="125">
        <f>SUM('Квартальная отчетность'!AA45,'Квартальная отчетность'!AA151)</f>
        <v>0</v>
      </c>
      <c s="125">
        <f>SUM('Квартальная отчетность'!AB45,'Квартальная отчетность'!AB151)</f>
        <v>0</v>
      </c>
      <c s="125">
        <f>SUM('Квартальная отчетность'!AC45,'Квартальная отчетность'!AC151)</f>
        <v>0</v>
      </c>
      <c s="125">
        <f>SUM('Квартальная отчетность'!AD45,'Квартальная отчетность'!AD151)</f>
        <v>0</v>
      </c>
      <c s="125">
        <f>SUM('Квартальная отчетность'!AE45,'Квартальная отчетность'!AE151)</f>
        <v>0</v>
      </c>
      <c s="125">
        <f>SUM('Квартальная отчетность'!AF45,'Квартальная отчетность'!AF151)</f>
        <v>0</v>
      </c>
      <c s="125">
        <f>SUM('Квартальная отчетность'!AG45,'Квартальная отчетность'!AG151)</f>
        <v>0</v>
      </c>
      <c s="125">
        <f>SUM('Квартальная отчетность'!AH45,'Квартальная отчетность'!AH151)</f>
        <v>0</v>
      </c>
      <c s="125">
        <f>SUM('Квартальная отчетность'!AI45,'Квартальная отчетность'!AI151)</f>
        <v>0</v>
      </c>
      <c s="125">
        <f>SUM('Квартальная отчетность'!AJ45,'Квартальная отчетность'!AJ151)</f>
        <v>0</v>
      </c>
      <c s="125">
        <f>SUM('Квартальная отчетность'!AK45,'Квартальная отчетность'!AK151)</f>
        <v>0</v>
      </c>
      <c s="125">
        <f>SUM('Квартальная отчетность'!AL45,'Квартальная отчетность'!AL151)</f>
        <v>0</v>
      </c>
      <c s="125">
        <f>SUM('Квартальная отчетность'!AM45,'Квартальная отчетность'!AM151)</f>
        <v>0</v>
      </c>
      <c s="125">
        <f>SUM('Квартальная отчетность'!AN45,'Квартальная отчетность'!AN151)</f>
        <v>0</v>
      </c>
      <c s="125">
        <f>SUM('Квартальная отчетность'!AO45,'Квартальная отчетность'!AO151)</f>
        <v>0</v>
      </c>
      <c s="125">
        <f>SUM('Квартальная отчетность'!AP45,'Квартальная отчетность'!AP151)</f>
        <v>0</v>
      </c>
      <c s="125">
        <f>SUM('Квартальная отчетность'!AQ45,'Квартальная отчетность'!AQ151)</f>
        <v>0</v>
      </c>
      <c s="125">
        <f>SUM('Квартальная отчетность'!AR45,'Квартальная отчетность'!AR151)</f>
        <v>0</v>
      </c>
      <c s="125">
        <f>SUM('Квартальная отчетность'!AS45,'Квартальная отчетность'!AS151)</f>
        <v>0</v>
      </c>
      <c s="125">
        <f>SUM('Квартальная отчетность'!AT45,'Квартальная отчетность'!AT151)</f>
        <v>0</v>
      </c>
      <c s="125">
        <f>SUM('Квартальная отчетность'!AU45,'Квартальная отчетность'!AU151)</f>
        <v>0</v>
      </c>
      <c s="125">
        <f>SUM('Квартальная отчетность'!AV45,'Квартальная отчетность'!AV151)</f>
        <v>0</v>
      </c>
      <c s="125">
        <f>SUM('Квартальная отчетность'!AW45,'Квартальная отчетность'!AW151)</f>
        <v>0</v>
      </c>
      <c s="125">
        <f>SUM('Квартальная отчетность'!AX45,'Квартальная отчетность'!AX151)</f>
        <v>0</v>
      </c>
      <c s="125">
        <f>SUM('Квартальная отчетность'!AY45,'Квартальная отчетность'!AY151)</f>
        <v>0</v>
      </c>
      <c s="125">
        <f>SUM('Квартальная отчетность'!AZ45,'Квартальная отчетность'!AZ151)</f>
        <v>0</v>
      </c>
      <c s="125">
        <f>SUM('Квартальная отчетность'!BA45,'Квартальная отчетность'!BA151)</f>
        <v>0</v>
      </c>
      <c s="125">
        <f>SUM('Квартальная отчетность'!BB45,'Квартальная отчетность'!BB151)</f>
        <v>0</v>
      </c>
      <c s="125">
        <f>SUM('Квартальная отчетность'!BC45,'Квартальная отчетность'!BC151)</f>
        <v>0</v>
      </c>
      <c s="125">
        <f>SUM('Квартальная отчетность'!BD45,'Квартальная отчетность'!BD151)</f>
        <v>0</v>
      </c>
      <c s="125">
        <f>SUM('Квартальная отчетность'!BE45,'Квартальная отчетность'!BE151)</f>
        <v>0</v>
      </c>
      <c s="125">
        <f>SUM('Квартальная отчетность'!BF45,'Квартальная отчетность'!BF151)</f>
        <v>0</v>
      </c>
      <c s="125">
        <f>SUM('Квартальная отчетность'!BG45,'Квартальная отчетность'!BG151)</f>
        <v>0</v>
      </c>
      <c s="125">
        <f>SUM('Квартальная отчетность'!BH45,'Квартальная отчетность'!BH151)</f>
        <v>0</v>
      </c>
      <c s="125">
        <f>SUM('Квартальная отчетность'!BI45,'Квартальная отчетность'!BI151)</f>
        <v>0</v>
      </c>
      <c s="125">
        <f>SUM('Квартальная отчетность'!BJ45,'Квартальная отчетность'!BJ151)</f>
        <v>0</v>
      </c>
      <c s="125">
        <f>SUM('Квартальная отчетность'!BK45,'Квартальная отчетность'!BK151)</f>
        <v>0</v>
      </c>
      <c s="125">
        <f>SUM('Квартальная отчетность'!BL45,'Квартальная отчетность'!BL151)</f>
        <v>0</v>
      </c>
      <c s="125">
        <f>SUM('Квартальная отчетность'!BM45,'Квартальная отчетность'!BM151)</f>
        <v>0</v>
      </c>
    </row>
    <row r="292" spans="2:65" ht="15" customHeight="1">
      <c r="B292" s="12" t="s">
        <v>1032</v>
      </c>
      <c s="124" t="s">
        <v>438</v>
      </c>
      <c s="276">
        <f>SUM(E292:BM292)</f>
        <v>0</v>
      </c>
      <c s="125">
        <f>SUM('Квартальная отчетность'!E70,'Квартальная отчетность'!E152)</f>
        <v>0</v>
      </c>
      <c s="125">
        <f>SUM('Квартальная отчетность'!F70,'Квартальная отчетность'!F152)</f>
        <v>0</v>
      </c>
      <c s="125">
        <f>SUM('Квартальная отчетность'!G70,'Квартальная отчетность'!G152)</f>
        <v>0</v>
      </c>
      <c s="125">
        <f>SUM('Квартальная отчетность'!H70,'Квартальная отчетность'!H152)</f>
        <v>0</v>
      </c>
      <c s="125">
        <f>SUM('Квартальная отчетность'!I70,'Квартальная отчетность'!I152)</f>
        <v>0</v>
      </c>
      <c s="125">
        <f>SUM('Квартальная отчетность'!J70,'Квартальная отчетность'!J152)</f>
        <v>0</v>
      </c>
      <c s="125">
        <f>SUM('Квартальная отчетность'!K70,'Квартальная отчетность'!K152)</f>
        <v>0</v>
      </c>
      <c s="125">
        <f>SUM('Квартальная отчетность'!L70,'Квартальная отчетность'!L152)</f>
        <v>0</v>
      </c>
      <c s="125">
        <f>SUM('Квартальная отчетность'!M70,'Квартальная отчетность'!M152)</f>
        <v>0</v>
      </c>
      <c s="125">
        <f>SUM('Квартальная отчетность'!N70,'Квартальная отчетность'!N152)</f>
        <v>0</v>
      </c>
      <c s="125">
        <f>SUM('Квартальная отчетность'!O70,'Квартальная отчетность'!O152)</f>
        <v>0</v>
      </c>
      <c s="125">
        <f>SUM('Квартальная отчетность'!P70,'Квартальная отчетность'!P152)</f>
        <v>0</v>
      </c>
      <c s="125">
        <f>SUM('Квартальная отчетность'!Q70,'Квартальная отчетность'!Q152)</f>
        <v>0</v>
      </c>
      <c s="125">
        <f>SUM('Квартальная отчетность'!R70,'Квартальная отчетность'!R152)</f>
        <v>0</v>
      </c>
      <c s="125">
        <f>SUM('Квартальная отчетность'!S70,'Квартальная отчетность'!S152)</f>
        <v>0</v>
      </c>
      <c s="125">
        <f>SUM('Квартальная отчетность'!T70,'Квартальная отчетность'!T152)</f>
        <v>0</v>
      </c>
      <c s="125">
        <f>SUM('Квартальная отчетность'!U70,'Квартальная отчетность'!U152)</f>
        <v>0</v>
      </c>
      <c s="125">
        <f>SUM('Квартальная отчетность'!V70,'Квартальная отчетность'!V152)</f>
        <v>0</v>
      </c>
      <c s="125">
        <f>SUM('Квартальная отчетность'!W70,'Квартальная отчетность'!W152)</f>
        <v>0</v>
      </c>
      <c s="125">
        <f>SUM('Квартальная отчетность'!X70,'Квартальная отчетность'!X152)</f>
        <v>0</v>
      </c>
      <c s="125">
        <f>SUM('Квартальная отчетность'!Y70,'Квартальная отчетность'!Y152)</f>
        <v>0</v>
      </c>
      <c s="125">
        <f>SUM('Квартальная отчетность'!Z70,'Квартальная отчетность'!Z152)</f>
        <v>0</v>
      </c>
      <c s="125">
        <f>SUM('Квартальная отчетность'!AA70,'Квартальная отчетность'!AA152)</f>
        <v>0</v>
      </c>
      <c s="125">
        <f>SUM('Квартальная отчетность'!AB70,'Квартальная отчетность'!AB152)</f>
        <v>0</v>
      </c>
      <c s="125">
        <f>SUM('Квартальная отчетность'!AC70,'Квартальная отчетность'!AC152)</f>
        <v>0</v>
      </c>
      <c s="125">
        <f>SUM('Квартальная отчетность'!AD70,'Квартальная отчетность'!AD152)</f>
        <v>0</v>
      </c>
      <c s="125">
        <f>SUM('Квартальная отчетность'!AE70,'Квартальная отчетность'!AE152)</f>
        <v>0</v>
      </c>
      <c s="125">
        <f>SUM('Квартальная отчетность'!AF70,'Квартальная отчетность'!AF152)</f>
        <v>0</v>
      </c>
      <c s="125">
        <f>SUM('Квартальная отчетность'!AG70,'Квартальная отчетность'!AG152)</f>
        <v>0</v>
      </c>
      <c s="125">
        <f>SUM('Квартальная отчетность'!AH70,'Квартальная отчетность'!AH152)</f>
        <v>0</v>
      </c>
      <c s="125">
        <f>SUM('Квартальная отчетность'!AI70,'Квартальная отчетность'!AI152)</f>
        <v>0</v>
      </c>
      <c s="125">
        <f>SUM('Квартальная отчетность'!AJ70,'Квартальная отчетность'!AJ152)</f>
        <v>0</v>
      </c>
      <c s="125">
        <f>SUM('Квартальная отчетность'!AK70,'Квартальная отчетность'!AK152)</f>
        <v>0</v>
      </c>
      <c s="125">
        <f>SUM('Квартальная отчетность'!AL70,'Квартальная отчетность'!AL152)</f>
        <v>0</v>
      </c>
      <c s="125">
        <f>SUM('Квартальная отчетность'!AM70,'Квартальная отчетность'!AM152)</f>
        <v>0</v>
      </c>
      <c s="125">
        <f>SUM('Квартальная отчетность'!AN70,'Квартальная отчетность'!AN152)</f>
        <v>0</v>
      </c>
      <c s="125">
        <f>SUM('Квартальная отчетность'!AO70,'Квартальная отчетность'!AO152)</f>
        <v>0</v>
      </c>
      <c s="125">
        <f>SUM('Квартальная отчетность'!AP70,'Квартальная отчетность'!AP152)</f>
        <v>0</v>
      </c>
      <c s="125">
        <f>SUM('Квартальная отчетность'!AQ70,'Квартальная отчетность'!AQ152)</f>
        <v>0</v>
      </c>
      <c s="125">
        <f>SUM('Квартальная отчетность'!AR70,'Квартальная отчетность'!AR152)</f>
        <v>0</v>
      </c>
      <c s="125">
        <f>SUM('Квартальная отчетность'!AS70,'Квартальная отчетность'!AS152)</f>
        <v>0</v>
      </c>
      <c s="125">
        <f>SUM('Квартальная отчетность'!AT70,'Квартальная отчетность'!AT152)</f>
        <v>0</v>
      </c>
      <c s="125">
        <f>SUM('Квартальная отчетность'!AU70,'Квартальная отчетность'!AU152)</f>
        <v>0</v>
      </c>
      <c s="125">
        <f>SUM('Квартальная отчетность'!AV70,'Квартальная отчетность'!AV152)</f>
        <v>0</v>
      </c>
      <c s="125">
        <f>SUM('Квартальная отчетность'!AW70,'Квартальная отчетность'!AW152)</f>
        <v>0</v>
      </c>
      <c s="125">
        <f>SUM('Квартальная отчетность'!AX70,'Квартальная отчетность'!AX152)</f>
        <v>0</v>
      </c>
      <c s="125">
        <f>SUM('Квартальная отчетность'!AY70,'Квартальная отчетность'!AY152)</f>
        <v>0</v>
      </c>
      <c s="125">
        <f>SUM('Квартальная отчетность'!AZ70,'Квартальная отчетность'!AZ152)</f>
        <v>0</v>
      </c>
      <c s="125">
        <f>SUM('Квартальная отчетность'!BA70,'Квартальная отчетность'!BA152)</f>
        <v>0</v>
      </c>
      <c s="125">
        <f>SUM('Квартальная отчетность'!BB70,'Квартальная отчетность'!BB152)</f>
        <v>0</v>
      </c>
      <c s="125">
        <f>SUM('Квартальная отчетность'!BC70,'Квартальная отчетность'!BC152)</f>
        <v>0</v>
      </c>
      <c s="125">
        <f>SUM('Квартальная отчетность'!BD70,'Квартальная отчетность'!BD152)</f>
        <v>0</v>
      </c>
      <c s="125">
        <f>SUM('Квартальная отчетность'!BE70,'Квартальная отчетность'!BE152)</f>
        <v>0</v>
      </c>
      <c s="125">
        <f>SUM('Квартальная отчетность'!BF70,'Квартальная отчетность'!BF152)</f>
        <v>0</v>
      </c>
      <c s="125">
        <f>SUM('Квартальная отчетность'!BG70,'Квартальная отчетность'!BG152)</f>
        <v>0</v>
      </c>
      <c s="125">
        <f>SUM('Квартальная отчетность'!BH70,'Квартальная отчетность'!BH152)</f>
        <v>0</v>
      </c>
      <c s="125">
        <f>SUM('Квартальная отчетность'!BI70,'Квартальная отчетность'!BI152)</f>
        <v>0</v>
      </c>
      <c s="125">
        <f>SUM('Квартальная отчетность'!BJ70,'Квартальная отчетность'!BJ152)</f>
        <v>0</v>
      </c>
      <c s="125">
        <f>SUM('Квартальная отчетность'!BK70,'Квартальная отчетность'!BK152)</f>
        <v>0</v>
      </c>
      <c s="125">
        <f>SUM('Квартальная отчетность'!BL70,'Квартальная отчетность'!BL152)</f>
        <v>0</v>
      </c>
      <c s="125">
        <f>SUM('Квартальная отчетность'!BM70,'Квартальная отчетность'!BM152)</f>
        <v>0</v>
      </c>
    </row>
    <row r="293" spans="2:65" ht="15" customHeight="1">
      <c r="B293" s="12" t="s">
        <v>943</v>
      </c>
      <c s="124" t="s">
        <v>438</v>
      </c>
      <c s="276">
        <f ca="1">SUM(E293:BM293)</f>
        <v>0</v>
      </c>
      <c s="125">
        <f>SUM('Квартальная отчетность'!E48,'Квартальная отчетность'!E153)</f>
        <v>0</v>
      </c>
      <c s="125">
        <f>SUM('Квартальная отчетность'!F48,'Квартальная отчетность'!F153)</f>
        <v>0</v>
      </c>
      <c s="125">
        <f ca="1">SUM('Квартальная отчетность'!G48,'Квартальная отчетность'!G153)</f>
        <v>0</v>
      </c>
      <c s="125">
        <f ca="1">SUM('Квартальная отчетность'!H48,'Квартальная отчетность'!H153)</f>
        <v>0</v>
      </c>
      <c s="125">
        <f ca="1">SUM('Квартальная отчетность'!I48,'Квартальная отчетность'!I153)</f>
        <v>0</v>
      </c>
      <c s="125">
        <f ca="1">SUM('Квартальная отчетность'!J48,'Квартальная отчетность'!J153)</f>
        <v>0</v>
      </c>
      <c s="125">
        <f ca="1">SUM('Квартальная отчетность'!K48,'Квартальная отчетность'!K153)</f>
        <v>0</v>
      </c>
      <c s="125">
        <f ca="1">SUM('Квартальная отчетность'!L48,'Квартальная отчетность'!L153)</f>
        <v>0</v>
      </c>
      <c s="125">
        <f ca="1">SUM('Квартальная отчетность'!M48,'Квартальная отчетность'!M153)</f>
        <v>0</v>
      </c>
      <c s="125">
        <f ca="1">SUM('Квартальная отчетность'!N48,'Квартальная отчетность'!N153)</f>
        <v>0</v>
      </c>
      <c s="125">
        <f ca="1">SUM('Квартальная отчетность'!O48,'Квартальная отчетность'!O153)</f>
        <v>0</v>
      </c>
      <c s="125">
        <f ca="1">SUM('Квартальная отчетность'!P48,'Квартальная отчетность'!P153)</f>
        <v>0</v>
      </c>
      <c s="125">
        <f ca="1">SUM('Квартальная отчетность'!Q48,'Квартальная отчетность'!Q153)</f>
        <v>0</v>
      </c>
      <c s="125">
        <f ca="1">SUM('Квартальная отчетность'!R48,'Квартальная отчетность'!R153)</f>
        <v>0</v>
      </c>
      <c s="125">
        <f ca="1">SUM('Квартальная отчетность'!S48,'Квартальная отчетность'!S153)</f>
        <v>0</v>
      </c>
      <c s="125">
        <f ca="1">SUM('Квартальная отчетность'!T48,'Квартальная отчетность'!T153)</f>
        <v>0</v>
      </c>
      <c s="125">
        <f ca="1">SUM('Квартальная отчетность'!U48,'Квартальная отчетность'!U153)</f>
        <v>0</v>
      </c>
      <c s="125">
        <f ca="1">SUM('Квартальная отчетность'!V48,'Квартальная отчетность'!V153)</f>
        <v>0</v>
      </c>
      <c s="125">
        <f ca="1">SUM('Квартальная отчетность'!W48,'Квартальная отчетность'!W153)</f>
        <v>0</v>
      </c>
      <c s="125">
        <f ca="1">SUM('Квартальная отчетность'!X48,'Квартальная отчетность'!X153)</f>
        <v>0</v>
      </c>
      <c s="125">
        <f ca="1">SUM('Квартальная отчетность'!Y48,'Квартальная отчетность'!Y153)</f>
        <v>0</v>
      </c>
      <c s="125">
        <f ca="1">SUM('Квартальная отчетность'!Z48,'Квартальная отчетность'!Z153)</f>
        <v>0</v>
      </c>
      <c s="125">
        <f ca="1">SUM('Квартальная отчетность'!AA48,'Квартальная отчетность'!AA153)</f>
        <v>0</v>
      </c>
      <c s="125">
        <f ca="1">SUM('Квартальная отчетность'!AB48,'Квартальная отчетность'!AB153)</f>
        <v>0</v>
      </c>
      <c s="125">
        <f ca="1">SUM('Квартальная отчетность'!AC48,'Квартальная отчетность'!AC153)</f>
        <v>0</v>
      </c>
      <c s="125">
        <f ca="1">SUM('Квартальная отчетность'!AD48,'Квартальная отчетность'!AD153)</f>
        <v>0</v>
      </c>
      <c s="125">
        <f ca="1">SUM('Квартальная отчетность'!AE48,'Квартальная отчетность'!AE153)</f>
        <v>0</v>
      </c>
      <c s="125">
        <f ca="1">SUM('Квартальная отчетность'!AF48,'Квартальная отчетность'!AF153)</f>
        <v>0</v>
      </c>
      <c s="125">
        <f ca="1">SUM('Квартальная отчетность'!AG48,'Квартальная отчетность'!AG153)</f>
        <v>0</v>
      </c>
      <c s="125">
        <f ca="1">SUM('Квартальная отчетность'!AH48,'Квартальная отчетность'!AH153)</f>
        <v>0</v>
      </c>
      <c s="125">
        <f ca="1">SUM('Квартальная отчетность'!AI48,'Квартальная отчетность'!AI153)</f>
        <v>0</v>
      </c>
      <c s="125">
        <f ca="1">SUM('Квартальная отчетность'!AJ48,'Квартальная отчетность'!AJ153)</f>
        <v>0</v>
      </c>
      <c s="125">
        <f ca="1">SUM('Квартальная отчетность'!AK48,'Квартальная отчетность'!AK153)</f>
        <v>0</v>
      </c>
      <c s="125">
        <f ca="1">SUM('Квартальная отчетность'!AL48,'Квартальная отчетность'!AL153)</f>
        <v>0</v>
      </c>
      <c s="125">
        <f ca="1">SUM('Квартальная отчетность'!AM48,'Квартальная отчетность'!AM153)</f>
        <v>0</v>
      </c>
      <c s="125">
        <f ca="1">SUM('Квартальная отчетность'!AN48,'Квартальная отчетность'!AN153)</f>
        <v>0</v>
      </c>
      <c s="125">
        <f ca="1">SUM('Квартальная отчетность'!AO48,'Квартальная отчетность'!AO153)</f>
        <v>0</v>
      </c>
      <c s="125">
        <f ca="1">SUM('Квартальная отчетность'!AP48,'Квартальная отчетность'!AP153)</f>
        <v>0</v>
      </c>
      <c s="125">
        <f ca="1">SUM('Квартальная отчетность'!AQ48,'Квартальная отчетность'!AQ153)</f>
        <v>0</v>
      </c>
      <c s="125">
        <f ca="1">SUM('Квартальная отчетность'!AR48,'Квартальная отчетность'!AR153)</f>
        <v>0</v>
      </c>
      <c s="125">
        <f ca="1">SUM('Квартальная отчетность'!AS48,'Квартальная отчетность'!AS153)</f>
        <v>0</v>
      </c>
      <c s="125">
        <f ca="1">SUM('Квартальная отчетность'!AT48,'Квартальная отчетность'!AT153)</f>
        <v>0</v>
      </c>
      <c s="125">
        <f ca="1">SUM('Квартальная отчетность'!AU48,'Квартальная отчетность'!AU153)</f>
        <v>0</v>
      </c>
      <c s="125">
        <f ca="1">SUM('Квартальная отчетность'!AV48,'Квартальная отчетность'!AV153)</f>
        <v>0</v>
      </c>
      <c s="125">
        <f ca="1">SUM('Квартальная отчетность'!AW48,'Квартальная отчетность'!AW153)</f>
        <v>0</v>
      </c>
      <c s="125">
        <f ca="1">SUM('Квартальная отчетность'!AX48,'Квартальная отчетность'!AX153)</f>
        <v>0</v>
      </c>
      <c s="125">
        <f ca="1">SUM('Квартальная отчетность'!AY48,'Квартальная отчетность'!AY153)</f>
        <v>0</v>
      </c>
      <c s="125">
        <f ca="1">SUM('Квартальная отчетность'!AZ48,'Квартальная отчетность'!AZ153)</f>
        <v>0</v>
      </c>
      <c s="125">
        <f ca="1">SUM('Квартальная отчетность'!BA48,'Квартальная отчетность'!BA153)</f>
        <v>0</v>
      </c>
      <c s="125">
        <f ca="1">SUM('Квартальная отчетность'!BB48,'Квартальная отчетность'!BB153)</f>
        <v>0</v>
      </c>
      <c s="125">
        <f ca="1">SUM('Квартальная отчетность'!BC48,'Квартальная отчетность'!BC153)</f>
        <v>0</v>
      </c>
      <c s="125">
        <f ca="1">SUM('Квартальная отчетность'!BD48,'Квартальная отчетность'!BD153)</f>
        <v>0</v>
      </c>
      <c s="125">
        <f ca="1">SUM('Квартальная отчетность'!BE48,'Квартальная отчетность'!BE153)</f>
        <v>0</v>
      </c>
      <c s="125">
        <f ca="1">SUM('Квартальная отчетность'!BF48,'Квартальная отчетность'!BF153)</f>
        <v>0</v>
      </c>
      <c s="125">
        <f ca="1">SUM('Квартальная отчетность'!BG48,'Квартальная отчетность'!BG153)</f>
        <v>0</v>
      </c>
      <c s="125">
        <f ca="1">SUM('Квартальная отчетность'!BH48,'Квартальная отчетность'!BH153)</f>
        <v>0</v>
      </c>
      <c s="125">
        <f ca="1">SUM('Квартальная отчетность'!BI48,'Квартальная отчетность'!BI153)</f>
        <v>0</v>
      </c>
      <c s="125">
        <f ca="1">SUM('Квартальная отчетность'!BJ48,'Квартальная отчетность'!BJ153)</f>
        <v>0</v>
      </c>
      <c s="125">
        <f ca="1">SUM('Квартальная отчетность'!BK48,'Квартальная отчетность'!BK153)</f>
        <v>0</v>
      </c>
      <c s="125">
        <f ca="1">SUM('Квартальная отчетность'!BL48,'Квартальная отчетность'!BL153)</f>
        <v>0</v>
      </c>
      <c s="125">
        <f ca="1">SUM('Квартальная отчетность'!BM48,'Квартальная отчетность'!BM153)</f>
        <v>0</v>
      </c>
    </row>
    <row r="294" spans="2:65" ht="15" customHeight="1">
      <c r="B294" s="12" t="s">
        <v>1033</v>
      </c>
      <c s="124" t="s">
        <v>438</v>
      </c>
      <c s="276">
        <f ca="1">SUM(E294:BM294)</f>
        <v>0</v>
      </c>
      <c s="125">
        <f>SUM('Квартальная отчетность'!E46:E47,'Квартальная отчетность'!E49:E50,'Квартальная отчетность'!E154)</f>
        <v>0</v>
      </c>
      <c s="125">
        <f ca="1">SUM('Квартальная отчетность'!F46:F47,'Квартальная отчетность'!F49:F50,'Квартальная отчетность'!F154)</f>
        <v>0</v>
      </c>
      <c s="125">
        <f ca="1">SUM('Квартальная отчетность'!G46:G47,'Квартальная отчетность'!G49:G50,'Квартальная отчетность'!G154)</f>
        <v>0</v>
      </c>
      <c s="125">
        <f ca="1">SUM('Квартальная отчетность'!H46:H47,'Квартальная отчетность'!H49:H50,'Квартальная отчетность'!H154)</f>
        <v>0</v>
      </c>
      <c s="125">
        <f ca="1">SUM('Квартальная отчетность'!I46:I47,'Квартальная отчетность'!I49:I50,'Квартальная отчетность'!I154)</f>
        <v>0</v>
      </c>
      <c s="125">
        <f ca="1">SUM('Квартальная отчетность'!J46:J47,'Квартальная отчетность'!J49:J50,'Квартальная отчетность'!J154)</f>
        <v>0</v>
      </c>
      <c s="125">
        <f ca="1">SUM('Квартальная отчетность'!K46:K47,'Квартальная отчетность'!K49:K50,'Квартальная отчетность'!K154)</f>
        <v>0</v>
      </c>
      <c s="125">
        <f ca="1">SUM('Квартальная отчетность'!L46:L47,'Квартальная отчетность'!L49:L50,'Квартальная отчетность'!L154)</f>
        <v>0</v>
      </c>
      <c s="125">
        <f ca="1">SUM('Квартальная отчетность'!M46:M47,'Квартальная отчетность'!M49:M50,'Квартальная отчетность'!M154)</f>
        <v>0</v>
      </c>
      <c s="125">
        <f ca="1">SUM('Квартальная отчетность'!N46:N47,'Квартальная отчетность'!N49:N50,'Квартальная отчетность'!N154)</f>
        <v>0</v>
      </c>
      <c s="125">
        <f ca="1">SUM('Квартальная отчетность'!O46:O47,'Квартальная отчетность'!O49:O50,'Квартальная отчетность'!O154)</f>
        <v>0</v>
      </c>
      <c s="125">
        <f ca="1">SUM('Квартальная отчетность'!P46:P47,'Квартальная отчетность'!P49:P50,'Квартальная отчетность'!P154)</f>
        <v>0</v>
      </c>
      <c s="125">
        <f ca="1">SUM('Квартальная отчетность'!Q46:Q47,'Квартальная отчетность'!Q49:Q50,'Квартальная отчетность'!Q154)</f>
        <v>0</v>
      </c>
      <c s="125">
        <f ca="1">SUM('Квартальная отчетность'!R46:R47,'Квартальная отчетность'!R49:R50,'Квартальная отчетность'!R154)</f>
        <v>0</v>
      </c>
      <c s="125">
        <f ca="1">SUM('Квартальная отчетность'!S46:S47,'Квартальная отчетность'!S49:S50,'Квартальная отчетность'!S154)</f>
        <v>0</v>
      </c>
      <c s="125">
        <f ca="1">SUM('Квартальная отчетность'!T46:T47,'Квартальная отчетность'!T49:T50,'Квартальная отчетность'!T154)</f>
        <v>0</v>
      </c>
      <c s="125">
        <f ca="1">SUM('Квартальная отчетность'!U46:U47,'Квартальная отчетность'!U49:U50,'Квартальная отчетность'!U154)</f>
        <v>0</v>
      </c>
      <c s="125">
        <f ca="1">SUM('Квартальная отчетность'!V46:V47,'Квартальная отчетность'!V49:V50,'Квартальная отчетность'!V154)</f>
        <v>0</v>
      </c>
      <c s="125">
        <f ca="1">SUM('Квартальная отчетность'!W46:W47,'Квартальная отчетность'!W49:W50,'Квартальная отчетность'!W154)</f>
        <v>0</v>
      </c>
      <c s="125">
        <f ca="1">SUM('Квартальная отчетность'!X46:X47,'Квартальная отчетность'!X49:X50,'Квартальная отчетность'!X154)</f>
        <v>0</v>
      </c>
      <c s="125">
        <f ca="1">SUM('Квартальная отчетность'!Y46:Y47,'Квартальная отчетность'!Y49:Y50,'Квартальная отчетность'!Y154)</f>
        <v>0</v>
      </c>
      <c s="125">
        <f ca="1">SUM('Квартальная отчетность'!Z46:Z47,'Квартальная отчетность'!Z49:Z50,'Квартальная отчетность'!Z154)</f>
        <v>0</v>
      </c>
      <c s="125">
        <f ca="1">SUM('Квартальная отчетность'!AA46:AA47,'Квартальная отчетность'!AA49:AA50,'Квартальная отчетность'!AA154)</f>
        <v>0</v>
      </c>
      <c s="125">
        <f ca="1">SUM('Квартальная отчетность'!AB46:AB47,'Квартальная отчетность'!AB49:AB50,'Квартальная отчетность'!AB154)</f>
        <v>0</v>
      </c>
      <c s="125">
        <f ca="1">SUM('Квартальная отчетность'!AC46:AC47,'Квартальная отчетность'!AC49:AC50,'Квартальная отчетность'!AC154)</f>
        <v>0</v>
      </c>
      <c s="125">
        <f ca="1">SUM('Квартальная отчетность'!AD46:AD47,'Квартальная отчетность'!AD49:AD50,'Квартальная отчетность'!AD154)</f>
        <v>0</v>
      </c>
      <c s="125">
        <f ca="1">SUM('Квартальная отчетность'!AE46:AE47,'Квартальная отчетность'!AE49:AE50,'Квартальная отчетность'!AE154)</f>
        <v>0</v>
      </c>
      <c s="125">
        <f ca="1">SUM('Квартальная отчетность'!AF46:AF47,'Квартальная отчетность'!AF49:AF50,'Квартальная отчетность'!AF154)</f>
        <v>0</v>
      </c>
      <c s="125">
        <f ca="1">SUM('Квартальная отчетность'!AG46:AG47,'Квартальная отчетность'!AG49:AG50,'Квартальная отчетность'!AG154)</f>
        <v>0</v>
      </c>
      <c s="125">
        <f ca="1">SUM('Квартальная отчетность'!AH46:AH47,'Квартальная отчетность'!AH49:AH50,'Квартальная отчетность'!AH154)</f>
        <v>0</v>
      </c>
      <c s="125">
        <f ca="1">SUM('Квартальная отчетность'!AI46:AI47,'Квартальная отчетность'!AI49:AI50,'Квартальная отчетность'!AI154)</f>
        <v>0</v>
      </c>
      <c s="125">
        <f ca="1">SUM('Квартальная отчетность'!AJ46:AJ47,'Квартальная отчетность'!AJ49:AJ50,'Квартальная отчетность'!AJ154)</f>
        <v>0</v>
      </c>
      <c s="125">
        <f ca="1">SUM('Квартальная отчетность'!AK46:AK47,'Квартальная отчетность'!AK49:AK50,'Квартальная отчетность'!AK154)</f>
        <v>0</v>
      </c>
      <c s="125">
        <f ca="1">SUM('Квартальная отчетность'!AL46:AL47,'Квартальная отчетность'!AL49:AL50,'Квартальная отчетность'!AL154)</f>
        <v>0</v>
      </c>
      <c s="125">
        <f ca="1">SUM('Квартальная отчетность'!AM46:AM47,'Квартальная отчетность'!AM49:AM50,'Квартальная отчетность'!AM154)</f>
        <v>0</v>
      </c>
      <c s="125">
        <f ca="1">SUM('Квартальная отчетность'!AN46:AN47,'Квартальная отчетность'!AN49:AN50,'Квартальная отчетность'!AN154)</f>
        <v>0</v>
      </c>
      <c s="125">
        <f ca="1">SUM('Квартальная отчетность'!AO46:AO47,'Квартальная отчетность'!AO49:AO50,'Квартальная отчетность'!AO154)</f>
        <v>0</v>
      </c>
      <c s="125">
        <f ca="1">SUM('Квартальная отчетность'!AP46:AP47,'Квартальная отчетность'!AP49:AP50,'Квартальная отчетность'!AP154)</f>
        <v>0</v>
      </c>
      <c s="125">
        <f ca="1">SUM('Квартальная отчетность'!AQ46:AQ47,'Квартальная отчетность'!AQ49:AQ50,'Квартальная отчетность'!AQ154)</f>
        <v>0</v>
      </c>
      <c s="125">
        <f ca="1">SUM('Квартальная отчетность'!AR46:AR47,'Квартальная отчетность'!AR49:AR50,'Квартальная отчетность'!AR154)</f>
        <v>0</v>
      </c>
      <c s="125">
        <f ca="1">SUM('Квартальная отчетность'!AS46:AS47,'Квартальная отчетность'!AS49:AS50,'Квартальная отчетность'!AS154)</f>
        <v>0</v>
      </c>
      <c s="125">
        <f ca="1">SUM('Квартальная отчетность'!AT46:AT47,'Квартальная отчетность'!AT49:AT50,'Квартальная отчетность'!AT154)</f>
        <v>0</v>
      </c>
      <c s="125">
        <f ca="1">SUM('Квартальная отчетность'!AU46:AU47,'Квартальная отчетность'!AU49:AU50,'Квартальная отчетность'!AU154)</f>
        <v>0</v>
      </c>
      <c s="125">
        <f ca="1">SUM('Квартальная отчетность'!AV46:AV47,'Квартальная отчетность'!AV49:AV50,'Квартальная отчетность'!AV154)</f>
        <v>0</v>
      </c>
      <c s="125">
        <f ca="1">SUM('Квартальная отчетность'!AW46:AW47,'Квартальная отчетность'!AW49:AW50,'Квартальная отчетность'!AW154)</f>
        <v>0</v>
      </c>
      <c s="125">
        <f ca="1">SUM('Квартальная отчетность'!AX46:AX47,'Квартальная отчетность'!AX49:AX50,'Квартальная отчетность'!AX154)</f>
        <v>0</v>
      </c>
      <c s="125">
        <f ca="1">SUM('Квартальная отчетность'!AY46:AY47,'Квартальная отчетность'!AY49:AY50,'Квартальная отчетность'!AY154)</f>
        <v>0</v>
      </c>
      <c s="125">
        <f ca="1">SUM('Квартальная отчетность'!AZ46:AZ47,'Квартальная отчетность'!AZ49:AZ50,'Квартальная отчетность'!AZ154)</f>
        <v>0</v>
      </c>
      <c s="125">
        <f ca="1">SUM('Квартальная отчетность'!BA46:BA47,'Квартальная отчетность'!BA49:BA50,'Квартальная отчетность'!BA154)</f>
        <v>0</v>
      </c>
      <c s="125">
        <f ca="1">SUM('Квартальная отчетность'!BB46:BB47,'Квартальная отчетность'!BB49:BB50,'Квартальная отчетность'!BB154)</f>
        <v>0</v>
      </c>
      <c s="125">
        <f ca="1">SUM('Квартальная отчетность'!BC46:BC47,'Квартальная отчетность'!BC49:BC50,'Квартальная отчетность'!BC154)</f>
        <v>0</v>
      </c>
      <c s="125">
        <f ca="1">SUM('Квартальная отчетность'!BD46:BD47,'Квартальная отчетность'!BD49:BD50,'Квартальная отчетность'!BD154)</f>
        <v>0</v>
      </c>
      <c s="125">
        <f ca="1">SUM('Квартальная отчетность'!BE46:BE47,'Квартальная отчетность'!BE49:BE50,'Квартальная отчетность'!BE154)</f>
        <v>0</v>
      </c>
      <c s="125">
        <f ca="1">SUM('Квартальная отчетность'!BF46:BF47,'Квартальная отчетность'!BF49:BF50,'Квартальная отчетность'!BF154)</f>
        <v>0</v>
      </c>
      <c s="125">
        <f ca="1">SUM('Квартальная отчетность'!BG46:BG47,'Квартальная отчетность'!BG49:BG50,'Квартальная отчетность'!BG154)</f>
        <v>0</v>
      </c>
      <c s="125">
        <f ca="1">SUM('Квартальная отчетность'!BH46:BH47,'Квартальная отчетность'!BH49:BH50,'Квартальная отчетность'!BH154)</f>
        <v>0</v>
      </c>
      <c s="125">
        <f ca="1">SUM('Квартальная отчетность'!BI46:BI47,'Квартальная отчетность'!BI49:BI50,'Квартальная отчетность'!BI154)</f>
        <v>0</v>
      </c>
      <c s="125">
        <f ca="1">SUM('Квартальная отчетность'!BJ46:BJ47,'Квартальная отчетность'!BJ49:BJ50,'Квартальная отчетность'!BJ154)</f>
        <v>0</v>
      </c>
      <c s="125">
        <f ca="1">SUM('Квартальная отчетность'!BK46:BK47,'Квартальная отчетность'!BK49:BK50,'Квартальная отчетность'!BK154)</f>
        <v>0</v>
      </c>
      <c s="125">
        <f ca="1">SUM('Квартальная отчетность'!BL46:BL47,'Квартальная отчетность'!BL49:BL50,'Квартальная отчетность'!BL154)</f>
        <v>0</v>
      </c>
      <c s="125">
        <f ca="1">SUM('Квартальная отчетность'!BM46:BM47,'Квартальная отчетность'!BM49:BM50,'Квартальная отчетность'!BM154)</f>
        <v>0</v>
      </c>
    </row>
    <row r="295" spans="2:65" ht="15" customHeight="1">
      <c r="B295" s="289" t="s">
        <v>454</v>
      </c>
      <c s="290" t="s">
        <v>438</v>
      </c>
      <c s="291">
        <f ca="1" t="shared" si="262" ref="D295:E295">SUM(D290:D294)</f>
        <v>0</v>
      </c>
      <c s="276">
        <f t="shared" ca="1" si="262"/>
        <v>0</v>
      </c>
      <c s="276">
        <f ca="1" t="shared" si="263" ref="F295:AG295">SUM(F290:F294)</f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t="shared" ca="1" si="263"/>
        <v>0</v>
      </c>
      <c s="276">
        <f ca="1" t="shared" si="264" ref="AH295:BM295">SUM(AH290:AH294)</f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  <c s="276">
        <f t="shared" ca="1" si="264"/>
        <v>0</v>
      </c>
    </row>
    <row r="296" ht="15" customHeight="1"/>
    <row r="297" spans="2:65" ht="15" customHeight="1">
      <c r="B297" s="292" t="s">
        <v>986</v>
      </c>
      <c s="293" t="s">
        <v>438</v>
      </c>
      <c s="291">
        <f ca="1" t="shared" si="265" ref="D297:E297">SUM(D287,D295)</f>
        <v>0</v>
      </c>
      <c s="291">
        <f t="shared" ca="1" si="265"/>
        <v>0</v>
      </c>
      <c s="291">
        <f ca="1" t="shared" si="266" ref="F297:AG297">SUM(F287,F295)</f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t="shared" ca="1" si="266"/>
        <v>0</v>
      </c>
      <c s="291">
        <f ca="1" t="shared" si="267" ref="AH297:BM297">SUM(AH287,AH295)</f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  <c s="291">
        <f t="shared" ca="1" si="267"/>
        <v>0</v>
      </c>
    </row>
    <row r="298" ht="15" customHeight="1"/>
    <row r="299" spans="2:71" ht="21">
      <c r="B299" s="24" t="s">
        <v>987</v>
      </c>
      <c r="D29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0" spans="2:69" ht="14.45">
      <c r="B300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1" spans="2:65" ht="15" customHeight="1">
      <c r="B301" s="130" t="s">
        <v>1034</v>
      </c>
      <c s="124" t="s">
        <v>438</v>
      </c>
      <c s="276">
        <f>SUM(E301:BM301)</f>
        <v>0</v>
      </c>
      <c s="125">
        <f>'Квартальная отчетность'!E161</f>
        <v>0</v>
      </c>
      <c s="125">
        <f>'Квартальная отчетность'!F161</f>
        <v>0</v>
      </c>
      <c s="125">
        <f>'Квартальная отчетность'!G161</f>
        <v>0</v>
      </c>
      <c s="125">
        <f>'Квартальная отчетность'!H161</f>
        <v>0</v>
      </c>
      <c s="125">
        <f>'Квартальная отчетность'!I161</f>
        <v>0</v>
      </c>
      <c s="125">
        <f>'Квартальная отчетность'!J161</f>
        <v>0</v>
      </c>
      <c s="125">
        <f>'Квартальная отчетность'!K161</f>
        <v>0</v>
      </c>
      <c s="125">
        <f>'Квартальная отчетность'!L161</f>
        <v>0</v>
      </c>
      <c s="125">
        <f>'Квартальная отчетность'!M161</f>
        <v>0</v>
      </c>
      <c s="125">
        <f>'Квартальная отчетность'!N161</f>
        <v>0</v>
      </c>
      <c s="125">
        <f>'Квартальная отчетность'!O161</f>
        <v>0</v>
      </c>
      <c s="125">
        <f>'Квартальная отчетность'!P161</f>
        <v>0</v>
      </c>
      <c s="125">
        <f>'Квартальная отчетность'!Q161</f>
        <v>0</v>
      </c>
      <c s="125">
        <f>'Квартальная отчетность'!R161</f>
        <v>0</v>
      </c>
      <c s="125">
        <f>'Квартальная отчетность'!S161</f>
        <v>0</v>
      </c>
      <c s="125">
        <f>'Квартальная отчетность'!T161</f>
        <v>0</v>
      </c>
      <c s="125">
        <f>'Квартальная отчетность'!U161</f>
        <v>0</v>
      </c>
      <c s="125">
        <f>'Квартальная отчетность'!V161</f>
        <v>0</v>
      </c>
      <c s="125">
        <f>'Квартальная отчетность'!W161</f>
        <v>0</v>
      </c>
      <c s="125">
        <f>'Квартальная отчетность'!X161</f>
        <v>0</v>
      </c>
      <c s="125">
        <f>'Квартальная отчетность'!Y161</f>
        <v>0</v>
      </c>
      <c s="125">
        <f>'Квартальная отчетность'!Z161</f>
        <v>0</v>
      </c>
      <c s="125">
        <f>'Квартальная отчетность'!AA161</f>
        <v>0</v>
      </c>
      <c s="125">
        <f>'Квартальная отчетность'!AB161</f>
        <v>0</v>
      </c>
      <c s="125">
        <f>'Квартальная отчетность'!AC161</f>
        <v>0</v>
      </c>
      <c s="125">
        <f>'Квартальная отчетность'!AD161</f>
        <v>0</v>
      </c>
      <c s="125">
        <f>'Квартальная отчетность'!AE161</f>
        <v>0</v>
      </c>
      <c s="125">
        <f>'Квартальная отчетность'!AF161</f>
        <v>0</v>
      </c>
      <c s="125">
        <f>'Квартальная отчетность'!AG161</f>
        <v>0</v>
      </c>
      <c s="125">
        <f>'Квартальная отчетность'!AH161</f>
        <v>0</v>
      </c>
      <c s="125">
        <f>'Квартальная отчетность'!AI161</f>
        <v>0</v>
      </c>
      <c s="125">
        <f>'Квартальная отчетность'!AJ161</f>
        <v>0</v>
      </c>
      <c s="125">
        <f>'Квартальная отчетность'!AK161</f>
        <v>0</v>
      </c>
      <c s="125">
        <f>'Квартальная отчетность'!AL161</f>
        <v>0</v>
      </c>
      <c s="125">
        <f>'Квартальная отчетность'!AM161</f>
        <v>0</v>
      </c>
      <c s="125">
        <f>'Квартальная отчетность'!AN161</f>
        <v>0</v>
      </c>
      <c s="125">
        <f>'Квартальная отчетность'!AO161</f>
        <v>0</v>
      </c>
      <c s="125">
        <f>'Квартальная отчетность'!AP161</f>
        <v>0</v>
      </c>
      <c s="125">
        <f>'Квартальная отчетность'!AQ161</f>
        <v>0</v>
      </c>
      <c s="125">
        <f>'Квартальная отчетность'!AR161</f>
        <v>0</v>
      </c>
      <c s="125">
        <f>'Квартальная отчетность'!AS161</f>
        <v>0</v>
      </c>
      <c s="125">
        <f>'Квартальная отчетность'!AT161</f>
        <v>0</v>
      </c>
      <c s="125">
        <f>'Квартальная отчетность'!AU161</f>
        <v>0</v>
      </c>
      <c s="125">
        <f>'Квартальная отчетность'!AV161</f>
        <v>0</v>
      </c>
      <c s="125">
        <f>'Квартальная отчетность'!AW161</f>
        <v>0</v>
      </c>
      <c s="125">
        <f>'Квартальная отчетность'!AX161</f>
        <v>0</v>
      </c>
      <c s="125">
        <f>'Квартальная отчетность'!AY161</f>
        <v>0</v>
      </c>
      <c s="125">
        <f>'Квартальная отчетность'!AZ161</f>
        <v>0</v>
      </c>
      <c s="125">
        <f>'Квартальная отчетность'!BA161</f>
        <v>0</v>
      </c>
      <c s="125">
        <f>'Квартальная отчетность'!BB161</f>
        <v>0</v>
      </c>
      <c s="125">
        <f>'Квартальная отчетность'!BC161</f>
        <v>0</v>
      </c>
      <c s="125">
        <f>'Квартальная отчетность'!BD161</f>
        <v>0</v>
      </c>
      <c s="125">
        <f>'Квартальная отчетность'!BE161</f>
        <v>0</v>
      </c>
      <c s="125">
        <f>'Квартальная отчетность'!BF161</f>
        <v>0</v>
      </c>
      <c s="125">
        <f>'Квартальная отчетность'!BG161</f>
        <v>0</v>
      </c>
      <c s="125">
        <f>'Квартальная отчетность'!BH161</f>
        <v>0</v>
      </c>
      <c s="125">
        <f>'Квартальная отчетность'!BI161</f>
        <v>0</v>
      </c>
      <c s="125">
        <f>'Квартальная отчетность'!BJ161</f>
        <v>0</v>
      </c>
      <c s="125">
        <f>'Квартальная отчетность'!BK161</f>
        <v>0</v>
      </c>
      <c s="125">
        <f>'Квартальная отчетность'!BL161</f>
        <v>0</v>
      </c>
      <c s="125">
        <f>'Квартальная отчетность'!BM161</f>
        <v>0</v>
      </c>
    </row>
    <row r="302" spans="2:65" ht="15" customHeight="1">
      <c r="B302" s="12" t="s">
        <v>1035</v>
      </c>
      <c s="124" t="s">
        <v>438</v>
      </c>
      <c s="276">
        <f>SUM(E302:BM302)</f>
        <v>0</v>
      </c>
      <c s="125">
        <f>'Квартальная отчетность'!E162</f>
        <v>0</v>
      </c>
      <c s="125">
        <f>'Квартальная отчетность'!F162</f>
        <v>0</v>
      </c>
      <c s="125">
        <f>'Квартальная отчетность'!G162</f>
        <v>0</v>
      </c>
      <c s="125">
        <f>'Квартальная отчетность'!H162</f>
        <v>0</v>
      </c>
      <c s="125">
        <f>'Квартальная отчетность'!I162</f>
        <v>0</v>
      </c>
      <c s="125">
        <f>'Квартальная отчетность'!J162</f>
        <v>0</v>
      </c>
      <c s="125">
        <f>'Квартальная отчетность'!K162</f>
        <v>0</v>
      </c>
      <c s="125">
        <f>'Квартальная отчетность'!L162</f>
        <v>0</v>
      </c>
      <c s="125">
        <f>'Квартальная отчетность'!M162</f>
        <v>0</v>
      </c>
      <c s="125">
        <f>'Квартальная отчетность'!N162</f>
        <v>0</v>
      </c>
      <c s="125">
        <f>'Квартальная отчетность'!O162</f>
        <v>0</v>
      </c>
      <c s="125">
        <f>'Квартальная отчетность'!P162</f>
        <v>0</v>
      </c>
      <c s="125">
        <f>'Квартальная отчетность'!Q162</f>
        <v>0</v>
      </c>
      <c s="125">
        <f>'Квартальная отчетность'!R162</f>
        <v>0</v>
      </c>
      <c s="125">
        <f>'Квартальная отчетность'!S162</f>
        <v>0</v>
      </c>
      <c s="125">
        <f>'Квартальная отчетность'!T162</f>
        <v>0</v>
      </c>
      <c s="125">
        <f>'Квартальная отчетность'!U162</f>
        <v>0</v>
      </c>
      <c s="125">
        <f>'Квартальная отчетность'!V162</f>
        <v>0</v>
      </c>
      <c s="125">
        <f>'Квартальная отчетность'!W162</f>
        <v>0</v>
      </c>
      <c s="125">
        <f>'Квартальная отчетность'!X162</f>
        <v>0</v>
      </c>
      <c s="125">
        <f>'Квартальная отчетность'!Y162</f>
        <v>0</v>
      </c>
      <c s="125">
        <f>'Квартальная отчетность'!Z162</f>
        <v>0</v>
      </c>
      <c s="125">
        <f>'Квартальная отчетность'!AA162</f>
        <v>0</v>
      </c>
      <c s="125">
        <f>'Квартальная отчетность'!AB162</f>
        <v>0</v>
      </c>
      <c s="125">
        <f>'Квартальная отчетность'!AC162</f>
        <v>0</v>
      </c>
      <c s="125">
        <f>'Квартальная отчетность'!AD162</f>
        <v>0</v>
      </c>
      <c s="125">
        <f>'Квартальная отчетность'!AE162</f>
        <v>0</v>
      </c>
      <c s="125">
        <f>'Квартальная отчетность'!AF162</f>
        <v>0</v>
      </c>
      <c s="125">
        <f>'Квартальная отчетность'!AG162</f>
        <v>0</v>
      </c>
      <c s="125">
        <f>'Квартальная отчетность'!AH162</f>
        <v>0</v>
      </c>
      <c s="125">
        <f>'Квартальная отчетность'!AI162</f>
        <v>0</v>
      </c>
      <c s="125">
        <f>'Квартальная отчетность'!AJ162</f>
        <v>0</v>
      </c>
      <c s="125">
        <f>'Квартальная отчетность'!AK162</f>
        <v>0</v>
      </c>
      <c s="125">
        <f>'Квартальная отчетность'!AL162</f>
        <v>0</v>
      </c>
      <c s="125">
        <f>'Квартальная отчетность'!AM162</f>
        <v>0</v>
      </c>
      <c s="125">
        <f>'Квартальная отчетность'!AN162</f>
        <v>0</v>
      </c>
      <c s="125">
        <f>'Квартальная отчетность'!AO162</f>
        <v>0</v>
      </c>
      <c s="125">
        <f>'Квартальная отчетность'!AP162</f>
        <v>0</v>
      </c>
      <c s="125">
        <f>'Квартальная отчетность'!AQ162</f>
        <v>0</v>
      </c>
      <c s="125">
        <f>'Квартальная отчетность'!AR162</f>
        <v>0</v>
      </c>
      <c s="125">
        <f>'Квартальная отчетность'!AS162</f>
        <v>0</v>
      </c>
      <c s="125">
        <f>'Квартальная отчетность'!AT162</f>
        <v>0</v>
      </c>
      <c s="125">
        <f>'Квартальная отчетность'!AU162</f>
        <v>0</v>
      </c>
      <c s="125">
        <f>'Квартальная отчетность'!AV162</f>
        <v>0</v>
      </c>
      <c s="125">
        <f>'Квартальная отчетность'!AW162</f>
        <v>0</v>
      </c>
      <c s="125">
        <f>'Квартальная отчетность'!AX162</f>
        <v>0</v>
      </c>
      <c s="125">
        <f>'Квартальная отчетность'!AY162</f>
        <v>0</v>
      </c>
      <c s="125">
        <f>'Квартальная отчетность'!AZ162</f>
        <v>0</v>
      </c>
      <c s="125">
        <f>'Квартальная отчетность'!BA162</f>
        <v>0</v>
      </c>
      <c s="125">
        <f>'Квартальная отчетность'!BB162</f>
        <v>0</v>
      </c>
      <c s="125">
        <f>'Квартальная отчетность'!BC162</f>
        <v>0</v>
      </c>
      <c s="125">
        <f>'Квартальная отчетность'!BD162</f>
        <v>0</v>
      </c>
      <c s="125">
        <f>'Квартальная отчетность'!BE162</f>
        <v>0</v>
      </c>
      <c s="125">
        <f>'Квартальная отчетность'!BF162</f>
        <v>0</v>
      </c>
      <c s="125">
        <f>'Квартальная отчетность'!BG162</f>
        <v>0</v>
      </c>
      <c s="125">
        <f>'Квартальная отчетность'!BH162</f>
        <v>0</v>
      </c>
      <c s="125">
        <f>'Квартальная отчетность'!BI162</f>
        <v>0</v>
      </c>
      <c s="125">
        <f>'Квартальная отчетность'!BJ162</f>
        <v>0</v>
      </c>
      <c s="125">
        <f>'Квартальная отчетность'!BK162</f>
        <v>0</v>
      </c>
      <c s="125">
        <f>'Квартальная отчетность'!BL162</f>
        <v>0</v>
      </c>
      <c s="125">
        <f>'Квартальная отчетность'!BM162</f>
        <v>0</v>
      </c>
    </row>
    <row r="303" spans="2:65" ht="15" customHeight="1">
      <c r="B303" s="12" t="s">
        <v>1036</v>
      </c>
      <c s="124" t="s">
        <v>438</v>
      </c>
      <c s="276">
        <f>SUM(E303:BM303)</f>
        <v>0</v>
      </c>
      <c s="125">
        <f>'Квартальная отчетность'!E163</f>
        <v>0</v>
      </c>
      <c s="125">
        <f>'Квартальная отчетность'!F163</f>
        <v>0</v>
      </c>
      <c s="125">
        <f>'Квартальная отчетность'!G163</f>
        <v>0</v>
      </c>
      <c s="125">
        <f>'Квартальная отчетность'!H163</f>
        <v>0</v>
      </c>
      <c s="125">
        <f>'Квартальная отчетность'!I163</f>
        <v>0</v>
      </c>
      <c s="125">
        <f>'Квартальная отчетность'!J163</f>
        <v>0</v>
      </c>
      <c s="125">
        <f>'Квартальная отчетность'!K163</f>
        <v>0</v>
      </c>
      <c s="125">
        <f>'Квартальная отчетность'!L163</f>
        <v>0</v>
      </c>
      <c s="125">
        <f>'Квартальная отчетность'!M163</f>
        <v>0</v>
      </c>
      <c s="125">
        <f>'Квартальная отчетность'!N163</f>
        <v>0</v>
      </c>
      <c s="125">
        <f>'Квартальная отчетность'!O163</f>
        <v>0</v>
      </c>
      <c s="125">
        <f>'Квартальная отчетность'!P163</f>
        <v>0</v>
      </c>
      <c s="125">
        <f>'Квартальная отчетность'!Q163</f>
        <v>0</v>
      </c>
      <c s="125">
        <f>'Квартальная отчетность'!R163</f>
        <v>0</v>
      </c>
      <c s="125">
        <f>'Квартальная отчетность'!S163</f>
        <v>0</v>
      </c>
      <c s="125">
        <f>'Квартальная отчетность'!T163</f>
        <v>0</v>
      </c>
      <c s="125">
        <f>'Квартальная отчетность'!U163</f>
        <v>0</v>
      </c>
      <c s="125">
        <f>'Квартальная отчетность'!V163</f>
        <v>0</v>
      </c>
      <c s="125">
        <f>'Квартальная отчетность'!W163</f>
        <v>0</v>
      </c>
      <c s="125">
        <f>'Квартальная отчетность'!X163</f>
        <v>0</v>
      </c>
      <c s="125">
        <f>'Квартальная отчетность'!Y163</f>
        <v>0</v>
      </c>
      <c s="125">
        <f>'Квартальная отчетность'!Z163</f>
        <v>0</v>
      </c>
      <c s="125">
        <f>'Квартальная отчетность'!AA163</f>
        <v>0</v>
      </c>
      <c s="125">
        <f>'Квартальная отчетность'!AB163</f>
        <v>0</v>
      </c>
      <c s="125">
        <f>'Квартальная отчетность'!AC163</f>
        <v>0</v>
      </c>
      <c s="125">
        <f>'Квартальная отчетность'!AD163</f>
        <v>0</v>
      </c>
      <c s="125">
        <f>'Квартальная отчетность'!AE163</f>
        <v>0</v>
      </c>
      <c s="125">
        <f>'Квартальная отчетность'!AF163</f>
        <v>0</v>
      </c>
      <c s="125">
        <f>'Квартальная отчетность'!AG163</f>
        <v>0</v>
      </c>
      <c s="125">
        <f>'Квартальная отчетность'!AH163</f>
        <v>0</v>
      </c>
      <c s="125">
        <f>'Квартальная отчетность'!AI163</f>
        <v>0</v>
      </c>
      <c s="125">
        <f>'Квартальная отчетность'!AJ163</f>
        <v>0</v>
      </c>
      <c s="125">
        <f>'Квартальная отчетность'!AK163</f>
        <v>0</v>
      </c>
      <c s="125">
        <f>'Квартальная отчетность'!AL163</f>
        <v>0</v>
      </c>
      <c s="125">
        <f>'Квартальная отчетность'!AM163</f>
        <v>0</v>
      </c>
      <c s="125">
        <f>'Квартальная отчетность'!AN163</f>
        <v>0</v>
      </c>
      <c s="125">
        <f>'Квартальная отчетность'!AO163</f>
        <v>0</v>
      </c>
      <c s="125">
        <f>'Квартальная отчетность'!AP163</f>
        <v>0</v>
      </c>
      <c s="125">
        <f>'Квартальная отчетность'!AQ163</f>
        <v>0</v>
      </c>
      <c s="125">
        <f>'Квартальная отчетность'!AR163</f>
        <v>0</v>
      </c>
      <c s="125">
        <f>'Квартальная отчетность'!AS163</f>
        <v>0</v>
      </c>
      <c s="125">
        <f>'Квартальная отчетность'!AT163</f>
        <v>0</v>
      </c>
      <c s="125">
        <f>'Квартальная отчетность'!AU163</f>
        <v>0</v>
      </c>
      <c s="125">
        <f>'Квартальная отчетность'!AV163</f>
        <v>0</v>
      </c>
      <c s="125">
        <f>'Квартальная отчетность'!AW163</f>
        <v>0</v>
      </c>
      <c s="125">
        <f>'Квартальная отчетность'!AX163</f>
        <v>0</v>
      </c>
      <c s="125">
        <f>'Квартальная отчетность'!AY163</f>
        <v>0</v>
      </c>
      <c s="125">
        <f>'Квартальная отчетность'!AZ163</f>
        <v>0</v>
      </c>
      <c s="125">
        <f>'Квартальная отчетность'!BA163</f>
        <v>0</v>
      </c>
      <c s="125">
        <f>'Квартальная отчетность'!BB163</f>
        <v>0</v>
      </c>
      <c s="125">
        <f>'Квартальная отчетность'!BC163</f>
        <v>0</v>
      </c>
      <c s="125">
        <f>'Квартальная отчетность'!BD163</f>
        <v>0</v>
      </c>
      <c s="125">
        <f>'Квартальная отчетность'!BE163</f>
        <v>0</v>
      </c>
      <c s="125">
        <f>'Квартальная отчетность'!BF163</f>
        <v>0</v>
      </c>
      <c s="125">
        <f>'Квартальная отчетность'!BG163</f>
        <v>0</v>
      </c>
      <c s="125">
        <f>'Квартальная отчетность'!BH163</f>
        <v>0</v>
      </c>
      <c s="125">
        <f>'Квартальная отчетность'!BI163</f>
        <v>0</v>
      </c>
      <c s="125">
        <f>'Квартальная отчетность'!BJ163</f>
        <v>0</v>
      </c>
      <c s="125">
        <f>'Квартальная отчетность'!BK163</f>
        <v>0</v>
      </c>
      <c s="125">
        <f>'Квартальная отчетность'!BL163</f>
        <v>0</v>
      </c>
      <c s="125">
        <f>'Квартальная отчетность'!BM163</f>
        <v>0</v>
      </c>
    </row>
    <row r="304" spans="2:65" ht="15" customHeight="1">
      <c r="B304" s="12" t="s">
        <v>1037</v>
      </c>
      <c s="124" t="s">
        <v>438</v>
      </c>
      <c s="276">
        <f>SUM(E304:BM304)</f>
        <v>0</v>
      </c>
      <c s="125">
        <f>'Квартальная отчетность'!E164</f>
        <v>0</v>
      </c>
      <c s="125">
        <f>'Квартальная отчетность'!F164</f>
        <v>0</v>
      </c>
      <c s="125">
        <f>'Квартальная отчетность'!G164</f>
        <v>0</v>
      </c>
      <c s="125">
        <f>'Квартальная отчетность'!H164</f>
        <v>0</v>
      </c>
      <c s="125">
        <f>'Квартальная отчетность'!I164</f>
        <v>0</v>
      </c>
      <c s="125">
        <f>'Квартальная отчетность'!J164</f>
        <v>0</v>
      </c>
      <c s="125">
        <f>'Квартальная отчетность'!K164</f>
        <v>0</v>
      </c>
      <c s="125">
        <f>'Квартальная отчетность'!L164</f>
        <v>0</v>
      </c>
      <c s="125">
        <f>'Квартальная отчетность'!M164</f>
        <v>0</v>
      </c>
      <c s="125">
        <f>'Квартальная отчетность'!N164</f>
        <v>0</v>
      </c>
      <c s="125">
        <f>'Квартальная отчетность'!O164</f>
        <v>0</v>
      </c>
      <c s="125">
        <f>'Квартальная отчетность'!P164</f>
        <v>0</v>
      </c>
      <c s="125">
        <f>'Квартальная отчетность'!Q164</f>
        <v>0</v>
      </c>
      <c s="125">
        <f>'Квартальная отчетность'!R164</f>
        <v>0</v>
      </c>
      <c s="125">
        <f>'Квартальная отчетность'!S164</f>
        <v>0</v>
      </c>
      <c s="125">
        <f>'Квартальная отчетность'!T164</f>
        <v>0</v>
      </c>
      <c s="125">
        <f>'Квартальная отчетность'!U164</f>
        <v>0</v>
      </c>
      <c s="125">
        <f>'Квартальная отчетность'!V164</f>
        <v>0</v>
      </c>
      <c s="125">
        <f>'Квартальная отчетность'!W164</f>
        <v>0</v>
      </c>
      <c s="125">
        <f>'Квартальная отчетность'!X164</f>
        <v>0</v>
      </c>
      <c s="125">
        <f>'Квартальная отчетность'!Y164</f>
        <v>0</v>
      </c>
      <c s="125">
        <f>'Квартальная отчетность'!Z164</f>
        <v>0</v>
      </c>
      <c s="125">
        <f>'Квартальная отчетность'!AA164</f>
        <v>0</v>
      </c>
      <c s="125">
        <f>'Квартальная отчетность'!AB164</f>
        <v>0</v>
      </c>
      <c s="125">
        <f>'Квартальная отчетность'!AC164</f>
        <v>0</v>
      </c>
      <c s="125">
        <f>'Квартальная отчетность'!AD164</f>
        <v>0</v>
      </c>
      <c s="125">
        <f>'Квартальная отчетность'!AE164</f>
        <v>0</v>
      </c>
      <c s="125">
        <f>'Квартальная отчетность'!AF164</f>
        <v>0</v>
      </c>
      <c s="125">
        <f>'Квартальная отчетность'!AG164</f>
        <v>0</v>
      </c>
      <c s="125">
        <f>'Квартальная отчетность'!AH164</f>
        <v>0</v>
      </c>
      <c s="125">
        <f>'Квартальная отчетность'!AI164</f>
        <v>0</v>
      </c>
      <c s="125">
        <f>'Квартальная отчетность'!AJ164</f>
        <v>0</v>
      </c>
      <c s="125">
        <f>'Квартальная отчетность'!AK164</f>
        <v>0</v>
      </c>
      <c s="125">
        <f>'Квартальная отчетность'!AL164</f>
        <v>0</v>
      </c>
      <c s="125">
        <f>'Квартальная отчетность'!AM164</f>
        <v>0</v>
      </c>
      <c s="125">
        <f>'Квартальная отчетность'!AN164</f>
        <v>0</v>
      </c>
      <c s="125">
        <f>'Квартальная отчетность'!AO164</f>
        <v>0</v>
      </c>
      <c s="125">
        <f>'Квартальная отчетность'!AP164</f>
        <v>0</v>
      </c>
      <c s="125">
        <f>'Квартальная отчетность'!AQ164</f>
        <v>0</v>
      </c>
      <c s="125">
        <f>'Квартальная отчетность'!AR164</f>
        <v>0</v>
      </c>
      <c s="125">
        <f>'Квартальная отчетность'!AS164</f>
        <v>0</v>
      </c>
      <c s="125">
        <f>'Квартальная отчетность'!AT164</f>
        <v>0</v>
      </c>
      <c s="125">
        <f>'Квартальная отчетность'!AU164</f>
        <v>0</v>
      </c>
      <c s="125">
        <f>'Квартальная отчетность'!AV164</f>
        <v>0</v>
      </c>
      <c s="125">
        <f>'Квартальная отчетность'!AW164</f>
        <v>0</v>
      </c>
      <c s="125">
        <f>'Квартальная отчетность'!AX164</f>
        <v>0</v>
      </c>
      <c s="125">
        <f>'Квартальная отчетность'!AY164</f>
        <v>0</v>
      </c>
      <c s="125">
        <f>'Квартальная отчетность'!AZ164</f>
        <v>0</v>
      </c>
      <c s="125">
        <f>'Квартальная отчетность'!BA164</f>
        <v>0</v>
      </c>
      <c s="125">
        <f>'Квартальная отчетность'!BB164</f>
        <v>0</v>
      </c>
      <c s="125">
        <f>'Квартальная отчетность'!BC164</f>
        <v>0</v>
      </c>
      <c s="125">
        <f>'Квартальная отчетность'!BD164</f>
        <v>0</v>
      </c>
      <c s="125">
        <f>'Квартальная отчетность'!BE164</f>
        <v>0</v>
      </c>
      <c s="125">
        <f>'Квартальная отчетность'!BF164</f>
        <v>0</v>
      </c>
      <c s="125">
        <f>'Квартальная отчетность'!BG164</f>
        <v>0</v>
      </c>
      <c s="125">
        <f>'Квартальная отчетность'!BH164</f>
        <v>0</v>
      </c>
      <c s="125">
        <f>'Квартальная отчетность'!BI164</f>
        <v>0</v>
      </c>
      <c s="125">
        <f>'Квартальная отчетность'!BJ164</f>
        <v>0</v>
      </c>
      <c s="125">
        <f>'Квартальная отчетность'!BK164</f>
        <v>0</v>
      </c>
      <c s="125">
        <f>'Квартальная отчетность'!BL164</f>
        <v>0</v>
      </c>
      <c s="125">
        <f>'Квартальная отчетность'!BM164</f>
        <v>0</v>
      </c>
    </row>
    <row r="305" spans="2:65" ht="15" customHeight="1">
      <c r="B305" s="12" t="s">
        <v>1029</v>
      </c>
      <c s="124" t="s">
        <v>438</v>
      </c>
      <c s="276">
        <f>SUM(E305:BM305)</f>
        <v>0</v>
      </c>
      <c s="125">
        <f>'Квартальная отчетность'!E165</f>
        <v>0</v>
      </c>
      <c s="125">
        <f>'Квартальная отчетность'!F165</f>
        <v>0</v>
      </c>
      <c s="125">
        <f>'Квартальная отчетность'!G165</f>
        <v>0</v>
      </c>
      <c s="125">
        <f>'Квартальная отчетность'!H165</f>
        <v>0</v>
      </c>
      <c s="125">
        <f>'Квартальная отчетность'!I165</f>
        <v>0</v>
      </c>
      <c s="125">
        <f>'Квартальная отчетность'!J165</f>
        <v>0</v>
      </c>
      <c s="125">
        <f>'Квартальная отчетность'!K165</f>
        <v>0</v>
      </c>
      <c s="125">
        <f>'Квартальная отчетность'!L165</f>
        <v>0</v>
      </c>
      <c s="125">
        <f>'Квартальная отчетность'!M165</f>
        <v>0</v>
      </c>
      <c s="125">
        <f>'Квартальная отчетность'!N165</f>
        <v>0</v>
      </c>
      <c s="125">
        <f>'Квартальная отчетность'!O165</f>
        <v>0</v>
      </c>
      <c s="125">
        <f>'Квартальная отчетность'!P165</f>
        <v>0</v>
      </c>
      <c s="125">
        <f>'Квартальная отчетность'!Q165</f>
        <v>0</v>
      </c>
      <c s="125">
        <f>'Квартальная отчетность'!R165</f>
        <v>0</v>
      </c>
      <c s="125">
        <f>'Квартальная отчетность'!S165</f>
        <v>0</v>
      </c>
      <c s="125">
        <f>'Квартальная отчетность'!T165</f>
        <v>0</v>
      </c>
      <c s="125">
        <f>'Квартальная отчетность'!U165</f>
        <v>0</v>
      </c>
      <c s="125">
        <f>'Квартальная отчетность'!V165</f>
        <v>0</v>
      </c>
      <c s="125">
        <f>'Квартальная отчетность'!W165</f>
        <v>0</v>
      </c>
      <c s="125">
        <f>'Квартальная отчетность'!X165</f>
        <v>0</v>
      </c>
      <c s="125">
        <f>'Квартальная отчетность'!Y165</f>
        <v>0</v>
      </c>
      <c s="125">
        <f>'Квартальная отчетность'!Z165</f>
        <v>0</v>
      </c>
      <c s="125">
        <f>'Квартальная отчетность'!AA165</f>
        <v>0</v>
      </c>
      <c s="125">
        <f>'Квартальная отчетность'!AB165</f>
        <v>0</v>
      </c>
      <c s="125">
        <f>'Квартальная отчетность'!AC165</f>
        <v>0</v>
      </c>
      <c s="125">
        <f>'Квартальная отчетность'!AD165</f>
        <v>0</v>
      </c>
      <c s="125">
        <f>'Квартальная отчетность'!AE165</f>
        <v>0</v>
      </c>
      <c s="125">
        <f>'Квартальная отчетность'!AF165</f>
        <v>0</v>
      </c>
      <c s="125">
        <f>'Квартальная отчетность'!AG165</f>
        <v>0</v>
      </c>
      <c s="125">
        <f>'Квартальная отчетность'!AH165</f>
        <v>0</v>
      </c>
      <c s="125">
        <f>'Квартальная отчетность'!AI165</f>
        <v>0</v>
      </c>
      <c s="125">
        <f>'Квартальная отчетность'!AJ165</f>
        <v>0</v>
      </c>
      <c s="125">
        <f>'Квартальная отчетность'!AK165</f>
        <v>0</v>
      </c>
      <c s="125">
        <f>'Квартальная отчетность'!AL165</f>
        <v>0</v>
      </c>
      <c s="125">
        <f>'Квартальная отчетность'!AM165</f>
        <v>0</v>
      </c>
      <c s="125">
        <f>'Квартальная отчетность'!AN165</f>
        <v>0</v>
      </c>
      <c s="125">
        <f>'Квартальная отчетность'!AO165</f>
        <v>0</v>
      </c>
      <c s="125">
        <f>'Квартальная отчетность'!AP165</f>
        <v>0</v>
      </c>
      <c s="125">
        <f>'Квартальная отчетность'!AQ165</f>
        <v>0</v>
      </c>
      <c s="125">
        <f>'Квартальная отчетность'!AR165</f>
        <v>0</v>
      </c>
      <c s="125">
        <f>'Квартальная отчетность'!AS165</f>
        <v>0</v>
      </c>
      <c s="125">
        <f>'Квартальная отчетность'!AT165</f>
        <v>0</v>
      </c>
      <c s="125">
        <f>'Квартальная отчетность'!AU165</f>
        <v>0</v>
      </c>
      <c s="125">
        <f>'Квартальная отчетность'!AV165</f>
        <v>0</v>
      </c>
      <c s="125">
        <f>'Квартальная отчетность'!AW165</f>
        <v>0</v>
      </c>
      <c s="125">
        <f>'Квартальная отчетность'!AX165</f>
        <v>0</v>
      </c>
      <c s="125">
        <f>'Квартальная отчетность'!AY165</f>
        <v>0</v>
      </c>
      <c s="125">
        <f>'Квартальная отчетность'!AZ165</f>
        <v>0</v>
      </c>
      <c s="125">
        <f>'Квартальная отчетность'!BA165</f>
        <v>0</v>
      </c>
      <c s="125">
        <f>'Квартальная отчетность'!BB165</f>
        <v>0</v>
      </c>
      <c s="125">
        <f>'Квартальная отчетность'!BC165</f>
        <v>0</v>
      </c>
      <c s="125">
        <f>'Квартальная отчетность'!BD165</f>
        <v>0</v>
      </c>
      <c s="125">
        <f>'Квартальная отчетность'!BE165</f>
        <v>0</v>
      </c>
      <c s="125">
        <f>'Квартальная отчетность'!BF165</f>
        <v>0</v>
      </c>
      <c s="125">
        <f>'Квартальная отчетность'!BG165</f>
        <v>0</v>
      </c>
      <c s="125">
        <f>'Квартальная отчетность'!BH165</f>
        <v>0</v>
      </c>
      <c s="125">
        <f>'Квартальная отчетность'!BI165</f>
        <v>0</v>
      </c>
      <c s="125">
        <f>'Квартальная отчетность'!BJ165</f>
        <v>0</v>
      </c>
      <c s="125">
        <f>'Квартальная отчетность'!BK165</f>
        <v>0</v>
      </c>
      <c s="125">
        <f>'Квартальная отчетность'!BL165</f>
        <v>0</v>
      </c>
      <c s="125">
        <f>'Квартальная отчетность'!BM165</f>
        <v>0</v>
      </c>
    </row>
    <row r="306" spans="2:65" ht="15" customHeight="1">
      <c r="B306" s="289" t="s">
        <v>454</v>
      </c>
      <c s="290" t="s">
        <v>438</v>
      </c>
      <c s="291">
        <f t="shared" si="268" ref="D306:E306">SUM(D301:D305)</f>
        <v>0</v>
      </c>
      <c s="276">
        <f t="shared" si="268"/>
        <v>0</v>
      </c>
      <c s="276">
        <f t="shared" si="269" ref="F306:AG306">SUM(F301:F305)</f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69"/>
        <v>0</v>
      </c>
      <c s="276">
        <f t="shared" si="270" ref="AH306:BM306">SUM(AH301:AH305)</f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  <c s="276">
        <f t="shared" si="270"/>
        <v>0</v>
      </c>
    </row>
    <row r="307" ht="15" customHeight="1"/>
    <row r="308" spans="2:69" ht="14.45">
      <c r="B308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9" spans="2:65" ht="15" customHeight="1">
      <c r="B309" s="12" t="s">
        <v>988</v>
      </c>
      <c s="124" t="s">
        <v>438</v>
      </c>
      <c s="276">
        <f>SUM(E309:BM309)</f>
        <v>0</v>
      </c>
      <c s="125">
        <f>SUM('Квартальная отчетность'!E57,'Квартальная отчетность'!E170)</f>
        <v>0</v>
      </c>
      <c s="125">
        <f>SUM('Квартальная отчетность'!F57,'Квартальная отчетность'!F170)</f>
        <v>0</v>
      </c>
      <c s="125">
        <f>SUM('Квартальная отчетность'!G57,'Квартальная отчетность'!G170)</f>
        <v>0</v>
      </c>
      <c s="125">
        <f>SUM('Квартальная отчетность'!H57,'Квартальная отчетность'!H170)</f>
        <v>0</v>
      </c>
      <c s="125">
        <f>SUM('Квартальная отчетность'!I57,'Квартальная отчетность'!I170)</f>
        <v>0</v>
      </c>
      <c s="125">
        <f>SUM('Квартальная отчетность'!J57,'Квартальная отчетность'!J170)</f>
        <v>0</v>
      </c>
      <c s="125">
        <f>SUM('Квартальная отчетность'!K57,'Квартальная отчетность'!K170)</f>
        <v>0</v>
      </c>
      <c s="125">
        <f>SUM('Квартальная отчетность'!L57,'Квартальная отчетность'!L170)</f>
        <v>0</v>
      </c>
      <c s="125">
        <f>SUM('Квартальная отчетность'!M57,'Квартальная отчетность'!M170)</f>
        <v>0</v>
      </c>
      <c s="125">
        <f>SUM('Квартальная отчетность'!N57,'Квартальная отчетность'!N170)</f>
        <v>0</v>
      </c>
      <c s="125">
        <f>SUM('Квартальная отчетность'!O57,'Квартальная отчетность'!O170)</f>
        <v>0</v>
      </c>
      <c s="125">
        <f>SUM('Квартальная отчетность'!P57,'Квартальная отчетность'!P170)</f>
        <v>0</v>
      </c>
      <c s="125">
        <f>SUM('Квартальная отчетность'!Q57,'Квартальная отчетность'!Q170)</f>
        <v>0</v>
      </c>
      <c s="125">
        <f>SUM('Квартальная отчетность'!R57,'Квартальная отчетность'!R170)</f>
        <v>0</v>
      </c>
      <c s="125">
        <f>SUM('Квартальная отчетность'!S57,'Квартальная отчетность'!S170)</f>
        <v>0</v>
      </c>
      <c s="125">
        <f>SUM('Квартальная отчетность'!T57,'Квартальная отчетность'!T170)</f>
        <v>0</v>
      </c>
      <c s="125">
        <f>SUM('Квартальная отчетность'!U57,'Квартальная отчетность'!U170)</f>
        <v>0</v>
      </c>
      <c s="125">
        <f>SUM('Квартальная отчетность'!V57,'Квартальная отчетность'!V170)</f>
        <v>0</v>
      </c>
      <c s="125">
        <f>SUM('Квартальная отчетность'!W57,'Квартальная отчетность'!W170)</f>
        <v>0</v>
      </c>
      <c s="125">
        <f>SUM('Квартальная отчетность'!X57,'Квартальная отчетность'!X170)</f>
        <v>0</v>
      </c>
      <c s="125">
        <f>SUM('Квартальная отчетность'!Y57,'Квартальная отчетность'!Y170)</f>
        <v>0</v>
      </c>
      <c s="125">
        <f>SUM('Квартальная отчетность'!Z57,'Квартальная отчетность'!Z170)</f>
        <v>0</v>
      </c>
      <c s="125">
        <f>SUM('Квартальная отчетность'!AA57,'Квартальная отчетность'!AA170)</f>
        <v>0</v>
      </c>
      <c s="125">
        <f>SUM('Квартальная отчетность'!AB57,'Квартальная отчетность'!AB170)</f>
        <v>0</v>
      </c>
      <c s="125">
        <f>SUM('Квартальная отчетность'!AC57,'Квартальная отчетность'!AC170)</f>
        <v>0</v>
      </c>
      <c s="125">
        <f>SUM('Квартальная отчетность'!AD57,'Квартальная отчетность'!AD170)</f>
        <v>0</v>
      </c>
      <c s="125">
        <f>SUM('Квартальная отчетность'!AE57,'Квартальная отчетность'!AE170)</f>
        <v>0</v>
      </c>
      <c s="125">
        <f>SUM('Квартальная отчетность'!AF57,'Квартальная отчетность'!AF170)</f>
        <v>0</v>
      </c>
      <c s="125">
        <f>SUM('Квартальная отчетность'!AG57,'Квартальная отчетность'!AG170)</f>
        <v>0</v>
      </c>
      <c s="125">
        <f>SUM('Квартальная отчетность'!AH57,'Квартальная отчетность'!AH170)</f>
        <v>0</v>
      </c>
      <c s="125">
        <f>SUM('Квартальная отчетность'!AI57,'Квартальная отчетность'!AI170)</f>
        <v>0</v>
      </c>
      <c s="125">
        <f>SUM('Квартальная отчетность'!AJ57,'Квартальная отчетность'!AJ170)</f>
        <v>0</v>
      </c>
      <c s="125">
        <f>SUM('Квартальная отчетность'!AK57,'Квартальная отчетность'!AK170)</f>
        <v>0</v>
      </c>
      <c s="125">
        <f>SUM('Квартальная отчетность'!AL57,'Квартальная отчетность'!AL170)</f>
        <v>0</v>
      </c>
      <c s="125">
        <f>SUM('Квартальная отчетность'!AM57,'Квартальная отчетность'!AM170)</f>
        <v>0</v>
      </c>
      <c s="125">
        <f>SUM('Квартальная отчетность'!AN57,'Квартальная отчетность'!AN170)</f>
        <v>0</v>
      </c>
      <c s="125">
        <f>SUM('Квартальная отчетность'!AO57,'Квартальная отчетность'!AO170)</f>
        <v>0</v>
      </c>
      <c s="125">
        <f>SUM('Квартальная отчетность'!AP57,'Квартальная отчетность'!AP170)</f>
        <v>0</v>
      </c>
      <c s="125">
        <f>SUM('Квартальная отчетность'!AQ57,'Квартальная отчетность'!AQ170)</f>
        <v>0</v>
      </c>
      <c s="125">
        <f>SUM('Квартальная отчетность'!AR57,'Квартальная отчетность'!AR170)</f>
        <v>0</v>
      </c>
      <c s="125">
        <f>SUM('Квартальная отчетность'!AS57,'Квартальная отчетность'!AS170)</f>
        <v>0</v>
      </c>
      <c s="125">
        <f>SUM('Квартальная отчетность'!AT57,'Квартальная отчетность'!AT170)</f>
        <v>0</v>
      </c>
      <c s="125">
        <f>SUM('Квартальная отчетность'!AU57,'Квартальная отчетность'!AU170)</f>
        <v>0</v>
      </c>
      <c s="125">
        <f>SUM('Квартальная отчетность'!AV57,'Квартальная отчетность'!AV170)</f>
        <v>0</v>
      </c>
      <c s="125">
        <f>SUM('Квартальная отчетность'!AW57,'Квартальная отчетность'!AW170)</f>
        <v>0</v>
      </c>
      <c s="125">
        <f>SUM('Квартальная отчетность'!AX57,'Квартальная отчетность'!AX170)</f>
        <v>0</v>
      </c>
      <c s="125">
        <f>SUM('Квартальная отчетность'!AY57,'Квартальная отчетность'!AY170)</f>
        <v>0</v>
      </c>
      <c s="125">
        <f>SUM('Квартальная отчетность'!AZ57,'Квартальная отчетность'!AZ170)</f>
        <v>0</v>
      </c>
      <c s="125">
        <f>SUM('Квартальная отчетность'!BA57,'Квартальная отчетность'!BA170)</f>
        <v>0</v>
      </c>
      <c s="125">
        <f>SUM('Квартальная отчетность'!BB57,'Квартальная отчетность'!BB170)</f>
        <v>0</v>
      </c>
      <c s="125">
        <f>SUM('Квартальная отчетность'!BC57,'Квартальная отчетность'!BC170)</f>
        <v>0</v>
      </c>
      <c s="125">
        <f>SUM('Квартальная отчетность'!BD57,'Квартальная отчетность'!BD170)</f>
        <v>0</v>
      </c>
      <c s="125">
        <f>SUM('Квартальная отчетность'!BE57,'Квартальная отчетность'!BE170)</f>
        <v>0</v>
      </c>
      <c s="125">
        <f>SUM('Квартальная отчетность'!BF57,'Квартальная отчетность'!BF170)</f>
        <v>0</v>
      </c>
      <c s="125">
        <f>SUM('Квартальная отчетность'!BG57,'Квартальная отчетность'!BG170)</f>
        <v>0</v>
      </c>
      <c s="125">
        <f>SUM('Квартальная отчетность'!BH57,'Квартальная отчетность'!BH170)</f>
        <v>0</v>
      </c>
      <c s="125">
        <f>SUM('Квартальная отчетность'!BI57,'Квартальная отчетность'!BI170)</f>
        <v>0</v>
      </c>
      <c s="125">
        <f>SUM('Квартальная отчетность'!BJ57,'Квартальная отчетность'!BJ170)</f>
        <v>0</v>
      </c>
      <c s="125">
        <f>SUM('Квартальная отчетность'!BK57,'Квартальная отчетность'!BK170)</f>
        <v>0</v>
      </c>
      <c s="125">
        <f>SUM('Квартальная отчетность'!BL57,'Квартальная отчетность'!BL170)</f>
        <v>0</v>
      </c>
      <c s="125">
        <f>SUM('Квартальная отчетность'!BM57,'Квартальная отчетность'!BM170)</f>
        <v>0</v>
      </c>
    </row>
    <row r="310" spans="2:65" ht="15" customHeight="1">
      <c r="B310" s="12" t="s">
        <v>1039</v>
      </c>
      <c s="124" t="s">
        <v>438</v>
      </c>
      <c s="276">
        <f>SUM(E310:BM310)</f>
        <v>0</v>
      </c>
      <c s="125">
        <f>'Квартальная отчетность'!E171</f>
        <v>0</v>
      </c>
      <c s="125">
        <f>'Квартальная отчетность'!F171</f>
        <v>0</v>
      </c>
      <c s="125">
        <f>'Квартальная отчетность'!G171</f>
        <v>0</v>
      </c>
      <c s="125">
        <f>'Квартальная отчетность'!H171</f>
        <v>0</v>
      </c>
      <c s="125">
        <f>'Квартальная отчетность'!I171</f>
        <v>0</v>
      </c>
      <c s="125">
        <f>'Квартальная отчетность'!J171</f>
        <v>0</v>
      </c>
      <c s="125">
        <f>'Квартальная отчетность'!K171</f>
        <v>0</v>
      </c>
      <c s="125">
        <f>'Квартальная отчетность'!L171</f>
        <v>0</v>
      </c>
      <c s="125">
        <f>'Квартальная отчетность'!M171</f>
        <v>0</v>
      </c>
      <c s="125">
        <f>'Квартальная отчетность'!N171</f>
        <v>0</v>
      </c>
      <c s="125">
        <f>'Квартальная отчетность'!O171</f>
        <v>0</v>
      </c>
      <c s="125">
        <f>'Квартальная отчетность'!P171</f>
        <v>0</v>
      </c>
      <c s="125">
        <f>'Квартальная отчетность'!Q171</f>
        <v>0</v>
      </c>
      <c s="125">
        <f>'Квартальная отчетность'!R171</f>
        <v>0</v>
      </c>
      <c s="125">
        <f>'Квартальная отчетность'!S171</f>
        <v>0</v>
      </c>
      <c s="125">
        <f>'Квартальная отчетность'!T171</f>
        <v>0</v>
      </c>
      <c s="125">
        <f>'Квартальная отчетность'!U171</f>
        <v>0</v>
      </c>
      <c s="125">
        <f>'Квартальная отчетность'!V171</f>
        <v>0</v>
      </c>
      <c s="125">
        <f>'Квартальная отчетность'!W171</f>
        <v>0</v>
      </c>
      <c s="125">
        <f>'Квартальная отчетность'!X171</f>
        <v>0</v>
      </c>
      <c s="125">
        <f>'Квартальная отчетность'!Y171</f>
        <v>0</v>
      </c>
      <c s="125">
        <f>'Квартальная отчетность'!Z171</f>
        <v>0</v>
      </c>
      <c s="125">
        <f>'Квартальная отчетность'!AA171</f>
        <v>0</v>
      </c>
      <c s="125">
        <f>'Квартальная отчетность'!AB171</f>
        <v>0</v>
      </c>
      <c s="125">
        <f>'Квартальная отчетность'!AC171</f>
        <v>0</v>
      </c>
      <c s="125">
        <f>'Квартальная отчетность'!AD171</f>
        <v>0</v>
      </c>
      <c s="125">
        <f>'Квартальная отчетность'!AE171</f>
        <v>0</v>
      </c>
      <c s="125">
        <f>'Квартальная отчетность'!AF171</f>
        <v>0</v>
      </c>
      <c s="125">
        <f>'Квартальная отчетность'!AG171</f>
        <v>0</v>
      </c>
      <c s="125">
        <f>'Квартальная отчетность'!AH171</f>
        <v>0</v>
      </c>
      <c s="125">
        <f>'Квартальная отчетность'!AI171</f>
        <v>0</v>
      </c>
      <c s="125">
        <f>'Квартальная отчетность'!AJ171</f>
        <v>0</v>
      </c>
      <c s="125">
        <f>'Квартальная отчетность'!AK171</f>
        <v>0</v>
      </c>
      <c s="125">
        <f>'Квартальная отчетность'!AL171</f>
        <v>0</v>
      </c>
      <c s="125">
        <f>'Квартальная отчетность'!AM171</f>
        <v>0</v>
      </c>
      <c s="125">
        <f>'Квартальная отчетность'!AN171</f>
        <v>0</v>
      </c>
      <c s="125">
        <f>'Квартальная отчетность'!AO171</f>
        <v>0</v>
      </c>
      <c s="125">
        <f>'Квартальная отчетность'!AP171</f>
        <v>0</v>
      </c>
      <c s="125">
        <f>'Квартальная отчетность'!AQ171</f>
        <v>0</v>
      </c>
      <c s="125">
        <f>'Квартальная отчетность'!AR171</f>
        <v>0</v>
      </c>
      <c s="125">
        <f>'Квартальная отчетность'!AS171</f>
        <v>0</v>
      </c>
      <c s="125">
        <f>'Квартальная отчетность'!AT171</f>
        <v>0</v>
      </c>
      <c s="125">
        <f>'Квартальная отчетность'!AU171</f>
        <v>0</v>
      </c>
      <c s="125">
        <f>'Квартальная отчетность'!AV171</f>
        <v>0</v>
      </c>
      <c s="125">
        <f>'Квартальная отчетность'!AW171</f>
        <v>0</v>
      </c>
      <c s="125">
        <f>'Квартальная отчетность'!AX171</f>
        <v>0</v>
      </c>
      <c s="125">
        <f>'Квартальная отчетность'!AY171</f>
        <v>0</v>
      </c>
      <c s="125">
        <f>'Квартальная отчетность'!AZ171</f>
        <v>0</v>
      </c>
      <c s="125">
        <f>'Квартальная отчетность'!BA171</f>
        <v>0</v>
      </c>
      <c s="125">
        <f>'Квартальная отчетность'!BB171</f>
        <v>0</v>
      </c>
      <c s="125">
        <f>'Квартальная отчетность'!BC171</f>
        <v>0</v>
      </c>
      <c s="125">
        <f>'Квартальная отчетность'!BD171</f>
        <v>0</v>
      </c>
      <c s="125">
        <f>'Квартальная отчетность'!BE171</f>
        <v>0</v>
      </c>
      <c s="125">
        <f>'Квартальная отчетность'!BF171</f>
        <v>0</v>
      </c>
      <c s="125">
        <f>'Квартальная отчетность'!BG171</f>
        <v>0</v>
      </c>
      <c s="125">
        <f>'Квартальная отчетность'!BH171</f>
        <v>0</v>
      </c>
      <c s="125">
        <f>'Квартальная отчетность'!BI171</f>
        <v>0</v>
      </c>
      <c s="125">
        <f>'Квартальная отчетность'!BJ171</f>
        <v>0</v>
      </c>
      <c s="125">
        <f>'Квартальная отчетность'!BK171</f>
        <v>0</v>
      </c>
      <c s="125">
        <f>'Квартальная отчетность'!BL171</f>
        <v>0</v>
      </c>
      <c s="125">
        <f>'Квартальная отчетность'!BM171</f>
        <v>0</v>
      </c>
    </row>
    <row r="311" spans="2:65" ht="15" customHeight="1">
      <c r="B311" s="12" t="s">
        <v>1040</v>
      </c>
      <c s="124" t="s">
        <v>438</v>
      </c>
      <c s="276">
        <f>SUM(E311:BM311)</f>
        <v>0</v>
      </c>
      <c s="125">
        <f>'Квартальная отчетность'!E172</f>
        <v>0</v>
      </c>
      <c s="125">
        <f>'Квартальная отчетность'!F172</f>
        <v>0</v>
      </c>
      <c s="125">
        <f>'Квартальная отчетность'!G172</f>
        <v>0</v>
      </c>
      <c s="125">
        <f>'Квартальная отчетность'!H172</f>
        <v>0</v>
      </c>
      <c s="125">
        <f>'Квартальная отчетность'!I172</f>
        <v>0</v>
      </c>
      <c s="125">
        <f>'Квартальная отчетность'!J172</f>
        <v>0</v>
      </c>
      <c s="125">
        <f>'Квартальная отчетность'!K172</f>
        <v>0</v>
      </c>
      <c s="125">
        <f>'Квартальная отчетность'!L172</f>
        <v>0</v>
      </c>
      <c s="125">
        <f>'Квартальная отчетность'!M172</f>
        <v>0</v>
      </c>
      <c s="125">
        <f>'Квартальная отчетность'!N172</f>
        <v>0</v>
      </c>
      <c s="125">
        <f>'Квартальная отчетность'!O172</f>
        <v>0</v>
      </c>
      <c s="125">
        <f>'Квартальная отчетность'!P172</f>
        <v>0</v>
      </c>
      <c s="125">
        <f>'Квартальная отчетность'!Q172</f>
        <v>0</v>
      </c>
      <c s="125">
        <f>'Квартальная отчетность'!R172</f>
        <v>0</v>
      </c>
      <c s="125">
        <f>'Квартальная отчетность'!S172</f>
        <v>0</v>
      </c>
      <c s="125">
        <f>'Квартальная отчетность'!T172</f>
        <v>0</v>
      </c>
      <c s="125">
        <f>'Квартальная отчетность'!U172</f>
        <v>0</v>
      </c>
      <c s="125">
        <f>'Квартальная отчетность'!V172</f>
        <v>0</v>
      </c>
      <c s="125">
        <f>'Квартальная отчетность'!W172</f>
        <v>0</v>
      </c>
      <c s="125">
        <f>'Квартальная отчетность'!X172</f>
        <v>0</v>
      </c>
      <c s="125">
        <f>'Квартальная отчетность'!Y172</f>
        <v>0</v>
      </c>
      <c s="125">
        <f>'Квартальная отчетность'!Z172</f>
        <v>0</v>
      </c>
      <c s="125">
        <f>'Квартальная отчетность'!AA172</f>
        <v>0</v>
      </c>
      <c s="125">
        <f>'Квартальная отчетность'!AB172</f>
        <v>0</v>
      </c>
      <c s="125">
        <f>'Квартальная отчетность'!AC172</f>
        <v>0</v>
      </c>
      <c s="125">
        <f>'Квартальная отчетность'!AD172</f>
        <v>0</v>
      </c>
      <c s="125">
        <f>'Квартальная отчетность'!AE172</f>
        <v>0</v>
      </c>
      <c s="125">
        <f>'Квартальная отчетность'!AF172</f>
        <v>0</v>
      </c>
      <c s="125">
        <f>'Квартальная отчетность'!AG172</f>
        <v>0</v>
      </c>
      <c s="125">
        <f>'Квартальная отчетность'!AH172</f>
        <v>0</v>
      </c>
      <c s="125">
        <f>'Квартальная отчетность'!AI172</f>
        <v>0</v>
      </c>
      <c s="125">
        <f>'Квартальная отчетность'!AJ172</f>
        <v>0</v>
      </c>
      <c s="125">
        <f>'Квартальная отчетность'!AK172</f>
        <v>0</v>
      </c>
      <c s="125">
        <f>'Квартальная отчетность'!AL172</f>
        <v>0</v>
      </c>
      <c s="125">
        <f>'Квартальная отчетность'!AM172</f>
        <v>0</v>
      </c>
      <c s="125">
        <f>'Квартальная отчетность'!AN172</f>
        <v>0</v>
      </c>
      <c s="125">
        <f>'Квартальная отчетность'!AO172</f>
        <v>0</v>
      </c>
      <c s="125">
        <f>'Квартальная отчетность'!AP172</f>
        <v>0</v>
      </c>
      <c s="125">
        <f>'Квартальная отчетность'!AQ172</f>
        <v>0</v>
      </c>
      <c s="125">
        <f>'Квартальная отчетность'!AR172</f>
        <v>0</v>
      </c>
      <c s="125">
        <f>'Квартальная отчетность'!AS172</f>
        <v>0</v>
      </c>
      <c s="125">
        <f>'Квартальная отчетность'!AT172</f>
        <v>0</v>
      </c>
      <c s="125">
        <f>'Квартальная отчетность'!AU172</f>
        <v>0</v>
      </c>
      <c s="125">
        <f>'Квартальная отчетность'!AV172</f>
        <v>0</v>
      </c>
      <c s="125">
        <f>'Квартальная отчетность'!AW172</f>
        <v>0</v>
      </c>
      <c s="125">
        <f>'Квартальная отчетность'!AX172</f>
        <v>0</v>
      </c>
      <c s="125">
        <f>'Квартальная отчетность'!AY172</f>
        <v>0</v>
      </c>
      <c s="125">
        <f>'Квартальная отчетность'!AZ172</f>
        <v>0</v>
      </c>
      <c s="125">
        <f>'Квартальная отчетность'!BA172</f>
        <v>0</v>
      </c>
      <c s="125">
        <f>'Квартальная отчетность'!BB172</f>
        <v>0</v>
      </c>
      <c s="125">
        <f>'Квартальная отчетность'!BC172</f>
        <v>0</v>
      </c>
      <c s="125">
        <f>'Квартальная отчетность'!BD172</f>
        <v>0</v>
      </c>
      <c s="125">
        <f>'Квартальная отчетность'!BE172</f>
        <v>0</v>
      </c>
      <c s="125">
        <f>'Квартальная отчетность'!BF172</f>
        <v>0</v>
      </c>
      <c s="125">
        <f>'Квартальная отчетность'!BG172</f>
        <v>0</v>
      </c>
      <c s="125">
        <f>'Квартальная отчетность'!BH172</f>
        <v>0</v>
      </c>
      <c s="125">
        <f>'Квартальная отчетность'!BI172</f>
        <v>0</v>
      </c>
      <c s="125">
        <f>'Квартальная отчетность'!BJ172</f>
        <v>0</v>
      </c>
      <c s="125">
        <f>'Квартальная отчетность'!BK172</f>
        <v>0</v>
      </c>
      <c s="125">
        <f>'Квартальная отчетность'!BL172</f>
        <v>0</v>
      </c>
      <c s="125">
        <f>'Квартальная отчетность'!BM172</f>
        <v>0</v>
      </c>
    </row>
    <row r="312" spans="2:65" ht="15" customHeight="1">
      <c r="B312" s="12" t="s">
        <v>1033</v>
      </c>
      <c s="124" t="s">
        <v>438</v>
      </c>
      <c s="276">
        <f>SUM(E312:BM312)</f>
        <v>0</v>
      </c>
      <c s="125">
        <f>'Квартальная отчетность'!E173</f>
        <v>0</v>
      </c>
      <c s="125">
        <f>'Квартальная отчетность'!F173</f>
        <v>0</v>
      </c>
      <c s="125">
        <f>'Квартальная отчетность'!G173</f>
        <v>0</v>
      </c>
      <c s="125">
        <f>'Квартальная отчетность'!H173</f>
        <v>0</v>
      </c>
      <c s="125">
        <f>'Квартальная отчетность'!I173</f>
        <v>0</v>
      </c>
      <c s="125">
        <f>'Квартальная отчетность'!J173</f>
        <v>0</v>
      </c>
      <c s="125">
        <f>'Квартальная отчетность'!K173</f>
        <v>0</v>
      </c>
      <c s="125">
        <f>'Квартальная отчетность'!L173</f>
        <v>0</v>
      </c>
      <c s="125">
        <f>'Квартальная отчетность'!M173</f>
        <v>0</v>
      </c>
      <c s="125">
        <f>'Квартальная отчетность'!N173</f>
        <v>0</v>
      </c>
      <c s="125">
        <f>'Квартальная отчетность'!O173</f>
        <v>0</v>
      </c>
      <c s="125">
        <f>'Квартальная отчетность'!P173</f>
        <v>0</v>
      </c>
      <c s="125">
        <f>'Квартальная отчетность'!Q173</f>
        <v>0</v>
      </c>
      <c s="125">
        <f>'Квартальная отчетность'!R173</f>
        <v>0</v>
      </c>
      <c s="125">
        <f>'Квартальная отчетность'!S173</f>
        <v>0</v>
      </c>
      <c s="125">
        <f>'Квартальная отчетность'!T173</f>
        <v>0</v>
      </c>
      <c s="125">
        <f>'Квартальная отчетность'!U173</f>
        <v>0</v>
      </c>
      <c s="125">
        <f>'Квартальная отчетность'!V173</f>
        <v>0</v>
      </c>
      <c s="125">
        <f>'Квартальная отчетность'!W173</f>
        <v>0</v>
      </c>
      <c s="125">
        <f>'Квартальная отчетность'!X173</f>
        <v>0</v>
      </c>
      <c s="125">
        <f>'Квартальная отчетность'!Y173</f>
        <v>0</v>
      </c>
      <c s="125">
        <f>'Квартальная отчетность'!Z173</f>
        <v>0</v>
      </c>
      <c s="125">
        <f>'Квартальная отчетность'!AA173</f>
        <v>0</v>
      </c>
      <c s="125">
        <f>'Квартальная отчетность'!AB173</f>
        <v>0</v>
      </c>
      <c s="125">
        <f>'Квартальная отчетность'!AC173</f>
        <v>0</v>
      </c>
      <c s="125">
        <f>'Квартальная отчетность'!AD173</f>
        <v>0</v>
      </c>
      <c s="125">
        <f>'Квартальная отчетность'!AE173</f>
        <v>0</v>
      </c>
      <c s="125">
        <f>'Квартальная отчетность'!AF173</f>
        <v>0</v>
      </c>
      <c s="125">
        <f>'Квартальная отчетность'!AG173</f>
        <v>0</v>
      </c>
      <c s="125">
        <f>'Квартальная отчетность'!AH173</f>
        <v>0</v>
      </c>
      <c s="125">
        <f>'Квартальная отчетность'!AI173</f>
        <v>0</v>
      </c>
      <c s="125">
        <f>'Квартальная отчетность'!AJ173</f>
        <v>0</v>
      </c>
      <c s="125">
        <f>'Квартальная отчетность'!AK173</f>
        <v>0</v>
      </c>
      <c s="125">
        <f>'Квартальная отчетность'!AL173</f>
        <v>0</v>
      </c>
      <c s="125">
        <f>'Квартальная отчетность'!AM173</f>
        <v>0</v>
      </c>
      <c s="125">
        <f>'Квартальная отчетность'!AN173</f>
        <v>0</v>
      </c>
      <c s="125">
        <f>'Квартальная отчетность'!AO173</f>
        <v>0</v>
      </c>
      <c s="125">
        <f>'Квартальная отчетность'!AP173</f>
        <v>0</v>
      </c>
      <c s="125">
        <f>'Квартальная отчетность'!AQ173</f>
        <v>0</v>
      </c>
      <c s="125">
        <f>'Квартальная отчетность'!AR173</f>
        <v>0</v>
      </c>
      <c s="125">
        <f>'Квартальная отчетность'!AS173</f>
        <v>0</v>
      </c>
      <c s="125">
        <f>'Квартальная отчетность'!AT173</f>
        <v>0</v>
      </c>
      <c s="125">
        <f>'Квартальная отчетность'!AU173</f>
        <v>0</v>
      </c>
      <c s="125">
        <f>'Квартальная отчетность'!AV173</f>
        <v>0</v>
      </c>
      <c s="125">
        <f>'Квартальная отчетность'!AW173</f>
        <v>0</v>
      </c>
      <c s="125">
        <f>'Квартальная отчетность'!AX173</f>
        <v>0</v>
      </c>
      <c s="125">
        <f>'Квартальная отчетность'!AY173</f>
        <v>0</v>
      </c>
      <c s="125">
        <f>'Квартальная отчетность'!AZ173</f>
        <v>0</v>
      </c>
      <c s="125">
        <f>'Квартальная отчетность'!BA173</f>
        <v>0</v>
      </c>
      <c s="125">
        <f>'Квартальная отчетность'!BB173</f>
        <v>0</v>
      </c>
      <c s="125">
        <f>'Квартальная отчетность'!BC173</f>
        <v>0</v>
      </c>
      <c s="125">
        <f>'Квартальная отчетность'!BD173</f>
        <v>0</v>
      </c>
      <c s="125">
        <f>'Квартальная отчетность'!BE173</f>
        <v>0</v>
      </c>
      <c s="125">
        <f>'Квартальная отчетность'!BF173</f>
        <v>0</v>
      </c>
      <c s="125">
        <f>'Квартальная отчетность'!BG173</f>
        <v>0</v>
      </c>
      <c s="125">
        <f>'Квартальная отчетность'!BH173</f>
        <v>0</v>
      </c>
      <c s="125">
        <f>'Квартальная отчетность'!BI173</f>
        <v>0</v>
      </c>
      <c s="125">
        <f>'Квартальная отчетность'!BJ173</f>
        <v>0</v>
      </c>
      <c s="125">
        <f>'Квартальная отчетность'!BK173</f>
        <v>0</v>
      </c>
      <c s="125">
        <f>'Квартальная отчетность'!BL173</f>
        <v>0</v>
      </c>
      <c s="125">
        <f>'Квартальная отчетность'!BM173</f>
        <v>0</v>
      </c>
    </row>
    <row r="313" spans="2:65" ht="15" customHeight="1">
      <c r="B313" s="289" t="s">
        <v>454</v>
      </c>
      <c s="290" t="s">
        <v>438</v>
      </c>
      <c s="291">
        <f t="shared" si="271" ref="D313:E313">SUM(D309:D312)</f>
        <v>0</v>
      </c>
      <c s="276">
        <f t="shared" si="271"/>
        <v>0</v>
      </c>
      <c s="276">
        <f t="shared" si="272" ref="F313:AG313">SUM(F309:F312)</f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2"/>
        <v>0</v>
      </c>
      <c s="276">
        <f t="shared" si="273" ref="AH313:BM313">SUM(AH309:AH312)</f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  <c s="276">
        <f t="shared" si="273"/>
        <v>0</v>
      </c>
    </row>
    <row r="314" ht="15" customHeight="1"/>
    <row r="315" spans="2:65" ht="15" customHeight="1">
      <c r="B315" s="292" t="s">
        <v>989</v>
      </c>
      <c s="293" t="s">
        <v>438</v>
      </c>
      <c s="291">
        <f t="shared" si="274" ref="D315:E315">SUM(D306,D313)</f>
        <v>0</v>
      </c>
      <c s="291">
        <f t="shared" si="274"/>
        <v>0</v>
      </c>
      <c s="291">
        <f t="shared" si="275" ref="F315:AG315">SUM(F306,F313)</f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5"/>
        <v>0</v>
      </c>
      <c s="291">
        <f t="shared" si="276" ref="AH315:BM315">SUM(AH306,AH313)</f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  <c s="291">
        <f t="shared" si="276"/>
        <v>0</v>
      </c>
    </row>
    <row r="316" ht="15" customHeight="1"/>
    <row r="317" spans="2:71" ht="21">
      <c r="B317" s="24" t="s">
        <v>990</v>
      </c>
      <c r="D31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18" spans="2:69" ht="14.45">
      <c r="B318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19" spans="2:65" ht="15" customHeight="1">
      <c r="B319" s="12" t="s">
        <v>991</v>
      </c>
      <c s="124" t="s">
        <v>438</v>
      </c>
      <c s="276">
        <f>SUM(E319:BM319)</f>
        <v>0</v>
      </c>
      <c s="125">
        <f>SUM('Квартальная отчетность'!E64,'Квартальная отчетность'!E180)</f>
        <v>0</v>
      </c>
      <c s="125">
        <f>SUM('Квартальная отчетность'!F64,'Квартальная отчетность'!F180)</f>
        <v>0</v>
      </c>
      <c s="125">
        <f>SUM('Квартальная отчетность'!G64,'Квартальная отчетность'!G180)</f>
        <v>0</v>
      </c>
      <c s="125">
        <f>SUM('Квартальная отчетность'!H64,'Квартальная отчетность'!H180)</f>
        <v>0</v>
      </c>
      <c s="125">
        <f>SUM('Квартальная отчетность'!I64,'Квартальная отчетность'!I180)</f>
        <v>0</v>
      </c>
      <c s="125">
        <f>SUM('Квартальная отчетность'!J64,'Квартальная отчетность'!J180)</f>
        <v>0</v>
      </c>
      <c s="125">
        <f>SUM('Квартальная отчетность'!K64,'Квартальная отчетность'!K180)</f>
        <v>0</v>
      </c>
      <c s="125">
        <f>SUM('Квартальная отчетность'!L64,'Квартальная отчетность'!L180)</f>
        <v>0</v>
      </c>
      <c s="125">
        <f>SUM('Квартальная отчетность'!M64,'Квартальная отчетность'!M180)</f>
        <v>0</v>
      </c>
      <c s="125">
        <f>SUM('Квартальная отчетность'!N64,'Квартальная отчетность'!N180)</f>
        <v>0</v>
      </c>
      <c s="125">
        <f>SUM('Квартальная отчетность'!O64,'Квартальная отчетность'!O180)</f>
        <v>0</v>
      </c>
      <c s="125">
        <f>SUM('Квартальная отчетность'!P64,'Квартальная отчетность'!P180)</f>
        <v>0</v>
      </c>
      <c s="125">
        <f>SUM('Квартальная отчетность'!Q64,'Квартальная отчетность'!Q180)</f>
        <v>0</v>
      </c>
      <c s="125">
        <f>SUM('Квартальная отчетность'!R64,'Квартальная отчетность'!R180)</f>
        <v>0</v>
      </c>
      <c s="125">
        <f>SUM('Квартальная отчетность'!S64,'Квартальная отчетность'!S180)</f>
        <v>0</v>
      </c>
      <c s="125">
        <f>SUM('Квартальная отчетность'!T64,'Квартальная отчетность'!T180)</f>
        <v>0</v>
      </c>
      <c s="125">
        <f>SUM('Квартальная отчетность'!U64,'Квартальная отчетность'!U180)</f>
        <v>0</v>
      </c>
      <c s="125">
        <f>SUM('Квартальная отчетность'!V64,'Квартальная отчетность'!V180)</f>
        <v>0</v>
      </c>
      <c s="125">
        <f>SUM('Квартальная отчетность'!W64,'Квартальная отчетность'!W180)</f>
        <v>0</v>
      </c>
      <c s="125">
        <f>SUM('Квартальная отчетность'!X64,'Квартальная отчетность'!X180)</f>
        <v>0</v>
      </c>
      <c s="125">
        <f>SUM('Квартальная отчетность'!Y64,'Квартальная отчетность'!Y180)</f>
        <v>0</v>
      </c>
      <c s="125">
        <f>SUM('Квартальная отчетность'!Z64,'Квартальная отчетность'!Z180)</f>
        <v>0</v>
      </c>
      <c s="125">
        <f>SUM('Квартальная отчетность'!AA64,'Квартальная отчетность'!AA180)</f>
        <v>0</v>
      </c>
      <c s="125">
        <f>SUM('Квартальная отчетность'!AB64,'Квартальная отчетность'!AB180)</f>
        <v>0</v>
      </c>
      <c s="125">
        <f>SUM('Квартальная отчетность'!AC64,'Квартальная отчетность'!AC180)</f>
        <v>0</v>
      </c>
      <c s="125">
        <f>SUM('Квартальная отчетность'!AD64,'Квартальная отчетность'!AD180)</f>
        <v>0</v>
      </c>
      <c s="125">
        <f>SUM('Квартальная отчетность'!AE64,'Квартальная отчетность'!AE180)</f>
        <v>0</v>
      </c>
      <c s="125">
        <f>SUM('Квартальная отчетность'!AF64,'Квартальная отчетность'!AF180)</f>
        <v>0</v>
      </c>
      <c s="125">
        <f>SUM('Квартальная отчетность'!AG64,'Квартальная отчетность'!AG180)</f>
        <v>0</v>
      </c>
      <c s="125">
        <f>SUM('Квартальная отчетность'!AH64,'Квартальная отчетность'!AH180)</f>
        <v>0</v>
      </c>
      <c s="125">
        <f>SUM('Квартальная отчетность'!AI64,'Квартальная отчетность'!AI180)</f>
        <v>0</v>
      </c>
      <c s="125">
        <f>SUM('Квартальная отчетность'!AJ64,'Квартальная отчетность'!AJ180)</f>
        <v>0</v>
      </c>
      <c s="125">
        <f>SUM('Квартальная отчетность'!AK64,'Квартальная отчетность'!AK180)</f>
        <v>0</v>
      </c>
      <c s="125">
        <f>SUM('Квартальная отчетность'!AL64,'Квартальная отчетность'!AL180)</f>
        <v>0</v>
      </c>
      <c s="125">
        <f>SUM('Квартальная отчетность'!AM64,'Квартальная отчетность'!AM180)</f>
        <v>0</v>
      </c>
      <c s="125">
        <f>SUM('Квартальная отчетность'!AN64,'Квартальная отчетность'!AN180)</f>
        <v>0</v>
      </c>
      <c s="125">
        <f>SUM('Квартальная отчетность'!AO64,'Квартальная отчетность'!AO180)</f>
        <v>0</v>
      </c>
      <c s="125">
        <f>SUM('Квартальная отчетность'!AP64,'Квартальная отчетность'!AP180)</f>
        <v>0</v>
      </c>
      <c s="125">
        <f>SUM('Квартальная отчетность'!AQ64,'Квартальная отчетность'!AQ180)</f>
        <v>0</v>
      </c>
      <c s="125">
        <f>SUM('Квартальная отчетность'!AR64,'Квартальная отчетность'!AR180)</f>
        <v>0</v>
      </c>
      <c s="125">
        <f>SUM('Квартальная отчетность'!AS64,'Квартальная отчетность'!AS180)</f>
        <v>0</v>
      </c>
      <c s="125">
        <f>SUM('Квартальная отчетность'!AT64,'Квартальная отчетность'!AT180)</f>
        <v>0</v>
      </c>
      <c s="125">
        <f>SUM('Квартальная отчетность'!AU64,'Квартальная отчетность'!AU180)</f>
        <v>0</v>
      </c>
      <c s="125">
        <f>SUM('Квартальная отчетность'!AV64,'Квартальная отчетность'!AV180)</f>
        <v>0</v>
      </c>
      <c s="125">
        <f>SUM('Квартальная отчетность'!AW64,'Квартальная отчетность'!AW180)</f>
        <v>0</v>
      </c>
      <c s="125">
        <f>SUM('Квартальная отчетность'!AX64,'Квартальная отчетность'!AX180)</f>
        <v>0</v>
      </c>
      <c s="125">
        <f>SUM('Квартальная отчетность'!AY64,'Квартальная отчетность'!AY180)</f>
        <v>0</v>
      </c>
      <c s="125">
        <f>SUM('Квартальная отчетность'!AZ64,'Квартальная отчетность'!AZ180)</f>
        <v>0</v>
      </c>
      <c s="125">
        <f>SUM('Квартальная отчетность'!BA64,'Квартальная отчетность'!BA180)</f>
        <v>0</v>
      </c>
      <c s="125">
        <f>SUM('Квартальная отчетность'!BB64,'Квартальная отчетность'!BB180)</f>
        <v>0</v>
      </c>
      <c s="125">
        <f>SUM('Квартальная отчетность'!BC64,'Квартальная отчетность'!BC180)</f>
        <v>0</v>
      </c>
      <c s="125">
        <f>SUM('Квартальная отчетность'!BD64,'Квартальная отчетность'!BD180)</f>
        <v>0</v>
      </c>
      <c s="125">
        <f>SUM('Квартальная отчетность'!BE64,'Квартальная отчетность'!BE180)</f>
        <v>0</v>
      </c>
      <c s="125">
        <f>SUM('Квартальная отчетность'!BF64,'Квартальная отчетность'!BF180)</f>
        <v>0</v>
      </c>
      <c s="125">
        <f>SUM('Квартальная отчетность'!BG64,'Квартальная отчетность'!BG180)</f>
        <v>0</v>
      </c>
      <c s="125">
        <f>SUM('Квартальная отчетность'!BH64,'Квартальная отчетность'!BH180)</f>
        <v>0</v>
      </c>
      <c s="125">
        <f>SUM('Квартальная отчетность'!BI64,'Квартальная отчетность'!BI180)</f>
        <v>0</v>
      </c>
      <c s="125">
        <f>SUM('Квартальная отчетность'!BJ64,'Квартальная отчетность'!BJ180)</f>
        <v>0</v>
      </c>
      <c s="125">
        <f>SUM('Квартальная отчетность'!BK64,'Квартальная отчетность'!BK180)</f>
        <v>0</v>
      </c>
      <c s="125">
        <f>SUM('Квартальная отчетность'!BL64,'Квартальная отчетность'!BL180)</f>
        <v>0</v>
      </c>
      <c s="125">
        <f>SUM('Квартальная отчетность'!BM64,'Квартальная отчетность'!BM180)</f>
        <v>0</v>
      </c>
    </row>
    <row r="320" spans="2:65" ht="15" customHeight="1">
      <c r="B320" s="12" t="s">
        <v>1044</v>
      </c>
      <c s="124" t="s">
        <v>438</v>
      </c>
      <c s="276">
        <f>SUM(E320:BM320)</f>
        <v>0</v>
      </c>
      <c s="125">
        <f>'Квартальная отчетность'!E183</f>
        <v>0</v>
      </c>
      <c s="125">
        <f>'Квартальная отчетность'!F183</f>
        <v>0</v>
      </c>
      <c s="125">
        <f>'Квартальная отчетность'!G183</f>
        <v>0</v>
      </c>
      <c s="125">
        <f>'Квартальная отчетность'!H183</f>
        <v>0</v>
      </c>
      <c s="125">
        <f>'Квартальная отчетность'!I183</f>
        <v>0</v>
      </c>
      <c s="125">
        <f>'Квартальная отчетность'!J183</f>
        <v>0</v>
      </c>
      <c s="125">
        <f>'Квартальная отчетность'!K183</f>
        <v>0</v>
      </c>
      <c s="125">
        <f>'Квартальная отчетность'!L183</f>
        <v>0</v>
      </c>
      <c s="125">
        <f>'Квартальная отчетность'!M183</f>
        <v>0</v>
      </c>
      <c s="125">
        <f>'Квартальная отчетность'!N183</f>
        <v>0</v>
      </c>
      <c s="125">
        <f>'Квартальная отчетность'!O183</f>
        <v>0</v>
      </c>
      <c s="125">
        <f>'Квартальная отчетность'!P183</f>
        <v>0</v>
      </c>
      <c s="125">
        <f>'Квартальная отчетность'!Q183</f>
        <v>0</v>
      </c>
      <c s="125">
        <f>'Квартальная отчетность'!R183</f>
        <v>0</v>
      </c>
      <c s="125">
        <f>'Квартальная отчетность'!S183</f>
        <v>0</v>
      </c>
      <c s="125">
        <f>'Квартальная отчетность'!T183</f>
        <v>0</v>
      </c>
      <c s="125">
        <f>'Квартальная отчетность'!U183</f>
        <v>0</v>
      </c>
      <c s="125">
        <f>'Квартальная отчетность'!V183</f>
        <v>0</v>
      </c>
      <c s="125">
        <f>'Квартальная отчетность'!W183</f>
        <v>0</v>
      </c>
      <c s="125">
        <f>'Квартальная отчетность'!X183</f>
        <v>0</v>
      </c>
      <c s="125">
        <f>'Квартальная отчетность'!Y183</f>
        <v>0</v>
      </c>
      <c s="125">
        <f>'Квартальная отчетность'!Z183</f>
        <v>0</v>
      </c>
      <c s="125">
        <f>'Квартальная отчетность'!AA183</f>
        <v>0</v>
      </c>
      <c s="125">
        <f>'Квартальная отчетность'!AB183</f>
        <v>0</v>
      </c>
      <c s="125">
        <f>'Квартальная отчетность'!AC183</f>
        <v>0</v>
      </c>
      <c s="125">
        <f>'Квартальная отчетность'!AD183</f>
        <v>0</v>
      </c>
      <c s="125">
        <f>'Квартальная отчетность'!AE183</f>
        <v>0</v>
      </c>
      <c s="125">
        <f>'Квартальная отчетность'!AF183</f>
        <v>0</v>
      </c>
      <c s="125">
        <f>'Квартальная отчетность'!AG183</f>
        <v>0</v>
      </c>
      <c s="125">
        <f>'Квартальная отчетность'!AH183</f>
        <v>0</v>
      </c>
      <c s="125">
        <f>'Квартальная отчетность'!AI183</f>
        <v>0</v>
      </c>
      <c s="125">
        <f>'Квартальная отчетность'!AJ183</f>
        <v>0</v>
      </c>
      <c s="125">
        <f>'Квартальная отчетность'!AK183</f>
        <v>0</v>
      </c>
      <c s="125">
        <f>'Квартальная отчетность'!AL183</f>
        <v>0</v>
      </c>
      <c s="125">
        <f>'Квартальная отчетность'!AM183</f>
        <v>0</v>
      </c>
      <c s="125">
        <f>'Квартальная отчетность'!AN183</f>
        <v>0</v>
      </c>
      <c s="125">
        <f>'Квартальная отчетность'!AO183</f>
        <v>0</v>
      </c>
      <c s="125">
        <f>'Квартальная отчетность'!AP183</f>
        <v>0</v>
      </c>
      <c s="125">
        <f>'Квартальная отчетность'!AQ183</f>
        <v>0</v>
      </c>
      <c s="125">
        <f>'Квартальная отчетность'!AR183</f>
        <v>0</v>
      </c>
      <c s="125">
        <f>'Квартальная отчетность'!AS183</f>
        <v>0</v>
      </c>
      <c s="125">
        <f>'Квартальная отчетность'!AT183</f>
        <v>0</v>
      </c>
      <c s="125">
        <f>'Квартальная отчетность'!AU183</f>
        <v>0</v>
      </c>
      <c s="125">
        <f>'Квартальная отчетность'!AV183</f>
        <v>0</v>
      </c>
      <c s="125">
        <f>'Квартальная отчетность'!AW183</f>
        <v>0</v>
      </c>
      <c s="125">
        <f>'Квартальная отчетность'!AX183</f>
        <v>0</v>
      </c>
      <c s="125">
        <f>'Квартальная отчетность'!AY183</f>
        <v>0</v>
      </c>
      <c s="125">
        <f>'Квартальная отчетность'!AZ183</f>
        <v>0</v>
      </c>
      <c s="125">
        <f>'Квартальная отчетность'!BA183</f>
        <v>0</v>
      </c>
      <c s="125">
        <f>'Квартальная отчетность'!BB183</f>
        <v>0</v>
      </c>
      <c s="125">
        <f>'Квартальная отчетность'!BC183</f>
        <v>0</v>
      </c>
      <c s="125">
        <f>'Квартальная отчетность'!BD183</f>
        <v>0</v>
      </c>
      <c s="125">
        <f>'Квартальная отчетность'!BE183</f>
        <v>0</v>
      </c>
      <c s="125">
        <f>'Квартальная отчетность'!BF183</f>
        <v>0</v>
      </c>
      <c s="125">
        <f>'Квартальная отчетность'!BG183</f>
        <v>0</v>
      </c>
      <c s="125">
        <f>'Квартальная отчетность'!BH183</f>
        <v>0</v>
      </c>
      <c s="125">
        <f>'Квартальная отчетность'!BI183</f>
        <v>0</v>
      </c>
      <c s="125">
        <f>'Квартальная отчетность'!BJ183</f>
        <v>0</v>
      </c>
      <c s="125">
        <f>'Квартальная отчетность'!BK183</f>
        <v>0</v>
      </c>
      <c s="125">
        <f>'Квартальная отчетность'!BL183</f>
        <v>0</v>
      </c>
      <c s="125">
        <f>'Квартальная отчетность'!BM183</f>
        <v>0</v>
      </c>
    </row>
    <row r="321" spans="2:65" ht="15" customHeight="1">
      <c r="B321" s="12" t="s">
        <v>1045</v>
      </c>
      <c s="124" t="s">
        <v>438</v>
      </c>
      <c s="276">
        <f>SUM(E321:BM321)</f>
        <v>0</v>
      </c>
      <c s="125">
        <f>'Квартальная отчетность'!E184</f>
        <v>0</v>
      </c>
      <c s="125">
        <f>'Квартальная отчетность'!F184</f>
        <v>0</v>
      </c>
      <c s="125">
        <f>'Квартальная отчетность'!G184</f>
        <v>0</v>
      </c>
      <c s="125">
        <f>'Квартальная отчетность'!H184</f>
        <v>0</v>
      </c>
      <c s="125">
        <f>'Квартальная отчетность'!I184</f>
        <v>0</v>
      </c>
      <c s="125">
        <f>'Квартальная отчетность'!J184</f>
        <v>0</v>
      </c>
      <c s="125">
        <f>'Квартальная отчетность'!K184</f>
        <v>0</v>
      </c>
      <c s="125">
        <f>'Квартальная отчетность'!L184</f>
        <v>0</v>
      </c>
      <c s="125">
        <f>'Квартальная отчетность'!M184</f>
        <v>0</v>
      </c>
      <c s="125">
        <f>'Квартальная отчетность'!N184</f>
        <v>0</v>
      </c>
      <c s="125">
        <f>'Квартальная отчетность'!O184</f>
        <v>0</v>
      </c>
      <c s="125">
        <f>'Квартальная отчетность'!P184</f>
        <v>0</v>
      </c>
      <c s="125">
        <f>'Квартальная отчетность'!Q184</f>
        <v>0</v>
      </c>
      <c s="125">
        <f>'Квартальная отчетность'!R184</f>
        <v>0</v>
      </c>
      <c s="125">
        <f>'Квартальная отчетность'!S184</f>
        <v>0</v>
      </c>
      <c s="125">
        <f>'Квартальная отчетность'!T184</f>
        <v>0</v>
      </c>
      <c s="125">
        <f>'Квартальная отчетность'!U184</f>
        <v>0</v>
      </c>
      <c s="125">
        <f>'Квартальная отчетность'!V184</f>
        <v>0</v>
      </c>
      <c s="125">
        <f>'Квартальная отчетность'!W184</f>
        <v>0</v>
      </c>
      <c s="125">
        <f>'Квартальная отчетность'!X184</f>
        <v>0</v>
      </c>
      <c s="125">
        <f>'Квартальная отчетность'!Y184</f>
        <v>0</v>
      </c>
      <c s="125">
        <f>'Квартальная отчетность'!Z184</f>
        <v>0</v>
      </c>
      <c s="125">
        <f>'Квартальная отчетность'!AA184</f>
        <v>0</v>
      </c>
      <c s="125">
        <f>'Квартальная отчетность'!AB184</f>
        <v>0</v>
      </c>
      <c s="125">
        <f>'Квартальная отчетность'!AC184</f>
        <v>0</v>
      </c>
      <c s="125">
        <f>'Квартальная отчетность'!AD184</f>
        <v>0</v>
      </c>
      <c s="125">
        <f>'Квартальная отчетность'!AE184</f>
        <v>0</v>
      </c>
      <c s="125">
        <f>'Квартальная отчетность'!AF184</f>
        <v>0</v>
      </c>
      <c s="125">
        <f>'Квартальная отчетность'!AG184</f>
        <v>0</v>
      </c>
      <c s="125">
        <f>'Квартальная отчетность'!AH184</f>
        <v>0</v>
      </c>
      <c s="125">
        <f>'Квартальная отчетность'!AI184</f>
        <v>0</v>
      </c>
      <c s="125">
        <f>'Квартальная отчетность'!AJ184</f>
        <v>0</v>
      </c>
      <c s="125">
        <f>'Квартальная отчетность'!AK184</f>
        <v>0</v>
      </c>
      <c s="125">
        <f>'Квартальная отчетность'!AL184</f>
        <v>0</v>
      </c>
      <c s="125">
        <f>'Квартальная отчетность'!AM184</f>
        <v>0</v>
      </c>
      <c s="125">
        <f>'Квартальная отчетность'!AN184</f>
        <v>0</v>
      </c>
      <c s="125">
        <f>'Квартальная отчетность'!AO184</f>
        <v>0</v>
      </c>
      <c s="125">
        <f>'Квартальная отчетность'!AP184</f>
        <v>0</v>
      </c>
      <c s="125">
        <f>'Квартальная отчетность'!AQ184</f>
        <v>0</v>
      </c>
      <c s="125">
        <f>'Квартальная отчетность'!AR184</f>
        <v>0</v>
      </c>
      <c s="125">
        <f>'Квартальная отчетность'!AS184</f>
        <v>0</v>
      </c>
      <c s="125">
        <f>'Квартальная отчетность'!AT184</f>
        <v>0</v>
      </c>
      <c s="125">
        <f>'Квартальная отчетность'!AU184</f>
        <v>0</v>
      </c>
      <c s="125">
        <f>'Квартальная отчетность'!AV184</f>
        <v>0</v>
      </c>
      <c s="125">
        <f>'Квартальная отчетность'!AW184</f>
        <v>0</v>
      </c>
      <c s="125">
        <f>'Квартальная отчетность'!AX184</f>
        <v>0</v>
      </c>
      <c s="125">
        <f>'Квартальная отчетность'!AY184</f>
        <v>0</v>
      </c>
      <c s="125">
        <f>'Квартальная отчетность'!AZ184</f>
        <v>0</v>
      </c>
      <c s="125">
        <f>'Квартальная отчетность'!BA184</f>
        <v>0</v>
      </c>
      <c s="125">
        <f>'Квартальная отчетность'!BB184</f>
        <v>0</v>
      </c>
      <c s="125">
        <f>'Квартальная отчетность'!BC184</f>
        <v>0</v>
      </c>
      <c s="125">
        <f>'Квартальная отчетность'!BD184</f>
        <v>0</v>
      </c>
      <c s="125">
        <f>'Квартальная отчетность'!BE184</f>
        <v>0</v>
      </c>
      <c s="125">
        <f>'Квартальная отчетность'!BF184</f>
        <v>0</v>
      </c>
      <c s="125">
        <f>'Квартальная отчетность'!BG184</f>
        <v>0</v>
      </c>
      <c s="125">
        <f>'Квартальная отчетность'!BH184</f>
        <v>0</v>
      </c>
      <c s="125">
        <f>'Квартальная отчетность'!BI184</f>
        <v>0</v>
      </c>
      <c s="125">
        <f>'Квартальная отчетность'!BJ184</f>
        <v>0</v>
      </c>
      <c s="125">
        <f>'Квартальная отчетность'!BK184</f>
        <v>0</v>
      </c>
      <c s="125">
        <f>'Квартальная отчетность'!BL184</f>
        <v>0</v>
      </c>
      <c s="125">
        <f>'Квартальная отчетность'!BM184</f>
        <v>0</v>
      </c>
    </row>
    <row r="322" spans="2:65" ht="15" customHeight="1">
      <c r="B322" s="12" t="s">
        <v>1046</v>
      </c>
      <c s="124" t="s">
        <v>438</v>
      </c>
      <c s="276">
        <f>SUM(E322:BM322)</f>
        <v>0</v>
      </c>
      <c s="125">
        <f>'Квартальная отчетность'!E185</f>
        <v>0</v>
      </c>
      <c s="125">
        <f>'Квартальная отчетность'!F185</f>
        <v>0</v>
      </c>
      <c s="125">
        <f>'Квартальная отчетность'!G185</f>
        <v>0</v>
      </c>
      <c s="125">
        <f>'Квартальная отчетность'!H185</f>
        <v>0</v>
      </c>
      <c s="125">
        <f>'Квартальная отчетность'!I185</f>
        <v>0</v>
      </c>
      <c s="125">
        <f>'Квартальная отчетность'!J185</f>
        <v>0</v>
      </c>
      <c s="125">
        <f>'Квартальная отчетность'!K185</f>
        <v>0</v>
      </c>
      <c s="125">
        <f>'Квартальная отчетность'!L185</f>
        <v>0</v>
      </c>
      <c s="125">
        <f>'Квартальная отчетность'!M185</f>
        <v>0</v>
      </c>
      <c s="125">
        <f>'Квартальная отчетность'!N185</f>
        <v>0</v>
      </c>
      <c s="125">
        <f>'Квартальная отчетность'!O185</f>
        <v>0</v>
      </c>
      <c s="125">
        <f>'Квартальная отчетность'!P185</f>
        <v>0</v>
      </c>
      <c s="125">
        <f>'Квартальная отчетность'!Q185</f>
        <v>0</v>
      </c>
      <c s="125">
        <f>'Квартальная отчетность'!R185</f>
        <v>0</v>
      </c>
      <c s="125">
        <f>'Квартальная отчетность'!S185</f>
        <v>0</v>
      </c>
      <c s="125">
        <f>'Квартальная отчетность'!T185</f>
        <v>0</v>
      </c>
      <c s="125">
        <f>'Квартальная отчетность'!U185</f>
        <v>0</v>
      </c>
      <c s="125">
        <f>'Квартальная отчетность'!V185</f>
        <v>0</v>
      </c>
      <c s="125">
        <f>'Квартальная отчетность'!W185</f>
        <v>0</v>
      </c>
      <c s="125">
        <f>'Квартальная отчетность'!X185</f>
        <v>0</v>
      </c>
      <c s="125">
        <f>'Квартальная отчетность'!Y185</f>
        <v>0</v>
      </c>
      <c s="125">
        <f>'Квартальная отчетность'!Z185</f>
        <v>0</v>
      </c>
      <c s="125">
        <f>'Квартальная отчетность'!AA185</f>
        <v>0</v>
      </c>
      <c s="125">
        <f>'Квартальная отчетность'!AB185</f>
        <v>0</v>
      </c>
      <c s="125">
        <f>'Квартальная отчетность'!AC185</f>
        <v>0</v>
      </c>
      <c s="125">
        <f>'Квартальная отчетность'!AD185</f>
        <v>0</v>
      </c>
      <c s="125">
        <f>'Квартальная отчетность'!AE185</f>
        <v>0</v>
      </c>
      <c s="125">
        <f>'Квартальная отчетность'!AF185</f>
        <v>0</v>
      </c>
      <c s="125">
        <f>'Квартальная отчетность'!AG185</f>
        <v>0</v>
      </c>
      <c s="125">
        <f>'Квартальная отчетность'!AH185</f>
        <v>0</v>
      </c>
      <c s="125">
        <f>'Квартальная отчетность'!AI185</f>
        <v>0</v>
      </c>
      <c s="125">
        <f>'Квартальная отчетность'!AJ185</f>
        <v>0</v>
      </c>
      <c s="125">
        <f>'Квартальная отчетность'!AK185</f>
        <v>0</v>
      </c>
      <c s="125">
        <f>'Квартальная отчетность'!AL185</f>
        <v>0</v>
      </c>
      <c s="125">
        <f>'Квартальная отчетность'!AM185</f>
        <v>0</v>
      </c>
      <c s="125">
        <f>'Квартальная отчетность'!AN185</f>
        <v>0</v>
      </c>
      <c s="125">
        <f>'Квартальная отчетность'!AO185</f>
        <v>0</v>
      </c>
      <c s="125">
        <f>'Квартальная отчетность'!AP185</f>
        <v>0</v>
      </c>
      <c s="125">
        <f>'Квартальная отчетность'!AQ185</f>
        <v>0</v>
      </c>
      <c s="125">
        <f>'Квартальная отчетность'!AR185</f>
        <v>0</v>
      </c>
      <c s="125">
        <f>'Квартальная отчетность'!AS185</f>
        <v>0</v>
      </c>
      <c s="125">
        <f>'Квартальная отчетность'!AT185</f>
        <v>0</v>
      </c>
      <c s="125">
        <f>'Квартальная отчетность'!AU185</f>
        <v>0</v>
      </c>
      <c s="125">
        <f>'Квартальная отчетность'!AV185</f>
        <v>0</v>
      </c>
      <c s="125">
        <f>'Квартальная отчетность'!AW185</f>
        <v>0</v>
      </c>
      <c s="125">
        <f>'Квартальная отчетность'!AX185</f>
        <v>0</v>
      </c>
      <c s="125">
        <f>'Квартальная отчетность'!AY185</f>
        <v>0</v>
      </c>
      <c s="125">
        <f>'Квартальная отчетность'!AZ185</f>
        <v>0</v>
      </c>
      <c s="125">
        <f>'Квартальная отчетность'!BA185</f>
        <v>0</v>
      </c>
      <c s="125">
        <f>'Квартальная отчетность'!BB185</f>
        <v>0</v>
      </c>
      <c s="125">
        <f>'Квартальная отчетность'!BC185</f>
        <v>0</v>
      </c>
      <c s="125">
        <f>'Квартальная отчетность'!BD185</f>
        <v>0</v>
      </c>
      <c s="125">
        <f>'Квартальная отчетность'!BE185</f>
        <v>0</v>
      </c>
      <c s="125">
        <f>'Квартальная отчетность'!BF185</f>
        <v>0</v>
      </c>
      <c s="125">
        <f>'Квартальная отчетность'!BG185</f>
        <v>0</v>
      </c>
      <c s="125">
        <f>'Квартальная отчетность'!BH185</f>
        <v>0</v>
      </c>
      <c s="125">
        <f>'Квартальная отчетность'!BI185</f>
        <v>0</v>
      </c>
      <c s="125">
        <f>'Квартальная отчетность'!BJ185</f>
        <v>0</v>
      </c>
      <c s="125">
        <f>'Квартальная отчетность'!BK185</f>
        <v>0</v>
      </c>
      <c s="125">
        <f>'Квартальная отчетность'!BL185</f>
        <v>0</v>
      </c>
      <c s="125">
        <f>'Квартальная отчетность'!BM185</f>
        <v>0</v>
      </c>
    </row>
    <row r="323" spans="2:65" ht="15" customHeight="1">
      <c r="B323" s="12" t="s">
        <v>1029</v>
      </c>
      <c s="124" t="s">
        <v>438</v>
      </c>
      <c s="276">
        <f>SUM(E323:BM323)</f>
        <v>0</v>
      </c>
      <c s="125">
        <f>'Квартальная отчетность'!E186</f>
        <v>0</v>
      </c>
      <c s="125">
        <f>'Квартальная отчетность'!F186</f>
        <v>0</v>
      </c>
      <c s="125">
        <f>'Квартальная отчетность'!G186</f>
        <v>0</v>
      </c>
      <c s="125">
        <f>'Квартальная отчетность'!H186</f>
        <v>0</v>
      </c>
      <c s="125">
        <f>'Квартальная отчетность'!I186</f>
        <v>0</v>
      </c>
      <c s="125">
        <f>'Квартальная отчетность'!J186</f>
        <v>0</v>
      </c>
      <c s="125">
        <f>'Квартальная отчетность'!K186</f>
        <v>0</v>
      </c>
      <c s="125">
        <f>'Квартальная отчетность'!L186</f>
        <v>0</v>
      </c>
      <c s="125">
        <f>'Квартальная отчетность'!M186</f>
        <v>0</v>
      </c>
      <c s="125">
        <f>'Квартальная отчетность'!N186</f>
        <v>0</v>
      </c>
      <c s="125">
        <f>'Квартальная отчетность'!O186</f>
        <v>0</v>
      </c>
      <c s="125">
        <f>'Квартальная отчетность'!P186</f>
        <v>0</v>
      </c>
      <c s="125">
        <f>'Квартальная отчетность'!Q186</f>
        <v>0</v>
      </c>
      <c s="125">
        <f>'Квартальная отчетность'!R186</f>
        <v>0</v>
      </c>
      <c s="125">
        <f>'Квартальная отчетность'!S186</f>
        <v>0</v>
      </c>
      <c s="125">
        <f>'Квартальная отчетность'!T186</f>
        <v>0</v>
      </c>
      <c s="125">
        <f>'Квартальная отчетность'!U186</f>
        <v>0</v>
      </c>
      <c s="125">
        <f>'Квартальная отчетность'!V186</f>
        <v>0</v>
      </c>
      <c s="125">
        <f>'Квартальная отчетность'!W186</f>
        <v>0</v>
      </c>
      <c s="125">
        <f>'Квартальная отчетность'!X186</f>
        <v>0</v>
      </c>
      <c s="125">
        <f>'Квартальная отчетность'!Y186</f>
        <v>0</v>
      </c>
      <c s="125">
        <f>'Квартальная отчетность'!Z186</f>
        <v>0</v>
      </c>
      <c s="125">
        <f>'Квартальная отчетность'!AA186</f>
        <v>0</v>
      </c>
      <c s="125">
        <f>'Квартальная отчетность'!AB186</f>
        <v>0</v>
      </c>
      <c s="125">
        <f>'Квартальная отчетность'!AC186</f>
        <v>0</v>
      </c>
      <c s="125">
        <f>'Квартальная отчетность'!AD186</f>
        <v>0</v>
      </c>
      <c s="125">
        <f>'Квартальная отчетность'!AE186</f>
        <v>0</v>
      </c>
      <c s="125">
        <f>'Квартальная отчетность'!AF186</f>
        <v>0</v>
      </c>
      <c s="125">
        <f>'Квартальная отчетность'!AG186</f>
        <v>0</v>
      </c>
      <c s="125">
        <f>'Квартальная отчетность'!AH186</f>
        <v>0</v>
      </c>
      <c s="125">
        <f>'Квартальная отчетность'!AI186</f>
        <v>0</v>
      </c>
      <c s="125">
        <f>'Квартальная отчетность'!AJ186</f>
        <v>0</v>
      </c>
      <c s="125">
        <f>'Квартальная отчетность'!AK186</f>
        <v>0</v>
      </c>
      <c s="125">
        <f>'Квартальная отчетность'!AL186</f>
        <v>0</v>
      </c>
      <c s="125">
        <f>'Квартальная отчетность'!AM186</f>
        <v>0</v>
      </c>
      <c s="125">
        <f>'Квартальная отчетность'!AN186</f>
        <v>0</v>
      </c>
      <c s="125">
        <f>'Квартальная отчетность'!AO186</f>
        <v>0</v>
      </c>
      <c s="125">
        <f>'Квартальная отчетность'!AP186</f>
        <v>0</v>
      </c>
      <c s="125">
        <f>'Квартальная отчетность'!AQ186</f>
        <v>0</v>
      </c>
      <c s="125">
        <f>'Квартальная отчетность'!AR186</f>
        <v>0</v>
      </c>
      <c s="125">
        <f>'Квартальная отчетность'!AS186</f>
        <v>0</v>
      </c>
      <c s="125">
        <f>'Квартальная отчетность'!AT186</f>
        <v>0</v>
      </c>
      <c s="125">
        <f>'Квартальная отчетность'!AU186</f>
        <v>0</v>
      </c>
      <c s="125">
        <f>'Квартальная отчетность'!AV186</f>
        <v>0</v>
      </c>
      <c s="125">
        <f>'Квартальная отчетность'!AW186</f>
        <v>0</v>
      </c>
      <c s="125">
        <f>'Квартальная отчетность'!AX186</f>
        <v>0</v>
      </c>
      <c s="125">
        <f>'Квартальная отчетность'!AY186</f>
        <v>0</v>
      </c>
      <c s="125">
        <f>'Квартальная отчетность'!AZ186</f>
        <v>0</v>
      </c>
      <c s="125">
        <f>'Квартальная отчетность'!BA186</f>
        <v>0</v>
      </c>
      <c s="125">
        <f>'Квартальная отчетность'!BB186</f>
        <v>0</v>
      </c>
      <c s="125">
        <f>'Квартальная отчетность'!BC186</f>
        <v>0</v>
      </c>
      <c s="125">
        <f>'Квартальная отчетность'!BD186</f>
        <v>0</v>
      </c>
      <c s="125">
        <f>'Квартальная отчетность'!BE186</f>
        <v>0</v>
      </c>
      <c s="125">
        <f>'Квартальная отчетность'!BF186</f>
        <v>0</v>
      </c>
      <c s="125">
        <f>'Квартальная отчетность'!BG186</f>
        <v>0</v>
      </c>
      <c s="125">
        <f>'Квартальная отчетность'!BH186</f>
        <v>0</v>
      </c>
      <c s="125">
        <f>'Квартальная отчетность'!BI186</f>
        <v>0</v>
      </c>
      <c s="125">
        <f>'Квартальная отчетность'!BJ186</f>
        <v>0</v>
      </c>
      <c s="125">
        <f>'Квартальная отчетность'!BK186</f>
        <v>0</v>
      </c>
      <c s="125">
        <f>'Квартальная отчетность'!BL186</f>
        <v>0</v>
      </c>
      <c s="125">
        <f>'Квартальная отчетность'!BM186</f>
        <v>0</v>
      </c>
    </row>
    <row r="324" spans="2:65" ht="15" customHeight="1">
      <c r="B324" s="289" t="s">
        <v>454</v>
      </c>
      <c s="290" t="s">
        <v>438</v>
      </c>
      <c s="291">
        <f t="shared" si="277" ref="D324:E324">SUM(D319:D323)</f>
        <v>0</v>
      </c>
      <c s="276">
        <f t="shared" si="277"/>
        <v>0</v>
      </c>
      <c s="276">
        <f t="shared" si="278" ref="F324:AG324">SUM(F319:F323)</f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8"/>
        <v>0</v>
      </c>
      <c s="276">
        <f t="shared" si="279" ref="AH324:BM324">SUM(AH319:AH323)</f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  <c s="276">
        <f t="shared" si="279"/>
        <v>0</v>
      </c>
    </row>
    <row r="325" ht="15" customHeight="1"/>
    <row r="326" spans="2:69" ht="14.45">
      <c r="B326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27" spans="2:65" ht="15" customHeight="1">
      <c r="B327" s="12" t="s">
        <v>1047</v>
      </c>
      <c s="124" t="s">
        <v>438</v>
      </c>
      <c s="276">
        <f>SUM(E327:BM327)</f>
        <v>0</v>
      </c>
      <c s="125">
        <f>'Квартальная отчетность'!E190</f>
        <v>0</v>
      </c>
      <c s="125">
        <f>'Квартальная отчетность'!F190</f>
        <v>0</v>
      </c>
      <c s="125">
        <f>'Квартальная отчетность'!G190</f>
        <v>0</v>
      </c>
      <c s="125">
        <f>'Квартальная отчетность'!H190</f>
        <v>0</v>
      </c>
      <c s="125">
        <f>'Квартальная отчетность'!I190</f>
        <v>0</v>
      </c>
      <c s="125">
        <f>'Квартальная отчетность'!J190</f>
        <v>0</v>
      </c>
      <c s="125">
        <f>'Квартальная отчетность'!K190</f>
        <v>0</v>
      </c>
      <c s="125">
        <f>'Квартальная отчетность'!L190</f>
        <v>0</v>
      </c>
      <c s="125">
        <f>'Квартальная отчетность'!M190</f>
        <v>0</v>
      </c>
      <c s="125">
        <f>'Квартальная отчетность'!N190</f>
        <v>0</v>
      </c>
      <c s="125">
        <f>'Квартальная отчетность'!O190</f>
        <v>0</v>
      </c>
      <c s="125">
        <f>'Квартальная отчетность'!P190</f>
        <v>0</v>
      </c>
      <c s="125">
        <f>'Квартальная отчетность'!Q190</f>
        <v>0</v>
      </c>
      <c s="125">
        <f>'Квартальная отчетность'!R190</f>
        <v>0</v>
      </c>
      <c s="125">
        <f>'Квартальная отчетность'!S190</f>
        <v>0</v>
      </c>
      <c s="125">
        <f>'Квартальная отчетность'!T190</f>
        <v>0</v>
      </c>
      <c s="125">
        <f>'Квартальная отчетность'!U190</f>
        <v>0</v>
      </c>
      <c s="125">
        <f>'Квартальная отчетность'!V190</f>
        <v>0</v>
      </c>
      <c s="125">
        <f>'Квартальная отчетность'!W190</f>
        <v>0</v>
      </c>
      <c s="125">
        <f>'Квартальная отчетность'!X190</f>
        <v>0</v>
      </c>
      <c s="125">
        <f>'Квартальная отчетность'!Y190</f>
        <v>0</v>
      </c>
      <c s="125">
        <f>'Квартальная отчетность'!Z190</f>
        <v>0</v>
      </c>
      <c s="125">
        <f>'Квартальная отчетность'!AA190</f>
        <v>0</v>
      </c>
      <c s="125">
        <f>'Квартальная отчетность'!AB190</f>
        <v>0</v>
      </c>
      <c s="125">
        <f>'Квартальная отчетность'!AC190</f>
        <v>0</v>
      </c>
      <c s="125">
        <f>'Квартальная отчетность'!AD190</f>
        <v>0</v>
      </c>
      <c s="125">
        <f>'Квартальная отчетность'!AE190</f>
        <v>0</v>
      </c>
      <c s="125">
        <f>'Квартальная отчетность'!AF190</f>
        <v>0</v>
      </c>
      <c s="125">
        <f>'Квартальная отчетность'!AG190</f>
        <v>0</v>
      </c>
      <c s="125">
        <f>'Квартальная отчетность'!AH190</f>
        <v>0</v>
      </c>
      <c s="125">
        <f>'Квартальная отчетность'!AI190</f>
        <v>0</v>
      </c>
      <c s="125">
        <f>'Квартальная отчетность'!AJ190</f>
        <v>0</v>
      </c>
      <c s="125">
        <f>'Квартальная отчетность'!AK190</f>
        <v>0</v>
      </c>
      <c s="125">
        <f>'Квартальная отчетность'!AL190</f>
        <v>0</v>
      </c>
      <c s="125">
        <f>'Квартальная отчетность'!AM190</f>
        <v>0</v>
      </c>
      <c s="125">
        <f>'Квартальная отчетность'!AN190</f>
        <v>0</v>
      </c>
      <c s="125">
        <f>'Квартальная отчетность'!AO190</f>
        <v>0</v>
      </c>
      <c s="125">
        <f>'Квартальная отчетность'!AP190</f>
        <v>0</v>
      </c>
      <c s="125">
        <f>'Квартальная отчетность'!AQ190</f>
        <v>0</v>
      </c>
      <c s="125">
        <f>'Квартальная отчетность'!AR190</f>
        <v>0</v>
      </c>
      <c s="125">
        <f>'Квартальная отчетность'!AS190</f>
        <v>0</v>
      </c>
      <c s="125">
        <f>'Квартальная отчетность'!AT190</f>
        <v>0</v>
      </c>
      <c s="125">
        <f>'Квартальная отчетность'!AU190</f>
        <v>0</v>
      </c>
      <c s="125">
        <f>'Квартальная отчетность'!AV190</f>
        <v>0</v>
      </c>
      <c s="125">
        <f>'Квартальная отчетность'!AW190</f>
        <v>0</v>
      </c>
      <c s="125">
        <f>'Квартальная отчетность'!AX190</f>
        <v>0</v>
      </c>
      <c s="125">
        <f>'Квартальная отчетность'!AY190</f>
        <v>0</v>
      </c>
      <c s="125">
        <f>'Квартальная отчетность'!AZ190</f>
        <v>0</v>
      </c>
      <c s="125">
        <f>'Квартальная отчетность'!BA190</f>
        <v>0</v>
      </c>
      <c s="125">
        <f>'Квартальная отчетность'!BB190</f>
        <v>0</v>
      </c>
      <c s="125">
        <f>'Квартальная отчетность'!BC190</f>
        <v>0</v>
      </c>
      <c s="125">
        <f>'Квартальная отчетность'!BD190</f>
        <v>0</v>
      </c>
      <c s="125">
        <f>'Квартальная отчетность'!BE190</f>
        <v>0</v>
      </c>
      <c s="125">
        <f>'Квартальная отчетность'!BF190</f>
        <v>0</v>
      </c>
      <c s="125">
        <f>'Квартальная отчетность'!BG190</f>
        <v>0</v>
      </c>
      <c s="125">
        <f>'Квартальная отчетность'!BH190</f>
        <v>0</v>
      </c>
      <c s="125">
        <f>'Квартальная отчетность'!BI190</f>
        <v>0</v>
      </c>
      <c s="125">
        <f>'Квартальная отчетность'!BJ190</f>
        <v>0</v>
      </c>
      <c s="125">
        <f>'Квартальная отчетность'!BK190</f>
        <v>0</v>
      </c>
      <c s="125">
        <f>'Квартальная отчетность'!BL190</f>
        <v>0</v>
      </c>
      <c s="125">
        <f>'Квартальная отчетность'!BM190</f>
        <v>0</v>
      </c>
    </row>
    <row r="328" spans="2:65" ht="15" customHeight="1">
      <c r="B328" s="12" t="s">
        <v>1048</v>
      </c>
      <c s="124" t="s">
        <v>438</v>
      </c>
      <c s="276">
        <f>SUM(E328:BM328)</f>
        <v>0</v>
      </c>
      <c s="125">
        <f>'Квартальная отчетность'!E191</f>
        <v>0</v>
      </c>
      <c s="125">
        <f>'Квартальная отчетность'!F191</f>
        <v>0</v>
      </c>
      <c s="125">
        <f>'Квартальная отчетность'!G191</f>
        <v>0</v>
      </c>
      <c s="125">
        <f>'Квартальная отчетность'!H191</f>
        <v>0</v>
      </c>
      <c s="125">
        <f>'Квартальная отчетность'!I191</f>
        <v>0</v>
      </c>
      <c s="125">
        <f>'Квартальная отчетность'!J191</f>
        <v>0</v>
      </c>
      <c s="125">
        <f>'Квартальная отчетность'!K191</f>
        <v>0</v>
      </c>
      <c s="125">
        <f>'Квартальная отчетность'!L191</f>
        <v>0</v>
      </c>
      <c s="125">
        <f>'Квартальная отчетность'!M191</f>
        <v>0</v>
      </c>
      <c s="125">
        <f>'Квартальная отчетность'!N191</f>
        <v>0</v>
      </c>
      <c s="125">
        <f>'Квартальная отчетность'!O191</f>
        <v>0</v>
      </c>
      <c s="125">
        <f>'Квартальная отчетность'!P191</f>
        <v>0</v>
      </c>
      <c s="125">
        <f>'Квартальная отчетность'!Q191</f>
        <v>0</v>
      </c>
      <c s="125">
        <f>'Квартальная отчетность'!R191</f>
        <v>0</v>
      </c>
      <c s="125">
        <f>'Квартальная отчетность'!S191</f>
        <v>0</v>
      </c>
      <c s="125">
        <f>'Квартальная отчетность'!T191</f>
        <v>0</v>
      </c>
      <c s="125">
        <f>'Квартальная отчетность'!U191</f>
        <v>0</v>
      </c>
      <c s="125">
        <f>'Квартальная отчетность'!V191</f>
        <v>0</v>
      </c>
      <c s="125">
        <f>'Квартальная отчетность'!W191</f>
        <v>0</v>
      </c>
      <c s="125">
        <f>'Квартальная отчетность'!X191</f>
        <v>0</v>
      </c>
      <c s="125">
        <f>'Квартальная отчетность'!Y191</f>
        <v>0</v>
      </c>
      <c s="125">
        <f>'Квартальная отчетность'!Z191</f>
        <v>0</v>
      </c>
      <c s="125">
        <f>'Квартальная отчетность'!AA191</f>
        <v>0</v>
      </c>
      <c s="125">
        <f>'Квартальная отчетность'!AB191</f>
        <v>0</v>
      </c>
      <c s="125">
        <f>'Квартальная отчетность'!AC191</f>
        <v>0</v>
      </c>
      <c s="125">
        <f>'Квартальная отчетность'!AD191</f>
        <v>0</v>
      </c>
      <c s="125">
        <f>'Квартальная отчетность'!AE191</f>
        <v>0</v>
      </c>
      <c s="125">
        <f>'Квартальная отчетность'!AF191</f>
        <v>0</v>
      </c>
      <c s="125">
        <f>'Квартальная отчетность'!AG191</f>
        <v>0</v>
      </c>
      <c s="125">
        <f>'Квартальная отчетность'!AH191</f>
        <v>0</v>
      </c>
      <c s="125">
        <f>'Квартальная отчетность'!AI191</f>
        <v>0</v>
      </c>
      <c s="125">
        <f>'Квартальная отчетность'!AJ191</f>
        <v>0</v>
      </c>
      <c s="125">
        <f>'Квартальная отчетность'!AK191</f>
        <v>0</v>
      </c>
      <c s="125">
        <f>'Квартальная отчетность'!AL191</f>
        <v>0</v>
      </c>
      <c s="125">
        <f>'Квартальная отчетность'!AM191</f>
        <v>0</v>
      </c>
      <c s="125">
        <f>'Квартальная отчетность'!AN191</f>
        <v>0</v>
      </c>
      <c s="125">
        <f>'Квартальная отчетность'!AO191</f>
        <v>0</v>
      </c>
      <c s="125">
        <f>'Квартальная отчетность'!AP191</f>
        <v>0</v>
      </c>
      <c s="125">
        <f>'Квартальная отчетность'!AQ191</f>
        <v>0</v>
      </c>
      <c s="125">
        <f>'Квартальная отчетность'!AR191</f>
        <v>0</v>
      </c>
      <c s="125">
        <f>'Квартальная отчетность'!AS191</f>
        <v>0</v>
      </c>
      <c s="125">
        <f>'Квартальная отчетность'!AT191</f>
        <v>0</v>
      </c>
      <c s="125">
        <f>'Квартальная отчетность'!AU191</f>
        <v>0</v>
      </c>
      <c s="125">
        <f>'Квартальная отчетность'!AV191</f>
        <v>0</v>
      </c>
      <c s="125">
        <f>'Квартальная отчетность'!AW191</f>
        <v>0</v>
      </c>
      <c s="125">
        <f>'Квартальная отчетность'!AX191</f>
        <v>0</v>
      </c>
      <c s="125">
        <f>'Квартальная отчетность'!AY191</f>
        <v>0</v>
      </c>
      <c s="125">
        <f>'Квартальная отчетность'!AZ191</f>
        <v>0</v>
      </c>
      <c s="125">
        <f>'Квартальная отчетность'!BA191</f>
        <v>0</v>
      </c>
      <c s="125">
        <f>'Квартальная отчетность'!BB191</f>
        <v>0</v>
      </c>
      <c s="125">
        <f>'Квартальная отчетность'!BC191</f>
        <v>0</v>
      </c>
      <c s="125">
        <f>'Квартальная отчетность'!BD191</f>
        <v>0</v>
      </c>
      <c s="125">
        <f>'Квартальная отчетность'!BE191</f>
        <v>0</v>
      </c>
      <c s="125">
        <f>'Квартальная отчетность'!BF191</f>
        <v>0</v>
      </c>
      <c s="125">
        <f>'Квартальная отчетность'!BG191</f>
        <v>0</v>
      </c>
      <c s="125">
        <f>'Квартальная отчетность'!BH191</f>
        <v>0</v>
      </c>
      <c s="125">
        <f>'Квартальная отчетность'!BI191</f>
        <v>0</v>
      </c>
      <c s="125">
        <f>'Квартальная отчетность'!BJ191</f>
        <v>0</v>
      </c>
      <c s="125">
        <f>'Квартальная отчетность'!BK191</f>
        <v>0</v>
      </c>
      <c s="125">
        <f>'Квартальная отчетность'!BL191</f>
        <v>0</v>
      </c>
      <c s="125">
        <f>'Квартальная отчетность'!BM191</f>
        <v>0</v>
      </c>
    </row>
    <row r="329" spans="2:65" ht="15" customHeight="1">
      <c r="B329" s="12" t="s">
        <v>582</v>
      </c>
      <c s="124" t="s">
        <v>438</v>
      </c>
      <c s="276">
        <f>SUM(E329:BM329)</f>
        <v>0</v>
      </c>
      <c s="125">
        <f>SUM('Квартальная отчетность'!E69,'Квартальная отчетность'!E192)</f>
        <v>0</v>
      </c>
      <c s="125">
        <f>SUM('Квартальная отчетность'!F69,'Квартальная отчетность'!F192)</f>
        <v>0</v>
      </c>
      <c s="125">
        <f>SUM('Квартальная отчетность'!G69,'Квартальная отчетность'!G192)</f>
        <v>0</v>
      </c>
      <c s="125">
        <f>SUM('Квартальная отчетность'!H69,'Квартальная отчетность'!H192)</f>
        <v>0</v>
      </c>
      <c s="125">
        <f>SUM('Квартальная отчетность'!I69,'Квартальная отчетность'!I192)</f>
        <v>0</v>
      </c>
      <c s="125">
        <f>SUM('Квартальная отчетность'!J69,'Квартальная отчетность'!J192)</f>
        <v>0</v>
      </c>
      <c s="125">
        <f>SUM('Квартальная отчетность'!K69,'Квартальная отчетность'!K192)</f>
        <v>0</v>
      </c>
      <c s="125">
        <f>SUM('Квартальная отчетность'!L69,'Квартальная отчетность'!L192)</f>
        <v>0</v>
      </c>
      <c s="125">
        <f>SUM('Квартальная отчетность'!M69,'Квартальная отчетность'!M192)</f>
        <v>0</v>
      </c>
      <c s="125">
        <f>SUM('Квартальная отчетность'!N69,'Квартальная отчетность'!N192)</f>
        <v>0</v>
      </c>
      <c s="125">
        <f>SUM('Квартальная отчетность'!O69,'Квартальная отчетность'!O192)</f>
        <v>0</v>
      </c>
      <c s="125">
        <f>SUM('Квартальная отчетность'!P69,'Квартальная отчетность'!P192)</f>
        <v>0</v>
      </c>
      <c s="125">
        <f>SUM('Квартальная отчетность'!Q69,'Квартальная отчетность'!Q192)</f>
        <v>0</v>
      </c>
      <c s="125">
        <f>SUM('Квартальная отчетность'!R69,'Квартальная отчетность'!R192)</f>
        <v>0</v>
      </c>
      <c s="125">
        <f>SUM('Квартальная отчетность'!S69,'Квартальная отчетность'!S192)</f>
        <v>0</v>
      </c>
      <c s="125">
        <f>SUM('Квартальная отчетность'!T69,'Квартальная отчетность'!T192)</f>
        <v>0</v>
      </c>
      <c s="125">
        <f>SUM('Квартальная отчетность'!U69,'Квартальная отчетность'!U192)</f>
        <v>0</v>
      </c>
      <c s="125">
        <f>SUM('Квартальная отчетность'!V69,'Квартальная отчетность'!V192)</f>
        <v>0</v>
      </c>
      <c s="125">
        <f>SUM('Квартальная отчетность'!W69,'Квартальная отчетность'!W192)</f>
        <v>0</v>
      </c>
      <c s="125">
        <f>SUM('Квартальная отчетность'!X69,'Квартальная отчетность'!X192)</f>
        <v>0</v>
      </c>
      <c s="125">
        <f>SUM('Квартальная отчетность'!Y69,'Квартальная отчетность'!Y192)</f>
        <v>0</v>
      </c>
      <c s="125">
        <f>SUM('Квартальная отчетность'!Z69,'Квартальная отчетность'!Z192)</f>
        <v>0</v>
      </c>
      <c s="125">
        <f>SUM('Квартальная отчетность'!AA69,'Квартальная отчетность'!AA192)</f>
        <v>0</v>
      </c>
      <c s="125">
        <f>SUM('Квартальная отчетность'!AB69,'Квартальная отчетность'!AB192)</f>
        <v>0</v>
      </c>
      <c s="125">
        <f>SUM('Квартальная отчетность'!AC69,'Квартальная отчетность'!AC192)</f>
        <v>0</v>
      </c>
      <c s="125">
        <f>SUM('Квартальная отчетность'!AD69,'Квартальная отчетность'!AD192)</f>
        <v>0</v>
      </c>
      <c s="125">
        <f>SUM('Квартальная отчетность'!AE69,'Квартальная отчетность'!AE192)</f>
        <v>0</v>
      </c>
      <c s="125">
        <f>SUM('Квартальная отчетность'!AF69,'Квартальная отчетность'!AF192)</f>
        <v>0</v>
      </c>
      <c s="125">
        <f>SUM('Квартальная отчетность'!AG69,'Квартальная отчетность'!AG192)</f>
        <v>0</v>
      </c>
      <c s="125">
        <f>SUM('Квартальная отчетность'!AH69,'Квартальная отчетность'!AH192)</f>
        <v>0</v>
      </c>
      <c s="125">
        <f>SUM('Квартальная отчетность'!AI69,'Квартальная отчетность'!AI192)</f>
        <v>0</v>
      </c>
      <c s="125">
        <f>SUM('Квартальная отчетность'!AJ69,'Квартальная отчетность'!AJ192)</f>
        <v>0</v>
      </c>
      <c s="125">
        <f>SUM('Квартальная отчетность'!AK69,'Квартальная отчетность'!AK192)</f>
        <v>0</v>
      </c>
      <c s="125">
        <f>SUM('Квартальная отчетность'!AL69,'Квартальная отчетность'!AL192)</f>
        <v>0</v>
      </c>
      <c s="125">
        <f>SUM('Квартальная отчетность'!AM69,'Квартальная отчетность'!AM192)</f>
        <v>0</v>
      </c>
      <c s="125">
        <f>SUM('Квартальная отчетность'!AN69,'Квартальная отчетность'!AN192)</f>
        <v>0</v>
      </c>
      <c s="125">
        <f>SUM('Квартальная отчетность'!AO69,'Квартальная отчетность'!AO192)</f>
        <v>0</v>
      </c>
      <c s="125">
        <f>SUM('Квартальная отчетность'!AP69,'Квартальная отчетность'!AP192)</f>
        <v>0</v>
      </c>
      <c s="125">
        <f>SUM('Квартальная отчетность'!AQ69,'Квартальная отчетность'!AQ192)</f>
        <v>0</v>
      </c>
      <c s="125">
        <f>SUM('Квартальная отчетность'!AR69,'Квартальная отчетность'!AR192)</f>
        <v>0</v>
      </c>
      <c s="125">
        <f>SUM('Квартальная отчетность'!AS69,'Квартальная отчетность'!AS192)</f>
        <v>0</v>
      </c>
      <c s="125">
        <f>SUM('Квартальная отчетность'!AT69,'Квартальная отчетность'!AT192)</f>
        <v>0</v>
      </c>
      <c s="125">
        <f>SUM('Квартальная отчетность'!AU69,'Квартальная отчетность'!AU192)</f>
        <v>0</v>
      </c>
      <c s="125">
        <f>SUM('Квартальная отчетность'!AV69,'Квартальная отчетность'!AV192)</f>
        <v>0</v>
      </c>
      <c s="125">
        <f>SUM('Квартальная отчетность'!AW69,'Квартальная отчетность'!AW192)</f>
        <v>0</v>
      </c>
      <c s="125">
        <f>SUM('Квартальная отчетность'!AX69,'Квартальная отчетность'!AX192)</f>
        <v>0</v>
      </c>
      <c s="125">
        <f>SUM('Квартальная отчетность'!AY69,'Квартальная отчетность'!AY192)</f>
        <v>0</v>
      </c>
      <c s="125">
        <f>SUM('Квартальная отчетность'!AZ69,'Квартальная отчетность'!AZ192)</f>
        <v>0</v>
      </c>
      <c s="125">
        <f>SUM('Квартальная отчетность'!BA69,'Квартальная отчетность'!BA192)</f>
        <v>0</v>
      </c>
      <c s="125">
        <f>SUM('Квартальная отчетность'!BB69,'Квартальная отчетность'!BB192)</f>
        <v>0</v>
      </c>
      <c s="125">
        <f>SUM('Квартальная отчетность'!BC69,'Квартальная отчетность'!BC192)</f>
        <v>0</v>
      </c>
      <c s="125">
        <f>SUM('Квартальная отчетность'!BD69,'Квартальная отчетность'!BD192)</f>
        <v>0</v>
      </c>
      <c s="125">
        <f>SUM('Квартальная отчетность'!BE69,'Квартальная отчетность'!BE192)</f>
        <v>0</v>
      </c>
      <c s="125">
        <f>SUM('Квартальная отчетность'!BF69,'Квартальная отчетность'!BF192)</f>
        <v>0</v>
      </c>
      <c s="125">
        <f>SUM('Квартальная отчетность'!BG69,'Квартальная отчетность'!BG192)</f>
        <v>0</v>
      </c>
      <c s="125">
        <f>SUM('Квартальная отчетность'!BH69,'Квартальная отчетность'!BH192)</f>
        <v>0</v>
      </c>
      <c s="125">
        <f>SUM('Квартальная отчетность'!BI69,'Квартальная отчетность'!BI192)</f>
        <v>0</v>
      </c>
      <c s="125">
        <f>SUM('Квартальная отчетность'!BJ69,'Квартальная отчетность'!BJ192)</f>
        <v>0</v>
      </c>
      <c s="125">
        <f>SUM('Квартальная отчетность'!BK69,'Квартальная отчетность'!BK192)</f>
        <v>0</v>
      </c>
      <c s="125">
        <f>SUM('Квартальная отчетность'!BL69,'Квартальная отчетность'!BL192)</f>
        <v>0</v>
      </c>
      <c s="125">
        <f>SUM('Квартальная отчетность'!BM69,'Квартальная отчетность'!BM192)</f>
        <v>0</v>
      </c>
    </row>
    <row r="330" spans="2:65" ht="15" customHeight="1">
      <c r="B330" s="289" t="s">
        <v>454</v>
      </c>
      <c s="290" t="s">
        <v>438</v>
      </c>
      <c s="291">
        <f t="shared" si="280" ref="D330:E330">SUM(D327:D329)</f>
        <v>0</v>
      </c>
      <c s="276">
        <f t="shared" si="280"/>
        <v>0</v>
      </c>
      <c s="276">
        <f t="shared" si="281" ref="F330:AG330">SUM(F327:F329)</f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1"/>
        <v>0</v>
      </c>
      <c s="276">
        <f t="shared" si="282" ref="AH330:BM330">SUM(AH327:AH329)</f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  <c s="276">
        <f t="shared" si="282"/>
        <v>0</v>
      </c>
    </row>
    <row r="331" ht="15" customHeight="1"/>
    <row r="332" spans="2:65" ht="15" customHeight="1">
      <c r="B332" s="292" t="s">
        <v>992</v>
      </c>
      <c s="293" t="s">
        <v>438</v>
      </c>
      <c s="291">
        <f t="shared" si="283" ref="D332:E332">SUM(D324,D330)</f>
        <v>0</v>
      </c>
      <c s="291">
        <f t="shared" si="283"/>
        <v>0</v>
      </c>
      <c s="291">
        <f t="shared" si="284" ref="F332:AG332">SUM(F324,F330)</f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4"/>
        <v>0</v>
      </c>
      <c s="291">
        <f t="shared" si="285" ref="AH332:BM332">SUM(AH324,AH330)</f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  <c s="291">
        <f t="shared" si="285"/>
        <v>0</v>
      </c>
    </row>
    <row r="333" ht="15" customHeight="1"/>
    <row r="334" spans="2:2" ht="15" customHeight="1">
      <c r="B334" s="24" t="s">
        <v>993</v>
      </c>
    </row>
    <row r="335" spans="2:65" ht="15" customHeight="1">
      <c r="B335" s="12" t="s">
        <v>994</v>
      </c>
      <c s="124" t="s">
        <v>438</v>
      </c>
      <c s="276">
        <f ca="1">E335</f>
        <v>0</v>
      </c>
      <c s="125">
        <f ca="1" t="shared" si="286" ref="E335:AJ335">IF(E6=1,SUM(E76,E200),D337)</f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t="shared" ca="1" si="286"/>
        <v>0</v>
      </c>
      <c s="125">
        <f ca="1" t="shared" si="287" ref="AK335:BM335">IF(AK6=1,SUM(AK76,AK200),AJ337)</f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  <c s="125">
        <f t="shared" ca="1" si="287"/>
        <v>0</v>
      </c>
    </row>
    <row r="336" spans="2:65" ht="15" customHeight="1">
      <c r="B336" s="12" t="s">
        <v>995</v>
      </c>
      <c s="124" t="s">
        <v>438</v>
      </c>
      <c s="276">
        <f ca="1">SUM(E336:BM336)</f>
        <v>0</v>
      </c>
      <c s="125">
        <f ca="1">SUM(E297,E315,E332)</f>
        <v>0</v>
      </c>
      <c s="125">
        <f ca="1" t="shared" si="288" ref="F336:AG336">SUM(F297,F315,F332)</f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t="shared" ca="1" si="288"/>
        <v>0</v>
      </c>
      <c s="125">
        <f ca="1" t="shared" si="289" ref="AH336:BM336">SUM(AH297,AH315,AH332)</f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  <c s="125">
        <f t="shared" ca="1" si="289"/>
        <v>0</v>
      </c>
    </row>
    <row r="337" spans="2:65" ht="15" customHeight="1">
      <c r="B337" s="289" t="s">
        <v>996</v>
      </c>
      <c s="290" t="s">
        <v>438</v>
      </c>
      <c s="291">
        <f ca="1">SUM(D335:D336)</f>
        <v>0</v>
      </c>
      <c s="276">
        <f ca="1">SUM(E335:E336)</f>
        <v>0</v>
      </c>
      <c s="276">
        <f ca="1" t="shared" si="290" ref="F337:AG337">SUM(F335:F336)</f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t="shared" ca="1" si="290"/>
        <v>0</v>
      </c>
      <c s="276">
        <f ca="1" t="shared" si="291" ref="AH337:BM337">SUM(AH335:AH336)</f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  <c s="276">
        <f t="shared" ca="1" si="291"/>
        <v>0</v>
      </c>
    </row>
    <row r="338" ht="15" customHeight="1"/>
    <row r="339" spans="2:65" ht="15" customHeight="1">
      <c r="B339" s="608" t="s">
        <v>997</v>
      </c>
      <c s="609"/>
      <c s="47" t="str">
        <f ca="1">IFERROR(IF(ROUND(MIN(OFFSET(E337,,,,MAX(SUM($E$12:$BM$12),1))),2)&lt;0,"Q","R"),"Q")</f>
        <v>R</v>
      </c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340" spans="2:4" ht="15" customHeight="1">
      <c r="B340" s="608" t="s">
        <v>998</v>
      </c>
      <c s="609"/>
      <c s="47" t="str">
        <f ca="1">IFERROR(IF(ROUND(MIN(E337:BM337),2)&lt;0,"Q","R"),"Q")</f>
        <v>R</v>
      </c>
    </row>
    <row r="341" ht="15" customHeight="1"/>
    <row r="342" spans="2:71" ht="21">
      <c r="B342" s="23" t="s">
        <v>335</v>
      </c>
      <c r="D34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3" spans="2:71" ht="21">
      <c r="B343" s="24" t="s">
        <v>999</v>
      </c>
      <c r="D34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4" spans="2:65" ht="15" customHeight="1">
      <c r="B344" s="12" t="s">
        <v>1051</v>
      </c>
      <c s="124" t="str">
        <f t="shared" si="292" ref="C344:C353">Единица_измерения</f>
        <v>тыс. руб.</v>
      </c>
      <c s="125"/>
      <c s="125">
        <f>'Квартальная отчетность'!E209</f>
        <v>0</v>
      </c>
      <c s="125">
        <f>'Квартальная отчетность'!F209</f>
        <v>0</v>
      </c>
      <c s="125">
        <f>'Квартальная отчетность'!G209</f>
        <v>0</v>
      </c>
      <c s="125">
        <f>'Квартальная отчетность'!H209</f>
        <v>0</v>
      </c>
      <c s="125">
        <f>'Квартальная отчетность'!I209</f>
        <v>0</v>
      </c>
      <c s="125">
        <f>'Квартальная отчетность'!J209</f>
        <v>0</v>
      </c>
      <c s="125">
        <f>'Квартальная отчетность'!K209</f>
        <v>0</v>
      </c>
      <c s="125">
        <f>'Квартальная отчетность'!L209</f>
        <v>0</v>
      </c>
      <c s="125">
        <f>'Квартальная отчетность'!M209</f>
        <v>0</v>
      </c>
      <c s="125">
        <f>'Квартальная отчетность'!N209</f>
        <v>0</v>
      </c>
      <c s="125">
        <f>'Квартальная отчетность'!O209</f>
        <v>0</v>
      </c>
      <c s="125">
        <f>'Квартальная отчетность'!P209</f>
        <v>0</v>
      </c>
      <c s="125">
        <f>'Квартальная отчетность'!Q209</f>
        <v>0</v>
      </c>
      <c s="125">
        <f>'Квартальная отчетность'!R209</f>
        <v>0</v>
      </c>
      <c s="125">
        <f>'Квартальная отчетность'!S209</f>
        <v>0</v>
      </c>
      <c s="125">
        <f>'Квартальная отчетность'!T209</f>
        <v>0</v>
      </c>
      <c s="125">
        <f>'Квартальная отчетность'!U209</f>
        <v>0</v>
      </c>
      <c s="125">
        <f>'Квартальная отчетность'!V209</f>
        <v>0</v>
      </c>
      <c s="125">
        <f>'Квартальная отчетность'!W209</f>
        <v>0</v>
      </c>
      <c s="125">
        <f>'Квартальная отчетность'!X209</f>
        <v>0</v>
      </c>
      <c s="125">
        <f>'Квартальная отчетность'!Y209</f>
        <v>0</v>
      </c>
      <c s="125">
        <f>'Квартальная отчетность'!Z209</f>
        <v>0</v>
      </c>
      <c s="125">
        <f>'Квартальная отчетность'!AA209</f>
        <v>0</v>
      </c>
      <c s="125">
        <f>'Квартальная отчетность'!AB209</f>
        <v>0</v>
      </c>
      <c s="125">
        <f>'Квартальная отчетность'!AC209</f>
        <v>0</v>
      </c>
      <c s="125">
        <f>'Квартальная отчетность'!AD209</f>
        <v>0</v>
      </c>
      <c s="125">
        <f>'Квартальная отчетность'!AE209</f>
        <v>0</v>
      </c>
      <c s="125">
        <f>'Квартальная отчетность'!AF209</f>
        <v>0</v>
      </c>
      <c s="125">
        <f>'Квартальная отчетность'!AG209</f>
        <v>0</v>
      </c>
      <c s="125">
        <f>'Квартальная отчетность'!AH209</f>
        <v>0</v>
      </c>
      <c s="125">
        <f>'Квартальная отчетность'!AI209</f>
        <v>0</v>
      </c>
      <c s="125">
        <f>'Квартальная отчетность'!AJ209</f>
        <v>0</v>
      </c>
      <c s="125">
        <f>'Квартальная отчетность'!AK209</f>
        <v>0</v>
      </c>
      <c s="125">
        <f>'Квартальная отчетность'!AL209</f>
        <v>0</v>
      </c>
      <c s="125">
        <f>'Квартальная отчетность'!AM209</f>
        <v>0</v>
      </c>
      <c s="125">
        <f>'Квартальная отчетность'!AN209</f>
        <v>0</v>
      </c>
      <c s="125">
        <f>'Квартальная отчетность'!AO209</f>
        <v>0</v>
      </c>
      <c s="125">
        <f>'Квартальная отчетность'!AP209</f>
        <v>0</v>
      </c>
      <c s="125">
        <f>'Квартальная отчетность'!AQ209</f>
        <v>0</v>
      </c>
      <c s="125">
        <f>'Квартальная отчетность'!AR209</f>
        <v>0</v>
      </c>
      <c s="125">
        <f>'Квартальная отчетность'!AS209</f>
        <v>0</v>
      </c>
      <c s="125">
        <f>'Квартальная отчетность'!AT209</f>
        <v>0</v>
      </c>
      <c s="125">
        <f>'Квартальная отчетность'!AU209</f>
        <v>0</v>
      </c>
      <c s="125">
        <f>'Квартальная отчетность'!AV209</f>
        <v>0</v>
      </c>
      <c s="125">
        <f>'Квартальная отчетность'!AW209</f>
        <v>0</v>
      </c>
      <c s="125">
        <f>'Квартальная отчетность'!AX209</f>
        <v>0</v>
      </c>
      <c s="125">
        <f>'Квартальная отчетность'!AY209</f>
        <v>0</v>
      </c>
      <c s="125">
        <f>'Квартальная отчетность'!AZ209</f>
        <v>0</v>
      </c>
      <c s="125">
        <f>'Квартальная отчетность'!BA209</f>
        <v>0</v>
      </c>
      <c s="125">
        <f>'Квартальная отчетность'!BB209</f>
        <v>0</v>
      </c>
      <c s="125">
        <f>'Квартальная отчетность'!BC209</f>
        <v>0</v>
      </c>
      <c s="125">
        <f>'Квартальная отчетность'!BD209</f>
        <v>0</v>
      </c>
      <c s="125">
        <f>'Квартальная отчетность'!BE209</f>
        <v>0</v>
      </c>
      <c s="125">
        <f>'Квартальная отчетность'!BF209</f>
        <v>0</v>
      </c>
      <c s="125">
        <f>'Квартальная отчетность'!BG209</f>
        <v>0</v>
      </c>
      <c s="125">
        <f>'Квартальная отчетность'!BH209</f>
        <v>0</v>
      </c>
      <c s="125">
        <f>'Квартальная отчетность'!BI209</f>
        <v>0</v>
      </c>
      <c s="125">
        <f>'Квартальная отчетность'!BJ209</f>
        <v>0</v>
      </c>
      <c s="125">
        <f>'Квартальная отчетность'!BK209</f>
        <v>0</v>
      </c>
      <c s="125">
        <f>'Квартальная отчетность'!BL209</f>
        <v>0</v>
      </c>
      <c s="125">
        <f>'Квартальная отчетность'!BM209</f>
        <v>0</v>
      </c>
    </row>
    <row r="345" spans="2:65" ht="15" customHeight="1">
      <c r="B345" s="22" t="s">
        <v>1052</v>
      </c>
      <c s="124" t="str">
        <f t="shared" si="292"/>
        <v>тыс. руб.</v>
      </c>
      <c s="125"/>
      <c s="125">
        <f>'Квартальная отчетность'!E210</f>
        <v>0</v>
      </c>
      <c s="125">
        <f>'Квартальная отчетность'!F210</f>
        <v>0</v>
      </c>
      <c s="125">
        <f>'Квартальная отчетность'!G210</f>
        <v>0</v>
      </c>
      <c s="125">
        <f>'Квартальная отчетность'!H210</f>
        <v>0</v>
      </c>
      <c s="125">
        <f>'Квартальная отчетность'!I210</f>
        <v>0</v>
      </c>
      <c s="125">
        <f>'Квартальная отчетность'!J210</f>
        <v>0</v>
      </c>
      <c s="125">
        <f>'Квартальная отчетность'!K210</f>
        <v>0</v>
      </c>
      <c s="125">
        <f>'Квартальная отчетность'!L210</f>
        <v>0</v>
      </c>
      <c s="125">
        <f>'Квартальная отчетность'!M210</f>
        <v>0</v>
      </c>
      <c s="125">
        <f>'Квартальная отчетность'!N210</f>
        <v>0</v>
      </c>
      <c s="125">
        <f>'Квартальная отчетность'!O210</f>
        <v>0</v>
      </c>
      <c s="125">
        <f>'Квартальная отчетность'!P210</f>
        <v>0</v>
      </c>
      <c s="125">
        <f>'Квартальная отчетность'!Q210</f>
        <v>0</v>
      </c>
      <c s="125">
        <f>'Квартальная отчетность'!R210</f>
        <v>0</v>
      </c>
      <c s="125">
        <f>'Квартальная отчетность'!S210</f>
        <v>0</v>
      </c>
      <c s="125">
        <f>'Квартальная отчетность'!T210</f>
        <v>0</v>
      </c>
      <c s="125">
        <f>'Квартальная отчетность'!U210</f>
        <v>0</v>
      </c>
      <c s="125">
        <f>'Квартальная отчетность'!V210</f>
        <v>0</v>
      </c>
      <c s="125">
        <f>'Квартальная отчетность'!W210</f>
        <v>0</v>
      </c>
      <c s="125">
        <f>'Квартальная отчетность'!X210</f>
        <v>0</v>
      </c>
      <c s="125">
        <f>'Квартальная отчетность'!Y210</f>
        <v>0</v>
      </c>
      <c s="125">
        <f>'Квартальная отчетность'!Z210</f>
        <v>0</v>
      </c>
      <c s="125">
        <f>'Квартальная отчетность'!AA210</f>
        <v>0</v>
      </c>
      <c s="125">
        <f>'Квартальная отчетность'!AB210</f>
        <v>0</v>
      </c>
      <c s="125">
        <f>'Квартальная отчетность'!AC210</f>
        <v>0</v>
      </c>
      <c s="125">
        <f>'Квартальная отчетность'!AD210</f>
        <v>0</v>
      </c>
      <c s="125">
        <f>'Квартальная отчетность'!AE210</f>
        <v>0</v>
      </c>
      <c s="125">
        <f>'Квартальная отчетность'!AF210</f>
        <v>0</v>
      </c>
      <c s="125">
        <f>'Квартальная отчетность'!AG210</f>
        <v>0</v>
      </c>
      <c s="125">
        <f>'Квартальная отчетность'!AH210</f>
        <v>0</v>
      </c>
      <c s="125">
        <f>'Квартальная отчетность'!AI210</f>
        <v>0</v>
      </c>
      <c s="125">
        <f>'Квартальная отчетность'!AJ210</f>
        <v>0</v>
      </c>
      <c s="125">
        <f>'Квартальная отчетность'!AK210</f>
        <v>0</v>
      </c>
      <c s="125">
        <f>'Квартальная отчетность'!AL210</f>
        <v>0</v>
      </c>
      <c s="125">
        <f>'Квартальная отчетность'!AM210</f>
        <v>0</v>
      </c>
      <c s="125">
        <f>'Квартальная отчетность'!AN210</f>
        <v>0</v>
      </c>
      <c s="125">
        <f>'Квартальная отчетность'!AO210</f>
        <v>0</v>
      </c>
      <c s="125">
        <f>'Квартальная отчетность'!AP210</f>
        <v>0</v>
      </c>
      <c s="125">
        <f>'Квартальная отчетность'!AQ210</f>
        <v>0</v>
      </c>
      <c s="125">
        <f>'Квартальная отчетность'!AR210</f>
        <v>0</v>
      </c>
      <c s="125">
        <f>'Квартальная отчетность'!AS210</f>
        <v>0</v>
      </c>
      <c s="125">
        <f>'Квартальная отчетность'!AT210</f>
        <v>0</v>
      </c>
      <c s="125">
        <f>'Квартальная отчетность'!AU210</f>
        <v>0</v>
      </c>
      <c s="125">
        <f>'Квартальная отчетность'!AV210</f>
        <v>0</v>
      </c>
      <c s="125">
        <f>'Квартальная отчетность'!AW210</f>
        <v>0</v>
      </c>
      <c s="125">
        <f>'Квартальная отчетность'!AX210</f>
        <v>0</v>
      </c>
      <c s="125">
        <f>'Квартальная отчетность'!AY210</f>
        <v>0</v>
      </c>
      <c s="125">
        <f>'Квартальная отчетность'!AZ210</f>
        <v>0</v>
      </c>
      <c s="125">
        <f>'Квартальная отчетность'!BA210</f>
        <v>0</v>
      </c>
      <c s="125">
        <f>'Квартальная отчетность'!BB210</f>
        <v>0</v>
      </c>
      <c s="125">
        <f>'Квартальная отчетность'!BC210</f>
        <v>0</v>
      </c>
      <c s="125">
        <f>'Квартальная отчетность'!BD210</f>
        <v>0</v>
      </c>
      <c s="125">
        <f>'Квартальная отчетность'!BE210</f>
        <v>0</v>
      </c>
      <c s="125">
        <f>'Квартальная отчетность'!BF210</f>
        <v>0</v>
      </c>
      <c s="125">
        <f>'Квартальная отчетность'!BG210</f>
        <v>0</v>
      </c>
      <c s="125">
        <f>'Квартальная отчетность'!BH210</f>
        <v>0</v>
      </c>
      <c s="125">
        <f>'Квартальная отчетность'!BI210</f>
        <v>0</v>
      </c>
      <c s="125">
        <f>'Квартальная отчетность'!BJ210</f>
        <v>0</v>
      </c>
      <c s="125">
        <f>'Квартальная отчетность'!BK210</f>
        <v>0</v>
      </c>
      <c s="125">
        <f>'Квартальная отчетность'!BL210</f>
        <v>0</v>
      </c>
      <c s="125">
        <f>'Квартальная отчетность'!BM210</f>
        <v>0</v>
      </c>
    </row>
    <row r="346" spans="2:65" ht="15" customHeight="1">
      <c r="B346" s="22" t="s">
        <v>1053</v>
      </c>
      <c s="124" t="str">
        <f t="shared" si="292"/>
        <v>тыс. руб.</v>
      </c>
      <c s="125"/>
      <c s="125">
        <f>'Квартальная отчетность'!E211</f>
        <v>0</v>
      </c>
      <c s="125">
        <f>'Квартальная отчетность'!F211</f>
        <v>0</v>
      </c>
      <c s="125">
        <f>'Квартальная отчетность'!G211</f>
        <v>0</v>
      </c>
      <c s="125">
        <f>'Квартальная отчетность'!H211</f>
        <v>0</v>
      </c>
      <c s="125">
        <f>'Квартальная отчетность'!I211</f>
        <v>0</v>
      </c>
      <c s="125">
        <f>'Квартальная отчетность'!J211</f>
        <v>0</v>
      </c>
      <c s="125">
        <f>'Квартальная отчетность'!K211</f>
        <v>0</v>
      </c>
      <c s="125">
        <f>'Квартальная отчетность'!L211</f>
        <v>0</v>
      </c>
      <c s="125">
        <f>'Квартальная отчетность'!M211</f>
        <v>0</v>
      </c>
      <c s="125">
        <f>'Квартальная отчетность'!N211</f>
        <v>0</v>
      </c>
      <c s="125">
        <f>'Квартальная отчетность'!O211</f>
        <v>0</v>
      </c>
      <c s="125">
        <f>'Квартальная отчетность'!P211</f>
        <v>0</v>
      </c>
      <c s="125">
        <f>'Квартальная отчетность'!Q211</f>
        <v>0</v>
      </c>
      <c s="125">
        <f>'Квартальная отчетность'!R211</f>
        <v>0</v>
      </c>
      <c s="125">
        <f>'Квартальная отчетность'!S211</f>
        <v>0</v>
      </c>
      <c s="125">
        <f>'Квартальная отчетность'!T211</f>
        <v>0</v>
      </c>
      <c s="125">
        <f>'Квартальная отчетность'!U211</f>
        <v>0</v>
      </c>
      <c s="125">
        <f>'Квартальная отчетность'!V211</f>
        <v>0</v>
      </c>
      <c s="125">
        <f>'Квартальная отчетность'!W211</f>
        <v>0</v>
      </c>
      <c s="125">
        <f>'Квартальная отчетность'!X211</f>
        <v>0</v>
      </c>
      <c s="125">
        <f>'Квартальная отчетность'!Y211</f>
        <v>0</v>
      </c>
      <c s="125">
        <f>'Квартальная отчетность'!Z211</f>
        <v>0</v>
      </c>
      <c s="125">
        <f>'Квартальная отчетность'!AA211</f>
        <v>0</v>
      </c>
      <c s="125">
        <f>'Квартальная отчетность'!AB211</f>
        <v>0</v>
      </c>
      <c s="125">
        <f>'Квартальная отчетность'!AC211</f>
        <v>0</v>
      </c>
      <c s="125">
        <f>'Квартальная отчетность'!AD211</f>
        <v>0</v>
      </c>
      <c s="125">
        <f>'Квартальная отчетность'!AE211</f>
        <v>0</v>
      </c>
      <c s="125">
        <f>'Квартальная отчетность'!AF211</f>
        <v>0</v>
      </c>
      <c s="125">
        <f>'Квартальная отчетность'!AG211</f>
        <v>0</v>
      </c>
      <c s="125">
        <f>'Квартальная отчетность'!AH211</f>
        <v>0</v>
      </c>
      <c s="125">
        <f>'Квартальная отчетность'!AI211</f>
        <v>0</v>
      </c>
      <c s="125">
        <f>'Квартальная отчетность'!AJ211</f>
        <v>0</v>
      </c>
      <c s="125">
        <f>'Квартальная отчетность'!AK211</f>
        <v>0</v>
      </c>
      <c s="125">
        <f>'Квартальная отчетность'!AL211</f>
        <v>0</v>
      </c>
      <c s="125">
        <f>'Квартальная отчетность'!AM211</f>
        <v>0</v>
      </c>
      <c s="125">
        <f>'Квартальная отчетность'!AN211</f>
        <v>0</v>
      </c>
      <c s="125">
        <f>'Квартальная отчетность'!AO211</f>
        <v>0</v>
      </c>
      <c s="125">
        <f>'Квартальная отчетность'!AP211</f>
        <v>0</v>
      </c>
      <c s="125">
        <f>'Квартальная отчетность'!AQ211</f>
        <v>0</v>
      </c>
      <c s="125">
        <f>'Квартальная отчетность'!AR211</f>
        <v>0</v>
      </c>
      <c s="125">
        <f>'Квартальная отчетность'!AS211</f>
        <v>0</v>
      </c>
      <c s="125">
        <f>'Квартальная отчетность'!AT211</f>
        <v>0</v>
      </c>
      <c s="125">
        <f>'Квартальная отчетность'!AU211</f>
        <v>0</v>
      </c>
      <c s="125">
        <f>'Квартальная отчетность'!AV211</f>
        <v>0</v>
      </c>
      <c s="125">
        <f>'Квартальная отчетность'!AW211</f>
        <v>0</v>
      </c>
      <c s="125">
        <f>'Квартальная отчетность'!AX211</f>
        <v>0</v>
      </c>
      <c s="125">
        <f>'Квартальная отчетность'!AY211</f>
        <v>0</v>
      </c>
      <c s="125">
        <f>'Квартальная отчетность'!AZ211</f>
        <v>0</v>
      </c>
      <c s="125">
        <f>'Квартальная отчетность'!BA211</f>
        <v>0</v>
      </c>
      <c s="125">
        <f>'Квартальная отчетность'!BB211</f>
        <v>0</v>
      </c>
      <c s="125">
        <f>'Квартальная отчетность'!BC211</f>
        <v>0</v>
      </c>
      <c s="125">
        <f>'Квартальная отчетность'!BD211</f>
        <v>0</v>
      </c>
      <c s="125">
        <f>'Квартальная отчетность'!BE211</f>
        <v>0</v>
      </c>
      <c s="125">
        <f>'Квартальная отчетность'!BF211</f>
        <v>0</v>
      </c>
      <c s="125">
        <f>'Квартальная отчетность'!BG211</f>
        <v>0</v>
      </c>
      <c s="125">
        <f>'Квартальная отчетность'!BH211</f>
        <v>0</v>
      </c>
      <c s="125">
        <f>'Квартальная отчетность'!BI211</f>
        <v>0</v>
      </c>
      <c s="125">
        <f>'Квартальная отчетность'!BJ211</f>
        <v>0</v>
      </c>
      <c s="125">
        <f>'Квартальная отчетность'!BK211</f>
        <v>0</v>
      </c>
      <c s="125">
        <f>'Квартальная отчетность'!BL211</f>
        <v>0</v>
      </c>
      <c s="125">
        <f>'Квартальная отчетность'!BM211</f>
        <v>0</v>
      </c>
    </row>
    <row r="347" spans="2:65" ht="15" customHeight="1">
      <c r="B347" s="22" t="s">
        <v>1054</v>
      </c>
      <c s="124" t="str">
        <f t="shared" si="292"/>
        <v>тыс. руб.</v>
      </c>
      <c s="125"/>
      <c s="125">
        <f>'Квартальная отчетность'!E212</f>
        <v>0</v>
      </c>
      <c s="125">
        <f>'Квартальная отчетность'!F212</f>
        <v>0</v>
      </c>
      <c s="125">
        <f>'Квартальная отчетность'!G212</f>
        <v>0</v>
      </c>
      <c s="125">
        <f>'Квартальная отчетность'!H212</f>
        <v>0</v>
      </c>
      <c s="125">
        <f>'Квартальная отчетность'!I212</f>
        <v>0</v>
      </c>
      <c s="125">
        <f>'Квартальная отчетность'!J212</f>
        <v>0</v>
      </c>
      <c s="125">
        <f>'Квартальная отчетность'!K212</f>
        <v>0</v>
      </c>
      <c s="125">
        <f>'Квартальная отчетность'!L212</f>
        <v>0</v>
      </c>
      <c s="125">
        <f>'Квартальная отчетность'!M212</f>
        <v>0</v>
      </c>
      <c s="125">
        <f>'Квартальная отчетность'!N212</f>
        <v>0</v>
      </c>
      <c s="125">
        <f>'Квартальная отчетность'!O212</f>
        <v>0</v>
      </c>
      <c s="125">
        <f>'Квартальная отчетность'!P212</f>
        <v>0</v>
      </c>
      <c s="125">
        <f>'Квартальная отчетность'!Q212</f>
        <v>0</v>
      </c>
      <c s="125">
        <f>'Квартальная отчетность'!R212</f>
        <v>0</v>
      </c>
      <c s="125">
        <f>'Квартальная отчетность'!S212</f>
        <v>0</v>
      </c>
      <c s="125">
        <f>'Квартальная отчетность'!T212</f>
        <v>0</v>
      </c>
      <c s="125">
        <f>'Квартальная отчетность'!U212</f>
        <v>0</v>
      </c>
      <c s="125">
        <f>'Квартальная отчетность'!V212</f>
        <v>0</v>
      </c>
      <c s="125">
        <f>'Квартальная отчетность'!W212</f>
        <v>0</v>
      </c>
      <c s="125">
        <f>'Квартальная отчетность'!X212</f>
        <v>0</v>
      </c>
      <c s="125">
        <f>'Квартальная отчетность'!Y212</f>
        <v>0</v>
      </c>
      <c s="125">
        <f>'Квартальная отчетность'!Z212</f>
        <v>0</v>
      </c>
      <c s="125">
        <f>'Квартальная отчетность'!AA212</f>
        <v>0</v>
      </c>
      <c s="125">
        <f>'Квартальная отчетность'!AB212</f>
        <v>0</v>
      </c>
      <c s="125">
        <f>'Квартальная отчетность'!AC212</f>
        <v>0</v>
      </c>
      <c s="125">
        <f>'Квартальная отчетность'!AD212</f>
        <v>0</v>
      </c>
      <c s="125">
        <f>'Квартальная отчетность'!AE212</f>
        <v>0</v>
      </c>
      <c s="125">
        <f>'Квартальная отчетность'!AF212</f>
        <v>0</v>
      </c>
      <c s="125">
        <f>'Квартальная отчетность'!AG212</f>
        <v>0</v>
      </c>
      <c s="125">
        <f>'Квартальная отчетность'!AH212</f>
        <v>0</v>
      </c>
      <c s="125">
        <f>'Квартальная отчетность'!AI212</f>
        <v>0</v>
      </c>
      <c s="125">
        <f>'Квартальная отчетность'!AJ212</f>
        <v>0</v>
      </c>
      <c s="125">
        <f>'Квартальная отчетность'!AK212</f>
        <v>0</v>
      </c>
      <c s="125">
        <f>'Квартальная отчетность'!AL212</f>
        <v>0</v>
      </c>
      <c s="125">
        <f>'Квартальная отчетность'!AM212</f>
        <v>0</v>
      </c>
      <c s="125">
        <f>'Квартальная отчетность'!AN212</f>
        <v>0</v>
      </c>
      <c s="125">
        <f>'Квартальная отчетность'!AO212</f>
        <v>0</v>
      </c>
      <c s="125">
        <f>'Квартальная отчетность'!AP212</f>
        <v>0</v>
      </c>
      <c s="125">
        <f>'Квартальная отчетность'!AQ212</f>
        <v>0</v>
      </c>
      <c s="125">
        <f>'Квартальная отчетность'!AR212</f>
        <v>0</v>
      </c>
      <c s="125">
        <f>'Квартальная отчетность'!AS212</f>
        <v>0</v>
      </c>
      <c s="125">
        <f>'Квартальная отчетность'!AT212</f>
        <v>0</v>
      </c>
      <c s="125">
        <f>'Квартальная отчетность'!AU212</f>
        <v>0</v>
      </c>
      <c s="125">
        <f>'Квартальная отчетность'!AV212</f>
        <v>0</v>
      </c>
      <c s="125">
        <f>'Квартальная отчетность'!AW212</f>
        <v>0</v>
      </c>
      <c s="125">
        <f>'Квартальная отчетность'!AX212</f>
        <v>0</v>
      </c>
      <c s="125">
        <f>'Квартальная отчетность'!AY212</f>
        <v>0</v>
      </c>
      <c s="125">
        <f>'Квартальная отчетность'!AZ212</f>
        <v>0</v>
      </c>
      <c s="125">
        <f>'Квартальная отчетность'!BA212</f>
        <v>0</v>
      </c>
      <c s="125">
        <f>'Квартальная отчетность'!BB212</f>
        <v>0</v>
      </c>
      <c s="125">
        <f>'Квартальная отчетность'!BC212</f>
        <v>0</v>
      </c>
      <c s="125">
        <f>'Квартальная отчетность'!BD212</f>
        <v>0</v>
      </c>
      <c s="125">
        <f>'Квартальная отчетность'!BE212</f>
        <v>0</v>
      </c>
      <c s="125">
        <f>'Квартальная отчетность'!BF212</f>
        <v>0</v>
      </c>
      <c s="125">
        <f>'Квартальная отчетность'!BG212</f>
        <v>0</v>
      </c>
      <c s="125">
        <f>'Квартальная отчетность'!BH212</f>
        <v>0</v>
      </c>
      <c s="125">
        <f>'Квартальная отчетность'!BI212</f>
        <v>0</v>
      </c>
      <c s="125">
        <f>'Квартальная отчетность'!BJ212</f>
        <v>0</v>
      </c>
      <c s="125">
        <f>'Квартальная отчетность'!BK212</f>
        <v>0</v>
      </c>
      <c s="125">
        <f>'Квартальная отчетность'!BL212</f>
        <v>0</v>
      </c>
      <c s="125">
        <f>'Квартальная отчетность'!BM212</f>
        <v>0</v>
      </c>
    </row>
    <row r="348" spans="2:65" ht="15" customHeight="1">
      <c r="B348" s="22" t="s">
        <v>1001</v>
      </c>
      <c s="124" t="str">
        <f t="shared" si="292"/>
        <v>тыс. руб.</v>
      </c>
      <c s="125"/>
      <c s="125">
        <f>SUM('Квартальная отчетность'!E87,'Квартальная отчетность'!E213)</f>
        <v>0</v>
      </c>
      <c s="125">
        <f>SUM('Квартальная отчетность'!F87,'Квартальная отчетность'!F213)</f>
        <v>0</v>
      </c>
      <c s="125">
        <f>SUM('Квартальная отчетность'!G87,'Квартальная отчетность'!G213)</f>
        <v>0</v>
      </c>
      <c s="125">
        <f>SUM('Квартальная отчетность'!H87,'Квартальная отчетность'!H213)</f>
        <v>0</v>
      </c>
      <c s="125">
        <f>SUM('Квартальная отчетность'!I87,'Квартальная отчетность'!I213)</f>
        <v>0</v>
      </c>
      <c s="125">
        <f>SUM('Квартальная отчетность'!J87,'Квартальная отчетность'!J213)</f>
        <v>0</v>
      </c>
      <c s="125">
        <f>SUM('Квартальная отчетность'!K87,'Квартальная отчетность'!K213)</f>
        <v>0</v>
      </c>
      <c s="125">
        <f>SUM('Квартальная отчетность'!L87,'Квартальная отчетность'!L213)</f>
        <v>0</v>
      </c>
      <c s="125">
        <f>SUM('Квартальная отчетность'!M87,'Квартальная отчетность'!M213)</f>
        <v>0</v>
      </c>
      <c s="125">
        <f>SUM('Квартальная отчетность'!N87,'Квартальная отчетность'!N213)</f>
        <v>0</v>
      </c>
      <c s="125">
        <f>SUM('Квартальная отчетность'!O87,'Квартальная отчетность'!O213)</f>
        <v>0</v>
      </c>
      <c s="125">
        <f>SUM('Квартальная отчетность'!P87,'Квартальная отчетность'!P213)</f>
        <v>0</v>
      </c>
      <c s="125">
        <f>SUM('Квартальная отчетность'!Q87,'Квартальная отчетность'!Q213)</f>
        <v>0</v>
      </c>
      <c s="125">
        <f>SUM('Квартальная отчетность'!R87,'Квартальная отчетность'!R213)</f>
        <v>0</v>
      </c>
      <c s="125">
        <f>SUM('Квартальная отчетность'!S87,'Квартальная отчетность'!S213)</f>
        <v>0</v>
      </c>
      <c s="125">
        <f>SUM('Квартальная отчетность'!T87,'Квартальная отчетность'!T213)</f>
        <v>0</v>
      </c>
      <c s="125">
        <f>SUM('Квартальная отчетность'!U87,'Квартальная отчетность'!U213)</f>
        <v>0</v>
      </c>
      <c s="125">
        <f>SUM('Квартальная отчетность'!V87,'Квартальная отчетность'!V213)</f>
        <v>0</v>
      </c>
      <c s="125">
        <f>SUM('Квартальная отчетность'!W87,'Квартальная отчетность'!W213)</f>
        <v>0</v>
      </c>
      <c s="125">
        <f>SUM('Квартальная отчетность'!X87,'Квартальная отчетность'!X213)</f>
        <v>0</v>
      </c>
      <c s="125">
        <f>SUM('Квартальная отчетность'!Y87,'Квартальная отчетность'!Y213)</f>
        <v>0</v>
      </c>
      <c s="125">
        <f>SUM('Квартальная отчетность'!Z87,'Квартальная отчетность'!Z213)</f>
        <v>0</v>
      </c>
      <c s="125">
        <f>SUM('Квартальная отчетность'!AA87,'Квартальная отчетность'!AA213)</f>
        <v>0</v>
      </c>
      <c s="125">
        <f>SUM('Квартальная отчетность'!AB87,'Квартальная отчетность'!AB213)</f>
        <v>0</v>
      </c>
      <c s="125">
        <f>SUM('Квартальная отчетность'!AC87,'Квартальная отчетность'!AC213)</f>
        <v>0</v>
      </c>
      <c s="125">
        <f>SUM('Квартальная отчетность'!AD87,'Квартальная отчетность'!AD213)</f>
        <v>0</v>
      </c>
      <c s="125">
        <f>SUM('Квартальная отчетность'!AE87,'Квартальная отчетность'!AE213)</f>
        <v>0</v>
      </c>
      <c s="125">
        <f>SUM('Квартальная отчетность'!AF87,'Квартальная отчетность'!AF213)</f>
        <v>0</v>
      </c>
      <c s="125">
        <f>SUM('Квартальная отчетность'!AG87,'Квартальная отчетность'!AG213)</f>
        <v>0</v>
      </c>
      <c s="125">
        <f>SUM('Квартальная отчетность'!AH87,'Квартальная отчетность'!AH213)</f>
        <v>0</v>
      </c>
      <c s="125">
        <f>SUM('Квартальная отчетность'!AI87,'Квартальная отчетность'!AI213)</f>
        <v>0</v>
      </c>
      <c s="125">
        <f>SUM('Квартальная отчетность'!AJ87,'Квартальная отчетность'!AJ213)</f>
        <v>0</v>
      </c>
      <c s="125">
        <f>SUM('Квартальная отчетность'!AK87,'Квартальная отчетность'!AK213)</f>
        <v>0</v>
      </c>
      <c s="125">
        <f>SUM('Квартальная отчетность'!AL87,'Квартальная отчетность'!AL213)</f>
        <v>0</v>
      </c>
      <c s="125">
        <f>SUM('Квартальная отчетность'!AM87,'Квартальная отчетность'!AM213)</f>
        <v>0</v>
      </c>
      <c s="125">
        <f>SUM('Квартальная отчетность'!AN87,'Квартальная отчетность'!AN213)</f>
        <v>0</v>
      </c>
      <c s="125">
        <f>SUM('Квартальная отчетность'!AO87,'Квартальная отчетность'!AO213)</f>
        <v>0</v>
      </c>
      <c s="125">
        <f>SUM('Квартальная отчетность'!AP87,'Квартальная отчетность'!AP213)</f>
        <v>0</v>
      </c>
      <c s="125">
        <f>SUM('Квартальная отчетность'!AQ87,'Квартальная отчетность'!AQ213)</f>
        <v>0</v>
      </c>
      <c s="125">
        <f>SUM('Квартальная отчетность'!AR87,'Квартальная отчетность'!AR213)</f>
        <v>0</v>
      </c>
      <c s="125">
        <f>SUM('Квартальная отчетность'!AS87,'Квартальная отчетность'!AS213)</f>
        <v>0</v>
      </c>
      <c s="125">
        <f>SUM('Квартальная отчетность'!AT87,'Квартальная отчетность'!AT213)</f>
        <v>0</v>
      </c>
      <c s="125">
        <f>SUM('Квартальная отчетность'!AU87,'Квартальная отчетность'!AU213)</f>
        <v>0</v>
      </c>
      <c s="125">
        <f>SUM('Квартальная отчетность'!AV87,'Квартальная отчетность'!AV213)</f>
        <v>0</v>
      </c>
      <c s="125">
        <f>SUM('Квартальная отчетность'!AW87,'Квартальная отчетность'!AW213)</f>
        <v>0</v>
      </c>
      <c s="125">
        <f>SUM('Квартальная отчетность'!AX87,'Квартальная отчетность'!AX213)</f>
        <v>0</v>
      </c>
      <c s="125">
        <f>SUM('Квартальная отчетность'!AY87,'Квартальная отчетность'!AY213)</f>
        <v>0</v>
      </c>
      <c s="125">
        <f>SUM('Квартальная отчетность'!AZ87,'Квартальная отчетность'!AZ213)</f>
        <v>0</v>
      </c>
      <c s="125">
        <f>SUM('Квартальная отчетность'!BA87,'Квартальная отчетность'!BA213)</f>
        <v>0</v>
      </c>
      <c s="125">
        <f>SUM('Квартальная отчетность'!BB87,'Квартальная отчетность'!BB213)</f>
        <v>0</v>
      </c>
      <c s="125">
        <f>SUM('Квартальная отчетность'!BC87,'Квартальная отчетность'!BC213)</f>
        <v>0</v>
      </c>
      <c s="125">
        <f>SUM('Квартальная отчетность'!BD87,'Квартальная отчетность'!BD213)</f>
        <v>0</v>
      </c>
      <c s="125">
        <f>SUM('Квартальная отчетность'!BE87,'Квартальная отчетность'!BE213)</f>
        <v>0</v>
      </c>
      <c s="125">
        <f>SUM('Квартальная отчетность'!BF87,'Квартальная отчетность'!BF213)</f>
        <v>0</v>
      </c>
      <c s="125">
        <f>SUM('Квартальная отчетность'!BG87,'Квартальная отчетность'!BG213)</f>
        <v>0</v>
      </c>
      <c s="125">
        <f>SUM('Квартальная отчетность'!BH87,'Квартальная отчетность'!BH213)</f>
        <v>0</v>
      </c>
      <c s="125">
        <f>SUM('Квартальная отчетность'!BI87,'Квартальная отчетность'!BI213)</f>
        <v>0</v>
      </c>
      <c s="125">
        <f>SUM('Квартальная отчетность'!BJ87,'Квартальная отчетность'!BJ213)</f>
        <v>0</v>
      </c>
      <c s="125">
        <f>SUM('Квартальная отчетность'!BK87,'Квартальная отчетность'!BK213)</f>
        <v>0</v>
      </c>
      <c s="125">
        <f>SUM('Квартальная отчетность'!BL87,'Квартальная отчетность'!BL213)</f>
        <v>0</v>
      </c>
      <c s="125">
        <f>SUM('Квартальная отчетность'!BM87,'Квартальная отчетность'!BM213)</f>
        <v>0</v>
      </c>
    </row>
    <row r="349" spans="2:65" ht="15" customHeight="1">
      <c r="B349" s="22" t="s">
        <v>1055</v>
      </c>
      <c s="124" t="str">
        <f t="shared" si="292"/>
        <v>тыс. руб.</v>
      </c>
      <c s="125"/>
      <c s="125">
        <f>'Квартальная отчетность'!E214</f>
        <v>0</v>
      </c>
      <c s="125">
        <f>'Квартальная отчетность'!F214</f>
        <v>0</v>
      </c>
      <c s="125">
        <f>'Квартальная отчетность'!G214</f>
        <v>0</v>
      </c>
      <c s="125">
        <f>'Квартальная отчетность'!H214</f>
        <v>0</v>
      </c>
      <c s="125">
        <f>'Квартальная отчетность'!I214</f>
        <v>0</v>
      </c>
      <c s="125">
        <f>'Квартальная отчетность'!J214</f>
        <v>0</v>
      </c>
      <c s="125">
        <f>'Квартальная отчетность'!K214</f>
        <v>0</v>
      </c>
      <c s="125">
        <f>'Квартальная отчетность'!L214</f>
        <v>0</v>
      </c>
      <c s="125">
        <f>'Квартальная отчетность'!M214</f>
        <v>0</v>
      </c>
      <c s="125">
        <f>'Квартальная отчетность'!N214</f>
        <v>0</v>
      </c>
      <c s="125">
        <f>'Квартальная отчетность'!O214</f>
        <v>0</v>
      </c>
      <c s="125">
        <f>'Квартальная отчетность'!P214</f>
        <v>0</v>
      </c>
      <c s="125">
        <f>'Квартальная отчетность'!Q214</f>
        <v>0</v>
      </c>
      <c s="125">
        <f>'Квартальная отчетность'!R214</f>
        <v>0</v>
      </c>
      <c s="125">
        <f>'Квартальная отчетность'!S214</f>
        <v>0</v>
      </c>
      <c s="125">
        <f>'Квартальная отчетность'!T214</f>
        <v>0</v>
      </c>
      <c s="125">
        <f>'Квартальная отчетность'!U214</f>
        <v>0</v>
      </c>
      <c s="125">
        <f>'Квартальная отчетность'!V214</f>
        <v>0</v>
      </c>
      <c s="125">
        <f>'Квартальная отчетность'!W214</f>
        <v>0</v>
      </c>
      <c s="125">
        <f>'Квартальная отчетность'!X214</f>
        <v>0</v>
      </c>
      <c s="125">
        <f>'Квартальная отчетность'!Y214</f>
        <v>0</v>
      </c>
      <c s="125">
        <f>'Квартальная отчетность'!Z214</f>
        <v>0</v>
      </c>
      <c s="125">
        <f>'Квартальная отчетность'!AA214</f>
        <v>0</v>
      </c>
      <c s="125">
        <f>'Квартальная отчетность'!AB214</f>
        <v>0</v>
      </c>
      <c s="125">
        <f>'Квартальная отчетность'!AC214</f>
        <v>0</v>
      </c>
      <c s="125">
        <f>'Квартальная отчетность'!AD214</f>
        <v>0</v>
      </c>
      <c s="125">
        <f>'Квартальная отчетность'!AE214</f>
        <v>0</v>
      </c>
      <c s="125">
        <f>'Квартальная отчетность'!AF214</f>
        <v>0</v>
      </c>
      <c s="125">
        <f>'Квартальная отчетность'!AG214</f>
        <v>0</v>
      </c>
      <c s="125">
        <f>'Квартальная отчетность'!AH214</f>
        <v>0</v>
      </c>
      <c s="125">
        <f>'Квартальная отчетность'!AI214</f>
        <v>0</v>
      </c>
      <c s="125">
        <f>'Квартальная отчетность'!AJ214</f>
        <v>0</v>
      </c>
      <c s="125">
        <f>'Квартальная отчетность'!AK214</f>
        <v>0</v>
      </c>
      <c s="125">
        <f>'Квартальная отчетность'!AL214</f>
        <v>0</v>
      </c>
      <c s="125">
        <f>'Квартальная отчетность'!AM214</f>
        <v>0</v>
      </c>
      <c s="125">
        <f>'Квартальная отчетность'!AN214</f>
        <v>0</v>
      </c>
      <c s="125">
        <f>'Квартальная отчетность'!AO214</f>
        <v>0</v>
      </c>
      <c s="125">
        <f>'Квартальная отчетность'!AP214</f>
        <v>0</v>
      </c>
      <c s="125">
        <f>'Квартальная отчетность'!AQ214</f>
        <v>0</v>
      </c>
      <c s="125">
        <f>'Квартальная отчетность'!AR214</f>
        <v>0</v>
      </c>
      <c s="125">
        <f>'Квартальная отчетность'!AS214</f>
        <v>0</v>
      </c>
      <c s="125">
        <f>'Квартальная отчетность'!AT214</f>
        <v>0</v>
      </c>
      <c s="125">
        <f>'Квартальная отчетность'!AU214</f>
        <v>0</v>
      </c>
      <c s="125">
        <f>'Квартальная отчетность'!AV214</f>
        <v>0</v>
      </c>
      <c s="125">
        <f>'Квартальная отчетность'!AW214</f>
        <v>0</v>
      </c>
      <c s="125">
        <f>'Квартальная отчетность'!AX214</f>
        <v>0</v>
      </c>
      <c s="125">
        <f>'Квартальная отчетность'!AY214</f>
        <v>0</v>
      </c>
      <c s="125">
        <f>'Квартальная отчетность'!AZ214</f>
        <v>0</v>
      </c>
      <c s="125">
        <f>'Квартальная отчетность'!BA214</f>
        <v>0</v>
      </c>
      <c s="125">
        <f>'Квартальная отчетность'!BB214</f>
        <v>0</v>
      </c>
      <c s="125">
        <f>'Квартальная отчетность'!BC214</f>
        <v>0</v>
      </c>
      <c s="125">
        <f>'Квартальная отчетность'!BD214</f>
        <v>0</v>
      </c>
      <c s="125">
        <f>'Квартальная отчетность'!BE214</f>
        <v>0</v>
      </c>
      <c s="125">
        <f>'Квартальная отчетность'!BF214</f>
        <v>0</v>
      </c>
      <c s="125">
        <f>'Квартальная отчетность'!BG214</f>
        <v>0</v>
      </c>
      <c s="125">
        <f>'Квартальная отчетность'!BH214</f>
        <v>0</v>
      </c>
      <c s="125">
        <f>'Квартальная отчетность'!BI214</f>
        <v>0</v>
      </c>
      <c s="125">
        <f>'Квартальная отчетность'!BJ214</f>
        <v>0</v>
      </c>
      <c s="125">
        <f>'Квартальная отчетность'!BK214</f>
        <v>0</v>
      </c>
      <c s="125">
        <f>'Квартальная отчетность'!BL214</f>
        <v>0</v>
      </c>
      <c s="125">
        <f>'Квартальная отчетность'!BM214</f>
        <v>0</v>
      </c>
    </row>
    <row r="350" spans="2:65" ht="15" customHeight="1">
      <c r="B350" s="22" t="s">
        <v>1056</v>
      </c>
      <c s="124" t="str">
        <f t="shared" si="292"/>
        <v>тыс. руб.</v>
      </c>
      <c s="125"/>
      <c s="125">
        <f>'Квартальная отчетность'!E215</f>
        <v>0</v>
      </c>
      <c s="125">
        <f>'Квартальная отчетность'!F215</f>
        <v>0</v>
      </c>
      <c s="125">
        <f>'Квартальная отчетность'!G215</f>
        <v>0</v>
      </c>
      <c s="125">
        <f>'Квартальная отчетность'!H215</f>
        <v>0</v>
      </c>
      <c s="125">
        <f>'Квартальная отчетность'!I215</f>
        <v>0</v>
      </c>
      <c s="125">
        <f>'Квартальная отчетность'!J215</f>
        <v>0</v>
      </c>
      <c s="125">
        <f>'Квартальная отчетность'!K215</f>
        <v>0</v>
      </c>
      <c s="125">
        <f>'Квартальная отчетность'!L215</f>
        <v>0</v>
      </c>
      <c s="125">
        <f>'Квартальная отчетность'!M215</f>
        <v>0</v>
      </c>
      <c s="125">
        <f>'Квартальная отчетность'!N215</f>
        <v>0</v>
      </c>
      <c s="125">
        <f>'Квартальная отчетность'!O215</f>
        <v>0</v>
      </c>
      <c s="125">
        <f>'Квартальная отчетность'!P215</f>
        <v>0</v>
      </c>
      <c s="125">
        <f>'Квартальная отчетность'!Q215</f>
        <v>0</v>
      </c>
      <c s="125">
        <f>'Квартальная отчетность'!R215</f>
        <v>0</v>
      </c>
      <c s="125">
        <f>'Квартальная отчетность'!S215</f>
        <v>0</v>
      </c>
      <c s="125">
        <f>'Квартальная отчетность'!T215</f>
        <v>0</v>
      </c>
      <c s="125">
        <f>'Квартальная отчетность'!U215</f>
        <v>0</v>
      </c>
      <c s="125">
        <f>'Квартальная отчетность'!V215</f>
        <v>0</v>
      </c>
      <c s="125">
        <f>'Квартальная отчетность'!W215</f>
        <v>0</v>
      </c>
      <c s="125">
        <f>'Квартальная отчетность'!X215</f>
        <v>0</v>
      </c>
      <c s="125">
        <f>'Квартальная отчетность'!Y215</f>
        <v>0</v>
      </c>
      <c s="125">
        <f>'Квартальная отчетность'!Z215</f>
        <v>0</v>
      </c>
      <c s="125">
        <f>'Квартальная отчетность'!AA215</f>
        <v>0</v>
      </c>
      <c s="125">
        <f>'Квартальная отчетность'!AB215</f>
        <v>0</v>
      </c>
      <c s="125">
        <f>'Квартальная отчетность'!AC215</f>
        <v>0</v>
      </c>
      <c s="125">
        <f>'Квартальная отчетность'!AD215</f>
        <v>0</v>
      </c>
      <c s="125">
        <f>'Квартальная отчетность'!AE215</f>
        <v>0</v>
      </c>
      <c s="125">
        <f>'Квартальная отчетность'!AF215</f>
        <v>0</v>
      </c>
      <c s="125">
        <f>'Квартальная отчетность'!AG215</f>
        <v>0</v>
      </c>
      <c s="125">
        <f>'Квартальная отчетность'!AH215</f>
        <v>0</v>
      </c>
      <c s="125">
        <f>'Квартальная отчетность'!AI215</f>
        <v>0</v>
      </c>
      <c s="125">
        <f>'Квартальная отчетность'!AJ215</f>
        <v>0</v>
      </c>
      <c s="125">
        <f>'Квартальная отчетность'!AK215</f>
        <v>0</v>
      </c>
      <c s="125">
        <f>'Квартальная отчетность'!AL215</f>
        <v>0</v>
      </c>
      <c s="125">
        <f>'Квартальная отчетность'!AM215</f>
        <v>0</v>
      </c>
      <c s="125">
        <f>'Квартальная отчетность'!AN215</f>
        <v>0</v>
      </c>
      <c s="125">
        <f>'Квартальная отчетность'!AO215</f>
        <v>0</v>
      </c>
      <c s="125">
        <f>'Квартальная отчетность'!AP215</f>
        <v>0</v>
      </c>
      <c s="125">
        <f>'Квартальная отчетность'!AQ215</f>
        <v>0</v>
      </c>
      <c s="125">
        <f>'Квартальная отчетность'!AR215</f>
        <v>0</v>
      </c>
      <c s="125">
        <f>'Квартальная отчетность'!AS215</f>
        <v>0</v>
      </c>
      <c s="125">
        <f>'Квартальная отчетность'!AT215</f>
        <v>0</v>
      </c>
      <c s="125">
        <f>'Квартальная отчетность'!AU215</f>
        <v>0</v>
      </c>
      <c s="125">
        <f>'Квартальная отчетность'!AV215</f>
        <v>0</v>
      </c>
      <c s="125">
        <f>'Квартальная отчетность'!AW215</f>
        <v>0</v>
      </c>
      <c s="125">
        <f>'Квартальная отчетность'!AX215</f>
        <v>0</v>
      </c>
      <c s="125">
        <f>'Квартальная отчетность'!AY215</f>
        <v>0</v>
      </c>
      <c s="125">
        <f>'Квартальная отчетность'!AZ215</f>
        <v>0</v>
      </c>
      <c s="125">
        <f>'Квартальная отчетность'!BA215</f>
        <v>0</v>
      </c>
      <c s="125">
        <f>'Квартальная отчетность'!BB215</f>
        <v>0</v>
      </c>
      <c s="125">
        <f>'Квартальная отчетность'!BC215</f>
        <v>0</v>
      </c>
      <c s="125">
        <f>'Квартальная отчетность'!BD215</f>
        <v>0</v>
      </c>
      <c s="125">
        <f>'Квартальная отчетность'!BE215</f>
        <v>0</v>
      </c>
      <c s="125">
        <f>'Квартальная отчетность'!BF215</f>
        <v>0</v>
      </c>
      <c s="125">
        <f>'Квартальная отчетность'!BG215</f>
        <v>0</v>
      </c>
      <c s="125">
        <f>'Квартальная отчетность'!BH215</f>
        <v>0</v>
      </c>
      <c s="125">
        <f>'Квартальная отчетность'!BI215</f>
        <v>0</v>
      </c>
      <c s="125">
        <f>'Квартальная отчетность'!BJ215</f>
        <v>0</v>
      </c>
      <c s="125">
        <f>'Квартальная отчетность'!BK215</f>
        <v>0</v>
      </c>
      <c s="125">
        <f>'Квартальная отчетность'!BL215</f>
        <v>0</v>
      </c>
      <c s="125">
        <f>'Квартальная отчетность'!BM215</f>
        <v>0</v>
      </c>
    </row>
    <row r="351" spans="2:65" ht="15" customHeight="1">
      <c r="B351" s="22" t="s">
        <v>1057</v>
      </c>
      <c s="124" t="str">
        <f t="shared" si="292"/>
        <v>тыс. руб.</v>
      </c>
      <c s="125"/>
      <c s="125">
        <f>'Квартальная отчетность'!E216</f>
        <v>0</v>
      </c>
      <c s="125">
        <f>'Квартальная отчетность'!F216</f>
        <v>0</v>
      </c>
      <c s="125">
        <f>'Квартальная отчетность'!G216</f>
        <v>0</v>
      </c>
      <c s="125">
        <f>'Квартальная отчетность'!H216</f>
        <v>0</v>
      </c>
      <c s="125">
        <f>'Квартальная отчетность'!I216</f>
        <v>0</v>
      </c>
      <c s="125">
        <f>'Квартальная отчетность'!J216</f>
        <v>0</v>
      </c>
      <c s="125">
        <f>'Квартальная отчетность'!K216</f>
        <v>0</v>
      </c>
      <c s="125">
        <f>'Квартальная отчетность'!L216</f>
        <v>0</v>
      </c>
      <c s="125">
        <f>'Квартальная отчетность'!M216</f>
        <v>0</v>
      </c>
      <c s="125">
        <f>'Квартальная отчетность'!N216</f>
        <v>0</v>
      </c>
      <c s="125">
        <f>'Квартальная отчетность'!O216</f>
        <v>0</v>
      </c>
      <c s="125">
        <f>'Квартальная отчетность'!P216</f>
        <v>0</v>
      </c>
      <c s="125">
        <f>'Квартальная отчетность'!Q216</f>
        <v>0</v>
      </c>
      <c s="125">
        <f>'Квартальная отчетность'!R216</f>
        <v>0</v>
      </c>
      <c s="125">
        <f>'Квартальная отчетность'!S216</f>
        <v>0</v>
      </c>
      <c s="125">
        <f>'Квартальная отчетность'!T216</f>
        <v>0</v>
      </c>
      <c s="125">
        <f>'Квартальная отчетность'!U216</f>
        <v>0</v>
      </c>
      <c s="125">
        <f>'Квартальная отчетность'!V216</f>
        <v>0</v>
      </c>
      <c s="125">
        <f>'Квартальная отчетность'!W216</f>
        <v>0</v>
      </c>
      <c s="125">
        <f>'Квартальная отчетность'!X216</f>
        <v>0</v>
      </c>
      <c s="125">
        <f>'Квартальная отчетность'!Y216</f>
        <v>0</v>
      </c>
      <c s="125">
        <f>'Квартальная отчетность'!Z216</f>
        <v>0</v>
      </c>
      <c s="125">
        <f>'Квартальная отчетность'!AA216</f>
        <v>0</v>
      </c>
      <c s="125">
        <f>'Квартальная отчетность'!AB216</f>
        <v>0</v>
      </c>
      <c s="125">
        <f>'Квартальная отчетность'!AC216</f>
        <v>0</v>
      </c>
      <c s="125">
        <f>'Квартальная отчетность'!AD216</f>
        <v>0</v>
      </c>
      <c s="125">
        <f>'Квартальная отчетность'!AE216</f>
        <v>0</v>
      </c>
      <c s="125">
        <f>'Квартальная отчетность'!AF216</f>
        <v>0</v>
      </c>
      <c s="125">
        <f>'Квартальная отчетность'!AG216</f>
        <v>0</v>
      </c>
      <c s="125">
        <f>'Квартальная отчетность'!AH216</f>
        <v>0</v>
      </c>
      <c s="125">
        <f>'Квартальная отчетность'!AI216</f>
        <v>0</v>
      </c>
      <c s="125">
        <f>'Квартальная отчетность'!AJ216</f>
        <v>0</v>
      </c>
      <c s="125">
        <f>'Квартальная отчетность'!AK216</f>
        <v>0</v>
      </c>
      <c s="125">
        <f>'Квартальная отчетность'!AL216</f>
        <v>0</v>
      </c>
      <c s="125">
        <f>'Квартальная отчетность'!AM216</f>
        <v>0</v>
      </c>
      <c s="125">
        <f>'Квартальная отчетность'!AN216</f>
        <v>0</v>
      </c>
      <c s="125">
        <f>'Квартальная отчетность'!AO216</f>
        <v>0</v>
      </c>
      <c s="125">
        <f>'Квартальная отчетность'!AP216</f>
        <v>0</v>
      </c>
      <c s="125">
        <f>'Квартальная отчетность'!AQ216</f>
        <v>0</v>
      </c>
      <c s="125">
        <f>'Квартальная отчетность'!AR216</f>
        <v>0</v>
      </c>
      <c s="125">
        <f>'Квартальная отчетность'!AS216</f>
        <v>0</v>
      </c>
      <c s="125">
        <f>'Квартальная отчетность'!AT216</f>
        <v>0</v>
      </c>
      <c s="125">
        <f>'Квартальная отчетность'!AU216</f>
        <v>0</v>
      </c>
      <c s="125">
        <f>'Квартальная отчетность'!AV216</f>
        <v>0</v>
      </c>
      <c s="125">
        <f>'Квартальная отчетность'!AW216</f>
        <v>0</v>
      </c>
      <c s="125">
        <f>'Квартальная отчетность'!AX216</f>
        <v>0</v>
      </c>
      <c s="125">
        <f>'Квартальная отчетность'!AY216</f>
        <v>0</v>
      </c>
      <c s="125">
        <f>'Квартальная отчетность'!AZ216</f>
        <v>0</v>
      </c>
      <c s="125">
        <f>'Квартальная отчетность'!BA216</f>
        <v>0</v>
      </c>
      <c s="125">
        <f>'Квартальная отчетность'!BB216</f>
        <v>0</v>
      </c>
      <c s="125">
        <f>'Квартальная отчетность'!BC216</f>
        <v>0</v>
      </c>
      <c s="125">
        <f>'Квартальная отчетность'!BD216</f>
        <v>0</v>
      </c>
      <c s="125">
        <f>'Квартальная отчетность'!BE216</f>
        <v>0</v>
      </c>
      <c s="125">
        <f>'Квартальная отчетность'!BF216</f>
        <v>0</v>
      </c>
      <c s="125">
        <f>'Квартальная отчетность'!BG216</f>
        <v>0</v>
      </c>
      <c s="125">
        <f>'Квартальная отчетность'!BH216</f>
        <v>0</v>
      </c>
      <c s="125">
        <f>'Квартальная отчетность'!BI216</f>
        <v>0</v>
      </c>
      <c s="125">
        <f>'Квартальная отчетность'!BJ216</f>
        <v>0</v>
      </c>
      <c s="125">
        <f>'Квартальная отчетность'!BK216</f>
        <v>0</v>
      </c>
      <c s="125">
        <f>'Квартальная отчетность'!BL216</f>
        <v>0</v>
      </c>
      <c s="125">
        <f>'Квартальная отчетность'!BM216</f>
        <v>0</v>
      </c>
    </row>
    <row r="352" spans="2:65" ht="15" customHeight="1">
      <c r="B352" s="22" t="s">
        <v>1058</v>
      </c>
      <c s="124" t="str">
        <f t="shared" si="292"/>
        <v>тыс. руб.</v>
      </c>
      <c s="125"/>
      <c s="125">
        <f>'Квартальная отчетность'!E217</f>
        <v>0</v>
      </c>
      <c s="125">
        <f>'Квартальная отчетность'!F217</f>
        <v>0</v>
      </c>
      <c s="125">
        <f>'Квартальная отчетность'!G217</f>
        <v>0</v>
      </c>
      <c s="125">
        <f>'Квартальная отчетность'!H217</f>
        <v>0</v>
      </c>
      <c s="125">
        <f>'Квартальная отчетность'!I217</f>
        <v>0</v>
      </c>
      <c s="125">
        <f>'Квартальная отчетность'!J217</f>
        <v>0</v>
      </c>
      <c s="125">
        <f>'Квартальная отчетность'!K217</f>
        <v>0</v>
      </c>
      <c s="125">
        <f>'Квартальная отчетность'!L217</f>
        <v>0</v>
      </c>
      <c s="125">
        <f>'Квартальная отчетность'!M217</f>
        <v>0</v>
      </c>
      <c s="125">
        <f>'Квартальная отчетность'!N217</f>
        <v>0</v>
      </c>
      <c s="125">
        <f>'Квартальная отчетность'!O217</f>
        <v>0</v>
      </c>
      <c s="125">
        <f>'Квартальная отчетность'!P217</f>
        <v>0</v>
      </c>
      <c s="125">
        <f>'Квартальная отчетность'!Q217</f>
        <v>0</v>
      </c>
      <c s="125">
        <f>'Квартальная отчетность'!R217</f>
        <v>0</v>
      </c>
      <c s="125">
        <f>'Квартальная отчетность'!S217</f>
        <v>0</v>
      </c>
      <c s="125">
        <f>'Квартальная отчетность'!T217</f>
        <v>0</v>
      </c>
      <c s="125">
        <f>'Квартальная отчетность'!U217</f>
        <v>0</v>
      </c>
      <c s="125">
        <f>'Квартальная отчетность'!V217</f>
        <v>0</v>
      </c>
      <c s="125">
        <f>'Квартальная отчетность'!W217</f>
        <v>0</v>
      </c>
      <c s="125">
        <f>'Квартальная отчетность'!X217</f>
        <v>0</v>
      </c>
      <c s="125">
        <f>'Квартальная отчетность'!Y217</f>
        <v>0</v>
      </c>
      <c s="125">
        <f>'Квартальная отчетность'!Z217</f>
        <v>0</v>
      </c>
      <c s="125">
        <f>'Квартальная отчетность'!AA217</f>
        <v>0</v>
      </c>
      <c s="125">
        <f>'Квартальная отчетность'!AB217</f>
        <v>0</v>
      </c>
      <c s="125">
        <f>'Квартальная отчетность'!AC217</f>
        <v>0</v>
      </c>
      <c s="125">
        <f>'Квартальная отчетность'!AD217</f>
        <v>0</v>
      </c>
      <c s="125">
        <f>'Квартальная отчетность'!AE217</f>
        <v>0</v>
      </c>
      <c s="125">
        <f>'Квартальная отчетность'!AF217</f>
        <v>0</v>
      </c>
      <c s="125">
        <f>'Квартальная отчетность'!AG217</f>
        <v>0</v>
      </c>
      <c s="125">
        <f>'Квартальная отчетность'!AH217</f>
        <v>0</v>
      </c>
      <c s="125">
        <f>'Квартальная отчетность'!AI217</f>
        <v>0</v>
      </c>
      <c s="125">
        <f>'Квартальная отчетность'!AJ217</f>
        <v>0</v>
      </c>
      <c s="125">
        <f>'Квартальная отчетность'!AK217</f>
        <v>0</v>
      </c>
      <c s="125">
        <f>'Квартальная отчетность'!AL217</f>
        <v>0</v>
      </c>
      <c s="125">
        <f>'Квартальная отчетность'!AM217</f>
        <v>0</v>
      </c>
      <c s="125">
        <f>'Квартальная отчетность'!AN217</f>
        <v>0</v>
      </c>
      <c s="125">
        <f>'Квартальная отчетность'!AO217</f>
        <v>0</v>
      </c>
      <c s="125">
        <f>'Квартальная отчетность'!AP217</f>
        <v>0</v>
      </c>
      <c s="125">
        <f>'Квартальная отчетность'!AQ217</f>
        <v>0</v>
      </c>
      <c s="125">
        <f>'Квартальная отчетность'!AR217</f>
        <v>0</v>
      </c>
      <c s="125">
        <f>'Квартальная отчетность'!AS217</f>
        <v>0</v>
      </c>
      <c s="125">
        <f>'Квартальная отчетность'!AT217</f>
        <v>0</v>
      </c>
      <c s="125">
        <f>'Квартальная отчетность'!AU217</f>
        <v>0</v>
      </c>
      <c s="125">
        <f>'Квартальная отчетность'!AV217</f>
        <v>0</v>
      </c>
      <c s="125">
        <f>'Квартальная отчетность'!AW217</f>
        <v>0</v>
      </c>
      <c s="125">
        <f>'Квартальная отчетность'!AX217</f>
        <v>0</v>
      </c>
      <c s="125">
        <f>'Квартальная отчетность'!AY217</f>
        <v>0</v>
      </c>
      <c s="125">
        <f>'Квартальная отчетность'!AZ217</f>
        <v>0</v>
      </c>
      <c s="125">
        <f>'Квартальная отчетность'!BA217</f>
        <v>0</v>
      </c>
      <c s="125">
        <f>'Квартальная отчетность'!BB217</f>
        <v>0</v>
      </c>
      <c s="125">
        <f>'Квартальная отчетность'!BC217</f>
        <v>0</v>
      </c>
      <c s="125">
        <f>'Квартальная отчетность'!BD217</f>
        <v>0</v>
      </c>
      <c s="125">
        <f>'Квартальная отчетность'!BE217</f>
        <v>0</v>
      </c>
      <c s="125">
        <f>'Квартальная отчетность'!BF217</f>
        <v>0</v>
      </c>
      <c s="125">
        <f>'Квартальная отчетность'!BG217</f>
        <v>0</v>
      </c>
      <c s="125">
        <f>'Квартальная отчетность'!BH217</f>
        <v>0</v>
      </c>
      <c s="125">
        <f>'Квартальная отчетность'!BI217</f>
        <v>0</v>
      </c>
      <c s="125">
        <f>'Квартальная отчетность'!BJ217</f>
        <v>0</v>
      </c>
      <c s="125">
        <f>'Квартальная отчетность'!BK217</f>
        <v>0</v>
      </c>
      <c s="125">
        <f>'Квартальная отчетность'!BL217</f>
        <v>0</v>
      </c>
      <c s="125">
        <f>'Квартальная отчетность'!BM217</f>
        <v>0</v>
      </c>
    </row>
    <row r="353" spans="2:65" ht="15" customHeight="1">
      <c r="B353" s="289" t="s">
        <v>1002</v>
      </c>
      <c s="290" t="str">
        <f t="shared" si="292"/>
        <v>тыс. руб.</v>
      </c>
      <c s="276"/>
      <c s="276">
        <f t="shared" si="293" ref="E353">SUM(E344:E352)</f>
        <v>0</v>
      </c>
      <c s="276">
        <f t="shared" si="294" ref="F353:AG353">SUM(F344:F352)</f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4"/>
        <v>0</v>
      </c>
      <c s="276">
        <f t="shared" si="295" ref="AH353:BM353">SUM(AH344:AH352)</f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  <c s="276">
        <f t="shared" si="295"/>
        <v>0</v>
      </c>
    </row>
    <row r="354" ht="15" customHeight="1"/>
    <row r="355" spans="2:71" ht="21">
      <c r="B355" s="24" t="s">
        <v>1003</v>
      </c>
      <c r="D35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56" spans="2:65" ht="15" customHeight="1">
      <c r="B356" s="12" t="s">
        <v>309</v>
      </c>
      <c s="124" t="str">
        <f t="shared" si="296" ref="C356:C362">Единица_измерения</f>
        <v>тыс. руб.</v>
      </c>
      <c s="125"/>
      <c s="125">
        <f t="shared" si="297" ref="E356:AJ356">SUM(E90,E221)</f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7"/>
        <v>0</v>
      </c>
      <c s="125">
        <f t="shared" si="298" ref="AK356:BM356">SUM(AK90,AK221)</f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  <c s="125">
        <f t="shared" si="298"/>
        <v>0</v>
      </c>
    </row>
    <row r="357" spans="2:65" ht="15" customHeight="1">
      <c r="B357" s="22" t="s">
        <v>1004</v>
      </c>
      <c s="124" t="str">
        <f t="shared" si="296"/>
        <v>тыс. руб.</v>
      </c>
      <c s="125"/>
      <c s="125">
        <f ca="1" t="shared" si="299" ref="E357:AJ357">SUM(E91,E222)</f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t="shared" ca="1" si="299"/>
        <v>0</v>
      </c>
      <c s="125">
        <f ca="1" t="shared" si="300" ref="AK357:BM357">SUM(AK91,AK222)</f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  <c s="125">
        <f t="shared" ca="1" si="300"/>
        <v>0</v>
      </c>
    </row>
    <row r="358" spans="2:65" ht="15" customHeight="1">
      <c r="B358" s="22" t="s">
        <v>311</v>
      </c>
      <c s="124" t="str">
        <f t="shared" si="296"/>
        <v>тыс. руб.</v>
      </c>
      <c s="125"/>
      <c s="125">
        <f ca="1" t="shared" si="301" ref="E358:AJ358">SUM(E92,E223)</f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t="shared" ca="1" si="301"/>
        <v>0</v>
      </c>
      <c s="125">
        <f ca="1" t="shared" si="302" ref="AK358:BM358">SUM(AK92,AK223)</f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  <c s="125">
        <f t="shared" ca="1" si="302"/>
        <v>0</v>
      </c>
    </row>
    <row r="359" spans="2:65" ht="15" customHeight="1">
      <c r="B359" s="22" t="s">
        <v>1056</v>
      </c>
      <c s="124" t="str">
        <f t="shared" si="296"/>
        <v>тыс. руб.</v>
      </c>
      <c s="125"/>
      <c s="125">
        <f>E224</f>
        <v>0</v>
      </c>
      <c s="125">
        <f t="shared" si="303" ref="F359:AG359">F224</f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3"/>
        <v>0</v>
      </c>
      <c s="125">
        <f t="shared" si="304" ref="AH359:BM359">AH224</f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  <c s="125">
        <f t="shared" si="304"/>
        <v>0</v>
      </c>
    </row>
    <row r="360" spans="2:65" ht="15" customHeight="1">
      <c r="B360" s="22" t="s">
        <v>1060</v>
      </c>
      <c s="124" t="str">
        <f t="shared" si="296"/>
        <v>тыс. руб.</v>
      </c>
      <c s="125"/>
      <c s="125">
        <f ca="1" t="shared" si="305" ref="E360:AJ360">E337*IF($K$3&lt;E8,0,1)</f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t="shared" ca="1" si="305"/>
        <v>0</v>
      </c>
      <c s="125">
        <f ca="1" t="shared" si="306" ref="AK360:BM360">AK337*IF($K$3&lt;AK8,0,1)</f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  <c s="125">
        <f t="shared" ca="1" si="306"/>
        <v>0</v>
      </c>
    </row>
    <row r="361" spans="2:65" ht="15" customHeight="1">
      <c r="B361" s="22" t="s">
        <v>1061</v>
      </c>
      <c s="124" t="str">
        <f t="shared" si="296"/>
        <v>тыс. руб.</v>
      </c>
      <c s="125"/>
      <c s="125">
        <f>E227</f>
        <v>0</v>
      </c>
      <c s="125">
        <f t="shared" si="307" ref="F361:AG361">F227</f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7"/>
        <v>0</v>
      </c>
      <c s="125">
        <f t="shared" si="308" ref="AH361:BM361">AH227</f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  <c s="125">
        <f t="shared" si="308"/>
        <v>0</v>
      </c>
    </row>
    <row r="362" spans="2:65" ht="15" customHeight="1">
      <c r="B362" s="289" t="s">
        <v>1006</v>
      </c>
      <c s="290" t="str">
        <f t="shared" si="296"/>
        <v>тыс. руб.</v>
      </c>
      <c s="276"/>
      <c s="276">
        <f ca="1" t="shared" si="309" ref="E362:AG362">SUM(E356:E361)</f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t="shared" ca="1" si="309"/>
        <v>0</v>
      </c>
      <c s="276">
        <f ca="1" t="shared" si="310" ref="AH362:BM362">SUM(AH356:AH361)</f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  <c s="276">
        <f t="shared" ca="1" si="310"/>
        <v>0</v>
      </c>
    </row>
    <row r="363" ht="15" customHeight="1"/>
    <row r="364" spans="2:65" ht="15" customHeight="1">
      <c r="B364" s="292" t="s">
        <v>1007</v>
      </c>
      <c s="293" t="str">
        <f>Единица_измерения</f>
        <v>тыс. руб.</v>
      </c>
      <c s="291"/>
      <c s="291">
        <f ca="1" t="shared" si="311" ref="E364">SUM(E353,E362)</f>
        <v>0</v>
      </c>
      <c s="291">
        <f ca="1" t="shared" si="312" ref="F364:AG364">SUM(F353,F362)</f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t="shared" ca="1" si="312"/>
        <v>0</v>
      </c>
      <c s="291">
        <f ca="1" t="shared" si="313" ref="AH364:BM364">SUM(AH353,AH362)</f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  <c s="291">
        <f t="shared" ca="1" si="313"/>
        <v>0</v>
      </c>
    </row>
    <row r="365" spans="5:7" ht="15" customHeight="1">
      <c r="E365" s="131"/>
      <c s="131"/>
      <c s="131"/>
    </row>
    <row r="366" spans="2:71" ht="21">
      <c r="B366" s="24" t="s">
        <v>1062</v>
      </c>
      <c r="D366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67" spans="2:65" ht="15" customHeight="1">
      <c r="B367" s="12" t="s">
        <v>1063</v>
      </c>
      <c s="124" t="str">
        <f t="shared" si="314" ref="C367:C373">Единица_измерения</f>
        <v>тыс. руб.</v>
      </c>
      <c s="125"/>
      <c s="125">
        <f>E233</f>
        <v>0</v>
      </c>
      <c s="125">
        <f t="shared" si="315" ref="F367:AG367">F233</f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5"/>
        <v>0</v>
      </c>
      <c s="125">
        <f t="shared" si="316" ref="AH367:BM367">AH233</f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  <c s="125">
        <f t="shared" si="316"/>
        <v>0</v>
      </c>
    </row>
    <row r="368" spans="2:65" ht="15" customHeight="1">
      <c r="B368" s="22" t="s">
        <v>1064</v>
      </c>
      <c s="124" t="str">
        <f t="shared" si="314"/>
        <v>тыс. руб.</v>
      </c>
      <c s="125"/>
      <c s="125">
        <f>E234</f>
        <v>0</v>
      </c>
      <c s="125">
        <f t="shared" si="317" ref="F368:AG368">F234</f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7"/>
        <v>0</v>
      </c>
      <c s="125">
        <f t="shared" si="318" ref="AH368:BM368">AH234</f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  <c s="125">
        <f t="shared" si="318"/>
        <v>0</v>
      </c>
    </row>
    <row r="369" spans="2:65" ht="15" customHeight="1">
      <c r="B369" s="22" t="s">
        <v>1065</v>
      </c>
      <c s="124" t="str">
        <f t="shared" si="314"/>
        <v>тыс. руб.</v>
      </c>
      <c s="125"/>
      <c s="125">
        <f>E235</f>
        <v>0</v>
      </c>
      <c s="125">
        <f t="shared" si="319" ref="F369:AG369">F235</f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19"/>
        <v>0</v>
      </c>
      <c s="125">
        <f t="shared" si="320" ref="AH369:BM369">AH235</f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  <c s="125">
        <f t="shared" si="320"/>
        <v>0</v>
      </c>
    </row>
    <row r="370" spans="2:65" ht="15" customHeight="1">
      <c r="B370" s="22" t="s">
        <v>1066</v>
      </c>
      <c s="124" t="str">
        <f t="shared" si="314"/>
        <v>тыс. руб.</v>
      </c>
      <c s="125"/>
      <c s="125">
        <f>E236</f>
        <v>0</v>
      </c>
      <c s="125">
        <f t="shared" si="321" ref="F370:AG370">F236</f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1"/>
        <v>0</v>
      </c>
      <c s="125">
        <f t="shared" si="322" ref="AH370:BM370">AH236</f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  <c s="125">
        <f t="shared" si="322"/>
        <v>0</v>
      </c>
    </row>
    <row r="371" spans="2:65" ht="15" customHeight="1">
      <c r="B371" s="22" t="s">
        <v>1067</v>
      </c>
      <c s="124" t="str">
        <f t="shared" si="314"/>
        <v>тыс. руб.</v>
      </c>
      <c s="125"/>
      <c s="125">
        <f>E237</f>
        <v>0</v>
      </c>
      <c s="125">
        <f t="shared" si="323" ref="F371:AG371">F237</f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3"/>
        <v>0</v>
      </c>
      <c s="125">
        <f t="shared" si="324" ref="AH371:BM371">AH237</f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  <c s="125">
        <f t="shared" si="324"/>
        <v>0</v>
      </c>
    </row>
    <row r="372" spans="2:65" ht="15" customHeight="1">
      <c r="B372" s="22" t="s">
        <v>1009</v>
      </c>
      <c s="124" t="str">
        <f t="shared" si="314"/>
        <v>тыс. руб.</v>
      </c>
      <c s="125"/>
      <c s="125">
        <f t="shared" si="325" ref="E372:AJ372">SUM(E100,E238)</f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t="shared" si="325"/>
        <v>0</v>
      </c>
      <c s="125">
        <f ca="1" t="shared" si="326" ref="AK372:BM372">SUM(AK100,AK238)</f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  <c s="125">
        <f t="shared" ca="1" si="326"/>
        <v>0</v>
      </c>
    </row>
    <row r="373" spans="2:65" ht="15" customHeight="1">
      <c r="B373" s="289" t="s">
        <v>1068</v>
      </c>
      <c s="290" t="str">
        <f t="shared" si="314"/>
        <v>тыс. руб.</v>
      </c>
      <c s="276"/>
      <c s="276">
        <f t="shared" si="327" ref="E373:AG373">SUM(E367:E372)</f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t="shared" si="327"/>
        <v>0</v>
      </c>
      <c s="276">
        <f ca="1" t="shared" si="328" ref="AH373:BM373">SUM(AH367:AH372)</f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  <c s="276">
        <f t="shared" ca="1" si="328"/>
        <v>0</v>
      </c>
    </row>
    <row r="374" ht="15" customHeight="1"/>
    <row r="375" spans="2:71" ht="21">
      <c r="B375" s="24" t="s">
        <v>1069</v>
      </c>
      <c r="D37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76" spans="2:65" ht="15" customHeight="1">
      <c r="B376" s="12" t="s">
        <v>1012</v>
      </c>
      <c s="124" t="str">
        <f>Единица_измерения</f>
        <v>тыс. руб.</v>
      </c>
      <c s="125"/>
      <c s="125">
        <f>SUM('Квартальная отчетность'!E104,'Квартальная отчетность'!E242)</f>
        <v>0</v>
      </c>
      <c s="125">
        <f>SUM('Квартальная отчетность'!F104,'Квартальная отчетность'!F242)</f>
        <v>0</v>
      </c>
      <c s="125">
        <f>SUM('Квартальная отчетность'!G104,'Квартальная отчетность'!G242)</f>
        <v>0</v>
      </c>
      <c s="125">
        <f>SUM('Квартальная отчетность'!H104,'Квартальная отчетность'!H242)</f>
        <v>0</v>
      </c>
      <c s="125">
        <f>SUM('Квартальная отчетность'!I104,'Квартальная отчетность'!I242)</f>
        <v>0</v>
      </c>
      <c s="125">
        <f>SUM('Квартальная отчетность'!J104,'Квартальная отчетность'!J242)</f>
        <v>0</v>
      </c>
      <c s="125">
        <f>SUM('Квартальная отчетность'!K104,'Квартальная отчетность'!K242)</f>
        <v>0</v>
      </c>
      <c s="125">
        <f>SUM('Квартальная отчетность'!L104,'Квартальная отчетность'!L242)</f>
        <v>0</v>
      </c>
      <c s="125">
        <f>SUM('Квартальная отчетность'!M104,'Квартальная отчетность'!M242)</f>
        <v>0</v>
      </c>
      <c s="125">
        <f>SUM('Квартальная отчетность'!N104,'Квартальная отчетность'!N242)</f>
        <v>0</v>
      </c>
      <c s="125">
        <f>SUM('Квартальная отчетность'!O104,'Квартальная отчетность'!O242)</f>
        <v>0</v>
      </c>
      <c s="125">
        <f>SUM('Квартальная отчетность'!P104,'Квартальная отчетность'!P242)</f>
        <v>0</v>
      </c>
      <c s="125">
        <f>SUM('Квартальная отчетность'!Q104,'Квартальная отчетность'!Q242)</f>
        <v>0</v>
      </c>
      <c s="125">
        <f>SUM('Квартальная отчетность'!R104,'Квартальная отчетность'!R242)</f>
        <v>0</v>
      </c>
      <c s="125">
        <f>SUM('Квартальная отчетность'!S104,'Квартальная отчетность'!S242)</f>
        <v>0</v>
      </c>
      <c s="125">
        <f>SUM('Квартальная отчетность'!T104,'Квартальная отчетность'!T242)</f>
        <v>0</v>
      </c>
      <c s="125">
        <f>SUM('Квартальная отчетность'!U104,'Квартальная отчетность'!U242)</f>
        <v>0</v>
      </c>
      <c s="125">
        <f>SUM('Квартальная отчетность'!V104,'Квартальная отчетность'!V242)</f>
        <v>0</v>
      </c>
      <c s="125">
        <f>SUM('Квартальная отчетность'!W104,'Квартальная отчетность'!W242)</f>
        <v>0</v>
      </c>
      <c s="125">
        <f>SUM('Квартальная отчетность'!X104,'Квартальная отчетность'!X242)</f>
        <v>0</v>
      </c>
      <c s="125">
        <f>SUM('Квартальная отчетность'!Y104,'Квартальная отчетность'!Y242)</f>
        <v>0</v>
      </c>
      <c s="125">
        <f>SUM('Квартальная отчетность'!Z104,'Квартальная отчетность'!Z242)</f>
        <v>0</v>
      </c>
      <c s="125">
        <f>SUM('Квартальная отчетность'!AA104,'Квартальная отчетность'!AA242)</f>
        <v>0</v>
      </c>
      <c s="125">
        <f>SUM('Квартальная отчетность'!AB104,'Квартальная отчетность'!AB242)</f>
        <v>0</v>
      </c>
      <c s="125">
        <f>SUM('Квартальная отчетность'!AC104,'Квартальная отчетность'!AC242)</f>
        <v>0</v>
      </c>
      <c s="125">
        <f>SUM('Квартальная отчетность'!AD104,'Квартальная отчетность'!AD242)</f>
        <v>0</v>
      </c>
      <c s="125">
        <f>SUM('Квартальная отчетность'!AE104,'Квартальная отчетность'!AE242)</f>
        <v>0</v>
      </c>
      <c s="125">
        <f>SUM('Квартальная отчетность'!AF104,'Квартальная отчетность'!AF242)</f>
        <v>0</v>
      </c>
      <c s="125">
        <f>SUM('Квартальная отчетность'!AG104,'Квартальная отчетность'!AG242)</f>
        <v>0</v>
      </c>
      <c s="125">
        <f>SUM('Квартальная отчетность'!AH104,'Квартальная отчетность'!AH242)</f>
        <v>0</v>
      </c>
      <c s="125">
        <f>SUM('Квартальная отчетность'!AI104,'Квартальная отчетность'!AI242)</f>
        <v>0</v>
      </c>
      <c s="125">
        <f>SUM('Квартальная отчетность'!AJ104,'Квартальная отчетность'!AJ242)</f>
        <v>0</v>
      </c>
      <c s="125">
        <f>SUM('Квартальная отчетность'!AK104,'Квартальная отчетность'!AK242)</f>
        <v>0</v>
      </c>
      <c s="125">
        <f>SUM('Квартальная отчетность'!AL104,'Квартальная отчетность'!AL242)</f>
        <v>0</v>
      </c>
      <c s="125">
        <f>SUM('Квартальная отчетность'!AM104,'Квартальная отчетность'!AM242)</f>
        <v>0</v>
      </c>
      <c s="125">
        <f>SUM('Квартальная отчетность'!AN104,'Квартальная отчетность'!AN242)</f>
        <v>0</v>
      </c>
      <c s="125">
        <f>SUM('Квартальная отчетность'!AO104,'Квартальная отчетность'!AO242)</f>
        <v>0</v>
      </c>
      <c s="125">
        <f>SUM('Квартальная отчетность'!AP104,'Квартальная отчетность'!AP242)</f>
        <v>0</v>
      </c>
      <c s="125">
        <f>SUM('Квартальная отчетность'!AQ104,'Квартальная отчетность'!AQ242)</f>
        <v>0</v>
      </c>
      <c s="125">
        <f>SUM('Квартальная отчетность'!AR104,'Квартальная отчетность'!AR242)</f>
        <v>0</v>
      </c>
      <c s="125">
        <f>SUM('Квартальная отчетность'!AS104,'Квартальная отчетность'!AS242)</f>
        <v>0</v>
      </c>
      <c s="125">
        <f>SUM('Квартальная отчетность'!AT104,'Квартальная отчетность'!AT242)</f>
        <v>0</v>
      </c>
      <c s="125">
        <f>SUM('Квартальная отчетность'!AU104,'Квартальная отчетность'!AU242)</f>
        <v>0</v>
      </c>
      <c s="125">
        <f>SUM('Квартальная отчетность'!AV104,'Квартальная отчетность'!AV242)</f>
        <v>0</v>
      </c>
      <c s="125">
        <f>SUM('Квартальная отчетность'!AW104,'Квартальная отчетность'!AW242)</f>
        <v>0</v>
      </c>
      <c s="125">
        <f>SUM('Квартальная отчетность'!AX104,'Квартальная отчетность'!AX242)</f>
        <v>0</v>
      </c>
      <c s="125">
        <f>SUM('Квартальная отчетность'!AY104,'Квартальная отчетность'!AY242)</f>
        <v>0</v>
      </c>
      <c s="125">
        <f>SUM('Квартальная отчетность'!AZ104,'Квартальная отчетность'!AZ242)</f>
        <v>0</v>
      </c>
      <c s="125">
        <f>SUM('Квартальная отчетность'!BA104,'Квартальная отчетность'!BA242)</f>
        <v>0</v>
      </c>
      <c s="125">
        <f>SUM('Квартальная отчетность'!BB104,'Квартальная отчетность'!BB242)</f>
        <v>0</v>
      </c>
      <c s="125">
        <f>SUM('Квартальная отчетность'!BC104,'Квартальная отчетность'!BC242)</f>
        <v>0</v>
      </c>
      <c s="125">
        <f>SUM('Квартальная отчетность'!BD104,'Квартальная отчетность'!BD242)</f>
        <v>0</v>
      </c>
      <c s="125">
        <f>SUM('Квартальная отчетность'!BE104,'Квартальная отчетность'!BE242)</f>
        <v>0</v>
      </c>
      <c s="125">
        <f>SUM('Квартальная отчетность'!BF104,'Квартальная отчетность'!BF242)</f>
        <v>0</v>
      </c>
      <c s="125">
        <f>SUM('Квартальная отчетность'!BG104,'Квартальная отчетность'!BG242)</f>
        <v>0</v>
      </c>
      <c s="125">
        <f>SUM('Квартальная отчетность'!BH104,'Квартальная отчетность'!BH242)</f>
        <v>0</v>
      </c>
      <c s="125">
        <f>SUM('Квартальная отчетность'!BI104,'Квартальная отчетность'!BI242)</f>
        <v>0</v>
      </c>
      <c s="125">
        <f>SUM('Квартальная отчетность'!BJ104,'Квартальная отчетность'!BJ242)</f>
        <v>0</v>
      </c>
      <c s="125">
        <f>SUM('Квартальная отчетность'!BK104,'Квартальная отчетность'!BK242)</f>
        <v>0</v>
      </c>
      <c s="125">
        <f>SUM('Квартальная отчетность'!BL104,'Квартальная отчетность'!BL242)</f>
        <v>0</v>
      </c>
      <c s="125">
        <f>SUM('Квартальная отчетность'!BM104,'Квартальная отчетность'!BM242)</f>
        <v>0</v>
      </c>
    </row>
    <row r="377" spans="2:65" ht="15" customHeight="1">
      <c r="B377" s="22" t="s">
        <v>1070</v>
      </c>
      <c s="124" t="str">
        <f>Единица_измерения</f>
        <v>тыс. руб.</v>
      </c>
      <c s="125"/>
      <c s="125">
        <f>'Квартальная отчетность'!E243</f>
        <v>0</v>
      </c>
      <c s="125">
        <f>'Квартальная отчетность'!F243</f>
        <v>0</v>
      </c>
      <c s="125">
        <f>'Квартальная отчетность'!G243</f>
        <v>0</v>
      </c>
      <c s="125">
        <f>'Квартальная отчетность'!H243</f>
        <v>0</v>
      </c>
      <c s="125">
        <f>'Квартальная отчетность'!I243</f>
        <v>0</v>
      </c>
      <c s="125">
        <f>'Квартальная отчетность'!J243</f>
        <v>0</v>
      </c>
      <c s="125">
        <f>'Квартальная отчетность'!K243</f>
        <v>0</v>
      </c>
      <c s="125">
        <f>'Квартальная отчетность'!L243</f>
        <v>0</v>
      </c>
      <c s="125">
        <f>'Квартальная отчетность'!M243</f>
        <v>0</v>
      </c>
      <c s="125">
        <f>'Квартальная отчетность'!N243</f>
        <v>0</v>
      </c>
      <c s="125">
        <f>'Квартальная отчетность'!O243</f>
        <v>0</v>
      </c>
      <c s="125">
        <f>'Квартальная отчетность'!P243</f>
        <v>0</v>
      </c>
      <c s="125">
        <f>'Квартальная отчетность'!Q243</f>
        <v>0</v>
      </c>
      <c s="125">
        <f>'Квартальная отчетность'!R243</f>
        <v>0</v>
      </c>
      <c s="125">
        <f>'Квартальная отчетность'!S243</f>
        <v>0</v>
      </c>
      <c s="125">
        <f>'Квартальная отчетность'!T243</f>
        <v>0</v>
      </c>
      <c s="125">
        <f>'Квартальная отчетность'!U243</f>
        <v>0</v>
      </c>
      <c s="125">
        <f>'Квартальная отчетность'!V243</f>
        <v>0</v>
      </c>
      <c s="125">
        <f>'Квартальная отчетность'!W243</f>
        <v>0</v>
      </c>
      <c s="125">
        <f>'Квартальная отчетность'!X243</f>
        <v>0</v>
      </c>
      <c s="125">
        <f>'Квартальная отчетность'!Y243</f>
        <v>0</v>
      </c>
      <c s="125">
        <f>'Квартальная отчетность'!Z243</f>
        <v>0</v>
      </c>
      <c s="125">
        <f>'Квартальная отчетность'!AA243</f>
        <v>0</v>
      </c>
      <c s="125">
        <f>'Квартальная отчетность'!AB243</f>
        <v>0</v>
      </c>
      <c s="125">
        <f>'Квартальная отчетность'!AC243</f>
        <v>0</v>
      </c>
      <c s="125">
        <f>'Квартальная отчетность'!AD243</f>
        <v>0</v>
      </c>
      <c s="125">
        <f>'Квартальная отчетность'!AE243</f>
        <v>0</v>
      </c>
      <c s="125">
        <f>'Квартальная отчетность'!AF243</f>
        <v>0</v>
      </c>
      <c s="125">
        <f>'Квартальная отчетность'!AG243</f>
        <v>0</v>
      </c>
      <c s="125">
        <f>'Квартальная отчетность'!AH243</f>
        <v>0</v>
      </c>
      <c s="125">
        <f>'Квартальная отчетность'!AI243</f>
        <v>0</v>
      </c>
      <c s="125">
        <f>'Квартальная отчетность'!AJ243</f>
        <v>0</v>
      </c>
      <c s="125">
        <f>'Квартальная отчетность'!AK243</f>
        <v>0</v>
      </c>
      <c s="125">
        <f>'Квартальная отчетность'!AL243</f>
        <v>0</v>
      </c>
      <c s="125">
        <f>'Квартальная отчетность'!AM243</f>
        <v>0</v>
      </c>
      <c s="125">
        <f>'Квартальная отчетность'!AN243</f>
        <v>0</v>
      </c>
      <c s="125">
        <f>'Квартальная отчетность'!AO243</f>
        <v>0</v>
      </c>
      <c s="125">
        <f>'Квартальная отчетность'!AP243</f>
        <v>0</v>
      </c>
      <c s="125">
        <f>'Квартальная отчетность'!AQ243</f>
        <v>0</v>
      </c>
      <c s="125">
        <f>'Квартальная отчетность'!AR243</f>
        <v>0</v>
      </c>
      <c s="125">
        <f>'Квартальная отчетность'!AS243</f>
        <v>0</v>
      </c>
      <c s="125">
        <f>'Квартальная отчетность'!AT243</f>
        <v>0</v>
      </c>
      <c s="125">
        <f>'Квартальная отчетность'!AU243</f>
        <v>0</v>
      </c>
      <c s="125">
        <f>'Квартальная отчетность'!AV243</f>
        <v>0</v>
      </c>
      <c s="125">
        <f>'Квартальная отчетность'!AW243</f>
        <v>0</v>
      </c>
      <c s="125">
        <f>'Квартальная отчетность'!AX243</f>
        <v>0</v>
      </c>
      <c s="125">
        <f>'Квартальная отчетность'!AY243</f>
        <v>0</v>
      </c>
      <c s="125">
        <f>'Квартальная отчетность'!AZ243</f>
        <v>0</v>
      </c>
      <c s="125">
        <f>'Квартальная отчетность'!BA243</f>
        <v>0</v>
      </c>
      <c s="125">
        <f>'Квартальная отчетность'!BB243</f>
        <v>0</v>
      </c>
      <c s="125">
        <f>'Квартальная отчетность'!BC243</f>
        <v>0</v>
      </c>
      <c s="125">
        <f>'Квартальная отчетность'!BD243</f>
        <v>0</v>
      </c>
      <c s="125">
        <f>'Квартальная отчетность'!BE243</f>
        <v>0</v>
      </c>
      <c s="125">
        <f>'Квартальная отчетность'!BF243</f>
        <v>0</v>
      </c>
      <c s="125">
        <f>'Квартальная отчетность'!BG243</f>
        <v>0</v>
      </c>
      <c s="125">
        <f>'Квартальная отчетность'!BH243</f>
        <v>0</v>
      </c>
      <c s="125">
        <f>'Квартальная отчетность'!BI243</f>
        <v>0</v>
      </c>
      <c s="125">
        <f>'Квартальная отчетность'!BJ243</f>
        <v>0</v>
      </c>
      <c s="125">
        <f>'Квартальная отчетность'!BK243</f>
        <v>0</v>
      </c>
      <c s="125">
        <f>'Квартальная отчетность'!BL243</f>
        <v>0</v>
      </c>
      <c s="125">
        <f>'Квартальная отчетность'!BM243</f>
        <v>0</v>
      </c>
    </row>
    <row r="378" spans="2:65" ht="15" customHeight="1">
      <c r="B378" s="22" t="s">
        <v>1071</v>
      </c>
      <c s="124" t="str">
        <f>Единица_измерения</f>
        <v>тыс. руб.</v>
      </c>
      <c s="125"/>
      <c s="125">
        <f>'Квартальная отчетность'!E244</f>
        <v>0</v>
      </c>
      <c s="125">
        <f>'Квартальная отчетность'!F244</f>
        <v>0</v>
      </c>
      <c s="125">
        <f>'Квартальная отчетность'!G244</f>
        <v>0</v>
      </c>
      <c s="125">
        <f>'Квартальная отчетность'!H244</f>
        <v>0</v>
      </c>
      <c s="125">
        <f>'Квартальная отчетность'!I244</f>
        <v>0</v>
      </c>
      <c s="125">
        <f>'Квартальная отчетность'!J244</f>
        <v>0</v>
      </c>
      <c s="125">
        <f>'Квартальная отчетность'!K244</f>
        <v>0</v>
      </c>
      <c s="125">
        <f>'Квартальная отчетность'!L244</f>
        <v>0</v>
      </c>
      <c s="125">
        <f>'Квартальная отчетность'!M244</f>
        <v>0</v>
      </c>
      <c s="125">
        <f>'Квартальная отчетность'!N244</f>
        <v>0</v>
      </c>
      <c s="125">
        <f>'Квартальная отчетность'!O244</f>
        <v>0</v>
      </c>
      <c s="125">
        <f>'Квартальная отчетность'!P244</f>
        <v>0</v>
      </c>
      <c s="125">
        <f>'Квартальная отчетность'!Q244</f>
        <v>0</v>
      </c>
      <c s="125">
        <f>'Квартальная отчетность'!R244</f>
        <v>0</v>
      </c>
      <c s="125">
        <f>'Квартальная отчетность'!S244</f>
        <v>0</v>
      </c>
      <c s="125">
        <f>'Квартальная отчетность'!T244</f>
        <v>0</v>
      </c>
      <c s="125">
        <f>'Квартальная отчетность'!U244</f>
        <v>0</v>
      </c>
      <c s="125">
        <f>'Квартальная отчетность'!V244</f>
        <v>0</v>
      </c>
      <c s="125">
        <f>'Квартальная отчетность'!W244</f>
        <v>0</v>
      </c>
      <c s="125">
        <f>'Квартальная отчетность'!X244</f>
        <v>0</v>
      </c>
      <c s="125">
        <f>'Квартальная отчетность'!Y244</f>
        <v>0</v>
      </c>
      <c s="125">
        <f>'Квартальная отчетность'!Z244</f>
        <v>0</v>
      </c>
      <c s="125">
        <f>'Квартальная отчетность'!AA244</f>
        <v>0</v>
      </c>
      <c s="125">
        <f>'Квартальная отчетность'!AB244</f>
        <v>0</v>
      </c>
      <c s="125">
        <f>'Квартальная отчетность'!AC244</f>
        <v>0</v>
      </c>
      <c s="125">
        <f>'Квартальная отчетность'!AD244</f>
        <v>0</v>
      </c>
      <c s="125">
        <f>'Квартальная отчетность'!AE244</f>
        <v>0</v>
      </c>
      <c s="125">
        <f>'Квартальная отчетность'!AF244</f>
        <v>0</v>
      </c>
      <c s="125">
        <f>'Квартальная отчетность'!AG244</f>
        <v>0</v>
      </c>
      <c s="125">
        <f>'Квартальная отчетность'!AH244</f>
        <v>0</v>
      </c>
      <c s="125">
        <f>'Квартальная отчетность'!AI244</f>
        <v>0</v>
      </c>
      <c s="125">
        <f>'Квартальная отчетность'!AJ244</f>
        <v>0</v>
      </c>
      <c s="125">
        <f>'Квартальная отчетность'!AK244</f>
        <v>0</v>
      </c>
      <c s="125">
        <f>'Квартальная отчетность'!AL244</f>
        <v>0</v>
      </c>
      <c s="125">
        <f>'Квартальная отчетность'!AM244</f>
        <v>0</v>
      </c>
      <c s="125">
        <f>'Квартальная отчетность'!AN244</f>
        <v>0</v>
      </c>
      <c s="125">
        <f>'Квартальная отчетность'!AO244</f>
        <v>0</v>
      </c>
      <c s="125">
        <f>'Квартальная отчетность'!AP244</f>
        <v>0</v>
      </c>
      <c s="125">
        <f>'Квартальная отчетность'!AQ244</f>
        <v>0</v>
      </c>
      <c s="125">
        <f>'Квартальная отчетность'!AR244</f>
        <v>0</v>
      </c>
      <c s="125">
        <f>'Квартальная отчетность'!AS244</f>
        <v>0</v>
      </c>
      <c s="125">
        <f>'Квартальная отчетность'!AT244</f>
        <v>0</v>
      </c>
      <c s="125">
        <f>'Квартальная отчетность'!AU244</f>
        <v>0</v>
      </c>
      <c s="125">
        <f>'Квартальная отчетность'!AV244</f>
        <v>0</v>
      </c>
      <c s="125">
        <f>'Квартальная отчетность'!AW244</f>
        <v>0</v>
      </c>
      <c s="125">
        <f>'Квартальная отчетность'!AX244</f>
        <v>0</v>
      </c>
      <c s="125">
        <f>'Квартальная отчетность'!AY244</f>
        <v>0</v>
      </c>
      <c s="125">
        <f>'Квартальная отчетность'!AZ244</f>
        <v>0</v>
      </c>
      <c s="125">
        <f>'Квартальная отчетность'!BA244</f>
        <v>0</v>
      </c>
      <c s="125">
        <f>'Квартальная отчетность'!BB244</f>
        <v>0</v>
      </c>
      <c s="125">
        <f>'Квартальная отчетность'!BC244</f>
        <v>0</v>
      </c>
      <c s="125">
        <f>'Квартальная отчетность'!BD244</f>
        <v>0</v>
      </c>
      <c s="125">
        <f>'Квартальная отчетность'!BE244</f>
        <v>0</v>
      </c>
      <c s="125">
        <f>'Квартальная отчетность'!BF244</f>
        <v>0</v>
      </c>
      <c s="125">
        <f>'Квартальная отчетность'!BG244</f>
        <v>0</v>
      </c>
      <c s="125">
        <f>'Квартальная отчетность'!BH244</f>
        <v>0</v>
      </c>
      <c s="125">
        <f>'Квартальная отчетность'!BI244</f>
        <v>0</v>
      </c>
      <c s="125">
        <f>'Квартальная отчетность'!BJ244</f>
        <v>0</v>
      </c>
      <c s="125">
        <f>'Квартальная отчетность'!BK244</f>
        <v>0</v>
      </c>
      <c s="125">
        <f>'Квартальная отчетность'!BL244</f>
        <v>0</v>
      </c>
      <c s="125">
        <f>'Квартальная отчетность'!BM244</f>
        <v>0</v>
      </c>
    </row>
    <row r="379" spans="2:65" ht="15" customHeight="1">
      <c r="B379" s="22" t="s">
        <v>1072</v>
      </c>
      <c s="124" t="str">
        <f>Единица_измерения</f>
        <v>тыс. руб.</v>
      </c>
      <c s="125"/>
      <c s="125">
        <f>'Квартальная отчетность'!E245</f>
        <v>0</v>
      </c>
      <c s="125">
        <f>'Квартальная отчетность'!F245</f>
        <v>0</v>
      </c>
      <c s="125">
        <f>'Квартальная отчетность'!G245</f>
        <v>0</v>
      </c>
      <c s="125">
        <f>'Квартальная отчетность'!H245</f>
        <v>0</v>
      </c>
      <c s="125">
        <f>'Квартальная отчетность'!I245</f>
        <v>0</v>
      </c>
      <c s="125">
        <f>'Квартальная отчетность'!J245</f>
        <v>0</v>
      </c>
      <c s="125">
        <f>'Квартальная отчетность'!K245</f>
        <v>0</v>
      </c>
      <c s="125">
        <f>'Квартальная отчетность'!L245</f>
        <v>0</v>
      </c>
      <c s="125">
        <f>'Квартальная отчетность'!M245</f>
        <v>0</v>
      </c>
      <c s="125">
        <f>'Квартальная отчетность'!N245</f>
        <v>0</v>
      </c>
      <c s="125">
        <f>'Квартальная отчетность'!O245</f>
        <v>0</v>
      </c>
      <c s="125">
        <f>'Квартальная отчетность'!P245</f>
        <v>0</v>
      </c>
      <c s="125">
        <f>'Квартальная отчетность'!Q245</f>
        <v>0</v>
      </c>
      <c s="125">
        <f>'Квартальная отчетность'!R245</f>
        <v>0</v>
      </c>
      <c s="125">
        <f>'Квартальная отчетность'!S245</f>
        <v>0</v>
      </c>
      <c s="125">
        <f>'Квартальная отчетность'!T245</f>
        <v>0</v>
      </c>
      <c s="125">
        <f>'Квартальная отчетность'!U245</f>
        <v>0</v>
      </c>
      <c s="125">
        <f>'Квартальная отчетность'!V245</f>
        <v>0</v>
      </c>
      <c s="125">
        <f>'Квартальная отчетность'!W245</f>
        <v>0</v>
      </c>
      <c s="125">
        <f>'Квартальная отчетность'!X245</f>
        <v>0</v>
      </c>
      <c s="125">
        <f>'Квартальная отчетность'!Y245</f>
        <v>0</v>
      </c>
      <c s="125">
        <f>'Квартальная отчетность'!Z245</f>
        <v>0</v>
      </c>
      <c s="125">
        <f>'Квартальная отчетность'!AA245</f>
        <v>0</v>
      </c>
      <c s="125">
        <f>'Квартальная отчетность'!AB245</f>
        <v>0</v>
      </c>
      <c s="125">
        <f>'Квартальная отчетность'!AC245</f>
        <v>0</v>
      </c>
      <c s="125">
        <f>'Квартальная отчетность'!AD245</f>
        <v>0</v>
      </c>
      <c s="125">
        <f>'Квартальная отчетность'!AE245</f>
        <v>0</v>
      </c>
      <c s="125">
        <f>'Квартальная отчетность'!AF245</f>
        <v>0</v>
      </c>
      <c s="125">
        <f>'Квартальная отчетность'!AG245</f>
        <v>0</v>
      </c>
      <c s="125">
        <f>'Квартальная отчетность'!AH245</f>
        <v>0</v>
      </c>
      <c s="125">
        <f>'Квартальная отчетность'!AI245</f>
        <v>0</v>
      </c>
      <c s="125">
        <f>'Квартальная отчетность'!AJ245</f>
        <v>0</v>
      </c>
      <c s="125">
        <f>'Квартальная отчетность'!AK245</f>
        <v>0</v>
      </c>
      <c s="125">
        <f>'Квартальная отчетность'!AL245</f>
        <v>0</v>
      </c>
      <c s="125">
        <f>'Квартальная отчетность'!AM245</f>
        <v>0</v>
      </c>
      <c s="125">
        <f>'Квартальная отчетность'!AN245</f>
        <v>0</v>
      </c>
      <c s="125">
        <f>'Квартальная отчетность'!AO245</f>
        <v>0</v>
      </c>
      <c s="125">
        <f>'Квартальная отчетность'!AP245</f>
        <v>0</v>
      </c>
      <c s="125">
        <f>'Квартальная отчетность'!AQ245</f>
        <v>0</v>
      </c>
      <c s="125">
        <f>'Квартальная отчетность'!AR245</f>
        <v>0</v>
      </c>
      <c s="125">
        <f>'Квартальная отчетность'!AS245</f>
        <v>0</v>
      </c>
      <c s="125">
        <f>'Квартальная отчетность'!AT245</f>
        <v>0</v>
      </c>
      <c s="125">
        <f>'Квартальная отчетность'!AU245</f>
        <v>0</v>
      </c>
      <c s="125">
        <f>'Квартальная отчетность'!AV245</f>
        <v>0</v>
      </c>
      <c s="125">
        <f>'Квартальная отчетность'!AW245</f>
        <v>0</v>
      </c>
      <c s="125">
        <f>'Квартальная отчетность'!AX245</f>
        <v>0</v>
      </c>
      <c s="125">
        <f>'Квартальная отчетность'!AY245</f>
        <v>0</v>
      </c>
      <c s="125">
        <f>'Квартальная отчетность'!AZ245</f>
        <v>0</v>
      </c>
      <c s="125">
        <f>'Квартальная отчетность'!BA245</f>
        <v>0</v>
      </c>
      <c s="125">
        <f>'Квартальная отчетность'!BB245</f>
        <v>0</v>
      </c>
      <c s="125">
        <f>'Квартальная отчетность'!BC245</f>
        <v>0</v>
      </c>
      <c s="125">
        <f>'Квартальная отчетность'!BD245</f>
        <v>0</v>
      </c>
      <c s="125">
        <f>'Квартальная отчетность'!BE245</f>
        <v>0</v>
      </c>
      <c s="125">
        <f>'Квартальная отчетность'!BF245</f>
        <v>0</v>
      </c>
      <c s="125">
        <f>'Квартальная отчетность'!BG245</f>
        <v>0</v>
      </c>
      <c s="125">
        <f>'Квартальная отчетность'!BH245</f>
        <v>0</v>
      </c>
      <c s="125">
        <f>'Квартальная отчетность'!BI245</f>
        <v>0</v>
      </c>
      <c s="125">
        <f>'Квартальная отчетность'!BJ245</f>
        <v>0</v>
      </c>
      <c s="125">
        <f>'Квартальная отчетность'!BK245</f>
        <v>0</v>
      </c>
      <c s="125">
        <f>'Квартальная отчетность'!BL245</f>
        <v>0</v>
      </c>
      <c s="125">
        <f>'Квартальная отчетность'!BM245</f>
        <v>0</v>
      </c>
    </row>
    <row r="380" spans="2:65" ht="15" customHeight="1">
      <c r="B380" s="289" t="s">
        <v>1073</v>
      </c>
      <c s="290" t="str">
        <f>Единица_измерения</f>
        <v>тыс. руб.</v>
      </c>
      <c s="276"/>
      <c s="276">
        <f t="shared" si="329" ref="E380">SUM(E376:E379)</f>
        <v>0</v>
      </c>
      <c s="276">
        <f t="shared" si="330" ref="F380:AG380">SUM(F376:F379)</f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0"/>
        <v>0</v>
      </c>
      <c s="276">
        <f t="shared" si="331" ref="AH380:BM380">SUM(AH376:AH379)</f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  <c s="276">
        <f t="shared" si="331"/>
        <v>0</v>
      </c>
    </row>
    <row r="381" ht="15" customHeight="1"/>
    <row r="382" spans="2:71" ht="21">
      <c r="B382" s="24" t="s">
        <v>1074</v>
      </c>
      <c r="D38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3" spans="2:65" ht="15" customHeight="1">
      <c r="B383" s="12" t="s">
        <v>1012</v>
      </c>
      <c s="124" t="str">
        <f t="shared" si="332" ref="C383:C388">Единица_измерения</f>
        <v>тыс. руб.</v>
      </c>
      <c s="125"/>
      <c s="125">
        <f>'Квартальная отчетность'!E249</f>
        <v>0</v>
      </c>
      <c s="125">
        <f>'Квартальная отчетность'!F249</f>
        <v>0</v>
      </c>
      <c s="125">
        <f>'Квартальная отчетность'!G249</f>
        <v>0</v>
      </c>
      <c s="125">
        <f>'Квартальная отчетность'!H249</f>
        <v>0</v>
      </c>
      <c s="125">
        <f>'Квартальная отчетность'!I249</f>
        <v>0</v>
      </c>
      <c s="125">
        <f>'Квартальная отчетность'!J249</f>
        <v>0</v>
      </c>
      <c s="125">
        <f>'Квартальная отчетность'!K249</f>
        <v>0</v>
      </c>
      <c s="125">
        <f>'Квартальная отчетность'!L249</f>
        <v>0</v>
      </c>
      <c s="125">
        <f>'Квартальная отчетность'!M249</f>
        <v>0</v>
      </c>
      <c s="125">
        <f>'Квартальная отчетность'!N249</f>
        <v>0</v>
      </c>
      <c s="125">
        <f>'Квартальная отчетность'!O249</f>
        <v>0</v>
      </c>
      <c s="125">
        <f>'Квартальная отчетность'!P249</f>
        <v>0</v>
      </c>
      <c s="125">
        <f>'Квартальная отчетность'!Q249</f>
        <v>0</v>
      </c>
      <c s="125">
        <f>'Квартальная отчетность'!R249</f>
        <v>0</v>
      </c>
      <c s="125">
        <f>'Квартальная отчетность'!S249</f>
        <v>0</v>
      </c>
      <c s="125">
        <f>'Квартальная отчетность'!T249</f>
        <v>0</v>
      </c>
      <c s="125">
        <f>'Квартальная отчетность'!U249</f>
        <v>0</v>
      </c>
      <c s="125">
        <f>'Квартальная отчетность'!V249</f>
        <v>0</v>
      </c>
      <c s="125">
        <f>'Квартальная отчетность'!W249</f>
        <v>0</v>
      </c>
      <c s="125">
        <f>'Квартальная отчетность'!X249</f>
        <v>0</v>
      </c>
      <c s="125">
        <f>'Квартальная отчетность'!Y249</f>
        <v>0</v>
      </c>
      <c s="125">
        <f>'Квартальная отчетность'!Z249</f>
        <v>0</v>
      </c>
      <c s="125">
        <f>'Квартальная отчетность'!AA249</f>
        <v>0</v>
      </c>
      <c s="125">
        <f>'Квартальная отчетность'!AB249</f>
        <v>0</v>
      </c>
      <c s="125">
        <f>'Квартальная отчетность'!AC249</f>
        <v>0</v>
      </c>
      <c s="125">
        <f>'Квартальная отчетность'!AD249</f>
        <v>0</v>
      </c>
      <c s="125">
        <f>'Квартальная отчетность'!AE249</f>
        <v>0</v>
      </c>
      <c s="125">
        <f>'Квартальная отчетность'!AF249</f>
        <v>0</v>
      </c>
      <c s="125">
        <f>'Квартальная отчетность'!AG249</f>
        <v>0</v>
      </c>
      <c s="125">
        <f>'Квартальная отчетность'!AH249</f>
        <v>0</v>
      </c>
      <c s="125">
        <f>'Квартальная отчетность'!AI249</f>
        <v>0</v>
      </c>
      <c s="125">
        <f>'Квартальная отчетность'!AJ249</f>
        <v>0</v>
      </c>
      <c s="125">
        <f>'Квартальная отчетность'!AK249</f>
        <v>0</v>
      </c>
      <c s="125">
        <f>'Квартальная отчетность'!AL249</f>
        <v>0</v>
      </c>
      <c s="125">
        <f>'Квартальная отчетность'!AM249</f>
        <v>0</v>
      </c>
      <c s="125">
        <f>'Квартальная отчетность'!AN249</f>
        <v>0</v>
      </c>
      <c s="125">
        <f>'Квартальная отчетность'!AO249</f>
        <v>0</v>
      </c>
      <c s="125">
        <f>'Квартальная отчетность'!AP249</f>
        <v>0</v>
      </c>
      <c s="125">
        <f>'Квартальная отчетность'!AQ249</f>
        <v>0</v>
      </c>
      <c s="125">
        <f>'Квартальная отчетность'!AR249</f>
        <v>0</v>
      </c>
      <c s="125">
        <f>'Квартальная отчетность'!AS249</f>
        <v>0</v>
      </c>
      <c s="125">
        <f>'Квартальная отчетность'!AT249</f>
        <v>0</v>
      </c>
      <c s="125">
        <f>'Квартальная отчетность'!AU249</f>
        <v>0</v>
      </c>
      <c s="125">
        <f>'Квартальная отчетность'!AV249</f>
        <v>0</v>
      </c>
      <c s="125">
        <f>'Квартальная отчетность'!AW249</f>
        <v>0</v>
      </c>
      <c s="125">
        <f>'Квартальная отчетность'!AX249</f>
        <v>0</v>
      </c>
      <c s="125">
        <f>'Квартальная отчетность'!AY249</f>
        <v>0</v>
      </c>
      <c s="125">
        <f>'Квартальная отчетность'!AZ249</f>
        <v>0</v>
      </c>
      <c s="125">
        <f>'Квартальная отчетность'!BA249</f>
        <v>0</v>
      </c>
      <c s="125">
        <f>'Квартальная отчетность'!BB249</f>
        <v>0</v>
      </c>
      <c s="125">
        <f>'Квартальная отчетность'!BC249</f>
        <v>0</v>
      </c>
      <c s="125">
        <f>'Квартальная отчетность'!BD249</f>
        <v>0</v>
      </c>
      <c s="125">
        <f>'Квартальная отчетность'!BE249</f>
        <v>0</v>
      </c>
      <c s="125">
        <f>'Квартальная отчетность'!BF249</f>
        <v>0</v>
      </c>
      <c s="125">
        <f>'Квартальная отчетность'!BG249</f>
        <v>0</v>
      </c>
      <c s="125">
        <f>'Квартальная отчетность'!BH249</f>
        <v>0</v>
      </c>
      <c s="125">
        <f>'Квартальная отчетность'!BI249</f>
        <v>0</v>
      </c>
      <c s="125">
        <f>'Квартальная отчетность'!BJ249</f>
        <v>0</v>
      </c>
      <c s="125">
        <f>'Квартальная отчетность'!BK249</f>
        <v>0</v>
      </c>
      <c s="125">
        <f>'Квартальная отчетность'!BL249</f>
        <v>0</v>
      </c>
      <c s="125">
        <f>'Квартальная отчетность'!BM249</f>
        <v>0</v>
      </c>
    </row>
    <row r="384" spans="2:65" ht="15" customHeight="1">
      <c r="B384" s="22" t="s">
        <v>313</v>
      </c>
      <c s="124" t="str">
        <f t="shared" si="332"/>
        <v>тыс. руб.</v>
      </c>
      <c s="125"/>
      <c s="125">
        <f ca="1">SUM('Квартальная отчетность'!E105,'Квартальная отчетность'!E250)</f>
        <v>0</v>
      </c>
      <c s="125">
        <f ca="1">SUM('Квартальная отчетность'!F105,'Квартальная отчетность'!F250)</f>
        <v>0</v>
      </c>
      <c s="125">
        <f ca="1">SUM('Квартальная отчетность'!G105,'Квартальная отчетность'!G250)</f>
        <v>0</v>
      </c>
      <c s="125">
        <f ca="1">SUM('Квартальная отчетность'!H105,'Квартальная отчетность'!H250)</f>
        <v>0</v>
      </c>
      <c s="125">
        <f ca="1">SUM('Квартальная отчетность'!I105,'Квартальная отчетность'!I250)</f>
        <v>0</v>
      </c>
      <c s="125">
        <f ca="1">SUM('Квартальная отчетность'!J105,'Квартальная отчетность'!J250)</f>
        <v>0</v>
      </c>
      <c s="125">
        <f ca="1">SUM('Квартальная отчетность'!K105,'Квартальная отчетность'!K250)</f>
        <v>0</v>
      </c>
      <c s="125">
        <f ca="1">SUM('Квартальная отчетность'!L105,'Квартальная отчетность'!L250)</f>
        <v>0</v>
      </c>
      <c s="125">
        <f ca="1">SUM('Квартальная отчетность'!M105,'Квартальная отчетность'!M250)</f>
        <v>0</v>
      </c>
      <c s="125">
        <f ca="1">SUM('Квартальная отчетность'!N105,'Квартальная отчетность'!N250)</f>
        <v>0</v>
      </c>
      <c s="125">
        <f ca="1">SUM('Квартальная отчетность'!O105,'Квартальная отчетность'!O250)</f>
        <v>0</v>
      </c>
      <c s="125">
        <f ca="1">SUM('Квартальная отчетность'!P105,'Квартальная отчетность'!P250)</f>
        <v>0</v>
      </c>
      <c s="125">
        <f ca="1">SUM('Квартальная отчетность'!Q105,'Квартальная отчетность'!Q250)</f>
        <v>0</v>
      </c>
      <c s="125">
        <f ca="1">SUM('Квартальная отчетность'!R105,'Квартальная отчетность'!R250)</f>
        <v>0</v>
      </c>
      <c s="125">
        <f ca="1">SUM('Квартальная отчетность'!S105,'Квартальная отчетность'!S250)</f>
        <v>0</v>
      </c>
      <c s="125">
        <f ca="1">SUM('Квартальная отчетность'!T105,'Квартальная отчетность'!T250)</f>
        <v>0</v>
      </c>
      <c s="125">
        <f ca="1">SUM('Квартальная отчетность'!U105,'Квартальная отчетность'!U250)</f>
        <v>0</v>
      </c>
      <c s="125">
        <f ca="1">SUM('Квартальная отчетность'!V105,'Квартальная отчетность'!V250)</f>
        <v>0</v>
      </c>
      <c s="125">
        <f ca="1">SUM('Квартальная отчетность'!W105,'Квартальная отчетность'!W250)</f>
        <v>0</v>
      </c>
      <c s="125">
        <f ca="1">SUM('Квартальная отчетность'!X105,'Квартальная отчетность'!X250)</f>
        <v>0</v>
      </c>
      <c s="125">
        <f ca="1">SUM('Квартальная отчетность'!Y105,'Квартальная отчетность'!Y250)</f>
        <v>0</v>
      </c>
      <c s="125">
        <f ca="1">SUM('Квартальная отчетность'!Z105,'Квартальная отчетность'!Z250)</f>
        <v>0</v>
      </c>
      <c s="125">
        <f ca="1">SUM('Квартальная отчетность'!AA105,'Квартальная отчетность'!AA250)</f>
        <v>0</v>
      </c>
      <c s="125">
        <f ca="1">SUM('Квартальная отчетность'!AB105,'Квартальная отчетность'!AB250)</f>
        <v>0</v>
      </c>
      <c s="125">
        <f ca="1">SUM('Квартальная отчетность'!AC105,'Квартальная отчетность'!AC250)</f>
        <v>0</v>
      </c>
      <c s="125">
        <f ca="1">SUM('Квартальная отчетность'!AD105,'Квартальная отчетность'!AD250)</f>
        <v>0</v>
      </c>
      <c s="125">
        <f ca="1">SUM('Квартальная отчетность'!AE105,'Квартальная отчетность'!AE250)</f>
        <v>0</v>
      </c>
      <c s="125">
        <f ca="1">SUM('Квартальная отчетность'!AF105,'Квартальная отчетность'!AF250)</f>
        <v>0</v>
      </c>
      <c s="125">
        <f ca="1">SUM('Квартальная отчетность'!AG105,'Квартальная отчетность'!AG250)</f>
        <v>0</v>
      </c>
      <c s="125">
        <f ca="1">SUM('Квартальная отчетность'!AH105,'Квартальная отчетность'!AH250)</f>
        <v>0</v>
      </c>
      <c s="125">
        <f ca="1">SUM('Квартальная отчетность'!AI105,'Квартальная отчетность'!AI250)</f>
        <v>0</v>
      </c>
      <c s="125">
        <f ca="1">SUM('Квартальная отчетность'!AJ105,'Квартальная отчетность'!AJ250)</f>
        <v>0</v>
      </c>
      <c s="125">
        <f ca="1">SUM('Квартальная отчетность'!AK105,'Квартальная отчетность'!AK250)</f>
        <v>0</v>
      </c>
      <c s="125">
        <f ca="1">SUM('Квартальная отчетность'!AL105,'Квартальная отчетность'!AL250)</f>
        <v>0</v>
      </c>
      <c s="125">
        <f ca="1">SUM('Квартальная отчетность'!AM105,'Квартальная отчетность'!AM250)</f>
        <v>0</v>
      </c>
      <c s="125">
        <f ca="1">SUM('Квартальная отчетность'!AN105,'Квартальная отчетность'!AN250)</f>
        <v>0</v>
      </c>
      <c s="125">
        <f ca="1">SUM('Квартальная отчетность'!AO105,'Квартальная отчетность'!AO250)</f>
        <v>0</v>
      </c>
      <c s="125">
        <f ca="1">SUM('Квартальная отчетность'!AP105,'Квартальная отчетность'!AP250)</f>
        <v>0</v>
      </c>
      <c s="125">
        <f ca="1">SUM('Квартальная отчетность'!AQ105,'Квартальная отчетность'!AQ250)</f>
        <v>0</v>
      </c>
      <c s="125">
        <f ca="1">SUM('Квартальная отчетность'!AR105,'Квартальная отчетность'!AR250)</f>
        <v>0</v>
      </c>
      <c s="125">
        <f ca="1">SUM('Квартальная отчетность'!AS105,'Квартальная отчетность'!AS250)</f>
        <v>0</v>
      </c>
      <c s="125">
        <f ca="1">SUM('Квартальная отчетность'!AT105,'Квартальная отчетность'!AT250)</f>
        <v>0</v>
      </c>
      <c s="125">
        <f ca="1">SUM('Квартальная отчетность'!AU105,'Квартальная отчетность'!AU250)</f>
        <v>0</v>
      </c>
      <c s="125">
        <f ca="1">SUM('Квартальная отчетность'!AV105,'Квартальная отчетность'!AV250)</f>
        <v>0</v>
      </c>
      <c s="125">
        <f ca="1">SUM('Квартальная отчетность'!AW105,'Квартальная отчетность'!AW250)</f>
        <v>0</v>
      </c>
      <c s="125">
        <f ca="1">SUM('Квартальная отчетность'!AX105,'Квартальная отчетность'!AX250)</f>
        <v>0</v>
      </c>
      <c s="125">
        <f ca="1">SUM('Квартальная отчетность'!AY105,'Квартальная отчетность'!AY250)</f>
        <v>0</v>
      </c>
      <c s="125">
        <f ca="1">SUM('Квартальная отчетность'!AZ105,'Квартальная отчетность'!AZ250)</f>
        <v>0</v>
      </c>
      <c s="125">
        <f ca="1">SUM('Квартальная отчетность'!BA105,'Квартальная отчетность'!BA250)</f>
        <v>0</v>
      </c>
      <c s="125">
        <f ca="1">SUM('Квартальная отчетность'!BB105,'Квартальная отчетность'!BB250)</f>
        <v>0</v>
      </c>
      <c s="125">
        <f ca="1">SUM('Квартальная отчетность'!BC105,'Квартальная отчетность'!BC250)</f>
        <v>0</v>
      </c>
      <c s="125">
        <f ca="1">SUM('Квартальная отчетность'!BD105,'Квартальная отчетность'!BD250)</f>
        <v>0</v>
      </c>
      <c s="125">
        <f ca="1">SUM('Квартальная отчетность'!BE105,'Квартальная отчетность'!BE250)</f>
        <v>0</v>
      </c>
      <c s="125">
        <f ca="1">SUM('Квартальная отчетность'!BF105,'Квартальная отчетность'!BF250)</f>
        <v>0</v>
      </c>
      <c s="125">
        <f ca="1">SUM('Квартальная отчетность'!BG105,'Квартальная отчетность'!BG250)</f>
        <v>0</v>
      </c>
      <c s="125">
        <f ca="1">SUM('Квартальная отчетность'!BH105,'Квартальная отчетность'!BH250)</f>
        <v>0</v>
      </c>
      <c s="125">
        <f ca="1">SUM('Квартальная отчетность'!BI105,'Квартальная отчетность'!BI250)</f>
        <v>0</v>
      </c>
      <c s="125">
        <f ca="1">SUM('Квартальная отчетность'!BJ105,'Квартальная отчетность'!BJ250)</f>
        <v>0</v>
      </c>
      <c s="125">
        <f ca="1">SUM('Квартальная отчетность'!BK105,'Квартальная отчетность'!BK250)</f>
        <v>0</v>
      </c>
      <c s="125">
        <f ca="1">SUM('Квартальная отчетность'!BL105,'Квартальная отчетность'!BL250)</f>
        <v>0</v>
      </c>
      <c s="125">
        <f ca="1">SUM('Квартальная отчетность'!BM105,'Квартальная отчетность'!BM250)</f>
        <v>0</v>
      </c>
    </row>
    <row r="385" spans="2:65" ht="15" customHeight="1">
      <c r="B385" s="22" t="s">
        <v>1075</v>
      </c>
      <c s="124" t="str">
        <f t="shared" si="332"/>
        <v>тыс. руб.</v>
      </c>
      <c s="125"/>
      <c s="125">
        <f>'Квартальная отчетность'!E251</f>
        <v>0</v>
      </c>
      <c s="125">
        <f>'Квартальная отчетность'!F251</f>
        <v>0</v>
      </c>
      <c s="125">
        <f>'Квартальная отчетность'!G251</f>
        <v>0</v>
      </c>
      <c s="125">
        <f>'Квартальная отчетность'!H251</f>
        <v>0</v>
      </c>
      <c s="125">
        <f>'Квартальная отчетность'!I251</f>
        <v>0</v>
      </c>
      <c s="125">
        <f>'Квартальная отчетность'!J251</f>
        <v>0</v>
      </c>
      <c s="125">
        <f>'Квартальная отчетность'!K251</f>
        <v>0</v>
      </c>
      <c s="125">
        <f>'Квартальная отчетность'!L251</f>
        <v>0</v>
      </c>
      <c s="125">
        <f>'Квартальная отчетность'!M251</f>
        <v>0</v>
      </c>
      <c s="125">
        <f>'Квартальная отчетность'!N251</f>
        <v>0</v>
      </c>
      <c s="125">
        <f>'Квартальная отчетность'!O251</f>
        <v>0</v>
      </c>
      <c s="125">
        <f>'Квартальная отчетность'!P251</f>
        <v>0</v>
      </c>
      <c s="125">
        <f>'Квартальная отчетность'!Q251</f>
        <v>0</v>
      </c>
      <c s="125">
        <f>'Квартальная отчетность'!R251</f>
        <v>0</v>
      </c>
      <c s="125">
        <f>'Квартальная отчетность'!S251</f>
        <v>0</v>
      </c>
      <c s="125">
        <f>'Квартальная отчетность'!T251</f>
        <v>0</v>
      </c>
      <c s="125">
        <f>'Квартальная отчетность'!U251</f>
        <v>0</v>
      </c>
      <c s="125">
        <f>'Квартальная отчетность'!V251</f>
        <v>0</v>
      </c>
      <c s="125">
        <f>'Квартальная отчетность'!W251</f>
        <v>0</v>
      </c>
      <c s="125">
        <f>'Квартальная отчетность'!X251</f>
        <v>0</v>
      </c>
      <c s="125">
        <f>'Квартальная отчетность'!Y251</f>
        <v>0</v>
      </c>
      <c s="125">
        <f>'Квартальная отчетность'!Z251</f>
        <v>0</v>
      </c>
      <c s="125">
        <f>'Квартальная отчетность'!AA251</f>
        <v>0</v>
      </c>
      <c s="125">
        <f>'Квартальная отчетность'!AB251</f>
        <v>0</v>
      </c>
      <c s="125">
        <f>'Квартальная отчетность'!AC251</f>
        <v>0</v>
      </c>
      <c s="125">
        <f>'Квартальная отчетность'!AD251</f>
        <v>0</v>
      </c>
      <c s="125">
        <f>'Квартальная отчетность'!AE251</f>
        <v>0</v>
      </c>
      <c s="125">
        <f>'Квартальная отчетность'!AF251</f>
        <v>0</v>
      </c>
      <c s="125">
        <f>'Квартальная отчетность'!AG251</f>
        <v>0</v>
      </c>
      <c s="125">
        <f>'Квартальная отчетность'!AH251</f>
        <v>0</v>
      </c>
      <c s="125">
        <f>'Квартальная отчетность'!AI251</f>
        <v>0</v>
      </c>
      <c s="125">
        <f>'Квартальная отчетность'!AJ251</f>
        <v>0</v>
      </c>
      <c s="125">
        <f>'Квартальная отчетность'!AK251</f>
        <v>0</v>
      </c>
      <c s="125">
        <f>'Квартальная отчетность'!AL251</f>
        <v>0</v>
      </c>
      <c s="125">
        <f>'Квартальная отчетность'!AM251</f>
        <v>0</v>
      </c>
      <c s="125">
        <f>'Квартальная отчетность'!AN251</f>
        <v>0</v>
      </c>
      <c s="125">
        <f>'Квартальная отчетность'!AO251</f>
        <v>0</v>
      </c>
      <c s="125">
        <f>'Квартальная отчетность'!AP251</f>
        <v>0</v>
      </c>
      <c s="125">
        <f>'Квартальная отчетность'!AQ251</f>
        <v>0</v>
      </c>
      <c s="125">
        <f>'Квартальная отчетность'!AR251</f>
        <v>0</v>
      </c>
      <c s="125">
        <f>'Квартальная отчетность'!AS251</f>
        <v>0</v>
      </c>
      <c s="125">
        <f>'Квартальная отчетность'!AT251</f>
        <v>0</v>
      </c>
      <c s="125">
        <f>'Квартальная отчетность'!AU251</f>
        <v>0</v>
      </c>
      <c s="125">
        <f>'Квартальная отчетность'!AV251</f>
        <v>0</v>
      </c>
      <c s="125">
        <f>'Квартальная отчетность'!AW251</f>
        <v>0</v>
      </c>
      <c s="125">
        <f>'Квартальная отчетность'!AX251</f>
        <v>0</v>
      </c>
      <c s="125">
        <f>'Квартальная отчетность'!AY251</f>
        <v>0</v>
      </c>
      <c s="125">
        <f>'Квартальная отчетность'!AZ251</f>
        <v>0</v>
      </c>
      <c s="125">
        <f>'Квартальная отчетность'!BA251</f>
        <v>0</v>
      </c>
      <c s="125">
        <f>'Квартальная отчетность'!BB251</f>
        <v>0</v>
      </c>
      <c s="125">
        <f>'Квартальная отчетность'!BC251</f>
        <v>0</v>
      </c>
      <c s="125">
        <f>'Квартальная отчетность'!BD251</f>
        <v>0</v>
      </c>
      <c s="125">
        <f>'Квартальная отчетность'!BE251</f>
        <v>0</v>
      </c>
      <c s="125">
        <f>'Квартальная отчетность'!BF251</f>
        <v>0</v>
      </c>
      <c s="125">
        <f>'Квартальная отчетность'!BG251</f>
        <v>0</v>
      </c>
      <c s="125">
        <f>'Квартальная отчетность'!BH251</f>
        <v>0</v>
      </c>
      <c s="125">
        <f>'Квартальная отчетность'!BI251</f>
        <v>0</v>
      </c>
      <c s="125">
        <f>'Квартальная отчетность'!BJ251</f>
        <v>0</v>
      </c>
      <c s="125">
        <f>'Квартальная отчетность'!BK251</f>
        <v>0</v>
      </c>
      <c s="125">
        <f>'Квартальная отчетность'!BL251</f>
        <v>0</v>
      </c>
      <c s="125">
        <f>'Квартальная отчетность'!BM251</f>
        <v>0</v>
      </c>
    </row>
    <row r="386" spans="2:65" ht="15" customHeight="1">
      <c r="B386" s="22" t="s">
        <v>1071</v>
      </c>
      <c s="124" t="str">
        <f t="shared" si="332"/>
        <v>тыс. руб.</v>
      </c>
      <c s="125"/>
      <c s="125">
        <f>'Квартальная отчетность'!E252</f>
        <v>0</v>
      </c>
      <c s="125">
        <f>'Квартальная отчетность'!F252</f>
        <v>0</v>
      </c>
      <c s="125">
        <f>'Квартальная отчетность'!G252</f>
        <v>0</v>
      </c>
      <c s="125">
        <f>'Квартальная отчетность'!H252</f>
        <v>0</v>
      </c>
      <c s="125">
        <f>'Квартальная отчетность'!I252</f>
        <v>0</v>
      </c>
      <c s="125">
        <f>'Квартальная отчетность'!J252</f>
        <v>0</v>
      </c>
      <c s="125">
        <f>'Квартальная отчетность'!K252</f>
        <v>0</v>
      </c>
      <c s="125">
        <f>'Квартальная отчетность'!L252</f>
        <v>0</v>
      </c>
      <c s="125">
        <f>'Квартальная отчетность'!M252</f>
        <v>0</v>
      </c>
      <c s="125">
        <f>'Квартальная отчетность'!N252</f>
        <v>0</v>
      </c>
      <c s="125">
        <f>'Квартальная отчетность'!O252</f>
        <v>0</v>
      </c>
      <c s="125">
        <f>'Квартальная отчетность'!P252</f>
        <v>0</v>
      </c>
      <c s="125">
        <f>'Квартальная отчетность'!Q252</f>
        <v>0</v>
      </c>
      <c s="125">
        <f>'Квартальная отчетность'!R252</f>
        <v>0</v>
      </c>
      <c s="125">
        <f>'Квартальная отчетность'!S252</f>
        <v>0</v>
      </c>
      <c s="125">
        <f>'Квартальная отчетность'!T252</f>
        <v>0</v>
      </c>
      <c s="125">
        <f>'Квартальная отчетность'!U252</f>
        <v>0</v>
      </c>
      <c s="125">
        <f>'Квартальная отчетность'!V252</f>
        <v>0</v>
      </c>
      <c s="125">
        <f>'Квартальная отчетность'!W252</f>
        <v>0</v>
      </c>
      <c s="125">
        <f>'Квартальная отчетность'!X252</f>
        <v>0</v>
      </c>
      <c s="125">
        <f>'Квартальная отчетность'!Y252</f>
        <v>0</v>
      </c>
      <c s="125">
        <f>'Квартальная отчетность'!Z252</f>
        <v>0</v>
      </c>
      <c s="125">
        <f>'Квартальная отчетность'!AA252</f>
        <v>0</v>
      </c>
      <c s="125">
        <f>'Квартальная отчетность'!AB252</f>
        <v>0</v>
      </c>
      <c s="125">
        <f>'Квартальная отчетность'!AC252</f>
        <v>0</v>
      </c>
      <c s="125">
        <f>'Квартальная отчетность'!AD252</f>
        <v>0</v>
      </c>
      <c s="125">
        <f>'Квартальная отчетность'!AE252</f>
        <v>0</v>
      </c>
      <c s="125">
        <f>'Квартальная отчетность'!AF252</f>
        <v>0</v>
      </c>
      <c s="125">
        <f>'Квартальная отчетность'!AG252</f>
        <v>0</v>
      </c>
      <c s="125">
        <f>'Квартальная отчетность'!AH252</f>
        <v>0</v>
      </c>
      <c s="125">
        <f>'Квартальная отчетность'!AI252</f>
        <v>0</v>
      </c>
      <c s="125">
        <f>'Квартальная отчетность'!AJ252</f>
        <v>0</v>
      </c>
      <c s="125">
        <f>'Квартальная отчетность'!AK252</f>
        <v>0</v>
      </c>
      <c s="125">
        <f>'Квартальная отчетность'!AL252</f>
        <v>0</v>
      </c>
      <c s="125">
        <f>'Квартальная отчетность'!AM252</f>
        <v>0</v>
      </c>
      <c s="125">
        <f>'Квартальная отчетность'!AN252</f>
        <v>0</v>
      </c>
      <c s="125">
        <f>'Квартальная отчетность'!AO252</f>
        <v>0</v>
      </c>
      <c s="125">
        <f>'Квартальная отчетность'!AP252</f>
        <v>0</v>
      </c>
      <c s="125">
        <f>'Квартальная отчетность'!AQ252</f>
        <v>0</v>
      </c>
      <c s="125">
        <f>'Квартальная отчетность'!AR252</f>
        <v>0</v>
      </c>
      <c s="125">
        <f>'Квартальная отчетность'!AS252</f>
        <v>0</v>
      </c>
      <c s="125">
        <f>'Квартальная отчетность'!AT252</f>
        <v>0</v>
      </c>
      <c s="125">
        <f>'Квартальная отчетность'!AU252</f>
        <v>0</v>
      </c>
      <c s="125">
        <f>'Квартальная отчетность'!AV252</f>
        <v>0</v>
      </c>
      <c s="125">
        <f>'Квартальная отчетность'!AW252</f>
        <v>0</v>
      </c>
      <c s="125">
        <f>'Квартальная отчетность'!AX252</f>
        <v>0</v>
      </c>
      <c s="125">
        <f>'Квартальная отчетность'!AY252</f>
        <v>0</v>
      </c>
      <c s="125">
        <f>'Квартальная отчетность'!AZ252</f>
        <v>0</v>
      </c>
      <c s="125">
        <f>'Квартальная отчетность'!BA252</f>
        <v>0</v>
      </c>
      <c s="125">
        <f>'Квартальная отчетность'!BB252</f>
        <v>0</v>
      </c>
      <c s="125">
        <f>'Квартальная отчетность'!BC252</f>
        <v>0</v>
      </c>
      <c s="125">
        <f>'Квартальная отчетность'!BD252</f>
        <v>0</v>
      </c>
      <c s="125">
        <f>'Квартальная отчетность'!BE252</f>
        <v>0</v>
      </c>
      <c s="125">
        <f>'Квартальная отчетность'!BF252</f>
        <v>0</v>
      </c>
      <c s="125">
        <f>'Квартальная отчетность'!BG252</f>
        <v>0</v>
      </c>
      <c s="125">
        <f>'Квартальная отчетность'!BH252</f>
        <v>0</v>
      </c>
      <c s="125">
        <f>'Квартальная отчетность'!BI252</f>
        <v>0</v>
      </c>
      <c s="125">
        <f>'Квартальная отчетность'!BJ252</f>
        <v>0</v>
      </c>
      <c s="125">
        <f>'Квартальная отчетность'!BK252</f>
        <v>0</v>
      </c>
      <c s="125">
        <f>'Квартальная отчетность'!BL252</f>
        <v>0</v>
      </c>
      <c s="125">
        <f>'Квартальная отчетность'!BM252</f>
        <v>0</v>
      </c>
    </row>
    <row r="387" spans="2:65" ht="15" customHeight="1">
      <c r="B387" s="22" t="s">
        <v>1072</v>
      </c>
      <c s="124" t="str">
        <f t="shared" si="332"/>
        <v>тыс. руб.</v>
      </c>
      <c s="125"/>
      <c s="125">
        <f>'Квартальная отчетность'!E253</f>
        <v>0</v>
      </c>
      <c s="125">
        <f>'Квартальная отчетность'!F253</f>
        <v>0</v>
      </c>
      <c s="125">
        <f>'Квартальная отчетность'!G253</f>
        <v>0</v>
      </c>
      <c s="125">
        <f>'Квартальная отчетность'!H253</f>
        <v>0</v>
      </c>
      <c s="125">
        <f>'Квартальная отчетность'!I253</f>
        <v>0</v>
      </c>
      <c s="125">
        <f>'Квартальная отчетность'!J253</f>
        <v>0</v>
      </c>
      <c s="125">
        <f>'Квартальная отчетность'!K253</f>
        <v>0</v>
      </c>
      <c s="125">
        <f>'Квартальная отчетность'!L253</f>
        <v>0</v>
      </c>
      <c s="125">
        <f>'Квартальная отчетность'!M253</f>
        <v>0</v>
      </c>
      <c s="125">
        <f>'Квартальная отчетность'!N253</f>
        <v>0</v>
      </c>
      <c s="125">
        <f>'Квартальная отчетность'!O253</f>
        <v>0</v>
      </c>
      <c s="125">
        <f>'Квартальная отчетность'!P253</f>
        <v>0</v>
      </c>
      <c s="125">
        <f>'Квартальная отчетность'!Q253</f>
        <v>0</v>
      </c>
      <c s="125">
        <f>'Квартальная отчетность'!R253</f>
        <v>0</v>
      </c>
      <c s="125">
        <f>'Квартальная отчетность'!S253</f>
        <v>0</v>
      </c>
      <c s="125">
        <f>'Квартальная отчетность'!T253</f>
        <v>0</v>
      </c>
      <c s="125">
        <f>'Квартальная отчетность'!U253</f>
        <v>0</v>
      </c>
      <c s="125">
        <f>'Квартальная отчетность'!V253</f>
        <v>0</v>
      </c>
      <c s="125">
        <f>'Квартальная отчетность'!W253</f>
        <v>0</v>
      </c>
      <c s="125">
        <f>'Квартальная отчетность'!X253</f>
        <v>0</v>
      </c>
      <c s="125">
        <f>'Квартальная отчетность'!Y253</f>
        <v>0</v>
      </c>
      <c s="125">
        <f>'Квартальная отчетность'!Z253</f>
        <v>0</v>
      </c>
      <c s="125">
        <f>'Квартальная отчетность'!AA253</f>
        <v>0</v>
      </c>
      <c s="125">
        <f>'Квартальная отчетность'!AB253</f>
        <v>0</v>
      </c>
      <c s="125">
        <f>'Квартальная отчетность'!AC253</f>
        <v>0</v>
      </c>
      <c s="125">
        <f>'Квартальная отчетность'!AD253</f>
        <v>0</v>
      </c>
      <c s="125">
        <f>'Квартальная отчетность'!AE253</f>
        <v>0</v>
      </c>
      <c s="125">
        <f>'Квартальная отчетность'!AF253</f>
        <v>0</v>
      </c>
      <c s="125">
        <f>'Квартальная отчетность'!AG253</f>
        <v>0</v>
      </c>
      <c s="125">
        <f>'Квартальная отчетность'!AH253</f>
        <v>0</v>
      </c>
      <c s="125">
        <f>'Квартальная отчетность'!AI253</f>
        <v>0</v>
      </c>
      <c s="125">
        <f>'Квартальная отчетность'!AJ253</f>
        <v>0</v>
      </c>
      <c s="125">
        <f>'Квартальная отчетность'!AK253</f>
        <v>0</v>
      </c>
      <c s="125">
        <f>'Квартальная отчетность'!AL253</f>
        <v>0</v>
      </c>
      <c s="125">
        <f>'Квартальная отчетность'!AM253</f>
        <v>0</v>
      </c>
      <c s="125">
        <f>'Квартальная отчетность'!AN253</f>
        <v>0</v>
      </c>
      <c s="125">
        <f>'Квартальная отчетность'!AO253</f>
        <v>0</v>
      </c>
      <c s="125">
        <f>'Квартальная отчетность'!AP253</f>
        <v>0</v>
      </c>
      <c s="125">
        <f>'Квартальная отчетность'!AQ253</f>
        <v>0</v>
      </c>
      <c s="125">
        <f>'Квартальная отчетность'!AR253</f>
        <v>0</v>
      </c>
      <c s="125">
        <f>'Квартальная отчетность'!AS253</f>
        <v>0</v>
      </c>
      <c s="125">
        <f>'Квартальная отчетность'!AT253</f>
        <v>0</v>
      </c>
      <c s="125">
        <f>'Квартальная отчетность'!AU253</f>
        <v>0</v>
      </c>
      <c s="125">
        <f>'Квартальная отчетность'!AV253</f>
        <v>0</v>
      </c>
      <c s="125">
        <f>'Квартальная отчетность'!AW253</f>
        <v>0</v>
      </c>
      <c s="125">
        <f>'Квартальная отчетность'!AX253</f>
        <v>0</v>
      </c>
      <c s="125">
        <f>'Квартальная отчетность'!AY253</f>
        <v>0</v>
      </c>
      <c s="125">
        <f>'Квартальная отчетность'!AZ253</f>
        <v>0</v>
      </c>
      <c s="125">
        <f>'Квартальная отчетность'!BA253</f>
        <v>0</v>
      </c>
      <c s="125">
        <f>'Квартальная отчетность'!BB253</f>
        <v>0</v>
      </c>
      <c s="125">
        <f>'Квартальная отчетность'!BC253</f>
        <v>0</v>
      </c>
      <c s="125">
        <f>'Квартальная отчетность'!BD253</f>
        <v>0</v>
      </c>
      <c s="125">
        <f>'Квартальная отчетность'!BE253</f>
        <v>0</v>
      </c>
      <c s="125">
        <f>'Квартальная отчетность'!BF253</f>
        <v>0</v>
      </c>
      <c s="125">
        <f>'Квартальная отчетность'!BG253</f>
        <v>0</v>
      </c>
      <c s="125">
        <f>'Квартальная отчетность'!BH253</f>
        <v>0</v>
      </c>
      <c s="125">
        <f>'Квартальная отчетность'!BI253</f>
        <v>0</v>
      </c>
      <c s="125">
        <f>'Квартальная отчетность'!BJ253</f>
        <v>0</v>
      </c>
      <c s="125">
        <f>'Квартальная отчетность'!BK253</f>
        <v>0</v>
      </c>
      <c s="125">
        <f>'Квартальная отчетность'!BL253</f>
        <v>0</v>
      </c>
      <c s="125">
        <f>'Квартальная отчетность'!BM253</f>
        <v>0</v>
      </c>
    </row>
    <row r="388" spans="2:65" ht="15" customHeight="1">
      <c r="B388" s="289" t="s">
        <v>1076</v>
      </c>
      <c s="290" t="str">
        <f t="shared" si="332"/>
        <v>тыс. руб.</v>
      </c>
      <c s="276"/>
      <c s="276">
        <f ca="1" t="shared" si="333" ref="E388">SUM(E383:E387)</f>
        <v>0</v>
      </c>
      <c s="276">
        <f ca="1" t="shared" si="334" ref="F388:AG388">SUM(F383:F387)</f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t="shared" ca="1" si="334"/>
        <v>0</v>
      </c>
      <c s="276">
        <f ca="1" t="shared" si="335" ref="AH388:BM388">SUM(AH383:AH387)</f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  <c s="276">
        <f t="shared" ca="1" si="335"/>
        <v>0</v>
      </c>
    </row>
    <row r="389" ht="15" customHeight="1"/>
    <row r="390" spans="2:65" ht="15" customHeight="1">
      <c r="B390" s="292" t="s">
        <v>1014</v>
      </c>
      <c s="293" t="str">
        <f>Единица_измерения</f>
        <v>тыс. руб.</v>
      </c>
      <c s="291"/>
      <c s="291">
        <f ca="1">SUM(E373,E380,E388)</f>
        <v>0</v>
      </c>
      <c s="291">
        <f ca="1" t="shared" si="336" ref="F390:AG390">SUM(F373,F380,F388)</f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t="shared" ca="1" si="336"/>
        <v>0</v>
      </c>
      <c s="291">
        <f ca="1" t="shared" si="337" ref="AH390:BM390">SUM(AH373,AH380,AH388)</f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  <c s="291">
        <f t="shared" ca="1" si="337"/>
        <v>0</v>
      </c>
    </row>
    <row r="391" ht="15" customHeight="1"/>
    <row r="392" spans="2:65" ht="15" customHeight="1">
      <c r="B392" s="12" t="s">
        <v>1015</v>
      </c>
      <c s="124"/>
      <c s="125"/>
      <c s="125">
        <f ca="1">ROUND(E364-E390,1)</f>
        <v>0</v>
      </c>
      <c s="125">
        <f ca="1" t="shared" si="338" ref="F392:AG392">ROUND(F364-F390,1)</f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t="shared" ca="1" si="338"/>
        <v>0</v>
      </c>
      <c s="125">
        <f ca="1" t="shared" si="339" ref="AH392:BM392">ROUND(AH364-AH390,1)</f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</row>
    <row r="393" spans="6:65" ht="15" customHeight="1">
      <c r="F393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394" spans="2:65" ht="15" customHeight="1">
      <c r="B394" s="608" t="s">
        <v>1016</v>
      </c>
      <c s="609"/>
      <c s="47" t="str">
        <f ca="1">IFERROR(IF(COUNTIF(OFFSET(E392,,,,MAX(SUM($E$12:$BM$12),1)),"&lt;&gt;0")&gt;0,"Q","R"),"Q")</f>
        <v>R</v>
      </c>
      <c r="F394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395" spans="2:65" ht="15" customHeight="1">
      <c r="B395" s="608" t="s">
        <v>1017</v>
      </c>
      <c s="609"/>
      <c s="47" t="str">
        <f ca="1">IFERROR(IF(COUNTIF(E392:BM392,"&lt;&gt;0")&gt;0,"Q","R"),"Q")</f>
        <v>R</v>
      </c>
      <c r="F395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396" ht="15" customHeight="1"/>
  </sheetData>
  <sheetProtection algorithmName="SHA-512" hashValue="fyhJcBKRD6pKa5Ps0IfCHMU+JOq5oP4a9OMd1EVsTjWdbLL+vn9BSZCg2vuoPKoUfuWCAER1kWoQ7tkAirJ8yg==" saltValue="zEZkxcWBj8qdzOuUyaPjsQ==" spinCount="100000" sheet="1" objects="1" scenarios="1"/>
  <mergeCells count="17">
    <mergeCell ref="B6:B8"/>
    <mergeCell ref="C6:C8"/>
    <mergeCell ref="D6:D8"/>
    <mergeCell ref="E2:H2"/>
    <mergeCell ref="E4:G4"/>
    <mergeCell ref="B80:C80"/>
    <mergeCell ref="B112:C112"/>
    <mergeCell ref="B113:C113"/>
    <mergeCell ref="B81:C81"/>
    <mergeCell ref="B204:C204"/>
    <mergeCell ref="B394:C394"/>
    <mergeCell ref="B395:C395"/>
    <mergeCell ref="B205:C205"/>
    <mergeCell ref="B260:C260"/>
    <mergeCell ref="B261:C261"/>
    <mergeCell ref="B339:C339"/>
    <mergeCell ref="B340:C340"/>
  </mergeCells>
  <conditionalFormatting sqref="D80:D81">
    <cfRule type="cellIs" priority="11" dxfId="24" operator="equal">
      <formula>"Q"</formula>
    </cfRule>
    <cfRule type="cellIs" priority="12" dxfId="23" operator="equal">
      <formula>"R"</formula>
    </cfRule>
  </conditionalFormatting>
  <conditionalFormatting sqref="D112:D113">
    <cfRule type="cellIs" priority="13" dxfId="24" operator="equal">
      <formula>"Q"</formula>
    </cfRule>
    <cfRule type="cellIs" priority="14" dxfId="23" operator="equal">
      <formula>"R"</formula>
    </cfRule>
  </conditionalFormatting>
  <conditionalFormatting sqref="D204:D205">
    <cfRule type="cellIs" priority="7" dxfId="24" operator="equal">
      <formula>"Q"</formula>
    </cfRule>
    <cfRule type="cellIs" priority="8" dxfId="23" operator="equal">
      <formula>"R"</formula>
    </cfRule>
  </conditionalFormatting>
  <conditionalFormatting sqref="D260:D261">
    <cfRule type="cellIs" priority="5" dxfId="24" operator="equal">
      <formula>"Q"</formula>
    </cfRule>
    <cfRule type="cellIs" priority="6" dxfId="23" operator="equal">
      <formula>"R"</formula>
    </cfRule>
  </conditionalFormatting>
  <conditionalFormatting sqref="D339:D340">
    <cfRule type="cellIs" priority="3" dxfId="24" operator="equal">
      <formula>"Q"</formula>
    </cfRule>
    <cfRule type="cellIs" priority="4" dxfId="23" operator="equal">
      <formula>"R"</formula>
    </cfRule>
  </conditionalFormatting>
  <conditionalFormatting sqref="D394:D395">
    <cfRule type="cellIs" priority="1" dxfId="24" operator="equal">
      <formula>"Q"</formula>
    </cfRule>
    <cfRule type="cellIs" priority="2" dxfId="23" operator="equal">
      <formula>"R"</formula>
    </cfRule>
  </conditionalFormatting>
  <conditionalFormatting sqref="E4">
    <cfRule type="expression" priority="17" dxfId="24">
      <formula>$H$4="Q"</formula>
    </cfRule>
    <cfRule type="expression" priority="18" dxfId="23">
      <formula>$H$4="R"</formula>
    </cfRule>
  </conditionalFormatting>
  <conditionalFormatting sqref="E12:BM12">
    <cfRule type="cellIs" priority="19" dxfId="23" operator="equal">
      <formula>1</formula>
    </cfRule>
  </conditionalFormatting>
  <conditionalFormatting sqref="H4">
    <cfRule type="cellIs" priority="15" dxfId="24" operator="equal">
      <formula>"Q"</formula>
    </cfRule>
    <cfRule type="cellIs" priority="16" dxfId="23" operator="equal">
      <formula>"R"</formula>
    </cfRule>
  </conditionalFormatting>
  <dataValidations count="4">
    <dataValidation type="whole" operator="lessThanOrEqual" allowBlank="1" showInputMessage="1" showErrorMessage="1" errorTitle="Некорректное значение" error="Значение показателя отражается с отрицательным знаком." sqref="E121:BM122 E170:BM173 E150:BM154 E190:BM194 E131:BM131">
      <formula1>0</formula1>
    </dataValidation>
    <dataValidation type="whole" operator="greaterThanOrEqual" allowBlank="1" showInputMessage="1" showErrorMessage="1" errorTitle="Некорректное значение" error="Значение показателя отражается с положительным знаком." sqref="E136:BM137">
      <formula1>0</formula1>
    </dataValidation>
    <dataValidation type="list" allowBlank="1" showInputMessage="1" showErrorMessage="1" sqref="K3">
      <formula1>$E$8:$BM$8</formula1>
    </dataValidation>
    <dataValidation operator="greaterThanOrEqual" allowBlank="1" showInputMessage="1" showErrorMessage="1" errorTitle="Некорректное значение" error="Значение показателя отражается с положительным знаком." sqref="D138:BM138"/>
  </dataValidations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22">
    <tabColor rgb="FFC8E6E5"/>
    <pageSetUpPr fitToPage="1"/>
  </sheetPr>
  <dimension ref="B2:BM381"/>
  <sheetViews>
    <sheetView showGridLines="0" workbookViewId="0" topLeftCell="A1">
      <pane xSplit="4" ySplit="8" topLeftCell="E58" activePane="bottomRight" state="frozen"/>
      <selection pane="topLeft" activeCell="A1" sqref="A1"/>
      <selection pane="bottomLeft" activeCell="K3" sqref="K3"/>
      <selection pane="topRight" activeCell="K3" sqref="K3"/>
      <selection pane="bottomRight" activeCell="E2" sqref="E2:H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20" width="17.2857142857143" customWidth="1"/>
    <col min="21" max="21" width="2.85714285714286" customWidth="1"/>
    <col min="22" max="23" width="15.7142857142857" hidden="1" customWidth="1"/>
    <col min="24" max="24" width="2.71428571428571" hidden="1" customWidth="1"/>
    <col min="25" max="26" width="15.7142857142857" hidden="1" customWidth="1"/>
    <col min="27" max="27" width="2.85714285714286" hidden="1" customWidth="1"/>
    <col min="28" max="38" width="0" hidden="1" customWidth="1"/>
    <col min="39" max="41" width="15.7142857142857" hidden="1" customWidth="1"/>
    <col min="42" max="42" width="2.85714285714286" hidden="1" customWidth="1"/>
    <col min="43" max="53" width="0" hidden="1" customWidth="1"/>
    <col min="5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11" ht="15" customHeight="1">
      <c r="E3" s="63" t="s">
        <v>8</v>
      </c>
      <c s="63" t="s">
        <v>9</v>
      </c>
      <c s="63" t="s">
        <v>10</v>
      </c>
      <c s="63" t="s">
        <v>24</v>
      </c>
      <c r="J3" s="12" t="str">
        <f>'Квартальная отчетность'!J3</f>
        <v xml:space="preserve">Рассчитать по </v>
      </c>
      <c s="181">
        <f>'Квартальная отчетность'!K3</f>
        <v>47848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26" ht="31.15">
      <c r="B5" s="7" t="s">
        <v>1079</v>
      </c>
      <c r="D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20" ht="15" customHeight="1">
      <c r="B6" s="605" t="s">
        <v>91</v>
      </c>
      <c s="605" t="s">
        <v>482</v>
      </c>
      <c s="605"/>
      <c s="255">
        <f>Предпосылки!M73</f>
        <v>1</v>
      </c>
      <c s="255">
        <f>Предпосылки!N73</f>
        <v>2</v>
      </c>
      <c s="255">
        <f>Предпосылки!O73</f>
        <v>3</v>
      </c>
      <c s="255">
        <f>Предпосылки!P73</f>
        <v>4</v>
      </c>
      <c s="255">
        <f>Предпосылки!Q73</f>
        <v>5</v>
      </c>
      <c s="255">
        <f>Предпосылки!R73</f>
        <v>6</v>
      </c>
      <c s="255">
        <f>Предпосылки!S73</f>
        <v>7</v>
      </c>
      <c s="255">
        <f>Предпосылки!T73</f>
        <v>8</v>
      </c>
      <c s="255">
        <f>Предпосылки!U73</f>
        <v>9</v>
      </c>
      <c s="255">
        <f>Предпосылки!V73</f>
        <v>10</v>
      </c>
      <c s="255">
        <f>Предпосылки!W73</f>
        <v>11</v>
      </c>
      <c s="255">
        <f>Предпосылки!X73</f>
        <v>12</v>
      </c>
      <c s="255">
        <f>Предпосылки!Y73</f>
        <v>13</v>
      </c>
      <c s="255">
        <f>Предпосылки!Z73</f>
        <v>14</v>
      </c>
      <c s="255">
        <f>Предпосылки!AA73</f>
        <v>15</v>
      </c>
      <c s="255">
        <f>Предпосылки!AB73</f>
        <v>16</v>
      </c>
    </row>
    <row r="7" spans="2:20" ht="15" customHeight="1">
      <c r="B7" s="606"/>
      <c s="606"/>
      <c s="606"/>
      <c s="250">
        <f>IF(E6=1,Предпосылки!M74,D8+1)</f>
        <v>45658</v>
      </c>
      <c s="250">
        <f>IF(F6=1,Предпосылки!N74,E8+1)</f>
        <v>46023</v>
      </c>
      <c s="250">
        <f>IF(G6=1,Предпосылки!O74,F8+1)</f>
        <v>46388</v>
      </c>
      <c s="250">
        <f>IF(H6=1,Предпосылки!P74,G8+1)</f>
        <v>46753</v>
      </c>
      <c s="250">
        <f>IF(I6=1,Предпосылки!Q74,H8+1)</f>
        <v>47119</v>
      </c>
      <c s="250">
        <f>IF(J6=1,Предпосылки!R74,I8+1)</f>
        <v>47484</v>
      </c>
      <c s="250">
        <f>IF(K6=1,Предпосылки!S74,J8+1)</f>
        <v>47849</v>
      </c>
      <c s="250">
        <f>IF(L6=1,Предпосылки!T74,K8+1)</f>
        <v>48214</v>
      </c>
      <c s="250">
        <f>IF(M6=1,Предпосылки!U74,L8+1)</f>
        <v>48580</v>
      </c>
      <c s="250">
        <f>IF(N6=1,Предпосылки!V74,M8+1)</f>
        <v>48945</v>
      </c>
      <c s="250">
        <f>IF(O6=1,Предпосылки!W74,N8+1)</f>
        <v>49310</v>
      </c>
      <c s="250">
        <f>IF(P6=1,Предпосылки!X74,O8+1)</f>
        <v>49675</v>
      </c>
      <c s="250">
        <f>IF(Q6=1,Предпосылки!Y74,P8+1)</f>
        <v>50041</v>
      </c>
      <c s="250">
        <f>IF(R6=1,Предпосылки!Z74,Q8+1)</f>
        <v>50406</v>
      </c>
      <c s="250">
        <f>IF(S6=1,Предпосылки!AA74,R8+1)</f>
        <v>50771</v>
      </c>
      <c s="250">
        <f>IF(T6=1,Предпосылки!AB74,S8+1)</f>
        <v>51136</v>
      </c>
    </row>
    <row r="8" spans="2:20" ht="15" customHeight="1">
      <c r="B8" s="607"/>
      <c s="607"/>
      <c s="607"/>
      <c s="250">
        <f t="shared" si="0" ref="E8">DATE(YEAR(E7),12,31)</f>
        <v>46022</v>
      </c>
      <c s="250">
        <f t="shared" si="1" ref="F8:L8">DATE(YEAR(F7),12,31)</f>
        <v>46387</v>
      </c>
      <c s="250">
        <f t="shared" si="1"/>
        <v>46752</v>
      </c>
      <c s="250">
        <f t="shared" si="1"/>
        <v>47118</v>
      </c>
      <c s="250">
        <f t="shared" si="1"/>
        <v>47483</v>
      </c>
      <c s="250">
        <f t="shared" si="1"/>
        <v>47848</v>
      </c>
      <c s="250">
        <f t="shared" si="1"/>
        <v>48213</v>
      </c>
      <c s="250">
        <f t="shared" si="1"/>
        <v>48579</v>
      </c>
      <c s="250">
        <f t="shared" si="2" ref="M8:R8">DATE(YEAR(M7),12,31)</f>
        <v>48944</v>
      </c>
      <c s="250">
        <f t="shared" si="2"/>
        <v>49309</v>
      </c>
      <c s="250">
        <f t="shared" si="2"/>
        <v>49674</v>
      </c>
      <c s="250">
        <f t="shared" si="2"/>
        <v>50040</v>
      </c>
      <c s="250">
        <f t="shared" si="2"/>
        <v>50405</v>
      </c>
      <c s="250">
        <f t="shared" si="2"/>
        <v>50770</v>
      </c>
      <c s="250">
        <f t="shared" si="3" ref="S8:T8">DATE(YEAR(S7),12,31)</f>
        <v>51135</v>
      </c>
      <c s="250">
        <f t="shared" si="3"/>
        <v>51501</v>
      </c>
    </row>
    <row r="9" spans="2:20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26" ht="31.15">
      <c r="B10" s="7" t="s">
        <v>971</v>
      </c>
      <c r="D10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11" spans="2:26" ht="21">
      <c r="B11" s="23" t="s">
        <v>326</v>
      </c>
      <c r="D1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" spans="2:20" ht="15" customHeight="1">
      <c r="B12" s="12" t="s">
        <v>273</v>
      </c>
      <c s="124" t="str">
        <f>Единица_измерения</f>
        <v>тыс. руб.</v>
      </c>
      <c s="276">
        <f>SUM(E12:T12)</f>
        <v>0</v>
      </c>
      <c s="125">
        <f>SUMIF('Квартальная отчетность'!$E$10:$BM$10,YEAR(E$8),'Квартальная отчетность'!$E16:$BM16)</f>
        <v>0</v>
      </c>
      <c s="125">
        <f>SUMIF('Квартальная отчетность'!$E$10:$BM$10,YEAR(F$8),'Квартальная отчетность'!$E16:$BM16)</f>
        <v>0</v>
      </c>
      <c s="125">
        <f>SUMIF('Квартальная отчетность'!$E$10:$BM$10,YEAR(G$8),'Квартальная отчетность'!$E16:$BM16)</f>
        <v>0</v>
      </c>
      <c s="125">
        <f>SUMIF('Квартальная отчетность'!$E$10:$BM$10,YEAR(H$8),'Квартальная отчетность'!$E16:$BM16)</f>
        <v>0</v>
      </c>
      <c s="125">
        <f>SUMIF('Квартальная отчетность'!$E$10:$BM$10,YEAR(I$8),'Квартальная отчетность'!$E16:$BM16)</f>
        <v>0</v>
      </c>
      <c s="125">
        <f>SUMIF('Квартальная отчетность'!$E$10:$BM$10,YEAR(J$8),'Квартальная отчетность'!$E16:$BM16)</f>
        <v>0</v>
      </c>
      <c s="125">
        <f>SUMIF('Квартальная отчетность'!$E$10:$BM$10,YEAR(K$8),'Квартальная отчетность'!$E16:$BM16)</f>
        <v>0</v>
      </c>
      <c s="125">
        <f>SUMIF('Квартальная отчетность'!$E$10:$BM$10,YEAR(L$8),'Квартальная отчетность'!$E16:$BM16)</f>
        <v>0</v>
      </c>
      <c s="125">
        <f>SUMIF('Квартальная отчетность'!$E$10:$BM$10,YEAR(M$8),'Квартальная отчетность'!$E16:$BM16)</f>
        <v>0</v>
      </c>
      <c s="125">
        <f>SUMIF('Квартальная отчетность'!$E$10:$BM$10,YEAR(N$8),'Квартальная отчетность'!$E16:$BM16)</f>
        <v>0</v>
      </c>
      <c s="125">
        <f>SUMIF('Квартальная отчетность'!$E$10:$BM$10,YEAR(O$8),'Квартальная отчетность'!$E16:$BM16)</f>
        <v>0</v>
      </c>
      <c s="125">
        <f>SUMIF('Квартальная отчетность'!$E$10:$BM$10,YEAR(P$8),'Квартальная отчетность'!$E16:$BM16)</f>
        <v>0</v>
      </c>
      <c s="125">
        <f>SUMIF('Квартальная отчетность'!$E$10:$BM$10,YEAR(Q$8),'Квартальная отчетность'!$E16:$BM16)</f>
        <v>0</v>
      </c>
      <c s="125">
        <f>SUMIF('Квартальная отчетность'!$E$10:$BM$10,YEAR(R$8),'Квартальная отчетность'!$E16:$BM16)</f>
        <v>0</v>
      </c>
      <c s="125">
        <f>SUMIF('Квартальная отчетность'!$E$10:$BM$10,YEAR(S$8),'Квартальная отчетность'!$E16:$BM16)</f>
        <v>0</v>
      </c>
      <c s="125">
        <f>SUMIF('Квартальная отчетность'!$E$10:$BM$10,YEAR(T$8),'Квартальная отчетность'!$E16:$BM16)</f>
        <v>0</v>
      </c>
    </row>
    <row r="13" spans="2:20" ht="15" customHeight="1">
      <c r="B13" s="22" t="s">
        <v>972</v>
      </c>
      <c s="124" t="str">
        <f>Единица_измерения</f>
        <v>тыс. руб.</v>
      </c>
      <c s="276">
        <f ca="1">SUM(E13:T13)</f>
        <v>0</v>
      </c>
      <c s="125">
        <f ca="1">SUMIF('Квартальная отчетность'!$E$10:$BM$10,YEAR(E$8),'Квартальная отчетность'!$E17:$AG17)</f>
        <v>0</v>
      </c>
      <c s="125">
        <f ca="1">SUMIF('Квартальная отчетность'!$E$10:$BM$10,YEAR(F$8),'Квартальная отчетность'!$E17:$AG17)</f>
        <v>0</v>
      </c>
      <c s="125">
        <f ca="1">SUMIF('Квартальная отчетность'!$E$10:$BM$10,YEAR(G$8),'Квартальная отчетность'!$E17:$AG17)</f>
        <v>0</v>
      </c>
      <c s="125">
        <f ca="1">SUMIF('Квартальная отчетность'!$E$10:$BM$10,YEAR(H$8),'Квартальная отчетность'!$E17:$AG17)</f>
        <v>0</v>
      </c>
      <c s="125">
        <f ca="1">SUMIF('Квартальная отчетность'!$E$10:$BM$10,YEAR(I$8),'Квартальная отчетность'!$E17:$AG17)</f>
        <v>0</v>
      </c>
      <c s="125">
        <f ca="1">SUMIF('Квартальная отчетность'!$E$10:$BM$10,YEAR(J$8),'Квартальная отчетность'!$E17:$AG17)</f>
        <v>0</v>
      </c>
      <c s="125">
        <f ca="1">SUMIF('Квартальная отчетность'!$E$10:$BM$10,YEAR(K$8),'Квартальная отчетность'!$E17:$AG17)</f>
        <v>0</v>
      </c>
      <c s="125">
        <f ca="1">SUMIF('Квартальная отчетность'!$E$10:$BM$10,YEAR(L$8),'Квартальная отчетность'!$E17:$AG17)</f>
        <v>0</v>
      </c>
      <c s="125">
        <f ca="1">SUMIF('Квартальная отчетность'!$E$10:$BM$10,YEAR(M$8),'Квартальная отчетность'!$E17:$AG17)</f>
        <v>0</v>
      </c>
      <c s="125">
        <f ca="1">SUMIF('Квартальная отчетность'!$E$10:$BM$10,YEAR(N$8),'Квартальная отчетность'!$E17:$AG17)</f>
        <v>0</v>
      </c>
      <c s="125">
        <f ca="1">SUMIF('Квартальная отчетность'!$E$10:$BM$10,YEAR(O$8),'Квартальная отчетность'!$E17:$AG17)</f>
        <v>0</v>
      </c>
      <c s="125">
        <f ca="1">SUMIF('Квартальная отчетность'!$E$10:$BM$10,YEAR(P$8),'Квартальная отчетность'!$E17:$AG17)</f>
        <v>0</v>
      </c>
      <c s="125">
        <f ca="1">SUMIF('Квартальная отчетность'!$E$10:$BM$10,YEAR(Q$8),'Квартальная отчетность'!$E17:$AG17)</f>
        <v>0</v>
      </c>
      <c s="125">
        <f ca="1">SUMIF('Квартальная отчетность'!$E$10:$BM$10,YEAR(R$8),'Квартальная отчетность'!$E17:$AG17)</f>
        <v>0</v>
      </c>
      <c s="125">
        <f ca="1">SUMIF('Квартальная отчетность'!$E$10:$BM$10,YEAR(S$8),'Квартальная отчетность'!$E17:$AG17)</f>
        <v>0</v>
      </c>
      <c s="125">
        <f ca="1">SUMIF('Квартальная отчетность'!$E$10:$BM$10,YEAR(T$8),'Квартальная отчетность'!$E17:$AG17)</f>
        <v>0</v>
      </c>
    </row>
    <row r="14" spans="2:20" ht="15" customHeight="1">
      <c r="B14" s="289" t="s">
        <v>973</v>
      </c>
      <c s="290" t="str">
        <f>Единица_измерения</f>
        <v>тыс. руб.</v>
      </c>
      <c s="276">
        <f ca="1" t="shared" si="4" ref="D14:E14">SUM(D12:D13)</f>
        <v>0</v>
      </c>
      <c s="276">
        <f t="shared" ca="1" si="4"/>
        <v>0</v>
      </c>
      <c s="276">
        <f ca="1" t="shared" si="5" ref="F14:T14">SUM(F12:F13)</f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  <c s="276">
        <f t="shared" ca="1" si="5"/>
        <v>0</v>
      </c>
    </row>
    <row r="15" spans="2:20" ht="15" customHeight="1">
      <c r="B15" s="12" t="s">
        <v>974</v>
      </c>
      <c s="124" t="str">
        <f t="shared" si="6" ref="C15:C25">Единица_измерения</f>
        <v>тыс. руб.</v>
      </c>
      <c s="276">
        <f ca="1">SUM(E15:T15)</f>
        <v>0</v>
      </c>
      <c s="125">
        <f ca="1">SUMIF('Квартальная отчетность'!$E$10:$BM$10,YEAR(E$8),'Квартальная отчетность'!$E19:$BM19)</f>
        <v>0</v>
      </c>
      <c s="125">
        <f ca="1">SUMIF('Квартальная отчетность'!$E$10:$BM$10,YEAR(F$8),'Квартальная отчетность'!$E19:$BM19)</f>
        <v>0</v>
      </c>
      <c s="125">
        <f ca="1">SUMIF('Квартальная отчетность'!$E$10:$BM$10,YEAR(G$8),'Квартальная отчетность'!$E19:$BM19)</f>
        <v>0</v>
      </c>
      <c s="125">
        <f ca="1">SUMIF('Квартальная отчетность'!$E$10:$BM$10,YEAR(H$8),'Квартальная отчетность'!$E19:$BM19)</f>
        <v>0</v>
      </c>
      <c s="125">
        <f ca="1">SUMIF('Квартальная отчетность'!$E$10:$BM$10,YEAR(I$8),'Квартальная отчетность'!$E19:$BM19)</f>
        <v>0</v>
      </c>
      <c s="125">
        <f ca="1">SUMIF('Квартальная отчетность'!$E$10:$BM$10,YEAR(J$8),'Квартальная отчетность'!$E19:$BM19)</f>
        <v>0</v>
      </c>
      <c s="125">
        <f ca="1">SUMIF('Квартальная отчетность'!$E$10:$BM$10,YEAR(K$8),'Квартальная отчетность'!$E19:$BM19)</f>
        <v>0</v>
      </c>
      <c s="125">
        <f ca="1">SUMIF('Квартальная отчетность'!$E$10:$BM$10,YEAR(L$8),'Квартальная отчетность'!$E19:$BM19)</f>
        <v>0</v>
      </c>
      <c s="125">
        <f ca="1">SUMIF('Квартальная отчетность'!$E$10:$BM$10,YEAR(M$8),'Квартальная отчетность'!$E19:$BM19)</f>
        <v>0</v>
      </c>
      <c s="125">
        <f ca="1">SUMIF('Квартальная отчетность'!$E$10:$BM$10,YEAR(N$8),'Квартальная отчетность'!$E19:$BM19)</f>
        <v>0</v>
      </c>
      <c s="125">
        <f ca="1">SUMIF('Квартальная отчетность'!$E$10:$BM$10,YEAR(O$8),'Квартальная отчетность'!$E19:$BM19)</f>
        <v>0</v>
      </c>
      <c s="125">
        <f ca="1">SUMIF('Квартальная отчетность'!$E$10:$BM$10,YEAR(P$8),'Квартальная отчетность'!$E19:$BM19)</f>
        <v>0</v>
      </c>
      <c s="125">
        <f ca="1">SUMIF('Квартальная отчетность'!$E$10:$BM$10,YEAR(Q$8),'Квартальная отчетность'!$E19:$BM19)</f>
        <v>0</v>
      </c>
      <c s="125">
        <f ca="1">SUMIF('Квартальная отчетность'!$E$10:$BM$10,YEAR(R$8),'Квартальная отчетность'!$E19:$BM19)</f>
        <v>0</v>
      </c>
      <c s="125">
        <f ca="1">SUMIF('Квартальная отчетность'!$E$10:$BM$10,YEAR(S$8),'Квартальная отчетность'!$E19:$BM19)</f>
        <v>0</v>
      </c>
      <c s="125">
        <f ca="1">SUMIF('Квартальная отчетность'!$E$10:$BM$10,YEAR(T$8),'Квартальная отчетность'!$E19:$BM19)</f>
        <v>0</v>
      </c>
    </row>
    <row r="16" spans="2:20" ht="15" customHeight="1">
      <c r="B16" s="12" t="s">
        <v>566</v>
      </c>
      <c s="124" t="str">
        <f t="shared" si="6"/>
        <v>тыс. руб.</v>
      </c>
      <c s="276">
        <f ca="1">SUM(E16:T16)</f>
        <v>0</v>
      </c>
      <c s="125">
        <f ca="1">SUMIF('Квартальная отчетность'!$E$10:$BM$10,YEAR(E$8),'Квартальная отчетность'!$E20:$BM20)</f>
        <v>0</v>
      </c>
      <c s="125">
        <f ca="1">SUMIF('Квартальная отчетность'!$E$10:$BM$10,YEAR(F$8),'Квартальная отчетность'!$E20:$BM20)</f>
        <v>0</v>
      </c>
      <c s="125">
        <f ca="1">SUMIF('Квартальная отчетность'!$E$10:$BM$10,YEAR(G$8),'Квартальная отчетность'!$E20:$BM20)</f>
        <v>0</v>
      </c>
      <c s="125">
        <f ca="1">SUMIF('Квартальная отчетность'!$E$10:$BM$10,YEAR(H$8),'Квартальная отчетность'!$E20:$BM20)</f>
        <v>0</v>
      </c>
      <c s="125">
        <f ca="1">SUMIF('Квартальная отчетность'!$E$10:$BM$10,YEAR(I$8),'Квартальная отчетность'!$E20:$BM20)</f>
        <v>0</v>
      </c>
      <c s="125">
        <f ca="1">SUMIF('Квартальная отчетность'!$E$10:$BM$10,YEAR(J$8),'Квартальная отчетность'!$E20:$BM20)</f>
        <v>0</v>
      </c>
      <c s="125">
        <f ca="1">SUMIF('Квартальная отчетность'!$E$10:$BM$10,YEAR(K$8),'Квартальная отчетность'!$E20:$BM20)</f>
        <v>0</v>
      </c>
      <c s="125">
        <f ca="1">SUMIF('Квартальная отчетность'!$E$10:$BM$10,YEAR(L$8),'Квартальная отчетность'!$E20:$BM20)</f>
        <v>0</v>
      </c>
      <c s="125">
        <f ca="1">SUMIF('Квартальная отчетность'!$E$10:$BM$10,YEAR(M$8),'Квартальная отчетность'!$E20:$BM20)</f>
        <v>0</v>
      </c>
      <c s="125">
        <f ca="1">SUMIF('Квартальная отчетность'!$E$10:$BM$10,YEAR(N$8),'Квартальная отчетность'!$E20:$BM20)</f>
        <v>0</v>
      </c>
      <c s="125">
        <f ca="1">SUMIF('Квартальная отчетность'!$E$10:$BM$10,YEAR(O$8),'Квартальная отчетность'!$E20:$BM20)</f>
        <v>0</v>
      </c>
      <c s="125">
        <f ca="1">SUMIF('Квартальная отчетность'!$E$10:$BM$10,YEAR(P$8),'Квартальная отчетность'!$E20:$BM20)</f>
        <v>0</v>
      </c>
      <c s="125">
        <f ca="1">SUMIF('Квартальная отчетность'!$E$10:$BM$10,YEAR(Q$8),'Квартальная отчетность'!$E20:$BM20)</f>
        <v>0</v>
      </c>
      <c s="125">
        <f ca="1">SUMIF('Квартальная отчетность'!$E$10:$BM$10,YEAR(R$8),'Квартальная отчетность'!$E20:$BM20)</f>
        <v>0</v>
      </c>
      <c s="125">
        <f ca="1">SUMIF('Квартальная отчетность'!$E$10:$BM$10,YEAR(S$8),'Квартальная отчетность'!$E20:$BM20)</f>
        <v>0</v>
      </c>
      <c s="125">
        <f ca="1">SUMIF('Квартальная отчетность'!$E$10:$BM$10,YEAR(T$8),'Квартальная отчетность'!$E20:$BM20)</f>
        <v>0</v>
      </c>
    </row>
    <row r="17" spans="2:20" ht="15" customHeight="1">
      <c r="B17" s="289" t="s">
        <v>975</v>
      </c>
      <c s="290" t="str">
        <f t="shared" si="6"/>
        <v>тыс. руб.</v>
      </c>
      <c s="276">
        <f ca="1" t="shared" si="7" ref="D17:E17">SUM(D14:D16)</f>
        <v>0</v>
      </c>
      <c s="276">
        <f t="shared" ca="1" si="7"/>
        <v>0</v>
      </c>
      <c s="276">
        <f ca="1" t="shared" si="8" ref="F17:T17">SUM(F14:F16)</f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  <c s="276">
        <f t="shared" ca="1" si="8"/>
        <v>0</v>
      </c>
    </row>
    <row r="18" spans="2:20" ht="15" customHeight="1">
      <c r="B18" s="12" t="s">
        <v>568</v>
      </c>
      <c s="124" t="str">
        <f t="shared" si="6"/>
        <v>тыс. руб.</v>
      </c>
      <c s="276">
        <f t="shared" si="9" ref="D18:D24">SUM(E18:T18)</f>
        <v>0</v>
      </c>
      <c s="125">
        <f>SUMIF('Квартальная отчетность'!$E$10:$BM$10,YEAR(E$8),'Квартальная отчетность'!$E22:$BM22)</f>
        <v>0</v>
      </c>
      <c s="125">
        <f>SUMIF('Квартальная отчетность'!$E$10:$BM$10,YEAR(F$8),'Квартальная отчетность'!$E22:$BM22)</f>
        <v>0</v>
      </c>
      <c s="125">
        <f>SUMIF('Квартальная отчетность'!$E$10:$BM$10,YEAR(G$8),'Квартальная отчетность'!$E22:$BM22)</f>
        <v>0</v>
      </c>
      <c s="125">
        <f>SUMIF('Квартальная отчетность'!$E$10:$BM$10,YEAR(H$8),'Квартальная отчетность'!$E22:$BM22)</f>
        <v>0</v>
      </c>
      <c s="125">
        <f>SUMIF('Квартальная отчетность'!$E$10:$BM$10,YEAR(I$8),'Квартальная отчетность'!$E22:$BM22)</f>
        <v>0</v>
      </c>
      <c s="125">
        <f>SUMIF('Квартальная отчетность'!$E$10:$BM$10,YEAR(J$8),'Квартальная отчетность'!$E22:$BM22)</f>
        <v>0</v>
      </c>
      <c s="125">
        <f>SUMIF('Квартальная отчетность'!$E$10:$BM$10,YEAR(K$8),'Квартальная отчетность'!$E22:$BM22)</f>
        <v>0</v>
      </c>
      <c s="125">
        <f>SUMIF('Квартальная отчетность'!$E$10:$BM$10,YEAR(L$8),'Квартальная отчетность'!$E22:$BM22)</f>
        <v>0</v>
      </c>
      <c s="125">
        <f>SUMIF('Квартальная отчетность'!$E$10:$BM$10,YEAR(M$8),'Квартальная отчетность'!$E22:$BM22)</f>
        <v>0</v>
      </c>
      <c s="125">
        <f>SUMIF('Квартальная отчетность'!$E$10:$BM$10,YEAR(N$8),'Квартальная отчетность'!$E22:$BM22)</f>
        <v>0</v>
      </c>
      <c s="125">
        <f>SUMIF('Квартальная отчетность'!$E$10:$BM$10,YEAR(O$8),'Квартальная отчетность'!$E22:$BM22)</f>
        <v>0</v>
      </c>
      <c s="125">
        <f>SUMIF('Квартальная отчетность'!$E$10:$BM$10,YEAR(P$8),'Квартальная отчетность'!$E22:$BM22)</f>
        <v>0</v>
      </c>
      <c s="125">
        <f>SUMIF('Квартальная отчетность'!$E$10:$BM$10,YEAR(Q$8),'Квартальная отчетность'!$E22:$BM22)</f>
        <v>0</v>
      </c>
      <c s="125">
        <f>SUMIF('Квартальная отчетность'!$E$10:$BM$10,YEAR(R$8),'Квартальная отчетность'!$E22:$BM22)</f>
        <v>0</v>
      </c>
      <c s="125">
        <f>SUMIF('Квартальная отчетность'!$E$10:$BM$10,YEAR(S$8),'Квартальная отчетность'!$E22:$BM22)</f>
        <v>0</v>
      </c>
      <c s="125">
        <f>SUMIF('Квартальная отчетность'!$E$10:$BM$10,YEAR(T$8),'Квартальная отчетность'!$E22:$BM22)</f>
        <v>0</v>
      </c>
    </row>
    <row r="19" spans="2:20" ht="15" customHeight="1">
      <c r="B19" s="12" t="s">
        <v>277</v>
      </c>
      <c s="124" t="str">
        <f t="shared" si="6"/>
        <v>тыс. руб.</v>
      </c>
      <c s="276">
        <f t="shared" si="9"/>
        <v>0</v>
      </c>
      <c s="125">
        <f>SUMIF('Квартальная отчетность'!$E$10:$BM$10,YEAR(E$8),'Квартальная отчетность'!$E23:$BM23)</f>
        <v>0</v>
      </c>
      <c s="125">
        <f>SUMIF('Квартальная отчетность'!$E$10:$BM$10,YEAR(F$8),'Квартальная отчетность'!$E23:$BM23)</f>
        <v>0</v>
      </c>
      <c s="125">
        <f>SUMIF('Квартальная отчетность'!$E$10:$BM$10,YEAR(G$8),'Квартальная отчетность'!$E23:$BM23)</f>
        <v>0</v>
      </c>
      <c s="125">
        <f>SUMIF('Квартальная отчетность'!$E$10:$BM$10,YEAR(H$8),'Квартальная отчетность'!$E23:$BM23)</f>
        <v>0</v>
      </c>
      <c s="125">
        <f>SUMIF('Квартальная отчетность'!$E$10:$BM$10,YEAR(I$8),'Квартальная отчетность'!$E23:$BM23)</f>
        <v>0</v>
      </c>
      <c s="125">
        <f>SUMIF('Квартальная отчетность'!$E$10:$BM$10,YEAR(J$8),'Квартальная отчетность'!$E23:$BM23)</f>
        <v>0</v>
      </c>
      <c s="125">
        <f>SUMIF('Квартальная отчетность'!$E$10:$BM$10,YEAR(K$8),'Квартальная отчетность'!$E23:$BM23)</f>
        <v>0</v>
      </c>
      <c s="125">
        <f>SUMIF('Квартальная отчетность'!$E$10:$BM$10,YEAR(L$8),'Квартальная отчетность'!$E23:$BM23)</f>
        <v>0</v>
      </c>
      <c s="125">
        <f>SUMIF('Квартальная отчетность'!$E$10:$BM$10,YEAR(M$8),'Квартальная отчетность'!$E23:$BM23)</f>
        <v>0</v>
      </c>
      <c s="125">
        <f>SUMIF('Квартальная отчетность'!$E$10:$BM$10,YEAR(N$8),'Квартальная отчетность'!$E23:$BM23)</f>
        <v>0</v>
      </c>
      <c s="125">
        <f>SUMIF('Квартальная отчетность'!$E$10:$BM$10,YEAR(O$8),'Квартальная отчетность'!$E23:$BM23)</f>
        <v>0</v>
      </c>
      <c s="125">
        <f>SUMIF('Квартальная отчетность'!$E$10:$BM$10,YEAR(P$8),'Квартальная отчетность'!$E23:$BM23)</f>
        <v>0</v>
      </c>
      <c s="125">
        <f>SUMIF('Квартальная отчетность'!$E$10:$BM$10,YEAR(Q$8),'Квартальная отчетность'!$E23:$BM23)</f>
        <v>0</v>
      </c>
      <c s="125">
        <f>SUMIF('Квартальная отчетность'!$E$10:$BM$10,YEAR(R$8),'Квартальная отчетность'!$E23:$BM23)</f>
        <v>0</v>
      </c>
      <c s="125">
        <f>SUMIF('Квартальная отчетность'!$E$10:$BM$10,YEAR(S$8),'Квартальная отчетность'!$E23:$BM23)</f>
        <v>0</v>
      </c>
      <c s="125">
        <f>SUMIF('Квартальная отчетность'!$E$10:$BM$10,YEAR(T$8),'Квартальная отчетность'!$E23:$BM23)</f>
        <v>0</v>
      </c>
    </row>
    <row r="20" spans="2:20" ht="15" customHeight="1">
      <c r="B20" s="12" t="s">
        <v>569</v>
      </c>
      <c s="124" t="str">
        <f t="shared" si="6"/>
        <v>тыс. руб.</v>
      </c>
      <c s="276">
        <f t="shared" si="9"/>
        <v>0</v>
      </c>
      <c s="125">
        <f>SUMIF('Квартальная отчетность'!$E$10:$BM$10,YEAR(E$8),'Квартальная отчетность'!$E24:$BM24)</f>
        <v>0</v>
      </c>
      <c s="125">
        <f>SUMIF('Квартальная отчетность'!$E$10:$BM$10,YEAR(F$8),'Квартальная отчетность'!$E24:$BM24)</f>
        <v>0</v>
      </c>
      <c s="125">
        <f>SUMIF('Квартальная отчетность'!$E$10:$BM$10,YEAR(G$8),'Квартальная отчетность'!$E24:$BM24)</f>
        <v>0</v>
      </c>
      <c s="125">
        <f>SUMIF('Квартальная отчетность'!$E$10:$BM$10,YEAR(H$8),'Квартальная отчетность'!$E24:$BM24)</f>
        <v>0</v>
      </c>
      <c s="125">
        <f>SUMIF('Квартальная отчетность'!$E$10:$BM$10,YEAR(I$8),'Квартальная отчетность'!$E24:$BM24)</f>
        <v>0</v>
      </c>
      <c s="125">
        <f>SUMIF('Квартальная отчетность'!$E$10:$BM$10,YEAR(J$8),'Квартальная отчетность'!$E24:$BM24)</f>
        <v>0</v>
      </c>
      <c s="125">
        <f>SUMIF('Квартальная отчетность'!$E$10:$BM$10,YEAR(K$8),'Квартальная отчетность'!$E24:$BM24)</f>
        <v>0</v>
      </c>
      <c s="125">
        <f>SUMIF('Квартальная отчетность'!$E$10:$BM$10,YEAR(L$8),'Квартальная отчетность'!$E24:$BM24)</f>
        <v>0</v>
      </c>
      <c s="125">
        <f>SUMIF('Квартальная отчетность'!$E$10:$BM$10,YEAR(M$8),'Квартальная отчетность'!$E24:$BM24)</f>
        <v>0</v>
      </c>
      <c s="125">
        <f>SUMIF('Квартальная отчетность'!$E$10:$BM$10,YEAR(N$8),'Квартальная отчетность'!$E24:$BM24)</f>
        <v>0</v>
      </c>
      <c s="125">
        <f>SUMIF('Квартальная отчетность'!$E$10:$BM$10,YEAR(O$8),'Квартальная отчетность'!$E24:$BM24)</f>
        <v>0</v>
      </c>
      <c s="125">
        <f>SUMIF('Квартальная отчетность'!$E$10:$BM$10,YEAR(P$8),'Квартальная отчетность'!$E24:$BM24)</f>
        <v>0</v>
      </c>
      <c s="125">
        <f>SUMIF('Квартальная отчетность'!$E$10:$BM$10,YEAR(Q$8),'Квартальная отчетность'!$E24:$BM24)</f>
        <v>0</v>
      </c>
      <c s="125">
        <f>SUMIF('Квартальная отчетность'!$E$10:$BM$10,YEAR(R$8),'Квартальная отчетность'!$E24:$BM24)</f>
        <v>0</v>
      </c>
      <c s="125">
        <f>SUMIF('Квартальная отчетность'!$E$10:$BM$10,YEAR(S$8),'Квартальная отчетность'!$E24:$BM24)</f>
        <v>0</v>
      </c>
      <c s="125">
        <f>SUMIF('Квартальная отчетность'!$E$10:$BM$10,YEAR(T$8),'Квартальная отчетность'!$E24:$BM24)</f>
        <v>0</v>
      </c>
    </row>
    <row r="21" spans="2:20" ht="15" customHeight="1">
      <c r="B21" s="12" t="s">
        <v>570</v>
      </c>
      <c s="124" t="str">
        <f t="shared" si="6"/>
        <v>тыс. руб.</v>
      </c>
      <c s="276">
        <f t="shared" si="9"/>
        <v>0</v>
      </c>
      <c s="125">
        <f>SUMIF('Квартальная отчетность'!$E$10:$BM$10,YEAR(E$8),'Квартальная отчетность'!$E25:$BM25)</f>
        <v>0</v>
      </c>
      <c s="125">
        <f>SUMIF('Квартальная отчетность'!$E$10:$BM$10,YEAR(F$8),'Квартальная отчетность'!$E25:$BM25)</f>
        <v>0</v>
      </c>
      <c s="125">
        <f>SUMIF('Квартальная отчетность'!$E$10:$BM$10,YEAR(G$8),'Квартальная отчетность'!$E25:$BM25)</f>
        <v>0</v>
      </c>
      <c s="125">
        <f>SUMIF('Квартальная отчетность'!$E$10:$BM$10,YEAR(H$8),'Квартальная отчетность'!$E25:$BM25)</f>
        <v>0</v>
      </c>
      <c s="125">
        <f>SUMIF('Квартальная отчетность'!$E$10:$BM$10,YEAR(I$8),'Квартальная отчетность'!$E25:$BM25)</f>
        <v>0</v>
      </c>
      <c s="125">
        <f>SUMIF('Квартальная отчетность'!$E$10:$BM$10,YEAR(J$8),'Квартальная отчетность'!$E25:$BM25)</f>
        <v>0</v>
      </c>
      <c s="125">
        <f>SUMIF('Квартальная отчетность'!$E$10:$BM$10,YEAR(K$8),'Квартальная отчетность'!$E25:$BM25)</f>
        <v>0</v>
      </c>
      <c s="125">
        <f>SUMIF('Квартальная отчетность'!$E$10:$BM$10,YEAR(L$8),'Квартальная отчетность'!$E25:$BM25)</f>
        <v>0</v>
      </c>
      <c s="125">
        <f>SUMIF('Квартальная отчетность'!$E$10:$BM$10,YEAR(M$8),'Квартальная отчетность'!$E25:$BM25)</f>
        <v>0</v>
      </c>
      <c s="125">
        <f>SUMIF('Квартальная отчетность'!$E$10:$BM$10,YEAR(N$8),'Квартальная отчетность'!$E25:$BM25)</f>
        <v>0</v>
      </c>
      <c s="125">
        <f>SUMIF('Квартальная отчетность'!$E$10:$BM$10,YEAR(O$8),'Квартальная отчетность'!$E25:$BM25)</f>
        <v>0</v>
      </c>
      <c s="125">
        <f>SUMIF('Квартальная отчетность'!$E$10:$BM$10,YEAR(P$8),'Квартальная отчетность'!$E25:$BM25)</f>
        <v>0</v>
      </c>
      <c s="125">
        <f>SUMIF('Квартальная отчетность'!$E$10:$BM$10,YEAR(Q$8),'Квартальная отчетность'!$E25:$BM25)</f>
        <v>0</v>
      </c>
      <c s="125">
        <f>SUMIF('Квартальная отчетность'!$E$10:$BM$10,YEAR(R$8),'Квартальная отчетность'!$E25:$BM25)</f>
        <v>0</v>
      </c>
      <c s="125">
        <f>SUMIF('Квартальная отчетность'!$E$10:$BM$10,YEAR(S$8),'Квартальная отчетность'!$E25:$BM25)</f>
        <v>0</v>
      </c>
      <c s="125">
        <f>SUMIF('Квартальная отчетность'!$E$10:$BM$10,YEAR(T$8),'Квартальная отчетность'!$E25:$BM25)</f>
        <v>0</v>
      </c>
    </row>
    <row r="22" spans="2:20" ht="15" customHeight="1">
      <c r="B22" s="12" t="s">
        <v>976</v>
      </c>
      <c s="124" t="str">
        <f t="shared" si="6"/>
        <v>тыс. руб.</v>
      </c>
      <c s="276">
        <f t="shared" si="9"/>
        <v>0</v>
      </c>
      <c s="125">
        <f>SUMIF('Квартальная отчетность'!$E$10:$BM$10,YEAR(E$8),'Квартальная отчетность'!$E26:$BM26)</f>
        <v>0</v>
      </c>
      <c s="125">
        <f>SUMIF('Квартальная отчетность'!$E$10:$BM$10,YEAR(F$8),'Квартальная отчетность'!$E26:$BM26)</f>
        <v>0</v>
      </c>
      <c s="125">
        <f>SUMIF('Квартальная отчетность'!$E$10:$BM$10,YEAR(G$8),'Квартальная отчетность'!$E26:$BM26)</f>
        <v>0</v>
      </c>
      <c s="125">
        <f>SUMIF('Квартальная отчетность'!$E$10:$BM$10,YEAR(H$8),'Квартальная отчетность'!$E26:$BM26)</f>
        <v>0</v>
      </c>
      <c s="125">
        <f>SUMIF('Квартальная отчетность'!$E$10:$BM$10,YEAR(I$8),'Квартальная отчетность'!$E26:$BM26)</f>
        <v>0</v>
      </c>
      <c s="125">
        <f>SUMIF('Квартальная отчетность'!$E$10:$BM$10,YEAR(J$8),'Квартальная отчетность'!$E26:$BM26)</f>
        <v>0</v>
      </c>
      <c s="125">
        <f>SUMIF('Квартальная отчетность'!$E$10:$BM$10,YEAR(K$8),'Квартальная отчетность'!$E26:$BM26)</f>
        <v>0</v>
      </c>
      <c s="125">
        <f>SUMIF('Квартальная отчетность'!$E$10:$BM$10,YEAR(L$8),'Квартальная отчетность'!$E26:$BM26)</f>
        <v>0</v>
      </c>
      <c s="125">
        <f>SUMIF('Квартальная отчетность'!$E$10:$BM$10,YEAR(M$8),'Квартальная отчетность'!$E26:$BM26)</f>
        <v>0</v>
      </c>
      <c s="125">
        <f>SUMIF('Квартальная отчетность'!$E$10:$BM$10,YEAR(N$8),'Квартальная отчетность'!$E26:$BM26)</f>
        <v>0</v>
      </c>
      <c s="125">
        <f>SUMIF('Квартальная отчетность'!$E$10:$BM$10,YEAR(O$8),'Квартальная отчетность'!$E26:$BM26)</f>
        <v>0</v>
      </c>
      <c s="125">
        <f>SUMIF('Квартальная отчетность'!$E$10:$BM$10,YEAR(P$8),'Квартальная отчетность'!$E26:$BM26)</f>
        <v>0</v>
      </c>
      <c s="125">
        <f>SUMIF('Квартальная отчетность'!$E$10:$BM$10,YEAR(Q$8),'Квартальная отчетность'!$E26:$BM26)</f>
        <v>0</v>
      </c>
      <c s="125">
        <f>SUMIF('Квартальная отчетность'!$E$10:$BM$10,YEAR(R$8),'Квартальная отчетность'!$E26:$BM26)</f>
        <v>0</v>
      </c>
      <c s="125">
        <f>SUMIF('Квартальная отчетность'!$E$10:$BM$10,YEAR(S$8),'Квартальная отчетность'!$E26:$BM26)</f>
        <v>0</v>
      </c>
      <c s="125">
        <f>SUMIF('Квартальная отчетность'!$E$10:$BM$10,YEAR(T$8),'Квартальная отчетность'!$E26:$BM26)</f>
        <v>0</v>
      </c>
    </row>
    <row r="23" spans="2:20" ht="15" customHeight="1">
      <c r="B23" s="289" t="s">
        <v>281</v>
      </c>
      <c s="290" t="str">
        <f t="shared" si="6"/>
        <v>тыс. руб.</v>
      </c>
      <c s="276">
        <f ca="1" t="shared" si="10" ref="D23:E23">SUM(D17:D22)</f>
        <v>0</v>
      </c>
      <c s="276">
        <f t="shared" ca="1" si="10"/>
        <v>0</v>
      </c>
      <c s="276">
        <f ca="1" t="shared" si="11" ref="F23:T23">SUM(F17:F22)</f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  <c s="276">
        <f t="shared" ca="1" si="11"/>
        <v>0</v>
      </c>
    </row>
    <row r="24" spans="2:20" ht="15" customHeight="1">
      <c r="B24" s="12" t="s">
        <v>573</v>
      </c>
      <c s="124" t="str">
        <f t="shared" si="6"/>
        <v>тыс. руб.</v>
      </c>
      <c s="276">
        <f t="shared" si="9"/>
        <v>0</v>
      </c>
      <c s="125">
        <f ca="1">SUMIF('Квартальная отчетность'!$E$10:$BM$10,YEAR(E$8),'Квартальная отчетность'!$E28:$BM28)</f>
        <v>0</v>
      </c>
      <c s="125">
        <f ca="1">SUMIF('Квартальная отчетность'!$E$10:$BM$10,YEAR(F$8),'Квартальная отчетность'!$E28:$BM28)</f>
        <v>0</v>
      </c>
      <c s="125">
        <f ca="1">SUMIF('Квартальная отчетность'!$E$10:$BM$10,YEAR(G$8),'Квартальная отчетность'!$E28:$BM28)</f>
        <v>0</v>
      </c>
      <c s="125">
        <f ca="1">SUMIF('Квартальная отчетность'!$E$10:$BM$10,YEAR(H$8),'Квартальная отчетность'!$E28:$BM28)</f>
        <v>0</v>
      </c>
      <c s="125">
        <f ca="1">SUMIF('Квартальная отчетность'!$E$10:$BM$10,YEAR(I$8),'Квартальная отчетность'!$E28:$BM28)</f>
        <v>0</v>
      </c>
      <c s="125">
        <f ca="1">SUMIF('Квартальная отчетность'!$E$10:$BM$10,YEAR(J$8),'Квартальная отчетность'!$E28:$BM28)</f>
        <v>0</v>
      </c>
      <c s="125">
        <f ca="1">SUMIF('Квартальная отчетность'!$E$10:$BM$10,YEAR(K$8),'Квартальная отчетность'!$E28:$BM28)</f>
        <v>0</v>
      </c>
      <c s="125">
        <f ca="1">SUMIF('Квартальная отчетность'!$E$10:$BM$10,YEAR(L$8),'Квартальная отчетность'!$E28:$BM28)</f>
        <v>0</v>
      </c>
      <c s="125">
        <f ca="1">SUMIF('Квартальная отчетность'!$E$10:$BM$10,YEAR(M$8),'Квартальная отчетность'!$E28:$BM28)</f>
        <v>0</v>
      </c>
      <c s="125">
        <f ca="1">SUMIF('Квартальная отчетность'!$E$10:$BM$10,YEAR(N$8),'Квартальная отчетность'!$E28:$BM28)</f>
        <v>0</v>
      </c>
      <c s="125">
        <f ca="1">SUMIF('Квартальная отчетность'!$E$10:$BM$10,YEAR(O$8),'Квартальная отчетность'!$E28:$BM28)</f>
        <v>0</v>
      </c>
      <c s="125">
        <f ca="1">SUMIF('Квартальная отчетность'!$E$10:$BM$10,YEAR(P$8),'Квартальная отчетность'!$E28:$BM28)</f>
        <v>0</v>
      </c>
      <c s="125">
        <f ca="1">SUMIF('Квартальная отчетность'!$E$10:$BM$10,YEAR(Q$8),'Квартальная отчетность'!$E28:$BM28)</f>
        <v>0</v>
      </c>
      <c s="125">
        <f ca="1">SUMIF('Квартальная отчетность'!$E$10:$BM$10,YEAR(R$8),'Квартальная отчетность'!$E28:$BM28)</f>
        <v>0</v>
      </c>
      <c s="125">
        <f ca="1">SUMIF('Квартальная отчетность'!$E$10:$BM$10,YEAR(S$8),'Квартальная отчетность'!$E28:$BM28)</f>
        <v>0</v>
      </c>
      <c s="125">
        <f ca="1">SUMIF('Квартальная отчетность'!$E$10:$BM$10,YEAR(T$8),'Квартальная отчетность'!$E28:$BM28)</f>
        <v>0</v>
      </c>
    </row>
    <row r="25" spans="2:20" ht="15" customHeight="1">
      <c r="B25" s="289" t="s">
        <v>283</v>
      </c>
      <c s="290" t="str">
        <f t="shared" si="6"/>
        <v>тыс. руб.</v>
      </c>
      <c s="291">
        <f ca="1" t="shared" si="12" ref="D25:E25">SUM(D23:D24)</f>
        <v>0</v>
      </c>
      <c s="276">
        <f t="shared" ca="1" si="12"/>
        <v>0</v>
      </c>
      <c s="276">
        <f ca="1" t="shared" si="13" ref="F25:T25">SUM(F23:F24)</f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  <c s="276">
        <f t="shared" ca="1" si="13"/>
        <v>0</v>
      </c>
    </row>
    <row r="26" ht="15" customHeight="1"/>
    <row r="27" spans="2:26" ht="21">
      <c r="B27" s="24" t="s">
        <v>977</v>
      </c>
      <c r="D2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" spans="2:20" ht="15" customHeight="1">
      <c r="B28" s="12" t="s">
        <v>827</v>
      </c>
      <c s="124" t="str">
        <f>Единица_измерения</f>
        <v>тыс. руб.</v>
      </c>
      <c s="125"/>
      <c s="125">
        <f>D30*IF($K$3&lt;DATE(YEAR(E8),1,1),0,1)</f>
        <v>0</v>
      </c>
      <c s="125">
        <f ca="1" t="shared" si="14" ref="F28:T28">E30*IF($K$3&lt;DATE(YEAR(F8),1,1),0,1)</f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  <c s="125">
        <f t="shared" ca="1" si="14"/>
        <v>0</v>
      </c>
    </row>
    <row r="29" spans="2:20" ht="15" customHeight="1">
      <c r="B29" s="12" t="s">
        <v>978</v>
      </c>
      <c s="124" t="str">
        <f>Единица_измерения</f>
        <v>тыс. руб.</v>
      </c>
      <c s="125"/>
      <c s="125">
        <f ca="1" t="shared" si="15" ref="E29">E25</f>
        <v>0</v>
      </c>
      <c s="125">
        <f ca="1" t="shared" si="16" ref="F29:L29">F25</f>
        <v>0</v>
      </c>
      <c s="125">
        <f t="shared" ca="1" si="16"/>
        <v>0</v>
      </c>
      <c s="125">
        <f t="shared" ca="1" si="16"/>
        <v>0</v>
      </c>
      <c s="125">
        <f t="shared" ca="1" si="16"/>
        <v>0</v>
      </c>
      <c s="125">
        <f t="shared" ca="1" si="16"/>
        <v>0</v>
      </c>
      <c s="125">
        <f t="shared" ca="1" si="16"/>
        <v>0</v>
      </c>
      <c s="125">
        <f t="shared" ca="1" si="16"/>
        <v>0</v>
      </c>
      <c s="125">
        <f ca="1" t="shared" si="17" ref="M29:T29">M25</f>
        <v>0</v>
      </c>
      <c s="125">
        <f t="shared" ca="1" si="17"/>
        <v>0</v>
      </c>
      <c s="125">
        <f t="shared" ca="1" si="17"/>
        <v>0</v>
      </c>
      <c s="125">
        <f t="shared" ca="1" si="17"/>
        <v>0</v>
      </c>
      <c s="125">
        <f t="shared" ca="1" si="17"/>
        <v>0</v>
      </c>
      <c s="125">
        <f t="shared" ca="1" si="17"/>
        <v>0</v>
      </c>
      <c s="125">
        <f t="shared" ca="1" si="17"/>
        <v>0</v>
      </c>
      <c s="125">
        <f t="shared" ca="1" si="17"/>
        <v>0</v>
      </c>
    </row>
    <row r="30" spans="2:20" ht="15" customHeight="1">
      <c r="B30" s="289" t="s">
        <v>830</v>
      </c>
      <c s="290" t="str">
        <f>Единица_измерения</f>
        <v>тыс. руб.</v>
      </c>
      <c s="276">
        <f>-'Операционные затраты'!$D$632</f>
        <v>0</v>
      </c>
      <c s="276">
        <f ca="1" t="shared" si="18" ref="E30">SUM(E28:E29)</f>
        <v>0</v>
      </c>
      <c s="276">
        <f ca="1" t="shared" si="19" ref="F30:L30">SUM(F28:F29)</f>
        <v>0</v>
      </c>
      <c s="276">
        <f t="shared" ca="1" si="19"/>
        <v>0</v>
      </c>
      <c s="276">
        <f t="shared" ca="1" si="19"/>
        <v>0</v>
      </c>
      <c s="276">
        <f t="shared" ca="1" si="19"/>
        <v>0</v>
      </c>
      <c s="276">
        <f t="shared" ca="1" si="19"/>
        <v>0</v>
      </c>
      <c s="276">
        <f t="shared" ca="1" si="19"/>
        <v>0</v>
      </c>
      <c s="276">
        <f t="shared" ca="1" si="19"/>
        <v>0</v>
      </c>
      <c s="276">
        <f ca="1" t="shared" si="20" ref="M30:T30">SUM(M28:M29)</f>
        <v>0</v>
      </c>
      <c s="276">
        <f t="shared" ca="1" si="20"/>
        <v>0</v>
      </c>
      <c s="276">
        <f t="shared" ca="1" si="20"/>
        <v>0</v>
      </c>
      <c s="276">
        <f t="shared" ca="1" si="20"/>
        <v>0</v>
      </c>
      <c s="276">
        <f t="shared" ca="1" si="20"/>
        <v>0</v>
      </c>
      <c s="276">
        <f t="shared" ca="1" si="20"/>
        <v>0</v>
      </c>
      <c s="276">
        <f t="shared" ca="1" si="20"/>
        <v>0</v>
      </c>
      <c s="276">
        <f t="shared" ca="1" si="20"/>
        <v>0</v>
      </c>
    </row>
    <row r="31" ht="15" customHeight="1"/>
    <row r="32" spans="2:26" ht="21">
      <c r="B32" s="23" t="s">
        <v>330</v>
      </c>
      <c r="D3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" spans="2:26" ht="21">
      <c r="B33" s="24" t="s">
        <v>979</v>
      </c>
      <c r="D3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" spans="2:24" ht="14.45">
      <c r="B34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5" spans="2:20" ht="15" customHeight="1">
      <c r="B35" s="12" t="s">
        <v>981</v>
      </c>
      <c s="124" t="s">
        <v>438</v>
      </c>
      <c s="276">
        <f>SUM(E35:T35)</f>
        <v>0</v>
      </c>
      <c s="125">
        <f>SUMIF('Квартальная отчетность'!$E$10:$BM$10,YEAR(E$8),'Квартальная отчетность'!$E39:$BM39)</f>
        <v>0</v>
      </c>
      <c s="125">
        <f>SUMIF('Квартальная отчетность'!$E$10:$BM$10,YEAR(F$8),'Квартальная отчетность'!$E39:$BM39)</f>
        <v>0</v>
      </c>
      <c s="125">
        <f>SUMIF('Квартальная отчетность'!$E$10:$BM$10,YEAR(G$8),'Квартальная отчетность'!$E39:$BM39)</f>
        <v>0</v>
      </c>
      <c s="125">
        <f>SUMIF('Квартальная отчетность'!$E$10:$BM$10,YEAR(H$8),'Квартальная отчетность'!$E39:$BM39)</f>
        <v>0</v>
      </c>
      <c s="125">
        <f>SUMIF('Квартальная отчетность'!$E$10:$BM$10,YEAR(I$8),'Квартальная отчетность'!$E39:$BM39)</f>
        <v>0</v>
      </c>
      <c s="125">
        <f>SUMIF('Квартальная отчетность'!$E$10:$BM$10,YEAR(J$8),'Квартальная отчетность'!$E39:$BM39)</f>
        <v>0</v>
      </c>
      <c s="125">
        <f>SUMIF('Квартальная отчетность'!$E$10:$BM$10,YEAR(K$8),'Квартальная отчетность'!$E39:$BM39)</f>
        <v>0</v>
      </c>
      <c s="125">
        <f>SUMIF('Квартальная отчетность'!$E$10:$BM$10,YEAR(L$8),'Квартальная отчетность'!$E39:$BM39)</f>
        <v>0</v>
      </c>
      <c s="125">
        <f>SUMIF('Квартальная отчетность'!$E$10:$BM$10,YEAR(M$8),'Квартальная отчетность'!$E39:$BM39)</f>
        <v>0</v>
      </c>
      <c s="125">
        <f>SUMIF('Квартальная отчетность'!$E$10:$BM$10,YEAR(N$8),'Квартальная отчетность'!$E39:$BM39)</f>
        <v>0</v>
      </c>
      <c s="125">
        <f>SUMIF('Квартальная отчетность'!$E$10:$BM$10,YEAR(O$8),'Квартальная отчетность'!$E39:$BM39)</f>
        <v>0</v>
      </c>
      <c s="125">
        <f>SUMIF('Квартальная отчетность'!$E$10:$BM$10,YEAR(P$8),'Квартальная отчетность'!$E39:$BM39)</f>
        <v>0</v>
      </c>
      <c s="125">
        <f>SUMIF('Квартальная отчетность'!$E$10:$BM$10,YEAR(Q$8),'Квартальная отчетность'!$E39:$BM39)</f>
        <v>0</v>
      </c>
      <c s="125">
        <f>SUMIF('Квартальная отчетность'!$E$10:$BM$10,YEAR(R$8),'Квартальная отчетность'!$E39:$BM39)</f>
        <v>0</v>
      </c>
      <c s="125">
        <f>SUMIF('Квартальная отчетность'!$E$10:$BM$10,YEAR(S$8),'Квартальная отчетность'!$E39:$BM39)</f>
        <v>0</v>
      </c>
      <c s="125">
        <f>SUMIF('Квартальная отчетность'!$E$10:$BM$10,YEAR(T$8),'Квартальная отчетность'!$E39:$BM39)</f>
        <v>0</v>
      </c>
    </row>
    <row r="36" spans="2:20" ht="15" customHeight="1">
      <c r="B36" s="12" t="s">
        <v>982</v>
      </c>
      <c s="124" t="s">
        <v>438</v>
      </c>
      <c s="276">
        <f ca="1">SUM(E36:T36)</f>
        <v>0</v>
      </c>
      <c s="125">
        <f ca="1">SUMIF('Квартальная отчетность'!$E$10:$BM$10,YEAR(E$8),'Квартальная отчетность'!$E40:$BM40)</f>
        <v>0</v>
      </c>
      <c s="125">
        <f ca="1">SUMIF('Квартальная отчетность'!$E$10:$BM$10,YEAR(F$8),'Квартальная отчетность'!$E40:$BM40)</f>
        <v>0</v>
      </c>
      <c s="125">
        <f ca="1">SUMIF('Квартальная отчетность'!$E$10:$BM$10,YEAR(G$8),'Квартальная отчетность'!$E40:$BM40)</f>
        <v>0</v>
      </c>
      <c s="125">
        <f ca="1">SUMIF('Квартальная отчетность'!$E$10:$BM$10,YEAR(H$8),'Квартальная отчетность'!$E40:$BM40)</f>
        <v>0</v>
      </c>
      <c s="125">
        <f ca="1">SUMIF('Квартальная отчетность'!$E$10:$BM$10,YEAR(I$8),'Квартальная отчетность'!$E40:$BM40)</f>
        <v>0</v>
      </c>
      <c s="125">
        <f ca="1">SUMIF('Квартальная отчетность'!$E$10:$BM$10,YEAR(J$8),'Квартальная отчетность'!$E40:$BM40)</f>
        <v>0</v>
      </c>
      <c s="125">
        <f ca="1">SUMIF('Квартальная отчетность'!$E$10:$BM$10,YEAR(K$8),'Квартальная отчетность'!$E40:$BM40)</f>
        <v>0</v>
      </c>
      <c s="125">
        <f ca="1">SUMIF('Квартальная отчетность'!$E$10:$BM$10,YEAR(L$8),'Квартальная отчетность'!$E40:$BM40)</f>
        <v>0</v>
      </c>
      <c s="125">
        <f ca="1">SUMIF('Квартальная отчетность'!$E$10:$BM$10,YEAR(M$8),'Квартальная отчетность'!$E40:$BM40)</f>
        <v>0</v>
      </c>
      <c s="125">
        <f ca="1">SUMIF('Квартальная отчетность'!$E$10:$BM$10,YEAR(N$8),'Квартальная отчетность'!$E40:$BM40)</f>
        <v>0</v>
      </c>
      <c s="125">
        <f ca="1">SUMIF('Квартальная отчетность'!$E$10:$BM$10,YEAR(O$8),'Квартальная отчетность'!$E40:$BM40)</f>
        <v>0</v>
      </c>
      <c s="125">
        <f ca="1">SUMIF('Квартальная отчетность'!$E$10:$BM$10,YEAR(P$8),'Квартальная отчетность'!$E40:$BM40)</f>
        <v>0</v>
      </c>
      <c s="125">
        <f ca="1">SUMIF('Квартальная отчетность'!$E$10:$BM$10,YEAR(Q$8),'Квартальная отчетность'!$E40:$BM40)</f>
        <v>0</v>
      </c>
      <c s="125">
        <f ca="1">SUMIF('Квартальная отчетность'!$E$10:$BM$10,YEAR(R$8),'Квартальная отчетность'!$E40:$BM40)</f>
        <v>0</v>
      </c>
      <c s="125">
        <f ca="1">SUMIF('Квартальная отчетность'!$E$10:$BM$10,YEAR(S$8),'Квартальная отчетность'!$E40:$BM40)</f>
        <v>0</v>
      </c>
      <c s="125">
        <f ca="1">SUMIF('Квартальная отчетность'!$E$10:$BM$10,YEAR(T$8),'Квартальная отчетность'!$E40:$BM40)</f>
        <v>0</v>
      </c>
    </row>
    <row r="37" spans="2:20" ht="15" customHeight="1">
      <c r="B37" s="289" t="s">
        <v>454</v>
      </c>
      <c s="290" t="s">
        <v>438</v>
      </c>
      <c s="291">
        <f ca="1" t="shared" si="21" ref="D37:E37">SUM(D35:D36)</f>
        <v>0</v>
      </c>
      <c s="276">
        <f t="shared" ca="1" si="21"/>
        <v>0</v>
      </c>
      <c s="276">
        <f ca="1" t="shared" si="22" ref="F37:T37">SUM(F35:F36)</f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  <c s="276">
        <f t="shared" ca="1" si="22"/>
        <v>0</v>
      </c>
    </row>
    <row r="38" ht="15" customHeight="1"/>
    <row r="39" spans="2:24" ht="14.45">
      <c r="B39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0" spans="2:20" ht="15" customHeight="1">
      <c r="B40" s="12" t="s">
        <v>1078</v>
      </c>
      <c s="124" t="s">
        <v>438</v>
      </c>
      <c s="276">
        <f ca="1" t="shared" si="23" ref="D40:D46">SUM(E40:T40)</f>
        <v>0</v>
      </c>
      <c s="125">
        <f ca="1">SUMIF('Квартальная отчетность'!$E$10:$BM$10,YEAR(E$8),'Квартальная отчетность'!$E44:$BM44)</f>
        <v>0</v>
      </c>
      <c s="125">
        <f ca="1">SUMIF('Квартальная отчетность'!$E$10:$BM$10,YEAR(F$8),'Квартальная отчетность'!$E44:$BM44)</f>
        <v>0</v>
      </c>
      <c s="125">
        <f ca="1">SUMIF('Квартальная отчетность'!$E$10:$BM$10,YEAR(G$8),'Квартальная отчетность'!$E44:$BM44)</f>
        <v>0</v>
      </c>
      <c s="125">
        <f ca="1">SUMIF('Квартальная отчетность'!$E$10:$BM$10,YEAR(H$8),'Квартальная отчетность'!$E44:$BM44)</f>
        <v>0</v>
      </c>
      <c s="125">
        <f ca="1">SUMIF('Квартальная отчетность'!$E$10:$BM$10,YEAR(I$8),'Квартальная отчетность'!$E44:$BM44)</f>
        <v>0</v>
      </c>
      <c s="125">
        <f ca="1">SUMIF('Квартальная отчетность'!$E$10:$BM$10,YEAR(J$8),'Квартальная отчетность'!$E44:$BM44)</f>
        <v>0</v>
      </c>
      <c s="125">
        <f ca="1">SUMIF('Квартальная отчетность'!$E$10:$BM$10,YEAR(K$8),'Квартальная отчетность'!$E44:$BM44)</f>
        <v>0</v>
      </c>
      <c s="125">
        <f ca="1">SUMIF('Квартальная отчетность'!$E$10:$BM$10,YEAR(L$8),'Квартальная отчетность'!$E44:$BM44)</f>
        <v>0</v>
      </c>
      <c s="125">
        <f ca="1">SUMIF('Квартальная отчетность'!$E$10:$BM$10,YEAR(M$8),'Квартальная отчетность'!$E44:$BM44)</f>
        <v>0</v>
      </c>
      <c s="125">
        <f ca="1">SUMIF('Квартальная отчетность'!$E$10:$BM$10,YEAR(N$8),'Квартальная отчетность'!$E44:$BM44)</f>
        <v>0</v>
      </c>
      <c s="125">
        <f ca="1">SUMIF('Квартальная отчетность'!$E$10:$BM$10,YEAR(O$8),'Квартальная отчетность'!$E44:$BM44)</f>
        <v>0</v>
      </c>
      <c s="125">
        <f ca="1">SUMIF('Квартальная отчетность'!$E$10:$BM$10,YEAR(P$8),'Квартальная отчетность'!$E44:$BM44)</f>
        <v>0</v>
      </c>
      <c s="125">
        <f ca="1">SUMIF('Квартальная отчетность'!$E$10:$BM$10,YEAR(Q$8),'Квартальная отчетность'!$E44:$BM44)</f>
        <v>0</v>
      </c>
      <c s="125">
        <f ca="1">SUMIF('Квартальная отчетность'!$E$10:$BM$10,YEAR(R$8),'Квартальная отчетность'!$E44:$BM44)</f>
        <v>0</v>
      </c>
      <c s="125">
        <f ca="1">SUMIF('Квартальная отчетность'!$E$10:$BM$10,YEAR(S$8),'Квартальная отчетность'!$E44:$BM44)</f>
        <v>0</v>
      </c>
      <c s="125">
        <f ca="1">SUMIF('Квартальная отчетность'!$E$10:$BM$10,YEAR(T$8),'Квартальная отчетность'!$E44:$BM44)</f>
        <v>0</v>
      </c>
    </row>
    <row r="41" spans="2:20" ht="15" customHeight="1">
      <c r="B41" s="12" t="s">
        <v>985</v>
      </c>
      <c s="124" t="s">
        <v>438</v>
      </c>
      <c s="276">
        <f t="shared" ca="1" si="23"/>
        <v>0</v>
      </c>
      <c s="125">
        <f>SUMIF('Квартальная отчетность'!$E$10:$BM$10,YEAR(E$8),'Квартальная отчетность'!$E45:$BM45)</f>
        <v>0</v>
      </c>
      <c s="125">
        <f>SUMIF('Квартальная отчетность'!$E$10:$BM$10,YEAR(F$8),'Квартальная отчетность'!$E45:$BM45)</f>
        <v>0</v>
      </c>
      <c s="125">
        <f>SUMIF('Квартальная отчетность'!$E$10:$BM$10,YEAR(G$8),'Квартальная отчетность'!$E45:$BM45)</f>
        <v>0</v>
      </c>
      <c s="125">
        <f>SUMIF('Квартальная отчетность'!$E$10:$BM$10,YEAR(H$8),'Квартальная отчетность'!$E45:$BM45)</f>
        <v>0</v>
      </c>
      <c s="125">
        <f>SUMIF('Квартальная отчетность'!$E$10:$BM$10,YEAR(I$8),'Квартальная отчетность'!$E45:$BM45)</f>
        <v>0</v>
      </c>
      <c s="125">
        <f>SUMIF('Квартальная отчетность'!$E$10:$BM$10,YEAR(J$8),'Квартальная отчетность'!$E45:$BM45)</f>
        <v>0</v>
      </c>
      <c s="125">
        <f>SUMIF('Квартальная отчетность'!$E$10:$BM$10,YEAR(K$8),'Квартальная отчетность'!$E45:$BM45)</f>
        <v>0</v>
      </c>
      <c s="125">
        <f>SUMIF('Квартальная отчетность'!$E$10:$BM$10,YEAR(L$8),'Квартальная отчетность'!$E45:$BM45)</f>
        <v>0</v>
      </c>
      <c s="125">
        <f>SUMIF('Квартальная отчетность'!$E$10:$BM$10,YEAR(M$8),'Квартальная отчетность'!$E45:$BM45)</f>
        <v>0</v>
      </c>
      <c s="125">
        <f>SUMIF('Квартальная отчетность'!$E$10:$BM$10,YEAR(N$8),'Квартальная отчетность'!$E45:$BM45)</f>
        <v>0</v>
      </c>
      <c s="125">
        <f>SUMIF('Квартальная отчетность'!$E$10:$BM$10,YEAR(O$8),'Квартальная отчетность'!$E45:$BM45)</f>
        <v>0</v>
      </c>
      <c s="125">
        <f>SUMIF('Квартальная отчетность'!$E$10:$BM$10,YEAR(P$8),'Квартальная отчетность'!$E45:$BM45)</f>
        <v>0</v>
      </c>
      <c s="125">
        <f>SUMIF('Квартальная отчетность'!$E$10:$BM$10,YEAR(Q$8),'Квартальная отчетность'!$E45:$BM45)</f>
        <v>0</v>
      </c>
      <c s="125">
        <f>SUMIF('Квартальная отчетность'!$E$10:$BM$10,YEAR(R$8),'Квартальная отчетность'!$E45:$BM45)</f>
        <v>0</v>
      </c>
      <c s="125">
        <f>SUMIF('Квартальная отчетность'!$E$10:$BM$10,YEAR(S$8),'Квартальная отчетность'!$E45:$BM45)</f>
        <v>0</v>
      </c>
      <c s="125">
        <f>SUMIF('Квартальная отчетность'!$E$10:$BM$10,YEAR(T$8),'Квартальная отчетность'!$E45:$BM45)</f>
        <v>0</v>
      </c>
    </row>
    <row r="42" spans="2:20" ht="15" customHeight="1">
      <c r="B42" s="12" t="s">
        <v>924</v>
      </c>
      <c s="124" t="s">
        <v>438</v>
      </c>
      <c s="276">
        <f t="shared" ca="1" si="23"/>
        <v>0</v>
      </c>
      <c s="125">
        <f ca="1">SUMIF('Квартальная отчетность'!$E$10:$BM$10,YEAR(E$8),'Квартальная отчетность'!$E46:$BM46)</f>
        <v>0</v>
      </c>
      <c s="125">
        <f ca="1">SUMIF('Квартальная отчетность'!$E$10:$BM$10,YEAR(F$8),'Квартальная отчетность'!$E46:$BM46)</f>
        <v>0</v>
      </c>
      <c s="125">
        <f ca="1">SUMIF('Квартальная отчетность'!$E$10:$BM$10,YEAR(G$8),'Квартальная отчетность'!$E46:$BM46)</f>
        <v>0</v>
      </c>
      <c s="125">
        <f ca="1">SUMIF('Квартальная отчетность'!$E$10:$BM$10,YEAR(H$8),'Квартальная отчетность'!$E46:$BM46)</f>
        <v>0</v>
      </c>
      <c s="125">
        <f ca="1">SUMIF('Квартальная отчетность'!$E$10:$BM$10,YEAR(I$8),'Квартальная отчетность'!$E46:$BM46)</f>
        <v>0</v>
      </c>
      <c s="125">
        <f ca="1">SUMIF('Квартальная отчетность'!$E$10:$BM$10,YEAR(J$8),'Квартальная отчетность'!$E46:$BM46)</f>
        <v>0</v>
      </c>
      <c s="125">
        <f ca="1">SUMIF('Квартальная отчетность'!$E$10:$BM$10,YEAR(K$8),'Квартальная отчетность'!$E46:$BM46)</f>
        <v>0</v>
      </c>
      <c s="125">
        <f ca="1">SUMIF('Квартальная отчетность'!$E$10:$BM$10,YEAR(L$8),'Квартальная отчетность'!$E46:$BM46)</f>
        <v>0</v>
      </c>
      <c s="125">
        <f ca="1">SUMIF('Квартальная отчетность'!$E$10:$BM$10,YEAR(M$8),'Квартальная отчетность'!$E46:$BM46)</f>
        <v>0</v>
      </c>
      <c s="125">
        <f ca="1">SUMIF('Квартальная отчетность'!$E$10:$BM$10,YEAR(N$8),'Квартальная отчетность'!$E46:$BM46)</f>
        <v>0</v>
      </c>
      <c s="125">
        <f ca="1">SUMIF('Квартальная отчетность'!$E$10:$BM$10,YEAR(O$8),'Квартальная отчетность'!$E46:$BM46)</f>
        <v>0</v>
      </c>
      <c s="125">
        <f ca="1">SUMIF('Квартальная отчетность'!$E$10:$BM$10,YEAR(P$8),'Квартальная отчетность'!$E46:$BM46)</f>
        <v>0</v>
      </c>
      <c s="125">
        <f ca="1">SUMIF('Квартальная отчетность'!$E$10:$BM$10,YEAR(Q$8),'Квартальная отчетность'!$E46:$BM46)</f>
        <v>0</v>
      </c>
      <c s="125">
        <f ca="1">SUMIF('Квартальная отчетность'!$E$10:$BM$10,YEAR(R$8),'Квартальная отчетность'!$E46:$BM46)</f>
        <v>0</v>
      </c>
      <c s="125">
        <f ca="1">SUMIF('Квартальная отчетность'!$E$10:$BM$10,YEAR(S$8),'Квартальная отчетность'!$E46:$BM46)</f>
        <v>0</v>
      </c>
      <c s="125">
        <f ca="1">SUMIF('Квартальная отчетность'!$E$10:$BM$10,YEAR(T$8),'Квартальная отчетность'!$E46:$BM46)</f>
        <v>0</v>
      </c>
    </row>
    <row r="43" spans="2:20" ht="15" customHeight="1">
      <c r="B43" s="12" t="s">
        <v>932</v>
      </c>
      <c s="124" t="s">
        <v>438</v>
      </c>
      <c s="276">
        <f t="shared" ca="1" si="23"/>
        <v>0</v>
      </c>
      <c s="125">
        <f>SUMIF('Квартальная отчетность'!$E$10:$BM$10,YEAR(E$8),'Квартальная отчетность'!$E47:$BM47)</f>
        <v>0</v>
      </c>
      <c s="125">
        <f>SUMIF('Квартальная отчетность'!$E$10:$BM$10,YEAR(F$8),'Квартальная отчетность'!$E47:$BM47)</f>
        <v>0</v>
      </c>
      <c s="125">
        <f>SUMIF('Квартальная отчетность'!$E$10:$BM$10,YEAR(G$8),'Квартальная отчетность'!$E47:$BM47)</f>
        <v>0</v>
      </c>
      <c s="125">
        <f>SUMIF('Квартальная отчетность'!$E$10:$BM$10,YEAR(H$8),'Квартальная отчетность'!$E47:$BM47)</f>
        <v>0</v>
      </c>
      <c s="125">
        <f>SUMIF('Квартальная отчетность'!$E$10:$BM$10,YEAR(I$8),'Квартальная отчетность'!$E47:$BM47)</f>
        <v>0</v>
      </c>
      <c s="125">
        <f>SUMIF('Квартальная отчетность'!$E$10:$BM$10,YEAR(J$8),'Квартальная отчетность'!$E47:$BM47)</f>
        <v>0</v>
      </c>
      <c s="125">
        <f>SUMIF('Квартальная отчетность'!$E$10:$BM$10,YEAR(K$8),'Квартальная отчетность'!$E47:$BM47)</f>
        <v>0</v>
      </c>
      <c s="125">
        <f>SUMIF('Квартальная отчетность'!$E$10:$BM$10,YEAR(L$8),'Квартальная отчетность'!$E47:$BM47)</f>
        <v>0</v>
      </c>
      <c s="125">
        <f>SUMIF('Квартальная отчетность'!$E$10:$BM$10,YEAR(M$8),'Квартальная отчетность'!$E47:$BM47)</f>
        <v>0</v>
      </c>
      <c s="125">
        <f>SUMIF('Квартальная отчетность'!$E$10:$BM$10,YEAR(N$8),'Квартальная отчетность'!$E47:$BM47)</f>
        <v>0</v>
      </c>
      <c s="125">
        <f>SUMIF('Квартальная отчетность'!$E$10:$BM$10,YEAR(O$8),'Квартальная отчетность'!$E47:$BM47)</f>
        <v>0</v>
      </c>
      <c s="125">
        <f>SUMIF('Квартальная отчетность'!$E$10:$BM$10,YEAR(P$8),'Квартальная отчетность'!$E47:$BM47)</f>
        <v>0</v>
      </c>
      <c s="125">
        <f>SUMIF('Квартальная отчетность'!$E$10:$BM$10,YEAR(Q$8),'Квартальная отчетность'!$E47:$BM47)</f>
        <v>0</v>
      </c>
      <c s="125">
        <f>SUMIF('Квартальная отчетность'!$E$10:$BM$10,YEAR(R$8),'Квартальная отчетность'!$E47:$BM47)</f>
        <v>0</v>
      </c>
      <c s="125">
        <f>SUMIF('Квартальная отчетность'!$E$10:$BM$10,YEAR(S$8),'Квартальная отчетность'!$E47:$BM47)</f>
        <v>0</v>
      </c>
      <c s="125">
        <f>SUMIF('Квартальная отчетность'!$E$10:$BM$10,YEAR(T$8),'Квартальная отчетность'!$E47:$BM47)</f>
        <v>0</v>
      </c>
    </row>
    <row r="44" spans="2:20" ht="15" customHeight="1">
      <c r="B44" s="12" t="s">
        <v>943</v>
      </c>
      <c s="124" t="s">
        <v>438</v>
      </c>
      <c s="276">
        <f t="shared" ca="1" si="23"/>
        <v>0</v>
      </c>
      <c s="125">
        <f ca="1">SUMIF('Квартальная отчетность'!$E$10:$BM$10,YEAR(E$8),'Квартальная отчетность'!$E48:$BM48)</f>
        <v>0</v>
      </c>
      <c s="125">
        <f ca="1">SUMIF('Квартальная отчетность'!$E$10:$BM$10,YEAR(F$8),'Квартальная отчетность'!$E48:$BM48)</f>
        <v>0</v>
      </c>
      <c s="125">
        <f ca="1">SUMIF('Квартальная отчетность'!$E$10:$BM$10,YEAR(G$8),'Квартальная отчетность'!$E48:$BM48)</f>
        <v>0</v>
      </c>
      <c s="125">
        <f ca="1">SUMIF('Квартальная отчетность'!$E$10:$BM$10,YEAR(H$8),'Квартальная отчетность'!$E48:$BM48)</f>
        <v>0</v>
      </c>
      <c s="125">
        <f ca="1">SUMIF('Квартальная отчетность'!$E$10:$BM$10,YEAR(I$8),'Квартальная отчетность'!$E48:$BM48)</f>
        <v>0</v>
      </c>
      <c s="125">
        <f ca="1">SUMIF('Квартальная отчетность'!$E$10:$BM$10,YEAR(J$8),'Квартальная отчетность'!$E48:$BM48)</f>
        <v>0</v>
      </c>
      <c s="125">
        <f ca="1">SUMIF('Квартальная отчетность'!$E$10:$BM$10,YEAR(K$8),'Квартальная отчетность'!$E48:$BM48)</f>
        <v>0</v>
      </c>
      <c s="125">
        <f ca="1">SUMIF('Квартальная отчетность'!$E$10:$BM$10,YEAR(L$8),'Квартальная отчетность'!$E48:$BM48)</f>
        <v>0</v>
      </c>
      <c s="125">
        <f ca="1">SUMIF('Квартальная отчетность'!$E$10:$BM$10,YEAR(M$8),'Квартальная отчетность'!$E48:$BM48)</f>
        <v>0</v>
      </c>
      <c s="125">
        <f ca="1">SUMIF('Квартальная отчетность'!$E$10:$BM$10,YEAR(N$8),'Квартальная отчетность'!$E48:$BM48)</f>
        <v>0</v>
      </c>
      <c s="125">
        <f ca="1">SUMIF('Квартальная отчетность'!$E$10:$BM$10,YEAR(O$8),'Квартальная отчетность'!$E48:$BM48)</f>
        <v>0</v>
      </c>
      <c s="125">
        <f ca="1">SUMIF('Квартальная отчетность'!$E$10:$BM$10,YEAR(P$8),'Квартальная отчетность'!$E48:$BM48)</f>
        <v>0</v>
      </c>
      <c s="125">
        <f ca="1">SUMIF('Квартальная отчетность'!$E$10:$BM$10,YEAR(Q$8),'Квартальная отчетность'!$E48:$BM48)</f>
        <v>0</v>
      </c>
      <c s="125">
        <f ca="1">SUMIF('Квартальная отчетность'!$E$10:$BM$10,YEAR(R$8),'Квартальная отчетность'!$E48:$BM48)</f>
        <v>0</v>
      </c>
      <c s="125">
        <f ca="1">SUMIF('Квартальная отчетность'!$E$10:$BM$10,YEAR(S$8),'Квартальная отчетность'!$E48:$BM48)</f>
        <v>0</v>
      </c>
      <c s="125">
        <f ca="1">SUMIF('Квартальная отчетность'!$E$10:$BM$10,YEAR(T$8),'Квартальная отчетность'!$E48:$BM48)</f>
        <v>0</v>
      </c>
    </row>
    <row r="45" spans="2:20" ht="15" customHeight="1">
      <c r="B45" s="12" t="s">
        <v>950</v>
      </c>
      <c s="124" t="s">
        <v>438</v>
      </c>
      <c s="276">
        <f t="shared" ca="1" si="23"/>
        <v>0</v>
      </c>
      <c s="125">
        <f>SUMIF('Квартальная отчетность'!$E$10:$BM$10,YEAR(E$8),'Квартальная отчетность'!$E49:$BM49)</f>
        <v>0</v>
      </c>
      <c s="125">
        <f>SUMIF('Квартальная отчетность'!$E$10:$BM$10,YEAR(F$8),'Квартальная отчетность'!$E49:$BM49)</f>
        <v>0</v>
      </c>
      <c s="125">
        <f>SUMIF('Квартальная отчетность'!$E$10:$BM$10,YEAR(G$8),'Квартальная отчетность'!$E49:$BM49)</f>
        <v>0</v>
      </c>
      <c s="125">
        <f>SUMIF('Квартальная отчетность'!$E$10:$BM$10,YEAR(H$8),'Квартальная отчетность'!$E49:$BM49)</f>
        <v>0</v>
      </c>
      <c s="125">
        <f>SUMIF('Квартальная отчетность'!$E$10:$BM$10,YEAR(I$8),'Квартальная отчетность'!$E49:$BM49)</f>
        <v>0</v>
      </c>
      <c s="125">
        <f>SUMIF('Квартальная отчетность'!$E$10:$BM$10,YEAR(J$8),'Квартальная отчетность'!$E49:$BM49)</f>
        <v>0</v>
      </c>
      <c s="125">
        <f>SUMIF('Квартальная отчетность'!$E$10:$BM$10,YEAR(K$8),'Квартальная отчетность'!$E49:$BM49)</f>
        <v>0</v>
      </c>
      <c s="125">
        <f>SUMIF('Квартальная отчетность'!$E$10:$BM$10,YEAR(L$8),'Квартальная отчетность'!$E49:$BM49)</f>
        <v>0</v>
      </c>
      <c s="125">
        <f>SUMIF('Квартальная отчетность'!$E$10:$BM$10,YEAR(M$8),'Квартальная отчетность'!$E49:$BM49)</f>
        <v>0</v>
      </c>
      <c s="125">
        <f>SUMIF('Квартальная отчетность'!$E$10:$BM$10,YEAR(N$8),'Квартальная отчетность'!$E49:$BM49)</f>
        <v>0</v>
      </c>
      <c s="125">
        <f>SUMIF('Квартальная отчетность'!$E$10:$BM$10,YEAR(O$8),'Квартальная отчетность'!$E49:$BM49)</f>
        <v>0</v>
      </c>
      <c s="125">
        <f>SUMIF('Квартальная отчетность'!$E$10:$BM$10,YEAR(P$8),'Квартальная отчетность'!$E49:$BM49)</f>
        <v>0</v>
      </c>
      <c s="125">
        <f>SUMIF('Квартальная отчетность'!$E$10:$BM$10,YEAR(Q$8),'Квартальная отчетность'!$E49:$BM49)</f>
        <v>0</v>
      </c>
      <c s="125">
        <f>SUMIF('Квартальная отчетность'!$E$10:$BM$10,YEAR(R$8),'Квартальная отчетность'!$E49:$BM49)</f>
        <v>0</v>
      </c>
      <c s="125">
        <f>SUMIF('Квартальная отчетность'!$E$10:$BM$10,YEAR(S$8),'Квартальная отчетность'!$E49:$BM49)</f>
        <v>0</v>
      </c>
      <c s="125">
        <f>SUMIF('Квартальная отчетность'!$E$10:$BM$10,YEAR(T$8),'Квартальная отчетность'!$E49:$BM49)</f>
        <v>0</v>
      </c>
    </row>
    <row r="46" spans="2:20" ht="15" customHeight="1">
      <c r="B46" s="12" t="s">
        <v>953</v>
      </c>
      <c s="124" t="s">
        <v>438</v>
      </c>
      <c s="276">
        <f t="shared" ca="1" si="23"/>
        <v>0</v>
      </c>
      <c s="125">
        <f>SUMIF('Квартальная отчетность'!$E$10:$BM$10,YEAR(E$8),'Квартальная отчетность'!$E50:$BM50)</f>
        <v>0</v>
      </c>
      <c s="125">
        <f>SUMIF('Квартальная отчетность'!$E$10:$BM$10,YEAR(F$8),'Квартальная отчетность'!$E50:$BM50)</f>
        <v>0</v>
      </c>
      <c s="125">
        <f>SUMIF('Квартальная отчетность'!$E$10:$BM$10,YEAR(G$8),'Квартальная отчетность'!$E50:$BM50)</f>
        <v>0</v>
      </c>
      <c s="125">
        <f>SUMIF('Квартальная отчетность'!$E$10:$BM$10,YEAR(H$8),'Квартальная отчетность'!$E50:$BM50)</f>
        <v>0</v>
      </c>
      <c s="125">
        <f>SUMIF('Квартальная отчетность'!$E$10:$BM$10,YEAR(I$8),'Квартальная отчетность'!$E50:$BM50)</f>
        <v>0</v>
      </c>
      <c s="125">
        <f>SUMIF('Квартальная отчетность'!$E$10:$BM$10,YEAR(J$8),'Квартальная отчетность'!$E50:$BM50)</f>
        <v>0</v>
      </c>
      <c s="125">
        <f>SUMIF('Квартальная отчетность'!$E$10:$BM$10,YEAR(K$8),'Квартальная отчетность'!$E50:$BM50)</f>
        <v>0</v>
      </c>
      <c s="125">
        <f>SUMIF('Квартальная отчетность'!$E$10:$BM$10,YEAR(L$8),'Квартальная отчетность'!$E50:$BM50)</f>
        <v>0</v>
      </c>
      <c s="125">
        <f>SUMIF('Квартальная отчетность'!$E$10:$BM$10,YEAR(M$8),'Квартальная отчетность'!$E50:$BM50)</f>
        <v>0</v>
      </c>
      <c s="125">
        <f>SUMIF('Квартальная отчетность'!$E$10:$BM$10,YEAR(N$8),'Квартальная отчетность'!$E50:$BM50)</f>
        <v>0</v>
      </c>
      <c s="125">
        <f>SUMIF('Квартальная отчетность'!$E$10:$BM$10,YEAR(O$8),'Квартальная отчетность'!$E50:$BM50)</f>
        <v>0</v>
      </c>
      <c s="125">
        <f>SUMIF('Квартальная отчетность'!$E$10:$BM$10,YEAR(P$8),'Квартальная отчетность'!$E50:$BM50)</f>
        <v>0</v>
      </c>
      <c s="125">
        <f>SUMIF('Квартальная отчетность'!$E$10:$BM$10,YEAR(Q$8),'Квартальная отчетность'!$E50:$BM50)</f>
        <v>0</v>
      </c>
      <c s="125">
        <f>SUMIF('Квартальная отчетность'!$E$10:$BM$10,YEAR(R$8),'Квартальная отчетность'!$E50:$BM50)</f>
        <v>0</v>
      </c>
      <c s="125">
        <f>SUMIF('Квартальная отчетность'!$E$10:$BM$10,YEAR(S$8),'Квартальная отчетность'!$E50:$BM50)</f>
        <v>0</v>
      </c>
      <c s="125">
        <f>SUMIF('Квартальная отчетность'!$E$10:$BM$10,YEAR(T$8),'Квартальная отчетность'!$E50:$BM50)</f>
        <v>0</v>
      </c>
    </row>
    <row r="47" spans="2:20" ht="15" customHeight="1">
      <c r="B47" s="289" t="s">
        <v>454</v>
      </c>
      <c s="290" t="s">
        <v>438</v>
      </c>
      <c s="291">
        <f ca="1" t="shared" si="24" ref="D47:E47">SUM(D40:D46)</f>
        <v>0</v>
      </c>
      <c s="276">
        <f t="shared" ca="1" si="24"/>
        <v>0</v>
      </c>
      <c s="276">
        <f ca="1" t="shared" si="25" ref="F47:M47">SUM(F40:F46)</f>
        <v>0</v>
      </c>
      <c s="276">
        <f t="shared" ca="1" si="25"/>
        <v>0</v>
      </c>
      <c s="276">
        <f t="shared" ca="1" si="25"/>
        <v>0</v>
      </c>
      <c s="276">
        <f t="shared" ca="1" si="25"/>
        <v>0</v>
      </c>
      <c s="276">
        <f t="shared" ca="1" si="25"/>
        <v>0</v>
      </c>
      <c s="276">
        <f t="shared" ca="1" si="25"/>
        <v>0</v>
      </c>
      <c s="276">
        <f t="shared" ca="1" si="25"/>
        <v>0</v>
      </c>
      <c s="276">
        <f t="shared" ca="1" si="25"/>
        <v>0</v>
      </c>
      <c s="276">
        <f ca="1" t="shared" si="26" ref="N47:T47">SUM(N40:N46)</f>
        <v>0</v>
      </c>
      <c s="276">
        <f t="shared" ca="1" si="26"/>
        <v>0</v>
      </c>
      <c s="276">
        <f t="shared" ca="1" si="26"/>
        <v>0</v>
      </c>
      <c s="276">
        <f t="shared" ca="1" si="26"/>
        <v>0</v>
      </c>
      <c s="276">
        <f t="shared" ca="1" si="26"/>
        <v>0</v>
      </c>
      <c s="276">
        <f t="shared" ca="1" si="26"/>
        <v>0</v>
      </c>
      <c s="276">
        <f t="shared" ca="1" si="26"/>
        <v>0</v>
      </c>
    </row>
    <row r="48" ht="15" customHeight="1"/>
    <row r="49" spans="2:20" ht="15" customHeight="1">
      <c r="B49" s="292" t="s">
        <v>986</v>
      </c>
      <c s="293" t="s">
        <v>438</v>
      </c>
      <c s="291">
        <f ca="1" t="shared" si="27" ref="D49:E49">SUM(D37,D47)</f>
        <v>0</v>
      </c>
      <c s="291">
        <f t="shared" ca="1" si="27"/>
        <v>0</v>
      </c>
      <c s="291">
        <f ca="1" t="shared" si="28" ref="F49:M49">SUM(F37,F47)</f>
        <v>0</v>
      </c>
      <c s="291">
        <f t="shared" ca="1" si="28"/>
        <v>0</v>
      </c>
      <c s="291">
        <f t="shared" ca="1" si="28"/>
        <v>0</v>
      </c>
      <c s="291">
        <f t="shared" ca="1" si="28"/>
        <v>0</v>
      </c>
      <c s="291">
        <f t="shared" ca="1" si="28"/>
        <v>0</v>
      </c>
      <c s="291">
        <f t="shared" ca="1" si="28"/>
        <v>0</v>
      </c>
      <c s="291">
        <f t="shared" ca="1" si="28"/>
        <v>0</v>
      </c>
      <c s="291">
        <f t="shared" ca="1" si="28"/>
        <v>0</v>
      </c>
      <c s="291">
        <f ca="1" t="shared" si="29" ref="N49:T49">SUM(N37,N47)</f>
        <v>0</v>
      </c>
      <c s="291">
        <f t="shared" ca="1" si="29"/>
        <v>0</v>
      </c>
      <c s="291">
        <f t="shared" ca="1" si="29"/>
        <v>0</v>
      </c>
      <c s="291">
        <f t="shared" ca="1" si="29"/>
        <v>0</v>
      </c>
      <c s="291">
        <f t="shared" ca="1" si="29"/>
        <v>0</v>
      </c>
      <c s="291">
        <f t="shared" ca="1" si="29"/>
        <v>0</v>
      </c>
      <c s="291">
        <f t="shared" ca="1" si="29"/>
        <v>0</v>
      </c>
    </row>
    <row r="50" ht="15" customHeight="1"/>
    <row r="51" spans="2:26" ht="21">
      <c r="B51" s="24" t="s">
        <v>987</v>
      </c>
      <c r="D5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2" spans="2:24" ht="14.45">
      <c r="B52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3" spans="2:20" ht="15" customHeight="1">
      <c r="B53" s="12" t="s">
        <v>988</v>
      </c>
      <c s="124" t="s">
        <v>438</v>
      </c>
      <c s="276">
        <f>SUM(E53:T53)</f>
        <v>0</v>
      </c>
      <c s="125">
        <f>SUMIF('Квартальная отчетность'!$E$10:$BM$10,YEAR(E$8),'Квартальная отчетность'!$E57:$BM57)</f>
        <v>0</v>
      </c>
      <c s="125">
        <f>SUMIF('Квартальная отчетность'!$E$10:$BM$10,YEAR(F$8),'Квартальная отчетность'!$E57:$BM57)</f>
        <v>0</v>
      </c>
      <c s="125">
        <f>SUMIF('Квартальная отчетность'!$E$10:$BM$10,YEAR(G$8),'Квартальная отчетность'!$E57:$BM57)</f>
        <v>0</v>
      </c>
      <c s="125">
        <f>SUMIF('Квартальная отчетность'!$E$10:$BM$10,YEAR(H$8),'Квартальная отчетность'!$E57:$BM57)</f>
        <v>0</v>
      </c>
      <c s="125">
        <f>SUMIF('Квартальная отчетность'!$E$10:$BM$10,YEAR(I$8),'Квартальная отчетность'!$E57:$BM57)</f>
        <v>0</v>
      </c>
      <c s="125">
        <f>SUMIF('Квартальная отчетность'!$E$10:$BM$10,YEAR(J$8),'Квартальная отчетность'!$E57:$BM57)</f>
        <v>0</v>
      </c>
      <c s="125">
        <f>SUMIF('Квартальная отчетность'!$E$10:$BM$10,YEAR(K$8),'Квартальная отчетность'!$E57:$BM57)</f>
        <v>0</v>
      </c>
      <c s="125">
        <f>SUMIF('Квартальная отчетность'!$E$10:$BM$10,YEAR(L$8),'Квартальная отчетность'!$E57:$BM57)</f>
        <v>0</v>
      </c>
      <c s="125">
        <f>SUMIF('Квартальная отчетность'!$E$10:$BM$10,YEAR(M$8),'Квартальная отчетность'!$E57:$BM57)</f>
        <v>0</v>
      </c>
      <c s="125">
        <f>SUMIF('Квартальная отчетность'!$E$10:$BM$10,YEAR(N$8),'Квартальная отчетность'!$E57:$BM57)</f>
        <v>0</v>
      </c>
      <c s="125">
        <f>SUMIF('Квартальная отчетность'!$E$10:$BM$10,YEAR(O$8),'Квартальная отчетность'!$E57:$BM57)</f>
        <v>0</v>
      </c>
      <c s="125">
        <f>SUMIF('Квартальная отчетность'!$E$10:$BM$10,YEAR(P$8),'Квартальная отчетность'!$E57:$BM57)</f>
        <v>0</v>
      </c>
      <c s="125">
        <f>SUMIF('Квартальная отчетность'!$E$10:$BM$10,YEAR(Q$8),'Квартальная отчетность'!$E57:$BM57)</f>
        <v>0</v>
      </c>
      <c s="125">
        <f>SUMIF('Квартальная отчетность'!$E$10:$BM$10,YEAR(R$8),'Квартальная отчетность'!$E57:$BM57)</f>
        <v>0</v>
      </c>
      <c s="125">
        <f>SUMIF('Квартальная отчетность'!$E$10:$BM$10,YEAR(S$8),'Квартальная отчетность'!$E57:$BM57)</f>
        <v>0</v>
      </c>
      <c s="125">
        <f>SUMIF('Квартальная отчетность'!$E$10:$BM$10,YEAR(T$8),'Квартальная отчетность'!$E57:$BM57)</f>
        <v>0</v>
      </c>
    </row>
    <row r="54" spans="2:20" ht="15" customHeight="1">
      <c r="B54" s="289" t="s">
        <v>454</v>
      </c>
      <c s="290" t="s">
        <v>438</v>
      </c>
      <c s="291">
        <f t="shared" si="30" ref="D54:E54">SUM(D53:D53)</f>
        <v>0</v>
      </c>
      <c s="276">
        <f t="shared" si="30"/>
        <v>0</v>
      </c>
      <c s="276">
        <f t="shared" si="31" ref="F54:T54">SUM(F53:F53)</f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  <c s="276">
        <f t="shared" si="31"/>
        <v>0</v>
      </c>
    </row>
    <row r="55" ht="15" customHeight="1"/>
    <row r="56" spans="2:20" ht="15" customHeight="1">
      <c r="B56" s="292" t="s">
        <v>989</v>
      </c>
      <c s="293" t="s">
        <v>438</v>
      </c>
      <c s="291">
        <f t="shared" si="32" ref="D56:E56">D54</f>
        <v>0</v>
      </c>
      <c s="291">
        <f t="shared" si="32"/>
        <v>0</v>
      </c>
      <c s="291">
        <f t="shared" si="33" ref="F56:T56">F54</f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  <c s="291">
        <f t="shared" si="33"/>
        <v>0</v>
      </c>
    </row>
    <row r="57" ht="15" customHeight="1"/>
    <row r="58" spans="2:26" ht="21">
      <c r="B58" s="24" t="s">
        <v>990</v>
      </c>
      <c r="D5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9" spans="2:24" ht="14.45">
      <c r="B59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0" spans="2:20" ht="15" customHeight="1">
      <c r="B60" s="12" t="s">
        <v>991</v>
      </c>
      <c s="124" t="s">
        <v>438</v>
      </c>
      <c s="276">
        <f>SUM(E60:T60)</f>
        <v>0</v>
      </c>
      <c s="125">
        <f>SUMIF('Квартальная отчетность'!$E$10:$BM$10,YEAR(E$8),'Квартальная отчетность'!$E64:$BM64)</f>
        <v>0</v>
      </c>
      <c s="125">
        <f>SUMIF('Квартальная отчетность'!$E$10:$BM$10,YEAR(F$8),'Квартальная отчетность'!$E64:$BM64)</f>
        <v>0</v>
      </c>
      <c s="125">
        <f>SUMIF('Квартальная отчетность'!$E$10:$BM$10,YEAR(G$8),'Квартальная отчетность'!$E64:$BM64)</f>
        <v>0</v>
      </c>
      <c s="125">
        <f>SUMIF('Квартальная отчетность'!$E$10:$BM$10,YEAR(H$8),'Квартальная отчетность'!$E64:$BM64)</f>
        <v>0</v>
      </c>
      <c s="125">
        <f>SUMIF('Квартальная отчетность'!$E$10:$BM$10,YEAR(I$8),'Квартальная отчетность'!$E64:$BM64)</f>
        <v>0</v>
      </c>
      <c s="125">
        <f>SUMIF('Квартальная отчетность'!$E$10:$BM$10,YEAR(J$8),'Квартальная отчетность'!$E64:$BM64)</f>
        <v>0</v>
      </c>
      <c s="125">
        <f>SUMIF('Квартальная отчетность'!$E$10:$BM$10,YEAR(K$8),'Квартальная отчетность'!$E64:$BM64)</f>
        <v>0</v>
      </c>
      <c s="125">
        <f>SUMIF('Квартальная отчетность'!$E$10:$BM$10,YEAR(L$8),'Квартальная отчетность'!$E64:$BM64)</f>
        <v>0</v>
      </c>
      <c s="125">
        <f>SUMIF('Квартальная отчетность'!$E$10:$BM$10,YEAR(M$8),'Квартальная отчетность'!$E64:$BM64)</f>
        <v>0</v>
      </c>
      <c s="125">
        <f>SUMIF('Квартальная отчетность'!$E$10:$BM$10,YEAR(N$8),'Квартальная отчетность'!$E64:$BM64)</f>
        <v>0</v>
      </c>
      <c s="125">
        <f>SUMIF('Квартальная отчетность'!$E$10:$BM$10,YEAR(O$8),'Квартальная отчетность'!$E64:$BM64)</f>
        <v>0</v>
      </c>
      <c s="125">
        <f>SUMIF('Квартальная отчетность'!$E$10:$BM$10,YEAR(P$8),'Квартальная отчетность'!$E64:$BM64)</f>
        <v>0</v>
      </c>
      <c s="125">
        <f>SUMIF('Квартальная отчетность'!$E$10:$BM$10,YEAR(Q$8),'Квартальная отчетность'!$E64:$BM64)</f>
        <v>0</v>
      </c>
      <c s="125">
        <f>SUMIF('Квартальная отчетность'!$E$10:$BM$10,YEAR(R$8),'Квартальная отчетность'!$E64:$BM64)</f>
        <v>0</v>
      </c>
      <c s="125">
        <f>SUMIF('Квартальная отчетность'!$E$10:$BM$10,YEAR(S$8),'Квартальная отчетность'!$E64:$BM64)</f>
        <v>0</v>
      </c>
      <c s="125">
        <f>SUMIF('Квартальная отчетность'!$E$10:$BM$10,YEAR(T$8),'Квартальная отчетность'!$E64:$BM64)</f>
        <v>0</v>
      </c>
    </row>
    <row r="61" spans="2:20" ht="15" customHeight="1">
      <c r="B61" s="12" t="s">
        <v>968</v>
      </c>
      <c s="124" t="s">
        <v>438</v>
      </c>
      <c s="276">
        <f ca="1">SUM(E61:T61)</f>
        <v>0</v>
      </c>
      <c s="125">
        <f ca="1">SUMIF('Квартальная отчетность'!$E$10:$BM$10,YEAR(E$8),'Квартальная отчетность'!$E65:$BM65)</f>
        <v>0</v>
      </c>
      <c s="125">
        <f ca="1">SUMIF('Квартальная отчетность'!$E$10:$BM$10,YEAR(F$8),'Квартальная отчетность'!$E65:$BM65)</f>
        <v>0</v>
      </c>
      <c s="125">
        <f ca="1">SUMIF('Квартальная отчетность'!$E$10:$BM$10,YEAR(G$8),'Квартальная отчетность'!$E65:$BM65)</f>
        <v>0</v>
      </c>
      <c s="125">
        <f ca="1">SUMIF('Квартальная отчетность'!$E$10:$BM$10,YEAR(H$8),'Квартальная отчетность'!$E65:$BM65)</f>
        <v>0</v>
      </c>
      <c s="125">
        <f ca="1">SUMIF('Квартальная отчетность'!$E$10:$BM$10,YEAR(I$8),'Квартальная отчетность'!$E65:$BM65)</f>
        <v>0</v>
      </c>
      <c s="125">
        <f ca="1">SUMIF('Квартальная отчетность'!$E$10:$BM$10,YEAR(J$8),'Квартальная отчетность'!$E65:$BM65)</f>
        <v>0</v>
      </c>
      <c s="125">
        <f ca="1">SUMIF('Квартальная отчетность'!$E$10:$BM$10,YEAR(K$8),'Квартальная отчетность'!$E65:$BM65)</f>
        <v>0</v>
      </c>
      <c s="125">
        <f ca="1">SUMIF('Квартальная отчетность'!$E$10:$BM$10,YEAR(L$8),'Квартальная отчетность'!$E65:$BM65)</f>
        <v>0</v>
      </c>
      <c s="125">
        <f ca="1">SUMIF('Квартальная отчетность'!$E$10:$BM$10,YEAR(M$8),'Квартальная отчетность'!$E65:$BM65)</f>
        <v>0</v>
      </c>
      <c s="125">
        <f ca="1">SUMIF('Квартальная отчетность'!$E$10:$BM$10,YEAR(N$8),'Квартальная отчетность'!$E65:$BM65)</f>
        <v>0</v>
      </c>
      <c s="125">
        <f ca="1">SUMIF('Квартальная отчетность'!$E$10:$BM$10,YEAR(O$8),'Квартальная отчетность'!$E65:$BM65)</f>
        <v>0</v>
      </c>
      <c s="125">
        <f ca="1">SUMIF('Квартальная отчетность'!$E$10:$BM$10,YEAR(P$8),'Квартальная отчетность'!$E65:$BM65)</f>
        <v>0</v>
      </c>
      <c s="125">
        <f ca="1">SUMIF('Квартальная отчетность'!$E$10:$BM$10,YEAR(Q$8),'Квартальная отчетность'!$E65:$BM65)</f>
        <v>0</v>
      </c>
      <c s="125">
        <f ca="1">SUMIF('Квартальная отчетность'!$E$10:$BM$10,YEAR(R$8),'Квартальная отчетность'!$E65:$BM65)</f>
        <v>0</v>
      </c>
      <c s="125">
        <f ca="1">SUMIF('Квартальная отчетность'!$E$10:$BM$10,YEAR(S$8),'Квартальная отчетность'!$E65:$BM65)</f>
        <v>0</v>
      </c>
      <c s="125">
        <f ca="1">SUMIF('Квартальная отчетность'!$E$10:$BM$10,YEAR(T$8),'Квартальная отчетность'!$E65:$BM65)</f>
        <v>0</v>
      </c>
    </row>
    <row r="62" spans="2:20" ht="15" customHeight="1">
      <c r="B62" s="289" t="s">
        <v>454</v>
      </c>
      <c s="290" t="s">
        <v>438</v>
      </c>
      <c s="291">
        <f ca="1" t="shared" si="34" ref="D62:E62">SUM(D60:D61)</f>
        <v>0</v>
      </c>
      <c s="276">
        <f t="shared" ca="1" si="34"/>
        <v>0</v>
      </c>
      <c s="276">
        <f ca="1" t="shared" si="35" ref="F62:T62">SUM(F60:F61)</f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  <c s="276">
        <f t="shared" ca="1" si="35"/>
        <v>0</v>
      </c>
    </row>
    <row r="63" ht="15" customHeight="1"/>
    <row r="64" spans="2:24" ht="14.45">
      <c r="B64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5" spans="2:20" ht="15" customHeight="1">
      <c r="B65" s="12" t="s">
        <v>582</v>
      </c>
      <c s="124" t="s">
        <v>438</v>
      </c>
      <c s="276">
        <f>SUM(E65:T65)</f>
        <v>0</v>
      </c>
      <c s="125">
        <f>SUMIF('Квартальная отчетность'!$E$10:$BM$10,YEAR(E$8),'Квартальная отчетность'!$E69:$BM69)</f>
        <v>0</v>
      </c>
      <c s="125">
        <f>SUMIF('Квартальная отчетность'!$E$10:$BM$10,YEAR(F$8),'Квартальная отчетность'!$E69:$BM69)</f>
        <v>0</v>
      </c>
      <c s="125">
        <f>SUMIF('Квартальная отчетность'!$E$10:$BM$10,YEAR(G$8),'Квартальная отчетность'!$E69:$BM69)</f>
        <v>0</v>
      </c>
      <c s="125">
        <f>SUMIF('Квартальная отчетность'!$E$10:$BM$10,YEAR(H$8),'Квартальная отчетность'!$E69:$BM69)</f>
        <v>0</v>
      </c>
      <c s="125">
        <f>SUMIF('Квартальная отчетность'!$E$10:$BM$10,YEAR(I$8),'Квартальная отчетность'!$E69:$BM69)</f>
        <v>0</v>
      </c>
      <c s="125">
        <f>SUMIF('Квартальная отчетность'!$E$10:$BM$10,YEAR(J$8),'Квартальная отчетность'!$E69:$BM69)</f>
        <v>0</v>
      </c>
      <c s="125">
        <f>SUMIF('Квартальная отчетность'!$E$10:$BM$10,YEAR(K$8),'Квартальная отчетность'!$E69:$BM69)</f>
        <v>0</v>
      </c>
      <c s="125">
        <f>SUMIF('Квартальная отчетность'!$E$10:$BM$10,YEAR(L$8),'Квартальная отчетность'!$E69:$BM69)</f>
        <v>0</v>
      </c>
      <c s="125">
        <f>SUMIF('Квартальная отчетность'!$E$10:$BM$10,YEAR(M$8),'Квартальная отчетность'!$E69:$BM69)</f>
        <v>0</v>
      </c>
      <c s="125">
        <f>SUMIF('Квартальная отчетность'!$E$10:$BM$10,YEAR(N$8),'Квартальная отчетность'!$E69:$BM69)</f>
        <v>0</v>
      </c>
      <c s="125">
        <f>SUMIF('Квартальная отчетность'!$E$10:$BM$10,YEAR(O$8),'Квартальная отчетность'!$E69:$BM69)</f>
        <v>0</v>
      </c>
      <c s="125">
        <f>SUMIF('Квартальная отчетность'!$E$10:$BM$10,YEAR(P$8),'Квартальная отчетность'!$E69:$BM69)</f>
        <v>0</v>
      </c>
      <c s="125">
        <f>SUMIF('Квартальная отчетность'!$E$10:$BM$10,YEAR(Q$8),'Квартальная отчетность'!$E69:$BM69)</f>
        <v>0</v>
      </c>
      <c s="125">
        <f>SUMIF('Квартальная отчетность'!$E$10:$BM$10,YEAR(R$8),'Квартальная отчетность'!$E69:$BM69)</f>
        <v>0</v>
      </c>
      <c s="125">
        <f>SUMIF('Квартальная отчетность'!$E$10:$BM$10,YEAR(S$8),'Квартальная отчетность'!$E69:$BM69)</f>
        <v>0</v>
      </c>
      <c s="125">
        <f>SUMIF('Квартальная отчетность'!$E$10:$BM$10,YEAR(T$8),'Квартальная отчетность'!$E69:$BM69)</f>
        <v>0</v>
      </c>
    </row>
    <row r="66" spans="2:20" ht="15" customHeight="1">
      <c r="B66" s="12" t="s">
        <v>583</v>
      </c>
      <c s="124" t="s">
        <v>438</v>
      </c>
      <c s="276">
        <f>SUM(E66:T66)</f>
        <v>0</v>
      </c>
      <c s="125">
        <f>SUMIF('Квартальная отчетность'!$E$10:$BM$10,YEAR(E$8),'Квартальная отчетность'!$E70:$BM70)</f>
        <v>0</v>
      </c>
      <c s="125">
        <f>SUMIF('Квартальная отчетность'!$E$10:$BM$10,YEAR(F$8),'Квартальная отчетность'!$E70:$BM70)</f>
        <v>0</v>
      </c>
      <c s="125">
        <f>SUMIF('Квартальная отчетность'!$E$10:$BM$10,YEAR(G$8),'Квартальная отчетность'!$E70:$BM70)</f>
        <v>0</v>
      </c>
      <c s="125">
        <f>SUMIF('Квартальная отчетность'!$E$10:$BM$10,YEAR(H$8),'Квартальная отчетность'!$E70:$BM70)</f>
        <v>0</v>
      </c>
      <c s="125">
        <f>SUMIF('Квартальная отчетность'!$E$10:$BM$10,YEAR(I$8),'Квартальная отчетность'!$E70:$BM70)</f>
        <v>0</v>
      </c>
      <c s="125">
        <f>SUMIF('Квартальная отчетность'!$E$10:$BM$10,YEAR(J$8),'Квартальная отчетность'!$E70:$BM70)</f>
        <v>0</v>
      </c>
      <c s="125">
        <f>SUMIF('Квартальная отчетность'!$E$10:$BM$10,YEAR(K$8),'Квартальная отчетность'!$E70:$BM70)</f>
        <v>0</v>
      </c>
      <c s="125">
        <f>SUMIF('Квартальная отчетность'!$E$10:$BM$10,YEAR(L$8),'Квартальная отчетность'!$E70:$BM70)</f>
        <v>0</v>
      </c>
      <c s="125">
        <f>SUMIF('Квартальная отчетность'!$E$10:$BM$10,YEAR(M$8),'Квартальная отчетность'!$E70:$BM70)</f>
        <v>0</v>
      </c>
      <c s="125">
        <f>SUMIF('Квартальная отчетность'!$E$10:$BM$10,YEAR(N$8),'Квартальная отчетность'!$E70:$BM70)</f>
        <v>0</v>
      </c>
      <c s="125">
        <f>SUMIF('Квартальная отчетность'!$E$10:$BM$10,YEAR(O$8),'Квартальная отчетность'!$E70:$BM70)</f>
        <v>0</v>
      </c>
      <c s="125">
        <f>SUMIF('Квартальная отчетность'!$E$10:$BM$10,YEAR(P$8),'Квартальная отчетность'!$E70:$BM70)</f>
        <v>0</v>
      </c>
      <c s="125">
        <f>SUMIF('Квартальная отчетность'!$E$10:$BM$10,YEAR(Q$8),'Квартальная отчетность'!$E70:$BM70)</f>
        <v>0</v>
      </c>
      <c s="125">
        <f>SUMIF('Квартальная отчетность'!$E$10:$BM$10,YEAR(R$8),'Квартальная отчетность'!$E70:$BM70)</f>
        <v>0</v>
      </c>
      <c s="125">
        <f>SUMIF('Квартальная отчетность'!$E$10:$BM$10,YEAR(S$8),'Квартальная отчетность'!$E70:$BM70)</f>
        <v>0</v>
      </c>
      <c s="125">
        <f>SUMIF('Квартальная отчетность'!$E$10:$BM$10,YEAR(T$8),'Квартальная отчетность'!$E70:$BM70)</f>
        <v>0</v>
      </c>
    </row>
    <row r="67" spans="2:20" ht="15" customHeight="1">
      <c r="B67" s="289" t="s">
        <v>454</v>
      </c>
      <c s="290" t="s">
        <v>438</v>
      </c>
      <c s="291">
        <f t="shared" si="36" ref="D67:E67">SUM(D65:D66)</f>
        <v>0</v>
      </c>
      <c s="276">
        <f t="shared" si="36"/>
        <v>0</v>
      </c>
      <c s="276">
        <f t="shared" si="37" ref="F67:T67">SUM(F65:F66)</f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  <c s="276">
        <f t="shared" si="37"/>
        <v>0</v>
      </c>
    </row>
    <row r="68" ht="15" customHeight="1"/>
    <row r="69" spans="2:20" ht="15" customHeight="1">
      <c r="B69" s="292" t="s">
        <v>992</v>
      </c>
      <c s="293" t="s">
        <v>438</v>
      </c>
      <c s="291">
        <f ca="1" t="shared" si="38" ref="D69:E69">SUM(D62,D67)</f>
        <v>0</v>
      </c>
      <c s="291">
        <f t="shared" ca="1" si="38"/>
        <v>0</v>
      </c>
      <c s="291">
        <f ca="1" t="shared" si="39" ref="F69:T69">SUM(F62,F67)</f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  <c s="291">
        <f t="shared" ca="1" si="39"/>
        <v>0</v>
      </c>
    </row>
    <row r="70" ht="15" customHeight="1"/>
    <row r="71" spans="2:2" ht="15" customHeight="1">
      <c r="B71" s="24" t="s">
        <v>993</v>
      </c>
    </row>
    <row r="72" spans="2:20" ht="15" customHeight="1">
      <c r="B72" s="12" t="s">
        <v>994</v>
      </c>
      <c s="124" t="s">
        <v>438</v>
      </c>
      <c s="276">
        <f ca="1">SUM(E72:L72)</f>
        <v>0</v>
      </c>
      <c s="125">
        <f ca="1">IF(E6=1,Предпосылки!$C$445,D74)*IF($K$3&lt;DATE(YEAR(E8),1,1),0,1)</f>
        <v>0</v>
      </c>
      <c s="125">
        <f ca="1">IF(F6=1,Предпосылки!$C$445,E74)*IF($K$3&lt;DATE(YEAR(F8),1,1),0,1)</f>
        <v>0</v>
      </c>
      <c s="125">
        <f ca="1">IF(G6=1,Предпосылки!$C$445,F74)*IF($K$3&lt;DATE(YEAR(G8),1,1),0,1)</f>
        <v>0</v>
      </c>
      <c s="125">
        <f ca="1">IF(H6=1,Предпосылки!$C$445,G74)*IF($K$3&lt;DATE(YEAR(H8),1,1),0,1)</f>
        <v>0</v>
      </c>
      <c s="125">
        <f ca="1">IF(I6=1,Предпосылки!$C$445,H74)*IF($K$3&lt;DATE(YEAR(I8),1,1),0,1)</f>
        <v>0</v>
      </c>
      <c s="125">
        <f ca="1">IF(J6=1,Предпосылки!$C$445,I74)*IF($K$3&lt;DATE(YEAR(J8),1,1),0,1)</f>
        <v>0</v>
      </c>
      <c s="125">
        <f ca="1">IF(K6=1,Предпосылки!$C$445,J74)*IF($K$3&lt;DATE(YEAR(K8),1,1),0,1)</f>
        <v>0</v>
      </c>
      <c s="125">
        <f ca="1">IF(L6=1,Предпосылки!$C$445,K74)*IF($K$3&lt;DATE(YEAR(L8),1,1),0,1)</f>
        <v>0</v>
      </c>
      <c s="125">
        <f ca="1">IF(M6=1,Предпосылки!$C$445,L74)*IF($K$3&lt;DATE(YEAR(M8),1,1),0,1)</f>
        <v>0</v>
      </c>
      <c s="125">
        <f ca="1">IF(N6=1,Предпосылки!$C$445,M74)*IF($K$3&lt;DATE(YEAR(N8),1,1),0,1)</f>
        <v>0</v>
      </c>
      <c s="125">
        <f ca="1">IF(O6=1,Предпосылки!$C$445,N74)*IF($K$3&lt;DATE(YEAR(O8),1,1),0,1)</f>
        <v>0</v>
      </c>
      <c s="125">
        <f ca="1">IF(P6=1,Предпосылки!$C$445,O74)*IF($K$3&lt;DATE(YEAR(P8),1,1),0,1)</f>
        <v>0</v>
      </c>
      <c s="125">
        <f ca="1">IF(Q6=1,Предпосылки!$C$445,P74)*IF($K$3&lt;DATE(YEAR(Q8),1,1),0,1)</f>
        <v>0</v>
      </c>
      <c s="125">
        <f ca="1">IF(R6=1,Предпосылки!$C$445,Q74)*IF($K$3&lt;DATE(YEAR(R8),1,1),0,1)</f>
        <v>0</v>
      </c>
      <c s="125">
        <f ca="1">IF(S6=1,Предпосылки!$C$445,R74)*IF($K$3&lt;DATE(YEAR(S8),1,1),0,1)</f>
        <v>0</v>
      </c>
      <c s="125">
        <f ca="1">IF(T6=1,Предпосылки!$C$445,S74)*IF($K$3&lt;DATE(YEAR(T8),1,1),0,1)</f>
        <v>0</v>
      </c>
    </row>
    <row r="73" spans="2:20" ht="15" customHeight="1">
      <c r="B73" s="12" t="s">
        <v>995</v>
      </c>
      <c s="124" t="s">
        <v>438</v>
      </c>
      <c s="276">
        <f ca="1">SUM(E73:L73)</f>
        <v>0</v>
      </c>
      <c s="125">
        <f ca="1" t="shared" si="40" ref="E73">SUM(E49,E56,E69)</f>
        <v>0</v>
      </c>
      <c s="125">
        <f ca="1" t="shared" si="41" ref="F73:K73">SUM(F49,F56,F69)</f>
        <v>0</v>
      </c>
      <c s="125">
        <f t="shared" ca="1" si="41"/>
        <v>0</v>
      </c>
      <c s="125">
        <f t="shared" ca="1" si="41"/>
        <v>0</v>
      </c>
      <c s="125">
        <f t="shared" ca="1" si="41"/>
        <v>0</v>
      </c>
      <c s="125">
        <f t="shared" ca="1" si="41"/>
        <v>0</v>
      </c>
      <c s="125">
        <f t="shared" ca="1" si="41"/>
        <v>0</v>
      </c>
      <c s="125">
        <f ca="1" t="shared" si="42" ref="L73:T73">SUM(L49,L56,L69)</f>
        <v>0</v>
      </c>
      <c s="125">
        <f t="shared" ca="1" si="42"/>
        <v>0</v>
      </c>
      <c s="125">
        <f t="shared" ca="1" si="42"/>
        <v>0</v>
      </c>
      <c s="125">
        <f t="shared" ca="1" si="42"/>
        <v>0</v>
      </c>
      <c s="125">
        <f t="shared" ca="1" si="42"/>
        <v>0</v>
      </c>
      <c s="125">
        <f t="shared" ca="1" si="42"/>
        <v>0</v>
      </c>
      <c s="125">
        <f t="shared" ca="1" si="42"/>
        <v>0</v>
      </c>
      <c s="125">
        <f t="shared" ca="1" si="42"/>
        <v>0</v>
      </c>
      <c s="125">
        <f t="shared" ca="1" si="42"/>
        <v>0</v>
      </c>
    </row>
    <row r="74" spans="2:20" ht="15" customHeight="1">
      <c r="B74" s="651" t="s">
        <v>996</v>
      </c>
      <c s="652" t="s">
        <v>438</v>
      </c>
      <c s="291">
        <f ca="1">SUM(D73:D73)</f>
        <v>0</v>
      </c>
      <c s="653">
        <f ca="1" t="shared" si="43" ref="E74">SUM(E72:E73)</f>
        <v>0</v>
      </c>
      <c s="653">
        <f ca="1" t="shared" si="44" ref="F74:K74">SUM(F72:F73)</f>
        <v>0</v>
      </c>
      <c s="653">
        <f t="shared" ca="1" si="44"/>
        <v>0</v>
      </c>
      <c s="653">
        <f t="shared" ca="1" si="44"/>
        <v>0</v>
      </c>
      <c s="653">
        <f t="shared" ca="1" si="44"/>
        <v>0</v>
      </c>
      <c s="653">
        <f t="shared" ca="1" si="44"/>
        <v>0</v>
      </c>
      <c s="653">
        <f t="shared" ca="1" si="44"/>
        <v>0</v>
      </c>
      <c s="653">
        <f ca="1" t="shared" si="45" ref="L74:T74">SUM(L72:L73)</f>
        <v>0</v>
      </c>
      <c s="653">
        <f t="shared" ca="1" si="45"/>
        <v>0</v>
      </c>
      <c s="653">
        <f t="shared" ca="1" si="45"/>
        <v>0</v>
      </c>
      <c s="653">
        <f t="shared" ca="1" si="45"/>
        <v>0</v>
      </c>
      <c s="653">
        <f t="shared" ca="1" si="45"/>
        <v>0</v>
      </c>
      <c s="653">
        <f t="shared" ca="1" si="45"/>
        <v>0</v>
      </c>
      <c s="653">
        <f t="shared" ca="1" si="45"/>
        <v>0</v>
      </c>
      <c s="653">
        <f t="shared" ca="1" si="45"/>
        <v>0</v>
      </c>
      <c s="653">
        <f t="shared" ca="1" si="45"/>
        <v>0</v>
      </c>
    </row>
    <row r="75" ht="15" customHeight="1"/>
    <row r="76" spans="2:3" ht="15" customHeight="1">
      <c r="B76" s="12" t="s">
        <v>1080</v>
      </c>
      <c s="47" t="str">
        <f ca="1">IFERROR(IF(ROUND(MIN(E74:T74),2)&lt;0,"Q","R"),"Q")</f>
        <v>R</v>
      </c>
    </row>
    <row r="77" ht="15" customHeight="1"/>
    <row r="78" spans="2:26" ht="21">
      <c r="B78" s="23" t="s">
        <v>335</v>
      </c>
      <c r="D7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9" spans="2:26" ht="21">
      <c r="B79" s="24" t="s">
        <v>999</v>
      </c>
      <c r="D7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0" spans="2:20" ht="15" customHeight="1">
      <c r="B80" s="12" t="s">
        <v>1000</v>
      </c>
      <c s="124" t="str">
        <f>Единица_измерения</f>
        <v>тыс. руб.</v>
      </c>
      <c s="125"/>
      <c s="125">
        <f>LOOKUP(E$8,'Квартальная отчетность'!$E$8:$BM$8,'Квартальная отчетность'!$E85:$BM85)</f>
        <v>0</v>
      </c>
      <c s="125">
        <f>LOOKUP(F$8,'Квартальная отчетность'!$E$8:$BM$8,'Квартальная отчетность'!$E85:$BM85)</f>
        <v>0</v>
      </c>
      <c s="125">
        <f>LOOKUP(G$8,'Квартальная отчетность'!$E$8:$BM$8,'Квартальная отчетность'!$E85:$BM85)</f>
        <v>0</v>
      </c>
      <c s="125">
        <f>LOOKUP(H$8,'Квартальная отчетность'!$E$8:$BM$8,'Квартальная отчетность'!$E85:$BM85)</f>
        <v>0</v>
      </c>
      <c s="125">
        <f>LOOKUP(I$8,'Квартальная отчетность'!$E$8:$BM$8,'Квартальная отчетность'!$E85:$BM85)</f>
        <v>0</v>
      </c>
      <c s="125">
        <f>LOOKUP(J$8,'Квартальная отчетность'!$E$8:$BM$8,'Квартальная отчетность'!$E85:$BM85)</f>
        <v>0</v>
      </c>
      <c s="125">
        <f>LOOKUP(K$8,'Квартальная отчетность'!$E$8:$BM$8,'Квартальная отчетность'!$E85:$BM85)</f>
        <v>0</v>
      </c>
      <c s="125">
        <f>LOOKUP(L$8,'Квартальная отчетность'!$E$8:$BM$8,'Квартальная отчетность'!$E85:$BM85)</f>
        <v>0</v>
      </c>
      <c s="125">
        <f>LOOKUP(M$8,'Квартальная отчетность'!$E$8:$BM$8,'Квартальная отчетность'!$E85:$BM85)</f>
        <v>0</v>
      </c>
      <c s="125">
        <f>LOOKUP(N$8,'Квартальная отчетность'!$E$8:$BM$8,'Квартальная отчетность'!$E85:$BM85)</f>
        <v>0</v>
      </c>
      <c s="125">
        <f>LOOKUP(O$8,'Квартальная отчетность'!$E$8:$BM$8,'Квартальная отчетность'!$E85:$BM85)</f>
        <v>0</v>
      </c>
      <c s="125">
        <f>LOOKUP(P$8,'Квартальная отчетность'!$E$8:$BM$8,'Квартальная отчетность'!$E85:$BM85)</f>
        <v>0</v>
      </c>
      <c s="125">
        <f>LOOKUP(Q$8,'Квартальная отчетность'!$E$8:$BM$8,'Квартальная отчетность'!$E85:$BM85)</f>
        <v>0</v>
      </c>
      <c s="125">
        <f>LOOKUP(R$8,'Квартальная отчетность'!$E$8:$BM$8,'Квартальная отчетность'!$E85:$BM85)</f>
        <v>0</v>
      </c>
      <c s="125">
        <f>LOOKUP(S$8,'Квартальная отчетность'!$E$8:$BM$8,'Квартальная отчетность'!$E85:$BM85)</f>
        <v>0</v>
      </c>
      <c s="125">
        <f>LOOKUP(T$8,'Квартальная отчетность'!$E$8:$BM$8,'Квартальная отчетность'!$E85:$BM85)</f>
        <v>0</v>
      </c>
    </row>
    <row r="81" spans="2:20" ht="15" customHeight="1">
      <c r="B81" s="22" t="s">
        <v>1001</v>
      </c>
      <c s="124" t="str">
        <f>Единица_измерения</f>
        <v>тыс. руб.</v>
      </c>
      <c s="125"/>
      <c s="125">
        <f>LOOKUP(E$8,'Квартальная отчетность'!$E$8:$BM$8,'Квартальная отчетность'!$E86:$BM86)</f>
        <v>0</v>
      </c>
      <c s="125">
        <f>LOOKUP(F$8,'Квартальная отчетность'!$E$8:$BM$8,'Квартальная отчетность'!$E86:$BM86)</f>
        <v>0</v>
      </c>
      <c s="125">
        <f>LOOKUP(G$8,'Квартальная отчетность'!$E$8:$BM$8,'Квартальная отчетность'!$E86:$BM86)</f>
        <v>0</v>
      </c>
      <c s="125">
        <f>LOOKUP(H$8,'Квартальная отчетность'!$E$8:$BM$8,'Квартальная отчетность'!$E86:$BM86)</f>
        <v>0</v>
      </c>
      <c s="125">
        <f>LOOKUP(I$8,'Квартальная отчетность'!$E$8:$BM$8,'Квартальная отчетность'!$E86:$BM86)</f>
        <v>0</v>
      </c>
      <c s="125">
        <f>LOOKUP(J$8,'Квартальная отчетность'!$E$8:$BM$8,'Квартальная отчетность'!$E86:$BM86)</f>
        <v>0</v>
      </c>
      <c s="125">
        <f>LOOKUP(K$8,'Квартальная отчетность'!$E$8:$BM$8,'Квартальная отчетность'!$E86:$BM86)</f>
        <v>0</v>
      </c>
      <c s="125">
        <f>LOOKUP(L$8,'Квартальная отчетность'!$E$8:$BM$8,'Квартальная отчетность'!$E86:$BM86)</f>
        <v>0</v>
      </c>
      <c s="125">
        <f>LOOKUP(M$8,'Квартальная отчетность'!$E$8:$BM$8,'Квартальная отчетность'!$E86:$BM86)</f>
        <v>0</v>
      </c>
      <c s="125">
        <f>LOOKUP(N$8,'Квартальная отчетность'!$E$8:$BM$8,'Квартальная отчетность'!$E86:$BM86)</f>
        <v>0</v>
      </c>
      <c s="125">
        <f>LOOKUP(O$8,'Квартальная отчетность'!$E$8:$BM$8,'Квартальная отчетность'!$E86:$BM86)</f>
        <v>0</v>
      </c>
      <c s="125">
        <f>LOOKUP(P$8,'Квартальная отчетность'!$E$8:$BM$8,'Квартальная отчетность'!$E86:$BM86)</f>
        <v>0</v>
      </c>
      <c s="125">
        <f>LOOKUP(Q$8,'Квартальная отчетность'!$E$8:$BM$8,'Квартальная отчетность'!$E86:$BM86)</f>
        <v>0</v>
      </c>
      <c s="125">
        <f>LOOKUP(R$8,'Квартальная отчетность'!$E$8:$BM$8,'Квартальная отчетность'!$E86:$BM86)</f>
        <v>0</v>
      </c>
      <c s="125">
        <f>LOOKUP(S$8,'Квартальная отчетность'!$E$8:$BM$8,'Квартальная отчетность'!$E86:$BM86)</f>
        <v>0</v>
      </c>
      <c s="125">
        <f>LOOKUP(T$8,'Квартальная отчетность'!$E$8:$BM$8,'Квартальная отчетность'!$E86:$BM86)</f>
        <v>0</v>
      </c>
    </row>
    <row r="82" spans="2:20" ht="15" customHeight="1">
      <c r="B82" s="289" t="s">
        <v>1002</v>
      </c>
      <c s="290" t="str">
        <f>Единица_измерения</f>
        <v>тыс. руб.</v>
      </c>
      <c s="276"/>
      <c s="276">
        <f t="shared" si="46" ref="E82:F82">SUM(E80:E81)</f>
        <v>0</v>
      </c>
      <c s="276">
        <f t="shared" si="46"/>
        <v>0</v>
      </c>
      <c s="276">
        <f t="shared" si="47" ref="G82:T82">SUM(G80:G81)</f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  <c s="276">
        <f t="shared" si="47"/>
        <v>0</v>
      </c>
    </row>
    <row r="83" ht="15" customHeight="1"/>
    <row r="84" spans="2:26" ht="21">
      <c r="B84" s="24" t="s">
        <v>1003</v>
      </c>
      <c r="D8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5" spans="2:20" ht="15" customHeight="1">
      <c r="B85" s="12" t="s">
        <v>309</v>
      </c>
      <c s="124" t="str">
        <f t="shared" si="48" ref="C85:C91">Единица_измерения</f>
        <v>тыс. руб.</v>
      </c>
      <c s="125"/>
      <c s="125">
        <f>LOOKUP(E$8,'Квартальная отчетность'!$E$8:$BM$8,'Квартальная отчетность'!$E90:$BM90)</f>
        <v>0</v>
      </c>
      <c s="125">
        <f>LOOKUP(F$8,'Квартальная отчетность'!$E$8:$BM$8,'Квартальная отчетность'!$E90:$BM90)</f>
        <v>0</v>
      </c>
      <c s="125">
        <f>LOOKUP(G$8,'Квартальная отчетность'!$E$8:$BM$8,'Квартальная отчетность'!$E90:$BM90)</f>
        <v>0</v>
      </c>
      <c s="125">
        <f>LOOKUP(H$8,'Квартальная отчетность'!$E$8:$BM$8,'Квартальная отчетность'!$E90:$BM90)</f>
        <v>0</v>
      </c>
      <c s="125">
        <f>LOOKUP(I$8,'Квартальная отчетность'!$E$8:$BM$8,'Квартальная отчетность'!$E90:$BM90)</f>
        <v>0</v>
      </c>
      <c s="125">
        <f>LOOKUP(J$8,'Квартальная отчетность'!$E$8:$BM$8,'Квартальная отчетность'!$E90:$BM90)</f>
        <v>0</v>
      </c>
      <c s="125">
        <f>LOOKUP(K$8,'Квартальная отчетность'!$E$8:$BM$8,'Квартальная отчетность'!$E90:$BM90)</f>
        <v>0</v>
      </c>
      <c s="125">
        <f>LOOKUP(L$8,'Квартальная отчетность'!$E$8:$BM$8,'Квартальная отчетность'!$E90:$BM90)</f>
        <v>0</v>
      </c>
      <c s="125">
        <f>LOOKUP(M$8,'Квартальная отчетность'!$E$8:$BM$8,'Квартальная отчетность'!$E90:$BM90)</f>
        <v>0</v>
      </c>
      <c s="125">
        <f>LOOKUP(N$8,'Квартальная отчетность'!$E$8:$BM$8,'Квартальная отчетность'!$E90:$BM90)</f>
        <v>0</v>
      </c>
      <c s="125">
        <f>LOOKUP(O$8,'Квартальная отчетность'!$E$8:$BM$8,'Квартальная отчетность'!$E90:$BM90)</f>
        <v>0</v>
      </c>
      <c s="125">
        <f>LOOKUP(P$8,'Квартальная отчетность'!$E$8:$BM$8,'Квартальная отчетность'!$E90:$BM90)</f>
        <v>0</v>
      </c>
      <c s="125">
        <f>LOOKUP(Q$8,'Квартальная отчетность'!$E$8:$BM$8,'Квартальная отчетность'!$E90:$BM90)</f>
        <v>0</v>
      </c>
      <c s="125">
        <f>LOOKUP(R$8,'Квартальная отчетность'!$E$8:$BM$8,'Квартальная отчетность'!$E90:$BM90)</f>
        <v>0</v>
      </c>
      <c s="125">
        <f>LOOKUP(S$8,'Квартальная отчетность'!$E$8:$BM$8,'Квартальная отчетность'!$E90:$BM90)</f>
        <v>0</v>
      </c>
      <c s="125">
        <f>LOOKUP(T$8,'Квартальная отчетность'!$E$8:$BM$8,'Квартальная отчетность'!$E90:$BM90)</f>
        <v>0</v>
      </c>
    </row>
    <row r="86" spans="2:20" ht="15" customHeight="1">
      <c r="B86" s="22" t="s">
        <v>1004</v>
      </c>
      <c s="124" t="str">
        <f t="shared" si="48"/>
        <v>тыс. руб.</v>
      </c>
      <c s="125"/>
      <c s="125">
        <f ca="1">LOOKUP(E$8,'Квартальная отчетность'!$E$8:$BM$8,'Квартальная отчетность'!$E91:$BM91)</f>
        <v>0</v>
      </c>
      <c s="125">
        <f ca="1">LOOKUP(F$8,'Квартальная отчетность'!$E$8:$BM$8,'Квартальная отчетность'!$E91:$BM91)</f>
        <v>0</v>
      </c>
      <c s="125">
        <f ca="1">LOOKUP(G$8,'Квартальная отчетность'!$E$8:$BM$8,'Квартальная отчетность'!$E91:$BM91)</f>
        <v>0</v>
      </c>
      <c s="125">
        <f ca="1">LOOKUP(H$8,'Квартальная отчетность'!$E$8:$BM$8,'Квартальная отчетность'!$E91:$BM91)</f>
        <v>0</v>
      </c>
      <c s="125">
        <f ca="1">LOOKUP(I$8,'Квартальная отчетность'!$E$8:$BM$8,'Квартальная отчетность'!$E91:$BM91)</f>
        <v>0</v>
      </c>
      <c s="125">
        <f ca="1">LOOKUP(J$8,'Квартальная отчетность'!$E$8:$BM$8,'Квартальная отчетность'!$E91:$BM91)</f>
        <v>0</v>
      </c>
      <c s="125">
        <f ca="1">LOOKUP(K$8,'Квартальная отчетность'!$E$8:$BM$8,'Квартальная отчетность'!$E91:$BM91)</f>
        <v>0</v>
      </c>
      <c s="125">
        <f ca="1">LOOKUP(L$8,'Квартальная отчетность'!$E$8:$BM$8,'Квартальная отчетность'!$E91:$BM91)</f>
        <v>0</v>
      </c>
      <c s="125">
        <f ca="1">LOOKUP(M$8,'Квартальная отчетность'!$E$8:$BM$8,'Квартальная отчетность'!$E91:$BM91)</f>
        <v>0</v>
      </c>
      <c s="125">
        <f ca="1">LOOKUP(N$8,'Квартальная отчетность'!$E$8:$BM$8,'Квартальная отчетность'!$E91:$BM91)</f>
        <v>0</v>
      </c>
      <c s="125">
        <f ca="1">LOOKUP(O$8,'Квартальная отчетность'!$E$8:$BM$8,'Квартальная отчетность'!$E91:$BM91)</f>
        <v>0</v>
      </c>
      <c s="125">
        <f ca="1">LOOKUP(P$8,'Квартальная отчетность'!$E$8:$BM$8,'Квартальная отчетность'!$E91:$BM91)</f>
        <v>0</v>
      </c>
      <c s="125">
        <f ca="1">LOOKUP(Q$8,'Квартальная отчетность'!$E$8:$BM$8,'Квартальная отчетность'!$E91:$BM91)</f>
        <v>0</v>
      </c>
      <c s="125">
        <f ca="1">LOOKUP(R$8,'Квартальная отчетность'!$E$8:$BM$8,'Квартальная отчетность'!$E91:$BM91)</f>
        <v>0</v>
      </c>
      <c s="125">
        <f ca="1">LOOKUP(S$8,'Квартальная отчетность'!$E$8:$BM$8,'Квартальная отчетность'!$E91:$BM91)</f>
        <v>0</v>
      </c>
      <c s="125">
        <f ca="1">LOOKUP(T$8,'Квартальная отчетность'!$E$8:$BM$8,'Квартальная отчетность'!$E91:$BM91)</f>
        <v>0</v>
      </c>
    </row>
    <row r="87" spans="2:20" ht="15" customHeight="1">
      <c r="B87" s="22" t="s">
        <v>311</v>
      </c>
      <c s="124" t="str">
        <f t="shared" si="48"/>
        <v>тыс. руб.</v>
      </c>
      <c s="125"/>
      <c s="125">
        <f ca="1">LOOKUP(E$8,'Квартальная отчетность'!$E$8:$BM$8,'Квартальная отчетность'!$E92:$BM92)</f>
        <v>0</v>
      </c>
      <c s="125">
        <f ca="1">LOOKUP(F$8,'Квартальная отчетность'!$E$8:$BM$8,'Квартальная отчетность'!$E92:$BM92)</f>
        <v>0</v>
      </c>
      <c s="125">
        <f ca="1">LOOKUP(G$8,'Квартальная отчетность'!$E$8:$BM$8,'Квартальная отчетность'!$E92:$BM92)</f>
        <v>0</v>
      </c>
      <c s="125">
        <f ca="1">LOOKUP(H$8,'Квартальная отчетность'!$E$8:$BM$8,'Квартальная отчетность'!$E92:$BM92)</f>
        <v>0</v>
      </c>
      <c s="125">
        <f ca="1">LOOKUP(I$8,'Квартальная отчетность'!$E$8:$BM$8,'Квартальная отчетность'!$E92:$BM92)</f>
        <v>0</v>
      </c>
      <c s="125">
        <f ca="1">LOOKUP(J$8,'Квартальная отчетность'!$E$8:$BM$8,'Квартальная отчетность'!$E92:$BM92)</f>
        <v>0</v>
      </c>
      <c s="125">
        <f ca="1">LOOKUP(K$8,'Квартальная отчетность'!$E$8:$BM$8,'Квартальная отчетность'!$E92:$BM92)</f>
        <v>0</v>
      </c>
      <c s="125">
        <f ca="1">LOOKUP(L$8,'Квартальная отчетность'!$E$8:$BM$8,'Квартальная отчетность'!$E92:$BM92)</f>
        <v>0</v>
      </c>
      <c s="125">
        <f ca="1">LOOKUP(M$8,'Квартальная отчетность'!$E$8:$BM$8,'Квартальная отчетность'!$E92:$BM92)</f>
        <v>0</v>
      </c>
      <c s="125">
        <f ca="1">LOOKUP(N$8,'Квартальная отчетность'!$E$8:$BM$8,'Квартальная отчетность'!$E92:$BM92)</f>
        <v>0</v>
      </c>
      <c s="125">
        <f ca="1">LOOKUP(O$8,'Квартальная отчетность'!$E$8:$BM$8,'Квартальная отчетность'!$E92:$BM92)</f>
        <v>0</v>
      </c>
      <c s="125">
        <f ca="1">LOOKUP(P$8,'Квартальная отчетность'!$E$8:$BM$8,'Квартальная отчетность'!$E92:$BM92)</f>
        <v>0</v>
      </c>
      <c s="125">
        <f ca="1">LOOKUP(Q$8,'Квартальная отчетность'!$E$8:$BM$8,'Квартальная отчетность'!$E92:$BM92)</f>
        <v>0</v>
      </c>
      <c s="125">
        <f ca="1">LOOKUP(R$8,'Квартальная отчетность'!$E$8:$BM$8,'Квартальная отчетность'!$E92:$BM92)</f>
        <v>0</v>
      </c>
      <c s="125">
        <f ca="1">LOOKUP(S$8,'Квартальная отчетность'!$E$8:$BM$8,'Квартальная отчетность'!$E92:$BM92)</f>
        <v>0</v>
      </c>
      <c s="125">
        <f ca="1">LOOKUP(T$8,'Квартальная отчетность'!$E$8:$BM$8,'Квартальная отчетность'!$E92:$BM92)</f>
        <v>0</v>
      </c>
    </row>
    <row r="88" spans="2:20" ht="15" customHeight="1">
      <c r="B88" s="22" t="s">
        <v>1005</v>
      </c>
      <c s="124" t="str">
        <f t="shared" si="48"/>
        <v>тыс. руб.</v>
      </c>
      <c s="125"/>
      <c s="125">
        <f ca="1">LOOKUP(E$8,'Квартальная отчетность'!$E$8:$BM$8,'Квартальная отчетность'!$E93:$BM93)</f>
        <v>0</v>
      </c>
      <c s="125">
        <f ca="1">LOOKUP(F$8,'Квартальная отчетность'!$E$8:$BM$8,'Квартальная отчетность'!$E93:$BM93)</f>
        <v>0</v>
      </c>
      <c s="125">
        <f ca="1">LOOKUP(G$8,'Квартальная отчетность'!$E$8:$BM$8,'Квартальная отчетность'!$E93:$BM93)</f>
        <v>0</v>
      </c>
      <c s="125">
        <f ca="1">LOOKUP(H$8,'Квартальная отчетность'!$E$8:$BM$8,'Квартальная отчетность'!$E93:$BM93)</f>
        <v>0</v>
      </c>
      <c s="125">
        <f ca="1">LOOKUP(I$8,'Квартальная отчетность'!$E$8:$BM$8,'Квартальная отчетность'!$E93:$BM93)</f>
        <v>0</v>
      </c>
      <c s="125">
        <f ca="1">LOOKUP(J$8,'Квартальная отчетность'!$E$8:$BM$8,'Квартальная отчетность'!$E93:$BM93)</f>
        <v>0</v>
      </c>
      <c s="125">
        <f ca="1">LOOKUP(K$8,'Квартальная отчетность'!$E$8:$BM$8,'Квартальная отчетность'!$E93:$BM93)</f>
        <v>0</v>
      </c>
      <c s="125">
        <f ca="1">LOOKUP(L$8,'Квартальная отчетность'!$E$8:$BM$8,'Квартальная отчетность'!$E93:$BM93)</f>
        <v>0</v>
      </c>
      <c s="125">
        <f ca="1">LOOKUP(M$8,'Квартальная отчетность'!$E$8:$BM$8,'Квартальная отчетность'!$E93:$BM93)</f>
        <v>0</v>
      </c>
      <c s="125">
        <f ca="1">LOOKUP(N$8,'Квартальная отчетность'!$E$8:$BM$8,'Квартальная отчетность'!$E93:$BM93)</f>
        <v>0</v>
      </c>
      <c s="125">
        <f ca="1">LOOKUP(O$8,'Квартальная отчетность'!$E$8:$BM$8,'Квартальная отчетность'!$E93:$BM93)</f>
        <v>0</v>
      </c>
      <c s="125">
        <f ca="1">LOOKUP(P$8,'Квартальная отчетность'!$E$8:$BM$8,'Квартальная отчетность'!$E93:$BM93)</f>
        <v>0</v>
      </c>
      <c s="125">
        <f ca="1">LOOKUP(Q$8,'Квартальная отчетность'!$E$8:$BM$8,'Квартальная отчетность'!$E93:$BM93)</f>
        <v>0</v>
      </c>
      <c s="125">
        <f ca="1">LOOKUP(R$8,'Квартальная отчетность'!$E$8:$BM$8,'Квартальная отчетность'!$E93:$BM93)</f>
        <v>0</v>
      </c>
      <c s="125">
        <f ca="1">LOOKUP(S$8,'Квартальная отчетность'!$E$8:$BM$8,'Квартальная отчетность'!$E93:$BM93)</f>
        <v>0</v>
      </c>
      <c s="125">
        <f ca="1">LOOKUP(T$8,'Квартальная отчетность'!$E$8:$BM$8,'Квартальная отчетность'!$E93:$BM93)</f>
        <v>0</v>
      </c>
    </row>
    <row r="89" spans="2:20" ht="15" customHeight="1">
      <c r="B89" s="289" t="s">
        <v>1006</v>
      </c>
      <c s="290" t="str">
        <f t="shared" si="48"/>
        <v>тыс. руб.</v>
      </c>
      <c s="276"/>
      <c s="276">
        <f ca="1" t="shared" si="49" ref="E89:F89">SUM(E85:E88)</f>
        <v>0</v>
      </c>
      <c s="276">
        <f t="shared" ca="1" si="49"/>
        <v>0</v>
      </c>
      <c s="276">
        <f ca="1" t="shared" si="50" ref="G89:T89">SUM(G85:G88)</f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  <c s="276">
        <f t="shared" ca="1" si="50"/>
        <v>0</v>
      </c>
    </row>
    <row r="90" ht="15" customHeight="1"/>
    <row r="91" spans="2:20" ht="15" customHeight="1">
      <c r="B91" s="292" t="s">
        <v>1007</v>
      </c>
      <c s="293" t="str">
        <f t="shared" si="48"/>
        <v>тыс. руб.</v>
      </c>
      <c s="291"/>
      <c s="291">
        <f ca="1" t="shared" si="51" ref="E91:F91">SUM(E82,E89)</f>
        <v>0</v>
      </c>
      <c s="291">
        <f t="shared" ca="1" si="51"/>
        <v>0</v>
      </c>
      <c s="291">
        <f ca="1" t="shared" si="52" ref="G91:T91">SUM(G82,G89)</f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  <c s="291">
        <f t="shared" ca="1" si="52"/>
        <v>0</v>
      </c>
    </row>
    <row r="92" ht="15" customHeight="1"/>
    <row r="93" spans="2:26" ht="21">
      <c r="B93" s="24" t="s">
        <v>1062</v>
      </c>
      <c r="D9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4" spans="2:20" ht="15" customHeight="1">
      <c r="B94" s="12" t="s">
        <v>1008</v>
      </c>
      <c s="124" t="str">
        <f>Единица_измерения</f>
        <v>тыс. руб.</v>
      </c>
      <c s="125"/>
      <c s="125">
        <f ca="1">LOOKUP(E$8,'Квартальная отчетность'!$E$8:$BM$8,'Квартальная отчетность'!$E99:$BM99)</f>
        <v>0</v>
      </c>
      <c s="125">
        <f ca="1">LOOKUP(F$8,'Квартальная отчетность'!$E$8:$BM$8,'Квартальная отчетность'!$E99:$BM99)</f>
        <v>0</v>
      </c>
      <c s="125">
        <f ca="1">LOOKUP(G$8,'Квартальная отчетность'!$E$8:$BM$8,'Квартальная отчетность'!$E99:$BM99)</f>
        <v>0</v>
      </c>
      <c s="125">
        <f ca="1">LOOKUP(H$8,'Квартальная отчетность'!$E$8:$BM$8,'Квартальная отчетность'!$E99:$BM99)</f>
        <v>0</v>
      </c>
      <c s="125">
        <f ca="1">LOOKUP(I$8,'Квартальная отчетность'!$E$8:$BM$8,'Квартальная отчетность'!$E99:$BM99)</f>
        <v>0</v>
      </c>
      <c s="125">
        <f ca="1">LOOKUP(J$8,'Квартальная отчетность'!$E$8:$BM$8,'Квартальная отчетность'!$E99:$BM99)</f>
        <v>0</v>
      </c>
      <c s="125">
        <f ca="1">LOOKUP(K$8,'Квартальная отчетность'!$E$8:$BM$8,'Квартальная отчетность'!$E99:$BM99)</f>
        <v>0</v>
      </c>
      <c s="125">
        <f ca="1">LOOKUP(L$8,'Квартальная отчетность'!$E$8:$BM$8,'Квартальная отчетность'!$E99:$BM99)</f>
        <v>0</v>
      </c>
      <c s="125">
        <f ca="1">LOOKUP(M$8,'Квартальная отчетность'!$E$8:$BM$8,'Квартальная отчетность'!$E99:$BM99)</f>
        <v>0</v>
      </c>
      <c s="125">
        <f ca="1">LOOKUP(N$8,'Квартальная отчетность'!$E$8:$BM$8,'Квартальная отчетность'!$E99:$BM99)</f>
        <v>0</v>
      </c>
      <c s="125">
        <f ca="1">LOOKUP(O$8,'Квартальная отчетность'!$E$8:$BM$8,'Квартальная отчетность'!$E99:$BM99)</f>
        <v>0</v>
      </c>
      <c s="125">
        <f ca="1">LOOKUP(P$8,'Квартальная отчетность'!$E$8:$BM$8,'Квартальная отчетность'!$E99:$BM99)</f>
        <v>0</v>
      </c>
      <c s="125">
        <f ca="1">LOOKUP(Q$8,'Квартальная отчетность'!$E$8:$BM$8,'Квартальная отчетность'!$E99:$BM99)</f>
        <v>0</v>
      </c>
      <c s="125">
        <f ca="1">LOOKUP(R$8,'Квартальная отчетность'!$E$8:$BM$8,'Квартальная отчетность'!$E99:$BM99)</f>
        <v>0</v>
      </c>
      <c s="125">
        <f ca="1">LOOKUP(S$8,'Квартальная отчетность'!$E$8:$BM$8,'Квартальная отчетность'!$E99:$BM99)</f>
        <v>0</v>
      </c>
      <c s="125">
        <f ca="1">LOOKUP(T$8,'Квартальная отчетность'!$E$8:$BM$8,'Квартальная отчетность'!$E99:$BM99)</f>
        <v>0</v>
      </c>
    </row>
    <row r="95" spans="2:20" ht="15" customHeight="1">
      <c r="B95" s="22" t="s">
        <v>1009</v>
      </c>
      <c s="124" t="str">
        <f>Единица_измерения</f>
        <v>тыс. руб.</v>
      </c>
      <c s="125"/>
      <c s="125">
        <f ca="1">LOOKUP(E$8,'Квартальная отчетность'!$E$8:$BM$8,'Квартальная отчетность'!$E100:$BM100)</f>
        <v>0</v>
      </c>
      <c s="125">
        <f ca="1">LOOKUP(F$8,'Квартальная отчетность'!$E$8:$BM$8,'Квартальная отчетность'!$E100:$BM100)</f>
        <v>0</v>
      </c>
      <c s="125">
        <f ca="1">LOOKUP(G$8,'Квартальная отчетность'!$E$8:$BM$8,'Квартальная отчетность'!$E100:$BM100)</f>
        <v>0</v>
      </c>
      <c s="125">
        <f ca="1">LOOKUP(H$8,'Квартальная отчетность'!$E$8:$BM$8,'Квартальная отчетность'!$E100:$BM100)</f>
        <v>0</v>
      </c>
      <c s="125">
        <f ca="1">LOOKUP(I$8,'Квартальная отчетность'!$E$8:$BM$8,'Квартальная отчетность'!$E100:$BM100)</f>
        <v>0</v>
      </c>
      <c s="125">
        <f ca="1">LOOKUP(J$8,'Квартальная отчетность'!$E$8:$BM$8,'Квартальная отчетность'!$E100:$BM100)</f>
        <v>0</v>
      </c>
      <c s="125">
        <f ca="1">LOOKUP(K$8,'Квартальная отчетность'!$E$8:$BM$8,'Квартальная отчетность'!$E100:$BM100)</f>
        <v>0</v>
      </c>
      <c s="125">
        <f ca="1">LOOKUP(L$8,'Квартальная отчетность'!$E$8:$BM$8,'Квартальная отчетность'!$E100:$BM100)</f>
        <v>0</v>
      </c>
      <c s="125">
        <f ca="1">LOOKUP(M$8,'Квартальная отчетность'!$E$8:$BM$8,'Квартальная отчетность'!$E100:$BM100)</f>
        <v>0</v>
      </c>
      <c s="125">
        <f ca="1">LOOKUP(N$8,'Квартальная отчетность'!$E$8:$BM$8,'Квартальная отчетность'!$E100:$BM100)</f>
        <v>0</v>
      </c>
      <c s="125">
        <f ca="1">LOOKUP(O$8,'Квартальная отчетность'!$E$8:$BM$8,'Квартальная отчетность'!$E100:$BM100)</f>
        <v>0</v>
      </c>
      <c s="125">
        <f ca="1">LOOKUP(P$8,'Квартальная отчетность'!$E$8:$BM$8,'Квартальная отчетность'!$E100:$BM100)</f>
        <v>0</v>
      </c>
      <c s="125">
        <f ca="1">LOOKUP(Q$8,'Квартальная отчетность'!$E$8:$BM$8,'Квартальная отчетность'!$E100:$BM100)</f>
        <v>0</v>
      </c>
      <c s="125">
        <f ca="1">LOOKUP(R$8,'Квартальная отчетность'!$E$8:$BM$8,'Квартальная отчетность'!$E100:$BM100)</f>
        <v>0</v>
      </c>
      <c s="125">
        <f ca="1">LOOKUP(S$8,'Квартальная отчетность'!$E$8:$BM$8,'Квартальная отчетность'!$E100:$BM100)</f>
        <v>0</v>
      </c>
      <c s="125">
        <f ca="1">LOOKUP(T$8,'Квартальная отчетность'!$E$8:$BM$8,'Квартальная отчетность'!$E100:$BM100)</f>
        <v>0</v>
      </c>
    </row>
    <row r="96" spans="2:20" ht="15" customHeight="1">
      <c r="B96" s="289" t="s">
        <v>1010</v>
      </c>
      <c s="290" t="str">
        <f>Единица_измерения</f>
        <v>тыс. руб.</v>
      </c>
      <c s="276"/>
      <c s="276">
        <f ca="1" t="shared" si="53" ref="E96:F96">SUM(E94:E95)</f>
        <v>0</v>
      </c>
      <c s="276">
        <f t="shared" ca="1" si="53"/>
        <v>0</v>
      </c>
      <c s="276">
        <f ca="1" t="shared" si="54" ref="G96:T96">SUM(G94:G95)</f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  <c s="276">
        <f t="shared" ca="1" si="54"/>
        <v>0</v>
      </c>
    </row>
    <row r="97" ht="15" customHeight="1"/>
    <row r="98" spans="2:26" ht="21">
      <c r="B98" s="24" t="s">
        <v>1011</v>
      </c>
      <c r="D9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9" spans="2:20" ht="15" customHeight="1">
      <c r="B99" s="12" t="s">
        <v>1012</v>
      </c>
      <c s="124" t="str">
        <f>Единица_измерения</f>
        <v>тыс. руб.</v>
      </c>
      <c s="125"/>
      <c s="125">
        <f>LOOKUP(E$8,'Квартальная отчетность'!$E$8:$BM$8,'Квартальная отчетность'!$E104:$BM104)</f>
        <v>0</v>
      </c>
      <c s="125">
        <f>LOOKUP(F$8,'Квартальная отчетность'!$E$8:$BM$8,'Квартальная отчетность'!$E104:$BM104)</f>
        <v>0</v>
      </c>
      <c s="125">
        <f>LOOKUP(G$8,'Квартальная отчетность'!$E$8:$BM$8,'Квартальная отчетность'!$E104:$BM104)</f>
        <v>0</v>
      </c>
      <c s="125">
        <f>LOOKUP(H$8,'Квартальная отчетность'!$E$8:$BM$8,'Квартальная отчетность'!$E104:$BM104)</f>
        <v>0</v>
      </c>
      <c s="125">
        <f>LOOKUP(I$8,'Квартальная отчетность'!$E$8:$BM$8,'Квартальная отчетность'!$E104:$BM104)</f>
        <v>0</v>
      </c>
      <c s="125">
        <f>LOOKUP(J$8,'Квартальная отчетность'!$E$8:$BM$8,'Квартальная отчетность'!$E104:$BM104)</f>
        <v>0</v>
      </c>
      <c s="125">
        <f>LOOKUP(K$8,'Квартальная отчетность'!$E$8:$BM$8,'Квартальная отчетность'!$E104:$BM104)</f>
        <v>0</v>
      </c>
      <c s="125">
        <f>LOOKUP(L$8,'Квартальная отчетность'!$E$8:$BM$8,'Квартальная отчетность'!$E104:$BM104)</f>
        <v>0</v>
      </c>
      <c s="125">
        <f>LOOKUP(M$8,'Квартальная отчетность'!$E$8:$BM$8,'Квартальная отчетность'!$E104:$BM104)</f>
        <v>0</v>
      </c>
      <c s="125">
        <f>LOOKUP(N$8,'Квартальная отчетность'!$E$8:$BM$8,'Квартальная отчетность'!$E104:$BM104)</f>
        <v>0</v>
      </c>
      <c s="125">
        <f>LOOKUP(O$8,'Квартальная отчетность'!$E$8:$BM$8,'Квартальная отчетность'!$E104:$BM104)</f>
        <v>0</v>
      </c>
      <c s="125">
        <f>LOOKUP(P$8,'Квартальная отчетность'!$E$8:$BM$8,'Квартальная отчетность'!$E104:$BM104)</f>
        <v>0</v>
      </c>
      <c s="125">
        <f>LOOKUP(Q$8,'Квартальная отчетность'!$E$8:$BM$8,'Квартальная отчетность'!$E104:$BM104)</f>
        <v>0</v>
      </c>
      <c s="125">
        <f>LOOKUP(R$8,'Квартальная отчетность'!$E$8:$BM$8,'Квартальная отчетность'!$E104:$BM104)</f>
        <v>0</v>
      </c>
      <c s="125">
        <f>LOOKUP(S$8,'Квартальная отчетность'!$E$8:$BM$8,'Квартальная отчетность'!$E104:$BM104)</f>
        <v>0</v>
      </c>
      <c s="125">
        <f>LOOKUP(T$8,'Квартальная отчетность'!$E$8:$BM$8,'Квартальная отчетность'!$E104:$BM104)</f>
        <v>0</v>
      </c>
    </row>
    <row r="100" spans="2:20" ht="15" customHeight="1">
      <c r="B100" s="22" t="s">
        <v>313</v>
      </c>
      <c s="124" t="str">
        <f>Единица_измерения</f>
        <v>тыс. руб.</v>
      </c>
      <c s="125"/>
      <c s="125">
        <f ca="1">LOOKUP(E$8,'Квартальная отчетность'!$E$8:$BM$8,'Квартальная отчетность'!$E105:$BM105)</f>
        <v>0</v>
      </c>
      <c s="125">
        <f ca="1">LOOKUP(F$8,'Квартальная отчетность'!$E$8:$BM$8,'Квартальная отчетность'!$E105:$BM105)</f>
        <v>0</v>
      </c>
      <c s="125">
        <f ca="1">LOOKUP(G$8,'Квартальная отчетность'!$E$8:$BM$8,'Квартальная отчетность'!$E105:$BM105)</f>
        <v>0</v>
      </c>
      <c s="125">
        <f ca="1">LOOKUP(H$8,'Квартальная отчетность'!$E$8:$BM$8,'Квартальная отчетность'!$E105:$BM105)</f>
        <v>0</v>
      </c>
      <c s="125">
        <f ca="1">LOOKUP(I$8,'Квартальная отчетность'!$E$8:$BM$8,'Квартальная отчетность'!$E105:$BM105)</f>
        <v>0</v>
      </c>
      <c s="125">
        <f ca="1">LOOKUP(J$8,'Квартальная отчетность'!$E$8:$BM$8,'Квартальная отчетность'!$E105:$BM105)</f>
        <v>0</v>
      </c>
      <c s="125">
        <f ca="1">LOOKUP(K$8,'Квартальная отчетность'!$E$8:$BM$8,'Квартальная отчетность'!$E105:$BM105)</f>
        <v>0</v>
      </c>
      <c s="125">
        <f ca="1">LOOKUP(L$8,'Квартальная отчетность'!$E$8:$BM$8,'Квартальная отчетность'!$E105:$BM105)</f>
        <v>0</v>
      </c>
      <c s="125">
        <f ca="1">LOOKUP(M$8,'Квартальная отчетность'!$E$8:$BM$8,'Квартальная отчетность'!$E105:$BM105)</f>
        <v>0</v>
      </c>
      <c s="125">
        <f ca="1">LOOKUP(N$8,'Квартальная отчетность'!$E$8:$BM$8,'Квартальная отчетность'!$E105:$BM105)</f>
        <v>0</v>
      </c>
      <c s="125">
        <f ca="1">LOOKUP(O$8,'Квартальная отчетность'!$E$8:$BM$8,'Квартальная отчетность'!$E105:$BM105)</f>
        <v>0</v>
      </c>
      <c s="125">
        <f ca="1">LOOKUP(P$8,'Квартальная отчетность'!$E$8:$BM$8,'Квартальная отчетность'!$E105:$BM105)</f>
        <v>0</v>
      </c>
      <c s="125">
        <f ca="1">LOOKUP(Q$8,'Квартальная отчетность'!$E$8:$BM$8,'Квартальная отчетность'!$E105:$BM105)</f>
        <v>0</v>
      </c>
      <c s="125">
        <f ca="1">LOOKUP(R$8,'Квартальная отчетность'!$E$8:$BM$8,'Квартальная отчетность'!$E105:$BM105)</f>
        <v>0</v>
      </c>
      <c s="125">
        <f ca="1">LOOKUP(S$8,'Квартальная отчетность'!$E$8:$BM$8,'Квартальная отчетность'!$E105:$BM105)</f>
        <v>0</v>
      </c>
      <c s="125">
        <f ca="1">LOOKUP(T$8,'Квартальная отчетность'!$E$8:$BM$8,'Квартальная отчетность'!$E105:$BM105)</f>
        <v>0</v>
      </c>
    </row>
    <row r="101" spans="2:20" ht="15" customHeight="1">
      <c r="B101" s="289" t="s">
        <v>1013</v>
      </c>
      <c s="290" t="str">
        <f>Единица_измерения</f>
        <v>тыс. руб.</v>
      </c>
      <c s="276"/>
      <c s="276">
        <f ca="1" t="shared" si="55" ref="E101:F101">SUM(E99:E100)</f>
        <v>0</v>
      </c>
      <c s="276">
        <f t="shared" ca="1" si="55"/>
        <v>0</v>
      </c>
      <c s="276">
        <f ca="1" t="shared" si="56" ref="G101:T101">SUM(G99:G100)</f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  <c s="276">
        <f t="shared" ca="1" si="56"/>
        <v>0</v>
      </c>
    </row>
    <row r="102" ht="15" customHeight="1"/>
    <row r="103" spans="2:20" ht="15" customHeight="1">
      <c r="B103" s="289" t="s">
        <v>1014</v>
      </c>
      <c s="290" t="str">
        <f>Единица_измерения</f>
        <v>тыс. руб.</v>
      </c>
      <c s="276"/>
      <c s="276">
        <f ca="1" t="shared" si="57" ref="E103:F103">SUM(E96,E101)</f>
        <v>0</v>
      </c>
      <c s="276">
        <f t="shared" ca="1" si="57"/>
        <v>0</v>
      </c>
      <c s="276">
        <f ca="1" t="shared" si="58" ref="G103:T103">SUM(G96,G101)</f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  <c s="276">
        <f t="shared" ca="1" si="58"/>
        <v>0</v>
      </c>
    </row>
    <row r="104" ht="15" customHeight="1"/>
    <row r="105" spans="2:20" ht="15" customHeight="1">
      <c r="B105" s="12" t="s">
        <v>1015</v>
      </c>
      <c s="124"/>
      <c s="125"/>
      <c s="125">
        <f ca="1" t="shared" si="59" ref="E105:T105">ROUND(E91-E103,1)</f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  <c s="125">
        <f t="shared" ca="1" si="59"/>
        <v>0</v>
      </c>
    </row>
    <row r="106" ht="15" customHeight="1"/>
    <row r="107" spans="2:3" ht="15" customHeight="1">
      <c r="B107" s="12" t="s">
        <v>1081</v>
      </c>
      <c s="47" t="str">
        <f ca="1">IF(COUNTIF(E105:T105,"&lt;&gt;0")&gt;0,"Q","R")</f>
        <v>R</v>
      </c>
    </row>
    <row r="108" ht="15" customHeight="1"/>
    <row r="109" spans="2:26" ht="31.15">
      <c r="B109" s="7" t="s">
        <v>271</v>
      </c>
      <c r="D109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110" spans="2:26" ht="21">
      <c r="B110" s="23" t="s">
        <v>326</v>
      </c>
      <c r="D11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1" spans="2:20" ht="15" customHeight="1">
      <c r="B111" s="12" t="s">
        <v>273</v>
      </c>
      <c s="124" t="str">
        <f t="shared" si="60" ref="C111:C126">Единица_измерения</f>
        <v>тыс. руб.</v>
      </c>
      <c s="276">
        <f>SUM(E111:T111)</f>
        <v>0</v>
      </c>
      <c s="125">
        <f>SUMIF('Квартальная отчетность'!$E$10:$BM$10,YEAR(E$8),'Квартальная отчетность'!$E117:$BM117)</f>
        <v>0</v>
      </c>
      <c s="125">
        <f>SUMIF('Квартальная отчетность'!$E$10:$BM$10,YEAR(F$8),'Квартальная отчетность'!$E117:$BM117)</f>
        <v>0</v>
      </c>
      <c s="125">
        <f>SUMIF('Квартальная отчетность'!$E$10:$BM$10,YEAR(G$8),'Квартальная отчетность'!$E117:$BM117)</f>
        <v>0</v>
      </c>
      <c s="125">
        <f>SUMIF('Квартальная отчетность'!$E$10:$BM$10,YEAR(H$8),'Квартальная отчетность'!$E117:$BM117)</f>
        <v>0</v>
      </c>
      <c s="125">
        <f>SUMIF('Квартальная отчетность'!$E$10:$BM$10,YEAR(I$8),'Квартальная отчетность'!$E117:$BM117)</f>
        <v>0</v>
      </c>
      <c s="125">
        <f>SUMIF('Квартальная отчетность'!$E$10:$BM$10,YEAR(J$8),'Квартальная отчетность'!$E117:$BM117)</f>
        <v>0</v>
      </c>
      <c s="125">
        <f>SUMIF('Квартальная отчетность'!$E$10:$BM$10,YEAR(K$8),'Квартальная отчетность'!$E117:$BM117)</f>
        <v>0</v>
      </c>
      <c s="125">
        <f>SUMIF('Квартальная отчетность'!$E$10:$BM$10,YEAR(L$8),'Квартальная отчетность'!$E117:$BM117)</f>
        <v>0</v>
      </c>
      <c s="125">
        <f>SUMIF('Квартальная отчетность'!$E$10:$BM$10,YEAR(M$8),'Квартальная отчетность'!$E117:$BM117)</f>
        <v>0</v>
      </c>
      <c s="125">
        <f>SUMIF('Квартальная отчетность'!$E$10:$BM$10,YEAR(N$8),'Квартальная отчетность'!$E117:$BM117)</f>
        <v>0</v>
      </c>
      <c s="125">
        <f>SUMIF('Квартальная отчетность'!$E$10:$BM$10,YEAR(O$8),'Квартальная отчетность'!$E117:$BM117)</f>
        <v>0</v>
      </c>
      <c s="125">
        <f>SUMIF('Квартальная отчетность'!$E$10:$BM$10,YEAR(P$8),'Квартальная отчетность'!$E117:$BM117)</f>
        <v>0</v>
      </c>
      <c s="125">
        <f>SUMIF('Квартальная отчетность'!$E$10:$BM$10,YEAR(Q$8),'Квартальная отчетность'!$E117:$BM117)</f>
        <v>0</v>
      </c>
      <c s="125">
        <f>SUMIF('Квартальная отчетность'!$E$10:$BM$10,YEAR(R$8),'Квартальная отчетность'!$E117:$BM117)</f>
        <v>0</v>
      </c>
      <c s="125">
        <f>SUMIF('Квартальная отчетность'!$E$10:$BM$10,YEAR(S$8),'Квартальная отчетность'!$E117:$BM117)</f>
        <v>0</v>
      </c>
      <c s="125">
        <f>SUMIF('Квартальная отчетность'!$E$10:$BM$10,YEAR(T$8),'Квартальная отчетность'!$E117:$BM117)</f>
        <v>0</v>
      </c>
    </row>
    <row r="112" spans="2:20" ht="15" customHeight="1">
      <c r="B112" s="22" t="s">
        <v>972</v>
      </c>
      <c s="124" t="str">
        <f t="shared" si="60"/>
        <v>тыс. руб.</v>
      </c>
      <c s="276">
        <f>SUM(E112:T112)</f>
        <v>0</v>
      </c>
      <c s="125">
        <f>SUMIF('Квартальная отчетность'!$E$10:$BM$10,YEAR(E$8),'Квартальная отчетность'!$E118:$BM118)</f>
        <v>0</v>
      </c>
      <c s="125">
        <f>SUMIF('Квартальная отчетность'!$E$10:$BM$10,YEAR(F$8),'Квартальная отчетность'!$E118:$BM118)</f>
        <v>0</v>
      </c>
      <c s="125">
        <f>SUMIF('Квартальная отчетность'!$E$10:$BM$10,YEAR(G$8),'Квартальная отчетность'!$E118:$BM118)</f>
        <v>0</v>
      </c>
      <c s="125">
        <f>SUMIF('Квартальная отчетность'!$E$10:$BM$10,YEAR(H$8),'Квартальная отчетность'!$E118:$BM118)</f>
        <v>0</v>
      </c>
      <c s="125">
        <f>SUMIF('Квартальная отчетность'!$E$10:$BM$10,YEAR(I$8),'Квартальная отчетность'!$E118:$BM118)</f>
        <v>0</v>
      </c>
      <c s="125">
        <f>SUMIF('Квартальная отчетность'!$E$10:$BM$10,YEAR(J$8),'Квартальная отчетность'!$E118:$BM118)</f>
        <v>0</v>
      </c>
      <c s="125">
        <f>SUMIF('Квартальная отчетность'!$E$10:$BM$10,YEAR(K$8),'Квартальная отчетность'!$E118:$BM118)</f>
        <v>0</v>
      </c>
      <c s="125">
        <f>SUMIF('Квартальная отчетность'!$E$10:$BM$10,YEAR(L$8),'Квартальная отчетность'!$E118:$BM118)</f>
        <v>0</v>
      </c>
      <c s="125">
        <f>SUMIF('Квартальная отчетность'!$E$10:$BM$10,YEAR(M$8),'Квартальная отчетность'!$E118:$BM118)</f>
        <v>0</v>
      </c>
      <c s="125">
        <f>SUMIF('Квартальная отчетность'!$E$10:$BM$10,YEAR(N$8),'Квартальная отчетность'!$E118:$BM118)</f>
        <v>0</v>
      </c>
      <c s="125">
        <f>SUMIF('Квартальная отчетность'!$E$10:$BM$10,YEAR(O$8),'Квартальная отчетность'!$E118:$BM118)</f>
        <v>0</v>
      </c>
      <c s="125">
        <f>SUMIF('Квартальная отчетность'!$E$10:$BM$10,YEAR(P$8),'Квартальная отчетность'!$E118:$BM118)</f>
        <v>0</v>
      </c>
      <c s="125">
        <f>SUMIF('Квартальная отчетность'!$E$10:$BM$10,YEAR(Q$8),'Квартальная отчетность'!$E118:$BM118)</f>
        <v>0</v>
      </c>
      <c s="125">
        <f>SUMIF('Квартальная отчетность'!$E$10:$BM$10,YEAR(R$8),'Квартальная отчетность'!$E118:$BM118)</f>
        <v>0</v>
      </c>
      <c s="125">
        <f>SUMIF('Квартальная отчетность'!$E$10:$BM$10,YEAR(S$8),'Квартальная отчетность'!$E118:$BM118)</f>
        <v>0</v>
      </c>
      <c s="125">
        <f>SUMIF('Квартальная отчетность'!$E$10:$BM$10,YEAR(T$8),'Квартальная отчетность'!$E118:$BM118)</f>
        <v>0</v>
      </c>
    </row>
    <row r="113" spans="2:20" ht="15" customHeight="1">
      <c r="B113" s="289" t="s">
        <v>973</v>
      </c>
      <c s="290" t="str">
        <f t="shared" si="60"/>
        <v>тыс. руб.</v>
      </c>
      <c s="276">
        <f t="shared" si="61" ref="D113:E113">SUM(D111:D112)</f>
        <v>0</v>
      </c>
      <c s="276">
        <f t="shared" si="61"/>
        <v>0</v>
      </c>
      <c s="276">
        <f t="shared" si="62" ref="F113:T113">SUM(F111:F112)</f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  <c s="276">
        <f t="shared" si="62"/>
        <v>0</v>
      </c>
    </row>
    <row r="114" spans="2:20" ht="15" customHeight="1">
      <c r="B114" s="289" t="s">
        <v>1020</v>
      </c>
      <c s="290" t="s">
        <v>817</v>
      </c>
      <c s="282" t="str">
        <f>IF(D111=0,"-",D113/D111)</f>
        <v>-</v>
      </c>
      <c s="282" t="str">
        <f>IF(E111=0,"-",E113/E111)</f>
        <v>-</v>
      </c>
      <c s="282" t="str">
        <f t="shared" si="63" ref="F114:T114">IF(F111=0,"-",F113/F111)</f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  <c s="282" t="str">
        <f t="shared" si="63"/>
        <v>-</v>
      </c>
    </row>
    <row r="115" spans="2:20" ht="15" customHeight="1">
      <c r="B115" s="12" t="s">
        <v>974</v>
      </c>
      <c s="124" t="str">
        <f t="shared" si="60"/>
        <v>тыс. руб.</v>
      </c>
      <c s="276">
        <f>SUM(E115:T115)</f>
        <v>0</v>
      </c>
      <c s="125">
        <f>SUMIF('Квартальная отчетность'!$E$10:$BM$10,YEAR(E$8),'Квартальная отчетность'!$E121:$BM121)</f>
        <v>0</v>
      </c>
      <c s="125">
        <f>SUMIF('Квартальная отчетность'!$E$10:$BM$10,YEAR(F$8),'Квартальная отчетность'!$E121:$BM121)</f>
        <v>0</v>
      </c>
      <c s="125">
        <f>SUMIF('Квартальная отчетность'!$E$10:$BM$10,YEAR(G$8),'Квартальная отчетность'!$E121:$BM121)</f>
        <v>0</v>
      </c>
      <c s="125">
        <f>SUMIF('Квартальная отчетность'!$E$10:$BM$10,YEAR(H$8),'Квартальная отчетность'!$E121:$BM121)</f>
        <v>0</v>
      </c>
      <c s="125">
        <f>SUMIF('Квартальная отчетность'!$E$10:$BM$10,YEAR(I$8),'Квартальная отчетность'!$E121:$BM121)</f>
        <v>0</v>
      </c>
      <c s="125">
        <f>SUMIF('Квартальная отчетность'!$E$10:$BM$10,YEAR(J$8),'Квартальная отчетность'!$E121:$BM121)</f>
        <v>0</v>
      </c>
      <c s="125">
        <f>SUMIF('Квартальная отчетность'!$E$10:$BM$10,YEAR(K$8),'Квартальная отчетность'!$E121:$BM121)</f>
        <v>0</v>
      </c>
      <c s="125">
        <f>SUMIF('Квартальная отчетность'!$E$10:$BM$10,YEAR(L$8),'Квартальная отчетность'!$E121:$BM121)</f>
        <v>0</v>
      </c>
      <c s="125">
        <f>SUMIF('Квартальная отчетность'!$E$10:$BM$10,YEAR(M$8),'Квартальная отчетность'!$E121:$BM121)</f>
        <v>0</v>
      </c>
      <c s="125">
        <f>SUMIF('Квартальная отчетность'!$E$10:$BM$10,YEAR(N$8),'Квартальная отчетность'!$E121:$BM121)</f>
        <v>0</v>
      </c>
      <c s="125">
        <f>SUMIF('Квартальная отчетность'!$E$10:$BM$10,YEAR(O$8),'Квартальная отчетность'!$E121:$BM121)</f>
        <v>0</v>
      </c>
      <c s="125">
        <f>SUMIF('Квартальная отчетность'!$E$10:$BM$10,YEAR(P$8),'Квартальная отчетность'!$E121:$BM121)</f>
        <v>0</v>
      </c>
      <c s="125">
        <f>SUMIF('Квартальная отчетность'!$E$10:$BM$10,YEAR(Q$8),'Квартальная отчетность'!$E121:$BM121)</f>
        <v>0</v>
      </c>
      <c s="125">
        <f>SUMIF('Квартальная отчетность'!$E$10:$BM$10,YEAR(R$8),'Квартальная отчетность'!$E121:$BM121)</f>
        <v>0</v>
      </c>
      <c s="125">
        <f>SUMIF('Квартальная отчетность'!$E$10:$BM$10,YEAR(S$8),'Квартальная отчетность'!$E121:$BM121)</f>
        <v>0</v>
      </c>
      <c s="125">
        <f>SUMIF('Квартальная отчетность'!$E$10:$BM$10,YEAR(T$8),'Квартальная отчетность'!$E121:$BM121)</f>
        <v>0</v>
      </c>
    </row>
    <row r="116" spans="2:20" ht="15" customHeight="1">
      <c r="B116" s="12" t="s">
        <v>566</v>
      </c>
      <c s="124" t="str">
        <f t="shared" si="60"/>
        <v>тыс. руб.</v>
      </c>
      <c s="276">
        <f>SUM(E116:T116)</f>
        <v>0</v>
      </c>
      <c s="125">
        <f>SUMIF('Квартальная отчетность'!$E$10:$BM$10,YEAR(E$8),'Квартальная отчетность'!$E122:$BM122)</f>
        <v>0</v>
      </c>
      <c s="125">
        <f>SUMIF('Квартальная отчетность'!$E$10:$BM$10,YEAR(F$8),'Квартальная отчетность'!$E122:$BM122)</f>
        <v>0</v>
      </c>
      <c s="125">
        <f>SUMIF('Квартальная отчетность'!$E$10:$BM$10,YEAR(G$8),'Квартальная отчетность'!$E122:$BM122)</f>
        <v>0</v>
      </c>
      <c s="125">
        <f>SUMIF('Квартальная отчетность'!$E$10:$BM$10,YEAR(H$8),'Квартальная отчетность'!$E122:$BM122)</f>
        <v>0</v>
      </c>
      <c s="125">
        <f>SUMIF('Квартальная отчетность'!$E$10:$BM$10,YEAR(I$8),'Квартальная отчетность'!$E122:$BM122)</f>
        <v>0</v>
      </c>
      <c s="125">
        <f>SUMIF('Квартальная отчетность'!$E$10:$BM$10,YEAR(J$8),'Квартальная отчетность'!$E122:$BM122)</f>
        <v>0</v>
      </c>
      <c s="125">
        <f>SUMIF('Квартальная отчетность'!$E$10:$BM$10,YEAR(K$8),'Квартальная отчетность'!$E122:$BM122)</f>
        <v>0</v>
      </c>
      <c s="125">
        <f>SUMIF('Квартальная отчетность'!$E$10:$BM$10,YEAR(L$8),'Квартальная отчетность'!$E122:$BM122)</f>
        <v>0</v>
      </c>
      <c s="125">
        <f>SUMIF('Квартальная отчетность'!$E$10:$BM$10,YEAR(M$8),'Квартальная отчетность'!$E122:$BM122)</f>
        <v>0</v>
      </c>
      <c s="125">
        <f>SUMIF('Квартальная отчетность'!$E$10:$BM$10,YEAR(N$8),'Квартальная отчетность'!$E122:$BM122)</f>
        <v>0</v>
      </c>
      <c s="125">
        <f>SUMIF('Квартальная отчетность'!$E$10:$BM$10,YEAR(O$8),'Квартальная отчетность'!$E122:$BM122)</f>
        <v>0</v>
      </c>
      <c s="125">
        <f>SUMIF('Квартальная отчетность'!$E$10:$BM$10,YEAR(P$8),'Квартальная отчетность'!$E122:$BM122)</f>
        <v>0</v>
      </c>
      <c s="125">
        <f>SUMIF('Квартальная отчетность'!$E$10:$BM$10,YEAR(Q$8),'Квартальная отчетность'!$E122:$BM122)</f>
        <v>0</v>
      </c>
      <c s="125">
        <f>SUMIF('Квартальная отчетность'!$E$10:$BM$10,YEAR(R$8),'Квартальная отчетность'!$E122:$BM122)</f>
        <v>0</v>
      </c>
      <c s="125">
        <f>SUMIF('Квартальная отчетность'!$E$10:$BM$10,YEAR(S$8),'Квартальная отчетность'!$E122:$BM122)</f>
        <v>0</v>
      </c>
      <c s="125">
        <f>SUMIF('Квартальная отчетность'!$E$10:$BM$10,YEAR(T$8),'Квартальная отчетность'!$E122:$BM122)</f>
        <v>0</v>
      </c>
    </row>
    <row r="117" spans="2:20" ht="15" customHeight="1">
      <c r="B117" s="289" t="s">
        <v>975</v>
      </c>
      <c s="290" t="str">
        <f t="shared" si="60"/>
        <v>тыс. руб.</v>
      </c>
      <c s="276">
        <f t="shared" si="64" ref="D117:E117">SUM(D113:D116)</f>
        <v>0</v>
      </c>
      <c s="276">
        <f t="shared" si="64"/>
        <v>0</v>
      </c>
      <c s="276">
        <f t="shared" si="65" ref="F117:T117">SUM(F113:F116)</f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  <c s="276">
        <f t="shared" si="65"/>
        <v>0</v>
      </c>
    </row>
    <row r="118" spans="2:20" ht="15" customHeight="1">
      <c r="B118" s="289" t="s">
        <v>1021</v>
      </c>
      <c s="290" t="s">
        <v>817</v>
      </c>
      <c s="282" t="str">
        <f>IF(D111=0,"-",D117/D111)</f>
        <v>-</v>
      </c>
      <c s="282" t="str">
        <f>IF(E111=0,"-",E117/E111)</f>
        <v>-</v>
      </c>
      <c s="282" t="str">
        <f t="shared" si="66" ref="F118:T118">IF(F111=0,"-",F117/F111)</f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  <c s="282" t="str">
        <f t="shared" si="66"/>
        <v>-</v>
      </c>
    </row>
    <row r="119" spans="2:20" ht="15" customHeight="1">
      <c r="B119" s="12" t="s">
        <v>568</v>
      </c>
      <c s="124" t="str">
        <f t="shared" si="60"/>
        <v>тыс. руб.</v>
      </c>
      <c s="276">
        <f>SUM(E119:T119)</f>
        <v>0</v>
      </c>
      <c s="125">
        <f>SUMIF('Квартальная отчетность'!$E$10:$BM$10,YEAR(E$8),'Квартальная отчетность'!$E125:$BM125)</f>
        <v>0</v>
      </c>
      <c s="125">
        <f>SUMIF('Квартальная отчетность'!$E$10:$BM$10,YEAR(F$8),'Квартальная отчетность'!$E125:$BM125)</f>
        <v>0</v>
      </c>
      <c s="125">
        <f>SUMIF('Квартальная отчетность'!$E$10:$BM$10,YEAR(G$8),'Квартальная отчетность'!$E125:$BM125)</f>
        <v>0</v>
      </c>
      <c s="125">
        <f>SUMIF('Квартальная отчетность'!$E$10:$BM$10,YEAR(H$8),'Квартальная отчетность'!$E125:$BM125)</f>
        <v>0</v>
      </c>
      <c s="125">
        <f>SUMIF('Квартальная отчетность'!$E$10:$BM$10,YEAR(I$8),'Квартальная отчетность'!$E125:$BM125)</f>
        <v>0</v>
      </c>
      <c s="125">
        <f>SUMIF('Квартальная отчетность'!$E$10:$BM$10,YEAR(J$8),'Квартальная отчетность'!$E125:$BM125)</f>
        <v>0</v>
      </c>
      <c s="125">
        <f>SUMIF('Квартальная отчетность'!$E$10:$BM$10,YEAR(K$8),'Квартальная отчетность'!$E125:$BM125)</f>
        <v>0</v>
      </c>
      <c s="125">
        <f>SUMIF('Квартальная отчетность'!$E$10:$BM$10,YEAR(L$8),'Квартальная отчетность'!$E125:$BM125)</f>
        <v>0</v>
      </c>
      <c s="125">
        <f>SUMIF('Квартальная отчетность'!$E$10:$BM$10,YEAR(M$8),'Квартальная отчетность'!$E125:$BM125)</f>
        <v>0</v>
      </c>
      <c s="125">
        <f>SUMIF('Квартальная отчетность'!$E$10:$BM$10,YEAR(N$8),'Квартальная отчетность'!$E125:$BM125)</f>
        <v>0</v>
      </c>
      <c s="125">
        <f>SUMIF('Квартальная отчетность'!$E$10:$BM$10,YEAR(O$8),'Квартальная отчетность'!$E125:$BM125)</f>
        <v>0</v>
      </c>
      <c s="125">
        <f>SUMIF('Квартальная отчетность'!$E$10:$BM$10,YEAR(P$8),'Квартальная отчетность'!$E125:$BM125)</f>
        <v>0</v>
      </c>
      <c s="125">
        <f>SUMIF('Квартальная отчетность'!$E$10:$BM$10,YEAR(Q$8),'Квартальная отчетность'!$E125:$BM125)</f>
        <v>0</v>
      </c>
      <c s="125">
        <f>SUMIF('Квартальная отчетность'!$E$10:$BM$10,YEAR(R$8),'Квартальная отчетность'!$E125:$BM125)</f>
        <v>0</v>
      </c>
      <c s="125">
        <f>SUMIF('Квартальная отчетность'!$E$10:$BM$10,YEAR(S$8),'Квартальная отчетность'!$E125:$BM125)</f>
        <v>0</v>
      </c>
      <c s="125">
        <f>SUMIF('Квартальная отчетность'!$E$10:$BM$10,YEAR(T$8),'Квартальная отчетность'!$E125:$BM125)</f>
        <v>0</v>
      </c>
    </row>
    <row r="120" spans="2:20" ht="15" customHeight="1">
      <c r="B120" s="12" t="s">
        <v>277</v>
      </c>
      <c s="124" t="str">
        <f t="shared" si="60"/>
        <v>тыс. руб.</v>
      </c>
      <c s="276">
        <f>SUM(E120:T120)</f>
        <v>0</v>
      </c>
      <c s="125">
        <f>SUMIF('Квартальная отчетность'!$E$10:$BM$10,YEAR(E$8),'Квартальная отчетность'!$E126:$BM126)</f>
        <v>0</v>
      </c>
      <c s="125">
        <f>SUMIF('Квартальная отчетность'!$E$10:$BM$10,YEAR(F$8),'Квартальная отчетность'!$E126:$BM126)</f>
        <v>0</v>
      </c>
      <c s="125">
        <f>SUMIF('Квартальная отчетность'!$E$10:$BM$10,YEAR(G$8),'Квартальная отчетность'!$E126:$BM126)</f>
        <v>0</v>
      </c>
      <c s="125">
        <f>SUMIF('Квартальная отчетность'!$E$10:$BM$10,YEAR(H$8),'Квартальная отчетность'!$E126:$BM126)</f>
        <v>0</v>
      </c>
      <c s="125">
        <f>SUMIF('Квартальная отчетность'!$E$10:$BM$10,YEAR(I$8),'Квартальная отчетность'!$E126:$BM126)</f>
        <v>0</v>
      </c>
      <c s="125">
        <f>SUMIF('Квартальная отчетность'!$E$10:$BM$10,YEAR(J$8),'Квартальная отчетность'!$E126:$BM126)</f>
        <v>0</v>
      </c>
      <c s="125">
        <f>SUMIF('Квартальная отчетность'!$E$10:$BM$10,YEAR(K$8),'Квартальная отчетность'!$E126:$BM126)</f>
        <v>0</v>
      </c>
      <c s="125">
        <f>SUMIF('Квартальная отчетность'!$E$10:$BM$10,YEAR(L$8),'Квартальная отчетность'!$E126:$BM126)</f>
        <v>0</v>
      </c>
      <c s="125">
        <f>SUMIF('Квартальная отчетность'!$E$10:$BM$10,YEAR(M$8),'Квартальная отчетность'!$E126:$BM126)</f>
        <v>0</v>
      </c>
      <c s="125">
        <f>SUMIF('Квартальная отчетность'!$E$10:$BM$10,YEAR(N$8),'Квартальная отчетность'!$E126:$BM126)</f>
        <v>0</v>
      </c>
      <c s="125">
        <f>SUMIF('Квартальная отчетность'!$E$10:$BM$10,YEAR(O$8),'Квартальная отчетность'!$E126:$BM126)</f>
        <v>0</v>
      </c>
      <c s="125">
        <f>SUMIF('Квартальная отчетность'!$E$10:$BM$10,YEAR(P$8),'Квартальная отчетность'!$E126:$BM126)</f>
        <v>0</v>
      </c>
      <c s="125">
        <f>SUMIF('Квартальная отчетность'!$E$10:$BM$10,YEAR(Q$8),'Квартальная отчетность'!$E126:$BM126)</f>
        <v>0</v>
      </c>
      <c s="125">
        <f>SUMIF('Квартальная отчетность'!$E$10:$BM$10,YEAR(R$8),'Квартальная отчетность'!$E126:$BM126)</f>
        <v>0</v>
      </c>
      <c s="125">
        <f>SUMIF('Квартальная отчетность'!$E$10:$BM$10,YEAR(S$8),'Квартальная отчетность'!$E126:$BM126)</f>
        <v>0</v>
      </c>
      <c s="125">
        <f>SUMIF('Квартальная отчетность'!$E$10:$BM$10,YEAR(T$8),'Квартальная отчетность'!$E126:$BM126)</f>
        <v>0</v>
      </c>
    </row>
    <row r="121" spans="2:20" ht="15" customHeight="1">
      <c r="B121" s="12" t="s">
        <v>569</v>
      </c>
      <c s="124" t="str">
        <f t="shared" si="60"/>
        <v>тыс. руб.</v>
      </c>
      <c s="276">
        <f>SUM(E121:T121)</f>
        <v>0</v>
      </c>
      <c s="125">
        <f>SUMIF('Квартальная отчетность'!$E$10:$BM$10,YEAR(E$8),'Квартальная отчетность'!$E127:$BM127)</f>
        <v>0</v>
      </c>
      <c s="125">
        <f>SUMIF('Квартальная отчетность'!$E$10:$BM$10,YEAR(F$8),'Квартальная отчетность'!$E127:$BM127)</f>
        <v>0</v>
      </c>
      <c s="125">
        <f>SUMIF('Квартальная отчетность'!$E$10:$BM$10,YEAR(G$8),'Квартальная отчетность'!$E127:$BM127)</f>
        <v>0</v>
      </c>
      <c s="125">
        <f>SUMIF('Квартальная отчетность'!$E$10:$BM$10,YEAR(H$8),'Квартальная отчетность'!$E127:$BM127)</f>
        <v>0</v>
      </c>
      <c s="125">
        <f>SUMIF('Квартальная отчетность'!$E$10:$BM$10,YEAR(I$8),'Квартальная отчетность'!$E127:$BM127)</f>
        <v>0</v>
      </c>
      <c s="125">
        <f>SUMIF('Квартальная отчетность'!$E$10:$BM$10,YEAR(J$8),'Квартальная отчетность'!$E127:$BM127)</f>
        <v>0</v>
      </c>
      <c s="125">
        <f>SUMIF('Квартальная отчетность'!$E$10:$BM$10,YEAR(K$8),'Квартальная отчетность'!$E127:$BM127)</f>
        <v>0</v>
      </c>
      <c s="125">
        <f>SUMIF('Квартальная отчетность'!$E$10:$BM$10,YEAR(L$8),'Квартальная отчетность'!$E127:$BM127)</f>
        <v>0</v>
      </c>
      <c s="125">
        <f>SUMIF('Квартальная отчетность'!$E$10:$BM$10,YEAR(M$8),'Квартальная отчетность'!$E127:$BM127)</f>
        <v>0</v>
      </c>
      <c s="125">
        <f>SUMIF('Квартальная отчетность'!$E$10:$BM$10,YEAR(N$8),'Квартальная отчетность'!$E127:$BM127)</f>
        <v>0</v>
      </c>
      <c s="125">
        <f>SUMIF('Квартальная отчетность'!$E$10:$BM$10,YEAR(O$8),'Квартальная отчетность'!$E127:$BM127)</f>
        <v>0</v>
      </c>
      <c s="125">
        <f>SUMIF('Квартальная отчетность'!$E$10:$BM$10,YEAR(P$8),'Квартальная отчетность'!$E127:$BM127)</f>
        <v>0</v>
      </c>
      <c s="125">
        <f>SUMIF('Квартальная отчетность'!$E$10:$BM$10,YEAR(Q$8),'Квартальная отчетность'!$E127:$BM127)</f>
        <v>0</v>
      </c>
      <c s="125">
        <f>SUMIF('Квартальная отчетность'!$E$10:$BM$10,YEAR(R$8),'Квартальная отчетность'!$E127:$BM127)</f>
        <v>0</v>
      </c>
      <c s="125">
        <f>SUMIF('Квартальная отчетность'!$E$10:$BM$10,YEAR(S$8),'Квартальная отчетность'!$E127:$BM127)</f>
        <v>0</v>
      </c>
      <c s="125">
        <f>SUMIF('Квартальная отчетность'!$E$10:$BM$10,YEAR(T$8),'Квартальная отчетность'!$E127:$BM127)</f>
        <v>0</v>
      </c>
    </row>
    <row r="122" spans="2:20" ht="15" customHeight="1">
      <c r="B122" s="12" t="s">
        <v>570</v>
      </c>
      <c s="124" t="str">
        <f t="shared" si="60"/>
        <v>тыс. руб.</v>
      </c>
      <c s="276">
        <f>SUM(E122:T122)</f>
        <v>0</v>
      </c>
      <c s="125">
        <f>SUMIF('Квартальная отчетность'!$E$10:$BM$10,YEAR(E$8),'Квартальная отчетность'!$E128:$BM128)</f>
        <v>0</v>
      </c>
      <c s="125">
        <f>SUMIF('Квартальная отчетность'!$E$10:$BM$10,YEAR(F$8),'Квартальная отчетность'!$E128:$BM128)</f>
        <v>0</v>
      </c>
      <c s="125">
        <f>SUMIF('Квартальная отчетность'!$E$10:$BM$10,YEAR(G$8),'Квартальная отчетность'!$E128:$BM128)</f>
        <v>0</v>
      </c>
      <c s="125">
        <f>SUMIF('Квартальная отчетность'!$E$10:$BM$10,YEAR(H$8),'Квартальная отчетность'!$E128:$BM128)</f>
        <v>0</v>
      </c>
      <c s="125">
        <f>SUMIF('Квартальная отчетность'!$E$10:$BM$10,YEAR(I$8),'Квартальная отчетность'!$E128:$BM128)</f>
        <v>0</v>
      </c>
      <c s="125">
        <f>SUMIF('Квартальная отчетность'!$E$10:$BM$10,YEAR(J$8),'Квартальная отчетность'!$E128:$BM128)</f>
        <v>0</v>
      </c>
      <c s="125">
        <f>SUMIF('Квартальная отчетность'!$E$10:$BM$10,YEAR(K$8),'Квартальная отчетность'!$E128:$BM128)</f>
        <v>0</v>
      </c>
      <c s="125">
        <f>SUMIF('Квартальная отчетность'!$E$10:$BM$10,YEAR(L$8),'Квартальная отчетность'!$E128:$BM128)</f>
        <v>0</v>
      </c>
      <c s="125">
        <f>SUMIF('Квартальная отчетность'!$E$10:$BM$10,YEAR(M$8),'Квартальная отчетность'!$E128:$BM128)</f>
        <v>0</v>
      </c>
      <c s="125">
        <f>SUMIF('Квартальная отчетность'!$E$10:$BM$10,YEAR(N$8),'Квартальная отчетность'!$E128:$BM128)</f>
        <v>0</v>
      </c>
      <c s="125">
        <f>SUMIF('Квартальная отчетность'!$E$10:$BM$10,YEAR(O$8),'Квартальная отчетность'!$E128:$BM128)</f>
        <v>0</v>
      </c>
      <c s="125">
        <f>SUMIF('Квартальная отчетность'!$E$10:$BM$10,YEAR(P$8),'Квартальная отчетность'!$E128:$BM128)</f>
        <v>0</v>
      </c>
      <c s="125">
        <f>SUMIF('Квартальная отчетность'!$E$10:$BM$10,YEAR(Q$8),'Квартальная отчетность'!$E128:$BM128)</f>
        <v>0</v>
      </c>
      <c s="125">
        <f>SUMIF('Квартальная отчетность'!$E$10:$BM$10,YEAR(R$8),'Квартальная отчетность'!$E128:$BM128)</f>
        <v>0</v>
      </c>
      <c s="125">
        <f>SUMIF('Квартальная отчетность'!$E$10:$BM$10,YEAR(S$8),'Квартальная отчетность'!$E128:$BM128)</f>
        <v>0</v>
      </c>
      <c s="125">
        <f>SUMIF('Квартальная отчетность'!$E$10:$BM$10,YEAR(T$8),'Квартальная отчетность'!$E128:$BM128)</f>
        <v>0</v>
      </c>
    </row>
    <row r="123" spans="2:20" ht="15" customHeight="1">
      <c r="B123" s="12" t="s">
        <v>976</v>
      </c>
      <c s="124" t="str">
        <f t="shared" si="60"/>
        <v>тыс. руб.</v>
      </c>
      <c s="276">
        <f>SUM(E123:T123)</f>
        <v>0</v>
      </c>
      <c s="125">
        <f>SUMIF('Квартальная отчетность'!$E$10:$BM$10,YEAR(E$8),'Квартальная отчетность'!$E129:$BM129)</f>
        <v>0</v>
      </c>
      <c s="125">
        <f>SUMIF('Квартальная отчетность'!$E$10:$BM$10,YEAR(F$8),'Квартальная отчетность'!$E129:$BM129)</f>
        <v>0</v>
      </c>
      <c s="125">
        <f>SUMIF('Квартальная отчетность'!$E$10:$BM$10,YEAR(G$8),'Квартальная отчетность'!$E129:$BM129)</f>
        <v>0</v>
      </c>
      <c s="125">
        <f>SUMIF('Квартальная отчетность'!$E$10:$BM$10,YEAR(H$8),'Квартальная отчетность'!$E129:$BM129)</f>
        <v>0</v>
      </c>
      <c s="125">
        <f>SUMIF('Квартальная отчетность'!$E$10:$BM$10,YEAR(I$8),'Квартальная отчетность'!$E129:$BM129)</f>
        <v>0</v>
      </c>
      <c s="125">
        <f>SUMIF('Квартальная отчетность'!$E$10:$BM$10,YEAR(J$8),'Квартальная отчетность'!$E129:$BM129)</f>
        <v>0</v>
      </c>
      <c s="125">
        <f>SUMIF('Квартальная отчетность'!$E$10:$BM$10,YEAR(K$8),'Квартальная отчетность'!$E129:$BM129)</f>
        <v>0</v>
      </c>
      <c s="125">
        <f>SUMIF('Квартальная отчетность'!$E$10:$BM$10,YEAR(L$8),'Квартальная отчетность'!$E129:$BM129)</f>
        <v>0</v>
      </c>
      <c s="125">
        <f>SUMIF('Квартальная отчетность'!$E$10:$BM$10,YEAR(M$8),'Квартальная отчетность'!$E129:$BM129)</f>
        <v>0</v>
      </c>
      <c s="125">
        <f>SUMIF('Квартальная отчетность'!$E$10:$BM$10,YEAR(N$8),'Квартальная отчетность'!$E129:$BM129)</f>
        <v>0</v>
      </c>
      <c s="125">
        <f>SUMIF('Квартальная отчетность'!$E$10:$BM$10,YEAR(O$8),'Квартальная отчетность'!$E129:$BM129)</f>
        <v>0</v>
      </c>
      <c s="125">
        <f>SUMIF('Квартальная отчетность'!$E$10:$BM$10,YEAR(P$8),'Квартальная отчетность'!$E129:$BM129)</f>
        <v>0</v>
      </c>
      <c s="125">
        <f>SUMIF('Квартальная отчетность'!$E$10:$BM$10,YEAR(Q$8),'Квартальная отчетность'!$E129:$BM129)</f>
        <v>0</v>
      </c>
      <c s="125">
        <f>SUMIF('Квартальная отчетность'!$E$10:$BM$10,YEAR(R$8),'Квартальная отчетность'!$E129:$BM129)</f>
        <v>0</v>
      </c>
      <c s="125">
        <f>SUMIF('Квартальная отчетность'!$E$10:$BM$10,YEAR(S$8),'Квартальная отчетность'!$E129:$BM129)</f>
        <v>0</v>
      </c>
      <c s="125">
        <f>SUMIF('Квартальная отчетность'!$E$10:$BM$10,YEAR(T$8),'Квартальная отчетность'!$E129:$BM129)</f>
        <v>0</v>
      </c>
    </row>
    <row r="124" spans="2:20" ht="15" customHeight="1">
      <c r="B124" s="289" t="s">
        <v>281</v>
      </c>
      <c s="290" t="str">
        <f t="shared" si="60"/>
        <v>тыс. руб.</v>
      </c>
      <c s="276">
        <f t="shared" si="67" ref="D124:E124">SUM(D117:D123)</f>
        <v>0</v>
      </c>
      <c s="276">
        <f t="shared" si="67"/>
        <v>0</v>
      </c>
      <c s="276">
        <f t="shared" si="68" ref="F124:T124">SUM(F117:F123)</f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  <c s="276">
        <f t="shared" si="68"/>
        <v>0</v>
      </c>
    </row>
    <row r="125" spans="2:20" ht="15" customHeight="1">
      <c r="B125" s="12" t="s">
        <v>573</v>
      </c>
      <c s="124" t="str">
        <f t="shared" si="60"/>
        <v>тыс. руб.</v>
      </c>
      <c s="276">
        <f>SUM(E125:T125)</f>
        <v>0</v>
      </c>
      <c s="125">
        <f>SUMIF('Квартальная отчетность'!$E$10:$BM$10,YEAR(E$8),'Квартальная отчетность'!$E131:$BM131)</f>
        <v>0</v>
      </c>
      <c s="125">
        <f>SUMIF('Квартальная отчетность'!$E$10:$BM$10,YEAR(F$8),'Квартальная отчетность'!$E131:$BM131)</f>
        <v>0</v>
      </c>
      <c s="125">
        <f>SUMIF('Квартальная отчетность'!$E$10:$BM$10,YEAR(G$8),'Квартальная отчетность'!$E131:$BM131)</f>
        <v>0</v>
      </c>
      <c s="125">
        <f>SUMIF('Квартальная отчетность'!$E$10:$BM$10,YEAR(H$8),'Квартальная отчетность'!$E131:$BM131)</f>
        <v>0</v>
      </c>
      <c s="125">
        <f>SUMIF('Квартальная отчетность'!$E$10:$BM$10,YEAR(I$8),'Квартальная отчетность'!$E131:$BM131)</f>
        <v>0</v>
      </c>
      <c s="125">
        <f>SUMIF('Квартальная отчетность'!$E$10:$BM$10,YEAR(J$8),'Квартальная отчетность'!$E131:$BM131)</f>
        <v>0</v>
      </c>
      <c s="125">
        <f>SUMIF('Квартальная отчетность'!$E$10:$BM$10,YEAR(K$8),'Квартальная отчетность'!$E131:$BM131)</f>
        <v>0</v>
      </c>
      <c s="125">
        <f>SUMIF('Квартальная отчетность'!$E$10:$BM$10,YEAR(L$8),'Квартальная отчетность'!$E131:$BM131)</f>
        <v>0</v>
      </c>
      <c s="125">
        <f>SUMIF('Квартальная отчетность'!$E$10:$BM$10,YEAR(M$8),'Квартальная отчетность'!$E131:$BM131)</f>
        <v>0</v>
      </c>
      <c s="125">
        <f>SUMIF('Квартальная отчетность'!$E$10:$BM$10,YEAR(N$8),'Квартальная отчетность'!$E131:$BM131)</f>
        <v>0</v>
      </c>
      <c s="125">
        <f>SUMIF('Квартальная отчетность'!$E$10:$BM$10,YEAR(O$8),'Квартальная отчетность'!$E131:$BM131)</f>
        <v>0</v>
      </c>
      <c s="125">
        <f>SUMIF('Квартальная отчетность'!$E$10:$BM$10,YEAR(P$8),'Квартальная отчетность'!$E131:$BM131)</f>
        <v>0</v>
      </c>
      <c s="125">
        <f>SUMIF('Квартальная отчетность'!$E$10:$BM$10,YEAR(Q$8),'Квартальная отчетность'!$E131:$BM131)</f>
        <v>0</v>
      </c>
      <c s="125">
        <f>SUMIF('Квартальная отчетность'!$E$10:$BM$10,YEAR(R$8),'Квартальная отчетность'!$E131:$BM131)</f>
        <v>0</v>
      </c>
      <c s="125">
        <f>SUMIF('Квартальная отчетность'!$E$10:$BM$10,YEAR(S$8),'Квартальная отчетность'!$E131:$BM131)</f>
        <v>0</v>
      </c>
      <c s="125">
        <f>SUMIF('Квартальная отчетность'!$E$10:$BM$10,YEAR(T$8),'Квартальная отчетность'!$E131:$BM131)</f>
        <v>0</v>
      </c>
    </row>
    <row r="126" spans="2:20" ht="15" customHeight="1">
      <c r="B126" s="289" t="s">
        <v>283</v>
      </c>
      <c s="290" t="str">
        <f t="shared" si="60"/>
        <v>тыс. руб.</v>
      </c>
      <c s="276">
        <f t="shared" si="69" ref="D126:E126">SUM(D124:D125)</f>
        <v>0</v>
      </c>
      <c s="276">
        <f t="shared" si="69"/>
        <v>0</v>
      </c>
      <c s="276">
        <f t="shared" si="70" ref="F126:T126">SUM(F124:F125)</f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  <c s="276">
        <f t="shared" si="70"/>
        <v>0</v>
      </c>
    </row>
    <row r="127" spans="2:65" ht="15" customHeight="1">
      <c r="B127" s="289" t="s">
        <v>1022</v>
      </c>
      <c s="290" t="s">
        <v>817</v>
      </c>
      <c s="282" t="str">
        <f>IF(D111=0,"-",D126/D111)</f>
        <v>-</v>
      </c>
      <c s="282" t="str">
        <f>IF(E111=0,"-",E126/E111)</f>
        <v>-</v>
      </c>
      <c s="282" t="str">
        <f t="shared" si="71" ref="F127:T127">IF(F111=0,"-",F126/F111)</f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s="282" t="str">
        <f t="shared" si="71"/>
        <v>-</v>
      </c>
      <c r="V127"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1"/>
      <c s="242"/>
    </row>
    <row r="128" ht="15" customHeight="1"/>
    <row r="129" spans="2:26" ht="21">
      <c r="B129" s="24" t="s">
        <v>1082</v>
      </c>
      <c r="D12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0" spans="2:20" ht="15" customHeight="1">
      <c r="B130" s="130" t="s">
        <v>285</v>
      </c>
      <c s="124" t="str">
        <f>Единица_измерения</f>
        <v>тыс. руб.</v>
      </c>
      <c s="276">
        <f>SUM(E130:T130)</f>
        <v>0</v>
      </c>
      <c s="125">
        <f>SUMIF('Квартальная отчетность'!$E$10:$BM$10,YEAR(E$8),'Квартальная отчетность'!$E136:$BM136)</f>
        <v>0</v>
      </c>
      <c s="125">
        <f>SUMIF('Квартальная отчетность'!$E$10:$BM$10,YEAR(F$8),'Квартальная отчетность'!$E136:$BM136)</f>
        <v>0</v>
      </c>
      <c s="125">
        <f>SUMIF('Квартальная отчетность'!$E$10:$BM$10,YEAR(G$8),'Квартальная отчетность'!$E136:$BM136)</f>
        <v>0</v>
      </c>
      <c s="125">
        <f>SUMIF('Квартальная отчетность'!$E$10:$BM$10,YEAR(H$8),'Квартальная отчетность'!$E136:$BM136)</f>
        <v>0</v>
      </c>
      <c s="125">
        <f>SUMIF('Квартальная отчетность'!$E$10:$BM$10,YEAR(I$8),'Квартальная отчетность'!$E136:$BM136)</f>
        <v>0</v>
      </c>
      <c s="125">
        <f>SUMIF('Квартальная отчетность'!$E$10:$BM$10,YEAR(J$8),'Квартальная отчетность'!$E136:$BM136)</f>
        <v>0</v>
      </c>
      <c s="125">
        <f>SUMIF('Квартальная отчетность'!$E$10:$BM$10,YEAR(K$8),'Квартальная отчетность'!$E136:$BM136)</f>
        <v>0</v>
      </c>
      <c s="125">
        <f>SUMIF('Квартальная отчетность'!$E$10:$BM$10,YEAR(L$8),'Квартальная отчетность'!$E136:$BM136)</f>
        <v>0</v>
      </c>
      <c s="125">
        <f>SUMIF('Квартальная отчетность'!$E$10:$BM$10,YEAR(M$8),'Квартальная отчетность'!$E136:$BM136)</f>
        <v>0</v>
      </c>
      <c s="125">
        <f>SUMIF('Квартальная отчетность'!$E$10:$BM$10,YEAR(N$8),'Квартальная отчетность'!$E136:$BM136)</f>
        <v>0</v>
      </c>
      <c s="125">
        <f>SUMIF('Квартальная отчетность'!$E$10:$BM$10,YEAR(O$8),'Квартальная отчетность'!$E136:$BM136)</f>
        <v>0</v>
      </c>
      <c s="125">
        <f>SUMIF('Квартальная отчетность'!$E$10:$BM$10,YEAR(P$8),'Квартальная отчетность'!$E136:$BM136)</f>
        <v>0</v>
      </c>
      <c s="125">
        <f>SUMIF('Квартальная отчетность'!$E$10:$BM$10,YEAR(Q$8),'Квартальная отчетность'!$E136:$BM136)</f>
        <v>0</v>
      </c>
      <c s="125">
        <f>SUMIF('Квартальная отчетность'!$E$10:$BM$10,YEAR(R$8),'Квартальная отчетность'!$E136:$BM136)</f>
        <v>0</v>
      </c>
      <c s="125">
        <f>SUMIF('Квартальная отчетность'!$E$10:$BM$10,YEAR(S$8),'Квартальная отчетность'!$E136:$BM136)</f>
        <v>0</v>
      </c>
      <c s="125">
        <f>SUMIF('Квартальная отчетность'!$E$10:$BM$10,YEAR(T$8),'Квартальная отчетность'!$E136:$BM136)</f>
        <v>0</v>
      </c>
    </row>
    <row r="131" spans="2:20" ht="15" customHeight="1">
      <c r="B131" s="130" t="s">
        <v>577</v>
      </c>
      <c s="124" t="str">
        <f>Единица_измерения</f>
        <v>тыс. руб.</v>
      </c>
      <c s="276">
        <f>SUM(E131:T131)</f>
        <v>0</v>
      </c>
      <c s="125">
        <f>SUMIF('Квартальная отчетность'!$E$10:$BM$10,YEAR(E$8),'Квартальная отчетность'!$E137:$BM137)</f>
        <v>0</v>
      </c>
      <c s="125">
        <f>SUMIF('Квартальная отчетность'!$E$10:$BM$10,YEAR(F$8),'Квартальная отчетность'!$E137:$BM137)</f>
        <v>0</v>
      </c>
      <c s="125">
        <f>SUMIF('Квартальная отчетность'!$E$10:$BM$10,YEAR(G$8),'Квартальная отчетность'!$E137:$BM137)</f>
        <v>0</v>
      </c>
      <c s="125">
        <f>SUMIF('Квартальная отчетность'!$E$10:$BM$10,YEAR(H$8),'Квартальная отчетность'!$E137:$BM137)</f>
        <v>0</v>
      </c>
      <c s="125">
        <f>SUMIF('Квартальная отчетность'!$E$10:$BM$10,YEAR(I$8),'Квартальная отчетность'!$E137:$BM137)</f>
        <v>0</v>
      </c>
      <c s="125">
        <f>SUMIF('Квартальная отчетность'!$E$10:$BM$10,YEAR(J$8),'Квартальная отчетность'!$E137:$BM137)</f>
        <v>0</v>
      </c>
      <c s="125">
        <f>SUMIF('Квартальная отчетность'!$E$10:$BM$10,YEAR(K$8),'Квартальная отчетность'!$E137:$BM137)</f>
        <v>0</v>
      </c>
      <c s="125">
        <f>SUMIF('Квартальная отчетность'!$E$10:$BM$10,YEAR(L$8),'Квартальная отчетность'!$E137:$BM137)</f>
        <v>0</v>
      </c>
      <c s="125">
        <f>SUMIF('Квартальная отчетность'!$E$10:$BM$10,YEAR(M$8),'Квартальная отчетность'!$E137:$BM137)</f>
        <v>0</v>
      </c>
      <c s="125">
        <f>SUMIF('Квартальная отчетность'!$E$10:$BM$10,YEAR(N$8),'Квартальная отчетность'!$E137:$BM137)</f>
        <v>0</v>
      </c>
      <c s="125">
        <f>SUMIF('Квартальная отчетность'!$E$10:$BM$10,YEAR(O$8),'Квартальная отчетность'!$E137:$BM137)</f>
        <v>0</v>
      </c>
      <c s="125">
        <f>SUMIF('Квартальная отчетность'!$E$10:$BM$10,YEAR(P$8),'Квартальная отчетность'!$E137:$BM137)</f>
        <v>0</v>
      </c>
      <c s="125">
        <f>SUMIF('Квартальная отчетность'!$E$10:$BM$10,YEAR(Q$8),'Квартальная отчетность'!$E137:$BM137)</f>
        <v>0</v>
      </c>
      <c s="125">
        <f>SUMIF('Квартальная отчетность'!$E$10:$BM$10,YEAR(R$8),'Квартальная отчетность'!$E137:$BM137)</f>
        <v>0</v>
      </c>
      <c s="125">
        <f>SUMIF('Квартальная отчетность'!$E$10:$BM$10,YEAR(S$8),'Квартальная отчетность'!$E137:$BM137)</f>
        <v>0</v>
      </c>
      <c s="125">
        <f>SUMIF('Квартальная отчетность'!$E$10:$BM$10,YEAR(T$8),'Квартальная отчетность'!$E137:$BM137)</f>
        <v>0</v>
      </c>
    </row>
    <row r="132" spans="2:20" ht="15" customHeight="1">
      <c r="B132" s="130" t="s">
        <v>1025</v>
      </c>
      <c s="124" t="s">
        <v>817</v>
      </c>
      <c s="243" t="str">
        <f>IF(D111=0,"-",D131/D111)</f>
        <v>-</v>
      </c>
      <c s="243" t="str">
        <f>IF(E111=0,"-",E131/E111)</f>
        <v>-</v>
      </c>
      <c s="243" t="str">
        <f t="shared" si="72" ref="F132:T132">IF(F111=0,"-",F131/F111)</f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  <c s="243" t="str">
        <f t="shared" si="72"/>
        <v>-</v>
      </c>
    </row>
    <row r="133" ht="15" customHeight="1"/>
    <row r="134" spans="2:26" ht="21">
      <c r="B134" s="23" t="s">
        <v>330</v>
      </c>
      <c r="D13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5" spans="2:26" ht="21">
      <c r="B135" s="24" t="s">
        <v>979</v>
      </c>
      <c r="D13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6" spans="2:24" ht="14.45">
      <c r="B136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7" spans="2:20" ht="15" customHeight="1">
      <c r="B137" s="130" t="s">
        <v>1026</v>
      </c>
      <c s="124" t="s">
        <v>438</v>
      </c>
      <c s="276">
        <f>SUM(E137:T137)</f>
        <v>0</v>
      </c>
      <c s="125">
        <f>SUMIF('Квартальная отчетность'!$E$10:$BM$10,YEAR(E$8),'Квартальная отчетность'!$E143:$BM143)</f>
        <v>0</v>
      </c>
      <c s="125">
        <f>SUMIF('Квартальная отчетность'!$E$10:$BM$10,YEAR(F$8),'Квартальная отчетность'!$E143:$BM143)</f>
        <v>0</v>
      </c>
      <c s="125">
        <f>SUMIF('Квартальная отчетность'!$E$10:$BM$10,YEAR(G$8),'Квартальная отчетность'!$E143:$BM143)</f>
        <v>0</v>
      </c>
      <c s="125">
        <f>SUMIF('Квартальная отчетность'!$E$10:$BM$10,YEAR(H$8),'Квартальная отчетность'!$E143:$BM143)</f>
        <v>0</v>
      </c>
      <c s="125">
        <f>SUMIF('Квартальная отчетность'!$E$10:$BM$10,YEAR(I$8),'Квартальная отчетность'!$E143:$BM143)</f>
        <v>0</v>
      </c>
      <c s="125">
        <f>SUMIF('Квартальная отчетность'!$E$10:$BM$10,YEAR(J$8),'Квартальная отчетность'!$E143:$BM143)</f>
        <v>0</v>
      </c>
      <c s="125">
        <f>SUMIF('Квартальная отчетность'!$E$10:$BM$10,YEAR(K$8),'Квартальная отчетность'!$E143:$BM143)</f>
        <v>0</v>
      </c>
      <c s="125">
        <f>SUMIF('Квартальная отчетность'!$E$10:$BM$10,YEAR(L$8),'Квартальная отчетность'!$E143:$BM143)</f>
        <v>0</v>
      </c>
      <c s="125">
        <f>SUMIF('Квартальная отчетность'!$E$10:$BM$10,YEAR(M$8),'Квартальная отчетность'!$E143:$BM143)</f>
        <v>0</v>
      </c>
      <c s="125">
        <f>SUMIF('Квартальная отчетность'!$E$10:$BM$10,YEAR(N$8),'Квартальная отчетность'!$E143:$BM143)</f>
        <v>0</v>
      </c>
      <c s="125">
        <f>SUMIF('Квартальная отчетность'!$E$10:$BM$10,YEAR(O$8),'Квартальная отчетность'!$E143:$BM143)</f>
        <v>0</v>
      </c>
      <c s="125">
        <f>SUMIF('Квартальная отчетность'!$E$10:$BM$10,YEAR(P$8),'Квартальная отчетность'!$E143:$BM143)</f>
        <v>0</v>
      </c>
      <c s="125">
        <f>SUMIF('Квартальная отчетность'!$E$10:$BM$10,YEAR(Q$8),'Квартальная отчетность'!$E143:$BM143)</f>
        <v>0</v>
      </c>
      <c s="125">
        <f>SUMIF('Квартальная отчетность'!$E$10:$BM$10,YEAR(R$8),'Квартальная отчетность'!$E143:$BM143)</f>
        <v>0</v>
      </c>
      <c s="125">
        <f>SUMIF('Квартальная отчетность'!$E$10:$BM$10,YEAR(S$8),'Квартальная отчетность'!$E143:$BM143)</f>
        <v>0</v>
      </c>
      <c s="125">
        <f>SUMIF('Квартальная отчетность'!$E$10:$BM$10,YEAR(T$8),'Квартальная отчетность'!$E143:$BM143)</f>
        <v>0</v>
      </c>
    </row>
    <row r="138" spans="2:20" ht="15" customHeight="1">
      <c r="B138" s="12" t="s">
        <v>1027</v>
      </c>
      <c s="124" t="s">
        <v>438</v>
      </c>
      <c s="276">
        <f>SUM(E138:T138)</f>
        <v>0</v>
      </c>
      <c s="125">
        <f>SUMIF('Квартальная отчетность'!$E$10:$BM$10,YEAR(E$8),'Квартальная отчетность'!$E144:$BM144)</f>
        <v>0</v>
      </c>
      <c s="125">
        <f>SUMIF('Квартальная отчетность'!$E$10:$BM$10,YEAR(F$8),'Квартальная отчетность'!$E144:$BM144)</f>
        <v>0</v>
      </c>
      <c s="125">
        <f>SUMIF('Квартальная отчетность'!$E$10:$BM$10,YEAR(G$8),'Квартальная отчетность'!$E144:$BM144)</f>
        <v>0</v>
      </c>
      <c s="125">
        <f>SUMIF('Квартальная отчетность'!$E$10:$BM$10,YEAR(H$8),'Квартальная отчетность'!$E144:$BM144)</f>
        <v>0</v>
      </c>
      <c s="125">
        <f>SUMIF('Квартальная отчетность'!$E$10:$BM$10,YEAR(I$8),'Квартальная отчетность'!$E144:$BM144)</f>
        <v>0</v>
      </c>
      <c s="125">
        <f>SUMIF('Квартальная отчетность'!$E$10:$BM$10,YEAR(J$8),'Квартальная отчетность'!$E144:$BM144)</f>
        <v>0</v>
      </c>
      <c s="125">
        <f>SUMIF('Квартальная отчетность'!$E$10:$BM$10,YEAR(K$8),'Квартальная отчетность'!$E144:$BM144)</f>
        <v>0</v>
      </c>
      <c s="125">
        <f>SUMIF('Квартальная отчетность'!$E$10:$BM$10,YEAR(L$8),'Квартальная отчетность'!$E144:$BM144)</f>
        <v>0</v>
      </c>
      <c s="125">
        <f>SUMIF('Квартальная отчетность'!$E$10:$BM$10,YEAR(M$8),'Квартальная отчетность'!$E144:$BM144)</f>
        <v>0</v>
      </c>
      <c s="125">
        <f>SUMIF('Квартальная отчетность'!$E$10:$BM$10,YEAR(N$8),'Квартальная отчетность'!$E144:$BM144)</f>
        <v>0</v>
      </c>
      <c s="125">
        <f>SUMIF('Квартальная отчетность'!$E$10:$BM$10,YEAR(O$8),'Квартальная отчетность'!$E144:$BM144)</f>
        <v>0</v>
      </c>
      <c s="125">
        <f>SUMIF('Квартальная отчетность'!$E$10:$BM$10,YEAR(P$8),'Квартальная отчетность'!$E144:$BM144)</f>
        <v>0</v>
      </c>
      <c s="125">
        <f>SUMIF('Квартальная отчетность'!$E$10:$BM$10,YEAR(Q$8),'Квартальная отчетность'!$E144:$BM144)</f>
        <v>0</v>
      </c>
      <c s="125">
        <f>SUMIF('Квартальная отчетность'!$E$10:$BM$10,YEAR(R$8),'Квартальная отчетность'!$E144:$BM144)</f>
        <v>0</v>
      </c>
      <c s="125">
        <f>SUMIF('Квартальная отчетность'!$E$10:$BM$10,YEAR(S$8),'Квартальная отчетность'!$E144:$BM144)</f>
        <v>0</v>
      </c>
      <c s="125">
        <f>SUMIF('Квартальная отчетность'!$E$10:$BM$10,YEAR(T$8),'Квартальная отчетность'!$E144:$BM144)</f>
        <v>0</v>
      </c>
    </row>
    <row r="139" spans="2:20" ht="15" customHeight="1">
      <c r="B139" s="12" t="s">
        <v>1028</v>
      </c>
      <c s="124" t="s">
        <v>438</v>
      </c>
      <c s="276">
        <f>SUM(E139:T139)</f>
        <v>0</v>
      </c>
      <c s="125">
        <f>SUMIF('Квартальная отчетность'!$E$10:$BM$10,YEAR(E$8),'Квартальная отчетность'!$E145:$BM145)</f>
        <v>0</v>
      </c>
      <c s="125">
        <f>SUMIF('Квартальная отчетность'!$E$10:$BM$10,YEAR(F$8),'Квартальная отчетность'!$E145:$BM145)</f>
        <v>0</v>
      </c>
      <c s="125">
        <f>SUMIF('Квартальная отчетность'!$E$10:$BM$10,YEAR(G$8),'Квартальная отчетность'!$E145:$BM145)</f>
        <v>0</v>
      </c>
      <c s="125">
        <f>SUMIF('Квартальная отчетность'!$E$10:$BM$10,YEAR(H$8),'Квартальная отчетность'!$E145:$BM145)</f>
        <v>0</v>
      </c>
      <c s="125">
        <f>SUMIF('Квартальная отчетность'!$E$10:$BM$10,YEAR(I$8),'Квартальная отчетность'!$E145:$BM145)</f>
        <v>0</v>
      </c>
      <c s="125">
        <f>SUMIF('Квартальная отчетность'!$E$10:$BM$10,YEAR(J$8),'Квартальная отчетность'!$E145:$BM145)</f>
        <v>0</v>
      </c>
      <c s="125">
        <f>SUMIF('Квартальная отчетность'!$E$10:$BM$10,YEAR(K$8),'Квартальная отчетность'!$E145:$BM145)</f>
        <v>0</v>
      </c>
      <c s="125">
        <f>SUMIF('Квартальная отчетность'!$E$10:$BM$10,YEAR(L$8),'Квартальная отчетность'!$E145:$BM145)</f>
        <v>0</v>
      </c>
      <c s="125">
        <f>SUMIF('Квартальная отчетность'!$E$10:$BM$10,YEAR(M$8),'Квартальная отчетность'!$E145:$BM145)</f>
        <v>0</v>
      </c>
      <c s="125">
        <f>SUMIF('Квартальная отчетность'!$E$10:$BM$10,YEAR(N$8),'Квартальная отчетность'!$E145:$BM145)</f>
        <v>0</v>
      </c>
      <c s="125">
        <f>SUMIF('Квартальная отчетность'!$E$10:$BM$10,YEAR(O$8),'Квартальная отчетность'!$E145:$BM145)</f>
        <v>0</v>
      </c>
      <c s="125">
        <f>SUMIF('Квартальная отчетность'!$E$10:$BM$10,YEAR(P$8),'Квартальная отчетность'!$E145:$BM145)</f>
        <v>0</v>
      </c>
      <c s="125">
        <f>SUMIF('Квартальная отчетность'!$E$10:$BM$10,YEAR(Q$8),'Квартальная отчетность'!$E145:$BM145)</f>
        <v>0</v>
      </c>
      <c s="125">
        <f>SUMIF('Квартальная отчетность'!$E$10:$BM$10,YEAR(R$8),'Квартальная отчетность'!$E145:$BM145)</f>
        <v>0</v>
      </c>
      <c s="125">
        <f>SUMIF('Квартальная отчетность'!$E$10:$BM$10,YEAR(S$8),'Квартальная отчетность'!$E145:$BM145)</f>
        <v>0</v>
      </c>
      <c s="125">
        <f>SUMIF('Квартальная отчетность'!$E$10:$BM$10,YEAR(T$8),'Квартальная отчетность'!$E145:$BM145)</f>
        <v>0</v>
      </c>
    </row>
    <row r="140" spans="2:20" ht="15" customHeight="1">
      <c r="B140" s="12" t="s">
        <v>1029</v>
      </c>
      <c s="124" t="s">
        <v>438</v>
      </c>
      <c s="276">
        <f>SUM(E140:T140)</f>
        <v>0</v>
      </c>
      <c s="125">
        <f>SUMIF('Квартальная отчетность'!$E$10:$BM$10,YEAR(E$8),'Квартальная отчетность'!$E146:$BM146)</f>
        <v>0</v>
      </c>
      <c s="125">
        <f>SUMIF('Квартальная отчетность'!$E$10:$BM$10,YEAR(F$8),'Квартальная отчетность'!$E146:$BM146)</f>
        <v>0</v>
      </c>
      <c s="125">
        <f>SUMIF('Квартальная отчетность'!$E$10:$BM$10,YEAR(G$8),'Квартальная отчетность'!$E146:$BM146)</f>
        <v>0</v>
      </c>
      <c s="125">
        <f>SUMIF('Квартальная отчетность'!$E$10:$BM$10,YEAR(H$8),'Квартальная отчетность'!$E146:$BM146)</f>
        <v>0</v>
      </c>
      <c s="125">
        <f>SUMIF('Квартальная отчетность'!$E$10:$BM$10,YEAR(I$8),'Квартальная отчетность'!$E146:$BM146)</f>
        <v>0</v>
      </c>
      <c s="125">
        <f>SUMIF('Квартальная отчетность'!$E$10:$BM$10,YEAR(J$8),'Квартальная отчетность'!$E146:$BM146)</f>
        <v>0</v>
      </c>
      <c s="125">
        <f>SUMIF('Квартальная отчетность'!$E$10:$BM$10,YEAR(K$8),'Квартальная отчетность'!$E146:$BM146)</f>
        <v>0</v>
      </c>
      <c s="125">
        <f>SUMIF('Квартальная отчетность'!$E$10:$BM$10,YEAR(L$8),'Квартальная отчетность'!$E146:$BM146)</f>
        <v>0</v>
      </c>
      <c s="125">
        <f>SUMIF('Квартальная отчетность'!$E$10:$BM$10,YEAR(M$8),'Квартальная отчетность'!$E146:$BM146)</f>
        <v>0</v>
      </c>
      <c s="125">
        <f>SUMIF('Квартальная отчетность'!$E$10:$BM$10,YEAR(N$8),'Квартальная отчетность'!$E146:$BM146)</f>
        <v>0</v>
      </c>
      <c s="125">
        <f>SUMIF('Квартальная отчетность'!$E$10:$BM$10,YEAR(O$8),'Квартальная отчетность'!$E146:$BM146)</f>
        <v>0</v>
      </c>
      <c s="125">
        <f>SUMIF('Квартальная отчетность'!$E$10:$BM$10,YEAR(P$8),'Квартальная отчетность'!$E146:$BM146)</f>
        <v>0</v>
      </c>
      <c s="125">
        <f>SUMIF('Квартальная отчетность'!$E$10:$BM$10,YEAR(Q$8),'Квартальная отчетность'!$E146:$BM146)</f>
        <v>0</v>
      </c>
      <c s="125">
        <f>SUMIF('Квартальная отчетность'!$E$10:$BM$10,YEAR(R$8),'Квартальная отчетность'!$E146:$BM146)</f>
        <v>0</v>
      </c>
      <c s="125">
        <f>SUMIF('Квартальная отчетность'!$E$10:$BM$10,YEAR(S$8),'Квартальная отчетность'!$E146:$BM146)</f>
        <v>0</v>
      </c>
      <c s="125">
        <f>SUMIF('Квартальная отчетность'!$E$10:$BM$10,YEAR(T$8),'Квартальная отчетность'!$E146:$BM146)</f>
        <v>0</v>
      </c>
    </row>
    <row r="141" spans="2:20" ht="15" customHeight="1">
      <c r="B141" s="289" t="s">
        <v>454</v>
      </c>
      <c s="290" t="s">
        <v>438</v>
      </c>
      <c s="291">
        <f t="shared" si="73" ref="D141:T141">SUM(D137:D140)</f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  <c s="276">
        <f t="shared" si="73"/>
        <v>0</v>
      </c>
    </row>
    <row r="142" ht="15" customHeight="1"/>
    <row r="143" spans="2:24" ht="14.45">
      <c r="B143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4" spans="2:20" ht="15" customHeight="1">
      <c r="B144" s="12" t="s">
        <v>1030</v>
      </c>
      <c s="124" t="s">
        <v>438</v>
      </c>
      <c s="276">
        <f>SUM(E144:T144)</f>
        <v>0</v>
      </c>
      <c s="125">
        <f>SUMIF('Квартальная отчетность'!$E$10:$AG$10,YEAR(E$8),'Квартальная отчетность'!$E150:$AG150)</f>
        <v>0</v>
      </c>
      <c s="125">
        <f>SUMIF('Квартальная отчетность'!$E$10:$AG$10,YEAR(F$8),'Квартальная отчетность'!$E150:$AG150)</f>
        <v>0</v>
      </c>
      <c s="125">
        <f>SUMIF('Квартальная отчетность'!$E$10:$BM$10,YEAR(G$8),'Квартальная отчетность'!$E150:$BM150)</f>
        <v>0</v>
      </c>
      <c s="125">
        <f>SUMIF('Квартальная отчетность'!$E$10:$BM$10,YEAR(H$8),'Квартальная отчетность'!$E150:$BM150)</f>
        <v>0</v>
      </c>
      <c s="125">
        <f>SUMIF('Квартальная отчетность'!$E$10:$BM$10,YEAR(I$8),'Квартальная отчетность'!$E150:$BM150)</f>
        <v>0</v>
      </c>
      <c s="125">
        <f>SUMIF('Квартальная отчетность'!$E$10:$BM$10,YEAR(J$8),'Квартальная отчетность'!$E150:$BM150)</f>
        <v>0</v>
      </c>
      <c s="125">
        <f>SUMIF('Квартальная отчетность'!$E$10:$BM$10,YEAR(K$8),'Квартальная отчетность'!$E150:$BM150)</f>
        <v>0</v>
      </c>
      <c s="125">
        <f>SUMIF('Квартальная отчетность'!$E$10:$BM$10,YEAR(L$8),'Квартальная отчетность'!$E150:$BM150)</f>
        <v>0</v>
      </c>
      <c s="125">
        <f>SUMIF('Квартальная отчетность'!$E$10:$BM$10,YEAR(M$8),'Квартальная отчетность'!$E150:$BM150)</f>
        <v>0</v>
      </c>
      <c s="125">
        <f>SUMIF('Квартальная отчетность'!$E$10:$BM$10,YEAR(N$8),'Квартальная отчетность'!$E150:$BM150)</f>
        <v>0</v>
      </c>
      <c s="125">
        <f>SUMIF('Квартальная отчетность'!$E$10:$BM$10,YEAR(O$8),'Квартальная отчетность'!$E150:$BM150)</f>
        <v>0</v>
      </c>
      <c s="125">
        <f>SUMIF('Квартальная отчетность'!$E$10:$BM$10,YEAR(P$8),'Квартальная отчетность'!$E150:$BM150)</f>
        <v>0</v>
      </c>
      <c s="125">
        <f>SUMIF('Квартальная отчетность'!$E$10:$BM$10,YEAR(Q$8),'Квартальная отчетность'!$E150:$BM150)</f>
        <v>0</v>
      </c>
      <c s="125">
        <f>SUMIF('Квартальная отчетность'!$E$10:$BM$10,YEAR(R$8),'Квартальная отчетность'!$E150:$BM150)</f>
        <v>0</v>
      </c>
      <c s="125">
        <f>SUMIF('Квартальная отчетность'!$E$10:$BM$10,YEAR(S$8),'Квартальная отчетность'!$E150:$BM150)</f>
        <v>0</v>
      </c>
      <c s="125">
        <f>SUMIF('Квартальная отчетность'!$E$10:$BM$10,YEAR(T$8),'Квартальная отчетность'!$E150:$BM150)</f>
        <v>0</v>
      </c>
    </row>
    <row r="145" spans="2:20" ht="15" customHeight="1">
      <c r="B145" s="12" t="s">
        <v>1031</v>
      </c>
      <c s="124" t="s">
        <v>438</v>
      </c>
      <c s="276">
        <f>SUM(E145:T145)</f>
        <v>0</v>
      </c>
      <c s="125">
        <f>SUMIF('Квартальная отчетность'!$E$10:$AG$10,YEAR(E$8),'Квартальная отчетность'!$E151:$AG151)</f>
        <v>0</v>
      </c>
      <c s="125">
        <f>SUMIF('Квартальная отчетность'!$E$10:$AG$10,YEAR(F$8),'Квартальная отчетность'!$E151:$AG151)</f>
        <v>0</v>
      </c>
      <c s="125">
        <f>SUMIF('Квартальная отчетность'!$E$10:$BM$10,YEAR(G$8),'Квартальная отчетность'!$E151:$BM151)</f>
        <v>0</v>
      </c>
      <c s="125">
        <f>SUMIF('Квартальная отчетность'!$E$10:$BM$10,YEAR(H$8),'Квартальная отчетность'!$E151:$BM151)</f>
        <v>0</v>
      </c>
      <c s="125">
        <f>SUMIF('Квартальная отчетность'!$E$10:$BM$10,YEAR(I$8),'Квартальная отчетность'!$E151:$BM151)</f>
        <v>0</v>
      </c>
      <c s="125">
        <f>SUMIF('Квартальная отчетность'!$E$10:$BM$10,YEAR(J$8),'Квартальная отчетность'!$E151:$BM151)</f>
        <v>0</v>
      </c>
      <c s="125">
        <f>SUMIF('Квартальная отчетность'!$E$10:$BM$10,YEAR(K$8),'Квартальная отчетность'!$E151:$BM151)</f>
        <v>0</v>
      </c>
      <c s="125">
        <f>SUMIF('Квартальная отчетность'!$E$10:$BM$10,YEAR(L$8),'Квартальная отчетность'!$E151:$BM151)</f>
        <v>0</v>
      </c>
      <c s="125">
        <f>SUMIF('Квартальная отчетность'!$E$10:$BM$10,YEAR(M$8),'Квартальная отчетность'!$E151:$BM151)</f>
        <v>0</v>
      </c>
      <c s="125">
        <f>SUMIF('Квартальная отчетность'!$E$10:$BM$10,YEAR(N$8),'Квартальная отчетность'!$E151:$BM151)</f>
        <v>0</v>
      </c>
      <c s="125">
        <f>SUMIF('Квартальная отчетность'!$E$10:$BM$10,YEAR(O$8),'Квартальная отчетность'!$E151:$BM151)</f>
        <v>0</v>
      </c>
      <c s="125">
        <f>SUMIF('Квартальная отчетность'!$E$10:$BM$10,YEAR(P$8),'Квартальная отчетность'!$E151:$BM151)</f>
        <v>0</v>
      </c>
      <c s="125">
        <f>SUMIF('Квартальная отчетность'!$E$10:$BM$10,YEAR(Q$8),'Квартальная отчетность'!$E151:$BM151)</f>
        <v>0</v>
      </c>
      <c s="125">
        <f>SUMIF('Квартальная отчетность'!$E$10:$BM$10,YEAR(R$8),'Квартальная отчетность'!$E151:$BM151)</f>
        <v>0</v>
      </c>
      <c s="125">
        <f>SUMIF('Квартальная отчетность'!$E$10:$BM$10,YEAR(S$8),'Квартальная отчетность'!$E151:$BM151)</f>
        <v>0</v>
      </c>
      <c s="125">
        <f>SUMIF('Квартальная отчетность'!$E$10:$BM$10,YEAR(T$8),'Квартальная отчетность'!$E151:$BM151)</f>
        <v>0</v>
      </c>
    </row>
    <row r="146" spans="2:20" ht="15" customHeight="1">
      <c r="B146" s="12" t="s">
        <v>1032</v>
      </c>
      <c s="124" t="s">
        <v>438</v>
      </c>
      <c s="276">
        <f>SUM(E146:T146)</f>
        <v>0</v>
      </c>
      <c s="125">
        <f>SUMIF('Квартальная отчетность'!$E$10:$AG$10,YEAR(E$8),'Квартальная отчетность'!$E152:$AG152)</f>
        <v>0</v>
      </c>
      <c s="125">
        <f>SUMIF('Квартальная отчетность'!$E$10:$AG$10,YEAR(F$8),'Квартальная отчетность'!$E152:$AG152)</f>
        <v>0</v>
      </c>
      <c s="125">
        <f>SUMIF('Квартальная отчетность'!$E$10:$BM$10,YEAR(G$8),'Квартальная отчетность'!$E152:$BM152)</f>
        <v>0</v>
      </c>
      <c s="125">
        <f>SUMIF('Квартальная отчетность'!$E$10:$BM$10,YEAR(H$8),'Квартальная отчетность'!$E152:$BM152)</f>
        <v>0</v>
      </c>
      <c s="125">
        <f>SUMIF('Квартальная отчетность'!$E$10:$BM$10,YEAR(I$8),'Квартальная отчетность'!$E152:$BM152)</f>
        <v>0</v>
      </c>
      <c s="125">
        <f>SUMIF('Квартальная отчетность'!$E$10:$BM$10,YEAR(J$8),'Квартальная отчетность'!$E152:$BM152)</f>
        <v>0</v>
      </c>
      <c s="125">
        <f>SUMIF('Квартальная отчетность'!$E$10:$BM$10,YEAR(K$8),'Квартальная отчетность'!$E152:$BM152)</f>
        <v>0</v>
      </c>
      <c s="125">
        <f>SUMIF('Квартальная отчетность'!$E$10:$BM$10,YEAR(L$8),'Квартальная отчетность'!$E152:$BM152)</f>
        <v>0</v>
      </c>
      <c s="125">
        <f>SUMIF('Квартальная отчетность'!$E$10:$BM$10,YEAR(M$8),'Квартальная отчетность'!$E152:$BM152)</f>
        <v>0</v>
      </c>
      <c s="125">
        <f>SUMIF('Квартальная отчетность'!$E$10:$BM$10,YEAR(N$8),'Квартальная отчетность'!$E152:$BM152)</f>
        <v>0</v>
      </c>
      <c s="125">
        <f>SUMIF('Квартальная отчетность'!$E$10:$BM$10,YEAR(O$8),'Квартальная отчетность'!$E152:$BM152)</f>
        <v>0</v>
      </c>
      <c s="125">
        <f>SUMIF('Квартальная отчетность'!$E$10:$BM$10,YEAR(P$8),'Квартальная отчетность'!$E152:$BM152)</f>
        <v>0</v>
      </c>
      <c s="125">
        <f>SUMIF('Квартальная отчетность'!$E$10:$BM$10,YEAR(Q$8),'Квартальная отчетность'!$E152:$BM152)</f>
        <v>0</v>
      </c>
      <c s="125">
        <f>SUMIF('Квартальная отчетность'!$E$10:$BM$10,YEAR(R$8),'Квартальная отчетность'!$E152:$BM152)</f>
        <v>0</v>
      </c>
      <c s="125">
        <f>SUMIF('Квартальная отчетность'!$E$10:$BM$10,YEAR(S$8),'Квартальная отчетность'!$E152:$BM152)</f>
        <v>0</v>
      </c>
      <c s="125">
        <f>SUMIF('Квартальная отчетность'!$E$10:$BM$10,YEAR(T$8),'Квартальная отчетность'!$E152:$BM152)</f>
        <v>0</v>
      </c>
    </row>
    <row r="147" spans="2:20" ht="15" customHeight="1">
      <c r="B147" s="12" t="s">
        <v>943</v>
      </c>
      <c s="124" t="s">
        <v>438</v>
      </c>
      <c s="276">
        <f>SUM(E147:T147)</f>
        <v>0</v>
      </c>
      <c s="125">
        <f>SUMIF('Квартальная отчетность'!$E$10:$AG$10,YEAR(E$8),'Квартальная отчетность'!$E153:$AG153)</f>
        <v>0</v>
      </c>
      <c s="125">
        <f>SUMIF('Квартальная отчетность'!$E$10:$AG$10,YEAR(F$8),'Квартальная отчетность'!$E153:$AG153)</f>
        <v>0</v>
      </c>
      <c s="125">
        <f>SUMIF('Квартальная отчетность'!$E$10:$BM$10,YEAR(G$8),'Квартальная отчетность'!$E153:$BM153)</f>
        <v>0</v>
      </c>
      <c s="125">
        <f>SUMIF('Квартальная отчетность'!$E$10:$BM$10,YEAR(H$8),'Квартальная отчетность'!$E153:$BM153)</f>
        <v>0</v>
      </c>
      <c s="125">
        <f>SUMIF('Квартальная отчетность'!$E$10:$BM$10,YEAR(I$8),'Квартальная отчетность'!$E153:$BM153)</f>
        <v>0</v>
      </c>
      <c s="125">
        <f>SUMIF('Квартальная отчетность'!$E$10:$BM$10,YEAR(J$8),'Квартальная отчетность'!$E153:$BM153)</f>
        <v>0</v>
      </c>
      <c s="125">
        <f>SUMIF('Квартальная отчетность'!$E$10:$BM$10,YEAR(K$8),'Квартальная отчетность'!$E153:$BM153)</f>
        <v>0</v>
      </c>
      <c s="125">
        <f>SUMIF('Квартальная отчетность'!$E$10:$BM$10,YEAR(L$8),'Квартальная отчетность'!$E153:$BM153)</f>
        <v>0</v>
      </c>
      <c s="125">
        <f>SUMIF('Квартальная отчетность'!$E$10:$BM$10,YEAR(M$8),'Квартальная отчетность'!$E153:$BM153)</f>
        <v>0</v>
      </c>
      <c s="125">
        <f>SUMIF('Квартальная отчетность'!$E$10:$BM$10,YEAR(N$8),'Квартальная отчетность'!$E153:$BM153)</f>
        <v>0</v>
      </c>
      <c s="125">
        <f>SUMIF('Квартальная отчетность'!$E$10:$BM$10,YEAR(O$8),'Квартальная отчетность'!$E153:$BM153)</f>
        <v>0</v>
      </c>
      <c s="125">
        <f>SUMIF('Квартальная отчетность'!$E$10:$BM$10,YEAR(P$8),'Квартальная отчетность'!$E153:$BM153)</f>
        <v>0</v>
      </c>
      <c s="125">
        <f>SUMIF('Квартальная отчетность'!$E$10:$BM$10,YEAR(Q$8),'Квартальная отчетность'!$E153:$BM153)</f>
        <v>0</v>
      </c>
      <c s="125">
        <f>SUMIF('Квартальная отчетность'!$E$10:$BM$10,YEAR(R$8),'Квартальная отчетность'!$E153:$BM153)</f>
        <v>0</v>
      </c>
      <c s="125">
        <f>SUMIF('Квартальная отчетность'!$E$10:$BM$10,YEAR(S$8),'Квартальная отчетность'!$E153:$BM153)</f>
        <v>0</v>
      </c>
      <c s="125">
        <f>SUMIF('Квартальная отчетность'!$E$10:$BM$10,YEAR(T$8),'Квартальная отчетность'!$E153:$BM153)</f>
        <v>0</v>
      </c>
    </row>
    <row r="148" spans="2:20" ht="15" customHeight="1">
      <c r="B148" s="12" t="s">
        <v>1033</v>
      </c>
      <c s="124" t="s">
        <v>438</v>
      </c>
      <c s="276">
        <f>SUM(E148:T148)</f>
        <v>0</v>
      </c>
      <c s="125">
        <f>SUMIF('Квартальная отчетность'!$E$10:$AG$10,YEAR(E$8),'Квартальная отчетность'!$E154:$AG154)</f>
        <v>0</v>
      </c>
      <c s="125">
        <f>SUMIF('Квартальная отчетность'!$E$10:$AG$10,YEAR(F$8),'Квартальная отчетность'!$E154:$AG154)</f>
        <v>0</v>
      </c>
      <c s="125">
        <f>SUMIF('Квартальная отчетность'!$E$10:$BM$10,YEAR(G$8),'Квартальная отчетность'!$E154:$BM154)</f>
        <v>0</v>
      </c>
      <c s="125">
        <f>SUMIF('Квартальная отчетность'!$E$10:$BM$10,YEAR(H$8),'Квартальная отчетность'!$E154:$BM154)</f>
        <v>0</v>
      </c>
      <c s="125">
        <f>SUMIF('Квартальная отчетность'!$E$10:$BM$10,YEAR(I$8),'Квартальная отчетность'!$E154:$BM154)</f>
        <v>0</v>
      </c>
      <c s="125">
        <f>SUMIF('Квартальная отчетность'!$E$10:$BM$10,YEAR(J$8),'Квартальная отчетность'!$E154:$BM154)</f>
        <v>0</v>
      </c>
      <c s="125">
        <f>SUMIF('Квартальная отчетность'!$E$10:$BM$10,YEAR(K$8),'Квартальная отчетность'!$E154:$BM154)</f>
        <v>0</v>
      </c>
      <c s="125">
        <f>SUMIF('Квартальная отчетность'!$E$10:$BM$10,YEAR(L$8),'Квартальная отчетность'!$E154:$BM154)</f>
        <v>0</v>
      </c>
      <c s="125">
        <f>SUMIF('Квартальная отчетность'!$E$10:$BM$10,YEAR(M$8),'Квартальная отчетность'!$E154:$BM154)</f>
        <v>0</v>
      </c>
      <c s="125">
        <f>SUMIF('Квартальная отчетность'!$E$10:$BM$10,YEAR(N$8),'Квартальная отчетность'!$E154:$BM154)</f>
        <v>0</v>
      </c>
      <c s="125">
        <f>SUMIF('Квартальная отчетность'!$E$10:$BM$10,YEAR(O$8),'Квартальная отчетность'!$E154:$BM154)</f>
        <v>0</v>
      </c>
      <c s="125">
        <f>SUMIF('Квартальная отчетность'!$E$10:$BM$10,YEAR(P$8),'Квартальная отчетность'!$E154:$BM154)</f>
        <v>0</v>
      </c>
      <c s="125">
        <f>SUMIF('Квартальная отчетность'!$E$10:$BM$10,YEAR(Q$8),'Квартальная отчетность'!$E154:$BM154)</f>
        <v>0</v>
      </c>
      <c s="125">
        <f>SUMIF('Квартальная отчетность'!$E$10:$BM$10,YEAR(R$8),'Квартальная отчетность'!$E154:$BM154)</f>
        <v>0</v>
      </c>
      <c s="125">
        <f>SUMIF('Квартальная отчетность'!$E$10:$BM$10,YEAR(S$8),'Квартальная отчетность'!$E154:$BM154)</f>
        <v>0</v>
      </c>
      <c s="125">
        <f>SUMIF('Квартальная отчетность'!$E$10:$BM$10,YEAR(T$8),'Квартальная отчетность'!$E154:$BM154)</f>
        <v>0</v>
      </c>
    </row>
    <row r="149" spans="2:20" ht="15" customHeight="1">
      <c r="B149" s="289" t="s">
        <v>454</v>
      </c>
      <c s="290" t="s">
        <v>438</v>
      </c>
      <c s="291">
        <f t="shared" si="74" ref="D149:T149">SUM(D144:D148)</f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  <c s="276">
        <f t="shared" si="74"/>
        <v>0</v>
      </c>
    </row>
    <row r="150" ht="15" customHeight="1"/>
    <row r="151" spans="2:20" ht="15" customHeight="1">
      <c r="B151" s="292" t="s">
        <v>986</v>
      </c>
      <c s="293" t="s">
        <v>438</v>
      </c>
      <c s="291">
        <f t="shared" si="75" ref="D151:T151">SUM(D141,D149)</f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  <c s="291">
        <f t="shared" si="75"/>
        <v>0</v>
      </c>
    </row>
    <row r="152" ht="15" customHeight="1"/>
    <row r="153" spans="2:26" ht="21">
      <c r="B153" s="24" t="s">
        <v>987</v>
      </c>
      <c r="D15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4" spans="2:24" ht="14.45">
      <c r="B154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5" spans="2:20" ht="15" customHeight="1">
      <c r="B155" s="130" t="s">
        <v>1034</v>
      </c>
      <c s="124" t="s">
        <v>438</v>
      </c>
      <c s="276">
        <f>SUM(E155:T155)</f>
        <v>0</v>
      </c>
      <c s="125">
        <f>SUMIF('Квартальная отчетность'!$E$10:$BM$10,YEAR(E$8),'Квартальная отчетность'!$E161:$BM161)</f>
        <v>0</v>
      </c>
      <c s="125">
        <f>SUMIF('Квартальная отчетность'!$E$10:$BM$10,YEAR(F$8),'Квартальная отчетность'!$E161:$BM161)</f>
        <v>0</v>
      </c>
      <c s="125">
        <f>SUMIF('Квартальная отчетность'!$E$10:$BM$10,YEAR(G$8),'Квартальная отчетность'!$E161:$BM161)</f>
        <v>0</v>
      </c>
      <c s="125">
        <f>SUMIF('Квартальная отчетность'!$E$10:$BM$10,YEAR(H$8),'Квартальная отчетность'!$E161:$BM161)</f>
        <v>0</v>
      </c>
      <c s="125">
        <f>SUMIF('Квартальная отчетность'!$E$10:$BM$10,YEAR(I$8),'Квартальная отчетность'!$E161:$BM161)</f>
        <v>0</v>
      </c>
      <c s="125">
        <f>SUMIF('Квартальная отчетность'!$E$10:$BM$10,YEAR(J$8),'Квартальная отчетность'!$E161:$BM161)</f>
        <v>0</v>
      </c>
      <c s="125">
        <f>SUMIF('Квартальная отчетность'!$E$10:$BM$10,YEAR(K$8),'Квартальная отчетность'!$E161:$BM161)</f>
        <v>0</v>
      </c>
      <c s="125">
        <f>SUMIF('Квартальная отчетность'!$E$10:$BM$10,YEAR(L$8),'Квартальная отчетность'!$E161:$BM161)</f>
        <v>0</v>
      </c>
      <c s="125">
        <f>SUMIF('Квартальная отчетность'!$E$10:$BM$10,YEAR(M$8),'Квартальная отчетность'!$E161:$BM161)</f>
        <v>0</v>
      </c>
      <c s="125">
        <f>SUMIF('Квартальная отчетность'!$E$10:$BM$10,YEAR(N$8),'Квартальная отчетность'!$E161:$BM161)</f>
        <v>0</v>
      </c>
      <c s="125">
        <f>SUMIF('Квартальная отчетность'!$E$10:$BM$10,YEAR(O$8),'Квартальная отчетность'!$E161:$BM161)</f>
        <v>0</v>
      </c>
      <c s="125">
        <f>SUMIF('Квартальная отчетность'!$E$10:$BM$10,YEAR(P$8),'Квартальная отчетность'!$E161:$BM161)</f>
        <v>0</v>
      </c>
      <c s="125">
        <f>SUMIF('Квартальная отчетность'!$E$10:$BM$10,YEAR(Q$8),'Квартальная отчетность'!$E161:$BM161)</f>
        <v>0</v>
      </c>
      <c s="125">
        <f>SUMIF('Квартальная отчетность'!$E$10:$BM$10,YEAR(R$8),'Квартальная отчетность'!$E161:$BM161)</f>
        <v>0</v>
      </c>
      <c s="125">
        <f>SUMIF('Квартальная отчетность'!$E$10:$BM$10,YEAR(S$8),'Квартальная отчетность'!$E161:$BM161)</f>
        <v>0</v>
      </c>
      <c s="125">
        <f>SUMIF('Квартальная отчетность'!$E$10:$BM$10,YEAR(T$8),'Квартальная отчетность'!$E161:$BM161)</f>
        <v>0</v>
      </c>
    </row>
    <row r="156" spans="2:20" ht="15" customHeight="1">
      <c r="B156" s="12" t="s">
        <v>1035</v>
      </c>
      <c s="124" t="s">
        <v>438</v>
      </c>
      <c s="276">
        <f>SUM(E156:T156)</f>
        <v>0</v>
      </c>
      <c s="125">
        <f>SUMIF('Квартальная отчетность'!$E$10:$BM$10,YEAR(E$8),'Квартальная отчетность'!$E162:$BM162)</f>
        <v>0</v>
      </c>
      <c s="125">
        <f>SUMIF('Квартальная отчетность'!$E$10:$BM$10,YEAR(F$8),'Квартальная отчетность'!$E162:$BM162)</f>
        <v>0</v>
      </c>
      <c s="125">
        <f>SUMIF('Квартальная отчетность'!$E$10:$BM$10,YEAR(G$8),'Квартальная отчетность'!$E162:$BM162)</f>
        <v>0</v>
      </c>
      <c s="125">
        <f>SUMIF('Квартальная отчетность'!$E$10:$BM$10,YEAR(H$8),'Квартальная отчетность'!$E162:$BM162)</f>
        <v>0</v>
      </c>
      <c s="125">
        <f>SUMIF('Квартальная отчетность'!$E$10:$BM$10,YEAR(I$8),'Квартальная отчетность'!$E162:$BM162)</f>
        <v>0</v>
      </c>
      <c s="125">
        <f>SUMIF('Квартальная отчетность'!$E$10:$BM$10,YEAR(J$8),'Квартальная отчетность'!$E162:$BM162)</f>
        <v>0</v>
      </c>
      <c s="125">
        <f>SUMIF('Квартальная отчетность'!$E$10:$BM$10,YEAR(K$8),'Квартальная отчетность'!$E162:$BM162)</f>
        <v>0</v>
      </c>
      <c s="125">
        <f>SUMIF('Квартальная отчетность'!$E$10:$BM$10,YEAR(L$8),'Квартальная отчетность'!$E162:$BM162)</f>
        <v>0</v>
      </c>
      <c s="125">
        <f>SUMIF('Квартальная отчетность'!$E$10:$BM$10,YEAR(M$8),'Квартальная отчетность'!$E162:$BM162)</f>
        <v>0</v>
      </c>
      <c s="125">
        <f>SUMIF('Квартальная отчетность'!$E$10:$BM$10,YEAR(N$8),'Квартальная отчетность'!$E162:$BM162)</f>
        <v>0</v>
      </c>
      <c s="125">
        <f>SUMIF('Квартальная отчетность'!$E$10:$BM$10,YEAR(O$8),'Квартальная отчетность'!$E162:$BM162)</f>
        <v>0</v>
      </c>
      <c s="125">
        <f>SUMIF('Квартальная отчетность'!$E$10:$BM$10,YEAR(P$8),'Квартальная отчетность'!$E162:$BM162)</f>
        <v>0</v>
      </c>
      <c s="125">
        <f>SUMIF('Квартальная отчетность'!$E$10:$BM$10,YEAR(Q$8),'Квартальная отчетность'!$E162:$BM162)</f>
        <v>0</v>
      </c>
      <c s="125">
        <f>SUMIF('Квартальная отчетность'!$E$10:$BM$10,YEAR(R$8),'Квартальная отчетность'!$E162:$BM162)</f>
        <v>0</v>
      </c>
      <c s="125">
        <f>SUMIF('Квартальная отчетность'!$E$10:$BM$10,YEAR(S$8),'Квартальная отчетность'!$E162:$BM162)</f>
        <v>0</v>
      </c>
      <c s="125">
        <f>SUMIF('Квартальная отчетность'!$E$10:$BM$10,YEAR(T$8),'Квартальная отчетность'!$E162:$BM162)</f>
        <v>0</v>
      </c>
    </row>
    <row r="157" spans="2:20" ht="15" customHeight="1">
      <c r="B157" s="12" t="s">
        <v>1036</v>
      </c>
      <c s="124" t="s">
        <v>438</v>
      </c>
      <c s="276">
        <f>SUM(E157:T157)</f>
        <v>0</v>
      </c>
      <c s="125">
        <f>SUMIF('Квартальная отчетность'!$E$10:$BM$10,YEAR(E$8),'Квартальная отчетность'!$E163:$BM163)</f>
        <v>0</v>
      </c>
      <c s="125">
        <f>SUMIF('Квартальная отчетность'!$E$10:$BM$10,YEAR(F$8),'Квартальная отчетность'!$E163:$BM163)</f>
        <v>0</v>
      </c>
      <c s="125">
        <f>SUMIF('Квартальная отчетность'!$E$10:$BM$10,YEAR(G$8),'Квартальная отчетность'!$E163:$BM163)</f>
        <v>0</v>
      </c>
      <c s="125">
        <f>SUMIF('Квартальная отчетность'!$E$10:$BM$10,YEAR(H$8),'Квартальная отчетность'!$E163:$BM163)</f>
        <v>0</v>
      </c>
      <c s="125">
        <f>SUMIF('Квартальная отчетность'!$E$10:$BM$10,YEAR(I$8),'Квартальная отчетность'!$E163:$BM163)</f>
        <v>0</v>
      </c>
      <c s="125">
        <f>SUMIF('Квартальная отчетность'!$E$10:$BM$10,YEAR(J$8),'Квартальная отчетность'!$E163:$BM163)</f>
        <v>0</v>
      </c>
      <c s="125">
        <f>SUMIF('Квартальная отчетность'!$E$10:$BM$10,YEAR(K$8),'Квартальная отчетность'!$E163:$BM163)</f>
        <v>0</v>
      </c>
      <c s="125">
        <f>SUMIF('Квартальная отчетность'!$E$10:$BM$10,YEAR(L$8),'Квартальная отчетность'!$E163:$BM163)</f>
        <v>0</v>
      </c>
      <c s="125">
        <f>SUMIF('Квартальная отчетность'!$E$10:$BM$10,YEAR(M$8),'Квартальная отчетность'!$E163:$BM163)</f>
        <v>0</v>
      </c>
      <c s="125">
        <f>SUMIF('Квартальная отчетность'!$E$10:$BM$10,YEAR(N$8),'Квартальная отчетность'!$E163:$BM163)</f>
        <v>0</v>
      </c>
      <c s="125">
        <f>SUMIF('Квартальная отчетность'!$E$10:$BM$10,YEAR(O$8),'Квартальная отчетность'!$E163:$BM163)</f>
        <v>0</v>
      </c>
      <c s="125">
        <f>SUMIF('Квартальная отчетность'!$E$10:$BM$10,YEAR(P$8),'Квартальная отчетность'!$E163:$BM163)</f>
        <v>0</v>
      </c>
      <c s="125">
        <f>SUMIF('Квартальная отчетность'!$E$10:$BM$10,YEAR(Q$8),'Квартальная отчетность'!$E163:$BM163)</f>
        <v>0</v>
      </c>
      <c s="125">
        <f>SUMIF('Квартальная отчетность'!$E$10:$BM$10,YEAR(R$8),'Квартальная отчетность'!$E163:$BM163)</f>
        <v>0</v>
      </c>
      <c s="125">
        <f>SUMIF('Квартальная отчетность'!$E$10:$BM$10,YEAR(S$8),'Квартальная отчетность'!$E163:$BM163)</f>
        <v>0</v>
      </c>
      <c s="125">
        <f>SUMIF('Квартальная отчетность'!$E$10:$BM$10,YEAR(T$8),'Квартальная отчетность'!$E163:$BM163)</f>
        <v>0</v>
      </c>
    </row>
    <row r="158" spans="2:20" ht="15" customHeight="1">
      <c r="B158" s="12" t="s">
        <v>1037</v>
      </c>
      <c s="124" t="s">
        <v>438</v>
      </c>
      <c s="276">
        <f>SUM(E158:T158)</f>
        <v>0</v>
      </c>
      <c s="125">
        <f>SUMIF('Квартальная отчетность'!$E$10:$BM$10,YEAR(E$8),'Квартальная отчетность'!$E164:$BM164)</f>
        <v>0</v>
      </c>
      <c s="125">
        <f>SUMIF('Квартальная отчетность'!$E$10:$BM$10,YEAR(F$8),'Квартальная отчетность'!$E164:$BM164)</f>
        <v>0</v>
      </c>
      <c s="125">
        <f>SUMIF('Квартальная отчетность'!$E$10:$BM$10,YEAR(G$8),'Квартальная отчетность'!$E164:$BM164)</f>
        <v>0</v>
      </c>
      <c s="125">
        <f>SUMIF('Квартальная отчетность'!$E$10:$BM$10,YEAR(H$8),'Квартальная отчетность'!$E164:$BM164)</f>
        <v>0</v>
      </c>
      <c s="125">
        <f>SUMIF('Квартальная отчетность'!$E$10:$BM$10,YEAR(I$8),'Квартальная отчетность'!$E164:$BM164)</f>
        <v>0</v>
      </c>
      <c s="125">
        <f>SUMIF('Квартальная отчетность'!$E$10:$BM$10,YEAR(J$8),'Квартальная отчетность'!$E164:$BM164)</f>
        <v>0</v>
      </c>
      <c s="125">
        <f>SUMIF('Квартальная отчетность'!$E$10:$BM$10,YEAR(K$8),'Квартальная отчетность'!$E164:$BM164)</f>
        <v>0</v>
      </c>
      <c s="125">
        <f>SUMIF('Квартальная отчетность'!$E$10:$BM$10,YEAR(L$8),'Квартальная отчетность'!$E164:$BM164)</f>
        <v>0</v>
      </c>
      <c s="125">
        <f>SUMIF('Квартальная отчетность'!$E$10:$BM$10,YEAR(M$8),'Квартальная отчетность'!$E164:$BM164)</f>
        <v>0</v>
      </c>
      <c s="125">
        <f>SUMIF('Квартальная отчетность'!$E$10:$BM$10,YEAR(N$8),'Квартальная отчетность'!$E164:$BM164)</f>
        <v>0</v>
      </c>
      <c s="125">
        <f>SUMIF('Квартальная отчетность'!$E$10:$BM$10,YEAR(O$8),'Квартальная отчетность'!$E164:$BM164)</f>
        <v>0</v>
      </c>
      <c s="125">
        <f>SUMIF('Квартальная отчетность'!$E$10:$BM$10,YEAR(P$8),'Квартальная отчетность'!$E164:$BM164)</f>
        <v>0</v>
      </c>
      <c s="125">
        <f>SUMIF('Квартальная отчетность'!$E$10:$BM$10,YEAR(Q$8),'Квартальная отчетность'!$E164:$BM164)</f>
        <v>0</v>
      </c>
      <c s="125">
        <f>SUMIF('Квартальная отчетность'!$E$10:$BM$10,YEAR(R$8),'Квартальная отчетность'!$E164:$BM164)</f>
        <v>0</v>
      </c>
      <c s="125">
        <f>SUMIF('Квартальная отчетность'!$E$10:$BM$10,YEAR(S$8),'Квартальная отчетность'!$E164:$BM164)</f>
        <v>0</v>
      </c>
      <c s="125">
        <f>SUMIF('Квартальная отчетность'!$E$10:$BM$10,YEAR(T$8),'Квартальная отчетность'!$E164:$BM164)</f>
        <v>0</v>
      </c>
    </row>
    <row r="159" spans="2:20" ht="15" customHeight="1">
      <c r="B159" s="12" t="s">
        <v>1029</v>
      </c>
      <c s="124" t="s">
        <v>438</v>
      </c>
      <c s="276">
        <f>SUM(E159:T159)</f>
        <v>0</v>
      </c>
      <c s="125">
        <f>SUMIF('Квартальная отчетность'!$E$10:$BM$10,YEAR(E$8),'Квартальная отчетность'!$E165:$BM165)</f>
        <v>0</v>
      </c>
      <c s="125">
        <f>SUMIF('Квартальная отчетность'!$E$10:$BM$10,YEAR(F$8),'Квартальная отчетность'!$E165:$BM165)</f>
        <v>0</v>
      </c>
      <c s="125">
        <f>SUMIF('Квартальная отчетность'!$E$10:$BM$10,YEAR(G$8),'Квартальная отчетность'!$E165:$BM165)</f>
        <v>0</v>
      </c>
      <c s="125">
        <f>SUMIF('Квартальная отчетность'!$E$10:$BM$10,YEAR(H$8),'Квартальная отчетность'!$E165:$BM165)</f>
        <v>0</v>
      </c>
      <c s="125">
        <f>SUMIF('Квартальная отчетность'!$E$10:$BM$10,YEAR(I$8),'Квартальная отчетность'!$E165:$BM165)</f>
        <v>0</v>
      </c>
      <c s="125">
        <f>SUMIF('Квартальная отчетность'!$E$10:$BM$10,YEAR(J$8),'Квартальная отчетность'!$E165:$BM165)</f>
        <v>0</v>
      </c>
      <c s="125">
        <f>SUMIF('Квартальная отчетность'!$E$10:$BM$10,YEAR(K$8),'Квартальная отчетность'!$E165:$BM165)</f>
        <v>0</v>
      </c>
      <c s="125">
        <f>SUMIF('Квартальная отчетность'!$E$10:$BM$10,YEAR(L$8),'Квартальная отчетность'!$E165:$BM165)</f>
        <v>0</v>
      </c>
      <c s="125">
        <f>SUMIF('Квартальная отчетность'!$E$10:$BM$10,YEAR(M$8),'Квартальная отчетность'!$E165:$BM165)</f>
        <v>0</v>
      </c>
      <c s="125">
        <f>SUMIF('Квартальная отчетность'!$E$10:$BM$10,YEAR(N$8),'Квартальная отчетность'!$E165:$BM165)</f>
        <v>0</v>
      </c>
      <c s="125">
        <f>SUMIF('Квартальная отчетность'!$E$10:$BM$10,YEAR(O$8),'Квартальная отчетность'!$E165:$BM165)</f>
        <v>0</v>
      </c>
      <c s="125">
        <f>SUMIF('Квартальная отчетность'!$E$10:$BM$10,YEAR(P$8),'Квартальная отчетность'!$E165:$BM165)</f>
        <v>0</v>
      </c>
      <c s="125">
        <f>SUMIF('Квартальная отчетность'!$E$10:$BM$10,YEAR(Q$8),'Квартальная отчетность'!$E165:$BM165)</f>
        <v>0</v>
      </c>
      <c s="125">
        <f>SUMIF('Квартальная отчетность'!$E$10:$BM$10,YEAR(R$8),'Квартальная отчетность'!$E165:$BM165)</f>
        <v>0</v>
      </c>
      <c s="125">
        <f>SUMIF('Квартальная отчетность'!$E$10:$BM$10,YEAR(S$8),'Квартальная отчетность'!$E165:$BM165)</f>
        <v>0</v>
      </c>
      <c s="125">
        <f>SUMIF('Квартальная отчетность'!$E$10:$BM$10,YEAR(T$8),'Квартальная отчетность'!$E165:$BM165)</f>
        <v>0</v>
      </c>
    </row>
    <row r="160" spans="2:20" ht="15" customHeight="1">
      <c r="B160" s="289" t="s">
        <v>454</v>
      </c>
      <c s="290" t="s">
        <v>438</v>
      </c>
      <c s="291">
        <f t="shared" si="76" ref="D160">SUM(D155:D159)</f>
        <v>0</v>
      </c>
      <c s="276">
        <f t="shared" si="77" ref="E160:T160">SUM(E155:E159)</f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  <c s="276">
        <f t="shared" si="77"/>
        <v>0</v>
      </c>
    </row>
    <row r="161" ht="15" customHeight="1"/>
    <row r="162" spans="2:24" ht="14.45">
      <c r="B162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3" spans="2:20" ht="15" customHeight="1">
      <c r="B163" s="12" t="s">
        <v>1083</v>
      </c>
      <c s="124" t="s">
        <v>438</v>
      </c>
      <c s="276">
        <f ca="1">SUM(E163:T163)</f>
        <v>0</v>
      </c>
      <c s="125">
        <f ca="1">SUMIF('Квартальная отчетность'!$E$10:$BM$10,YEAR(E$8),'Квартальная отчетность'!$E169:$BM169)</f>
        <v>0</v>
      </c>
      <c s="125">
        <f ca="1">SUMIF('Квартальная отчетность'!$E$10:$BM$10,YEAR(F$8),'Квартальная отчетность'!$E169:$BM169)</f>
        <v>0</v>
      </c>
      <c s="125">
        <f ca="1">SUMIF('Квартальная отчетность'!$E$10:$BM$10,YEAR(G$8),'Квартальная отчетность'!$E169:$BM169)</f>
        <v>0</v>
      </c>
      <c s="125">
        <f ca="1">SUMIF('Квартальная отчетность'!$E$10:$BM$10,YEAR(H$8),'Квартальная отчетность'!$E169:$BM169)</f>
        <v>0</v>
      </c>
      <c s="125">
        <f ca="1">SUMIF('Квартальная отчетность'!$E$10:$BM$10,YEAR(I$8),'Квартальная отчетность'!$E169:$BM169)</f>
        <v>0</v>
      </c>
      <c s="125">
        <f ca="1">SUMIF('Квартальная отчетность'!$E$10:$BM$10,YEAR(J$8),'Квартальная отчетность'!$E169:$BM169)</f>
        <v>0</v>
      </c>
      <c s="125">
        <f ca="1">SUMIF('Квартальная отчетность'!$E$10:$BM$10,YEAR(K$8),'Квартальная отчетность'!$E169:$BM169)</f>
        <v>0</v>
      </c>
      <c s="125">
        <f ca="1">SUMIF('Квартальная отчетность'!$E$10:$BM$10,YEAR(L$8),'Квартальная отчетность'!$E169:$BM169)</f>
        <v>0</v>
      </c>
      <c s="125">
        <f ca="1">SUMIF('Квартальная отчетность'!$E$10:$BM$10,YEAR(M$8),'Квартальная отчетность'!$E169:$BM169)</f>
        <v>0</v>
      </c>
      <c s="125">
        <f ca="1">SUMIF('Квартальная отчетность'!$E$10:$BM$10,YEAR(N$8),'Квартальная отчетность'!$E169:$BM169)</f>
        <v>0</v>
      </c>
      <c s="125">
        <f ca="1">SUMIF('Квартальная отчетность'!$E$10:$BM$10,YEAR(O$8),'Квартальная отчетность'!$E169:$BM169)</f>
        <v>0</v>
      </c>
      <c s="125">
        <f ca="1">SUMIF('Квартальная отчетность'!$E$10:$BM$10,YEAR(P$8),'Квартальная отчетность'!$E169:$BM169)</f>
        <v>0</v>
      </c>
      <c s="125">
        <f ca="1">SUMIF('Квартальная отчетность'!$E$10:$BM$10,YEAR(Q$8),'Квартальная отчетность'!$E169:$BM169)</f>
        <v>0</v>
      </c>
      <c s="125">
        <f ca="1">SUMIF('Квартальная отчетность'!$E$10:$BM$10,YEAR(R$8),'Квартальная отчетность'!$E169:$BM169)</f>
        <v>0</v>
      </c>
      <c s="125">
        <f ca="1">SUMIF('Квартальная отчетность'!$E$10:$BM$10,YEAR(S$8),'Квартальная отчетность'!$E169:$BM169)</f>
        <v>0</v>
      </c>
      <c s="125">
        <f ca="1">SUMIF('Квартальная отчетность'!$E$10:$BM$10,YEAR(T$8),'Квартальная отчетность'!$E169:$BM169)</f>
        <v>0</v>
      </c>
    </row>
    <row r="164" spans="2:20" ht="15" customHeight="1">
      <c r="B164" s="12" t="s">
        <v>988</v>
      </c>
      <c s="124" t="s">
        <v>438</v>
      </c>
      <c s="276">
        <f>SUM(E164:T164)</f>
        <v>0</v>
      </c>
      <c s="125">
        <f>SUMIF('Квартальная отчетность'!$E$10:$BM$10,YEAR(E$8),'Квартальная отчетность'!$E170:$BM170)</f>
        <v>0</v>
      </c>
      <c s="125">
        <f>SUMIF('Квартальная отчетность'!$E$10:$BM$10,YEAR(F$8),'Квартальная отчетность'!$E170:$BM170)</f>
        <v>0</v>
      </c>
      <c s="125">
        <f>SUMIF('Квартальная отчетность'!$E$10:$BM$10,YEAR(G$8),'Квартальная отчетность'!$E170:$BM170)</f>
        <v>0</v>
      </c>
      <c s="125">
        <f>SUMIF('Квартальная отчетность'!$E$10:$BM$10,YEAR(H$8),'Квартальная отчетность'!$E170:$BM170)</f>
        <v>0</v>
      </c>
      <c s="125">
        <f>SUMIF('Квартальная отчетность'!$E$10:$BM$10,YEAR(I$8),'Квартальная отчетность'!$E170:$BM170)</f>
        <v>0</v>
      </c>
      <c s="125">
        <f>SUMIF('Квартальная отчетность'!$E$10:$BM$10,YEAR(J$8),'Квартальная отчетность'!$E170:$BM170)</f>
        <v>0</v>
      </c>
      <c s="125">
        <f>SUMIF('Квартальная отчетность'!$E$10:$BM$10,YEAR(K$8),'Квартальная отчетность'!$E170:$BM170)</f>
        <v>0</v>
      </c>
      <c s="125">
        <f>SUMIF('Квартальная отчетность'!$E$10:$BM$10,YEAR(L$8),'Квартальная отчетность'!$E170:$BM170)</f>
        <v>0</v>
      </c>
      <c s="125">
        <f>SUMIF('Квартальная отчетность'!$E$10:$BM$10,YEAR(M$8),'Квартальная отчетность'!$E170:$BM170)</f>
        <v>0</v>
      </c>
      <c s="125">
        <f>SUMIF('Квартальная отчетность'!$E$10:$BM$10,YEAR(N$8),'Квартальная отчетность'!$E170:$BM170)</f>
        <v>0</v>
      </c>
      <c s="125">
        <f>SUMIF('Квартальная отчетность'!$E$10:$BM$10,YEAR(O$8),'Квартальная отчетность'!$E170:$BM170)</f>
        <v>0</v>
      </c>
      <c s="125">
        <f>SUMIF('Квартальная отчетность'!$E$10:$BM$10,YEAR(P$8),'Квартальная отчетность'!$E170:$BM170)</f>
        <v>0</v>
      </c>
      <c s="125">
        <f>SUMIF('Квартальная отчетность'!$E$10:$BM$10,YEAR(Q$8),'Квартальная отчетность'!$E170:$BM170)</f>
        <v>0</v>
      </c>
      <c s="125">
        <f>SUMIF('Квартальная отчетность'!$E$10:$BM$10,YEAR(R$8),'Квартальная отчетность'!$E170:$BM170)</f>
        <v>0</v>
      </c>
      <c s="125">
        <f>SUMIF('Квартальная отчетность'!$E$10:$BM$10,YEAR(S$8),'Квартальная отчетность'!$E170:$BM170)</f>
        <v>0</v>
      </c>
      <c s="125">
        <f>SUMIF('Квартальная отчетность'!$E$10:$BM$10,YEAR(T$8),'Квартальная отчетность'!$E170:$BM170)</f>
        <v>0</v>
      </c>
    </row>
    <row r="165" spans="2:20" ht="15" customHeight="1">
      <c r="B165" s="12" t="s">
        <v>1039</v>
      </c>
      <c s="124" t="s">
        <v>438</v>
      </c>
      <c s="276">
        <f>SUM(E165:L165)</f>
        <v>0</v>
      </c>
      <c s="125">
        <f>SUMIF('Квартальная отчетность'!$E$10:$BM$10,YEAR(E$8),'Квартальная отчетность'!$E171:$BM171)</f>
        <v>0</v>
      </c>
      <c s="125">
        <f>SUMIF('Квартальная отчетность'!$E$10:$BM$10,YEAR(F$8),'Квартальная отчетность'!$E171:$BM171)</f>
        <v>0</v>
      </c>
      <c s="125">
        <f>SUMIF('Квартальная отчетность'!$E$10:$BM$10,YEAR(G$8),'Квартальная отчетность'!$E171:$BM171)</f>
        <v>0</v>
      </c>
      <c s="125">
        <f>SUMIF('Квартальная отчетность'!$E$10:$BM$10,YEAR(H$8),'Квартальная отчетность'!$E171:$BM171)</f>
        <v>0</v>
      </c>
      <c s="125">
        <f>SUMIF('Квартальная отчетность'!$E$10:$BM$10,YEAR(I$8),'Квартальная отчетность'!$E171:$BM171)</f>
        <v>0</v>
      </c>
      <c s="125">
        <f>SUMIF('Квартальная отчетность'!$E$10:$BM$10,YEAR(J$8),'Квартальная отчетность'!$E171:$BM171)</f>
        <v>0</v>
      </c>
      <c s="125">
        <f>SUMIF('Квартальная отчетность'!$E$10:$BM$10,YEAR(K$8),'Квартальная отчетность'!$E171:$BM171)</f>
        <v>0</v>
      </c>
      <c s="125">
        <f>SUMIF('Квартальная отчетность'!$E$10:$BM$10,YEAR(L$8),'Квартальная отчетность'!$E171:$BM171)</f>
        <v>0</v>
      </c>
      <c s="125">
        <f>SUMIF('Квартальная отчетность'!$E$10:$BM$10,YEAR(M$8),'Квартальная отчетность'!$E171:$BM171)</f>
        <v>0</v>
      </c>
      <c s="125">
        <f>SUMIF('Квартальная отчетность'!$E$10:$BM$10,YEAR(N$8),'Квартальная отчетность'!$E171:$BM171)</f>
        <v>0</v>
      </c>
      <c s="125">
        <f>SUMIF('Квартальная отчетность'!$E$10:$BM$10,YEAR(O$8),'Квартальная отчетность'!$E171:$BM171)</f>
        <v>0</v>
      </c>
      <c s="125">
        <f>SUMIF('Квартальная отчетность'!$E$10:$BM$10,YEAR(P$8),'Квартальная отчетность'!$E171:$BM171)</f>
        <v>0</v>
      </c>
      <c s="125">
        <f>SUMIF('Квартальная отчетность'!$E$10:$BM$10,YEAR(Q$8),'Квартальная отчетность'!$E171:$BM171)</f>
        <v>0</v>
      </c>
      <c s="125">
        <f>SUMIF('Квартальная отчетность'!$E$10:$BM$10,YEAR(R$8),'Квартальная отчетность'!$E171:$BM171)</f>
        <v>0</v>
      </c>
      <c s="125">
        <f>SUMIF('Квартальная отчетность'!$E$10:$BM$10,YEAR(S$8),'Квартальная отчетность'!$E171:$BM171)</f>
        <v>0</v>
      </c>
      <c s="125">
        <f>SUMIF('Квартальная отчетность'!$E$10:$BM$10,YEAR(T$8),'Квартальная отчетность'!$E171:$BM171)</f>
        <v>0</v>
      </c>
    </row>
    <row r="166" spans="2:20" ht="15" customHeight="1">
      <c r="B166" s="12" t="s">
        <v>1040</v>
      </c>
      <c s="124" t="s">
        <v>438</v>
      </c>
      <c s="276">
        <f>SUM(E166:L166)</f>
        <v>0</v>
      </c>
      <c s="125">
        <f>SUMIF('Квартальная отчетность'!$E$10:$BM$10,YEAR(E$8),'Квартальная отчетность'!$E172:$BM172)</f>
        <v>0</v>
      </c>
      <c s="125">
        <f>SUMIF('Квартальная отчетность'!$E$10:$BM$10,YEAR(F$8),'Квартальная отчетность'!$E172:$BM172)</f>
        <v>0</v>
      </c>
      <c s="125">
        <f>SUMIF('Квартальная отчетность'!$E$10:$BM$10,YEAR(G$8),'Квартальная отчетность'!$E172:$BM172)</f>
        <v>0</v>
      </c>
      <c s="125">
        <f>SUMIF('Квартальная отчетность'!$E$10:$BM$10,YEAR(H$8),'Квартальная отчетность'!$E172:$BM172)</f>
        <v>0</v>
      </c>
      <c s="125">
        <f>SUMIF('Квартальная отчетность'!$E$10:$BM$10,YEAR(I$8),'Квартальная отчетность'!$E172:$BM172)</f>
        <v>0</v>
      </c>
      <c s="125">
        <f>SUMIF('Квартальная отчетность'!$E$10:$BM$10,YEAR(J$8),'Квартальная отчетность'!$E172:$BM172)</f>
        <v>0</v>
      </c>
      <c s="125">
        <f>SUMIF('Квартальная отчетность'!$E$10:$BM$10,YEAR(K$8),'Квартальная отчетность'!$E172:$BM172)</f>
        <v>0</v>
      </c>
      <c s="125">
        <f>SUMIF('Квартальная отчетность'!$E$10:$BM$10,YEAR(L$8),'Квартальная отчетность'!$E172:$BM172)</f>
        <v>0</v>
      </c>
      <c s="125">
        <f>SUMIF('Квартальная отчетность'!$E$10:$BM$10,YEAR(M$8),'Квартальная отчетность'!$E172:$BM172)</f>
        <v>0</v>
      </c>
      <c s="125">
        <f>SUMIF('Квартальная отчетность'!$E$10:$BM$10,YEAR(N$8),'Квартальная отчетность'!$E172:$BM172)</f>
        <v>0</v>
      </c>
      <c s="125">
        <f>SUMIF('Квартальная отчетность'!$E$10:$BM$10,YEAR(O$8),'Квартальная отчетность'!$E172:$BM172)</f>
        <v>0</v>
      </c>
      <c s="125">
        <f>SUMIF('Квартальная отчетность'!$E$10:$BM$10,YEAR(P$8),'Квартальная отчетность'!$E172:$BM172)</f>
        <v>0</v>
      </c>
      <c s="125">
        <f>SUMIF('Квартальная отчетность'!$E$10:$BM$10,YEAR(Q$8),'Квартальная отчетность'!$E172:$BM172)</f>
        <v>0</v>
      </c>
      <c s="125">
        <f>SUMIF('Квартальная отчетность'!$E$10:$BM$10,YEAR(R$8),'Квартальная отчетность'!$E172:$BM172)</f>
        <v>0</v>
      </c>
      <c s="125">
        <f>SUMIF('Квартальная отчетность'!$E$10:$BM$10,YEAR(S$8),'Квартальная отчетность'!$E172:$BM172)</f>
        <v>0</v>
      </c>
      <c s="125">
        <f>SUMIF('Квартальная отчетность'!$E$10:$BM$10,YEAR(T$8),'Квартальная отчетность'!$E172:$BM172)</f>
        <v>0</v>
      </c>
    </row>
    <row r="167" spans="2:20" ht="15" customHeight="1">
      <c r="B167" s="12" t="s">
        <v>1033</v>
      </c>
      <c s="124" t="s">
        <v>438</v>
      </c>
      <c s="276">
        <f>SUM(E167:L167)</f>
        <v>0</v>
      </c>
      <c s="125">
        <f>SUMIF('Квартальная отчетность'!$E$10:$BM$10,YEAR(E$8),'Квартальная отчетность'!$E173:$BM173)</f>
        <v>0</v>
      </c>
      <c s="125">
        <f>SUMIF('Квартальная отчетность'!$E$10:$BM$10,YEAR(F$8),'Квартальная отчетность'!$E173:$BM173)</f>
        <v>0</v>
      </c>
      <c s="125">
        <f>SUMIF('Квартальная отчетность'!$E$10:$BM$10,YEAR(G$8),'Квартальная отчетность'!$E173:$BM173)</f>
        <v>0</v>
      </c>
      <c s="125">
        <f>SUMIF('Квартальная отчетность'!$E$10:$BM$10,YEAR(H$8),'Квартальная отчетность'!$E173:$BM173)</f>
        <v>0</v>
      </c>
      <c s="125">
        <f>SUMIF('Квартальная отчетность'!$E$10:$BM$10,YEAR(I$8),'Квартальная отчетность'!$E173:$BM173)</f>
        <v>0</v>
      </c>
      <c s="125">
        <f>SUMIF('Квартальная отчетность'!$E$10:$BM$10,YEAR(J$8),'Квартальная отчетность'!$E173:$BM173)</f>
        <v>0</v>
      </c>
      <c s="125">
        <f>SUMIF('Квартальная отчетность'!$E$10:$BM$10,YEAR(K$8),'Квартальная отчетность'!$E173:$BM173)</f>
        <v>0</v>
      </c>
      <c s="125">
        <f>SUMIF('Квартальная отчетность'!$E$10:$BM$10,YEAR(L$8),'Квартальная отчетность'!$E173:$BM173)</f>
        <v>0</v>
      </c>
      <c s="125">
        <f>SUMIF('Квартальная отчетность'!$E$10:$BM$10,YEAR(M$8),'Квартальная отчетность'!$E173:$BM173)</f>
        <v>0</v>
      </c>
      <c s="125">
        <f>SUMIF('Квартальная отчетность'!$E$10:$BM$10,YEAR(N$8),'Квартальная отчетность'!$E173:$BM173)</f>
        <v>0</v>
      </c>
      <c s="125">
        <f>SUMIF('Квартальная отчетность'!$E$10:$BM$10,YEAR(O$8),'Квартальная отчетность'!$E173:$BM173)</f>
        <v>0</v>
      </c>
      <c s="125">
        <f>SUMIF('Квартальная отчетность'!$E$10:$BM$10,YEAR(P$8),'Квартальная отчетность'!$E173:$BM173)</f>
        <v>0</v>
      </c>
      <c s="125">
        <f>SUMIF('Квартальная отчетность'!$E$10:$BM$10,YEAR(Q$8),'Квартальная отчетность'!$E173:$BM173)</f>
        <v>0</v>
      </c>
      <c s="125">
        <f>SUMIF('Квартальная отчетность'!$E$10:$BM$10,YEAR(R$8),'Квартальная отчетность'!$E173:$BM173)</f>
        <v>0</v>
      </c>
      <c s="125">
        <f>SUMIF('Квартальная отчетность'!$E$10:$BM$10,YEAR(S$8),'Квартальная отчетность'!$E173:$BM173)</f>
        <v>0</v>
      </c>
      <c s="125">
        <f>SUMIF('Квартальная отчетность'!$E$10:$BM$10,YEAR(T$8),'Квартальная отчетность'!$E173:$BM173)</f>
        <v>0</v>
      </c>
    </row>
    <row r="168" spans="2:20" ht="15" customHeight="1">
      <c r="B168" s="289" t="s">
        <v>454</v>
      </c>
      <c s="290" t="s">
        <v>438</v>
      </c>
      <c s="291">
        <f t="shared" si="78" ref="D168">SUM(D164:D167)</f>
        <v>0</v>
      </c>
      <c s="276">
        <f ca="1">SUM(E163:E167)</f>
        <v>0</v>
      </c>
      <c s="276">
        <f ca="1" t="shared" si="79" ref="F168:T168">SUM(F163:F167)</f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  <c s="276">
        <f t="shared" ca="1" si="79"/>
        <v>0</v>
      </c>
    </row>
    <row r="169" ht="15" customHeight="1"/>
    <row r="170" spans="2:20" ht="15" customHeight="1">
      <c r="B170" s="292" t="s">
        <v>989</v>
      </c>
      <c s="293" t="s">
        <v>438</v>
      </c>
      <c s="291">
        <f t="shared" si="80" ref="D170:T170">SUM(D160,D168)</f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  <c s="291">
        <f t="shared" si="80"/>
        <v>0</v>
      </c>
    </row>
    <row r="171" ht="15" customHeight="1"/>
    <row r="172" spans="2:26" ht="21">
      <c r="B172" s="24" t="s">
        <v>990</v>
      </c>
      <c r="D17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3" spans="2:24" ht="14.45">
      <c r="B173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4" spans="2:20" ht="15" customHeight="1">
      <c r="B174" s="12" t="s">
        <v>991</v>
      </c>
      <c s="124" t="s">
        <v>438</v>
      </c>
      <c s="276">
        <f>SUM(E174:T174)</f>
        <v>0</v>
      </c>
      <c s="125">
        <f>SUMIF('Квартальная отчетность'!$E$10:$BM$10,YEAR(E$8),'Квартальная отчетность'!$E180:$BM180)</f>
        <v>0</v>
      </c>
      <c s="125">
        <f>SUMIF('Квартальная отчетность'!$E$10:$BM$10,YEAR(F$8),'Квартальная отчетность'!$E180:$BM180)</f>
        <v>0</v>
      </c>
      <c s="125">
        <f>SUMIF('Квартальная отчетность'!$E$10:$BM$10,YEAR(G$8),'Квартальная отчетность'!$E180:$BM180)</f>
        <v>0</v>
      </c>
      <c s="125">
        <f>SUMIF('Квартальная отчетность'!$E$10:$BM$10,YEAR(H$8),'Квартальная отчетность'!$E180:$BM180)</f>
        <v>0</v>
      </c>
      <c s="125">
        <f>SUMIF('Квартальная отчетность'!$E$10:$BM$10,YEAR(I$8),'Квартальная отчетность'!$E180:$BM180)</f>
        <v>0</v>
      </c>
      <c s="125">
        <f>SUMIF('Квартальная отчетность'!$E$10:$BM$10,YEAR(J$8),'Квартальная отчетность'!$E180:$BM180)</f>
        <v>0</v>
      </c>
      <c s="125">
        <f>SUMIF('Квартальная отчетность'!$E$10:$BM$10,YEAR(K$8),'Квартальная отчетность'!$E180:$BM180)</f>
        <v>0</v>
      </c>
      <c s="125">
        <f>SUMIF('Квартальная отчетность'!$E$10:$BM$10,YEAR(L$8),'Квартальная отчетность'!$E180:$BM180)</f>
        <v>0</v>
      </c>
      <c s="125">
        <f>SUMIF('Квартальная отчетность'!$E$10:$BM$10,YEAR(M$8),'Квартальная отчетность'!$E180:$BM180)</f>
        <v>0</v>
      </c>
      <c s="125">
        <f>SUMIF('Квартальная отчетность'!$E$10:$BM$10,YEAR(N$8),'Квартальная отчетность'!$E180:$BM180)</f>
        <v>0</v>
      </c>
      <c s="125">
        <f>SUMIF('Квартальная отчетность'!$E$10:$BM$10,YEAR(O$8),'Квартальная отчетность'!$E180:$BM180)</f>
        <v>0</v>
      </c>
      <c s="125">
        <f>SUMIF('Квартальная отчетность'!$E$10:$BM$10,YEAR(P$8),'Квартальная отчетность'!$E180:$BM180)</f>
        <v>0</v>
      </c>
      <c s="125">
        <f>SUMIF('Квартальная отчетность'!$E$10:$BM$10,YEAR(Q$8),'Квартальная отчетность'!$E180:$BM180)</f>
        <v>0</v>
      </c>
      <c s="125">
        <f>SUMIF('Квартальная отчетность'!$E$10:$BM$10,YEAR(R$8),'Квартальная отчетность'!$E180:$BM180)</f>
        <v>0</v>
      </c>
      <c s="125">
        <f>SUMIF('Квартальная отчетность'!$E$10:$BM$10,YEAR(S$8),'Квартальная отчетность'!$E180:$BM180)</f>
        <v>0</v>
      </c>
      <c s="125">
        <f>SUMIF('Квартальная отчетность'!$E$10:$BM$10,YEAR(T$8),'Квартальная отчетность'!$E180:$BM180)</f>
        <v>0</v>
      </c>
    </row>
    <row r="175" spans="2:20" ht="15" customHeight="1">
      <c r="B175" s="12" t="s">
        <v>1044</v>
      </c>
      <c s="124" t="s">
        <v>438</v>
      </c>
      <c s="276">
        <f>SUM(E175:T175)</f>
        <v>0</v>
      </c>
      <c s="125">
        <f>SUMIF('Квартальная отчетность'!$E$10:$BM$10,YEAR(E$8),'Квартальная отчетность'!$E183:$BM183)</f>
        <v>0</v>
      </c>
      <c s="125">
        <f>SUMIF('Квартальная отчетность'!$E$10:$BM$10,YEAR(F$8),'Квартальная отчетность'!$E183:$BM183)</f>
        <v>0</v>
      </c>
      <c s="125">
        <f>SUMIF('Квартальная отчетность'!$E$10:$BM$10,YEAR(G$8),'Квартальная отчетность'!$E183:$BM183)</f>
        <v>0</v>
      </c>
      <c s="125">
        <f>SUMIF('Квартальная отчетность'!$E$10:$BM$10,YEAR(H$8),'Квартальная отчетность'!$E183:$BM183)</f>
        <v>0</v>
      </c>
      <c s="125">
        <f>SUMIF('Квартальная отчетность'!$E$10:$BM$10,YEAR(I$8),'Квартальная отчетность'!$E183:$BM183)</f>
        <v>0</v>
      </c>
      <c s="125">
        <f>SUMIF('Квартальная отчетность'!$E$10:$BM$10,YEAR(J$8),'Квартальная отчетность'!$E183:$BM183)</f>
        <v>0</v>
      </c>
      <c s="125">
        <f>SUMIF('Квартальная отчетность'!$E$10:$BM$10,YEAR(K$8),'Квартальная отчетность'!$E183:$BM183)</f>
        <v>0</v>
      </c>
      <c s="125">
        <f>SUMIF('Квартальная отчетность'!$E$10:$BM$10,YEAR(L$8),'Квартальная отчетность'!$E183:$BM183)</f>
        <v>0</v>
      </c>
      <c s="125">
        <f>SUMIF('Квартальная отчетность'!$E$10:$BM$10,YEAR(M$8),'Квартальная отчетность'!$E183:$BM183)</f>
        <v>0</v>
      </c>
      <c s="125">
        <f>SUMIF('Квартальная отчетность'!$E$10:$BM$10,YEAR(N$8),'Квартальная отчетность'!$E183:$BM183)</f>
        <v>0</v>
      </c>
      <c s="125">
        <f>SUMIF('Квартальная отчетность'!$E$10:$BM$10,YEAR(O$8),'Квартальная отчетность'!$E183:$BM183)</f>
        <v>0</v>
      </c>
      <c s="125">
        <f>SUMIF('Квартальная отчетность'!$E$10:$BM$10,YEAR(P$8),'Квартальная отчетность'!$E183:$BM183)</f>
        <v>0</v>
      </c>
      <c s="125">
        <f>SUMIF('Квартальная отчетность'!$E$10:$BM$10,YEAR(Q$8),'Квартальная отчетность'!$E183:$BM183)</f>
        <v>0</v>
      </c>
      <c s="125">
        <f>SUMIF('Квартальная отчетность'!$E$10:$BM$10,YEAR(R$8),'Квартальная отчетность'!$E183:$BM183)</f>
        <v>0</v>
      </c>
      <c s="125">
        <f>SUMIF('Квартальная отчетность'!$E$10:$BM$10,YEAR(S$8),'Квартальная отчетность'!$E183:$BM183)</f>
        <v>0</v>
      </c>
      <c s="125">
        <f>SUMIF('Квартальная отчетность'!$E$10:$BM$10,YEAR(T$8),'Квартальная отчетность'!$E183:$BM183)</f>
        <v>0</v>
      </c>
    </row>
    <row r="176" spans="2:20" ht="15" customHeight="1">
      <c r="B176" s="12" t="s">
        <v>1045</v>
      </c>
      <c s="124" t="s">
        <v>438</v>
      </c>
      <c s="276">
        <f>SUM(E176:T176)</f>
        <v>0</v>
      </c>
      <c s="125">
        <f>SUMIF('Квартальная отчетность'!$E$10:$BM$10,YEAR(E$8),'Квартальная отчетность'!$E184:$BM184)</f>
        <v>0</v>
      </c>
      <c s="125">
        <f>SUMIF('Квартальная отчетность'!$E$10:$BM$10,YEAR(F$8),'Квартальная отчетность'!$E184:$BM184)</f>
        <v>0</v>
      </c>
      <c s="125">
        <f>SUMIF('Квартальная отчетность'!$E$10:$BM$10,YEAR(G$8),'Квартальная отчетность'!$E184:$BM184)</f>
        <v>0</v>
      </c>
      <c s="125">
        <f>SUMIF('Квартальная отчетность'!$E$10:$BM$10,YEAR(H$8),'Квартальная отчетность'!$E184:$BM184)</f>
        <v>0</v>
      </c>
      <c s="125">
        <f>SUMIF('Квартальная отчетность'!$E$10:$BM$10,YEAR(I$8),'Квартальная отчетность'!$E184:$BM184)</f>
        <v>0</v>
      </c>
      <c s="125">
        <f>SUMIF('Квартальная отчетность'!$E$10:$BM$10,YEAR(J$8),'Квартальная отчетность'!$E184:$BM184)</f>
        <v>0</v>
      </c>
      <c s="125">
        <f>SUMIF('Квартальная отчетность'!$E$10:$BM$10,YEAR(K$8),'Квартальная отчетность'!$E184:$BM184)</f>
        <v>0</v>
      </c>
      <c s="125">
        <f>SUMIF('Квартальная отчетность'!$E$10:$BM$10,YEAR(L$8),'Квартальная отчетность'!$E184:$BM184)</f>
        <v>0</v>
      </c>
      <c s="125">
        <f>SUMIF('Квартальная отчетность'!$E$10:$BM$10,YEAR(M$8),'Квартальная отчетность'!$E184:$BM184)</f>
        <v>0</v>
      </c>
      <c s="125">
        <f>SUMIF('Квартальная отчетность'!$E$10:$BM$10,YEAR(N$8),'Квартальная отчетность'!$E184:$BM184)</f>
        <v>0</v>
      </c>
      <c s="125">
        <f>SUMIF('Квартальная отчетность'!$E$10:$BM$10,YEAR(O$8),'Квартальная отчетность'!$E184:$BM184)</f>
        <v>0</v>
      </c>
      <c s="125">
        <f>SUMIF('Квартальная отчетность'!$E$10:$BM$10,YEAR(P$8),'Квартальная отчетность'!$E184:$BM184)</f>
        <v>0</v>
      </c>
      <c s="125">
        <f>SUMIF('Квартальная отчетность'!$E$10:$BM$10,YEAR(Q$8),'Квартальная отчетность'!$E184:$BM184)</f>
        <v>0</v>
      </c>
      <c s="125">
        <f>SUMIF('Квартальная отчетность'!$E$10:$BM$10,YEAR(R$8),'Квартальная отчетность'!$E184:$BM184)</f>
        <v>0</v>
      </c>
      <c s="125">
        <f>SUMIF('Квартальная отчетность'!$E$10:$BM$10,YEAR(S$8),'Квартальная отчетность'!$E184:$BM184)</f>
        <v>0</v>
      </c>
      <c s="125">
        <f>SUMIF('Квартальная отчетность'!$E$10:$BM$10,YEAR(T$8),'Квартальная отчетность'!$E184:$BM184)</f>
        <v>0</v>
      </c>
    </row>
    <row r="177" spans="2:20" ht="15" customHeight="1">
      <c r="B177" s="12" t="s">
        <v>1046</v>
      </c>
      <c s="124" t="s">
        <v>438</v>
      </c>
      <c s="276">
        <f>SUM(E177:T177)</f>
        <v>0</v>
      </c>
      <c s="125">
        <f>SUMIF('Квартальная отчетность'!$E$10:$BM$10,YEAR(E$8),'Квартальная отчетность'!$E185:$BM185)</f>
        <v>0</v>
      </c>
      <c s="125">
        <f>SUMIF('Квартальная отчетность'!$E$10:$BM$10,YEAR(F$8),'Квартальная отчетность'!$E185:$BM185)</f>
        <v>0</v>
      </c>
      <c s="125">
        <f>SUMIF('Квартальная отчетность'!$E$10:$BM$10,YEAR(G$8),'Квартальная отчетность'!$E185:$BM185)</f>
        <v>0</v>
      </c>
      <c s="125">
        <f>SUMIF('Квартальная отчетность'!$E$10:$BM$10,YEAR(H$8),'Квартальная отчетность'!$E185:$BM185)</f>
        <v>0</v>
      </c>
      <c s="125">
        <f>SUMIF('Квартальная отчетность'!$E$10:$BM$10,YEAR(I$8),'Квартальная отчетность'!$E185:$BM185)</f>
        <v>0</v>
      </c>
      <c s="125">
        <f>SUMIF('Квартальная отчетность'!$E$10:$BM$10,YEAR(J$8),'Квартальная отчетность'!$E185:$BM185)</f>
        <v>0</v>
      </c>
      <c s="125">
        <f>SUMIF('Квартальная отчетность'!$E$10:$BM$10,YEAR(K$8),'Квартальная отчетность'!$E185:$BM185)</f>
        <v>0</v>
      </c>
      <c s="125">
        <f>SUMIF('Квартальная отчетность'!$E$10:$BM$10,YEAR(L$8),'Квартальная отчетность'!$E185:$BM185)</f>
        <v>0</v>
      </c>
      <c s="125">
        <f>SUMIF('Квартальная отчетность'!$E$10:$BM$10,YEAR(M$8),'Квартальная отчетность'!$E185:$BM185)</f>
        <v>0</v>
      </c>
      <c s="125">
        <f>SUMIF('Квартальная отчетность'!$E$10:$BM$10,YEAR(N$8),'Квартальная отчетность'!$E185:$BM185)</f>
        <v>0</v>
      </c>
      <c s="125">
        <f>SUMIF('Квартальная отчетность'!$E$10:$BM$10,YEAR(O$8),'Квартальная отчетность'!$E185:$BM185)</f>
        <v>0</v>
      </c>
      <c s="125">
        <f>SUMIF('Квартальная отчетность'!$E$10:$BM$10,YEAR(P$8),'Квартальная отчетность'!$E185:$BM185)</f>
        <v>0</v>
      </c>
      <c s="125">
        <f>SUMIF('Квартальная отчетность'!$E$10:$BM$10,YEAR(Q$8),'Квартальная отчетность'!$E185:$BM185)</f>
        <v>0</v>
      </c>
      <c s="125">
        <f>SUMIF('Квартальная отчетность'!$E$10:$BM$10,YEAR(R$8),'Квартальная отчетность'!$E185:$BM185)</f>
        <v>0</v>
      </c>
      <c s="125">
        <f>SUMIF('Квартальная отчетность'!$E$10:$BM$10,YEAR(S$8),'Квартальная отчетность'!$E185:$BM185)</f>
        <v>0</v>
      </c>
      <c s="125">
        <f>SUMIF('Квартальная отчетность'!$E$10:$BM$10,YEAR(T$8),'Квартальная отчетность'!$E185:$BM185)</f>
        <v>0</v>
      </c>
    </row>
    <row r="178" spans="2:20" ht="15" customHeight="1">
      <c r="B178" s="12" t="s">
        <v>1029</v>
      </c>
      <c s="124" t="s">
        <v>438</v>
      </c>
      <c s="276">
        <f>SUM(E178:T178)</f>
        <v>0</v>
      </c>
      <c s="125">
        <f>SUMIF('Квартальная отчетность'!$E$10:$BM$10,YEAR(E$8),'Квартальная отчетность'!$E186:$BM186)</f>
        <v>0</v>
      </c>
      <c s="125">
        <f>SUMIF('Квартальная отчетность'!$E$10:$BM$10,YEAR(F$8),'Квартальная отчетность'!$E186:$BM186)</f>
        <v>0</v>
      </c>
      <c s="125">
        <f>SUMIF('Квартальная отчетность'!$E$10:$BM$10,YEAR(G$8),'Квартальная отчетность'!$E186:$BM186)</f>
        <v>0</v>
      </c>
      <c s="125">
        <f>SUMIF('Квартальная отчетность'!$E$10:$BM$10,YEAR(H$8),'Квартальная отчетность'!$E186:$BM186)</f>
        <v>0</v>
      </c>
      <c s="125">
        <f>SUMIF('Квартальная отчетность'!$E$10:$BM$10,YEAR(I$8),'Квартальная отчетность'!$E186:$BM186)</f>
        <v>0</v>
      </c>
      <c s="125">
        <f>SUMIF('Квартальная отчетность'!$E$10:$BM$10,YEAR(J$8),'Квартальная отчетность'!$E186:$BM186)</f>
        <v>0</v>
      </c>
      <c s="125">
        <f>SUMIF('Квартальная отчетность'!$E$10:$BM$10,YEAR(K$8),'Квартальная отчетность'!$E186:$BM186)</f>
        <v>0</v>
      </c>
      <c s="125">
        <f>SUMIF('Квартальная отчетность'!$E$10:$BM$10,YEAR(L$8),'Квартальная отчетность'!$E186:$BM186)</f>
        <v>0</v>
      </c>
      <c s="125">
        <f>SUMIF('Квартальная отчетность'!$E$10:$BM$10,YEAR(M$8),'Квартальная отчетность'!$E186:$BM186)</f>
        <v>0</v>
      </c>
      <c s="125">
        <f>SUMIF('Квартальная отчетность'!$E$10:$BM$10,YEAR(N$8),'Квартальная отчетность'!$E186:$BM186)</f>
        <v>0</v>
      </c>
      <c s="125">
        <f>SUMIF('Квартальная отчетность'!$E$10:$BM$10,YEAR(O$8),'Квартальная отчетность'!$E186:$BM186)</f>
        <v>0</v>
      </c>
      <c s="125">
        <f>SUMIF('Квартальная отчетность'!$E$10:$BM$10,YEAR(P$8),'Квартальная отчетность'!$E186:$BM186)</f>
        <v>0</v>
      </c>
      <c s="125">
        <f>SUMIF('Квартальная отчетность'!$E$10:$BM$10,YEAR(Q$8),'Квартальная отчетность'!$E186:$BM186)</f>
        <v>0</v>
      </c>
      <c s="125">
        <f>SUMIF('Квартальная отчетность'!$E$10:$BM$10,YEAR(R$8),'Квартальная отчетность'!$E186:$BM186)</f>
        <v>0</v>
      </c>
      <c s="125">
        <f>SUMIF('Квартальная отчетность'!$E$10:$BM$10,YEAR(S$8),'Квартальная отчетность'!$E186:$BM186)</f>
        <v>0</v>
      </c>
      <c s="125">
        <f>SUMIF('Квартальная отчетность'!$E$10:$BM$10,YEAR(T$8),'Квартальная отчетность'!$E186:$BM186)</f>
        <v>0</v>
      </c>
    </row>
    <row r="179" spans="2:20" ht="15" customHeight="1">
      <c r="B179" s="289" t="s">
        <v>454</v>
      </c>
      <c s="290" t="s">
        <v>438</v>
      </c>
      <c s="291">
        <f t="shared" si="81" ref="D179:T179">SUM(D174:D178)</f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  <c s="276">
        <f t="shared" si="81"/>
        <v>0</v>
      </c>
    </row>
    <row r="180" ht="15" customHeight="1"/>
    <row r="181" spans="2:24" ht="14.45">
      <c r="B181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82" spans="2:20" ht="15" customHeight="1">
      <c r="B182" s="12" t="s">
        <v>1047</v>
      </c>
      <c s="124" t="s">
        <v>438</v>
      </c>
      <c s="276">
        <f>SUM(E182:T182)</f>
        <v>0</v>
      </c>
      <c s="125">
        <f>SUMIF('Квартальная отчетность'!$E$10:$BM$10,YEAR(E$8),'Квартальная отчетность'!$E190:$BM190)</f>
        <v>0</v>
      </c>
      <c s="125">
        <f>SUMIF('Квартальная отчетность'!$E$10:$BM$10,YEAR(F$8),'Квартальная отчетность'!$E190:$BM190)</f>
        <v>0</v>
      </c>
      <c s="125">
        <f>SUMIF('Квартальная отчетность'!$E$10:$BM$10,YEAR(G$8),'Квартальная отчетность'!$E190:$BM190)</f>
        <v>0</v>
      </c>
      <c s="125">
        <f>SUMIF('Квартальная отчетность'!$E$10:$BM$10,YEAR(H$8),'Квартальная отчетность'!$E190:$BM190)</f>
        <v>0</v>
      </c>
      <c s="125">
        <f>SUMIF('Квартальная отчетность'!$E$10:$BM$10,YEAR(I$8),'Квартальная отчетность'!$E190:$BM190)</f>
        <v>0</v>
      </c>
      <c s="125">
        <f>SUMIF('Квартальная отчетность'!$E$10:$BM$10,YEAR(J$8),'Квартальная отчетность'!$E190:$BM190)</f>
        <v>0</v>
      </c>
      <c s="125">
        <f>SUMIF('Квартальная отчетность'!$E$10:$BM$10,YEAR(K$8),'Квартальная отчетность'!$E190:$BM190)</f>
        <v>0</v>
      </c>
      <c s="125">
        <f>SUMIF('Квартальная отчетность'!$E$10:$BM$10,YEAR(L$8),'Квартальная отчетность'!$E190:$BM190)</f>
        <v>0</v>
      </c>
      <c s="125">
        <f>SUMIF('Квартальная отчетность'!$E$10:$BM$10,YEAR(M$8),'Квартальная отчетность'!$E190:$BM190)</f>
        <v>0</v>
      </c>
      <c s="125">
        <f>SUMIF('Квартальная отчетность'!$E$10:$BM$10,YEAR(N$8),'Квартальная отчетность'!$E190:$BM190)</f>
        <v>0</v>
      </c>
      <c s="125">
        <f>SUMIF('Квартальная отчетность'!$E$10:$BM$10,YEAR(O$8),'Квартальная отчетность'!$E190:$BM190)</f>
        <v>0</v>
      </c>
      <c s="125">
        <f>SUMIF('Квартальная отчетность'!$E$10:$BM$10,YEAR(P$8),'Квартальная отчетность'!$E190:$BM190)</f>
        <v>0</v>
      </c>
      <c s="125">
        <f>SUMIF('Квартальная отчетность'!$E$10:$BM$10,YEAR(Q$8),'Квартальная отчетность'!$E190:$BM190)</f>
        <v>0</v>
      </c>
      <c s="125">
        <f>SUMIF('Квартальная отчетность'!$E$10:$BM$10,YEAR(R$8),'Квартальная отчетность'!$E190:$BM190)</f>
        <v>0</v>
      </c>
      <c s="125">
        <f>SUMIF('Квартальная отчетность'!$E$10:$BM$10,YEAR(S$8),'Квартальная отчетность'!$E190:$BM190)</f>
        <v>0</v>
      </c>
      <c s="125">
        <f>SUMIF('Квартальная отчетность'!$E$10:$BM$10,YEAR(T$8),'Квартальная отчетность'!$E190:$BM190)</f>
        <v>0</v>
      </c>
    </row>
    <row r="183" spans="2:20" ht="15" customHeight="1">
      <c r="B183" s="12" t="s">
        <v>1048</v>
      </c>
      <c s="124" t="s">
        <v>438</v>
      </c>
      <c s="276">
        <f>SUM(E183:T183)</f>
        <v>0</v>
      </c>
      <c s="125">
        <f>SUMIF('Квартальная отчетность'!$E$10:$BM$10,YEAR(E$8),'Квартальная отчетность'!$E191:$BM191)</f>
        <v>0</v>
      </c>
      <c s="125">
        <f>SUMIF('Квартальная отчетность'!$E$10:$BM$10,YEAR(F$8),'Квартальная отчетность'!$E191:$BM191)</f>
        <v>0</v>
      </c>
      <c s="125">
        <f>SUMIF('Квартальная отчетность'!$E$10:$BM$10,YEAR(G$8),'Квартальная отчетность'!$E191:$BM191)</f>
        <v>0</v>
      </c>
      <c s="125">
        <f>SUMIF('Квартальная отчетность'!$E$10:$BM$10,YEAR(H$8),'Квартальная отчетность'!$E191:$BM191)</f>
        <v>0</v>
      </c>
      <c s="125">
        <f>SUMIF('Квартальная отчетность'!$E$10:$BM$10,YEAR(I$8),'Квартальная отчетность'!$E191:$BM191)</f>
        <v>0</v>
      </c>
      <c s="125">
        <f>SUMIF('Квартальная отчетность'!$E$10:$BM$10,YEAR(J$8),'Квартальная отчетность'!$E191:$BM191)</f>
        <v>0</v>
      </c>
      <c s="125">
        <f>SUMIF('Квартальная отчетность'!$E$10:$BM$10,YEAR(K$8),'Квартальная отчетность'!$E191:$BM191)</f>
        <v>0</v>
      </c>
      <c s="125">
        <f>SUMIF('Квартальная отчетность'!$E$10:$BM$10,YEAR(L$8),'Квартальная отчетность'!$E191:$BM191)</f>
        <v>0</v>
      </c>
      <c s="125">
        <f>SUMIF('Квартальная отчетность'!$E$10:$BM$10,YEAR(M$8),'Квартальная отчетность'!$E191:$BM191)</f>
        <v>0</v>
      </c>
      <c s="125">
        <f>SUMIF('Квартальная отчетность'!$E$10:$BM$10,YEAR(N$8),'Квартальная отчетность'!$E191:$BM191)</f>
        <v>0</v>
      </c>
      <c s="125">
        <f>SUMIF('Квартальная отчетность'!$E$10:$BM$10,YEAR(O$8),'Квартальная отчетность'!$E191:$BM191)</f>
        <v>0</v>
      </c>
      <c s="125">
        <f>SUMIF('Квартальная отчетность'!$E$10:$BM$10,YEAR(P$8),'Квартальная отчетность'!$E191:$BM191)</f>
        <v>0</v>
      </c>
      <c s="125">
        <f>SUMIF('Квартальная отчетность'!$E$10:$BM$10,YEAR(Q$8),'Квартальная отчетность'!$E191:$BM191)</f>
        <v>0</v>
      </c>
      <c s="125">
        <f>SUMIF('Квартальная отчетность'!$E$10:$BM$10,YEAR(R$8),'Квартальная отчетность'!$E191:$BM191)</f>
        <v>0</v>
      </c>
      <c s="125">
        <f>SUMIF('Квартальная отчетность'!$E$10:$BM$10,YEAR(S$8),'Квартальная отчетность'!$E191:$BM191)</f>
        <v>0</v>
      </c>
      <c s="125">
        <f>SUMIF('Квартальная отчетность'!$E$10:$BM$10,YEAR(T$8),'Квартальная отчетность'!$E191:$BM191)</f>
        <v>0</v>
      </c>
    </row>
    <row r="184" spans="2:20" ht="15" customHeight="1">
      <c r="B184" s="12" t="s">
        <v>582</v>
      </c>
      <c s="124" t="s">
        <v>438</v>
      </c>
      <c s="276">
        <f>SUM(E184:T184)</f>
        <v>0</v>
      </c>
      <c s="125">
        <f>SUMIF('Квартальная отчетность'!$E$10:$BM$10,YEAR(E$8),'Квартальная отчетность'!$E192:$BM192)</f>
        <v>0</v>
      </c>
      <c s="125">
        <f>SUMIF('Квартальная отчетность'!$E$10:$BM$10,YEAR(F$8),'Квартальная отчетность'!$E192:$BM192)</f>
        <v>0</v>
      </c>
      <c s="125">
        <f>SUMIF('Квартальная отчетность'!$E$10:$BM$10,YEAR(G$8),'Квартальная отчетность'!$E192:$BM192)</f>
        <v>0</v>
      </c>
      <c s="125">
        <f>SUMIF('Квартальная отчетность'!$E$10:$BM$10,YEAR(H$8),'Квартальная отчетность'!$E192:$BM192)</f>
        <v>0</v>
      </c>
      <c s="125">
        <f>SUMIF('Квартальная отчетность'!$E$10:$BM$10,YEAR(I$8),'Квартальная отчетность'!$E192:$BM192)</f>
        <v>0</v>
      </c>
      <c s="125">
        <f>SUMIF('Квартальная отчетность'!$E$10:$BM$10,YEAR(J$8),'Квартальная отчетность'!$E192:$BM192)</f>
        <v>0</v>
      </c>
      <c s="125">
        <f>SUMIF('Квартальная отчетность'!$E$10:$BM$10,YEAR(K$8),'Квартальная отчетность'!$E192:$BM192)</f>
        <v>0</v>
      </c>
      <c s="125">
        <f>SUMIF('Квартальная отчетность'!$E$10:$BM$10,YEAR(L$8),'Квартальная отчетность'!$E192:$BM192)</f>
        <v>0</v>
      </c>
      <c s="125">
        <f>SUMIF('Квартальная отчетность'!$E$10:$BM$10,YEAR(M$8),'Квартальная отчетность'!$E192:$BM192)</f>
        <v>0</v>
      </c>
      <c s="125">
        <f>SUMIF('Квартальная отчетность'!$E$10:$BM$10,YEAR(N$8),'Квартальная отчетность'!$E192:$BM192)</f>
        <v>0</v>
      </c>
      <c s="125">
        <f>SUMIF('Квартальная отчетность'!$E$10:$BM$10,YEAR(O$8),'Квартальная отчетность'!$E192:$BM192)</f>
        <v>0</v>
      </c>
      <c s="125">
        <f>SUMIF('Квартальная отчетность'!$E$10:$BM$10,YEAR(P$8),'Квартальная отчетность'!$E192:$BM192)</f>
        <v>0</v>
      </c>
      <c s="125">
        <f>SUMIF('Квартальная отчетность'!$E$10:$BM$10,YEAR(Q$8),'Квартальная отчетность'!$E192:$BM192)</f>
        <v>0</v>
      </c>
      <c s="125">
        <f>SUMIF('Квартальная отчетность'!$E$10:$BM$10,YEAR(R$8),'Квартальная отчетность'!$E192:$BM192)</f>
        <v>0</v>
      </c>
      <c s="125">
        <f>SUMIF('Квартальная отчетность'!$E$10:$BM$10,YEAR(S$8),'Квартальная отчетность'!$E192:$BM192)</f>
        <v>0</v>
      </c>
      <c s="125">
        <f>SUMIF('Квартальная отчетность'!$E$10:$BM$10,YEAR(T$8),'Квартальная отчетность'!$E192:$BM192)</f>
        <v>0</v>
      </c>
    </row>
    <row r="185" spans="2:20" ht="15" customHeight="1">
      <c r="B185" s="289" t="s">
        <v>454</v>
      </c>
      <c s="290" t="s">
        <v>438</v>
      </c>
      <c s="291">
        <f t="shared" si="82" ref="D185:T185">SUM(D182:D184)</f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  <c s="276">
        <f t="shared" si="82"/>
        <v>0</v>
      </c>
    </row>
    <row r="186" ht="15" customHeight="1"/>
    <row r="187" spans="2:20" ht="15" customHeight="1">
      <c r="B187" s="292" t="s">
        <v>992</v>
      </c>
      <c s="293" t="s">
        <v>438</v>
      </c>
      <c s="291">
        <f t="shared" si="83" ref="D187:E187">SUM(D179,D185)</f>
        <v>0</v>
      </c>
      <c s="291">
        <f t="shared" si="83"/>
        <v>0</v>
      </c>
      <c s="291">
        <f t="shared" si="84" ref="F187:T187">SUM(F179,F185)</f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  <c s="291">
        <f t="shared" si="84"/>
        <v>0</v>
      </c>
    </row>
    <row r="188" ht="15" customHeight="1"/>
    <row r="189" spans="2:2" ht="15" customHeight="1">
      <c r="B189" s="24" t="s">
        <v>993</v>
      </c>
    </row>
    <row r="190" spans="2:20" ht="15" customHeight="1">
      <c r="B190" s="12" t="s">
        <v>994</v>
      </c>
      <c s="124" t="s">
        <v>438</v>
      </c>
      <c s="276">
        <f ca="1">SUM(E190:T190)</f>
        <v>0</v>
      </c>
      <c s="125">
        <f ca="1">IF(E6=1,'Квартальная отчетность'!E200,D192)*IF($K$3&lt;DATE(YEAR(E8),1,1),0,1)</f>
        <v>0</v>
      </c>
      <c s="125">
        <f ca="1">IF(F6=1,'Квартальная отчетность'!F200,E192)*IF($K$3&lt;DATE(YEAR(F8),1,1),0,1)</f>
        <v>0</v>
      </c>
      <c s="125">
        <f ca="1">IF(G6=1,'Квартальная отчетность'!G200,F192)*IF($K$3&lt;DATE(YEAR(G8),1,1),0,1)</f>
        <v>0</v>
      </c>
      <c s="125">
        <f ca="1">IF(H6=1,'Квартальная отчетность'!H200,G192)*IF($K$3&lt;DATE(YEAR(H8),1,1),0,1)</f>
        <v>0</v>
      </c>
      <c s="125">
        <f ca="1">IF(I6=1,'Квартальная отчетность'!I200,H192)*IF($K$3&lt;DATE(YEAR(I8),1,1),0,1)</f>
        <v>0</v>
      </c>
      <c s="125">
        <f ca="1">IF(J6=1,'Квартальная отчетность'!J200,I192)*IF($K$3&lt;DATE(YEAR(J8),1,1),0,1)</f>
        <v>0</v>
      </c>
      <c s="125">
        <f ca="1">IF(K6=1,'Квартальная отчетность'!K200,J192)*IF($K$3&lt;DATE(YEAR(K8),1,1),0,1)</f>
        <v>0</v>
      </c>
      <c s="125">
        <f ca="1">IF(L6=1,'Квартальная отчетность'!L200,K192)*IF($K$3&lt;DATE(YEAR(L8),1,1),0,1)</f>
        <v>0</v>
      </c>
      <c s="125">
        <f ca="1">IF(M6=1,'Квартальная отчетность'!M200,L192)*IF($K$3&lt;DATE(YEAR(M8),1,1),0,1)</f>
        <v>0</v>
      </c>
      <c s="125">
        <f ca="1">IF(N6=1,'Квартальная отчетность'!N200,M192)*IF($K$3&lt;DATE(YEAR(N8),1,1),0,1)</f>
        <v>0</v>
      </c>
      <c s="125">
        <f ca="1">IF(O6=1,'Квартальная отчетность'!O200,N192)*IF($K$3&lt;DATE(YEAR(O8),1,1),0,1)</f>
        <v>0</v>
      </c>
      <c s="125">
        <f ca="1">IF(P6=1,'Квартальная отчетность'!P200,O192)*IF($K$3&lt;DATE(YEAR(P8),1,1),0,1)</f>
        <v>0</v>
      </c>
      <c s="125">
        <f ca="1">IF(Q6=1,'Квартальная отчетность'!Q200,P192)*IF($K$3&lt;DATE(YEAR(Q8),1,1),0,1)</f>
        <v>0</v>
      </c>
      <c s="125">
        <f ca="1">IF(R6=1,'Квартальная отчетность'!R200,Q192)*IF($K$3&lt;DATE(YEAR(R8),1,1),0,1)</f>
        <v>0</v>
      </c>
      <c s="125">
        <f ca="1">IF(S6=1,'Квартальная отчетность'!S200,R192)*IF($K$3&lt;DATE(YEAR(S8),1,1),0,1)</f>
        <v>0</v>
      </c>
      <c s="125">
        <f ca="1">IF(T6=1,'Квартальная отчетность'!T200,S192)*IF($K$3&lt;DATE(YEAR(T8),1,1),0,1)</f>
        <v>0</v>
      </c>
    </row>
    <row r="191" spans="2:20" ht="15" customHeight="1">
      <c r="B191" s="12" t="s">
        <v>995</v>
      </c>
      <c s="124" t="s">
        <v>438</v>
      </c>
      <c s="276">
        <f ca="1">SUM(E191:T191)</f>
        <v>0</v>
      </c>
      <c s="125">
        <f ca="1" t="shared" si="85" ref="E191:L191">SUM(E151,E170,E187)</f>
        <v>0</v>
      </c>
      <c s="125">
        <f t="shared" ca="1" si="85"/>
        <v>0</v>
      </c>
      <c s="125">
        <f t="shared" ca="1" si="85"/>
        <v>0</v>
      </c>
      <c s="125">
        <f t="shared" ca="1" si="85"/>
        <v>0</v>
      </c>
      <c s="125">
        <f t="shared" ca="1" si="85"/>
        <v>0</v>
      </c>
      <c s="125">
        <f t="shared" ca="1" si="85"/>
        <v>0</v>
      </c>
      <c s="125">
        <f t="shared" ca="1" si="85"/>
        <v>0</v>
      </c>
      <c s="125">
        <f t="shared" ca="1" si="85"/>
        <v>0</v>
      </c>
      <c s="125">
        <f ca="1" t="shared" si="86" ref="M191:T191">SUM(M151,M170,M187)</f>
        <v>0</v>
      </c>
      <c s="125">
        <f t="shared" ca="1" si="86"/>
        <v>0</v>
      </c>
      <c s="125">
        <f t="shared" ca="1" si="86"/>
        <v>0</v>
      </c>
      <c s="125">
        <f t="shared" ca="1" si="86"/>
        <v>0</v>
      </c>
      <c s="125">
        <f t="shared" ca="1" si="86"/>
        <v>0</v>
      </c>
      <c s="125">
        <f t="shared" ca="1" si="86"/>
        <v>0</v>
      </c>
      <c s="125">
        <f t="shared" ca="1" si="86"/>
        <v>0</v>
      </c>
      <c s="125">
        <f t="shared" ca="1" si="86"/>
        <v>0</v>
      </c>
    </row>
    <row r="192" spans="2:20" ht="15" customHeight="1">
      <c r="B192" s="289" t="s">
        <v>996</v>
      </c>
      <c s="290" t="s">
        <v>438</v>
      </c>
      <c s="291">
        <f ca="1">SUM(D190:D191)</f>
        <v>0</v>
      </c>
      <c s="276">
        <f ca="1" t="shared" si="87" ref="E192">SUM(E190:E191)</f>
        <v>0</v>
      </c>
      <c s="276">
        <f ca="1" t="shared" si="88" ref="F192:L192">SUM(F190:F191)</f>
        <v>0</v>
      </c>
      <c s="276">
        <f t="shared" ca="1" si="88"/>
        <v>0</v>
      </c>
      <c s="276">
        <f t="shared" ca="1" si="88"/>
        <v>0</v>
      </c>
      <c s="276">
        <f t="shared" ca="1" si="88"/>
        <v>0</v>
      </c>
      <c s="276">
        <f t="shared" ca="1" si="88"/>
        <v>0</v>
      </c>
      <c s="276">
        <f t="shared" ca="1" si="88"/>
        <v>0</v>
      </c>
      <c s="276">
        <f t="shared" ca="1" si="88"/>
        <v>0</v>
      </c>
      <c s="276">
        <f ca="1" t="shared" si="89" ref="M192:T192">SUM(M190:M191)</f>
        <v>0</v>
      </c>
      <c s="276">
        <f t="shared" ca="1" si="89"/>
        <v>0</v>
      </c>
      <c s="276">
        <f t="shared" ca="1" si="89"/>
        <v>0</v>
      </c>
      <c s="276">
        <f t="shared" ca="1" si="89"/>
        <v>0</v>
      </c>
      <c s="276">
        <f t="shared" ca="1" si="89"/>
        <v>0</v>
      </c>
      <c s="276">
        <f t="shared" ca="1" si="89"/>
        <v>0</v>
      </c>
      <c s="276">
        <f t="shared" ca="1" si="89"/>
        <v>0</v>
      </c>
      <c s="276">
        <f t="shared" ca="1" si="89"/>
        <v>0</v>
      </c>
    </row>
    <row r="193" ht="15" customHeight="1"/>
    <row r="194" spans="2:3" ht="15" customHeight="1">
      <c r="B194" s="12" t="s">
        <v>1080</v>
      </c>
      <c s="47" t="str">
        <f ca="1">IFERROR(IF(ROUND(MIN(E192:T192),2)&lt;0,"Q","R"),"Q")</f>
        <v>R</v>
      </c>
    </row>
    <row r="195" ht="15" customHeight="1"/>
    <row r="196" spans="2:26" ht="21">
      <c r="B196" s="23" t="s">
        <v>335</v>
      </c>
      <c r="D196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7" spans="2:26" ht="21">
      <c r="B197" s="24" t="s">
        <v>999</v>
      </c>
      <c r="D19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8" spans="2:20" ht="15" customHeight="1">
      <c r="B198" s="12" t="s">
        <v>1051</v>
      </c>
      <c s="124" t="str">
        <f t="shared" si="90" ref="C198:C207">Единица_измерения</f>
        <v>тыс. руб.</v>
      </c>
      <c s="125"/>
      <c s="125">
        <f>LOOKUP(E$8,'Квартальная отчетность'!$E$8:$AG$8,'Квартальная отчетность'!$E209:$AG209)</f>
        <v>0</v>
      </c>
      <c s="125">
        <f>LOOKUP(F$8,'Квартальная отчетность'!$E$8:$AG$8,'Квартальная отчетность'!$E209:$AG209)</f>
        <v>0</v>
      </c>
      <c s="125">
        <f>LOOKUP(G$8,'Квартальная отчетность'!$E$8:$BM$8,'Квартальная отчетность'!$E209:$BM209)</f>
        <v>0</v>
      </c>
      <c s="125">
        <f>LOOKUP(H$8,'Квартальная отчетность'!$E$8:$BM$8,'Квартальная отчетность'!$E209:$BM209)</f>
        <v>0</v>
      </c>
      <c s="125">
        <f>LOOKUP(I$8,'Квартальная отчетность'!$E$8:$BM$8,'Квартальная отчетность'!$E209:$BM209)</f>
        <v>0</v>
      </c>
      <c s="125">
        <f>LOOKUP(J$8,'Квартальная отчетность'!$E$8:$BM$8,'Квартальная отчетность'!$E209:$BM209)</f>
        <v>0</v>
      </c>
      <c s="125">
        <f>LOOKUP(K$8,'Квартальная отчетность'!$E$8:$BM$8,'Квартальная отчетность'!$E209:$BM209)</f>
        <v>0</v>
      </c>
      <c s="125">
        <f>LOOKUP(L$8,'Квартальная отчетность'!$E$8:$BM$8,'Квартальная отчетность'!$E209:$BM209)</f>
        <v>0</v>
      </c>
      <c s="125">
        <f>LOOKUP(M$8,'Квартальная отчетность'!$E$8:$BM$8,'Квартальная отчетность'!$E209:$BM209)</f>
        <v>0</v>
      </c>
      <c s="125">
        <f>LOOKUP(N$8,'Квартальная отчетность'!$E$8:$BM$8,'Квартальная отчетность'!$E209:$BM209)</f>
        <v>0</v>
      </c>
      <c s="125">
        <f>LOOKUP(O$8,'Квартальная отчетность'!$E$8:$BM$8,'Квартальная отчетность'!$E209:$BM209)</f>
        <v>0</v>
      </c>
      <c s="125">
        <f>LOOKUP(P$8,'Квартальная отчетность'!$E$8:$BM$8,'Квартальная отчетность'!$E209:$BM209)</f>
        <v>0</v>
      </c>
      <c s="125">
        <f>LOOKUP(Q$8,'Квартальная отчетность'!$E$8:$BM$8,'Квартальная отчетность'!$E209:$BM209)</f>
        <v>0</v>
      </c>
      <c s="125">
        <f>LOOKUP(R$8,'Квартальная отчетность'!$E$8:$BM$8,'Квартальная отчетность'!$E209:$BM209)</f>
        <v>0</v>
      </c>
      <c s="125">
        <f>LOOKUP(S$8,'Квартальная отчетность'!$E$8:$BM$8,'Квартальная отчетность'!$E209:$BM209)</f>
        <v>0</v>
      </c>
      <c s="125">
        <f>LOOKUP(T$8,'Квартальная отчетность'!$E$8:$BM$8,'Квартальная отчетность'!$E209:$BM209)</f>
        <v>0</v>
      </c>
    </row>
    <row r="199" spans="2:20" ht="15" customHeight="1">
      <c r="B199" s="22" t="s">
        <v>1052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отчетность'!$E210:$AG210)</f>
        <v>0</v>
      </c>
      <c s="125">
        <f>LOOKUP(F$8,'Квартальная отчетность'!$E$8:$AG$8,'Квартальная отчетность'!$E210:$AG210)</f>
        <v>0</v>
      </c>
      <c s="125">
        <f>LOOKUP(G$8,'Квартальная отчетность'!$E$8:$BM$8,'Квартальная отчетность'!$E210:$BM210)</f>
        <v>0</v>
      </c>
      <c s="125">
        <f>LOOKUP(H$8,'Квартальная отчетность'!$E$8:$BM$8,'Квартальная отчетность'!$E210:$BM210)</f>
        <v>0</v>
      </c>
      <c s="125">
        <f>LOOKUP(I$8,'Квартальная отчетность'!$E$8:$BM$8,'Квартальная отчетность'!$E210:$BM210)</f>
        <v>0</v>
      </c>
      <c s="125">
        <f>LOOKUP(J$8,'Квартальная отчетность'!$E$8:$BM$8,'Квартальная отчетность'!$E210:$BM210)</f>
        <v>0</v>
      </c>
      <c s="125">
        <f>LOOKUP(K$8,'Квартальная отчетность'!$E$8:$BM$8,'Квартальная отчетность'!$E210:$BM210)</f>
        <v>0</v>
      </c>
      <c s="125">
        <f>LOOKUP(L$8,'Квартальная отчетность'!$E$8:$BM$8,'Квартальная отчетность'!$E210:$BM210)</f>
        <v>0</v>
      </c>
      <c s="125">
        <f>LOOKUP(M$8,'Квартальная отчетность'!$E$8:$BM$8,'Квартальная отчетность'!$E210:$BM210)</f>
        <v>0</v>
      </c>
      <c s="125">
        <f>LOOKUP(N$8,'Квартальная отчетность'!$E$8:$BM$8,'Квартальная отчетность'!$E210:$BM210)</f>
        <v>0</v>
      </c>
      <c s="125">
        <f>LOOKUP(O$8,'Квартальная отчетность'!$E$8:$BM$8,'Квартальная отчетность'!$E210:$BM210)</f>
        <v>0</v>
      </c>
      <c s="125">
        <f>LOOKUP(P$8,'Квартальная отчетность'!$E$8:$BM$8,'Квартальная отчетность'!$E210:$BM210)</f>
        <v>0</v>
      </c>
      <c s="125">
        <f>LOOKUP(Q$8,'Квартальная отчетность'!$E$8:$BM$8,'Квартальная отчетность'!$E210:$BM210)</f>
        <v>0</v>
      </c>
      <c s="125">
        <f>LOOKUP(R$8,'Квартальная отчетность'!$E$8:$BM$8,'Квартальная отчетность'!$E210:$BM210)</f>
        <v>0</v>
      </c>
      <c s="125">
        <f>LOOKUP(S$8,'Квартальная отчетность'!$E$8:$BM$8,'Квартальная отчетность'!$E210:$BM210)</f>
        <v>0</v>
      </c>
      <c s="125">
        <f>LOOKUP(T$8,'Квартальная отчетность'!$E$8:$BM$8,'Квартальная отчетность'!$E210:$BM210)</f>
        <v>0</v>
      </c>
    </row>
    <row r="200" spans="2:20" ht="15" customHeight="1">
      <c r="B200" s="22" t="s">
        <v>1053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отчетность'!$E211:$AG211)</f>
        <v>0</v>
      </c>
      <c s="125">
        <f>LOOKUP(F$8,'Квартальная отчетность'!$E$8:$AG$8,'Квартальная отчетность'!$E211:$AG211)</f>
        <v>0</v>
      </c>
      <c s="125">
        <f>LOOKUP(G$8,'Квартальная отчетность'!$E$8:$BM$8,'Квартальная отчетность'!$E211:$BM211)</f>
        <v>0</v>
      </c>
      <c s="125">
        <f>LOOKUP(H$8,'Квартальная отчетность'!$E$8:$BM$8,'Квартальная отчетность'!$E211:$BM211)</f>
        <v>0</v>
      </c>
      <c s="125">
        <f>LOOKUP(I$8,'Квартальная отчетность'!$E$8:$BM$8,'Квартальная отчетность'!$E211:$BM211)</f>
        <v>0</v>
      </c>
      <c s="125">
        <f>LOOKUP(J$8,'Квартальная отчетность'!$E$8:$BM$8,'Квартальная отчетность'!$E211:$BM211)</f>
        <v>0</v>
      </c>
      <c s="125">
        <f>LOOKUP(K$8,'Квартальная отчетность'!$E$8:$BM$8,'Квартальная отчетность'!$E211:$BM211)</f>
        <v>0</v>
      </c>
      <c s="125">
        <f>LOOKUP(L$8,'Квартальная отчетность'!$E$8:$BM$8,'Квартальная отчетность'!$E211:$BM211)</f>
        <v>0</v>
      </c>
      <c s="125">
        <f>LOOKUP(M$8,'Квартальная отчетность'!$E$8:$BM$8,'Квартальная отчетность'!$E211:$BM211)</f>
        <v>0</v>
      </c>
      <c s="125">
        <f>LOOKUP(N$8,'Квартальная отчетность'!$E$8:$BM$8,'Квартальная отчетность'!$E211:$BM211)</f>
        <v>0</v>
      </c>
      <c s="125">
        <f>LOOKUP(O$8,'Квартальная отчетность'!$E$8:$BM$8,'Квартальная отчетность'!$E211:$BM211)</f>
        <v>0</v>
      </c>
      <c s="125">
        <f>LOOKUP(P$8,'Квартальная отчетность'!$E$8:$BM$8,'Квартальная отчетность'!$E211:$BM211)</f>
        <v>0</v>
      </c>
      <c s="125">
        <f>LOOKUP(Q$8,'Квартальная отчетность'!$E$8:$BM$8,'Квартальная отчетность'!$E211:$BM211)</f>
        <v>0</v>
      </c>
      <c s="125">
        <f>LOOKUP(R$8,'Квартальная отчетность'!$E$8:$BM$8,'Квартальная отчетность'!$E211:$BM211)</f>
        <v>0</v>
      </c>
      <c s="125">
        <f>LOOKUP(S$8,'Квартальная отчетность'!$E$8:$BM$8,'Квартальная отчетность'!$E211:$BM211)</f>
        <v>0</v>
      </c>
      <c s="125">
        <f>LOOKUP(T$8,'Квартальная отчетность'!$E$8:$BM$8,'Квартальная отчетность'!$E211:$BM211)</f>
        <v>0</v>
      </c>
    </row>
    <row r="201" spans="2:20" ht="15" customHeight="1">
      <c r="B201" s="22" t="s">
        <v>1054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отчетность'!$E212:$AG212)</f>
        <v>0</v>
      </c>
      <c s="125">
        <f>LOOKUP(F$8,'Квартальная отчетность'!$E$8:$AG$8,'Квартальная отчетность'!$E212:$AG212)</f>
        <v>0</v>
      </c>
      <c s="125">
        <f>LOOKUP(G$8,'Квартальная отчетность'!$E$8:$BM$8,'Квартальная отчетность'!$E212:$BM212)</f>
        <v>0</v>
      </c>
      <c s="125">
        <f>LOOKUP(H$8,'Квартальная отчетность'!$E$8:$BM$8,'Квартальная отчетность'!$E212:$BM212)</f>
        <v>0</v>
      </c>
      <c s="125">
        <f>LOOKUP(I$8,'Квартальная отчетность'!$E$8:$BM$8,'Квартальная отчетность'!$E212:$BM212)</f>
        <v>0</v>
      </c>
      <c s="125">
        <f>LOOKUP(J$8,'Квартальная отчетность'!$E$8:$BM$8,'Квартальная отчетность'!$E212:$BM212)</f>
        <v>0</v>
      </c>
      <c s="125">
        <f>LOOKUP(K$8,'Квартальная отчетность'!$E$8:$BM$8,'Квартальная отчетность'!$E212:$BM212)</f>
        <v>0</v>
      </c>
      <c s="125">
        <f>LOOKUP(L$8,'Квартальная отчетность'!$E$8:$BM$8,'Квартальная отчетность'!$E212:$BM212)</f>
        <v>0</v>
      </c>
      <c s="125">
        <f>LOOKUP(M$8,'Квартальная отчетность'!$E$8:$BM$8,'Квартальная отчетность'!$E212:$BM212)</f>
        <v>0</v>
      </c>
      <c s="125">
        <f>LOOKUP(N$8,'Квартальная отчетность'!$E$8:$BM$8,'Квартальная отчетность'!$E212:$BM212)</f>
        <v>0</v>
      </c>
      <c s="125">
        <f>LOOKUP(O$8,'Квартальная отчетность'!$E$8:$BM$8,'Квартальная отчетность'!$E212:$BM212)</f>
        <v>0</v>
      </c>
      <c s="125">
        <f>LOOKUP(P$8,'Квартальная отчетность'!$E$8:$BM$8,'Квартальная отчетность'!$E212:$BM212)</f>
        <v>0</v>
      </c>
      <c s="125">
        <f>LOOKUP(Q$8,'Квартальная отчетность'!$E$8:$BM$8,'Квартальная отчетность'!$E212:$BM212)</f>
        <v>0</v>
      </c>
      <c s="125">
        <f>LOOKUP(R$8,'Квартальная отчетность'!$E$8:$BM$8,'Квартальная отчетность'!$E212:$BM212)</f>
        <v>0</v>
      </c>
      <c s="125">
        <f>LOOKUP(S$8,'Квартальная отчетность'!$E$8:$BM$8,'Квартальная отчетность'!$E212:$BM212)</f>
        <v>0</v>
      </c>
      <c s="125">
        <f>LOOKUP(T$8,'Квартальная отчетность'!$E$8:$BM$8,'Квартальная отчетность'!$E212:$BM212)</f>
        <v>0</v>
      </c>
    </row>
    <row r="202" spans="2:20" ht="15" customHeight="1">
      <c r="B202" s="22" t="s">
        <v>1001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отчетность'!$E213:$AG213)</f>
        <v>0</v>
      </c>
      <c s="125">
        <f>LOOKUP(F$8,'Квартальная отчетность'!$E$8:$AG$8,'Квартальная отчетность'!$E213:$AG213)</f>
        <v>0</v>
      </c>
      <c s="125">
        <f>LOOKUP(G$8,'Квартальная отчетность'!$E$8:$BM$8,'Квартальная отчетность'!$E213:$BM213)</f>
        <v>0</v>
      </c>
      <c s="125">
        <f>LOOKUP(H$8,'Квартальная отчетность'!$E$8:$BM$8,'Квартальная отчетность'!$E213:$BM213)</f>
        <v>0</v>
      </c>
      <c s="125">
        <f>LOOKUP(I$8,'Квартальная отчетность'!$E$8:$BM$8,'Квартальная отчетность'!$E213:$BM213)</f>
        <v>0</v>
      </c>
      <c s="125">
        <f>LOOKUP(J$8,'Квартальная отчетность'!$E$8:$BM$8,'Квартальная отчетность'!$E213:$BM213)</f>
        <v>0</v>
      </c>
      <c s="125">
        <f>LOOKUP(K$8,'Квартальная отчетность'!$E$8:$BM$8,'Квартальная отчетность'!$E213:$BM213)</f>
        <v>0</v>
      </c>
      <c s="125">
        <f>LOOKUP(L$8,'Квартальная отчетность'!$E$8:$BM$8,'Квартальная отчетность'!$E213:$BM213)</f>
        <v>0</v>
      </c>
      <c s="125">
        <f>LOOKUP(M$8,'Квартальная отчетность'!$E$8:$BM$8,'Квартальная отчетность'!$E213:$BM213)</f>
        <v>0</v>
      </c>
      <c s="125">
        <f>LOOKUP(N$8,'Квартальная отчетность'!$E$8:$BM$8,'Квартальная отчетность'!$E213:$BM213)</f>
        <v>0</v>
      </c>
      <c s="125">
        <f>LOOKUP(O$8,'Квартальная отчетность'!$E$8:$BM$8,'Квартальная отчетность'!$E213:$BM213)</f>
        <v>0</v>
      </c>
      <c s="125">
        <f>LOOKUP(P$8,'Квартальная отчетность'!$E$8:$BM$8,'Квартальная отчетность'!$E213:$BM213)</f>
        <v>0</v>
      </c>
      <c s="125">
        <f>LOOKUP(Q$8,'Квартальная отчетность'!$E$8:$BM$8,'Квартальная отчетность'!$E213:$BM213)</f>
        <v>0</v>
      </c>
      <c s="125">
        <f>LOOKUP(R$8,'Квартальная отчетность'!$E$8:$BM$8,'Квартальная отчетность'!$E213:$BM213)</f>
        <v>0</v>
      </c>
      <c s="125">
        <f>LOOKUP(S$8,'Квартальная отчетность'!$E$8:$BM$8,'Квартальная отчетность'!$E213:$BM213)</f>
        <v>0</v>
      </c>
      <c s="125">
        <f>LOOKUP(T$8,'Квартальная отчетность'!$E$8:$BM$8,'Квартальная отчетность'!$E213:$BM213)</f>
        <v>0</v>
      </c>
    </row>
    <row r="203" spans="2:20" ht="15" customHeight="1">
      <c r="B203" s="22" t="s">
        <v>1055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отчетность'!$E214:$AG214)</f>
        <v>0</v>
      </c>
      <c s="125">
        <f>LOOKUP(F$8,'Квартальная отчетность'!$E$8:$AG$8,'Квартальная отчетность'!$E214:$AG214)</f>
        <v>0</v>
      </c>
      <c s="125">
        <f>LOOKUP(G$8,'Квартальная отчетность'!$E$8:$BM$8,'Квартальная отчетность'!$E214:$BM214)</f>
        <v>0</v>
      </c>
      <c s="125">
        <f>LOOKUP(H$8,'Квартальная отчетность'!$E$8:$BM$8,'Квартальная отчетность'!$E214:$BM214)</f>
        <v>0</v>
      </c>
      <c s="125">
        <f>LOOKUP(I$8,'Квартальная отчетность'!$E$8:$BM$8,'Квартальная отчетность'!$E214:$BM214)</f>
        <v>0</v>
      </c>
      <c s="125">
        <f>LOOKUP(J$8,'Квартальная отчетность'!$E$8:$BM$8,'Квартальная отчетность'!$E214:$BM214)</f>
        <v>0</v>
      </c>
      <c s="125">
        <f>LOOKUP(K$8,'Квартальная отчетность'!$E$8:$BM$8,'Квартальная отчетность'!$E214:$BM214)</f>
        <v>0</v>
      </c>
      <c s="125">
        <f>LOOKUP(L$8,'Квартальная отчетность'!$E$8:$BM$8,'Квартальная отчетность'!$E214:$BM214)</f>
        <v>0</v>
      </c>
      <c s="125">
        <f>LOOKUP(M$8,'Квартальная отчетность'!$E$8:$BM$8,'Квартальная отчетность'!$E214:$BM214)</f>
        <v>0</v>
      </c>
      <c s="125">
        <f>LOOKUP(N$8,'Квартальная отчетность'!$E$8:$BM$8,'Квартальная отчетность'!$E214:$BM214)</f>
        <v>0</v>
      </c>
      <c s="125">
        <f>LOOKUP(O$8,'Квартальная отчетность'!$E$8:$BM$8,'Квартальная отчетность'!$E214:$BM214)</f>
        <v>0</v>
      </c>
      <c s="125">
        <f>LOOKUP(P$8,'Квартальная отчетность'!$E$8:$BM$8,'Квартальная отчетность'!$E214:$BM214)</f>
        <v>0</v>
      </c>
      <c s="125">
        <f>LOOKUP(Q$8,'Квартальная отчетность'!$E$8:$BM$8,'Квартальная отчетность'!$E214:$BM214)</f>
        <v>0</v>
      </c>
      <c s="125">
        <f>LOOKUP(R$8,'Квартальная отчетность'!$E$8:$BM$8,'Квартальная отчетность'!$E214:$BM214)</f>
        <v>0</v>
      </c>
      <c s="125">
        <f>LOOKUP(S$8,'Квартальная отчетность'!$E$8:$BM$8,'Квартальная отчетность'!$E214:$BM214)</f>
        <v>0</v>
      </c>
      <c s="125">
        <f>LOOKUP(T$8,'Квартальная отчетность'!$E$8:$BM$8,'Квартальная отчетность'!$E214:$BM214)</f>
        <v>0</v>
      </c>
    </row>
    <row r="204" spans="2:20" ht="15" customHeight="1">
      <c r="B204" s="22" t="s">
        <v>1056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отчетность'!$E215:$AG215)</f>
        <v>0</v>
      </c>
      <c s="125">
        <f>LOOKUP(F$8,'Квартальная отчетность'!$E$8:$AG$8,'Квартальная отчетность'!$E215:$AG215)</f>
        <v>0</v>
      </c>
      <c s="125">
        <f>LOOKUP(G$8,'Квартальная отчетность'!$E$8:$BM$8,'Квартальная отчетность'!$E215:$BM215)</f>
        <v>0</v>
      </c>
      <c s="125">
        <f>LOOKUP(H$8,'Квартальная отчетность'!$E$8:$BM$8,'Квартальная отчетность'!$E215:$BM215)</f>
        <v>0</v>
      </c>
      <c s="125">
        <f>LOOKUP(I$8,'Квартальная отчетность'!$E$8:$BM$8,'Квартальная отчетность'!$E215:$BM215)</f>
        <v>0</v>
      </c>
      <c s="125">
        <f>LOOKUP(J$8,'Квартальная отчетность'!$E$8:$BM$8,'Квартальная отчетность'!$E215:$BM215)</f>
        <v>0</v>
      </c>
      <c s="125">
        <f>LOOKUP(K$8,'Квартальная отчетность'!$E$8:$BM$8,'Квартальная отчетность'!$E215:$BM215)</f>
        <v>0</v>
      </c>
      <c s="125">
        <f>LOOKUP(L$8,'Квартальная отчетность'!$E$8:$BM$8,'Квартальная отчетность'!$E215:$BM215)</f>
        <v>0</v>
      </c>
      <c s="125">
        <f>LOOKUP(M$8,'Квартальная отчетность'!$E$8:$BM$8,'Квартальная отчетность'!$E215:$BM215)</f>
        <v>0</v>
      </c>
      <c s="125">
        <f>LOOKUP(N$8,'Квартальная отчетность'!$E$8:$BM$8,'Квартальная отчетность'!$E215:$BM215)</f>
        <v>0</v>
      </c>
      <c s="125">
        <f>LOOKUP(O$8,'Квартальная отчетность'!$E$8:$BM$8,'Квартальная отчетность'!$E215:$BM215)</f>
        <v>0</v>
      </c>
      <c s="125">
        <f>LOOKUP(P$8,'Квартальная отчетность'!$E$8:$BM$8,'Квартальная отчетность'!$E215:$BM215)</f>
        <v>0</v>
      </c>
      <c s="125">
        <f>LOOKUP(Q$8,'Квартальная отчетность'!$E$8:$BM$8,'Квартальная отчетность'!$E215:$BM215)</f>
        <v>0</v>
      </c>
      <c s="125">
        <f>LOOKUP(R$8,'Квартальная отчетность'!$E$8:$BM$8,'Квартальная отчетность'!$E215:$BM215)</f>
        <v>0</v>
      </c>
      <c s="125">
        <f>LOOKUP(S$8,'Квартальная отчетность'!$E$8:$BM$8,'Квартальная отчетность'!$E215:$BM215)</f>
        <v>0</v>
      </c>
      <c s="125">
        <f>LOOKUP(T$8,'Квартальная отчетность'!$E$8:$BM$8,'Квартальная отчетность'!$E215:$BM215)</f>
        <v>0</v>
      </c>
    </row>
    <row r="205" spans="2:20" ht="15" customHeight="1">
      <c r="B205" s="22" t="s">
        <v>1057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отчетность'!$E216:$AG216)</f>
        <v>0</v>
      </c>
      <c s="125">
        <f>LOOKUP(F$8,'Квартальная отчетность'!$E$8:$AG$8,'Квартальная отчетность'!$E216:$AG216)</f>
        <v>0</v>
      </c>
      <c s="125">
        <f>LOOKUP(G$8,'Квартальная отчетность'!$E$8:$BM$8,'Квартальная отчетность'!$E216:$BM216)</f>
        <v>0</v>
      </c>
      <c s="125">
        <f>LOOKUP(H$8,'Квартальная отчетность'!$E$8:$BM$8,'Квартальная отчетность'!$E216:$BM216)</f>
        <v>0</v>
      </c>
      <c s="125">
        <f>LOOKUP(I$8,'Квартальная отчетность'!$E$8:$BM$8,'Квартальная отчетность'!$E216:$BM216)</f>
        <v>0</v>
      </c>
      <c s="125">
        <f>LOOKUP(J$8,'Квартальная отчетность'!$E$8:$BM$8,'Квартальная отчетность'!$E216:$BM216)</f>
        <v>0</v>
      </c>
      <c s="125">
        <f>LOOKUP(K$8,'Квартальная отчетность'!$E$8:$BM$8,'Квартальная отчетность'!$E216:$BM216)</f>
        <v>0</v>
      </c>
      <c s="125">
        <f>LOOKUP(L$8,'Квартальная отчетность'!$E$8:$BM$8,'Квартальная отчетность'!$E216:$BM216)</f>
        <v>0</v>
      </c>
      <c s="125">
        <f>LOOKUP(M$8,'Квартальная отчетность'!$E$8:$BM$8,'Квартальная отчетность'!$E216:$BM216)</f>
        <v>0</v>
      </c>
      <c s="125">
        <f>LOOKUP(N$8,'Квартальная отчетность'!$E$8:$BM$8,'Квартальная отчетность'!$E216:$BM216)</f>
        <v>0</v>
      </c>
      <c s="125">
        <f>LOOKUP(O$8,'Квартальная отчетность'!$E$8:$BM$8,'Квартальная отчетность'!$E216:$BM216)</f>
        <v>0</v>
      </c>
      <c s="125">
        <f>LOOKUP(P$8,'Квартальная отчетность'!$E$8:$BM$8,'Квартальная отчетность'!$E216:$BM216)</f>
        <v>0</v>
      </c>
      <c s="125">
        <f>LOOKUP(Q$8,'Квартальная отчетность'!$E$8:$BM$8,'Квартальная отчетность'!$E216:$BM216)</f>
        <v>0</v>
      </c>
      <c s="125">
        <f>LOOKUP(R$8,'Квартальная отчетность'!$E$8:$BM$8,'Квартальная отчетность'!$E216:$BM216)</f>
        <v>0</v>
      </c>
      <c s="125">
        <f>LOOKUP(S$8,'Квартальная отчетность'!$E$8:$BM$8,'Квартальная отчетность'!$E216:$BM216)</f>
        <v>0</v>
      </c>
      <c s="125">
        <f>LOOKUP(T$8,'Квартальная отчетность'!$E$8:$BM$8,'Квартальная отчетность'!$E216:$BM216)</f>
        <v>0</v>
      </c>
    </row>
    <row r="206" spans="2:20" ht="15" customHeight="1">
      <c r="B206" s="22" t="s">
        <v>1058</v>
      </c>
      <c s="124" t="str">
        <f t="shared" si="90"/>
        <v>тыс. руб.</v>
      </c>
      <c s="125"/>
      <c s="125">
        <f>LOOKUP(E$8,'Квартальная отчетность'!$E$8:$AG$8,'Квартальная отчетность'!$E217:$AG217)</f>
        <v>0</v>
      </c>
      <c s="125">
        <f>LOOKUP(F$8,'Квартальная отчетность'!$E$8:$AG$8,'Квартальная отчетность'!$E217:$AG217)</f>
        <v>0</v>
      </c>
      <c s="125">
        <f>LOOKUP(G$8,'Квартальная отчетность'!$E$8:$BM$8,'Квартальная отчетность'!$E217:$BM217)</f>
        <v>0</v>
      </c>
      <c s="125">
        <f>LOOKUP(H$8,'Квартальная отчетность'!$E$8:$BM$8,'Квартальная отчетность'!$E217:$BM217)</f>
        <v>0</v>
      </c>
      <c s="125">
        <f>LOOKUP(I$8,'Квартальная отчетность'!$E$8:$BM$8,'Квартальная отчетность'!$E217:$BM217)</f>
        <v>0</v>
      </c>
      <c s="125">
        <f>LOOKUP(J$8,'Квартальная отчетность'!$E$8:$BM$8,'Квартальная отчетность'!$E217:$BM217)</f>
        <v>0</v>
      </c>
      <c s="125">
        <f>LOOKUP(K$8,'Квартальная отчетность'!$E$8:$BM$8,'Квартальная отчетность'!$E217:$BM217)</f>
        <v>0</v>
      </c>
      <c s="125">
        <f>LOOKUP(L$8,'Квартальная отчетность'!$E$8:$BM$8,'Квартальная отчетность'!$E217:$BM217)</f>
        <v>0</v>
      </c>
      <c s="125">
        <f>LOOKUP(M$8,'Квартальная отчетность'!$E$8:$BM$8,'Квартальная отчетность'!$E217:$BM217)</f>
        <v>0</v>
      </c>
      <c s="125">
        <f>LOOKUP(N$8,'Квартальная отчетность'!$E$8:$BM$8,'Квартальная отчетность'!$E217:$BM217)</f>
        <v>0</v>
      </c>
      <c s="125">
        <f>LOOKUP(O$8,'Квартальная отчетность'!$E$8:$BM$8,'Квартальная отчетность'!$E217:$BM217)</f>
        <v>0</v>
      </c>
      <c s="125">
        <f>LOOKUP(P$8,'Квартальная отчетность'!$E$8:$BM$8,'Квартальная отчетность'!$E217:$BM217)</f>
        <v>0</v>
      </c>
      <c s="125">
        <f>LOOKUP(Q$8,'Квартальная отчетность'!$E$8:$BM$8,'Квартальная отчетность'!$E217:$BM217)</f>
        <v>0</v>
      </c>
      <c s="125">
        <f>LOOKUP(R$8,'Квартальная отчетность'!$E$8:$BM$8,'Квартальная отчетность'!$E217:$BM217)</f>
        <v>0</v>
      </c>
      <c s="125">
        <f>LOOKUP(S$8,'Квартальная отчетность'!$E$8:$BM$8,'Квартальная отчетность'!$E217:$BM217)</f>
        <v>0</v>
      </c>
      <c s="125">
        <f>LOOKUP(T$8,'Квартальная отчетность'!$E$8:$BM$8,'Квартальная отчетность'!$E217:$BM217)</f>
        <v>0</v>
      </c>
    </row>
    <row r="207" spans="2:20" ht="15" customHeight="1">
      <c r="B207" s="289" t="s">
        <v>1002</v>
      </c>
      <c s="290" t="str">
        <f t="shared" si="90"/>
        <v>тыс. руб.</v>
      </c>
      <c s="276"/>
      <c s="276">
        <f t="shared" si="91" ref="E207">SUM(E198:E206)</f>
        <v>0</v>
      </c>
      <c s="276">
        <f t="shared" si="92" ref="F207:T207">SUM(F198:F206)</f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  <c s="276">
        <f t="shared" si="92"/>
        <v>0</v>
      </c>
    </row>
    <row r="208" ht="15" customHeight="1"/>
    <row r="209" spans="2:26" ht="21">
      <c r="B209" s="24" t="s">
        <v>1003</v>
      </c>
      <c r="D20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10" spans="2:20" ht="15" customHeight="1">
      <c r="B210" s="12" t="s">
        <v>309</v>
      </c>
      <c s="124" t="str">
        <f t="shared" si="93" ref="C210:C217">Единица_измерения</f>
        <v>тыс. руб.</v>
      </c>
      <c s="125"/>
      <c s="125">
        <f>LOOKUP(E$8,'Квартальная отчетность'!$E$8:$AG$8,'Квартальная отчетность'!$E221:$AG221)</f>
        <v>0</v>
      </c>
      <c s="125">
        <f>LOOKUP(F$8,'Квартальная отчетность'!$E$8:$AG$8,'Квартальная отчетность'!$E221:$AG221)</f>
        <v>0</v>
      </c>
      <c s="125">
        <f>LOOKUP(G$8,'Квартальная отчетность'!$E$8:$BM$8,'Квартальная отчетность'!$E221:$BM221)</f>
        <v>0</v>
      </c>
      <c s="125">
        <f>LOOKUP(H$8,'Квартальная отчетность'!$E$8:$BM$8,'Квартальная отчетность'!$E221:$BM221)</f>
        <v>0</v>
      </c>
      <c s="125">
        <f>LOOKUP(I$8,'Квартальная отчетность'!$E$8:$BM$8,'Квартальная отчетность'!$E221:$BM221)</f>
        <v>0</v>
      </c>
      <c s="125">
        <f>LOOKUP(J$8,'Квартальная отчетность'!$E$8:$BM$8,'Квартальная отчетность'!$E221:$BM221)</f>
        <v>0</v>
      </c>
      <c s="125">
        <f>LOOKUP(K$8,'Квартальная отчетность'!$E$8:$BM$8,'Квартальная отчетность'!$E221:$BM221)</f>
        <v>0</v>
      </c>
      <c s="125">
        <f>LOOKUP(L$8,'Квартальная отчетность'!$E$8:$BM$8,'Квартальная отчетность'!$E221:$BM221)</f>
        <v>0</v>
      </c>
      <c s="125">
        <f>LOOKUP(M$8,'Квартальная отчетность'!$E$8:$BM$8,'Квартальная отчетность'!$E221:$BM221)</f>
        <v>0</v>
      </c>
      <c s="125">
        <f>LOOKUP(N$8,'Квартальная отчетность'!$E$8:$BM$8,'Квартальная отчетность'!$E221:$BM221)</f>
        <v>0</v>
      </c>
      <c s="125">
        <f>LOOKUP(O$8,'Квартальная отчетность'!$E$8:$BM$8,'Квартальная отчетность'!$E221:$BM221)</f>
        <v>0</v>
      </c>
      <c s="125">
        <f>LOOKUP(P$8,'Квартальная отчетность'!$E$8:$BM$8,'Квартальная отчетность'!$E221:$BM221)</f>
        <v>0</v>
      </c>
      <c s="125">
        <f>LOOKUP(Q$8,'Квартальная отчетность'!$E$8:$BM$8,'Квартальная отчетность'!$E221:$BM221)</f>
        <v>0</v>
      </c>
      <c s="125">
        <f>LOOKUP(R$8,'Квартальная отчетность'!$E$8:$BM$8,'Квартальная отчетность'!$E221:$BM221)</f>
        <v>0</v>
      </c>
      <c s="125">
        <f>LOOKUP(S$8,'Квартальная отчетность'!$E$8:$BM$8,'Квартальная отчетность'!$E221:$BM221)</f>
        <v>0</v>
      </c>
      <c s="125">
        <f>LOOKUP(T$8,'Квартальная отчетность'!$E$8:$BM$8,'Квартальная отчетность'!$E221:$BM221)</f>
        <v>0</v>
      </c>
    </row>
    <row r="211" spans="2:20" ht="15" customHeight="1">
      <c r="B211" s="22" t="s">
        <v>1004</v>
      </c>
      <c s="124" t="str">
        <f t="shared" si="93"/>
        <v>тыс. руб.</v>
      </c>
      <c s="125"/>
      <c s="125">
        <f>LOOKUP(E$8,'Квартальная отчетность'!$E$8:$AG$8,'Квартальная отчетность'!$E222:$AG222)</f>
        <v>0</v>
      </c>
      <c s="125">
        <f>LOOKUP(F$8,'Квартальная отчетность'!$E$8:$AG$8,'Квартальная отчетность'!$E222:$AG222)</f>
        <v>0</v>
      </c>
      <c s="125">
        <f>LOOKUP(G$8,'Квартальная отчетность'!$E$8:$BM$8,'Квартальная отчетность'!$E222:$BM222)</f>
        <v>0</v>
      </c>
      <c s="125">
        <f>LOOKUP(H$8,'Квартальная отчетность'!$E$8:$BM$8,'Квартальная отчетность'!$E222:$BM222)</f>
        <v>0</v>
      </c>
      <c s="125">
        <f>LOOKUP(I$8,'Квартальная отчетность'!$E$8:$BM$8,'Квартальная отчетность'!$E222:$BM222)</f>
        <v>0</v>
      </c>
      <c s="125">
        <f>LOOKUP(J$8,'Квартальная отчетность'!$E$8:$BM$8,'Квартальная отчетность'!$E222:$BM222)</f>
        <v>0</v>
      </c>
      <c s="125">
        <f>LOOKUP(K$8,'Квартальная отчетность'!$E$8:$BM$8,'Квартальная отчетность'!$E222:$BM222)</f>
        <v>0</v>
      </c>
      <c s="125">
        <f>LOOKUP(L$8,'Квартальная отчетность'!$E$8:$BM$8,'Квартальная отчетность'!$E222:$BM222)</f>
        <v>0</v>
      </c>
      <c s="125">
        <f>LOOKUP(M$8,'Квартальная отчетность'!$E$8:$BM$8,'Квартальная отчетность'!$E222:$BM222)</f>
        <v>0</v>
      </c>
      <c s="125">
        <f>LOOKUP(N$8,'Квартальная отчетность'!$E$8:$BM$8,'Квартальная отчетность'!$E222:$BM222)</f>
        <v>0</v>
      </c>
      <c s="125">
        <f>LOOKUP(O$8,'Квартальная отчетность'!$E$8:$BM$8,'Квартальная отчетность'!$E222:$BM222)</f>
        <v>0</v>
      </c>
      <c s="125">
        <f>LOOKUP(P$8,'Квартальная отчетность'!$E$8:$BM$8,'Квартальная отчетность'!$E222:$BM222)</f>
        <v>0</v>
      </c>
      <c s="125">
        <f>LOOKUP(Q$8,'Квартальная отчетность'!$E$8:$BM$8,'Квартальная отчетность'!$E222:$BM222)</f>
        <v>0</v>
      </c>
      <c s="125">
        <f>LOOKUP(R$8,'Квартальная отчетность'!$E$8:$BM$8,'Квартальная отчетность'!$E222:$BM222)</f>
        <v>0</v>
      </c>
      <c s="125">
        <f>LOOKUP(S$8,'Квартальная отчетность'!$E$8:$BM$8,'Квартальная отчетность'!$E222:$BM222)</f>
        <v>0</v>
      </c>
      <c s="125">
        <f>LOOKUP(T$8,'Квартальная отчетность'!$E$8:$BM$8,'Квартальная отчетность'!$E222:$BM222)</f>
        <v>0</v>
      </c>
    </row>
    <row r="212" spans="2:20" ht="15" customHeight="1">
      <c r="B212" s="22" t="s">
        <v>311</v>
      </c>
      <c s="124" t="str">
        <f t="shared" si="93"/>
        <v>тыс. руб.</v>
      </c>
      <c s="125"/>
      <c s="125">
        <f>LOOKUP(E$8,'Квартальная отчетность'!$E$8:$AG$8,'Квартальная отчетность'!$E223:$AG223)</f>
        <v>0</v>
      </c>
      <c s="125">
        <f>LOOKUP(F$8,'Квартальная отчетность'!$E$8:$AG$8,'Квартальная отчетность'!$E223:$AG223)</f>
        <v>0</v>
      </c>
      <c s="125">
        <f>LOOKUP(G$8,'Квартальная отчетность'!$E$8:$BM$8,'Квартальная отчетность'!$E223:$BM223)</f>
        <v>0</v>
      </c>
      <c s="125">
        <f>LOOKUP(H$8,'Квартальная отчетность'!$E$8:$BM$8,'Квартальная отчетность'!$E223:$BM223)</f>
        <v>0</v>
      </c>
      <c s="125">
        <f>LOOKUP(I$8,'Квартальная отчетность'!$E$8:$BM$8,'Квартальная отчетность'!$E223:$BM223)</f>
        <v>0</v>
      </c>
      <c s="125">
        <f>LOOKUP(J$8,'Квартальная отчетность'!$E$8:$BM$8,'Квартальная отчетность'!$E223:$BM223)</f>
        <v>0</v>
      </c>
      <c s="125">
        <f>LOOKUP(K$8,'Квартальная отчетность'!$E$8:$BM$8,'Квартальная отчетность'!$E223:$BM223)</f>
        <v>0</v>
      </c>
      <c s="125">
        <f>LOOKUP(L$8,'Квартальная отчетность'!$E$8:$BM$8,'Квартальная отчетность'!$E223:$BM223)</f>
        <v>0</v>
      </c>
      <c s="125">
        <f>LOOKUP(M$8,'Квартальная отчетность'!$E$8:$BM$8,'Квартальная отчетность'!$E223:$BM223)</f>
        <v>0</v>
      </c>
      <c s="125">
        <f>LOOKUP(N$8,'Квартальная отчетность'!$E$8:$BM$8,'Квартальная отчетность'!$E223:$BM223)</f>
        <v>0</v>
      </c>
      <c s="125">
        <f>LOOKUP(O$8,'Квартальная отчетность'!$E$8:$BM$8,'Квартальная отчетность'!$E223:$BM223)</f>
        <v>0</v>
      </c>
      <c s="125">
        <f>LOOKUP(P$8,'Квартальная отчетность'!$E$8:$BM$8,'Квартальная отчетность'!$E223:$BM223)</f>
        <v>0</v>
      </c>
      <c s="125">
        <f>LOOKUP(Q$8,'Квартальная отчетность'!$E$8:$BM$8,'Квартальная отчетность'!$E223:$BM223)</f>
        <v>0</v>
      </c>
      <c s="125">
        <f>LOOKUP(R$8,'Квартальная отчетность'!$E$8:$BM$8,'Квартальная отчетность'!$E223:$BM223)</f>
        <v>0</v>
      </c>
      <c s="125">
        <f>LOOKUP(S$8,'Квартальная отчетность'!$E$8:$BM$8,'Квартальная отчетность'!$E223:$BM223)</f>
        <v>0</v>
      </c>
      <c s="125">
        <f>LOOKUP(T$8,'Квартальная отчетность'!$E$8:$BM$8,'Квартальная отчетность'!$E223:$BM223)</f>
        <v>0</v>
      </c>
    </row>
    <row r="213" spans="2:20" ht="15" customHeight="1">
      <c r="B213" s="22" t="s">
        <v>1056</v>
      </c>
      <c s="124" t="str">
        <f t="shared" si="93"/>
        <v>тыс. руб.</v>
      </c>
      <c s="125"/>
      <c s="125">
        <f>LOOKUP(E$8,'Квартальная отчетность'!$E$8:$AG$8,'Квартальная отчетность'!$E224:$AG224)</f>
        <v>0</v>
      </c>
      <c s="125">
        <f>LOOKUP(F$8,'Квартальная отчетность'!$E$8:$AG$8,'Квартальная отчетность'!$E224:$AG224)</f>
        <v>0</v>
      </c>
      <c s="125">
        <f>LOOKUP(G$8,'Квартальная отчетность'!$E$8:$BM$8,'Квартальная отчетность'!$E224:$BM224)</f>
        <v>0</v>
      </c>
      <c s="125">
        <f>LOOKUP(H$8,'Квартальная отчетность'!$E$8:$BM$8,'Квартальная отчетность'!$E224:$BM224)</f>
        <v>0</v>
      </c>
      <c s="125">
        <f>LOOKUP(I$8,'Квартальная отчетность'!$E$8:$BM$8,'Квартальная отчетность'!$E224:$BM224)</f>
        <v>0</v>
      </c>
      <c s="125">
        <f>LOOKUP(J$8,'Квартальная отчетность'!$E$8:$BM$8,'Квартальная отчетность'!$E224:$BM224)</f>
        <v>0</v>
      </c>
      <c s="125">
        <f>LOOKUP(K$8,'Квартальная отчетность'!$E$8:$BM$8,'Квартальная отчетность'!$E224:$BM224)</f>
        <v>0</v>
      </c>
      <c s="125">
        <f>LOOKUP(L$8,'Квартальная отчетность'!$E$8:$BM$8,'Квартальная отчетность'!$E224:$BM224)</f>
        <v>0</v>
      </c>
      <c s="125">
        <f>LOOKUP(M$8,'Квартальная отчетность'!$E$8:$BM$8,'Квартальная отчетность'!$E224:$BM224)</f>
        <v>0</v>
      </c>
      <c s="125">
        <f>LOOKUP(N$8,'Квартальная отчетность'!$E$8:$BM$8,'Квартальная отчетность'!$E224:$BM224)</f>
        <v>0</v>
      </c>
      <c s="125">
        <f>LOOKUP(O$8,'Квартальная отчетность'!$E$8:$BM$8,'Квартальная отчетность'!$E224:$BM224)</f>
        <v>0</v>
      </c>
      <c s="125">
        <f>LOOKUP(P$8,'Квартальная отчетность'!$E$8:$BM$8,'Квартальная отчетность'!$E224:$BM224)</f>
        <v>0</v>
      </c>
      <c s="125">
        <f>LOOKUP(Q$8,'Квартальная отчетность'!$E$8:$BM$8,'Квартальная отчетность'!$E224:$BM224)</f>
        <v>0</v>
      </c>
      <c s="125">
        <f>LOOKUP(R$8,'Квартальная отчетность'!$E$8:$BM$8,'Квартальная отчетность'!$E224:$BM224)</f>
        <v>0</v>
      </c>
      <c s="125">
        <f>LOOKUP(S$8,'Квартальная отчетность'!$E$8:$BM$8,'Квартальная отчетность'!$E224:$BM224)</f>
        <v>0</v>
      </c>
      <c s="125">
        <f>LOOKUP(T$8,'Квартальная отчетность'!$E$8:$BM$8,'Квартальная отчетность'!$E224:$BM224)</f>
        <v>0</v>
      </c>
    </row>
    <row r="214" spans="2:20" ht="15" customHeight="1">
      <c r="B214" s="22" t="s">
        <v>1056</v>
      </c>
      <c s="124" t="str">
        <f t="shared" si="93"/>
        <v>тыс. руб.</v>
      </c>
      <c s="125"/>
      <c s="125">
        <f ca="1">LOOKUP(E$8,'Квартальная отчетность'!$E$8:$AG$8,'Квартальная отчетность'!$E225:$AG225)</f>
        <v>0</v>
      </c>
      <c s="125">
        <f ca="1">LOOKUP(F$8,'Квартальная отчетность'!$E$8:$AG$8,'Квартальная отчетность'!$E225:$AG225)</f>
        <v>0</v>
      </c>
      <c s="125">
        <f ca="1">LOOKUP(G$8,'Квартальная отчетность'!$E$8:$BM$8,'Квартальная отчетность'!$E225:$BM225)</f>
        <v>0</v>
      </c>
      <c s="125">
        <f ca="1">LOOKUP(H$8,'Квартальная отчетность'!$E$8:$BM$8,'Квартальная отчетность'!$E225:$BM225)</f>
        <v>0</v>
      </c>
      <c s="125">
        <f ca="1">LOOKUP(I$8,'Квартальная отчетность'!$E$8:$BM$8,'Квартальная отчетность'!$E225:$BM225)</f>
        <v>0</v>
      </c>
      <c s="125">
        <f ca="1">LOOKUP(J$8,'Квартальная отчетность'!$E$8:$BM$8,'Квартальная отчетность'!$E225:$BM225)</f>
        <v>0</v>
      </c>
      <c s="125">
        <f ca="1">LOOKUP(K$8,'Квартальная отчетность'!$E$8:$BM$8,'Квартальная отчетность'!$E225:$BM225)</f>
        <v>0</v>
      </c>
      <c s="125">
        <f ca="1">LOOKUP(L$8,'Квартальная отчетность'!$E$8:$BM$8,'Квартальная отчетность'!$E225:$BM225)</f>
        <v>0</v>
      </c>
      <c s="125">
        <f ca="1">LOOKUP(M$8,'Квартальная отчетность'!$E$8:$BM$8,'Квартальная отчетность'!$E225:$BM225)</f>
        <v>0</v>
      </c>
      <c s="125">
        <f ca="1">LOOKUP(N$8,'Квартальная отчетность'!$E$8:$BM$8,'Квартальная отчетность'!$E225:$BM225)</f>
        <v>0</v>
      </c>
      <c s="125">
        <f ca="1">LOOKUP(O$8,'Квартальная отчетность'!$E$8:$BM$8,'Квартальная отчетность'!$E225:$BM225)</f>
        <v>0</v>
      </c>
      <c s="125">
        <f ca="1">LOOKUP(P$8,'Квартальная отчетность'!$E$8:$BM$8,'Квартальная отчетность'!$E225:$BM225)</f>
        <v>0</v>
      </c>
      <c s="125">
        <f ca="1">LOOKUP(Q$8,'Квартальная отчетность'!$E$8:$BM$8,'Квартальная отчетность'!$E225:$BM225)</f>
        <v>0</v>
      </c>
      <c s="125">
        <f ca="1">LOOKUP(R$8,'Квартальная отчетность'!$E$8:$BM$8,'Квартальная отчетность'!$E225:$BM225)</f>
        <v>0</v>
      </c>
      <c s="125">
        <f ca="1">LOOKUP(S$8,'Квартальная отчетность'!$E$8:$BM$8,'Квартальная отчетность'!$E225:$BM225)</f>
        <v>0</v>
      </c>
      <c s="125">
        <f ca="1">LOOKUP(T$8,'Квартальная отчетность'!$E$8:$BM$8,'Квартальная отчетность'!$E225:$BM225)</f>
        <v>0</v>
      </c>
    </row>
    <row r="215" spans="2:20" ht="15" customHeight="1">
      <c r="B215" s="22" t="s">
        <v>1060</v>
      </c>
      <c s="124" t="str">
        <f t="shared" si="93"/>
        <v>тыс. руб.</v>
      </c>
      <c s="125"/>
      <c s="125">
        <f ca="1">LOOKUP(E$8,'Квартальная отчетность'!$E$8:$AG$8,'Квартальная отчетность'!$E226:$AG226)</f>
        <v>0</v>
      </c>
      <c s="125">
        <f ca="1">LOOKUP(F$8,'Квартальная отчетность'!$E$8:$AG$8,'Квартальная отчетность'!$E226:$AG226)</f>
        <v>0</v>
      </c>
      <c s="125">
        <f ca="1">LOOKUP(G$8,'Квартальная отчетность'!$E$8:$BM$8,'Квартальная отчетность'!$E226:$BM226)</f>
        <v>0</v>
      </c>
      <c s="125">
        <f ca="1">LOOKUP(H$8,'Квартальная отчетность'!$E$8:$BM$8,'Квартальная отчетность'!$E226:$BM226)</f>
        <v>0</v>
      </c>
      <c s="125">
        <f ca="1">LOOKUP(I$8,'Квартальная отчетность'!$E$8:$BM$8,'Квартальная отчетность'!$E226:$BM226)</f>
        <v>0</v>
      </c>
      <c s="125">
        <f ca="1">LOOKUP(J$8,'Квартальная отчетность'!$E$8:$BM$8,'Квартальная отчетность'!$E226:$BM226)</f>
        <v>0</v>
      </c>
      <c s="125">
        <f ca="1">LOOKUP(K$8,'Квартальная отчетность'!$E$8:$BM$8,'Квартальная отчетность'!$E226:$BM226)</f>
        <v>0</v>
      </c>
      <c s="125">
        <f ca="1">LOOKUP(L$8,'Квартальная отчетность'!$E$8:$BM$8,'Квартальная отчетность'!$E226:$BM226)</f>
        <v>0</v>
      </c>
      <c s="125">
        <f ca="1">LOOKUP(M$8,'Квартальная отчетность'!$E$8:$BM$8,'Квартальная отчетность'!$E226:$BM226)</f>
        <v>0</v>
      </c>
      <c s="125">
        <f ca="1">LOOKUP(N$8,'Квартальная отчетность'!$E$8:$BM$8,'Квартальная отчетность'!$E226:$BM226)</f>
        <v>0</v>
      </c>
      <c s="125">
        <f ca="1">LOOKUP(O$8,'Квартальная отчетность'!$E$8:$BM$8,'Квартальная отчетность'!$E226:$BM226)</f>
        <v>0</v>
      </c>
      <c s="125">
        <f ca="1">LOOKUP(P$8,'Квартальная отчетность'!$E$8:$BM$8,'Квартальная отчетность'!$E226:$BM226)</f>
        <v>0</v>
      </c>
      <c s="125">
        <f ca="1">LOOKUP(Q$8,'Квартальная отчетность'!$E$8:$BM$8,'Квартальная отчетность'!$E226:$BM226)</f>
        <v>0</v>
      </c>
      <c s="125">
        <f ca="1">LOOKUP(R$8,'Квартальная отчетность'!$E$8:$BM$8,'Квартальная отчетность'!$E226:$BM226)</f>
        <v>0</v>
      </c>
      <c s="125">
        <f ca="1">LOOKUP(S$8,'Квартальная отчетность'!$E$8:$BM$8,'Квартальная отчетность'!$E226:$BM226)</f>
        <v>0</v>
      </c>
      <c s="125">
        <f ca="1">LOOKUP(T$8,'Квартальная отчетность'!$E$8:$BM$8,'Квартальная отчетность'!$E226:$BM226)</f>
        <v>0</v>
      </c>
    </row>
    <row r="216" spans="2:20" ht="15" customHeight="1">
      <c r="B216" s="22" t="s">
        <v>1061</v>
      </c>
      <c s="124" t="str">
        <f t="shared" si="93"/>
        <v>тыс. руб.</v>
      </c>
      <c s="125"/>
      <c s="125">
        <f>LOOKUP(E$8,'Квартальная отчетность'!$E$8:$AG$8,'Квартальная отчетность'!$E227:$AG227)</f>
        <v>0</v>
      </c>
      <c s="125">
        <f>LOOKUP(F$8,'Квартальная отчетность'!$E$8:$AG$8,'Квартальная отчетность'!$E227:$AG227)</f>
        <v>0</v>
      </c>
      <c s="125">
        <f>LOOKUP(G$8,'Квартальная отчетность'!$E$8:$BM$8,'Квартальная отчетность'!$E227:$BM227)</f>
        <v>0</v>
      </c>
      <c s="125">
        <f>LOOKUP(H$8,'Квартальная отчетность'!$E$8:$BM$8,'Квартальная отчетность'!$E227:$BM227)</f>
        <v>0</v>
      </c>
      <c s="125">
        <f>LOOKUP(I$8,'Квартальная отчетность'!$E$8:$BM$8,'Квартальная отчетность'!$E227:$BM227)</f>
        <v>0</v>
      </c>
      <c s="125">
        <f>LOOKUP(J$8,'Квартальная отчетность'!$E$8:$BM$8,'Квартальная отчетность'!$E227:$BM227)</f>
        <v>0</v>
      </c>
      <c s="125">
        <f>LOOKUP(K$8,'Квартальная отчетность'!$E$8:$BM$8,'Квартальная отчетность'!$E227:$BM227)</f>
        <v>0</v>
      </c>
      <c s="125">
        <f>LOOKUP(L$8,'Квартальная отчетность'!$E$8:$BM$8,'Квартальная отчетность'!$E227:$BM227)</f>
        <v>0</v>
      </c>
      <c s="125">
        <f>LOOKUP(M$8,'Квартальная отчетность'!$E$8:$BM$8,'Квартальная отчетность'!$E227:$BM227)</f>
        <v>0</v>
      </c>
      <c s="125">
        <f>LOOKUP(N$8,'Квартальная отчетность'!$E$8:$BM$8,'Квартальная отчетность'!$E227:$BM227)</f>
        <v>0</v>
      </c>
      <c s="125">
        <f>LOOKUP(O$8,'Квартальная отчетность'!$E$8:$BM$8,'Квартальная отчетность'!$E227:$BM227)</f>
        <v>0</v>
      </c>
      <c s="125">
        <f>LOOKUP(P$8,'Квартальная отчетность'!$E$8:$BM$8,'Квартальная отчетность'!$E227:$BM227)</f>
        <v>0</v>
      </c>
      <c s="125">
        <f>LOOKUP(Q$8,'Квартальная отчетность'!$E$8:$BM$8,'Квартальная отчетность'!$E227:$BM227)</f>
        <v>0</v>
      </c>
      <c s="125">
        <f>LOOKUP(R$8,'Квартальная отчетность'!$E$8:$BM$8,'Квартальная отчетность'!$E227:$BM227)</f>
        <v>0</v>
      </c>
      <c s="125">
        <f>LOOKUP(S$8,'Квартальная отчетность'!$E$8:$BM$8,'Квартальная отчетность'!$E227:$BM227)</f>
        <v>0</v>
      </c>
      <c s="125">
        <f>LOOKUP(T$8,'Квартальная отчетность'!$E$8:$BM$8,'Квартальная отчетность'!$E227:$BM227)</f>
        <v>0</v>
      </c>
    </row>
    <row r="217" spans="2:20" ht="15" customHeight="1">
      <c r="B217" s="289" t="s">
        <v>1006</v>
      </c>
      <c s="290" t="str">
        <f t="shared" si="93"/>
        <v>тыс. руб.</v>
      </c>
      <c s="276"/>
      <c s="276">
        <f ca="1" t="shared" si="94" ref="E217">SUM(E210:E216)</f>
        <v>0</v>
      </c>
      <c s="276">
        <f ca="1" t="shared" si="95" ref="F217:T217">SUM(F210:F216)</f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  <c s="276">
        <f t="shared" ca="1" si="95"/>
        <v>0</v>
      </c>
    </row>
    <row r="218" ht="15" customHeight="1"/>
    <row r="219" spans="2:20" ht="15" customHeight="1">
      <c r="B219" s="292" t="s">
        <v>1007</v>
      </c>
      <c s="293" t="str">
        <f>Единица_измерения</f>
        <v>тыс. руб.</v>
      </c>
      <c s="291"/>
      <c s="291">
        <f ca="1" t="shared" si="96" ref="E219">SUM(E207,E217)</f>
        <v>0</v>
      </c>
      <c s="291">
        <f ca="1" t="shared" si="97" ref="F219:T219">SUM(F207,F217)</f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  <c s="291">
        <f t="shared" ca="1" si="97"/>
        <v>0</v>
      </c>
    </row>
    <row r="220" ht="15" customHeight="1"/>
    <row r="221" spans="2:26" ht="21">
      <c r="B221" s="24" t="s">
        <v>1062</v>
      </c>
      <c r="D22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22" spans="2:20" ht="15" customHeight="1">
      <c r="B222" s="12" t="s">
        <v>1063</v>
      </c>
      <c s="124" t="str">
        <f t="shared" si="98" ref="C222:C228">Единица_измерения</f>
        <v>тыс. руб.</v>
      </c>
      <c s="125"/>
      <c s="125">
        <f>LOOKUP(E$8,'Квартальная отчетность'!$E$8:$AG$8,'Квартальная отчетность'!$E233:$AG233)</f>
        <v>0</v>
      </c>
      <c s="125">
        <f>LOOKUP(F$8,'Квартальная отчетность'!$E$8:$AG$8,'Квартальная отчетность'!$E233:$AG233)</f>
        <v>0</v>
      </c>
      <c s="125">
        <f>LOOKUP(G$8,'Квартальная отчетность'!$E$8:$BM$8,'Квартальная отчетность'!$E233:$BM233)</f>
        <v>0</v>
      </c>
      <c s="125">
        <f>LOOKUP(H$8,'Квартальная отчетность'!$E$8:$BM$8,'Квартальная отчетность'!$E233:$BM233)</f>
        <v>0</v>
      </c>
      <c s="125">
        <f>LOOKUP(I$8,'Квартальная отчетность'!$E$8:$BM$8,'Квартальная отчетность'!$E233:$BM233)</f>
        <v>0</v>
      </c>
      <c s="125">
        <f>LOOKUP(J$8,'Квартальная отчетность'!$E$8:$BM$8,'Квартальная отчетность'!$E233:$BM233)</f>
        <v>0</v>
      </c>
      <c s="125">
        <f>LOOKUP(K$8,'Квартальная отчетность'!$E$8:$BM$8,'Квартальная отчетность'!$E233:$BM233)</f>
        <v>0</v>
      </c>
      <c s="125">
        <f>LOOKUP(L$8,'Квартальная отчетность'!$E$8:$BM$8,'Квартальная отчетность'!$E233:$BM233)</f>
        <v>0</v>
      </c>
      <c s="125">
        <f>LOOKUP(M$8,'Квартальная отчетность'!$E$8:$BM$8,'Квартальная отчетность'!$E233:$BM233)</f>
        <v>0</v>
      </c>
      <c s="125">
        <f>LOOKUP(N$8,'Квартальная отчетность'!$E$8:$BM$8,'Квартальная отчетность'!$E233:$BM233)</f>
        <v>0</v>
      </c>
      <c s="125">
        <f>LOOKUP(O$8,'Квартальная отчетность'!$E$8:$BM$8,'Квартальная отчетность'!$E233:$BM233)</f>
        <v>0</v>
      </c>
      <c s="125">
        <f>LOOKUP(P$8,'Квартальная отчетность'!$E$8:$BM$8,'Квартальная отчетность'!$E233:$BM233)</f>
        <v>0</v>
      </c>
      <c s="125">
        <f>LOOKUP(Q$8,'Квартальная отчетность'!$E$8:$BM$8,'Квартальная отчетность'!$E233:$BM233)</f>
        <v>0</v>
      </c>
      <c s="125">
        <f>LOOKUP(R$8,'Квартальная отчетность'!$E$8:$BM$8,'Квартальная отчетность'!$E233:$BM233)</f>
        <v>0</v>
      </c>
      <c s="125">
        <f>LOOKUP(S$8,'Квартальная отчетность'!$E$8:$BM$8,'Квартальная отчетность'!$E233:$BM233)</f>
        <v>0</v>
      </c>
      <c s="125">
        <f>LOOKUP(T$8,'Квартальная отчетность'!$E$8:$BM$8,'Квартальная отчетность'!$E233:$BM233)</f>
        <v>0</v>
      </c>
    </row>
    <row r="223" spans="2:20" ht="15" customHeight="1">
      <c r="B223" s="22" t="s">
        <v>1064</v>
      </c>
      <c s="124" t="str">
        <f t="shared" si="98"/>
        <v>тыс. руб.</v>
      </c>
      <c s="125"/>
      <c s="125">
        <f>LOOKUP(E$8,'Квартальная отчетность'!$E$8:$AG$8,'Квартальная отчетность'!$E234:$AG234)</f>
        <v>0</v>
      </c>
      <c s="125">
        <f>LOOKUP(F$8,'Квартальная отчетность'!$E$8:$AG$8,'Квартальная отчетность'!$E234:$AG234)</f>
        <v>0</v>
      </c>
      <c s="125">
        <f>LOOKUP(G$8,'Квартальная отчетность'!$E$8:$BM$8,'Квартальная отчетность'!$E234:$BM234)</f>
        <v>0</v>
      </c>
      <c s="125">
        <f>LOOKUP(H$8,'Квартальная отчетность'!$E$8:$BM$8,'Квартальная отчетность'!$E234:$BM234)</f>
        <v>0</v>
      </c>
      <c s="125">
        <f>LOOKUP(I$8,'Квартальная отчетность'!$E$8:$BM$8,'Квартальная отчетность'!$E234:$BM234)</f>
        <v>0</v>
      </c>
      <c s="125">
        <f>LOOKUP(J$8,'Квартальная отчетность'!$E$8:$BM$8,'Квартальная отчетность'!$E234:$BM234)</f>
        <v>0</v>
      </c>
      <c s="125">
        <f>LOOKUP(K$8,'Квартальная отчетность'!$E$8:$BM$8,'Квартальная отчетность'!$E234:$BM234)</f>
        <v>0</v>
      </c>
      <c s="125">
        <f>LOOKUP(L$8,'Квартальная отчетность'!$E$8:$BM$8,'Квартальная отчетность'!$E234:$BM234)</f>
        <v>0</v>
      </c>
      <c s="125">
        <f>LOOKUP(M$8,'Квартальная отчетность'!$E$8:$BM$8,'Квартальная отчетность'!$E234:$BM234)</f>
        <v>0</v>
      </c>
      <c s="125">
        <f>LOOKUP(N$8,'Квартальная отчетность'!$E$8:$BM$8,'Квартальная отчетность'!$E234:$BM234)</f>
        <v>0</v>
      </c>
      <c s="125">
        <f>LOOKUP(O$8,'Квартальная отчетность'!$E$8:$BM$8,'Квартальная отчетность'!$E234:$BM234)</f>
        <v>0</v>
      </c>
      <c s="125">
        <f>LOOKUP(P$8,'Квартальная отчетность'!$E$8:$BM$8,'Квартальная отчетность'!$E234:$BM234)</f>
        <v>0</v>
      </c>
      <c s="125">
        <f>LOOKUP(Q$8,'Квартальная отчетность'!$E$8:$BM$8,'Квартальная отчетность'!$E234:$BM234)</f>
        <v>0</v>
      </c>
      <c s="125">
        <f>LOOKUP(R$8,'Квартальная отчетность'!$E$8:$BM$8,'Квартальная отчетность'!$E234:$BM234)</f>
        <v>0</v>
      </c>
      <c s="125">
        <f>LOOKUP(S$8,'Квартальная отчетность'!$E$8:$BM$8,'Квартальная отчетность'!$E234:$BM234)</f>
        <v>0</v>
      </c>
      <c s="125">
        <f>LOOKUP(T$8,'Квартальная отчетность'!$E$8:$BM$8,'Квартальная отчетность'!$E234:$BM234)</f>
        <v>0</v>
      </c>
    </row>
    <row r="224" spans="2:20" ht="15" customHeight="1">
      <c r="B224" s="22" t="s">
        <v>1065</v>
      </c>
      <c s="124" t="str">
        <f t="shared" si="98"/>
        <v>тыс. руб.</v>
      </c>
      <c s="125"/>
      <c s="125">
        <f>LOOKUP(E$8,'Квартальная отчетность'!$E$8:$AG$8,'Квартальная отчетность'!$E235:$AG235)</f>
        <v>0</v>
      </c>
      <c s="125">
        <f>LOOKUP(F$8,'Квартальная отчетность'!$E$8:$AG$8,'Квартальная отчетность'!$E235:$AG235)</f>
        <v>0</v>
      </c>
      <c s="125">
        <f>LOOKUP(G$8,'Квартальная отчетность'!$E$8:$BM$8,'Квартальная отчетность'!$E235:$BM235)</f>
        <v>0</v>
      </c>
      <c s="125">
        <f>LOOKUP(H$8,'Квартальная отчетность'!$E$8:$BM$8,'Квартальная отчетность'!$E235:$BM235)</f>
        <v>0</v>
      </c>
      <c s="125">
        <f>LOOKUP(I$8,'Квартальная отчетность'!$E$8:$BM$8,'Квартальная отчетность'!$E235:$BM235)</f>
        <v>0</v>
      </c>
      <c s="125">
        <f>LOOKUP(J$8,'Квартальная отчетность'!$E$8:$BM$8,'Квартальная отчетность'!$E235:$BM235)</f>
        <v>0</v>
      </c>
      <c s="125">
        <f>LOOKUP(K$8,'Квартальная отчетность'!$E$8:$BM$8,'Квартальная отчетность'!$E235:$BM235)</f>
        <v>0</v>
      </c>
      <c s="125">
        <f>LOOKUP(L$8,'Квартальная отчетность'!$E$8:$BM$8,'Квартальная отчетность'!$E235:$BM235)</f>
        <v>0</v>
      </c>
      <c s="125">
        <f>LOOKUP(M$8,'Квартальная отчетность'!$E$8:$BM$8,'Квартальная отчетность'!$E235:$BM235)</f>
        <v>0</v>
      </c>
      <c s="125">
        <f>LOOKUP(N$8,'Квартальная отчетность'!$E$8:$BM$8,'Квартальная отчетность'!$E235:$BM235)</f>
        <v>0</v>
      </c>
      <c s="125">
        <f>LOOKUP(O$8,'Квартальная отчетность'!$E$8:$BM$8,'Квартальная отчетность'!$E235:$BM235)</f>
        <v>0</v>
      </c>
      <c s="125">
        <f>LOOKUP(P$8,'Квартальная отчетность'!$E$8:$BM$8,'Квартальная отчетность'!$E235:$BM235)</f>
        <v>0</v>
      </c>
      <c s="125">
        <f>LOOKUP(Q$8,'Квартальная отчетность'!$E$8:$BM$8,'Квартальная отчетность'!$E235:$BM235)</f>
        <v>0</v>
      </c>
      <c s="125">
        <f>LOOKUP(R$8,'Квартальная отчетность'!$E$8:$BM$8,'Квартальная отчетность'!$E235:$BM235)</f>
        <v>0</v>
      </c>
      <c s="125">
        <f>LOOKUP(S$8,'Квартальная отчетность'!$E$8:$BM$8,'Квартальная отчетность'!$E235:$BM235)</f>
        <v>0</v>
      </c>
      <c s="125">
        <f>LOOKUP(T$8,'Квартальная отчетность'!$E$8:$BM$8,'Квартальная отчетность'!$E235:$BM235)</f>
        <v>0</v>
      </c>
    </row>
    <row r="225" spans="2:20" ht="15" customHeight="1">
      <c r="B225" s="22" t="s">
        <v>1066</v>
      </c>
      <c s="124" t="str">
        <f t="shared" si="98"/>
        <v>тыс. руб.</v>
      </c>
      <c s="125"/>
      <c s="125">
        <f>LOOKUP(E$8,'Квартальная отчетность'!$E$8:$AG$8,'Квартальная отчетность'!$E236:$AG236)</f>
        <v>0</v>
      </c>
      <c s="125">
        <f>LOOKUP(F$8,'Квартальная отчетность'!$E$8:$AG$8,'Квартальная отчетность'!$E236:$AG236)</f>
        <v>0</v>
      </c>
      <c s="125">
        <f>LOOKUP(G$8,'Квартальная отчетность'!$E$8:$BM$8,'Квартальная отчетность'!$E236:$BM236)</f>
        <v>0</v>
      </c>
      <c s="125">
        <f>LOOKUP(H$8,'Квартальная отчетность'!$E$8:$BM$8,'Квартальная отчетность'!$E236:$BM236)</f>
        <v>0</v>
      </c>
      <c s="125">
        <f>LOOKUP(I$8,'Квартальная отчетность'!$E$8:$BM$8,'Квартальная отчетность'!$E236:$BM236)</f>
        <v>0</v>
      </c>
      <c s="125">
        <f>LOOKUP(J$8,'Квартальная отчетность'!$E$8:$BM$8,'Квартальная отчетность'!$E236:$BM236)</f>
        <v>0</v>
      </c>
      <c s="125">
        <f>LOOKUP(K$8,'Квартальная отчетность'!$E$8:$BM$8,'Квартальная отчетность'!$E236:$BM236)</f>
        <v>0</v>
      </c>
      <c s="125">
        <f>LOOKUP(L$8,'Квартальная отчетность'!$E$8:$BM$8,'Квартальная отчетность'!$E236:$BM236)</f>
        <v>0</v>
      </c>
      <c s="125">
        <f>LOOKUP(M$8,'Квартальная отчетность'!$E$8:$BM$8,'Квартальная отчетность'!$E236:$BM236)</f>
        <v>0</v>
      </c>
      <c s="125">
        <f>LOOKUP(N$8,'Квартальная отчетность'!$E$8:$BM$8,'Квартальная отчетность'!$E236:$BM236)</f>
        <v>0</v>
      </c>
      <c s="125">
        <f>LOOKUP(O$8,'Квартальная отчетность'!$E$8:$BM$8,'Квартальная отчетность'!$E236:$BM236)</f>
        <v>0</v>
      </c>
      <c s="125">
        <f>LOOKUP(P$8,'Квартальная отчетность'!$E$8:$BM$8,'Квартальная отчетность'!$E236:$BM236)</f>
        <v>0</v>
      </c>
      <c s="125">
        <f>LOOKUP(Q$8,'Квартальная отчетность'!$E$8:$BM$8,'Квартальная отчетность'!$E236:$BM236)</f>
        <v>0</v>
      </c>
      <c s="125">
        <f>LOOKUP(R$8,'Квартальная отчетность'!$E$8:$BM$8,'Квартальная отчетность'!$E236:$BM236)</f>
        <v>0</v>
      </c>
      <c s="125">
        <f>LOOKUP(S$8,'Квартальная отчетность'!$E$8:$BM$8,'Квартальная отчетность'!$E236:$BM236)</f>
        <v>0</v>
      </c>
      <c s="125">
        <f>LOOKUP(T$8,'Квартальная отчетность'!$E$8:$BM$8,'Квартальная отчетность'!$E236:$BM236)</f>
        <v>0</v>
      </c>
    </row>
    <row r="226" spans="2:20" ht="15" customHeight="1">
      <c r="B226" s="22" t="s">
        <v>1067</v>
      </c>
      <c s="124" t="str">
        <f t="shared" si="98"/>
        <v>тыс. руб.</v>
      </c>
      <c s="125"/>
      <c s="125">
        <f>LOOKUP(E$8,'Квартальная отчетность'!$E$8:$AG$8,'Квартальная отчетность'!$E237:$AG237)</f>
        <v>0</v>
      </c>
      <c s="125">
        <f>LOOKUP(F$8,'Квартальная отчетность'!$E$8:$AG$8,'Квартальная отчетность'!$E237:$AG237)</f>
        <v>0</v>
      </c>
      <c s="125">
        <f>LOOKUP(G$8,'Квартальная отчетность'!$E$8:$BM$8,'Квартальная отчетность'!$E237:$BM237)</f>
        <v>0</v>
      </c>
      <c s="125">
        <f>LOOKUP(H$8,'Квартальная отчетность'!$E$8:$BM$8,'Квартальная отчетность'!$E237:$BM237)</f>
        <v>0</v>
      </c>
      <c s="125">
        <f>LOOKUP(I$8,'Квартальная отчетность'!$E$8:$BM$8,'Квартальная отчетность'!$E237:$BM237)</f>
        <v>0</v>
      </c>
      <c s="125">
        <f>LOOKUP(J$8,'Квартальная отчетность'!$E$8:$BM$8,'Квартальная отчетность'!$E237:$BM237)</f>
        <v>0</v>
      </c>
      <c s="125">
        <f>LOOKUP(K$8,'Квартальная отчетность'!$E$8:$BM$8,'Квартальная отчетность'!$E237:$BM237)</f>
        <v>0</v>
      </c>
      <c s="125">
        <f>LOOKUP(L$8,'Квартальная отчетность'!$E$8:$BM$8,'Квартальная отчетность'!$E237:$BM237)</f>
        <v>0</v>
      </c>
      <c s="125">
        <f>LOOKUP(M$8,'Квартальная отчетность'!$E$8:$BM$8,'Квартальная отчетность'!$E237:$BM237)</f>
        <v>0</v>
      </c>
      <c s="125">
        <f>LOOKUP(N$8,'Квартальная отчетность'!$E$8:$BM$8,'Квартальная отчетность'!$E237:$BM237)</f>
        <v>0</v>
      </c>
      <c s="125">
        <f>LOOKUP(O$8,'Квартальная отчетность'!$E$8:$BM$8,'Квартальная отчетность'!$E237:$BM237)</f>
        <v>0</v>
      </c>
      <c s="125">
        <f>LOOKUP(P$8,'Квартальная отчетность'!$E$8:$BM$8,'Квартальная отчетность'!$E237:$BM237)</f>
        <v>0</v>
      </c>
      <c s="125">
        <f>LOOKUP(Q$8,'Квартальная отчетность'!$E$8:$BM$8,'Квартальная отчетность'!$E237:$BM237)</f>
        <v>0</v>
      </c>
      <c s="125">
        <f>LOOKUP(R$8,'Квартальная отчетность'!$E$8:$BM$8,'Квартальная отчетность'!$E237:$BM237)</f>
        <v>0</v>
      </c>
      <c s="125">
        <f>LOOKUP(S$8,'Квартальная отчетность'!$E$8:$BM$8,'Квартальная отчетность'!$E237:$BM237)</f>
        <v>0</v>
      </c>
      <c s="125">
        <f>LOOKUP(T$8,'Квартальная отчетность'!$E$8:$BM$8,'Квартальная отчетность'!$E237:$BM237)</f>
        <v>0</v>
      </c>
    </row>
    <row r="227" spans="2:20" ht="15" customHeight="1">
      <c r="B227" s="22" t="s">
        <v>1009</v>
      </c>
      <c s="124" t="str">
        <f t="shared" si="98"/>
        <v>тыс. руб.</v>
      </c>
      <c s="125"/>
      <c s="125">
        <f>LOOKUP(E$8,'Квартальная отчетность'!$E$8:$AG$8,'Квартальная отчетность'!$E238:$AG238)</f>
        <v>0</v>
      </c>
      <c s="125">
        <f>LOOKUP(F$8,'Квартальная отчетность'!$E$8:$AG$8,'Квартальная отчетность'!$E238:$AG238)</f>
        <v>0</v>
      </c>
      <c s="125">
        <f>LOOKUP(G$8,'Квартальная отчетность'!$E$8:$BM$8,'Квартальная отчетность'!$E238:$BM238)</f>
        <v>0</v>
      </c>
      <c s="125">
        <f>LOOKUP(H$8,'Квартальная отчетность'!$E$8:$BM$8,'Квартальная отчетность'!$E238:$BM238)</f>
        <v>0</v>
      </c>
      <c s="125">
        <f>LOOKUP(I$8,'Квартальная отчетность'!$E$8:$BM$8,'Квартальная отчетность'!$E238:$BM238)</f>
        <v>0</v>
      </c>
      <c s="125">
        <f>LOOKUP(J$8,'Квартальная отчетность'!$E$8:$BM$8,'Квартальная отчетность'!$E238:$BM238)</f>
        <v>0</v>
      </c>
      <c s="125">
        <f>LOOKUP(K$8,'Квартальная отчетность'!$E$8:$BM$8,'Квартальная отчетность'!$E238:$BM238)</f>
        <v>0</v>
      </c>
      <c s="125">
        <f>LOOKUP(L$8,'Квартальная отчетность'!$E$8:$BM$8,'Квартальная отчетность'!$E238:$BM238)</f>
        <v>0</v>
      </c>
      <c s="125">
        <f>LOOKUP(M$8,'Квартальная отчетность'!$E$8:$BM$8,'Квартальная отчетность'!$E238:$BM238)</f>
        <v>0</v>
      </c>
      <c s="125">
        <f>LOOKUP(N$8,'Квартальная отчетность'!$E$8:$BM$8,'Квартальная отчетность'!$E238:$BM238)</f>
        <v>0</v>
      </c>
      <c s="125">
        <f>LOOKUP(O$8,'Квартальная отчетность'!$E$8:$BM$8,'Квартальная отчетность'!$E238:$BM238)</f>
        <v>0</v>
      </c>
      <c s="125">
        <f>LOOKUP(P$8,'Квартальная отчетность'!$E$8:$BM$8,'Квартальная отчетность'!$E238:$BM238)</f>
        <v>0</v>
      </c>
      <c s="125">
        <f>LOOKUP(Q$8,'Квартальная отчетность'!$E$8:$BM$8,'Квартальная отчетность'!$E238:$BM238)</f>
        <v>0</v>
      </c>
      <c s="125">
        <f>LOOKUP(R$8,'Квартальная отчетность'!$E$8:$BM$8,'Квартальная отчетность'!$E238:$BM238)</f>
        <v>0</v>
      </c>
      <c s="125">
        <f>LOOKUP(S$8,'Квартальная отчетность'!$E$8:$BM$8,'Квартальная отчетность'!$E238:$BM238)</f>
        <v>0</v>
      </c>
      <c s="125">
        <f>LOOKUP(T$8,'Квартальная отчетность'!$E$8:$BM$8,'Квартальная отчетность'!$E238:$BM238)</f>
        <v>0</v>
      </c>
    </row>
    <row r="228" spans="2:20" ht="15" customHeight="1">
      <c r="B228" s="289" t="s">
        <v>1068</v>
      </c>
      <c s="290" t="str">
        <f t="shared" si="98"/>
        <v>тыс. руб.</v>
      </c>
      <c s="276"/>
      <c s="276">
        <f t="shared" si="99" ref="E228">SUM(E222:E227)</f>
        <v>0</v>
      </c>
      <c s="276">
        <f t="shared" si="100" ref="F228:T228">SUM(F222:F227)</f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  <c s="276">
        <f t="shared" si="100"/>
        <v>0</v>
      </c>
    </row>
    <row r="229" ht="15" customHeight="1"/>
    <row r="230" spans="2:26" ht="21">
      <c r="B230" s="24" t="s">
        <v>1069</v>
      </c>
      <c r="D23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1" spans="2:20" ht="15" customHeight="1">
      <c r="B231" s="12" t="s">
        <v>1012</v>
      </c>
      <c s="124" t="str">
        <f>Единица_измерения</f>
        <v>тыс. руб.</v>
      </c>
      <c s="125"/>
      <c s="125">
        <f>LOOKUP(E$8,'Квартальная отчетность'!$E$8:$AG$8,'Квартальная отчетность'!$E242:$AG242)</f>
        <v>0</v>
      </c>
      <c s="125">
        <f>LOOKUP(F$8,'Квартальная отчетность'!$E$8:$AG$8,'Квартальная отчетность'!$E242:$AG242)</f>
        <v>0</v>
      </c>
      <c s="125">
        <f>LOOKUP(G$8,'Квартальная отчетность'!$E$8:$BM$8,'Квартальная отчетность'!$E242:$BM242)</f>
        <v>0</v>
      </c>
      <c s="125">
        <f>LOOKUP(H$8,'Квартальная отчетность'!$E$8:$BM$8,'Квартальная отчетность'!$E242:$BM242)</f>
        <v>0</v>
      </c>
      <c s="125">
        <f>LOOKUP(I$8,'Квартальная отчетность'!$E$8:$BM$8,'Квартальная отчетность'!$E242:$BM242)</f>
        <v>0</v>
      </c>
      <c s="125">
        <f>LOOKUP(J$8,'Квартальная отчетность'!$E$8:$BM$8,'Квартальная отчетность'!$E242:$BM242)</f>
        <v>0</v>
      </c>
      <c s="125">
        <f>LOOKUP(K$8,'Квартальная отчетность'!$E$8:$BM$8,'Квартальная отчетность'!$E242:$BM242)</f>
        <v>0</v>
      </c>
      <c s="125">
        <f>LOOKUP(L$8,'Квартальная отчетность'!$E$8:$BM$8,'Квартальная отчетность'!$E242:$BM242)</f>
        <v>0</v>
      </c>
      <c s="125">
        <f>LOOKUP(M$8,'Квартальная отчетность'!$E$8:$BM$8,'Квартальная отчетность'!$E242:$BM242)</f>
        <v>0</v>
      </c>
      <c s="125">
        <f>LOOKUP(N$8,'Квартальная отчетность'!$E$8:$BM$8,'Квартальная отчетность'!$E242:$BM242)</f>
        <v>0</v>
      </c>
      <c s="125">
        <f>LOOKUP(O$8,'Квартальная отчетность'!$E$8:$BM$8,'Квартальная отчетность'!$E242:$BM242)</f>
        <v>0</v>
      </c>
      <c s="125">
        <f>LOOKUP(P$8,'Квартальная отчетность'!$E$8:$BM$8,'Квартальная отчетность'!$E242:$BM242)</f>
        <v>0</v>
      </c>
      <c s="125">
        <f>LOOKUP(Q$8,'Квартальная отчетность'!$E$8:$BM$8,'Квартальная отчетность'!$E242:$BM242)</f>
        <v>0</v>
      </c>
      <c s="125">
        <f>LOOKUP(R$8,'Квартальная отчетность'!$E$8:$BM$8,'Квартальная отчетность'!$E242:$BM242)</f>
        <v>0</v>
      </c>
      <c s="125">
        <f>LOOKUP(S$8,'Квартальная отчетность'!$E$8:$BM$8,'Квартальная отчетность'!$E242:$BM242)</f>
        <v>0</v>
      </c>
      <c s="125">
        <f>LOOKUP(T$8,'Квартальная отчетность'!$E$8:$BM$8,'Квартальная отчетность'!$E242:$BM242)</f>
        <v>0</v>
      </c>
    </row>
    <row r="232" spans="2:20" ht="15" customHeight="1">
      <c r="B232" s="22" t="s">
        <v>1070</v>
      </c>
      <c s="124" t="str">
        <f>Единица_измерения</f>
        <v>тыс. руб.</v>
      </c>
      <c s="125"/>
      <c s="125">
        <f>LOOKUP(E$8,'Квартальная отчетность'!$E$8:$AG$8,'Квартальная отчетность'!$E243:$AG243)</f>
        <v>0</v>
      </c>
      <c s="125">
        <f>LOOKUP(F$8,'Квартальная отчетность'!$E$8:$AG$8,'Квартальная отчетность'!$E243:$AG243)</f>
        <v>0</v>
      </c>
      <c s="125">
        <f>LOOKUP(G$8,'Квартальная отчетность'!$E$8:$BM$8,'Квартальная отчетность'!$E243:$BM243)</f>
        <v>0</v>
      </c>
      <c s="125">
        <f>LOOKUP(H$8,'Квартальная отчетность'!$E$8:$BM$8,'Квартальная отчетность'!$E243:$BM243)</f>
        <v>0</v>
      </c>
      <c s="125">
        <f>LOOKUP(I$8,'Квартальная отчетность'!$E$8:$BM$8,'Квартальная отчетность'!$E243:$BM243)</f>
        <v>0</v>
      </c>
      <c s="125">
        <f>LOOKUP(J$8,'Квартальная отчетность'!$E$8:$BM$8,'Квартальная отчетность'!$E243:$BM243)</f>
        <v>0</v>
      </c>
      <c s="125">
        <f>LOOKUP(K$8,'Квартальная отчетность'!$E$8:$BM$8,'Квартальная отчетность'!$E243:$BM243)</f>
        <v>0</v>
      </c>
      <c s="125">
        <f>LOOKUP(L$8,'Квартальная отчетность'!$E$8:$BM$8,'Квартальная отчетность'!$E243:$BM243)</f>
        <v>0</v>
      </c>
      <c s="125">
        <f>LOOKUP(M$8,'Квартальная отчетность'!$E$8:$BM$8,'Квартальная отчетность'!$E243:$BM243)</f>
        <v>0</v>
      </c>
      <c s="125">
        <f>LOOKUP(N$8,'Квартальная отчетность'!$E$8:$BM$8,'Квартальная отчетность'!$E243:$BM243)</f>
        <v>0</v>
      </c>
      <c s="125">
        <f>LOOKUP(O$8,'Квартальная отчетность'!$E$8:$BM$8,'Квартальная отчетность'!$E243:$BM243)</f>
        <v>0</v>
      </c>
      <c s="125">
        <f>LOOKUP(P$8,'Квартальная отчетность'!$E$8:$BM$8,'Квартальная отчетность'!$E243:$BM243)</f>
        <v>0</v>
      </c>
      <c s="125">
        <f>LOOKUP(Q$8,'Квартальная отчетность'!$E$8:$BM$8,'Квартальная отчетность'!$E243:$BM243)</f>
        <v>0</v>
      </c>
      <c s="125">
        <f>LOOKUP(R$8,'Квартальная отчетность'!$E$8:$BM$8,'Квартальная отчетность'!$E243:$BM243)</f>
        <v>0</v>
      </c>
      <c s="125">
        <f>LOOKUP(S$8,'Квартальная отчетность'!$E$8:$BM$8,'Квартальная отчетность'!$E243:$BM243)</f>
        <v>0</v>
      </c>
      <c s="125">
        <f>LOOKUP(T$8,'Квартальная отчетность'!$E$8:$BM$8,'Квартальная отчетность'!$E243:$BM243)</f>
        <v>0</v>
      </c>
    </row>
    <row r="233" spans="2:20" ht="15" customHeight="1">
      <c r="B233" s="22" t="s">
        <v>1071</v>
      </c>
      <c s="124" t="str">
        <f>Единица_измерения</f>
        <v>тыс. руб.</v>
      </c>
      <c s="125"/>
      <c s="125">
        <f>LOOKUP(E$8,'Квартальная отчетность'!$E$8:$AG$8,'Квартальная отчетность'!$E244:$AG244)</f>
        <v>0</v>
      </c>
      <c s="125">
        <f>LOOKUP(F$8,'Квартальная отчетность'!$E$8:$AG$8,'Квартальная отчетность'!$E244:$AG244)</f>
        <v>0</v>
      </c>
      <c s="125">
        <f>LOOKUP(G$8,'Квартальная отчетность'!$E$8:$BM$8,'Квартальная отчетность'!$E244:$BM244)</f>
        <v>0</v>
      </c>
      <c s="125">
        <f>LOOKUP(H$8,'Квартальная отчетность'!$E$8:$BM$8,'Квартальная отчетность'!$E244:$BM244)</f>
        <v>0</v>
      </c>
      <c s="125">
        <f>LOOKUP(I$8,'Квартальная отчетность'!$E$8:$BM$8,'Квартальная отчетность'!$E244:$BM244)</f>
        <v>0</v>
      </c>
      <c s="125">
        <f>LOOKUP(J$8,'Квартальная отчетность'!$E$8:$BM$8,'Квартальная отчетность'!$E244:$BM244)</f>
        <v>0</v>
      </c>
      <c s="125">
        <f>LOOKUP(K$8,'Квартальная отчетность'!$E$8:$BM$8,'Квартальная отчетность'!$E244:$BM244)</f>
        <v>0</v>
      </c>
      <c s="125">
        <f>LOOKUP(L$8,'Квартальная отчетность'!$E$8:$BM$8,'Квартальная отчетность'!$E244:$BM244)</f>
        <v>0</v>
      </c>
      <c s="125">
        <f>LOOKUP(M$8,'Квартальная отчетность'!$E$8:$BM$8,'Квартальная отчетность'!$E244:$BM244)</f>
        <v>0</v>
      </c>
      <c s="125">
        <f>LOOKUP(N$8,'Квартальная отчетность'!$E$8:$BM$8,'Квартальная отчетность'!$E244:$BM244)</f>
        <v>0</v>
      </c>
      <c s="125">
        <f>LOOKUP(O$8,'Квартальная отчетность'!$E$8:$BM$8,'Квартальная отчетность'!$E244:$BM244)</f>
        <v>0</v>
      </c>
      <c s="125">
        <f>LOOKUP(P$8,'Квартальная отчетность'!$E$8:$BM$8,'Квартальная отчетность'!$E244:$BM244)</f>
        <v>0</v>
      </c>
      <c s="125">
        <f>LOOKUP(Q$8,'Квартальная отчетность'!$E$8:$BM$8,'Квартальная отчетность'!$E244:$BM244)</f>
        <v>0</v>
      </c>
      <c s="125">
        <f>LOOKUP(R$8,'Квартальная отчетность'!$E$8:$BM$8,'Квартальная отчетность'!$E244:$BM244)</f>
        <v>0</v>
      </c>
      <c s="125">
        <f>LOOKUP(S$8,'Квартальная отчетность'!$E$8:$BM$8,'Квартальная отчетность'!$E244:$BM244)</f>
        <v>0</v>
      </c>
      <c s="125">
        <f>LOOKUP(T$8,'Квартальная отчетность'!$E$8:$BM$8,'Квартальная отчетность'!$E244:$BM244)</f>
        <v>0</v>
      </c>
    </row>
    <row r="234" spans="2:20" ht="15" customHeight="1">
      <c r="B234" s="22" t="s">
        <v>1072</v>
      </c>
      <c s="124" t="str">
        <f>Единица_измерения</f>
        <v>тыс. руб.</v>
      </c>
      <c s="125"/>
      <c s="125">
        <f>LOOKUP(E$8,'Квартальная отчетность'!$E$8:$AG$8,'Квартальная отчетность'!$E245:$AG245)</f>
        <v>0</v>
      </c>
      <c s="125">
        <f>LOOKUP(F$8,'Квартальная отчетность'!$E$8:$AG$8,'Квартальная отчетность'!$E245:$AG245)</f>
        <v>0</v>
      </c>
      <c s="125">
        <f>LOOKUP(G$8,'Квартальная отчетность'!$E$8:$BM$8,'Квартальная отчетность'!$E245:$BM245)</f>
        <v>0</v>
      </c>
      <c s="125">
        <f>LOOKUP(H$8,'Квартальная отчетность'!$E$8:$BM$8,'Квартальная отчетность'!$E245:$BM245)</f>
        <v>0</v>
      </c>
      <c s="125">
        <f>LOOKUP(I$8,'Квартальная отчетность'!$E$8:$BM$8,'Квартальная отчетность'!$E245:$BM245)</f>
        <v>0</v>
      </c>
      <c s="125">
        <f>LOOKUP(J$8,'Квартальная отчетность'!$E$8:$BM$8,'Квартальная отчетность'!$E245:$BM245)</f>
        <v>0</v>
      </c>
      <c s="125">
        <f>LOOKUP(K$8,'Квартальная отчетность'!$E$8:$BM$8,'Квартальная отчетность'!$E245:$BM245)</f>
        <v>0</v>
      </c>
      <c s="125">
        <f>LOOKUP(L$8,'Квартальная отчетность'!$E$8:$BM$8,'Квартальная отчетность'!$E245:$BM245)</f>
        <v>0</v>
      </c>
      <c s="125">
        <f>LOOKUP(M$8,'Квартальная отчетность'!$E$8:$BM$8,'Квартальная отчетность'!$E245:$BM245)</f>
        <v>0</v>
      </c>
      <c s="125">
        <f>LOOKUP(N$8,'Квартальная отчетность'!$E$8:$BM$8,'Квартальная отчетность'!$E245:$BM245)</f>
        <v>0</v>
      </c>
      <c s="125">
        <f>LOOKUP(O$8,'Квартальная отчетность'!$E$8:$BM$8,'Квартальная отчетность'!$E245:$BM245)</f>
        <v>0</v>
      </c>
      <c s="125">
        <f>LOOKUP(P$8,'Квартальная отчетность'!$E$8:$BM$8,'Квартальная отчетность'!$E245:$BM245)</f>
        <v>0</v>
      </c>
      <c s="125">
        <f>LOOKUP(Q$8,'Квартальная отчетность'!$E$8:$BM$8,'Квартальная отчетность'!$E245:$BM245)</f>
        <v>0</v>
      </c>
      <c s="125">
        <f>LOOKUP(R$8,'Квартальная отчетность'!$E$8:$BM$8,'Квартальная отчетность'!$E245:$BM245)</f>
        <v>0</v>
      </c>
      <c s="125">
        <f>LOOKUP(S$8,'Квартальная отчетность'!$E$8:$BM$8,'Квартальная отчетность'!$E245:$BM245)</f>
        <v>0</v>
      </c>
      <c s="125">
        <f>LOOKUP(T$8,'Квартальная отчетность'!$E$8:$BM$8,'Квартальная отчетность'!$E245:$BM245)</f>
        <v>0</v>
      </c>
    </row>
    <row r="235" spans="2:20" ht="15" customHeight="1">
      <c r="B235" s="289" t="s">
        <v>1073</v>
      </c>
      <c s="290" t="str">
        <f>Единица_измерения</f>
        <v>тыс. руб.</v>
      </c>
      <c s="276"/>
      <c s="276">
        <f t="shared" si="101" ref="E235">SUM(E231:E234)</f>
        <v>0</v>
      </c>
      <c s="276">
        <f t="shared" si="102" ref="F235:T235">SUM(F231:F234)</f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  <c s="276">
        <f t="shared" si="102"/>
        <v>0</v>
      </c>
    </row>
    <row r="236" ht="15" customHeight="1"/>
    <row r="237" spans="2:26" ht="21">
      <c r="B237" s="24" t="s">
        <v>1074</v>
      </c>
      <c r="D23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8" spans="2:20" ht="15" customHeight="1">
      <c r="B238" s="12" t="s">
        <v>1012</v>
      </c>
      <c s="124" t="str">
        <f t="shared" si="103" ref="C238:C243">Единица_измерения</f>
        <v>тыс. руб.</v>
      </c>
      <c s="125"/>
      <c s="125">
        <f>LOOKUP(E$8,'Квартальная отчетность'!$E$8:$BM$8,'Квартальная отчетность'!$E249:$BM249)</f>
        <v>0</v>
      </c>
      <c s="125">
        <f>LOOKUP(F$8,'Квартальная отчетность'!$E$8:$BM$8,'Квартальная отчетность'!$E249:$BM249)</f>
        <v>0</v>
      </c>
      <c s="125">
        <f>LOOKUP(G$8,'Квартальная отчетность'!$E$8:$BM$8,'Квартальная отчетность'!$E249:$BM249)</f>
        <v>0</v>
      </c>
      <c s="125">
        <f>LOOKUP(H$8,'Квартальная отчетность'!$E$8:$BM$8,'Квартальная отчетность'!$E249:$BM249)</f>
        <v>0</v>
      </c>
      <c s="125">
        <f>LOOKUP(I$8,'Квартальная отчетность'!$E$8:$BM$8,'Квартальная отчетность'!$E249:$BM249)</f>
        <v>0</v>
      </c>
      <c s="125">
        <f>LOOKUP(J$8,'Квартальная отчетность'!$E$8:$BM$8,'Квартальная отчетность'!$E249:$BM249)</f>
        <v>0</v>
      </c>
      <c s="125">
        <f>LOOKUP(K$8,'Квартальная отчетность'!$E$8:$BM$8,'Квартальная отчетность'!$E249:$BM249)</f>
        <v>0</v>
      </c>
      <c s="125">
        <f>LOOKUP(L$8,'Квартальная отчетность'!$E$8:$BM$8,'Квартальная отчетность'!$E249:$BM249)</f>
        <v>0</v>
      </c>
      <c s="125">
        <f>LOOKUP(M$8,'Квартальная отчетность'!$E$8:$BM$8,'Квартальная отчетность'!$E249:$BM249)</f>
        <v>0</v>
      </c>
      <c s="125">
        <f>LOOKUP(N$8,'Квартальная отчетность'!$E$8:$BM$8,'Квартальная отчетность'!$E249:$BM249)</f>
        <v>0</v>
      </c>
      <c s="125">
        <f>LOOKUP(O$8,'Квартальная отчетность'!$E$8:$BM$8,'Квартальная отчетность'!$E249:$BM249)</f>
        <v>0</v>
      </c>
      <c s="125">
        <f>LOOKUP(P$8,'Квартальная отчетность'!$E$8:$BM$8,'Квартальная отчетность'!$E249:$BM249)</f>
        <v>0</v>
      </c>
      <c s="125">
        <f>LOOKUP(Q$8,'Квартальная отчетность'!$E$8:$BM$8,'Квартальная отчетность'!$E249:$BM249)</f>
        <v>0</v>
      </c>
      <c s="125">
        <f>LOOKUP(R$8,'Квартальная отчетность'!$E$8:$BM$8,'Квартальная отчетность'!$E249:$BM249)</f>
        <v>0</v>
      </c>
      <c s="125">
        <f>LOOKUP(S$8,'Квартальная отчетность'!$E$8:$BM$8,'Квартальная отчетность'!$E249:$BM249)</f>
        <v>0</v>
      </c>
      <c s="125">
        <f>LOOKUP(T$8,'Квартальная отчетность'!$E$8:$BM$8,'Квартальная отчетность'!$E249:$BM249)</f>
        <v>0</v>
      </c>
    </row>
    <row r="239" spans="2:20" ht="15" customHeight="1">
      <c r="B239" s="22" t="s">
        <v>313</v>
      </c>
      <c s="124" t="str">
        <f t="shared" si="103"/>
        <v>тыс. руб.</v>
      </c>
      <c s="125"/>
      <c s="125">
        <f>LOOKUP(E$8,'Квартальная отчетность'!$E$8:$BM$8,'Квартальная отчетность'!$E250:$BM250)</f>
        <v>0</v>
      </c>
      <c s="125">
        <f>LOOKUP(F$8,'Квартальная отчетность'!$E$8:$BM$8,'Квартальная отчетность'!$E250:$BM250)</f>
        <v>0</v>
      </c>
      <c s="125">
        <f>LOOKUP(G$8,'Квартальная отчетность'!$E$8:$BM$8,'Квартальная отчетность'!$E250:$BM250)</f>
        <v>0</v>
      </c>
      <c s="125">
        <f>LOOKUP(H$8,'Квартальная отчетность'!$E$8:$BM$8,'Квартальная отчетность'!$E250:$BM250)</f>
        <v>0</v>
      </c>
      <c s="125">
        <f>LOOKUP(I$8,'Квартальная отчетность'!$E$8:$BM$8,'Квартальная отчетность'!$E250:$BM250)</f>
        <v>0</v>
      </c>
      <c s="125">
        <f>LOOKUP(J$8,'Квартальная отчетность'!$E$8:$BM$8,'Квартальная отчетность'!$E250:$BM250)</f>
        <v>0</v>
      </c>
      <c s="125">
        <f>LOOKUP(K$8,'Квартальная отчетность'!$E$8:$BM$8,'Квартальная отчетность'!$E250:$BM250)</f>
        <v>0</v>
      </c>
      <c s="125">
        <f>LOOKUP(L$8,'Квартальная отчетность'!$E$8:$BM$8,'Квартальная отчетность'!$E250:$BM250)</f>
        <v>0</v>
      </c>
      <c s="125">
        <f>LOOKUP(M$8,'Квартальная отчетность'!$E$8:$BM$8,'Квартальная отчетность'!$E250:$BM250)</f>
        <v>0</v>
      </c>
      <c s="125">
        <f>LOOKUP(N$8,'Квартальная отчетность'!$E$8:$BM$8,'Квартальная отчетность'!$E250:$BM250)</f>
        <v>0</v>
      </c>
      <c s="125">
        <f>LOOKUP(O$8,'Квартальная отчетность'!$E$8:$BM$8,'Квартальная отчетность'!$E250:$BM250)</f>
        <v>0</v>
      </c>
      <c s="125">
        <f>LOOKUP(P$8,'Квартальная отчетность'!$E$8:$BM$8,'Квартальная отчетность'!$E250:$BM250)</f>
        <v>0</v>
      </c>
      <c s="125">
        <f>LOOKUP(Q$8,'Квартальная отчетность'!$E$8:$BM$8,'Квартальная отчетность'!$E250:$BM250)</f>
        <v>0</v>
      </c>
      <c s="125">
        <f>LOOKUP(R$8,'Квартальная отчетность'!$E$8:$BM$8,'Квартальная отчетность'!$E250:$BM250)</f>
        <v>0</v>
      </c>
      <c s="125">
        <f>LOOKUP(S$8,'Квартальная отчетность'!$E$8:$BM$8,'Квартальная отчетность'!$E250:$BM250)</f>
        <v>0</v>
      </c>
      <c s="125">
        <f>LOOKUP(T$8,'Квартальная отчетность'!$E$8:$BM$8,'Квартальная отчетность'!$E250:$BM250)</f>
        <v>0</v>
      </c>
    </row>
    <row r="240" spans="2:20" ht="15" customHeight="1">
      <c r="B240" s="22" t="s">
        <v>1075</v>
      </c>
      <c s="124" t="str">
        <f t="shared" si="103"/>
        <v>тыс. руб.</v>
      </c>
      <c s="125"/>
      <c s="125">
        <f>LOOKUP(E$8,'Квартальная отчетность'!$E$8:$BM$8,'Квартальная отчетность'!$E251:$BM251)</f>
        <v>0</v>
      </c>
      <c s="125">
        <f>LOOKUP(F$8,'Квартальная отчетность'!$E$8:$BM$8,'Квартальная отчетность'!$E251:$BM251)</f>
        <v>0</v>
      </c>
      <c s="125">
        <f>LOOKUP(G$8,'Квартальная отчетность'!$E$8:$BM$8,'Квартальная отчетность'!$E251:$BM251)</f>
        <v>0</v>
      </c>
      <c s="125">
        <f>LOOKUP(H$8,'Квартальная отчетность'!$E$8:$BM$8,'Квартальная отчетность'!$E251:$BM251)</f>
        <v>0</v>
      </c>
      <c s="125">
        <f>LOOKUP(I$8,'Квартальная отчетность'!$E$8:$BM$8,'Квартальная отчетность'!$E251:$BM251)</f>
        <v>0</v>
      </c>
      <c s="125">
        <f>LOOKUP(J$8,'Квартальная отчетность'!$E$8:$BM$8,'Квартальная отчетность'!$E251:$BM251)</f>
        <v>0</v>
      </c>
      <c s="125">
        <f>LOOKUP(K$8,'Квартальная отчетность'!$E$8:$BM$8,'Квартальная отчетность'!$E251:$BM251)</f>
        <v>0</v>
      </c>
      <c s="125">
        <f>LOOKUP(L$8,'Квартальная отчетность'!$E$8:$BM$8,'Квартальная отчетность'!$E251:$BM251)</f>
        <v>0</v>
      </c>
      <c s="125">
        <f>LOOKUP(M$8,'Квартальная отчетность'!$E$8:$BM$8,'Квартальная отчетность'!$E251:$BM251)</f>
        <v>0</v>
      </c>
      <c s="125">
        <f>LOOKUP(N$8,'Квартальная отчетность'!$E$8:$BM$8,'Квартальная отчетность'!$E251:$BM251)</f>
        <v>0</v>
      </c>
      <c s="125">
        <f>LOOKUP(O$8,'Квартальная отчетность'!$E$8:$BM$8,'Квартальная отчетность'!$E251:$BM251)</f>
        <v>0</v>
      </c>
      <c s="125">
        <f>LOOKUP(P$8,'Квартальная отчетность'!$E$8:$BM$8,'Квартальная отчетность'!$E251:$BM251)</f>
        <v>0</v>
      </c>
      <c s="125">
        <f>LOOKUP(Q$8,'Квартальная отчетность'!$E$8:$BM$8,'Квартальная отчетность'!$E251:$BM251)</f>
        <v>0</v>
      </c>
      <c s="125">
        <f>LOOKUP(R$8,'Квартальная отчетность'!$E$8:$BM$8,'Квартальная отчетность'!$E251:$BM251)</f>
        <v>0</v>
      </c>
      <c s="125">
        <f>LOOKUP(S$8,'Квартальная отчетность'!$E$8:$BM$8,'Квартальная отчетность'!$E251:$BM251)</f>
        <v>0</v>
      </c>
      <c s="125">
        <f>LOOKUP(T$8,'Квартальная отчетность'!$E$8:$BM$8,'Квартальная отчетность'!$E251:$BM251)</f>
        <v>0</v>
      </c>
    </row>
    <row r="241" spans="2:20" ht="15" customHeight="1">
      <c r="B241" s="22" t="s">
        <v>1071</v>
      </c>
      <c s="124" t="str">
        <f t="shared" si="103"/>
        <v>тыс. руб.</v>
      </c>
      <c s="125"/>
      <c s="125">
        <f>LOOKUP(E$8,'Квартальная отчетность'!$E$8:$BM$8,'Квартальная отчетность'!$E252:$BM252)</f>
        <v>0</v>
      </c>
      <c s="125">
        <f>LOOKUP(F$8,'Квартальная отчетность'!$E$8:$BM$8,'Квартальная отчетность'!$E252:$BM252)</f>
        <v>0</v>
      </c>
      <c s="125">
        <f>LOOKUP(G$8,'Квартальная отчетность'!$E$8:$BM$8,'Квартальная отчетность'!$E252:$BM252)</f>
        <v>0</v>
      </c>
      <c s="125">
        <f>LOOKUP(H$8,'Квартальная отчетность'!$E$8:$BM$8,'Квартальная отчетность'!$E252:$BM252)</f>
        <v>0</v>
      </c>
      <c s="125">
        <f>LOOKUP(I$8,'Квартальная отчетность'!$E$8:$BM$8,'Квартальная отчетность'!$E252:$BM252)</f>
        <v>0</v>
      </c>
      <c s="125">
        <f>LOOKUP(J$8,'Квартальная отчетность'!$E$8:$BM$8,'Квартальная отчетность'!$E252:$BM252)</f>
        <v>0</v>
      </c>
      <c s="125">
        <f>LOOKUP(K$8,'Квартальная отчетность'!$E$8:$BM$8,'Квартальная отчетность'!$E252:$BM252)</f>
        <v>0</v>
      </c>
      <c s="125">
        <f>LOOKUP(L$8,'Квартальная отчетность'!$E$8:$BM$8,'Квартальная отчетность'!$E252:$BM252)</f>
        <v>0</v>
      </c>
      <c s="125">
        <f>LOOKUP(M$8,'Квартальная отчетность'!$E$8:$BM$8,'Квартальная отчетность'!$E252:$BM252)</f>
        <v>0</v>
      </c>
      <c s="125">
        <f>LOOKUP(N$8,'Квартальная отчетность'!$E$8:$BM$8,'Квартальная отчетность'!$E252:$BM252)</f>
        <v>0</v>
      </c>
      <c s="125">
        <f>LOOKUP(O$8,'Квартальная отчетность'!$E$8:$BM$8,'Квартальная отчетность'!$E252:$BM252)</f>
        <v>0</v>
      </c>
      <c s="125">
        <f>LOOKUP(P$8,'Квартальная отчетность'!$E$8:$BM$8,'Квартальная отчетность'!$E252:$BM252)</f>
        <v>0</v>
      </c>
      <c s="125">
        <f>LOOKUP(Q$8,'Квартальная отчетность'!$E$8:$BM$8,'Квартальная отчетность'!$E252:$BM252)</f>
        <v>0</v>
      </c>
      <c s="125">
        <f>LOOKUP(R$8,'Квартальная отчетность'!$E$8:$BM$8,'Квартальная отчетность'!$E252:$BM252)</f>
        <v>0</v>
      </c>
      <c s="125">
        <f>LOOKUP(S$8,'Квартальная отчетность'!$E$8:$BM$8,'Квартальная отчетность'!$E252:$BM252)</f>
        <v>0</v>
      </c>
      <c s="125">
        <f>LOOKUP(T$8,'Квартальная отчетность'!$E$8:$BM$8,'Квартальная отчетность'!$E252:$BM252)</f>
        <v>0</v>
      </c>
    </row>
    <row r="242" spans="2:20" ht="15" customHeight="1">
      <c r="B242" s="22" t="s">
        <v>1072</v>
      </c>
      <c s="124" t="str">
        <f t="shared" si="103"/>
        <v>тыс. руб.</v>
      </c>
      <c s="125"/>
      <c s="125">
        <f>LOOKUP(E$8,'Квартальная отчетность'!$E$8:$BM$8,'Квартальная отчетность'!$E253:$BM253)</f>
        <v>0</v>
      </c>
      <c s="125">
        <f>LOOKUP(F$8,'Квартальная отчетность'!$E$8:$BM$8,'Квартальная отчетность'!$E253:$BM253)</f>
        <v>0</v>
      </c>
      <c s="125">
        <f>LOOKUP(G$8,'Квартальная отчетность'!$E$8:$BM$8,'Квартальная отчетность'!$E253:$BM253)</f>
        <v>0</v>
      </c>
      <c s="125">
        <f>LOOKUP(H$8,'Квартальная отчетность'!$E$8:$BM$8,'Квартальная отчетность'!$E253:$BM253)</f>
        <v>0</v>
      </c>
      <c s="125">
        <f>LOOKUP(I$8,'Квартальная отчетность'!$E$8:$BM$8,'Квартальная отчетность'!$E253:$BM253)</f>
        <v>0</v>
      </c>
      <c s="125">
        <f>LOOKUP(J$8,'Квартальная отчетность'!$E$8:$BM$8,'Квартальная отчетность'!$E253:$BM253)</f>
        <v>0</v>
      </c>
      <c s="125">
        <f>LOOKUP(K$8,'Квартальная отчетность'!$E$8:$BM$8,'Квартальная отчетность'!$E253:$BM253)</f>
        <v>0</v>
      </c>
      <c s="125">
        <f>LOOKUP(L$8,'Квартальная отчетность'!$E$8:$BM$8,'Квартальная отчетность'!$E253:$BM253)</f>
        <v>0</v>
      </c>
      <c s="125">
        <f>LOOKUP(M$8,'Квартальная отчетность'!$E$8:$BM$8,'Квартальная отчетность'!$E253:$BM253)</f>
        <v>0</v>
      </c>
      <c s="125">
        <f>LOOKUP(N$8,'Квартальная отчетность'!$E$8:$BM$8,'Квартальная отчетность'!$E253:$BM253)</f>
        <v>0</v>
      </c>
      <c s="125">
        <f>LOOKUP(O$8,'Квартальная отчетность'!$E$8:$BM$8,'Квартальная отчетность'!$E253:$BM253)</f>
        <v>0</v>
      </c>
      <c s="125">
        <f>LOOKUP(P$8,'Квартальная отчетность'!$E$8:$BM$8,'Квартальная отчетность'!$E253:$BM253)</f>
        <v>0</v>
      </c>
      <c s="125">
        <f>LOOKUP(Q$8,'Квартальная отчетность'!$E$8:$BM$8,'Квартальная отчетность'!$E253:$BM253)</f>
        <v>0</v>
      </c>
      <c s="125">
        <f>LOOKUP(R$8,'Квартальная отчетность'!$E$8:$BM$8,'Квартальная отчетность'!$E253:$BM253)</f>
        <v>0</v>
      </c>
      <c s="125">
        <f>LOOKUP(S$8,'Квартальная отчетность'!$E$8:$BM$8,'Квартальная отчетность'!$E253:$BM253)</f>
        <v>0</v>
      </c>
      <c s="125">
        <f>LOOKUP(T$8,'Квартальная отчетность'!$E$8:$BM$8,'Квартальная отчетность'!$E253:$BM253)</f>
        <v>0</v>
      </c>
    </row>
    <row r="243" spans="2:20" ht="15" customHeight="1">
      <c r="B243" s="289" t="s">
        <v>1076</v>
      </c>
      <c s="290" t="str">
        <f t="shared" si="103"/>
        <v>тыс. руб.</v>
      </c>
      <c s="276"/>
      <c s="276">
        <f t="shared" si="104" ref="E243:T243">SUM(E238:E242)</f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  <c s="276">
        <f t="shared" si="104"/>
        <v>0</v>
      </c>
    </row>
    <row r="244" ht="15" customHeight="1"/>
    <row r="245" spans="2:20" ht="15" customHeight="1">
      <c r="B245" s="292" t="s">
        <v>1014</v>
      </c>
      <c s="293" t="str">
        <f>Единица_измерения</f>
        <v>тыс. руб.</v>
      </c>
      <c s="291"/>
      <c s="291">
        <f t="shared" si="105" ref="E245:T245">SUM(E228,E235,E243)</f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  <c s="291">
        <f t="shared" si="105"/>
        <v>0</v>
      </c>
    </row>
    <row r="246" ht="15" customHeight="1"/>
    <row r="247" spans="2:20" ht="15" customHeight="1">
      <c r="B247" s="12" t="s">
        <v>1015</v>
      </c>
      <c s="124"/>
      <c s="125"/>
      <c s="125">
        <f ca="1">ROUND(E219-E245,1)</f>
        <v>0</v>
      </c>
      <c s="125">
        <f ca="1" t="shared" si="106" ref="F247:T247">ROUND(F219-F245,1)</f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  <c s="125">
        <f t="shared" ca="1" si="106"/>
        <v>0</v>
      </c>
    </row>
    <row r="248" ht="15" customHeight="1"/>
    <row r="249" spans="2:3" ht="15" customHeight="1">
      <c r="B249" s="12" t="s">
        <v>1081</v>
      </c>
      <c s="47" t="str">
        <f ca="1">IFERROR(IF(COUNTIF(E247:T247,"&lt;&gt;0")&gt;0,"Q","R"),"Q")</f>
        <v>R</v>
      </c>
    </row>
    <row r="250" ht="15" customHeight="1"/>
    <row r="251" spans="2:2" ht="31.15">
      <c r="B251" s="7" t="s">
        <v>1084</v>
      </c>
    </row>
    <row r="252" spans="2:26" ht="21">
      <c r="B252" s="23" t="s">
        <v>326</v>
      </c>
      <c r="D25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53" spans="2:20" ht="15" customHeight="1">
      <c r="B253" s="12" t="s">
        <v>273</v>
      </c>
      <c s="124" t="str">
        <f t="shared" si="107" ref="C253:C266">Единица_измерения</f>
        <v>тыс. руб.</v>
      </c>
      <c s="276">
        <f>SUM(E253:T253)</f>
        <v>0</v>
      </c>
      <c s="125">
        <f>SUM('Годовая отчетность'!E12,'Годовая отчетность'!E111)</f>
        <v>0</v>
      </c>
      <c s="125">
        <f>SUM('Годовая отчетность'!F12,'Годовая отчетность'!F111)</f>
        <v>0</v>
      </c>
      <c s="125">
        <f>SUM('Годовая отчетность'!G12,'Годовая отчетность'!G111)</f>
        <v>0</v>
      </c>
      <c s="125">
        <f>SUM('Годовая отчетность'!H12,'Годовая отчетность'!H111)</f>
        <v>0</v>
      </c>
      <c s="125">
        <f>SUM('Годовая отчетность'!I12,'Годовая отчетность'!I111)</f>
        <v>0</v>
      </c>
      <c s="125">
        <f>SUM('Годовая отчетность'!J12,'Годовая отчетность'!J111)</f>
        <v>0</v>
      </c>
      <c s="125">
        <f>SUM('Годовая отчетность'!K12,'Годовая отчетность'!K111)</f>
        <v>0</v>
      </c>
      <c s="125">
        <f>SUM('Годовая отчетность'!L12,'Годовая отчетность'!L111)</f>
        <v>0</v>
      </c>
      <c s="125">
        <f>SUM('Годовая отчетность'!M12,'Годовая отчетность'!M111)</f>
        <v>0</v>
      </c>
      <c s="125">
        <f>SUM('Годовая отчетность'!N12,'Годовая отчетность'!N111)</f>
        <v>0</v>
      </c>
      <c s="125">
        <f>SUM('Годовая отчетность'!O12,'Годовая отчетность'!O111)</f>
        <v>0</v>
      </c>
      <c s="125">
        <f>SUM('Годовая отчетность'!P12,'Годовая отчетность'!P111)</f>
        <v>0</v>
      </c>
      <c s="125">
        <f>SUM('Годовая отчетность'!Q12,'Годовая отчетность'!Q111)</f>
        <v>0</v>
      </c>
      <c s="125">
        <f>SUM('Годовая отчетность'!R12,'Годовая отчетность'!R111)</f>
        <v>0</v>
      </c>
      <c s="125">
        <f>SUM('Годовая отчетность'!S12,'Годовая отчетность'!S111)</f>
        <v>0</v>
      </c>
      <c s="125">
        <f>SUM('Годовая отчетность'!T12,'Годовая отчетность'!T111)</f>
        <v>0</v>
      </c>
    </row>
    <row r="254" spans="2:20" ht="15" customHeight="1">
      <c r="B254" s="22" t="s">
        <v>972</v>
      </c>
      <c s="124" t="str">
        <f t="shared" si="107"/>
        <v>тыс. руб.</v>
      </c>
      <c s="276">
        <f ca="1">SUM(E254:T254)</f>
        <v>0</v>
      </c>
      <c s="125">
        <f ca="1">SUM('Годовая отчетность'!E13,'Годовая отчетность'!E112)</f>
        <v>0</v>
      </c>
      <c s="125">
        <f ca="1">SUM('Годовая отчетность'!F13,'Годовая отчетность'!F112)</f>
        <v>0</v>
      </c>
      <c s="125">
        <f ca="1">SUM('Годовая отчетность'!G13,'Годовая отчетность'!G112)</f>
        <v>0</v>
      </c>
      <c s="125">
        <f ca="1">SUM('Годовая отчетность'!H13,'Годовая отчетность'!H112)</f>
        <v>0</v>
      </c>
      <c s="125">
        <f ca="1">SUM('Годовая отчетность'!I13,'Годовая отчетность'!I112)</f>
        <v>0</v>
      </c>
      <c s="125">
        <f ca="1">SUM('Годовая отчетность'!J13,'Годовая отчетность'!J112)</f>
        <v>0</v>
      </c>
      <c s="125">
        <f ca="1">SUM('Годовая отчетность'!K13,'Годовая отчетность'!K112)</f>
        <v>0</v>
      </c>
      <c s="125">
        <f ca="1">SUM('Годовая отчетность'!L13,'Годовая отчетность'!L112)</f>
        <v>0</v>
      </c>
      <c s="125">
        <f ca="1">SUM('Годовая отчетность'!M13,'Годовая отчетность'!M112)</f>
        <v>0</v>
      </c>
      <c s="125">
        <f ca="1">SUM('Годовая отчетность'!N13,'Годовая отчетность'!N112)</f>
        <v>0</v>
      </c>
      <c s="125">
        <f ca="1">SUM('Годовая отчетность'!O13,'Годовая отчетность'!O112)</f>
        <v>0</v>
      </c>
      <c s="125">
        <f ca="1">SUM('Годовая отчетность'!P13,'Годовая отчетность'!P112)</f>
        <v>0</v>
      </c>
      <c s="125">
        <f ca="1">SUM('Годовая отчетность'!Q13,'Годовая отчетность'!Q112)</f>
        <v>0</v>
      </c>
      <c s="125">
        <f ca="1">SUM('Годовая отчетность'!R13,'Годовая отчетность'!R112)</f>
        <v>0</v>
      </c>
      <c s="125">
        <f ca="1">SUM('Годовая отчетность'!S13,'Годовая отчетность'!S112)</f>
        <v>0</v>
      </c>
      <c s="125">
        <f ca="1">SUM('Годовая отчетность'!T13,'Годовая отчетность'!T112)</f>
        <v>0</v>
      </c>
    </row>
    <row r="255" spans="2:20" ht="15" customHeight="1">
      <c r="B255" s="289" t="s">
        <v>973</v>
      </c>
      <c s="290" t="str">
        <f t="shared" si="107"/>
        <v>тыс. руб.</v>
      </c>
      <c s="276">
        <f ca="1" t="shared" si="108" ref="D255:E255">SUM(D253:D254)</f>
        <v>0</v>
      </c>
      <c s="276">
        <f t="shared" ca="1" si="108"/>
        <v>0</v>
      </c>
      <c s="276">
        <f ca="1" t="shared" si="109" ref="F255:L255">SUM(F253:F254)</f>
        <v>0</v>
      </c>
      <c s="276">
        <f t="shared" ca="1" si="109"/>
        <v>0</v>
      </c>
      <c s="276">
        <f t="shared" ca="1" si="109"/>
        <v>0</v>
      </c>
      <c s="276">
        <f t="shared" ca="1" si="109"/>
        <v>0</v>
      </c>
      <c s="276">
        <f t="shared" ca="1" si="109"/>
        <v>0</v>
      </c>
      <c s="276">
        <f t="shared" ca="1" si="109"/>
        <v>0</v>
      </c>
      <c s="276">
        <f t="shared" ca="1" si="109"/>
        <v>0</v>
      </c>
      <c s="276">
        <f ca="1" t="shared" si="110" ref="M255:T255">SUM(M253:M254)</f>
        <v>0</v>
      </c>
      <c s="276">
        <f t="shared" ca="1" si="110"/>
        <v>0</v>
      </c>
      <c s="276">
        <f t="shared" ca="1" si="110"/>
        <v>0</v>
      </c>
      <c s="276">
        <f t="shared" ca="1" si="110"/>
        <v>0</v>
      </c>
      <c s="276">
        <f t="shared" ca="1" si="110"/>
        <v>0</v>
      </c>
      <c s="276">
        <f t="shared" ca="1" si="110"/>
        <v>0</v>
      </c>
      <c s="276">
        <f t="shared" ca="1" si="110"/>
        <v>0</v>
      </c>
      <c s="276">
        <f t="shared" ca="1" si="110"/>
        <v>0</v>
      </c>
    </row>
    <row r="256" spans="2:20" ht="15" customHeight="1">
      <c r="B256" s="12" t="s">
        <v>974</v>
      </c>
      <c s="124" t="str">
        <f t="shared" si="107"/>
        <v>тыс. руб.</v>
      </c>
      <c s="276">
        <f ca="1">SUM(E256:T256)</f>
        <v>0</v>
      </c>
      <c s="125">
        <f ca="1">SUM('Годовая отчетность'!E15,'Годовая отчетность'!E115)</f>
        <v>0</v>
      </c>
      <c s="125">
        <f ca="1">SUM('Годовая отчетность'!F15,'Годовая отчетность'!F115)</f>
        <v>0</v>
      </c>
      <c s="125">
        <f ca="1">SUM('Годовая отчетность'!G15,'Годовая отчетность'!G115)</f>
        <v>0</v>
      </c>
      <c s="125">
        <f ca="1">SUM('Годовая отчетность'!H15,'Годовая отчетность'!H115)</f>
        <v>0</v>
      </c>
      <c s="125">
        <f ca="1">SUM('Годовая отчетность'!I15,'Годовая отчетность'!I115)</f>
        <v>0</v>
      </c>
      <c s="125">
        <f ca="1">SUM('Годовая отчетность'!J15,'Годовая отчетность'!J115)</f>
        <v>0</v>
      </c>
      <c s="125">
        <f ca="1">SUM('Годовая отчетность'!K15,'Годовая отчетность'!K115)</f>
        <v>0</v>
      </c>
      <c s="125">
        <f ca="1">SUM('Годовая отчетность'!L15,'Годовая отчетность'!L115)</f>
        <v>0</v>
      </c>
      <c s="125">
        <f ca="1">SUM('Годовая отчетность'!M15,'Годовая отчетность'!M115)</f>
        <v>0</v>
      </c>
      <c s="125">
        <f ca="1">SUM('Годовая отчетность'!N15,'Годовая отчетность'!N115)</f>
        <v>0</v>
      </c>
      <c s="125">
        <f ca="1">SUM('Годовая отчетность'!O15,'Годовая отчетность'!O115)</f>
        <v>0</v>
      </c>
      <c s="125">
        <f ca="1">SUM('Годовая отчетность'!P15,'Годовая отчетность'!P115)</f>
        <v>0</v>
      </c>
      <c s="125">
        <f ca="1">SUM('Годовая отчетность'!Q15,'Годовая отчетность'!Q115)</f>
        <v>0</v>
      </c>
      <c s="125">
        <f ca="1">SUM('Годовая отчетность'!R15,'Годовая отчетность'!R115)</f>
        <v>0</v>
      </c>
      <c s="125">
        <f ca="1">SUM('Годовая отчетность'!S15,'Годовая отчетность'!S115)</f>
        <v>0</v>
      </c>
      <c s="125">
        <f ca="1">SUM('Годовая отчетность'!T15,'Годовая отчетность'!T115)</f>
        <v>0</v>
      </c>
    </row>
    <row r="257" spans="2:20" ht="15" customHeight="1">
      <c r="B257" s="12" t="s">
        <v>566</v>
      </c>
      <c s="124" t="str">
        <f t="shared" si="107"/>
        <v>тыс. руб.</v>
      </c>
      <c s="276">
        <f ca="1">SUM(E257:T257)</f>
        <v>0</v>
      </c>
      <c s="125">
        <f ca="1">SUM('Годовая отчетность'!E16,'Годовая отчетность'!E116)</f>
        <v>0</v>
      </c>
      <c s="125">
        <f ca="1">SUM('Годовая отчетность'!F16,'Годовая отчетность'!F116)</f>
        <v>0</v>
      </c>
      <c s="125">
        <f ca="1">SUM('Годовая отчетность'!G16,'Годовая отчетность'!G116)</f>
        <v>0</v>
      </c>
      <c s="125">
        <f ca="1">SUM('Годовая отчетность'!H16,'Годовая отчетность'!H116)</f>
        <v>0</v>
      </c>
      <c s="125">
        <f ca="1">SUM('Годовая отчетность'!I16,'Годовая отчетность'!I116)</f>
        <v>0</v>
      </c>
      <c s="125">
        <f ca="1">SUM('Годовая отчетность'!J16,'Годовая отчетность'!J116)</f>
        <v>0</v>
      </c>
      <c s="125">
        <f ca="1">SUM('Годовая отчетность'!K16,'Годовая отчетность'!K116)</f>
        <v>0</v>
      </c>
      <c s="125">
        <f ca="1">SUM('Годовая отчетность'!L16,'Годовая отчетность'!L116)</f>
        <v>0</v>
      </c>
      <c s="125">
        <f ca="1">SUM('Годовая отчетность'!M16,'Годовая отчетность'!M116)</f>
        <v>0</v>
      </c>
      <c s="125">
        <f ca="1">SUM('Годовая отчетность'!N16,'Годовая отчетность'!N116)</f>
        <v>0</v>
      </c>
      <c s="125">
        <f ca="1">SUM('Годовая отчетность'!O16,'Годовая отчетность'!O116)</f>
        <v>0</v>
      </c>
      <c s="125">
        <f ca="1">SUM('Годовая отчетность'!P16,'Годовая отчетность'!P116)</f>
        <v>0</v>
      </c>
      <c s="125">
        <f ca="1">SUM('Годовая отчетность'!Q16,'Годовая отчетность'!Q116)</f>
        <v>0</v>
      </c>
      <c s="125">
        <f ca="1">SUM('Годовая отчетность'!R16,'Годовая отчетность'!R116)</f>
        <v>0</v>
      </c>
      <c s="125">
        <f ca="1">SUM('Годовая отчетность'!S16,'Годовая отчетность'!S116)</f>
        <v>0</v>
      </c>
      <c s="125">
        <f ca="1">SUM('Годовая отчетность'!T16,'Годовая отчетность'!T116)</f>
        <v>0</v>
      </c>
    </row>
    <row r="258" spans="2:20" ht="15" customHeight="1">
      <c r="B258" s="289" t="s">
        <v>975</v>
      </c>
      <c s="290" t="str">
        <f t="shared" si="107"/>
        <v>тыс. руб.</v>
      </c>
      <c s="276">
        <f ca="1" t="shared" si="111" ref="D258:E258">SUM(D255:D257)</f>
        <v>0</v>
      </c>
      <c s="276">
        <f t="shared" ca="1" si="111"/>
        <v>0</v>
      </c>
      <c s="276">
        <f ca="1" t="shared" si="112" ref="F258:L258">SUM(F255:F257)</f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t="shared" ca="1" si="112"/>
        <v>0</v>
      </c>
      <c s="276">
        <f ca="1" t="shared" si="113" ref="M258:T258">SUM(M255:M257)</f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  <c s="276">
        <f t="shared" ca="1" si="113"/>
        <v>0</v>
      </c>
    </row>
    <row r="259" spans="2:20" ht="15" customHeight="1">
      <c r="B259" s="12" t="s">
        <v>568</v>
      </c>
      <c s="124" t="str">
        <f t="shared" si="107"/>
        <v>тыс. руб.</v>
      </c>
      <c s="276">
        <f>SUM(E259:T259)</f>
        <v>0</v>
      </c>
      <c s="125">
        <f>SUM('Годовая отчетность'!E18,'Годовая отчетность'!E119)</f>
        <v>0</v>
      </c>
      <c s="125">
        <f>SUM('Годовая отчетность'!F18,'Годовая отчетность'!F119)</f>
        <v>0</v>
      </c>
      <c s="125">
        <f>SUM('Годовая отчетность'!G18,'Годовая отчетность'!G119)</f>
        <v>0</v>
      </c>
      <c s="125">
        <f>SUM('Годовая отчетность'!H18,'Годовая отчетность'!H119)</f>
        <v>0</v>
      </c>
      <c s="125">
        <f>SUM('Годовая отчетность'!I18,'Годовая отчетность'!I119)</f>
        <v>0</v>
      </c>
      <c s="125">
        <f>SUM('Годовая отчетность'!J18,'Годовая отчетность'!J119)</f>
        <v>0</v>
      </c>
      <c s="125">
        <f>SUM('Годовая отчетность'!K18,'Годовая отчетность'!K119)</f>
        <v>0</v>
      </c>
      <c s="125">
        <f>SUM('Годовая отчетность'!L18,'Годовая отчетность'!L119)</f>
        <v>0</v>
      </c>
      <c s="125">
        <f>SUM('Годовая отчетность'!M18,'Годовая отчетность'!M119)</f>
        <v>0</v>
      </c>
      <c s="125">
        <f>SUM('Годовая отчетность'!N18,'Годовая отчетность'!N119)</f>
        <v>0</v>
      </c>
      <c s="125">
        <f>SUM('Годовая отчетность'!O18,'Годовая отчетность'!O119)</f>
        <v>0</v>
      </c>
      <c s="125">
        <f>SUM('Годовая отчетность'!P18,'Годовая отчетность'!P119)</f>
        <v>0</v>
      </c>
      <c s="125">
        <f>SUM('Годовая отчетность'!Q18,'Годовая отчетность'!Q119)</f>
        <v>0</v>
      </c>
      <c s="125">
        <f>SUM('Годовая отчетность'!R18,'Годовая отчетность'!R119)</f>
        <v>0</v>
      </c>
      <c s="125">
        <f>SUM('Годовая отчетность'!S18,'Годовая отчетность'!S119)</f>
        <v>0</v>
      </c>
      <c s="125">
        <f>SUM('Годовая отчетность'!T18,'Годовая отчетность'!T119)</f>
        <v>0</v>
      </c>
    </row>
    <row r="260" spans="2:20" ht="15" customHeight="1">
      <c r="B260" s="12" t="s">
        <v>277</v>
      </c>
      <c s="124" t="str">
        <f t="shared" si="107"/>
        <v>тыс. руб.</v>
      </c>
      <c s="276">
        <f>SUM(E260:T260)</f>
        <v>0</v>
      </c>
      <c s="125">
        <f>SUM('Годовая отчетность'!E19,'Годовая отчетность'!E120)</f>
        <v>0</v>
      </c>
      <c s="125">
        <f>SUM('Годовая отчетность'!F19,'Годовая отчетность'!F120)</f>
        <v>0</v>
      </c>
      <c s="125">
        <f>SUM('Годовая отчетность'!G19,'Годовая отчетность'!G120)</f>
        <v>0</v>
      </c>
      <c s="125">
        <f>SUM('Годовая отчетность'!H19,'Годовая отчетность'!H120)</f>
        <v>0</v>
      </c>
      <c s="125">
        <f>SUM('Годовая отчетность'!I19,'Годовая отчетность'!I120)</f>
        <v>0</v>
      </c>
      <c s="125">
        <f>SUM('Годовая отчетность'!J19,'Годовая отчетность'!J120)</f>
        <v>0</v>
      </c>
      <c s="125">
        <f>SUM('Годовая отчетность'!K19,'Годовая отчетность'!K120)</f>
        <v>0</v>
      </c>
      <c s="125">
        <f>SUM('Годовая отчетность'!L19,'Годовая отчетность'!L120)</f>
        <v>0</v>
      </c>
      <c s="125">
        <f>SUM('Годовая отчетность'!M19,'Годовая отчетность'!M120)</f>
        <v>0</v>
      </c>
      <c s="125">
        <f>SUM('Годовая отчетность'!N19,'Годовая отчетность'!N120)</f>
        <v>0</v>
      </c>
      <c s="125">
        <f>SUM('Годовая отчетность'!O19,'Годовая отчетность'!O120)</f>
        <v>0</v>
      </c>
      <c s="125">
        <f>SUM('Годовая отчетность'!P19,'Годовая отчетность'!P120)</f>
        <v>0</v>
      </c>
      <c s="125">
        <f>SUM('Годовая отчетность'!Q19,'Годовая отчетность'!Q120)</f>
        <v>0</v>
      </c>
      <c s="125">
        <f>SUM('Годовая отчетность'!R19,'Годовая отчетность'!R120)</f>
        <v>0</v>
      </c>
      <c s="125">
        <f>SUM('Годовая отчетность'!S19,'Годовая отчетность'!S120)</f>
        <v>0</v>
      </c>
      <c s="125">
        <f>SUM('Годовая отчетность'!T19,'Годовая отчетность'!T120)</f>
        <v>0</v>
      </c>
    </row>
    <row r="261" spans="2:20" ht="15" customHeight="1">
      <c r="B261" s="12" t="s">
        <v>569</v>
      </c>
      <c s="124" t="str">
        <f t="shared" si="107"/>
        <v>тыс. руб.</v>
      </c>
      <c s="276">
        <f>SUM(E261:T261)</f>
        <v>0</v>
      </c>
      <c s="125">
        <f>SUM('Годовая отчетность'!E20,'Годовая отчетность'!E121)</f>
        <v>0</v>
      </c>
      <c s="125">
        <f>SUM('Годовая отчетность'!F20,'Годовая отчетность'!F121)</f>
        <v>0</v>
      </c>
      <c s="125">
        <f>SUM('Годовая отчетность'!G20,'Годовая отчетность'!G121)</f>
        <v>0</v>
      </c>
      <c s="125">
        <f>SUM('Годовая отчетность'!H20,'Годовая отчетность'!H121)</f>
        <v>0</v>
      </c>
      <c s="125">
        <f>SUM('Годовая отчетность'!I20,'Годовая отчетность'!I121)</f>
        <v>0</v>
      </c>
      <c s="125">
        <f>SUM('Годовая отчетность'!J20,'Годовая отчетность'!J121)</f>
        <v>0</v>
      </c>
      <c s="125">
        <f>SUM('Годовая отчетность'!K20,'Годовая отчетность'!K121)</f>
        <v>0</v>
      </c>
      <c s="125">
        <f>SUM('Годовая отчетность'!L20,'Годовая отчетность'!L121)</f>
        <v>0</v>
      </c>
      <c s="125">
        <f>SUM('Годовая отчетность'!M20,'Годовая отчетность'!M121)</f>
        <v>0</v>
      </c>
      <c s="125">
        <f>SUM('Годовая отчетность'!N20,'Годовая отчетность'!N121)</f>
        <v>0</v>
      </c>
      <c s="125">
        <f>SUM('Годовая отчетность'!O20,'Годовая отчетность'!O121)</f>
        <v>0</v>
      </c>
      <c s="125">
        <f>SUM('Годовая отчетность'!P20,'Годовая отчетность'!P121)</f>
        <v>0</v>
      </c>
      <c s="125">
        <f>SUM('Годовая отчетность'!Q20,'Годовая отчетность'!Q121)</f>
        <v>0</v>
      </c>
      <c s="125">
        <f>SUM('Годовая отчетность'!R20,'Годовая отчетность'!R121)</f>
        <v>0</v>
      </c>
      <c s="125">
        <f>SUM('Годовая отчетность'!S20,'Годовая отчетность'!S121)</f>
        <v>0</v>
      </c>
      <c s="125">
        <f>SUM('Годовая отчетность'!T20,'Годовая отчетность'!T121)</f>
        <v>0</v>
      </c>
    </row>
    <row r="262" spans="2:20" ht="15" customHeight="1">
      <c r="B262" s="12" t="s">
        <v>570</v>
      </c>
      <c s="124" t="str">
        <f t="shared" si="107"/>
        <v>тыс. руб.</v>
      </c>
      <c s="276">
        <f>SUM(E262:T262)</f>
        <v>0</v>
      </c>
      <c s="125">
        <f>SUM('Годовая отчетность'!E21,'Годовая отчетность'!E122)</f>
        <v>0</v>
      </c>
      <c s="125">
        <f>SUM('Годовая отчетность'!F21,'Годовая отчетность'!F122)</f>
        <v>0</v>
      </c>
      <c s="125">
        <f>SUM('Годовая отчетность'!G21,'Годовая отчетность'!G122)</f>
        <v>0</v>
      </c>
      <c s="125">
        <f>SUM('Годовая отчетность'!H21,'Годовая отчетность'!H122)</f>
        <v>0</v>
      </c>
      <c s="125">
        <f>SUM('Годовая отчетность'!I21,'Годовая отчетность'!I122)</f>
        <v>0</v>
      </c>
      <c s="125">
        <f>SUM('Годовая отчетность'!J21,'Годовая отчетность'!J122)</f>
        <v>0</v>
      </c>
      <c s="125">
        <f>SUM('Годовая отчетность'!K21,'Годовая отчетность'!K122)</f>
        <v>0</v>
      </c>
      <c s="125">
        <f>SUM('Годовая отчетность'!L21,'Годовая отчетность'!L122)</f>
        <v>0</v>
      </c>
      <c s="125">
        <f>SUM('Годовая отчетность'!M21,'Годовая отчетность'!M122)</f>
        <v>0</v>
      </c>
      <c s="125">
        <f>SUM('Годовая отчетность'!N21,'Годовая отчетность'!N122)</f>
        <v>0</v>
      </c>
      <c s="125">
        <f>SUM('Годовая отчетность'!O21,'Годовая отчетность'!O122)</f>
        <v>0</v>
      </c>
      <c s="125">
        <f>SUM('Годовая отчетность'!P21,'Годовая отчетность'!P122)</f>
        <v>0</v>
      </c>
      <c s="125">
        <f>SUM('Годовая отчетность'!Q21,'Годовая отчетность'!Q122)</f>
        <v>0</v>
      </c>
      <c s="125">
        <f>SUM('Годовая отчетность'!R21,'Годовая отчетность'!R122)</f>
        <v>0</v>
      </c>
      <c s="125">
        <f>SUM('Годовая отчетность'!S21,'Годовая отчетность'!S122)</f>
        <v>0</v>
      </c>
      <c s="125">
        <f>SUM('Годовая отчетность'!T21,'Годовая отчетность'!T122)</f>
        <v>0</v>
      </c>
    </row>
    <row r="263" spans="2:20" ht="15" customHeight="1">
      <c r="B263" s="12" t="s">
        <v>976</v>
      </c>
      <c s="124" t="str">
        <f t="shared" si="107"/>
        <v>тыс. руб.</v>
      </c>
      <c s="276">
        <f>SUM(E263:T263)</f>
        <v>0</v>
      </c>
      <c s="125">
        <f>SUM('Годовая отчетность'!E22,'Годовая отчетность'!E123)</f>
        <v>0</v>
      </c>
      <c s="125">
        <f>SUM('Годовая отчетность'!F22,'Годовая отчетность'!F123)</f>
        <v>0</v>
      </c>
      <c s="125">
        <f>SUM('Годовая отчетность'!G22,'Годовая отчетность'!G123)</f>
        <v>0</v>
      </c>
      <c s="125">
        <f>SUM('Годовая отчетность'!H22,'Годовая отчетность'!H123)</f>
        <v>0</v>
      </c>
      <c s="125">
        <f>SUM('Годовая отчетность'!I22,'Годовая отчетность'!I123)</f>
        <v>0</v>
      </c>
      <c s="125">
        <f>SUM('Годовая отчетность'!J22,'Годовая отчетность'!J123)</f>
        <v>0</v>
      </c>
      <c s="125">
        <f>SUM('Годовая отчетность'!K22,'Годовая отчетность'!K123)</f>
        <v>0</v>
      </c>
      <c s="125">
        <f>SUM('Годовая отчетность'!L22,'Годовая отчетность'!L123)</f>
        <v>0</v>
      </c>
      <c s="125">
        <f>SUM('Годовая отчетность'!M22,'Годовая отчетность'!M123)</f>
        <v>0</v>
      </c>
      <c s="125">
        <f>SUM('Годовая отчетность'!N22,'Годовая отчетность'!N123)</f>
        <v>0</v>
      </c>
      <c s="125">
        <f>SUM('Годовая отчетность'!O22,'Годовая отчетность'!O123)</f>
        <v>0</v>
      </c>
      <c s="125">
        <f>SUM('Годовая отчетность'!P22,'Годовая отчетность'!P123)</f>
        <v>0</v>
      </c>
      <c s="125">
        <f>SUM('Годовая отчетность'!Q22,'Годовая отчетность'!Q123)</f>
        <v>0</v>
      </c>
      <c s="125">
        <f>SUM('Годовая отчетность'!R22,'Годовая отчетность'!R123)</f>
        <v>0</v>
      </c>
      <c s="125">
        <f>SUM('Годовая отчетность'!S22,'Годовая отчетность'!S123)</f>
        <v>0</v>
      </c>
      <c s="125">
        <f>SUM('Годовая отчетность'!T22,'Годовая отчетность'!T123)</f>
        <v>0</v>
      </c>
    </row>
    <row r="264" spans="2:20" ht="15" customHeight="1">
      <c r="B264" s="289" t="s">
        <v>281</v>
      </c>
      <c s="290" t="str">
        <f t="shared" si="107"/>
        <v>тыс. руб.</v>
      </c>
      <c s="276">
        <f ca="1" t="shared" si="114" ref="D264:E264">SUM(D258:D263)</f>
        <v>0</v>
      </c>
      <c s="276">
        <f t="shared" ca="1" si="114"/>
        <v>0</v>
      </c>
      <c s="276">
        <f ca="1" t="shared" si="115" ref="F264:L264">SUM(F258:F263)</f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t="shared" ca="1" si="115"/>
        <v>0</v>
      </c>
      <c s="276">
        <f ca="1" t="shared" si="116" ref="M264:T264">SUM(M258:M263)</f>
        <v>0</v>
      </c>
      <c s="276">
        <f t="shared" ca="1" si="116"/>
        <v>0</v>
      </c>
      <c s="276">
        <f t="shared" ca="1" si="116"/>
        <v>0</v>
      </c>
      <c s="276">
        <f t="shared" ca="1" si="116"/>
        <v>0</v>
      </c>
      <c s="276">
        <f t="shared" ca="1" si="116"/>
        <v>0</v>
      </c>
      <c s="276">
        <f t="shared" ca="1" si="116"/>
        <v>0</v>
      </c>
      <c s="276">
        <f t="shared" ca="1" si="116"/>
        <v>0</v>
      </c>
      <c s="276">
        <f t="shared" ca="1" si="116"/>
        <v>0</v>
      </c>
    </row>
    <row r="265" spans="2:20" ht="15" customHeight="1">
      <c r="B265" s="12" t="s">
        <v>573</v>
      </c>
      <c s="124" t="str">
        <f t="shared" si="107"/>
        <v>тыс. руб.</v>
      </c>
      <c s="276">
        <f ca="1">SUM(E265:T265)</f>
        <v>0</v>
      </c>
      <c s="125">
        <f ca="1">SUM('Годовая отчетность'!E24,'Годовая отчетность'!E125)</f>
        <v>0</v>
      </c>
      <c s="125">
        <f ca="1">SUM('Годовая отчетность'!F24,'Годовая отчетность'!F125)</f>
        <v>0</v>
      </c>
      <c s="125">
        <f ca="1">SUM('Годовая отчетность'!G24,'Годовая отчетность'!G125)</f>
        <v>0</v>
      </c>
      <c s="125">
        <f ca="1">SUM('Годовая отчетность'!H24,'Годовая отчетность'!H125)</f>
        <v>0</v>
      </c>
      <c s="125">
        <f ca="1">SUM('Годовая отчетность'!I24,'Годовая отчетность'!I125)</f>
        <v>0</v>
      </c>
      <c s="125">
        <f ca="1">SUM('Годовая отчетность'!J24,'Годовая отчетность'!J125)</f>
        <v>0</v>
      </c>
      <c s="125">
        <f ca="1">SUM('Годовая отчетность'!K24,'Годовая отчетность'!K125)</f>
        <v>0</v>
      </c>
      <c s="125">
        <f ca="1">SUM('Годовая отчетность'!L24,'Годовая отчетность'!L125)</f>
        <v>0</v>
      </c>
      <c s="125">
        <f ca="1">SUM('Годовая отчетность'!M24,'Годовая отчетность'!M125)</f>
        <v>0</v>
      </c>
      <c s="125">
        <f ca="1">SUM('Годовая отчетность'!N24,'Годовая отчетность'!N125)</f>
        <v>0</v>
      </c>
      <c s="125">
        <f ca="1">SUM('Годовая отчетность'!O24,'Годовая отчетность'!O125)</f>
        <v>0</v>
      </c>
      <c s="125">
        <f ca="1">SUM('Годовая отчетность'!P24,'Годовая отчетность'!P125)</f>
        <v>0</v>
      </c>
      <c s="125">
        <f ca="1">SUM('Годовая отчетность'!Q24,'Годовая отчетность'!Q125)</f>
        <v>0</v>
      </c>
      <c s="125">
        <f ca="1">SUM('Годовая отчетность'!R24,'Годовая отчетность'!R125)</f>
        <v>0</v>
      </c>
      <c s="125">
        <f ca="1">SUM('Годовая отчетность'!S24,'Годовая отчетность'!S125)</f>
        <v>0</v>
      </c>
      <c s="125">
        <f ca="1">SUM('Годовая отчетность'!T24,'Годовая отчетность'!T125)</f>
        <v>0</v>
      </c>
    </row>
    <row r="266" spans="2:20" ht="15" customHeight="1">
      <c r="B266" s="289" t="s">
        <v>283</v>
      </c>
      <c s="290" t="str">
        <f t="shared" si="107"/>
        <v>тыс. руб.</v>
      </c>
      <c s="291">
        <f ca="1" t="shared" si="117" ref="D266:E266">SUM(D264:D265)</f>
        <v>0</v>
      </c>
      <c s="276">
        <f t="shared" ca="1" si="117"/>
        <v>0</v>
      </c>
      <c s="276">
        <f ca="1" t="shared" si="118" ref="F266:L266">SUM(F264:F265)</f>
        <v>0</v>
      </c>
      <c s="276">
        <f t="shared" ca="1" si="118"/>
        <v>0</v>
      </c>
      <c s="276">
        <f t="shared" ca="1" si="118"/>
        <v>0</v>
      </c>
      <c s="276">
        <f t="shared" ca="1" si="118"/>
        <v>0</v>
      </c>
      <c s="276">
        <f t="shared" ca="1" si="118"/>
        <v>0</v>
      </c>
      <c s="276">
        <f t="shared" ca="1" si="118"/>
        <v>0</v>
      </c>
      <c s="276">
        <f t="shared" ca="1" si="118"/>
        <v>0</v>
      </c>
      <c s="276">
        <f ca="1" t="shared" si="119" ref="M266:T266">SUM(M264:M265)</f>
        <v>0</v>
      </c>
      <c s="276">
        <f t="shared" ca="1" si="119"/>
        <v>0</v>
      </c>
      <c s="276">
        <f t="shared" ca="1" si="119"/>
        <v>0</v>
      </c>
      <c s="276">
        <f t="shared" ca="1" si="119"/>
        <v>0</v>
      </c>
      <c s="276">
        <f t="shared" ca="1" si="119"/>
        <v>0</v>
      </c>
      <c s="276">
        <f t="shared" ca="1" si="119"/>
        <v>0</v>
      </c>
      <c s="276">
        <f t="shared" ca="1" si="119"/>
        <v>0</v>
      </c>
      <c s="276">
        <f t="shared" ca="1" si="119"/>
        <v>0</v>
      </c>
    </row>
    <row r="267" ht="15" customHeight="1"/>
    <row r="268" spans="2:26" ht="21">
      <c r="B268" s="23" t="s">
        <v>330</v>
      </c>
      <c r="D26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69" spans="2:26" ht="21">
      <c r="B269" s="24" t="s">
        <v>979</v>
      </c>
      <c r="D26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0" spans="2:24" ht="14.45">
      <c r="B270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1" spans="2:20" ht="15" customHeight="1">
      <c r="B271" s="130" t="s">
        <v>1026</v>
      </c>
      <c s="124" t="s">
        <v>438</v>
      </c>
      <c s="276">
        <f>SUM(E271:T271)</f>
        <v>0</v>
      </c>
      <c s="125">
        <f>SUM('Годовая отчетность'!E35,'Годовая отчетность'!E137)</f>
        <v>0</v>
      </c>
      <c s="125">
        <f>SUM('Годовая отчетность'!F35,'Годовая отчетность'!F137)</f>
        <v>0</v>
      </c>
      <c s="125">
        <f>SUM('Годовая отчетность'!G35,'Годовая отчетность'!G137)</f>
        <v>0</v>
      </c>
      <c s="125">
        <f>SUM('Годовая отчетность'!H35,'Годовая отчетность'!H137)</f>
        <v>0</v>
      </c>
      <c s="125">
        <f>SUM('Годовая отчетность'!I35,'Годовая отчетность'!I137)</f>
        <v>0</v>
      </c>
      <c s="125">
        <f>SUM('Годовая отчетность'!J35,'Годовая отчетность'!J137)</f>
        <v>0</v>
      </c>
      <c s="125">
        <f>SUM('Годовая отчетность'!K35,'Годовая отчетность'!K137)</f>
        <v>0</v>
      </c>
      <c s="125">
        <f>SUM('Годовая отчетность'!L35,'Годовая отчетность'!L137)</f>
        <v>0</v>
      </c>
      <c s="125">
        <f>SUM('Годовая отчетность'!M35,'Годовая отчетность'!M137)</f>
        <v>0</v>
      </c>
      <c s="125">
        <f>SUM('Годовая отчетность'!N35,'Годовая отчетность'!N137)</f>
        <v>0</v>
      </c>
      <c s="125">
        <f>SUM('Годовая отчетность'!O35,'Годовая отчетность'!O137)</f>
        <v>0</v>
      </c>
      <c s="125">
        <f>SUM('Годовая отчетность'!P35,'Годовая отчетность'!P137)</f>
        <v>0</v>
      </c>
      <c s="125">
        <f>SUM('Годовая отчетность'!Q35,'Годовая отчетность'!Q137)</f>
        <v>0</v>
      </c>
      <c s="125">
        <f>SUM('Годовая отчетность'!R35,'Годовая отчетность'!R137)</f>
        <v>0</v>
      </c>
      <c s="125">
        <f>SUM('Годовая отчетность'!S35,'Годовая отчетность'!S137)</f>
        <v>0</v>
      </c>
      <c s="125">
        <f>SUM('Годовая отчетность'!T35,'Годовая отчетность'!T137)</f>
        <v>0</v>
      </c>
    </row>
    <row r="272" spans="2:20" ht="15" customHeight="1">
      <c r="B272" s="12" t="s">
        <v>1027</v>
      </c>
      <c s="124" t="s">
        <v>438</v>
      </c>
      <c s="276">
        <f>SUM(E272:T272)</f>
        <v>0</v>
      </c>
      <c s="125">
        <f>'Годовая отчетность'!E138</f>
        <v>0</v>
      </c>
      <c s="125">
        <f>'Годовая отчетность'!F138</f>
        <v>0</v>
      </c>
      <c s="125">
        <f>'Годовая отчетность'!G138</f>
        <v>0</v>
      </c>
      <c s="125">
        <f>'Годовая отчетность'!H138</f>
        <v>0</v>
      </c>
      <c s="125">
        <f>'Годовая отчетность'!I138</f>
        <v>0</v>
      </c>
      <c s="125">
        <f>'Годовая отчетность'!J138</f>
        <v>0</v>
      </c>
      <c s="125">
        <f>'Годовая отчетность'!K138</f>
        <v>0</v>
      </c>
      <c s="125">
        <f>'Годовая отчетность'!L138</f>
        <v>0</v>
      </c>
      <c s="125">
        <f>'Годовая отчетность'!M138</f>
        <v>0</v>
      </c>
      <c s="125">
        <f>'Годовая отчетность'!N138</f>
        <v>0</v>
      </c>
      <c s="125">
        <f>'Годовая отчетность'!O138</f>
        <v>0</v>
      </c>
      <c s="125">
        <f>'Годовая отчетность'!P138</f>
        <v>0</v>
      </c>
      <c s="125">
        <f>'Годовая отчетность'!Q138</f>
        <v>0</v>
      </c>
      <c s="125">
        <f>'Годовая отчетность'!R138</f>
        <v>0</v>
      </c>
      <c s="125">
        <f>'Годовая отчетность'!S138</f>
        <v>0</v>
      </c>
      <c s="125">
        <f>'Годовая отчетность'!T138</f>
        <v>0</v>
      </c>
    </row>
    <row r="273" spans="2:20" ht="15" customHeight="1">
      <c r="B273" s="12" t="s">
        <v>1028</v>
      </c>
      <c s="124" t="s">
        <v>438</v>
      </c>
      <c s="276">
        <f>SUM(E273:T273)</f>
        <v>0</v>
      </c>
      <c s="125">
        <f>'Годовая отчетность'!E139</f>
        <v>0</v>
      </c>
      <c s="125">
        <f>'Годовая отчетность'!F139</f>
        <v>0</v>
      </c>
      <c s="125">
        <f>'Годовая отчетность'!G139</f>
        <v>0</v>
      </c>
      <c s="125">
        <f>'Годовая отчетность'!H139</f>
        <v>0</v>
      </c>
      <c s="125">
        <f>'Годовая отчетность'!I139</f>
        <v>0</v>
      </c>
      <c s="125">
        <f>'Годовая отчетность'!J139</f>
        <v>0</v>
      </c>
      <c s="125">
        <f>'Годовая отчетность'!K139</f>
        <v>0</v>
      </c>
      <c s="125">
        <f>'Годовая отчетность'!L139</f>
        <v>0</v>
      </c>
      <c s="125">
        <f>'Годовая отчетность'!M139</f>
        <v>0</v>
      </c>
      <c s="125">
        <f>'Годовая отчетность'!N139</f>
        <v>0</v>
      </c>
      <c s="125">
        <f>'Годовая отчетность'!O139</f>
        <v>0</v>
      </c>
      <c s="125">
        <f>'Годовая отчетность'!P139</f>
        <v>0</v>
      </c>
      <c s="125">
        <f>'Годовая отчетность'!Q139</f>
        <v>0</v>
      </c>
      <c s="125">
        <f>'Годовая отчетность'!R139</f>
        <v>0</v>
      </c>
      <c s="125">
        <f>'Годовая отчетность'!S139</f>
        <v>0</v>
      </c>
      <c s="125">
        <f>'Годовая отчетность'!T139</f>
        <v>0</v>
      </c>
    </row>
    <row r="274" spans="2:20" ht="15" customHeight="1">
      <c r="B274" s="12" t="s">
        <v>1029</v>
      </c>
      <c s="124" t="s">
        <v>438</v>
      </c>
      <c s="276">
        <f ca="1">SUM(E274:T274)</f>
        <v>0</v>
      </c>
      <c s="125">
        <f ca="1">SUM('Годовая отчетность'!E36,'Годовая отчетность'!E140)</f>
        <v>0</v>
      </c>
      <c s="125">
        <f ca="1">SUM('Годовая отчетность'!F36,'Годовая отчетность'!F140)</f>
        <v>0</v>
      </c>
      <c s="125">
        <f ca="1">SUM('Годовая отчетность'!G36,'Годовая отчетность'!G140)</f>
        <v>0</v>
      </c>
      <c s="125">
        <f ca="1">SUM('Годовая отчетность'!H36,'Годовая отчетность'!H140)</f>
        <v>0</v>
      </c>
      <c s="125">
        <f ca="1">SUM('Годовая отчетность'!I36,'Годовая отчетность'!I140)</f>
        <v>0</v>
      </c>
      <c s="125">
        <f ca="1">SUM('Годовая отчетность'!J36,'Годовая отчетность'!J140)</f>
        <v>0</v>
      </c>
      <c s="125">
        <f ca="1">SUM('Годовая отчетность'!K36,'Годовая отчетность'!K140)</f>
        <v>0</v>
      </c>
      <c s="125">
        <f ca="1">SUM('Годовая отчетность'!L36,'Годовая отчетность'!L140)</f>
        <v>0</v>
      </c>
      <c s="125">
        <f ca="1">SUM('Годовая отчетность'!M36,'Годовая отчетность'!M140)</f>
        <v>0</v>
      </c>
      <c s="125">
        <f ca="1">SUM('Годовая отчетность'!N36,'Годовая отчетность'!N140)</f>
        <v>0</v>
      </c>
      <c s="125">
        <f ca="1">SUM('Годовая отчетность'!O36,'Годовая отчетность'!O140)</f>
        <v>0</v>
      </c>
      <c s="125">
        <f ca="1">SUM('Годовая отчетность'!P36,'Годовая отчетность'!P140)</f>
        <v>0</v>
      </c>
      <c s="125">
        <f ca="1">SUM('Годовая отчетность'!Q36,'Годовая отчетность'!Q140)</f>
        <v>0</v>
      </c>
      <c s="125">
        <f ca="1">SUM('Годовая отчетность'!R36,'Годовая отчетность'!R140)</f>
        <v>0</v>
      </c>
      <c s="125">
        <f ca="1">SUM('Годовая отчетность'!S36,'Годовая отчетность'!S140)</f>
        <v>0</v>
      </c>
      <c s="125">
        <f ca="1">SUM('Годовая отчетность'!T36,'Годовая отчетность'!T140)</f>
        <v>0</v>
      </c>
    </row>
    <row r="275" spans="2:20" ht="15" customHeight="1">
      <c r="B275" s="289" t="s">
        <v>454</v>
      </c>
      <c s="290" t="s">
        <v>438</v>
      </c>
      <c s="291">
        <f ca="1" t="shared" si="120" ref="D275:E275">SUM(D271:D274)</f>
        <v>0</v>
      </c>
      <c s="276">
        <f t="shared" ca="1" si="120"/>
        <v>0</v>
      </c>
      <c s="276">
        <f ca="1" t="shared" si="121" ref="F275:L275">SUM(F271:F274)</f>
        <v>0</v>
      </c>
      <c s="276">
        <f t="shared" ca="1" si="121"/>
        <v>0</v>
      </c>
      <c s="276">
        <f t="shared" ca="1" si="121"/>
        <v>0</v>
      </c>
      <c s="276">
        <f t="shared" ca="1" si="121"/>
        <v>0</v>
      </c>
      <c s="276">
        <f t="shared" ca="1" si="121"/>
        <v>0</v>
      </c>
      <c s="276">
        <f t="shared" ca="1" si="121"/>
        <v>0</v>
      </c>
      <c s="276">
        <f t="shared" ca="1" si="121"/>
        <v>0</v>
      </c>
      <c s="276">
        <f ca="1" t="shared" si="122" ref="M275:T275">SUM(M271:M274)</f>
        <v>0</v>
      </c>
      <c s="276">
        <f t="shared" ca="1" si="122"/>
        <v>0</v>
      </c>
      <c s="276">
        <f t="shared" ca="1" si="122"/>
        <v>0</v>
      </c>
      <c s="276">
        <f t="shared" ca="1" si="122"/>
        <v>0</v>
      </c>
      <c s="276">
        <f t="shared" ca="1" si="122"/>
        <v>0</v>
      </c>
      <c s="276">
        <f t="shared" ca="1" si="122"/>
        <v>0</v>
      </c>
      <c s="276">
        <f t="shared" ca="1" si="122"/>
        <v>0</v>
      </c>
      <c s="276">
        <f t="shared" ca="1" si="122"/>
        <v>0</v>
      </c>
    </row>
    <row r="276" ht="15" customHeight="1"/>
    <row r="277" spans="2:24" ht="14.45">
      <c r="B277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8" spans="2:20" ht="15" customHeight="1">
      <c r="B278" s="12" t="s">
        <v>1078</v>
      </c>
      <c s="124" t="s">
        <v>438</v>
      </c>
      <c s="276">
        <f ca="1">SUM(E278:T278)</f>
        <v>0</v>
      </c>
      <c s="125">
        <f ca="1">SUM('Годовая отчетность'!E40,'Годовая отчетность'!E144)</f>
        <v>0</v>
      </c>
      <c s="125">
        <f ca="1">SUM('Годовая отчетность'!F40,'Годовая отчетность'!F144)</f>
        <v>0</v>
      </c>
      <c s="125">
        <f ca="1">SUM('Годовая отчетность'!G40,'Годовая отчетность'!G144)</f>
        <v>0</v>
      </c>
      <c s="125">
        <f ca="1">SUM('Годовая отчетность'!H40,'Годовая отчетность'!H144)</f>
        <v>0</v>
      </c>
      <c s="125">
        <f ca="1">SUM('Годовая отчетность'!I40,'Годовая отчетность'!I144)</f>
        <v>0</v>
      </c>
      <c s="125">
        <f ca="1">SUM('Годовая отчетность'!J40,'Годовая отчетность'!J144)</f>
        <v>0</v>
      </c>
      <c s="125">
        <f ca="1">SUM('Годовая отчетность'!K40,'Годовая отчетность'!K144)</f>
        <v>0</v>
      </c>
      <c s="125">
        <f ca="1">SUM('Годовая отчетность'!L40,'Годовая отчетность'!L144)</f>
        <v>0</v>
      </c>
      <c s="125">
        <f ca="1">SUM('Годовая отчетность'!M40,'Годовая отчетность'!M144)</f>
        <v>0</v>
      </c>
      <c s="125">
        <f ca="1">SUM('Годовая отчетность'!N40,'Годовая отчетность'!N144)</f>
        <v>0</v>
      </c>
      <c s="125">
        <f ca="1">SUM('Годовая отчетность'!O40,'Годовая отчетность'!O144)</f>
        <v>0</v>
      </c>
      <c s="125">
        <f ca="1">SUM('Годовая отчетность'!P40,'Годовая отчетность'!P144)</f>
        <v>0</v>
      </c>
      <c s="125">
        <f ca="1">SUM('Годовая отчетность'!Q40,'Годовая отчетность'!Q144)</f>
        <v>0</v>
      </c>
      <c s="125">
        <f ca="1">SUM('Годовая отчетность'!R40,'Годовая отчетность'!R144)</f>
        <v>0</v>
      </c>
      <c s="125">
        <f ca="1">SUM('Годовая отчетность'!S40,'Годовая отчетность'!S144)</f>
        <v>0</v>
      </c>
      <c s="125">
        <f ca="1">SUM('Годовая отчетность'!T40,'Годовая отчетность'!T144)</f>
        <v>0</v>
      </c>
    </row>
    <row r="279" spans="2:20" ht="15" customHeight="1">
      <c r="B279" s="12" t="s">
        <v>1031</v>
      </c>
      <c s="124" t="s">
        <v>438</v>
      </c>
      <c s="276">
        <f>SUM(E279:T279)</f>
        <v>0</v>
      </c>
      <c s="125">
        <f>SUM('Годовая отчетность'!E41,'Годовая отчетность'!E145)</f>
        <v>0</v>
      </c>
      <c s="125">
        <f>SUM('Годовая отчетность'!F41,'Годовая отчетность'!F145)</f>
        <v>0</v>
      </c>
      <c s="125">
        <f>SUM('Годовая отчетность'!G41,'Годовая отчетность'!G145)</f>
        <v>0</v>
      </c>
      <c s="125">
        <f>SUM('Годовая отчетность'!H41,'Годовая отчетность'!H145)</f>
        <v>0</v>
      </c>
      <c s="125">
        <f>SUM('Годовая отчетность'!I41,'Годовая отчетность'!I145)</f>
        <v>0</v>
      </c>
      <c s="125">
        <f>SUM('Годовая отчетность'!J41,'Годовая отчетность'!J145)</f>
        <v>0</v>
      </c>
      <c s="125">
        <f>SUM('Годовая отчетность'!K41,'Годовая отчетность'!K145)</f>
        <v>0</v>
      </c>
      <c s="125">
        <f>SUM('Годовая отчетность'!L41,'Годовая отчетность'!L145)</f>
        <v>0</v>
      </c>
      <c s="125">
        <f>SUM('Годовая отчетность'!M41,'Годовая отчетность'!M145)</f>
        <v>0</v>
      </c>
      <c s="125">
        <f>SUM('Годовая отчетность'!N41,'Годовая отчетность'!N145)</f>
        <v>0</v>
      </c>
      <c s="125">
        <f>SUM('Годовая отчетность'!O41,'Годовая отчетность'!O145)</f>
        <v>0</v>
      </c>
      <c s="125">
        <f>SUM('Годовая отчетность'!P41,'Годовая отчетность'!P145)</f>
        <v>0</v>
      </c>
      <c s="125">
        <f>SUM('Годовая отчетность'!Q41,'Годовая отчетность'!Q145)</f>
        <v>0</v>
      </c>
      <c s="125">
        <f>SUM('Годовая отчетность'!R41,'Годовая отчетность'!R145)</f>
        <v>0</v>
      </c>
      <c s="125">
        <f>SUM('Годовая отчетность'!S41,'Годовая отчетность'!S145)</f>
        <v>0</v>
      </c>
      <c s="125">
        <f>SUM('Годовая отчетность'!T41,'Годовая отчетность'!T145)</f>
        <v>0</v>
      </c>
    </row>
    <row r="280" spans="2:20" ht="15" customHeight="1">
      <c r="B280" s="12" t="s">
        <v>1032</v>
      </c>
      <c s="124" t="s">
        <v>438</v>
      </c>
      <c s="276">
        <f>SUM(E280:T280)</f>
        <v>0</v>
      </c>
      <c s="125">
        <f>SUM('Годовая отчетность'!E66,'Годовая отчетность'!E146)</f>
        <v>0</v>
      </c>
      <c s="125">
        <f>SUM('Годовая отчетность'!F66,'Годовая отчетность'!F146)</f>
        <v>0</v>
      </c>
      <c s="125">
        <f>SUM('Годовая отчетность'!G66,'Годовая отчетность'!G146)</f>
        <v>0</v>
      </c>
      <c s="125">
        <f>SUM('Годовая отчетность'!H66,'Годовая отчетность'!H146)</f>
        <v>0</v>
      </c>
      <c s="125">
        <f>SUM('Годовая отчетность'!I66,'Годовая отчетность'!I146)</f>
        <v>0</v>
      </c>
      <c s="125">
        <f>SUM('Годовая отчетность'!J66,'Годовая отчетность'!J146)</f>
        <v>0</v>
      </c>
      <c s="125">
        <f>SUM('Годовая отчетность'!K66,'Годовая отчетность'!K146)</f>
        <v>0</v>
      </c>
      <c s="125">
        <f>SUM('Годовая отчетность'!L66,'Годовая отчетность'!L146)</f>
        <v>0</v>
      </c>
      <c s="125">
        <f>SUM('Годовая отчетность'!M66,'Годовая отчетность'!M146)</f>
        <v>0</v>
      </c>
      <c s="125">
        <f>SUM('Годовая отчетность'!N66,'Годовая отчетность'!N146)</f>
        <v>0</v>
      </c>
      <c s="125">
        <f>SUM('Годовая отчетность'!O66,'Годовая отчетность'!O146)</f>
        <v>0</v>
      </c>
      <c s="125">
        <f>SUM('Годовая отчетность'!P66,'Годовая отчетность'!P146)</f>
        <v>0</v>
      </c>
      <c s="125">
        <f>SUM('Годовая отчетность'!Q66,'Годовая отчетность'!Q146)</f>
        <v>0</v>
      </c>
      <c s="125">
        <f>SUM('Годовая отчетность'!R66,'Годовая отчетность'!R146)</f>
        <v>0</v>
      </c>
      <c s="125">
        <f>SUM('Годовая отчетность'!S66,'Годовая отчетность'!S146)</f>
        <v>0</v>
      </c>
      <c s="125">
        <f>SUM('Годовая отчетность'!T66,'Годовая отчетность'!T146)</f>
        <v>0</v>
      </c>
    </row>
    <row r="281" spans="2:20" ht="15" customHeight="1">
      <c r="B281" s="12" t="s">
        <v>943</v>
      </c>
      <c s="124" t="s">
        <v>438</v>
      </c>
      <c s="276">
        <f ca="1">SUM(E281:T281)</f>
        <v>0</v>
      </c>
      <c s="125">
        <f ca="1">SUM('Годовая отчетность'!E44,'Годовая отчетность'!E147)</f>
        <v>0</v>
      </c>
      <c s="125">
        <f ca="1">SUM('Годовая отчетность'!F44,'Годовая отчетность'!F147)</f>
        <v>0</v>
      </c>
      <c s="125">
        <f ca="1">SUM('Годовая отчетность'!G44,'Годовая отчетность'!G147)</f>
        <v>0</v>
      </c>
      <c s="125">
        <f ca="1">SUM('Годовая отчетность'!H44,'Годовая отчетность'!H147)</f>
        <v>0</v>
      </c>
      <c s="125">
        <f ca="1">SUM('Годовая отчетность'!I44,'Годовая отчетность'!I147)</f>
        <v>0</v>
      </c>
      <c s="125">
        <f ca="1">SUM('Годовая отчетность'!J44,'Годовая отчетность'!J147)</f>
        <v>0</v>
      </c>
      <c s="125">
        <f ca="1">SUM('Годовая отчетность'!K44,'Годовая отчетность'!K147)</f>
        <v>0</v>
      </c>
      <c s="125">
        <f ca="1">SUM('Годовая отчетность'!L44,'Годовая отчетность'!L147)</f>
        <v>0</v>
      </c>
      <c s="125">
        <f ca="1">SUM('Годовая отчетность'!M44,'Годовая отчетность'!M147)</f>
        <v>0</v>
      </c>
      <c s="125">
        <f ca="1">SUM('Годовая отчетность'!N44,'Годовая отчетность'!N147)</f>
        <v>0</v>
      </c>
      <c s="125">
        <f ca="1">SUM('Годовая отчетность'!O44,'Годовая отчетность'!O147)</f>
        <v>0</v>
      </c>
      <c s="125">
        <f ca="1">SUM('Годовая отчетность'!P44,'Годовая отчетность'!P147)</f>
        <v>0</v>
      </c>
      <c s="125">
        <f ca="1">SUM('Годовая отчетность'!Q44,'Годовая отчетность'!Q147)</f>
        <v>0</v>
      </c>
      <c s="125">
        <f ca="1">SUM('Годовая отчетность'!R44,'Годовая отчетность'!R147)</f>
        <v>0</v>
      </c>
      <c s="125">
        <f ca="1">SUM('Годовая отчетность'!S44,'Годовая отчетность'!S147)</f>
        <v>0</v>
      </c>
      <c s="125">
        <f ca="1">SUM('Годовая отчетность'!T44,'Годовая отчетность'!T147)</f>
        <v>0</v>
      </c>
    </row>
    <row r="282" spans="2:20" ht="15" customHeight="1">
      <c r="B282" s="12" t="s">
        <v>1033</v>
      </c>
      <c s="124" t="s">
        <v>438</v>
      </c>
      <c s="276">
        <f ca="1">SUM(E282:T282)</f>
        <v>0</v>
      </c>
      <c s="125">
        <f ca="1">SUM('Годовая отчетность'!E42:E43,'Годовая отчетность'!E45:E46,'Годовая отчетность'!E148)</f>
        <v>0</v>
      </c>
      <c s="125">
        <f ca="1">SUM('Годовая отчетность'!F42:F43,'Годовая отчетность'!F45:F46,'Годовая отчетность'!F148)</f>
        <v>0</v>
      </c>
      <c s="125">
        <f ca="1">SUM('Годовая отчетность'!G42:G43,'Годовая отчетность'!G45:G46,'Годовая отчетность'!G148)</f>
        <v>0</v>
      </c>
      <c s="125">
        <f ca="1">SUM('Годовая отчетность'!H42:H43,'Годовая отчетность'!H45:H46,'Годовая отчетность'!H148)</f>
        <v>0</v>
      </c>
      <c s="125">
        <f ca="1">SUM('Годовая отчетность'!I42:I43,'Годовая отчетность'!I45:I46,'Годовая отчетность'!I148)</f>
        <v>0</v>
      </c>
      <c s="125">
        <f ca="1">SUM('Годовая отчетность'!J42:J43,'Годовая отчетность'!J45:J46,'Годовая отчетность'!J148)</f>
        <v>0</v>
      </c>
      <c s="125">
        <f ca="1">SUM('Годовая отчетность'!K42:K43,'Годовая отчетность'!K45:K46,'Годовая отчетность'!K148)</f>
        <v>0</v>
      </c>
      <c s="125">
        <f ca="1">SUM('Годовая отчетность'!L42:L43,'Годовая отчетность'!L45:L46,'Годовая отчетность'!L148)</f>
        <v>0</v>
      </c>
      <c s="125">
        <f ca="1">SUM('Годовая отчетность'!M42:M43,'Годовая отчетность'!M45:M46,'Годовая отчетность'!M148)</f>
        <v>0</v>
      </c>
      <c s="125">
        <f ca="1">SUM('Годовая отчетность'!N42:N43,'Годовая отчетность'!N45:N46,'Годовая отчетность'!N148)</f>
        <v>0</v>
      </c>
      <c s="125">
        <f ca="1">SUM('Годовая отчетность'!O42:O43,'Годовая отчетность'!O45:O46,'Годовая отчетность'!O148)</f>
        <v>0</v>
      </c>
      <c s="125">
        <f ca="1">SUM('Годовая отчетность'!P42:P43,'Годовая отчетность'!P45:P46,'Годовая отчетность'!P148)</f>
        <v>0</v>
      </c>
      <c s="125">
        <f ca="1">SUM('Годовая отчетность'!Q42:Q43,'Годовая отчетность'!Q45:Q46,'Годовая отчетность'!Q148)</f>
        <v>0</v>
      </c>
      <c s="125">
        <f ca="1">SUM('Годовая отчетность'!R42:R43,'Годовая отчетность'!R45:R46,'Годовая отчетность'!R148)</f>
        <v>0</v>
      </c>
      <c s="125">
        <f ca="1">SUM('Годовая отчетность'!S42:S43,'Годовая отчетность'!S45:S46,'Годовая отчетность'!S148)</f>
        <v>0</v>
      </c>
      <c s="125">
        <f ca="1">SUM('Годовая отчетность'!T42:T43,'Годовая отчетность'!T45:T46,'Годовая отчетность'!T148)</f>
        <v>0</v>
      </c>
    </row>
    <row r="283" spans="2:20" ht="15" customHeight="1">
      <c r="B283" s="289" t="s">
        <v>454</v>
      </c>
      <c s="290" t="s">
        <v>438</v>
      </c>
      <c s="291">
        <f ca="1" t="shared" si="123" ref="D283:E283">SUM(D278:D282)</f>
        <v>0</v>
      </c>
      <c s="276">
        <f t="shared" ca="1" si="123"/>
        <v>0</v>
      </c>
      <c s="276">
        <f ca="1" t="shared" si="124" ref="F283:L283">SUM(F278:F282)</f>
        <v>0</v>
      </c>
      <c s="276">
        <f t="shared" ca="1" si="124"/>
        <v>0</v>
      </c>
      <c s="276">
        <f t="shared" ca="1" si="124"/>
        <v>0</v>
      </c>
      <c s="276">
        <f t="shared" ca="1" si="124"/>
        <v>0</v>
      </c>
      <c s="276">
        <f t="shared" ca="1" si="124"/>
        <v>0</v>
      </c>
      <c s="276">
        <f t="shared" ca="1" si="124"/>
        <v>0</v>
      </c>
      <c s="276">
        <f t="shared" ca="1" si="124"/>
        <v>0</v>
      </c>
      <c s="276">
        <f ca="1" t="shared" si="125" ref="M283:T283">SUM(M278:M282)</f>
        <v>0</v>
      </c>
      <c s="276">
        <f t="shared" ca="1" si="125"/>
        <v>0</v>
      </c>
      <c s="276">
        <f t="shared" ca="1" si="125"/>
        <v>0</v>
      </c>
      <c s="276">
        <f t="shared" ca="1" si="125"/>
        <v>0</v>
      </c>
      <c s="276">
        <f t="shared" ca="1" si="125"/>
        <v>0</v>
      </c>
      <c s="276">
        <f t="shared" ca="1" si="125"/>
        <v>0</v>
      </c>
      <c s="276">
        <f t="shared" ca="1" si="125"/>
        <v>0</v>
      </c>
      <c s="276">
        <f t="shared" ca="1" si="125"/>
        <v>0</v>
      </c>
    </row>
    <row r="284" ht="15" customHeight="1"/>
    <row r="285" spans="2:20" ht="15" customHeight="1">
      <c r="B285" s="292" t="s">
        <v>986</v>
      </c>
      <c s="293" t="s">
        <v>438</v>
      </c>
      <c s="291">
        <f ca="1" t="shared" si="126" ref="D285:E285">SUM(D275,D283)</f>
        <v>0</v>
      </c>
      <c s="291">
        <f t="shared" ca="1" si="126"/>
        <v>0</v>
      </c>
      <c s="291">
        <f ca="1" t="shared" si="127" ref="F285:T285">SUM(F275,F283)</f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  <c s="291">
        <f t="shared" ca="1" si="127"/>
        <v>0</v>
      </c>
    </row>
    <row r="286" ht="15" customHeight="1"/>
    <row r="287" spans="2:26" ht="21">
      <c r="B287" s="24" t="s">
        <v>987</v>
      </c>
      <c r="D287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8" spans="2:24" ht="14.45">
      <c r="B288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9" spans="2:20" ht="15" customHeight="1">
      <c r="B289" s="130" t="s">
        <v>1034</v>
      </c>
      <c s="124" t="s">
        <v>438</v>
      </c>
      <c s="276">
        <f>SUM(E289:T289)</f>
        <v>0</v>
      </c>
      <c s="125">
        <f>'Годовая отчетность'!E155</f>
        <v>0</v>
      </c>
      <c s="125">
        <f>'Годовая отчетность'!F155</f>
        <v>0</v>
      </c>
      <c s="125">
        <f>'Годовая отчетность'!G155</f>
        <v>0</v>
      </c>
      <c s="125">
        <f>'Годовая отчетность'!H155</f>
        <v>0</v>
      </c>
      <c s="125">
        <f>'Годовая отчетность'!I155</f>
        <v>0</v>
      </c>
      <c s="125">
        <f>'Годовая отчетность'!J155</f>
        <v>0</v>
      </c>
      <c s="125">
        <f>'Годовая отчетность'!K155</f>
        <v>0</v>
      </c>
      <c s="125">
        <f>'Годовая отчетность'!L155</f>
        <v>0</v>
      </c>
      <c s="125">
        <f>'Годовая отчетность'!M155</f>
        <v>0</v>
      </c>
      <c s="125">
        <f>'Годовая отчетность'!N155</f>
        <v>0</v>
      </c>
      <c s="125">
        <f>'Годовая отчетность'!O155</f>
        <v>0</v>
      </c>
      <c s="125">
        <f>'Годовая отчетность'!P155</f>
        <v>0</v>
      </c>
      <c s="125">
        <f>'Годовая отчетность'!Q155</f>
        <v>0</v>
      </c>
      <c s="125">
        <f>'Годовая отчетность'!R155</f>
        <v>0</v>
      </c>
      <c s="125">
        <f>'Годовая отчетность'!S155</f>
        <v>0</v>
      </c>
      <c s="125">
        <f>'Годовая отчетность'!T155</f>
        <v>0</v>
      </c>
    </row>
    <row r="290" spans="2:20" ht="15" customHeight="1">
      <c r="B290" s="12" t="s">
        <v>1035</v>
      </c>
      <c s="124" t="s">
        <v>438</v>
      </c>
      <c s="276">
        <f>SUM(E290:T290)</f>
        <v>0</v>
      </c>
      <c s="125">
        <f>'Годовая отчетность'!E156</f>
        <v>0</v>
      </c>
      <c s="125">
        <f>'Годовая отчетность'!F156</f>
        <v>0</v>
      </c>
      <c s="125">
        <f>'Годовая отчетность'!G156</f>
        <v>0</v>
      </c>
      <c s="125">
        <f>'Годовая отчетность'!H156</f>
        <v>0</v>
      </c>
      <c s="125">
        <f>'Годовая отчетность'!I156</f>
        <v>0</v>
      </c>
      <c s="125">
        <f>'Годовая отчетность'!J156</f>
        <v>0</v>
      </c>
      <c s="125">
        <f>'Годовая отчетность'!K156</f>
        <v>0</v>
      </c>
      <c s="125">
        <f>'Годовая отчетность'!L156</f>
        <v>0</v>
      </c>
      <c s="125">
        <f>'Годовая отчетность'!M156</f>
        <v>0</v>
      </c>
      <c s="125">
        <f>'Годовая отчетность'!N156</f>
        <v>0</v>
      </c>
      <c s="125">
        <f>'Годовая отчетность'!O156</f>
        <v>0</v>
      </c>
      <c s="125">
        <f>'Годовая отчетность'!P156</f>
        <v>0</v>
      </c>
      <c s="125">
        <f>'Годовая отчетность'!Q156</f>
        <v>0</v>
      </c>
      <c s="125">
        <f>'Годовая отчетность'!R156</f>
        <v>0</v>
      </c>
      <c s="125">
        <f>'Годовая отчетность'!S156</f>
        <v>0</v>
      </c>
      <c s="125">
        <f>'Годовая отчетность'!T156</f>
        <v>0</v>
      </c>
    </row>
    <row r="291" spans="2:20" ht="15" customHeight="1">
      <c r="B291" s="12" t="s">
        <v>1036</v>
      </c>
      <c s="124" t="s">
        <v>438</v>
      </c>
      <c s="276">
        <f>SUM(E291:T291)</f>
        <v>0</v>
      </c>
      <c s="125">
        <f>'Годовая отчетность'!E157</f>
        <v>0</v>
      </c>
      <c s="125">
        <f>'Годовая отчетность'!F157</f>
        <v>0</v>
      </c>
      <c s="125">
        <f>'Годовая отчетность'!G157</f>
        <v>0</v>
      </c>
      <c s="125">
        <f>'Годовая отчетность'!H157</f>
        <v>0</v>
      </c>
      <c s="125">
        <f>'Годовая отчетность'!I157</f>
        <v>0</v>
      </c>
      <c s="125">
        <f>'Годовая отчетность'!J157</f>
        <v>0</v>
      </c>
      <c s="125">
        <f>'Годовая отчетность'!K157</f>
        <v>0</v>
      </c>
      <c s="125">
        <f>'Годовая отчетность'!L157</f>
        <v>0</v>
      </c>
      <c s="125">
        <f>'Годовая отчетность'!M157</f>
        <v>0</v>
      </c>
      <c s="125">
        <f>'Годовая отчетность'!N157</f>
        <v>0</v>
      </c>
      <c s="125">
        <f>'Годовая отчетность'!O157</f>
        <v>0</v>
      </c>
      <c s="125">
        <f>'Годовая отчетность'!P157</f>
        <v>0</v>
      </c>
      <c s="125">
        <f>'Годовая отчетность'!Q157</f>
        <v>0</v>
      </c>
      <c s="125">
        <f>'Годовая отчетность'!R157</f>
        <v>0</v>
      </c>
      <c s="125">
        <f>'Годовая отчетность'!S157</f>
        <v>0</v>
      </c>
      <c s="125">
        <f>'Годовая отчетность'!T157</f>
        <v>0</v>
      </c>
    </row>
    <row r="292" spans="2:20" ht="15" customHeight="1">
      <c r="B292" s="12" t="s">
        <v>1037</v>
      </c>
      <c s="124" t="s">
        <v>438</v>
      </c>
      <c s="276">
        <f>SUM(E292:T292)</f>
        <v>0</v>
      </c>
      <c s="125">
        <f>'Годовая отчетность'!E158</f>
        <v>0</v>
      </c>
      <c s="125">
        <f>'Годовая отчетность'!F158</f>
        <v>0</v>
      </c>
      <c s="125">
        <f>'Годовая отчетность'!G158</f>
        <v>0</v>
      </c>
      <c s="125">
        <f>'Годовая отчетность'!H158</f>
        <v>0</v>
      </c>
      <c s="125">
        <f>'Годовая отчетность'!I158</f>
        <v>0</v>
      </c>
      <c s="125">
        <f>'Годовая отчетность'!J158</f>
        <v>0</v>
      </c>
      <c s="125">
        <f>'Годовая отчетность'!K158</f>
        <v>0</v>
      </c>
      <c s="125">
        <f>'Годовая отчетность'!L158</f>
        <v>0</v>
      </c>
      <c s="125">
        <f>'Годовая отчетность'!M158</f>
        <v>0</v>
      </c>
      <c s="125">
        <f>'Годовая отчетность'!N158</f>
        <v>0</v>
      </c>
      <c s="125">
        <f>'Годовая отчетность'!O158</f>
        <v>0</v>
      </c>
      <c s="125">
        <f>'Годовая отчетность'!P158</f>
        <v>0</v>
      </c>
      <c s="125">
        <f>'Годовая отчетность'!Q158</f>
        <v>0</v>
      </c>
      <c s="125">
        <f>'Годовая отчетность'!R158</f>
        <v>0</v>
      </c>
      <c s="125">
        <f>'Годовая отчетность'!S158</f>
        <v>0</v>
      </c>
      <c s="125">
        <f>'Годовая отчетность'!T158</f>
        <v>0</v>
      </c>
    </row>
    <row r="293" spans="2:20" ht="15" customHeight="1">
      <c r="B293" s="12" t="s">
        <v>1029</v>
      </c>
      <c s="124" t="s">
        <v>438</v>
      </c>
      <c s="276">
        <f>SUM(E293:T293)</f>
        <v>0</v>
      </c>
      <c s="125">
        <f>'Годовая отчетность'!E159</f>
        <v>0</v>
      </c>
      <c s="125">
        <f>'Годовая отчетность'!F159</f>
        <v>0</v>
      </c>
      <c s="125">
        <f>'Годовая отчетность'!G159</f>
        <v>0</v>
      </c>
      <c s="125">
        <f>'Годовая отчетность'!H159</f>
        <v>0</v>
      </c>
      <c s="125">
        <f>'Годовая отчетность'!I159</f>
        <v>0</v>
      </c>
      <c s="125">
        <f>'Годовая отчетность'!J159</f>
        <v>0</v>
      </c>
      <c s="125">
        <f>'Годовая отчетность'!K159</f>
        <v>0</v>
      </c>
      <c s="125">
        <f>'Годовая отчетность'!L159</f>
        <v>0</v>
      </c>
      <c s="125">
        <f>'Годовая отчетность'!M159</f>
        <v>0</v>
      </c>
      <c s="125">
        <f>'Годовая отчетность'!N159</f>
        <v>0</v>
      </c>
      <c s="125">
        <f>'Годовая отчетность'!O159</f>
        <v>0</v>
      </c>
      <c s="125">
        <f>'Годовая отчетность'!P159</f>
        <v>0</v>
      </c>
      <c s="125">
        <f>'Годовая отчетность'!Q159</f>
        <v>0</v>
      </c>
      <c s="125">
        <f>'Годовая отчетность'!R159</f>
        <v>0</v>
      </c>
      <c s="125">
        <f>'Годовая отчетность'!S159</f>
        <v>0</v>
      </c>
      <c s="125">
        <f>'Годовая отчетность'!T159</f>
        <v>0</v>
      </c>
    </row>
    <row r="294" spans="2:20" ht="15" customHeight="1">
      <c r="B294" s="289" t="s">
        <v>454</v>
      </c>
      <c s="290" t="s">
        <v>438</v>
      </c>
      <c s="291">
        <f t="shared" si="128" ref="D294:E294">SUM(D289:D293)</f>
        <v>0</v>
      </c>
      <c s="276">
        <f t="shared" si="128"/>
        <v>0</v>
      </c>
      <c s="276">
        <f t="shared" si="129" ref="F294:L294">SUM(F289:F293)</f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29"/>
        <v>0</v>
      </c>
      <c s="276">
        <f t="shared" si="130" ref="M294:T294">SUM(M289:M293)</f>
        <v>0</v>
      </c>
      <c s="276">
        <f t="shared" si="130"/>
        <v>0</v>
      </c>
      <c s="276">
        <f t="shared" si="130"/>
        <v>0</v>
      </c>
      <c s="276">
        <f t="shared" si="130"/>
        <v>0</v>
      </c>
      <c s="276">
        <f t="shared" si="130"/>
        <v>0</v>
      </c>
      <c s="276">
        <f t="shared" si="130"/>
        <v>0</v>
      </c>
      <c s="276">
        <f t="shared" si="130"/>
        <v>0</v>
      </c>
      <c s="276">
        <f t="shared" si="130"/>
        <v>0</v>
      </c>
    </row>
    <row r="295" ht="15" customHeight="1"/>
    <row r="296" spans="2:24" ht="14.45">
      <c r="B296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97" spans="2:20" ht="15" customHeight="1">
      <c r="B297" s="12" t="s">
        <v>988</v>
      </c>
      <c s="124" t="s">
        <v>438</v>
      </c>
      <c s="276">
        <f>SUM(E297:T297)</f>
        <v>0</v>
      </c>
      <c s="125">
        <f>SUM('Годовая отчетность'!E53,'Годовая отчетность'!E164)</f>
        <v>0</v>
      </c>
      <c s="125">
        <f>SUM('Годовая отчетность'!F53,'Годовая отчетность'!F164)</f>
        <v>0</v>
      </c>
      <c s="125">
        <f>SUM('Годовая отчетность'!G53,'Годовая отчетность'!G164)</f>
        <v>0</v>
      </c>
      <c s="125">
        <f>SUM('Годовая отчетность'!H53,'Годовая отчетность'!H164)</f>
        <v>0</v>
      </c>
      <c s="125">
        <f>SUM('Годовая отчетность'!I53,'Годовая отчетность'!I164)</f>
        <v>0</v>
      </c>
      <c s="125">
        <f>SUM('Годовая отчетность'!J53,'Годовая отчетность'!J164)</f>
        <v>0</v>
      </c>
      <c s="125">
        <f>SUM('Годовая отчетность'!K53,'Годовая отчетность'!K164)</f>
        <v>0</v>
      </c>
      <c s="125">
        <f>SUM('Годовая отчетность'!L53,'Годовая отчетность'!L164)</f>
        <v>0</v>
      </c>
      <c s="125">
        <f>SUM('Годовая отчетность'!M53,'Годовая отчетность'!M164)</f>
        <v>0</v>
      </c>
      <c s="125">
        <f>SUM('Годовая отчетность'!N53,'Годовая отчетность'!N164)</f>
        <v>0</v>
      </c>
      <c s="125">
        <f>SUM('Годовая отчетность'!O53,'Годовая отчетность'!O164)</f>
        <v>0</v>
      </c>
      <c s="125">
        <f>SUM('Годовая отчетность'!P53,'Годовая отчетность'!P164)</f>
        <v>0</v>
      </c>
      <c s="125">
        <f>SUM('Годовая отчетность'!Q53,'Годовая отчетность'!Q164)</f>
        <v>0</v>
      </c>
      <c s="125">
        <f>SUM('Годовая отчетность'!R53,'Годовая отчетность'!R164)</f>
        <v>0</v>
      </c>
      <c s="125">
        <f>SUM('Годовая отчетность'!S53,'Годовая отчетность'!S164)</f>
        <v>0</v>
      </c>
      <c s="125">
        <f>SUM('Годовая отчетность'!T53,'Годовая отчетность'!T164)</f>
        <v>0</v>
      </c>
    </row>
    <row r="298" spans="2:20" ht="15" customHeight="1">
      <c r="B298" s="12" t="s">
        <v>1039</v>
      </c>
      <c s="124" t="s">
        <v>438</v>
      </c>
      <c s="276">
        <f>SUM(E298:T298)</f>
        <v>0</v>
      </c>
      <c s="125">
        <f>'Годовая отчетность'!E165</f>
        <v>0</v>
      </c>
      <c s="125">
        <f>'Годовая отчетность'!F165</f>
        <v>0</v>
      </c>
      <c s="125">
        <f>'Годовая отчетность'!G165</f>
        <v>0</v>
      </c>
      <c s="125">
        <f>'Годовая отчетность'!H165</f>
        <v>0</v>
      </c>
      <c s="125">
        <f>'Годовая отчетность'!I165</f>
        <v>0</v>
      </c>
      <c s="125">
        <f>'Годовая отчетность'!J165</f>
        <v>0</v>
      </c>
      <c s="125">
        <f>'Годовая отчетность'!K165</f>
        <v>0</v>
      </c>
      <c s="125">
        <f>'Годовая отчетность'!L165</f>
        <v>0</v>
      </c>
      <c s="125">
        <f>'Годовая отчетность'!M165</f>
        <v>0</v>
      </c>
      <c s="125">
        <f>'Годовая отчетность'!N165</f>
        <v>0</v>
      </c>
      <c s="125">
        <f>'Годовая отчетность'!O165</f>
        <v>0</v>
      </c>
      <c s="125">
        <f>'Годовая отчетность'!P165</f>
        <v>0</v>
      </c>
      <c s="125">
        <f>'Годовая отчетность'!Q165</f>
        <v>0</v>
      </c>
      <c s="125">
        <f>'Годовая отчетность'!R165</f>
        <v>0</v>
      </c>
      <c s="125">
        <f>'Годовая отчетность'!S165</f>
        <v>0</v>
      </c>
      <c s="125">
        <f>'Годовая отчетность'!T165</f>
        <v>0</v>
      </c>
    </row>
    <row r="299" spans="2:20" ht="15" customHeight="1">
      <c r="B299" s="12" t="s">
        <v>1040</v>
      </c>
      <c s="124" t="s">
        <v>438</v>
      </c>
      <c s="276">
        <f>SUM(E299:T299)</f>
        <v>0</v>
      </c>
      <c s="125">
        <f>'Годовая отчетность'!E166</f>
        <v>0</v>
      </c>
      <c s="125">
        <f>'Годовая отчетность'!F166</f>
        <v>0</v>
      </c>
      <c s="125">
        <f>'Годовая отчетность'!G166</f>
        <v>0</v>
      </c>
      <c s="125">
        <f>'Годовая отчетность'!H166</f>
        <v>0</v>
      </c>
      <c s="125">
        <f>'Годовая отчетность'!I166</f>
        <v>0</v>
      </c>
      <c s="125">
        <f>'Годовая отчетность'!J166</f>
        <v>0</v>
      </c>
      <c s="125">
        <f>'Годовая отчетность'!K166</f>
        <v>0</v>
      </c>
      <c s="125">
        <f>'Годовая отчетность'!L166</f>
        <v>0</v>
      </c>
      <c s="125">
        <f>'Годовая отчетность'!M166</f>
        <v>0</v>
      </c>
      <c s="125">
        <f>'Годовая отчетность'!N166</f>
        <v>0</v>
      </c>
      <c s="125">
        <f>'Годовая отчетность'!O166</f>
        <v>0</v>
      </c>
      <c s="125">
        <f>'Годовая отчетность'!P166</f>
        <v>0</v>
      </c>
      <c s="125">
        <f>'Годовая отчетность'!Q166</f>
        <v>0</v>
      </c>
      <c s="125">
        <f>'Годовая отчетность'!R166</f>
        <v>0</v>
      </c>
      <c s="125">
        <f>'Годовая отчетность'!S166</f>
        <v>0</v>
      </c>
      <c s="125">
        <f>'Годовая отчетность'!T166</f>
        <v>0</v>
      </c>
    </row>
    <row r="300" spans="2:20" ht="15" customHeight="1">
      <c r="B300" s="12" t="s">
        <v>1033</v>
      </c>
      <c s="124" t="s">
        <v>438</v>
      </c>
      <c s="276">
        <f>SUM(E300:T300)</f>
        <v>0</v>
      </c>
      <c s="125">
        <f>'Годовая отчетность'!E167</f>
        <v>0</v>
      </c>
      <c s="125">
        <f>'Годовая отчетность'!F167</f>
        <v>0</v>
      </c>
      <c s="125">
        <f>'Годовая отчетность'!G167</f>
        <v>0</v>
      </c>
      <c s="125">
        <f>'Годовая отчетность'!H167</f>
        <v>0</v>
      </c>
      <c s="125">
        <f>'Годовая отчетность'!I167</f>
        <v>0</v>
      </c>
      <c s="125">
        <f>'Годовая отчетность'!J167</f>
        <v>0</v>
      </c>
      <c s="125">
        <f>'Годовая отчетность'!K167</f>
        <v>0</v>
      </c>
      <c s="125">
        <f>'Годовая отчетность'!L167</f>
        <v>0</v>
      </c>
      <c s="125">
        <f>'Годовая отчетность'!M167</f>
        <v>0</v>
      </c>
      <c s="125">
        <f>'Годовая отчетность'!N167</f>
        <v>0</v>
      </c>
      <c s="125">
        <f>'Годовая отчетность'!O167</f>
        <v>0</v>
      </c>
      <c s="125">
        <f>'Годовая отчетность'!P167</f>
        <v>0</v>
      </c>
      <c s="125">
        <f>'Годовая отчетность'!Q167</f>
        <v>0</v>
      </c>
      <c s="125">
        <f>'Годовая отчетность'!R167</f>
        <v>0</v>
      </c>
      <c s="125">
        <f>'Годовая отчетность'!S167</f>
        <v>0</v>
      </c>
      <c s="125">
        <f>'Годовая отчетность'!T167</f>
        <v>0</v>
      </c>
    </row>
    <row r="301" spans="2:20" ht="15" customHeight="1">
      <c r="B301" s="289" t="s">
        <v>454</v>
      </c>
      <c s="290" t="s">
        <v>438</v>
      </c>
      <c s="291">
        <f t="shared" si="131" ref="D301:E301">SUM(D297:D300)</f>
        <v>0</v>
      </c>
      <c s="276">
        <f t="shared" si="131"/>
        <v>0</v>
      </c>
      <c s="276">
        <f t="shared" si="132" ref="F301:L301">SUM(F297:F300)</f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2"/>
        <v>0</v>
      </c>
      <c s="276">
        <f t="shared" si="133" ref="M301:T301">SUM(M297:M300)</f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  <c s="276">
        <f t="shared" si="133"/>
        <v>0</v>
      </c>
    </row>
    <row r="302" ht="15" customHeight="1"/>
    <row r="303" spans="2:20" ht="15" customHeight="1">
      <c r="B303" s="292" t="s">
        <v>989</v>
      </c>
      <c s="293" t="s">
        <v>438</v>
      </c>
      <c s="291">
        <f t="shared" si="134" ref="D303:T303">SUM(D294,D301)</f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  <c s="291">
        <f t="shared" si="134"/>
        <v>0</v>
      </c>
    </row>
    <row r="304" ht="15" customHeight="1"/>
    <row r="305" spans="2:26" ht="21">
      <c r="B305" s="24" t="s">
        <v>990</v>
      </c>
      <c r="D30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6" spans="2:24" ht="14.45">
      <c r="B306" s="25" t="s">
        <v>980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7" spans="2:20" ht="15" customHeight="1">
      <c r="B307" s="12" t="s">
        <v>991</v>
      </c>
      <c s="124" t="s">
        <v>438</v>
      </c>
      <c s="276">
        <f>SUM(E307:T307)</f>
        <v>0</v>
      </c>
      <c s="125">
        <f>SUM('Годовая отчетность'!E60,'Годовая отчетность'!E174)</f>
        <v>0</v>
      </c>
      <c s="125">
        <f>SUM('Годовая отчетность'!F60,'Годовая отчетность'!F174)</f>
        <v>0</v>
      </c>
      <c s="125">
        <f>SUM('Годовая отчетность'!G60,'Годовая отчетность'!G174)</f>
        <v>0</v>
      </c>
      <c s="125">
        <f>SUM('Годовая отчетность'!H60,'Годовая отчетность'!H174)</f>
        <v>0</v>
      </c>
      <c s="125">
        <f>SUM('Годовая отчетность'!I60,'Годовая отчетность'!I174)</f>
        <v>0</v>
      </c>
      <c s="125">
        <f>SUM('Годовая отчетность'!J60,'Годовая отчетность'!J174)</f>
        <v>0</v>
      </c>
      <c s="125">
        <f>SUM('Годовая отчетность'!K60,'Годовая отчетность'!K174)</f>
        <v>0</v>
      </c>
      <c s="125">
        <f>SUM('Годовая отчетность'!L60,'Годовая отчетность'!L174)</f>
        <v>0</v>
      </c>
      <c s="125">
        <f>SUM('Годовая отчетность'!M60,'Годовая отчетность'!M174)</f>
        <v>0</v>
      </c>
      <c s="125">
        <f>SUM('Годовая отчетность'!N60,'Годовая отчетность'!N174)</f>
        <v>0</v>
      </c>
      <c s="125">
        <f>SUM('Годовая отчетность'!O60,'Годовая отчетность'!O174)</f>
        <v>0</v>
      </c>
      <c s="125">
        <f>SUM('Годовая отчетность'!P60,'Годовая отчетность'!P174)</f>
        <v>0</v>
      </c>
      <c s="125">
        <f>SUM('Годовая отчетность'!Q60,'Годовая отчетность'!Q174)</f>
        <v>0</v>
      </c>
      <c s="125">
        <f>SUM('Годовая отчетность'!R60,'Годовая отчетность'!R174)</f>
        <v>0</v>
      </c>
      <c s="125">
        <f>SUM('Годовая отчетность'!S60,'Годовая отчетность'!S174)</f>
        <v>0</v>
      </c>
      <c s="125">
        <f>SUM('Годовая отчетность'!T60,'Годовая отчетность'!T174)</f>
        <v>0</v>
      </c>
    </row>
    <row r="308" spans="2:20" ht="15" customHeight="1">
      <c r="B308" s="12" t="s">
        <v>1044</v>
      </c>
      <c s="124" t="s">
        <v>438</v>
      </c>
      <c s="276">
        <f>SUM(E308:T308)</f>
        <v>0</v>
      </c>
      <c s="125">
        <f>'Годовая отчетность'!E175</f>
        <v>0</v>
      </c>
      <c s="125">
        <f>'Годовая отчетность'!F175</f>
        <v>0</v>
      </c>
      <c s="125">
        <f>'Годовая отчетность'!G175</f>
        <v>0</v>
      </c>
      <c s="125">
        <f>'Годовая отчетность'!H175</f>
        <v>0</v>
      </c>
      <c s="125">
        <f>'Годовая отчетность'!I175</f>
        <v>0</v>
      </c>
      <c s="125">
        <f>'Годовая отчетность'!J175</f>
        <v>0</v>
      </c>
      <c s="125">
        <f>'Годовая отчетность'!K175</f>
        <v>0</v>
      </c>
      <c s="125">
        <f>'Годовая отчетность'!L175</f>
        <v>0</v>
      </c>
      <c s="125">
        <f>'Годовая отчетность'!M175</f>
        <v>0</v>
      </c>
      <c s="125">
        <f>'Годовая отчетность'!N175</f>
        <v>0</v>
      </c>
      <c s="125">
        <f>'Годовая отчетность'!O175</f>
        <v>0</v>
      </c>
      <c s="125">
        <f>'Годовая отчетность'!P175</f>
        <v>0</v>
      </c>
      <c s="125">
        <f>'Годовая отчетность'!Q175</f>
        <v>0</v>
      </c>
      <c s="125">
        <f>'Годовая отчетность'!R175</f>
        <v>0</v>
      </c>
      <c s="125">
        <f>'Годовая отчетность'!S175</f>
        <v>0</v>
      </c>
      <c s="125">
        <f>'Годовая отчетность'!T175</f>
        <v>0</v>
      </c>
    </row>
    <row r="309" spans="2:20" ht="15" customHeight="1">
      <c r="B309" s="12" t="s">
        <v>1045</v>
      </c>
      <c s="124" t="s">
        <v>438</v>
      </c>
      <c s="276">
        <f>SUM(E309:T309)</f>
        <v>0</v>
      </c>
      <c s="125">
        <f>'Годовая отчетность'!E176</f>
        <v>0</v>
      </c>
      <c s="125">
        <f>'Годовая отчетность'!F176</f>
        <v>0</v>
      </c>
      <c s="125">
        <f>'Годовая отчетность'!G176</f>
        <v>0</v>
      </c>
      <c s="125">
        <f>'Годовая отчетность'!H176</f>
        <v>0</v>
      </c>
      <c s="125">
        <f>'Годовая отчетность'!I176</f>
        <v>0</v>
      </c>
      <c s="125">
        <f>'Годовая отчетность'!J176</f>
        <v>0</v>
      </c>
      <c s="125">
        <f>'Годовая отчетность'!K176</f>
        <v>0</v>
      </c>
      <c s="125">
        <f>'Годовая отчетность'!L176</f>
        <v>0</v>
      </c>
      <c s="125">
        <f>'Годовая отчетность'!M176</f>
        <v>0</v>
      </c>
      <c s="125">
        <f>'Годовая отчетность'!N176</f>
        <v>0</v>
      </c>
      <c s="125">
        <f>'Годовая отчетность'!O176</f>
        <v>0</v>
      </c>
      <c s="125">
        <f>'Годовая отчетность'!P176</f>
        <v>0</v>
      </c>
      <c s="125">
        <f>'Годовая отчетность'!Q176</f>
        <v>0</v>
      </c>
      <c s="125">
        <f>'Годовая отчетность'!R176</f>
        <v>0</v>
      </c>
      <c s="125">
        <f>'Годовая отчетность'!S176</f>
        <v>0</v>
      </c>
      <c s="125">
        <f>'Годовая отчетность'!T176</f>
        <v>0</v>
      </c>
    </row>
    <row r="310" spans="2:20" ht="15" customHeight="1">
      <c r="B310" s="12" t="s">
        <v>1046</v>
      </c>
      <c s="124" t="s">
        <v>438</v>
      </c>
      <c s="276">
        <f>SUM(E310:T310)</f>
        <v>0</v>
      </c>
      <c s="125">
        <f>'Годовая отчетность'!E177</f>
        <v>0</v>
      </c>
      <c s="125">
        <f>'Годовая отчетность'!F177</f>
        <v>0</v>
      </c>
      <c s="125">
        <f>'Годовая отчетность'!G177</f>
        <v>0</v>
      </c>
      <c s="125">
        <f>'Годовая отчетность'!H177</f>
        <v>0</v>
      </c>
      <c s="125">
        <f>'Годовая отчетность'!I177</f>
        <v>0</v>
      </c>
      <c s="125">
        <f>'Годовая отчетность'!J177</f>
        <v>0</v>
      </c>
      <c s="125">
        <f>'Годовая отчетность'!K177</f>
        <v>0</v>
      </c>
      <c s="125">
        <f>'Годовая отчетность'!L177</f>
        <v>0</v>
      </c>
      <c s="125">
        <f>'Годовая отчетность'!M177</f>
        <v>0</v>
      </c>
      <c s="125">
        <f>'Годовая отчетность'!N177</f>
        <v>0</v>
      </c>
      <c s="125">
        <f>'Годовая отчетность'!O177</f>
        <v>0</v>
      </c>
      <c s="125">
        <f>'Годовая отчетность'!P177</f>
        <v>0</v>
      </c>
      <c s="125">
        <f>'Годовая отчетность'!Q177</f>
        <v>0</v>
      </c>
      <c s="125">
        <f>'Годовая отчетность'!R177</f>
        <v>0</v>
      </c>
      <c s="125">
        <f>'Годовая отчетность'!S177</f>
        <v>0</v>
      </c>
      <c s="125">
        <f>'Годовая отчетность'!T177</f>
        <v>0</v>
      </c>
    </row>
    <row r="311" spans="2:20" ht="15" customHeight="1">
      <c r="B311" s="12" t="s">
        <v>1029</v>
      </c>
      <c s="124" t="s">
        <v>438</v>
      </c>
      <c s="276">
        <f>SUM(E311:T311)</f>
        <v>0</v>
      </c>
      <c s="125">
        <f>'Годовая отчетность'!E178</f>
        <v>0</v>
      </c>
      <c s="125">
        <f>'Годовая отчетность'!F178</f>
        <v>0</v>
      </c>
      <c s="125">
        <f>'Годовая отчетность'!G178</f>
        <v>0</v>
      </c>
      <c s="125">
        <f>'Годовая отчетность'!H178</f>
        <v>0</v>
      </c>
      <c s="125">
        <f>'Годовая отчетность'!I178</f>
        <v>0</v>
      </c>
      <c s="125">
        <f>'Годовая отчетность'!J178</f>
        <v>0</v>
      </c>
      <c s="125">
        <f>'Годовая отчетность'!K178</f>
        <v>0</v>
      </c>
      <c s="125">
        <f>'Годовая отчетность'!L178</f>
        <v>0</v>
      </c>
      <c s="125">
        <f>'Годовая отчетность'!M178</f>
        <v>0</v>
      </c>
      <c s="125">
        <f>'Годовая отчетность'!N178</f>
        <v>0</v>
      </c>
      <c s="125">
        <f>'Годовая отчетность'!O178</f>
        <v>0</v>
      </c>
      <c s="125">
        <f>'Годовая отчетность'!P178</f>
        <v>0</v>
      </c>
      <c s="125">
        <f>'Годовая отчетность'!Q178</f>
        <v>0</v>
      </c>
      <c s="125">
        <f>'Годовая отчетность'!R178</f>
        <v>0</v>
      </c>
      <c s="125">
        <f>'Годовая отчетность'!S178</f>
        <v>0</v>
      </c>
      <c s="125">
        <f>'Годовая отчетность'!T178</f>
        <v>0</v>
      </c>
    </row>
    <row r="312" spans="2:20" ht="15" customHeight="1">
      <c r="B312" s="289" t="s">
        <v>454</v>
      </c>
      <c s="290" t="s">
        <v>438</v>
      </c>
      <c s="291">
        <f t="shared" si="135" ref="D312:E312">SUM(D307:D311)</f>
        <v>0</v>
      </c>
      <c s="276">
        <f t="shared" si="135"/>
        <v>0</v>
      </c>
      <c s="276">
        <f t="shared" si="136" ref="F312:L312">SUM(F307:F311)</f>
        <v>0</v>
      </c>
      <c s="276">
        <f t="shared" si="136"/>
        <v>0</v>
      </c>
      <c s="276">
        <f t="shared" si="136"/>
        <v>0</v>
      </c>
      <c s="276">
        <f t="shared" si="136"/>
        <v>0</v>
      </c>
      <c s="276">
        <f t="shared" si="136"/>
        <v>0</v>
      </c>
      <c s="276">
        <f t="shared" si="136"/>
        <v>0</v>
      </c>
      <c s="276">
        <f t="shared" si="136"/>
        <v>0</v>
      </c>
      <c s="276">
        <f t="shared" si="137" ref="M312:T312">SUM(M307:M311)</f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  <c s="276">
        <f t="shared" si="137"/>
        <v>0</v>
      </c>
    </row>
    <row r="313" ht="15" customHeight="1"/>
    <row r="314" spans="2:24" ht="14.45">
      <c r="B314" s="25" t="s">
        <v>983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15" spans="2:20" ht="15" customHeight="1">
      <c r="B315" s="12" t="s">
        <v>1047</v>
      </c>
      <c s="124" t="s">
        <v>438</v>
      </c>
      <c s="276">
        <f>SUM(E315:T315)</f>
        <v>0</v>
      </c>
      <c s="125">
        <f>'Годовая отчетность'!E182</f>
        <v>0</v>
      </c>
      <c s="125">
        <f>'Годовая отчетность'!F182</f>
        <v>0</v>
      </c>
      <c s="125">
        <f>'Годовая отчетность'!G182</f>
        <v>0</v>
      </c>
      <c s="125">
        <f>'Годовая отчетность'!H182</f>
        <v>0</v>
      </c>
      <c s="125">
        <f>'Годовая отчетность'!I182</f>
        <v>0</v>
      </c>
      <c s="125">
        <f>'Годовая отчетность'!J182</f>
        <v>0</v>
      </c>
      <c s="125">
        <f>'Годовая отчетность'!K182</f>
        <v>0</v>
      </c>
      <c s="125">
        <f>'Годовая отчетность'!L182</f>
        <v>0</v>
      </c>
      <c s="125">
        <f>'Годовая отчетность'!M182</f>
        <v>0</v>
      </c>
      <c s="125">
        <f>'Годовая отчетность'!N182</f>
        <v>0</v>
      </c>
      <c s="125">
        <f>'Годовая отчетность'!O182</f>
        <v>0</v>
      </c>
      <c s="125">
        <f>'Годовая отчетность'!P182</f>
        <v>0</v>
      </c>
      <c s="125">
        <f>'Годовая отчетность'!Q182</f>
        <v>0</v>
      </c>
      <c s="125">
        <f>'Годовая отчетность'!R182</f>
        <v>0</v>
      </c>
      <c s="125">
        <f>'Годовая отчетность'!S182</f>
        <v>0</v>
      </c>
      <c s="125">
        <f>'Годовая отчетность'!T182</f>
        <v>0</v>
      </c>
    </row>
    <row r="316" spans="2:20" ht="15" customHeight="1">
      <c r="B316" s="12" t="s">
        <v>1048</v>
      </c>
      <c s="124" t="s">
        <v>438</v>
      </c>
      <c s="276">
        <f>SUM(E316:T316)</f>
        <v>0</v>
      </c>
      <c s="125">
        <f>'Годовая отчетность'!E183</f>
        <v>0</v>
      </c>
      <c s="125">
        <f>'Годовая отчетность'!F183</f>
        <v>0</v>
      </c>
      <c s="125">
        <f>'Годовая отчетность'!G183</f>
        <v>0</v>
      </c>
      <c s="125">
        <f>'Годовая отчетность'!H183</f>
        <v>0</v>
      </c>
      <c s="125">
        <f>'Годовая отчетность'!I183</f>
        <v>0</v>
      </c>
      <c s="125">
        <f>'Годовая отчетность'!J183</f>
        <v>0</v>
      </c>
      <c s="125">
        <f>'Годовая отчетность'!K183</f>
        <v>0</v>
      </c>
      <c s="125">
        <f>'Годовая отчетность'!L183</f>
        <v>0</v>
      </c>
      <c s="125">
        <f>'Годовая отчетность'!M183</f>
        <v>0</v>
      </c>
      <c s="125">
        <f>'Годовая отчетность'!N183</f>
        <v>0</v>
      </c>
      <c s="125">
        <f>'Годовая отчетность'!O183</f>
        <v>0</v>
      </c>
      <c s="125">
        <f>'Годовая отчетность'!P183</f>
        <v>0</v>
      </c>
      <c s="125">
        <f>'Годовая отчетность'!Q183</f>
        <v>0</v>
      </c>
      <c s="125">
        <f>'Годовая отчетность'!R183</f>
        <v>0</v>
      </c>
      <c s="125">
        <f>'Годовая отчетность'!S183</f>
        <v>0</v>
      </c>
      <c s="125">
        <f>'Годовая отчетность'!T183</f>
        <v>0</v>
      </c>
    </row>
    <row r="317" spans="2:20" ht="15" customHeight="1">
      <c r="B317" s="12" t="s">
        <v>582</v>
      </c>
      <c s="124" t="s">
        <v>438</v>
      </c>
      <c s="276">
        <f>SUM(E317:T317)</f>
        <v>0</v>
      </c>
      <c s="125">
        <f>SUM('Годовая отчетность'!E65,'Годовая отчетность'!E184)</f>
        <v>0</v>
      </c>
      <c s="125">
        <f>SUM('Годовая отчетность'!F65,'Годовая отчетность'!F184)</f>
        <v>0</v>
      </c>
      <c s="125">
        <f>SUM('Годовая отчетность'!G65,'Годовая отчетность'!G184)</f>
        <v>0</v>
      </c>
      <c s="125">
        <f>SUM('Годовая отчетность'!H65,'Годовая отчетность'!H184)</f>
        <v>0</v>
      </c>
      <c s="125">
        <f>SUM('Годовая отчетность'!I65,'Годовая отчетность'!I184)</f>
        <v>0</v>
      </c>
      <c s="125">
        <f>SUM('Годовая отчетность'!J65,'Годовая отчетность'!J184)</f>
        <v>0</v>
      </c>
      <c s="125">
        <f>SUM('Годовая отчетность'!K65,'Годовая отчетность'!K184)</f>
        <v>0</v>
      </c>
      <c s="125">
        <f>SUM('Годовая отчетность'!L65,'Годовая отчетность'!L184)</f>
        <v>0</v>
      </c>
      <c s="125">
        <f>SUM('Годовая отчетность'!M65,'Годовая отчетность'!M184)</f>
        <v>0</v>
      </c>
      <c s="125">
        <f>SUM('Годовая отчетность'!N65,'Годовая отчетность'!N184)</f>
        <v>0</v>
      </c>
      <c s="125">
        <f>SUM('Годовая отчетность'!O65,'Годовая отчетность'!O184)</f>
        <v>0</v>
      </c>
      <c s="125">
        <f>SUM('Годовая отчетность'!P65,'Годовая отчетность'!P184)</f>
        <v>0</v>
      </c>
      <c s="125">
        <f>SUM('Годовая отчетность'!Q65,'Годовая отчетность'!Q184)</f>
        <v>0</v>
      </c>
      <c s="125">
        <f>SUM('Годовая отчетность'!R65,'Годовая отчетность'!R184)</f>
        <v>0</v>
      </c>
      <c s="125">
        <f>SUM('Годовая отчетность'!S65,'Годовая отчетность'!S184)</f>
        <v>0</v>
      </c>
      <c s="125">
        <f>SUM('Годовая отчетность'!T65,'Годовая отчетность'!T184)</f>
        <v>0</v>
      </c>
    </row>
    <row r="318" spans="2:20" ht="15" customHeight="1">
      <c r="B318" s="289" t="s">
        <v>454</v>
      </c>
      <c s="290" t="s">
        <v>438</v>
      </c>
      <c s="291">
        <f t="shared" si="138" ref="D318:E318">SUM(D315:D317)</f>
        <v>0</v>
      </c>
      <c s="276">
        <f t="shared" si="138"/>
        <v>0</v>
      </c>
      <c s="276">
        <f t="shared" si="139" ref="F318:L318">SUM(F315:F317)</f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39"/>
        <v>0</v>
      </c>
      <c s="276">
        <f t="shared" si="140" ref="M318:T318">SUM(M315:M317)</f>
        <v>0</v>
      </c>
      <c s="276">
        <f t="shared" si="140"/>
        <v>0</v>
      </c>
      <c s="276">
        <f t="shared" si="140"/>
        <v>0</v>
      </c>
      <c s="276">
        <f t="shared" si="140"/>
        <v>0</v>
      </c>
      <c s="276">
        <f t="shared" si="140"/>
        <v>0</v>
      </c>
      <c s="276">
        <f t="shared" si="140"/>
        <v>0</v>
      </c>
      <c s="276">
        <f t="shared" si="140"/>
        <v>0</v>
      </c>
      <c s="276">
        <f t="shared" si="140"/>
        <v>0</v>
      </c>
    </row>
    <row r="319" ht="15" customHeight="1"/>
    <row r="320" spans="2:20" ht="15" customHeight="1">
      <c r="B320" s="292" t="s">
        <v>992</v>
      </c>
      <c s="293" t="s">
        <v>438</v>
      </c>
      <c s="291">
        <f t="shared" si="141" ref="D320:E320">SUM(D312,D318)</f>
        <v>0</v>
      </c>
      <c s="291">
        <f t="shared" si="141"/>
        <v>0</v>
      </c>
      <c s="291">
        <f t="shared" si="142" ref="F320:T320">SUM(F312,F318)</f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  <c s="291">
        <f t="shared" si="142"/>
        <v>0</v>
      </c>
    </row>
    <row r="321" ht="15" customHeight="1"/>
    <row r="322" spans="2:2" ht="15" customHeight="1">
      <c r="B322" s="24" t="s">
        <v>993</v>
      </c>
    </row>
    <row r="323" spans="2:20" ht="15" customHeight="1">
      <c r="B323" s="12" t="s">
        <v>994</v>
      </c>
      <c s="124" t="s">
        <v>438</v>
      </c>
      <c s="276">
        <f ca="1">SUM(E323:T323)</f>
        <v>0</v>
      </c>
      <c s="125">
        <f ca="1" t="shared" si="143" ref="E323">IF(E6=1,SUM(E72,E190),D325)</f>
        <v>0</v>
      </c>
      <c s="125">
        <f ca="1">IF(F6=1,SUM(F72,F190),E325)*IF($K$3&lt;E8,0,1)</f>
        <v>0</v>
      </c>
      <c s="125">
        <f ca="1" t="shared" si="144" ref="G323:T323">IF(G6=1,SUM(G72,G190),F325)*IF($K$3&lt;F8,0,1)</f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  <c s="125">
        <f t="shared" ca="1" si="144"/>
        <v>0</v>
      </c>
    </row>
    <row r="324" spans="2:20" ht="15" customHeight="1">
      <c r="B324" s="12" t="s">
        <v>995</v>
      </c>
      <c s="124" t="s">
        <v>438</v>
      </c>
      <c s="276">
        <f ca="1">SUM(E324:T324)</f>
        <v>0</v>
      </c>
      <c s="125">
        <f ca="1">SUM(E285,E303,E320)*IF($K$3&lt;E8,0,1)</f>
        <v>0</v>
      </c>
      <c s="125">
        <f ca="1">SUM(F285,F303,F320)*IF($K$3&lt;E8,0,1)</f>
        <v>0</v>
      </c>
      <c s="125">
        <f ca="1" t="shared" si="145" ref="G324:T324">SUM(G285,G303,G320)*IF($K$3&lt;F8,0,1)</f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  <c s="125">
        <f t="shared" ca="1" si="145"/>
        <v>0</v>
      </c>
    </row>
    <row r="325" spans="2:20" ht="15" customHeight="1">
      <c r="B325" s="289" t="s">
        <v>996</v>
      </c>
      <c s="290" t="s">
        <v>438</v>
      </c>
      <c s="276">
        <f ca="1">SUM(D324:D324)</f>
        <v>0</v>
      </c>
      <c s="276">
        <f ca="1" t="shared" si="146" ref="E325">SUM(E323:E324)</f>
        <v>0</v>
      </c>
      <c s="276">
        <f ca="1" t="shared" si="147" ref="F325:L325">SUM(F323:F324)</f>
        <v>0</v>
      </c>
      <c s="276">
        <f t="shared" ca="1" si="147"/>
        <v>0</v>
      </c>
      <c s="276">
        <f t="shared" ca="1" si="147"/>
        <v>0</v>
      </c>
      <c s="276">
        <f t="shared" ca="1" si="147"/>
        <v>0</v>
      </c>
      <c s="276">
        <f t="shared" ca="1" si="147"/>
        <v>0</v>
      </c>
      <c s="276">
        <f t="shared" ca="1" si="147"/>
        <v>0</v>
      </c>
      <c s="276">
        <f t="shared" ca="1" si="147"/>
        <v>0</v>
      </c>
      <c s="276">
        <f ca="1" t="shared" si="148" ref="M325:T325">SUM(M323:M324)</f>
        <v>0</v>
      </c>
      <c s="276">
        <f t="shared" ca="1" si="148"/>
        <v>0</v>
      </c>
      <c s="276">
        <f t="shared" ca="1" si="148"/>
        <v>0</v>
      </c>
      <c s="276">
        <f t="shared" ca="1" si="148"/>
        <v>0</v>
      </c>
      <c s="276">
        <f t="shared" ca="1" si="148"/>
        <v>0</v>
      </c>
      <c s="276">
        <f t="shared" ca="1" si="148"/>
        <v>0</v>
      </c>
      <c s="276">
        <f t="shared" ca="1" si="148"/>
        <v>0</v>
      </c>
      <c s="276">
        <f t="shared" ca="1" si="148"/>
        <v>0</v>
      </c>
    </row>
    <row r="326" ht="15" customHeight="1"/>
    <row r="327" spans="2:3" ht="15" customHeight="1">
      <c r="B327" s="12" t="s">
        <v>1080</v>
      </c>
      <c s="47" t="str">
        <f ca="1">IFERROR(IF(ROUND(MIN(E325:T325),2)&lt;0,"Q","R"),"Q")</f>
        <v>R</v>
      </c>
    </row>
    <row r="328" ht="15" customHeight="1"/>
    <row r="329" spans="2:26" ht="21">
      <c r="B329" s="23" t="s">
        <v>335</v>
      </c>
      <c r="D32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0" spans="2:26" ht="21">
      <c r="B330" s="24" t="s">
        <v>999</v>
      </c>
      <c r="D330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1" spans="2:20" ht="15" customHeight="1">
      <c r="B331" s="12" t="s">
        <v>1051</v>
      </c>
      <c s="124" t="str">
        <f t="shared" si="149" ref="C331:C340">Единица_измерения</f>
        <v>тыс. руб.</v>
      </c>
      <c s="125"/>
      <c s="125">
        <f>'Годовая отчетность'!E198</f>
        <v>0</v>
      </c>
      <c s="125">
        <f>'Годовая отчетность'!F198</f>
        <v>0</v>
      </c>
      <c s="125">
        <f>'Годовая отчетность'!G198</f>
        <v>0</v>
      </c>
      <c s="125">
        <f>'Годовая отчетность'!H198</f>
        <v>0</v>
      </c>
      <c s="125">
        <f>'Годовая отчетность'!I198</f>
        <v>0</v>
      </c>
      <c s="125">
        <f>'Годовая отчетность'!J198</f>
        <v>0</v>
      </c>
      <c s="125">
        <f>'Годовая отчетность'!K198</f>
        <v>0</v>
      </c>
      <c s="125">
        <f>'Годовая отчетность'!L198</f>
        <v>0</v>
      </c>
      <c s="125">
        <f>'Годовая отчетность'!M198</f>
        <v>0</v>
      </c>
      <c s="125">
        <f>'Годовая отчетность'!N198</f>
        <v>0</v>
      </c>
      <c s="125">
        <f>'Годовая отчетность'!O198</f>
        <v>0</v>
      </c>
      <c s="125">
        <f>'Годовая отчетность'!P198</f>
        <v>0</v>
      </c>
      <c s="125">
        <f>'Годовая отчетность'!Q198</f>
        <v>0</v>
      </c>
      <c s="125">
        <f>'Годовая отчетность'!R198</f>
        <v>0</v>
      </c>
      <c s="125">
        <f>'Годовая отчетность'!S198</f>
        <v>0</v>
      </c>
      <c s="125">
        <f>'Годовая отчетность'!T198</f>
        <v>0</v>
      </c>
    </row>
    <row r="332" spans="2:20" ht="15" customHeight="1">
      <c r="B332" s="22" t="s">
        <v>1052</v>
      </c>
      <c s="124" t="str">
        <f t="shared" si="149"/>
        <v>тыс. руб.</v>
      </c>
      <c s="125"/>
      <c s="125">
        <f>'Годовая отчетность'!E199</f>
        <v>0</v>
      </c>
      <c s="125">
        <f>'Годовая отчетность'!F199</f>
        <v>0</v>
      </c>
      <c s="125">
        <f>'Годовая отчетность'!G199</f>
        <v>0</v>
      </c>
      <c s="125">
        <f>'Годовая отчетность'!H199</f>
        <v>0</v>
      </c>
      <c s="125">
        <f>'Годовая отчетность'!I199</f>
        <v>0</v>
      </c>
      <c s="125">
        <f>'Годовая отчетность'!J199</f>
        <v>0</v>
      </c>
      <c s="125">
        <f>'Годовая отчетность'!K199</f>
        <v>0</v>
      </c>
      <c s="125">
        <f>'Годовая отчетность'!L199</f>
        <v>0</v>
      </c>
      <c s="125">
        <f>'Годовая отчетность'!M199</f>
        <v>0</v>
      </c>
      <c s="125">
        <f>'Годовая отчетность'!N199</f>
        <v>0</v>
      </c>
      <c s="125">
        <f>'Годовая отчетность'!O199</f>
        <v>0</v>
      </c>
      <c s="125">
        <f>'Годовая отчетность'!P199</f>
        <v>0</v>
      </c>
      <c s="125">
        <f>'Годовая отчетность'!Q199</f>
        <v>0</v>
      </c>
      <c s="125">
        <f>'Годовая отчетность'!R199</f>
        <v>0</v>
      </c>
      <c s="125">
        <f>'Годовая отчетность'!S199</f>
        <v>0</v>
      </c>
      <c s="125">
        <f>'Годовая отчетность'!T199</f>
        <v>0</v>
      </c>
    </row>
    <row r="333" spans="2:20" ht="15" customHeight="1">
      <c r="B333" s="22" t="s">
        <v>1053</v>
      </c>
      <c s="124" t="str">
        <f t="shared" si="149"/>
        <v>тыс. руб.</v>
      </c>
      <c s="125"/>
      <c s="125">
        <f>'Годовая отчетность'!E200</f>
        <v>0</v>
      </c>
      <c s="125">
        <f>'Годовая отчетность'!F200</f>
        <v>0</v>
      </c>
      <c s="125">
        <f>'Годовая отчетность'!G200</f>
        <v>0</v>
      </c>
      <c s="125">
        <f>'Годовая отчетность'!H200</f>
        <v>0</v>
      </c>
      <c s="125">
        <f>'Годовая отчетность'!I200</f>
        <v>0</v>
      </c>
      <c s="125">
        <f>'Годовая отчетность'!J200</f>
        <v>0</v>
      </c>
      <c s="125">
        <f>'Годовая отчетность'!K200</f>
        <v>0</v>
      </c>
      <c s="125">
        <f>'Годовая отчетность'!L200</f>
        <v>0</v>
      </c>
      <c s="125">
        <f>'Годовая отчетность'!M200</f>
        <v>0</v>
      </c>
      <c s="125">
        <f>'Годовая отчетность'!N200</f>
        <v>0</v>
      </c>
      <c s="125">
        <f>'Годовая отчетность'!O200</f>
        <v>0</v>
      </c>
      <c s="125">
        <f>'Годовая отчетность'!P200</f>
        <v>0</v>
      </c>
      <c s="125">
        <f>'Годовая отчетность'!Q200</f>
        <v>0</v>
      </c>
      <c s="125">
        <f>'Годовая отчетность'!R200</f>
        <v>0</v>
      </c>
      <c s="125">
        <f>'Годовая отчетность'!S200</f>
        <v>0</v>
      </c>
      <c s="125">
        <f>'Годовая отчетность'!T200</f>
        <v>0</v>
      </c>
    </row>
    <row r="334" spans="2:20" ht="15" customHeight="1">
      <c r="B334" s="22" t="s">
        <v>1054</v>
      </c>
      <c s="124" t="str">
        <f t="shared" si="149"/>
        <v>тыс. руб.</v>
      </c>
      <c s="125"/>
      <c s="125">
        <f>'Годовая отчетность'!E201</f>
        <v>0</v>
      </c>
      <c s="125">
        <f>'Годовая отчетность'!F201</f>
        <v>0</v>
      </c>
      <c s="125">
        <f>'Годовая отчетность'!G201</f>
        <v>0</v>
      </c>
      <c s="125">
        <f>'Годовая отчетность'!H201</f>
        <v>0</v>
      </c>
      <c s="125">
        <f>'Годовая отчетность'!I201</f>
        <v>0</v>
      </c>
      <c s="125">
        <f>'Годовая отчетность'!J201</f>
        <v>0</v>
      </c>
      <c s="125">
        <f>'Годовая отчетность'!K201</f>
        <v>0</v>
      </c>
      <c s="125">
        <f>'Годовая отчетность'!L201</f>
        <v>0</v>
      </c>
      <c s="125">
        <f>'Годовая отчетность'!M201</f>
        <v>0</v>
      </c>
      <c s="125">
        <f>'Годовая отчетность'!N201</f>
        <v>0</v>
      </c>
      <c s="125">
        <f>'Годовая отчетность'!O201</f>
        <v>0</v>
      </c>
      <c s="125">
        <f>'Годовая отчетность'!P201</f>
        <v>0</v>
      </c>
      <c s="125">
        <f>'Годовая отчетность'!Q201</f>
        <v>0</v>
      </c>
      <c s="125">
        <f>'Годовая отчетность'!R201</f>
        <v>0</v>
      </c>
      <c s="125">
        <f>'Годовая отчетность'!S201</f>
        <v>0</v>
      </c>
      <c s="125">
        <f>'Годовая отчетность'!T201</f>
        <v>0</v>
      </c>
    </row>
    <row r="335" spans="2:20" ht="15" customHeight="1">
      <c r="B335" s="22" t="s">
        <v>1001</v>
      </c>
      <c s="124" t="str">
        <f t="shared" si="149"/>
        <v>тыс. руб.</v>
      </c>
      <c s="125"/>
      <c s="125">
        <f>SUM('Годовая отчетность'!E82,'Годовая отчетность'!E202)</f>
        <v>0</v>
      </c>
      <c s="125">
        <f>SUM('Годовая отчетность'!F82,'Годовая отчетность'!F202)</f>
        <v>0</v>
      </c>
      <c s="125">
        <f>SUM('Годовая отчетность'!G82,'Годовая отчетность'!G202)</f>
        <v>0</v>
      </c>
      <c s="125">
        <f>SUM('Годовая отчетность'!H82,'Годовая отчетность'!H202)</f>
        <v>0</v>
      </c>
      <c s="125">
        <f>SUM('Годовая отчетность'!I82,'Годовая отчетность'!I202)</f>
        <v>0</v>
      </c>
      <c s="125">
        <f>SUM('Годовая отчетность'!J82,'Годовая отчетность'!J202)</f>
        <v>0</v>
      </c>
      <c s="125">
        <f>SUM('Годовая отчетность'!K82,'Годовая отчетность'!K202)</f>
        <v>0</v>
      </c>
      <c s="125">
        <f>SUM('Годовая отчетность'!L82,'Годовая отчетность'!L202)</f>
        <v>0</v>
      </c>
      <c s="125">
        <f>SUM('Годовая отчетность'!M82,'Годовая отчетность'!M202)</f>
        <v>0</v>
      </c>
      <c s="125">
        <f>SUM('Годовая отчетность'!N82,'Годовая отчетность'!N202)</f>
        <v>0</v>
      </c>
      <c s="125">
        <f>SUM('Годовая отчетность'!O82,'Годовая отчетность'!O202)</f>
        <v>0</v>
      </c>
      <c s="125">
        <f>SUM('Годовая отчетность'!P82,'Годовая отчетность'!P202)</f>
        <v>0</v>
      </c>
      <c s="125">
        <f>SUM('Годовая отчетность'!Q82,'Годовая отчетность'!Q202)</f>
        <v>0</v>
      </c>
      <c s="125">
        <f>SUM('Годовая отчетность'!R82,'Годовая отчетность'!R202)</f>
        <v>0</v>
      </c>
      <c s="125">
        <f>SUM('Годовая отчетность'!S82,'Годовая отчетность'!S202)</f>
        <v>0</v>
      </c>
      <c s="125">
        <f>SUM('Годовая отчетность'!T82,'Годовая отчетность'!T202)</f>
        <v>0</v>
      </c>
    </row>
    <row r="336" spans="2:20" ht="15" customHeight="1">
      <c r="B336" s="22" t="s">
        <v>1055</v>
      </c>
      <c s="124" t="str">
        <f t="shared" si="149"/>
        <v>тыс. руб.</v>
      </c>
      <c s="125"/>
      <c s="125">
        <f>'Годовая отчетность'!E203</f>
        <v>0</v>
      </c>
      <c s="125">
        <f>'Годовая отчетность'!F203</f>
        <v>0</v>
      </c>
      <c s="125">
        <f>'Годовая отчетность'!G203</f>
        <v>0</v>
      </c>
      <c s="125">
        <f>'Годовая отчетность'!H203</f>
        <v>0</v>
      </c>
      <c s="125">
        <f>'Годовая отчетность'!I203</f>
        <v>0</v>
      </c>
      <c s="125">
        <f>'Годовая отчетность'!J203</f>
        <v>0</v>
      </c>
      <c s="125">
        <f>'Годовая отчетность'!K203</f>
        <v>0</v>
      </c>
      <c s="125">
        <f>'Годовая отчетность'!L203</f>
        <v>0</v>
      </c>
      <c s="125">
        <f>'Годовая отчетность'!M203</f>
        <v>0</v>
      </c>
      <c s="125">
        <f>'Годовая отчетность'!N203</f>
        <v>0</v>
      </c>
      <c s="125">
        <f>'Годовая отчетность'!O203</f>
        <v>0</v>
      </c>
      <c s="125">
        <f>'Годовая отчетность'!P203</f>
        <v>0</v>
      </c>
      <c s="125">
        <f>'Годовая отчетность'!Q203</f>
        <v>0</v>
      </c>
      <c s="125">
        <f>'Годовая отчетность'!R203</f>
        <v>0</v>
      </c>
      <c s="125">
        <f>'Годовая отчетность'!S203</f>
        <v>0</v>
      </c>
      <c s="125">
        <f>'Годовая отчетность'!T203</f>
        <v>0</v>
      </c>
    </row>
    <row r="337" spans="2:20" ht="15" customHeight="1">
      <c r="B337" s="22" t="s">
        <v>1056</v>
      </c>
      <c s="124" t="str">
        <f t="shared" si="149"/>
        <v>тыс. руб.</v>
      </c>
      <c s="125"/>
      <c s="125">
        <f>'Годовая отчетность'!E204</f>
        <v>0</v>
      </c>
      <c s="125">
        <f>'Годовая отчетность'!F204</f>
        <v>0</v>
      </c>
      <c s="125">
        <f>'Годовая отчетность'!G204</f>
        <v>0</v>
      </c>
      <c s="125">
        <f>'Годовая отчетность'!H204</f>
        <v>0</v>
      </c>
      <c s="125">
        <f>'Годовая отчетность'!I204</f>
        <v>0</v>
      </c>
      <c s="125">
        <f>'Годовая отчетность'!J204</f>
        <v>0</v>
      </c>
      <c s="125">
        <f>'Годовая отчетность'!K204</f>
        <v>0</v>
      </c>
      <c s="125">
        <f>'Годовая отчетность'!L204</f>
        <v>0</v>
      </c>
      <c s="125">
        <f>'Годовая отчетность'!M204</f>
        <v>0</v>
      </c>
      <c s="125">
        <f>'Годовая отчетность'!N204</f>
        <v>0</v>
      </c>
      <c s="125">
        <f>'Годовая отчетность'!O204</f>
        <v>0</v>
      </c>
      <c s="125">
        <f>'Годовая отчетность'!P204</f>
        <v>0</v>
      </c>
      <c s="125">
        <f>'Годовая отчетность'!Q204</f>
        <v>0</v>
      </c>
      <c s="125">
        <f>'Годовая отчетность'!R204</f>
        <v>0</v>
      </c>
      <c s="125">
        <f>'Годовая отчетность'!S204</f>
        <v>0</v>
      </c>
      <c s="125">
        <f>'Годовая отчетность'!T204</f>
        <v>0</v>
      </c>
    </row>
    <row r="338" spans="2:20" ht="15" customHeight="1">
      <c r="B338" s="22" t="s">
        <v>1057</v>
      </c>
      <c s="124" t="str">
        <f t="shared" si="149"/>
        <v>тыс. руб.</v>
      </c>
      <c s="125"/>
      <c s="125">
        <f>'Годовая отчетность'!E205</f>
        <v>0</v>
      </c>
      <c s="125">
        <f>'Годовая отчетность'!F205</f>
        <v>0</v>
      </c>
      <c s="125">
        <f>'Годовая отчетность'!G205</f>
        <v>0</v>
      </c>
      <c s="125">
        <f>'Годовая отчетность'!H205</f>
        <v>0</v>
      </c>
      <c s="125">
        <f>'Годовая отчетность'!I205</f>
        <v>0</v>
      </c>
      <c s="125">
        <f>'Годовая отчетность'!J205</f>
        <v>0</v>
      </c>
      <c s="125">
        <f>'Годовая отчетность'!K205</f>
        <v>0</v>
      </c>
      <c s="125">
        <f>'Годовая отчетность'!L205</f>
        <v>0</v>
      </c>
      <c s="125">
        <f>'Годовая отчетность'!M205</f>
        <v>0</v>
      </c>
      <c s="125">
        <f>'Годовая отчетность'!N205</f>
        <v>0</v>
      </c>
      <c s="125">
        <f>'Годовая отчетность'!O205</f>
        <v>0</v>
      </c>
      <c s="125">
        <f>'Годовая отчетность'!P205</f>
        <v>0</v>
      </c>
      <c s="125">
        <f>'Годовая отчетность'!Q205</f>
        <v>0</v>
      </c>
      <c s="125">
        <f>'Годовая отчетность'!R205</f>
        <v>0</v>
      </c>
      <c s="125">
        <f>'Годовая отчетность'!S205</f>
        <v>0</v>
      </c>
      <c s="125">
        <f>'Годовая отчетность'!T205</f>
        <v>0</v>
      </c>
    </row>
    <row r="339" spans="2:20" ht="15" customHeight="1">
      <c r="B339" s="22" t="s">
        <v>1058</v>
      </c>
      <c s="124" t="str">
        <f t="shared" si="149"/>
        <v>тыс. руб.</v>
      </c>
      <c s="125"/>
      <c s="125">
        <f>'Годовая отчетность'!E206</f>
        <v>0</v>
      </c>
      <c s="125">
        <f>'Годовая отчетность'!F206</f>
        <v>0</v>
      </c>
      <c s="125">
        <f>'Годовая отчетность'!G206</f>
        <v>0</v>
      </c>
      <c s="125">
        <f>'Годовая отчетность'!H206</f>
        <v>0</v>
      </c>
      <c s="125">
        <f>'Годовая отчетность'!I206</f>
        <v>0</v>
      </c>
      <c s="125">
        <f>'Годовая отчетность'!J206</f>
        <v>0</v>
      </c>
      <c s="125">
        <f>'Годовая отчетность'!K206</f>
        <v>0</v>
      </c>
      <c s="125">
        <f>'Годовая отчетность'!L206</f>
        <v>0</v>
      </c>
      <c s="125">
        <f>'Годовая отчетность'!M206</f>
        <v>0</v>
      </c>
      <c s="125">
        <f>'Годовая отчетность'!N206</f>
        <v>0</v>
      </c>
      <c s="125">
        <f>'Годовая отчетность'!O206</f>
        <v>0</v>
      </c>
      <c s="125">
        <f>'Годовая отчетность'!P206</f>
        <v>0</v>
      </c>
      <c s="125">
        <f>'Годовая отчетность'!Q206</f>
        <v>0</v>
      </c>
      <c s="125">
        <f>'Годовая отчетность'!R206</f>
        <v>0</v>
      </c>
      <c s="125">
        <f>'Годовая отчетность'!S206</f>
        <v>0</v>
      </c>
      <c s="125">
        <f>'Годовая отчетность'!T206</f>
        <v>0</v>
      </c>
    </row>
    <row r="340" spans="2:20" ht="15" customHeight="1">
      <c r="B340" s="289" t="s">
        <v>1002</v>
      </c>
      <c s="290" t="str">
        <f t="shared" si="149"/>
        <v>тыс. руб.</v>
      </c>
      <c s="276"/>
      <c s="276">
        <f t="shared" si="150" ref="E340">SUM(E331:E339)</f>
        <v>0</v>
      </c>
      <c s="276">
        <f t="shared" si="151" ref="F340:L340">SUM(F331:F339)</f>
        <v>0</v>
      </c>
      <c s="276">
        <f t="shared" si="151"/>
        <v>0</v>
      </c>
      <c s="276">
        <f t="shared" si="151"/>
        <v>0</v>
      </c>
      <c s="276">
        <f t="shared" si="151"/>
        <v>0</v>
      </c>
      <c s="276">
        <f t="shared" si="151"/>
        <v>0</v>
      </c>
      <c s="276">
        <f t="shared" si="151"/>
        <v>0</v>
      </c>
      <c s="276">
        <f t="shared" si="151"/>
        <v>0</v>
      </c>
      <c s="276">
        <f t="shared" si="152" ref="M340:T340">SUM(M331:M339)</f>
        <v>0</v>
      </c>
      <c s="276">
        <f t="shared" si="152"/>
        <v>0</v>
      </c>
      <c s="276">
        <f t="shared" si="152"/>
        <v>0</v>
      </c>
      <c s="276">
        <f t="shared" si="152"/>
        <v>0</v>
      </c>
      <c s="276">
        <f t="shared" si="152"/>
        <v>0</v>
      </c>
      <c s="276">
        <f t="shared" si="152"/>
        <v>0</v>
      </c>
      <c s="276">
        <f t="shared" si="152"/>
        <v>0</v>
      </c>
      <c s="276">
        <f t="shared" si="152"/>
        <v>0</v>
      </c>
    </row>
    <row r="341" ht="15" customHeight="1"/>
    <row r="342" spans="2:26" ht="21">
      <c r="B342" s="24" t="s">
        <v>1003</v>
      </c>
      <c r="D34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3" spans="2:20" ht="15" customHeight="1">
      <c r="B343" s="12" t="s">
        <v>309</v>
      </c>
      <c s="124" t="str">
        <f t="shared" si="153" ref="C343:C349">Единица_измерения</f>
        <v>тыс. руб.</v>
      </c>
      <c s="125"/>
      <c s="125">
        <f>SUM('Годовая отчетность'!E85,'Годовая отчетность'!E210)</f>
        <v>0</v>
      </c>
      <c s="125">
        <f>SUM('Годовая отчетность'!F85,'Годовая отчетность'!F210)</f>
        <v>0</v>
      </c>
      <c s="125">
        <f>SUM('Годовая отчетность'!G85,'Годовая отчетность'!G210)</f>
        <v>0</v>
      </c>
      <c s="125">
        <f>SUM('Годовая отчетность'!H85,'Годовая отчетность'!H210)</f>
        <v>0</v>
      </c>
      <c s="125">
        <f>SUM('Годовая отчетность'!I85,'Годовая отчетность'!I210)</f>
        <v>0</v>
      </c>
      <c s="125">
        <f>SUM('Годовая отчетность'!J85,'Годовая отчетность'!J210)</f>
        <v>0</v>
      </c>
      <c s="125">
        <f>SUM('Годовая отчетность'!K85,'Годовая отчетность'!K210)</f>
        <v>0</v>
      </c>
      <c s="125">
        <f>SUM('Годовая отчетность'!L85,'Годовая отчетность'!L210)</f>
        <v>0</v>
      </c>
      <c s="125">
        <f>SUM('Годовая отчетность'!M85,'Годовая отчетность'!M210)</f>
        <v>0</v>
      </c>
      <c s="125">
        <f>SUM('Годовая отчетность'!N85,'Годовая отчетность'!N210)</f>
        <v>0</v>
      </c>
      <c s="125">
        <f>SUM('Годовая отчетность'!O85,'Годовая отчетность'!O210)</f>
        <v>0</v>
      </c>
      <c s="125">
        <f>SUM('Годовая отчетность'!P85,'Годовая отчетность'!P210)</f>
        <v>0</v>
      </c>
      <c s="125">
        <f>SUM('Годовая отчетность'!Q85,'Годовая отчетность'!Q210)</f>
        <v>0</v>
      </c>
      <c s="125">
        <f>SUM('Годовая отчетность'!R85,'Годовая отчетность'!R210)</f>
        <v>0</v>
      </c>
      <c s="125">
        <f>SUM('Годовая отчетность'!S85,'Годовая отчетность'!S210)</f>
        <v>0</v>
      </c>
      <c s="125">
        <f>SUM('Годовая отчетность'!T85,'Годовая отчетность'!T210)</f>
        <v>0</v>
      </c>
    </row>
    <row r="344" spans="2:20" ht="15" customHeight="1">
      <c r="B344" s="22" t="s">
        <v>1004</v>
      </c>
      <c s="124" t="str">
        <f t="shared" si="153"/>
        <v>тыс. руб.</v>
      </c>
      <c s="125"/>
      <c s="125">
        <f ca="1">SUM('Годовая отчетность'!E86,'Годовая отчетность'!E211)</f>
        <v>0</v>
      </c>
      <c s="125">
        <f ca="1">SUM('Годовая отчетность'!F86,'Годовая отчетность'!F211)</f>
        <v>0</v>
      </c>
      <c s="125">
        <f ca="1">SUM('Годовая отчетность'!G86,'Годовая отчетность'!G211)</f>
        <v>0</v>
      </c>
      <c s="125">
        <f ca="1">SUM('Годовая отчетность'!H86,'Годовая отчетность'!H211)</f>
        <v>0</v>
      </c>
      <c s="125">
        <f ca="1">SUM('Годовая отчетность'!I86,'Годовая отчетность'!I211)</f>
        <v>0</v>
      </c>
      <c s="125">
        <f ca="1">SUM('Годовая отчетность'!J86,'Годовая отчетность'!J211)</f>
        <v>0</v>
      </c>
      <c s="125">
        <f ca="1">SUM('Годовая отчетность'!K86,'Годовая отчетность'!K211)</f>
        <v>0</v>
      </c>
      <c s="125">
        <f ca="1">SUM('Годовая отчетность'!L86,'Годовая отчетность'!L211)</f>
        <v>0</v>
      </c>
      <c s="125">
        <f ca="1">SUM('Годовая отчетность'!M86,'Годовая отчетность'!M211)</f>
        <v>0</v>
      </c>
      <c s="125">
        <f ca="1">SUM('Годовая отчетность'!N86,'Годовая отчетность'!N211)</f>
        <v>0</v>
      </c>
      <c s="125">
        <f ca="1">SUM('Годовая отчетность'!O86,'Годовая отчетность'!O211)</f>
        <v>0</v>
      </c>
      <c s="125">
        <f ca="1">SUM('Годовая отчетность'!P86,'Годовая отчетность'!P211)</f>
        <v>0</v>
      </c>
      <c s="125">
        <f ca="1">SUM('Годовая отчетность'!Q86,'Годовая отчетность'!Q211)</f>
        <v>0</v>
      </c>
      <c s="125">
        <f ca="1">SUM('Годовая отчетность'!R86,'Годовая отчетность'!R211)</f>
        <v>0</v>
      </c>
      <c s="125">
        <f ca="1">SUM('Годовая отчетность'!S86,'Годовая отчетность'!S211)</f>
        <v>0</v>
      </c>
      <c s="125">
        <f ca="1">SUM('Годовая отчетность'!T86,'Годовая отчетность'!T211)</f>
        <v>0</v>
      </c>
    </row>
    <row r="345" spans="2:20" ht="15" customHeight="1">
      <c r="B345" s="22" t="s">
        <v>311</v>
      </c>
      <c s="124" t="str">
        <f t="shared" si="153"/>
        <v>тыс. руб.</v>
      </c>
      <c s="125"/>
      <c s="125">
        <f ca="1">SUM('Годовая отчетность'!E87,'Годовая отчетность'!E212)</f>
        <v>0</v>
      </c>
      <c s="125">
        <f ca="1">SUM('Годовая отчетность'!F87,'Годовая отчетность'!F212)</f>
        <v>0</v>
      </c>
      <c s="125">
        <f ca="1">SUM('Годовая отчетность'!G87,'Годовая отчетность'!G212)</f>
        <v>0</v>
      </c>
      <c s="125">
        <f ca="1">SUM('Годовая отчетность'!H87,'Годовая отчетность'!H212)</f>
        <v>0</v>
      </c>
      <c s="125">
        <f ca="1">SUM('Годовая отчетность'!I87,'Годовая отчетность'!I212)</f>
        <v>0</v>
      </c>
      <c s="125">
        <f ca="1">SUM('Годовая отчетность'!J87,'Годовая отчетность'!J212)</f>
        <v>0</v>
      </c>
      <c s="125">
        <f ca="1">SUM('Годовая отчетность'!K87,'Годовая отчетность'!K212)</f>
        <v>0</v>
      </c>
      <c s="125">
        <f ca="1">SUM('Годовая отчетность'!L87,'Годовая отчетность'!L212)</f>
        <v>0</v>
      </c>
      <c s="125">
        <f ca="1">SUM('Годовая отчетность'!M87,'Годовая отчетность'!M212)</f>
        <v>0</v>
      </c>
      <c s="125">
        <f ca="1">SUM('Годовая отчетность'!N87,'Годовая отчетность'!N212)</f>
        <v>0</v>
      </c>
      <c s="125">
        <f ca="1">SUM('Годовая отчетность'!O87,'Годовая отчетность'!O212)</f>
        <v>0</v>
      </c>
      <c s="125">
        <f ca="1">SUM('Годовая отчетность'!P87,'Годовая отчетность'!P212)</f>
        <v>0</v>
      </c>
      <c s="125">
        <f ca="1">SUM('Годовая отчетность'!Q87,'Годовая отчетность'!Q212)</f>
        <v>0</v>
      </c>
      <c s="125">
        <f ca="1">SUM('Годовая отчетность'!R87,'Годовая отчетность'!R212)</f>
        <v>0</v>
      </c>
      <c s="125">
        <f ca="1">SUM('Годовая отчетность'!S87,'Годовая отчетность'!S212)</f>
        <v>0</v>
      </c>
      <c s="125">
        <f ca="1">SUM('Годовая отчетность'!T87,'Годовая отчетность'!T212)</f>
        <v>0</v>
      </c>
    </row>
    <row r="346" spans="2:20" ht="15" customHeight="1">
      <c r="B346" s="22" t="s">
        <v>1056</v>
      </c>
      <c s="124" t="str">
        <f t="shared" si="153"/>
        <v>тыс. руб.</v>
      </c>
      <c s="125"/>
      <c s="125">
        <f>'Годовая отчетность'!E213</f>
        <v>0</v>
      </c>
      <c s="125">
        <f>'Годовая отчетность'!F213</f>
        <v>0</v>
      </c>
      <c s="125">
        <f>'Годовая отчетность'!G213</f>
        <v>0</v>
      </c>
      <c s="125">
        <f>'Годовая отчетность'!H213</f>
        <v>0</v>
      </c>
      <c s="125">
        <f>'Годовая отчетность'!I213</f>
        <v>0</v>
      </c>
      <c s="125">
        <f>'Годовая отчетность'!J213</f>
        <v>0</v>
      </c>
      <c s="125">
        <f>'Годовая отчетность'!K213</f>
        <v>0</v>
      </c>
      <c s="125">
        <f>'Годовая отчетность'!L213</f>
        <v>0</v>
      </c>
      <c s="125">
        <f>'Годовая отчетность'!M213</f>
        <v>0</v>
      </c>
      <c s="125">
        <f>'Годовая отчетность'!N213</f>
        <v>0</v>
      </c>
      <c s="125">
        <f>'Годовая отчетность'!O213</f>
        <v>0</v>
      </c>
      <c s="125">
        <f>'Годовая отчетность'!P213</f>
        <v>0</v>
      </c>
      <c s="125">
        <f>'Годовая отчетность'!Q213</f>
        <v>0</v>
      </c>
      <c s="125">
        <f>'Годовая отчетность'!R213</f>
        <v>0</v>
      </c>
      <c s="125">
        <f>'Годовая отчетность'!S213</f>
        <v>0</v>
      </c>
      <c s="125">
        <f>'Годовая отчетность'!T213</f>
        <v>0</v>
      </c>
    </row>
    <row r="347" spans="2:20" ht="15" customHeight="1">
      <c r="B347" s="22" t="s">
        <v>1060</v>
      </c>
      <c s="124" t="str">
        <f t="shared" si="153"/>
        <v>тыс. руб.</v>
      </c>
      <c s="125"/>
      <c s="125">
        <f ca="1" t="shared" si="154" ref="E347:K347">E325*IF($K$3&lt;E8,0,1)*IF($K$3&lt;E8,0,1)</f>
        <v>0</v>
      </c>
      <c s="125">
        <f t="shared" ca="1" si="154"/>
        <v>0</v>
      </c>
      <c s="125">
        <f t="shared" ca="1" si="154"/>
        <v>0</v>
      </c>
      <c s="125">
        <f t="shared" ca="1" si="154"/>
        <v>0</v>
      </c>
      <c s="125">
        <f t="shared" ca="1" si="154"/>
        <v>0</v>
      </c>
      <c s="125">
        <f t="shared" ca="1" si="154"/>
        <v>0</v>
      </c>
      <c s="125">
        <f t="shared" ca="1" si="154"/>
        <v>0</v>
      </c>
      <c s="125">
        <f ca="1" t="shared" si="155" ref="L347:T347">L325*IF($K$3&lt;L8,0,1)*IF($K$3&lt;L8,0,1)</f>
        <v>0</v>
      </c>
      <c s="125">
        <f t="shared" ca="1" si="155"/>
        <v>0</v>
      </c>
      <c s="125">
        <f t="shared" ca="1" si="155"/>
        <v>0</v>
      </c>
      <c s="125">
        <f t="shared" ca="1" si="155"/>
        <v>0</v>
      </c>
      <c s="125">
        <f t="shared" ca="1" si="155"/>
        <v>0</v>
      </c>
      <c s="125">
        <f t="shared" ca="1" si="155"/>
        <v>0</v>
      </c>
      <c s="125">
        <f t="shared" ca="1" si="155"/>
        <v>0</v>
      </c>
      <c s="125">
        <f t="shared" ca="1" si="155"/>
        <v>0</v>
      </c>
      <c s="125">
        <f t="shared" ca="1" si="155"/>
        <v>0</v>
      </c>
    </row>
    <row r="348" spans="2:20" ht="15" customHeight="1">
      <c r="B348" s="22" t="s">
        <v>1061</v>
      </c>
      <c s="124" t="str">
        <f t="shared" si="153"/>
        <v>тыс. руб.</v>
      </c>
      <c s="125"/>
      <c s="125">
        <f>'Годовая отчетность'!E216</f>
        <v>0</v>
      </c>
      <c s="125">
        <f>'Годовая отчетность'!F216</f>
        <v>0</v>
      </c>
      <c s="125">
        <f>'Годовая отчетность'!G216</f>
        <v>0</v>
      </c>
      <c s="125">
        <f>'Годовая отчетность'!H216</f>
        <v>0</v>
      </c>
      <c s="125">
        <f>'Годовая отчетность'!I216</f>
        <v>0</v>
      </c>
      <c s="125">
        <f>'Годовая отчетность'!J216</f>
        <v>0</v>
      </c>
      <c s="125">
        <f>'Годовая отчетность'!K216</f>
        <v>0</v>
      </c>
      <c s="125">
        <f>'Годовая отчетность'!L216</f>
        <v>0</v>
      </c>
      <c s="125">
        <f>'Годовая отчетность'!M216</f>
        <v>0</v>
      </c>
      <c s="125">
        <f>'Годовая отчетность'!N216</f>
        <v>0</v>
      </c>
      <c s="125">
        <f>'Годовая отчетность'!O216</f>
        <v>0</v>
      </c>
      <c s="125">
        <f>'Годовая отчетность'!P216</f>
        <v>0</v>
      </c>
      <c s="125">
        <f>'Годовая отчетность'!Q216</f>
        <v>0</v>
      </c>
      <c s="125">
        <f>'Годовая отчетность'!R216</f>
        <v>0</v>
      </c>
      <c s="125">
        <f>'Годовая отчетность'!S216</f>
        <v>0</v>
      </c>
      <c s="125">
        <f>'Годовая отчетность'!T216</f>
        <v>0</v>
      </c>
    </row>
    <row r="349" spans="2:20" ht="15" customHeight="1">
      <c r="B349" s="289" t="s">
        <v>1006</v>
      </c>
      <c s="290" t="str">
        <f t="shared" si="153"/>
        <v>тыс. руб.</v>
      </c>
      <c s="276"/>
      <c s="276">
        <f ca="1" t="shared" si="156" ref="E349">SUM(E343:E348)</f>
        <v>0</v>
      </c>
      <c s="276">
        <f ca="1" t="shared" si="157" ref="F349:L349">SUM(F343:F348)</f>
        <v>0</v>
      </c>
      <c s="276">
        <f t="shared" ca="1" si="157"/>
        <v>0</v>
      </c>
      <c s="276">
        <f t="shared" ca="1" si="157"/>
        <v>0</v>
      </c>
      <c s="276">
        <f t="shared" ca="1" si="157"/>
        <v>0</v>
      </c>
      <c s="276">
        <f t="shared" ca="1" si="157"/>
        <v>0</v>
      </c>
      <c s="276">
        <f t="shared" ca="1" si="157"/>
        <v>0</v>
      </c>
      <c s="276">
        <f t="shared" ca="1" si="157"/>
        <v>0</v>
      </c>
      <c s="276">
        <f ca="1" t="shared" si="158" ref="M349:T349">SUM(M343:M348)</f>
        <v>0</v>
      </c>
      <c s="276">
        <f t="shared" ca="1" si="158"/>
        <v>0</v>
      </c>
      <c s="276">
        <f t="shared" ca="1" si="158"/>
        <v>0</v>
      </c>
      <c s="276">
        <f t="shared" ca="1" si="158"/>
        <v>0</v>
      </c>
      <c s="276">
        <f t="shared" ca="1" si="158"/>
        <v>0</v>
      </c>
      <c s="276">
        <f t="shared" ca="1" si="158"/>
        <v>0</v>
      </c>
      <c s="276">
        <f t="shared" ca="1" si="158"/>
        <v>0</v>
      </c>
      <c s="276">
        <f t="shared" ca="1" si="158"/>
        <v>0</v>
      </c>
    </row>
    <row r="350" ht="15" customHeight="1"/>
    <row r="351" spans="2:20" ht="15" customHeight="1">
      <c r="B351" s="292" t="s">
        <v>1007</v>
      </c>
      <c s="293" t="str">
        <f>Единица_измерения</f>
        <v>тыс. руб.</v>
      </c>
      <c s="291"/>
      <c s="291">
        <f ca="1" t="shared" si="159" ref="E351">SUM(E340,E349)</f>
        <v>0</v>
      </c>
      <c s="291">
        <f ca="1" t="shared" si="160" ref="F351:L351">SUM(F340,F349)</f>
        <v>0</v>
      </c>
      <c s="291">
        <f t="shared" ca="1" si="160"/>
        <v>0</v>
      </c>
      <c s="291">
        <f t="shared" ca="1" si="160"/>
        <v>0</v>
      </c>
      <c s="291">
        <f t="shared" ca="1" si="160"/>
        <v>0</v>
      </c>
      <c s="291">
        <f t="shared" ca="1" si="160"/>
        <v>0</v>
      </c>
      <c s="291">
        <f t="shared" ca="1" si="160"/>
        <v>0</v>
      </c>
      <c s="291">
        <f t="shared" ca="1" si="160"/>
        <v>0</v>
      </c>
      <c s="291">
        <f ca="1" t="shared" si="161" ref="M351:T351">SUM(M340,M349)</f>
        <v>0</v>
      </c>
      <c s="291">
        <f t="shared" ca="1" si="161"/>
        <v>0</v>
      </c>
      <c s="291">
        <f t="shared" ca="1" si="161"/>
        <v>0</v>
      </c>
      <c s="291">
        <f t="shared" ca="1" si="161"/>
        <v>0</v>
      </c>
      <c s="291">
        <f t="shared" ca="1" si="161"/>
        <v>0</v>
      </c>
      <c s="291">
        <f t="shared" ca="1" si="161"/>
        <v>0</v>
      </c>
      <c s="291">
        <f t="shared" ca="1" si="161"/>
        <v>0</v>
      </c>
      <c s="291">
        <f t="shared" ca="1" si="161"/>
        <v>0</v>
      </c>
    </row>
    <row r="352" ht="15" customHeight="1"/>
    <row r="353" spans="2:26" ht="21">
      <c r="B353" s="24" t="s">
        <v>1062</v>
      </c>
      <c r="D35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54" spans="2:20" ht="15" customHeight="1">
      <c r="B354" s="12" t="s">
        <v>1063</v>
      </c>
      <c s="124" t="str">
        <f t="shared" si="162" ref="C354:C360">Единица_измерения</f>
        <v>тыс. руб.</v>
      </c>
      <c s="125"/>
      <c s="125">
        <f>'Годовая отчетность'!E222</f>
        <v>0</v>
      </c>
      <c s="125">
        <f>'Годовая отчетность'!F222</f>
        <v>0</v>
      </c>
      <c s="125">
        <f>'Годовая отчетность'!G222</f>
        <v>0</v>
      </c>
      <c s="125">
        <f>'Годовая отчетность'!H222</f>
        <v>0</v>
      </c>
      <c s="125">
        <f>'Годовая отчетность'!I222</f>
        <v>0</v>
      </c>
      <c s="125">
        <f>'Годовая отчетность'!J222</f>
        <v>0</v>
      </c>
      <c s="125">
        <f>'Годовая отчетность'!K222</f>
        <v>0</v>
      </c>
      <c s="125">
        <f>'Годовая отчетность'!L222</f>
        <v>0</v>
      </c>
      <c s="125">
        <f>'Годовая отчетность'!M222</f>
        <v>0</v>
      </c>
      <c s="125">
        <f>'Годовая отчетность'!N222</f>
        <v>0</v>
      </c>
      <c s="125">
        <f>'Годовая отчетность'!O222</f>
        <v>0</v>
      </c>
      <c s="125">
        <f>'Годовая отчетность'!P222</f>
        <v>0</v>
      </c>
      <c s="125">
        <f>'Годовая отчетность'!Q222</f>
        <v>0</v>
      </c>
      <c s="125">
        <f>'Годовая отчетность'!R222</f>
        <v>0</v>
      </c>
      <c s="125">
        <f>'Годовая отчетность'!S222</f>
        <v>0</v>
      </c>
      <c s="125">
        <f>'Годовая отчетность'!T222</f>
        <v>0</v>
      </c>
    </row>
    <row r="355" spans="2:20" ht="15" customHeight="1">
      <c r="B355" s="22" t="s">
        <v>1064</v>
      </c>
      <c s="124" t="str">
        <f t="shared" si="162"/>
        <v>тыс. руб.</v>
      </c>
      <c s="125"/>
      <c s="125">
        <f>'Годовая отчетность'!E223</f>
        <v>0</v>
      </c>
      <c s="125">
        <f>'Годовая отчетность'!F223</f>
        <v>0</v>
      </c>
      <c s="125">
        <f>'Годовая отчетность'!G223</f>
        <v>0</v>
      </c>
      <c s="125">
        <f>'Годовая отчетность'!H223</f>
        <v>0</v>
      </c>
      <c s="125">
        <f>'Годовая отчетность'!I223</f>
        <v>0</v>
      </c>
      <c s="125">
        <f>'Годовая отчетность'!J223</f>
        <v>0</v>
      </c>
      <c s="125">
        <f>'Годовая отчетность'!K223</f>
        <v>0</v>
      </c>
      <c s="125">
        <f>'Годовая отчетность'!L223</f>
        <v>0</v>
      </c>
      <c s="125">
        <f>'Годовая отчетность'!M223</f>
        <v>0</v>
      </c>
      <c s="125">
        <f>'Годовая отчетность'!N223</f>
        <v>0</v>
      </c>
      <c s="125">
        <f>'Годовая отчетность'!O223</f>
        <v>0</v>
      </c>
      <c s="125">
        <f>'Годовая отчетность'!P223</f>
        <v>0</v>
      </c>
      <c s="125">
        <f>'Годовая отчетность'!Q223</f>
        <v>0</v>
      </c>
      <c s="125">
        <f>'Годовая отчетность'!R223</f>
        <v>0</v>
      </c>
      <c s="125">
        <f>'Годовая отчетность'!S223</f>
        <v>0</v>
      </c>
      <c s="125">
        <f>'Годовая отчетность'!T223</f>
        <v>0</v>
      </c>
    </row>
    <row r="356" spans="2:20" ht="15" customHeight="1">
      <c r="B356" s="22" t="s">
        <v>1065</v>
      </c>
      <c s="124" t="str">
        <f t="shared" si="162"/>
        <v>тыс. руб.</v>
      </c>
      <c s="125"/>
      <c s="125">
        <f>'Годовая отчетность'!E224</f>
        <v>0</v>
      </c>
      <c s="125">
        <f>'Годовая отчетность'!F224</f>
        <v>0</v>
      </c>
      <c s="125">
        <f>'Годовая отчетность'!G224</f>
        <v>0</v>
      </c>
      <c s="125">
        <f>'Годовая отчетность'!H224</f>
        <v>0</v>
      </c>
      <c s="125">
        <f>'Годовая отчетность'!I224</f>
        <v>0</v>
      </c>
      <c s="125">
        <f>'Годовая отчетность'!J224</f>
        <v>0</v>
      </c>
      <c s="125">
        <f>'Годовая отчетность'!K224</f>
        <v>0</v>
      </c>
      <c s="125">
        <f>'Годовая отчетность'!L224</f>
        <v>0</v>
      </c>
      <c s="125">
        <f>'Годовая отчетность'!M224</f>
        <v>0</v>
      </c>
      <c s="125">
        <f>'Годовая отчетность'!N224</f>
        <v>0</v>
      </c>
      <c s="125">
        <f>'Годовая отчетность'!O224</f>
        <v>0</v>
      </c>
      <c s="125">
        <f>'Годовая отчетность'!P224</f>
        <v>0</v>
      </c>
      <c s="125">
        <f>'Годовая отчетность'!Q224</f>
        <v>0</v>
      </c>
      <c s="125">
        <f>'Годовая отчетность'!R224</f>
        <v>0</v>
      </c>
      <c s="125">
        <f>'Годовая отчетность'!S224</f>
        <v>0</v>
      </c>
      <c s="125">
        <f>'Годовая отчетность'!T224</f>
        <v>0</v>
      </c>
    </row>
    <row r="357" spans="2:20" ht="15" customHeight="1">
      <c r="B357" s="22" t="s">
        <v>1066</v>
      </c>
      <c s="124" t="str">
        <f t="shared" si="162"/>
        <v>тыс. руб.</v>
      </c>
      <c s="125"/>
      <c s="125">
        <f>'Годовая отчетность'!E225</f>
        <v>0</v>
      </c>
      <c s="125">
        <f>'Годовая отчетность'!F225</f>
        <v>0</v>
      </c>
      <c s="125">
        <f>'Годовая отчетность'!G225</f>
        <v>0</v>
      </c>
      <c s="125">
        <f>'Годовая отчетность'!H225</f>
        <v>0</v>
      </c>
      <c s="125">
        <f>'Годовая отчетность'!I225</f>
        <v>0</v>
      </c>
      <c s="125">
        <f>'Годовая отчетность'!J225</f>
        <v>0</v>
      </c>
      <c s="125">
        <f>'Годовая отчетность'!K225</f>
        <v>0</v>
      </c>
      <c s="125">
        <f>'Годовая отчетность'!L225</f>
        <v>0</v>
      </c>
      <c s="125">
        <f>'Годовая отчетность'!M225</f>
        <v>0</v>
      </c>
      <c s="125">
        <f>'Годовая отчетность'!N225</f>
        <v>0</v>
      </c>
      <c s="125">
        <f>'Годовая отчетность'!O225</f>
        <v>0</v>
      </c>
      <c s="125">
        <f>'Годовая отчетность'!P225</f>
        <v>0</v>
      </c>
      <c s="125">
        <f>'Годовая отчетность'!Q225</f>
        <v>0</v>
      </c>
      <c s="125">
        <f>'Годовая отчетность'!R225</f>
        <v>0</v>
      </c>
      <c s="125">
        <f>'Годовая отчетность'!S225</f>
        <v>0</v>
      </c>
      <c s="125">
        <f>'Годовая отчетность'!T225</f>
        <v>0</v>
      </c>
    </row>
    <row r="358" spans="2:20" ht="15" customHeight="1">
      <c r="B358" s="22" t="s">
        <v>1067</v>
      </c>
      <c s="124" t="str">
        <f t="shared" si="162"/>
        <v>тыс. руб.</v>
      </c>
      <c s="125"/>
      <c s="125">
        <f>'Годовая отчетность'!E226</f>
        <v>0</v>
      </c>
      <c s="125">
        <f>'Годовая отчетность'!F226</f>
        <v>0</v>
      </c>
      <c s="125">
        <f>'Годовая отчетность'!G226</f>
        <v>0</v>
      </c>
      <c s="125">
        <f>'Годовая отчетность'!H226</f>
        <v>0</v>
      </c>
      <c s="125">
        <f>'Годовая отчетность'!I226</f>
        <v>0</v>
      </c>
      <c s="125">
        <f>'Годовая отчетность'!J226</f>
        <v>0</v>
      </c>
      <c s="125">
        <f>'Годовая отчетность'!K226</f>
        <v>0</v>
      </c>
      <c s="125">
        <f>'Годовая отчетность'!L226</f>
        <v>0</v>
      </c>
      <c s="125">
        <f>'Годовая отчетность'!M226</f>
        <v>0</v>
      </c>
      <c s="125">
        <f>'Годовая отчетность'!N226</f>
        <v>0</v>
      </c>
      <c s="125">
        <f>'Годовая отчетность'!O226</f>
        <v>0</v>
      </c>
      <c s="125">
        <f>'Годовая отчетность'!P226</f>
        <v>0</v>
      </c>
      <c s="125">
        <f>'Годовая отчетность'!Q226</f>
        <v>0</v>
      </c>
      <c s="125">
        <f>'Годовая отчетность'!R226</f>
        <v>0</v>
      </c>
      <c s="125">
        <f>'Годовая отчетность'!S226</f>
        <v>0</v>
      </c>
      <c s="125">
        <f>'Годовая отчетность'!T226</f>
        <v>0</v>
      </c>
    </row>
    <row r="359" spans="2:20" ht="15" customHeight="1">
      <c r="B359" s="22" t="s">
        <v>1009</v>
      </c>
      <c s="124" t="str">
        <f t="shared" si="162"/>
        <v>тыс. руб.</v>
      </c>
      <c s="125"/>
      <c s="125">
        <f ca="1">SUM('Годовая отчетность'!E95,'Годовая отчетность'!E227)</f>
        <v>0</v>
      </c>
      <c s="125">
        <f ca="1">SUM('Годовая отчетность'!F95,'Годовая отчетность'!F227)</f>
        <v>0</v>
      </c>
      <c s="125">
        <f ca="1">SUM('Годовая отчетность'!G95,'Годовая отчетность'!G227)</f>
        <v>0</v>
      </c>
      <c s="125">
        <f ca="1">SUM('Годовая отчетность'!H95,'Годовая отчетность'!H227)</f>
        <v>0</v>
      </c>
      <c s="125">
        <f ca="1">SUM('Годовая отчетность'!I95,'Годовая отчетность'!I227)</f>
        <v>0</v>
      </c>
      <c s="125">
        <f ca="1">SUM('Годовая отчетность'!J95,'Годовая отчетность'!J227)</f>
        <v>0</v>
      </c>
      <c s="125">
        <f ca="1">SUM('Годовая отчетность'!K95,'Годовая отчетность'!K227)</f>
        <v>0</v>
      </c>
      <c s="125">
        <f ca="1">SUM('Годовая отчетность'!L95,'Годовая отчетность'!L227)</f>
        <v>0</v>
      </c>
      <c s="125">
        <f ca="1">SUM('Годовая отчетность'!M95,'Годовая отчетность'!M227)</f>
        <v>0</v>
      </c>
      <c s="125">
        <f ca="1">SUM('Годовая отчетность'!N95,'Годовая отчетность'!N227)</f>
        <v>0</v>
      </c>
      <c s="125">
        <f ca="1">SUM('Годовая отчетность'!O95,'Годовая отчетность'!O227)</f>
        <v>0</v>
      </c>
      <c s="125">
        <f ca="1">SUM('Годовая отчетность'!P95,'Годовая отчетность'!P227)</f>
        <v>0</v>
      </c>
      <c s="125">
        <f ca="1">SUM('Годовая отчетность'!Q95,'Годовая отчетность'!Q227)</f>
        <v>0</v>
      </c>
      <c s="125">
        <f ca="1">SUM('Годовая отчетность'!R95,'Годовая отчетность'!R227)</f>
        <v>0</v>
      </c>
      <c s="125">
        <f ca="1">SUM('Годовая отчетность'!S95,'Годовая отчетность'!S227)</f>
        <v>0</v>
      </c>
      <c s="125">
        <f ca="1">SUM('Годовая отчетность'!T95,'Годовая отчетность'!T227)</f>
        <v>0</v>
      </c>
    </row>
    <row r="360" spans="2:20" ht="15" customHeight="1">
      <c r="B360" s="289" t="s">
        <v>1068</v>
      </c>
      <c s="290" t="str">
        <f t="shared" si="162"/>
        <v>тыс. руб.</v>
      </c>
      <c s="276"/>
      <c s="276">
        <f ca="1" t="shared" si="163" ref="E360">SUM(E354:E359)</f>
        <v>0</v>
      </c>
      <c s="276">
        <f ca="1" t="shared" si="164" ref="F360:L360">SUM(F354:F359)</f>
        <v>0</v>
      </c>
      <c s="276">
        <f t="shared" ca="1" si="164"/>
        <v>0</v>
      </c>
      <c s="276">
        <f t="shared" ca="1" si="164"/>
        <v>0</v>
      </c>
      <c s="276">
        <f t="shared" ca="1" si="164"/>
        <v>0</v>
      </c>
      <c s="276">
        <f t="shared" ca="1" si="164"/>
        <v>0</v>
      </c>
      <c s="276">
        <f t="shared" ca="1" si="164"/>
        <v>0</v>
      </c>
      <c s="276">
        <f t="shared" ca="1" si="164"/>
        <v>0</v>
      </c>
      <c s="276">
        <f ca="1" t="shared" si="165" ref="M360:T360">SUM(M354:M359)</f>
        <v>0</v>
      </c>
      <c s="276">
        <f t="shared" ca="1" si="165"/>
        <v>0</v>
      </c>
      <c s="276">
        <f t="shared" ca="1" si="165"/>
        <v>0</v>
      </c>
      <c s="276">
        <f t="shared" ca="1" si="165"/>
        <v>0</v>
      </c>
      <c s="276">
        <f t="shared" ca="1" si="165"/>
        <v>0</v>
      </c>
      <c s="276">
        <f t="shared" ca="1" si="165"/>
        <v>0</v>
      </c>
      <c s="276">
        <f t="shared" ca="1" si="165"/>
        <v>0</v>
      </c>
      <c s="276">
        <f t="shared" ca="1" si="165"/>
        <v>0</v>
      </c>
    </row>
    <row r="361" ht="15" customHeight="1"/>
    <row r="362" spans="2:26" ht="21">
      <c r="B362" s="24" t="s">
        <v>1069</v>
      </c>
      <c r="D362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63" spans="2:20" ht="15" customHeight="1">
      <c r="B363" s="12" t="s">
        <v>1012</v>
      </c>
      <c s="124" t="str">
        <f>Единица_измерения</f>
        <v>тыс. руб.</v>
      </c>
      <c s="125"/>
      <c s="125">
        <f>SUM('Годовая отчетность'!E231,'Годовая отчетность'!E99)</f>
        <v>0</v>
      </c>
      <c s="125">
        <f>SUM('Годовая отчетность'!F231,'Годовая отчетность'!F99)</f>
        <v>0</v>
      </c>
      <c s="125">
        <f>SUM('Годовая отчетность'!G231,'Годовая отчетность'!G99)</f>
        <v>0</v>
      </c>
      <c s="125">
        <f>SUM('Годовая отчетность'!H231,'Годовая отчетность'!H99)</f>
        <v>0</v>
      </c>
      <c s="125">
        <f>SUM('Годовая отчетность'!I231,'Годовая отчетность'!I99)</f>
        <v>0</v>
      </c>
      <c s="125">
        <f>SUM('Годовая отчетность'!J231,'Годовая отчетность'!J99)</f>
        <v>0</v>
      </c>
      <c s="125">
        <f>SUM('Годовая отчетность'!K231,'Годовая отчетность'!K99)</f>
        <v>0</v>
      </c>
      <c s="125">
        <f>SUM('Годовая отчетность'!L231,'Годовая отчетность'!L99)</f>
        <v>0</v>
      </c>
      <c s="125">
        <f>SUM('Годовая отчетность'!M231,'Годовая отчетность'!M99)</f>
        <v>0</v>
      </c>
      <c s="125">
        <f>SUM('Годовая отчетность'!N231,'Годовая отчетность'!N99)</f>
        <v>0</v>
      </c>
      <c s="125">
        <f>SUM('Годовая отчетность'!O231,'Годовая отчетность'!O99)</f>
        <v>0</v>
      </c>
      <c s="125">
        <f>SUM('Годовая отчетность'!P231,'Годовая отчетность'!P99)</f>
        <v>0</v>
      </c>
      <c s="125">
        <f>SUM('Годовая отчетность'!Q231,'Годовая отчетность'!Q99)</f>
        <v>0</v>
      </c>
      <c s="125">
        <f>SUM('Годовая отчетность'!R231,'Годовая отчетность'!R99)</f>
        <v>0</v>
      </c>
      <c s="125">
        <f>SUM('Годовая отчетность'!S231,'Годовая отчетность'!S99)</f>
        <v>0</v>
      </c>
      <c s="125">
        <f>SUM('Годовая отчетность'!T231,'Годовая отчетность'!T99)</f>
        <v>0</v>
      </c>
    </row>
    <row r="364" spans="2:20" ht="15" customHeight="1">
      <c r="B364" s="22" t="s">
        <v>1070</v>
      </c>
      <c s="124" t="str">
        <f>Единица_измерения</f>
        <v>тыс. руб.</v>
      </c>
      <c s="125"/>
      <c s="125">
        <f>'Годовая отчетность'!E232</f>
        <v>0</v>
      </c>
      <c s="125">
        <f>'Годовая отчетность'!F232</f>
        <v>0</v>
      </c>
      <c s="125">
        <f>'Годовая отчетность'!G232</f>
        <v>0</v>
      </c>
      <c s="125">
        <f>'Годовая отчетность'!H232</f>
        <v>0</v>
      </c>
      <c s="125">
        <f>'Годовая отчетность'!I232</f>
        <v>0</v>
      </c>
      <c s="125">
        <f>'Годовая отчетность'!J232</f>
        <v>0</v>
      </c>
      <c s="125">
        <f>'Годовая отчетность'!K232</f>
        <v>0</v>
      </c>
      <c s="125">
        <f>'Годовая отчетность'!L232</f>
        <v>0</v>
      </c>
      <c s="125">
        <f>'Годовая отчетность'!M232</f>
        <v>0</v>
      </c>
      <c s="125">
        <f>'Годовая отчетность'!N232</f>
        <v>0</v>
      </c>
      <c s="125">
        <f>'Годовая отчетность'!O232</f>
        <v>0</v>
      </c>
      <c s="125">
        <f>'Годовая отчетность'!P232</f>
        <v>0</v>
      </c>
      <c s="125">
        <f>'Годовая отчетность'!Q232</f>
        <v>0</v>
      </c>
      <c s="125">
        <f>'Годовая отчетность'!R232</f>
        <v>0</v>
      </c>
      <c s="125">
        <f>'Годовая отчетность'!S232</f>
        <v>0</v>
      </c>
      <c s="125">
        <f>'Годовая отчетность'!T232</f>
        <v>0</v>
      </c>
    </row>
    <row r="365" spans="2:20" ht="15" customHeight="1">
      <c r="B365" s="22" t="s">
        <v>1071</v>
      </c>
      <c s="124" t="str">
        <f>Единица_измерения</f>
        <v>тыс. руб.</v>
      </c>
      <c s="125"/>
      <c s="125">
        <f>'Годовая отчетность'!E233</f>
        <v>0</v>
      </c>
      <c s="125">
        <f>'Годовая отчетность'!F233</f>
        <v>0</v>
      </c>
      <c s="125">
        <f>'Годовая отчетность'!G233</f>
        <v>0</v>
      </c>
      <c s="125">
        <f>'Годовая отчетность'!H233</f>
        <v>0</v>
      </c>
      <c s="125">
        <f>'Годовая отчетность'!I233</f>
        <v>0</v>
      </c>
      <c s="125">
        <f>'Годовая отчетность'!J233</f>
        <v>0</v>
      </c>
      <c s="125">
        <f>'Годовая отчетность'!K233</f>
        <v>0</v>
      </c>
      <c s="125">
        <f>'Годовая отчетность'!L233</f>
        <v>0</v>
      </c>
      <c s="125">
        <f>'Годовая отчетность'!M233</f>
        <v>0</v>
      </c>
      <c s="125">
        <f>'Годовая отчетность'!N233</f>
        <v>0</v>
      </c>
      <c s="125">
        <f>'Годовая отчетность'!O233</f>
        <v>0</v>
      </c>
      <c s="125">
        <f>'Годовая отчетность'!P233</f>
        <v>0</v>
      </c>
      <c s="125">
        <f>'Годовая отчетность'!Q233</f>
        <v>0</v>
      </c>
      <c s="125">
        <f>'Годовая отчетность'!R233</f>
        <v>0</v>
      </c>
      <c s="125">
        <f>'Годовая отчетность'!S233</f>
        <v>0</v>
      </c>
      <c s="125">
        <f>'Годовая отчетность'!T233</f>
        <v>0</v>
      </c>
    </row>
    <row r="366" spans="2:20" ht="15" customHeight="1">
      <c r="B366" s="22" t="s">
        <v>1072</v>
      </c>
      <c s="124" t="str">
        <f>Единица_измерения</f>
        <v>тыс. руб.</v>
      </c>
      <c s="125"/>
      <c s="125">
        <f>'Годовая отчетность'!E234</f>
        <v>0</v>
      </c>
      <c s="125">
        <f>'Годовая отчетность'!F234</f>
        <v>0</v>
      </c>
      <c s="125">
        <f>'Годовая отчетность'!G234</f>
        <v>0</v>
      </c>
      <c s="125">
        <f>'Годовая отчетность'!H234</f>
        <v>0</v>
      </c>
      <c s="125">
        <f>'Годовая отчетность'!I234</f>
        <v>0</v>
      </c>
      <c s="125">
        <f>'Годовая отчетность'!J234</f>
        <v>0</v>
      </c>
      <c s="125">
        <f>'Годовая отчетность'!K234</f>
        <v>0</v>
      </c>
      <c s="125">
        <f>'Годовая отчетность'!L234</f>
        <v>0</v>
      </c>
      <c s="125">
        <f>'Годовая отчетность'!M234</f>
        <v>0</v>
      </c>
      <c s="125">
        <f>'Годовая отчетность'!N234</f>
        <v>0</v>
      </c>
      <c s="125">
        <f>'Годовая отчетность'!O234</f>
        <v>0</v>
      </c>
      <c s="125">
        <f>'Годовая отчетность'!P234</f>
        <v>0</v>
      </c>
      <c s="125">
        <f>'Годовая отчетность'!Q234</f>
        <v>0</v>
      </c>
      <c s="125">
        <f>'Годовая отчетность'!R234</f>
        <v>0</v>
      </c>
      <c s="125">
        <f>'Годовая отчетность'!S234</f>
        <v>0</v>
      </c>
      <c s="125">
        <f>'Годовая отчетность'!T234</f>
        <v>0</v>
      </c>
    </row>
    <row r="367" spans="2:20" ht="15" customHeight="1">
      <c r="B367" s="289" t="s">
        <v>1073</v>
      </c>
      <c s="290" t="str">
        <f>Единица_измерения</f>
        <v>тыс. руб.</v>
      </c>
      <c s="276"/>
      <c s="276">
        <f t="shared" si="166" ref="E367">SUM(E363:E366)</f>
        <v>0</v>
      </c>
      <c s="276">
        <f t="shared" si="167" ref="F367:L367">SUM(F363:F366)</f>
        <v>0</v>
      </c>
      <c s="276">
        <f t="shared" si="167"/>
        <v>0</v>
      </c>
      <c s="276">
        <f t="shared" si="167"/>
        <v>0</v>
      </c>
      <c s="276">
        <f t="shared" si="167"/>
        <v>0</v>
      </c>
      <c s="276">
        <f t="shared" si="167"/>
        <v>0</v>
      </c>
      <c s="276">
        <f t="shared" si="167"/>
        <v>0</v>
      </c>
      <c s="276">
        <f t="shared" si="167"/>
        <v>0</v>
      </c>
      <c s="276">
        <f t="shared" si="168" ref="M367:T367">SUM(M363:M366)</f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  <c s="276">
        <f t="shared" si="168"/>
        <v>0</v>
      </c>
    </row>
    <row r="368" ht="15" customHeight="1"/>
    <row r="369" spans="2:26" ht="21">
      <c r="B369" s="24" t="s">
        <v>1074</v>
      </c>
      <c r="D36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70" spans="2:20" ht="15" customHeight="1">
      <c r="B370" s="12" t="s">
        <v>1012</v>
      </c>
      <c s="124" t="str">
        <f t="shared" si="169" ref="C370:C375">Единица_измерения</f>
        <v>тыс. руб.</v>
      </c>
      <c s="125"/>
      <c s="125">
        <f>'Годовая отчетность'!E238</f>
        <v>0</v>
      </c>
      <c s="125">
        <f>'Годовая отчетность'!F238</f>
        <v>0</v>
      </c>
      <c s="125">
        <f>'Годовая отчетность'!G238</f>
        <v>0</v>
      </c>
      <c s="125">
        <f>'Годовая отчетность'!H238</f>
        <v>0</v>
      </c>
      <c s="125">
        <f>'Годовая отчетность'!I238</f>
        <v>0</v>
      </c>
      <c s="125">
        <f>'Годовая отчетность'!J238</f>
        <v>0</v>
      </c>
      <c s="125">
        <f>'Годовая отчетность'!K238</f>
        <v>0</v>
      </c>
      <c s="125">
        <f>'Годовая отчетность'!L238</f>
        <v>0</v>
      </c>
      <c s="125">
        <f>'Годовая отчетность'!M238</f>
        <v>0</v>
      </c>
      <c s="125">
        <f>'Годовая отчетность'!N238</f>
        <v>0</v>
      </c>
      <c s="125">
        <f>'Годовая отчетность'!O238</f>
        <v>0</v>
      </c>
      <c s="125">
        <f>'Годовая отчетность'!P238</f>
        <v>0</v>
      </c>
      <c s="125">
        <f>'Годовая отчетность'!Q238</f>
        <v>0</v>
      </c>
      <c s="125">
        <f>'Годовая отчетность'!R238</f>
        <v>0</v>
      </c>
      <c s="125">
        <f>'Годовая отчетность'!S238</f>
        <v>0</v>
      </c>
      <c s="125">
        <f>'Годовая отчетность'!T238</f>
        <v>0</v>
      </c>
    </row>
    <row r="371" spans="2:20" ht="15" customHeight="1">
      <c r="B371" s="22" t="s">
        <v>313</v>
      </c>
      <c s="124" t="str">
        <f t="shared" si="169"/>
        <v>тыс. руб.</v>
      </c>
      <c s="125"/>
      <c s="125">
        <f ca="1">SUM('Годовая отчетность'!E100,'Годовая отчетность'!E239)</f>
        <v>0</v>
      </c>
      <c s="125">
        <f ca="1">SUM('Годовая отчетность'!F100,'Годовая отчетность'!F239)</f>
        <v>0</v>
      </c>
      <c s="125">
        <f ca="1">SUM('Годовая отчетность'!G100,'Годовая отчетность'!G239)</f>
        <v>0</v>
      </c>
      <c s="125">
        <f ca="1">SUM('Годовая отчетность'!H100,'Годовая отчетность'!H239)</f>
        <v>0</v>
      </c>
      <c s="125">
        <f ca="1">SUM('Годовая отчетность'!I100,'Годовая отчетность'!I239)</f>
        <v>0</v>
      </c>
      <c s="125">
        <f ca="1">SUM('Годовая отчетность'!J100,'Годовая отчетность'!J239)</f>
        <v>0</v>
      </c>
      <c s="125">
        <f ca="1">SUM('Годовая отчетность'!K100,'Годовая отчетность'!K239)</f>
        <v>0</v>
      </c>
      <c s="125">
        <f ca="1">SUM('Годовая отчетность'!L100,'Годовая отчетность'!L239)</f>
        <v>0</v>
      </c>
      <c s="125">
        <f ca="1">SUM('Годовая отчетность'!M100,'Годовая отчетность'!M239)</f>
        <v>0</v>
      </c>
      <c s="125">
        <f ca="1">SUM('Годовая отчетность'!N100,'Годовая отчетность'!N239)</f>
        <v>0</v>
      </c>
      <c s="125">
        <f ca="1">SUM('Годовая отчетность'!O100,'Годовая отчетность'!O239)</f>
        <v>0</v>
      </c>
      <c s="125">
        <f ca="1">SUM('Годовая отчетность'!P100,'Годовая отчетность'!P239)</f>
        <v>0</v>
      </c>
      <c s="125">
        <f ca="1">SUM('Годовая отчетность'!Q100,'Годовая отчетность'!Q239)</f>
        <v>0</v>
      </c>
      <c s="125">
        <f ca="1">SUM('Годовая отчетность'!R100,'Годовая отчетность'!R239)</f>
        <v>0</v>
      </c>
      <c s="125">
        <f ca="1">SUM('Годовая отчетность'!S100,'Годовая отчетность'!S239)</f>
        <v>0</v>
      </c>
      <c s="125">
        <f ca="1">SUM('Годовая отчетность'!T100,'Годовая отчетность'!T239)</f>
        <v>0</v>
      </c>
    </row>
    <row r="372" spans="2:20" ht="15" customHeight="1">
      <c r="B372" s="22" t="s">
        <v>1075</v>
      </c>
      <c s="124" t="str">
        <f t="shared" si="169"/>
        <v>тыс. руб.</v>
      </c>
      <c s="125"/>
      <c s="125">
        <f>'Годовая отчетность'!E240</f>
        <v>0</v>
      </c>
      <c s="125">
        <f>'Годовая отчетность'!F240</f>
        <v>0</v>
      </c>
      <c s="125">
        <f>'Годовая отчетность'!G240</f>
        <v>0</v>
      </c>
      <c s="125">
        <f>'Годовая отчетность'!H240</f>
        <v>0</v>
      </c>
      <c s="125">
        <f>'Годовая отчетность'!I240</f>
        <v>0</v>
      </c>
      <c s="125">
        <f>'Годовая отчетность'!J240</f>
        <v>0</v>
      </c>
      <c s="125">
        <f>'Годовая отчетность'!K240</f>
        <v>0</v>
      </c>
      <c s="125">
        <f>'Годовая отчетность'!L240</f>
        <v>0</v>
      </c>
      <c s="125">
        <f>'Годовая отчетность'!M240</f>
        <v>0</v>
      </c>
      <c s="125">
        <f>'Годовая отчетность'!N240</f>
        <v>0</v>
      </c>
      <c s="125">
        <f>'Годовая отчетность'!O240</f>
        <v>0</v>
      </c>
      <c s="125">
        <f>'Годовая отчетность'!P240</f>
        <v>0</v>
      </c>
      <c s="125">
        <f>'Годовая отчетность'!Q240</f>
        <v>0</v>
      </c>
      <c s="125">
        <f>'Годовая отчетность'!R240</f>
        <v>0</v>
      </c>
      <c s="125">
        <f>'Годовая отчетность'!S240</f>
        <v>0</v>
      </c>
      <c s="125">
        <f>'Годовая отчетность'!T240</f>
        <v>0</v>
      </c>
    </row>
    <row r="373" spans="2:20" ht="15" customHeight="1">
      <c r="B373" s="22" t="s">
        <v>1071</v>
      </c>
      <c s="124" t="str">
        <f t="shared" si="169"/>
        <v>тыс. руб.</v>
      </c>
      <c s="125"/>
      <c s="125">
        <f>'Годовая отчетность'!E241</f>
        <v>0</v>
      </c>
      <c s="125">
        <f>'Годовая отчетность'!F241</f>
        <v>0</v>
      </c>
      <c s="125">
        <f>'Годовая отчетность'!G241</f>
        <v>0</v>
      </c>
      <c s="125">
        <f>'Годовая отчетность'!H241</f>
        <v>0</v>
      </c>
      <c s="125">
        <f>'Годовая отчетность'!I241</f>
        <v>0</v>
      </c>
      <c s="125">
        <f>'Годовая отчетность'!J241</f>
        <v>0</v>
      </c>
      <c s="125">
        <f>'Годовая отчетность'!K241</f>
        <v>0</v>
      </c>
      <c s="125">
        <f>'Годовая отчетность'!L241</f>
        <v>0</v>
      </c>
      <c s="125">
        <f>'Годовая отчетность'!M241</f>
        <v>0</v>
      </c>
      <c s="125">
        <f>'Годовая отчетность'!N241</f>
        <v>0</v>
      </c>
      <c s="125">
        <f>'Годовая отчетность'!O241</f>
        <v>0</v>
      </c>
      <c s="125">
        <f>'Годовая отчетность'!P241</f>
        <v>0</v>
      </c>
      <c s="125">
        <f>'Годовая отчетность'!Q241</f>
        <v>0</v>
      </c>
      <c s="125">
        <f>'Годовая отчетность'!R241</f>
        <v>0</v>
      </c>
      <c s="125">
        <f>'Годовая отчетность'!S241</f>
        <v>0</v>
      </c>
      <c s="125">
        <f>'Годовая отчетность'!T241</f>
        <v>0</v>
      </c>
    </row>
    <row r="374" spans="2:20" ht="15" customHeight="1">
      <c r="B374" s="22" t="s">
        <v>1072</v>
      </c>
      <c s="124" t="str">
        <f t="shared" si="169"/>
        <v>тыс. руб.</v>
      </c>
      <c s="125"/>
      <c s="125">
        <f>'Годовая отчетность'!E242</f>
        <v>0</v>
      </c>
      <c s="125">
        <f>'Годовая отчетность'!F242</f>
        <v>0</v>
      </c>
      <c s="125">
        <f>'Годовая отчетность'!G242</f>
        <v>0</v>
      </c>
      <c s="125">
        <f>'Годовая отчетность'!H242</f>
        <v>0</v>
      </c>
      <c s="125">
        <f>'Годовая отчетность'!I242</f>
        <v>0</v>
      </c>
      <c s="125">
        <f>'Годовая отчетность'!J242</f>
        <v>0</v>
      </c>
      <c s="125">
        <f>'Годовая отчетность'!K242</f>
        <v>0</v>
      </c>
      <c s="125">
        <f>'Годовая отчетность'!L242</f>
        <v>0</v>
      </c>
      <c s="125">
        <f>'Годовая отчетность'!M242</f>
        <v>0</v>
      </c>
      <c s="125">
        <f>'Годовая отчетность'!N242</f>
        <v>0</v>
      </c>
      <c s="125">
        <f>'Годовая отчетность'!O242</f>
        <v>0</v>
      </c>
      <c s="125">
        <f>'Годовая отчетность'!P242</f>
        <v>0</v>
      </c>
      <c s="125">
        <f>'Годовая отчетность'!Q242</f>
        <v>0</v>
      </c>
      <c s="125">
        <f>'Годовая отчетность'!R242</f>
        <v>0</v>
      </c>
      <c s="125">
        <f>'Годовая отчетность'!S242</f>
        <v>0</v>
      </c>
      <c s="125">
        <f>'Годовая отчетность'!T242</f>
        <v>0</v>
      </c>
    </row>
    <row r="375" spans="2:20" ht="15" customHeight="1">
      <c r="B375" s="289" t="s">
        <v>1076</v>
      </c>
      <c s="290" t="str">
        <f t="shared" si="169"/>
        <v>тыс. руб.</v>
      </c>
      <c s="276"/>
      <c s="276">
        <f ca="1" t="shared" si="170" ref="E375">SUM(E370:E374)</f>
        <v>0</v>
      </c>
      <c s="276">
        <f ca="1" t="shared" si="171" ref="F375:L375">SUM(F370:F374)</f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t="shared" ca="1" si="171"/>
        <v>0</v>
      </c>
      <c s="276">
        <f ca="1" t="shared" si="172" ref="M375:T375">SUM(M370:M374)</f>
        <v>0</v>
      </c>
      <c s="276">
        <f t="shared" ca="1" si="172"/>
        <v>0</v>
      </c>
      <c s="276">
        <f t="shared" ca="1" si="172"/>
        <v>0</v>
      </c>
      <c s="276">
        <f t="shared" ca="1" si="172"/>
        <v>0</v>
      </c>
      <c s="276">
        <f t="shared" ca="1" si="172"/>
        <v>0</v>
      </c>
      <c s="276">
        <f t="shared" ca="1" si="172"/>
        <v>0</v>
      </c>
      <c s="276">
        <f t="shared" ca="1" si="172"/>
        <v>0</v>
      </c>
      <c s="276">
        <f t="shared" ca="1" si="172"/>
        <v>0</v>
      </c>
    </row>
    <row r="376" ht="15" customHeight="1"/>
    <row r="377" spans="2:20" ht="15" customHeight="1">
      <c r="B377" s="292" t="s">
        <v>1014</v>
      </c>
      <c s="293" t="str">
        <f>Единица_измерения</f>
        <v>тыс. руб.</v>
      </c>
      <c s="291"/>
      <c s="291">
        <f ca="1" t="shared" si="173" ref="E377">SUM(E360,E367,E375)</f>
        <v>0</v>
      </c>
      <c s="291">
        <f ca="1" t="shared" si="174" ref="F377:T377">SUM(F360,F367,F375)</f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  <c s="291">
        <f t="shared" ca="1" si="174"/>
        <v>0</v>
      </c>
    </row>
    <row r="378" ht="15" customHeight="1"/>
    <row r="379" spans="2:20" ht="15" customHeight="1">
      <c r="B379" s="12" t="s">
        <v>1015</v>
      </c>
      <c s="124"/>
      <c s="125"/>
      <c s="125">
        <f ca="1">ROUND(E351-E377,1)</f>
        <v>0</v>
      </c>
      <c s="125">
        <f ca="1" t="shared" si="175" ref="F379:T379">ROUND(F351-F377,1)</f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  <c s="125">
        <f t="shared" ca="1" si="175"/>
        <v>0</v>
      </c>
    </row>
    <row r="380" ht="15" customHeight="1"/>
    <row r="381" spans="2:20" ht="15" customHeight="1">
      <c r="B381" s="12" t="s">
        <v>1081</v>
      </c>
      <c s="47" t="str">
        <f ca="1">IFERROR(IF(COUNTIF(E379:T379,"&lt;&gt;0")&gt;0,"Q","R"),"Q")</f>
        <v>R</v>
      </c>
      <c r="F381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382" ht="15" customHeight="1"/>
  </sheetData>
  <sheetProtection algorithmName="SHA-512" hashValue="DB0N+Rnl68YomI1QJp/kO6oQ8JHI85oDtP6hpbA73zJOiXkddDq1ugGjd//uGgIrOCvBD0Tlhj2zba8jwBcsKw==" saltValue="Zn6jsfgde4OhfMUI88YK0A==" spinCount="100000" sheet="1" objects="1" scenarios="1"/>
  <mergeCells count="5">
    <mergeCell ref="B6:B8"/>
    <mergeCell ref="C6:C8"/>
    <mergeCell ref="D6:D8"/>
    <mergeCell ref="E2:H2"/>
    <mergeCell ref="E4:G4"/>
  </mergeCells>
  <conditionalFormatting sqref="C76">
    <cfRule type="cellIs" priority="15" dxfId="24" operator="equal">
      <formula>"Q"</formula>
    </cfRule>
    <cfRule type="cellIs" priority="16" dxfId="23" operator="equal">
      <formula>"R"</formula>
    </cfRule>
  </conditionalFormatting>
  <conditionalFormatting sqref="C107">
    <cfRule type="cellIs" priority="13" dxfId="24" operator="equal">
      <formula>"Q"</formula>
    </cfRule>
    <cfRule type="cellIs" priority="14" dxfId="23" operator="equal">
      <formula>"R"</formula>
    </cfRule>
  </conditionalFormatting>
  <conditionalFormatting sqref="C194">
    <cfRule type="cellIs" priority="11" dxfId="24" operator="equal">
      <formula>"Q"</formula>
    </cfRule>
    <cfRule type="cellIs" priority="12" dxfId="23" operator="equal">
      <formula>"R"</formula>
    </cfRule>
  </conditionalFormatting>
  <conditionalFormatting sqref="C249">
    <cfRule type="cellIs" priority="9" dxfId="24" operator="equal">
      <formula>"Q"</formula>
    </cfRule>
    <cfRule type="cellIs" priority="10" dxfId="23" operator="equal">
      <formula>"R"</formula>
    </cfRule>
  </conditionalFormatting>
  <conditionalFormatting sqref="C327">
    <cfRule type="cellIs" priority="5" dxfId="24" operator="equal">
      <formula>"Q"</formula>
    </cfRule>
    <cfRule type="cellIs" priority="6" dxfId="23" operator="equal">
      <formula>"R"</formula>
    </cfRule>
  </conditionalFormatting>
  <conditionalFormatting sqref="C381">
    <cfRule type="cellIs" priority="7" dxfId="24" operator="equal">
      <formula>"Q"</formula>
    </cfRule>
    <cfRule type="cellIs" priority="8" dxfId="23" operator="equal">
      <formula>"R"</formula>
    </cfRule>
  </conditionalFormatting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36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7">
    <tabColor rgb="FFC8E6E5"/>
    <pageSetUpPr fitToPage="1"/>
  </sheetPr>
  <dimension ref="B2:BM303"/>
  <sheetViews>
    <sheetView showGridLines="0" workbookViewId="0" topLeftCell="A1">
      <pane ySplit="12" topLeftCell="A31" activePane="bottomLeft" state="frozen"/>
      <selection pane="topLeft" activeCell="K3" sqref="K3"/>
      <selection pane="bottomLeft" activeCell="I2" sqref="I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3" width="17.2857142857143" customWidth="1"/>
    <col min="4" max="4" width="24.4285714285714" customWidth="1"/>
    <col min="5" max="65" width="17.2857142857143" customWidth="1"/>
    <col min="66" max="66" width="2.85714285714286" customWidth="1"/>
    <col min="67" max="71" width="15.7142857142857" hidden="1" customWidth="1"/>
    <col min="72" max="72" width="2.85714285714286" hidden="1" customWidth="1"/>
    <col min="73" max="83" width="0" hidden="1" customWidth="1"/>
    <col min="84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65" ht="31.15">
      <c r="B5" s="7" t="s">
        <v>21</v>
      </c>
      <c r="D5" s="44"/>
      <c s="45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65" ht="15" customHeight="1">
      <c r="B6" s="605" t="s">
        <v>91</v>
      </c>
      <c s="605" t="s">
        <v>482</v>
      </c>
      <c s="348">
        <v>0</v>
      </c>
      <c s="256">
        <f>SUM(D6,1)</f>
        <v>1</v>
      </c>
      <c s="256">
        <f t="shared" si="0" ref="F6:AG6">SUM(E6,1)</f>
        <v>2</v>
      </c>
      <c s="256">
        <f t="shared" si="0"/>
        <v>3</v>
      </c>
      <c s="256">
        <f t="shared" si="0"/>
        <v>4</v>
      </c>
      <c s="256">
        <f t="shared" si="0"/>
        <v>5</v>
      </c>
      <c s="256">
        <f t="shared" si="0"/>
        <v>6</v>
      </c>
      <c s="256">
        <f t="shared" si="0"/>
        <v>7</v>
      </c>
      <c s="256">
        <f t="shared" si="0"/>
        <v>8</v>
      </c>
      <c s="256">
        <f t="shared" si="0"/>
        <v>9</v>
      </c>
      <c s="256">
        <f t="shared" si="0"/>
        <v>10</v>
      </c>
      <c s="256">
        <f t="shared" si="0"/>
        <v>11</v>
      </c>
      <c s="256">
        <f t="shared" si="0"/>
        <v>12</v>
      </c>
      <c s="256">
        <f t="shared" si="0"/>
        <v>13</v>
      </c>
      <c s="256">
        <f t="shared" si="0"/>
        <v>14</v>
      </c>
      <c s="256">
        <f t="shared" si="0"/>
        <v>15</v>
      </c>
      <c s="256">
        <f t="shared" si="0"/>
        <v>16</v>
      </c>
      <c s="256">
        <f t="shared" si="0"/>
        <v>17</v>
      </c>
      <c s="256">
        <f t="shared" si="0"/>
        <v>18</v>
      </c>
      <c s="256">
        <f t="shared" si="0"/>
        <v>19</v>
      </c>
      <c s="256">
        <f t="shared" si="0"/>
        <v>20</v>
      </c>
      <c s="256">
        <f t="shared" si="0"/>
        <v>21</v>
      </c>
      <c s="256">
        <f t="shared" si="0"/>
        <v>22</v>
      </c>
      <c s="256">
        <f t="shared" si="0"/>
        <v>23</v>
      </c>
      <c s="256">
        <f t="shared" si="0"/>
        <v>24</v>
      </c>
      <c s="256">
        <f t="shared" si="0"/>
        <v>25</v>
      </c>
      <c s="256">
        <f t="shared" si="0"/>
        <v>26</v>
      </c>
      <c s="256">
        <f t="shared" si="0"/>
        <v>27</v>
      </c>
      <c s="256">
        <f t="shared" si="0"/>
        <v>28</v>
      </c>
      <c s="256">
        <f t="shared" si="0"/>
        <v>29</v>
      </c>
      <c s="256">
        <f t="shared" si="1" ref="AH6">SUM(AG6,1)</f>
        <v>30</v>
      </c>
      <c s="256">
        <f t="shared" si="2" ref="AI6">SUM(AH6,1)</f>
        <v>31</v>
      </c>
      <c s="256">
        <f t="shared" si="3" ref="AJ6">SUM(AI6,1)</f>
        <v>32</v>
      </c>
      <c s="256">
        <f t="shared" si="4" ref="AK6">SUM(AJ6,1)</f>
        <v>33</v>
      </c>
      <c s="256">
        <f t="shared" si="5" ref="AL6">SUM(AK6,1)</f>
        <v>34</v>
      </c>
      <c s="256">
        <f t="shared" si="6" ref="AM6">SUM(AL6,1)</f>
        <v>35</v>
      </c>
      <c s="256">
        <f t="shared" si="7" ref="AN6">SUM(AM6,1)</f>
        <v>36</v>
      </c>
      <c s="256">
        <f t="shared" si="8" ref="AO6">SUM(AN6,1)</f>
        <v>37</v>
      </c>
      <c s="256">
        <f t="shared" si="9" ref="AP6">SUM(AO6,1)</f>
        <v>38</v>
      </c>
      <c s="256">
        <f t="shared" si="10" ref="AQ6">SUM(AP6,1)</f>
        <v>39</v>
      </c>
      <c s="256">
        <f t="shared" si="11" ref="AR6">SUM(AQ6,1)</f>
        <v>40</v>
      </c>
      <c s="256">
        <f t="shared" si="12" ref="AS6">SUM(AR6,1)</f>
        <v>41</v>
      </c>
      <c s="256">
        <f t="shared" si="13" ref="AT6">SUM(AS6,1)</f>
        <v>42</v>
      </c>
      <c s="256">
        <f t="shared" si="14" ref="AU6">SUM(AT6,1)</f>
        <v>43</v>
      </c>
      <c s="256">
        <f t="shared" si="15" ref="AV6">SUM(AU6,1)</f>
        <v>44</v>
      </c>
      <c s="256">
        <f t="shared" si="16" ref="AW6">SUM(AV6,1)</f>
        <v>45</v>
      </c>
      <c s="256">
        <f t="shared" si="17" ref="AX6">SUM(AW6,1)</f>
        <v>46</v>
      </c>
      <c s="256">
        <f t="shared" si="18" ref="AY6">SUM(AX6,1)</f>
        <v>47</v>
      </c>
      <c s="256">
        <f t="shared" si="19" ref="AZ6">SUM(AY6,1)</f>
        <v>48</v>
      </c>
      <c s="256">
        <f t="shared" si="20" ref="BA6">SUM(AZ6,1)</f>
        <v>49</v>
      </c>
      <c s="256">
        <f t="shared" si="21" ref="BB6">SUM(BA6,1)</f>
        <v>50</v>
      </c>
      <c s="256">
        <f t="shared" si="22" ref="BC6">SUM(BB6,1)</f>
        <v>51</v>
      </c>
      <c s="256">
        <f t="shared" si="23" ref="BD6">SUM(BC6,1)</f>
        <v>52</v>
      </c>
      <c s="256">
        <f t="shared" si="24" ref="BE6">SUM(BD6,1)</f>
        <v>53</v>
      </c>
      <c s="256">
        <f t="shared" si="25" ref="BF6">SUM(BE6,1)</f>
        <v>54</v>
      </c>
      <c s="256">
        <f t="shared" si="26" ref="BG6">SUM(BF6,1)</f>
        <v>55</v>
      </c>
      <c s="256">
        <f t="shared" si="27" ref="BH6">SUM(BG6,1)</f>
        <v>56</v>
      </c>
      <c s="256">
        <f t="shared" si="28" ref="BI6">SUM(BH6,1)</f>
        <v>57</v>
      </c>
      <c s="256">
        <f t="shared" si="29" ref="BJ6">SUM(BI6,1)</f>
        <v>58</v>
      </c>
      <c s="256">
        <f t="shared" si="30" ref="BK6">SUM(BJ6,1)</f>
        <v>59</v>
      </c>
      <c s="256">
        <f t="shared" si="31" ref="BL6">SUM(BK6,1)</f>
        <v>60</v>
      </c>
      <c s="256">
        <f t="shared" si="32" ref="BM6">SUM(BL6,1)</f>
        <v>61</v>
      </c>
    </row>
    <row r="7" spans="2:65" ht="15" customHeight="1">
      <c r="B7" s="606"/>
      <c s="606"/>
      <c s="257"/>
      <c s="258">
        <f>'Капитальные вложения'!E7</f>
        <v>45658</v>
      </c>
      <c s="258">
        <f>'Капитальные вложения'!F7</f>
        <v>45748</v>
      </c>
      <c s="258">
        <f>'Капитальные вложения'!G7</f>
        <v>45839</v>
      </c>
      <c s="258">
        <f>'Капитальные вложения'!H7</f>
        <v>45931</v>
      </c>
      <c s="258">
        <f>'Капитальные вложения'!I7</f>
        <v>46023</v>
      </c>
      <c s="258">
        <f>'Капитальные вложения'!J7</f>
        <v>46113</v>
      </c>
      <c s="258">
        <f>'Капитальные вложения'!K7</f>
        <v>46204</v>
      </c>
      <c s="258">
        <f>'Капитальные вложения'!L7</f>
        <v>46296</v>
      </c>
      <c s="258">
        <f>'Капитальные вложения'!M7</f>
        <v>46388</v>
      </c>
      <c s="258">
        <f>'Капитальные вложения'!N7</f>
        <v>46478</v>
      </c>
      <c s="258">
        <f>'Капитальные вложения'!O7</f>
        <v>46569</v>
      </c>
      <c s="258">
        <f>'Капитальные вложения'!P7</f>
        <v>46661</v>
      </c>
      <c s="258">
        <f>'Капитальные вложения'!Q7</f>
        <v>46753</v>
      </c>
      <c s="258">
        <f>'Капитальные вложения'!R7</f>
        <v>46844</v>
      </c>
      <c s="258">
        <f>'Капитальные вложения'!S7</f>
        <v>46935</v>
      </c>
      <c s="258">
        <f>'Капитальные вложения'!T7</f>
        <v>47027</v>
      </c>
      <c s="258">
        <f>'Капитальные вложения'!U7</f>
        <v>47119</v>
      </c>
      <c s="258">
        <f>'Капитальные вложения'!V7</f>
        <v>47209</v>
      </c>
      <c s="258">
        <f>'Капитальные вложения'!W7</f>
        <v>47300</v>
      </c>
      <c s="258">
        <f>'Капитальные вложения'!X7</f>
        <v>47392</v>
      </c>
      <c s="258">
        <f>'Капитальные вложения'!Y7</f>
        <v>47484</v>
      </c>
      <c s="258">
        <f>'Капитальные вложения'!Z7</f>
        <v>47574</v>
      </c>
      <c s="258">
        <f>'Капитальные вложения'!AA7</f>
        <v>47665</v>
      </c>
      <c s="258">
        <f>'Капитальные вложения'!AB7</f>
        <v>47757</v>
      </c>
      <c s="258">
        <f>'Капитальные вложения'!AC7</f>
        <v>47849</v>
      </c>
      <c s="258">
        <f>'Капитальные вложения'!AD7</f>
        <v>47939</v>
      </c>
      <c s="258">
        <f>'Капитальные вложения'!AE7</f>
        <v>48030</v>
      </c>
      <c s="258">
        <f>'Капитальные вложения'!AF7</f>
        <v>48122</v>
      </c>
      <c s="258">
        <f>'Капитальные вложения'!AG7</f>
        <v>48214</v>
      </c>
      <c s="258">
        <f>'Капитальные вложения'!AH7</f>
        <v>48305</v>
      </c>
      <c s="258">
        <f>'Капитальные вложения'!AI7</f>
        <v>48396</v>
      </c>
      <c s="258">
        <f>'Капитальные вложения'!AJ7</f>
        <v>48488</v>
      </c>
      <c s="258">
        <f>'Капитальные вложения'!AK7</f>
        <v>48580</v>
      </c>
      <c s="258">
        <f>'Капитальные вложения'!AL7</f>
        <v>48670</v>
      </c>
      <c s="258">
        <f>'Капитальные вложения'!AM7</f>
        <v>48761</v>
      </c>
      <c s="258">
        <f>'Капитальные вложения'!AN7</f>
        <v>48853</v>
      </c>
      <c s="258">
        <f>'Капитальные вложения'!AO7</f>
        <v>48945</v>
      </c>
      <c s="258">
        <f>'Капитальные вложения'!AP7</f>
        <v>49035</v>
      </c>
      <c s="258">
        <f>'Капитальные вложения'!AQ7</f>
        <v>49126</v>
      </c>
      <c s="258">
        <f>'Капитальные вложения'!AR7</f>
        <v>49218</v>
      </c>
      <c s="258">
        <f>'Капитальные вложения'!AS7</f>
        <v>49310</v>
      </c>
      <c s="258">
        <f>'Капитальные вложения'!AT7</f>
        <v>49400</v>
      </c>
      <c s="258">
        <f>'Капитальные вложения'!AU7</f>
        <v>49491</v>
      </c>
      <c s="258">
        <f>'Капитальные вложения'!AV7</f>
        <v>49583</v>
      </c>
      <c s="258">
        <f>'Капитальные вложения'!AW7</f>
        <v>49675</v>
      </c>
      <c s="258">
        <f>'Капитальные вложения'!AX7</f>
        <v>49766</v>
      </c>
      <c s="258">
        <f>'Капитальные вложения'!AY7</f>
        <v>49857</v>
      </c>
      <c s="258">
        <f>'Капитальные вложения'!AZ7</f>
        <v>49949</v>
      </c>
      <c s="258">
        <f>'Капитальные вложения'!BA7</f>
        <v>50041</v>
      </c>
      <c s="258">
        <f>'Капитальные вложения'!BB7</f>
        <v>50131</v>
      </c>
      <c s="258">
        <f>'Капитальные вложения'!BC7</f>
        <v>50222</v>
      </c>
      <c s="258">
        <f>'Капитальные вложения'!BD7</f>
        <v>50314</v>
      </c>
      <c s="258">
        <f>'Капитальные вложения'!BE7</f>
        <v>50406</v>
      </c>
      <c s="258">
        <f>'Капитальные вложения'!BF7</f>
        <v>50496</v>
      </c>
      <c s="258">
        <f>'Капитальные вложения'!BG7</f>
        <v>50587</v>
      </c>
      <c s="258">
        <f>'Капитальные вложения'!BH7</f>
        <v>50679</v>
      </c>
      <c s="258">
        <f>'Капитальные вложения'!BI7</f>
        <v>50771</v>
      </c>
      <c s="258">
        <f>'Капитальные вложения'!BJ7</f>
        <v>50861</v>
      </c>
      <c s="258">
        <f>'Капитальные вложения'!BK7</f>
        <v>50952</v>
      </c>
      <c s="258">
        <f>'Капитальные вложения'!BL7</f>
        <v>51044</v>
      </c>
      <c s="258">
        <f>'Капитальные вложения'!BM7</f>
        <v>51136</v>
      </c>
    </row>
    <row r="8" spans="2:65" ht="15" customHeight="1">
      <c r="B8" s="607"/>
      <c s="607"/>
      <c s="421">
        <f>E7-1</f>
        <v>45657</v>
      </c>
      <c s="258">
        <f>'Капитальные вложения'!E8</f>
        <v>45747</v>
      </c>
      <c s="258">
        <f>'Капитальные вложения'!F8</f>
        <v>45838</v>
      </c>
      <c s="258">
        <f>'Капитальные вложения'!G8</f>
        <v>45930</v>
      </c>
      <c s="258">
        <f>'Капитальные вложения'!H8</f>
        <v>46022</v>
      </c>
      <c s="258">
        <f>'Капитальные вложения'!I8</f>
        <v>46112</v>
      </c>
      <c s="258">
        <f>'Капитальные вложения'!J8</f>
        <v>46203</v>
      </c>
      <c s="258">
        <f>'Капитальные вложения'!K8</f>
        <v>46295</v>
      </c>
      <c s="258">
        <f>'Капитальные вложения'!L8</f>
        <v>46387</v>
      </c>
      <c s="258">
        <f>'Капитальные вложения'!M8</f>
        <v>46477</v>
      </c>
      <c s="258">
        <f>'Капитальные вложения'!N8</f>
        <v>46568</v>
      </c>
      <c s="258">
        <f>'Капитальные вложения'!O8</f>
        <v>46660</v>
      </c>
      <c s="258">
        <f>'Капитальные вложения'!P8</f>
        <v>46752</v>
      </c>
      <c s="258">
        <f>'Капитальные вложения'!Q8</f>
        <v>46843</v>
      </c>
      <c s="258">
        <f>'Капитальные вложения'!R8</f>
        <v>46934</v>
      </c>
      <c s="258">
        <f>'Капитальные вложения'!S8</f>
        <v>47026</v>
      </c>
      <c s="258">
        <f>'Капитальные вложения'!T8</f>
        <v>47118</v>
      </c>
      <c s="258">
        <f>'Капитальные вложения'!U8</f>
        <v>47208</v>
      </c>
      <c s="258">
        <f>'Капитальные вложения'!V8</f>
        <v>47299</v>
      </c>
      <c s="258">
        <f>'Капитальные вложения'!W8</f>
        <v>47391</v>
      </c>
      <c s="258">
        <f>'Капитальные вложения'!X8</f>
        <v>47483</v>
      </c>
      <c s="258">
        <f>'Капитальные вложения'!Y8</f>
        <v>47573</v>
      </c>
      <c s="258">
        <f>'Капитальные вложения'!Z8</f>
        <v>47664</v>
      </c>
      <c s="258">
        <f>'Капитальные вложения'!AA8</f>
        <v>47756</v>
      </c>
      <c s="258">
        <f>'Капитальные вложения'!AB8</f>
        <v>47848</v>
      </c>
      <c s="258">
        <f>'Капитальные вложения'!AC8</f>
        <v>47938</v>
      </c>
      <c s="258">
        <f>'Капитальные вложения'!AD8</f>
        <v>48029</v>
      </c>
      <c s="258">
        <f>'Капитальные вложения'!AE8</f>
        <v>48121</v>
      </c>
      <c s="258">
        <f>'Капитальные вложения'!AF8</f>
        <v>48213</v>
      </c>
      <c s="258">
        <f>'Капитальные вложения'!AG8</f>
        <v>48304</v>
      </c>
      <c s="258">
        <f>'Капитальные вложения'!AH8</f>
        <v>48395</v>
      </c>
      <c s="258">
        <f>'Капитальные вложения'!AI8</f>
        <v>48487</v>
      </c>
      <c s="258">
        <f>'Капитальные вложения'!AJ8</f>
        <v>48579</v>
      </c>
      <c s="258">
        <f>'Капитальные вложения'!AK8</f>
        <v>48669</v>
      </c>
      <c s="258">
        <f>'Капитальные вложения'!AL8</f>
        <v>48760</v>
      </c>
      <c s="258">
        <f>'Капитальные вложения'!AM8</f>
        <v>48852</v>
      </c>
      <c s="258">
        <f>'Капитальные вложения'!AN8</f>
        <v>48944</v>
      </c>
      <c s="258">
        <f>'Капитальные вложения'!AO8</f>
        <v>49034</v>
      </c>
      <c s="258">
        <f>'Капитальные вложения'!AP8</f>
        <v>49125</v>
      </c>
      <c s="258">
        <f>'Капитальные вложения'!AQ8</f>
        <v>49217</v>
      </c>
      <c s="258">
        <f>'Капитальные вложения'!AR8</f>
        <v>49309</v>
      </c>
      <c s="258">
        <f>'Капитальные вложения'!AS8</f>
        <v>49399</v>
      </c>
      <c s="258">
        <f>'Капитальные вложения'!AT8</f>
        <v>49490</v>
      </c>
      <c s="258">
        <f>'Капитальные вложения'!AU8</f>
        <v>49582</v>
      </c>
      <c s="258">
        <f>'Капитальные вложения'!AV8</f>
        <v>49674</v>
      </c>
      <c s="258">
        <f>'Капитальные вложения'!AW8</f>
        <v>49765</v>
      </c>
      <c s="258">
        <f>'Капитальные вложения'!AX8</f>
        <v>49856</v>
      </c>
      <c s="258">
        <f>'Капитальные вложения'!AY8</f>
        <v>49948</v>
      </c>
      <c s="258">
        <f>'Капитальные вложения'!AZ8</f>
        <v>50040</v>
      </c>
      <c s="258">
        <f>'Капитальные вложения'!BA8</f>
        <v>50130</v>
      </c>
      <c s="258">
        <f>'Капитальные вложения'!BB8</f>
        <v>50221</v>
      </c>
      <c s="258">
        <f>'Капитальные вложения'!BC8</f>
        <v>50313</v>
      </c>
      <c s="258">
        <f>'Капитальные вложения'!BD8</f>
        <v>50405</v>
      </c>
      <c s="258">
        <f>'Капитальные вложения'!BE8</f>
        <v>50495</v>
      </c>
      <c s="258">
        <f>'Капитальные вложения'!BF8</f>
        <v>50586</v>
      </c>
      <c s="258">
        <f>'Капитальные вложения'!BG8</f>
        <v>50678</v>
      </c>
      <c s="258">
        <f>'Капитальные вложения'!BH8</f>
        <v>50770</v>
      </c>
      <c s="258">
        <f>'Капитальные вложения'!BI8</f>
        <v>50860</v>
      </c>
      <c s="258">
        <f>'Капитальные вложения'!BJ8</f>
        <v>50951</v>
      </c>
      <c s="258">
        <f>'Капитальные вложения'!BK8</f>
        <v>51043</v>
      </c>
      <c s="258">
        <f>'Капитальные вложения'!BL8</f>
        <v>51135</v>
      </c>
      <c s="258">
        <f>'Капитальные вложения'!BM8</f>
        <v>51226</v>
      </c>
    </row>
    <row r="9" spans="2:65" ht="15" customHeight="1">
      <c r="B9"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  <c s="86"/>
    </row>
    <row r="10" spans="2:65" ht="15" customHeight="1">
      <c r="B10" s="12" t="s">
        <v>843</v>
      </c>
      <c s="124"/>
      <c s="125"/>
      <c s="124">
        <f>YEAR(E8)</f>
        <v>2025</v>
      </c>
      <c s="124">
        <f t="shared" si="33" ref="F10:AG10">YEAR(F8)</f>
        <v>2025</v>
      </c>
      <c s="124">
        <f t="shared" si="33"/>
        <v>2025</v>
      </c>
      <c s="124">
        <f t="shared" si="33"/>
        <v>2025</v>
      </c>
      <c s="124">
        <f t="shared" si="33"/>
        <v>2026</v>
      </c>
      <c s="124">
        <f t="shared" si="33"/>
        <v>2026</v>
      </c>
      <c s="124">
        <f t="shared" si="33"/>
        <v>2026</v>
      </c>
      <c s="124">
        <f t="shared" si="33"/>
        <v>2026</v>
      </c>
      <c s="124">
        <f t="shared" si="33"/>
        <v>2027</v>
      </c>
      <c s="124">
        <f t="shared" si="33"/>
        <v>2027</v>
      </c>
      <c s="124">
        <f t="shared" si="33"/>
        <v>2027</v>
      </c>
      <c s="124">
        <f t="shared" si="33"/>
        <v>2027</v>
      </c>
      <c s="124">
        <f t="shared" si="33"/>
        <v>2028</v>
      </c>
      <c s="124">
        <f t="shared" si="33"/>
        <v>2028</v>
      </c>
      <c s="124">
        <f t="shared" si="33"/>
        <v>2028</v>
      </c>
      <c s="124">
        <f t="shared" si="33"/>
        <v>2028</v>
      </c>
      <c s="124">
        <f t="shared" si="33"/>
        <v>2029</v>
      </c>
      <c s="124">
        <f t="shared" si="33"/>
        <v>2029</v>
      </c>
      <c s="124">
        <f t="shared" si="33"/>
        <v>2029</v>
      </c>
      <c s="124">
        <f t="shared" si="33"/>
        <v>2029</v>
      </c>
      <c s="124">
        <f t="shared" si="33"/>
        <v>2030</v>
      </c>
      <c s="124">
        <f t="shared" si="33"/>
        <v>2030</v>
      </c>
      <c s="124">
        <f t="shared" si="33"/>
        <v>2030</v>
      </c>
      <c s="124">
        <f t="shared" si="33"/>
        <v>2030</v>
      </c>
      <c s="124">
        <f t="shared" si="33"/>
        <v>2031</v>
      </c>
      <c s="124">
        <f t="shared" si="33"/>
        <v>2031</v>
      </c>
      <c s="124">
        <f t="shared" si="33"/>
        <v>2031</v>
      </c>
      <c s="124">
        <f t="shared" si="33"/>
        <v>2031</v>
      </c>
      <c s="124">
        <f t="shared" si="33"/>
        <v>2032</v>
      </c>
      <c s="124">
        <f t="shared" si="34" ref="AH10:BM10">YEAR(AH8)</f>
        <v>2032</v>
      </c>
      <c s="124">
        <f t="shared" si="34"/>
        <v>2032</v>
      </c>
      <c s="124">
        <f t="shared" si="34"/>
        <v>2032</v>
      </c>
      <c s="124">
        <f t="shared" si="34"/>
        <v>2033</v>
      </c>
      <c s="124">
        <f t="shared" si="34"/>
        <v>2033</v>
      </c>
      <c s="124">
        <f t="shared" si="34"/>
        <v>2033</v>
      </c>
      <c s="124">
        <f t="shared" si="34"/>
        <v>2033</v>
      </c>
      <c s="124">
        <f t="shared" si="34"/>
        <v>2034</v>
      </c>
      <c s="124">
        <f t="shared" si="34"/>
        <v>2034</v>
      </c>
      <c s="124">
        <f t="shared" si="34"/>
        <v>2034</v>
      </c>
      <c s="124">
        <f t="shared" si="34"/>
        <v>2034</v>
      </c>
      <c s="124">
        <f t="shared" si="34"/>
        <v>2035</v>
      </c>
      <c s="124">
        <f t="shared" si="34"/>
        <v>2035</v>
      </c>
      <c s="124">
        <f t="shared" si="34"/>
        <v>2035</v>
      </c>
      <c s="124">
        <f t="shared" si="34"/>
        <v>2035</v>
      </c>
      <c s="124">
        <f t="shared" si="34"/>
        <v>2036</v>
      </c>
      <c s="124">
        <f t="shared" si="34"/>
        <v>2036</v>
      </c>
      <c s="124">
        <f t="shared" si="34"/>
        <v>2036</v>
      </c>
      <c s="124">
        <f t="shared" si="34"/>
        <v>2036</v>
      </c>
      <c s="124">
        <f t="shared" si="34"/>
        <v>2037</v>
      </c>
      <c s="124">
        <f t="shared" si="34"/>
        <v>2037</v>
      </c>
      <c s="124">
        <f t="shared" si="34"/>
        <v>2037</v>
      </c>
      <c s="124">
        <f t="shared" si="34"/>
        <v>2037</v>
      </c>
      <c s="124">
        <f t="shared" si="34"/>
        <v>2038</v>
      </c>
      <c s="124">
        <f t="shared" si="34"/>
        <v>2038</v>
      </c>
      <c s="124">
        <f t="shared" si="34"/>
        <v>2038</v>
      </c>
      <c s="124">
        <f t="shared" si="34"/>
        <v>2038</v>
      </c>
      <c s="124">
        <f t="shared" si="34"/>
        <v>2039</v>
      </c>
      <c s="124">
        <f t="shared" si="34"/>
        <v>2039</v>
      </c>
      <c s="124">
        <f t="shared" si="34"/>
        <v>2039</v>
      </c>
      <c s="124">
        <f t="shared" si="34"/>
        <v>2039</v>
      </c>
      <c s="124">
        <f t="shared" si="34"/>
        <v>2040</v>
      </c>
    </row>
    <row r="11" spans="2:65" ht="15" customHeight="1">
      <c r="B11" s="12" t="s">
        <v>815</v>
      </c>
      <c s="124"/>
      <c s="125"/>
      <c s="124" t="str">
        <f t="shared" si="35" ref="E11">ROUNDUP(MONTH(E7)/Месяцев_в_квартале,0)&amp;" кв. "&amp;YEAR(E8)</f>
        <v>1 кв. 2025</v>
      </c>
      <c s="124" t="str">
        <f t="shared" si="36" ref="F11:AG11">ROUNDUP(MONTH(F7)/Месяцев_в_квартале,0)&amp;" кв. "&amp;YEAR(F8)</f>
        <v>2 кв. 2025</v>
      </c>
      <c s="124" t="str">
        <f t="shared" si="36"/>
        <v>3 кв. 2025</v>
      </c>
      <c s="124" t="str">
        <f t="shared" si="36"/>
        <v>4 кв. 2025</v>
      </c>
      <c s="124" t="str">
        <f t="shared" si="36"/>
        <v>1 кв. 2026</v>
      </c>
      <c s="124" t="str">
        <f t="shared" si="36"/>
        <v>2 кв. 2026</v>
      </c>
      <c s="124" t="str">
        <f t="shared" si="36"/>
        <v>3 кв. 2026</v>
      </c>
      <c s="124" t="str">
        <f t="shared" si="36"/>
        <v>4 кв. 2026</v>
      </c>
      <c s="124" t="str">
        <f t="shared" si="36"/>
        <v>1 кв. 2027</v>
      </c>
      <c s="124" t="str">
        <f t="shared" si="36"/>
        <v>2 кв. 2027</v>
      </c>
      <c s="124" t="str">
        <f t="shared" si="36"/>
        <v>3 кв. 2027</v>
      </c>
      <c s="124" t="str">
        <f t="shared" si="36"/>
        <v>4 кв. 2027</v>
      </c>
      <c s="124" t="str">
        <f t="shared" si="36"/>
        <v>1 кв. 2028</v>
      </c>
      <c s="124" t="str">
        <f t="shared" si="36"/>
        <v>2 кв. 2028</v>
      </c>
      <c s="124" t="str">
        <f t="shared" si="36"/>
        <v>3 кв. 2028</v>
      </c>
      <c s="124" t="str">
        <f t="shared" si="36"/>
        <v>4 кв. 2028</v>
      </c>
      <c s="124" t="str">
        <f t="shared" si="36"/>
        <v>1 кв. 2029</v>
      </c>
      <c s="124" t="str">
        <f t="shared" si="36"/>
        <v>2 кв. 2029</v>
      </c>
      <c s="124" t="str">
        <f t="shared" si="36"/>
        <v>3 кв. 2029</v>
      </c>
      <c s="124" t="str">
        <f t="shared" si="36"/>
        <v>4 кв. 2029</v>
      </c>
      <c s="124" t="str">
        <f t="shared" si="36"/>
        <v>1 кв. 2030</v>
      </c>
      <c s="124" t="str">
        <f t="shared" si="36"/>
        <v>2 кв. 2030</v>
      </c>
      <c s="124" t="str">
        <f t="shared" si="36"/>
        <v>3 кв. 2030</v>
      </c>
      <c s="124" t="str">
        <f t="shared" si="36"/>
        <v>4 кв. 2030</v>
      </c>
      <c s="124" t="str">
        <f t="shared" si="36"/>
        <v>1 кв. 2031</v>
      </c>
      <c s="124" t="str">
        <f t="shared" si="36"/>
        <v>2 кв. 2031</v>
      </c>
      <c s="124" t="str">
        <f t="shared" si="36"/>
        <v>3 кв. 2031</v>
      </c>
      <c s="124" t="str">
        <f t="shared" si="36"/>
        <v>4 кв. 2031</v>
      </c>
      <c s="124" t="str">
        <f t="shared" si="36"/>
        <v>1 кв. 2032</v>
      </c>
      <c s="124" t="str">
        <f t="shared" si="37" ref="AH11:BM11">ROUNDUP(MONTH(AH7)/Месяцев_в_квартале,0)&amp;" кв. "&amp;YEAR(AH8)</f>
        <v>2 кв. 2032</v>
      </c>
      <c s="124" t="str">
        <f t="shared" si="37"/>
        <v>3 кв. 2032</v>
      </c>
      <c s="124" t="str">
        <f t="shared" si="37"/>
        <v>4 кв. 2032</v>
      </c>
      <c s="124" t="str">
        <f t="shared" si="37"/>
        <v>1 кв. 2033</v>
      </c>
      <c s="124" t="str">
        <f t="shared" si="37"/>
        <v>2 кв. 2033</v>
      </c>
      <c s="124" t="str">
        <f t="shared" si="37"/>
        <v>3 кв. 2033</v>
      </c>
      <c s="124" t="str">
        <f t="shared" si="37"/>
        <v>4 кв. 2033</v>
      </c>
      <c s="124" t="str">
        <f t="shared" si="37"/>
        <v>1 кв. 2034</v>
      </c>
      <c s="124" t="str">
        <f t="shared" si="37"/>
        <v>2 кв. 2034</v>
      </c>
      <c s="124" t="str">
        <f t="shared" si="37"/>
        <v>3 кв. 2034</v>
      </c>
      <c s="124" t="str">
        <f t="shared" si="37"/>
        <v>4 кв. 2034</v>
      </c>
      <c s="124" t="str">
        <f t="shared" si="37"/>
        <v>1 кв. 2035</v>
      </c>
      <c s="124" t="str">
        <f t="shared" si="37"/>
        <v>2 кв. 2035</v>
      </c>
      <c s="124" t="str">
        <f t="shared" si="37"/>
        <v>3 кв. 2035</v>
      </c>
      <c s="124" t="str">
        <f t="shared" si="37"/>
        <v>4 кв. 2035</v>
      </c>
      <c s="124" t="str">
        <f t="shared" si="37"/>
        <v>1 кв. 2036</v>
      </c>
      <c s="124" t="str">
        <f t="shared" si="37"/>
        <v>2 кв. 2036</v>
      </c>
      <c s="124" t="str">
        <f t="shared" si="37"/>
        <v>3 кв. 2036</v>
      </c>
      <c s="124" t="str">
        <f t="shared" si="37"/>
        <v>4 кв. 2036</v>
      </c>
      <c s="124" t="str">
        <f t="shared" si="37"/>
        <v>1 кв. 2037</v>
      </c>
      <c s="124" t="str">
        <f t="shared" si="37"/>
        <v>2 кв. 2037</v>
      </c>
      <c s="124" t="str">
        <f t="shared" si="37"/>
        <v>3 кв. 2037</v>
      </c>
      <c s="124" t="str">
        <f t="shared" si="37"/>
        <v>4 кв. 2037</v>
      </c>
      <c s="124" t="str">
        <f t="shared" si="37"/>
        <v>1 кв. 2038</v>
      </c>
      <c s="124" t="str">
        <f t="shared" si="37"/>
        <v>2 кв. 2038</v>
      </c>
      <c s="124" t="str">
        <f t="shared" si="37"/>
        <v>3 кв. 2038</v>
      </c>
      <c s="124" t="str">
        <f t="shared" si="37"/>
        <v>4 кв. 2038</v>
      </c>
      <c s="124" t="str">
        <f t="shared" si="37"/>
        <v>1 кв. 2039</v>
      </c>
      <c s="124" t="str">
        <f t="shared" si="37"/>
        <v>2 кв. 2039</v>
      </c>
      <c s="124" t="str">
        <f t="shared" si="37"/>
        <v>3 кв. 2039</v>
      </c>
      <c s="124" t="str">
        <f t="shared" si="37"/>
        <v>4 кв. 2039</v>
      </c>
      <c s="124" t="str">
        <f t="shared" si="37"/>
        <v>1 кв. 2040</v>
      </c>
    </row>
    <row r="12" spans="2:65" ht="15" customHeight="1">
      <c r="B12" s="12" t="str">
        <f>"Период займа "&amp;IF(ISNUMBER(SEARCH("РФРП",Программа)),"ФРП и РФРП","ФРП")</f>
        <v>Период займа ФРП</v>
      </c>
      <c s="124"/>
      <c s="125"/>
      <c s="124">
        <f>IF(AND(E7&gt;=Предпосылки!$C$13,E8&lt;=Предпосылки!$C$15),1,0)</f>
        <v>1</v>
      </c>
      <c s="124">
        <f>IF(AND(F7&gt;=Предпосылки!$C$13,F8&lt;=Предпосылки!$C$15),1,0)</f>
        <v>1</v>
      </c>
      <c s="124">
        <f>IF(AND(G7&gt;=Предпосылки!$C$13,G8&lt;=Предпосылки!$C$15),1,0)</f>
        <v>1</v>
      </c>
      <c s="124">
        <f>IF(AND(H7&gt;=Предпосылки!$C$13,H8&lt;=Предпосылки!$C$15),1,0)</f>
        <v>1</v>
      </c>
      <c s="124">
        <f>IF(AND(I7&gt;=Предпосылки!$C$13,I8&lt;=Предпосылки!$C$15),1,0)</f>
        <v>1</v>
      </c>
      <c s="124">
        <f>IF(AND(J7&gt;=Предпосылки!$C$13,J8&lt;=Предпосылки!$C$15),1,0)</f>
        <v>1</v>
      </c>
      <c s="124">
        <f>IF(AND(K7&gt;=Предпосылки!$C$13,K8&lt;=Предпосылки!$C$15),1,0)</f>
        <v>1</v>
      </c>
      <c s="124">
        <f>IF(AND(L7&gt;=Предпосылки!$C$13,L8&lt;=Предпосылки!$C$15),1,0)</f>
        <v>1</v>
      </c>
      <c s="124">
        <f>IF(AND(M7&gt;=Предпосылки!$C$13,M8&lt;=Предпосылки!$C$15),1,0)</f>
        <v>1</v>
      </c>
      <c s="124">
        <f>IF(AND(N7&gt;=Предпосылки!$C$13,N8&lt;=Предпосылки!$C$15),1,0)</f>
        <v>1</v>
      </c>
      <c s="124">
        <f>IF(AND(O7&gt;=Предпосылки!$C$13,O8&lt;=Предпосылки!$C$15),1,0)</f>
        <v>1</v>
      </c>
      <c s="124">
        <f>IF(AND(P7&gt;=Предпосылки!$C$13,P8&lt;=Предпосылки!$C$15),1,0)</f>
        <v>1</v>
      </c>
      <c s="124">
        <f>IF(AND(Q7&gt;=Предпосылки!$C$13,Q8&lt;=Предпосылки!$C$15),1,0)</f>
        <v>1</v>
      </c>
      <c s="124">
        <f>IF(AND(R7&gt;=Предпосылки!$C$13,R8&lt;=Предпосылки!$C$15),1,0)</f>
        <v>1</v>
      </c>
      <c s="124">
        <f>IF(AND(S7&gt;=Предпосылки!$C$13,S8&lt;=Предпосылки!$C$15),1,0)</f>
        <v>1</v>
      </c>
      <c s="124">
        <f>IF(AND(T7&gt;=Предпосылки!$C$13,T8&lt;=Предпосылки!$C$15),1,0)</f>
        <v>1</v>
      </c>
      <c s="124">
        <f>IF(AND(U7&gt;=Предпосылки!$C$13,U8&lt;=Предпосылки!$C$15),1,0)</f>
        <v>1</v>
      </c>
      <c s="124">
        <f>IF(AND(V7&gt;=Предпосылки!$C$13,V8&lt;=Предпосылки!$C$15),1,0)</f>
        <v>1</v>
      </c>
      <c s="124">
        <f>IF(AND(W7&gt;=Предпосылки!$C$13,W8&lt;=Предпосылки!$C$15),1,0)</f>
        <v>1</v>
      </c>
      <c s="124">
        <f>IF(AND(X7&gt;=Предпосылки!$C$13,X8&lt;=Предпосылки!$C$15),1,0)</f>
        <v>1</v>
      </c>
      <c s="124">
        <f>IF(AND(Y7&gt;=Предпосылки!$C$13,Y8&lt;=Предпосылки!$C$15),1,0)</f>
        <v>1</v>
      </c>
      <c s="124">
        <f>IF(AND(Z7&gt;=Предпосылки!$C$13,Z8&lt;=Предпосылки!$C$15),1,0)</f>
        <v>0</v>
      </c>
      <c s="124">
        <f>IF(AND(AA7&gt;=Предпосылки!$C$13,AA8&lt;=Предпосылки!$C$15),1,0)</f>
        <v>0</v>
      </c>
      <c s="124">
        <f>IF(AND(AB7&gt;=Предпосылки!$C$13,AB8&lt;=Предпосылки!$C$15),1,0)</f>
        <v>0</v>
      </c>
      <c s="124">
        <f>IF(AND(AC7&gt;=Предпосылки!$C$13,AC8&lt;=Предпосылки!$C$15),1,0)</f>
        <v>0</v>
      </c>
      <c s="124">
        <f>IF(AND(AD7&gt;=Предпосылки!$C$13,AD8&lt;=Предпосылки!$C$15),1,0)</f>
        <v>0</v>
      </c>
      <c s="124">
        <f>IF(AND(AE7&gt;=Предпосылки!$C$13,AE8&lt;=Предпосылки!$C$15),1,0)</f>
        <v>0</v>
      </c>
      <c s="124">
        <f>IF(AND(AF7&gt;=Предпосылки!$C$13,AF8&lt;=Предпосылки!$C$15),1,0)</f>
        <v>0</v>
      </c>
      <c s="124">
        <f>IF(AND(AG7&gt;=Предпосылки!$C$13,AG8&lt;=Предпосылки!$C$15),1,0)</f>
        <v>0</v>
      </c>
      <c s="124">
        <f>IF(AND(AH7&gt;=Предпосылки!$C$13,AH8&lt;=Предпосылки!$C$15),1,0)</f>
        <v>0</v>
      </c>
      <c s="124">
        <f>IF(AND(AI7&gt;=Предпосылки!$C$13,AI8&lt;=Предпосылки!$C$15),1,0)</f>
        <v>0</v>
      </c>
      <c s="124">
        <f>IF(AND(AJ7&gt;=Предпосылки!$C$13,AJ8&lt;=Предпосылки!$C$15),1,0)</f>
        <v>0</v>
      </c>
      <c s="124">
        <f>IF(AND(AK7&gt;=Предпосылки!$C$13,AK8&lt;=Предпосылки!$C$15),1,0)</f>
        <v>0</v>
      </c>
      <c s="124">
        <f>IF(AND(AL7&gt;=Предпосылки!$C$13,AL8&lt;=Предпосылки!$C$15),1,0)</f>
        <v>0</v>
      </c>
      <c s="124">
        <f>IF(AND(AM7&gt;=Предпосылки!$C$13,AM8&lt;=Предпосылки!$C$15),1,0)</f>
        <v>0</v>
      </c>
      <c s="124">
        <f>IF(AND(AN7&gt;=Предпосылки!$C$13,AN8&lt;=Предпосылки!$C$15),1,0)</f>
        <v>0</v>
      </c>
      <c s="124">
        <f>IF(AND(AO7&gt;=Предпосылки!$C$13,AO8&lt;=Предпосылки!$C$15),1,0)</f>
        <v>0</v>
      </c>
      <c s="124">
        <f>IF(AND(AP7&gt;=Предпосылки!$C$13,AP8&lt;=Предпосылки!$C$15),1,0)</f>
        <v>0</v>
      </c>
      <c s="124">
        <f>IF(AND(AQ7&gt;=Предпосылки!$C$13,AQ8&lt;=Предпосылки!$C$15),1,0)</f>
        <v>0</v>
      </c>
      <c s="124">
        <f>IF(AND(AR7&gt;=Предпосылки!$C$13,AR8&lt;=Предпосылки!$C$15),1,0)</f>
        <v>0</v>
      </c>
      <c s="124">
        <f>IF(AND(AS7&gt;=Предпосылки!$C$13,AS8&lt;=Предпосылки!$C$15),1,0)</f>
        <v>0</v>
      </c>
      <c s="124">
        <f>IF(AND(AT7&gt;=Предпосылки!$C$13,AT8&lt;=Предпосылки!$C$15),1,0)</f>
        <v>0</v>
      </c>
      <c s="124">
        <f>IF(AND(AU7&gt;=Предпосылки!$C$13,AU8&lt;=Предпосылки!$C$15),1,0)</f>
        <v>0</v>
      </c>
      <c s="124">
        <f>IF(AND(AV7&gt;=Предпосылки!$C$13,AV8&lt;=Предпосылки!$C$15),1,0)</f>
        <v>0</v>
      </c>
      <c s="124">
        <f>IF(AND(AW7&gt;=Предпосылки!$C$13,AW8&lt;=Предпосылки!$C$15),1,0)</f>
        <v>0</v>
      </c>
      <c s="124">
        <f>IF(AND(AX7&gt;=Предпосылки!$C$13,AX8&lt;=Предпосылки!$C$15),1,0)</f>
        <v>0</v>
      </c>
      <c s="124">
        <f>IF(AND(AY7&gt;=Предпосылки!$C$13,AY8&lt;=Предпосылки!$C$15),1,0)</f>
        <v>0</v>
      </c>
      <c s="124">
        <f>IF(AND(AZ7&gt;=Предпосылки!$C$13,AZ8&lt;=Предпосылки!$C$15),1,0)</f>
        <v>0</v>
      </c>
      <c s="124">
        <f>IF(AND(BA7&gt;=Предпосылки!$C$13,BA8&lt;=Предпосылки!$C$15),1,0)</f>
        <v>0</v>
      </c>
      <c s="124">
        <f>IF(AND(BB7&gt;=Предпосылки!$C$13,BB8&lt;=Предпосылки!$C$15),1,0)</f>
        <v>0</v>
      </c>
      <c s="124">
        <f>IF(AND(BC7&gt;=Предпосылки!$C$13,BC8&lt;=Предпосылки!$C$15),1,0)</f>
        <v>0</v>
      </c>
      <c s="124">
        <f>IF(AND(BD7&gt;=Предпосылки!$C$13,BD8&lt;=Предпосылки!$C$15),1,0)</f>
        <v>0</v>
      </c>
      <c s="124">
        <f>IF(AND(BE7&gt;=Предпосылки!$C$13,BE8&lt;=Предпосылки!$C$15),1,0)</f>
        <v>0</v>
      </c>
      <c s="124">
        <f>IF(AND(BF7&gt;=Предпосылки!$C$13,BF8&lt;=Предпосылки!$C$15),1,0)</f>
        <v>0</v>
      </c>
      <c s="124">
        <f>IF(AND(BG7&gt;=Предпосылки!$C$13,BG8&lt;=Предпосылки!$C$15),1,0)</f>
        <v>0</v>
      </c>
      <c s="124">
        <f>IF(AND(BH7&gt;=Предпосылки!$C$13,BH8&lt;=Предпосылки!$C$15),1,0)</f>
        <v>0</v>
      </c>
      <c s="124">
        <f>IF(AND(BI7&gt;=Предпосылки!$C$13,BI8&lt;=Предпосылки!$C$15),1,0)</f>
        <v>0</v>
      </c>
      <c s="124">
        <f>IF(AND(BJ7&gt;=Предпосылки!$C$13,BJ8&lt;=Предпосылки!$C$15),1,0)</f>
        <v>0</v>
      </c>
      <c s="124">
        <f>IF(AND(BK7&gt;=Предпосылки!$C$13,BK8&lt;=Предпосылки!$C$15),1,0)</f>
        <v>0</v>
      </c>
      <c s="124">
        <f>IF(AND(BL7&gt;=Предпосылки!$C$13,BL8&lt;=Предпосылки!$C$15),1,0)</f>
        <v>0</v>
      </c>
      <c s="124">
        <f>IF(AND(BM7&gt;=Предпосылки!$C$13,BM8&lt;=Предпосылки!$C$15),1,0)</f>
        <v>0</v>
      </c>
    </row>
    <row r="13" ht="15" customHeight="1"/>
    <row r="14" spans="2:65" ht="21">
      <c r="B14" s="23" t="s">
        <v>1085</v>
      </c>
      <c r="D1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" spans="2:2" ht="15" customHeight="1">
      <c r="B15" s="24" t="s">
        <v>1086</v>
      </c>
    </row>
    <row r="16" spans="2:65" ht="14.45">
      <c r="B16" s="25" t="s">
        <v>1087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" spans="2:65" ht="15" customHeight="1">
      <c r="B17" s="12" t="s">
        <v>1088</v>
      </c>
      <c s="124" t="str">
        <f>Единица_измерения</f>
        <v>тыс. руб.</v>
      </c>
      <c s="125"/>
      <c s="125">
        <f ca="1">SUM('Квартальная отчетность'!E53,'Квартальная отчетность'!E60)-0.001</f>
        <v>-0.001</v>
      </c>
      <c s="125">
        <f ca="1">SUM('Квартальная отчетность'!F53,'Квартальная отчетность'!F60)</f>
        <v>0</v>
      </c>
      <c s="125">
        <f ca="1">SUM('Квартальная отчетность'!G53,'Квартальная отчетность'!G60)</f>
        <v>0</v>
      </c>
      <c s="125">
        <f ca="1">SUM('Квартальная отчетность'!H53,'Квартальная отчетность'!H60)</f>
        <v>0</v>
      </c>
      <c s="125">
        <f ca="1">SUM('Квартальная отчетность'!I53,'Квартальная отчетность'!I60)</f>
        <v>0</v>
      </c>
      <c s="125">
        <f ca="1">SUM('Квартальная отчетность'!J53,'Квартальная отчетность'!J60)</f>
        <v>0</v>
      </c>
      <c s="125">
        <f ca="1">SUM('Квартальная отчетность'!K53,'Квартальная отчетность'!K60)</f>
        <v>0</v>
      </c>
      <c s="125">
        <f ca="1">SUM('Квартальная отчетность'!L53,'Квартальная отчетность'!L60)</f>
        <v>0</v>
      </c>
      <c s="125">
        <f ca="1">SUM('Квартальная отчетность'!M53,'Квартальная отчетность'!M60)</f>
        <v>0</v>
      </c>
      <c s="125">
        <f ca="1">SUM('Квартальная отчетность'!N53,'Квартальная отчетность'!N60)</f>
        <v>0</v>
      </c>
      <c s="125">
        <f ca="1">SUM('Квартальная отчетность'!O53,'Квартальная отчетность'!O60)</f>
        <v>0</v>
      </c>
      <c s="125">
        <f ca="1">SUM('Квартальная отчетность'!P53,'Квартальная отчетность'!P60)</f>
        <v>0</v>
      </c>
      <c s="125">
        <f ca="1">SUM('Квартальная отчетность'!Q53,'Квартальная отчетность'!Q60)</f>
        <v>0</v>
      </c>
      <c s="125">
        <f ca="1">SUM('Квартальная отчетность'!R53,'Квартальная отчетность'!R60)</f>
        <v>0</v>
      </c>
      <c s="125">
        <f ca="1">SUM('Квартальная отчетность'!S53,'Квартальная отчетность'!S60)</f>
        <v>0</v>
      </c>
      <c s="125">
        <f ca="1">SUM('Квартальная отчетность'!T53,'Квартальная отчетность'!T60)</f>
        <v>0</v>
      </c>
      <c s="125">
        <f ca="1">SUM('Квартальная отчетность'!U53,'Квартальная отчетность'!U60)</f>
        <v>0</v>
      </c>
      <c s="125">
        <f ca="1">SUM('Квартальная отчетность'!V53,'Квартальная отчетность'!V60)</f>
        <v>0</v>
      </c>
      <c s="125">
        <f ca="1">SUM('Квартальная отчетность'!W53,'Квартальная отчетность'!W60)</f>
        <v>0</v>
      </c>
      <c s="125">
        <f ca="1">SUM('Квартальная отчетность'!X53,'Квартальная отчетность'!X60)</f>
        <v>0</v>
      </c>
      <c s="125">
        <f ca="1">SUM('Квартальная отчетность'!Y53,'Квартальная отчетность'!Y60)</f>
        <v>0</v>
      </c>
      <c s="125">
        <f ca="1">SUM('Квартальная отчетность'!Z53,'Квартальная отчетность'!Z60)</f>
        <v>0</v>
      </c>
      <c s="125">
        <f ca="1">SUM('Квартальная отчетность'!AA53,'Квартальная отчетность'!AA60)</f>
        <v>0</v>
      </c>
      <c s="125">
        <f ca="1">SUM('Квартальная отчетность'!AB53,'Квартальная отчетность'!AB60)</f>
        <v>0</v>
      </c>
      <c s="125">
        <f ca="1">SUM('Квартальная отчетность'!AC53,'Квартальная отчетность'!AC60)</f>
        <v>0</v>
      </c>
      <c s="125">
        <f ca="1">SUM('Квартальная отчетность'!AD53,'Квартальная отчетность'!AD60)</f>
        <v>0</v>
      </c>
      <c s="125">
        <f ca="1">SUM('Квартальная отчетность'!AE53,'Квартальная отчетность'!AE60)</f>
        <v>0</v>
      </c>
      <c s="125">
        <f ca="1">SUM('Квартальная отчетность'!AF53,'Квартальная отчетность'!AF60)</f>
        <v>0</v>
      </c>
      <c s="125">
        <f ca="1">SUM('Квартальная отчетность'!AG53,'Квартальная отчетность'!AG60)</f>
        <v>0</v>
      </c>
      <c s="125">
        <f ca="1">SUM('Квартальная отчетность'!AH53,'Квартальная отчетность'!AH60)</f>
        <v>0</v>
      </c>
      <c s="125">
        <f ca="1">SUM('Квартальная отчетность'!AI53,'Квартальная отчетность'!AI60)</f>
        <v>0</v>
      </c>
      <c s="125">
        <f ca="1">SUM('Квартальная отчетность'!AJ53,'Квартальная отчетность'!AJ60)</f>
        <v>0</v>
      </c>
      <c s="125">
        <f ca="1">SUM('Квартальная отчетность'!AK53,'Квартальная отчетность'!AK60)</f>
        <v>0</v>
      </c>
      <c s="125">
        <f ca="1">SUM('Квартальная отчетность'!AL53,'Квартальная отчетность'!AL60)</f>
        <v>0</v>
      </c>
      <c s="125">
        <f ca="1">SUM('Квартальная отчетность'!AM53,'Квартальная отчетность'!AM60)</f>
        <v>0</v>
      </c>
      <c s="125">
        <f ca="1">SUM('Квартальная отчетность'!AN53,'Квартальная отчетность'!AN60)</f>
        <v>0</v>
      </c>
      <c s="125">
        <f ca="1">SUM('Квартальная отчетность'!AO53,'Квартальная отчетность'!AO60)</f>
        <v>0</v>
      </c>
      <c s="125">
        <f ca="1">SUM('Квартальная отчетность'!AP53,'Квартальная отчетность'!AP60)</f>
        <v>0</v>
      </c>
      <c s="125">
        <f ca="1">SUM('Квартальная отчетность'!AQ53,'Квартальная отчетность'!AQ60)</f>
        <v>0</v>
      </c>
      <c s="125">
        <f ca="1">SUM('Квартальная отчетность'!AR53,'Квартальная отчетность'!AR60)</f>
        <v>0</v>
      </c>
      <c s="125">
        <f ca="1">SUM('Квартальная отчетность'!AS53,'Квартальная отчетность'!AS60)</f>
        <v>0</v>
      </c>
      <c s="125">
        <f ca="1">SUM('Квартальная отчетность'!AT53,'Квартальная отчетность'!AT60)</f>
        <v>0</v>
      </c>
      <c s="125">
        <f ca="1">SUM('Квартальная отчетность'!AU53,'Квартальная отчетность'!AU60)</f>
        <v>0</v>
      </c>
      <c s="125">
        <f ca="1">SUM('Квартальная отчетность'!AV53,'Квартальная отчетность'!AV60)</f>
        <v>0</v>
      </c>
      <c s="125">
        <f ca="1">SUM('Квартальная отчетность'!AW53,'Квартальная отчетность'!AW60)</f>
        <v>0</v>
      </c>
      <c s="125">
        <f ca="1">SUM('Квартальная отчетность'!AX53,'Квартальная отчетность'!AX60)</f>
        <v>0</v>
      </c>
      <c s="125">
        <f ca="1">SUM('Квартальная отчетность'!AY53,'Квартальная отчетность'!AY60)</f>
        <v>0</v>
      </c>
      <c s="125">
        <f ca="1">SUM('Квартальная отчетность'!AZ53,'Квартальная отчетность'!AZ60)</f>
        <v>0</v>
      </c>
      <c s="125">
        <f ca="1">SUM('Квартальная отчетность'!BA53,'Квартальная отчетность'!BA60)</f>
        <v>0</v>
      </c>
      <c s="125">
        <f ca="1">SUM('Квартальная отчетность'!BB53,'Квартальная отчетность'!BB60)</f>
        <v>0</v>
      </c>
      <c s="125">
        <f ca="1">SUM('Квартальная отчетность'!BC53,'Квартальная отчетность'!BC60)</f>
        <v>0</v>
      </c>
      <c s="125">
        <f ca="1">SUM('Квартальная отчетность'!BD53,'Квартальная отчетность'!BD60)</f>
        <v>0</v>
      </c>
      <c s="125">
        <f ca="1">SUM('Квартальная отчетность'!BE53,'Квартальная отчетность'!BE60)</f>
        <v>0</v>
      </c>
      <c s="125">
        <f ca="1">SUM('Квартальная отчетность'!BF53,'Квартальная отчетность'!BF60)</f>
        <v>0</v>
      </c>
      <c s="125">
        <f ca="1">SUM('Квартальная отчетность'!BG53,'Квартальная отчетность'!BG60)</f>
        <v>0</v>
      </c>
      <c s="125">
        <f ca="1">SUM('Квартальная отчетность'!BH53,'Квартальная отчетность'!BH60)</f>
        <v>0</v>
      </c>
      <c s="125">
        <f ca="1">SUM('Квартальная отчетность'!BI53,'Квартальная отчетность'!BI60)</f>
        <v>0</v>
      </c>
      <c s="125">
        <f ca="1">SUM('Квартальная отчетность'!BJ53,'Квартальная отчетность'!BJ60)</f>
        <v>0</v>
      </c>
      <c s="125">
        <f ca="1">SUM('Квартальная отчетность'!BK53,'Квартальная отчетность'!BK60)</f>
        <v>0</v>
      </c>
      <c s="125">
        <f ca="1">SUM('Квартальная отчетность'!BL53,'Квартальная отчетность'!BL60)</f>
        <v>0</v>
      </c>
      <c s="125">
        <f ca="1">SUM('Квартальная отчетность'!BM53,'Квартальная отчетность'!BM60)</f>
        <v>0</v>
      </c>
    </row>
    <row r="18" spans="2:65" ht="15" customHeight="1">
      <c r="B18" s="289" t="s">
        <v>1089</v>
      </c>
      <c s="290" t="str">
        <f>Единица_измерения</f>
        <v>тыс. руб.</v>
      </c>
      <c s="276"/>
      <c s="276">
        <f ca="1" t="shared" si="38" ref="E18">D18+E17</f>
        <v>-0.001</v>
      </c>
      <c s="276">
        <f ca="1" t="shared" si="39" ref="F18">E18+F17</f>
        <v>-0.001</v>
      </c>
      <c s="276">
        <f ca="1" t="shared" si="40" ref="G18">F18+G17</f>
        <v>-0.001</v>
      </c>
      <c s="276">
        <f ca="1" t="shared" si="41" ref="H18">G18+H17</f>
        <v>-0.001</v>
      </c>
      <c s="276">
        <f ca="1" t="shared" si="42" ref="I18">H18+I17</f>
        <v>-0.001</v>
      </c>
      <c s="276">
        <f ca="1" t="shared" si="43" ref="J18">I18+J17</f>
        <v>-0.001</v>
      </c>
      <c s="276">
        <f ca="1" t="shared" si="44" ref="K18">J18+K17</f>
        <v>-0.001</v>
      </c>
      <c s="276">
        <f ca="1" t="shared" si="45" ref="L18">K18+L17</f>
        <v>-0.001</v>
      </c>
      <c s="276">
        <f ca="1" t="shared" si="46" ref="M18">L18+M17</f>
        <v>-0.001</v>
      </c>
      <c s="276">
        <f ca="1" t="shared" si="47" ref="N18">M18+N17</f>
        <v>-0.001</v>
      </c>
      <c s="276">
        <f ca="1" t="shared" si="48" ref="O18">N18+O17</f>
        <v>-0.001</v>
      </c>
      <c s="276">
        <f ca="1" t="shared" si="49" ref="P18">O18+P17</f>
        <v>-0.001</v>
      </c>
      <c s="276">
        <f ca="1" t="shared" si="50" ref="Q18">P18+Q17</f>
        <v>-0.001</v>
      </c>
      <c s="276">
        <f ca="1" t="shared" si="51" ref="R18">Q18+R17</f>
        <v>-0.001</v>
      </c>
      <c s="276">
        <f ca="1" t="shared" si="52" ref="S18">R18+S17</f>
        <v>-0.001</v>
      </c>
      <c s="276">
        <f ca="1" t="shared" si="53" ref="T18">S18+T17</f>
        <v>-0.001</v>
      </c>
      <c s="276">
        <f ca="1" t="shared" si="54" ref="U18">T18+U17</f>
        <v>-0.001</v>
      </c>
      <c s="276">
        <f ca="1" t="shared" si="55" ref="V18">U18+V17</f>
        <v>-0.001</v>
      </c>
      <c s="276">
        <f ca="1" t="shared" si="56" ref="W18">V18+W17</f>
        <v>-0.001</v>
      </c>
      <c s="276">
        <f ca="1" t="shared" si="57" ref="X18">W18+X17</f>
        <v>-0.001</v>
      </c>
      <c s="276">
        <f ca="1" t="shared" si="58" ref="Y18">X18+Y17</f>
        <v>-0.001</v>
      </c>
      <c s="276">
        <f ca="1" t="shared" si="59" ref="Z18">Y18+Z17</f>
        <v>-0.001</v>
      </c>
      <c s="276">
        <f ca="1" t="shared" si="60" ref="AA18">Z18+AA17</f>
        <v>-0.001</v>
      </c>
      <c s="276">
        <f ca="1" t="shared" si="61" ref="AB18">AA18+AB17</f>
        <v>-0.001</v>
      </c>
      <c s="276">
        <f ca="1" t="shared" si="62" ref="AC18">AB18+AC17</f>
        <v>-0.001</v>
      </c>
      <c s="276">
        <f ca="1" t="shared" si="63" ref="AD18">AC18+AD17</f>
        <v>-0.001</v>
      </c>
      <c s="276">
        <f ca="1" t="shared" si="64" ref="AE18">AD18+AE17</f>
        <v>-0.001</v>
      </c>
      <c s="276">
        <f ca="1" t="shared" si="65" ref="AF18">AE18+AF17</f>
        <v>-0.001</v>
      </c>
      <c s="276">
        <f ca="1" t="shared" si="66" ref="AG18">AF18+AG17</f>
        <v>-0.001</v>
      </c>
      <c s="276">
        <f ca="1" t="shared" si="67" ref="AH18">AG18+AH17</f>
        <v>-0.001</v>
      </c>
      <c s="276">
        <f ca="1" t="shared" si="68" ref="AI18">AH18+AI17</f>
        <v>-0.001</v>
      </c>
      <c s="276">
        <f ca="1" t="shared" si="69" ref="AJ18">AI18+AJ17</f>
        <v>-0.001</v>
      </c>
      <c s="276">
        <f ca="1" t="shared" si="70" ref="AK18">AJ18+AK17</f>
        <v>-0.001</v>
      </c>
      <c s="276">
        <f ca="1" t="shared" si="71" ref="AL18">AK18+AL17</f>
        <v>-0.001</v>
      </c>
      <c s="276">
        <f ca="1" t="shared" si="72" ref="AM18">AL18+AM17</f>
        <v>-0.001</v>
      </c>
      <c s="276">
        <f ca="1" t="shared" si="73" ref="AN18">AM18+AN17</f>
        <v>-0.001</v>
      </c>
      <c s="276">
        <f ca="1" t="shared" si="74" ref="AO18">AN18+AO17</f>
        <v>-0.001</v>
      </c>
      <c s="276">
        <f ca="1" t="shared" si="75" ref="AP18">AO18+AP17</f>
        <v>-0.001</v>
      </c>
      <c s="276">
        <f ca="1" t="shared" si="76" ref="AQ18">AP18+AQ17</f>
        <v>-0.001</v>
      </c>
      <c s="276">
        <f ca="1" t="shared" si="77" ref="AR18">AQ18+AR17</f>
        <v>-0.001</v>
      </c>
      <c s="276">
        <f ca="1" t="shared" si="78" ref="AS18">AR18+AS17</f>
        <v>-0.001</v>
      </c>
      <c s="276">
        <f ca="1" t="shared" si="79" ref="AT18">AS18+AT17</f>
        <v>-0.001</v>
      </c>
      <c s="276">
        <f ca="1" t="shared" si="80" ref="AU18">AT18+AU17</f>
        <v>-0.001</v>
      </c>
      <c s="276">
        <f ca="1" t="shared" si="81" ref="AV18">AU18+AV17</f>
        <v>-0.001</v>
      </c>
      <c s="276">
        <f ca="1" t="shared" si="82" ref="AW18">AV18+AW17</f>
        <v>-0.001</v>
      </c>
      <c s="276">
        <f ca="1" t="shared" si="83" ref="AX18">AW18+AX17</f>
        <v>-0.001</v>
      </c>
      <c s="276">
        <f ca="1" t="shared" si="84" ref="AY18">AX18+AY17</f>
        <v>-0.001</v>
      </c>
      <c s="276">
        <f ca="1" t="shared" si="85" ref="AZ18">AY18+AZ17</f>
        <v>-0.001</v>
      </c>
      <c s="276">
        <f ca="1" t="shared" si="86" ref="BA18">AZ18+BA17</f>
        <v>-0.001</v>
      </c>
      <c s="276">
        <f ca="1" t="shared" si="87" ref="BB18">BA18+BB17</f>
        <v>-0.001</v>
      </c>
      <c s="276">
        <f ca="1" t="shared" si="88" ref="BC18">BB18+BC17</f>
        <v>-0.001</v>
      </c>
      <c s="276">
        <f ca="1" t="shared" si="89" ref="BD18">BC18+BD17</f>
        <v>-0.001</v>
      </c>
      <c s="276">
        <f ca="1" t="shared" si="90" ref="BE18">BD18+BE17</f>
        <v>-0.001</v>
      </c>
      <c s="276">
        <f ca="1" t="shared" si="91" ref="BF18">BE18+BF17</f>
        <v>-0.001</v>
      </c>
      <c s="276">
        <f ca="1" t="shared" si="92" ref="BG18">BF18+BG17</f>
        <v>-0.001</v>
      </c>
      <c s="276">
        <f ca="1" t="shared" si="93" ref="BH18">BG18+BH17</f>
        <v>-0.001</v>
      </c>
      <c s="276">
        <f ca="1" t="shared" si="94" ref="BI18">BH18+BI17</f>
        <v>-0.001</v>
      </c>
      <c s="276">
        <f ca="1" t="shared" si="95" ref="BJ18">BI18+BJ17</f>
        <v>-0.001</v>
      </c>
      <c s="276">
        <f ca="1" t="shared" si="96" ref="BK18">BJ18+BK17</f>
        <v>-0.001</v>
      </c>
      <c s="276">
        <f ca="1" t="shared" si="97" ref="BL18">BK18+BL17</f>
        <v>-0.001</v>
      </c>
      <c s="276">
        <f ca="1" t="shared" si="98" ref="BM18">BL18+BM17</f>
        <v>-0.001</v>
      </c>
    </row>
    <row r="19" ht="15" customHeight="1"/>
    <row r="20" spans="2:65" ht="15" customHeight="1">
      <c r="B20" s="12" t="s">
        <v>1090</v>
      </c>
      <c s="124"/>
      <c s="125"/>
      <c s="132">
        <f ca="1" t="shared" si="99" ref="E20">IF(F18&lt;0,1/Кварталов_в_году,IF(E18&lt;0,(-E18/(F18-E18)+1)/Кварталов_в_году,0))</f>
        <v>0.25</v>
      </c>
      <c s="132">
        <f ca="1" t="shared" si="100" ref="F20">IF(G18&lt;0,1/Кварталов_в_году,IF(F18&lt;0,(-F18/(G18-F18)+1)/Кварталов_в_году,0))</f>
        <v>0.25</v>
      </c>
      <c s="132">
        <f ca="1" t="shared" si="101" ref="G20">IF(H18&lt;0,1/Кварталов_в_году,IF(G18&lt;0,(-G18/(H18-G18)+1)/Кварталов_в_году,0))</f>
        <v>0.25</v>
      </c>
      <c s="132">
        <f ca="1" t="shared" si="102" ref="H20">IF(I18&lt;0,1/Кварталов_в_году,IF(H18&lt;0,(-H18/(I18-H18)+1)/Кварталов_в_году,0))</f>
        <v>0.25</v>
      </c>
      <c s="132">
        <f ca="1" t="shared" si="103" ref="I20">IF(J18&lt;0,1/Кварталов_в_году,IF(I18&lt;0,(-I18/(J18-I18)+1)/Кварталов_в_году,0))</f>
        <v>0.25</v>
      </c>
      <c s="132">
        <f ca="1" t="shared" si="104" ref="J20">IF(K18&lt;0,1/Кварталов_в_году,IF(J18&lt;0,(-J18/(K18-J18)+1)/Кварталов_в_году,0))</f>
        <v>0.25</v>
      </c>
      <c s="132">
        <f ca="1" t="shared" si="105" ref="K20">IF(L18&lt;0,1/Кварталов_в_году,IF(K18&lt;0,(-K18/(L18-K18)+1)/Кварталов_в_году,0))</f>
        <v>0.25</v>
      </c>
      <c s="132">
        <f ca="1" t="shared" si="106" ref="L20">IF(M18&lt;0,1/Кварталов_в_году,IF(L18&lt;0,(-L18/(M18-L18)+1)/Кварталов_в_году,0))</f>
        <v>0.25</v>
      </c>
      <c s="132">
        <f ca="1" t="shared" si="107" ref="M20">IF(N18&lt;0,1/Кварталов_в_году,IF(M18&lt;0,(-M18/(N18-M18)+1)/Кварталов_в_году,0))</f>
        <v>0.25</v>
      </c>
      <c s="132">
        <f ca="1" t="shared" si="108" ref="N20">IF(O18&lt;0,1/Кварталов_в_году,IF(N18&lt;0,(-N18/(O18-N18)+1)/Кварталов_в_году,0))</f>
        <v>0.25</v>
      </c>
      <c s="132">
        <f ca="1" t="shared" si="109" ref="O20">IF(P18&lt;0,1/Кварталов_в_году,IF(O18&lt;0,(-O18/(P18-O18)+1)/Кварталов_в_году,0))</f>
        <v>0.25</v>
      </c>
      <c s="132">
        <f ca="1" t="shared" si="110" ref="P20">IF(Q18&lt;0,1/Кварталов_в_году,IF(P18&lt;0,(-P18/(Q18-P18)+1)/Кварталов_в_году,0))</f>
        <v>0.25</v>
      </c>
      <c s="132">
        <f ca="1" t="shared" si="111" ref="Q20">IF(R18&lt;0,1/Кварталов_в_году,IF(Q18&lt;0,(-Q18/(R18-Q18)+1)/Кварталов_в_году,0))</f>
        <v>0.25</v>
      </c>
      <c s="132">
        <f ca="1" t="shared" si="112" ref="R20">IF(S18&lt;0,1/Кварталов_в_году,IF(R18&lt;0,(-R18/(S18-R18)+1)/Кварталов_в_году,0))</f>
        <v>0.25</v>
      </c>
      <c s="132">
        <f ca="1" t="shared" si="113" ref="S20">IF(T18&lt;0,1/Кварталов_в_году,IF(S18&lt;0,(-S18/(T18-S18)+1)/Кварталов_в_году,0))</f>
        <v>0.25</v>
      </c>
      <c s="132">
        <f ca="1" t="shared" si="114" ref="T20">IF(U18&lt;0,1/Кварталов_в_году,IF(T18&lt;0,(-T18/(U18-T18)+1)/Кварталов_в_году,0))</f>
        <v>0.25</v>
      </c>
      <c s="132">
        <f ca="1" t="shared" si="115" ref="U20">IF(V18&lt;0,1/Кварталов_в_году,IF(U18&lt;0,(-U18/(V18-U18)+1)/Кварталов_в_году,0))</f>
        <v>0.25</v>
      </c>
      <c s="132">
        <f ca="1" t="shared" si="116" ref="V20">IF(W18&lt;0,1/Кварталов_в_году,IF(V18&lt;0,(-V18/(W18-V18)+1)/Кварталов_в_году,0))</f>
        <v>0.25</v>
      </c>
      <c s="132">
        <f ca="1" t="shared" si="117" ref="W20">IF(X18&lt;0,1/Кварталов_в_году,IF(W18&lt;0,(-W18/(X18-W18)+1)/Кварталов_в_году,0))</f>
        <v>0.25</v>
      </c>
      <c s="132">
        <f ca="1" t="shared" si="118" ref="X20">IF(Y18&lt;0,1/Кварталов_в_году,IF(X18&lt;0,(-X18/(Y18-X18)+1)/Кварталов_в_году,0))</f>
        <v>0.25</v>
      </c>
      <c s="132">
        <f ca="1" t="shared" si="119" ref="Y20">IF(Z18&lt;0,1/Кварталов_в_году,IF(Y18&lt;0,(-Y18/(Z18-Y18)+1)/Кварталов_в_году,0))</f>
        <v>0.25</v>
      </c>
      <c s="132">
        <f ca="1" t="shared" si="120" ref="Z20">IF(AA18&lt;0,1/Кварталов_в_году,IF(Z18&lt;0,(-Z18/(AA18-Z18)+1)/Кварталов_в_году,0))</f>
        <v>0.25</v>
      </c>
      <c s="132">
        <f ca="1" t="shared" si="121" ref="AA20">IF(AB18&lt;0,1/Кварталов_в_году,IF(AA18&lt;0,(-AA18/(AB18-AA18)+1)/Кварталов_в_году,0))</f>
        <v>0.25</v>
      </c>
      <c s="132">
        <f ca="1" t="shared" si="122" ref="AB20">IF(AC18&lt;0,1/Кварталов_в_году,IF(AB18&lt;0,(-AB18/(AC18-AB18)+1)/Кварталов_в_году,0))</f>
        <v>0.25</v>
      </c>
      <c s="132">
        <f ca="1" t="shared" si="123" ref="AC20">IF(AD18&lt;0,1/Кварталов_в_году,IF(AC18&lt;0,(-AC18/(AD18-AC18)+1)/Кварталов_в_году,0))</f>
        <v>0.25</v>
      </c>
      <c s="132">
        <f ca="1" t="shared" si="124" ref="AD20">IF(AE18&lt;0,1/Кварталов_в_году,IF(AD18&lt;0,(-AD18/(AE18-AD18)+1)/Кварталов_в_году,0))</f>
        <v>0.25</v>
      </c>
      <c s="132">
        <f ca="1" t="shared" si="125" ref="AE20">IF(AF18&lt;0,1/Кварталов_в_году,IF(AE18&lt;0,(-AE18/(AF18-AE18)+1)/Кварталов_в_году,0))</f>
        <v>0.25</v>
      </c>
      <c s="132">
        <f ca="1" t="shared" si="126" ref="AF20:AH20">IF(AG18&lt;0,1/Кварталов_в_году,IF(AF18&lt;0,(-AF18/(AG18-AF18)+1)/Кварталов_в_году,0))</f>
        <v>0.25</v>
      </c>
      <c s="132">
        <f t="shared" ca="1" si="126"/>
        <v>0.25</v>
      </c>
      <c s="132">
        <f t="shared" ca="1" si="126"/>
        <v>0.25</v>
      </c>
      <c s="132">
        <f ca="1" t="shared" si="127" ref="AI20">IF(AJ18&lt;0,1/Кварталов_в_году,IF(AI18&lt;0,(-AI18/(AJ18-AI18)+1)/Кварталов_в_году,0))</f>
        <v>0.25</v>
      </c>
      <c s="132">
        <f ca="1" t="shared" si="128" ref="AJ20">IF(AK18&lt;0,1/Кварталов_в_году,IF(AJ18&lt;0,(-AJ18/(AK18-AJ18)+1)/Кварталов_в_году,0))</f>
        <v>0.25</v>
      </c>
      <c s="132">
        <f ca="1" t="shared" si="129" ref="AK20">IF(AL18&lt;0,1/Кварталов_в_году,IF(AK18&lt;0,(-AK18/(AL18-AK18)+1)/Кварталов_в_году,0))</f>
        <v>0.25</v>
      </c>
      <c s="132">
        <f ca="1" t="shared" si="130" ref="AL20">IF(AM18&lt;0,1/Кварталов_в_году,IF(AL18&lt;0,(-AL18/(AM18-AL18)+1)/Кварталов_в_году,0))</f>
        <v>0.25</v>
      </c>
      <c s="132">
        <f ca="1" t="shared" si="131" ref="AM20">IF(AN18&lt;0,1/Кварталов_в_году,IF(AM18&lt;0,(-AM18/(AN18-AM18)+1)/Кварталов_в_году,0))</f>
        <v>0.25</v>
      </c>
      <c s="132">
        <f ca="1" t="shared" si="132" ref="AN20">IF(AO18&lt;0,1/Кварталов_в_году,IF(AN18&lt;0,(-AN18/(AO18-AN18)+1)/Кварталов_в_году,0))</f>
        <v>0.25</v>
      </c>
      <c s="132">
        <f ca="1" t="shared" si="133" ref="AO20">IF(AP18&lt;0,1/Кварталов_в_году,IF(AO18&lt;0,(-AO18/(AP18-AO18)+1)/Кварталов_в_году,0))</f>
        <v>0.25</v>
      </c>
      <c s="132">
        <f ca="1" t="shared" si="134" ref="AP20">IF(AQ18&lt;0,1/Кварталов_в_году,IF(AP18&lt;0,(-AP18/(AQ18-AP18)+1)/Кварталов_в_году,0))</f>
        <v>0.25</v>
      </c>
      <c s="132">
        <f ca="1" t="shared" si="135" ref="AQ20">IF(AR18&lt;0,1/Кварталов_в_году,IF(AQ18&lt;0,(-AQ18/(AR18-AQ18)+1)/Кварталов_в_году,0))</f>
        <v>0.25</v>
      </c>
      <c s="132">
        <f ca="1" t="shared" si="136" ref="AR20">IF(AS18&lt;0,1/Кварталов_в_году,IF(AR18&lt;0,(-AR18/(AS18-AR18)+1)/Кварталов_в_году,0))</f>
        <v>0.25</v>
      </c>
      <c s="132">
        <f ca="1" t="shared" si="137" ref="AS20">IF(AT18&lt;0,1/Кварталов_в_году,IF(AS18&lt;0,(-AS18/(AT18-AS18)+1)/Кварталов_в_году,0))</f>
        <v>0.25</v>
      </c>
      <c s="132">
        <f ca="1" t="shared" si="138" ref="AT20">IF(AU18&lt;0,1/Кварталов_в_году,IF(AT18&lt;0,(-AT18/(AU18-AT18)+1)/Кварталов_в_году,0))</f>
        <v>0.25</v>
      </c>
      <c s="132">
        <f ca="1" t="shared" si="139" ref="AU20">IF(AV18&lt;0,1/Кварталов_в_году,IF(AU18&lt;0,(-AU18/(AV18-AU18)+1)/Кварталов_в_году,0))</f>
        <v>0.25</v>
      </c>
      <c s="132">
        <f ca="1" t="shared" si="140" ref="AV20">IF(AW18&lt;0,1/Кварталов_в_году,IF(AV18&lt;0,(-AV18/(AW18-AV18)+1)/Кварталов_в_году,0))</f>
        <v>0.25</v>
      </c>
      <c s="132">
        <f ca="1" t="shared" si="141" ref="AW20">IF(AX18&lt;0,1/Кварталов_в_году,IF(AW18&lt;0,(-AW18/(AX18-AW18)+1)/Кварталов_в_году,0))</f>
        <v>0.25</v>
      </c>
      <c s="132">
        <f ca="1" t="shared" si="142" ref="AX20">IF(AY18&lt;0,1/Кварталов_в_году,IF(AX18&lt;0,(-AX18/(AY18-AX18)+1)/Кварталов_в_году,0))</f>
        <v>0.25</v>
      </c>
      <c s="132">
        <f ca="1" t="shared" si="143" ref="AY20">IF(AZ18&lt;0,1/Кварталов_в_году,IF(AY18&lt;0,(-AY18/(AZ18-AY18)+1)/Кварталов_в_году,0))</f>
        <v>0.25</v>
      </c>
      <c s="132">
        <f ca="1" t="shared" si="144" ref="AZ20">IF(BA18&lt;0,1/Кварталов_в_году,IF(AZ18&lt;0,(-AZ18/(BA18-AZ18)+1)/Кварталов_в_году,0))</f>
        <v>0.25</v>
      </c>
      <c s="132">
        <f ca="1" t="shared" si="145" ref="BA20">IF(BB18&lt;0,1/Кварталов_в_году,IF(BA18&lt;0,(-BA18/(BB18-BA18)+1)/Кварталов_в_году,0))</f>
        <v>0.25</v>
      </c>
      <c s="132">
        <f ca="1" t="shared" si="146" ref="BB20">IF(BC18&lt;0,1/Кварталов_в_году,IF(BB18&lt;0,(-BB18/(BC18-BB18)+1)/Кварталов_в_году,0))</f>
        <v>0.25</v>
      </c>
      <c s="132">
        <f ca="1" t="shared" si="147" ref="BC20">IF(BD18&lt;0,1/Кварталов_в_году,IF(BC18&lt;0,(-BC18/(BD18-BC18)+1)/Кварталов_в_году,0))</f>
        <v>0.25</v>
      </c>
      <c s="132">
        <f ca="1" t="shared" si="148" ref="BD20">IF(BE18&lt;0,1/Кварталов_в_году,IF(BD18&lt;0,(-BD18/(BE18-BD18)+1)/Кварталов_в_году,0))</f>
        <v>0.25</v>
      </c>
      <c s="132">
        <f ca="1" t="shared" si="149" ref="BE20">IF(BF18&lt;0,1/Кварталов_в_году,IF(BE18&lt;0,(-BE18/(BF18-BE18)+1)/Кварталов_в_году,0))</f>
        <v>0.25</v>
      </c>
      <c s="132">
        <f ca="1" t="shared" si="150" ref="BF20">IF(BG18&lt;0,1/Кварталов_в_году,IF(BF18&lt;0,(-BF18/(BG18-BF18)+1)/Кварталов_в_году,0))</f>
        <v>0.25</v>
      </c>
      <c s="132">
        <f ca="1" t="shared" si="151" ref="BG20">IF(BH18&lt;0,1/Кварталов_в_году,IF(BG18&lt;0,(-BG18/(BH18-BG18)+1)/Кварталов_в_году,0))</f>
        <v>0.25</v>
      </c>
      <c s="132">
        <f ca="1" t="shared" si="152" ref="BH20">IF(BI18&lt;0,1/Кварталов_в_году,IF(BH18&lt;0,(-BH18/(BI18-BH18)+1)/Кварталов_в_году,0))</f>
        <v>0.25</v>
      </c>
      <c s="132">
        <f ca="1" t="shared" si="153" ref="BI20">IF(BJ18&lt;0,1/Кварталов_в_году,IF(BI18&lt;0,(-BI18/(BJ18-BI18)+1)/Кварталов_в_году,0))</f>
        <v>0.25</v>
      </c>
      <c s="132">
        <f ca="1" t="shared" si="154" ref="BJ20">IF(BK18&lt;0,1/Кварталов_в_году,IF(BJ18&lt;0,(-BJ18/(BK18-BJ18)+1)/Кварталов_в_году,0))</f>
        <v>0.25</v>
      </c>
      <c s="132">
        <f ca="1" t="shared" si="155" ref="BK20">IF(BL18&lt;0,1/Кварталов_в_году,IF(BK18&lt;0,(-BK18/(BL18-BK18)+1)/Кварталов_в_году,0))</f>
        <v>0.25</v>
      </c>
      <c s="132">
        <f ca="1" t="shared" si="156" ref="BL20">IF(BM18&lt;0,1/Кварталов_в_году,IF(BL18&lt;0,(-BL18/(BM18-BL18)+1)/Кварталов_в_году,0))</f>
        <v>0.25</v>
      </c>
      <c s="132">
        <f ca="1" t="shared" si="157" ref="BM20">IF(BN18&lt;0,1/Кварталов_в_году,IF(BM18&lt;0,(-BM18/(BN18-BM18)+1)/Кварталов_в_году,0))</f>
        <v>0.5</v>
      </c>
    </row>
    <row r="21" ht="15" customHeight="1"/>
    <row r="22" spans="2:65" ht="14.45">
      <c r="B22" s="25" t="s">
        <v>1091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" spans="2:65" ht="15" customHeight="1">
      <c r="B23" s="12" t="s">
        <v>1092</v>
      </c>
      <c s="124" t="str">
        <f>Единица_измерения</f>
        <v>тыс. руб.</v>
      </c>
      <c s="125"/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  <c s="126">
        <f>((1+Ставка_Дисконтирования)^(1/4)-1)*(1+Чувствительность!$D$32)</f>
        <v>0.044826167766565561</v>
      </c>
    </row>
    <row r="24" spans="2:65" ht="15" customHeight="1">
      <c r="B24" s="289" t="s">
        <v>1093</v>
      </c>
      <c s="290" t="str">
        <f>Единица_измерения</f>
        <v>тыс. руб.</v>
      </c>
      <c s="282">
        <v>1</v>
      </c>
      <c s="282">
        <f t="shared" si="158" ref="E24">D24/(1+E23)</f>
        <v>0.95709700890973415</v>
      </c>
      <c s="282">
        <f t="shared" si="159" ref="F24">E24/(1+F23)</f>
        <v>0.91603468446395975</v>
      </c>
      <c s="282">
        <f t="shared" si="160" ref="G24">F24/(1+G23)</f>
        <v>0.87673405655802805</v>
      </c>
      <c s="282">
        <f t="shared" si="161" ref="H24">G24/(1+H23)</f>
        <v>0.83911954314098636</v>
      </c>
      <c s="282">
        <f t="shared" si="162" ref="I24">H24/(1+I23)</f>
        <v>0.80311880485794063</v>
      </c>
      <c s="282">
        <f t="shared" si="163" ref="J24">I24/(1+J23)</f>
        <v>0.7686626059286954</v>
      </c>
      <c s="282">
        <f t="shared" si="164" ref="K24">J24/(1+K23)</f>
        <v>0.73568468099511608</v>
      </c>
      <c s="282">
        <f t="shared" si="165" ref="L24">K24/(1+L23)</f>
        <v>0.70412160768113752</v>
      </c>
      <c s="282">
        <f t="shared" si="166" ref="M24">L24/(1+M23)</f>
        <v>0.67391268462033005</v>
      </c>
      <c s="282">
        <f t="shared" si="167" ref="N24">M24/(1+N23)</f>
        <v>0.64499981471644685</v>
      </c>
      <c s="282">
        <f t="shared" si="168" ref="O24">N24/(1+O23)</f>
        <v>0.61732739341244403</v>
      </c>
      <c s="282">
        <f t="shared" si="169" ref="P24">O24/(1+P23)</f>
        <v>0.59084220175309288</v>
      </c>
      <c s="282">
        <f t="shared" si="170" ref="Q24">P24/(1+Q23)</f>
        <v>0.56549330403552689</v>
      </c>
      <c s="282">
        <f t="shared" si="171" ref="R24">Q24/(1+R23)</f>
        <v>0.54123194985088574</v>
      </c>
      <c s="282">
        <f t="shared" si="172" ref="S24">R24/(1+S23)</f>
        <v>0.51801148032866595</v>
      </c>
      <c s="282">
        <f t="shared" si="173" ref="T24">S24/(1+T23)</f>
        <v>0.49578723840346978</v>
      </c>
      <c s="282">
        <f t="shared" si="174" ref="U24">T24/(1+U23)</f>
        <v>0.47451648293157822</v>
      </c>
      <c s="282">
        <f t="shared" si="175" ref="V24">U24/(1+V23)</f>
        <v>0.45415830649218042</v>
      </c>
      <c s="282">
        <f t="shared" si="176" ref="W24">V24/(1+W23)</f>
        <v>0.43467355671517616</v>
      </c>
      <c s="282">
        <f t="shared" si="177" ref="X24">W24/(1+X23)</f>
        <v>0.41602476098425079</v>
      </c>
      <c s="282">
        <f t="shared" si="178" ref="Y24">X24/(1+Y23)</f>
        <v>0.39817605437041348</v>
      </c>
      <c s="282">
        <f t="shared" si="179" ref="Z24">Y24/(1+Z23)</f>
        <v>0.38109311065740242</v>
      </c>
      <c s="282">
        <f t="shared" si="180" ref="AA24">Z24/(1+AA23)</f>
        <v>0.3647430763263062</v>
      </c>
      <c s="282">
        <f t="shared" si="181" ref="AB24">AA24/(1+AB23)</f>
        <v>0.34909450737244252</v>
      </c>
      <c s="282">
        <f t="shared" si="182" ref="AC24">AB24/(1+AC23)</f>
        <v>0.33411730883298185</v>
      </c>
      <c s="282">
        <f t="shared" si="183" ref="AD24">AC24/(1+AD23)</f>
        <v>0.31978267690901685</v>
      </c>
      <c s="282">
        <f t="shared" si="184" ref="AE24">AD24/(1+AE23)</f>
        <v>0.30606304357076797</v>
      </c>
      <c s="282">
        <f t="shared" si="185" ref="AF24">AE24/(1+AF23)</f>
        <v>0.29293202353939168</v>
      </c>
      <c s="282">
        <f t="shared" si="186" ref="AG24">AF24/(1+AG23)</f>
        <v>0.28036436354342764</v>
      </c>
      <c s="282">
        <f t="shared" si="187" ref="AH24">AG24/(1+AH23)</f>
        <v>0.26833589375229594</v>
      </c>
      <c s="282">
        <f t="shared" si="188" ref="AI24">AH24/(1+AI23)</f>
        <v>0.25682348129344268</v>
      </c>
      <c s="282">
        <f t="shared" si="189" ref="AJ24">AI24/(1+AJ23)</f>
        <v>0.24580498576373905</v>
      </c>
      <c s="282">
        <f t="shared" si="190" ref="AK24">AJ24/(1+AK23)</f>
        <v>0.23525921664957444</v>
      </c>
      <c s="282">
        <f t="shared" si="191" ref="AL24">AK24/(1+AL23)</f>
        <v>0.22516589257375483</v>
      </c>
      <c s="282">
        <f t="shared" si="192" ref="AM24">AL24/(1+AM23)</f>
        <v>0.21550560229083127</v>
      </c>
      <c s="282">
        <f t="shared" si="193" ref="AN24">AM24/(1+AN23)</f>
        <v>0.20625976735584536</v>
      </c>
      <c s="282">
        <f t="shared" si="194" ref="AO24">AN24/(1+AO23)</f>
        <v>0.19741060639469724</v>
      </c>
      <c s="282">
        <f t="shared" si="195" ref="AP24">AO24/(1+AP23)</f>
        <v>0.18894110090742156</v>
      </c>
      <c s="282">
        <f t="shared" si="196" ref="AQ24">AP24/(1+AQ23)</f>
        <v>0.18083496253860543</v>
      </c>
      <c s="282">
        <f t="shared" si="197" ref="AR24">AQ24/(1+AR23)</f>
        <v>0.17307660175200307</v>
      </c>
      <c s="282">
        <f t="shared" si="198" ref="AS24">AR24/(1+AS23)</f>
        <v>0.1656510978491034</v>
      </c>
      <c s="282">
        <f t="shared" si="199" ref="AT24">AS24/(1+AT23)</f>
        <v>0.15854417027399056</v>
      </c>
      <c s="282">
        <f t="shared" si="200" ref="AU24">AT24/(1+AU23)</f>
        <v>0.15174215114931197</v>
      </c>
      <c s="282">
        <f t="shared" si="201" ref="AV24">AU24/(1+AV23)</f>
        <v>0.14523195899053526</v>
      </c>
      <c s="282">
        <f t="shared" si="202" ref="AW24">AV24/(1+AW23)</f>
        <v>0.13900107354794247</v>
      </c>
      <c s="282">
        <f t="shared" si="203" ref="AX24">AW24/(1+AX23)</f>
        <v>0.1330375117279777</v>
      </c>
      <c s="282">
        <f t="shared" si="204" ref="AY24">AX24/(1+AY23)</f>
        <v>0.12732980454764115</v>
      </c>
      <c s="282">
        <f t="shared" si="205" ref="AZ24">AY24/(1+AZ23)</f>
        <v>0.12186697507760841</v>
      </c>
      <c s="282">
        <f t="shared" si="206" ref="BA24">AZ24/(1+BA23)</f>
        <v>0.11663851733165613</v>
      </c>
      <c s="282">
        <f t="shared" si="207" ref="BB24">BA24/(1+BB23)</f>
        <v>0.11163437606179427</v>
      </c>
      <c s="282">
        <f t="shared" si="208" ref="BC24">BB24/(1+BC23)</f>
        <v>0.10684492742024773</v>
      </c>
      <c s="282">
        <f t="shared" si="209" ref="BD24">BC24/(1+BD23)</f>
        <v>0.10226096045109674</v>
      </c>
      <c s="282">
        <f t="shared" si="210" ref="BE24">BD24/(1+BE23)</f>
        <v>0.097873659375981317</v>
      </c>
      <c s="282">
        <f t="shared" si="211" ref="BF24">BE24/(1+BF23)</f>
        <v>0.093674586639801882</v>
      </c>
      <c s="282">
        <f t="shared" si="212" ref="BG24">BF24/(1+BG23)</f>
        <v>0.089655666683810128</v>
      </c>
      <c s="282">
        <f t="shared" si="213" ref="BH24">BG24/(1+BH23)</f>
        <v>0.085809170414882785</v>
      </c>
      <c s="282">
        <f t="shared" si="214" ref="BI24">BH24/(1+BI23)</f>
        <v>0.082127700341109972</v>
      </c>
      <c s="282">
        <f t="shared" si="215" ref="BJ24">BI24/(1+BJ23)</f>
        <v>0.078604176345111312</v>
      </c>
      <c s="282">
        <f t="shared" si="216" ref="BK24">BJ24/(1+BK23)</f>
        <v>0.07523182206771932</v>
      </c>
      <c s="282">
        <f t="shared" si="217" ref="BL24">BK24/(1+BL23)</f>
        <v>0.072004151875843497</v>
      </c>
      <c s="282">
        <f t="shared" si="218" ref="BM24">BL24/(1+BM23)</f>
        <v>0.068914958389452038</v>
      </c>
    </row>
    <row r="25" ht="15" customHeight="1"/>
    <row r="26" spans="2:65" ht="14.45">
      <c r="B26" s="25" t="s">
        <v>1094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" spans="2:65" ht="15" customHeight="1">
      <c r="B27" s="12" t="s">
        <v>1094</v>
      </c>
      <c s="124" t="str">
        <f>Единица_измерения</f>
        <v>тыс. руб.</v>
      </c>
      <c s="125"/>
      <c s="125">
        <f ca="1" t="shared" si="219" ref="E27:BM27">E17*E24</f>
        <v>-0.00095709700890973413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  <c s="125">
        <f t="shared" ca="1" si="219"/>
        <v>0</v>
      </c>
    </row>
    <row r="28" spans="2:65" ht="15" customHeight="1">
      <c r="B28" s="289" t="s">
        <v>1089</v>
      </c>
      <c s="290" t="str">
        <f>Единица_измерения</f>
        <v>тыс. руб.</v>
      </c>
      <c s="276"/>
      <c s="276">
        <f ca="1" t="shared" si="220" ref="E28">D28+E27</f>
        <v>-0.00095709700890973413</v>
      </c>
      <c s="276">
        <f ca="1" t="shared" si="221" ref="F28:G28">E28+F27</f>
        <v>-0.00095709700890973413</v>
      </c>
      <c s="276">
        <f t="shared" ca="1" si="221"/>
        <v>-0.00095709700890973413</v>
      </c>
      <c s="276">
        <f ca="1" t="shared" si="222" ref="H28">G28+H27</f>
        <v>-0.00095709700890973413</v>
      </c>
      <c s="276">
        <f ca="1" t="shared" si="223" ref="I28">H28+I27</f>
        <v>-0.00095709700890973413</v>
      </c>
      <c s="276">
        <f ca="1" t="shared" si="224" ref="J28">I28+J27</f>
        <v>-0.00095709700890973413</v>
      </c>
      <c s="276">
        <f ca="1" t="shared" si="225" ref="K28">J28+K27</f>
        <v>-0.00095709700890973413</v>
      </c>
      <c s="276">
        <f ca="1" t="shared" si="226" ref="L28">K28+L27</f>
        <v>-0.00095709700890973413</v>
      </c>
      <c s="276">
        <f ca="1" t="shared" si="227" ref="M28">L28+M27</f>
        <v>-0.00095709700890973413</v>
      </c>
      <c s="276">
        <f ca="1" t="shared" si="228" ref="N28">M28+N27</f>
        <v>-0.00095709700890973413</v>
      </c>
      <c s="276">
        <f ca="1" t="shared" si="229" ref="O28">N28+O27</f>
        <v>-0.00095709700890973413</v>
      </c>
      <c s="276">
        <f ca="1" t="shared" si="230" ref="P28">O28+P27</f>
        <v>-0.00095709700890973413</v>
      </c>
      <c s="276">
        <f ca="1" t="shared" si="231" ref="Q28">P28+Q27</f>
        <v>-0.00095709700890973413</v>
      </c>
      <c s="276">
        <f ca="1" t="shared" si="232" ref="R28">Q28+R27</f>
        <v>-0.00095709700890973413</v>
      </c>
      <c s="276">
        <f ca="1" t="shared" si="233" ref="S28">R28+S27</f>
        <v>-0.00095709700890973413</v>
      </c>
      <c s="276">
        <f ca="1" t="shared" si="234" ref="T28">S28+T27</f>
        <v>-0.00095709700890973413</v>
      </c>
      <c s="276">
        <f ca="1" t="shared" si="235" ref="U28">T28+U27</f>
        <v>-0.00095709700890973413</v>
      </c>
      <c s="276">
        <f ca="1" t="shared" si="236" ref="V28">U28+V27</f>
        <v>-0.00095709700890973413</v>
      </c>
      <c s="276">
        <f ca="1" t="shared" si="237" ref="W28">V28+W27</f>
        <v>-0.00095709700890973413</v>
      </c>
      <c s="276">
        <f ca="1" t="shared" si="238" ref="X28">W28+X27</f>
        <v>-0.00095709700890973413</v>
      </c>
      <c s="276">
        <f ca="1" t="shared" si="239" ref="Y28">X28+Y27</f>
        <v>-0.00095709700890973413</v>
      </c>
      <c s="276">
        <f ca="1" t="shared" si="240" ref="Z28">Y28+Z27</f>
        <v>-0.00095709700890973413</v>
      </c>
      <c s="276">
        <f ca="1" t="shared" si="241" ref="AA28">Z28+AA27</f>
        <v>-0.00095709700890973413</v>
      </c>
      <c s="276">
        <f ca="1" t="shared" si="242" ref="AB28">AA28+AB27</f>
        <v>-0.00095709700890973413</v>
      </c>
      <c s="276">
        <f ca="1" t="shared" si="243" ref="AC28">AB28+AC27</f>
        <v>-0.00095709700890973413</v>
      </c>
      <c s="276">
        <f ca="1" t="shared" si="244" ref="AD28">AC28+AD27</f>
        <v>-0.00095709700890973413</v>
      </c>
      <c s="276">
        <f ca="1" t="shared" si="245" ref="AE28">AD28+AE27</f>
        <v>-0.00095709700890973413</v>
      </c>
      <c s="276">
        <f ca="1" t="shared" si="246" ref="AF28">AE28+AF27</f>
        <v>-0.00095709700890973413</v>
      </c>
      <c s="276">
        <f ca="1" t="shared" si="247" ref="AG28">AF28+AG27</f>
        <v>-0.00095709700890973413</v>
      </c>
      <c s="276">
        <f ca="1" t="shared" si="248" ref="AH28">AG28+AH27</f>
        <v>-0.00095709700890973413</v>
      </c>
      <c s="276">
        <f ca="1" t="shared" si="249" ref="AI28">AH28+AI27</f>
        <v>-0.00095709700890973413</v>
      </c>
      <c s="276">
        <f ca="1" t="shared" si="250" ref="AJ28">AI28+AJ27</f>
        <v>-0.00095709700890973413</v>
      </c>
      <c s="276">
        <f ca="1" t="shared" si="251" ref="AK28">AJ28+AK27</f>
        <v>-0.00095709700890973413</v>
      </c>
      <c s="276">
        <f ca="1" t="shared" si="252" ref="AL28">AK28+AL27</f>
        <v>-0.00095709700890973413</v>
      </c>
      <c s="276">
        <f ca="1" t="shared" si="253" ref="AM28">AL28+AM27</f>
        <v>-0.00095709700890973413</v>
      </c>
      <c s="276">
        <f ca="1" t="shared" si="254" ref="AN28">AM28+AN27</f>
        <v>-0.00095709700890973413</v>
      </c>
      <c s="276">
        <f ca="1" t="shared" si="255" ref="AO28">AN28+AO27</f>
        <v>-0.00095709700890973413</v>
      </c>
      <c s="276">
        <f ca="1" t="shared" si="256" ref="AP28">AO28+AP27</f>
        <v>-0.00095709700890973413</v>
      </c>
      <c s="276">
        <f ca="1" t="shared" si="257" ref="AQ28">AP28+AQ27</f>
        <v>-0.00095709700890973413</v>
      </c>
      <c s="276">
        <f ca="1" t="shared" si="258" ref="AR28">AQ28+AR27</f>
        <v>-0.00095709700890973413</v>
      </c>
      <c s="276">
        <f ca="1" t="shared" si="259" ref="AS28">AR28+AS27</f>
        <v>-0.00095709700890973413</v>
      </c>
      <c s="276">
        <f ca="1" t="shared" si="260" ref="AT28">AS28+AT27</f>
        <v>-0.00095709700890973413</v>
      </c>
      <c s="276">
        <f ca="1" t="shared" si="261" ref="AU28">AT28+AU27</f>
        <v>-0.00095709700890973413</v>
      </c>
      <c s="276">
        <f ca="1" t="shared" si="262" ref="AV28">AU28+AV27</f>
        <v>-0.00095709700890973413</v>
      </c>
      <c s="276">
        <f ca="1" t="shared" si="263" ref="AW28">AV28+AW27</f>
        <v>-0.00095709700890973413</v>
      </c>
      <c s="276">
        <f ca="1" t="shared" si="264" ref="AX28">AW28+AX27</f>
        <v>-0.00095709700890973413</v>
      </c>
      <c s="276">
        <f ca="1" t="shared" si="265" ref="AY28">AX28+AY27</f>
        <v>-0.00095709700890973413</v>
      </c>
      <c s="276">
        <f ca="1" t="shared" si="266" ref="AZ28">AY28+AZ27</f>
        <v>-0.00095709700890973413</v>
      </c>
      <c s="276">
        <f ca="1" t="shared" si="267" ref="BA28">AZ28+BA27</f>
        <v>-0.00095709700890973413</v>
      </c>
      <c s="276">
        <f ca="1" t="shared" si="268" ref="BB28">BA28+BB27</f>
        <v>-0.00095709700890973413</v>
      </c>
      <c s="276">
        <f ca="1" t="shared" si="269" ref="BC28">BB28+BC27</f>
        <v>-0.00095709700890973413</v>
      </c>
      <c s="276">
        <f ca="1" t="shared" si="270" ref="BD28">BC28+BD27</f>
        <v>-0.00095709700890973413</v>
      </c>
      <c s="276">
        <f ca="1" t="shared" si="271" ref="BE28">BD28+BE27</f>
        <v>-0.00095709700890973413</v>
      </c>
      <c s="276">
        <f ca="1" t="shared" si="272" ref="BF28">BE28+BF27</f>
        <v>-0.00095709700890973413</v>
      </c>
      <c s="276">
        <f ca="1" t="shared" si="273" ref="BG28">BF28+BG27</f>
        <v>-0.00095709700890973413</v>
      </c>
      <c s="276">
        <f ca="1" t="shared" si="274" ref="BH28">BG28+BH27</f>
        <v>-0.00095709700890973413</v>
      </c>
      <c s="276">
        <f ca="1" t="shared" si="275" ref="BI28">BH28+BI27</f>
        <v>-0.00095709700890973413</v>
      </c>
      <c s="276">
        <f ca="1" t="shared" si="276" ref="BJ28">BI28+BJ27</f>
        <v>-0.00095709700890973413</v>
      </c>
      <c s="276">
        <f ca="1" t="shared" si="277" ref="BK28">BJ28+BK27</f>
        <v>-0.00095709700890973413</v>
      </c>
      <c s="276">
        <f ca="1" t="shared" si="278" ref="BL28">BK28+BL27</f>
        <v>-0.00095709700890973413</v>
      </c>
      <c s="276">
        <f ca="1" t="shared" si="279" ref="BM28">BL28+BM27</f>
        <v>-0.00095709700890973413</v>
      </c>
    </row>
    <row r="29" ht="15" customHeight="1"/>
    <row r="30" spans="2:65" ht="15" customHeight="1">
      <c r="B30" s="12" t="s">
        <v>1095</v>
      </c>
      <c s="124"/>
      <c s="125"/>
      <c s="132">
        <f ca="1" t="shared" si="280" ref="E30">IF(F28&lt;0,1/Кварталов_в_году,IF(E28&lt;0,(-E28/(F28-E28)+1)/Кварталов_в_году,0))</f>
        <v>0.25</v>
      </c>
      <c s="132">
        <f ca="1" t="shared" si="281" ref="F30">IF(G28&lt;0,1/Кварталов_в_году,IF(F28&lt;0,(-F28/(G28-F28)+1)/Кварталов_в_году,0))</f>
        <v>0.25</v>
      </c>
      <c s="132">
        <f ca="1" t="shared" si="282" ref="G30">IF(H28&lt;0,1/Кварталов_в_году,IF(G28&lt;0,(-G28/(H28-G28)+1)/Кварталов_в_году,0))</f>
        <v>0.25</v>
      </c>
      <c s="132">
        <f ca="1" t="shared" si="283" ref="H30">IF(I28&lt;0,1/Кварталов_в_году,IF(H28&lt;0,(-H28/(I28-H28)+1)/Кварталов_в_году,0))</f>
        <v>0.25</v>
      </c>
      <c s="132">
        <f ca="1" t="shared" si="284" ref="I30">IF(J28&lt;0,1/Кварталов_в_году,IF(I28&lt;0,(-I28/(J28-I28)+1)/Кварталов_в_году,0))</f>
        <v>0.25</v>
      </c>
      <c s="132">
        <f ca="1" t="shared" si="285" ref="J30">IF(K28&lt;0,1/Кварталов_в_году,IF(J28&lt;0,(-J28/(K28-J28)+1)/Кварталов_в_году,0))</f>
        <v>0.25</v>
      </c>
      <c s="132">
        <f ca="1" t="shared" si="286" ref="K30">IF(L28&lt;0,1/Кварталов_в_году,IF(K28&lt;0,(-K28/(L28-K28)+1)/Кварталов_в_году,0))</f>
        <v>0.25</v>
      </c>
      <c s="132">
        <f ca="1" t="shared" si="287" ref="L30">IF(M28&lt;0,1/Кварталов_в_году,IF(L28&lt;0,(-L28/(M28-L28)+1)/Кварталов_в_году,0))</f>
        <v>0.25</v>
      </c>
      <c s="132">
        <f ca="1" t="shared" si="288" ref="M30">IF(N28&lt;0,1/Кварталов_в_году,IF(M28&lt;0,(-M28/(N28-M28)+1)/Кварталов_в_году,0))</f>
        <v>0.25</v>
      </c>
      <c s="132">
        <f ca="1" t="shared" si="289" ref="N30">IF(O28&lt;0,1/Кварталов_в_году,IF(N28&lt;0,(-N28/(O28-N28)+1)/Кварталов_в_году,0))</f>
        <v>0.25</v>
      </c>
      <c s="132">
        <f ca="1" t="shared" si="290" ref="O30">IF(P28&lt;0,1/Кварталов_в_году,IF(O28&lt;0,(-O28/(P28-O28)+1)/Кварталов_в_году,0))</f>
        <v>0.25</v>
      </c>
      <c s="132">
        <f ca="1" t="shared" si="291" ref="P30">IF(Q28&lt;0,1/Кварталов_в_году,IF(P28&lt;0,(-P28/(Q28-P28)+1)/Кварталов_в_году,0))</f>
        <v>0.25</v>
      </c>
      <c s="132">
        <f ca="1" t="shared" si="292" ref="Q30">IF(R28&lt;0,1/Кварталов_в_году,IF(Q28&lt;0,(-Q28/(R28-Q28)+1)/Кварталов_в_году,0))</f>
        <v>0.25</v>
      </c>
      <c s="132">
        <f ca="1" t="shared" si="293" ref="R30">IF(S28&lt;0,1/Кварталов_в_году,IF(R28&lt;0,(-R28/(S28-R28)+1)/Кварталов_в_году,0))</f>
        <v>0.25</v>
      </c>
      <c s="132">
        <f ca="1" t="shared" si="294" ref="S30">IF(T28&lt;0,1/Кварталов_в_году,IF(S28&lt;0,(-S28/(T28-S28)+1)/Кварталов_в_году,0))</f>
        <v>0.25</v>
      </c>
      <c s="132">
        <f ca="1" t="shared" si="295" ref="T30">IF(U28&lt;0,1/Кварталов_в_году,IF(T28&lt;0,(-T28/(U28-T28)+1)/Кварталов_в_году,0))</f>
        <v>0.25</v>
      </c>
      <c s="132">
        <f ca="1" t="shared" si="296" ref="U30">IF(V28&lt;0,1/Кварталов_в_году,IF(U28&lt;0,(-U28/(V28-U28)+1)/Кварталов_в_году,0))</f>
        <v>0.25</v>
      </c>
      <c s="132">
        <f ca="1" t="shared" si="297" ref="V30">IF(W28&lt;0,1/Кварталов_в_году,IF(V28&lt;0,(-V28/(W28-V28)+1)/Кварталов_в_году,0))</f>
        <v>0.25</v>
      </c>
      <c s="132">
        <f ca="1" t="shared" si="298" ref="W30">IF(X28&lt;0,1/Кварталов_в_году,IF(W28&lt;0,(-W28/(X28-W28)+1)/Кварталов_в_году,0))</f>
        <v>0.25</v>
      </c>
      <c s="132">
        <f ca="1" t="shared" si="299" ref="X30">IF(Y28&lt;0,1/Кварталов_в_году,IF(X28&lt;0,(-X28/(Y28-X28)+1)/Кварталов_в_году,0))</f>
        <v>0.25</v>
      </c>
      <c s="132">
        <f ca="1" t="shared" si="300" ref="Y30">IF(Z28&lt;0,1/Кварталов_в_году,IF(Y28&lt;0,(-Y28/(Z28-Y28)+1)/Кварталов_в_году,0))</f>
        <v>0.25</v>
      </c>
      <c s="132">
        <f ca="1" t="shared" si="301" ref="Z30">IF(AA28&lt;0,1/Кварталов_в_году,IF(Z28&lt;0,(-Z28/(AA28-Z28)+1)/Кварталов_в_году,0))</f>
        <v>0.25</v>
      </c>
      <c s="132">
        <f ca="1" t="shared" si="302" ref="AA30">IF(AB28&lt;0,1/Кварталов_в_году,IF(AA28&lt;0,(-AA28/(AB28-AA28)+1)/Кварталов_в_году,0))</f>
        <v>0.25</v>
      </c>
      <c s="132">
        <f ca="1" t="shared" si="303" ref="AB30">IF(AC28&lt;0,1/Кварталов_в_году,IF(AB28&lt;0,(-AB28/(AC28-AB28)+1)/Кварталов_в_году,0))</f>
        <v>0.25</v>
      </c>
      <c s="132">
        <f ca="1" t="shared" si="304" ref="AC30">IF(AD28&lt;0,1/Кварталов_в_году,IF(AC28&lt;0,(-AC28/(AD28-AC28)+1)/Кварталов_в_году,0))</f>
        <v>0.25</v>
      </c>
      <c s="132">
        <f ca="1" t="shared" si="305" ref="AD30">IF(AE28&lt;0,1/Кварталов_в_году,IF(AD28&lt;0,(-AD28/(AE28-AD28)+1)/Кварталов_в_году,0))</f>
        <v>0.25</v>
      </c>
      <c s="132">
        <f ca="1" t="shared" si="306" ref="AE30">IF(AF28&lt;0,1/Кварталов_в_году,IF(AE28&lt;0,(-AE28/(AF28-AE28)+1)/Кварталов_в_году,0))</f>
        <v>0.25</v>
      </c>
      <c s="132">
        <f ca="1" t="shared" si="307" ref="AF30:AH30">IF(AG28&lt;0,1/Кварталов_в_году,IF(AF28&lt;0,(-AF28/(AG28-AF28)+1)/Кварталов_в_году,0))</f>
        <v>0.25</v>
      </c>
      <c s="132">
        <f t="shared" ca="1" si="307"/>
        <v>0.25</v>
      </c>
      <c s="132">
        <f t="shared" ca="1" si="307"/>
        <v>0.25</v>
      </c>
      <c s="132">
        <f ca="1" t="shared" si="308" ref="AI30">IF(AJ28&lt;0,1/Кварталов_в_году,IF(AI28&lt;0,(-AI28/(AJ28-AI28)+1)/Кварталов_в_году,0))</f>
        <v>0.25</v>
      </c>
      <c s="132">
        <f ca="1" t="shared" si="309" ref="AJ30">IF(AK28&lt;0,1/Кварталов_в_году,IF(AJ28&lt;0,(-AJ28/(AK28-AJ28)+1)/Кварталов_в_году,0))</f>
        <v>0.25</v>
      </c>
      <c s="132">
        <f ca="1" t="shared" si="310" ref="AK30">IF(AL28&lt;0,1/Кварталов_в_году,IF(AK28&lt;0,(-AK28/(AL28-AK28)+1)/Кварталов_в_году,0))</f>
        <v>0.25</v>
      </c>
      <c s="132">
        <f ca="1" t="shared" si="311" ref="AL30">IF(AM28&lt;0,1/Кварталов_в_году,IF(AL28&lt;0,(-AL28/(AM28-AL28)+1)/Кварталов_в_году,0))</f>
        <v>0.25</v>
      </c>
      <c s="132">
        <f ca="1" t="shared" si="312" ref="AM30">IF(AN28&lt;0,1/Кварталов_в_году,IF(AM28&lt;0,(-AM28/(AN28-AM28)+1)/Кварталов_в_году,0))</f>
        <v>0.25</v>
      </c>
      <c s="132">
        <f ca="1" t="shared" si="313" ref="AN30">IF(AO28&lt;0,1/Кварталов_в_году,IF(AN28&lt;0,(-AN28/(AO28-AN28)+1)/Кварталов_в_году,0))</f>
        <v>0.25</v>
      </c>
      <c s="132">
        <f ca="1" t="shared" si="314" ref="AO30">IF(AP28&lt;0,1/Кварталов_в_году,IF(AO28&lt;0,(-AO28/(AP28-AO28)+1)/Кварталов_в_году,0))</f>
        <v>0.25</v>
      </c>
      <c s="132">
        <f ca="1" t="shared" si="315" ref="AP30">IF(AQ28&lt;0,1/Кварталов_в_году,IF(AP28&lt;0,(-AP28/(AQ28-AP28)+1)/Кварталов_в_году,0))</f>
        <v>0.25</v>
      </c>
      <c s="132">
        <f ca="1" t="shared" si="316" ref="AQ30">IF(AR28&lt;0,1/Кварталов_в_году,IF(AQ28&lt;0,(-AQ28/(AR28-AQ28)+1)/Кварталов_в_году,0))</f>
        <v>0.25</v>
      </c>
      <c s="132">
        <f ca="1" t="shared" si="317" ref="AR30">IF(AS28&lt;0,1/Кварталов_в_году,IF(AR28&lt;0,(-AR28/(AS28-AR28)+1)/Кварталов_в_году,0))</f>
        <v>0.25</v>
      </c>
      <c s="132">
        <f ca="1" t="shared" si="318" ref="AS30">IF(AT28&lt;0,1/Кварталов_в_году,IF(AS28&lt;0,(-AS28/(AT28-AS28)+1)/Кварталов_в_году,0))</f>
        <v>0.25</v>
      </c>
      <c s="132">
        <f ca="1" t="shared" si="319" ref="AT30">IF(AU28&lt;0,1/Кварталов_в_году,IF(AT28&lt;0,(-AT28/(AU28-AT28)+1)/Кварталов_в_году,0))</f>
        <v>0.25</v>
      </c>
      <c s="132">
        <f ca="1" t="shared" si="320" ref="AU30">IF(AV28&lt;0,1/Кварталов_в_году,IF(AU28&lt;0,(-AU28/(AV28-AU28)+1)/Кварталов_в_году,0))</f>
        <v>0.25</v>
      </c>
      <c s="132">
        <f ca="1" t="shared" si="321" ref="AV30">IF(AW28&lt;0,1/Кварталов_в_году,IF(AV28&lt;0,(-AV28/(AW28-AV28)+1)/Кварталов_в_году,0))</f>
        <v>0.25</v>
      </c>
      <c s="132">
        <f ca="1" t="shared" si="322" ref="AW30">IF(AX28&lt;0,1/Кварталов_в_году,IF(AW28&lt;0,(-AW28/(AX28-AW28)+1)/Кварталов_в_году,0))</f>
        <v>0.25</v>
      </c>
      <c s="132">
        <f ca="1" t="shared" si="323" ref="AX30">IF(AY28&lt;0,1/Кварталов_в_году,IF(AX28&lt;0,(-AX28/(AY28-AX28)+1)/Кварталов_в_году,0))</f>
        <v>0.25</v>
      </c>
      <c s="132">
        <f ca="1" t="shared" si="324" ref="AY30">IF(AZ28&lt;0,1/Кварталов_в_году,IF(AY28&lt;0,(-AY28/(AZ28-AY28)+1)/Кварталов_в_году,0))</f>
        <v>0.25</v>
      </c>
      <c s="132">
        <f ca="1" t="shared" si="325" ref="AZ30">IF(BA28&lt;0,1/Кварталов_в_году,IF(AZ28&lt;0,(-AZ28/(BA28-AZ28)+1)/Кварталов_в_году,0))</f>
        <v>0.25</v>
      </c>
      <c s="132">
        <f ca="1" t="shared" si="326" ref="BA30">IF(BB28&lt;0,1/Кварталов_в_году,IF(BA28&lt;0,(-BA28/(BB28-BA28)+1)/Кварталов_в_году,0))</f>
        <v>0.25</v>
      </c>
      <c s="132">
        <f ca="1" t="shared" si="327" ref="BB30">IF(BC28&lt;0,1/Кварталов_в_году,IF(BB28&lt;0,(-BB28/(BC28-BB28)+1)/Кварталов_в_году,0))</f>
        <v>0.25</v>
      </c>
      <c s="132">
        <f ca="1" t="shared" si="328" ref="BC30">IF(BD28&lt;0,1/Кварталов_в_году,IF(BC28&lt;0,(-BC28/(BD28-BC28)+1)/Кварталов_в_году,0))</f>
        <v>0.25</v>
      </c>
      <c s="132">
        <f ca="1" t="shared" si="329" ref="BD30">IF(BE28&lt;0,1/Кварталов_в_году,IF(BD28&lt;0,(-BD28/(BE28-BD28)+1)/Кварталов_в_году,0))</f>
        <v>0.25</v>
      </c>
      <c s="132">
        <f ca="1" t="shared" si="330" ref="BE30">IF(BF28&lt;0,1/Кварталов_в_году,IF(BE28&lt;0,(-BE28/(BF28-BE28)+1)/Кварталов_в_году,0))</f>
        <v>0.25</v>
      </c>
      <c s="132">
        <f ca="1" t="shared" si="331" ref="BF30">IF(BG28&lt;0,1/Кварталов_в_году,IF(BF28&lt;0,(-BF28/(BG28-BF28)+1)/Кварталов_в_году,0))</f>
        <v>0.25</v>
      </c>
      <c s="132">
        <f ca="1" t="shared" si="332" ref="BG30">IF(BH28&lt;0,1/Кварталов_в_году,IF(BG28&lt;0,(-BG28/(BH28-BG28)+1)/Кварталов_в_году,0))</f>
        <v>0.25</v>
      </c>
      <c s="132">
        <f ca="1" t="shared" si="333" ref="BH30">IF(BI28&lt;0,1/Кварталов_в_году,IF(BH28&lt;0,(-BH28/(BI28-BH28)+1)/Кварталов_в_году,0))</f>
        <v>0.25</v>
      </c>
      <c s="132">
        <f ca="1" t="shared" si="334" ref="BI30">IF(BJ28&lt;0,1/Кварталов_в_году,IF(BI28&lt;0,(-BI28/(BJ28-BI28)+1)/Кварталов_в_году,0))</f>
        <v>0.25</v>
      </c>
      <c s="132">
        <f ca="1" t="shared" si="335" ref="BJ30">IF(BK28&lt;0,1/Кварталов_в_году,IF(BJ28&lt;0,(-BJ28/(BK28-BJ28)+1)/Кварталов_в_году,0))</f>
        <v>0.25</v>
      </c>
      <c s="132">
        <f ca="1" t="shared" si="336" ref="BK30">IF(BL28&lt;0,1/Кварталов_в_году,IF(BK28&lt;0,(-BK28/(BL28-BK28)+1)/Кварталов_в_году,0))</f>
        <v>0.25</v>
      </c>
      <c s="132">
        <f ca="1" t="shared" si="337" ref="BL30">IF(BM28&lt;0,1/Кварталов_в_году,IF(BL28&lt;0,(-BL28/(BM28-BL28)+1)/Кварталов_в_году,0))</f>
        <v>0.25</v>
      </c>
      <c s="132">
        <f ca="1" t="shared" si="338" ref="BM30">IF(BN28&lt;0,1/Кварталов_в_году,IF(BM28&lt;0,(-BM28/(BN28-BM28)+1)/Кварталов_в_году,0))</f>
        <v>0.5</v>
      </c>
    </row>
    <row r="31" ht="15" customHeight="1"/>
    <row r="32" spans="2:65" ht="14.45">
      <c r="B32" s="25" t="s">
        <v>338</v>
      </c>
      <c s="19" t="s">
        <v>1096</v>
      </c>
      <c s="318">
        <v>50951</v>
      </c>
      <c s="173" t="s">
        <v>1097</v>
      </c>
      <c r="G32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" spans="2:8" ht="15" customHeight="1">
      <c r="B33" s="12" t="s">
        <v>1098</v>
      </c>
      <c s="124" t="str">
        <f>Единица_измерения</f>
        <v>тыс. руб.</v>
      </c>
      <c s="125">
        <f ca="1">SUMIF(E6:BM6,CONCATENATE(E32,MATCH(D32,$E$8:$BM$8,0)),E27:BM27)</f>
        <v>-0.00095709700890973413</v>
      </c>
      <c s="131"/>
      <c s="131"/>
      <c r="H33" s="174"/>
    </row>
    <row r="34" spans="2:7" ht="15" customHeight="1">
      <c r="B34" s="133" t="str">
        <f>"в т.ч. за период займа "&amp;IF(ISNUMBER(SEARCH("РФРП",Программа)),"ФРП и РФРП","ФРП")</f>
        <v>в т.ч. за период займа ФРП</v>
      </c>
      <c s="134" t="str">
        <f>Единица_измерения</f>
        <v>тыс. руб.</v>
      </c>
      <c s="135">
        <f ca="1">SUMPRODUCT($E$12:$BM$12,E27:BM27)</f>
        <v>-0.00095709700890973413</v>
      </c>
      <c r="G34" s="29"/>
    </row>
    <row r="35" spans="2:4" ht="15" customHeight="1">
      <c r="B35" s="12" t="s">
        <v>1099</v>
      </c>
      <c s="124" t="s">
        <v>817</v>
      </c>
      <c s="126">
        <f ca="1">IFERROR(XIRR(E17:OFFSET(E17,0,MATCH(D32,$E$8:$BM$8,0)-1,,),$E$8:OFFSET(E8,0,MATCH(D32,$E$8:$BM$8,0)-1,,)),0)</f>
        <v>0</v>
      </c>
    </row>
    <row r="36" spans="2:4" ht="15" customHeight="1">
      <c r="B36" s="133" t="str">
        <f>"в т.ч. за период займа "&amp;IF(ISNUMBER(SEARCH("РФРП",Программа)),"ФРП и РФРП","ФРП")</f>
        <v>в т.ч. за период займа ФРП</v>
      </c>
      <c s="124" t="s">
        <v>817</v>
      </c>
      <c s="136" t="str">
        <f ca="1">IFERROR(XIRR(OFFSET(E17,,,,Предпосылки!$C$14),OFFSET(E$8,,,,Предпосылки!$C$14)),"-")</f>
        <v>-</v>
      </c>
    </row>
    <row r="37" spans="2:4" ht="15" customHeight="1">
      <c r="B37" s="12" t="s">
        <v>1100</v>
      </c>
      <c s="124" t="s">
        <v>1101</v>
      </c>
      <c s="125" t="str">
        <f ca="1">IF(MAX(E18:BM18)&lt;0,"не окупается",SUM(E20:BM20))</f>
        <v>не окупается</v>
      </c>
    </row>
    <row r="38" spans="2:4" ht="15" customHeight="1">
      <c r="B38" s="12" t="s">
        <v>1102</v>
      </c>
      <c s="124" t="s">
        <v>1101</v>
      </c>
      <c s="125" t="str">
        <f ca="1">IF(MAX(E28:BM28)&lt;0,"не окупается",SUM(E30:BM30))</f>
        <v>не окупается</v>
      </c>
    </row>
    <row r="39" ht="15" customHeight="1"/>
    <row r="40" spans="2:2" ht="15" customHeight="1">
      <c r="B40" s="24" t="s">
        <v>1103</v>
      </c>
    </row>
    <row r="41" spans="2:4" ht="15" customHeight="1">
      <c r="B41" s="12" t="s">
        <v>1104</v>
      </c>
      <c s="124" t="str">
        <f>Единица_измерения</f>
        <v>тыс. руб.</v>
      </c>
      <c s="125">
        <f>SUM('Капитальные вложения'!$D$58,'Операционные затраты'!$D$632)</f>
        <v>0</v>
      </c>
    </row>
    <row r="42" ht="15" customHeight="1"/>
    <row r="43" spans="2:65" ht="14.45">
      <c r="B43" s="25" t="s">
        <v>1087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" spans="2:65" ht="15" customHeight="1">
      <c r="B44" s="12" t="s">
        <v>1088</v>
      </c>
      <c s="124" t="str">
        <f>Единица_измерения</f>
        <v>тыс. руб.</v>
      </c>
      <c s="125">
        <f>-D41</f>
        <v>0</v>
      </c>
      <c s="125">
        <f ca="1">E17</f>
        <v>-0.001</v>
      </c>
      <c s="125">
        <f ca="1" t="shared" si="339" ref="F44:AG44">F17</f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t="shared" ca="1" si="339"/>
        <v>0</v>
      </c>
      <c s="125">
        <f ca="1" t="shared" si="340" ref="AH44:BM44">AH17</f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  <c s="125">
        <f t="shared" ca="1" si="340"/>
        <v>0</v>
      </c>
    </row>
    <row r="45" spans="2:65" ht="15" customHeight="1">
      <c r="B45" s="289" t="s">
        <v>1089</v>
      </c>
      <c s="290" t="str">
        <f>Единица_измерения</f>
        <v>тыс. руб.</v>
      </c>
      <c s="276"/>
      <c s="276">
        <f ca="1">SUM(IF(E$6=1,-D41,0),D45,E44)</f>
        <v>-0.001</v>
      </c>
      <c s="276">
        <f ca="1" t="shared" si="341" ref="F45:AG45">SUM(IF(F$6=1,-E41,0),E45,F44)</f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t="shared" ca="1" si="341"/>
        <v>-0.001</v>
      </c>
      <c s="276">
        <f ca="1" t="shared" si="342" ref="AH45">SUM(IF(AH$6=1,-AG41,0),AG45,AH44)</f>
        <v>-0.001</v>
      </c>
      <c s="276">
        <f ca="1" t="shared" si="343" ref="AI45">SUM(IF(AI$6=1,-AH41,0),AH45,AI44)</f>
        <v>-0.001</v>
      </c>
      <c s="276">
        <f ca="1" t="shared" si="344" ref="AJ45">SUM(IF(AJ$6=1,-AI41,0),AI45,AJ44)</f>
        <v>-0.001</v>
      </c>
      <c s="276">
        <f ca="1" t="shared" si="345" ref="AK45">SUM(IF(AK$6=1,-AJ41,0),AJ45,AK44)</f>
        <v>-0.001</v>
      </c>
      <c s="276">
        <f ca="1" t="shared" si="346" ref="AL45">SUM(IF(AL$6=1,-AK41,0),AK45,AL44)</f>
        <v>-0.001</v>
      </c>
      <c s="276">
        <f ca="1" t="shared" si="347" ref="AM45">SUM(IF(AM$6=1,-AL41,0),AL45,AM44)</f>
        <v>-0.001</v>
      </c>
      <c s="276">
        <f ca="1" t="shared" si="348" ref="AN45">SUM(IF(AN$6=1,-AM41,0),AM45,AN44)</f>
        <v>-0.001</v>
      </c>
      <c s="276">
        <f ca="1" t="shared" si="349" ref="AO45">SUM(IF(AO$6=1,-AN41,0),AN45,AO44)</f>
        <v>-0.001</v>
      </c>
      <c s="276">
        <f ca="1" t="shared" si="350" ref="AP45">SUM(IF(AP$6=1,-AO41,0),AO45,AP44)</f>
        <v>-0.001</v>
      </c>
      <c s="276">
        <f ca="1" t="shared" si="351" ref="AQ45">SUM(IF(AQ$6=1,-AP41,0),AP45,AQ44)</f>
        <v>-0.001</v>
      </c>
      <c s="276">
        <f ca="1" t="shared" si="352" ref="AR45">SUM(IF(AR$6=1,-AQ41,0),AQ45,AR44)</f>
        <v>-0.001</v>
      </c>
      <c s="276">
        <f ca="1" t="shared" si="353" ref="AS45">SUM(IF(AS$6=1,-AR41,0),AR45,AS44)</f>
        <v>-0.001</v>
      </c>
      <c s="276">
        <f ca="1" t="shared" si="354" ref="AT45">SUM(IF(AT$6=1,-AS41,0),AS45,AT44)</f>
        <v>-0.001</v>
      </c>
      <c s="276">
        <f ca="1" t="shared" si="355" ref="AU45">SUM(IF(AU$6=1,-AT41,0),AT45,AU44)</f>
        <v>-0.001</v>
      </c>
      <c s="276">
        <f ca="1" t="shared" si="356" ref="AV45">SUM(IF(AV$6=1,-AU41,0),AU45,AV44)</f>
        <v>-0.001</v>
      </c>
      <c s="276">
        <f ca="1" t="shared" si="357" ref="AW45">SUM(IF(AW$6=1,-AV41,0),AV45,AW44)</f>
        <v>-0.001</v>
      </c>
      <c s="276">
        <f ca="1" t="shared" si="358" ref="AX45">SUM(IF(AX$6=1,-AW41,0),AW45,AX44)</f>
        <v>-0.001</v>
      </c>
      <c s="276">
        <f ca="1" t="shared" si="359" ref="AY45">SUM(IF(AY$6=1,-AX41,0),AX45,AY44)</f>
        <v>-0.001</v>
      </c>
      <c s="276">
        <f ca="1" t="shared" si="360" ref="AZ45">SUM(IF(AZ$6=1,-AY41,0),AY45,AZ44)</f>
        <v>-0.001</v>
      </c>
      <c s="276">
        <f ca="1" t="shared" si="361" ref="BA45">SUM(IF(BA$6=1,-AZ41,0),AZ45,BA44)</f>
        <v>-0.001</v>
      </c>
      <c s="276">
        <f ca="1" t="shared" si="362" ref="BB45">SUM(IF(BB$6=1,-BA41,0),BA45,BB44)</f>
        <v>-0.001</v>
      </c>
      <c s="276">
        <f ca="1" t="shared" si="363" ref="BC45">SUM(IF(BC$6=1,-BB41,0),BB45,BC44)</f>
        <v>-0.001</v>
      </c>
      <c s="276">
        <f ca="1" t="shared" si="364" ref="BD45">SUM(IF(BD$6=1,-BC41,0),BC45,BD44)</f>
        <v>-0.001</v>
      </c>
      <c s="276">
        <f ca="1" t="shared" si="365" ref="BE45">SUM(IF(BE$6=1,-BD41,0),BD45,BE44)</f>
        <v>-0.001</v>
      </c>
      <c s="276">
        <f ca="1" t="shared" si="366" ref="BF45">SUM(IF(BF$6=1,-BE41,0),BE45,BF44)</f>
        <v>-0.001</v>
      </c>
      <c s="276">
        <f ca="1" t="shared" si="367" ref="BG45">SUM(IF(BG$6=1,-BF41,0),BF45,BG44)</f>
        <v>-0.001</v>
      </c>
      <c s="276">
        <f ca="1" t="shared" si="368" ref="BH45">SUM(IF(BH$6=1,-BG41,0),BG45,BH44)</f>
        <v>-0.001</v>
      </c>
      <c s="276">
        <f ca="1" t="shared" si="369" ref="BI45">SUM(IF(BI$6=1,-BH41,0),BH45,BI44)</f>
        <v>-0.001</v>
      </c>
      <c s="276">
        <f ca="1" t="shared" si="370" ref="BJ45">SUM(IF(BJ$6=1,-BI41,0),BI45,BJ44)</f>
        <v>-0.001</v>
      </c>
      <c s="276">
        <f ca="1" t="shared" si="371" ref="BK45">SUM(IF(BK$6=1,-BJ41,0),BJ45,BK44)</f>
        <v>-0.001</v>
      </c>
      <c s="276">
        <f ca="1" t="shared" si="372" ref="BL45">SUM(IF(BL$6=1,-BK41,0),BK45,BL44)</f>
        <v>-0.001</v>
      </c>
      <c s="276">
        <f ca="1" t="shared" si="373" ref="BM45">SUM(IF(BM$6=1,-BL41,0),BL45,BM44)</f>
        <v>-0.001</v>
      </c>
    </row>
    <row r="46" ht="15" customHeight="1"/>
    <row r="47" spans="2:65" ht="15" customHeight="1">
      <c r="B47" s="12" t="s">
        <v>1090</v>
      </c>
      <c s="124"/>
      <c s="125"/>
      <c s="132">
        <f ca="1" t="shared" si="374" ref="E47">IF(F45&lt;0,1/Кварталов_в_году,IF(E45&lt;0,(-E45/(F45-E45)+1)/Кварталов_в_году,0))</f>
        <v>0.25</v>
      </c>
      <c s="132">
        <f ca="1" t="shared" si="375" ref="F47">IF(G45&lt;0,1/Кварталов_в_году,IF(F45&lt;0,(-F45/(G45-F45)+1)/Кварталов_в_году,0))</f>
        <v>0.25</v>
      </c>
      <c s="132">
        <f ca="1" t="shared" si="376" ref="G47">IF(H45&lt;0,1/Кварталов_в_году,IF(G45&lt;0,(-G45/(H45-G45)+1)/Кварталов_в_году,0))</f>
        <v>0.25</v>
      </c>
      <c s="132">
        <f ca="1" t="shared" si="377" ref="H47">IF(I45&lt;0,1/Кварталов_в_году,IF(H45&lt;0,(-H45/(I45-H45)+1)/Кварталов_в_году,0))</f>
        <v>0.25</v>
      </c>
      <c s="132">
        <f ca="1" t="shared" si="378" ref="I47">IF(J45&lt;0,1/Кварталов_в_году,IF(I45&lt;0,(-I45/(J45-I45)+1)/Кварталов_в_году,0))</f>
        <v>0.25</v>
      </c>
      <c s="132">
        <f ca="1" t="shared" si="379" ref="J47">IF(K45&lt;0,1/Кварталов_в_году,IF(J45&lt;0,(-J45/(K45-J45)+1)/Кварталов_в_году,0))</f>
        <v>0.25</v>
      </c>
      <c s="132">
        <f ca="1" t="shared" si="380" ref="K47">IF(L45&lt;0,1/Кварталов_в_году,IF(K45&lt;0,(-K45/(L45-K45)+1)/Кварталов_в_году,0))</f>
        <v>0.25</v>
      </c>
      <c s="132">
        <f ca="1" t="shared" si="381" ref="L47">IF(M45&lt;0,1/Кварталов_в_году,IF(L45&lt;0,(-L45/(M45-L45)+1)/Кварталов_в_году,0))</f>
        <v>0.25</v>
      </c>
      <c s="132">
        <f ca="1" t="shared" si="382" ref="M47">IF(N45&lt;0,1/Кварталов_в_году,IF(M45&lt;0,(-M45/(N45-M45)+1)/Кварталов_в_году,0))</f>
        <v>0.25</v>
      </c>
      <c s="132">
        <f ca="1" t="shared" si="383" ref="N47">IF(O45&lt;0,1/Кварталов_в_году,IF(N45&lt;0,(-N45/(O45-N45)+1)/Кварталов_в_году,0))</f>
        <v>0.25</v>
      </c>
      <c s="132">
        <f ca="1" t="shared" si="384" ref="O47">IF(P45&lt;0,1/Кварталов_в_году,IF(O45&lt;0,(-O45/(P45-O45)+1)/Кварталов_в_году,0))</f>
        <v>0.25</v>
      </c>
      <c s="132">
        <f ca="1" t="shared" si="385" ref="P47">IF(Q45&lt;0,1/Кварталов_в_году,IF(P45&lt;0,(-P45/(Q45-P45)+1)/Кварталов_в_году,0))</f>
        <v>0.25</v>
      </c>
      <c s="132">
        <f ca="1" t="shared" si="386" ref="Q47">IF(R45&lt;0,1/Кварталов_в_году,IF(Q45&lt;0,(-Q45/(R45-Q45)+1)/Кварталов_в_году,0))</f>
        <v>0.25</v>
      </c>
      <c s="132">
        <f ca="1" t="shared" si="387" ref="R47">IF(S45&lt;0,1/Кварталов_в_году,IF(R45&lt;0,(-R45/(S45-R45)+1)/Кварталов_в_году,0))</f>
        <v>0.25</v>
      </c>
      <c s="132">
        <f ca="1" t="shared" si="388" ref="S47">IF(T45&lt;0,1/Кварталов_в_году,IF(S45&lt;0,(-S45/(T45-S45)+1)/Кварталов_в_году,0))</f>
        <v>0.25</v>
      </c>
      <c s="132">
        <f ca="1" t="shared" si="389" ref="T47">IF(U45&lt;0,1/Кварталов_в_году,IF(T45&lt;0,(-T45/(U45-T45)+1)/Кварталов_в_году,0))</f>
        <v>0.25</v>
      </c>
      <c s="132">
        <f ca="1" t="shared" si="390" ref="U47">IF(V45&lt;0,1/Кварталов_в_году,IF(U45&lt;0,(-U45/(V45-U45)+1)/Кварталов_в_году,0))</f>
        <v>0.25</v>
      </c>
      <c s="132">
        <f ca="1" t="shared" si="391" ref="V47">IF(W45&lt;0,1/Кварталов_в_году,IF(V45&lt;0,(-V45/(W45-V45)+1)/Кварталов_в_году,0))</f>
        <v>0.25</v>
      </c>
      <c s="132">
        <f ca="1" t="shared" si="392" ref="W47">IF(X45&lt;0,1/Кварталов_в_году,IF(W45&lt;0,(-W45/(X45-W45)+1)/Кварталов_в_году,0))</f>
        <v>0.25</v>
      </c>
      <c s="132">
        <f ca="1" t="shared" si="393" ref="X47">IF(Y45&lt;0,1/Кварталов_в_году,IF(X45&lt;0,(-X45/(Y45-X45)+1)/Кварталов_в_году,0))</f>
        <v>0.25</v>
      </c>
      <c s="132">
        <f ca="1" t="shared" si="394" ref="Y47">IF(Z45&lt;0,1/Кварталов_в_году,IF(Y45&lt;0,(-Y45/(Z45-Y45)+1)/Кварталов_в_году,0))</f>
        <v>0.25</v>
      </c>
      <c s="132">
        <f ca="1" t="shared" si="395" ref="Z47">IF(AA45&lt;0,1/Кварталов_в_году,IF(Z45&lt;0,(-Z45/(AA45-Z45)+1)/Кварталов_в_году,0))</f>
        <v>0.25</v>
      </c>
      <c s="132">
        <f ca="1" t="shared" si="396" ref="AA47">IF(AB45&lt;0,1/Кварталов_в_году,IF(AA45&lt;0,(-AA45/(AB45-AA45)+1)/Кварталов_в_году,0))</f>
        <v>0.25</v>
      </c>
      <c s="132">
        <f ca="1" t="shared" si="397" ref="AB47">IF(AC45&lt;0,1/Кварталов_в_году,IF(AB45&lt;0,(-AB45/(AC45-AB45)+1)/Кварталов_в_году,0))</f>
        <v>0.25</v>
      </c>
      <c s="132">
        <f ca="1" t="shared" si="398" ref="AC47">IF(AD45&lt;0,1/Кварталов_в_году,IF(AC45&lt;0,(-AC45/(AD45-AC45)+1)/Кварталов_в_году,0))</f>
        <v>0.25</v>
      </c>
      <c s="132">
        <f ca="1" t="shared" si="399" ref="AD47">IF(AE45&lt;0,1/Кварталов_в_году,IF(AD45&lt;0,(-AD45/(AE45-AD45)+1)/Кварталов_в_году,0))</f>
        <v>0.25</v>
      </c>
      <c s="132">
        <f ca="1" t="shared" si="400" ref="AE47">IF(AF45&lt;0,1/Кварталов_в_году,IF(AE45&lt;0,(-AE45/(AF45-AE45)+1)/Кварталов_в_году,0))</f>
        <v>0.25</v>
      </c>
      <c s="132">
        <f ca="1" t="shared" si="401" ref="AF47">IF(AG45&lt;0,1/Кварталов_в_году,IF(AF45&lt;0,(-AF45/(AG45-AF45)+1)/Кварталов_в_году,0))</f>
        <v>0.25</v>
      </c>
      <c s="132">
        <f ca="1" t="shared" si="402" ref="AG47">IF(AH45&lt;0,1/Кварталов_в_году,IF(AG45&lt;0,(-AG45/(AH45-AG45)+1)/Кварталов_в_году,0))</f>
        <v>0.25</v>
      </c>
      <c s="132">
        <f ca="1" t="shared" si="403" ref="AH47">IF(AI45&lt;0,1/Кварталов_в_году,IF(AH45&lt;0,(-AH45/(AI45-AH45)+1)/Кварталов_в_году,0))</f>
        <v>0.25</v>
      </c>
      <c s="132">
        <f ca="1" t="shared" si="404" ref="AI47">IF(AJ45&lt;0,1/Кварталов_в_году,IF(AI45&lt;0,(-AI45/(AJ45-AI45)+1)/Кварталов_в_году,0))</f>
        <v>0.25</v>
      </c>
      <c s="132">
        <f ca="1" t="shared" si="405" ref="AJ47">IF(AK45&lt;0,1/Кварталов_в_году,IF(AJ45&lt;0,(-AJ45/(AK45-AJ45)+1)/Кварталов_в_году,0))</f>
        <v>0.25</v>
      </c>
      <c s="132">
        <f ca="1" t="shared" si="406" ref="AK47">IF(AL45&lt;0,1/Кварталов_в_году,IF(AK45&lt;0,(-AK45/(AL45-AK45)+1)/Кварталов_в_году,0))</f>
        <v>0.25</v>
      </c>
      <c s="132">
        <f ca="1" t="shared" si="407" ref="AL47">IF(AM45&lt;0,1/Кварталов_в_году,IF(AL45&lt;0,(-AL45/(AM45-AL45)+1)/Кварталов_в_году,0))</f>
        <v>0.25</v>
      </c>
      <c s="132">
        <f ca="1" t="shared" si="408" ref="AM47">IF(AN45&lt;0,1/Кварталов_в_году,IF(AM45&lt;0,(-AM45/(AN45-AM45)+1)/Кварталов_в_году,0))</f>
        <v>0.25</v>
      </c>
      <c s="132">
        <f ca="1" t="shared" si="409" ref="AN47">IF(AO45&lt;0,1/Кварталов_в_году,IF(AN45&lt;0,(-AN45/(AO45-AN45)+1)/Кварталов_в_году,0))</f>
        <v>0.25</v>
      </c>
      <c s="132">
        <f ca="1" t="shared" si="410" ref="AO47">IF(AP45&lt;0,1/Кварталов_в_году,IF(AO45&lt;0,(-AO45/(AP45-AO45)+1)/Кварталов_в_году,0))</f>
        <v>0.25</v>
      </c>
      <c s="132">
        <f ca="1" t="shared" si="411" ref="AP47">IF(AQ45&lt;0,1/Кварталов_в_году,IF(AP45&lt;0,(-AP45/(AQ45-AP45)+1)/Кварталов_в_году,0))</f>
        <v>0.25</v>
      </c>
      <c s="132">
        <f ca="1" t="shared" si="412" ref="AQ47">IF(AR45&lt;0,1/Кварталов_в_году,IF(AQ45&lt;0,(-AQ45/(AR45-AQ45)+1)/Кварталов_в_году,0))</f>
        <v>0.25</v>
      </c>
      <c s="132">
        <f ca="1" t="shared" si="413" ref="AR47">IF(AS45&lt;0,1/Кварталов_в_году,IF(AR45&lt;0,(-AR45/(AS45-AR45)+1)/Кварталов_в_году,0))</f>
        <v>0.25</v>
      </c>
      <c s="132">
        <f ca="1" t="shared" si="414" ref="AS47">IF(AT45&lt;0,1/Кварталов_в_году,IF(AS45&lt;0,(-AS45/(AT45-AS45)+1)/Кварталов_в_году,0))</f>
        <v>0.25</v>
      </c>
      <c s="132">
        <f ca="1" t="shared" si="415" ref="AT47">IF(AU45&lt;0,1/Кварталов_в_году,IF(AT45&lt;0,(-AT45/(AU45-AT45)+1)/Кварталов_в_году,0))</f>
        <v>0.25</v>
      </c>
      <c s="132">
        <f ca="1" t="shared" si="416" ref="AU47">IF(AV45&lt;0,1/Кварталов_в_году,IF(AU45&lt;0,(-AU45/(AV45-AU45)+1)/Кварталов_в_году,0))</f>
        <v>0.25</v>
      </c>
      <c s="132">
        <f ca="1" t="shared" si="417" ref="AV47">IF(AW45&lt;0,1/Кварталов_в_году,IF(AV45&lt;0,(-AV45/(AW45-AV45)+1)/Кварталов_в_году,0))</f>
        <v>0.25</v>
      </c>
      <c s="132">
        <f ca="1" t="shared" si="418" ref="AW47">IF(AX45&lt;0,1/Кварталов_в_году,IF(AW45&lt;0,(-AW45/(AX45-AW45)+1)/Кварталов_в_году,0))</f>
        <v>0.25</v>
      </c>
      <c s="132">
        <f ca="1" t="shared" si="419" ref="AX47">IF(AY45&lt;0,1/Кварталов_в_году,IF(AX45&lt;0,(-AX45/(AY45-AX45)+1)/Кварталов_в_году,0))</f>
        <v>0.25</v>
      </c>
      <c s="132">
        <f ca="1" t="shared" si="420" ref="AY47">IF(AZ45&lt;0,1/Кварталов_в_году,IF(AY45&lt;0,(-AY45/(AZ45-AY45)+1)/Кварталов_в_году,0))</f>
        <v>0.25</v>
      </c>
      <c s="132">
        <f ca="1" t="shared" si="421" ref="AZ47">IF(BA45&lt;0,1/Кварталов_в_году,IF(AZ45&lt;0,(-AZ45/(BA45-AZ45)+1)/Кварталов_в_году,0))</f>
        <v>0.25</v>
      </c>
      <c s="132">
        <f ca="1" t="shared" si="422" ref="BA47">IF(BB45&lt;0,1/Кварталов_в_году,IF(BA45&lt;0,(-BA45/(BB45-BA45)+1)/Кварталов_в_году,0))</f>
        <v>0.25</v>
      </c>
      <c s="132">
        <f ca="1" t="shared" si="423" ref="BB47">IF(BC45&lt;0,1/Кварталов_в_году,IF(BB45&lt;0,(-BB45/(BC45-BB45)+1)/Кварталов_в_году,0))</f>
        <v>0.25</v>
      </c>
      <c s="132">
        <f ca="1" t="shared" si="424" ref="BC47">IF(BD45&lt;0,1/Кварталов_в_году,IF(BC45&lt;0,(-BC45/(BD45-BC45)+1)/Кварталов_в_году,0))</f>
        <v>0.25</v>
      </c>
      <c s="132">
        <f ca="1" t="shared" si="425" ref="BD47">IF(BE45&lt;0,1/Кварталов_в_году,IF(BD45&lt;0,(-BD45/(BE45-BD45)+1)/Кварталов_в_году,0))</f>
        <v>0.25</v>
      </c>
      <c s="132">
        <f ca="1" t="shared" si="426" ref="BE47">IF(BF45&lt;0,1/Кварталов_в_году,IF(BE45&lt;0,(-BE45/(BF45-BE45)+1)/Кварталов_в_году,0))</f>
        <v>0.25</v>
      </c>
      <c s="132">
        <f ca="1" t="shared" si="427" ref="BF47">IF(BG45&lt;0,1/Кварталов_в_году,IF(BF45&lt;0,(-BF45/(BG45-BF45)+1)/Кварталов_в_году,0))</f>
        <v>0.25</v>
      </c>
      <c s="132">
        <f ca="1" t="shared" si="428" ref="BG47">IF(BH45&lt;0,1/Кварталов_в_году,IF(BG45&lt;0,(-BG45/(BH45-BG45)+1)/Кварталов_в_году,0))</f>
        <v>0.25</v>
      </c>
      <c s="132">
        <f ca="1" t="shared" si="429" ref="BH47">IF(BI45&lt;0,1/Кварталов_в_году,IF(BH45&lt;0,(-BH45/(BI45-BH45)+1)/Кварталов_в_году,0))</f>
        <v>0.25</v>
      </c>
      <c s="132">
        <f ca="1" t="shared" si="430" ref="BI47">IF(BJ45&lt;0,1/Кварталов_в_году,IF(BI45&lt;0,(-BI45/(BJ45-BI45)+1)/Кварталов_в_году,0))</f>
        <v>0.25</v>
      </c>
      <c s="132">
        <f ca="1" t="shared" si="431" ref="BJ47">IF(BK45&lt;0,1/Кварталов_в_году,IF(BJ45&lt;0,(-BJ45/(BK45-BJ45)+1)/Кварталов_в_году,0))</f>
        <v>0.25</v>
      </c>
      <c s="132">
        <f ca="1" t="shared" si="432" ref="BK47">IF(BL45&lt;0,1/Кварталов_в_году,IF(BK45&lt;0,(-BK45/(BL45-BK45)+1)/Кварталов_в_году,0))</f>
        <v>0.25</v>
      </c>
      <c s="132">
        <f ca="1" t="shared" si="433" ref="BL47">IF(BM45&lt;0,1/Кварталов_в_году,IF(BL45&lt;0,(-BL45/(BM45-BL45)+1)/Кварталов_в_году,0))</f>
        <v>0.25</v>
      </c>
      <c s="132">
        <f ca="1" t="shared" si="434" ref="BM47">IF(BN45&lt;0,1/Кварталов_в_году,IF(BM45&lt;0,(-BM45/(BN45-BM45)+1)/Кварталов_в_году,0))</f>
        <v>0.5</v>
      </c>
    </row>
    <row r="48" ht="15" customHeight="1"/>
    <row r="49" spans="2:65" ht="14.45">
      <c r="B49" s="25" t="s">
        <v>1094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0" spans="2:65" ht="15" customHeight="1">
      <c r="B50" s="12" t="s">
        <v>1094</v>
      </c>
      <c s="124" t="str">
        <f>Единица_измерения</f>
        <v>тыс. руб.</v>
      </c>
      <c s="125"/>
      <c s="125">
        <f ca="1" t="shared" si="435" ref="E50">E27</f>
        <v>-0.00095709700890973413</v>
      </c>
      <c s="125">
        <f ca="1" t="shared" si="436" ref="F50:AG50">F27</f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t="shared" ca="1" si="436"/>
        <v>0</v>
      </c>
      <c s="125">
        <f ca="1" t="shared" si="437" ref="AH50:BM50">AH27</f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  <c s="125">
        <f t="shared" ca="1" si="437"/>
        <v>0</v>
      </c>
    </row>
    <row r="51" spans="2:65" ht="15" customHeight="1">
      <c r="B51" s="289" t="s">
        <v>1089</v>
      </c>
      <c s="290" t="str">
        <f>Единица_измерения</f>
        <v>тыс. руб.</v>
      </c>
      <c s="276"/>
      <c s="276">
        <f ca="1">SUM(IF(E$6=1,-D41,0),D51,E50)</f>
        <v>-0.00095709700890973413</v>
      </c>
      <c s="276">
        <f ca="1" t="shared" si="438" ref="F51:AG51">SUM(IF(F$6=1,-E41,0),E51,F50)</f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t="shared" ca="1" si="438"/>
        <v>-0.00095709700890973413</v>
      </c>
      <c s="276">
        <f ca="1" t="shared" si="439" ref="AH51">SUM(IF(AH$6=1,-AG41,0),AG51,AH50)</f>
        <v>-0.00095709700890973413</v>
      </c>
      <c s="276">
        <f ca="1" t="shared" si="440" ref="AI51">SUM(IF(AI$6=1,-AH41,0),AH51,AI50)</f>
        <v>-0.00095709700890973413</v>
      </c>
      <c s="276">
        <f ca="1" t="shared" si="441" ref="AJ51">SUM(IF(AJ$6=1,-AI41,0),AI51,AJ50)</f>
        <v>-0.00095709700890973413</v>
      </c>
      <c s="276">
        <f ca="1" t="shared" si="442" ref="AK51">SUM(IF(AK$6=1,-AJ41,0),AJ51,AK50)</f>
        <v>-0.00095709700890973413</v>
      </c>
      <c s="276">
        <f ca="1" t="shared" si="443" ref="AL51">SUM(IF(AL$6=1,-AK41,0),AK51,AL50)</f>
        <v>-0.00095709700890973413</v>
      </c>
      <c s="276">
        <f ca="1" t="shared" si="444" ref="AM51">SUM(IF(AM$6=1,-AL41,0),AL51,AM50)</f>
        <v>-0.00095709700890973413</v>
      </c>
      <c s="276">
        <f ca="1" t="shared" si="445" ref="AN51">SUM(IF(AN$6=1,-AM41,0),AM51,AN50)</f>
        <v>-0.00095709700890973413</v>
      </c>
      <c s="276">
        <f ca="1" t="shared" si="446" ref="AO51">SUM(IF(AO$6=1,-AN41,0),AN51,AO50)</f>
        <v>-0.00095709700890973413</v>
      </c>
      <c s="276">
        <f ca="1" t="shared" si="447" ref="AP51">SUM(IF(AP$6=1,-AO41,0),AO51,AP50)</f>
        <v>-0.00095709700890973413</v>
      </c>
      <c s="276">
        <f ca="1" t="shared" si="448" ref="AQ51">SUM(IF(AQ$6=1,-AP41,0),AP51,AQ50)</f>
        <v>-0.00095709700890973413</v>
      </c>
      <c s="276">
        <f ca="1" t="shared" si="449" ref="AR51">SUM(IF(AR$6=1,-AQ41,0),AQ51,AR50)</f>
        <v>-0.00095709700890973413</v>
      </c>
      <c s="276">
        <f ca="1" t="shared" si="450" ref="AS51">SUM(IF(AS$6=1,-AR41,0),AR51,AS50)</f>
        <v>-0.00095709700890973413</v>
      </c>
      <c s="276">
        <f ca="1" t="shared" si="451" ref="AT51">SUM(IF(AT$6=1,-AS41,0),AS51,AT50)</f>
        <v>-0.00095709700890973413</v>
      </c>
      <c s="276">
        <f ca="1" t="shared" si="452" ref="AU51">SUM(IF(AU$6=1,-AT41,0),AT51,AU50)</f>
        <v>-0.00095709700890973413</v>
      </c>
      <c s="276">
        <f ca="1" t="shared" si="453" ref="AV51">SUM(IF(AV$6=1,-AU41,0),AU51,AV50)</f>
        <v>-0.00095709700890973413</v>
      </c>
      <c s="276">
        <f ca="1" t="shared" si="454" ref="AW51">SUM(IF(AW$6=1,-AV41,0),AV51,AW50)</f>
        <v>-0.00095709700890973413</v>
      </c>
      <c s="276">
        <f ca="1" t="shared" si="455" ref="AX51">SUM(IF(AX$6=1,-AW41,0),AW51,AX50)</f>
        <v>-0.00095709700890973413</v>
      </c>
      <c s="276">
        <f ca="1" t="shared" si="456" ref="AY51">SUM(IF(AY$6=1,-AX41,0),AX51,AY50)</f>
        <v>-0.00095709700890973413</v>
      </c>
      <c s="276">
        <f ca="1" t="shared" si="457" ref="AZ51">SUM(IF(AZ$6=1,-AY41,0),AY51,AZ50)</f>
        <v>-0.00095709700890973413</v>
      </c>
      <c s="276">
        <f ca="1" t="shared" si="458" ref="BA51">SUM(IF(BA$6=1,-AZ41,0),AZ51,BA50)</f>
        <v>-0.00095709700890973413</v>
      </c>
      <c s="276">
        <f ca="1" t="shared" si="459" ref="BB51">SUM(IF(BB$6=1,-BA41,0),BA51,BB50)</f>
        <v>-0.00095709700890973413</v>
      </c>
      <c s="276">
        <f ca="1" t="shared" si="460" ref="BC51">SUM(IF(BC$6=1,-BB41,0),BB51,BC50)</f>
        <v>-0.00095709700890973413</v>
      </c>
      <c s="276">
        <f ca="1" t="shared" si="461" ref="BD51">SUM(IF(BD$6=1,-BC41,0),BC51,BD50)</f>
        <v>-0.00095709700890973413</v>
      </c>
      <c s="276">
        <f ca="1" t="shared" si="462" ref="BE51">SUM(IF(BE$6=1,-BD41,0),BD51,BE50)</f>
        <v>-0.00095709700890973413</v>
      </c>
      <c s="276">
        <f ca="1" t="shared" si="463" ref="BF51">SUM(IF(BF$6=1,-BE41,0),BE51,BF50)</f>
        <v>-0.00095709700890973413</v>
      </c>
      <c s="276">
        <f ca="1" t="shared" si="464" ref="BG51">SUM(IF(BG$6=1,-BF41,0),BF51,BG50)</f>
        <v>-0.00095709700890973413</v>
      </c>
      <c s="276">
        <f ca="1" t="shared" si="465" ref="BH51">SUM(IF(BH$6=1,-BG41,0),BG51,BH50)</f>
        <v>-0.00095709700890973413</v>
      </c>
      <c s="276">
        <f ca="1" t="shared" si="466" ref="BI51">SUM(IF(BI$6=1,-BH41,0),BH51,BI50)</f>
        <v>-0.00095709700890973413</v>
      </c>
      <c s="276">
        <f ca="1" t="shared" si="467" ref="BJ51">SUM(IF(BJ$6=1,-BI41,0),BI51,BJ50)</f>
        <v>-0.00095709700890973413</v>
      </c>
      <c s="276">
        <f ca="1" t="shared" si="468" ref="BK51">SUM(IF(BK$6=1,-BJ41,0),BJ51,BK50)</f>
        <v>-0.00095709700890973413</v>
      </c>
      <c s="276">
        <f ca="1" t="shared" si="469" ref="BL51">SUM(IF(BL$6=1,-BK41,0),BK51,BL50)</f>
        <v>-0.00095709700890973413</v>
      </c>
      <c s="276">
        <f ca="1" t="shared" si="470" ref="BM51">SUM(IF(BM$6=1,-BL41,0),BL51,BM50)</f>
        <v>-0.00095709700890973413</v>
      </c>
    </row>
    <row r="52" ht="15" customHeight="1"/>
    <row r="53" spans="2:65" ht="15" customHeight="1">
      <c r="B53" s="12" t="s">
        <v>1095</v>
      </c>
      <c s="124"/>
      <c s="125"/>
      <c s="132">
        <f ca="1" t="shared" si="471" ref="E53">IF(F51&lt;0,1/Кварталов_в_году,IF(E51&lt;0,(-E51/(F51-E51)+1)/Кварталов_в_году,0))</f>
        <v>0.25</v>
      </c>
      <c s="132">
        <f ca="1" t="shared" si="472" ref="F53">IF(G51&lt;0,1/Кварталов_в_году,IF(F51&lt;0,(-F51/(G51-F51)+1)/Кварталов_в_году,0))</f>
        <v>0.25</v>
      </c>
      <c s="132">
        <f ca="1" t="shared" si="473" ref="G53">IF(H51&lt;0,1/Кварталов_в_году,IF(G51&lt;0,(-G51/(H51-G51)+1)/Кварталов_в_году,0))</f>
        <v>0.25</v>
      </c>
      <c s="132">
        <f ca="1" t="shared" si="474" ref="H53">IF(I51&lt;0,1/Кварталов_в_году,IF(H51&lt;0,(-H51/(I51-H51)+1)/Кварталов_в_году,0))</f>
        <v>0.25</v>
      </c>
      <c s="132">
        <f ca="1" t="shared" si="475" ref="I53">IF(J51&lt;0,1/Кварталов_в_году,IF(I51&lt;0,(-I51/(J51-I51)+1)/Кварталов_в_году,0))</f>
        <v>0.25</v>
      </c>
      <c s="132">
        <f ca="1" t="shared" si="476" ref="J53">IF(K51&lt;0,1/Кварталов_в_году,IF(J51&lt;0,(-J51/(K51-J51)+1)/Кварталов_в_году,0))</f>
        <v>0.25</v>
      </c>
      <c s="132">
        <f ca="1" t="shared" si="477" ref="K53">IF(L51&lt;0,1/Кварталов_в_году,IF(K51&lt;0,(-K51/(L51-K51)+1)/Кварталов_в_году,0))</f>
        <v>0.25</v>
      </c>
      <c s="132">
        <f ca="1" t="shared" si="478" ref="L53">IF(M51&lt;0,1/Кварталов_в_году,IF(L51&lt;0,(-L51/(M51-L51)+1)/Кварталов_в_году,0))</f>
        <v>0.25</v>
      </c>
      <c s="132">
        <f ca="1" t="shared" si="479" ref="M53">IF(N51&lt;0,1/Кварталов_в_году,IF(M51&lt;0,(-M51/(N51-M51)+1)/Кварталов_в_году,0))</f>
        <v>0.25</v>
      </c>
      <c s="132">
        <f ca="1" t="shared" si="480" ref="N53">IF(O51&lt;0,1/Кварталов_в_году,IF(N51&lt;0,(-N51/(O51-N51)+1)/Кварталов_в_году,0))</f>
        <v>0.25</v>
      </c>
      <c s="132">
        <f ca="1" t="shared" si="481" ref="O53">IF(P51&lt;0,1/Кварталов_в_году,IF(O51&lt;0,(-O51/(P51-O51)+1)/Кварталов_в_году,0))</f>
        <v>0.25</v>
      </c>
      <c s="132">
        <f ca="1" t="shared" si="482" ref="P53">IF(Q51&lt;0,1/Кварталов_в_году,IF(P51&lt;0,(-P51/(Q51-P51)+1)/Кварталов_в_году,0))</f>
        <v>0.25</v>
      </c>
      <c s="132">
        <f ca="1" t="shared" si="483" ref="Q53">IF(R51&lt;0,1/Кварталов_в_году,IF(Q51&lt;0,(-Q51/(R51-Q51)+1)/Кварталов_в_году,0))</f>
        <v>0.25</v>
      </c>
      <c s="132">
        <f ca="1" t="shared" si="484" ref="R53">IF(S51&lt;0,1/Кварталов_в_году,IF(R51&lt;0,(-R51/(S51-R51)+1)/Кварталов_в_году,0))</f>
        <v>0.25</v>
      </c>
      <c s="132">
        <f ca="1" t="shared" si="485" ref="S53">IF(T51&lt;0,1/Кварталов_в_году,IF(S51&lt;0,(-S51/(T51-S51)+1)/Кварталов_в_году,0))</f>
        <v>0.25</v>
      </c>
      <c s="132">
        <f ca="1" t="shared" si="486" ref="T53">IF(U51&lt;0,1/Кварталов_в_году,IF(T51&lt;0,(-T51/(U51-T51)+1)/Кварталов_в_году,0))</f>
        <v>0.25</v>
      </c>
      <c s="132">
        <f ca="1" t="shared" si="487" ref="U53">IF(V51&lt;0,1/Кварталов_в_году,IF(U51&lt;0,(-U51/(V51-U51)+1)/Кварталов_в_году,0))</f>
        <v>0.25</v>
      </c>
      <c s="132">
        <f ca="1" t="shared" si="488" ref="V53">IF(W51&lt;0,1/Кварталов_в_году,IF(V51&lt;0,(-V51/(W51-V51)+1)/Кварталов_в_году,0))</f>
        <v>0.25</v>
      </c>
      <c s="132">
        <f ca="1" t="shared" si="489" ref="W53">IF(X51&lt;0,1/Кварталов_в_году,IF(W51&lt;0,(-W51/(X51-W51)+1)/Кварталов_в_году,0))</f>
        <v>0.25</v>
      </c>
      <c s="132">
        <f ca="1" t="shared" si="490" ref="X53">IF(Y51&lt;0,1/Кварталов_в_году,IF(X51&lt;0,(-X51/(Y51-X51)+1)/Кварталов_в_году,0))</f>
        <v>0.25</v>
      </c>
      <c s="132">
        <f ca="1" t="shared" si="491" ref="Y53">IF(Z51&lt;0,1/Кварталов_в_году,IF(Y51&lt;0,(-Y51/(Z51-Y51)+1)/Кварталов_в_году,0))</f>
        <v>0.25</v>
      </c>
      <c s="132">
        <f ca="1" t="shared" si="492" ref="Z53">IF(AA51&lt;0,1/Кварталов_в_году,IF(Z51&lt;0,(-Z51/(AA51-Z51)+1)/Кварталов_в_году,0))</f>
        <v>0.25</v>
      </c>
      <c s="132">
        <f ca="1" t="shared" si="493" ref="AA53">IF(AB51&lt;0,1/Кварталов_в_году,IF(AA51&lt;0,(-AA51/(AB51-AA51)+1)/Кварталов_в_году,0))</f>
        <v>0.25</v>
      </c>
      <c s="132">
        <f ca="1" t="shared" si="494" ref="AB53">IF(AC51&lt;0,1/Кварталов_в_году,IF(AB51&lt;0,(-AB51/(AC51-AB51)+1)/Кварталов_в_году,0))</f>
        <v>0.25</v>
      </c>
      <c s="132">
        <f ca="1" t="shared" si="495" ref="AC53">IF(AD51&lt;0,1/Кварталов_в_году,IF(AC51&lt;0,(-AC51/(AD51-AC51)+1)/Кварталов_в_году,0))</f>
        <v>0.25</v>
      </c>
      <c s="132">
        <f ca="1" t="shared" si="496" ref="AD53">IF(AE51&lt;0,1/Кварталов_в_году,IF(AD51&lt;0,(-AD51/(AE51-AD51)+1)/Кварталов_в_году,0))</f>
        <v>0.25</v>
      </c>
      <c s="132">
        <f ca="1" t="shared" si="497" ref="AE53">IF(AF51&lt;0,1/Кварталов_в_году,IF(AE51&lt;0,(-AE51/(AF51-AE51)+1)/Кварталов_в_году,0))</f>
        <v>0.25</v>
      </c>
      <c s="132">
        <f ca="1" t="shared" si="498" ref="AF53">IF(AG51&lt;0,1/Кварталов_в_году,IF(AF51&lt;0,(-AF51/(AG51-AF51)+1)/Кварталов_в_году,0))</f>
        <v>0.25</v>
      </c>
      <c s="132">
        <f ca="1" t="shared" si="499" ref="AG53">IF(AH51&lt;0,1/Кварталов_в_году,IF(AG51&lt;0,(-AG51/(AH51-AG51)+1)/Кварталов_в_году,0))</f>
        <v>0.25</v>
      </c>
      <c s="132">
        <f ca="1" t="shared" si="500" ref="AH53">IF(AI51&lt;0,1/Кварталов_в_году,IF(AH51&lt;0,(-AH51/(AI51-AH51)+1)/Кварталов_в_году,0))</f>
        <v>0.25</v>
      </c>
      <c s="132">
        <f ca="1" t="shared" si="501" ref="AI53">IF(AJ51&lt;0,1/Кварталов_в_году,IF(AI51&lt;0,(-AI51/(AJ51-AI51)+1)/Кварталов_в_году,0))</f>
        <v>0.25</v>
      </c>
      <c s="132">
        <f ca="1" t="shared" si="502" ref="AJ53">IF(AK51&lt;0,1/Кварталов_в_году,IF(AJ51&lt;0,(-AJ51/(AK51-AJ51)+1)/Кварталов_в_году,0))</f>
        <v>0.25</v>
      </c>
      <c s="132">
        <f ca="1" t="shared" si="503" ref="AK53">IF(AL51&lt;0,1/Кварталов_в_году,IF(AK51&lt;0,(-AK51/(AL51-AK51)+1)/Кварталов_в_году,0))</f>
        <v>0.25</v>
      </c>
      <c s="132">
        <f ca="1" t="shared" si="504" ref="AL53">IF(AM51&lt;0,1/Кварталов_в_году,IF(AL51&lt;0,(-AL51/(AM51-AL51)+1)/Кварталов_в_году,0))</f>
        <v>0.25</v>
      </c>
      <c s="132">
        <f ca="1" t="shared" si="505" ref="AM53">IF(AN51&lt;0,1/Кварталов_в_году,IF(AM51&lt;0,(-AM51/(AN51-AM51)+1)/Кварталов_в_году,0))</f>
        <v>0.25</v>
      </c>
      <c s="132">
        <f ca="1" t="shared" si="506" ref="AN53">IF(AO51&lt;0,1/Кварталов_в_году,IF(AN51&lt;0,(-AN51/(AO51-AN51)+1)/Кварталов_в_году,0))</f>
        <v>0.25</v>
      </c>
      <c s="132">
        <f ca="1" t="shared" si="507" ref="AO53">IF(AP51&lt;0,1/Кварталов_в_году,IF(AO51&lt;0,(-AO51/(AP51-AO51)+1)/Кварталов_в_году,0))</f>
        <v>0.25</v>
      </c>
      <c s="132">
        <f ca="1" t="shared" si="508" ref="AP53">IF(AQ51&lt;0,1/Кварталов_в_году,IF(AP51&lt;0,(-AP51/(AQ51-AP51)+1)/Кварталов_в_году,0))</f>
        <v>0.25</v>
      </c>
      <c s="132">
        <f ca="1" t="shared" si="509" ref="AQ53">IF(AR51&lt;0,1/Кварталов_в_году,IF(AQ51&lt;0,(-AQ51/(AR51-AQ51)+1)/Кварталов_в_году,0))</f>
        <v>0.25</v>
      </c>
      <c s="132">
        <f ca="1" t="shared" si="510" ref="AR53">IF(AS51&lt;0,1/Кварталов_в_году,IF(AR51&lt;0,(-AR51/(AS51-AR51)+1)/Кварталов_в_году,0))</f>
        <v>0.25</v>
      </c>
      <c s="132">
        <f ca="1" t="shared" si="511" ref="AS53">IF(AT51&lt;0,1/Кварталов_в_году,IF(AS51&lt;0,(-AS51/(AT51-AS51)+1)/Кварталов_в_году,0))</f>
        <v>0.25</v>
      </c>
      <c s="132">
        <f ca="1" t="shared" si="512" ref="AT53">IF(AU51&lt;0,1/Кварталов_в_году,IF(AT51&lt;0,(-AT51/(AU51-AT51)+1)/Кварталов_в_году,0))</f>
        <v>0.25</v>
      </c>
      <c s="132">
        <f ca="1" t="shared" si="513" ref="AU53">IF(AV51&lt;0,1/Кварталов_в_году,IF(AU51&lt;0,(-AU51/(AV51-AU51)+1)/Кварталов_в_году,0))</f>
        <v>0.25</v>
      </c>
      <c s="132">
        <f ca="1" t="shared" si="514" ref="AV53">IF(AW51&lt;0,1/Кварталов_в_году,IF(AV51&lt;0,(-AV51/(AW51-AV51)+1)/Кварталов_в_году,0))</f>
        <v>0.25</v>
      </c>
      <c s="132">
        <f ca="1" t="shared" si="515" ref="AW53">IF(AX51&lt;0,1/Кварталов_в_году,IF(AW51&lt;0,(-AW51/(AX51-AW51)+1)/Кварталов_в_году,0))</f>
        <v>0.25</v>
      </c>
      <c s="132">
        <f ca="1" t="shared" si="516" ref="AX53">IF(AY51&lt;0,1/Кварталов_в_году,IF(AX51&lt;0,(-AX51/(AY51-AX51)+1)/Кварталов_в_году,0))</f>
        <v>0.25</v>
      </c>
      <c s="132">
        <f ca="1" t="shared" si="517" ref="AY53">IF(AZ51&lt;0,1/Кварталов_в_году,IF(AY51&lt;0,(-AY51/(AZ51-AY51)+1)/Кварталов_в_году,0))</f>
        <v>0.25</v>
      </c>
      <c s="132">
        <f ca="1" t="shared" si="518" ref="AZ53">IF(BA51&lt;0,1/Кварталов_в_году,IF(AZ51&lt;0,(-AZ51/(BA51-AZ51)+1)/Кварталов_в_году,0))</f>
        <v>0.25</v>
      </c>
      <c s="132">
        <f ca="1" t="shared" si="519" ref="BA53">IF(BB51&lt;0,1/Кварталов_в_году,IF(BA51&lt;0,(-BA51/(BB51-BA51)+1)/Кварталов_в_году,0))</f>
        <v>0.25</v>
      </c>
      <c s="132">
        <f ca="1" t="shared" si="520" ref="BB53">IF(BC51&lt;0,1/Кварталов_в_году,IF(BB51&lt;0,(-BB51/(BC51-BB51)+1)/Кварталов_в_году,0))</f>
        <v>0.25</v>
      </c>
      <c s="132">
        <f ca="1" t="shared" si="521" ref="BC53">IF(BD51&lt;0,1/Кварталов_в_году,IF(BC51&lt;0,(-BC51/(BD51-BC51)+1)/Кварталов_в_году,0))</f>
        <v>0.25</v>
      </c>
      <c s="132">
        <f ca="1" t="shared" si="522" ref="BD53">IF(BE51&lt;0,1/Кварталов_в_году,IF(BD51&lt;0,(-BD51/(BE51-BD51)+1)/Кварталов_в_году,0))</f>
        <v>0.25</v>
      </c>
      <c s="132">
        <f ca="1" t="shared" si="523" ref="BE53">IF(BF51&lt;0,1/Кварталов_в_году,IF(BE51&lt;0,(-BE51/(BF51-BE51)+1)/Кварталов_в_году,0))</f>
        <v>0.25</v>
      </c>
      <c s="132">
        <f ca="1" t="shared" si="524" ref="BF53">IF(BG51&lt;0,1/Кварталов_в_году,IF(BF51&lt;0,(-BF51/(BG51-BF51)+1)/Кварталов_в_году,0))</f>
        <v>0.25</v>
      </c>
      <c s="132">
        <f ca="1" t="shared" si="525" ref="BG53">IF(BH51&lt;0,1/Кварталов_в_году,IF(BG51&lt;0,(-BG51/(BH51-BG51)+1)/Кварталов_в_году,0))</f>
        <v>0.25</v>
      </c>
      <c s="132">
        <f ca="1" t="shared" si="526" ref="BH53">IF(BI51&lt;0,1/Кварталов_в_году,IF(BH51&lt;0,(-BH51/(BI51-BH51)+1)/Кварталов_в_году,0))</f>
        <v>0.25</v>
      </c>
      <c s="132">
        <f ca="1" t="shared" si="527" ref="BI53">IF(BJ51&lt;0,1/Кварталов_в_году,IF(BI51&lt;0,(-BI51/(BJ51-BI51)+1)/Кварталов_в_году,0))</f>
        <v>0.25</v>
      </c>
      <c s="132">
        <f ca="1" t="shared" si="528" ref="BJ53">IF(BK51&lt;0,1/Кварталов_в_году,IF(BJ51&lt;0,(-BJ51/(BK51-BJ51)+1)/Кварталов_в_году,0))</f>
        <v>0.25</v>
      </c>
      <c s="132">
        <f ca="1" t="shared" si="529" ref="BK53">IF(BL51&lt;0,1/Кварталов_в_году,IF(BK51&lt;0,(-BK51/(BL51-BK51)+1)/Кварталов_в_году,0))</f>
        <v>0.25</v>
      </c>
      <c s="132">
        <f ca="1" t="shared" si="530" ref="BL53">IF(BM51&lt;0,1/Кварталов_в_году,IF(BL51&lt;0,(-BL51/(BM51-BL51)+1)/Кварталов_в_году,0))</f>
        <v>0.25</v>
      </c>
      <c s="132">
        <f ca="1" t="shared" si="531" ref="BM53">IF(BN51&lt;0,1/Кварталов_в_году,IF(BM51&lt;0,(-BM51/(BN51-BM51)+1)/Кварталов_в_году,0))</f>
        <v>0.5</v>
      </c>
    </row>
    <row r="54" ht="15" customHeight="1"/>
    <row r="55" spans="2:65" ht="14.45">
      <c r="B55" s="25" t="s">
        <v>338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6" spans="2:6" ht="15" customHeight="1">
      <c r="B56" s="12" t="s">
        <v>1098</v>
      </c>
      <c s="124" t="str">
        <f>Единица_измерения</f>
        <v>тыс. руб.</v>
      </c>
      <c s="125">
        <f ca="1">SUMIF(E6:BM6,CONCATENATE(E32,MATCH(D32,$E$8:$BM$8,0)),E50:BM50)-D41</f>
        <v>-0.00095709700890973413</v>
      </c>
      <c r="F56" s="131"/>
    </row>
    <row r="57" spans="2:4" ht="15" customHeight="1">
      <c r="B57" s="133" t="str">
        <f>"в т.ч. за период займа "&amp;IF(ISNUMBER(SEARCH("РФРП",Программа)),"ФРП и РФРП","ФРП")</f>
        <v>в т.ч. за период займа ФРП</v>
      </c>
      <c s="134" t="str">
        <f>Единица_измерения</f>
        <v>тыс. руб.</v>
      </c>
      <c s="135">
        <f ca="1">SUMPRODUCT($E$12:$BM$12,E50:BM50)-D41</f>
        <v>-0.00095709700890973413</v>
      </c>
    </row>
    <row r="58" spans="2:4" ht="15" customHeight="1">
      <c r="B58" s="12" t="s">
        <v>1099</v>
      </c>
      <c s="124" t="s">
        <v>817</v>
      </c>
      <c s="126">
        <f ca="1">IFERROR(IF(D44&lt;0,XIRR(D44:OFFSET(E44,0,MATCH(D32,$E$8:$BM$8,0)-1,,),$D$8:OFFSET(E8,0,MATCH(D32,$E$8:$BM$8,0)-1,,)),D35),0)</f>
        <v>0</v>
      </c>
    </row>
    <row r="59" spans="2:4" ht="15" customHeight="1">
      <c r="B59" s="133" t="str">
        <f>"в т.ч. за период займа "&amp;IF(ISNUMBER(SEARCH("РФРП",Программа)),"ФРП и РФРП","ФРП")</f>
        <v>в т.ч. за период займа ФРП</v>
      </c>
      <c s="124" t="s">
        <v>817</v>
      </c>
      <c s="136" t="str">
        <f ca="1">IFERROR(IF($D$41=0,D36,XIRR(OFFSET(D44,,,,Предпосылки!$C$14+1),OFFSET(D$8,,,,Предпосылки!$C$14+1))),"-")</f>
        <v>-</v>
      </c>
    </row>
    <row r="60" spans="2:4" ht="15" customHeight="1">
      <c r="B60" s="12" t="s">
        <v>1100</v>
      </c>
      <c s="124" t="s">
        <v>1101</v>
      </c>
      <c s="125" t="str">
        <f ca="1">IF(MAX(E45:BM45)&lt;0,"не окупается",SUM(E47:BM47))</f>
        <v>не окупается</v>
      </c>
    </row>
    <row r="61" spans="2:4" ht="15" customHeight="1">
      <c r="B61" s="12" t="s">
        <v>1102</v>
      </c>
      <c s="124" t="s">
        <v>1101</v>
      </c>
      <c s="125" t="str">
        <f ca="1">IF(MAX(E51:BM51)&lt;0,"не окупается",SUM(E53:BM53))</f>
        <v>не окупается</v>
      </c>
    </row>
    <row r="62" ht="15" customHeight="1"/>
    <row r="63" spans="2:65" ht="21">
      <c r="B63" s="23" t="s">
        <v>13</v>
      </c>
      <c r="D63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4" spans="2:2" ht="15" customHeight="1">
      <c r="B64" s="24" t="s">
        <v>1105</v>
      </c>
    </row>
    <row r="65" spans="2:65" ht="15" customHeight="1">
      <c r="B65" s="12" t="s">
        <v>854</v>
      </c>
      <c s="124" t="str">
        <f>Единица_измерения</f>
        <v>тыс. руб.</v>
      </c>
      <c s="276">
        <f>SUMIF(E6:BM6,CONCATENATE(E32,MATCH(D32,$E$8:$BM$8,0)),E65:BM65)</f>
        <v>0</v>
      </c>
      <c s="125">
        <f>Продажи!E156</f>
        <v>0</v>
      </c>
      <c s="125">
        <f>Продажи!F156</f>
        <v>0</v>
      </c>
      <c s="125">
        <f>Продажи!G156</f>
        <v>0</v>
      </c>
      <c s="125">
        <f>Продажи!H156</f>
        <v>0</v>
      </c>
      <c s="125">
        <f>Продажи!I156</f>
        <v>0</v>
      </c>
      <c s="125">
        <f>Продажи!J156</f>
        <v>0</v>
      </c>
      <c s="125">
        <f>Продажи!K156</f>
        <v>0</v>
      </c>
      <c s="125">
        <f>Продажи!L156</f>
        <v>0</v>
      </c>
      <c s="125">
        <f>Продажи!M156</f>
        <v>0</v>
      </c>
      <c s="125">
        <f>Продажи!N156</f>
        <v>0</v>
      </c>
      <c s="125">
        <f>Продажи!O156</f>
        <v>0</v>
      </c>
      <c s="125">
        <f>Продажи!P156</f>
        <v>0</v>
      </c>
      <c s="125">
        <f>Продажи!Q156</f>
        <v>0</v>
      </c>
      <c s="125">
        <f>Продажи!R156</f>
        <v>0</v>
      </c>
      <c s="125">
        <f>Продажи!S156</f>
        <v>0</v>
      </c>
      <c s="125">
        <f>Продажи!T156</f>
        <v>0</v>
      </c>
      <c s="125">
        <f>Продажи!U156</f>
        <v>0</v>
      </c>
      <c s="125">
        <f>Продажи!V156</f>
        <v>0</v>
      </c>
      <c s="125">
        <f>Продажи!W156</f>
        <v>0</v>
      </c>
      <c s="125">
        <f>Продажи!X156</f>
        <v>0</v>
      </c>
      <c s="125">
        <f>Продажи!Y156</f>
        <v>0</v>
      </c>
      <c s="125">
        <f>Продажи!Z156</f>
        <v>0</v>
      </c>
      <c s="125">
        <f>Продажи!AA156</f>
        <v>0</v>
      </c>
      <c s="125">
        <f>Продажи!AB156</f>
        <v>0</v>
      </c>
      <c s="125">
        <f>Продажи!AC156</f>
        <v>0</v>
      </c>
      <c s="125">
        <f>Продажи!AD156</f>
        <v>0</v>
      </c>
      <c s="125">
        <f>Продажи!AE156</f>
        <v>0</v>
      </c>
      <c s="125">
        <f>Продажи!AF156</f>
        <v>0</v>
      </c>
      <c s="125">
        <f>Продажи!AG156</f>
        <v>0</v>
      </c>
      <c s="125">
        <f>Продажи!AH156</f>
        <v>0</v>
      </c>
      <c s="125">
        <f>Продажи!AI156</f>
        <v>0</v>
      </c>
      <c s="125">
        <f>Продажи!AJ156</f>
        <v>0</v>
      </c>
      <c s="125">
        <f>Продажи!AK156</f>
        <v>0</v>
      </c>
      <c s="125">
        <f>Продажи!AL156</f>
        <v>0</v>
      </c>
      <c s="125">
        <f>Продажи!AM156</f>
        <v>0</v>
      </c>
      <c s="125">
        <f>Продажи!AN156</f>
        <v>0</v>
      </c>
      <c s="125">
        <f>Продажи!AO156</f>
        <v>0</v>
      </c>
      <c s="125">
        <f>Продажи!AP156</f>
        <v>0</v>
      </c>
      <c s="125">
        <f>Продажи!AQ156</f>
        <v>0</v>
      </c>
      <c s="125">
        <f>Продажи!AR156</f>
        <v>0</v>
      </c>
      <c s="125">
        <f>Продажи!AS156</f>
        <v>0</v>
      </c>
      <c s="125">
        <f>Продажи!AT156</f>
        <v>0</v>
      </c>
      <c s="125">
        <f>Продажи!AU156</f>
        <v>0</v>
      </c>
      <c s="125">
        <f>Продажи!AV156</f>
        <v>0</v>
      </c>
      <c s="125">
        <f>Продажи!AW156</f>
        <v>0</v>
      </c>
      <c s="125">
        <f>Продажи!AX156</f>
        <v>0</v>
      </c>
      <c s="125">
        <f>Продажи!AY156</f>
        <v>0</v>
      </c>
      <c s="125">
        <f>Продажи!AZ156</f>
        <v>0</v>
      </c>
      <c s="125">
        <f>Продажи!BA156</f>
        <v>0</v>
      </c>
      <c s="125">
        <f>Продажи!BB156</f>
        <v>0</v>
      </c>
      <c s="125">
        <f>Продажи!BC156</f>
        <v>0</v>
      </c>
      <c s="125">
        <f>Продажи!BD156</f>
        <v>0</v>
      </c>
      <c s="125">
        <f>Продажи!BE156</f>
        <v>0</v>
      </c>
      <c s="125">
        <f>Продажи!BF156</f>
        <v>0</v>
      </c>
      <c s="125">
        <f>Продажи!BG156</f>
        <v>0</v>
      </c>
      <c s="125">
        <f>Продажи!BH156</f>
        <v>0</v>
      </c>
      <c s="125">
        <f>Продажи!BI156</f>
        <v>0</v>
      </c>
      <c s="125">
        <f>Продажи!BJ156</f>
        <v>0</v>
      </c>
      <c s="125">
        <f>Продажи!BK156</f>
        <v>0</v>
      </c>
      <c s="125">
        <f>Продажи!BL156</f>
        <v>0</v>
      </c>
      <c s="125">
        <f>Продажи!BM156</f>
        <v>0</v>
      </c>
    </row>
    <row r="66" spans="2:65" ht="15" customHeight="1">
      <c r="B66" s="12" t="s">
        <v>855</v>
      </c>
      <c s="124" t="str">
        <f>Единица_измерения</f>
        <v>тыс. руб.</v>
      </c>
      <c s="276">
        <f>SUMIF(E6:BM6,CONCATENATE(E32,MATCH(D32,$E$8:$BM$8,0)),E66:BM66)</f>
        <v>0</v>
      </c>
      <c s="125">
        <f>Продажи!E179</f>
        <v>0</v>
      </c>
      <c s="125">
        <f>Продажи!F179</f>
        <v>0</v>
      </c>
      <c s="125">
        <f>Продажи!G179</f>
        <v>0</v>
      </c>
      <c s="125">
        <f>Продажи!H179</f>
        <v>0</v>
      </c>
      <c s="125">
        <f>Продажи!I179</f>
        <v>0</v>
      </c>
      <c s="125">
        <f>Продажи!J179</f>
        <v>0</v>
      </c>
      <c s="125">
        <f>Продажи!K179</f>
        <v>0</v>
      </c>
      <c s="125">
        <f>Продажи!L179</f>
        <v>0</v>
      </c>
      <c s="125">
        <f>Продажи!M179</f>
        <v>0</v>
      </c>
      <c s="125">
        <f>Продажи!N179</f>
        <v>0</v>
      </c>
      <c s="125">
        <f>Продажи!O179</f>
        <v>0</v>
      </c>
      <c s="125">
        <f>Продажи!P179</f>
        <v>0</v>
      </c>
      <c s="125">
        <f>Продажи!Q179</f>
        <v>0</v>
      </c>
      <c s="125">
        <f>Продажи!R179</f>
        <v>0</v>
      </c>
      <c s="125">
        <f>Продажи!S179</f>
        <v>0</v>
      </c>
      <c s="125">
        <f>Продажи!T179</f>
        <v>0</v>
      </c>
      <c s="125">
        <f>Продажи!U179</f>
        <v>0</v>
      </c>
      <c s="125">
        <f>Продажи!V179</f>
        <v>0</v>
      </c>
      <c s="125">
        <f>Продажи!W179</f>
        <v>0</v>
      </c>
      <c s="125">
        <f>Продажи!X179</f>
        <v>0</v>
      </c>
      <c s="125">
        <f>Продажи!Y179</f>
        <v>0</v>
      </c>
      <c s="125">
        <f>Продажи!Z179</f>
        <v>0</v>
      </c>
      <c s="125">
        <f>Продажи!AA179</f>
        <v>0</v>
      </c>
      <c s="125">
        <f>Продажи!AB179</f>
        <v>0</v>
      </c>
      <c s="125">
        <f>Продажи!AC179</f>
        <v>0</v>
      </c>
      <c s="125">
        <f>Продажи!AD179</f>
        <v>0</v>
      </c>
      <c s="125">
        <f>Продажи!AE179</f>
        <v>0</v>
      </c>
      <c s="125">
        <f>Продажи!AF179</f>
        <v>0</v>
      </c>
      <c s="125">
        <f>Продажи!AG179</f>
        <v>0</v>
      </c>
      <c s="125">
        <f>Продажи!AH179</f>
        <v>0</v>
      </c>
      <c s="125">
        <f>Продажи!AI179</f>
        <v>0</v>
      </c>
      <c s="125">
        <f>Продажи!AJ179</f>
        <v>0</v>
      </c>
      <c s="125">
        <f>Продажи!AK179</f>
        <v>0</v>
      </c>
      <c s="125">
        <f>Продажи!AL179</f>
        <v>0</v>
      </c>
      <c s="125">
        <f>Продажи!AM179</f>
        <v>0</v>
      </c>
      <c s="125">
        <f>Продажи!AN179</f>
        <v>0</v>
      </c>
      <c s="125">
        <f>Продажи!AO179</f>
        <v>0</v>
      </c>
      <c s="125">
        <f>Продажи!AP179</f>
        <v>0</v>
      </c>
      <c s="125">
        <f>Продажи!AQ179</f>
        <v>0</v>
      </c>
      <c s="125">
        <f>Продажи!AR179</f>
        <v>0</v>
      </c>
      <c s="125">
        <f>Продажи!AS179</f>
        <v>0</v>
      </c>
      <c s="125">
        <f>Продажи!AT179</f>
        <v>0</v>
      </c>
      <c s="125">
        <f>Продажи!AU179</f>
        <v>0</v>
      </c>
      <c s="125">
        <f>Продажи!AV179</f>
        <v>0</v>
      </c>
      <c s="125">
        <f>Продажи!AW179</f>
        <v>0</v>
      </c>
      <c s="125">
        <f>Продажи!AX179</f>
        <v>0</v>
      </c>
      <c s="125">
        <f>Продажи!AY179</f>
        <v>0</v>
      </c>
      <c s="125">
        <f>Продажи!AZ179</f>
        <v>0</v>
      </c>
      <c s="125">
        <f>Продажи!BA179</f>
        <v>0</v>
      </c>
      <c s="125">
        <f>Продажи!BB179</f>
        <v>0</v>
      </c>
      <c s="125">
        <f>Продажи!BC179</f>
        <v>0</v>
      </c>
      <c s="125">
        <f>Продажи!BD179</f>
        <v>0</v>
      </c>
      <c s="125">
        <f>Продажи!BE179</f>
        <v>0</v>
      </c>
      <c s="125">
        <f>Продажи!BF179</f>
        <v>0</v>
      </c>
      <c s="125">
        <f>Продажи!BG179</f>
        <v>0</v>
      </c>
      <c s="125">
        <f>Продажи!BH179</f>
        <v>0</v>
      </c>
      <c s="125">
        <f>Продажи!BI179</f>
        <v>0</v>
      </c>
      <c s="125">
        <f>Продажи!BJ179</f>
        <v>0</v>
      </c>
      <c s="125">
        <f>Продажи!BK179</f>
        <v>0</v>
      </c>
      <c s="125">
        <f>Продажи!BL179</f>
        <v>0</v>
      </c>
      <c s="125">
        <f>Продажи!BM179</f>
        <v>0</v>
      </c>
    </row>
    <row r="67" spans="2:65" ht="15" customHeight="1">
      <c r="B67" s="289" t="s">
        <v>1106</v>
      </c>
      <c s="290" t="str">
        <f>Единица_измерения</f>
        <v>тыс. руб.</v>
      </c>
      <c s="291">
        <f>SUM(D65:D66)</f>
        <v>0</v>
      </c>
      <c s="276">
        <f t="shared" si="532" ref="E67">SUM(E63:E66)</f>
        <v>0</v>
      </c>
      <c s="276">
        <f t="shared" si="533" ref="F67:AG67">SUM(F63:F66)</f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3"/>
        <v>0</v>
      </c>
      <c s="276">
        <f t="shared" si="534" ref="AH67:BM67">SUM(AH63:AH66)</f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  <c s="276">
        <f t="shared" si="534"/>
        <v>0</v>
      </c>
    </row>
    <row r="68" ht="15" customHeight="1"/>
    <row r="69" spans="2:2" ht="15" customHeight="1">
      <c r="B69" s="24" t="s">
        <v>1107</v>
      </c>
    </row>
    <row r="70" spans="2:65" ht="15" customHeight="1">
      <c r="B70" s="12" t="s">
        <v>854</v>
      </c>
      <c s="124" t="str">
        <f>Единица_измерения</f>
        <v>тыс. руб.</v>
      </c>
      <c s="282">
        <f t="shared" si="535" ref="D70:E70">IFERROR(D65/D$67,0)</f>
        <v>0</v>
      </c>
      <c s="126">
        <f t="shared" si="535"/>
        <v>0</v>
      </c>
      <c s="126">
        <f t="shared" si="536" ref="F70:AG70">IFERROR(F65/F$67,0)</f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6"/>
        <v>0</v>
      </c>
      <c s="126">
        <f t="shared" si="537" ref="AH70:BM70">IFERROR(AH65/AH$67,0)</f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  <c s="126">
        <f t="shared" si="537"/>
        <v>0</v>
      </c>
    </row>
    <row r="71" spans="2:65" ht="15" customHeight="1">
      <c r="B71" s="12" t="s">
        <v>855</v>
      </c>
      <c s="124" t="str">
        <f>Единица_измерения</f>
        <v>тыс. руб.</v>
      </c>
      <c s="282">
        <f t="shared" si="538" ref="D71:E71">IFERROR(D66/D$67,0)</f>
        <v>0</v>
      </c>
      <c s="126">
        <f t="shared" si="538"/>
        <v>0</v>
      </c>
      <c s="126">
        <f t="shared" si="539" ref="F71:AG71">IFERROR(F66/F$67,0)</f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39"/>
        <v>0</v>
      </c>
      <c s="126">
        <f t="shared" si="540" ref="AH71:BM71">IFERROR(AH66/AH$67,0)</f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  <c s="126">
        <f t="shared" si="540"/>
        <v>0</v>
      </c>
    </row>
    <row r="72" spans="2:65" ht="15" customHeight="1">
      <c r="B72" s="289" t="s">
        <v>1106</v>
      </c>
      <c s="290" t="str">
        <f>Единица_измерения</f>
        <v>тыс. руб.</v>
      </c>
      <c s="294">
        <f t="shared" si="541" ref="D72:E72">SUM(D70:D71)</f>
        <v>0</v>
      </c>
      <c s="282">
        <f t="shared" si="541"/>
        <v>0</v>
      </c>
      <c s="282">
        <f t="shared" si="542" ref="F72:AG72">SUM(F70:F71)</f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2"/>
        <v>0</v>
      </c>
      <c s="282">
        <f t="shared" si="543" ref="AH72:BM72">SUM(AH70:AH71)</f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  <c s="282">
        <f t="shared" si="543"/>
        <v>0</v>
      </c>
    </row>
    <row r="73" ht="15" customHeight="1"/>
    <row r="74" spans="2:65" ht="15.6">
      <c r="B74" s="24" t="s">
        <v>1108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5" spans="2:20" ht="15" customHeight="1">
      <c r="B75" s="259" t="s">
        <v>91</v>
      </c>
      <c s="259" t="s">
        <v>482</v>
      </c>
      <c s="259"/>
      <c s="260">
        <f>YEAR('Годовая отчетность'!E$8)</f>
        <v>2025</v>
      </c>
      <c s="260">
        <f>YEAR('Годовая отчетность'!F$8)</f>
        <v>2026</v>
      </c>
      <c s="260">
        <f>YEAR('Годовая отчетность'!G$8)</f>
        <v>2027</v>
      </c>
      <c s="260">
        <f>YEAR('Годовая отчетность'!H$8)</f>
        <v>2028</v>
      </c>
      <c s="260">
        <f>YEAR('Годовая отчетность'!I$8)</f>
        <v>2029</v>
      </c>
      <c s="260">
        <f>YEAR('Годовая отчетность'!J$8)</f>
        <v>2030</v>
      </c>
      <c s="260">
        <f>YEAR('Годовая отчетность'!K$8)</f>
        <v>2031</v>
      </c>
      <c s="260">
        <f>YEAR('Годовая отчетность'!L$8)</f>
        <v>2032</v>
      </c>
      <c s="260">
        <f>YEAR('Годовая отчетность'!M$8)</f>
        <v>2033</v>
      </c>
      <c s="260">
        <f>YEAR('Годовая отчетность'!N$8)</f>
        <v>2034</v>
      </c>
      <c s="260">
        <f>YEAR('Годовая отчетность'!O$8)</f>
        <v>2035</v>
      </c>
      <c s="260">
        <f>YEAR('Годовая отчетность'!P$8)</f>
        <v>2036</v>
      </c>
      <c s="260">
        <f>YEAR('Годовая отчетность'!Q$8)</f>
        <v>2037</v>
      </c>
      <c s="260">
        <f>YEAR('Годовая отчетность'!R$8)</f>
        <v>2038</v>
      </c>
      <c s="260">
        <f>YEAR('Годовая отчетность'!S$8)</f>
        <v>2039</v>
      </c>
      <c s="260">
        <f>YEAR('Годовая отчетность'!T$8)</f>
        <v>2040</v>
      </c>
    </row>
    <row r="76" spans="2:65" ht="15" customHeight="1">
      <c r="B76" s="22" t="str">
        <f>Продажи!B18</f>
        <v>Продукт 1</v>
      </c>
      <c s="137" t="str">
        <f>Продажи!C18</f>
        <v>-</v>
      </c>
      <c s="138"/>
      <c s="138">
        <f>SUMIF(Продажи!$E$10:$BM$10,E$75,Продажи!$E18:$BM18)</f>
        <v>0</v>
      </c>
      <c s="138">
        <f>SUMIF(Продажи!$E$10:$BM$10,F$75,Продажи!$E18:$BM18)</f>
        <v>0</v>
      </c>
      <c s="138">
        <f>SUMIF(Продажи!$E$10:$BM$10,G$75,Продажи!$E18:$BM18)</f>
        <v>0</v>
      </c>
      <c s="138">
        <f>SUMIF(Продажи!$E$10:$BM$10,H$75,Продажи!$E18:$BM18)</f>
        <v>0</v>
      </c>
      <c s="138">
        <f>SUMIF(Продажи!$E$10:$BM$10,I$75,Продажи!$E18:$BM18)</f>
        <v>0</v>
      </c>
      <c s="138">
        <f>SUMIF(Продажи!$E$10:$BM$10,J$75,Продажи!$E18:$BM18)</f>
        <v>0</v>
      </c>
      <c s="138">
        <f>SUMIF(Продажи!$E$10:$BM$10,K$75,Продажи!$E18:$BM18)</f>
        <v>0</v>
      </c>
      <c s="138">
        <f>SUMIF(Продажи!$E$10:$BM$10,L$75,Продажи!$E18:$BM18)</f>
        <v>0</v>
      </c>
      <c s="138">
        <f>SUMIF(Продажи!$E$10:$BM$10,M$75,Продажи!$E18:$BM18)</f>
        <v>0</v>
      </c>
      <c s="138">
        <f>SUMIF(Продажи!$E$10:$BM$10,N$75,Продажи!$E18:$BM18)</f>
        <v>0</v>
      </c>
      <c s="138">
        <f>SUMIF(Продажи!$E$10:$BM$10,O$75,Продажи!$E18:$BM18)</f>
        <v>0</v>
      </c>
      <c s="138">
        <f>SUMIF(Продажи!$E$10:$BM$10,P$75,Продажи!$E18:$BM18)</f>
        <v>0</v>
      </c>
      <c s="138">
        <f>SUMIF(Продажи!$E$10:$BM$10,Q$75,Продажи!$E18:$BM18)</f>
        <v>0</v>
      </c>
      <c s="138">
        <f>SUMIF(Продажи!$E$10:$BM$10,R$75,Продажи!$E18:$BM18)</f>
        <v>0</v>
      </c>
      <c s="138">
        <f>SUMIF(Продажи!$E$10:$BM$10,S$75,Продажи!$E18:$BM18)</f>
        <v>0</v>
      </c>
      <c s="138">
        <f>SUMIF(Продажи!$E$10:$BM$10,T$75,Продажи!$E18:$BM18)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7" spans="2:65" ht="15" customHeight="1">
      <c r="B77" s="22" t="str">
        <f>Продажи!B19</f>
        <v>Продукт 2</v>
      </c>
      <c s="137" t="str">
        <f>Продажи!C19</f>
        <v>-</v>
      </c>
      <c s="138"/>
      <c s="138">
        <f>SUMIF(Продажи!$E$10:$BM$10,E$75,Продажи!$E19:$BM19)</f>
        <v>0</v>
      </c>
      <c s="138">
        <f>SUMIF(Продажи!$E$10:$BM$10,F$75,Продажи!$E19:$BM19)</f>
        <v>0</v>
      </c>
      <c s="138">
        <f>SUMIF(Продажи!$E$10:$BM$10,G$75,Продажи!$E19:$BM19)</f>
        <v>0</v>
      </c>
      <c s="138">
        <f>SUMIF(Продажи!$E$10:$BM$10,H$75,Продажи!$E19:$BM19)</f>
        <v>0</v>
      </c>
      <c s="138">
        <f>SUMIF(Продажи!$E$10:$BM$10,I$75,Продажи!$E19:$BM19)</f>
        <v>0</v>
      </c>
      <c s="138">
        <f>SUMIF(Продажи!$E$10:$BM$10,J$75,Продажи!$E19:$BM19)</f>
        <v>0</v>
      </c>
      <c s="138">
        <f>SUMIF(Продажи!$E$10:$BM$10,K$75,Продажи!$E19:$BM19)</f>
        <v>0</v>
      </c>
      <c s="138">
        <f>SUMIF(Продажи!$E$10:$BM$10,L$75,Продажи!$E19:$BM19)</f>
        <v>0</v>
      </c>
      <c s="138">
        <f>SUMIF(Продажи!$E$10:$BM$10,M$75,Продажи!$E19:$BM19)</f>
        <v>0</v>
      </c>
      <c s="138">
        <f>SUMIF(Продажи!$E$10:$BM$10,N$75,Продажи!$E19:$BM19)</f>
        <v>0</v>
      </c>
      <c s="138">
        <f>SUMIF(Продажи!$E$10:$BM$10,O$75,Продажи!$E19:$BM19)</f>
        <v>0</v>
      </c>
      <c s="138">
        <f>SUMIF(Продажи!$E$10:$BM$10,P$75,Продажи!$E19:$BM19)</f>
        <v>0</v>
      </c>
      <c s="138">
        <f>SUMIF(Продажи!$E$10:$BM$10,Q$75,Продажи!$E19:$BM19)</f>
        <v>0</v>
      </c>
      <c s="138">
        <f>SUMIF(Продажи!$E$10:$BM$10,R$75,Продажи!$E19:$BM19)</f>
        <v>0</v>
      </c>
      <c s="138">
        <f>SUMIF(Продажи!$E$10:$BM$10,S$75,Продажи!$E19:$BM19)</f>
        <v>0</v>
      </c>
      <c s="138">
        <f>SUMIF(Продажи!$E$10:$BM$10,T$75,Продажи!$E19:$BM19)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8" spans="2:65" ht="15" customHeight="1">
      <c r="B78" s="22" t="str">
        <f>Продажи!B20</f>
        <v>Продукт 3</v>
      </c>
      <c s="137" t="str">
        <f>Продажи!C20</f>
        <v>-</v>
      </c>
      <c s="138"/>
      <c s="138">
        <f>SUMIF(Продажи!$E$10:$BM$10,E$75,Продажи!$E20:$BM20)</f>
        <v>0</v>
      </c>
      <c s="138">
        <f>SUMIF(Продажи!$E$10:$BM$10,F$75,Продажи!$E20:$BM20)</f>
        <v>0</v>
      </c>
      <c s="138">
        <f>SUMIF(Продажи!$E$10:$BM$10,G$75,Продажи!$E20:$BM20)</f>
        <v>0</v>
      </c>
      <c s="138">
        <f>SUMIF(Продажи!$E$10:$BM$10,H$75,Продажи!$E20:$BM20)</f>
        <v>0</v>
      </c>
      <c s="138">
        <f>SUMIF(Продажи!$E$10:$BM$10,I$75,Продажи!$E20:$BM20)</f>
        <v>0</v>
      </c>
      <c s="138">
        <f>SUMIF(Продажи!$E$10:$BM$10,J$75,Продажи!$E20:$BM20)</f>
        <v>0</v>
      </c>
      <c s="138">
        <f>SUMIF(Продажи!$E$10:$BM$10,K$75,Продажи!$E20:$BM20)</f>
        <v>0</v>
      </c>
      <c s="138">
        <f>SUMIF(Продажи!$E$10:$BM$10,L$75,Продажи!$E20:$BM20)</f>
        <v>0</v>
      </c>
      <c s="138">
        <f>SUMIF(Продажи!$E$10:$BM$10,M$75,Продажи!$E20:$BM20)</f>
        <v>0</v>
      </c>
      <c s="138">
        <f>SUMIF(Продажи!$E$10:$BM$10,N$75,Продажи!$E20:$BM20)</f>
        <v>0</v>
      </c>
      <c s="138">
        <f>SUMIF(Продажи!$E$10:$BM$10,O$75,Продажи!$E20:$BM20)</f>
        <v>0</v>
      </c>
      <c s="138">
        <f>SUMIF(Продажи!$E$10:$BM$10,P$75,Продажи!$E20:$BM20)</f>
        <v>0</v>
      </c>
      <c s="138">
        <f>SUMIF(Продажи!$E$10:$BM$10,Q$75,Продажи!$E20:$BM20)</f>
        <v>0</v>
      </c>
      <c s="138">
        <f>SUMIF(Продажи!$E$10:$BM$10,R$75,Продажи!$E20:$BM20)</f>
        <v>0</v>
      </c>
      <c s="138">
        <f>SUMIF(Продажи!$E$10:$BM$10,S$75,Продажи!$E20:$BM20)</f>
        <v>0</v>
      </c>
      <c s="138">
        <f>SUMIF(Продажи!$E$10:$BM$10,T$75,Продажи!$E20:$BM20)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9" spans="2:65" ht="15" customHeight="1">
      <c r="B79" s="22" t="str">
        <f>Продажи!B21</f>
        <v>Продукт 4</v>
      </c>
      <c s="137" t="str">
        <f>Продажи!C21</f>
        <v>-</v>
      </c>
      <c s="138"/>
      <c s="138">
        <f>SUMIF(Продажи!$E$10:$BM$10,E$75,Продажи!$E21:$BM21)</f>
        <v>0</v>
      </c>
      <c s="138">
        <f>SUMIF(Продажи!$E$10:$BM$10,F$75,Продажи!$E21:$BM21)</f>
        <v>0</v>
      </c>
      <c s="138">
        <f>SUMIF(Продажи!$E$10:$BM$10,G$75,Продажи!$E21:$BM21)</f>
        <v>0</v>
      </c>
      <c s="138">
        <f>SUMIF(Продажи!$E$10:$BM$10,H$75,Продажи!$E21:$BM21)</f>
        <v>0</v>
      </c>
      <c s="138">
        <f>SUMIF(Продажи!$E$10:$BM$10,I$75,Продажи!$E21:$BM21)</f>
        <v>0</v>
      </c>
      <c s="138">
        <f>SUMIF(Продажи!$E$10:$BM$10,J$75,Продажи!$E21:$BM21)</f>
        <v>0</v>
      </c>
      <c s="138">
        <f>SUMIF(Продажи!$E$10:$BM$10,K$75,Продажи!$E21:$BM21)</f>
        <v>0</v>
      </c>
      <c s="138">
        <f>SUMIF(Продажи!$E$10:$BM$10,L$75,Продажи!$E21:$BM21)</f>
        <v>0</v>
      </c>
      <c s="138">
        <f>SUMIF(Продажи!$E$10:$BM$10,M$75,Продажи!$E21:$BM21)</f>
        <v>0</v>
      </c>
      <c s="138">
        <f>SUMIF(Продажи!$E$10:$BM$10,N$75,Продажи!$E21:$BM21)</f>
        <v>0</v>
      </c>
      <c s="138">
        <f>SUMIF(Продажи!$E$10:$BM$10,O$75,Продажи!$E21:$BM21)</f>
        <v>0</v>
      </c>
      <c s="138">
        <f>SUMIF(Продажи!$E$10:$BM$10,P$75,Продажи!$E21:$BM21)</f>
        <v>0</v>
      </c>
      <c s="138">
        <f>SUMIF(Продажи!$E$10:$BM$10,Q$75,Продажи!$E21:$BM21)</f>
        <v>0</v>
      </c>
      <c s="138">
        <f>SUMIF(Продажи!$E$10:$BM$10,R$75,Продажи!$E21:$BM21)</f>
        <v>0</v>
      </c>
      <c s="138">
        <f>SUMIF(Продажи!$E$10:$BM$10,S$75,Продажи!$E21:$BM21)</f>
        <v>0</v>
      </c>
      <c s="138">
        <f>SUMIF(Продажи!$E$10:$BM$10,T$75,Продажи!$E21:$BM21)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0" spans="2:65" ht="15" customHeight="1">
      <c r="B80" s="22" t="str">
        <f>Продажи!B22</f>
        <v>Продукт 5</v>
      </c>
      <c s="137" t="str">
        <f>Продажи!C22</f>
        <v>-</v>
      </c>
      <c s="138"/>
      <c s="138">
        <f>SUMIF(Продажи!$E$10:$BM$10,E$75,Продажи!$E22:$BM22)</f>
        <v>0</v>
      </c>
      <c s="138">
        <f>SUMIF(Продажи!$E$10:$BM$10,F$75,Продажи!$E22:$BM22)</f>
        <v>0</v>
      </c>
      <c s="138">
        <f>SUMIF(Продажи!$E$10:$BM$10,G$75,Продажи!$E22:$BM22)</f>
        <v>0</v>
      </c>
      <c s="138">
        <f>SUMIF(Продажи!$E$10:$BM$10,H$75,Продажи!$E22:$BM22)</f>
        <v>0</v>
      </c>
      <c s="138">
        <f>SUMIF(Продажи!$E$10:$BM$10,I$75,Продажи!$E22:$BM22)</f>
        <v>0</v>
      </c>
      <c s="138">
        <f>SUMIF(Продажи!$E$10:$BM$10,J$75,Продажи!$E22:$BM22)</f>
        <v>0</v>
      </c>
      <c s="138">
        <f>SUMIF(Продажи!$E$10:$BM$10,K$75,Продажи!$E22:$BM22)</f>
        <v>0</v>
      </c>
      <c s="138">
        <f>SUMIF(Продажи!$E$10:$BM$10,L$75,Продажи!$E22:$BM22)</f>
        <v>0</v>
      </c>
      <c s="138">
        <f>SUMIF(Продажи!$E$10:$BM$10,M$75,Продажи!$E22:$BM22)</f>
        <v>0</v>
      </c>
      <c s="138">
        <f>SUMIF(Продажи!$E$10:$BM$10,N$75,Продажи!$E22:$BM22)</f>
        <v>0</v>
      </c>
      <c s="138">
        <f>SUMIF(Продажи!$E$10:$BM$10,O$75,Продажи!$E22:$BM22)</f>
        <v>0</v>
      </c>
      <c s="138">
        <f>SUMIF(Продажи!$E$10:$BM$10,P$75,Продажи!$E22:$BM22)</f>
        <v>0</v>
      </c>
      <c s="138">
        <f>SUMIF(Продажи!$E$10:$BM$10,Q$75,Продажи!$E22:$BM22)</f>
        <v>0</v>
      </c>
      <c s="138">
        <f>SUMIF(Продажи!$E$10:$BM$10,R$75,Продажи!$E22:$BM22)</f>
        <v>0</v>
      </c>
      <c s="138">
        <f>SUMIF(Продажи!$E$10:$BM$10,S$75,Продажи!$E22:$BM22)</f>
        <v>0</v>
      </c>
      <c s="138">
        <f>SUMIF(Продажи!$E$10:$BM$10,T$75,Продажи!$E22:$BM22)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1" spans="2:65" ht="15" customHeight="1">
      <c r="B81" s="22" t="str">
        <f>Продажи!B23</f>
        <v>Продукт 6</v>
      </c>
      <c s="137" t="str">
        <f>Продажи!C23</f>
        <v>-</v>
      </c>
      <c s="138"/>
      <c s="138">
        <f>SUMIF(Продажи!$E$10:$BM$10,E$75,Продажи!$E23:$BM23)</f>
        <v>0</v>
      </c>
      <c s="138">
        <f>SUMIF(Продажи!$E$10:$BM$10,F$75,Продажи!$E23:$BM23)</f>
        <v>0</v>
      </c>
      <c s="138">
        <f>SUMIF(Продажи!$E$10:$BM$10,G$75,Продажи!$E23:$BM23)</f>
        <v>0</v>
      </c>
      <c s="138">
        <f>SUMIF(Продажи!$E$10:$BM$10,H$75,Продажи!$E23:$BM23)</f>
        <v>0</v>
      </c>
      <c s="138">
        <f>SUMIF(Продажи!$E$10:$BM$10,I$75,Продажи!$E23:$BM23)</f>
        <v>0</v>
      </c>
      <c s="138">
        <f>SUMIF(Продажи!$E$10:$BM$10,J$75,Продажи!$E23:$BM23)</f>
        <v>0</v>
      </c>
      <c s="138">
        <f>SUMIF(Продажи!$E$10:$BM$10,K$75,Продажи!$E23:$BM23)</f>
        <v>0</v>
      </c>
      <c s="138">
        <f>SUMIF(Продажи!$E$10:$BM$10,L$75,Продажи!$E23:$BM23)</f>
        <v>0</v>
      </c>
      <c s="138">
        <f>SUMIF(Продажи!$E$10:$BM$10,M$75,Продажи!$E23:$BM23)</f>
        <v>0</v>
      </c>
      <c s="138">
        <f>SUMIF(Продажи!$E$10:$BM$10,N$75,Продажи!$E23:$BM23)</f>
        <v>0</v>
      </c>
      <c s="138">
        <f>SUMIF(Продажи!$E$10:$BM$10,O$75,Продажи!$E23:$BM23)</f>
        <v>0</v>
      </c>
      <c s="138">
        <f>SUMIF(Продажи!$E$10:$BM$10,P$75,Продажи!$E23:$BM23)</f>
        <v>0</v>
      </c>
      <c s="138">
        <f>SUMIF(Продажи!$E$10:$BM$10,Q$75,Продажи!$E23:$BM23)</f>
        <v>0</v>
      </c>
      <c s="138">
        <f>SUMIF(Продажи!$E$10:$BM$10,R$75,Продажи!$E23:$BM23)</f>
        <v>0</v>
      </c>
      <c s="138">
        <f>SUMIF(Продажи!$E$10:$BM$10,S$75,Продажи!$E23:$BM23)</f>
        <v>0</v>
      </c>
      <c s="138">
        <f>SUMIF(Продажи!$E$10:$BM$10,T$75,Продажи!$E23:$BM23)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2" spans="2:65" ht="15" customHeight="1">
      <c r="B82" s="22" t="str">
        <f>Продажи!B24</f>
        <v>Продукт 7</v>
      </c>
      <c s="137" t="str">
        <f>Продажи!C24</f>
        <v>-</v>
      </c>
      <c s="138"/>
      <c s="138">
        <f>SUMIF(Продажи!$E$10:$BM$10,E$75,Продажи!$E24:$BM24)</f>
        <v>0</v>
      </c>
      <c s="138">
        <f>SUMIF(Продажи!$E$10:$BM$10,F$75,Продажи!$E24:$BM24)</f>
        <v>0</v>
      </c>
      <c s="138">
        <f>SUMIF(Продажи!$E$10:$BM$10,G$75,Продажи!$E24:$BM24)</f>
        <v>0</v>
      </c>
      <c s="138">
        <f>SUMIF(Продажи!$E$10:$BM$10,H$75,Продажи!$E24:$BM24)</f>
        <v>0</v>
      </c>
      <c s="138">
        <f>SUMIF(Продажи!$E$10:$BM$10,I$75,Продажи!$E24:$BM24)</f>
        <v>0</v>
      </c>
      <c s="138">
        <f>SUMIF(Продажи!$E$10:$BM$10,J$75,Продажи!$E24:$BM24)</f>
        <v>0</v>
      </c>
      <c s="138">
        <f>SUMIF(Продажи!$E$10:$BM$10,K$75,Продажи!$E24:$BM24)</f>
        <v>0</v>
      </c>
      <c s="138">
        <f>SUMIF(Продажи!$E$10:$BM$10,L$75,Продажи!$E24:$BM24)</f>
        <v>0</v>
      </c>
      <c s="138">
        <f>SUMIF(Продажи!$E$10:$BM$10,M$75,Продажи!$E24:$BM24)</f>
        <v>0</v>
      </c>
      <c s="138">
        <f>SUMIF(Продажи!$E$10:$BM$10,N$75,Продажи!$E24:$BM24)</f>
        <v>0</v>
      </c>
      <c s="138">
        <f>SUMIF(Продажи!$E$10:$BM$10,O$75,Продажи!$E24:$BM24)</f>
        <v>0</v>
      </c>
      <c s="138">
        <f>SUMIF(Продажи!$E$10:$BM$10,P$75,Продажи!$E24:$BM24)</f>
        <v>0</v>
      </c>
      <c s="138">
        <f>SUMIF(Продажи!$E$10:$BM$10,Q$75,Продажи!$E24:$BM24)</f>
        <v>0</v>
      </c>
      <c s="138">
        <f>SUMIF(Продажи!$E$10:$BM$10,R$75,Продажи!$E24:$BM24)</f>
        <v>0</v>
      </c>
      <c s="138">
        <f>SUMIF(Продажи!$E$10:$BM$10,S$75,Продажи!$E24:$BM24)</f>
        <v>0</v>
      </c>
      <c s="138">
        <f>SUMIF(Продажи!$E$10:$BM$10,T$75,Продажи!$E24:$BM24)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3" spans="2:65" ht="15" customHeight="1">
      <c r="B83" s="22" t="str">
        <f>Продажи!B25</f>
        <v>Продукт 8</v>
      </c>
      <c s="137" t="str">
        <f>Продажи!C25</f>
        <v>-</v>
      </c>
      <c s="138"/>
      <c s="138">
        <f>SUMIF(Продажи!$E$10:$BM$10,E$75,Продажи!$E25:$BM25)</f>
        <v>0</v>
      </c>
      <c s="138">
        <f>SUMIF(Продажи!$E$10:$BM$10,F$75,Продажи!$E25:$BM25)</f>
        <v>0</v>
      </c>
      <c s="138">
        <f>SUMIF(Продажи!$E$10:$BM$10,G$75,Продажи!$E25:$BM25)</f>
        <v>0</v>
      </c>
      <c s="138">
        <f>SUMIF(Продажи!$E$10:$BM$10,H$75,Продажи!$E25:$BM25)</f>
        <v>0</v>
      </c>
      <c s="138">
        <f>SUMIF(Продажи!$E$10:$BM$10,I$75,Продажи!$E25:$BM25)</f>
        <v>0</v>
      </c>
      <c s="138">
        <f>SUMIF(Продажи!$E$10:$BM$10,J$75,Продажи!$E25:$BM25)</f>
        <v>0</v>
      </c>
      <c s="138">
        <f>SUMIF(Продажи!$E$10:$BM$10,K$75,Продажи!$E25:$BM25)</f>
        <v>0</v>
      </c>
      <c s="138">
        <f>SUMIF(Продажи!$E$10:$BM$10,L$75,Продажи!$E25:$BM25)</f>
        <v>0</v>
      </c>
      <c s="138">
        <f>SUMIF(Продажи!$E$10:$BM$10,M$75,Продажи!$E25:$BM25)</f>
        <v>0</v>
      </c>
      <c s="138">
        <f>SUMIF(Продажи!$E$10:$BM$10,N$75,Продажи!$E25:$BM25)</f>
        <v>0</v>
      </c>
      <c s="138">
        <f>SUMIF(Продажи!$E$10:$BM$10,O$75,Продажи!$E25:$BM25)</f>
        <v>0</v>
      </c>
      <c s="138">
        <f>SUMIF(Продажи!$E$10:$BM$10,P$75,Продажи!$E25:$BM25)</f>
        <v>0</v>
      </c>
      <c s="138">
        <f>SUMIF(Продажи!$E$10:$BM$10,Q$75,Продажи!$E25:$BM25)</f>
        <v>0</v>
      </c>
      <c s="138">
        <f>SUMIF(Продажи!$E$10:$BM$10,R$75,Продажи!$E25:$BM25)</f>
        <v>0</v>
      </c>
      <c s="138">
        <f>SUMIF(Продажи!$E$10:$BM$10,S$75,Продажи!$E25:$BM25)</f>
        <v>0</v>
      </c>
      <c s="138">
        <f>SUMIF(Продажи!$E$10:$BM$10,T$75,Продажи!$E25:$BM25)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4" spans="2:65" ht="15" customHeight="1">
      <c r="B84" s="22" t="str">
        <f>Продажи!B26</f>
        <v>Продукт 9</v>
      </c>
      <c s="137" t="str">
        <f>Продажи!C26</f>
        <v>-</v>
      </c>
      <c s="138"/>
      <c s="138">
        <f>SUMIF(Продажи!$E$10:$BM$10,E$75,Продажи!$E26:$BM26)</f>
        <v>0</v>
      </c>
      <c s="138">
        <f>SUMIF(Продажи!$E$10:$BM$10,F$75,Продажи!$E26:$BM26)</f>
        <v>0</v>
      </c>
      <c s="138">
        <f>SUMIF(Продажи!$E$10:$BM$10,G$75,Продажи!$E26:$BM26)</f>
        <v>0</v>
      </c>
      <c s="138">
        <f>SUMIF(Продажи!$E$10:$BM$10,H$75,Продажи!$E26:$BM26)</f>
        <v>0</v>
      </c>
      <c s="138">
        <f>SUMIF(Продажи!$E$10:$BM$10,I$75,Продажи!$E26:$BM26)</f>
        <v>0</v>
      </c>
      <c s="138">
        <f>SUMIF(Продажи!$E$10:$BM$10,J$75,Продажи!$E26:$BM26)</f>
        <v>0</v>
      </c>
      <c s="138">
        <f>SUMIF(Продажи!$E$10:$BM$10,K$75,Продажи!$E26:$BM26)</f>
        <v>0</v>
      </c>
      <c s="138">
        <f>SUMIF(Продажи!$E$10:$BM$10,L$75,Продажи!$E26:$BM26)</f>
        <v>0</v>
      </c>
      <c s="138">
        <f>SUMIF(Продажи!$E$10:$BM$10,M$75,Продажи!$E26:$BM26)</f>
        <v>0</v>
      </c>
      <c s="138">
        <f>SUMIF(Продажи!$E$10:$BM$10,N$75,Продажи!$E26:$BM26)</f>
        <v>0</v>
      </c>
      <c s="138">
        <f>SUMIF(Продажи!$E$10:$BM$10,O$75,Продажи!$E26:$BM26)</f>
        <v>0</v>
      </c>
      <c s="138">
        <f>SUMIF(Продажи!$E$10:$BM$10,P$75,Продажи!$E26:$BM26)</f>
        <v>0</v>
      </c>
      <c s="138">
        <f>SUMIF(Продажи!$E$10:$BM$10,Q$75,Продажи!$E26:$BM26)</f>
        <v>0</v>
      </c>
      <c s="138">
        <f>SUMIF(Продажи!$E$10:$BM$10,R$75,Продажи!$E26:$BM26)</f>
        <v>0</v>
      </c>
      <c s="138">
        <f>SUMIF(Продажи!$E$10:$BM$10,S$75,Продажи!$E26:$BM26)</f>
        <v>0</v>
      </c>
      <c s="138">
        <f>SUMIF(Продажи!$E$10:$BM$10,T$75,Продажи!$E26:$BM26)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5" spans="2:65" ht="15" customHeight="1">
      <c r="B85" s="22" t="str">
        <f>Продажи!B27</f>
        <v>Продукт 10</v>
      </c>
      <c s="137" t="str">
        <f>Продажи!C27</f>
        <v>-</v>
      </c>
      <c s="138"/>
      <c s="138">
        <f>SUMIF(Продажи!$E$10:$BM$10,E$75,Продажи!$E27:$BM27)</f>
        <v>0</v>
      </c>
      <c s="138">
        <f>SUMIF(Продажи!$E$10:$BM$10,F$75,Продажи!$E27:$BM27)</f>
        <v>0</v>
      </c>
      <c s="138">
        <f>SUMIF(Продажи!$E$10:$BM$10,G$75,Продажи!$E27:$BM27)</f>
        <v>0</v>
      </c>
      <c s="138">
        <f>SUMIF(Продажи!$E$10:$BM$10,H$75,Продажи!$E27:$BM27)</f>
        <v>0</v>
      </c>
      <c s="138">
        <f>SUMIF(Продажи!$E$10:$BM$10,I$75,Продажи!$E27:$BM27)</f>
        <v>0</v>
      </c>
      <c s="138">
        <f>SUMIF(Продажи!$E$10:$BM$10,J$75,Продажи!$E27:$BM27)</f>
        <v>0</v>
      </c>
      <c s="138">
        <f>SUMIF(Продажи!$E$10:$BM$10,K$75,Продажи!$E27:$BM27)</f>
        <v>0</v>
      </c>
      <c s="138">
        <f>SUMIF(Продажи!$E$10:$BM$10,L$75,Продажи!$E27:$BM27)</f>
        <v>0</v>
      </c>
      <c s="138">
        <f>SUMIF(Продажи!$E$10:$BM$10,M$75,Продажи!$E27:$BM27)</f>
        <v>0</v>
      </c>
      <c s="138">
        <f>SUMIF(Продажи!$E$10:$BM$10,N$75,Продажи!$E27:$BM27)</f>
        <v>0</v>
      </c>
      <c s="138">
        <f>SUMIF(Продажи!$E$10:$BM$10,O$75,Продажи!$E27:$BM27)</f>
        <v>0</v>
      </c>
      <c s="138">
        <f>SUMIF(Продажи!$E$10:$BM$10,P$75,Продажи!$E27:$BM27)</f>
        <v>0</v>
      </c>
      <c s="138">
        <f>SUMIF(Продажи!$E$10:$BM$10,Q$75,Продажи!$E27:$BM27)</f>
        <v>0</v>
      </c>
      <c s="138">
        <f>SUMIF(Продажи!$E$10:$BM$10,R$75,Продажи!$E27:$BM27)</f>
        <v>0</v>
      </c>
      <c s="138">
        <f>SUMIF(Продажи!$E$10:$BM$10,S$75,Продажи!$E27:$BM27)</f>
        <v>0</v>
      </c>
      <c s="138">
        <f>SUMIF(Продажи!$E$10:$BM$10,T$75,Продажи!$E27:$BM27)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6" spans="2:65" ht="15" customHeight="1">
      <c r="B86" s="22" t="str">
        <f>Продажи!B28</f>
        <v>Продукт 11</v>
      </c>
      <c s="137" t="str">
        <f>Продажи!C28</f>
        <v>-</v>
      </c>
      <c s="138"/>
      <c s="138">
        <f>SUMIF(Продажи!$E$10:$BM$10,E$75,Продажи!$E28:$BM28)</f>
        <v>0</v>
      </c>
      <c s="138">
        <f>SUMIF(Продажи!$E$10:$BM$10,F$75,Продажи!$E28:$BM28)</f>
        <v>0</v>
      </c>
      <c s="138">
        <f>SUMIF(Продажи!$E$10:$BM$10,G$75,Продажи!$E28:$BM28)</f>
        <v>0</v>
      </c>
      <c s="138">
        <f>SUMIF(Продажи!$E$10:$BM$10,H$75,Продажи!$E28:$BM28)</f>
        <v>0</v>
      </c>
      <c s="138">
        <f>SUMIF(Продажи!$E$10:$BM$10,I$75,Продажи!$E28:$BM28)</f>
        <v>0</v>
      </c>
      <c s="138">
        <f>SUMIF(Продажи!$E$10:$BM$10,J$75,Продажи!$E28:$BM28)</f>
        <v>0</v>
      </c>
      <c s="138">
        <f>SUMIF(Продажи!$E$10:$BM$10,K$75,Продажи!$E28:$BM28)</f>
        <v>0</v>
      </c>
      <c s="138">
        <f>SUMIF(Продажи!$E$10:$BM$10,L$75,Продажи!$E28:$BM28)</f>
        <v>0</v>
      </c>
      <c s="138">
        <f>SUMIF(Продажи!$E$10:$BM$10,M$75,Продажи!$E28:$BM28)</f>
        <v>0</v>
      </c>
      <c s="138">
        <f>SUMIF(Продажи!$E$10:$BM$10,N$75,Продажи!$E28:$BM28)</f>
        <v>0</v>
      </c>
      <c s="138">
        <f>SUMIF(Продажи!$E$10:$BM$10,O$75,Продажи!$E28:$BM28)</f>
        <v>0</v>
      </c>
      <c s="138">
        <f>SUMIF(Продажи!$E$10:$BM$10,P$75,Продажи!$E28:$BM28)</f>
        <v>0</v>
      </c>
      <c s="138">
        <f>SUMIF(Продажи!$E$10:$BM$10,Q$75,Продажи!$E28:$BM28)</f>
        <v>0</v>
      </c>
      <c s="138">
        <f>SUMIF(Продажи!$E$10:$BM$10,R$75,Продажи!$E28:$BM28)</f>
        <v>0</v>
      </c>
      <c s="138">
        <f>SUMIF(Продажи!$E$10:$BM$10,S$75,Продажи!$E28:$BM28)</f>
        <v>0</v>
      </c>
      <c s="138">
        <f>SUMIF(Продажи!$E$10:$BM$10,T$75,Продажи!$E28:$BM28)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7" spans="2:65" ht="15" customHeight="1">
      <c r="B87" s="22" t="str">
        <f>Продажи!B29</f>
        <v>Продукт 12</v>
      </c>
      <c s="137" t="str">
        <f>Продажи!C29</f>
        <v>-</v>
      </c>
      <c s="138"/>
      <c s="138">
        <f>SUMIF(Продажи!$E$10:$BM$10,E$75,Продажи!$E29:$BM29)</f>
        <v>0</v>
      </c>
      <c s="138">
        <f>SUMIF(Продажи!$E$10:$BM$10,F$75,Продажи!$E29:$BM29)</f>
        <v>0</v>
      </c>
      <c s="138">
        <f>SUMIF(Продажи!$E$10:$BM$10,G$75,Продажи!$E29:$BM29)</f>
        <v>0</v>
      </c>
      <c s="138">
        <f>SUMIF(Продажи!$E$10:$BM$10,H$75,Продажи!$E29:$BM29)</f>
        <v>0</v>
      </c>
      <c s="138">
        <f>SUMIF(Продажи!$E$10:$BM$10,I$75,Продажи!$E29:$BM29)</f>
        <v>0</v>
      </c>
      <c s="138">
        <f>SUMIF(Продажи!$E$10:$BM$10,J$75,Продажи!$E29:$BM29)</f>
        <v>0</v>
      </c>
      <c s="138">
        <f>SUMIF(Продажи!$E$10:$BM$10,K$75,Продажи!$E29:$BM29)</f>
        <v>0</v>
      </c>
      <c s="138">
        <f>SUMIF(Продажи!$E$10:$BM$10,L$75,Продажи!$E29:$BM29)</f>
        <v>0</v>
      </c>
      <c s="138">
        <f>SUMIF(Продажи!$E$10:$BM$10,M$75,Продажи!$E29:$BM29)</f>
        <v>0</v>
      </c>
      <c s="138">
        <f>SUMIF(Продажи!$E$10:$BM$10,N$75,Продажи!$E29:$BM29)</f>
        <v>0</v>
      </c>
      <c s="138">
        <f>SUMIF(Продажи!$E$10:$BM$10,O$75,Продажи!$E29:$BM29)</f>
        <v>0</v>
      </c>
      <c s="138">
        <f>SUMIF(Продажи!$E$10:$BM$10,P$75,Продажи!$E29:$BM29)</f>
        <v>0</v>
      </c>
      <c s="138">
        <f>SUMIF(Продажи!$E$10:$BM$10,Q$75,Продажи!$E29:$BM29)</f>
        <v>0</v>
      </c>
      <c s="138">
        <f>SUMIF(Продажи!$E$10:$BM$10,R$75,Продажи!$E29:$BM29)</f>
        <v>0</v>
      </c>
      <c s="138">
        <f>SUMIF(Продажи!$E$10:$BM$10,S$75,Продажи!$E29:$BM29)</f>
        <v>0</v>
      </c>
      <c s="138">
        <f>SUMIF(Продажи!$E$10:$BM$10,T$75,Продажи!$E29:$BM29)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8" spans="2:65" ht="15" customHeight="1">
      <c r="B88" s="22" t="str">
        <f>Продажи!B30</f>
        <v>Продукт 13</v>
      </c>
      <c s="137" t="str">
        <f>Продажи!C30</f>
        <v>-</v>
      </c>
      <c s="138"/>
      <c s="138">
        <f>SUMIF(Продажи!$E$10:$BM$10,E$75,Продажи!$E30:$BM30)</f>
        <v>0</v>
      </c>
      <c s="138">
        <f>SUMIF(Продажи!$E$10:$BM$10,F$75,Продажи!$E30:$BM30)</f>
        <v>0</v>
      </c>
      <c s="138">
        <f>SUMIF(Продажи!$E$10:$BM$10,G$75,Продажи!$E30:$BM30)</f>
        <v>0</v>
      </c>
      <c s="138">
        <f>SUMIF(Продажи!$E$10:$BM$10,H$75,Продажи!$E30:$BM30)</f>
        <v>0</v>
      </c>
      <c s="138">
        <f>SUMIF(Продажи!$E$10:$BM$10,I$75,Продажи!$E30:$BM30)</f>
        <v>0</v>
      </c>
      <c s="138">
        <f>SUMIF(Продажи!$E$10:$BM$10,J$75,Продажи!$E30:$BM30)</f>
        <v>0</v>
      </c>
      <c s="138">
        <f>SUMIF(Продажи!$E$10:$BM$10,K$75,Продажи!$E30:$BM30)</f>
        <v>0</v>
      </c>
      <c s="138">
        <f>SUMIF(Продажи!$E$10:$BM$10,L$75,Продажи!$E30:$BM30)</f>
        <v>0</v>
      </c>
      <c s="138">
        <f>SUMIF(Продажи!$E$10:$BM$10,M$75,Продажи!$E30:$BM30)</f>
        <v>0</v>
      </c>
      <c s="138">
        <f>SUMIF(Продажи!$E$10:$BM$10,N$75,Продажи!$E30:$BM30)</f>
        <v>0</v>
      </c>
      <c s="138">
        <f>SUMIF(Продажи!$E$10:$BM$10,O$75,Продажи!$E30:$BM30)</f>
        <v>0</v>
      </c>
      <c s="138">
        <f>SUMIF(Продажи!$E$10:$BM$10,P$75,Продажи!$E30:$BM30)</f>
        <v>0</v>
      </c>
      <c s="138">
        <f>SUMIF(Продажи!$E$10:$BM$10,Q$75,Продажи!$E30:$BM30)</f>
        <v>0</v>
      </c>
      <c s="138">
        <f>SUMIF(Продажи!$E$10:$BM$10,R$75,Продажи!$E30:$BM30)</f>
        <v>0</v>
      </c>
      <c s="138">
        <f>SUMIF(Продажи!$E$10:$BM$10,S$75,Продажи!$E30:$BM30)</f>
        <v>0</v>
      </c>
      <c s="138">
        <f>SUMIF(Продажи!$E$10:$BM$10,T$75,Продажи!$E30:$BM30)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9" spans="2:65" ht="15" customHeight="1">
      <c r="B89" s="22" t="str">
        <f>Продажи!B31</f>
        <v>Продукт 14</v>
      </c>
      <c s="137" t="str">
        <f>Продажи!C31</f>
        <v>-</v>
      </c>
      <c s="125"/>
      <c s="138">
        <f>SUMIF(Продажи!$E$10:$BM$10,E$75,Продажи!$E31:$BM31)</f>
        <v>0</v>
      </c>
      <c s="138">
        <f>SUMIF(Продажи!$E$10:$BM$10,F$75,Продажи!$E31:$BM31)</f>
        <v>0</v>
      </c>
      <c s="138">
        <f>SUMIF(Продажи!$E$10:$BM$10,G$75,Продажи!$E31:$BM31)</f>
        <v>0</v>
      </c>
      <c s="138">
        <f>SUMIF(Продажи!$E$10:$BM$10,H$75,Продажи!$E31:$BM31)</f>
        <v>0</v>
      </c>
      <c s="138">
        <f>SUMIF(Продажи!$E$10:$BM$10,I$75,Продажи!$E31:$BM31)</f>
        <v>0</v>
      </c>
      <c s="138">
        <f>SUMIF(Продажи!$E$10:$BM$10,J$75,Продажи!$E31:$BM31)</f>
        <v>0</v>
      </c>
      <c s="138">
        <f>SUMIF(Продажи!$E$10:$BM$10,K$75,Продажи!$E31:$BM31)</f>
        <v>0</v>
      </c>
      <c s="138">
        <f>SUMIF(Продажи!$E$10:$BM$10,L$75,Продажи!$E31:$BM31)</f>
        <v>0</v>
      </c>
      <c s="138">
        <f>SUMIF(Продажи!$E$10:$BM$10,M$75,Продажи!$E31:$BM31)</f>
        <v>0</v>
      </c>
      <c s="138">
        <f>SUMIF(Продажи!$E$10:$BM$10,N$75,Продажи!$E31:$BM31)</f>
        <v>0</v>
      </c>
      <c s="138">
        <f>SUMIF(Продажи!$E$10:$BM$10,O$75,Продажи!$E31:$BM31)</f>
        <v>0</v>
      </c>
      <c s="138">
        <f>SUMIF(Продажи!$E$10:$BM$10,P$75,Продажи!$E31:$BM31)</f>
        <v>0</v>
      </c>
      <c s="138">
        <f>SUMIF(Продажи!$E$10:$BM$10,Q$75,Продажи!$E31:$BM31)</f>
        <v>0</v>
      </c>
      <c s="138">
        <f>SUMIF(Продажи!$E$10:$BM$10,R$75,Продажи!$E31:$BM31)</f>
        <v>0</v>
      </c>
      <c s="138">
        <f>SUMIF(Продажи!$E$10:$BM$10,S$75,Продажи!$E31:$BM31)</f>
        <v>0</v>
      </c>
      <c s="138">
        <f>SUMIF(Продажи!$E$10:$BM$10,T$75,Продажи!$E31:$BM31)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0" spans="2:65" ht="15" customHeight="1">
      <c r="B90" s="22" t="str">
        <f>Продажи!B32</f>
        <v>Продукт 15</v>
      </c>
      <c s="137" t="str">
        <f>Продажи!C32</f>
        <v>-</v>
      </c>
      <c s="125"/>
      <c s="138">
        <f>SUMIF(Продажи!$E$10:$BM$10,E$75,Продажи!$E32:$BM32)</f>
        <v>0</v>
      </c>
      <c s="138">
        <f>SUMIF(Продажи!$E$10:$BM$10,F$75,Продажи!$E32:$BM32)</f>
        <v>0</v>
      </c>
      <c s="138">
        <f>SUMIF(Продажи!$E$10:$BM$10,G$75,Продажи!$E32:$BM32)</f>
        <v>0</v>
      </c>
      <c s="138">
        <f>SUMIF(Продажи!$E$10:$BM$10,H$75,Продажи!$E32:$BM32)</f>
        <v>0</v>
      </c>
      <c s="138">
        <f>SUMIF(Продажи!$E$10:$BM$10,I$75,Продажи!$E32:$BM32)</f>
        <v>0</v>
      </c>
      <c s="138">
        <f>SUMIF(Продажи!$E$10:$BM$10,J$75,Продажи!$E32:$BM32)</f>
        <v>0</v>
      </c>
      <c s="138">
        <f>SUMIF(Продажи!$E$10:$BM$10,K$75,Продажи!$E32:$BM32)</f>
        <v>0</v>
      </c>
      <c s="138">
        <f>SUMIF(Продажи!$E$10:$BM$10,L$75,Продажи!$E32:$BM32)</f>
        <v>0</v>
      </c>
      <c s="138">
        <f>SUMIF(Продажи!$E$10:$BM$10,M$75,Продажи!$E32:$BM32)</f>
        <v>0</v>
      </c>
      <c s="138">
        <f>SUMIF(Продажи!$E$10:$BM$10,N$75,Продажи!$E32:$BM32)</f>
        <v>0</v>
      </c>
      <c s="138">
        <f>SUMIF(Продажи!$E$10:$BM$10,O$75,Продажи!$E32:$BM32)</f>
        <v>0</v>
      </c>
      <c s="138">
        <f>SUMIF(Продажи!$E$10:$BM$10,P$75,Продажи!$E32:$BM32)</f>
        <v>0</v>
      </c>
      <c s="138">
        <f>SUMIF(Продажи!$E$10:$BM$10,Q$75,Продажи!$E32:$BM32)</f>
        <v>0</v>
      </c>
      <c s="138">
        <f>SUMIF(Продажи!$E$10:$BM$10,R$75,Продажи!$E32:$BM32)</f>
        <v>0</v>
      </c>
      <c s="138">
        <f>SUMIF(Продажи!$E$10:$BM$10,S$75,Продажи!$E32:$BM32)</f>
        <v>0</v>
      </c>
      <c s="138">
        <f>SUMIF(Продажи!$E$10:$BM$10,T$75,Продажи!$E32:$BM32)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1" spans="2:65" ht="15" customHeight="1">
      <c r="B91" s="22" t="str">
        <f>Продажи!B33</f>
        <v>Продукт 16</v>
      </c>
      <c s="137" t="str">
        <f>Продажи!C33</f>
        <v>-</v>
      </c>
      <c s="125"/>
      <c s="138">
        <f>SUMIF(Продажи!$E$10:$BM$10,E$75,Продажи!$E33:$BM33)</f>
        <v>0</v>
      </c>
      <c s="138">
        <f>SUMIF(Продажи!$E$10:$BM$10,F$75,Продажи!$E33:$BM33)</f>
        <v>0</v>
      </c>
      <c s="138">
        <f>SUMIF(Продажи!$E$10:$BM$10,G$75,Продажи!$E33:$BM33)</f>
        <v>0</v>
      </c>
      <c s="138">
        <f>SUMIF(Продажи!$E$10:$BM$10,H$75,Продажи!$E33:$BM33)</f>
        <v>0</v>
      </c>
      <c s="138">
        <f>SUMIF(Продажи!$E$10:$BM$10,I$75,Продажи!$E33:$BM33)</f>
        <v>0</v>
      </c>
      <c s="138">
        <f>SUMIF(Продажи!$E$10:$BM$10,J$75,Продажи!$E33:$BM33)</f>
        <v>0</v>
      </c>
      <c s="138">
        <f>SUMIF(Продажи!$E$10:$BM$10,K$75,Продажи!$E33:$BM33)</f>
        <v>0</v>
      </c>
      <c s="138">
        <f>SUMIF(Продажи!$E$10:$BM$10,L$75,Продажи!$E33:$BM33)</f>
        <v>0</v>
      </c>
      <c s="138">
        <f>SUMIF(Продажи!$E$10:$BM$10,M$75,Продажи!$E33:$BM33)</f>
        <v>0</v>
      </c>
      <c s="138">
        <f>SUMIF(Продажи!$E$10:$BM$10,N$75,Продажи!$E33:$BM33)</f>
        <v>0</v>
      </c>
      <c s="138">
        <f>SUMIF(Продажи!$E$10:$BM$10,O$75,Продажи!$E33:$BM33)</f>
        <v>0</v>
      </c>
      <c s="138">
        <f>SUMIF(Продажи!$E$10:$BM$10,P$75,Продажи!$E33:$BM33)</f>
        <v>0</v>
      </c>
      <c s="138">
        <f>SUMIF(Продажи!$E$10:$BM$10,Q$75,Продажи!$E33:$BM33)</f>
        <v>0</v>
      </c>
      <c s="138">
        <f>SUMIF(Продажи!$E$10:$BM$10,R$75,Продажи!$E33:$BM33)</f>
        <v>0</v>
      </c>
      <c s="138">
        <f>SUMIF(Продажи!$E$10:$BM$10,S$75,Продажи!$E33:$BM33)</f>
        <v>0</v>
      </c>
      <c s="138">
        <f>SUMIF(Продажи!$E$10:$BM$10,T$75,Продажи!$E33:$BM33)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2" spans="2:65" ht="15" customHeight="1">
      <c r="B92" s="22" t="str">
        <f>Продажи!B34</f>
        <v>Продукт 17</v>
      </c>
      <c s="137" t="str">
        <f>Продажи!C34</f>
        <v>-</v>
      </c>
      <c s="125"/>
      <c s="138">
        <f>SUMIF(Продажи!$E$10:$BM$10,E$75,Продажи!$E34:$BM34)</f>
        <v>0</v>
      </c>
      <c s="138">
        <f>SUMIF(Продажи!$E$10:$BM$10,F$75,Продажи!$E34:$BM34)</f>
        <v>0</v>
      </c>
      <c s="138">
        <f>SUMIF(Продажи!$E$10:$BM$10,G$75,Продажи!$E34:$BM34)</f>
        <v>0</v>
      </c>
      <c s="138">
        <f>SUMIF(Продажи!$E$10:$BM$10,H$75,Продажи!$E34:$BM34)</f>
        <v>0</v>
      </c>
      <c s="138">
        <f>SUMIF(Продажи!$E$10:$BM$10,I$75,Продажи!$E34:$BM34)</f>
        <v>0</v>
      </c>
      <c s="138">
        <f>SUMIF(Продажи!$E$10:$BM$10,J$75,Продажи!$E34:$BM34)</f>
        <v>0</v>
      </c>
      <c s="138">
        <f>SUMIF(Продажи!$E$10:$BM$10,K$75,Продажи!$E34:$BM34)</f>
        <v>0</v>
      </c>
      <c s="138">
        <f>SUMIF(Продажи!$E$10:$BM$10,L$75,Продажи!$E34:$BM34)</f>
        <v>0</v>
      </c>
      <c s="138">
        <f>SUMIF(Продажи!$E$10:$BM$10,M$75,Продажи!$E34:$BM34)</f>
        <v>0</v>
      </c>
      <c s="138">
        <f>SUMIF(Продажи!$E$10:$BM$10,N$75,Продажи!$E34:$BM34)</f>
        <v>0</v>
      </c>
      <c s="138">
        <f>SUMIF(Продажи!$E$10:$BM$10,O$75,Продажи!$E34:$BM34)</f>
        <v>0</v>
      </c>
      <c s="138">
        <f>SUMIF(Продажи!$E$10:$BM$10,P$75,Продажи!$E34:$BM34)</f>
        <v>0</v>
      </c>
      <c s="138">
        <f>SUMIF(Продажи!$E$10:$BM$10,Q$75,Продажи!$E34:$BM34)</f>
        <v>0</v>
      </c>
      <c s="138">
        <f>SUMIF(Продажи!$E$10:$BM$10,R$75,Продажи!$E34:$BM34)</f>
        <v>0</v>
      </c>
      <c s="138">
        <f>SUMIF(Продажи!$E$10:$BM$10,S$75,Продажи!$E34:$BM34)</f>
        <v>0</v>
      </c>
      <c s="138">
        <f>SUMIF(Продажи!$E$10:$BM$10,T$75,Продажи!$E34:$BM34)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3" spans="2:65" ht="15" customHeight="1">
      <c r="B93" s="22" t="str">
        <f>Продажи!B35</f>
        <v>Продукт 18</v>
      </c>
      <c s="137" t="str">
        <f>Продажи!C35</f>
        <v>-</v>
      </c>
      <c s="125"/>
      <c s="138">
        <f>SUMIF(Продажи!$E$10:$BM$10,E$75,Продажи!$E35:$BM35)</f>
        <v>0</v>
      </c>
      <c s="138">
        <f>SUMIF(Продажи!$E$10:$BM$10,F$75,Продажи!$E35:$BM35)</f>
        <v>0</v>
      </c>
      <c s="138">
        <f>SUMIF(Продажи!$E$10:$BM$10,G$75,Продажи!$E35:$BM35)</f>
        <v>0</v>
      </c>
      <c s="138">
        <f>SUMIF(Продажи!$E$10:$BM$10,H$75,Продажи!$E35:$BM35)</f>
        <v>0</v>
      </c>
      <c s="138">
        <f>SUMIF(Продажи!$E$10:$BM$10,I$75,Продажи!$E35:$BM35)</f>
        <v>0</v>
      </c>
      <c s="138">
        <f>SUMIF(Продажи!$E$10:$BM$10,J$75,Продажи!$E35:$BM35)</f>
        <v>0</v>
      </c>
      <c s="138">
        <f>SUMIF(Продажи!$E$10:$BM$10,K$75,Продажи!$E35:$BM35)</f>
        <v>0</v>
      </c>
      <c s="138">
        <f>SUMIF(Продажи!$E$10:$BM$10,L$75,Продажи!$E35:$BM35)</f>
        <v>0</v>
      </c>
      <c s="138">
        <f>SUMIF(Продажи!$E$10:$BM$10,M$75,Продажи!$E35:$BM35)</f>
        <v>0</v>
      </c>
      <c s="138">
        <f>SUMIF(Продажи!$E$10:$BM$10,N$75,Продажи!$E35:$BM35)</f>
        <v>0</v>
      </c>
      <c s="138">
        <f>SUMIF(Продажи!$E$10:$BM$10,O$75,Продажи!$E35:$BM35)</f>
        <v>0</v>
      </c>
      <c s="138">
        <f>SUMIF(Продажи!$E$10:$BM$10,P$75,Продажи!$E35:$BM35)</f>
        <v>0</v>
      </c>
      <c s="138">
        <f>SUMIF(Продажи!$E$10:$BM$10,Q$75,Продажи!$E35:$BM35)</f>
        <v>0</v>
      </c>
      <c s="138">
        <f>SUMIF(Продажи!$E$10:$BM$10,R$75,Продажи!$E35:$BM35)</f>
        <v>0</v>
      </c>
      <c s="138">
        <f>SUMIF(Продажи!$E$10:$BM$10,S$75,Продажи!$E35:$BM35)</f>
        <v>0</v>
      </c>
      <c s="138">
        <f>SUMIF(Продажи!$E$10:$BM$10,T$75,Продажи!$E35:$BM35)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4" spans="2:65" ht="15" customHeight="1">
      <c r="B94" s="22" t="str">
        <f>Продажи!B36</f>
        <v>Продукт 19</v>
      </c>
      <c s="137" t="str">
        <f>Продажи!C36</f>
        <v>-</v>
      </c>
      <c s="125"/>
      <c s="138">
        <f>SUMIF(Продажи!$E$10:$BM$10,E$75,Продажи!$E36:$BM36)</f>
        <v>0</v>
      </c>
      <c s="138">
        <f>SUMIF(Продажи!$E$10:$BM$10,F$75,Продажи!$E36:$BM36)</f>
        <v>0</v>
      </c>
      <c s="138">
        <f>SUMIF(Продажи!$E$10:$BM$10,G$75,Продажи!$E36:$BM36)</f>
        <v>0</v>
      </c>
      <c s="138">
        <f>SUMIF(Продажи!$E$10:$BM$10,H$75,Продажи!$E36:$BM36)</f>
        <v>0</v>
      </c>
      <c s="138">
        <f>SUMIF(Продажи!$E$10:$BM$10,I$75,Продажи!$E36:$BM36)</f>
        <v>0</v>
      </c>
      <c s="138">
        <f>SUMIF(Продажи!$E$10:$BM$10,J$75,Продажи!$E36:$BM36)</f>
        <v>0</v>
      </c>
      <c s="138">
        <f>SUMIF(Продажи!$E$10:$BM$10,K$75,Продажи!$E36:$BM36)</f>
        <v>0</v>
      </c>
      <c s="138">
        <f>SUMIF(Продажи!$E$10:$BM$10,L$75,Продажи!$E36:$BM36)</f>
        <v>0</v>
      </c>
      <c s="138">
        <f>SUMIF(Продажи!$E$10:$BM$10,M$75,Продажи!$E36:$BM36)</f>
        <v>0</v>
      </c>
      <c s="138">
        <f>SUMIF(Продажи!$E$10:$BM$10,N$75,Продажи!$E36:$BM36)</f>
        <v>0</v>
      </c>
      <c s="138">
        <f>SUMIF(Продажи!$E$10:$BM$10,O$75,Продажи!$E36:$BM36)</f>
        <v>0</v>
      </c>
      <c s="138">
        <f>SUMIF(Продажи!$E$10:$BM$10,P$75,Продажи!$E36:$BM36)</f>
        <v>0</v>
      </c>
      <c s="138">
        <f>SUMIF(Продажи!$E$10:$BM$10,Q$75,Продажи!$E36:$BM36)</f>
        <v>0</v>
      </c>
      <c s="138">
        <f>SUMIF(Продажи!$E$10:$BM$10,R$75,Продажи!$E36:$BM36)</f>
        <v>0</v>
      </c>
      <c s="138">
        <f>SUMIF(Продажи!$E$10:$BM$10,S$75,Продажи!$E36:$BM36)</f>
        <v>0</v>
      </c>
      <c s="138">
        <f>SUMIF(Продажи!$E$10:$BM$10,T$75,Продажи!$E36:$BM36)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5" spans="2:65" ht="15" customHeight="1">
      <c r="B95" s="22" t="str">
        <f>Продажи!B37</f>
        <v>Продукт 20</v>
      </c>
      <c s="137" t="str">
        <f>Продажи!C37</f>
        <v>-</v>
      </c>
      <c s="125"/>
      <c s="138">
        <f>SUMIF(Продажи!$E$10:$BM$10,E$75,Продажи!$E37:$BM37)</f>
        <v>0</v>
      </c>
      <c s="138">
        <f>SUMIF(Продажи!$E$10:$BM$10,F$75,Продажи!$E37:$BM37)</f>
        <v>0</v>
      </c>
      <c s="138">
        <f>SUMIF(Продажи!$E$10:$BM$10,G$75,Продажи!$E37:$BM37)</f>
        <v>0</v>
      </c>
      <c s="138">
        <f>SUMIF(Продажи!$E$10:$BM$10,H$75,Продажи!$E37:$BM37)</f>
        <v>0</v>
      </c>
      <c s="138">
        <f>SUMIF(Продажи!$E$10:$BM$10,I$75,Продажи!$E37:$BM37)</f>
        <v>0</v>
      </c>
      <c s="138">
        <f>SUMIF(Продажи!$E$10:$BM$10,J$75,Продажи!$E37:$BM37)</f>
        <v>0</v>
      </c>
      <c s="138">
        <f>SUMIF(Продажи!$E$10:$BM$10,K$75,Продажи!$E37:$BM37)</f>
        <v>0</v>
      </c>
      <c s="138">
        <f>SUMIF(Продажи!$E$10:$BM$10,L$75,Продажи!$E37:$BM37)</f>
        <v>0</v>
      </c>
      <c s="138">
        <f>SUMIF(Продажи!$E$10:$BM$10,M$75,Продажи!$E37:$BM37)</f>
        <v>0</v>
      </c>
      <c s="138">
        <f>SUMIF(Продажи!$E$10:$BM$10,N$75,Продажи!$E37:$BM37)</f>
        <v>0</v>
      </c>
      <c s="138">
        <f>SUMIF(Продажи!$E$10:$BM$10,O$75,Продажи!$E37:$BM37)</f>
        <v>0</v>
      </c>
      <c s="138">
        <f>SUMIF(Продажи!$E$10:$BM$10,P$75,Продажи!$E37:$BM37)</f>
        <v>0</v>
      </c>
      <c s="138">
        <f>SUMIF(Продажи!$E$10:$BM$10,Q$75,Продажи!$E37:$BM37)</f>
        <v>0</v>
      </c>
      <c s="138">
        <f>SUMIF(Продажи!$E$10:$BM$10,R$75,Продажи!$E37:$BM37)</f>
        <v>0</v>
      </c>
      <c s="138">
        <f>SUMIF(Продажи!$E$10:$BM$10,S$75,Продажи!$E37:$BM37)</f>
        <v>0</v>
      </c>
      <c s="138">
        <f>SUMIF(Продажи!$E$10:$BM$10,T$75,Продажи!$E37:$BM37)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6" spans="2:65" ht="15" customHeight="1">
      <c r="B96" s="30"/>
      <c s="178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7" spans="2:65" ht="15" customHeight="1">
      <c r="B97" s="24" t="s">
        <v>1109</v>
      </c>
      <c s="178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8" spans="2:65" ht="15" customHeight="1">
      <c r="B98" s="346" t="s">
        <v>91</v>
      </c>
      <c s="346" t="s">
        <v>482</v>
      </c>
      <c s="346"/>
      <c s="347">
        <v>2021</v>
      </c>
      <c s="347">
        <v>2022</v>
      </c>
      <c s="347">
        <v>2023</v>
      </c>
      <c s="347">
        <v>2024</v>
      </c>
      <c s="347">
        <v>2025</v>
      </c>
      <c s="347">
        <v>2026</v>
      </c>
      <c s="347">
        <v>2027</v>
      </c>
      <c s="347">
        <v>2028</v>
      </c>
      <c s="347">
        <v>2029</v>
      </c>
      <c s="347">
        <v>2030</v>
      </c>
      <c s="347">
        <v>2031</v>
      </c>
      <c s="347">
        <v>2032</v>
      </c>
      <c s="347">
        <v>2033</v>
      </c>
      <c s="347">
        <v>2034</v>
      </c>
      <c s="347">
        <v>2035</v>
      </c>
      <c s="347">
        <v>2036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9" spans="2:65" ht="15" customHeight="1">
      <c r="B99" s="138" t="str">
        <f>Продажи!B112</f>
        <v>Продукт 1</v>
      </c>
      <c s="138" t="str">
        <f t="shared" si="544" ref="C99:C119">Единица_измерения</f>
        <v>тыс. руб.</v>
      </c>
      <c s="138"/>
      <c s="138">
        <f>SUMIF(Продажи!$E$10:$BM$10,E$98,Продажи!$E112:$BM112)</f>
        <v>0</v>
      </c>
      <c s="138">
        <f>SUMIF(Продажи!$E$10:$BM$10,F$98,Продажи!$E112:$BM112)</f>
        <v>0</v>
      </c>
      <c s="138">
        <f>SUMIF(Продажи!$E$10:$BM$10,G$98,Продажи!$E112:$BM112)</f>
        <v>0</v>
      </c>
      <c s="138">
        <f>SUMIF(Продажи!$E$10:$BM$10,H$98,Продажи!$E112:$BM112)</f>
        <v>0</v>
      </c>
      <c s="138">
        <f>SUMIF(Продажи!$E$10:$BM$10,I$98,Продажи!$E112:$BM112)</f>
        <v>0</v>
      </c>
      <c s="138">
        <f>SUMIF(Продажи!$E$10:$BM$10,J$98,Продажи!$E112:$BM112)</f>
        <v>0</v>
      </c>
      <c s="138">
        <f>SUMIF(Продажи!$E$10:$BM$10,K$98,Продажи!$E112:$BM112)</f>
        <v>0</v>
      </c>
      <c s="138">
        <f>SUMIF(Продажи!$E$10:$BM$10,L$98,Продажи!$E112:$BM112)</f>
        <v>0</v>
      </c>
      <c s="138">
        <f>SUMIF(Продажи!$E$10:$BM$10,M$98,Продажи!$E112:$BM112)</f>
        <v>0</v>
      </c>
      <c s="138">
        <f>SUMIF(Продажи!$E$10:$BM$10,N$98,Продажи!$E112:$BM112)</f>
        <v>0</v>
      </c>
      <c s="138">
        <f>SUMIF(Продажи!$E$10:$BM$10,O$98,Продажи!$E112:$BM112)</f>
        <v>0</v>
      </c>
      <c s="138">
        <f>SUMIF(Продажи!$E$10:$BM$10,P$98,Продажи!$E112:$BM112)</f>
        <v>0</v>
      </c>
      <c s="138">
        <f>SUMIF(Продажи!$E$10:$BM$10,Q$98,Продажи!$E112:$BM112)</f>
        <v>0</v>
      </c>
      <c s="138">
        <f>SUMIF(Продажи!$E$10:$BM$10,R$98,Продажи!$E112:$BM112)</f>
        <v>0</v>
      </c>
      <c s="138">
        <f>SUMIF(Продажи!$E$10:$BM$10,S$98,Продажи!$E112:$BM112)</f>
        <v>0</v>
      </c>
      <c s="138">
        <f>SUMIF(Продажи!$E$10:$BM$10,T$98,Продажи!$E112:$BM112)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0" spans="2:65" ht="15" customHeight="1">
      <c r="B100" s="138" t="str">
        <f>Продажи!B113</f>
        <v>Продукт 2</v>
      </c>
      <c s="138" t="str">
        <f t="shared" si="544"/>
        <v>тыс. руб.</v>
      </c>
      <c s="138"/>
      <c s="138">
        <f>SUMIF(Продажи!$E$10:$BM$10,E$98,Продажи!$E113:$BM113)</f>
        <v>0</v>
      </c>
      <c s="138">
        <f>SUMIF(Продажи!$E$10:$BM$10,F$98,Продажи!$E113:$BM113)</f>
        <v>0</v>
      </c>
      <c s="138">
        <f>SUMIF(Продажи!$E$10:$BM$10,G$98,Продажи!$E113:$BM113)</f>
        <v>0</v>
      </c>
      <c s="138">
        <f>SUMIF(Продажи!$E$10:$BM$10,H$98,Продажи!$E113:$BM113)</f>
        <v>0</v>
      </c>
      <c s="138">
        <f>SUMIF(Продажи!$E$10:$BM$10,I$98,Продажи!$E113:$BM113)</f>
        <v>0</v>
      </c>
      <c s="138">
        <f>SUMIF(Продажи!$E$10:$BM$10,J$98,Продажи!$E113:$BM113)</f>
        <v>0</v>
      </c>
      <c s="138">
        <f>SUMIF(Продажи!$E$10:$BM$10,K$98,Продажи!$E113:$BM113)</f>
        <v>0</v>
      </c>
      <c s="138">
        <f>SUMIF(Продажи!$E$10:$BM$10,L$98,Продажи!$E113:$BM113)</f>
        <v>0</v>
      </c>
      <c s="138">
        <f>SUMIF(Продажи!$E$10:$BM$10,M$98,Продажи!$E113:$BM113)</f>
        <v>0</v>
      </c>
      <c s="138">
        <f>SUMIF(Продажи!$E$10:$BM$10,N$98,Продажи!$E113:$BM113)</f>
        <v>0</v>
      </c>
      <c s="138">
        <f>SUMIF(Продажи!$E$10:$BM$10,O$98,Продажи!$E113:$BM113)</f>
        <v>0</v>
      </c>
      <c s="138">
        <f>SUMIF(Продажи!$E$10:$BM$10,P$98,Продажи!$E113:$BM113)</f>
        <v>0</v>
      </c>
      <c s="138">
        <f>SUMIF(Продажи!$E$10:$BM$10,Q$98,Продажи!$E113:$BM113)</f>
        <v>0</v>
      </c>
      <c s="138">
        <f>SUMIF(Продажи!$E$10:$BM$10,R$98,Продажи!$E113:$BM113)</f>
        <v>0</v>
      </c>
      <c s="138">
        <f>SUMIF(Продажи!$E$10:$BM$10,S$98,Продажи!$E113:$BM113)</f>
        <v>0</v>
      </c>
      <c s="138">
        <f>SUMIF(Продажи!$E$10:$BM$10,T$98,Продажи!$E113:$BM113)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1" spans="2:65" ht="15" customHeight="1">
      <c r="B101" s="138" t="str">
        <f>Продажи!B114</f>
        <v>Продукт 3</v>
      </c>
      <c s="138" t="str">
        <f t="shared" si="544"/>
        <v>тыс. руб.</v>
      </c>
      <c s="138"/>
      <c s="138">
        <f>SUMIF(Продажи!$E$10:$BM$10,E$98,Продажи!$E114:$BM114)</f>
        <v>0</v>
      </c>
      <c s="138">
        <f>SUMIF(Продажи!$E$10:$BM$10,F$98,Продажи!$E114:$BM114)</f>
        <v>0</v>
      </c>
      <c s="138">
        <f>SUMIF(Продажи!$E$10:$BM$10,G$98,Продажи!$E114:$BM114)</f>
        <v>0</v>
      </c>
      <c s="138">
        <f>SUMIF(Продажи!$E$10:$BM$10,H$98,Продажи!$E114:$BM114)</f>
        <v>0</v>
      </c>
      <c s="138">
        <f>SUMIF(Продажи!$E$10:$BM$10,I$98,Продажи!$E114:$BM114)</f>
        <v>0</v>
      </c>
      <c s="138">
        <f>SUMIF(Продажи!$E$10:$BM$10,J$98,Продажи!$E114:$BM114)</f>
        <v>0</v>
      </c>
      <c s="138">
        <f>SUMIF(Продажи!$E$10:$BM$10,K$98,Продажи!$E114:$BM114)</f>
        <v>0</v>
      </c>
      <c s="138">
        <f>SUMIF(Продажи!$E$10:$BM$10,L$98,Продажи!$E114:$BM114)</f>
        <v>0</v>
      </c>
      <c s="138">
        <f>SUMIF(Продажи!$E$10:$BM$10,M$98,Продажи!$E114:$BM114)</f>
        <v>0</v>
      </c>
      <c s="138">
        <f>SUMIF(Продажи!$E$10:$BM$10,N$98,Продажи!$E114:$BM114)</f>
        <v>0</v>
      </c>
      <c s="138">
        <f>SUMIF(Продажи!$E$10:$BM$10,O$98,Продажи!$E114:$BM114)</f>
        <v>0</v>
      </c>
      <c s="138">
        <f>SUMIF(Продажи!$E$10:$BM$10,P$98,Продажи!$E114:$BM114)</f>
        <v>0</v>
      </c>
      <c s="138">
        <f>SUMIF(Продажи!$E$10:$BM$10,Q$98,Продажи!$E114:$BM114)</f>
        <v>0</v>
      </c>
      <c s="138">
        <f>SUMIF(Продажи!$E$10:$BM$10,R$98,Продажи!$E114:$BM114)</f>
        <v>0</v>
      </c>
      <c s="138">
        <f>SUMIF(Продажи!$E$10:$BM$10,S$98,Продажи!$E114:$BM114)</f>
        <v>0</v>
      </c>
      <c s="138">
        <f>SUMIF(Продажи!$E$10:$BM$10,T$98,Продажи!$E114:$BM114)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2" spans="2:65" ht="15" customHeight="1">
      <c r="B102" s="138" t="str">
        <f>Продажи!B115</f>
        <v>Продукт 4</v>
      </c>
      <c s="138" t="str">
        <f t="shared" si="544"/>
        <v>тыс. руб.</v>
      </c>
      <c s="138"/>
      <c s="138">
        <f>SUMIF(Продажи!$E$10:$BM$10,E$98,Продажи!$E115:$BM115)</f>
        <v>0</v>
      </c>
      <c s="138">
        <f>SUMIF(Продажи!$E$10:$BM$10,F$98,Продажи!$E115:$BM115)</f>
        <v>0</v>
      </c>
      <c s="138">
        <f>SUMIF(Продажи!$E$10:$BM$10,G$98,Продажи!$E115:$BM115)</f>
        <v>0</v>
      </c>
      <c s="138">
        <f>SUMIF(Продажи!$E$10:$BM$10,H$98,Продажи!$E115:$BM115)</f>
        <v>0</v>
      </c>
      <c s="138">
        <f>SUMIF(Продажи!$E$10:$BM$10,I$98,Продажи!$E115:$BM115)</f>
        <v>0</v>
      </c>
      <c s="138">
        <f>SUMIF(Продажи!$E$10:$BM$10,J$98,Продажи!$E115:$BM115)</f>
        <v>0</v>
      </c>
      <c s="138">
        <f>SUMIF(Продажи!$E$10:$BM$10,K$98,Продажи!$E115:$BM115)</f>
        <v>0</v>
      </c>
      <c s="138">
        <f>SUMIF(Продажи!$E$10:$BM$10,L$98,Продажи!$E115:$BM115)</f>
        <v>0</v>
      </c>
      <c s="138">
        <f>SUMIF(Продажи!$E$10:$BM$10,M$98,Продажи!$E115:$BM115)</f>
        <v>0</v>
      </c>
      <c s="138">
        <f>SUMIF(Продажи!$E$10:$BM$10,N$98,Продажи!$E115:$BM115)</f>
        <v>0</v>
      </c>
      <c s="138">
        <f>SUMIF(Продажи!$E$10:$BM$10,O$98,Продажи!$E115:$BM115)</f>
        <v>0</v>
      </c>
      <c s="138">
        <f>SUMIF(Продажи!$E$10:$BM$10,P$98,Продажи!$E115:$BM115)</f>
        <v>0</v>
      </c>
      <c s="138">
        <f>SUMIF(Продажи!$E$10:$BM$10,Q$98,Продажи!$E115:$BM115)</f>
        <v>0</v>
      </c>
      <c s="138">
        <f>SUMIF(Продажи!$E$10:$BM$10,R$98,Продажи!$E115:$BM115)</f>
        <v>0</v>
      </c>
      <c s="138">
        <f>SUMIF(Продажи!$E$10:$BM$10,S$98,Продажи!$E115:$BM115)</f>
        <v>0</v>
      </c>
      <c s="138">
        <f>SUMIF(Продажи!$E$10:$BM$10,T$98,Продажи!$E115:$BM115)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3" spans="2:65" ht="15" customHeight="1">
      <c r="B103" s="138" t="str">
        <f>Продажи!B116</f>
        <v>Продукт 5</v>
      </c>
      <c s="138" t="str">
        <f t="shared" si="544"/>
        <v>тыс. руб.</v>
      </c>
      <c s="138"/>
      <c s="138">
        <f>SUMIF(Продажи!$E$10:$BM$10,E$98,Продажи!$E116:$BM116)</f>
        <v>0</v>
      </c>
      <c s="138">
        <f>SUMIF(Продажи!$E$10:$BM$10,F$98,Продажи!$E116:$BM116)</f>
        <v>0</v>
      </c>
      <c s="138">
        <f>SUMIF(Продажи!$E$10:$BM$10,G$98,Продажи!$E116:$BM116)</f>
        <v>0</v>
      </c>
      <c s="138">
        <f>SUMIF(Продажи!$E$10:$BM$10,H$98,Продажи!$E116:$BM116)</f>
        <v>0</v>
      </c>
      <c s="138">
        <f>SUMIF(Продажи!$E$10:$BM$10,I$98,Продажи!$E116:$BM116)</f>
        <v>0</v>
      </c>
      <c s="138">
        <f>SUMIF(Продажи!$E$10:$BM$10,J$98,Продажи!$E116:$BM116)</f>
        <v>0</v>
      </c>
      <c s="138">
        <f>SUMIF(Продажи!$E$10:$BM$10,K$98,Продажи!$E116:$BM116)</f>
        <v>0</v>
      </c>
      <c s="138">
        <f>SUMIF(Продажи!$E$10:$BM$10,L$98,Продажи!$E116:$BM116)</f>
        <v>0</v>
      </c>
      <c s="138">
        <f>SUMIF(Продажи!$E$10:$BM$10,M$98,Продажи!$E116:$BM116)</f>
        <v>0</v>
      </c>
      <c s="138">
        <f>SUMIF(Продажи!$E$10:$BM$10,N$98,Продажи!$E116:$BM116)</f>
        <v>0</v>
      </c>
      <c s="138">
        <f>SUMIF(Продажи!$E$10:$BM$10,O$98,Продажи!$E116:$BM116)</f>
        <v>0</v>
      </c>
      <c s="138">
        <f>SUMIF(Продажи!$E$10:$BM$10,P$98,Продажи!$E116:$BM116)</f>
        <v>0</v>
      </c>
      <c s="138">
        <f>SUMIF(Продажи!$E$10:$BM$10,Q$98,Продажи!$E116:$BM116)</f>
        <v>0</v>
      </c>
      <c s="138">
        <f>SUMIF(Продажи!$E$10:$BM$10,R$98,Продажи!$E116:$BM116)</f>
        <v>0</v>
      </c>
      <c s="138">
        <f>SUMIF(Продажи!$E$10:$BM$10,S$98,Продажи!$E116:$BM116)</f>
        <v>0</v>
      </c>
      <c s="138">
        <f>SUMIF(Продажи!$E$10:$BM$10,T$98,Продажи!$E116:$BM116)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4" spans="2:65" ht="15" customHeight="1">
      <c r="B104" s="138" t="str">
        <f>Продажи!B117</f>
        <v>Продукт 6</v>
      </c>
      <c s="138" t="str">
        <f t="shared" si="544"/>
        <v>тыс. руб.</v>
      </c>
      <c s="138"/>
      <c s="138">
        <f>SUMIF(Продажи!$E$10:$BM$10,E$98,Продажи!$E117:$BM117)</f>
        <v>0</v>
      </c>
      <c s="138">
        <f>SUMIF(Продажи!$E$10:$BM$10,F$98,Продажи!$E117:$BM117)</f>
        <v>0</v>
      </c>
      <c s="138">
        <f>SUMIF(Продажи!$E$10:$BM$10,G$98,Продажи!$E117:$BM117)</f>
        <v>0</v>
      </c>
      <c s="138">
        <f>SUMIF(Продажи!$E$10:$BM$10,H$98,Продажи!$E117:$BM117)</f>
        <v>0</v>
      </c>
      <c s="138">
        <f>SUMIF(Продажи!$E$10:$BM$10,I$98,Продажи!$E117:$BM117)</f>
        <v>0</v>
      </c>
      <c s="138">
        <f>SUMIF(Продажи!$E$10:$BM$10,J$98,Продажи!$E117:$BM117)</f>
        <v>0</v>
      </c>
      <c s="138">
        <f>SUMIF(Продажи!$E$10:$BM$10,K$98,Продажи!$E117:$BM117)</f>
        <v>0</v>
      </c>
      <c s="138">
        <f>SUMIF(Продажи!$E$10:$BM$10,L$98,Продажи!$E117:$BM117)</f>
        <v>0</v>
      </c>
      <c s="138">
        <f>SUMIF(Продажи!$E$10:$BM$10,M$98,Продажи!$E117:$BM117)</f>
        <v>0</v>
      </c>
      <c s="138">
        <f>SUMIF(Продажи!$E$10:$BM$10,N$98,Продажи!$E117:$BM117)</f>
        <v>0</v>
      </c>
      <c s="138">
        <f>SUMIF(Продажи!$E$10:$BM$10,O$98,Продажи!$E117:$BM117)</f>
        <v>0</v>
      </c>
      <c s="138">
        <f>SUMIF(Продажи!$E$10:$BM$10,P$98,Продажи!$E117:$BM117)</f>
        <v>0</v>
      </c>
      <c s="138">
        <f>SUMIF(Продажи!$E$10:$BM$10,Q$98,Продажи!$E117:$BM117)</f>
        <v>0</v>
      </c>
      <c s="138">
        <f>SUMIF(Продажи!$E$10:$BM$10,R$98,Продажи!$E117:$BM117)</f>
        <v>0</v>
      </c>
      <c s="138">
        <f>SUMIF(Продажи!$E$10:$BM$10,S$98,Продажи!$E117:$BM117)</f>
        <v>0</v>
      </c>
      <c s="138">
        <f>SUMIF(Продажи!$E$10:$BM$10,T$98,Продажи!$E117:$BM117)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5" spans="2:65" ht="15" customHeight="1">
      <c r="B105" s="138" t="str">
        <f>Продажи!B118</f>
        <v>Продукт 7</v>
      </c>
      <c s="138" t="str">
        <f t="shared" si="544"/>
        <v>тыс. руб.</v>
      </c>
      <c s="138"/>
      <c s="138">
        <f>SUMIF(Продажи!$E$10:$BM$10,E$98,Продажи!$E118:$BM118)</f>
        <v>0</v>
      </c>
      <c s="138">
        <f>SUMIF(Продажи!$E$10:$BM$10,F$98,Продажи!$E118:$BM118)</f>
        <v>0</v>
      </c>
      <c s="138">
        <f>SUMIF(Продажи!$E$10:$BM$10,G$98,Продажи!$E118:$BM118)</f>
        <v>0</v>
      </c>
      <c s="138">
        <f>SUMIF(Продажи!$E$10:$BM$10,H$98,Продажи!$E118:$BM118)</f>
        <v>0</v>
      </c>
      <c s="138">
        <f>SUMIF(Продажи!$E$10:$BM$10,I$98,Продажи!$E118:$BM118)</f>
        <v>0</v>
      </c>
      <c s="138">
        <f>SUMIF(Продажи!$E$10:$BM$10,J$98,Продажи!$E118:$BM118)</f>
        <v>0</v>
      </c>
      <c s="138">
        <f>SUMIF(Продажи!$E$10:$BM$10,K$98,Продажи!$E118:$BM118)</f>
        <v>0</v>
      </c>
      <c s="138">
        <f>SUMIF(Продажи!$E$10:$BM$10,L$98,Продажи!$E118:$BM118)</f>
        <v>0</v>
      </c>
      <c s="138">
        <f>SUMIF(Продажи!$E$10:$BM$10,M$98,Продажи!$E118:$BM118)</f>
        <v>0</v>
      </c>
      <c s="138">
        <f>SUMIF(Продажи!$E$10:$BM$10,N$98,Продажи!$E118:$BM118)</f>
        <v>0</v>
      </c>
      <c s="138">
        <f>SUMIF(Продажи!$E$10:$BM$10,O$98,Продажи!$E118:$BM118)</f>
        <v>0</v>
      </c>
      <c s="138">
        <f>SUMIF(Продажи!$E$10:$BM$10,P$98,Продажи!$E118:$BM118)</f>
        <v>0</v>
      </c>
      <c s="138">
        <f>SUMIF(Продажи!$E$10:$BM$10,Q$98,Продажи!$E118:$BM118)</f>
        <v>0</v>
      </c>
      <c s="138">
        <f>SUMIF(Продажи!$E$10:$BM$10,R$98,Продажи!$E118:$BM118)</f>
        <v>0</v>
      </c>
      <c s="138">
        <f>SUMIF(Продажи!$E$10:$BM$10,S$98,Продажи!$E118:$BM118)</f>
        <v>0</v>
      </c>
      <c s="138">
        <f>SUMIF(Продажи!$E$10:$BM$10,T$98,Продажи!$E118:$BM118)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6" spans="2:65" ht="15" customHeight="1">
      <c r="B106" s="138" t="str">
        <f>Продажи!B119</f>
        <v>Продукт 8</v>
      </c>
      <c s="138" t="str">
        <f t="shared" si="544"/>
        <v>тыс. руб.</v>
      </c>
      <c s="138"/>
      <c s="138">
        <f>SUMIF(Продажи!$E$10:$BM$10,E$98,Продажи!$E119:$BM119)</f>
        <v>0</v>
      </c>
      <c s="138">
        <f>SUMIF(Продажи!$E$10:$BM$10,F$98,Продажи!$E119:$BM119)</f>
        <v>0</v>
      </c>
      <c s="138">
        <f>SUMIF(Продажи!$E$10:$BM$10,G$98,Продажи!$E119:$BM119)</f>
        <v>0</v>
      </c>
      <c s="138">
        <f>SUMIF(Продажи!$E$10:$BM$10,H$98,Продажи!$E119:$BM119)</f>
        <v>0</v>
      </c>
      <c s="138">
        <f>SUMIF(Продажи!$E$10:$BM$10,I$98,Продажи!$E119:$BM119)</f>
        <v>0</v>
      </c>
      <c s="138">
        <f>SUMIF(Продажи!$E$10:$BM$10,J$98,Продажи!$E119:$BM119)</f>
        <v>0</v>
      </c>
      <c s="138">
        <f>SUMIF(Продажи!$E$10:$BM$10,K$98,Продажи!$E119:$BM119)</f>
        <v>0</v>
      </c>
      <c s="138">
        <f>SUMIF(Продажи!$E$10:$BM$10,L$98,Продажи!$E119:$BM119)</f>
        <v>0</v>
      </c>
      <c s="138">
        <f>SUMIF(Продажи!$E$10:$BM$10,M$98,Продажи!$E119:$BM119)</f>
        <v>0</v>
      </c>
      <c s="138">
        <f>SUMIF(Продажи!$E$10:$BM$10,N$98,Продажи!$E119:$BM119)</f>
        <v>0</v>
      </c>
      <c s="138">
        <f>SUMIF(Продажи!$E$10:$BM$10,O$98,Продажи!$E119:$BM119)</f>
        <v>0</v>
      </c>
      <c s="138">
        <f>SUMIF(Продажи!$E$10:$BM$10,P$98,Продажи!$E119:$BM119)</f>
        <v>0</v>
      </c>
      <c s="138">
        <f>SUMIF(Продажи!$E$10:$BM$10,Q$98,Продажи!$E119:$BM119)</f>
        <v>0</v>
      </c>
      <c s="138">
        <f>SUMIF(Продажи!$E$10:$BM$10,R$98,Продажи!$E119:$BM119)</f>
        <v>0</v>
      </c>
      <c s="138">
        <f>SUMIF(Продажи!$E$10:$BM$10,S$98,Продажи!$E119:$BM119)</f>
        <v>0</v>
      </c>
      <c s="138">
        <f>SUMIF(Продажи!$E$10:$BM$10,T$98,Продажи!$E119:$BM119)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7" spans="2:65" ht="15" customHeight="1">
      <c r="B107" s="138" t="str">
        <f>Продажи!B120</f>
        <v>Продукт 9</v>
      </c>
      <c s="138" t="str">
        <f t="shared" si="544"/>
        <v>тыс. руб.</v>
      </c>
      <c s="138"/>
      <c s="138">
        <f>SUMIF(Продажи!$E$10:$BM$10,E$98,Продажи!$E120:$BM120)</f>
        <v>0</v>
      </c>
      <c s="138">
        <f>SUMIF(Продажи!$E$10:$BM$10,F$98,Продажи!$E120:$BM120)</f>
        <v>0</v>
      </c>
      <c s="138">
        <f>SUMIF(Продажи!$E$10:$BM$10,G$98,Продажи!$E120:$BM120)</f>
        <v>0</v>
      </c>
      <c s="138">
        <f>SUMIF(Продажи!$E$10:$BM$10,H$98,Продажи!$E120:$BM120)</f>
        <v>0</v>
      </c>
      <c s="138">
        <f>SUMIF(Продажи!$E$10:$BM$10,I$98,Продажи!$E120:$BM120)</f>
        <v>0</v>
      </c>
      <c s="138">
        <f>SUMIF(Продажи!$E$10:$BM$10,J$98,Продажи!$E120:$BM120)</f>
        <v>0</v>
      </c>
      <c s="138">
        <f>SUMIF(Продажи!$E$10:$BM$10,K$98,Продажи!$E120:$BM120)</f>
        <v>0</v>
      </c>
      <c s="138">
        <f>SUMIF(Продажи!$E$10:$BM$10,L$98,Продажи!$E120:$BM120)</f>
        <v>0</v>
      </c>
      <c s="138">
        <f>SUMIF(Продажи!$E$10:$BM$10,M$98,Продажи!$E120:$BM120)</f>
        <v>0</v>
      </c>
      <c s="138">
        <f>SUMIF(Продажи!$E$10:$BM$10,N$98,Продажи!$E120:$BM120)</f>
        <v>0</v>
      </c>
      <c s="138">
        <f>SUMIF(Продажи!$E$10:$BM$10,O$98,Продажи!$E120:$BM120)</f>
        <v>0</v>
      </c>
      <c s="138">
        <f>SUMIF(Продажи!$E$10:$BM$10,P$98,Продажи!$E120:$BM120)</f>
        <v>0</v>
      </c>
      <c s="138">
        <f>SUMIF(Продажи!$E$10:$BM$10,Q$98,Продажи!$E120:$BM120)</f>
        <v>0</v>
      </c>
      <c s="138">
        <f>SUMIF(Продажи!$E$10:$BM$10,R$98,Продажи!$E120:$BM120)</f>
        <v>0</v>
      </c>
      <c s="138">
        <f>SUMIF(Продажи!$E$10:$BM$10,S$98,Продажи!$E120:$BM120)</f>
        <v>0</v>
      </c>
      <c s="138">
        <f>SUMIF(Продажи!$E$10:$BM$10,T$98,Продажи!$E120:$BM120)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8" spans="2:65" ht="15" customHeight="1">
      <c r="B108" s="138" t="str">
        <f>Продажи!B121</f>
        <v>Продукт 10</v>
      </c>
      <c s="138" t="str">
        <f t="shared" si="544"/>
        <v>тыс. руб.</v>
      </c>
      <c s="138"/>
      <c s="138">
        <f>SUMIF(Продажи!$E$10:$BM$10,E$98,Продажи!$E121:$BM121)</f>
        <v>0</v>
      </c>
      <c s="138">
        <f>SUMIF(Продажи!$E$10:$BM$10,F$98,Продажи!$E121:$BM121)</f>
        <v>0</v>
      </c>
      <c s="138">
        <f>SUMIF(Продажи!$E$10:$BM$10,G$98,Продажи!$E121:$BM121)</f>
        <v>0</v>
      </c>
      <c s="138">
        <f>SUMIF(Продажи!$E$10:$BM$10,H$98,Продажи!$E121:$BM121)</f>
        <v>0</v>
      </c>
      <c s="138">
        <f>SUMIF(Продажи!$E$10:$BM$10,I$98,Продажи!$E121:$BM121)</f>
        <v>0</v>
      </c>
      <c s="138">
        <f>SUMIF(Продажи!$E$10:$BM$10,J$98,Продажи!$E121:$BM121)</f>
        <v>0</v>
      </c>
      <c s="138">
        <f>SUMIF(Продажи!$E$10:$BM$10,K$98,Продажи!$E121:$BM121)</f>
        <v>0</v>
      </c>
      <c s="138">
        <f>SUMIF(Продажи!$E$10:$BM$10,L$98,Продажи!$E121:$BM121)</f>
        <v>0</v>
      </c>
      <c s="138">
        <f>SUMIF(Продажи!$E$10:$BM$10,M$98,Продажи!$E121:$BM121)</f>
        <v>0</v>
      </c>
      <c s="138">
        <f>SUMIF(Продажи!$E$10:$BM$10,N$98,Продажи!$E121:$BM121)</f>
        <v>0</v>
      </c>
      <c s="138">
        <f>SUMIF(Продажи!$E$10:$BM$10,O$98,Продажи!$E121:$BM121)</f>
        <v>0</v>
      </c>
      <c s="138">
        <f>SUMIF(Продажи!$E$10:$BM$10,P$98,Продажи!$E121:$BM121)</f>
        <v>0</v>
      </c>
      <c s="138">
        <f>SUMIF(Продажи!$E$10:$BM$10,Q$98,Продажи!$E121:$BM121)</f>
        <v>0</v>
      </c>
      <c s="138">
        <f>SUMIF(Продажи!$E$10:$BM$10,R$98,Продажи!$E121:$BM121)</f>
        <v>0</v>
      </c>
      <c s="138">
        <f>SUMIF(Продажи!$E$10:$BM$10,S$98,Продажи!$E121:$BM121)</f>
        <v>0</v>
      </c>
      <c s="138">
        <f>SUMIF(Продажи!$E$10:$BM$10,T$98,Продажи!$E121:$BM121)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9" spans="2:65" ht="15" customHeight="1">
      <c r="B109" s="138" t="str">
        <f>Продажи!B122</f>
        <v>Продукт 11</v>
      </c>
      <c s="138" t="str">
        <f t="shared" si="544"/>
        <v>тыс. руб.</v>
      </c>
      <c s="138"/>
      <c s="138">
        <f>SUMIF(Продажи!$E$10:$BM$10,E$98,Продажи!$E122:$BM122)</f>
        <v>0</v>
      </c>
      <c s="138">
        <f>SUMIF(Продажи!$E$10:$BM$10,F$98,Продажи!$E122:$BM122)</f>
        <v>0</v>
      </c>
      <c s="138">
        <f>SUMIF(Продажи!$E$10:$BM$10,G$98,Продажи!$E122:$BM122)</f>
        <v>0</v>
      </c>
      <c s="138">
        <f>SUMIF(Продажи!$E$10:$BM$10,H$98,Продажи!$E122:$BM122)</f>
        <v>0</v>
      </c>
      <c s="138">
        <f>SUMIF(Продажи!$E$10:$BM$10,I$98,Продажи!$E122:$BM122)</f>
        <v>0</v>
      </c>
      <c s="138">
        <f>SUMIF(Продажи!$E$10:$BM$10,J$98,Продажи!$E122:$BM122)</f>
        <v>0</v>
      </c>
      <c s="138">
        <f>SUMIF(Продажи!$E$10:$BM$10,K$98,Продажи!$E122:$BM122)</f>
        <v>0</v>
      </c>
      <c s="138">
        <f>SUMIF(Продажи!$E$10:$BM$10,L$98,Продажи!$E122:$BM122)</f>
        <v>0</v>
      </c>
      <c s="138">
        <f>SUMIF(Продажи!$E$10:$BM$10,M$98,Продажи!$E122:$BM122)</f>
        <v>0</v>
      </c>
      <c s="138">
        <f>SUMIF(Продажи!$E$10:$BM$10,N$98,Продажи!$E122:$BM122)</f>
        <v>0</v>
      </c>
      <c s="138">
        <f>SUMIF(Продажи!$E$10:$BM$10,O$98,Продажи!$E122:$BM122)</f>
        <v>0</v>
      </c>
      <c s="138">
        <f>SUMIF(Продажи!$E$10:$BM$10,P$98,Продажи!$E122:$BM122)</f>
        <v>0</v>
      </c>
      <c s="138">
        <f>SUMIF(Продажи!$E$10:$BM$10,Q$98,Продажи!$E122:$BM122)</f>
        <v>0</v>
      </c>
      <c s="138">
        <f>SUMIF(Продажи!$E$10:$BM$10,R$98,Продажи!$E122:$BM122)</f>
        <v>0</v>
      </c>
      <c s="138">
        <f>SUMIF(Продажи!$E$10:$BM$10,S$98,Продажи!$E122:$BM122)</f>
        <v>0</v>
      </c>
      <c s="138">
        <f>SUMIF(Продажи!$E$10:$BM$10,T$98,Продажи!$E122:$BM122)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0" spans="2:65" ht="15" customHeight="1">
      <c r="B110" s="138" t="str">
        <f>Продажи!B123</f>
        <v>Продукт 12</v>
      </c>
      <c s="138" t="str">
        <f t="shared" si="544"/>
        <v>тыс. руб.</v>
      </c>
      <c s="138"/>
      <c s="138">
        <f>SUMIF(Продажи!$E$10:$BM$10,E$98,Продажи!$E123:$BM123)</f>
        <v>0</v>
      </c>
      <c s="138">
        <f>SUMIF(Продажи!$E$10:$BM$10,F$98,Продажи!$E123:$BM123)</f>
        <v>0</v>
      </c>
      <c s="138">
        <f>SUMIF(Продажи!$E$10:$BM$10,G$98,Продажи!$E123:$BM123)</f>
        <v>0</v>
      </c>
      <c s="138">
        <f>SUMIF(Продажи!$E$10:$BM$10,H$98,Продажи!$E123:$BM123)</f>
        <v>0</v>
      </c>
      <c s="138">
        <f>SUMIF(Продажи!$E$10:$BM$10,I$98,Продажи!$E123:$BM123)</f>
        <v>0</v>
      </c>
      <c s="138">
        <f>SUMIF(Продажи!$E$10:$BM$10,J$98,Продажи!$E123:$BM123)</f>
        <v>0</v>
      </c>
      <c s="138">
        <f>SUMIF(Продажи!$E$10:$BM$10,K$98,Продажи!$E123:$BM123)</f>
        <v>0</v>
      </c>
      <c s="138">
        <f>SUMIF(Продажи!$E$10:$BM$10,L$98,Продажи!$E123:$BM123)</f>
        <v>0</v>
      </c>
      <c s="138">
        <f>SUMIF(Продажи!$E$10:$BM$10,M$98,Продажи!$E123:$BM123)</f>
        <v>0</v>
      </c>
      <c s="138">
        <f>SUMIF(Продажи!$E$10:$BM$10,N$98,Продажи!$E123:$BM123)</f>
        <v>0</v>
      </c>
      <c s="138">
        <f>SUMIF(Продажи!$E$10:$BM$10,O$98,Продажи!$E123:$BM123)</f>
        <v>0</v>
      </c>
      <c s="138">
        <f>SUMIF(Продажи!$E$10:$BM$10,P$98,Продажи!$E123:$BM123)</f>
        <v>0</v>
      </c>
      <c s="138">
        <f>SUMIF(Продажи!$E$10:$BM$10,Q$98,Продажи!$E123:$BM123)</f>
        <v>0</v>
      </c>
      <c s="138">
        <f>SUMIF(Продажи!$E$10:$BM$10,R$98,Продажи!$E123:$BM123)</f>
        <v>0</v>
      </c>
      <c s="138">
        <f>SUMIF(Продажи!$E$10:$BM$10,S$98,Продажи!$E123:$BM123)</f>
        <v>0</v>
      </c>
      <c s="138">
        <f>SUMIF(Продажи!$E$10:$BM$10,T$98,Продажи!$E123:$BM123)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1" spans="2:65" ht="15" customHeight="1">
      <c r="B111" s="138" t="str">
        <f>Продажи!B124</f>
        <v>Продукт 13</v>
      </c>
      <c s="138" t="str">
        <f t="shared" si="544"/>
        <v>тыс. руб.</v>
      </c>
      <c s="138"/>
      <c s="138">
        <f>SUMIF(Продажи!$E$10:$BM$10,E$98,Продажи!$E124:$BM124)</f>
        <v>0</v>
      </c>
      <c s="138">
        <f>SUMIF(Продажи!$E$10:$BM$10,F$98,Продажи!$E124:$BM124)</f>
        <v>0</v>
      </c>
      <c s="138">
        <f>SUMIF(Продажи!$E$10:$BM$10,G$98,Продажи!$E124:$BM124)</f>
        <v>0</v>
      </c>
      <c s="138">
        <f>SUMIF(Продажи!$E$10:$BM$10,H$98,Продажи!$E124:$BM124)</f>
        <v>0</v>
      </c>
      <c s="138">
        <f>SUMIF(Продажи!$E$10:$BM$10,I$98,Продажи!$E124:$BM124)</f>
        <v>0</v>
      </c>
      <c s="138">
        <f>SUMIF(Продажи!$E$10:$BM$10,J$98,Продажи!$E124:$BM124)</f>
        <v>0</v>
      </c>
      <c s="138">
        <f>SUMIF(Продажи!$E$10:$BM$10,K$98,Продажи!$E124:$BM124)</f>
        <v>0</v>
      </c>
      <c s="138">
        <f>SUMIF(Продажи!$E$10:$BM$10,L$98,Продажи!$E124:$BM124)</f>
        <v>0</v>
      </c>
      <c s="138">
        <f>SUMIF(Продажи!$E$10:$BM$10,M$98,Продажи!$E124:$BM124)</f>
        <v>0</v>
      </c>
      <c s="138">
        <f>SUMIF(Продажи!$E$10:$BM$10,N$98,Продажи!$E124:$BM124)</f>
        <v>0</v>
      </c>
      <c s="138">
        <f>SUMIF(Продажи!$E$10:$BM$10,O$98,Продажи!$E124:$BM124)</f>
        <v>0</v>
      </c>
      <c s="138">
        <f>SUMIF(Продажи!$E$10:$BM$10,P$98,Продажи!$E124:$BM124)</f>
        <v>0</v>
      </c>
      <c s="138">
        <f>SUMIF(Продажи!$E$10:$BM$10,Q$98,Продажи!$E124:$BM124)</f>
        <v>0</v>
      </c>
      <c s="138">
        <f>SUMIF(Продажи!$E$10:$BM$10,R$98,Продажи!$E124:$BM124)</f>
        <v>0</v>
      </c>
      <c s="138">
        <f>SUMIF(Продажи!$E$10:$BM$10,S$98,Продажи!$E124:$BM124)</f>
        <v>0</v>
      </c>
      <c s="138">
        <f>SUMIF(Продажи!$E$10:$BM$10,T$98,Продажи!$E124:$BM124)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2" spans="2:65" ht="15" customHeight="1">
      <c r="B112" s="138" t="str">
        <f>Продажи!B125</f>
        <v>Продукт 14</v>
      </c>
      <c s="138" t="str">
        <f t="shared" si="544"/>
        <v>тыс. руб.</v>
      </c>
      <c s="138"/>
      <c s="138">
        <f>SUMIF(Продажи!$E$10:$BM$10,E$98,Продажи!$E125:$BM125)</f>
        <v>0</v>
      </c>
      <c s="138">
        <f>SUMIF(Продажи!$E$10:$BM$10,F$98,Продажи!$E125:$BM125)</f>
        <v>0</v>
      </c>
      <c s="138">
        <f>SUMIF(Продажи!$E$10:$BM$10,G$98,Продажи!$E125:$BM125)</f>
        <v>0</v>
      </c>
      <c s="138">
        <f>SUMIF(Продажи!$E$10:$BM$10,H$98,Продажи!$E125:$BM125)</f>
        <v>0</v>
      </c>
      <c s="138">
        <f>SUMIF(Продажи!$E$10:$BM$10,I$98,Продажи!$E125:$BM125)</f>
        <v>0</v>
      </c>
      <c s="138">
        <f>SUMIF(Продажи!$E$10:$BM$10,J$98,Продажи!$E125:$BM125)</f>
        <v>0</v>
      </c>
      <c s="138">
        <f>SUMIF(Продажи!$E$10:$BM$10,K$98,Продажи!$E125:$BM125)</f>
        <v>0</v>
      </c>
      <c s="138">
        <f>SUMIF(Продажи!$E$10:$BM$10,L$98,Продажи!$E125:$BM125)</f>
        <v>0</v>
      </c>
      <c s="138">
        <f>SUMIF(Продажи!$E$10:$BM$10,M$98,Продажи!$E125:$BM125)</f>
        <v>0</v>
      </c>
      <c s="138">
        <f>SUMIF(Продажи!$E$10:$BM$10,N$98,Продажи!$E125:$BM125)</f>
        <v>0</v>
      </c>
      <c s="138">
        <f>SUMIF(Продажи!$E$10:$BM$10,O$98,Продажи!$E125:$BM125)</f>
        <v>0</v>
      </c>
      <c s="138">
        <f>SUMIF(Продажи!$E$10:$BM$10,P$98,Продажи!$E125:$BM125)</f>
        <v>0</v>
      </c>
      <c s="138">
        <f>SUMIF(Продажи!$E$10:$BM$10,Q$98,Продажи!$E125:$BM125)</f>
        <v>0</v>
      </c>
      <c s="138">
        <f>SUMIF(Продажи!$E$10:$BM$10,R$98,Продажи!$E125:$BM125)</f>
        <v>0</v>
      </c>
      <c s="138">
        <f>SUMIF(Продажи!$E$10:$BM$10,S$98,Продажи!$E125:$BM125)</f>
        <v>0</v>
      </c>
      <c s="138">
        <f>SUMIF(Продажи!$E$10:$BM$10,T$98,Продажи!$E125:$BM125)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3" spans="2:65" ht="15" customHeight="1">
      <c r="B113" s="138" t="str">
        <f>Продажи!B126</f>
        <v>Продукт 15</v>
      </c>
      <c s="138" t="str">
        <f t="shared" si="544"/>
        <v>тыс. руб.</v>
      </c>
      <c s="138"/>
      <c s="138">
        <f>SUMIF(Продажи!$E$10:$BM$10,E$98,Продажи!$E126:$BM126)</f>
        <v>0</v>
      </c>
      <c s="138">
        <f>SUMIF(Продажи!$E$10:$BM$10,F$98,Продажи!$E126:$BM126)</f>
        <v>0</v>
      </c>
      <c s="138">
        <f>SUMIF(Продажи!$E$10:$BM$10,G$98,Продажи!$E126:$BM126)</f>
        <v>0</v>
      </c>
      <c s="138">
        <f>SUMIF(Продажи!$E$10:$BM$10,H$98,Продажи!$E126:$BM126)</f>
        <v>0</v>
      </c>
      <c s="138">
        <f>SUMIF(Продажи!$E$10:$BM$10,I$98,Продажи!$E126:$BM126)</f>
        <v>0</v>
      </c>
      <c s="138">
        <f>SUMIF(Продажи!$E$10:$BM$10,J$98,Продажи!$E126:$BM126)</f>
        <v>0</v>
      </c>
      <c s="138">
        <f>SUMIF(Продажи!$E$10:$BM$10,K$98,Продажи!$E126:$BM126)</f>
        <v>0</v>
      </c>
      <c s="138">
        <f>SUMIF(Продажи!$E$10:$BM$10,L$98,Продажи!$E126:$BM126)</f>
        <v>0</v>
      </c>
      <c s="138">
        <f>SUMIF(Продажи!$E$10:$BM$10,M$98,Продажи!$E126:$BM126)</f>
        <v>0</v>
      </c>
      <c s="138">
        <f>SUMIF(Продажи!$E$10:$BM$10,N$98,Продажи!$E126:$BM126)</f>
        <v>0</v>
      </c>
      <c s="138">
        <f>SUMIF(Продажи!$E$10:$BM$10,O$98,Продажи!$E126:$BM126)</f>
        <v>0</v>
      </c>
      <c s="138">
        <f>SUMIF(Продажи!$E$10:$BM$10,P$98,Продажи!$E126:$BM126)</f>
        <v>0</v>
      </c>
      <c s="138">
        <f>SUMIF(Продажи!$E$10:$BM$10,Q$98,Продажи!$E126:$BM126)</f>
        <v>0</v>
      </c>
      <c s="138">
        <f>SUMIF(Продажи!$E$10:$BM$10,R$98,Продажи!$E126:$BM126)</f>
        <v>0</v>
      </c>
      <c s="138">
        <f>SUMIF(Продажи!$E$10:$BM$10,S$98,Продажи!$E126:$BM126)</f>
        <v>0</v>
      </c>
      <c s="138">
        <f>SUMIF(Продажи!$E$10:$BM$10,T$98,Продажи!$E126:$BM126)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4" spans="2:65" ht="15" customHeight="1">
      <c r="B114" s="138" t="str">
        <f>Продажи!B127</f>
        <v>Продукт 16</v>
      </c>
      <c s="138" t="str">
        <f t="shared" si="544"/>
        <v>тыс. руб.</v>
      </c>
      <c s="138"/>
      <c s="138">
        <f>SUMIF(Продажи!$E$10:$BM$10,E$98,Продажи!$E127:$BM127)</f>
        <v>0</v>
      </c>
      <c s="138">
        <f>SUMIF(Продажи!$E$10:$BM$10,F$98,Продажи!$E127:$BM127)</f>
        <v>0</v>
      </c>
      <c s="138">
        <f>SUMIF(Продажи!$E$10:$BM$10,G$98,Продажи!$E127:$BM127)</f>
        <v>0</v>
      </c>
      <c s="138">
        <f>SUMIF(Продажи!$E$10:$BM$10,H$98,Продажи!$E127:$BM127)</f>
        <v>0</v>
      </c>
      <c s="138">
        <f>SUMIF(Продажи!$E$10:$BM$10,I$98,Продажи!$E127:$BM127)</f>
        <v>0</v>
      </c>
      <c s="138">
        <f>SUMIF(Продажи!$E$10:$BM$10,J$98,Продажи!$E127:$BM127)</f>
        <v>0</v>
      </c>
      <c s="138">
        <f>SUMIF(Продажи!$E$10:$BM$10,K$98,Продажи!$E127:$BM127)</f>
        <v>0</v>
      </c>
      <c s="138">
        <f>SUMIF(Продажи!$E$10:$BM$10,L$98,Продажи!$E127:$BM127)</f>
        <v>0</v>
      </c>
      <c s="138">
        <f>SUMIF(Продажи!$E$10:$BM$10,M$98,Продажи!$E127:$BM127)</f>
        <v>0</v>
      </c>
      <c s="138">
        <f>SUMIF(Продажи!$E$10:$BM$10,N$98,Продажи!$E127:$BM127)</f>
        <v>0</v>
      </c>
      <c s="138">
        <f>SUMIF(Продажи!$E$10:$BM$10,O$98,Продажи!$E127:$BM127)</f>
        <v>0</v>
      </c>
      <c s="138">
        <f>SUMIF(Продажи!$E$10:$BM$10,P$98,Продажи!$E127:$BM127)</f>
        <v>0</v>
      </c>
      <c s="138">
        <f>SUMIF(Продажи!$E$10:$BM$10,Q$98,Продажи!$E127:$BM127)</f>
        <v>0</v>
      </c>
      <c s="138">
        <f>SUMIF(Продажи!$E$10:$BM$10,R$98,Продажи!$E127:$BM127)</f>
        <v>0</v>
      </c>
      <c s="138">
        <f>SUMIF(Продажи!$E$10:$BM$10,S$98,Продажи!$E127:$BM127)</f>
        <v>0</v>
      </c>
      <c s="138">
        <f>SUMIF(Продажи!$E$10:$BM$10,T$98,Продажи!$E127:$BM127)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5" spans="2:65" ht="15" customHeight="1">
      <c r="B115" s="138" t="str">
        <f>Продажи!B128</f>
        <v>Продукт 17</v>
      </c>
      <c s="138" t="str">
        <f t="shared" si="544"/>
        <v>тыс. руб.</v>
      </c>
      <c s="138"/>
      <c s="138">
        <f>SUMIF(Продажи!$E$10:$BM$10,E$98,Продажи!$E128:$BM128)</f>
        <v>0</v>
      </c>
      <c s="138">
        <f>SUMIF(Продажи!$E$10:$BM$10,F$98,Продажи!$E128:$BM128)</f>
        <v>0</v>
      </c>
      <c s="138">
        <f>SUMIF(Продажи!$E$10:$BM$10,G$98,Продажи!$E128:$BM128)</f>
        <v>0</v>
      </c>
      <c s="138">
        <f>SUMIF(Продажи!$E$10:$BM$10,H$98,Продажи!$E128:$BM128)</f>
        <v>0</v>
      </c>
      <c s="138">
        <f>SUMIF(Продажи!$E$10:$BM$10,I$98,Продажи!$E128:$BM128)</f>
        <v>0</v>
      </c>
      <c s="138">
        <f>SUMIF(Продажи!$E$10:$BM$10,J$98,Продажи!$E128:$BM128)</f>
        <v>0</v>
      </c>
      <c s="138">
        <f>SUMIF(Продажи!$E$10:$BM$10,K$98,Продажи!$E128:$BM128)</f>
        <v>0</v>
      </c>
      <c s="138">
        <f>SUMIF(Продажи!$E$10:$BM$10,L$98,Продажи!$E128:$BM128)</f>
        <v>0</v>
      </c>
      <c s="138">
        <f>SUMIF(Продажи!$E$10:$BM$10,M$98,Продажи!$E128:$BM128)</f>
        <v>0</v>
      </c>
      <c s="138">
        <f>SUMIF(Продажи!$E$10:$BM$10,N$98,Продажи!$E128:$BM128)</f>
        <v>0</v>
      </c>
      <c s="138">
        <f>SUMIF(Продажи!$E$10:$BM$10,O$98,Продажи!$E128:$BM128)</f>
        <v>0</v>
      </c>
      <c s="138">
        <f>SUMIF(Продажи!$E$10:$BM$10,P$98,Продажи!$E128:$BM128)</f>
        <v>0</v>
      </c>
      <c s="138">
        <f>SUMIF(Продажи!$E$10:$BM$10,Q$98,Продажи!$E128:$BM128)</f>
        <v>0</v>
      </c>
      <c s="138">
        <f>SUMIF(Продажи!$E$10:$BM$10,R$98,Продажи!$E128:$BM128)</f>
        <v>0</v>
      </c>
      <c s="138">
        <f>SUMIF(Продажи!$E$10:$BM$10,S$98,Продажи!$E128:$BM128)</f>
        <v>0</v>
      </c>
      <c s="138">
        <f>SUMIF(Продажи!$E$10:$BM$10,T$98,Продажи!$E128:$BM128)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6" spans="2:65" ht="15" customHeight="1">
      <c r="B116" s="138" t="str">
        <f>Продажи!B129</f>
        <v>Продукт 18</v>
      </c>
      <c s="138" t="str">
        <f t="shared" si="544"/>
        <v>тыс. руб.</v>
      </c>
      <c s="138"/>
      <c s="138">
        <f>SUMIF(Продажи!$E$10:$BM$10,E$98,Продажи!$E129:$BM129)</f>
        <v>0</v>
      </c>
      <c s="138">
        <f>SUMIF(Продажи!$E$10:$BM$10,F$98,Продажи!$E129:$BM129)</f>
        <v>0</v>
      </c>
      <c s="138">
        <f>SUMIF(Продажи!$E$10:$BM$10,G$98,Продажи!$E129:$BM129)</f>
        <v>0</v>
      </c>
      <c s="138">
        <f>SUMIF(Продажи!$E$10:$BM$10,H$98,Продажи!$E129:$BM129)</f>
        <v>0</v>
      </c>
      <c s="138">
        <f>SUMIF(Продажи!$E$10:$BM$10,I$98,Продажи!$E129:$BM129)</f>
        <v>0</v>
      </c>
      <c s="138">
        <f>SUMIF(Продажи!$E$10:$BM$10,J$98,Продажи!$E129:$BM129)</f>
        <v>0</v>
      </c>
      <c s="138">
        <f>SUMIF(Продажи!$E$10:$BM$10,K$98,Продажи!$E129:$BM129)</f>
        <v>0</v>
      </c>
      <c s="138">
        <f>SUMIF(Продажи!$E$10:$BM$10,L$98,Продажи!$E129:$BM129)</f>
        <v>0</v>
      </c>
      <c s="138">
        <f>SUMIF(Продажи!$E$10:$BM$10,M$98,Продажи!$E129:$BM129)</f>
        <v>0</v>
      </c>
      <c s="138">
        <f>SUMIF(Продажи!$E$10:$BM$10,N$98,Продажи!$E129:$BM129)</f>
        <v>0</v>
      </c>
      <c s="138">
        <f>SUMIF(Продажи!$E$10:$BM$10,O$98,Продажи!$E129:$BM129)</f>
        <v>0</v>
      </c>
      <c s="138">
        <f>SUMIF(Продажи!$E$10:$BM$10,P$98,Продажи!$E129:$BM129)</f>
        <v>0</v>
      </c>
      <c s="138">
        <f>SUMIF(Продажи!$E$10:$BM$10,Q$98,Продажи!$E129:$BM129)</f>
        <v>0</v>
      </c>
      <c s="138">
        <f>SUMIF(Продажи!$E$10:$BM$10,R$98,Продажи!$E129:$BM129)</f>
        <v>0</v>
      </c>
      <c s="138">
        <f>SUMIF(Продажи!$E$10:$BM$10,S$98,Продажи!$E129:$BM129)</f>
        <v>0</v>
      </c>
      <c s="138">
        <f>SUMIF(Продажи!$E$10:$BM$10,T$98,Продажи!$E129:$BM129)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7" spans="2:65" ht="15" customHeight="1">
      <c r="B117" s="138" t="str">
        <f>Продажи!B130</f>
        <v>Продукт 19</v>
      </c>
      <c s="138" t="str">
        <f t="shared" si="544"/>
        <v>тыс. руб.</v>
      </c>
      <c s="138"/>
      <c s="138">
        <f>SUMIF(Продажи!$E$10:$BM$10,E$98,Продажи!$E130:$BM130)</f>
        <v>0</v>
      </c>
      <c s="138">
        <f>SUMIF(Продажи!$E$10:$BM$10,F$98,Продажи!$E130:$BM130)</f>
        <v>0</v>
      </c>
      <c s="138">
        <f>SUMIF(Продажи!$E$10:$BM$10,G$98,Продажи!$E130:$BM130)</f>
        <v>0</v>
      </c>
      <c s="138">
        <f>SUMIF(Продажи!$E$10:$BM$10,H$98,Продажи!$E130:$BM130)</f>
        <v>0</v>
      </c>
      <c s="138">
        <f>SUMIF(Продажи!$E$10:$BM$10,I$98,Продажи!$E130:$BM130)</f>
        <v>0</v>
      </c>
      <c s="138">
        <f>SUMIF(Продажи!$E$10:$BM$10,J$98,Продажи!$E130:$BM130)</f>
        <v>0</v>
      </c>
      <c s="138">
        <f>SUMIF(Продажи!$E$10:$BM$10,K$98,Продажи!$E130:$BM130)</f>
        <v>0</v>
      </c>
      <c s="138">
        <f>SUMIF(Продажи!$E$10:$BM$10,L$98,Продажи!$E130:$BM130)</f>
        <v>0</v>
      </c>
      <c s="138">
        <f>SUMIF(Продажи!$E$10:$BM$10,M$98,Продажи!$E130:$BM130)</f>
        <v>0</v>
      </c>
      <c s="138">
        <f>SUMIF(Продажи!$E$10:$BM$10,N$98,Продажи!$E130:$BM130)</f>
        <v>0</v>
      </c>
      <c s="138">
        <f>SUMIF(Продажи!$E$10:$BM$10,O$98,Продажи!$E130:$BM130)</f>
        <v>0</v>
      </c>
      <c s="138">
        <f>SUMIF(Продажи!$E$10:$BM$10,P$98,Продажи!$E130:$BM130)</f>
        <v>0</v>
      </c>
      <c s="138">
        <f>SUMIF(Продажи!$E$10:$BM$10,Q$98,Продажи!$E130:$BM130)</f>
        <v>0</v>
      </c>
      <c s="138">
        <f>SUMIF(Продажи!$E$10:$BM$10,R$98,Продажи!$E130:$BM130)</f>
        <v>0</v>
      </c>
      <c s="138">
        <f>SUMIF(Продажи!$E$10:$BM$10,S$98,Продажи!$E130:$BM130)</f>
        <v>0</v>
      </c>
      <c s="138">
        <f>SUMIF(Продажи!$E$10:$BM$10,T$98,Продажи!$E130:$BM130)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8" spans="2:65" ht="15" customHeight="1">
      <c r="B118" s="138" t="str">
        <f>Продажи!B131</f>
        <v>Продукт 20</v>
      </c>
      <c s="138" t="str">
        <f t="shared" si="544"/>
        <v>тыс. руб.</v>
      </c>
      <c s="138"/>
      <c s="138">
        <f>SUMIF(Продажи!$E$10:$BM$10,E$98,Продажи!$E131:$BM131)</f>
        <v>0</v>
      </c>
      <c s="138">
        <f>SUMIF(Продажи!$E$10:$BM$10,F$98,Продажи!$E131:$BM131)</f>
        <v>0</v>
      </c>
      <c s="138">
        <f>SUMIF(Продажи!$E$10:$BM$10,G$98,Продажи!$E131:$BM131)</f>
        <v>0</v>
      </c>
      <c s="138">
        <f>SUMIF(Продажи!$E$10:$BM$10,H$98,Продажи!$E131:$BM131)</f>
        <v>0</v>
      </c>
      <c s="138">
        <f>SUMIF(Продажи!$E$10:$BM$10,I$98,Продажи!$E131:$BM131)</f>
        <v>0</v>
      </c>
      <c s="138">
        <f>SUMIF(Продажи!$E$10:$BM$10,J$98,Продажи!$E131:$BM131)</f>
        <v>0</v>
      </c>
      <c s="138">
        <f>SUMIF(Продажи!$E$10:$BM$10,K$98,Продажи!$E131:$BM131)</f>
        <v>0</v>
      </c>
      <c s="138">
        <f>SUMIF(Продажи!$E$10:$BM$10,L$98,Продажи!$E131:$BM131)</f>
        <v>0</v>
      </c>
      <c s="138">
        <f>SUMIF(Продажи!$E$10:$BM$10,M$98,Продажи!$E131:$BM131)</f>
        <v>0</v>
      </c>
      <c s="138">
        <f>SUMIF(Продажи!$E$10:$BM$10,N$98,Продажи!$E131:$BM131)</f>
        <v>0</v>
      </c>
      <c s="138">
        <f>SUMIF(Продажи!$E$10:$BM$10,O$98,Продажи!$E131:$BM131)</f>
        <v>0</v>
      </c>
      <c s="138">
        <f>SUMIF(Продажи!$E$10:$BM$10,P$98,Продажи!$E131:$BM131)</f>
        <v>0</v>
      </c>
      <c s="138">
        <f>SUMIF(Продажи!$E$10:$BM$10,Q$98,Продажи!$E131:$BM131)</f>
        <v>0</v>
      </c>
      <c s="138">
        <f>SUMIF(Продажи!$E$10:$BM$10,R$98,Продажи!$E131:$BM131)</f>
        <v>0</v>
      </c>
      <c s="138">
        <f>SUMIF(Продажи!$E$10:$BM$10,S$98,Продажи!$E131:$BM131)</f>
        <v>0</v>
      </c>
      <c s="138">
        <f>SUMIF(Продажи!$E$10:$BM$10,T$98,Продажи!$E131:$BM131)</f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9" spans="2:65" ht="15" customHeight="1">
      <c r="B119" s="289" t="s">
        <v>454</v>
      </c>
      <c s="280" t="str">
        <f t="shared" si="544"/>
        <v>тыс. руб.</v>
      </c>
      <c s="280"/>
      <c s="276">
        <f>SUM(E99:E118)</f>
        <v>0</v>
      </c>
      <c s="276">
        <f t="shared" si="545" ref="F119:T119">SUM(F99:F118)</f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276">
        <f t="shared" si="545"/>
        <v>0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0" ht="15" customHeight="1"/>
    <row r="121" spans="2:65" ht="21">
      <c r="B121" s="23" t="s">
        <v>1110</v>
      </c>
      <c r="D121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2" spans="2:65" ht="15" customHeight="1">
      <c r="B122" s="12" t="s">
        <v>651</v>
      </c>
      <c s="124" t="str">
        <f t="shared" si="546" ref="C122:C127">Единица_измерения</f>
        <v>тыс. руб.</v>
      </c>
      <c s="276">
        <f ca="1">SUMIF(E6:BM6,CONCATENATE(E32,MATCH(D32,$E$8:$BM$8,0)),E122:BM122)</f>
        <v>0</v>
      </c>
      <c s="125">
        <f>-Налоги!E30</f>
        <v>0</v>
      </c>
      <c s="125">
        <f ca="1">-Налоги!F30</f>
        <v>0</v>
      </c>
      <c s="125">
        <f ca="1">-Налоги!G30</f>
        <v>0</v>
      </c>
      <c s="125">
        <f ca="1">-Налоги!H30</f>
        <v>0</v>
      </c>
      <c s="125">
        <f ca="1">-Налоги!I30</f>
        <v>0</v>
      </c>
      <c s="125">
        <f ca="1">-Налоги!J30</f>
        <v>0</v>
      </c>
      <c s="125">
        <f ca="1">-Налоги!K30</f>
        <v>0</v>
      </c>
      <c s="125">
        <f ca="1">-Налоги!L30</f>
        <v>0</v>
      </c>
      <c s="125">
        <f ca="1">-Налоги!M30</f>
        <v>0</v>
      </c>
      <c s="125">
        <f ca="1">-Налоги!N30</f>
        <v>0</v>
      </c>
      <c s="125">
        <f ca="1">-Налоги!O30</f>
        <v>0</v>
      </c>
      <c s="125">
        <f ca="1">-Налоги!P30</f>
        <v>0</v>
      </c>
      <c s="125">
        <f ca="1">-Налоги!Q30</f>
        <v>0</v>
      </c>
      <c s="125">
        <f ca="1">-Налоги!R30</f>
        <v>0</v>
      </c>
      <c s="125">
        <f ca="1">-Налоги!S30</f>
        <v>0</v>
      </c>
      <c s="125">
        <f ca="1">-Налоги!T30</f>
        <v>0</v>
      </c>
      <c s="125">
        <f ca="1">-Налоги!U30</f>
        <v>0</v>
      </c>
      <c s="125">
        <f ca="1">-Налоги!V30</f>
        <v>0</v>
      </c>
      <c s="125">
        <f ca="1">-Налоги!W30</f>
        <v>0</v>
      </c>
      <c s="125">
        <f ca="1">-Налоги!X30</f>
        <v>0</v>
      </c>
      <c s="125">
        <f ca="1">-Налоги!Y30</f>
        <v>0</v>
      </c>
      <c s="125">
        <f ca="1">-Налоги!Z30</f>
        <v>0</v>
      </c>
      <c s="125">
        <f ca="1">-Налоги!AA30</f>
        <v>0</v>
      </c>
      <c s="125">
        <f ca="1">-Налоги!AB30</f>
        <v>0</v>
      </c>
      <c s="125">
        <f ca="1">-Налоги!AC30</f>
        <v>0</v>
      </c>
      <c s="125">
        <f ca="1">-Налоги!AD30</f>
        <v>0</v>
      </c>
      <c s="125">
        <f ca="1">-Налоги!AE30</f>
        <v>0</v>
      </c>
      <c s="125">
        <f ca="1">-Налоги!AF30</f>
        <v>0</v>
      </c>
      <c s="125">
        <f ca="1">-Налоги!AG30</f>
        <v>0</v>
      </c>
      <c s="125">
        <f ca="1">-Налоги!AH30</f>
        <v>0</v>
      </c>
      <c s="125">
        <f ca="1">-Налоги!AI30</f>
        <v>0</v>
      </c>
      <c s="125">
        <f ca="1">-Налоги!AJ30</f>
        <v>0</v>
      </c>
      <c s="125">
        <f ca="1">-Налоги!AK30</f>
        <v>0</v>
      </c>
      <c s="125">
        <f ca="1">-Налоги!AL30</f>
        <v>0</v>
      </c>
      <c s="125">
        <f ca="1">-Налоги!AM30</f>
        <v>0</v>
      </c>
      <c s="125">
        <f ca="1">-Налоги!AN30</f>
        <v>0</v>
      </c>
      <c s="125">
        <f ca="1">-Налоги!AO30</f>
        <v>0</v>
      </c>
      <c s="125">
        <f ca="1">-Налоги!AP30</f>
        <v>0</v>
      </c>
      <c s="125">
        <f ca="1">-Налоги!AQ30</f>
        <v>0</v>
      </c>
      <c s="125">
        <f ca="1">-Налоги!AR30</f>
        <v>0</v>
      </c>
      <c s="125">
        <f ca="1">-Налоги!AS30</f>
        <v>0</v>
      </c>
      <c s="125">
        <f ca="1">-Налоги!AT30</f>
        <v>0</v>
      </c>
      <c s="125">
        <f ca="1">-Налоги!AU30</f>
        <v>0</v>
      </c>
      <c s="125">
        <f ca="1">-Налоги!AV30</f>
        <v>0</v>
      </c>
      <c s="125">
        <f ca="1">-Налоги!AW30</f>
        <v>0</v>
      </c>
      <c s="125">
        <f ca="1">-Налоги!AX30</f>
        <v>0</v>
      </c>
      <c s="125">
        <f ca="1">-Налоги!AY30</f>
        <v>0</v>
      </c>
      <c s="125">
        <f ca="1">-Налоги!AZ30</f>
        <v>0</v>
      </c>
      <c s="125">
        <f ca="1">-Налоги!BA30</f>
        <v>0</v>
      </c>
      <c s="125">
        <f ca="1">-Налоги!BB30</f>
        <v>0</v>
      </c>
      <c s="125">
        <f ca="1">-Налоги!BC30</f>
        <v>0</v>
      </c>
      <c s="125">
        <f ca="1">-Налоги!BD30</f>
        <v>0</v>
      </c>
      <c s="125">
        <f ca="1">-Налоги!BE30</f>
        <v>0</v>
      </c>
      <c s="125">
        <f ca="1">-Налоги!BF30</f>
        <v>0</v>
      </c>
      <c s="125">
        <f ca="1">-Налоги!BG30</f>
        <v>0</v>
      </c>
      <c s="125">
        <f ca="1">-Налоги!BH30</f>
        <v>0</v>
      </c>
      <c s="125">
        <f ca="1">-Налоги!BI30</f>
        <v>0</v>
      </c>
      <c s="125">
        <f ca="1">-Налоги!BJ30</f>
        <v>0</v>
      </c>
      <c s="125">
        <f ca="1">-Налоги!BK30</f>
        <v>0</v>
      </c>
      <c s="125">
        <f ca="1">-Налоги!BL30</f>
        <v>0</v>
      </c>
      <c s="125">
        <f ca="1">-Налоги!BM30</f>
        <v>0</v>
      </c>
    </row>
    <row r="123" spans="2:65" ht="15" customHeight="1">
      <c r="B123" s="12" t="s">
        <v>246</v>
      </c>
      <c s="124" t="str">
        <f t="shared" si="546"/>
        <v>тыс. руб.</v>
      </c>
      <c s="276">
        <f>SUMIF(E6:BM6,CONCATENATE(E32,MATCH(D32,$E$8:$BM$8,0)),E123:BM123)</f>
        <v>0</v>
      </c>
      <c s="125">
        <f>-Налоги!E86</f>
        <v>0</v>
      </c>
      <c s="125">
        <f>-Налоги!F86</f>
        <v>0</v>
      </c>
      <c s="125">
        <f>-Налоги!G86</f>
        <v>0</v>
      </c>
      <c s="125">
        <f>-Налоги!H86</f>
        <v>0</v>
      </c>
      <c s="125">
        <f>-Налоги!I86</f>
        <v>0</v>
      </c>
      <c s="125">
        <f>-Налоги!J86</f>
        <v>0</v>
      </c>
      <c s="125">
        <f>-Налоги!K86</f>
        <v>0</v>
      </c>
      <c s="125">
        <f>-Налоги!L86</f>
        <v>0</v>
      </c>
      <c s="125">
        <f>-Налоги!M86</f>
        <v>0</v>
      </c>
      <c s="125">
        <f>-Налоги!N86</f>
        <v>0</v>
      </c>
      <c s="125">
        <f>-Налоги!O86</f>
        <v>0</v>
      </c>
      <c s="125">
        <f>-Налоги!P86</f>
        <v>0</v>
      </c>
      <c s="125">
        <f>-Налоги!Q86</f>
        <v>0</v>
      </c>
      <c s="125">
        <f>-Налоги!R86</f>
        <v>0</v>
      </c>
      <c s="125">
        <f>-Налоги!S86</f>
        <v>0</v>
      </c>
      <c s="125">
        <f>-Налоги!T86</f>
        <v>0</v>
      </c>
      <c s="125">
        <f>-Налоги!U86</f>
        <v>0</v>
      </c>
      <c s="125">
        <f>-Налоги!V86</f>
        <v>0</v>
      </c>
      <c s="125">
        <f>-Налоги!W86</f>
        <v>0</v>
      </c>
      <c s="125">
        <f>-Налоги!X86</f>
        <v>0</v>
      </c>
      <c s="125">
        <f>-Налоги!Y86</f>
        <v>0</v>
      </c>
      <c s="125">
        <f>-Налоги!Z86</f>
        <v>0</v>
      </c>
      <c s="125">
        <f>-Налоги!AA86</f>
        <v>0</v>
      </c>
      <c s="125">
        <f>-Налоги!AB86</f>
        <v>0</v>
      </c>
      <c s="125">
        <f>-Налоги!AC86</f>
        <v>0</v>
      </c>
      <c s="125">
        <f>-Налоги!AD86</f>
        <v>0</v>
      </c>
      <c s="125">
        <f>-Налоги!AE86</f>
        <v>0</v>
      </c>
      <c s="125">
        <f>-Налоги!AF86</f>
        <v>0</v>
      </c>
      <c s="125">
        <f>-Налоги!AG86</f>
        <v>0</v>
      </c>
      <c s="125">
        <f>-Налоги!AH86</f>
        <v>0</v>
      </c>
      <c s="125">
        <f>-Налоги!AI86</f>
        <v>0</v>
      </c>
      <c s="125">
        <f>-Налоги!AJ86</f>
        <v>0</v>
      </c>
      <c s="125">
        <f>-Налоги!AK86</f>
        <v>0</v>
      </c>
      <c s="125">
        <f>-Налоги!AL86</f>
        <v>0</v>
      </c>
      <c s="125">
        <f>-Налоги!AM86</f>
        <v>0</v>
      </c>
      <c s="125">
        <f>-Налоги!AN86</f>
        <v>0</v>
      </c>
      <c s="125">
        <f>-Налоги!AO86</f>
        <v>0</v>
      </c>
      <c s="125">
        <f>-Налоги!AP86</f>
        <v>0</v>
      </c>
      <c s="125">
        <f>-Налоги!AQ86</f>
        <v>0</v>
      </c>
      <c s="125">
        <f>-Налоги!AR86</f>
        <v>0</v>
      </c>
      <c s="125">
        <f>-Налоги!AS86</f>
        <v>0</v>
      </c>
      <c s="125">
        <f>-Налоги!AT86</f>
        <v>0</v>
      </c>
      <c s="125">
        <f>-Налоги!AU86</f>
        <v>0</v>
      </c>
      <c s="125">
        <f>-Налоги!AV86</f>
        <v>0</v>
      </c>
      <c s="125">
        <f>-Налоги!AW86</f>
        <v>0</v>
      </c>
      <c s="125">
        <f>-Налоги!AX86</f>
        <v>0</v>
      </c>
      <c s="125">
        <f>-Налоги!AY86</f>
        <v>0</v>
      </c>
      <c s="125">
        <f>-Налоги!AZ86</f>
        <v>0</v>
      </c>
      <c s="125">
        <f>-Налоги!BA86</f>
        <v>0</v>
      </c>
      <c s="125">
        <f>-Налоги!BB86</f>
        <v>0</v>
      </c>
      <c s="125">
        <f>-Налоги!BC86</f>
        <v>0</v>
      </c>
      <c s="125">
        <f>-Налоги!BD86</f>
        <v>0</v>
      </c>
      <c s="125">
        <f>-Налоги!BE86</f>
        <v>0</v>
      </c>
      <c s="125">
        <f>-Налоги!BF86</f>
        <v>0</v>
      </c>
      <c s="125">
        <f>-Налоги!BG86</f>
        <v>0</v>
      </c>
      <c s="125">
        <f>-Налоги!BH86</f>
        <v>0</v>
      </c>
      <c s="125">
        <f>-Налоги!BI86</f>
        <v>0</v>
      </c>
      <c s="125">
        <f>-Налоги!BJ86</f>
        <v>0</v>
      </c>
      <c s="125">
        <f>-Налоги!BK86</f>
        <v>0</v>
      </c>
      <c s="125">
        <f>-Налоги!BL86</f>
        <v>0</v>
      </c>
      <c s="125">
        <f>-Налоги!BM86</f>
        <v>0</v>
      </c>
    </row>
    <row r="124" spans="2:65" ht="15" customHeight="1">
      <c r="B124" s="12" t="s">
        <v>244</v>
      </c>
      <c s="124" t="str">
        <f t="shared" si="546"/>
        <v>тыс. руб.</v>
      </c>
      <c s="276">
        <f ca="1">SUMIF(E6:BM6,CONCATENATE(E32,MATCH(D32,$E$8:$BM$8,0)),E124:BM124)</f>
        <v>0</v>
      </c>
      <c s="125">
        <f>-Налоги!E111</f>
        <v>0</v>
      </c>
      <c s="125">
        <f>-Налоги!F111</f>
        <v>0</v>
      </c>
      <c s="125">
        <f ca="1">-Налоги!G111</f>
        <v>0</v>
      </c>
      <c s="125">
        <f ca="1">-Налоги!H111</f>
        <v>0</v>
      </c>
      <c s="125">
        <f ca="1">-Налоги!I111</f>
        <v>0</v>
      </c>
      <c s="125">
        <f ca="1">-Налоги!J111</f>
        <v>0</v>
      </c>
      <c s="125">
        <f ca="1">-Налоги!K111</f>
        <v>0</v>
      </c>
      <c s="125">
        <f ca="1">-Налоги!L111</f>
        <v>0</v>
      </c>
      <c s="125">
        <f ca="1">-Налоги!M111</f>
        <v>0</v>
      </c>
      <c s="125">
        <f ca="1">-Налоги!N111</f>
        <v>0</v>
      </c>
      <c s="125">
        <f ca="1">-Налоги!O111</f>
        <v>0</v>
      </c>
      <c s="125">
        <f ca="1">-Налоги!P111</f>
        <v>0</v>
      </c>
      <c s="125">
        <f ca="1">-Налоги!Q111</f>
        <v>0</v>
      </c>
      <c s="125">
        <f ca="1">-Налоги!R111</f>
        <v>0</v>
      </c>
      <c s="125">
        <f ca="1">-Налоги!S111</f>
        <v>0</v>
      </c>
      <c s="125">
        <f ca="1">-Налоги!T111</f>
        <v>0</v>
      </c>
      <c s="125">
        <f ca="1">-Налоги!U111</f>
        <v>0</v>
      </c>
      <c s="125">
        <f ca="1">-Налоги!V111</f>
        <v>0</v>
      </c>
      <c s="125">
        <f ca="1">-Налоги!W111</f>
        <v>0</v>
      </c>
      <c s="125">
        <f ca="1">-Налоги!X111</f>
        <v>0</v>
      </c>
      <c s="125">
        <f ca="1">-Налоги!Y111</f>
        <v>0</v>
      </c>
      <c s="125">
        <f ca="1">-Налоги!Z111</f>
        <v>0</v>
      </c>
      <c s="125">
        <f ca="1">-Налоги!AA111</f>
        <v>0</v>
      </c>
      <c s="125">
        <f ca="1">-Налоги!AB111</f>
        <v>0</v>
      </c>
      <c s="125">
        <f ca="1">-Налоги!AC111</f>
        <v>0</v>
      </c>
      <c s="125">
        <f ca="1">-Налоги!AD111</f>
        <v>0</v>
      </c>
      <c s="125">
        <f ca="1">-Налоги!AE111</f>
        <v>0</v>
      </c>
      <c s="125">
        <f ca="1">-Налоги!AF111</f>
        <v>0</v>
      </c>
      <c s="125">
        <f ca="1">-Налоги!AG111</f>
        <v>0</v>
      </c>
      <c s="125">
        <f ca="1">-Налоги!AH111</f>
        <v>0</v>
      </c>
      <c s="125">
        <f ca="1">-Налоги!AI111</f>
        <v>0</v>
      </c>
      <c s="125">
        <f ca="1">-Налоги!AJ111</f>
        <v>0</v>
      </c>
      <c s="125">
        <f ca="1">-Налоги!AK111</f>
        <v>0</v>
      </c>
      <c s="125">
        <f ca="1">-Налоги!AL111</f>
        <v>0</v>
      </c>
      <c s="125">
        <f ca="1">-Налоги!AM111</f>
        <v>0</v>
      </c>
      <c s="125">
        <f ca="1">-Налоги!AN111</f>
        <v>0</v>
      </c>
      <c s="125">
        <f ca="1">-Налоги!AO111</f>
        <v>0</v>
      </c>
      <c s="125">
        <f ca="1">-Налоги!AP111</f>
        <v>0</v>
      </c>
      <c s="125">
        <f ca="1">-Налоги!AQ111</f>
        <v>0</v>
      </c>
      <c s="125">
        <f ca="1">-Налоги!AR111</f>
        <v>0</v>
      </c>
      <c s="125">
        <f ca="1">-Налоги!AS111</f>
        <v>0</v>
      </c>
      <c s="125">
        <f ca="1">-Налоги!AT111</f>
        <v>0</v>
      </c>
      <c s="125">
        <f ca="1">-Налоги!AU111</f>
        <v>0</v>
      </c>
      <c s="125">
        <f ca="1">-Налоги!AV111</f>
        <v>0</v>
      </c>
      <c s="125">
        <f ca="1">-Налоги!AW111</f>
        <v>0</v>
      </c>
      <c s="125">
        <f ca="1">-Налоги!AX111</f>
        <v>0</v>
      </c>
      <c s="125">
        <f ca="1">-Налоги!AY111</f>
        <v>0</v>
      </c>
      <c s="125">
        <f ca="1">-Налоги!AZ111</f>
        <v>0</v>
      </c>
      <c s="125">
        <f ca="1">-Налоги!BA111</f>
        <v>0</v>
      </c>
      <c s="125">
        <f ca="1">-Налоги!BB111</f>
        <v>0</v>
      </c>
      <c s="125">
        <f ca="1">-Налоги!BC111</f>
        <v>0</v>
      </c>
      <c s="125">
        <f ca="1">-Налоги!BD111</f>
        <v>0</v>
      </c>
      <c s="125">
        <f ca="1">-Налоги!BE111</f>
        <v>0</v>
      </c>
      <c s="125">
        <f ca="1">-Налоги!BF111</f>
        <v>0</v>
      </c>
      <c s="125">
        <f ca="1">-Налоги!BG111</f>
        <v>0</v>
      </c>
      <c s="125">
        <f ca="1">-Налоги!BH111</f>
        <v>0</v>
      </c>
      <c s="125">
        <f ca="1">-Налоги!BI111</f>
        <v>0</v>
      </c>
      <c s="125">
        <f ca="1">-Налоги!BJ111</f>
        <v>0</v>
      </c>
      <c s="125">
        <f ca="1">-Налоги!BK111</f>
        <v>0</v>
      </c>
      <c s="125">
        <f ca="1">-Налоги!BL111</f>
        <v>0</v>
      </c>
      <c s="125">
        <f ca="1">-Налоги!BM111</f>
        <v>0</v>
      </c>
    </row>
    <row r="125" spans="2:65" ht="15" customHeight="1">
      <c r="B125" s="12" t="s">
        <v>248</v>
      </c>
      <c s="124" t="str">
        <f t="shared" si="546"/>
        <v>тыс. руб.</v>
      </c>
      <c s="276">
        <f>SUMIF(E6:BM6,CONCATENATE(E32,MATCH(D32,$E$8:$BM$8,0)),E125:BM125)</f>
        <v>0</v>
      </c>
      <c s="125">
        <f>-Налоги!E308</f>
        <v>0</v>
      </c>
      <c s="125">
        <f>-Налоги!F308</f>
        <v>0</v>
      </c>
      <c s="125">
        <f>-Налоги!G308</f>
        <v>0</v>
      </c>
      <c s="125">
        <f>-Налоги!H308</f>
        <v>0</v>
      </c>
      <c s="125">
        <f>-Налоги!I308</f>
        <v>0</v>
      </c>
      <c s="125">
        <f>-Налоги!J308</f>
        <v>0</v>
      </c>
      <c s="125">
        <f>-Налоги!K308</f>
        <v>0</v>
      </c>
      <c s="125">
        <f>-Налоги!L308</f>
        <v>0</v>
      </c>
      <c s="125">
        <f>-Налоги!M308</f>
        <v>0</v>
      </c>
      <c s="125">
        <f>-Налоги!N308</f>
        <v>0</v>
      </c>
      <c s="125">
        <f>-Налоги!O308</f>
        <v>0</v>
      </c>
      <c s="125">
        <f>-Налоги!P308</f>
        <v>0</v>
      </c>
      <c s="125">
        <f>-Налоги!Q308</f>
        <v>0</v>
      </c>
      <c s="125">
        <f>-Налоги!R308</f>
        <v>0</v>
      </c>
      <c s="125">
        <f>-Налоги!S308</f>
        <v>0</v>
      </c>
      <c s="125">
        <f>-Налоги!T308</f>
        <v>0</v>
      </c>
      <c s="125">
        <f>-Налоги!U308</f>
        <v>0</v>
      </c>
      <c s="125">
        <f>-Налоги!V308</f>
        <v>0</v>
      </c>
      <c s="125">
        <f>-Налоги!W308</f>
        <v>0</v>
      </c>
      <c s="125">
        <f>-Налоги!X308</f>
        <v>0</v>
      </c>
      <c s="125">
        <f>-Налоги!Y308</f>
        <v>0</v>
      </c>
      <c s="125">
        <f>-Налоги!Z308</f>
        <v>0</v>
      </c>
      <c s="125">
        <f>-Налоги!AA308</f>
        <v>0</v>
      </c>
      <c s="125">
        <f>-Налоги!AB308</f>
        <v>0</v>
      </c>
      <c s="125">
        <f>-Налоги!AC308</f>
        <v>0</v>
      </c>
      <c s="125">
        <f>-Налоги!AD308</f>
        <v>0</v>
      </c>
      <c s="125">
        <f>-Налоги!AE308</f>
        <v>0</v>
      </c>
      <c s="125">
        <f>-Налоги!AF308</f>
        <v>0</v>
      </c>
      <c s="125">
        <f>-Налоги!AG308</f>
        <v>0</v>
      </c>
      <c s="125">
        <f>-Налоги!AH308</f>
        <v>0</v>
      </c>
      <c s="125">
        <f>-Налоги!AI308</f>
        <v>0</v>
      </c>
      <c s="125">
        <f>-Налоги!AJ308</f>
        <v>0</v>
      </c>
      <c s="125">
        <f>-Налоги!AK308</f>
        <v>0</v>
      </c>
      <c s="125">
        <f>-Налоги!AL308</f>
        <v>0</v>
      </c>
      <c s="125">
        <f>-Налоги!AM308</f>
        <v>0</v>
      </c>
      <c s="125">
        <f>-Налоги!AN308</f>
        <v>0</v>
      </c>
      <c s="125">
        <f>-Налоги!AO308</f>
        <v>0</v>
      </c>
      <c s="125">
        <f>-Налоги!AP308</f>
        <v>0</v>
      </c>
      <c s="125">
        <f>-Налоги!AQ308</f>
        <v>0</v>
      </c>
      <c s="125">
        <f>-Налоги!AR308</f>
        <v>0</v>
      </c>
      <c s="125">
        <f>-Налоги!AS308</f>
        <v>0</v>
      </c>
      <c s="125">
        <f>-Налоги!AT308</f>
        <v>0</v>
      </c>
      <c s="125">
        <f>-Налоги!AU308</f>
        <v>0</v>
      </c>
      <c s="125">
        <f>-Налоги!AV308</f>
        <v>0</v>
      </c>
      <c s="125">
        <f>-Налоги!AW308</f>
        <v>0</v>
      </c>
      <c s="125">
        <f>-Налоги!AX308</f>
        <v>0</v>
      </c>
      <c s="125">
        <f>-Налоги!AY308</f>
        <v>0</v>
      </c>
      <c s="125">
        <f>-Налоги!AZ308</f>
        <v>0</v>
      </c>
      <c s="125">
        <f>-Налоги!BA308</f>
        <v>0</v>
      </c>
      <c s="125">
        <f>-Налоги!BB308</f>
        <v>0</v>
      </c>
      <c s="125">
        <f>-Налоги!BC308</f>
        <v>0</v>
      </c>
      <c s="125">
        <f>-Налоги!BD308</f>
        <v>0</v>
      </c>
      <c s="125">
        <f>-Налоги!BE308</f>
        <v>0</v>
      </c>
      <c s="125">
        <f>-Налоги!BF308</f>
        <v>0</v>
      </c>
      <c s="125">
        <f>-Налоги!BG308</f>
        <v>0</v>
      </c>
      <c s="125">
        <f>-Налоги!BH308</f>
        <v>0</v>
      </c>
      <c s="125">
        <f>-Налоги!BI308</f>
        <v>0</v>
      </c>
      <c s="125">
        <f>-Налоги!BJ308</f>
        <v>0</v>
      </c>
      <c s="125">
        <f>-Налоги!BK308</f>
        <v>0</v>
      </c>
      <c s="125">
        <f>-Налоги!BL308</f>
        <v>0</v>
      </c>
      <c s="125">
        <f>-Налоги!BM308</f>
        <v>0</v>
      </c>
    </row>
    <row r="126" spans="2:65" ht="15" customHeight="1">
      <c r="B126" s="12" t="s">
        <v>254</v>
      </c>
      <c s="124" t="str">
        <f t="shared" si="546"/>
        <v>тыс. руб.</v>
      </c>
      <c s="276">
        <f>SUMIF(E6:BM6,CONCATENATE(E32,MATCH(D32,$E$8:$BM$8,0)),E126:BM126)</f>
        <v>0</v>
      </c>
      <c s="125">
        <f>-Налоги!E315</f>
        <v>0</v>
      </c>
      <c s="125">
        <f>-Налоги!F315</f>
        <v>0</v>
      </c>
      <c s="125">
        <f>-Налоги!G315</f>
        <v>0</v>
      </c>
      <c s="125">
        <f>-Налоги!H315</f>
        <v>0</v>
      </c>
      <c s="125">
        <f>-Налоги!I315</f>
        <v>0</v>
      </c>
      <c s="125">
        <f>-Налоги!J315</f>
        <v>0</v>
      </c>
      <c s="125">
        <f>-Налоги!K315</f>
        <v>0</v>
      </c>
      <c s="125">
        <f>-Налоги!L315</f>
        <v>0</v>
      </c>
      <c s="125">
        <f>-Налоги!M315</f>
        <v>0</v>
      </c>
      <c s="125">
        <f>-Налоги!N315</f>
        <v>0</v>
      </c>
      <c s="125">
        <f>-Налоги!O315</f>
        <v>0</v>
      </c>
      <c s="125">
        <f>-Налоги!P315</f>
        <v>0</v>
      </c>
      <c s="125">
        <f>-Налоги!Q315</f>
        <v>0</v>
      </c>
      <c s="125">
        <f>-Налоги!R315</f>
        <v>0</v>
      </c>
      <c s="125">
        <f>-Налоги!S315</f>
        <v>0</v>
      </c>
      <c s="125">
        <f>-Налоги!T315</f>
        <v>0</v>
      </c>
      <c s="125">
        <f>-Налоги!U315</f>
        <v>0</v>
      </c>
      <c s="125">
        <f>-Налоги!V315</f>
        <v>0</v>
      </c>
      <c s="125">
        <f>-Налоги!W315</f>
        <v>0</v>
      </c>
      <c s="125">
        <f>-Налоги!X315</f>
        <v>0</v>
      </c>
      <c s="125">
        <f>-Налоги!Y315</f>
        <v>0</v>
      </c>
      <c s="125">
        <f>-Налоги!Z315</f>
        <v>0</v>
      </c>
      <c s="125">
        <f>-Налоги!AA315</f>
        <v>0</v>
      </c>
      <c s="125">
        <f>-Налоги!AB315</f>
        <v>0</v>
      </c>
      <c s="125">
        <f>-Налоги!AC315</f>
        <v>0</v>
      </c>
      <c s="125">
        <f>-Налоги!AD315</f>
        <v>0</v>
      </c>
      <c s="125">
        <f>-Налоги!AE315</f>
        <v>0</v>
      </c>
      <c s="125">
        <f>-Налоги!AF315</f>
        <v>0</v>
      </c>
      <c s="125">
        <f>-Налоги!AG315</f>
        <v>0</v>
      </c>
      <c s="125">
        <f>-Налоги!AH315</f>
        <v>0</v>
      </c>
      <c s="125">
        <f>-Налоги!AI315</f>
        <v>0</v>
      </c>
      <c s="125">
        <f>-Налоги!AJ315</f>
        <v>0</v>
      </c>
      <c s="125">
        <f>-Налоги!AK315</f>
        <v>0</v>
      </c>
      <c s="125">
        <f>-Налоги!AL315</f>
        <v>0</v>
      </c>
      <c s="125">
        <f>-Налоги!AM315</f>
        <v>0</v>
      </c>
      <c s="125">
        <f>-Налоги!AN315</f>
        <v>0</v>
      </c>
      <c s="125">
        <f>-Налоги!AO315</f>
        <v>0</v>
      </c>
      <c s="125">
        <f>-Налоги!AP315</f>
        <v>0</v>
      </c>
      <c s="125">
        <f>-Налоги!AQ315</f>
        <v>0</v>
      </c>
      <c s="125">
        <f>-Налоги!AR315</f>
        <v>0</v>
      </c>
      <c s="125">
        <f>-Налоги!AS315</f>
        <v>0</v>
      </c>
      <c s="125">
        <f>-Налоги!AT315</f>
        <v>0</v>
      </c>
      <c s="125">
        <f>-Налоги!AU315</f>
        <v>0</v>
      </c>
      <c s="125">
        <f>-Налоги!AV315</f>
        <v>0</v>
      </c>
      <c s="125">
        <f>-Налоги!AW315</f>
        <v>0</v>
      </c>
      <c s="125">
        <f>-Налоги!AX315</f>
        <v>0</v>
      </c>
      <c s="125">
        <f>-Налоги!AY315</f>
        <v>0</v>
      </c>
      <c s="125">
        <f>-Налоги!AZ315</f>
        <v>0</v>
      </c>
      <c s="125">
        <f>-Налоги!BA315</f>
        <v>0</v>
      </c>
      <c s="125">
        <f>-Налоги!BB315</f>
        <v>0</v>
      </c>
      <c s="125">
        <f>-Налоги!BC315</f>
        <v>0</v>
      </c>
      <c s="125">
        <f>-Налоги!BD315</f>
        <v>0</v>
      </c>
      <c s="125">
        <f>-Налоги!BE315</f>
        <v>0</v>
      </c>
      <c s="125">
        <f>-Налоги!BF315</f>
        <v>0</v>
      </c>
      <c s="125">
        <f>-Налоги!BG315</f>
        <v>0</v>
      </c>
      <c s="125">
        <f>-Налоги!BH315</f>
        <v>0</v>
      </c>
      <c s="125">
        <f>-Налоги!BI315</f>
        <v>0</v>
      </c>
      <c s="125">
        <f>-Налоги!BJ315</f>
        <v>0</v>
      </c>
      <c s="125">
        <f>-Налоги!BK315</f>
        <v>0</v>
      </c>
      <c s="125">
        <f>-Налоги!BL315</f>
        <v>0</v>
      </c>
      <c s="125">
        <f>-Налоги!BM315</f>
        <v>0</v>
      </c>
    </row>
    <row r="127" spans="2:65" ht="15" customHeight="1">
      <c r="B127" s="289" t="s">
        <v>454</v>
      </c>
      <c s="290" t="str">
        <f t="shared" si="546"/>
        <v>тыс. руб.</v>
      </c>
      <c s="291">
        <f ca="1" t="shared" si="547" ref="D127:E127">SUM(D122:D126)</f>
        <v>0</v>
      </c>
      <c s="276">
        <f t="shared" ca="1" si="547"/>
        <v>0</v>
      </c>
      <c s="276">
        <f ca="1" t="shared" si="548" ref="F127:AG127">SUM(F122:F126)</f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t="shared" ca="1" si="548"/>
        <v>0</v>
      </c>
      <c s="276">
        <f ca="1" t="shared" si="549" ref="AH127:BM127">SUM(AH122:AH126)</f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  <c s="276">
        <f t="shared" ca="1" si="549"/>
        <v>0</v>
      </c>
    </row>
    <row r="128" ht="15" customHeight="1"/>
    <row r="129" spans="2:65" ht="21">
      <c r="B129" s="23" t="s">
        <v>1111</v>
      </c>
      <c r="D12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0" spans="2:65" ht="15" customHeight="1">
      <c r="B130" s="12" t="s">
        <v>177</v>
      </c>
      <c s="124" t="str">
        <f>Единица_измерения</f>
        <v>тыс. руб.</v>
      </c>
      <c s="125"/>
      <c s="125">
        <f>Финансирование!E$57</f>
        <v>0</v>
      </c>
      <c s="125">
        <f>Финансирование!F$57</f>
        <v>0</v>
      </c>
      <c s="125">
        <f>Финансирование!G$57</f>
        <v>0</v>
      </c>
      <c s="125">
        <f>Финансирование!H$57</f>
        <v>0</v>
      </c>
      <c s="125">
        <f>Финансирование!I$57</f>
        <v>0</v>
      </c>
      <c s="125">
        <f>Финансирование!J$57</f>
        <v>0</v>
      </c>
      <c s="125">
        <f>Финансирование!K$57</f>
        <v>0</v>
      </c>
      <c s="125">
        <f>Финансирование!L$57</f>
        <v>0</v>
      </c>
      <c s="125">
        <f>Финансирование!M$57</f>
        <v>0</v>
      </c>
      <c s="125">
        <f>Финансирование!N$57</f>
        <v>0</v>
      </c>
      <c s="125">
        <f>Финансирование!O$57</f>
        <v>0</v>
      </c>
      <c s="125">
        <f>Финансирование!P$57</f>
        <v>0</v>
      </c>
      <c s="125">
        <f>Финансирование!Q$57</f>
        <v>0</v>
      </c>
      <c s="125">
        <f>Финансирование!R$57</f>
        <v>0</v>
      </c>
      <c s="125">
        <f>Финансирование!S$57</f>
        <v>0</v>
      </c>
      <c s="125">
        <f>Финансирование!T$57</f>
        <v>0</v>
      </c>
      <c s="125">
        <f>Финансирование!U$57</f>
        <v>0</v>
      </c>
      <c s="125">
        <f>Финансирование!V$57</f>
        <v>0</v>
      </c>
      <c s="125">
        <f>Финансирование!W$57</f>
        <v>0</v>
      </c>
      <c s="125">
        <f>Финансирование!X$57</f>
        <v>0</v>
      </c>
      <c s="125">
        <f>Финансирование!Y$57</f>
        <v>0</v>
      </c>
      <c s="125">
        <f>Финансирование!Z$57</f>
        <v>0</v>
      </c>
      <c s="125">
        <f>Финансирование!AA$57</f>
        <v>0</v>
      </c>
      <c s="125">
        <f>Финансирование!AB$57</f>
        <v>0</v>
      </c>
      <c s="125">
        <f>Финансирование!AC$57</f>
        <v>0</v>
      </c>
      <c s="125">
        <f>Финансирование!AD$57</f>
        <v>0</v>
      </c>
      <c s="125">
        <f>Финансирование!AE$57</f>
        <v>0</v>
      </c>
      <c s="125">
        <f>Финансирование!AF$57</f>
        <v>0</v>
      </c>
      <c s="125">
        <f>Финансирование!AG$57</f>
        <v>0</v>
      </c>
      <c s="125">
        <f>Финансирование!AH$57</f>
        <v>0</v>
      </c>
      <c s="125">
        <f>Финансирование!AI$57</f>
        <v>0</v>
      </c>
      <c s="125">
        <f>Финансирование!AJ$57</f>
        <v>0</v>
      </c>
      <c s="125">
        <f>Финансирование!AK$57</f>
        <v>0</v>
      </c>
      <c s="125">
        <f>Финансирование!AL$57</f>
        <v>0</v>
      </c>
      <c s="125">
        <f>Финансирование!AM$57</f>
        <v>0</v>
      </c>
      <c s="125">
        <f>Финансирование!AN$57</f>
        <v>0</v>
      </c>
      <c s="125">
        <f>Финансирование!AO$57</f>
        <v>0</v>
      </c>
      <c s="125">
        <f>Финансирование!AP$57</f>
        <v>0</v>
      </c>
      <c s="125">
        <f>Финансирование!AQ$57</f>
        <v>0</v>
      </c>
      <c s="125">
        <f>Финансирование!AR$57</f>
        <v>0</v>
      </c>
      <c s="125">
        <f>Финансирование!AS$57</f>
        <v>0</v>
      </c>
      <c s="125">
        <f>Финансирование!AT$57</f>
        <v>0</v>
      </c>
      <c s="125">
        <f>Финансирование!AU$57</f>
        <v>0</v>
      </c>
      <c s="125">
        <f>Финансирование!AV$57</f>
        <v>0</v>
      </c>
      <c s="125">
        <f>Финансирование!AW$57</f>
        <v>0</v>
      </c>
      <c s="125">
        <f>Финансирование!AX$57</f>
        <v>0</v>
      </c>
      <c s="125">
        <f>Финансирование!AY$57</f>
        <v>0</v>
      </c>
      <c s="125">
        <f>Финансирование!AZ$57</f>
        <v>0</v>
      </c>
      <c s="125">
        <f>Финансирование!BA$57</f>
        <v>0</v>
      </c>
      <c s="125">
        <f>Финансирование!BB$57</f>
        <v>0</v>
      </c>
      <c s="125">
        <f>Финансирование!BC$57</f>
        <v>0</v>
      </c>
      <c s="125">
        <f>Финансирование!BD$57</f>
        <v>0</v>
      </c>
      <c s="125">
        <f>Финансирование!BE$57</f>
        <v>0</v>
      </c>
      <c s="125">
        <f>Финансирование!BF$57</f>
        <v>0</v>
      </c>
      <c s="125">
        <f>Финансирование!BG$57</f>
        <v>0</v>
      </c>
      <c s="125">
        <f>Финансирование!BH$57</f>
        <v>0</v>
      </c>
      <c s="125">
        <f>Финансирование!BI$57</f>
        <v>0</v>
      </c>
      <c s="125">
        <f>Финансирование!BJ$57</f>
        <v>0</v>
      </c>
      <c s="125">
        <f>Финансирование!BK$57</f>
        <v>0</v>
      </c>
      <c s="125">
        <f>Финансирование!BL$57</f>
        <v>0</v>
      </c>
      <c s="125">
        <f>Финансирование!BM$57</f>
        <v>0</v>
      </c>
    </row>
    <row r="131" spans="2:65" ht="15" customHeight="1">
      <c r="B131" s="12" t="str">
        <f>IF(ISBLANK(Предпосылки!$C$396),"Заём бенефициара/аффилированных лиц",Предпосылки!$C$396)</f>
        <v>Заём бенефициара/аффилированных лиц</v>
      </c>
      <c s="124" t="str">
        <f>Единица_измерения</f>
        <v>тыс. руб.</v>
      </c>
      <c s="125"/>
      <c s="125">
        <f>Финансирование!E$28</f>
        <v>0</v>
      </c>
      <c s="125">
        <f>Финансирование!F$28</f>
        <v>0</v>
      </c>
      <c s="125">
        <f>Финансирование!G$28</f>
        <v>0</v>
      </c>
      <c s="125">
        <f>Финансирование!H$28</f>
        <v>0</v>
      </c>
      <c s="125">
        <f>Финансирование!I$28</f>
        <v>0</v>
      </c>
      <c s="125">
        <f>Финансирование!J$28</f>
        <v>0</v>
      </c>
      <c s="125">
        <f>Финансирование!K$28</f>
        <v>0</v>
      </c>
      <c s="125">
        <f>Финансирование!L$28</f>
        <v>0</v>
      </c>
      <c s="125">
        <f>Финансирование!M$28</f>
        <v>0</v>
      </c>
      <c s="125">
        <f>Финансирование!N$28</f>
        <v>0</v>
      </c>
      <c s="125">
        <f>Финансирование!O$28</f>
        <v>0</v>
      </c>
      <c s="125">
        <f>Финансирование!P$28</f>
        <v>0</v>
      </c>
      <c s="125">
        <f>Финансирование!Q$28</f>
        <v>0</v>
      </c>
      <c s="125">
        <f>Финансирование!R$28</f>
        <v>0</v>
      </c>
      <c s="125">
        <f>Финансирование!S$28</f>
        <v>0</v>
      </c>
      <c s="125">
        <f>Финансирование!T$28</f>
        <v>0</v>
      </c>
      <c s="125">
        <f>Финансирование!U$28</f>
        <v>0</v>
      </c>
      <c s="125">
        <f>Финансирование!V$28</f>
        <v>0</v>
      </c>
      <c s="125">
        <f>Финансирование!W$28</f>
        <v>0</v>
      </c>
      <c s="125">
        <f>Финансирование!X$28</f>
        <v>0</v>
      </c>
      <c s="125">
        <f>Финансирование!Y$28</f>
        <v>0</v>
      </c>
      <c s="125">
        <f>Финансирование!Z$28</f>
        <v>0</v>
      </c>
      <c s="125">
        <f>Финансирование!AA$28</f>
        <v>0</v>
      </c>
      <c s="125">
        <f>Финансирование!AB$28</f>
        <v>0</v>
      </c>
      <c s="125">
        <f>Финансирование!AC$28</f>
        <v>0</v>
      </c>
      <c s="125">
        <f>Финансирование!AD$28</f>
        <v>0</v>
      </c>
      <c s="125">
        <f>Финансирование!AE$28</f>
        <v>0</v>
      </c>
      <c s="125">
        <f>Финансирование!AF$28</f>
        <v>0</v>
      </c>
      <c s="125">
        <f>Финансирование!AG$28</f>
        <v>0</v>
      </c>
      <c s="125">
        <f>Финансирование!AH$28</f>
        <v>0</v>
      </c>
      <c s="125">
        <f>Финансирование!AI$28</f>
        <v>0</v>
      </c>
      <c s="125">
        <f>Финансирование!AJ$28</f>
        <v>0</v>
      </c>
      <c s="125">
        <f>Финансирование!AK$28</f>
        <v>0</v>
      </c>
      <c s="125">
        <f>Финансирование!AL$28</f>
        <v>0</v>
      </c>
      <c s="125">
        <f>Финансирование!AM$28</f>
        <v>0</v>
      </c>
      <c s="125">
        <f>Финансирование!AN$28</f>
        <v>0</v>
      </c>
      <c s="125">
        <f>Финансирование!AO$28</f>
        <v>0</v>
      </c>
      <c s="125">
        <f>Финансирование!AP$28</f>
        <v>0</v>
      </c>
      <c s="125">
        <f>Финансирование!AQ$28</f>
        <v>0</v>
      </c>
      <c s="125">
        <f>Финансирование!AR$28</f>
        <v>0</v>
      </c>
      <c s="125">
        <f>Финансирование!AS$28</f>
        <v>0</v>
      </c>
      <c s="125">
        <f>Финансирование!AT$28</f>
        <v>0</v>
      </c>
      <c s="125">
        <f>Финансирование!AU$28</f>
        <v>0</v>
      </c>
      <c s="125">
        <f>Финансирование!AV$28</f>
        <v>0</v>
      </c>
      <c s="125">
        <f>Финансирование!AW$28</f>
        <v>0</v>
      </c>
      <c s="125">
        <f>Финансирование!AX$28</f>
        <v>0</v>
      </c>
      <c s="125">
        <f>Финансирование!AY$28</f>
        <v>0</v>
      </c>
      <c s="125">
        <f>Финансирование!AZ$28</f>
        <v>0</v>
      </c>
      <c s="125">
        <f>Финансирование!BA$28</f>
        <v>0</v>
      </c>
      <c s="125">
        <f>Финансирование!BB$28</f>
        <v>0</v>
      </c>
      <c s="125">
        <f>Финансирование!BC$28</f>
        <v>0</v>
      </c>
      <c s="125">
        <f>Финансирование!BD$28</f>
        <v>0</v>
      </c>
      <c s="125">
        <f>Финансирование!BE$28</f>
        <v>0</v>
      </c>
      <c s="125">
        <f>Финансирование!BF$28</f>
        <v>0</v>
      </c>
      <c s="125">
        <f>Финансирование!BG$28</f>
        <v>0</v>
      </c>
      <c s="125">
        <f>Финансирование!BH$28</f>
        <v>0</v>
      </c>
      <c s="125">
        <f>Финансирование!BI$28</f>
        <v>0</v>
      </c>
      <c s="125">
        <f>Финансирование!BJ$28</f>
        <v>0</v>
      </c>
      <c s="125">
        <f>Финансирование!BK$28</f>
        <v>0</v>
      </c>
      <c s="125">
        <f>Финансирование!BL$28</f>
        <v>0</v>
      </c>
      <c s="125">
        <f>Финансирование!BM$28</f>
        <v>0</v>
      </c>
    </row>
    <row r="132" spans="2:65" ht="15" customHeight="1">
      <c r="B132" s="12" t="str">
        <f>IF(ISBLANK(Предпосылки!$C$411),"Кредит/заём с графиком",Предпосылки!$C$411)</f>
        <v>Кредит/заём с графиком</v>
      </c>
      <c s="124" t="str">
        <f>Единица_измерения</f>
        <v>тыс. руб.</v>
      </c>
      <c s="125"/>
      <c s="125">
        <f>Финансирование!E$43</f>
        <v>0</v>
      </c>
      <c s="125">
        <f>Финансирование!F$43</f>
        <v>0</v>
      </c>
      <c s="125">
        <f>Финансирование!G$43</f>
        <v>0</v>
      </c>
      <c s="125">
        <f>Финансирование!H$43</f>
        <v>0</v>
      </c>
      <c s="125">
        <f>Финансирование!I$43</f>
        <v>0</v>
      </c>
      <c s="125">
        <f>Финансирование!J$43</f>
        <v>0</v>
      </c>
      <c s="125">
        <f>Финансирование!K$43</f>
        <v>0</v>
      </c>
      <c s="125">
        <f>Финансирование!L$43</f>
        <v>0</v>
      </c>
      <c s="125">
        <f>Финансирование!M$43</f>
        <v>0</v>
      </c>
      <c s="125">
        <f>Финансирование!N$43</f>
        <v>0</v>
      </c>
      <c s="125">
        <f>Финансирование!O$43</f>
        <v>0</v>
      </c>
      <c s="125">
        <f>Финансирование!P$43</f>
        <v>0</v>
      </c>
      <c s="125">
        <f>Финансирование!Q$43</f>
        <v>0</v>
      </c>
      <c s="125">
        <f>Финансирование!R$43</f>
        <v>0</v>
      </c>
      <c s="125">
        <f>Финансирование!S$43</f>
        <v>0</v>
      </c>
      <c s="125">
        <f>Финансирование!T$43</f>
        <v>0</v>
      </c>
      <c s="125">
        <f>Финансирование!U$43</f>
        <v>0</v>
      </c>
      <c s="125">
        <f>Финансирование!V$43</f>
        <v>0</v>
      </c>
      <c s="125">
        <f>Финансирование!W$43</f>
        <v>0</v>
      </c>
      <c s="125">
        <f>Финансирование!X$43</f>
        <v>0</v>
      </c>
      <c s="125">
        <f>Финансирование!Y$43</f>
        <v>0</v>
      </c>
      <c s="125">
        <f>Финансирование!Z$43</f>
        <v>0</v>
      </c>
      <c s="125">
        <f>Финансирование!AA$43</f>
        <v>0</v>
      </c>
      <c s="125">
        <f>Финансирование!AB$43</f>
        <v>0</v>
      </c>
      <c s="125">
        <f>Финансирование!AC$43</f>
        <v>0</v>
      </c>
      <c s="125">
        <f>Финансирование!AD$43</f>
        <v>0</v>
      </c>
      <c s="125">
        <f>Финансирование!AE$43</f>
        <v>0</v>
      </c>
      <c s="125">
        <f>Финансирование!AF$43</f>
        <v>0</v>
      </c>
      <c s="125">
        <f>Финансирование!AG$43</f>
        <v>0</v>
      </c>
      <c s="125">
        <f>Финансирование!AH$43</f>
        <v>0</v>
      </c>
      <c s="125">
        <f>Финансирование!AI$43</f>
        <v>0</v>
      </c>
      <c s="125">
        <f>Финансирование!AJ$43</f>
        <v>0</v>
      </c>
      <c s="125">
        <f>Финансирование!AK$43</f>
        <v>0</v>
      </c>
      <c s="125">
        <f>Финансирование!AL$43</f>
        <v>0</v>
      </c>
      <c s="125">
        <f>Финансирование!AM$43</f>
        <v>0</v>
      </c>
      <c s="125">
        <f>Финансирование!AN$43</f>
        <v>0</v>
      </c>
      <c s="125">
        <f>Финансирование!AO$43</f>
        <v>0</v>
      </c>
      <c s="125">
        <f>Финансирование!AP$43</f>
        <v>0</v>
      </c>
      <c s="125">
        <f>Финансирование!AQ$43</f>
        <v>0</v>
      </c>
      <c s="125">
        <f>Финансирование!AR$43</f>
        <v>0</v>
      </c>
      <c s="125">
        <f>Финансирование!AS$43</f>
        <v>0</v>
      </c>
      <c s="125">
        <f>Финансирование!AT$43</f>
        <v>0</v>
      </c>
      <c s="125">
        <f>Финансирование!AU$43</f>
        <v>0</v>
      </c>
      <c s="125">
        <f>Финансирование!AV$43</f>
        <v>0</v>
      </c>
      <c s="125">
        <f>Финансирование!AW$43</f>
        <v>0</v>
      </c>
      <c s="125">
        <f>Финансирование!AX$43</f>
        <v>0</v>
      </c>
      <c s="125">
        <f>Финансирование!AY$43</f>
        <v>0</v>
      </c>
      <c s="125">
        <f>Финансирование!AZ$43</f>
        <v>0</v>
      </c>
      <c s="125">
        <f>Финансирование!BA$43</f>
        <v>0</v>
      </c>
      <c s="125">
        <f>Финансирование!BB$43</f>
        <v>0</v>
      </c>
      <c s="125">
        <f>Финансирование!BC$43</f>
        <v>0</v>
      </c>
      <c s="125">
        <f>Финансирование!BD$43</f>
        <v>0</v>
      </c>
      <c s="125">
        <f>Финансирование!BE$43</f>
        <v>0</v>
      </c>
      <c s="125">
        <f>Финансирование!BF$43</f>
        <v>0</v>
      </c>
      <c s="125">
        <f>Финансирование!BG$43</f>
        <v>0</v>
      </c>
      <c s="125">
        <f>Финансирование!BH$43</f>
        <v>0</v>
      </c>
      <c s="125">
        <f>Финансирование!BI$43</f>
        <v>0</v>
      </c>
      <c s="125">
        <f>Финансирование!BJ$43</f>
        <v>0</v>
      </c>
      <c s="125">
        <f>Финансирование!BK$43</f>
        <v>0</v>
      </c>
      <c s="125">
        <f>Финансирование!BL$43</f>
        <v>0</v>
      </c>
      <c s="125">
        <f>Финансирование!BM$43</f>
        <v>0</v>
      </c>
    </row>
    <row r="133" spans="2:65" ht="15" customHeight="1">
      <c r="B133" s="289" t="s">
        <v>454</v>
      </c>
      <c s="290" t="str">
        <f>Единица_измерения</f>
        <v>тыс. руб.</v>
      </c>
      <c s="276"/>
      <c s="276">
        <f t="shared" si="550" ref="E133:AG133">SUM(E130:E132)</f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0"/>
        <v>0</v>
      </c>
      <c s="276">
        <f t="shared" si="551" ref="AH133:BM133">SUM(AH130:AH132)</f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  <c s="276">
        <f t="shared" si="551"/>
        <v>0</v>
      </c>
    </row>
    <row r="134" ht="15" customHeight="1"/>
    <row r="135" spans="2:65" ht="21">
      <c r="B135" s="23" t="s">
        <v>1112</v>
      </c>
      <c r="D13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6" spans="2:2" ht="15" customHeight="1">
      <c r="B136" s="24" t="s">
        <v>576</v>
      </c>
    </row>
    <row r="137" spans="2:65" ht="15" customHeight="1">
      <c r="B137" s="12" t="s">
        <v>281</v>
      </c>
      <c s="124" t="str">
        <f>Единица_измерения</f>
        <v>тыс. руб.</v>
      </c>
      <c s="276">
        <f ca="1">SUMIF(E6:BM6,CONCATENATE(E32,MATCH(D32,$E$8:$BM$8,0)),E137:BM137)</f>
        <v>0</v>
      </c>
      <c s="125">
        <f>'Квартальная отчетность'!E$27</f>
        <v>0</v>
      </c>
      <c s="125">
        <f ca="1">'Квартальная отчетность'!F$27</f>
        <v>0</v>
      </c>
      <c s="125">
        <f ca="1">'Квартальная отчетность'!G$27</f>
        <v>0</v>
      </c>
      <c s="125">
        <f ca="1">'Квартальная отчетность'!H$27</f>
        <v>0</v>
      </c>
      <c s="125">
        <f ca="1">'Квартальная отчетность'!I$27</f>
        <v>0</v>
      </c>
      <c s="125">
        <f ca="1">'Квартальная отчетность'!J$27</f>
        <v>0</v>
      </c>
      <c s="125">
        <f ca="1">'Квартальная отчетность'!K$27</f>
        <v>0</v>
      </c>
      <c s="125">
        <f ca="1">'Квартальная отчетность'!L$27</f>
        <v>0</v>
      </c>
      <c s="125">
        <f ca="1">'Квартальная отчетность'!M$27</f>
        <v>0</v>
      </c>
      <c s="125">
        <f ca="1">'Квартальная отчетность'!N$27</f>
        <v>0</v>
      </c>
      <c s="125">
        <f ca="1">'Квартальная отчетность'!O$27</f>
        <v>0</v>
      </c>
      <c s="125">
        <f ca="1">'Квартальная отчетность'!P$27</f>
        <v>0</v>
      </c>
      <c s="125">
        <f ca="1">'Квартальная отчетность'!Q$27</f>
        <v>0</v>
      </c>
      <c s="125">
        <f ca="1">'Квартальная отчетность'!R$27</f>
        <v>0</v>
      </c>
      <c s="125">
        <f ca="1">'Квартальная отчетность'!S$27</f>
        <v>0</v>
      </c>
      <c s="125">
        <f ca="1">'Квартальная отчетность'!T$27</f>
        <v>0</v>
      </c>
      <c s="125">
        <f ca="1">'Квартальная отчетность'!U$27</f>
        <v>0</v>
      </c>
      <c s="125">
        <f ca="1">'Квартальная отчетность'!V$27</f>
        <v>0</v>
      </c>
      <c s="125">
        <f ca="1">'Квартальная отчетность'!W$27</f>
        <v>0</v>
      </c>
      <c s="125">
        <f ca="1">'Квартальная отчетность'!X$27</f>
        <v>0</v>
      </c>
      <c s="125">
        <f ca="1">'Квартальная отчетность'!Y$27</f>
        <v>0</v>
      </c>
      <c s="125">
        <f ca="1">'Квартальная отчетность'!Z$27</f>
        <v>0</v>
      </c>
      <c s="125">
        <f ca="1">'Квартальная отчетность'!AA$27</f>
        <v>0</v>
      </c>
      <c s="125">
        <f ca="1">'Квартальная отчетность'!AB$27</f>
        <v>0</v>
      </c>
      <c s="125">
        <f ca="1">'Квартальная отчетность'!AC$27</f>
        <v>0</v>
      </c>
      <c s="125">
        <f ca="1">'Квартальная отчетность'!AD$27</f>
        <v>0</v>
      </c>
      <c s="125">
        <f ca="1">'Квартальная отчетность'!AE$27</f>
        <v>0</v>
      </c>
      <c s="125">
        <f ca="1">'Квартальная отчетность'!AF$27</f>
        <v>0</v>
      </c>
      <c s="125">
        <f ca="1">'Квартальная отчетность'!AG$27</f>
        <v>0</v>
      </c>
      <c s="125">
        <f ca="1">'Квартальная отчетность'!AH$27</f>
        <v>0</v>
      </c>
      <c s="125">
        <f ca="1">'Квартальная отчетность'!AI$27</f>
        <v>0</v>
      </c>
      <c s="125">
        <f ca="1">'Квартальная отчетность'!AJ$27</f>
        <v>0</v>
      </c>
      <c s="125">
        <f ca="1">'Квартальная отчетность'!AK$27</f>
        <v>0</v>
      </c>
      <c s="125">
        <f ca="1">'Квартальная отчетность'!AL$27</f>
        <v>0</v>
      </c>
      <c s="125">
        <f ca="1">'Квартальная отчетность'!AM$27</f>
        <v>0</v>
      </c>
      <c s="125">
        <f ca="1">'Квартальная отчетность'!AN$27</f>
        <v>0</v>
      </c>
      <c s="125">
        <f ca="1">'Квартальная отчетность'!AO$27</f>
        <v>0</v>
      </c>
      <c s="125">
        <f ca="1">'Квартальная отчетность'!AP$27</f>
        <v>0</v>
      </c>
      <c s="125">
        <f ca="1">'Квартальная отчетность'!AQ$27</f>
        <v>0</v>
      </c>
      <c s="125">
        <f ca="1">'Квартальная отчетность'!AR$27</f>
        <v>0</v>
      </c>
      <c s="125">
        <f ca="1">'Квартальная отчетность'!AS$27</f>
        <v>0</v>
      </c>
      <c s="125">
        <f ca="1">'Квартальная отчетность'!AT$27</f>
        <v>0</v>
      </c>
      <c s="125">
        <f ca="1">'Квартальная отчетность'!AU$27</f>
        <v>0</v>
      </c>
      <c s="125">
        <f ca="1">'Квартальная отчетность'!AV$27</f>
        <v>0</v>
      </c>
      <c s="125">
        <f ca="1">'Квартальная отчетность'!AW$27</f>
        <v>0</v>
      </c>
      <c s="125">
        <f ca="1">'Квартальная отчетность'!AX$27</f>
        <v>0</v>
      </c>
      <c s="125">
        <f ca="1">'Квартальная отчетность'!AY$27</f>
        <v>0</v>
      </c>
      <c s="125">
        <f ca="1">'Квартальная отчетность'!AZ$27</f>
        <v>0</v>
      </c>
      <c s="125">
        <f ca="1">'Квартальная отчетность'!BA$27</f>
        <v>0</v>
      </c>
      <c s="125">
        <f ca="1">'Квартальная отчетность'!BB$27</f>
        <v>0</v>
      </c>
      <c s="125">
        <f ca="1">'Квартальная отчетность'!BC$27</f>
        <v>0</v>
      </c>
      <c s="125">
        <f ca="1">'Квартальная отчетность'!BD$27</f>
        <v>0</v>
      </c>
      <c s="125">
        <f ca="1">'Квартальная отчетность'!BE$27</f>
        <v>0</v>
      </c>
      <c s="125">
        <f ca="1">'Квартальная отчетность'!BF$27</f>
        <v>0</v>
      </c>
      <c s="125">
        <f ca="1">'Квартальная отчетность'!BG$27</f>
        <v>0</v>
      </c>
      <c s="125">
        <f ca="1">'Квартальная отчетность'!BH$27</f>
        <v>0</v>
      </c>
      <c s="125">
        <f ca="1">'Квартальная отчетность'!BI$27</f>
        <v>0</v>
      </c>
      <c s="125">
        <f ca="1">'Квартальная отчетность'!BJ$27</f>
        <v>0</v>
      </c>
      <c s="125">
        <f ca="1">'Квартальная отчетность'!BK$27</f>
        <v>0</v>
      </c>
      <c s="125">
        <f ca="1">'Квартальная отчетность'!BL$27</f>
        <v>0</v>
      </c>
      <c s="125">
        <f ca="1">'Квартальная отчетность'!BM$27</f>
        <v>0</v>
      </c>
    </row>
    <row r="138" spans="2:65" ht="15" customHeight="1">
      <c r="B138" s="12" t="s">
        <v>1113</v>
      </c>
      <c s="124" t="str">
        <f>Единица_измерения</f>
        <v>тыс. руб.</v>
      </c>
      <c s="276">
        <f>SUMIF(E6:BM6,CONCATENATE(E32,MATCH(D32,$E$8:$BM$8,0)),E138:BM138)</f>
        <v>0</v>
      </c>
      <c s="125">
        <f>-'Квартальная отчетность'!E$23</f>
        <v>0</v>
      </c>
      <c s="125">
        <f>-'Квартальная отчетность'!F$23</f>
        <v>0</v>
      </c>
      <c s="125">
        <f>-'Квартальная отчетность'!G$23</f>
        <v>0</v>
      </c>
      <c s="125">
        <f>-'Квартальная отчетность'!H$23</f>
        <v>0</v>
      </c>
      <c s="125">
        <f>-'Квартальная отчетность'!I$23</f>
        <v>0</v>
      </c>
      <c s="125">
        <f>-'Квартальная отчетность'!J$23</f>
        <v>0</v>
      </c>
      <c s="125">
        <f>-'Квартальная отчетность'!K$23</f>
        <v>0</v>
      </c>
      <c s="125">
        <f>-'Квартальная отчетность'!L$23</f>
        <v>0</v>
      </c>
      <c s="125">
        <f>-'Квартальная отчетность'!M$23</f>
        <v>0</v>
      </c>
      <c s="125">
        <f>-'Квартальная отчетность'!N$23</f>
        <v>0</v>
      </c>
      <c s="125">
        <f>-'Квартальная отчетность'!O$23</f>
        <v>0</v>
      </c>
      <c s="125">
        <f>-'Квартальная отчетность'!P$23</f>
        <v>0</v>
      </c>
      <c s="125">
        <f>-'Квартальная отчетность'!Q$23</f>
        <v>0</v>
      </c>
      <c s="125">
        <f>-'Квартальная отчетность'!R$23</f>
        <v>0</v>
      </c>
      <c s="125">
        <f>-'Квартальная отчетность'!S$23</f>
        <v>0</v>
      </c>
      <c s="125">
        <f>-'Квартальная отчетность'!T$23</f>
        <v>0</v>
      </c>
      <c s="125">
        <f>-'Квартальная отчетность'!U$23</f>
        <v>0</v>
      </c>
      <c s="125">
        <f>-'Квартальная отчетность'!V$23</f>
        <v>0</v>
      </c>
      <c s="125">
        <f>-'Квартальная отчетность'!W$23</f>
        <v>0</v>
      </c>
      <c s="125">
        <f>-'Квартальная отчетность'!X$23</f>
        <v>0</v>
      </c>
      <c s="125">
        <f>-'Квартальная отчетность'!Y$23</f>
        <v>0</v>
      </c>
      <c s="125">
        <f>-'Квартальная отчетность'!Z$23</f>
        <v>0</v>
      </c>
      <c s="125">
        <f>-'Квартальная отчетность'!AA$23</f>
        <v>0</v>
      </c>
      <c s="125">
        <f>-'Квартальная отчетность'!AB$23</f>
        <v>0</v>
      </c>
      <c s="125">
        <f>-'Квартальная отчетность'!AC$23</f>
        <v>0</v>
      </c>
      <c s="125">
        <f>-'Квартальная отчетность'!AD$23</f>
        <v>0</v>
      </c>
      <c s="125">
        <f>-'Квартальная отчетность'!AE$23</f>
        <v>0</v>
      </c>
      <c s="125">
        <f>-'Квартальная отчетность'!AF$23</f>
        <v>0</v>
      </c>
      <c s="125">
        <f>-'Квартальная отчетность'!AG$23</f>
        <v>0</v>
      </c>
      <c s="125">
        <f>-'Квартальная отчетность'!AH$23</f>
        <v>0</v>
      </c>
      <c s="125">
        <f>-'Квартальная отчетность'!AI$23</f>
        <v>0</v>
      </c>
      <c s="125">
        <f>-'Квартальная отчетность'!AJ$23</f>
        <v>0</v>
      </c>
      <c s="125">
        <f>-'Квартальная отчетность'!AK$23</f>
        <v>0</v>
      </c>
      <c s="125">
        <f>-'Квартальная отчетность'!AL$23</f>
        <v>0</v>
      </c>
      <c s="125">
        <f>-'Квартальная отчетность'!AM$23</f>
        <v>0</v>
      </c>
      <c s="125">
        <f>-'Квартальная отчетность'!AN$23</f>
        <v>0</v>
      </c>
      <c s="125">
        <f>-'Квартальная отчетность'!AO$23</f>
        <v>0</v>
      </c>
      <c s="125">
        <f>-'Квартальная отчетность'!AP$23</f>
        <v>0</v>
      </c>
      <c s="125">
        <f>-'Квартальная отчетность'!AQ$23</f>
        <v>0</v>
      </c>
      <c s="125">
        <f>-'Квартальная отчетность'!AR$23</f>
        <v>0</v>
      </c>
      <c s="125">
        <f>-'Квартальная отчетность'!AS$23</f>
        <v>0</v>
      </c>
      <c s="125">
        <f>-'Квартальная отчетность'!AT$23</f>
        <v>0</v>
      </c>
      <c s="125">
        <f>-'Квартальная отчетность'!AU$23</f>
        <v>0</v>
      </c>
      <c s="125">
        <f>-'Квартальная отчетность'!AV$23</f>
        <v>0</v>
      </c>
      <c s="125">
        <f>-'Квартальная отчетность'!AW$23</f>
        <v>0</v>
      </c>
      <c s="125">
        <f>-'Квартальная отчетность'!AX$23</f>
        <v>0</v>
      </c>
      <c s="125">
        <f>-'Квартальная отчетность'!AY$23</f>
        <v>0</v>
      </c>
      <c s="125">
        <f>-'Квартальная отчетность'!AZ$23</f>
        <v>0</v>
      </c>
      <c s="125">
        <f>-'Квартальная отчетность'!BA$23</f>
        <v>0</v>
      </c>
      <c s="125">
        <f>-'Квартальная отчетность'!BB$23</f>
        <v>0</v>
      </c>
      <c s="125">
        <f>-'Квартальная отчетность'!BC$23</f>
        <v>0</v>
      </c>
      <c s="125">
        <f>-'Квартальная отчетность'!BD$23</f>
        <v>0</v>
      </c>
      <c s="125">
        <f>-'Квартальная отчетность'!BE$23</f>
        <v>0</v>
      </c>
      <c s="125">
        <f>-'Квартальная отчетность'!BF$23</f>
        <v>0</v>
      </c>
      <c s="125">
        <f>-'Квартальная отчетность'!BG$23</f>
        <v>0</v>
      </c>
      <c s="125">
        <f>-'Квартальная отчетность'!BH$23</f>
        <v>0</v>
      </c>
      <c s="125">
        <f>-'Квартальная отчетность'!BI$23</f>
        <v>0</v>
      </c>
      <c s="125">
        <f>-'Квартальная отчетность'!BJ$23</f>
        <v>0</v>
      </c>
      <c s="125">
        <f>-'Квартальная отчетность'!BK$23</f>
        <v>0</v>
      </c>
      <c s="125">
        <f>-'Квартальная отчетность'!BL$23</f>
        <v>0</v>
      </c>
      <c s="125">
        <f>-'Квартальная отчетность'!BM$23</f>
        <v>0</v>
      </c>
    </row>
    <row r="139" spans="2:65" ht="15" customHeight="1">
      <c r="B139" s="12" t="s">
        <v>279</v>
      </c>
      <c s="124" t="str">
        <f>Единица_измерения</f>
        <v>тыс. руб.</v>
      </c>
      <c s="276">
        <f>SUMIF(E6:BM6,CONCATENATE(E32,MATCH(D32,$E$8:$BM$8,0)),E139:BM139)</f>
        <v>0</v>
      </c>
      <c s="125">
        <f>-'Квартальная отчетность'!E$24</f>
        <v>0</v>
      </c>
      <c s="125">
        <f>-'Квартальная отчетность'!F$24</f>
        <v>0</v>
      </c>
      <c s="125">
        <f>-'Квартальная отчетность'!G$24</f>
        <v>0</v>
      </c>
      <c s="125">
        <f>-'Квартальная отчетность'!H$24</f>
        <v>0</v>
      </c>
      <c s="125">
        <f>-'Квартальная отчетность'!I$24</f>
        <v>0</v>
      </c>
      <c s="125">
        <f>-'Квартальная отчетность'!J$24</f>
        <v>0</v>
      </c>
      <c s="125">
        <f>-'Квартальная отчетность'!K$24</f>
        <v>0</v>
      </c>
      <c s="125">
        <f>-'Квартальная отчетность'!L$24</f>
        <v>0</v>
      </c>
      <c s="125">
        <f>-'Квартальная отчетность'!M$24</f>
        <v>0</v>
      </c>
      <c s="125">
        <f>-'Квартальная отчетность'!N$24</f>
        <v>0</v>
      </c>
      <c s="125">
        <f>-'Квартальная отчетность'!O$24</f>
        <v>0</v>
      </c>
      <c s="125">
        <f>-'Квартальная отчетность'!P$24</f>
        <v>0</v>
      </c>
      <c s="125">
        <f>-'Квартальная отчетность'!Q$24</f>
        <v>0</v>
      </c>
      <c s="125">
        <f>-'Квартальная отчетность'!R$24</f>
        <v>0</v>
      </c>
      <c s="125">
        <f>-'Квартальная отчетность'!S$24</f>
        <v>0</v>
      </c>
      <c s="125">
        <f>-'Квартальная отчетность'!T$24</f>
        <v>0</v>
      </c>
      <c s="125">
        <f>-'Квартальная отчетность'!U$24</f>
        <v>0</v>
      </c>
      <c s="125">
        <f>-'Квартальная отчетность'!V$24</f>
        <v>0</v>
      </c>
      <c s="125">
        <f>-'Квартальная отчетность'!W$24</f>
        <v>0</v>
      </c>
      <c s="125">
        <f>-'Квартальная отчетность'!X$24</f>
        <v>0</v>
      </c>
      <c s="125">
        <f>-'Квартальная отчетность'!Y$24</f>
        <v>0</v>
      </c>
      <c s="125">
        <f>-'Квартальная отчетность'!Z$24</f>
        <v>0</v>
      </c>
      <c s="125">
        <f>-'Квартальная отчетность'!AA$24</f>
        <v>0</v>
      </c>
      <c s="125">
        <f>-'Квартальная отчетность'!AB$24</f>
        <v>0</v>
      </c>
      <c s="125">
        <f>-'Квартальная отчетность'!AC$24</f>
        <v>0</v>
      </c>
      <c s="125">
        <f>-'Квартальная отчетность'!AD$24</f>
        <v>0</v>
      </c>
      <c s="125">
        <f>-'Квартальная отчетность'!AE$24</f>
        <v>0</v>
      </c>
      <c s="125">
        <f>-'Квартальная отчетность'!AF$24</f>
        <v>0</v>
      </c>
      <c s="125">
        <f>-'Квартальная отчетность'!AG$24</f>
        <v>0</v>
      </c>
      <c s="125">
        <f>-'Квартальная отчетность'!AH$24</f>
        <v>0</v>
      </c>
      <c s="125">
        <f>-'Квартальная отчетность'!AI$24</f>
        <v>0</v>
      </c>
      <c s="125">
        <f>-'Квартальная отчетность'!AJ$24</f>
        <v>0</v>
      </c>
      <c s="125">
        <f>-'Квартальная отчетность'!AK$24</f>
        <v>0</v>
      </c>
      <c s="125">
        <f>-'Квартальная отчетность'!AL$24</f>
        <v>0</v>
      </c>
      <c s="125">
        <f>-'Квартальная отчетность'!AM$24</f>
        <v>0</v>
      </c>
      <c s="125">
        <f>-'Квартальная отчетность'!AN$24</f>
        <v>0</v>
      </c>
      <c s="125">
        <f>-'Квартальная отчетность'!AO$24</f>
        <v>0</v>
      </c>
      <c s="125">
        <f>-'Квартальная отчетность'!AP$24</f>
        <v>0</v>
      </c>
      <c s="125">
        <f>-'Квартальная отчетность'!AQ$24</f>
        <v>0</v>
      </c>
      <c s="125">
        <f>-'Квартальная отчетность'!AR$24</f>
        <v>0</v>
      </c>
      <c s="125">
        <f>-'Квартальная отчетность'!AS$24</f>
        <v>0</v>
      </c>
      <c s="125">
        <f>-'Квартальная отчетность'!AT$24</f>
        <v>0</v>
      </c>
      <c s="125">
        <f>-'Квартальная отчетность'!AU$24</f>
        <v>0</v>
      </c>
      <c s="125">
        <f>-'Квартальная отчетность'!AV$24</f>
        <v>0</v>
      </c>
      <c s="125">
        <f>-'Квартальная отчетность'!AW$24</f>
        <v>0</v>
      </c>
      <c s="125">
        <f>-'Квартальная отчетность'!AX$24</f>
        <v>0</v>
      </c>
      <c s="125">
        <f>-'Квартальная отчетность'!AY$24</f>
        <v>0</v>
      </c>
      <c s="125">
        <f>-'Квартальная отчетность'!AZ$24</f>
        <v>0</v>
      </c>
      <c s="125">
        <f>-'Квартальная отчетность'!BA$24</f>
        <v>0</v>
      </c>
      <c s="125">
        <f>-'Квартальная отчетность'!BB$24</f>
        <v>0</v>
      </c>
      <c s="125">
        <f>-'Квартальная отчетность'!BC$24</f>
        <v>0</v>
      </c>
      <c s="125">
        <f>-'Квартальная отчетность'!BD$24</f>
        <v>0</v>
      </c>
      <c s="125">
        <f>-'Квартальная отчетность'!BE$24</f>
        <v>0</v>
      </c>
      <c s="125">
        <f>-'Квартальная отчетность'!BF$24</f>
        <v>0</v>
      </c>
      <c s="125">
        <f>-'Квартальная отчетность'!BG$24</f>
        <v>0</v>
      </c>
      <c s="125">
        <f>-'Квартальная отчетность'!BH$24</f>
        <v>0</v>
      </c>
      <c s="125">
        <f>-'Квартальная отчетность'!BI$24</f>
        <v>0</v>
      </c>
      <c s="125">
        <f>-'Квартальная отчетность'!BJ$24</f>
        <v>0</v>
      </c>
      <c s="125">
        <f>-'Квартальная отчетность'!BK$24</f>
        <v>0</v>
      </c>
      <c s="125">
        <f>-'Квартальная отчетность'!BL$24</f>
        <v>0</v>
      </c>
      <c s="125">
        <f>-'Квартальная отчетность'!BM$24</f>
        <v>0</v>
      </c>
    </row>
    <row r="140" spans="2:65" ht="15" customHeight="1">
      <c r="B140" s="289" t="s">
        <v>576</v>
      </c>
      <c s="290" t="str">
        <f>Единица_измерения</f>
        <v>тыс. руб.</v>
      </c>
      <c s="291">
        <f ca="1" t="shared" si="552" ref="D140:E140">SUM(D137:D139)</f>
        <v>0</v>
      </c>
      <c s="276">
        <f t="shared" ca="1" si="552"/>
        <v>0</v>
      </c>
      <c s="276">
        <f ca="1" t="shared" si="553" ref="F140:AG140">SUM(F137:F139)</f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t="shared" ca="1" si="553"/>
        <v>0</v>
      </c>
      <c s="276">
        <f ca="1" t="shared" si="554" ref="AH140:BM140">SUM(AH137:AH139)</f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  <c s="276">
        <f t="shared" ca="1" si="554"/>
        <v>0</v>
      </c>
    </row>
    <row r="141" ht="15" customHeight="1"/>
    <row r="142" spans="2:2" ht="15" customHeight="1">
      <c r="B142" s="24" t="s">
        <v>577</v>
      </c>
    </row>
    <row r="143" spans="2:65" ht="15" customHeight="1">
      <c r="B143" s="12" t="s">
        <v>576</v>
      </c>
      <c s="124" t="str">
        <f>Единица_измерения</f>
        <v>тыс. руб.</v>
      </c>
      <c s="276">
        <f ca="1">SUMIF(E6:BM6,CONCATENATE(E32,MATCH(D32,$E$8:$BM$8,0)),E143:BM143)</f>
        <v>0</v>
      </c>
      <c s="125">
        <f t="shared" si="555" ref="E143:BM143">E$140</f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  <c s="125">
        <f t="shared" si="555"/>
        <v>0</v>
      </c>
    </row>
    <row r="144" spans="2:65" ht="15" customHeight="1">
      <c r="B144" s="12" t="s">
        <v>285</v>
      </c>
      <c s="124" t="str">
        <f>Единица_измерения</f>
        <v>тыс. руб.</v>
      </c>
      <c s="276">
        <f>SUMIF(E6:BM6,CONCATENATE(E32,MATCH(D32,$E$8:$BM$8,0)),E144:BM144)</f>
        <v>0</v>
      </c>
      <c s="125">
        <f>-'Капитальные вложения'!E$591</f>
        <v>0</v>
      </c>
      <c s="125">
        <f>-'Капитальные вложения'!F$591</f>
        <v>0</v>
      </c>
      <c s="125">
        <f>-'Капитальные вложения'!G$591</f>
        <v>0</v>
      </c>
      <c s="125">
        <f>-'Капитальные вложения'!H$591</f>
        <v>0</v>
      </c>
      <c s="125">
        <f>-'Капитальные вложения'!I$591</f>
        <v>0</v>
      </c>
      <c s="125">
        <f>-'Капитальные вложения'!J$591</f>
        <v>0</v>
      </c>
      <c s="125">
        <f>-'Капитальные вложения'!K$591</f>
        <v>0</v>
      </c>
      <c s="125">
        <f>-'Капитальные вложения'!L$591</f>
        <v>0</v>
      </c>
      <c s="125">
        <f>-'Капитальные вложения'!M$591</f>
        <v>0</v>
      </c>
      <c s="125">
        <f>-'Капитальные вложения'!N$591</f>
        <v>0</v>
      </c>
      <c s="125">
        <f>-'Капитальные вложения'!O$591</f>
        <v>0</v>
      </c>
      <c s="125">
        <f>-'Капитальные вложения'!P$591</f>
        <v>0</v>
      </c>
      <c s="125">
        <f>-'Капитальные вложения'!Q$591</f>
        <v>0</v>
      </c>
      <c s="125">
        <f>-'Капитальные вложения'!R$591</f>
        <v>0</v>
      </c>
      <c s="125">
        <f>-'Капитальные вложения'!S$591</f>
        <v>0</v>
      </c>
      <c s="125">
        <f>-'Капитальные вложения'!T$591</f>
        <v>0</v>
      </c>
      <c s="125">
        <f>-'Капитальные вложения'!U$591</f>
        <v>0</v>
      </c>
      <c s="125">
        <f>-'Капитальные вложения'!V$591</f>
        <v>0</v>
      </c>
      <c s="125">
        <f>-'Капитальные вложения'!W$591</f>
        <v>0</v>
      </c>
      <c s="125">
        <f>-'Капитальные вложения'!X$591</f>
        <v>0</v>
      </c>
      <c s="125">
        <f>-'Капитальные вложения'!Y$591</f>
        <v>0</v>
      </c>
      <c s="125">
        <f>-'Капитальные вложения'!Z$591</f>
        <v>0</v>
      </c>
      <c s="125">
        <f>-'Капитальные вложения'!AA$591</f>
        <v>0</v>
      </c>
      <c s="125">
        <f>-'Капитальные вложения'!AB$591</f>
        <v>0</v>
      </c>
      <c s="125">
        <f>-'Капитальные вложения'!AC$591</f>
        <v>0</v>
      </c>
      <c s="125">
        <f>-'Капитальные вложения'!AD$591</f>
        <v>0</v>
      </c>
      <c s="125">
        <f>-'Капитальные вложения'!AE$591</f>
        <v>0</v>
      </c>
      <c s="125">
        <f>-'Капитальные вложения'!AF$591</f>
        <v>0</v>
      </c>
      <c s="125">
        <f>-'Капитальные вложения'!AG$591</f>
        <v>0</v>
      </c>
      <c s="125">
        <f>-'Капитальные вложения'!AH$591</f>
        <v>0</v>
      </c>
      <c s="125">
        <f>-'Капитальные вложения'!AI$591</f>
        <v>0</v>
      </c>
      <c s="125">
        <f>-'Капитальные вложения'!AJ$591</f>
        <v>0</v>
      </c>
      <c s="125">
        <f>-'Капитальные вложения'!AK$591</f>
        <v>0</v>
      </c>
      <c s="125">
        <f>-'Капитальные вложения'!AL$591</f>
        <v>0</v>
      </c>
      <c s="125">
        <f>-'Капитальные вложения'!AM$591</f>
        <v>0</v>
      </c>
      <c s="125">
        <f>-'Капитальные вложения'!AN$591</f>
        <v>0</v>
      </c>
      <c s="125">
        <f>-'Капитальные вложения'!AO$591</f>
        <v>0</v>
      </c>
      <c s="125">
        <f>-'Капитальные вложения'!AP$591</f>
        <v>0</v>
      </c>
      <c s="125">
        <f>-'Капитальные вложения'!AQ$591</f>
        <v>0</v>
      </c>
      <c s="125">
        <f>-'Капитальные вложения'!AR$591</f>
        <v>0</v>
      </c>
      <c s="125">
        <f>-'Капитальные вложения'!AS$591</f>
        <v>0</v>
      </c>
      <c s="125">
        <f>-'Капитальные вложения'!AT$591</f>
        <v>0</v>
      </c>
      <c s="125">
        <f>-'Капитальные вложения'!AU$591</f>
        <v>0</v>
      </c>
      <c s="125">
        <f>-'Капитальные вложения'!AV$591</f>
        <v>0</v>
      </c>
      <c s="125">
        <f>-'Капитальные вложения'!AW$591</f>
        <v>0</v>
      </c>
      <c s="125">
        <f>-'Капитальные вложения'!AX$591</f>
        <v>0</v>
      </c>
      <c s="125">
        <f>-'Капитальные вложения'!AY$591</f>
        <v>0</v>
      </c>
      <c s="125">
        <f>-'Капитальные вложения'!AZ$591</f>
        <v>0</v>
      </c>
      <c s="125">
        <f>-'Капитальные вложения'!BA$591</f>
        <v>0</v>
      </c>
      <c s="125">
        <f>-'Капитальные вложения'!BB$591</f>
        <v>0</v>
      </c>
      <c s="125">
        <f>-'Капитальные вложения'!BC$591</f>
        <v>0</v>
      </c>
      <c s="125">
        <f>-'Капитальные вложения'!BD$591</f>
        <v>0</v>
      </c>
      <c s="125">
        <f>-'Капитальные вложения'!BE$591</f>
        <v>0</v>
      </c>
      <c s="125">
        <f>-'Капитальные вложения'!BF$591</f>
        <v>0</v>
      </c>
      <c s="125">
        <f>-'Капитальные вложения'!BG$591</f>
        <v>0</v>
      </c>
      <c s="125">
        <f>-'Капитальные вложения'!BH$591</f>
        <v>0</v>
      </c>
      <c s="125">
        <f>-'Капитальные вложения'!BI$591</f>
        <v>0</v>
      </c>
      <c s="125">
        <f>-'Капитальные вложения'!BJ$591</f>
        <v>0</v>
      </c>
      <c s="125">
        <f>-'Капитальные вложения'!BK$591</f>
        <v>0</v>
      </c>
      <c s="125">
        <f>-'Капитальные вложения'!BL$591</f>
        <v>0</v>
      </c>
      <c s="125">
        <f>-'Капитальные вложения'!BM$591</f>
        <v>0</v>
      </c>
    </row>
    <row r="145" spans="2:65" ht="15" customHeight="1">
      <c r="B145" s="289" t="s">
        <v>577</v>
      </c>
      <c s="290" t="str">
        <f>Единица_измерения</f>
        <v>тыс. руб.</v>
      </c>
      <c s="291">
        <f ca="1" t="shared" si="556" ref="D145:E145">SUM(D143:D144)</f>
        <v>0</v>
      </c>
      <c s="276">
        <f t="shared" ca="1" si="556"/>
        <v>0</v>
      </c>
      <c s="276">
        <f ca="1" t="shared" si="557" ref="F145:AG145">SUM(F143:F144)</f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t="shared" ca="1" si="557"/>
        <v>0</v>
      </c>
      <c s="276">
        <f ca="1" t="shared" si="558" ref="AH145:BM145">SUM(AH143:AH144)</f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  <c s="276">
        <f t="shared" ca="1" si="558"/>
        <v>0</v>
      </c>
    </row>
    <row r="146" ht="15" customHeight="1"/>
    <row r="147" spans="2:2" ht="15" customHeight="1">
      <c r="B147" s="24" t="s">
        <v>581</v>
      </c>
    </row>
    <row r="148" spans="2:65" ht="15" customHeight="1">
      <c r="B148" s="12" t="s">
        <v>289</v>
      </c>
      <c s="124" t="str">
        <f t="shared" si="559" ref="C148:C152">Единица_измерения</f>
        <v>тыс. руб.</v>
      </c>
      <c s="276">
        <f ca="1">SUMIF(E6:BM6,CONCATENATE(E32,MATCH(D32,$E$8:$BM$8,0)),E148:BM148)</f>
        <v>0</v>
      </c>
      <c s="125">
        <f ca="1">'Квартальная отчетность'!E$53</f>
        <v>0</v>
      </c>
      <c s="125">
        <f ca="1">'Квартальная отчетность'!F$53</f>
        <v>0</v>
      </c>
      <c s="125">
        <f ca="1">'Квартальная отчетность'!G$53</f>
        <v>0</v>
      </c>
      <c s="125">
        <f ca="1">'Квартальная отчетность'!H$53</f>
        <v>0</v>
      </c>
      <c s="125">
        <f ca="1">'Квартальная отчетность'!I$53</f>
        <v>0</v>
      </c>
      <c s="125">
        <f ca="1">'Квартальная отчетность'!J$53</f>
        <v>0</v>
      </c>
      <c s="125">
        <f ca="1">'Квартальная отчетность'!K$53</f>
        <v>0</v>
      </c>
      <c s="125">
        <f ca="1">'Квартальная отчетность'!L$53</f>
        <v>0</v>
      </c>
      <c s="125">
        <f ca="1">'Квартальная отчетность'!M$53</f>
        <v>0</v>
      </c>
      <c s="125">
        <f ca="1">'Квартальная отчетность'!N$53</f>
        <v>0</v>
      </c>
      <c s="125">
        <f ca="1">'Квартальная отчетность'!O$53</f>
        <v>0</v>
      </c>
      <c s="125">
        <f ca="1">'Квартальная отчетность'!P$53</f>
        <v>0</v>
      </c>
      <c s="125">
        <f ca="1">'Квартальная отчетность'!Q$53</f>
        <v>0</v>
      </c>
      <c s="125">
        <f ca="1">'Квартальная отчетность'!R$53</f>
        <v>0</v>
      </c>
      <c s="125">
        <f ca="1">'Квартальная отчетность'!S$53</f>
        <v>0</v>
      </c>
      <c s="125">
        <f ca="1">'Квартальная отчетность'!T$53</f>
        <v>0</v>
      </c>
      <c s="125">
        <f ca="1">'Квартальная отчетность'!U$53</f>
        <v>0</v>
      </c>
      <c s="125">
        <f ca="1">'Квартальная отчетность'!V$53</f>
        <v>0</v>
      </c>
      <c s="125">
        <f ca="1">'Квартальная отчетность'!W$53</f>
        <v>0</v>
      </c>
      <c s="125">
        <f ca="1">'Квартальная отчетность'!X$53</f>
        <v>0</v>
      </c>
      <c s="125">
        <f ca="1">'Квартальная отчетность'!Y$53</f>
        <v>0</v>
      </c>
      <c s="125">
        <f ca="1">'Квартальная отчетность'!Z$53</f>
        <v>0</v>
      </c>
      <c s="125">
        <f ca="1">'Квартальная отчетность'!AA$53</f>
        <v>0</v>
      </c>
      <c s="125">
        <f ca="1">'Квартальная отчетность'!AB$53</f>
        <v>0</v>
      </c>
      <c s="125">
        <f ca="1">'Квартальная отчетность'!AC$53</f>
        <v>0</v>
      </c>
      <c s="125">
        <f ca="1">'Квартальная отчетность'!AD$53</f>
        <v>0</v>
      </c>
      <c s="125">
        <f ca="1">'Квартальная отчетность'!AE$53</f>
        <v>0</v>
      </c>
      <c s="125">
        <f ca="1">'Квартальная отчетность'!AF$53</f>
        <v>0</v>
      </c>
      <c s="125">
        <f ca="1">'Квартальная отчетность'!AG$53</f>
        <v>0</v>
      </c>
      <c s="125">
        <f ca="1">'Квартальная отчетность'!AH$53</f>
        <v>0</v>
      </c>
      <c s="125">
        <f ca="1">'Квартальная отчетность'!AI$53</f>
        <v>0</v>
      </c>
      <c s="125">
        <f ca="1">'Квартальная отчетность'!AJ$53</f>
        <v>0</v>
      </c>
      <c s="125">
        <f ca="1">'Квартальная отчетность'!AK$53</f>
        <v>0</v>
      </c>
      <c s="125">
        <f ca="1">'Квартальная отчетность'!AL$53</f>
        <v>0</v>
      </c>
      <c s="125">
        <f ca="1">'Квартальная отчетность'!AM$53</f>
        <v>0</v>
      </c>
      <c s="125">
        <f ca="1">'Квартальная отчетность'!AN$53</f>
        <v>0</v>
      </c>
      <c s="125">
        <f ca="1">'Квартальная отчетность'!AO$53</f>
        <v>0</v>
      </c>
      <c s="125">
        <f ca="1">'Квартальная отчетность'!AP$53</f>
        <v>0</v>
      </c>
      <c s="125">
        <f ca="1">'Квартальная отчетность'!AQ$53</f>
        <v>0</v>
      </c>
      <c s="125">
        <f ca="1">'Квартальная отчетность'!AR$53</f>
        <v>0</v>
      </c>
      <c s="125">
        <f ca="1">'Квартальная отчетность'!AS$53</f>
        <v>0</v>
      </c>
      <c s="125">
        <f ca="1">'Квартальная отчетность'!AT$53</f>
        <v>0</v>
      </c>
      <c s="125">
        <f ca="1">'Квартальная отчетность'!AU$53</f>
        <v>0</v>
      </c>
      <c s="125">
        <f ca="1">'Квартальная отчетность'!AV$53</f>
        <v>0</v>
      </c>
      <c s="125">
        <f ca="1">'Квартальная отчетность'!AW$53</f>
        <v>0</v>
      </c>
      <c s="125">
        <f ca="1">'Квартальная отчетность'!AX$53</f>
        <v>0</v>
      </c>
      <c s="125">
        <f ca="1">'Квартальная отчетность'!AY$53</f>
        <v>0</v>
      </c>
      <c s="125">
        <f ca="1">'Квартальная отчетность'!AZ$53</f>
        <v>0</v>
      </c>
      <c s="125">
        <f ca="1">'Квартальная отчетность'!BA$53</f>
        <v>0</v>
      </c>
      <c s="125">
        <f ca="1">'Квартальная отчетность'!BB$53</f>
        <v>0</v>
      </c>
      <c s="125">
        <f ca="1">'Квартальная отчетность'!BC$53</f>
        <v>0</v>
      </c>
      <c s="125">
        <f ca="1">'Квартальная отчетность'!BD$53</f>
        <v>0</v>
      </c>
      <c s="125">
        <f ca="1">'Квартальная отчетность'!BE$53</f>
        <v>0</v>
      </c>
      <c s="125">
        <f ca="1">'Квартальная отчетность'!BF$53</f>
        <v>0</v>
      </c>
      <c s="125">
        <f ca="1">'Квартальная отчетность'!BG$53</f>
        <v>0</v>
      </c>
      <c s="125">
        <f ca="1">'Квартальная отчетность'!BH$53</f>
        <v>0</v>
      </c>
      <c s="125">
        <f ca="1">'Квартальная отчетность'!BI$53</f>
        <v>0</v>
      </c>
      <c s="125">
        <f ca="1">'Квартальная отчетность'!BJ$53</f>
        <v>0</v>
      </c>
      <c s="125">
        <f ca="1">'Квартальная отчетность'!BK$53</f>
        <v>0</v>
      </c>
      <c s="125">
        <f ca="1">'Квартальная отчетность'!BL$53</f>
        <v>0</v>
      </c>
      <c s="125">
        <f ca="1">'Квартальная отчетность'!BM$53</f>
        <v>0</v>
      </c>
    </row>
    <row r="149" spans="2:65" ht="15" customHeight="1">
      <c r="B149" s="12" t="s">
        <v>291</v>
      </c>
      <c s="124" t="str">
        <f t="shared" si="559"/>
        <v>тыс. руб.</v>
      </c>
      <c s="276">
        <f>SUMIF(E6:BM6,CONCATENATE(E32,MATCH(D32,$E$8:$BM$8,0)),E149:BM149)</f>
        <v>0</v>
      </c>
      <c s="125">
        <f>'Квартальная отчетность'!E$60</f>
        <v>0</v>
      </c>
      <c s="125">
        <f>'Квартальная отчетность'!F$60</f>
        <v>0</v>
      </c>
      <c s="125">
        <f>'Квартальная отчетность'!G$60</f>
        <v>0</v>
      </c>
      <c s="125">
        <f>'Квартальная отчетность'!H$60</f>
        <v>0</v>
      </c>
      <c s="125">
        <f>'Квартальная отчетность'!I$60</f>
        <v>0</v>
      </c>
      <c s="125">
        <f>'Квартальная отчетность'!J$60</f>
        <v>0</v>
      </c>
      <c s="125">
        <f>'Квартальная отчетность'!K$60</f>
        <v>0</v>
      </c>
      <c s="125">
        <f>'Квартальная отчетность'!L$60</f>
        <v>0</v>
      </c>
      <c s="125">
        <f>'Квартальная отчетность'!M$60</f>
        <v>0</v>
      </c>
      <c s="125">
        <f>'Квартальная отчетность'!N$60</f>
        <v>0</v>
      </c>
      <c s="125">
        <f>'Квартальная отчетность'!O$60</f>
        <v>0</v>
      </c>
      <c s="125">
        <f>'Квартальная отчетность'!P$60</f>
        <v>0</v>
      </c>
      <c s="125">
        <f>'Квартальная отчетность'!Q$60</f>
        <v>0</v>
      </c>
      <c s="125">
        <f>'Квартальная отчетность'!R$60</f>
        <v>0</v>
      </c>
      <c s="125">
        <f>'Квартальная отчетность'!S$60</f>
        <v>0</v>
      </c>
      <c s="125">
        <f>'Квартальная отчетность'!T$60</f>
        <v>0</v>
      </c>
      <c s="125">
        <f>'Квартальная отчетность'!U$60</f>
        <v>0</v>
      </c>
      <c s="125">
        <f>'Квартальная отчетность'!V$60</f>
        <v>0</v>
      </c>
      <c s="125">
        <f>'Квартальная отчетность'!W$60</f>
        <v>0</v>
      </c>
      <c s="125">
        <f>'Квартальная отчетность'!X$60</f>
        <v>0</v>
      </c>
      <c s="125">
        <f>'Квартальная отчетность'!Y$60</f>
        <v>0</v>
      </c>
      <c s="125">
        <f>'Квартальная отчетность'!Z$60</f>
        <v>0</v>
      </c>
      <c s="125">
        <f>'Квартальная отчетность'!AA$60</f>
        <v>0</v>
      </c>
      <c s="125">
        <f>'Квартальная отчетность'!AB$60</f>
        <v>0</v>
      </c>
      <c s="125">
        <f>'Квартальная отчетность'!AC$60</f>
        <v>0</v>
      </c>
      <c s="125">
        <f>'Квартальная отчетность'!AD$60</f>
        <v>0</v>
      </c>
      <c s="125">
        <f>'Квартальная отчетность'!AE$60</f>
        <v>0</v>
      </c>
      <c s="125">
        <f>'Квартальная отчетность'!AF$60</f>
        <v>0</v>
      </c>
      <c s="125">
        <f>'Квартальная отчетность'!AG$60</f>
        <v>0</v>
      </c>
      <c s="125">
        <f>'Квартальная отчетность'!AH$60</f>
        <v>0</v>
      </c>
      <c s="125">
        <f>'Квартальная отчетность'!AI$60</f>
        <v>0</v>
      </c>
      <c s="125">
        <f>'Квартальная отчетность'!AJ$60</f>
        <v>0</v>
      </c>
      <c s="125">
        <f>'Квартальная отчетность'!AK$60</f>
        <v>0</v>
      </c>
      <c s="125">
        <f>'Квартальная отчетность'!AL$60</f>
        <v>0</v>
      </c>
      <c s="125">
        <f>'Квартальная отчетность'!AM$60</f>
        <v>0</v>
      </c>
      <c s="125">
        <f>'Квартальная отчетность'!AN$60</f>
        <v>0</v>
      </c>
      <c s="125">
        <f>'Квартальная отчетность'!AO$60</f>
        <v>0</v>
      </c>
      <c s="125">
        <f>'Квартальная отчетность'!AP$60</f>
        <v>0</v>
      </c>
      <c s="125">
        <f>'Квартальная отчетность'!AQ$60</f>
        <v>0</v>
      </c>
      <c s="125">
        <f>'Квартальная отчетность'!AR$60</f>
        <v>0</v>
      </c>
      <c s="125">
        <f>'Квартальная отчетность'!AS$60</f>
        <v>0</v>
      </c>
      <c s="125">
        <f>'Квартальная отчетность'!AT$60</f>
        <v>0</v>
      </c>
      <c s="125">
        <f>'Квартальная отчетность'!AU$60</f>
        <v>0</v>
      </c>
      <c s="125">
        <f>'Квартальная отчетность'!AV$60</f>
        <v>0</v>
      </c>
      <c s="125">
        <f>'Квартальная отчетность'!AW$60</f>
        <v>0</v>
      </c>
      <c s="125">
        <f>'Квартальная отчетность'!AX$60</f>
        <v>0</v>
      </c>
      <c s="125">
        <f>'Квартальная отчетность'!AY$60</f>
        <v>0</v>
      </c>
      <c s="125">
        <f>'Квартальная отчетность'!AZ$60</f>
        <v>0</v>
      </c>
      <c s="125">
        <f>'Квартальная отчетность'!BA$60</f>
        <v>0</v>
      </c>
      <c s="125">
        <f>'Квартальная отчетность'!BB$60</f>
        <v>0</v>
      </c>
      <c s="125">
        <f>'Квартальная отчетность'!BC$60</f>
        <v>0</v>
      </c>
      <c s="125">
        <f>'Квартальная отчетность'!BD$60</f>
        <v>0</v>
      </c>
      <c s="125">
        <f>'Квартальная отчетность'!BE$60</f>
        <v>0</v>
      </c>
      <c s="125">
        <f>'Квартальная отчетность'!BF$60</f>
        <v>0</v>
      </c>
      <c s="125">
        <f>'Квартальная отчетность'!BG$60</f>
        <v>0</v>
      </c>
      <c s="125">
        <f>'Квартальная отчетность'!BH$60</f>
        <v>0</v>
      </c>
      <c s="125">
        <f>'Квартальная отчетность'!BI$60</f>
        <v>0</v>
      </c>
      <c s="125">
        <f>'Квартальная отчетность'!BJ$60</f>
        <v>0</v>
      </c>
      <c s="125">
        <f>'Квартальная отчетность'!BK$60</f>
        <v>0</v>
      </c>
      <c s="125">
        <f>'Квартальная отчетность'!BL$60</f>
        <v>0</v>
      </c>
      <c s="125">
        <f>'Квартальная отчетность'!BM$60</f>
        <v>0</v>
      </c>
    </row>
    <row r="150" spans="2:65" ht="15" customHeight="1">
      <c r="B150" s="12" t="s">
        <v>297</v>
      </c>
      <c s="124" t="str">
        <f t="shared" si="559"/>
        <v>тыс. руб.</v>
      </c>
      <c s="276">
        <f>SUMIF(E6:BM6,CONCATENATE(E32,MATCH(D32,$E$8:$BM$8,0)),E150:BM150)</f>
        <v>0</v>
      </c>
      <c s="125">
        <f>'Квартальная отчетность'!E$64</f>
        <v>0</v>
      </c>
      <c s="125">
        <f>'Квартальная отчетность'!F$64</f>
        <v>0</v>
      </c>
      <c s="125">
        <f>'Квартальная отчетность'!G$64</f>
        <v>0</v>
      </c>
      <c s="125">
        <f>'Квартальная отчетность'!H$64</f>
        <v>0</v>
      </c>
      <c s="125">
        <f>'Квартальная отчетность'!I$64</f>
        <v>0</v>
      </c>
      <c s="125">
        <f>'Квартальная отчетность'!J$64</f>
        <v>0</v>
      </c>
      <c s="125">
        <f>'Квартальная отчетность'!K$64</f>
        <v>0</v>
      </c>
      <c s="125">
        <f>'Квартальная отчетность'!L$64</f>
        <v>0</v>
      </c>
      <c s="125">
        <f>'Квартальная отчетность'!M$64</f>
        <v>0</v>
      </c>
      <c s="125">
        <f>'Квартальная отчетность'!N$64</f>
        <v>0</v>
      </c>
      <c s="125">
        <f>'Квартальная отчетность'!O$64</f>
        <v>0</v>
      </c>
      <c s="125">
        <f>'Квартальная отчетность'!P$64</f>
        <v>0</v>
      </c>
      <c s="125">
        <f>'Квартальная отчетность'!Q$64</f>
        <v>0</v>
      </c>
      <c s="125">
        <f>'Квартальная отчетность'!R$64</f>
        <v>0</v>
      </c>
      <c s="125">
        <f>'Квартальная отчетность'!S$64</f>
        <v>0</v>
      </c>
      <c s="125">
        <f>'Квартальная отчетность'!T$64</f>
        <v>0</v>
      </c>
      <c s="125">
        <f>'Квартальная отчетность'!U$64</f>
        <v>0</v>
      </c>
      <c s="125">
        <f>'Квартальная отчетность'!V$64</f>
        <v>0</v>
      </c>
      <c s="125">
        <f>'Квартальная отчетность'!W$64</f>
        <v>0</v>
      </c>
      <c s="125">
        <f>'Квартальная отчетность'!X$64</f>
        <v>0</v>
      </c>
      <c s="125">
        <f>'Квартальная отчетность'!Y$64</f>
        <v>0</v>
      </c>
      <c s="125">
        <f>'Квартальная отчетность'!Z$64</f>
        <v>0</v>
      </c>
      <c s="125">
        <f>'Квартальная отчетность'!AA$64</f>
        <v>0</v>
      </c>
      <c s="125">
        <f>'Квартальная отчетность'!AB$64</f>
        <v>0</v>
      </c>
      <c s="125">
        <f>'Квартальная отчетность'!AC$64</f>
        <v>0</v>
      </c>
      <c s="125">
        <f>'Квартальная отчетность'!AD$64</f>
        <v>0</v>
      </c>
      <c s="125">
        <f>'Квартальная отчетность'!AE$64</f>
        <v>0</v>
      </c>
      <c s="125">
        <f>'Квартальная отчетность'!AF$64</f>
        <v>0</v>
      </c>
      <c s="125">
        <f>'Квартальная отчетность'!AG$64</f>
        <v>0</v>
      </c>
      <c s="125">
        <f>'Квартальная отчетность'!AH$64</f>
        <v>0</v>
      </c>
      <c s="125">
        <f>'Квартальная отчетность'!AI$64</f>
        <v>0</v>
      </c>
      <c s="125">
        <f>'Квартальная отчетность'!AJ$64</f>
        <v>0</v>
      </c>
      <c s="125">
        <f>'Квартальная отчетность'!AK$64</f>
        <v>0</v>
      </c>
      <c s="125">
        <f>'Квартальная отчетность'!AL$64</f>
        <v>0</v>
      </c>
      <c s="125">
        <f>'Квартальная отчетность'!AM$64</f>
        <v>0</v>
      </c>
      <c s="125">
        <f>'Квартальная отчетность'!AN$64</f>
        <v>0</v>
      </c>
      <c s="125">
        <f>'Квартальная отчетность'!AO$64</f>
        <v>0</v>
      </c>
      <c s="125">
        <f>'Квартальная отчетность'!AP$64</f>
        <v>0</v>
      </c>
      <c s="125">
        <f>'Квартальная отчетность'!AQ$64</f>
        <v>0</v>
      </c>
      <c s="125">
        <f>'Квартальная отчетность'!AR$64</f>
        <v>0</v>
      </c>
      <c s="125">
        <f>'Квартальная отчетность'!AS$64</f>
        <v>0</v>
      </c>
      <c s="125">
        <f>'Квартальная отчетность'!AT$64</f>
        <v>0</v>
      </c>
      <c s="125">
        <f>'Квартальная отчетность'!AU$64</f>
        <v>0</v>
      </c>
      <c s="125">
        <f>'Квартальная отчетность'!AV$64</f>
        <v>0</v>
      </c>
      <c s="125">
        <f>'Квартальная отчетность'!AW$64</f>
        <v>0</v>
      </c>
      <c s="125">
        <f>'Квартальная отчетность'!AX$64</f>
        <v>0</v>
      </c>
      <c s="125">
        <f>'Квартальная отчетность'!AY$64</f>
        <v>0</v>
      </c>
      <c s="125">
        <f>'Квартальная отчетность'!AZ$64</f>
        <v>0</v>
      </c>
      <c s="125">
        <f>'Квартальная отчетность'!BA$64</f>
        <v>0</v>
      </c>
      <c s="125">
        <f>'Квартальная отчетность'!BB$64</f>
        <v>0</v>
      </c>
      <c s="125">
        <f>'Квартальная отчетность'!BC$64</f>
        <v>0</v>
      </c>
      <c s="125">
        <f>'Квартальная отчетность'!BD$64</f>
        <v>0</v>
      </c>
      <c s="125">
        <f>'Квартальная отчетность'!BE$64</f>
        <v>0</v>
      </c>
      <c s="125">
        <f>'Квартальная отчетность'!BF$64</f>
        <v>0</v>
      </c>
      <c s="125">
        <f>'Квартальная отчетность'!BG$64</f>
        <v>0</v>
      </c>
      <c s="125">
        <f>'Квартальная отчетность'!BH$64</f>
        <v>0</v>
      </c>
      <c s="125">
        <f>'Квартальная отчетность'!BI$64</f>
        <v>0</v>
      </c>
      <c s="125">
        <f>'Квартальная отчетность'!BJ$64</f>
        <v>0</v>
      </c>
      <c s="125">
        <f>'Квартальная отчетность'!BK$64</f>
        <v>0</v>
      </c>
      <c s="125">
        <f>'Квартальная отчетность'!BL$64</f>
        <v>0</v>
      </c>
      <c s="125">
        <f>'Квартальная отчетность'!BM$64</f>
        <v>0</v>
      </c>
    </row>
    <row r="151" spans="2:65" ht="15" customHeight="1">
      <c r="B151" s="12" t="s">
        <v>968</v>
      </c>
      <c s="124" t="str">
        <f t="shared" si="559"/>
        <v>тыс. руб.</v>
      </c>
      <c s="276">
        <f ca="1">SUMIF(E6:BM6,CONCATENATE(E32,MATCH(D32,$E$8:$BM$8,0)),E151:BM151)</f>
        <v>0</v>
      </c>
      <c s="125">
        <f ca="1">'Квартальная отчетность'!E$65</f>
        <v>0</v>
      </c>
      <c s="125">
        <f ca="1">'Квартальная отчетность'!F$65</f>
        <v>0</v>
      </c>
      <c s="125">
        <f ca="1">'Квартальная отчетность'!G$65</f>
        <v>0</v>
      </c>
      <c s="125">
        <f ca="1">'Квартальная отчетность'!H$65</f>
        <v>0</v>
      </c>
      <c s="125">
        <f ca="1">'Квартальная отчетность'!I$65</f>
        <v>0</v>
      </c>
      <c s="125">
        <f ca="1">'Квартальная отчетность'!J$65</f>
        <v>0</v>
      </c>
      <c s="125">
        <f ca="1">'Квартальная отчетность'!K$65</f>
        <v>0</v>
      </c>
      <c s="125">
        <f ca="1">'Квартальная отчетность'!L$65</f>
        <v>0</v>
      </c>
      <c s="125">
        <f ca="1">'Квартальная отчетность'!M$65</f>
        <v>0</v>
      </c>
      <c s="125">
        <f ca="1">'Квартальная отчетность'!N$65</f>
        <v>0</v>
      </c>
      <c s="125">
        <f ca="1">'Квартальная отчетность'!O$65</f>
        <v>0</v>
      </c>
      <c s="125">
        <f ca="1">'Квартальная отчетность'!P$65</f>
        <v>0</v>
      </c>
      <c s="125">
        <f ca="1">'Квартальная отчетность'!Q$65</f>
        <v>0</v>
      </c>
      <c s="125">
        <f ca="1">'Квартальная отчетность'!R$65</f>
        <v>0</v>
      </c>
      <c s="125">
        <f ca="1">'Квартальная отчетность'!S$65</f>
        <v>0</v>
      </c>
      <c s="125">
        <f ca="1">'Квартальная отчетность'!T$65</f>
        <v>0</v>
      </c>
      <c s="125">
        <f ca="1">'Квартальная отчетность'!U$65</f>
        <v>0</v>
      </c>
      <c s="125">
        <f ca="1">'Квартальная отчетность'!V$65</f>
        <v>0</v>
      </c>
      <c s="125">
        <f ca="1">'Квартальная отчетность'!W$65</f>
        <v>0</v>
      </c>
      <c s="125">
        <f ca="1">'Квартальная отчетность'!X$65</f>
        <v>0</v>
      </c>
      <c s="125">
        <f ca="1">'Квартальная отчетность'!Y$65</f>
        <v>0</v>
      </c>
      <c s="125">
        <f ca="1">'Квартальная отчетность'!Z$65</f>
        <v>0</v>
      </c>
      <c s="125">
        <f ca="1">'Квартальная отчетность'!AA$65</f>
        <v>0</v>
      </c>
      <c s="125">
        <f ca="1">'Квартальная отчетность'!AB$65</f>
        <v>0</v>
      </c>
      <c s="125">
        <f ca="1">'Квартальная отчетность'!AC$65</f>
        <v>0</v>
      </c>
      <c s="125">
        <f ca="1">'Квартальная отчетность'!AD$65</f>
        <v>0</v>
      </c>
      <c s="125">
        <f ca="1">'Квартальная отчетность'!AE$65</f>
        <v>0</v>
      </c>
      <c s="125">
        <f ca="1">'Квартальная отчетность'!AF$65</f>
        <v>0</v>
      </c>
      <c s="125">
        <f ca="1">'Квартальная отчетность'!AG$65</f>
        <v>0</v>
      </c>
      <c s="125">
        <f ca="1">'Квартальная отчетность'!AH$65</f>
        <v>0</v>
      </c>
      <c s="125">
        <f ca="1">'Квартальная отчетность'!AI$65</f>
        <v>0</v>
      </c>
      <c s="125">
        <f ca="1">'Квартальная отчетность'!AJ$65</f>
        <v>0</v>
      </c>
      <c s="125">
        <f ca="1">'Квартальная отчетность'!AK$65</f>
        <v>0</v>
      </c>
      <c s="125">
        <f ca="1">'Квартальная отчетность'!AL$65</f>
        <v>0</v>
      </c>
      <c s="125">
        <f ca="1">'Квартальная отчетность'!AM$65</f>
        <v>0</v>
      </c>
      <c s="125">
        <f ca="1">'Квартальная отчетность'!AN$65</f>
        <v>0</v>
      </c>
      <c s="125">
        <f ca="1">'Квартальная отчетность'!AO$65</f>
        <v>0</v>
      </c>
      <c s="125">
        <f ca="1">'Квартальная отчетность'!AP$65</f>
        <v>0</v>
      </c>
      <c s="125">
        <f ca="1">'Квартальная отчетность'!AQ$65</f>
        <v>0</v>
      </c>
      <c s="125">
        <f ca="1">'Квартальная отчетность'!AR$65</f>
        <v>0</v>
      </c>
      <c s="125">
        <f ca="1">'Квартальная отчетность'!AS$65</f>
        <v>0</v>
      </c>
      <c s="125">
        <f ca="1">'Квартальная отчетность'!AT$65</f>
        <v>0</v>
      </c>
      <c s="125">
        <f ca="1">'Квартальная отчетность'!AU$65</f>
        <v>0</v>
      </c>
      <c s="125">
        <f ca="1">'Квартальная отчетность'!AV$65</f>
        <v>0</v>
      </c>
      <c s="125">
        <f ca="1">'Квартальная отчетность'!AW$65</f>
        <v>0</v>
      </c>
      <c s="125">
        <f ca="1">'Квартальная отчетность'!AX$65</f>
        <v>0</v>
      </c>
      <c s="125">
        <f ca="1">'Квартальная отчетность'!AY$65</f>
        <v>0</v>
      </c>
      <c s="125">
        <f ca="1">'Квартальная отчетность'!AZ$65</f>
        <v>0</v>
      </c>
      <c s="125">
        <f ca="1">'Квартальная отчетность'!BA$65</f>
        <v>0</v>
      </c>
      <c s="125">
        <f ca="1">'Квартальная отчетность'!BB$65</f>
        <v>0</v>
      </c>
      <c s="125">
        <f ca="1">'Квартальная отчетность'!BC$65</f>
        <v>0</v>
      </c>
      <c s="125">
        <f ca="1">'Квартальная отчетность'!BD$65</f>
        <v>0</v>
      </c>
      <c s="125">
        <f ca="1">'Квартальная отчетность'!BE$65</f>
        <v>0</v>
      </c>
      <c s="125">
        <f ca="1">'Квартальная отчетность'!BF$65</f>
        <v>0</v>
      </c>
      <c s="125">
        <f ca="1">'Квартальная отчетность'!BG$65</f>
        <v>0</v>
      </c>
      <c s="125">
        <f ca="1">'Квартальная отчетность'!BH$65</f>
        <v>0</v>
      </c>
      <c s="125">
        <f ca="1">'Квартальная отчетность'!BI$65</f>
        <v>0</v>
      </c>
      <c s="125">
        <f ca="1">'Квартальная отчетность'!BJ$65</f>
        <v>0</v>
      </c>
      <c s="125">
        <f ca="1">'Квартальная отчетность'!BK$65</f>
        <v>0</v>
      </c>
      <c s="125">
        <f ca="1">'Квартальная отчетность'!BL$65</f>
        <v>0</v>
      </c>
      <c s="125">
        <f ca="1">'Квартальная отчетность'!BM$65</f>
        <v>0</v>
      </c>
    </row>
    <row r="152" spans="2:65" ht="15" customHeight="1">
      <c r="B152" s="289" t="s">
        <v>581</v>
      </c>
      <c s="290" t="str">
        <f t="shared" si="559"/>
        <v>тыс. руб.</v>
      </c>
      <c s="291">
        <f ca="1">SUM(D148:D150)</f>
        <v>0</v>
      </c>
      <c s="276">
        <f ca="1">SUM(E148:E151)</f>
        <v>0</v>
      </c>
      <c s="276">
        <f ca="1" t="shared" si="560" ref="F152:AG152">SUM(F148:F151)</f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t="shared" ca="1" si="560"/>
        <v>0</v>
      </c>
      <c s="276">
        <f ca="1" t="shared" si="561" ref="AH152:BM152">SUM(AH148:AH151)</f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  <c s="276">
        <f t="shared" ca="1" si="561"/>
        <v>0</v>
      </c>
    </row>
    <row r="153" ht="15" customHeight="1"/>
    <row r="154" spans="2:65" ht="21">
      <c r="B154" s="23" t="s">
        <v>1114</v>
      </c>
      <c r="D154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5" spans="2:2" ht="15" customHeight="1">
      <c r="B155" s="24" t="s">
        <v>1115</v>
      </c>
    </row>
    <row r="156" spans="2:65" ht="15" customHeight="1">
      <c r="B156" s="12" t="s">
        <v>1116</v>
      </c>
      <c s="124" t="str">
        <f>Единица_измерения</f>
        <v>тыс. руб.</v>
      </c>
      <c s="125"/>
      <c s="125">
        <f>'Квартальная отчетность'!E$104</f>
        <v>0</v>
      </c>
      <c s="125">
        <f>'Квартальная отчетность'!F$104</f>
        <v>0</v>
      </c>
      <c s="125">
        <f>'Квартальная отчетность'!G$104</f>
        <v>0</v>
      </c>
      <c s="125">
        <f>'Квартальная отчетность'!H$104</f>
        <v>0</v>
      </c>
      <c s="125">
        <f>'Квартальная отчетность'!I$104</f>
        <v>0</v>
      </c>
      <c s="125">
        <f>'Квартальная отчетность'!J$104</f>
        <v>0</v>
      </c>
      <c s="125">
        <f>'Квартальная отчетность'!K$104</f>
        <v>0</v>
      </c>
      <c s="125">
        <f>'Квартальная отчетность'!L$104</f>
        <v>0</v>
      </c>
      <c s="125">
        <f>'Квартальная отчетность'!M$104</f>
        <v>0</v>
      </c>
      <c s="125">
        <f>'Квартальная отчетность'!N$104</f>
        <v>0</v>
      </c>
      <c s="125">
        <f>'Квартальная отчетность'!O$104</f>
        <v>0</v>
      </c>
      <c s="125">
        <f>'Квартальная отчетность'!P$104</f>
        <v>0</v>
      </c>
      <c s="125">
        <f>'Квартальная отчетность'!Q$104</f>
        <v>0</v>
      </c>
      <c s="125">
        <f>'Квартальная отчетность'!R$104</f>
        <v>0</v>
      </c>
      <c s="125">
        <f>'Квартальная отчетность'!S$104</f>
        <v>0</v>
      </c>
      <c s="125">
        <f>'Квартальная отчетность'!T$104</f>
        <v>0</v>
      </c>
      <c s="125">
        <f>'Квартальная отчетность'!U$104</f>
        <v>0</v>
      </c>
      <c s="125">
        <f>'Квартальная отчетность'!V$104</f>
        <v>0</v>
      </c>
      <c s="125">
        <f>'Квартальная отчетность'!W$104</f>
        <v>0</v>
      </c>
      <c s="125">
        <f>'Квартальная отчетность'!X$104</f>
        <v>0</v>
      </c>
      <c s="125">
        <f>'Квартальная отчетность'!Y$104</f>
        <v>0</v>
      </c>
      <c s="125">
        <f>'Квартальная отчетность'!Z$104</f>
        <v>0</v>
      </c>
      <c s="125">
        <f>'Квартальная отчетность'!AA$104</f>
        <v>0</v>
      </c>
      <c s="125">
        <f>'Квартальная отчетность'!AB$104</f>
        <v>0</v>
      </c>
      <c s="125">
        <f>'Квартальная отчетность'!AC$104</f>
        <v>0</v>
      </c>
      <c s="125">
        <f>'Квартальная отчетность'!AD$104</f>
        <v>0</v>
      </c>
      <c s="125">
        <f>'Квартальная отчетность'!AE$104</f>
        <v>0</v>
      </c>
      <c s="125">
        <f>'Квартальная отчетность'!AF$104</f>
        <v>0</v>
      </c>
      <c s="125">
        <f>'Квартальная отчетность'!AG$104</f>
        <v>0</v>
      </c>
      <c s="125">
        <f>'Квартальная отчетность'!AH$104</f>
        <v>0</v>
      </c>
      <c s="125">
        <f>'Квартальная отчетность'!AI$104</f>
        <v>0</v>
      </c>
      <c s="125">
        <f>'Квартальная отчетность'!AJ$104</f>
        <v>0</v>
      </c>
      <c s="125">
        <f>'Квартальная отчетность'!AK$104</f>
        <v>0</v>
      </c>
      <c s="125">
        <f>'Квартальная отчетность'!AL$104</f>
        <v>0</v>
      </c>
      <c s="125">
        <f>'Квартальная отчетность'!AM$104</f>
        <v>0</v>
      </c>
      <c s="125">
        <f>'Квартальная отчетность'!AN$104</f>
        <v>0</v>
      </c>
      <c s="125">
        <f>'Квартальная отчетность'!AO$104</f>
        <v>0</v>
      </c>
      <c s="125">
        <f>'Квартальная отчетность'!AP$104</f>
        <v>0</v>
      </c>
      <c s="125">
        <f>'Квартальная отчетность'!AQ$104</f>
        <v>0</v>
      </c>
      <c s="125">
        <f>'Квартальная отчетность'!AR$104</f>
        <v>0</v>
      </c>
      <c s="125">
        <f>'Квартальная отчетность'!AS$104</f>
        <v>0</v>
      </c>
      <c s="125">
        <f>'Квартальная отчетность'!AT$104</f>
        <v>0</v>
      </c>
      <c s="125">
        <f>'Квартальная отчетность'!AU$104</f>
        <v>0</v>
      </c>
      <c s="125">
        <f>'Квартальная отчетность'!AV$104</f>
        <v>0</v>
      </c>
      <c s="125">
        <f>'Квартальная отчетность'!AW$104</f>
        <v>0</v>
      </c>
      <c s="125">
        <f>'Квартальная отчетность'!AX$104</f>
        <v>0</v>
      </c>
      <c s="125">
        <f>'Квартальная отчетность'!AY$104</f>
        <v>0</v>
      </c>
      <c s="125">
        <f>'Квартальная отчетность'!AZ$104</f>
        <v>0</v>
      </c>
      <c s="125">
        <f>'Квартальная отчетность'!BA$104</f>
        <v>0</v>
      </c>
      <c s="125">
        <f>'Квартальная отчетность'!BB$104</f>
        <v>0</v>
      </c>
      <c s="125">
        <f>'Квартальная отчетность'!BC$104</f>
        <v>0</v>
      </c>
      <c s="125">
        <f>'Квартальная отчетность'!BD$104</f>
        <v>0</v>
      </c>
      <c s="125">
        <f>'Квартальная отчетность'!BE$104</f>
        <v>0</v>
      </c>
      <c s="125">
        <f>'Квартальная отчетность'!BF$104</f>
        <v>0</v>
      </c>
      <c s="125">
        <f>'Квартальная отчетность'!BG$104</f>
        <v>0</v>
      </c>
      <c s="125">
        <f>'Квартальная отчетность'!BH$104</f>
        <v>0</v>
      </c>
      <c s="125">
        <f>'Квартальная отчетность'!BI$104</f>
        <v>0</v>
      </c>
      <c s="125">
        <f>'Квартальная отчетность'!BJ$104</f>
        <v>0</v>
      </c>
      <c s="125">
        <f>'Квартальная отчетность'!BK$104</f>
        <v>0</v>
      </c>
      <c s="125">
        <f>'Квартальная отчетность'!BL$104</f>
        <v>0</v>
      </c>
      <c s="125">
        <f>'Квартальная отчетность'!BM$104</f>
        <v>0</v>
      </c>
    </row>
    <row r="157" spans="2:65" ht="15" customHeight="1">
      <c r="B157" s="12" t="s">
        <v>577</v>
      </c>
      <c s="124" t="str">
        <f>Единица_измерения</f>
        <v>тыс. руб.</v>
      </c>
      <c s="125"/>
      <c s="125">
        <f t="shared" si="562" ref="E157:BM157">E$145</f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  <c s="125">
        <f t="shared" si="562"/>
        <v>0</v>
      </c>
    </row>
    <row r="158" spans="2:65" ht="15" customHeight="1">
      <c r="B158" s="289" t="s">
        <v>1115</v>
      </c>
      <c s="290" t="s">
        <v>1117</v>
      </c>
      <c s="285"/>
      <c s="285" t="str">
        <f t="shared" si="563" ref="E158">IFERROR(IF(E156=0,"-",E156/MAX(0,E157)),0)</f>
        <v>-</v>
      </c>
      <c s="285" t="str">
        <f ca="1" t="shared" si="564" ref="F158:AF158">IFERROR(IF(F156=0,"-",F156/MAX(0,F157)),0)</f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t="shared" ca="1" si="564"/>
        <v>-</v>
      </c>
      <c s="285" t="str">
        <f ca="1" t="shared" si="565" ref="AG158:BM158">IFERROR(IF(AG156=0,"-",AG156/MAX(0,AG157)),0)</f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  <c s="285" t="str">
        <f t="shared" ca="1" si="565"/>
        <v>-</v>
      </c>
    </row>
    <row r="159" ht="15" customHeight="1"/>
    <row r="160" spans="2:2" ht="15" customHeight="1">
      <c r="B160" s="24" t="s">
        <v>1118</v>
      </c>
    </row>
    <row r="161" spans="2:65" ht="15" customHeight="1">
      <c r="B161" s="12" t="s">
        <v>1116</v>
      </c>
      <c s="124" t="str">
        <f>Единица_измерения</f>
        <v>тыс. руб.</v>
      </c>
      <c s="125"/>
      <c s="125">
        <f>'Квартальная отчетность'!E$104</f>
        <v>0</v>
      </c>
      <c s="125">
        <f>'Квартальная отчетность'!F$104</f>
        <v>0</v>
      </c>
      <c s="125">
        <f>'Квартальная отчетность'!G$104</f>
        <v>0</v>
      </c>
      <c s="125">
        <f>'Квартальная отчетность'!H$104</f>
        <v>0</v>
      </c>
      <c s="125">
        <f>'Квартальная отчетность'!I$104</f>
        <v>0</v>
      </c>
      <c s="125">
        <f>'Квартальная отчетность'!J$104</f>
        <v>0</v>
      </c>
      <c s="125">
        <f>'Квартальная отчетность'!K$104</f>
        <v>0</v>
      </c>
      <c s="125">
        <f>'Квартальная отчетность'!L$104</f>
        <v>0</v>
      </c>
      <c s="125">
        <f>'Квартальная отчетность'!M$104</f>
        <v>0</v>
      </c>
      <c s="125">
        <f>'Квартальная отчетность'!N$104</f>
        <v>0</v>
      </c>
      <c s="125">
        <f>'Квартальная отчетность'!O$104</f>
        <v>0</v>
      </c>
      <c s="125">
        <f>'Квартальная отчетность'!P$104</f>
        <v>0</v>
      </c>
      <c s="125">
        <f>'Квартальная отчетность'!Q$104</f>
        <v>0</v>
      </c>
      <c s="125">
        <f>'Квартальная отчетность'!R$104</f>
        <v>0</v>
      </c>
      <c s="125">
        <f>'Квартальная отчетность'!S$104</f>
        <v>0</v>
      </c>
      <c s="125">
        <f>'Квартальная отчетность'!T$104</f>
        <v>0</v>
      </c>
      <c s="125">
        <f>'Квартальная отчетность'!U$104</f>
        <v>0</v>
      </c>
      <c s="125">
        <f>'Квартальная отчетность'!V$104</f>
        <v>0</v>
      </c>
      <c s="125">
        <f>'Квартальная отчетность'!W$104</f>
        <v>0</v>
      </c>
      <c s="125">
        <f>'Квартальная отчетность'!X$104</f>
        <v>0</v>
      </c>
      <c s="125">
        <f>'Квартальная отчетность'!Y$104</f>
        <v>0</v>
      </c>
      <c s="125">
        <f>'Квартальная отчетность'!Z$104</f>
        <v>0</v>
      </c>
      <c s="125">
        <f>'Квартальная отчетность'!AA$104</f>
        <v>0</v>
      </c>
      <c s="125">
        <f>'Квартальная отчетность'!AB$104</f>
        <v>0</v>
      </c>
      <c s="125">
        <f>'Квартальная отчетность'!AC$104</f>
        <v>0</v>
      </c>
      <c s="125">
        <f>'Квартальная отчетность'!AD$104</f>
        <v>0</v>
      </c>
      <c s="125">
        <f>'Квартальная отчетность'!AE$104</f>
        <v>0</v>
      </c>
      <c s="125">
        <f>'Квартальная отчетность'!AF$104</f>
        <v>0</v>
      </c>
      <c s="125">
        <f>'Квартальная отчетность'!AG$104</f>
        <v>0</v>
      </c>
      <c s="125">
        <f>'Квартальная отчетность'!AH$104</f>
        <v>0</v>
      </c>
      <c s="125">
        <f>'Квартальная отчетность'!AI$104</f>
        <v>0</v>
      </c>
      <c s="125">
        <f>'Квартальная отчетность'!AJ$104</f>
        <v>0</v>
      </c>
      <c s="125">
        <f>'Квартальная отчетность'!AK$104</f>
        <v>0</v>
      </c>
      <c s="125">
        <f>'Квартальная отчетность'!AL$104</f>
        <v>0</v>
      </c>
      <c s="125">
        <f>'Квартальная отчетность'!AM$104</f>
        <v>0</v>
      </c>
      <c s="125">
        <f>'Квартальная отчетность'!AN$104</f>
        <v>0</v>
      </c>
      <c s="125">
        <f>'Квартальная отчетность'!AO$104</f>
        <v>0</v>
      </c>
      <c s="125">
        <f>'Квартальная отчетность'!AP$104</f>
        <v>0</v>
      </c>
      <c s="125">
        <f>'Квартальная отчетность'!AQ$104</f>
        <v>0</v>
      </c>
      <c s="125">
        <f>'Квартальная отчетность'!AR$104</f>
        <v>0</v>
      </c>
      <c s="125">
        <f>'Квартальная отчетность'!AS$104</f>
        <v>0</v>
      </c>
      <c s="125">
        <f>'Квартальная отчетность'!AT$104</f>
        <v>0</v>
      </c>
      <c s="125">
        <f>'Квартальная отчетность'!AU$104</f>
        <v>0</v>
      </c>
      <c s="125">
        <f>'Квартальная отчетность'!AV$104</f>
        <v>0</v>
      </c>
      <c s="125">
        <f>'Квартальная отчетность'!AW$104</f>
        <v>0</v>
      </c>
      <c s="125">
        <f>'Квартальная отчетность'!AX$104</f>
        <v>0</v>
      </c>
      <c s="125">
        <f>'Квартальная отчетность'!AY$104</f>
        <v>0</v>
      </c>
      <c s="125">
        <f>'Квартальная отчетность'!AZ$104</f>
        <v>0</v>
      </c>
      <c s="125">
        <f>'Квартальная отчетность'!BA$104</f>
        <v>0</v>
      </c>
      <c s="125">
        <f>'Квартальная отчетность'!BB$104</f>
        <v>0</v>
      </c>
      <c s="125">
        <f>'Квартальная отчетность'!BC$104</f>
        <v>0</v>
      </c>
      <c s="125">
        <f>'Квартальная отчетность'!BD$104</f>
        <v>0</v>
      </c>
      <c s="125">
        <f>'Квартальная отчетность'!BE$104</f>
        <v>0</v>
      </c>
      <c s="125">
        <f>'Квартальная отчетность'!BF$104</f>
        <v>0</v>
      </c>
      <c s="125">
        <f>'Квартальная отчетность'!BG$104</f>
        <v>0</v>
      </c>
      <c s="125">
        <f>'Квартальная отчетность'!BH$104</f>
        <v>0</v>
      </c>
      <c s="125">
        <f>'Квартальная отчетность'!BI$104</f>
        <v>0</v>
      </c>
      <c s="125">
        <f>'Квартальная отчетность'!BJ$104</f>
        <v>0</v>
      </c>
      <c s="125">
        <f>'Квартальная отчетность'!BK$104</f>
        <v>0</v>
      </c>
      <c s="125">
        <f>'Квартальная отчетность'!BL$104</f>
        <v>0</v>
      </c>
      <c s="125">
        <f>'Квартальная отчетность'!BM$104</f>
        <v>0</v>
      </c>
    </row>
    <row r="162" spans="2:65" ht="15" customHeight="1">
      <c r="B162" s="12" t="s">
        <v>1005</v>
      </c>
      <c s="124" t="str">
        <f>Единица_измерения</f>
        <v>тыс. руб.</v>
      </c>
      <c s="125"/>
      <c s="125">
        <f ca="1">'Квартальная отчетность'!E$93</f>
        <v>0</v>
      </c>
      <c s="125">
        <f ca="1">'Квартальная отчетность'!F$93</f>
        <v>0</v>
      </c>
      <c s="125">
        <f ca="1">'Квартальная отчетность'!G$93</f>
        <v>0</v>
      </c>
      <c s="125">
        <f ca="1">'Квартальная отчетность'!H$93</f>
        <v>0</v>
      </c>
      <c s="125">
        <f ca="1">'Квартальная отчетность'!I$93</f>
        <v>0</v>
      </c>
      <c s="125">
        <f ca="1">'Квартальная отчетность'!J$93</f>
        <v>0</v>
      </c>
      <c s="125">
        <f ca="1">'Квартальная отчетность'!K$93</f>
        <v>0</v>
      </c>
      <c s="125">
        <f ca="1">'Квартальная отчетность'!L$93</f>
        <v>0</v>
      </c>
      <c s="125">
        <f ca="1">'Квартальная отчетность'!M$93</f>
        <v>0</v>
      </c>
      <c s="125">
        <f ca="1">'Квартальная отчетность'!N$93</f>
        <v>0</v>
      </c>
      <c s="125">
        <f ca="1">'Квартальная отчетность'!O$93</f>
        <v>0</v>
      </c>
      <c s="125">
        <f ca="1">'Квартальная отчетность'!P$93</f>
        <v>0</v>
      </c>
      <c s="125">
        <f ca="1">'Квартальная отчетность'!Q$93</f>
        <v>0</v>
      </c>
      <c s="125">
        <f ca="1">'Квартальная отчетность'!R$93</f>
        <v>0</v>
      </c>
      <c s="125">
        <f ca="1">'Квартальная отчетность'!S$93</f>
        <v>0</v>
      </c>
      <c s="125">
        <f ca="1">'Квартальная отчетность'!T$93</f>
        <v>0</v>
      </c>
      <c s="125">
        <f ca="1">'Квартальная отчетность'!U$93</f>
        <v>0</v>
      </c>
      <c s="125">
        <f ca="1">'Квартальная отчетность'!V$93</f>
        <v>0</v>
      </c>
      <c s="125">
        <f ca="1">'Квартальная отчетность'!W$93</f>
        <v>0</v>
      </c>
      <c s="125">
        <f ca="1">'Квартальная отчетность'!X$93</f>
        <v>0</v>
      </c>
      <c s="125">
        <f ca="1">'Квартальная отчетность'!Y$93</f>
        <v>0</v>
      </c>
      <c s="125">
        <f ca="1">'Квартальная отчетность'!Z$93</f>
        <v>0</v>
      </c>
      <c s="125">
        <f ca="1">'Квартальная отчетность'!AA$93</f>
        <v>0</v>
      </c>
      <c s="125">
        <f ca="1">'Квартальная отчетность'!AB$93</f>
        <v>0</v>
      </c>
      <c s="125">
        <f ca="1">'Квартальная отчетность'!AC$93</f>
        <v>0</v>
      </c>
      <c s="125">
        <f ca="1">'Квартальная отчетность'!AD$93</f>
        <v>0</v>
      </c>
      <c s="125">
        <f ca="1">'Квартальная отчетность'!AE$93</f>
        <v>0</v>
      </c>
      <c s="125">
        <f ca="1">'Квартальная отчетность'!AF$93</f>
        <v>0</v>
      </c>
      <c s="125">
        <f ca="1">'Квартальная отчетность'!AG$93</f>
        <v>0</v>
      </c>
      <c s="125">
        <f ca="1">'Квартальная отчетность'!AH$93</f>
        <v>0</v>
      </c>
      <c s="125">
        <f ca="1">'Квартальная отчетность'!AI$93</f>
        <v>0</v>
      </c>
      <c s="125">
        <f ca="1">'Квартальная отчетность'!AJ$93</f>
        <v>0</v>
      </c>
      <c s="125">
        <f ca="1">'Квартальная отчетность'!AK$93</f>
        <v>0</v>
      </c>
      <c s="125">
        <f ca="1">'Квартальная отчетность'!AL$93</f>
        <v>0</v>
      </c>
      <c s="125">
        <f ca="1">'Квартальная отчетность'!AM$93</f>
        <v>0</v>
      </c>
      <c s="125">
        <f ca="1">'Квартальная отчетность'!AN$93</f>
        <v>0</v>
      </c>
      <c s="125">
        <f ca="1">'Квартальная отчетность'!AO$93</f>
        <v>0</v>
      </c>
      <c s="125">
        <f ca="1">'Квартальная отчетность'!AP$93</f>
        <v>0</v>
      </c>
      <c s="125">
        <f ca="1">'Квартальная отчетность'!AQ$93</f>
        <v>0</v>
      </c>
      <c s="125">
        <f ca="1">'Квартальная отчетность'!AR$93</f>
        <v>0</v>
      </c>
      <c s="125">
        <f ca="1">'Квартальная отчетность'!AS$93</f>
        <v>0</v>
      </c>
      <c s="125">
        <f ca="1">'Квартальная отчетность'!AT$93</f>
        <v>0</v>
      </c>
      <c s="125">
        <f ca="1">'Квартальная отчетность'!AU$93</f>
        <v>0</v>
      </c>
      <c s="125">
        <f ca="1">'Квартальная отчетность'!AV$93</f>
        <v>0</v>
      </c>
      <c s="125">
        <f ca="1">'Квартальная отчетность'!AW$93</f>
        <v>0</v>
      </c>
      <c s="125">
        <f ca="1">'Квартальная отчетность'!AX$93</f>
        <v>0</v>
      </c>
      <c s="125">
        <f ca="1">'Квартальная отчетность'!AY$93</f>
        <v>0</v>
      </c>
      <c s="125">
        <f ca="1">'Квартальная отчетность'!AZ$93</f>
        <v>0</v>
      </c>
      <c s="125">
        <f ca="1">'Квартальная отчетность'!BA$93</f>
        <v>0</v>
      </c>
      <c s="125">
        <f ca="1">'Квартальная отчетность'!BB$93</f>
        <v>0</v>
      </c>
      <c s="125">
        <f ca="1">'Квартальная отчетность'!BC$93</f>
        <v>0</v>
      </c>
      <c s="125">
        <f ca="1">'Квартальная отчетность'!BD$93</f>
        <v>0</v>
      </c>
      <c s="125">
        <f ca="1">'Квартальная отчетность'!BE$93</f>
        <v>0</v>
      </c>
      <c s="125">
        <f ca="1">'Квартальная отчетность'!BF$93</f>
        <v>0</v>
      </c>
      <c s="125">
        <f ca="1">'Квартальная отчетность'!BG$93</f>
        <v>0</v>
      </c>
      <c s="125">
        <f ca="1">'Квартальная отчетность'!BH$93</f>
        <v>0</v>
      </c>
      <c s="125">
        <f ca="1">'Квартальная отчетность'!BI$93</f>
        <v>0</v>
      </c>
      <c s="125">
        <f ca="1">'Квартальная отчетность'!BJ$93</f>
        <v>0</v>
      </c>
      <c s="125">
        <f ca="1">'Квартальная отчетность'!BK$93</f>
        <v>0</v>
      </c>
      <c s="125">
        <f ca="1">'Квартальная отчетность'!BL$93</f>
        <v>0</v>
      </c>
      <c s="125">
        <f ca="1">'Квартальная отчетность'!BM$93</f>
        <v>0</v>
      </c>
    </row>
    <row r="163" spans="2:65" ht="15" customHeight="1">
      <c r="B163" s="12" t="s">
        <v>577</v>
      </c>
      <c s="124" t="str">
        <f>Единица_измерения</f>
        <v>тыс. руб.</v>
      </c>
      <c s="125"/>
      <c s="125">
        <f t="shared" si="566" ref="E163:BM163">E$145</f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  <c s="125">
        <f t="shared" si="566"/>
        <v>0</v>
      </c>
    </row>
    <row r="164" spans="2:65" ht="15" customHeight="1">
      <c r="B164" s="289" t="s">
        <v>1118</v>
      </c>
      <c s="290" t="s">
        <v>1117</v>
      </c>
      <c s="285"/>
      <c s="285" t="str">
        <f ca="1" t="shared" si="567" ref="E164">IFERROR(IF(E161-E162&lt;0,"-",(E161-E162)/E163),"-")</f>
        <v>-</v>
      </c>
      <c s="285" t="str">
        <f ca="1" t="shared" si="568" ref="F164:AF164">IFERROR(IF(F161-F162&lt;0,"-",(F161-F162)/F163),"-")</f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t="shared" ca="1" si="568"/>
        <v>-</v>
      </c>
      <c s="285" t="str">
        <f ca="1" t="shared" si="569" ref="AG164:BM164">IFERROR(IF(AG161-AG162&lt;0,"-",(AG161-AG162)/AG163),"-")</f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  <c s="285" t="str">
        <f t="shared" ca="1" si="569"/>
        <v>-</v>
      </c>
    </row>
    <row r="165" ht="15" customHeight="1"/>
    <row r="166" spans="2:2" ht="15" customHeight="1">
      <c r="B166" s="24" t="s">
        <v>1119</v>
      </c>
    </row>
    <row r="167" spans="2:65" ht="15" customHeight="1">
      <c r="B167" s="12" t="s">
        <v>576</v>
      </c>
      <c s="124" t="str">
        <f>Единица_измерения</f>
        <v>тыс. руб.</v>
      </c>
      <c s="125"/>
      <c s="125">
        <f t="shared" si="570" ref="E167:BM167">MAX(0,E$140)</f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  <c s="125">
        <f t="shared" si="570"/>
        <v>0</v>
      </c>
    </row>
    <row r="168" spans="2:65" ht="15" customHeight="1">
      <c r="B168" s="12" t="s">
        <v>279</v>
      </c>
      <c s="124" t="str">
        <f>Единица_измерения</f>
        <v>тыс. руб.</v>
      </c>
      <c s="125"/>
      <c s="125">
        <f>-'Квартальная отчетность'!E$24</f>
        <v>0</v>
      </c>
      <c s="125">
        <f>-'Квартальная отчетность'!F$24</f>
        <v>0</v>
      </c>
      <c s="125">
        <f>-'Квартальная отчетность'!G$24</f>
        <v>0</v>
      </c>
      <c s="125">
        <f>-'Квартальная отчетность'!H$24</f>
        <v>0</v>
      </c>
      <c s="125">
        <f>-'Квартальная отчетность'!I$24</f>
        <v>0</v>
      </c>
      <c s="125">
        <f>-'Квартальная отчетность'!J$24</f>
        <v>0</v>
      </c>
      <c s="125">
        <f>-'Квартальная отчетность'!K$24</f>
        <v>0</v>
      </c>
      <c s="125">
        <f>-'Квартальная отчетность'!L$24</f>
        <v>0</v>
      </c>
      <c s="125">
        <f>-'Квартальная отчетность'!M$24</f>
        <v>0</v>
      </c>
      <c s="125">
        <f>-'Квартальная отчетность'!N$24</f>
        <v>0</v>
      </c>
      <c s="125">
        <f>-'Квартальная отчетность'!O$24</f>
        <v>0</v>
      </c>
      <c s="125">
        <f>-'Квартальная отчетность'!P$24</f>
        <v>0</v>
      </c>
      <c s="125">
        <f>-'Квартальная отчетность'!Q$24</f>
        <v>0</v>
      </c>
      <c s="125">
        <f>-'Квартальная отчетность'!R$24</f>
        <v>0</v>
      </c>
      <c s="125">
        <f>-'Квартальная отчетность'!S$24</f>
        <v>0</v>
      </c>
      <c s="125">
        <f>-'Квартальная отчетность'!T$24</f>
        <v>0</v>
      </c>
      <c s="125">
        <f>-'Квартальная отчетность'!U$24</f>
        <v>0</v>
      </c>
      <c s="125">
        <f>-'Квартальная отчетность'!V$24</f>
        <v>0</v>
      </c>
      <c s="125">
        <f>-'Квартальная отчетность'!W$24</f>
        <v>0</v>
      </c>
      <c s="125">
        <f>-'Квартальная отчетность'!X$24</f>
        <v>0</v>
      </c>
      <c s="125">
        <f>-'Квартальная отчетность'!Y$24</f>
        <v>0</v>
      </c>
      <c s="125">
        <f>-'Квартальная отчетность'!Z$24</f>
        <v>0</v>
      </c>
      <c s="125">
        <f>-'Квартальная отчетность'!AA$24</f>
        <v>0</v>
      </c>
      <c s="125">
        <f>-'Квартальная отчетность'!AB$24</f>
        <v>0</v>
      </c>
      <c s="125">
        <f>-'Квартальная отчетность'!AC$24</f>
        <v>0</v>
      </c>
      <c s="125">
        <f>-'Квартальная отчетность'!AD$24</f>
        <v>0</v>
      </c>
      <c s="125">
        <f>-'Квартальная отчетность'!AE$24</f>
        <v>0</v>
      </c>
      <c s="125">
        <f>-'Квартальная отчетность'!AF$24</f>
        <v>0</v>
      </c>
      <c s="125">
        <f>-'Квартальная отчетность'!AG$24</f>
        <v>0</v>
      </c>
      <c s="125">
        <f>-'Квартальная отчетность'!AH$24</f>
        <v>0</v>
      </c>
      <c s="125">
        <f>-'Квартальная отчетность'!AI$24</f>
        <v>0</v>
      </c>
      <c s="125">
        <f>-'Квартальная отчетность'!AJ$24</f>
        <v>0</v>
      </c>
      <c s="125">
        <f>-'Квартальная отчетность'!AK$24</f>
        <v>0</v>
      </c>
      <c s="125">
        <f>-'Квартальная отчетность'!AL$24</f>
        <v>0</v>
      </c>
      <c s="125">
        <f>-'Квартальная отчетность'!AM$24</f>
        <v>0</v>
      </c>
      <c s="125">
        <f>-'Квартальная отчетность'!AN$24</f>
        <v>0</v>
      </c>
      <c s="125">
        <f>-'Квартальная отчетность'!AO$24</f>
        <v>0</v>
      </c>
      <c s="125">
        <f>-'Квартальная отчетность'!AP$24</f>
        <v>0</v>
      </c>
      <c s="125">
        <f>-'Квартальная отчетность'!AQ$24</f>
        <v>0</v>
      </c>
      <c s="125">
        <f>-'Квартальная отчетность'!AR$24</f>
        <v>0</v>
      </c>
      <c s="125">
        <f>-'Квартальная отчетность'!AS$24</f>
        <v>0</v>
      </c>
      <c s="125">
        <f>-'Квартальная отчетность'!AT$24</f>
        <v>0</v>
      </c>
      <c s="125">
        <f>-'Квартальная отчетность'!AU$24</f>
        <v>0</v>
      </c>
      <c s="125">
        <f>-'Квартальная отчетность'!AV$24</f>
        <v>0</v>
      </c>
      <c s="125">
        <f>-'Квартальная отчетность'!AW$24</f>
        <v>0</v>
      </c>
      <c s="125">
        <f>-'Квартальная отчетность'!AX$24</f>
        <v>0</v>
      </c>
      <c s="125">
        <f>-'Квартальная отчетность'!AY$24</f>
        <v>0</v>
      </c>
      <c s="125">
        <f>-'Квартальная отчетность'!AZ$24</f>
        <v>0</v>
      </c>
      <c s="125">
        <f>-'Квартальная отчетность'!BA$24</f>
        <v>0</v>
      </c>
      <c s="125">
        <f>-'Квартальная отчетность'!BB$24</f>
        <v>0</v>
      </c>
      <c s="125">
        <f>-'Квартальная отчетность'!BC$24</f>
        <v>0</v>
      </c>
      <c s="125">
        <f>-'Квартальная отчетность'!BD$24</f>
        <v>0</v>
      </c>
      <c s="125">
        <f>-'Квартальная отчетность'!BE$24</f>
        <v>0</v>
      </c>
      <c s="125">
        <f>-'Квартальная отчетность'!BF$24</f>
        <v>0</v>
      </c>
      <c s="125">
        <f>-'Квартальная отчетность'!BG$24</f>
        <v>0</v>
      </c>
      <c s="125">
        <f>-'Квартальная отчетность'!BH$24</f>
        <v>0</v>
      </c>
      <c s="125">
        <f>-'Квартальная отчетность'!BI$24</f>
        <v>0</v>
      </c>
      <c s="125">
        <f>-'Квартальная отчетность'!BJ$24</f>
        <v>0</v>
      </c>
      <c s="125">
        <f>-'Квартальная отчетность'!BK$24</f>
        <v>0</v>
      </c>
      <c s="125">
        <f>-'Квартальная отчетность'!BL$24</f>
        <v>0</v>
      </c>
      <c s="125">
        <f>-'Квартальная отчетность'!BM$24</f>
        <v>0</v>
      </c>
    </row>
    <row r="169" spans="2:65" ht="15" customHeight="1">
      <c r="B169" s="289" t="s">
        <v>1120</v>
      </c>
      <c s="290" t="s">
        <v>1117</v>
      </c>
      <c s="285"/>
      <c s="285" t="str">
        <f t="shared" si="571" ref="E169">IFERROR(MAX(0,E167)/E168,"-")</f>
        <v>-</v>
      </c>
      <c s="285" t="str">
        <f ca="1" t="shared" si="572" ref="F169:AG169">IFERROR(MAX(0,F167)/F168,"-")</f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t="shared" ca="1" si="572"/>
        <v>-</v>
      </c>
      <c s="285" t="str">
        <f ca="1" t="shared" si="573" ref="AH169:BM169">IFERROR(MAX(0,AH167)/AH168,"-")</f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  <c s="285" t="str">
        <f t="shared" ca="1" si="573"/>
        <v>-</v>
      </c>
    </row>
    <row r="170" ht="15" customHeight="1"/>
    <row r="171" spans="2:2" ht="15" customHeight="1">
      <c r="B171" s="24" t="s">
        <v>1121</v>
      </c>
    </row>
    <row r="172" spans="2:65" ht="15" customHeight="1">
      <c r="B172" s="12" t="s">
        <v>581</v>
      </c>
      <c s="124" t="str">
        <f>Единица_измерения</f>
        <v>тыс. руб.</v>
      </c>
      <c s="125"/>
      <c s="125">
        <f ca="1">E$152</f>
        <v>0</v>
      </c>
      <c s="125">
        <f ca="1" t="shared" si="574" ref="F172:BM172">F$152</f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  <c s="125">
        <f t="shared" ca="1" si="574"/>
        <v>0</v>
      </c>
    </row>
    <row r="173" spans="2:65" ht="15" customHeight="1">
      <c r="B173" s="12" t="s">
        <v>582</v>
      </c>
      <c s="124" t="str">
        <f>Единица_измерения</f>
        <v>тыс. руб.</v>
      </c>
      <c s="125"/>
      <c s="125">
        <f>'Квартальная отчетность'!E$69</f>
        <v>0</v>
      </c>
      <c s="125">
        <f>'Квартальная отчетность'!F$69</f>
        <v>0</v>
      </c>
      <c s="125">
        <f>'Квартальная отчетность'!G$69</f>
        <v>0</v>
      </c>
      <c s="125">
        <f>'Квартальная отчетность'!H$69</f>
        <v>0</v>
      </c>
      <c s="125">
        <f>'Квартальная отчетность'!I$69</f>
        <v>0</v>
      </c>
      <c s="125">
        <f>'Квартальная отчетность'!J$69</f>
        <v>0</v>
      </c>
      <c s="125">
        <f>'Квартальная отчетность'!K$69</f>
        <v>0</v>
      </c>
      <c s="125">
        <f>'Квартальная отчетность'!L$69</f>
        <v>0</v>
      </c>
      <c s="125">
        <f>'Квартальная отчетность'!M$69</f>
        <v>0</v>
      </c>
      <c s="125">
        <f>'Квартальная отчетность'!N$69</f>
        <v>0</v>
      </c>
      <c s="125">
        <f>'Квартальная отчетность'!O$69</f>
        <v>0</v>
      </c>
      <c s="125">
        <f>'Квартальная отчетность'!P$69</f>
        <v>0</v>
      </c>
      <c s="125">
        <f>'Квартальная отчетность'!Q$69</f>
        <v>0</v>
      </c>
      <c s="125">
        <f>'Квартальная отчетность'!R$69</f>
        <v>0</v>
      </c>
      <c s="125">
        <f>'Квартальная отчетность'!S$69</f>
        <v>0</v>
      </c>
      <c s="125">
        <f>'Квартальная отчетность'!T$69</f>
        <v>0</v>
      </c>
      <c s="125">
        <f>'Квартальная отчетность'!U$69</f>
        <v>0</v>
      </c>
      <c s="125">
        <f>'Квартальная отчетность'!V$69</f>
        <v>0</v>
      </c>
      <c s="125">
        <f>'Квартальная отчетность'!W$69</f>
        <v>0</v>
      </c>
      <c s="125">
        <f>'Квартальная отчетность'!X$69</f>
        <v>0</v>
      </c>
      <c s="125">
        <f>'Квартальная отчетность'!Y$69</f>
        <v>0</v>
      </c>
      <c s="125">
        <f>'Квартальная отчетность'!Z$69</f>
        <v>0</v>
      </c>
      <c s="125">
        <f>'Квартальная отчетность'!AA$69</f>
        <v>0</v>
      </c>
      <c s="125">
        <f>'Квартальная отчетность'!AB$69</f>
        <v>0</v>
      </c>
      <c s="125">
        <f>'Квартальная отчетность'!AC$69</f>
        <v>0</v>
      </c>
      <c s="125">
        <f>'Квартальная отчетность'!AD$69</f>
        <v>0</v>
      </c>
      <c s="125">
        <f>'Квартальная отчетность'!AE$69</f>
        <v>0</v>
      </c>
      <c s="125">
        <f>'Квартальная отчетность'!AF$69</f>
        <v>0</v>
      </c>
      <c s="125">
        <f>'Квартальная отчетность'!AG$69</f>
        <v>0</v>
      </c>
      <c s="125">
        <f>'Квартальная отчетность'!AH$69</f>
        <v>0</v>
      </c>
      <c s="125">
        <f>'Квартальная отчетность'!AI$69</f>
        <v>0</v>
      </c>
      <c s="125">
        <f>'Квартальная отчетность'!AJ$69</f>
        <v>0</v>
      </c>
      <c s="125">
        <f>'Квартальная отчетность'!AK$69</f>
        <v>0</v>
      </c>
      <c s="125">
        <f>'Квартальная отчетность'!AL$69</f>
        <v>0</v>
      </c>
      <c s="125">
        <f>'Квартальная отчетность'!AM$69</f>
        <v>0</v>
      </c>
      <c s="125">
        <f>'Квартальная отчетность'!AN$69</f>
        <v>0</v>
      </c>
      <c s="125">
        <f>'Квартальная отчетность'!AO$69</f>
        <v>0</v>
      </c>
      <c s="125">
        <f>'Квартальная отчетность'!AP$69</f>
        <v>0</v>
      </c>
      <c s="125">
        <f>'Квартальная отчетность'!AQ$69</f>
        <v>0</v>
      </c>
      <c s="125">
        <f>'Квартальная отчетность'!AR$69</f>
        <v>0</v>
      </c>
      <c s="125">
        <f>'Квартальная отчетность'!AS$69</f>
        <v>0</v>
      </c>
      <c s="125">
        <f>'Квартальная отчетность'!AT$69</f>
        <v>0</v>
      </c>
      <c s="125">
        <f>'Квартальная отчетность'!AU$69</f>
        <v>0</v>
      </c>
      <c s="125">
        <f>'Квартальная отчетность'!AV$69</f>
        <v>0</v>
      </c>
      <c s="125">
        <f>'Квартальная отчетность'!AW$69</f>
        <v>0</v>
      </c>
      <c s="125">
        <f>'Квартальная отчетность'!AX$69</f>
        <v>0</v>
      </c>
      <c s="125">
        <f>'Квартальная отчетность'!AY$69</f>
        <v>0</v>
      </c>
      <c s="125">
        <f>'Квартальная отчетность'!AZ$69</f>
        <v>0</v>
      </c>
      <c s="125">
        <f>'Квартальная отчетность'!BA$69</f>
        <v>0</v>
      </c>
      <c s="125">
        <f>'Квартальная отчетность'!BB$69</f>
        <v>0</v>
      </c>
      <c s="125">
        <f>'Квартальная отчетность'!BC$69</f>
        <v>0</v>
      </c>
      <c s="125">
        <f>'Квартальная отчетность'!BD$69</f>
        <v>0</v>
      </c>
      <c s="125">
        <f>'Квартальная отчетность'!BE$69</f>
        <v>0</v>
      </c>
      <c s="125">
        <f>'Квартальная отчетность'!BF$69</f>
        <v>0</v>
      </c>
      <c s="125">
        <f>'Квартальная отчетность'!BG$69</f>
        <v>0</v>
      </c>
      <c s="125">
        <f>'Квартальная отчетность'!BH$69</f>
        <v>0</v>
      </c>
      <c s="125">
        <f>'Квартальная отчетность'!BI$69</f>
        <v>0</v>
      </c>
      <c s="125">
        <f>'Квартальная отчетность'!BJ$69</f>
        <v>0</v>
      </c>
      <c s="125">
        <f>'Квартальная отчетность'!BK$69</f>
        <v>0</v>
      </c>
      <c s="125">
        <f>'Квартальная отчетность'!BL$69</f>
        <v>0</v>
      </c>
      <c s="125">
        <f>'Квартальная отчетность'!BM$69</f>
        <v>0</v>
      </c>
    </row>
    <row r="174" spans="2:65" ht="15" customHeight="1">
      <c r="B174" s="12" t="s">
        <v>583</v>
      </c>
      <c s="124" t="str">
        <f>Единица_измерения</f>
        <v>тыс. руб.</v>
      </c>
      <c s="125"/>
      <c s="125">
        <f>'Квартальная отчетность'!E$70</f>
        <v>0</v>
      </c>
      <c s="125">
        <f>'Квартальная отчетность'!F$70</f>
        <v>0</v>
      </c>
      <c s="125">
        <f>'Квартальная отчетность'!G$70</f>
        <v>0</v>
      </c>
      <c s="125">
        <f>'Квартальная отчетность'!H$70</f>
        <v>0</v>
      </c>
      <c s="125">
        <f>'Квартальная отчетность'!I$70</f>
        <v>0</v>
      </c>
      <c s="125">
        <f>'Квартальная отчетность'!J$70</f>
        <v>0</v>
      </c>
      <c s="125">
        <f>'Квартальная отчетность'!K$70</f>
        <v>0</v>
      </c>
      <c s="125">
        <f>'Квартальная отчетность'!L$70</f>
        <v>0</v>
      </c>
      <c s="125">
        <f>'Квартальная отчетность'!M$70</f>
        <v>0</v>
      </c>
      <c s="125">
        <f>'Квартальная отчетность'!N$70</f>
        <v>0</v>
      </c>
      <c s="125">
        <f>'Квартальная отчетность'!O$70</f>
        <v>0</v>
      </c>
      <c s="125">
        <f>'Квартальная отчетность'!P$70</f>
        <v>0</v>
      </c>
      <c s="125">
        <f>'Квартальная отчетность'!Q$70</f>
        <v>0</v>
      </c>
      <c s="125">
        <f>'Квартальная отчетность'!R$70</f>
        <v>0</v>
      </c>
      <c s="125">
        <f>'Квартальная отчетность'!S$70</f>
        <v>0</v>
      </c>
      <c s="125">
        <f>'Квартальная отчетность'!T$70</f>
        <v>0</v>
      </c>
      <c s="125">
        <f>'Квартальная отчетность'!U$70</f>
        <v>0</v>
      </c>
      <c s="125">
        <f>'Квартальная отчетность'!V$70</f>
        <v>0</v>
      </c>
      <c s="125">
        <f>'Квартальная отчетность'!W$70</f>
        <v>0</v>
      </c>
      <c s="125">
        <f>'Квартальная отчетность'!X$70</f>
        <v>0</v>
      </c>
      <c s="125">
        <f>'Квартальная отчетность'!Y$70</f>
        <v>0</v>
      </c>
      <c s="125">
        <f>'Квартальная отчетность'!Z$70</f>
        <v>0</v>
      </c>
      <c s="125">
        <f>'Квартальная отчетность'!AA$70</f>
        <v>0</v>
      </c>
      <c s="125">
        <f>'Квартальная отчетность'!AB$70</f>
        <v>0</v>
      </c>
      <c s="125">
        <f>'Квартальная отчетность'!AC$70</f>
        <v>0</v>
      </c>
      <c s="125">
        <f>'Квартальная отчетность'!AD$70</f>
        <v>0</v>
      </c>
      <c s="125">
        <f>'Квартальная отчетность'!AE$70</f>
        <v>0</v>
      </c>
      <c s="125">
        <f>'Квартальная отчетность'!AF$70</f>
        <v>0</v>
      </c>
      <c s="125">
        <f>'Квартальная отчетность'!AG$70</f>
        <v>0</v>
      </c>
      <c s="125">
        <f>'Квартальная отчетность'!AH$70</f>
        <v>0</v>
      </c>
      <c s="125">
        <f>'Квартальная отчетность'!AI$70</f>
        <v>0</v>
      </c>
      <c s="125">
        <f>'Квартальная отчетность'!AJ$70</f>
        <v>0</v>
      </c>
      <c s="125">
        <f>'Квартальная отчетность'!AK$70</f>
        <v>0</v>
      </c>
      <c s="125">
        <f>'Квартальная отчетность'!AL$70</f>
        <v>0</v>
      </c>
      <c s="125">
        <f>'Квартальная отчетность'!AM$70</f>
        <v>0</v>
      </c>
      <c s="125">
        <f>'Квартальная отчетность'!AN$70</f>
        <v>0</v>
      </c>
      <c s="125">
        <f>'Квартальная отчетность'!AO$70</f>
        <v>0</v>
      </c>
      <c s="125">
        <f>'Квартальная отчетность'!AP$70</f>
        <v>0</v>
      </c>
      <c s="125">
        <f>'Квартальная отчетность'!AQ$70</f>
        <v>0</v>
      </c>
      <c s="125">
        <f>'Квартальная отчетность'!AR$70</f>
        <v>0</v>
      </c>
      <c s="125">
        <f>'Квартальная отчетность'!AS$70</f>
        <v>0</v>
      </c>
      <c s="125">
        <f>'Квартальная отчетность'!AT$70</f>
        <v>0</v>
      </c>
      <c s="125">
        <f>'Квартальная отчетность'!AU$70</f>
        <v>0</v>
      </c>
      <c s="125">
        <f>'Квартальная отчетность'!AV$70</f>
        <v>0</v>
      </c>
      <c s="125">
        <f>'Квартальная отчетность'!AW$70</f>
        <v>0</v>
      </c>
      <c s="125">
        <f>'Квартальная отчетность'!AX$70</f>
        <v>0</v>
      </c>
      <c s="125">
        <f>'Квартальная отчетность'!AY$70</f>
        <v>0</v>
      </c>
      <c s="125">
        <f>'Квартальная отчетность'!AZ$70</f>
        <v>0</v>
      </c>
      <c s="125">
        <f>'Квартальная отчетность'!BA$70</f>
        <v>0</v>
      </c>
      <c s="125">
        <f>'Квартальная отчетность'!BB$70</f>
        <v>0</v>
      </c>
      <c s="125">
        <f>'Квартальная отчетность'!BC$70</f>
        <v>0</v>
      </c>
      <c s="125">
        <f>'Квартальная отчетность'!BD$70</f>
        <v>0</v>
      </c>
      <c s="125">
        <f>'Квартальная отчетность'!BE$70</f>
        <v>0</v>
      </c>
      <c s="125">
        <f>'Квартальная отчетность'!BF$70</f>
        <v>0</v>
      </c>
      <c s="125">
        <f>'Квартальная отчетность'!BG$70</f>
        <v>0</v>
      </c>
      <c s="125">
        <f>'Квартальная отчетность'!BH$70</f>
        <v>0</v>
      </c>
      <c s="125">
        <f>'Квартальная отчетность'!BI$70</f>
        <v>0</v>
      </c>
      <c s="125">
        <f>'Квартальная отчетность'!BJ$70</f>
        <v>0</v>
      </c>
      <c s="125">
        <f>'Квартальная отчетность'!BK$70</f>
        <v>0</v>
      </c>
      <c s="125">
        <f>'Квартальная отчетность'!BL$70</f>
        <v>0</v>
      </c>
      <c s="125">
        <f>'Квартальная отчетность'!BM$70</f>
        <v>0</v>
      </c>
    </row>
    <row r="175" spans="2:65" ht="15" customHeight="1">
      <c r="B175" s="289" t="s">
        <v>584</v>
      </c>
      <c s="290" t="s">
        <v>1117</v>
      </c>
      <c s="285"/>
      <c s="285" t="str">
        <f ca="1">IFERROR(E$172/-SUM(E$173:E$174),"-")</f>
        <v>-</v>
      </c>
      <c s="285" t="str">
        <f ca="1" t="shared" si="575" ref="F175:BM175">IFERROR(F$172/-SUM(F$173:F$174),"-")</f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  <c s="285" t="str">
        <f t="shared" ca="1" si="575"/>
        <v>-</v>
      </c>
    </row>
    <row r="176" spans="2:65" ht="15" customHeight="1">
      <c r="B176" s="139" t="s">
        <v>1122</v>
      </c>
      <c s="124" t="s">
        <v>1117</v>
      </c>
      <c s="140"/>
      <c s="141" t="str">
        <f ca="1">IFERROR(SUM($E$172:E$172)/-SUM($E$173:E$173,$E$174:E$174),"-")</f>
        <v>-</v>
      </c>
      <c s="141" t="str">
        <f ca="1">IFERROR(SUM($E$172:F$172)/-SUM($E$173:F$173,$E$174:F$174),"-")</f>
        <v>-</v>
      </c>
      <c s="141" t="str">
        <f ca="1">IFERROR(SUM($E$172:G$172)/-SUM($E$173:G$173,$E$174:G$174),"-")</f>
        <v>-</v>
      </c>
      <c s="141" t="str">
        <f ca="1">IFERROR(SUM($E$172:H$172)/-SUM($E$173:H$173,$E$174:H$174),"-")</f>
        <v>-</v>
      </c>
      <c s="141" t="str">
        <f ca="1">IFERROR(SUM($E$172:I$172)/-SUM($E$173:I$173,$E$174:I$174),"-")</f>
        <v>-</v>
      </c>
      <c s="141" t="str">
        <f ca="1">IFERROR(SUM($E$172:J$172)/-SUM($E$173:J$173,$E$174:J$174),"-")</f>
        <v>-</v>
      </c>
      <c s="141" t="str">
        <f ca="1">IFERROR(SUM($E$172:K$172)/-SUM($E$173:K$173,$E$174:K$174),"-")</f>
        <v>-</v>
      </c>
      <c s="141" t="str">
        <f ca="1">IFERROR(SUM($E$172:L$172)/-SUM($E$173:L$173,$E$174:L$174),"-")</f>
        <v>-</v>
      </c>
      <c s="141" t="str">
        <f ca="1">IFERROR(SUM($E$172:M$172)/-SUM($E$173:M$173,$E$174:M$174),"-")</f>
        <v>-</v>
      </c>
      <c s="141" t="str">
        <f ca="1">IFERROR(SUM($E$172:N$172)/-SUM($E$173:N$173,$E$174:N$174),"-")</f>
        <v>-</v>
      </c>
      <c s="141" t="str">
        <f ca="1">IFERROR(SUM($E$172:O$172)/-SUM($E$173:O$173,$E$174:O$174),"-")</f>
        <v>-</v>
      </c>
      <c s="141" t="str">
        <f ca="1">IFERROR(SUM($E$172:P$172)/-SUM($E$173:P$173,$E$174:P$174),"-")</f>
        <v>-</v>
      </c>
      <c s="141" t="str">
        <f ca="1">IFERROR(SUM($E$172:Q$172)/-SUM($E$173:Q$173,$E$174:Q$174),"-")</f>
        <v>-</v>
      </c>
      <c s="141" t="str">
        <f ca="1">IFERROR(SUM($E$172:R$172)/-SUM($E$173:R$173,$E$174:R$174),"-")</f>
        <v>-</v>
      </c>
      <c s="141" t="str">
        <f ca="1">IFERROR(SUM($E$172:S$172)/-SUM($E$173:S$173,$E$174:S$174),"-")</f>
        <v>-</v>
      </c>
      <c s="141" t="str">
        <f ca="1">IFERROR(SUM($E$172:T$172)/-SUM($E$173:T$173,$E$174:T$174),"-")</f>
        <v>-</v>
      </c>
      <c s="141" t="str">
        <f ca="1">IFERROR(SUM($E$172:U$172)/-SUM($E$173:U$173,$E$174:U$174),"-")</f>
        <v>-</v>
      </c>
      <c s="141" t="str">
        <f ca="1">IFERROR(SUM($E$172:V$172)/-SUM($E$173:V$173,$E$174:V$174),"-")</f>
        <v>-</v>
      </c>
      <c s="141" t="str">
        <f ca="1">IFERROR(SUM($E$172:W$172)/-SUM($E$173:W$173,$E$174:W$174),"-")</f>
        <v>-</v>
      </c>
      <c s="141" t="str">
        <f ca="1">IFERROR(SUM($E$172:X$172)/-SUM($E$173:X$173,$E$174:X$174),"-")</f>
        <v>-</v>
      </c>
      <c s="141" t="str">
        <f ca="1">IFERROR(SUM($E$172:Y$172)/-SUM($E$173:Y$173,$E$174:Y$174),"-")</f>
        <v>-</v>
      </c>
      <c s="141" t="str">
        <f ca="1">IFERROR(SUM($E$172:Z$172)/-SUM($E$173:Z$173,$E$174:Z$174),"-")</f>
        <v>-</v>
      </c>
      <c s="141" t="str">
        <f ca="1">IFERROR(SUM($E$172:AA$172)/-SUM($E$173:AA$173,$E$174:AA$174),"-")</f>
        <v>-</v>
      </c>
      <c s="141" t="str">
        <f ca="1">IFERROR(SUM($E$172:AB$172)/-SUM($E$173:AB$173,$E$174:AB$174),"-")</f>
        <v>-</v>
      </c>
      <c s="141" t="str">
        <f ca="1">IFERROR(SUM($E$172:AC$172)/-SUM($E$173:AC$173,$E$174:AC$174),"-")</f>
        <v>-</v>
      </c>
      <c s="141" t="str">
        <f ca="1">IFERROR(SUM($E$172:AD$172)/-SUM($E$173:AD$173,$E$174:AD$174),"-")</f>
        <v>-</v>
      </c>
      <c s="141" t="str">
        <f ca="1">IFERROR(SUM($E$172:AE$172)/-SUM($E$173:AE$173,$E$174:AE$174),"-")</f>
        <v>-</v>
      </c>
      <c s="141" t="str">
        <f ca="1">IFERROR(SUM($E$172:AF$172)/-SUM($E$173:AF$173,$E$174:AF$174),"-")</f>
        <v>-</v>
      </c>
      <c s="141" t="str">
        <f ca="1">IFERROR(SUM($E$172:AG$172)/-SUM($E$173:AG$173,$E$174:AG$174),"-")</f>
        <v>-</v>
      </c>
      <c s="141" t="str">
        <f ca="1">IFERROR(SUM($E$172:AH$172)/-SUM($E$173:AH$173,$E$174:AH$174),"-")</f>
        <v>-</v>
      </c>
      <c s="141" t="str">
        <f ca="1">IFERROR(SUM($E$172:AI$172)/-SUM($E$173:AI$173,$E$174:AI$174),"-")</f>
        <v>-</v>
      </c>
      <c s="141" t="str">
        <f ca="1">IFERROR(SUM($E$172:AJ$172)/-SUM($E$173:AJ$173,$E$174:AJ$174),"-")</f>
        <v>-</v>
      </c>
      <c s="141" t="str">
        <f ca="1">IFERROR(SUM($E$172:AK$172)/-SUM($E$173:AK$173,$E$174:AK$174),"-")</f>
        <v>-</v>
      </c>
      <c s="141" t="str">
        <f ca="1">IFERROR(SUM($E$172:AL$172)/-SUM($E$173:AL$173,$E$174:AL$174),"-")</f>
        <v>-</v>
      </c>
      <c s="141" t="str">
        <f ca="1">IFERROR(SUM($E$172:AM$172)/-SUM($E$173:AM$173,$E$174:AM$174),"-")</f>
        <v>-</v>
      </c>
      <c s="141" t="str">
        <f ca="1">IFERROR(SUM($E$172:AN$172)/-SUM($E$173:AN$173,$E$174:AN$174),"-")</f>
        <v>-</v>
      </c>
      <c s="141" t="str">
        <f ca="1">IFERROR(SUM($E$172:AO$172)/-SUM($E$173:AO$173,$E$174:AO$174),"-")</f>
        <v>-</v>
      </c>
      <c s="141" t="str">
        <f ca="1">IFERROR(SUM($E$172:AP$172)/-SUM($E$173:AP$173,$E$174:AP$174),"-")</f>
        <v>-</v>
      </c>
      <c s="141" t="str">
        <f ca="1">IFERROR(SUM($E$172:AQ$172)/-SUM($E$173:AQ$173,$E$174:AQ$174),"-")</f>
        <v>-</v>
      </c>
      <c s="141" t="str">
        <f ca="1">IFERROR(SUM($E$172:AR$172)/-SUM($E$173:AR$173,$E$174:AR$174),"-")</f>
        <v>-</v>
      </c>
      <c s="141" t="str">
        <f ca="1">IFERROR(SUM($E$172:AS$172)/-SUM($E$173:AS$173,$E$174:AS$174),"-")</f>
        <v>-</v>
      </c>
      <c s="141" t="str">
        <f ca="1">IFERROR(SUM($E$172:AT$172)/-SUM($E$173:AT$173,$E$174:AT$174),"-")</f>
        <v>-</v>
      </c>
      <c s="141" t="str">
        <f ca="1">IFERROR(SUM($E$172:AU$172)/-SUM($E$173:AU$173,$E$174:AU$174),"-")</f>
        <v>-</v>
      </c>
      <c s="141" t="str">
        <f ca="1">IFERROR(SUM($E$172:AV$172)/-SUM($E$173:AV$173,$E$174:AV$174),"-")</f>
        <v>-</v>
      </c>
      <c s="141" t="str">
        <f ca="1">IFERROR(SUM($E$172:AW$172)/-SUM($E$173:AW$173,$E$174:AW$174),"-")</f>
        <v>-</v>
      </c>
      <c s="141" t="str">
        <f ca="1">IFERROR(SUM($E$172:AX$172)/-SUM($E$173:AX$173,$E$174:AX$174),"-")</f>
        <v>-</v>
      </c>
      <c s="141" t="str">
        <f ca="1">IFERROR(SUM($E$172:AY$172)/-SUM($E$173:AY$173,$E$174:AY$174),"-")</f>
        <v>-</v>
      </c>
      <c s="141" t="str">
        <f ca="1">IFERROR(SUM($E$172:AZ$172)/-SUM($E$173:AZ$173,$E$174:AZ$174),"-")</f>
        <v>-</v>
      </c>
      <c s="141" t="str">
        <f ca="1">IFERROR(SUM($E$172:BA$172)/-SUM($E$173:BA$173,$E$174:BA$174),"-")</f>
        <v>-</v>
      </c>
      <c s="141" t="str">
        <f ca="1">IFERROR(SUM($E$172:BB$172)/-SUM($E$173:BB$173,$E$174:BB$174),"-")</f>
        <v>-</v>
      </c>
      <c s="141" t="str">
        <f ca="1">IFERROR(SUM($E$172:BC$172)/-SUM($E$173:BC$173,$E$174:BC$174),"-")</f>
        <v>-</v>
      </c>
      <c s="141" t="str">
        <f ca="1">IFERROR(SUM($E$172:BD$172)/-SUM($E$173:BD$173,$E$174:BD$174),"-")</f>
        <v>-</v>
      </c>
      <c s="141" t="str">
        <f ca="1">IFERROR(SUM($E$172:BE$172)/-SUM($E$173:BE$173,$E$174:BE$174),"-")</f>
        <v>-</v>
      </c>
      <c s="141" t="str">
        <f ca="1">IFERROR(SUM($E$172:BF$172)/-SUM($E$173:BF$173,$E$174:BF$174),"-")</f>
        <v>-</v>
      </c>
      <c s="141" t="str">
        <f ca="1">IFERROR(SUM($E$172:BG$172)/-SUM($E$173:BG$173,$E$174:BG$174),"-")</f>
        <v>-</v>
      </c>
      <c s="141" t="str">
        <f ca="1">IFERROR(SUM($E$172:BH$172)/-SUM($E$173:BH$173,$E$174:BH$174),"-")</f>
        <v>-</v>
      </c>
      <c s="141" t="str">
        <f ca="1">IFERROR(SUM($E$172:BI$172)/-SUM($E$173:BI$173,$E$174:BI$174),"-")</f>
        <v>-</v>
      </c>
      <c s="141" t="str">
        <f ca="1">IFERROR(SUM($E$172:BJ$172)/-SUM($E$173:BJ$173,$E$174:BJ$174),"-")</f>
        <v>-</v>
      </c>
      <c s="141" t="str">
        <f ca="1">IFERROR(SUM($E$172:BK$172)/-SUM($E$173:BK$173,$E$174:BK$174),"-")</f>
        <v>-</v>
      </c>
      <c s="141" t="str">
        <f ca="1">IFERROR(SUM($E$172:BL$172)/-SUM($E$173:BL$173,$E$174:BL$174),"-")</f>
        <v>-</v>
      </c>
      <c s="141" t="str">
        <f ca="1">IFERROR(SUM($E$172:BM$172)/-SUM($E$173:BM$173,$E$174:BM$174),"-")</f>
        <v>-</v>
      </c>
    </row>
    <row r="177" ht="15" customHeight="1"/>
    <row r="178" spans="2:65" ht="21">
      <c r="B178" s="23" t="s">
        <v>1123</v>
      </c>
      <c r="D178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9" spans="2:2" ht="15" customHeight="1">
      <c r="B179" s="24" t="s">
        <v>1124</v>
      </c>
    </row>
    <row r="180" spans="2:65" ht="15" customHeight="1">
      <c r="B180" s="12" t="s">
        <v>1005</v>
      </c>
      <c s="124" t="str">
        <f>Единица_измерения</f>
        <v>тыс. руб.</v>
      </c>
      <c s="125"/>
      <c s="125">
        <f ca="1">'Квартальная отчетность'!E$93</f>
        <v>0</v>
      </c>
      <c s="125">
        <f ca="1">'Квартальная отчетность'!F$93</f>
        <v>0</v>
      </c>
      <c s="125">
        <f ca="1">'Квартальная отчетность'!G$93</f>
        <v>0</v>
      </c>
      <c s="125">
        <f ca="1">'Квартальная отчетность'!H$93</f>
        <v>0</v>
      </c>
      <c s="125">
        <f ca="1">'Квартальная отчетность'!I$93</f>
        <v>0</v>
      </c>
      <c s="125">
        <f ca="1">'Квартальная отчетность'!J$93</f>
        <v>0</v>
      </c>
      <c s="125">
        <f ca="1">'Квартальная отчетность'!K$93</f>
        <v>0</v>
      </c>
      <c s="125">
        <f ca="1">'Квартальная отчетность'!L$93</f>
        <v>0</v>
      </c>
      <c s="125">
        <f ca="1">'Квартальная отчетность'!M$93</f>
        <v>0</v>
      </c>
      <c s="125">
        <f ca="1">'Квартальная отчетность'!N$93</f>
        <v>0</v>
      </c>
      <c s="125">
        <f ca="1">'Квартальная отчетность'!O$93</f>
        <v>0</v>
      </c>
      <c s="125">
        <f ca="1">'Квартальная отчетность'!P$93</f>
        <v>0</v>
      </c>
      <c s="125">
        <f ca="1">'Квартальная отчетность'!Q$93</f>
        <v>0</v>
      </c>
      <c s="125">
        <f ca="1">'Квартальная отчетность'!R$93</f>
        <v>0</v>
      </c>
      <c s="125">
        <f ca="1">'Квартальная отчетность'!S$93</f>
        <v>0</v>
      </c>
      <c s="125">
        <f ca="1">'Квартальная отчетность'!T$93</f>
        <v>0</v>
      </c>
      <c s="125">
        <f ca="1">'Квартальная отчетность'!U$93</f>
        <v>0</v>
      </c>
      <c s="125">
        <f ca="1">'Квартальная отчетность'!V$93</f>
        <v>0</v>
      </c>
      <c s="125">
        <f ca="1">'Квартальная отчетность'!W$93</f>
        <v>0</v>
      </c>
      <c s="125">
        <f ca="1">'Квартальная отчетность'!X$93</f>
        <v>0</v>
      </c>
      <c s="125">
        <f ca="1">'Квартальная отчетность'!Y$93</f>
        <v>0</v>
      </c>
      <c s="125">
        <f ca="1">'Квартальная отчетность'!Z$93</f>
        <v>0</v>
      </c>
      <c s="125">
        <f ca="1">'Квартальная отчетность'!AA$93</f>
        <v>0</v>
      </c>
      <c s="125">
        <f ca="1">'Квартальная отчетность'!AB$93</f>
        <v>0</v>
      </c>
      <c s="125">
        <f ca="1">'Квартальная отчетность'!AC$93</f>
        <v>0</v>
      </c>
      <c s="125">
        <f ca="1">'Квартальная отчетность'!AD$93</f>
        <v>0</v>
      </c>
      <c s="125">
        <f ca="1">'Квартальная отчетность'!AE$93</f>
        <v>0</v>
      </c>
      <c s="125">
        <f ca="1">'Квартальная отчетность'!AF$93</f>
        <v>0</v>
      </c>
      <c s="125">
        <f ca="1">'Квартальная отчетность'!AG$93</f>
        <v>0</v>
      </c>
      <c s="125">
        <f ca="1">'Квартальная отчетность'!AH$93</f>
        <v>0</v>
      </c>
      <c s="125">
        <f ca="1">'Квартальная отчетность'!AI$93</f>
        <v>0</v>
      </c>
      <c s="125">
        <f ca="1">'Квартальная отчетность'!AJ$93</f>
        <v>0</v>
      </c>
      <c s="125">
        <f ca="1">'Квартальная отчетность'!AK$93</f>
        <v>0</v>
      </c>
      <c s="125">
        <f ca="1">'Квартальная отчетность'!AL$93</f>
        <v>0</v>
      </c>
      <c s="125">
        <f ca="1">'Квартальная отчетность'!AM$93</f>
        <v>0</v>
      </c>
      <c s="125">
        <f ca="1">'Квартальная отчетность'!AN$93</f>
        <v>0</v>
      </c>
      <c s="125">
        <f ca="1">'Квартальная отчетность'!AO$93</f>
        <v>0</v>
      </c>
      <c s="125">
        <f ca="1">'Квартальная отчетность'!AP$93</f>
        <v>0</v>
      </c>
      <c s="125">
        <f ca="1">'Квартальная отчетность'!AQ$93</f>
        <v>0</v>
      </c>
      <c s="125">
        <f ca="1">'Квартальная отчетность'!AR$93</f>
        <v>0</v>
      </c>
      <c s="125">
        <f ca="1">'Квартальная отчетность'!AS$93</f>
        <v>0</v>
      </c>
      <c s="125">
        <f ca="1">'Квартальная отчетность'!AT$93</f>
        <v>0</v>
      </c>
      <c s="125">
        <f ca="1">'Квартальная отчетность'!AU$93</f>
        <v>0</v>
      </c>
      <c s="125">
        <f ca="1">'Квартальная отчетность'!AV$93</f>
        <v>0</v>
      </c>
      <c s="125">
        <f ca="1">'Квартальная отчетность'!AW$93</f>
        <v>0</v>
      </c>
      <c s="125">
        <f ca="1">'Квартальная отчетность'!AX$93</f>
        <v>0</v>
      </c>
      <c s="125">
        <f ca="1">'Квартальная отчетность'!AY$93</f>
        <v>0</v>
      </c>
      <c s="125">
        <f ca="1">'Квартальная отчетность'!AZ$93</f>
        <v>0</v>
      </c>
      <c s="125">
        <f ca="1">'Квартальная отчетность'!BA$93</f>
        <v>0</v>
      </c>
      <c s="125">
        <f ca="1">'Квартальная отчетность'!BB$93</f>
        <v>0</v>
      </c>
      <c s="125">
        <f ca="1">'Квартальная отчетность'!BC$93</f>
        <v>0</v>
      </c>
      <c s="125">
        <f ca="1">'Квартальная отчетность'!BD$93</f>
        <v>0</v>
      </c>
      <c s="125">
        <f ca="1">'Квартальная отчетность'!BE$93</f>
        <v>0</v>
      </c>
      <c s="125">
        <f ca="1">'Квартальная отчетность'!BF$93</f>
        <v>0</v>
      </c>
      <c s="125">
        <f ca="1">'Квартальная отчетность'!BG$93</f>
        <v>0</v>
      </c>
      <c s="125">
        <f ca="1">'Квартальная отчетность'!BH$93</f>
        <v>0</v>
      </c>
      <c s="125">
        <f ca="1">'Квартальная отчетность'!BI$93</f>
        <v>0</v>
      </c>
      <c s="125">
        <f ca="1">'Квартальная отчетность'!BJ$93</f>
        <v>0</v>
      </c>
      <c s="125">
        <f ca="1">'Квартальная отчетность'!BK$93</f>
        <v>0</v>
      </c>
      <c s="125">
        <f ca="1">'Квартальная отчетность'!BL$93</f>
        <v>0</v>
      </c>
      <c s="125">
        <f ca="1">'Квартальная отчетность'!BM$93</f>
        <v>0</v>
      </c>
    </row>
    <row r="181" spans="2:65" ht="15" customHeight="1">
      <c r="B181" s="12" t="s">
        <v>1074</v>
      </c>
      <c s="124" t="str">
        <f>Единица_измерения</f>
        <v>тыс. руб.</v>
      </c>
      <c s="125"/>
      <c s="125">
        <f ca="1">'Квартальная отчетность'!E$106</f>
        <v>0</v>
      </c>
      <c s="125">
        <f ca="1">'Квартальная отчетность'!F$106</f>
        <v>0</v>
      </c>
      <c s="125">
        <f ca="1">'Квартальная отчетность'!G$106</f>
        <v>0</v>
      </c>
      <c s="125">
        <f ca="1">'Квартальная отчетность'!H$106</f>
        <v>0</v>
      </c>
      <c s="125">
        <f ca="1">'Квартальная отчетность'!I$106</f>
        <v>0</v>
      </c>
      <c s="125">
        <f ca="1">'Квартальная отчетность'!J$106</f>
        <v>0</v>
      </c>
      <c s="125">
        <f ca="1">'Квартальная отчетность'!K$106</f>
        <v>0</v>
      </c>
      <c s="125">
        <f ca="1">'Квартальная отчетность'!L$106</f>
        <v>0</v>
      </c>
      <c s="125">
        <f ca="1">'Квартальная отчетность'!M$106</f>
        <v>0</v>
      </c>
      <c s="125">
        <f ca="1">'Квартальная отчетность'!N$106</f>
        <v>0</v>
      </c>
      <c s="125">
        <f ca="1">'Квартальная отчетность'!O$106</f>
        <v>0</v>
      </c>
      <c s="125">
        <f ca="1">'Квартальная отчетность'!P$106</f>
        <v>0</v>
      </c>
      <c s="125">
        <f ca="1">'Квартальная отчетность'!Q$106</f>
        <v>0</v>
      </c>
      <c s="125">
        <f ca="1">'Квартальная отчетность'!R$106</f>
        <v>0</v>
      </c>
      <c s="125">
        <f ca="1">'Квартальная отчетность'!S$106</f>
        <v>0</v>
      </c>
      <c s="125">
        <f ca="1">'Квартальная отчетность'!T$106</f>
        <v>0</v>
      </c>
      <c s="125">
        <f ca="1">'Квартальная отчетность'!U$106</f>
        <v>0</v>
      </c>
      <c s="125">
        <f ca="1">'Квартальная отчетность'!V$106</f>
        <v>0</v>
      </c>
      <c s="125">
        <f ca="1">'Квартальная отчетность'!W$106</f>
        <v>0</v>
      </c>
      <c s="125">
        <f ca="1">'Квартальная отчетность'!X$106</f>
        <v>0</v>
      </c>
      <c s="125">
        <f ca="1">'Квартальная отчетность'!Y$106</f>
        <v>0</v>
      </c>
      <c s="125">
        <f ca="1">'Квартальная отчетность'!Z$106</f>
        <v>0</v>
      </c>
      <c s="125">
        <f ca="1">'Квартальная отчетность'!AA$106</f>
        <v>0</v>
      </c>
      <c s="125">
        <f ca="1">'Квартальная отчетность'!AB$106</f>
        <v>0</v>
      </c>
      <c s="125">
        <f ca="1">'Квартальная отчетность'!AC$106</f>
        <v>0</v>
      </c>
      <c s="125">
        <f ca="1">'Квартальная отчетность'!AD$106</f>
        <v>0</v>
      </c>
      <c s="125">
        <f ca="1">'Квартальная отчетность'!AE$106</f>
        <v>0</v>
      </c>
      <c s="125">
        <f ca="1">'Квартальная отчетность'!AF$106</f>
        <v>0</v>
      </c>
      <c s="125">
        <f ca="1">'Квартальная отчетность'!AG$106</f>
        <v>0</v>
      </c>
      <c s="125">
        <f ca="1">'Квартальная отчетность'!AH$106</f>
        <v>0</v>
      </c>
      <c s="125">
        <f ca="1">'Квартальная отчетность'!AI$106</f>
        <v>0</v>
      </c>
      <c s="125">
        <f ca="1">'Квартальная отчетность'!AJ$106</f>
        <v>0</v>
      </c>
      <c s="125">
        <f ca="1">'Квартальная отчетность'!AK$106</f>
        <v>0</v>
      </c>
      <c s="125">
        <f ca="1">'Квартальная отчетность'!AL$106</f>
        <v>0</v>
      </c>
      <c s="125">
        <f ca="1">'Квартальная отчетность'!AM$106</f>
        <v>0</v>
      </c>
      <c s="125">
        <f ca="1">'Квартальная отчетность'!AN$106</f>
        <v>0</v>
      </c>
      <c s="125">
        <f ca="1">'Квартальная отчетность'!AO$106</f>
        <v>0</v>
      </c>
      <c s="125">
        <f ca="1">'Квартальная отчетность'!AP$106</f>
        <v>0</v>
      </c>
      <c s="125">
        <f ca="1">'Квартальная отчетность'!AQ$106</f>
        <v>0</v>
      </c>
      <c s="125">
        <f ca="1">'Квартальная отчетность'!AR$106</f>
        <v>0</v>
      </c>
      <c s="125">
        <f ca="1">'Квартальная отчетность'!AS$106</f>
        <v>0</v>
      </c>
      <c s="125">
        <f ca="1">'Квартальная отчетность'!AT$106</f>
        <v>0</v>
      </c>
      <c s="125">
        <f ca="1">'Квартальная отчетность'!AU$106</f>
        <v>0</v>
      </c>
      <c s="125">
        <f ca="1">'Квартальная отчетность'!AV$106</f>
        <v>0</v>
      </c>
      <c s="125">
        <f ca="1">'Квартальная отчетность'!AW$106</f>
        <v>0</v>
      </c>
      <c s="125">
        <f ca="1">'Квартальная отчетность'!AX$106</f>
        <v>0</v>
      </c>
      <c s="125">
        <f ca="1">'Квартальная отчетность'!AY$106</f>
        <v>0</v>
      </c>
      <c s="125">
        <f ca="1">'Квартальная отчетность'!AZ$106</f>
        <v>0</v>
      </c>
      <c s="125">
        <f ca="1">'Квартальная отчетность'!BA$106</f>
        <v>0</v>
      </c>
      <c s="125">
        <f ca="1">'Квартальная отчетность'!BB$106</f>
        <v>0</v>
      </c>
      <c s="125">
        <f ca="1">'Квартальная отчетность'!BC$106</f>
        <v>0</v>
      </c>
      <c s="125">
        <f ca="1">'Квартальная отчетность'!BD$106</f>
        <v>0</v>
      </c>
      <c s="125">
        <f ca="1">'Квартальная отчетность'!BE$106</f>
        <v>0</v>
      </c>
      <c s="125">
        <f ca="1">'Квартальная отчетность'!BF$106</f>
        <v>0</v>
      </c>
      <c s="125">
        <f ca="1">'Квартальная отчетность'!BG$106</f>
        <v>0</v>
      </c>
      <c s="125">
        <f ca="1">'Квартальная отчетность'!BH$106</f>
        <v>0</v>
      </c>
      <c s="125">
        <f ca="1">'Квартальная отчетность'!BI$106</f>
        <v>0</v>
      </c>
      <c s="125">
        <f ca="1">'Квартальная отчетность'!BJ$106</f>
        <v>0</v>
      </c>
      <c s="125">
        <f ca="1">'Квартальная отчетность'!BK$106</f>
        <v>0</v>
      </c>
      <c s="125">
        <f ca="1">'Квартальная отчетность'!BL$106</f>
        <v>0</v>
      </c>
      <c s="125">
        <f ca="1">'Квартальная отчетность'!BM$106</f>
        <v>0</v>
      </c>
    </row>
    <row r="182" spans="2:65" ht="15" customHeight="1">
      <c r="B182" s="289" t="s">
        <v>1124</v>
      </c>
      <c s="290" t="s">
        <v>1117</v>
      </c>
      <c s="276"/>
      <c s="276" t="str">
        <f ca="1" t="shared" si="576" ref="E182">IFERROR(E180/E181,"-")</f>
        <v>-</v>
      </c>
      <c s="276" t="str">
        <f ca="1" t="shared" si="577" ref="F182:AG182">IFERROR(F180/F181,"-")</f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t="shared" ca="1" si="577"/>
        <v>-</v>
      </c>
      <c s="276" t="str">
        <f ca="1" t="shared" si="578" ref="AH182:BM182">IFERROR(AH180/AH181,"-")</f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  <c s="276" t="str">
        <f t="shared" ca="1" si="578"/>
        <v>-</v>
      </c>
    </row>
    <row r="183" ht="15" customHeight="1"/>
    <row r="184" spans="2:2" ht="15" customHeight="1">
      <c r="B184" s="24" t="s">
        <v>1125</v>
      </c>
    </row>
    <row r="185" spans="2:65" ht="15" customHeight="1">
      <c r="B185" s="12" t="s">
        <v>1003</v>
      </c>
      <c s="124" t="str">
        <f>Единица_измерения</f>
        <v>тыс. руб.</v>
      </c>
      <c s="125"/>
      <c s="125">
        <f ca="1">'Квартальная отчетность'!E$94</f>
        <v>0</v>
      </c>
      <c s="125">
        <f ca="1">'Квартальная отчетность'!F$94</f>
        <v>0</v>
      </c>
      <c s="125">
        <f ca="1">'Квартальная отчетность'!G$94</f>
        <v>0</v>
      </c>
      <c s="125">
        <f ca="1">'Квартальная отчетность'!H$94</f>
        <v>0</v>
      </c>
      <c s="125">
        <f ca="1">'Квартальная отчетность'!I$94</f>
        <v>0</v>
      </c>
      <c s="125">
        <f ca="1">'Квартальная отчетность'!J$94</f>
        <v>0</v>
      </c>
      <c s="125">
        <f ca="1">'Квартальная отчетность'!K$94</f>
        <v>0</v>
      </c>
      <c s="125">
        <f ca="1">'Квартальная отчетность'!L$94</f>
        <v>0</v>
      </c>
      <c s="125">
        <f ca="1">'Квартальная отчетность'!M$94</f>
        <v>0</v>
      </c>
      <c s="125">
        <f ca="1">'Квартальная отчетность'!N$94</f>
        <v>0</v>
      </c>
      <c s="125">
        <f ca="1">'Квартальная отчетность'!O$94</f>
        <v>0</v>
      </c>
      <c s="125">
        <f ca="1">'Квартальная отчетность'!P$94</f>
        <v>0</v>
      </c>
      <c s="125">
        <f ca="1">'Квартальная отчетность'!Q$94</f>
        <v>0</v>
      </c>
      <c s="125">
        <f ca="1">'Квартальная отчетность'!R$94</f>
        <v>0</v>
      </c>
      <c s="125">
        <f ca="1">'Квартальная отчетность'!S$94</f>
        <v>0</v>
      </c>
      <c s="125">
        <f ca="1">'Квартальная отчетность'!T$94</f>
        <v>0</v>
      </c>
      <c s="125">
        <f ca="1">'Квартальная отчетность'!U$94</f>
        <v>0</v>
      </c>
      <c s="125">
        <f ca="1">'Квартальная отчетность'!V$94</f>
        <v>0</v>
      </c>
      <c s="125">
        <f ca="1">'Квартальная отчетность'!W$94</f>
        <v>0</v>
      </c>
      <c s="125">
        <f ca="1">'Квартальная отчетность'!X$94</f>
        <v>0</v>
      </c>
      <c s="125">
        <f ca="1">'Квартальная отчетность'!Y$94</f>
        <v>0</v>
      </c>
      <c s="125">
        <f ca="1">'Квартальная отчетность'!Z$94</f>
        <v>0</v>
      </c>
      <c s="125">
        <f ca="1">'Квартальная отчетность'!AA$94</f>
        <v>0</v>
      </c>
      <c s="125">
        <f ca="1">'Квартальная отчетность'!AB$94</f>
        <v>0</v>
      </c>
      <c s="125">
        <f ca="1">'Квартальная отчетность'!AC$94</f>
        <v>0</v>
      </c>
      <c s="125">
        <f ca="1">'Квартальная отчетность'!AD$94</f>
        <v>0</v>
      </c>
      <c s="125">
        <f ca="1">'Квартальная отчетность'!AE$94</f>
        <v>0</v>
      </c>
      <c s="125">
        <f ca="1">'Квартальная отчетность'!AF$94</f>
        <v>0</v>
      </c>
      <c s="125">
        <f ca="1">'Квартальная отчетность'!AG$94</f>
        <v>0</v>
      </c>
      <c s="125">
        <f ca="1">'Квартальная отчетность'!AH$94</f>
        <v>0</v>
      </c>
      <c s="125">
        <f ca="1">'Квартальная отчетность'!AI$94</f>
        <v>0</v>
      </c>
      <c s="125">
        <f ca="1">'Квартальная отчетность'!AJ$94</f>
        <v>0</v>
      </c>
      <c s="125">
        <f ca="1">'Квартальная отчетность'!AK$94</f>
        <v>0</v>
      </c>
      <c s="125">
        <f ca="1">'Квартальная отчетность'!AL$94</f>
        <v>0</v>
      </c>
      <c s="125">
        <f ca="1">'Квартальная отчетность'!AM$94</f>
        <v>0</v>
      </c>
      <c s="125">
        <f ca="1">'Квартальная отчетность'!AN$94</f>
        <v>0</v>
      </c>
      <c s="125">
        <f ca="1">'Квартальная отчетность'!AO$94</f>
        <v>0</v>
      </c>
      <c s="125">
        <f ca="1">'Квартальная отчетность'!AP$94</f>
        <v>0</v>
      </c>
      <c s="125">
        <f ca="1">'Квартальная отчетность'!AQ$94</f>
        <v>0</v>
      </c>
      <c s="125">
        <f ca="1">'Квартальная отчетность'!AR$94</f>
        <v>0</v>
      </c>
      <c s="125">
        <f ca="1">'Квартальная отчетность'!AS$94</f>
        <v>0</v>
      </c>
      <c s="125">
        <f ca="1">'Квартальная отчетность'!AT$94</f>
        <v>0</v>
      </c>
      <c s="125">
        <f ca="1">'Квартальная отчетность'!AU$94</f>
        <v>0</v>
      </c>
      <c s="125">
        <f ca="1">'Квартальная отчетность'!AV$94</f>
        <v>0</v>
      </c>
      <c s="125">
        <f ca="1">'Квартальная отчетность'!AW$94</f>
        <v>0</v>
      </c>
      <c s="125">
        <f ca="1">'Квартальная отчетность'!AX$94</f>
        <v>0</v>
      </c>
      <c s="125">
        <f ca="1">'Квартальная отчетность'!AY$94</f>
        <v>0</v>
      </c>
      <c s="125">
        <f ca="1">'Квартальная отчетность'!AZ$94</f>
        <v>0</v>
      </c>
      <c s="125">
        <f ca="1">'Квартальная отчетность'!BA$94</f>
        <v>0</v>
      </c>
      <c s="125">
        <f ca="1">'Квартальная отчетность'!BB$94</f>
        <v>0</v>
      </c>
      <c s="125">
        <f ca="1">'Квартальная отчетность'!BC$94</f>
        <v>0</v>
      </c>
      <c s="125">
        <f ca="1">'Квартальная отчетность'!BD$94</f>
        <v>0</v>
      </c>
      <c s="125">
        <f ca="1">'Квартальная отчетность'!BE$94</f>
        <v>0</v>
      </c>
      <c s="125">
        <f ca="1">'Квартальная отчетность'!BF$94</f>
        <v>0</v>
      </c>
      <c s="125">
        <f ca="1">'Квартальная отчетность'!BG$94</f>
        <v>0</v>
      </c>
      <c s="125">
        <f ca="1">'Квартальная отчетность'!BH$94</f>
        <v>0</v>
      </c>
      <c s="125">
        <f ca="1">'Квартальная отчетность'!BI$94</f>
        <v>0</v>
      </c>
      <c s="125">
        <f ca="1">'Квартальная отчетность'!BJ$94</f>
        <v>0</v>
      </c>
      <c s="125">
        <f ca="1">'Квартальная отчетность'!BK$94</f>
        <v>0</v>
      </c>
      <c s="125">
        <f ca="1">'Квартальная отчетность'!BL$94</f>
        <v>0</v>
      </c>
      <c s="125">
        <f ca="1">'Квартальная отчетность'!BM$94</f>
        <v>0</v>
      </c>
    </row>
    <row r="186" spans="2:65" ht="15" customHeight="1">
      <c r="B186" s="12" t="s">
        <v>1074</v>
      </c>
      <c s="124" t="str">
        <f>Единица_измерения</f>
        <v>тыс. руб.</v>
      </c>
      <c s="125"/>
      <c s="125">
        <f ca="1">'Квартальная отчетность'!E$106</f>
        <v>0</v>
      </c>
      <c s="125">
        <f ca="1">'Квартальная отчетность'!F$106</f>
        <v>0</v>
      </c>
      <c s="125">
        <f ca="1">'Квартальная отчетность'!G$106</f>
        <v>0</v>
      </c>
      <c s="125">
        <f ca="1">'Квартальная отчетность'!H$106</f>
        <v>0</v>
      </c>
      <c s="125">
        <f ca="1">'Квартальная отчетность'!I$106</f>
        <v>0</v>
      </c>
      <c s="125">
        <f ca="1">'Квартальная отчетность'!J$106</f>
        <v>0</v>
      </c>
      <c s="125">
        <f ca="1">'Квартальная отчетность'!K$106</f>
        <v>0</v>
      </c>
      <c s="125">
        <f ca="1">'Квартальная отчетность'!L$106</f>
        <v>0</v>
      </c>
      <c s="125">
        <f ca="1">'Квартальная отчетность'!M$106</f>
        <v>0</v>
      </c>
      <c s="125">
        <f ca="1">'Квартальная отчетность'!N$106</f>
        <v>0</v>
      </c>
      <c s="125">
        <f ca="1">'Квартальная отчетность'!O$106</f>
        <v>0</v>
      </c>
      <c s="125">
        <f ca="1">'Квартальная отчетность'!P$106</f>
        <v>0</v>
      </c>
      <c s="125">
        <f ca="1">'Квартальная отчетность'!Q$106</f>
        <v>0</v>
      </c>
      <c s="125">
        <f ca="1">'Квартальная отчетность'!R$106</f>
        <v>0</v>
      </c>
      <c s="125">
        <f ca="1">'Квартальная отчетность'!S$106</f>
        <v>0</v>
      </c>
      <c s="125">
        <f ca="1">'Квартальная отчетность'!T$106</f>
        <v>0</v>
      </c>
      <c s="125">
        <f ca="1">'Квартальная отчетность'!U$106</f>
        <v>0</v>
      </c>
      <c s="125">
        <f ca="1">'Квартальная отчетность'!V$106</f>
        <v>0</v>
      </c>
      <c s="125">
        <f ca="1">'Квартальная отчетность'!W$106</f>
        <v>0</v>
      </c>
      <c s="125">
        <f ca="1">'Квартальная отчетность'!X$106</f>
        <v>0</v>
      </c>
      <c s="125">
        <f ca="1">'Квартальная отчетность'!Y$106</f>
        <v>0</v>
      </c>
      <c s="125">
        <f ca="1">'Квартальная отчетность'!Z$106</f>
        <v>0</v>
      </c>
      <c s="125">
        <f ca="1">'Квартальная отчетность'!AA$106</f>
        <v>0</v>
      </c>
      <c s="125">
        <f ca="1">'Квартальная отчетность'!AB$106</f>
        <v>0</v>
      </c>
      <c s="125">
        <f ca="1">'Квартальная отчетность'!AC$106</f>
        <v>0</v>
      </c>
      <c s="125">
        <f ca="1">'Квартальная отчетность'!AD$106</f>
        <v>0</v>
      </c>
      <c s="125">
        <f ca="1">'Квартальная отчетность'!AE$106</f>
        <v>0</v>
      </c>
      <c s="125">
        <f ca="1">'Квартальная отчетность'!AF$106</f>
        <v>0</v>
      </c>
      <c s="125">
        <f ca="1">'Квартальная отчетность'!AG$106</f>
        <v>0</v>
      </c>
      <c s="125">
        <f ca="1">'Квартальная отчетность'!AH$106</f>
        <v>0</v>
      </c>
      <c s="125">
        <f ca="1">'Квартальная отчетность'!AI$106</f>
        <v>0</v>
      </c>
      <c s="125">
        <f ca="1">'Квартальная отчетность'!AJ$106</f>
        <v>0</v>
      </c>
      <c s="125">
        <f ca="1">'Квартальная отчетность'!AK$106</f>
        <v>0</v>
      </c>
      <c s="125">
        <f ca="1">'Квартальная отчетность'!AL$106</f>
        <v>0</v>
      </c>
      <c s="125">
        <f ca="1">'Квартальная отчетность'!AM$106</f>
        <v>0</v>
      </c>
      <c s="125">
        <f ca="1">'Квартальная отчетность'!AN$106</f>
        <v>0</v>
      </c>
      <c s="125">
        <f ca="1">'Квартальная отчетность'!AO$106</f>
        <v>0</v>
      </c>
      <c s="125">
        <f ca="1">'Квартальная отчетность'!AP$106</f>
        <v>0</v>
      </c>
      <c s="125">
        <f ca="1">'Квартальная отчетность'!AQ$106</f>
        <v>0</v>
      </c>
      <c s="125">
        <f ca="1">'Квартальная отчетность'!AR$106</f>
        <v>0</v>
      </c>
      <c s="125">
        <f ca="1">'Квартальная отчетность'!AS$106</f>
        <v>0</v>
      </c>
      <c s="125">
        <f ca="1">'Квартальная отчетность'!AT$106</f>
        <v>0</v>
      </c>
      <c s="125">
        <f ca="1">'Квартальная отчетность'!AU$106</f>
        <v>0</v>
      </c>
      <c s="125">
        <f ca="1">'Квартальная отчетность'!AV$106</f>
        <v>0</v>
      </c>
      <c s="125">
        <f ca="1">'Квартальная отчетность'!AW$106</f>
        <v>0</v>
      </c>
      <c s="125">
        <f ca="1">'Квартальная отчетность'!AX$106</f>
        <v>0</v>
      </c>
      <c s="125">
        <f ca="1">'Квартальная отчетность'!AY$106</f>
        <v>0</v>
      </c>
      <c s="125">
        <f ca="1">'Квартальная отчетность'!AZ$106</f>
        <v>0</v>
      </c>
      <c s="125">
        <f ca="1">'Квартальная отчетность'!BA$106</f>
        <v>0</v>
      </c>
      <c s="125">
        <f ca="1">'Квартальная отчетность'!BB$106</f>
        <v>0</v>
      </c>
      <c s="125">
        <f ca="1">'Квартальная отчетность'!BC$106</f>
        <v>0</v>
      </c>
      <c s="125">
        <f ca="1">'Квартальная отчетность'!BD$106</f>
        <v>0</v>
      </c>
      <c s="125">
        <f ca="1">'Квартальная отчетность'!BE$106</f>
        <v>0</v>
      </c>
      <c s="125">
        <f ca="1">'Квартальная отчетность'!BF$106</f>
        <v>0</v>
      </c>
      <c s="125">
        <f ca="1">'Квартальная отчетность'!BG$106</f>
        <v>0</v>
      </c>
      <c s="125">
        <f ca="1">'Квартальная отчетность'!BH$106</f>
        <v>0</v>
      </c>
      <c s="125">
        <f ca="1">'Квартальная отчетность'!BI$106</f>
        <v>0</v>
      </c>
      <c s="125">
        <f ca="1">'Квартальная отчетность'!BJ$106</f>
        <v>0</v>
      </c>
      <c s="125">
        <f ca="1">'Квартальная отчетность'!BK$106</f>
        <v>0</v>
      </c>
      <c s="125">
        <f ca="1">'Квартальная отчетность'!BL$106</f>
        <v>0</v>
      </c>
      <c s="125">
        <f ca="1">'Квартальная отчетность'!BM$106</f>
        <v>0</v>
      </c>
    </row>
    <row r="187" spans="2:65" ht="15" customHeight="1">
      <c r="B187" s="289" t="s">
        <v>1125</v>
      </c>
      <c s="290" t="s">
        <v>1117</v>
      </c>
      <c s="276"/>
      <c s="276" t="str">
        <f ca="1" t="shared" si="579" ref="E187">IFERROR(E185/E186,"-")</f>
        <v>-</v>
      </c>
      <c s="276" t="str">
        <f ca="1" t="shared" si="580" ref="F187:AG187">IFERROR(F185/F186,"-")</f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t="shared" ca="1" si="580"/>
        <v>-</v>
      </c>
      <c s="276" t="str">
        <f ca="1" t="shared" si="581" ref="AH187:BM187">IFERROR(AH185/AH186,"-")</f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  <c s="276" t="str">
        <f t="shared" ca="1" si="581"/>
        <v>-</v>
      </c>
    </row>
    <row r="188" ht="15" customHeight="1"/>
    <row r="189" spans="2:65" ht="21">
      <c r="B189" s="23" t="s">
        <v>1126</v>
      </c>
      <c r="D189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0" spans="2:2" ht="15" customHeight="1">
      <c r="B190" s="24" t="s">
        <v>1127</v>
      </c>
    </row>
    <row r="191" spans="2:65" ht="15" customHeight="1">
      <c r="B191" s="12" t="s">
        <v>273</v>
      </c>
      <c s="124" t="str">
        <f>Единица_измерения</f>
        <v>тыс. руб.</v>
      </c>
      <c s="276">
        <f>SUMIF($E$6:$BM$6,CONCATENATE($E$32,MATCH($D$32,$E$8:$BM$8,0)),E191:BM191)</f>
        <v>0</v>
      </c>
      <c s="125">
        <f>'Квартальная отчетность'!E$16</f>
        <v>0</v>
      </c>
      <c s="125">
        <f>'Квартальная отчетность'!F$16</f>
        <v>0</v>
      </c>
      <c s="125">
        <f>'Квартальная отчетность'!G$16</f>
        <v>0</v>
      </c>
      <c s="125">
        <f>'Квартальная отчетность'!H$16</f>
        <v>0</v>
      </c>
      <c s="125">
        <f>'Квартальная отчетность'!I$16</f>
        <v>0</v>
      </c>
      <c s="125">
        <f>'Квартальная отчетность'!J$16</f>
        <v>0</v>
      </c>
      <c s="125">
        <f>'Квартальная отчетность'!K$16</f>
        <v>0</v>
      </c>
      <c s="125">
        <f>'Квартальная отчетность'!L$16</f>
        <v>0</v>
      </c>
      <c s="125">
        <f>'Квартальная отчетность'!M$16</f>
        <v>0</v>
      </c>
      <c s="125">
        <f>'Квартальная отчетность'!N$16</f>
        <v>0</v>
      </c>
      <c s="125">
        <f>'Квартальная отчетность'!O$16</f>
        <v>0</v>
      </c>
      <c s="125">
        <f>'Квартальная отчетность'!P$16</f>
        <v>0</v>
      </c>
      <c s="125">
        <f>'Квартальная отчетность'!Q$16</f>
        <v>0</v>
      </c>
      <c s="125">
        <f>'Квартальная отчетность'!R$16</f>
        <v>0</v>
      </c>
      <c s="125">
        <f>'Квартальная отчетность'!S$16</f>
        <v>0</v>
      </c>
      <c s="125">
        <f>'Квартальная отчетность'!T$16</f>
        <v>0</v>
      </c>
      <c s="125">
        <f>'Квартальная отчетность'!U$16</f>
        <v>0</v>
      </c>
      <c s="125">
        <f>'Квартальная отчетность'!V$16</f>
        <v>0</v>
      </c>
      <c s="125">
        <f>'Квартальная отчетность'!W$16</f>
        <v>0</v>
      </c>
      <c s="125">
        <f>'Квартальная отчетность'!X$16</f>
        <v>0</v>
      </c>
      <c s="125">
        <f>'Квартальная отчетность'!Y$16</f>
        <v>0</v>
      </c>
      <c s="125">
        <f>'Квартальная отчетность'!Z$16</f>
        <v>0</v>
      </c>
      <c s="125">
        <f>'Квартальная отчетность'!AA$16</f>
        <v>0</v>
      </c>
      <c s="125">
        <f>'Квартальная отчетность'!AB$16</f>
        <v>0</v>
      </c>
      <c s="125">
        <f>'Квартальная отчетность'!AC$16</f>
        <v>0</v>
      </c>
      <c s="125">
        <f>'Квартальная отчетность'!AD$16</f>
        <v>0</v>
      </c>
      <c s="125">
        <f>'Квартальная отчетность'!AE$16</f>
        <v>0</v>
      </c>
      <c s="125">
        <f>'Квартальная отчетность'!AF$16</f>
        <v>0</v>
      </c>
      <c s="125">
        <f>'Квартальная отчетность'!AG$16</f>
        <v>0</v>
      </c>
      <c s="125">
        <f>'Квартальная отчетность'!AH$16</f>
        <v>0</v>
      </c>
      <c s="125">
        <f>'Квартальная отчетность'!AI$16</f>
        <v>0</v>
      </c>
      <c s="125">
        <f>'Квартальная отчетность'!AJ$16</f>
        <v>0</v>
      </c>
      <c s="125">
        <f>'Квартальная отчетность'!AK$16</f>
        <v>0</v>
      </c>
      <c s="125">
        <f>'Квартальная отчетность'!AL$16</f>
        <v>0</v>
      </c>
      <c s="125">
        <f>'Квартальная отчетность'!AM$16</f>
        <v>0</v>
      </c>
      <c s="125">
        <f>'Квартальная отчетность'!AN$16</f>
        <v>0</v>
      </c>
      <c s="125">
        <f>'Квартальная отчетность'!AO$16</f>
        <v>0</v>
      </c>
      <c s="125">
        <f>'Квартальная отчетность'!AP$16</f>
        <v>0</v>
      </c>
      <c s="125">
        <f>'Квартальная отчетность'!AQ$16</f>
        <v>0</v>
      </c>
      <c s="125">
        <f>'Квартальная отчетность'!AR$16</f>
        <v>0</v>
      </c>
      <c s="125">
        <f>'Квартальная отчетность'!AS$16</f>
        <v>0</v>
      </c>
      <c s="125">
        <f>'Квартальная отчетность'!AT$16</f>
        <v>0</v>
      </c>
      <c s="125">
        <f>'Квартальная отчетность'!AU$16</f>
        <v>0</v>
      </c>
      <c s="125">
        <f>'Квартальная отчетность'!AV$16</f>
        <v>0</v>
      </c>
      <c s="125">
        <f>'Квартальная отчетность'!AW$16</f>
        <v>0</v>
      </c>
      <c s="125">
        <f>'Квартальная отчетность'!AX$16</f>
        <v>0</v>
      </c>
      <c s="125">
        <f>'Квартальная отчетность'!AY$16</f>
        <v>0</v>
      </c>
      <c s="125">
        <f>'Квартальная отчетность'!AZ$16</f>
        <v>0</v>
      </c>
      <c s="125">
        <f>'Квартальная отчетность'!BA$16</f>
        <v>0</v>
      </c>
      <c s="125">
        <f>'Квартальная отчетность'!BB$16</f>
        <v>0</v>
      </c>
      <c s="125">
        <f>'Квартальная отчетность'!BC$16</f>
        <v>0</v>
      </c>
      <c s="125">
        <f>'Квартальная отчетность'!BD$16</f>
        <v>0</v>
      </c>
      <c s="125">
        <f>'Квартальная отчетность'!BE$16</f>
        <v>0</v>
      </c>
      <c s="125">
        <f>'Квартальная отчетность'!BF$16</f>
        <v>0</v>
      </c>
      <c s="125">
        <f>'Квартальная отчетность'!BG$16</f>
        <v>0</v>
      </c>
      <c s="125">
        <f>'Квартальная отчетность'!BH$16</f>
        <v>0</v>
      </c>
      <c s="125">
        <f>'Квартальная отчетность'!BI$16</f>
        <v>0</v>
      </c>
      <c s="125">
        <f>'Квартальная отчетность'!BJ$16</f>
        <v>0</v>
      </c>
      <c s="125">
        <f>'Квартальная отчетность'!BK$16</f>
        <v>0</v>
      </c>
      <c s="125">
        <f>'Квартальная отчетность'!BL$16</f>
        <v>0</v>
      </c>
      <c s="125">
        <f>'Квартальная отчетность'!BM$16</f>
        <v>0</v>
      </c>
    </row>
    <row r="192" spans="2:65" ht="15" customHeight="1">
      <c r="B192" s="12" t="s">
        <v>973</v>
      </c>
      <c s="124" t="str">
        <f>Единица_измерения</f>
        <v>тыс. руб.</v>
      </c>
      <c s="276">
        <f ca="1">SUMIF($E$6:$BM$6,CONCATENATE($E$32,MATCH($D$32,$E$8:$BM$8,0)),E192:BM192)</f>
        <v>0</v>
      </c>
      <c s="125">
        <f>'Квартальная отчетность'!E$18</f>
        <v>0</v>
      </c>
      <c s="125">
        <f ca="1">'Квартальная отчетность'!F$18</f>
        <v>0</v>
      </c>
      <c s="125">
        <f ca="1">'Квартальная отчетность'!G$18</f>
        <v>0</v>
      </c>
      <c s="125">
        <f ca="1">'Квартальная отчетность'!H$18</f>
        <v>0</v>
      </c>
      <c s="125">
        <f ca="1">'Квартальная отчетность'!I$18</f>
        <v>0</v>
      </c>
      <c s="125">
        <f ca="1">'Квартальная отчетность'!J$18</f>
        <v>0</v>
      </c>
      <c s="125">
        <f ca="1">'Квартальная отчетность'!K$18</f>
        <v>0</v>
      </c>
      <c s="125">
        <f ca="1">'Квартальная отчетность'!L$18</f>
        <v>0</v>
      </c>
      <c s="125">
        <f ca="1">'Квартальная отчетность'!M$18</f>
        <v>0</v>
      </c>
      <c s="125">
        <f ca="1">'Квартальная отчетность'!N$18</f>
        <v>0</v>
      </c>
      <c s="125">
        <f ca="1">'Квартальная отчетность'!O$18</f>
        <v>0</v>
      </c>
      <c s="125">
        <f ca="1">'Квартальная отчетность'!P$18</f>
        <v>0</v>
      </c>
      <c s="125">
        <f ca="1">'Квартальная отчетность'!Q$18</f>
        <v>0</v>
      </c>
      <c s="125">
        <f ca="1">'Квартальная отчетность'!R$18</f>
        <v>0</v>
      </c>
      <c s="125">
        <f ca="1">'Квартальная отчетность'!S$18</f>
        <v>0</v>
      </c>
      <c s="125">
        <f ca="1">'Квартальная отчетность'!T$18</f>
        <v>0</v>
      </c>
      <c s="125">
        <f ca="1">'Квартальная отчетность'!U$18</f>
        <v>0</v>
      </c>
      <c s="125">
        <f ca="1">'Квартальная отчетность'!V$18</f>
        <v>0</v>
      </c>
      <c s="125">
        <f ca="1">'Квартальная отчетность'!W$18</f>
        <v>0</v>
      </c>
      <c s="125">
        <f ca="1">'Квартальная отчетность'!X$18</f>
        <v>0</v>
      </c>
      <c s="125">
        <f ca="1">'Квартальная отчетность'!Y$18</f>
        <v>0</v>
      </c>
      <c s="125">
        <f ca="1">'Квартальная отчетность'!Z$18</f>
        <v>0</v>
      </c>
      <c s="125">
        <f ca="1">'Квартальная отчетность'!AA$18</f>
        <v>0</v>
      </c>
      <c s="125">
        <f ca="1">'Квартальная отчетность'!AB$18</f>
        <v>0</v>
      </c>
      <c s="125">
        <f ca="1">'Квартальная отчетность'!AC$18</f>
        <v>0</v>
      </c>
      <c s="125">
        <f ca="1">'Квартальная отчетность'!AD$18</f>
        <v>0</v>
      </c>
      <c s="125">
        <f ca="1">'Квартальная отчетность'!AE$18</f>
        <v>0</v>
      </c>
      <c s="125">
        <f ca="1">'Квартальная отчетность'!AF$18</f>
        <v>0</v>
      </c>
      <c s="125">
        <f ca="1">'Квартальная отчетность'!AG$18</f>
        <v>0</v>
      </c>
      <c s="125">
        <f ca="1">'Квартальная отчетность'!AH$18</f>
        <v>0</v>
      </c>
      <c s="125">
        <f ca="1">'Квартальная отчетность'!AI$18</f>
        <v>0</v>
      </c>
      <c s="125">
        <f ca="1">'Квартальная отчетность'!AJ$18</f>
        <v>0</v>
      </c>
      <c s="125">
        <f ca="1">'Квартальная отчетность'!AK$18</f>
        <v>0</v>
      </c>
      <c s="125">
        <f ca="1">'Квартальная отчетность'!AL$18</f>
        <v>0</v>
      </c>
      <c s="125">
        <f ca="1">'Квартальная отчетность'!AM$18</f>
        <v>0</v>
      </c>
      <c s="125">
        <f ca="1">'Квартальная отчетность'!AN$18</f>
        <v>0</v>
      </c>
      <c s="125">
        <f ca="1">'Квартальная отчетность'!AO$18</f>
        <v>0</v>
      </c>
      <c s="125">
        <f ca="1">'Квартальная отчетность'!AP$18</f>
        <v>0</v>
      </c>
      <c s="125">
        <f ca="1">'Квартальная отчетность'!AQ$18</f>
        <v>0</v>
      </c>
      <c s="125">
        <f ca="1">'Квартальная отчетность'!AR$18</f>
        <v>0</v>
      </c>
      <c s="125">
        <f ca="1">'Квартальная отчетность'!AS$18</f>
        <v>0</v>
      </c>
      <c s="125">
        <f ca="1">'Квартальная отчетность'!AT$18</f>
        <v>0</v>
      </c>
      <c s="125">
        <f ca="1">'Квартальная отчетность'!AU$18</f>
        <v>0</v>
      </c>
      <c s="125">
        <f ca="1">'Квартальная отчетность'!AV$18</f>
        <v>0</v>
      </c>
      <c s="125">
        <f ca="1">'Квартальная отчетность'!AW$18</f>
        <v>0</v>
      </c>
      <c s="125">
        <f ca="1">'Квартальная отчетность'!AX$18</f>
        <v>0</v>
      </c>
      <c s="125">
        <f ca="1">'Квартальная отчетность'!AY$18</f>
        <v>0</v>
      </c>
      <c s="125">
        <f ca="1">'Квартальная отчетность'!AZ$18</f>
        <v>0</v>
      </c>
      <c s="125">
        <f ca="1">'Квартальная отчетность'!BA$18</f>
        <v>0</v>
      </c>
      <c s="125">
        <f ca="1">'Квартальная отчетность'!BB$18</f>
        <v>0</v>
      </c>
      <c s="125">
        <f ca="1">'Квартальная отчетность'!BC$18</f>
        <v>0</v>
      </c>
      <c s="125">
        <f ca="1">'Квартальная отчетность'!BD$18</f>
        <v>0</v>
      </c>
      <c s="125">
        <f ca="1">'Квартальная отчетность'!BE$18</f>
        <v>0</v>
      </c>
      <c s="125">
        <f ca="1">'Квартальная отчетность'!BF$18</f>
        <v>0</v>
      </c>
      <c s="125">
        <f ca="1">'Квартальная отчетность'!BG$18</f>
        <v>0</v>
      </c>
      <c s="125">
        <f ca="1">'Квартальная отчетность'!BH$18</f>
        <v>0</v>
      </c>
      <c s="125">
        <f ca="1">'Квартальная отчетность'!BI$18</f>
        <v>0</v>
      </c>
      <c s="125">
        <f ca="1">'Квартальная отчетность'!BJ$18</f>
        <v>0</v>
      </c>
      <c s="125">
        <f ca="1">'Квартальная отчетность'!BK$18</f>
        <v>0</v>
      </c>
      <c s="125">
        <f ca="1">'Квартальная отчетность'!BL$18</f>
        <v>0</v>
      </c>
      <c s="125">
        <f ca="1">'Квартальная отчетность'!BM$18</f>
        <v>0</v>
      </c>
    </row>
    <row r="193" spans="2:65" ht="15" customHeight="1">
      <c r="B193" s="289" t="s">
        <v>1020</v>
      </c>
      <c s="290" t="s">
        <v>817</v>
      </c>
      <c s="282" t="str">
        <f ca="1" t="shared" si="582" ref="D193:E193">IFERROR(D192/D191,"-")</f>
        <v>-</v>
      </c>
      <c s="282" t="str">
        <f t="shared" ca="1" si="582"/>
        <v>-</v>
      </c>
      <c s="282" t="str">
        <f ca="1" t="shared" si="583" ref="F193:AG193">IFERROR(F192/F191,"-")</f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t="shared" ca="1" si="583"/>
        <v>-</v>
      </c>
      <c s="282" t="str">
        <f ca="1" t="shared" si="584" ref="AH193:BM193">IFERROR(AH192/AH191,"-")</f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  <c s="282" t="str">
        <f t="shared" ca="1" si="584"/>
        <v>-</v>
      </c>
    </row>
    <row r="194" ht="15" customHeight="1"/>
    <row r="195" spans="2:2" ht="15" customHeight="1">
      <c r="B195" s="24" t="s">
        <v>1128</v>
      </c>
    </row>
    <row r="196" spans="2:65" ht="15" customHeight="1">
      <c r="B196" s="12" t="s">
        <v>273</v>
      </c>
      <c s="124" t="str">
        <f>Единица_измерения</f>
        <v>тыс. руб.</v>
      </c>
      <c s="276">
        <f>SUMIF($E$6:$BM$6,CONCATENATE($E$32,MATCH($D$32,$E$8:$BM$8,0)),E196:BM196)</f>
        <v>0</v>
      </c>
      <c s="125">
        <f>'Квартальная отчетность'!E$16</f>
        <v>0</v>
      </c>
      <c s="125">
        <f>'Квартальная отчетность'!F$16</f>
        <v>0</v>
      </c>
      <c s="125">
        <f>'Квартальная отчетность'!G$16</f>
        <v>0</v>
      </c>
      <c s="125">
        <f>'Квартальная отчетность'!H$16</f>
        <v>0</v>
      </c>
      <c s="125">
        <f>'Квартальная отчетность'!I$16</f>
        <v>0</v>
      </c>
      <c s="125">
        <f>'Квартальная отчетность'!J$16</f>
        <v>0</v>
      </c>
      <c s="125">
        <f>'Квартальная отчетность'!K$16</f>
        <v>0</v>
      </c>
      <c s="125">
        <f>'Квартальная отчетность'!L$16</f>
        <v>0</v>
      </c>
      <c s="125">
        <f>'Квартальная отчетность'!M$16</f>
        <v>0</v>
      </c>
      <c s="125">
        <f>'Квартальная отчетность'!N$16</f>
        <v>0</v>
      </c>
      <c s="125">
        <f>'Квартальная отчетность'!O$16</f>
        <v>0</v>
      </c>
      <c s="125">
        <f>'Квартальная отчетность'!P$16</f>
        <v>0</v>
      </c>
      <c s="125">
        <f>'Квартальная отчетность'!Q$16</f>
        <v>0</v>
      </c>
      <c s="125">
        <f>'Квартальная отчетность'!R$16</f>
        <v>0</v>
      </c>
      <c s="125">
        <f>'Квартальная отчетность'!S$16</f>
        <v>0</v>
      </c>
      <c s="125">
        <f>'Квартальная отчетность'!T$16</f>
        <v>0</v>
      </c>
      <c s="125">
        <f>'Квартальная отчетность'!U$16</f>
        <v>0</v>
      </c>
      <c s="125">
        <f>'Квартальная отчетность'!V$16</f>
        <v>0</v>
      </c>
      <c s="125">
        <f>'Квартальная отчетность'!W$16</f>
        <v>0</v>
      </c>
      <c s="125">
        <f>'Квартальная отчетность'!X$16</f>
        <v>0</v>
      </c>
      <c s="125">
        <f>'Квартальная отчетность'!Y$16</f>
        <v>0</v>
      </c>
      <c s="125">
        <f>'Квартальная отчетность'!Z$16</f>
        <v>0</v>
      </c>
      <c s="125">
        <f>'Квартальная отчетность'!AA$16</f>
        <v>0</v>
      </c>
      <c s="125">
        <f>'Квартальная отчетность'!AB$16</f>
        <v>0</v>
      </c>
      <c s="125">
        <f>'Квартальная отчетность'!AC$16</f>
        <v>0</v>
      </c>
      <c s="125">
        <f>'Квартальная отчетность'!AD$16</f>
        <v>0</v>
      </c>
      <c s="125">
        <f>'Квартальная отчетность'!AE$16</f>
        <v>0</v>
      </c>
      <c s="125">
        <f>'Квартальная отчетность'!AF$16</f>
        <v>0</v>
      </c>
      <c s="125">
        <f>'Квартальная отчетность'!AG$16</f>
        <v>0</v>
      </c>
      <c s="125">
        <f>'Квартальная отчетность'!AH$16</f>
        <v>0</v>
      </c>
      <c s="125">
        <f>'Квартальная отчетность'!AI$16</f>
        <v>0</v>
      </c>
      <c s="125">
        <f>'Квартальная отчетность'!AJ$16</f>
        <v>0</v>
      </c>
      <c s="125">
        <f>'Квартальная отчетность'!AK$16</f>
        <v>0</v>
      </c>
      <c s="125">
        <f>'Квартальная отчетность'!AL$16</f>
        <v>0</v>
      </c>
      <c s="125">
        <f>'Квартальная отчетность'!AM$16</f>
        <v>0</v>
      </c>
      <c s="125">
        <f>'Квартальная отчетность'!AN$16</f>
        <v>0</v>
      </c>
      <c s="125">
        <f>'Квартальная отчетность'!AO$16</f>
        <v>0</v>
      </c>
      <c s="125">
        <f>'Квартальная отчетность'!AP$16</f>
        <v>0</v>
      </c>
      <c s="125">
        <f>'Квартальная отчетность'!AQ$16</f>
        <v>0</v>
      </c>
      <c s="125">
        <f>'Квартальная отчетность'!AR$16</f>
        <v>0</v>
      </c>
      <c s="125">
        <f>'Квартальная отчетность'!AS$16</f>
        <v>0</v>
      </c>
      <c s="125">
        <f>'Квартальная отчетность'!AT$16</f>
        <v>0</v>
      </c>
      <c s="125">
        <f>'Квартальная отчетность'!AU$16</f>
        <v>0</v>
      </c>
      <c s="125">
        <f>'Квартальная отчетность'!AV$16</f>
        <v>0</v>
      </c>
      <c s="125">
        <f>'Квартальная отчетность'!AW$16</f>
        <v>0</v>
      </c>
      <c s="125">
        <f>'Квартальная отчетность'!AX$16</f>
        <v>0</v>
      </c>
      <c s="125">
        <f>'Квартальная отчетность'!AY$16</f>
        <v>0</v>
      </c>
      <c s="125">
        <f>'Квартальная отчетность'!AZ$16</f>
        <v>0</v>
      </c>
      <c s="125">
        <f>'Квартальная отчетность'!BA$16</f>
        <v>0</v>
      </c>
      <c s="125">
        <f>'Квартальная отчетность'!BB$16</f>
        <v>0</v>
      </c>
      <c s="125">
        <f>'Квартальная отчетность'!BC$16</f>
        <v>0</v>
      </c>
      <c s="125">
        <f>'Квартальная отчетность'!BD$16</f>
        <v>0</v>
      </c>
      <c s="125">
        <f>'Квартальная отчетность'!BE$16</f>
        <v>0</v>
      </c>
      <c s="125">
        <f>'Квартальная отчетность'!BF$16</f>
        <v>0</v>
      </c>
      <c s="125">
        <f>'Квартальная отчетность'!BG$16</f>
        <v>0</v>
      </c>
      <c s="125">
        <f>'Квартальная отчетность'!BH$16</f>
        <v>0</v>
      </c>
      <c s="125">
        <f>'Квартальная отчетность'!BI$16</f>
        <v>0</v>
      </c>
      <c s="125">
        <f>'Квартальная отчетность'!BJ$16</f>
        <v>0</v>
      </c>
      <c s="125">
        <f>'Квартальная отчетность'!BK$16</f>
        <v>0</v>
      </c>
      <c s="125">
        <f>'Квартальная отчетность'!BL$16</f>
        <v>0</v>
      </c>
      <c s="125">
        <f>'Квартальная отчетность'!BM$16</f>
        <v>0</v>
      </c>
    </row>
    <row r="197" spans="2:65" ht="15" customHeight="1">
      <c r="B197" s="12" t="s">
        <v>975</v>
      </c>
      <c s="124" t="str">
        <f>Единица_измерения</f>
        <v>тыс. руб.</v>
      </c>
      <c s="276">
        <f ca="1">SUMIF($E$6:$BM$6,CONCATENATE($E$32,MATCH($D$32,$E$8:$BM$8,0)),E197:BM197)</f>
        <v>0</v>
      </c>
      <c s="125">
        <f>'Квартальная отчетность'!E$21</f>
        <v>0</v>
      </c>
      <c s="125">
        <f ca="1">'Квартальная отчетность'!F$21</f>
        <v>0</v>
      </c>
      <c s="125">
        <f ca="1">'Квартальная отчетность'!G$21</f>
        <v>0</v>
      </c>
      <c s="125">
        <f ca="1">'Квартальная отчетность'!H$21</f>
        <v>0</v>
      </c>
      <c s="125">
        <f ca="1">'Квартальная отчетность'!I$21</f>
        <v>0</v>
      </c>
      <c s="125">
        <f ca="1">'Квартальная отчетность'!J$21</f>
        <v>0</v>
      </c>
      <c s="125">
        <f ca="1">'Квартальная отчетность'!K$21</f>
        <v>0</v>
      </c>
      <c s="125">
        <f ca="1">'Квартальная отчетность'!L$21</f>
        <v>0</v>
      </c>
      <c s="125">
        <f ca="1">'Квартальная отчетность'!M$21</f>
        <v>0</v>
      </c>
      <c s="125">
        <f ca="1">'Квартальная отчетность'!N$21</f>
        <v>0</v>
      </c>
      <c s="125">
        <f ca="1">'Квартальная отчетность'!O$21</f>
        <v>0</v>
      </c>
      <c s="125">
        <f ca="1">'Квартальная отчетность'!P$21</f>
        <v>0</v>
      </c>
      <c s="125">
        <f ca="1">'Квартальная отчетность'!Q$21</f>
        <v>0</v>
      </c>
      <c s="125">
        <f ca="1">'Квартальная отчетность'!R$21</f>
        <v>0</v>
      </c>
      <c s="125">
        <f ca="1">'Квартальная отчетность'!S$21</f>
        <v>0</v>
      </c>
      <c s="125">
        <f ca="1">'Квартальная отчетность'!T$21</f>
        <v>0</v>
      </c>
      <c s="125">
        <f ca="1">'Квартальная отчетность'!U$21</f>
        <v>0</v>
      </c>
      <c s="125">
        <f ca="1">'Квартальная отчетность'!V$21</f>
        <v>0</v>
      </c>
      <c s="125">
        <f ca="1">'Квартальная отчетность'!W$21</f>
        <v>0</v>
      </c>
      <c s="125">
        <f ca="1">'Квартальная отчетность'!X$21</f>
        <v>0</v>
      </c>
      <c s="125">
        <f ca="1">'Квартальная отчетность'!Y$21</f>
        <v>0</v>
      </c>
      <c s="125">
        <f ca="1">'Квартальная отчетность'!Z$21</f>
        <v>0</v>
      </c>
      <c s="125">
        <f ca="1">'Квартальная отчетность'!AA$21</f>
        <v>0</v>
      </c>
      <c s="125">
        <f ca="1">'Квартальная отчетность'!AB$21</f>
        <v>0</v>
      </c>
      <c s="125">
        <f ca="1">'Квартальная отчетность'!AC$21</f>
        <v>0</v>
      </c>
      <c s="125">
        <f ca="1">'Квартальная отчетность'!AD$21</f>
        <v>0</v>
      </c>
      <c s="125">
        <f ca="1">'Квартальная отчетность'!AE$21</f>
        <v>0</v>
      </c>
      <c s="125">
        <f ca="1">'Квартальная отчетность'!AF$21</f>
        <v>0</v>
      </c>
      <c s="125">
        <f ca="1">'Квартальная отчетность'!AG$21</f>
        <v>0</v>
      </c>
      <c s="125">
        <f ca="1">'Квартальная отчетность'!AH$21</f>
        <v>0</v>
      </c>
      <c s="125">
        <f ca="1">'Квартальная отчетность'!AI$21</f>
        <v>0</v>
      </c>
      <c s="125">
        <f ca="1">'Квартальная отчетность'!AJ$21</f>
        <v>0</v>
      </c>
      <c s="125">
        <f ca="1">'Квартальная отчетность'!AK$21</f>
        <v>0</v>
      </c>
      <c s="125">
        <f ca="1">'Квартальная отчетность'!AL$21</f>
        <v>0</v>
      </c>
      <c s="125">
        <f ca="1">'Квартальная отчетность'!AM$21</f>
        <v>0</v>
      </c>
      <c s="125">
        <f ca="1">'Квартальная отчетность'!AN$21</f>
        <v>0</v>
      </c>
      <c s="125">
        <f ca="1">'Квартальная отчетность'!AO$21</f>
        <v>0</v>
      </c>
      <c s="125">
        <f ca="1">'Квартальная отчетность'!AP$21</f>
        <v>0</v>
      </c>
      <c s="125">
        <f ca="1">'Квартальная отчетность'!AQ$21</f>
        <v>0</v>
      </c>
      <c s="125">
        <f ca="1">'Квартальная отчетность'!AR$21</f>
        <v>0</v>
      </c>
      <c s="125">
        <f ca="1">'Квартальная отчетность'!AS$21</f>
        <v>0</v>
      </c>
      <c s="125">
        <f ca="1">'Квартальная отчетность'!AT$21</f>
        <v>0</v>
      </c>
      <c s="125">
        <f ca="1">'Квартальная отчетность'!AU$21</f>
        <v>0</v>
      </c>
      <c s="125">
        <f ca="1">'Квартальная отчетность'!AV$21</f>
        <v>0</v>
      </c>
      <c s="125">
        <f ca="1">'Квартальная отчетность'!AW$21</f>
        <v>0</v>
      </c>
      <c s="125">
        <f ca="1">'Квартальная отчетность'!AX$21</f>
        <v>0</v>
      </c>
      <c s="125">
        <f ca="1">'Квартальная отчетность'!AY$21</f>
        <v>0</v>
      </c>
      <c s="125">
        <f ca="1">'Квартальная отчетность'!AZ$21</f>
        <v>0</v>
      </c>
      <c s="125">
        <f ca="1">'Квартальная отчетность'!BA$21</f>
        <v>0</v>
      </c>
      <c s="125">
        <f ca="1">'Квартальная отчетность'!BB$21</f>
        <v>0</v>
      </c>
      <c s="125">
        <f ca="1">'Квартальная отчетность'!BC$21</f>
        <v>0</v>
      </c>
      <c s="125">
        <f ca="1">'Квартальная отчетность'!BD$21</f>
        <v>0</v>
      </c>
      <c s="125">
        <f ca="1">'Квартальная отчетность'!BE$21</f>
        <v>0</v>
      </c>
      <c s="125">
        <f ca="1">'Квартальная отчетность'!BF$21</f>
        <v>0</v>
      </c>
      <c s="125">
        <f ca="1">'Квартальная отчетность'!BG$21</f>
        <v>0</v>
      </c>
      <c s="125">
        <f ca="1">'Квартальная отчетность'!BH$21</f>
        <v>0</v>
      </c>
      <c s="125">
        <f ca="1">'Квартальная отчетность'!BI$21</f>
        <v>0</v>
      </c>
      <c s="125">
        <f ca="1">'Квартальная отчетность'!BJ$21</f>
        <v>0</v>
      </c>
      <c s="125">
        <f ca="1">'Квартальная отчетность'!BK$21</f>
        <v>0</v>
      </c>
      <c s="125">
        <f ca="1">'Квартальная отчетность'!BL$21</f>
        <v>0</v>
      </c>
      <c s="125">
        <f ca="1">'Квартальная отчетность'!BM$21</f>
        <v>0</v>
      </c>
    </row>
    <row r="198" spans="2:65" ht="15" customHeight="1">
      <c r="B198" s="289" t="s">
        <v>1021</v>
      </c>
      <c s="290" t="s">
        <v>817</v>
      </c>
      <c s="282" t="str">
        <f ca="1" t="shared" si="585" ref="D198:E198">IFERROR(D197/D196,"-")</f>
        <v>-</v>
      </c>
      <c s="282" t="str">
        <f t="shared" ca="1" si="585"/>
        <v>-</v>
      </c>
      <c s="282" t="str">
        <f ca="1" t="shared" si="586" ref="F198:AG198">IFERROR(F197/F196,"-")</f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t="shared" ca="1" si="586"/>
        <v>-</v>
      </c>
      <c s="282" t="str">
        <f ca="1" t="shared" si="587" ref="AH198:BM198">IFERROR(AH197/AH196,"-")</f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  <c s="282" t="str">
        <f t="shared" ca="1" si="587"/>
        <v>-</v>
      </c>
    </row>
    <row r="199" ht="15" customHeight="1"/>
    <row r="200" spans="2:2" ht="15" customHeight="1">
      <c r="B200" s="24" t="s">
        <v>1129</v>
      </c>
    </row>
    <row r="201" spans="2:65" ht="15" customHeight="1">
      <c r="B201" s="12" t="s">
        <v>273</v>
      </c>
      <c s="124" t="str">
        <f>Единица_измерения</f>
        <v>тыс. руб.</v>
      </c>
      <c s="276">
        <f>SUMIF($E$6:$BM$6,CONCATENATE($E$32,MATCH($D$32,$E$8:$BM$8,0)),E201:BM201)</f>
        <v>0</v>
      </c>
      <c s="125">
        <f>'Квартальная отчетность'!E$16</f>
        <v>0</v>
      </c>
      <c s="125">
        <f>'Квартальная отчетность'!F$16</f>
        <v>0</v>
      </c>
      <c s="125">
        <f>'Квартальная отчетность'!G$16</f>
        <v>0</v>
      </c>
      <c s="125">
        <f>'Квартальная отчетность'!H$16</f>
        <v>0</v>
      </c>
      <c s="125">
        <f>'Квартальная отчетность'!I$16</f>
        <v>0</v>
      </c>
      <c s="125">
        <f>'Квартальная отчетность'!J$16</f>
        <v>0</v>
      </c>
      <c s="125">
        <f>'Квартальная отчетность'!K$16</f>
        <v>0</v>
      </c>
      <c s="125">
        <f>'Квартальная отчетность'!L$16</f>
        <v>0</v>
      </c>
      <c s="125">
        <f>'Квартальная отчетность'!M$16</f>
        <v>0</v>
      </c>
      <c s="125">
        <f>'Квартальная отчетность'!N$16</f>
        <v>0</v>
      </c>
      <c s="125">
        <f>'Квартальная отчетность'!O$16</f>
        <v>0</v>
      </c>
      <c s="125">
        <f>'Квартальная отчетность'!P$16</f>
        <v>0</v>
      </c>
      <c s="125">
        <f>'Квартальная отчетность'!Q$16</f>
        <v>0</v>
      </c>
      <c s="125">
        <f>'Квартальная отчетность'!R$16</f>
        <v>0</v>
      </c>
      <c s="125">
        <f>'Квартальная отчетность'!S$16</f>
        <v>0</v>
      </c>
      <c s="125">
        <f>'Квартальная отчетность'!T$16</f>
        <v>0</v>
      </c>
      <c s="125">
        <f>'Квартальная отчетность'!U$16</f>
        <v>0</v>
      </c>
      <c s="125">
        <f>'Квартальная отчетность'!V$16</f>
        <v>0</v>
      </c>
      <c s="125">
        <f>'Квартальная отчетность'!W$16</f>
        <v>0</v>
      </c>
      <c s="125">
        <f>'Квартальная отчетность'!X$16</f>
        <v>0</v>
      </c>
      <c s="125">
        <f>'Квартальная отчетность'!Y$16</f>
        <v>0</v>
      </c>
      <c s="125">
        <f>'Квартальная отчетность'!Z$16</f>
        <v>0</v>
      </c>
      <c s="125">
        <f>'Квартальная отчетность'!AA$16</f>
        <v>0</v>
      </c>
      <c s="125">
        <f>'Квартальная отчетность'!AB$16</f>
        <v>0</v>
      </c>
      <c s="125">
        <f>'Квартальная отчетность'!AC$16</f>
        <v>0</v>
      </c>
      <c s="125">
        <f>'Квартальная отчетность'!AD$16</f>
        <v>0</v>
      </c>
      <c s="125">
        <f>'Квартальная отчетность'!AE$16</f>
        <v>0</v>
      </c>
      <c s="125">
        <f>'Квартальная отчетность'!AF$16</f>
        <v>0</v>
      </c>
      <c s="125">
        <f>'Квартальная отчетность'!AG$16</f>
        <v>0</v>
      </c>
      <c s="125">
        <f>'Квартальная отчетность'!AH$16</f>
        <v>0</v>
      </c>
      <c s="125">
        <f>'Квартальная отчетность'!AI$16</f>
        <v>0</v>
      </c>
      <c s="125">
        <f>'Квартальная отчетность'!AJ$16</f>
        <v>0</v>
      </c>
      <c s="125">
        <f>'Квартальная отчетность'!AK$16</f>
        <v>0</v>
      </c>
      <c s="125">
        <f>'Квартальная отчетность'!AL$16</f>
        <v>0</v>
      </c>
      <c s="125">
        <f>'Квартальная отчетность'!AM$16</f>
        <v>0</v>
      </c>
      <c s="125">
        <f>'Квартальная отчетность'!AN$16</f>
        <v>0</v>
      </c>
      <c s="125">
        <f>'Квартальная отчетность'!AO$16</f>
        <v>0</v>
      </c>
      <c s="125">
        <f>'Квартальная отчетность'!AP$16</f>
        <v>0</v>
      </c>
      <c s="125">
        <f>'Квартальная отчетность'!AQ$16</f>
        <v>0</v>
      </c>
      <c s="125">
        <f>'Квартальная отчетность'!AR$16</f>
        <v>0</v>
      </c>
      <c s="125">
        <f>'Квартальная отчетность'!AS$16</f>
        <v>0</v>
      </c>
      <c s="125">
        <f>'Квартальная отчетность'!AT$16</f>
        <v>0</v>
      </c>
      <c s="125">
        <f>'Квартальная отчетность'!AU$16</f>
        <v>0</v>
      </c>
      <c s="125">
        <f>'Квартальная отчетность'!AV$16</f>
        <v>0</v>
      </c>
      <c s="125">
        <f>'Квартальная отчетность'!AW$16</f>
        <v>0</v>
      </c>
      <c s="125">
        <f>'Квартальная отчетность'!AX$16</f>
        <v>0</v>
      </c>
      <c s="125">
        <f>'Квартальная отчетность'!AY$16</f>
        <v>0</v>
      </c>
      <c s="125">
        <f>'Квартальная отчетность'!AZ$16</f>
        <v>0</v>
      </c>
      <c s="125">
        <f>'Квартальная отчетность'!BA$16</f>
        <v>0</v>
      </c>
      <c s="125">
        <f>'Квартальная отчетность'!BB$16</f>
        <v>0</v>
      </c>
      <c s="125">
        <f>'Квартальная отчетность'!BC$16</f>
        <v>0</v>
      </c>
      <c s="125">
        <f>'Квартальная отчетность'!BD$16</f>
        <v>0</v>
      </c>
      <c s="125">
        <f>'Квартальная отчетность'!BE$16</f>
        <v>0</v>
      </c>
      <c s="125">
        <f>'Квартальная отчетность'!BF$16</f>
        <v>0</v>
      </c>
      <c s="125">
        <f>'Квартальная отчетность'!BG$16</f>
        <v>0</v>
      </c>
      <c s="125">
        <f>'Квартальная отчетность'!BH$16</f>
        <v>0</v>
      </c>
      <c s="125">
        <f>'Квартальная отчетность'!BI$16</f>
        <v>0</v>
      </c>
      <c s="125">
        <f>'Квартальная отчетность'!BJ$16</f>
        <v>0</v>
      </c>
      <c s="125">
        <f>'Квартальная отчетность'!BK$16</f>
        <v>0</v>
      </c>
      <c s="125">
        <f>'Квартальная отчетность'!BL$16</f>
        <v>0</v>
      </c>
      <c s="125">
        <f>'Квартальная отчетность'!BM$16</f>
        <v>0</v>
      </c>
    </row>
    <row r="202" spans="2:65" ht="15" customHeight="1">
      <c r="B202" s="12" t="s">
        <v>283</v>
      </c>
      <c s="124" t="str">
        <f>Единица_измерения</f>
        <v>тыс. руб.</v>
      </c>
      <c s="276">
        <f ca="1">SUMIF($E$6:$BM$6,CONCATENATE($E$32,MATCH($D$32,$E$8:$BM$8,0)),E202:BM202)</f>
        <v>0</v>
      </c>
      <c s="125">
        <f>'Квартальная отчетность'!E$29</f>
        <v>0</v>
      </c>
      <c s="125">
        <f ca="1">'Квартальная отчетность'!F$29</f>
        <v>0</v>
      </c>
      <c s="125">
        <f ca="1">'Квартальная отчетность'!G$29</f>
        <v>0</v>
      </c>
      <c s="125">
        <f ca="1">'Квартальная отчетность'!H$29</f>
        <v>0</v>
      </c>
      <c s="125">
        <f ca="1">'Квартальная отчетность'!I$29</f>
        <v>0</v>
      </c>
      <c s="125">
        <f ca="1">'Квартальная отчетность'!J$29</f>
        <v>0</v>
      </c>
      <c s="125">
        <f ca="1">'Квартальная отчетность'!K$29</f>
        <v>0</v>
      </c>
      <c s="125">
        <f ca="1">'Квартальная отчетность'!L$29</f>
        <v>0</v>
      </c>
      <c s="125">
        <f ca="1">'Квартальная отчетность'!M$29</f>
        <v>0</v>
      </c>
      <c s="125">
        <f ca="1">'Квартальная отчетность'!N$29</f>
        <v>0</v>
      </c>
      <c s="125">
        <f ca="1">'Квартальная отчетность'!O$29</f>
        <v>0</v>
      </c>
      <c s="125">
        <f ca="1">'Квартальная отчетность'!P$29</f>
        <v>0</v>
      </c>
      <c s="125">
        <f ca="1">'Квартальная отчетность'!Q$29</f>
        <v>0</v>
      </c>
      <c s="125">
        <f ca="1">'Квартальная отчетность'!R$29</f>
        <v>0</v>
      </c>
      <c s="125">
        <f ca="1">'Квартальная отчетность'!S$29</f>
        <v>0</v>
      </c>
      <c s="125">
        <f ca="1">'Квартальная отчетность'!T$29</f>
        <v>0</v>
      </c>
      <c s="125">
        <f ca="1">'Квартальная отчетность'!U$29</f>
        <v>0</v>
      </c>
      <c s="125">
        <f ca="1">'Квартальная отчетность'!V$29</f>
        <v>0</v>
      </c>
      <c s="125">
        <f ca="1">'Квартальная отчетность'!W$29</f>
        <v>0</v>
      </c>
      <c s="125">
        <f ca="1">'Квартальная отчетность'!X$29</f>
        <v>0</v>
      </c>
      <c s="125">
        <f ca="1">'Квартальная отчетность'!Y$29</f>
        <v>0</v>
      </c>
      <c s="125">
        <f ca="1">'Квартальная отчетность'!Z$29</f>
        <v>0</v>
      </c>
      <c s="125">
        <f ca="1">'Квартальная отчетность'!AA$29</f>
        <v>0</v>
      </c>
      <c s="125">
        <f ca="1">'Квартальная отчетность'!AB$29</f>
        <v>0</v>
      </c>
      <c s="125">
        <f ca="1">'Квартальная отчетность'!AC$29</f>
        <v>0</v>
      </c>
      <c s="125">
        <f ca="1">'Квартальная отчетность'!AD$29</f>
        <v>0</v>
      </c>
      <c s="125">
        <f ca="1">'Квартальная отчетность'!AE$29</f>
        <v>0</v>
      </c>
      <c s="125">
        <f ca="1">'Квартальная отчетность'!AF$29</f>
        <v>0</v>
      </c>
      <c s="125">
        <f ca="1">'Квартальная отчетность'!AG$29</f>
        <v>0</v>
      </c>
      <c s="125">
        <f ca="1">'Квартальная отчетность'!AH$29</f>
        <v>0</v>
      </c>
      <c s="125">
        <f ca="1">'Квартальная отчетность'!AI$29</f>
        <v>0</v>
      </c>
      <c s="125">
        <f ca="1">'Квартальная отчетность'!AJ$29</f>
        <v>0</v>
      </c>
      <c s="125">
        <f ca="1">'Квартальная отчетность'!AK$29</f>
        <v>0</v>
      </c>
      <c s="125">
        <f ca="1">'Квартальная отчетность'!AL$29</f>
        <v>0</v>
      </c>
      <c s="125">
        <f ca="1">'Квартальная отчетность'!AM$29</f>
        <v>0</v>
      </c>
      <c s="125">
        <f ca="1">'Квартальная отчетность'!AN$29</f>
        <v>0</v>
      </c>
      <c s="125">
        <f ca="1">'Квартальная отчетность'!AO$29</f>
        <v>0</v>
      </c>
      <c s="125">
        <f ca="1">'Квартальная отчетность'!AP$29</f>
        <v>0</v>
      </c>
      <c s="125">
        <f ca="1">'Квартальная отчетность'!AQ$29</f>
        <v>0</v>
      </c>
      <c s="125">
        <f ca="1">'Квартальная отчетность'!AR$29</f>
        <v>0</v>
      </c>
      <c s="125">
        <f ca="1">'Квартальная отчетность'!AS$29</f>
        <v>0</v>
      </c>
      <c s="125">
        <f ca="1">'Квартальная отчетность'!AT$29</f>
        <v>0</v>
      </c>
      <c s="125">
        <f ca="1">'Квартальная отчетность'!AU$29</f>
        <v>0</v>
      </c>
      <c s="125">
        <f ca="1">'Квартальная отчетность'!AV$29</f>
        <v>0</v>
      </c>
      <c s="125">
        <f ca="1">'Квартальная отчетность'!AW$29</f>
        <v>0</v>
      </c>
      <c s="125">
        <f ca="1">'Квартальная отчетность'!AX$29</f>
        <v>0</v>
      </c>
      <c s="125">
        <f ca="1">'Квартальная отчетность'!AY$29</f>
        <v>0</v>
      </c>
      <c s="125">
        <f ca="1">'Квартальная отчетность'!AZ$29</f>
        <v>0</v>
      </c>
      <c s="125">
        <f ca="1">'Квартальная отчетность'!BA$29</f>
        <v>0</v>
      </c>
      <c s="125">
        <f ca="1">'Квартальная отчетность'!BB$29</f>
        <v>0</v>
      </c>
      <c s="125">
        <f ca="1">'Квартальная отчетность'!BC$29</f>
        <v>0</v>
      </c>
      <c s="125">
        <f ca="1">'Квартальная отчетность'!BD$29</f>
        <v>0</v>
      </c>
      <c s="125">
        <f ca="1">'Квартальная отчетность'!BE$29</f>
        <v>0</v>
      </c>
      <c s="125">
        <f ca="1">'Квартальная отчетность'!BF$29</f>
        <v>0</v>
      </c>
      <c s="125">
        <f ca="1">'Квартальная отчетность'!BG$29</f>
        <v>0</v>
      </c>
      <c s="125">
        <f ca="1">'Квартальная отчетность'!BH$29</f>
        <v>0</v>
      </c>
      <c s="125">
        <f ca="1">'Квартальная отчетность'!BI$29</f>
        <v>0</v>
      </c>
      <c s="125">
        <f ca="1">'Квартальная отчетность'!BJ$29</f>
        <v>0</v>
      </c>
      <c s="125">
        <f ca="1">'Квартальная отчетность'!BK$29</f>
        <v>0</v>
      </c>
      <c s="125">
        <f ca="1">'Квартальная отчетность'!BL$29</f>
        <v>0</v>
      </c>
      <c s="125">
        <f ca="1">'Квартальная отчетность'!BM$29</f>
        <v>0</v>
      </c>
    </row>
    <row r="203" spans="2:65" ht="15" customHeight="1">
      <c r="B203" s="289" t="s">
        <v>1022</v>
      </c>
      <c s="290" t="s">
        <v>817</v>
      </c>
      <c s="282" t="str">
        <f ca="1" t="shared" si="588" ref="D203:E203">IFERROR(D202/D201,"-")</f>
        <v>-</v>
      </c>
      <c s="282" t="str">
        <f t="shared" ca="1" si="588"/>
        <v>-</v>
      </c>
      <c s="282" t="str">
        <f ca="1" t="shared" si="589" ref="F203:AG203">IFERROR(F202/F201,"-")</f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t="shared" ca="1" si="589"/>
        <v>-</v>
      </c>
      <c s="282" t="str">
        <f ca="1" t="shared" si="590" ref="AH203:BM203">IFERROR(AH202/AH201,"-")</f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  <c s="282" t="str">
        <f t="shared" ca="1" si="590"/>
        <v>-</v>
      </c>
    </row>
    <row r="204" ht="15" customHeight="1"/>
    <row r="205" spans="2:2" ht="15" customHeight="1">
      <c r="B205" s="24" t="s">
        <v>1130</v>
      </c>
    </row>
    <row r="206" spans="2:65" ht="15" customHeight="1">
      <c r="B206" s="12" t="s">
        <v>273</v>
      </c>
      <c s="124" t="str">
        <f>Единица_измерения</f>
        <v>тыс. руб.</v>
      </c>
      <c s="276">
        <f>SUMIF($E$6:$BM$6,CONCATENATE($E$32,MATCH($D$32,$E$8:$BM$8,0)),E206:BM206)</f>
        <v>0</v>
      </c>
      <c s="125">
        <f>'Квартальная отчетность'!E$16</f>
        <v>0</v>
      </c>
      <c s="125">
        <f>'Квартальная отчетность'!F$16</f>
        <v>0</v>
      </c>
      <c s="125">
        <f>'Квартальная отчетность'!G$16</f>
        <v>0</v>
      </c>
      <c s="125">
        <f>'Квартальная отчетность'!H$16</f>
        <v>0</v>
      </c>
      <c s="125">
        <f>'Квартальная отчетность'!I$16</f>
        <v>0</v>
      </c>
      <c s="125">
        <f>'Квартальная отчетность'!J$16</f>
        <v>0</v>
      </c>
      <c s="125">
        <f>'Квартальная отчетность'!K$16</f>
        <v>0</v>
      </c>
      <c s="125">
        <f>'Квартальная отчетность'!L$16</f>
        <v>0</v>
      </c>
      <c s="125">
        <f>'Квартальная отчетность'!M$16</f>
        <v>0</v>
      </c>
      <c s="125">
        <f>'Квартальная отчетность'!N$16</f>
        <v>0</v>
      </c>
      <c s="125">
        <f>'Квартальная отчетность'!O$16</f>
        <v>0</v>
      </c>
      <c s="125">
        <f>'Квартальная отчетность'!P$16</f>
        <v>0</v>
      </c>
      <c s="125">
        <f>'Квартальная отчетность'!Q$16</f>
        <v>0</v>
      </c>
      <c s="125">
        <f>'Квартальная отчетность'!R$16</f>
        <v>0</v>
      </c>
      <c s="125">
        <f>'Квартальная отчетность'!S$16</f>
        <v>0</v>
      </c>
      <c s="125">
        <f>'Квартальная отчетность'!T$16</f>
        <v>0</v>
      </c>
      <c s="125">
        <f>'Квартальная отчетность'!U$16</f>
        <v>0</v>
      </c>
      <c s="125">
        <f>'Квартальная отчетность'!V$16</f>
        <v>0</v>
      </c>
      <c s="125">
        <f>'Квартальная отчетность'!W$16</f>
        <v>0</v>
      </c>
      <c s="125">
        <f>'Квартальная отчетность'!X$16</f>
        <v>0</v>
      </c>
      <c s="125">
        <f>'Квартальная отчетность'!Y$16</f>
        <v>0</v>
      </c>
      <c s="125">
        <f>'Квартальная отчетность'!Z$16</f>
        <v>0</v>
      </c>
      <c s="125">
        <f>'Квартальная отчетность'!AA$16</f>
        <v>0</v>
      </c>
      <c s="125">
        <f>'Квартальная отчетность'!AB$16</f>
        <v>0</v>
      </c>
      <c s="125">
        <f>'Квартальная отчетность'!AC$16</f>
        <v>0</v>
      </c>
      <c s="125">
        <f>'Квартальная отчетность'!AD$16</f>
        <v>0</v>
      </c>
      <c s="125">
        <f>'Квартальная отчетность'!AE$16</f>
        <v>0</v>
      </c>
      <c s="125">
        <f>'Квартальная отчетность'!AF$16</f>
        <v>0</v>
      </c>
      <c s="125">
        <f>'Квартальная отчетность'!AG$16</f>
        <v>0</v>
      </c>
      <c s="125">
        <f>'Квартальная отчетность'!AH$16</f>
        <v>0</v>
      </c>
      <c s="125">
        <f>'Квартальная отчетность'!AI$16</f>
        <v>0</v>
      </c>
      <c s="125">
        <f>'Квартальная отчетность'!AJ$16</f>
        <v>0</v>
      </c>
      <c s="125">
        <f>'Квартальная отчетность'!AK$16</f>
        <v>0</v>
      </c>
      <c s="125">
        <f>'Квартальная отчетность'!AL$16</f>
        <v>0</v>
      </c>
      <c s="125">
        <f>'Квартальная отчетность'!AM$16</f>
        <v>0</v>
      </c>
      <c s="125">
        <f>'Квартальная отчетность'!AN$16</f>
        <v>0</v>
      </c>
      <c s="125">
        <f>'Квартальная отчетность'!AO$16</f>
        <v>0</v>
      </c>
      <c s="125">
        <f>'Квартальная отчетность'!AP$16</f>
        <v>0</v>
      </c>
      <c s="125">
        <f>'Квартальная отчетность'!AQ$16</f>
        <v>0</v>
      </c>
      <c s="125">
        <f>'Квартальная отчетность'!AR$16</f>
        <v>0</v>
      </c>
      <c s="125">
        <f>'Квартальная отчетность'!AS$16</f>
        <v>0</v>
      </c>
      <c s="125">
        <f>'Квартальная отчетность'!AT$16</f>
        <v>0</v>
      </c>
      <c s="125">
        <f>'Квартальная отчетность'!AU$16</f>
        <v>0</v>
      </c>
      <c s="125">
        <f>'Квартальная отчетность'!AV$16</f>
        <v>0</v>
      </c>
      <c s="125">
        <f>'Квартальная отчетность'!AW$16</f>
        <v>0</v>
      </c>
      <c s="125">
        <f>'Квартальная отчетность'!AX$16</f>
        <v>0</v>
      </c>
      <c s="125">
        <f>'Квартальная отчетность'!AY$16</f>
        <v>0</v>
      </c>
      <c s="125">
        <f>'Квартальная отчетность'!AZ$16</f>
        <v>0</v>
      </c>
      <c s="125">
        <f>'Квартальная отчетность'!BA$16</f>
        <v>0</v>
      </c>
      <c s="125">
        <f>'Квартальная отчетность'!BB$16</f>
        <v>0</v>
      </c>
      <c s="125">
        <f>'Квартальная отчетность'!BC$16</f>
        <v>0</v>
      </c>
      <c s="125">
        <f>'Квартальная отчетность'!BD$16</f>
        <v>0</v>
      </c>
      <c s="125">
        <f>'Квартальная отчетность'!BE$16</f>
        <v>0</v>
      </c>
      <c s="125">
        <f>'Квартальная отчетность'!BF$16</f>
        <v>0</v>
      </c>
      <c s="125">
        <f>'Квартальная отчетность'!BG$16</f>
        <v>0</v>
      </c>
      <c s="125">
        <f>'Квартальная отчетность'!BH$16</f>
        <v>0</v>
      </c>
      <c s="125">
        <f>'Квартальная отчетность'!BI$16</f>
        <v>0</v>
      </c>
      <c s="125">
        <f>'Квартальная отчетность'!BJ$16</f>
        <v>0</v>
      </c>
      <c s="125">
        <f>'Квартальная отчетность'!BK$16</f>
        <v>0</v>
      </c>
      <c s="125">
        <f>'Квартальная отчетность'!BL$16</f>
        <v>0</v>
      </c>
      <c s="125">
        <f>'Квартальная отчетность'!BM$16</f>
        <v>0</v>
      </c>
    </row>
    <row r="207" spans="2:65" ht="15" customHeight="1">
      <c r="B207" s="12" t="s">
        <v>576</v>
      </c>
      <c s="124" t="str">
        <f>Единица_измерения</f>
        <v>тыс. руб.</v>
      </c>
      <c s="276">
        <f ca="1">SUMIF($E$6:$BM$6,CONCATENATE($E$32,MATCH($D$32,$E$8:$BM$8,0)),E207:BM207)</f>
        <v>0</v>
      </c>
      <c s="125">
        <f t="shared" si="591" ref="E207:BM207">E$167</f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  <c s="125">
        <f t="shared" si="591"/>
        <v>0</v>
      </c>
    </row>
    <row r="208" spans="2:65" ht="15" customHeight="1">
      <c r="B208" s="289" t="s">
        <v>1130</v>
      </c>
      <c s="290" t="s">
        <v>817</v>
      </c>
      <c s="282" t="str">
        <f ca="1" t="shared" si="592" ref="D208:E208">IFERROR(D207/D206,"-")</f>
        <v>-</v>
      </c>
      <c s="282" t="str">
        <f t="shared" ca="1" si="592"/>
        <v>-</v>
      </c>
      <c s="282" t="str">
        <f ca="1" t="shared" si="593" ref="F208:AF208">IFERROR(F207/F206,"-")</f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t="shared" ca="1" si="593"/>
        <v>-</v>
      </c>
      <c s="282" t="str">
        <f ca="1" t="shared" si="594" ref="AG208:BM208">IFERROR(AG207/AG206,"-")</f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  <c s="282" t="str">
        <f t="shared" ca="1" si="594"/>
        <v>-</v>
      </c>
    </row>
    <row r="209" ht="15" customHeight="1"/>
    <row r="210" spans="2:2" ht="15" customHeight="1">
      <c r="B210" s="24" t="s">
        <v>1025</v>
      </c>
    </row>
    <row r="211" spans="2:65" ht="15" customHeight="1">
      <c r="B211" s="12" t="s">
        <v>273</v>
      </c>
      <c s="124" t="str">
        <f>Единица_измерения</f>
        <v>тыс. руб.</v>
      </c>
      <c s="276">
        <f>SUMIF($E$6:$BM$6,CONCATENATE($E$32,MATCH($D$32,$E$8:$BM$8,0)),E211:BM211)</f>
        <v>0</v>
      </c>
      <c s="125">
        <f>'Квартальная отчетность'!E$16</f>
        <v>0</v>
      </c>
      <c s="125">
        <f>'Квартальная отчетность'!F$16</f>
        <v>0</v>
      </c>
      <c s="125">
        <f>'Квартальная отчетность'!G$16</f>
        <v>0</v>
      </c>
      <c s="125">
        <f>'Квартальная отчетность'!H$16</f>
        <v>0</v>
      </c>
      <c s="125">
        <f>'Квартальная отчетность'!I$16</f>
        <v>0</v>
      </c>
      <c s="125">
        <f>'Квартальная отчетность'!J$16</f>
        <v>0</v>
      </c>
      <c s="125">
        <f>'Квартальная отчетность'!K$16</f>
        <v>0</v>
      </c>
      <c s="125">
        <f>'Квартальная отчетность'!L$16</f>
        <v>0</v>
      </c>
      <c s="125">
        <f>'Квартальная отчетность'!M$16</f>
        <v>0</v>
      </c>
      <c s="125">
        <f>'Квартальная отчетность'!N$16</f>
        <v>0</v>
      </c>
      <c s="125">
        <f>'Квартальная отчетность'!O$16</f>
        <v>0</v>
      </c>
      <c s="125">
        <f>'Квартальная отчетность'!P$16</f>
        <v>0</v>
      </c>
      <c s="125">
        <f>'Квартальная отчетность'!Q$16</f>
        <v>0</v>
      </c>
      <c s="125">
        <f>'Квартальная отчетность'!R$16</f>
        <v>0</v>
      </c>
      <c s="125">
        <f>'Квартальная отчетность'!S$16</f>
        <v>0</v>
      </c>
      <c s="125">
        <f>'Квартальная отчетность'!T$16</f>
        <v>0</v>
      </c>
      <c s="125">
        <f>'Квартальная отчетность'!U$16</f>
        <v>0</v>
      </c>
      <c s="125">
        <f>'Квартальная отчетность'!V$16</f>
        <v>0</v>
      </c>
      <c s="125">
        <f>'Квартальная отчетность'!W$16</f>
        <v>0</v>
      </c>
      <c s="125">
        <f>'Квартальная отчетность'!X$16</f>
        <v>0</v>
      </c>
      <c s="125">
        <f>'Квартальная отчетность'!Y$16</f>
        <v>0</v>
      </c>
      <c s="125">
        <f>'Квартальная отчетность'!Z$16</f>
        <v>0</v>
      </c>
      <c s="125">
        <f>'Квартальная отчетность'!AA$16</f>
        <v>0</v>
      </c>
      <c s="125">
        <f>'Квартальная отчетность'!AB$16</f>
        <v>0</v>
      </c>
      <c s="125">
        <f>'Квартальная отчетность'!AC$16</f>
        <v>0</v>
      </c>
      <c s="125">
        <f>'Квартальная отчетность'!AD$16</f>
        <v>0</v>
      </c>
      <c s="125">
        <f>'Квартальная отчетность'!AE$16</f>
        <v>0</v>
      </c>
      <c s="125">
        <f>'Квартальная отчетность'!AF$16</f>
        <v>0</v>
      </c>
      <c s="125">
        <f>'Квартальная отчетность'!AG$16</f>
        <v>0</v>
      </c>
      <c s="125">
        <f>'Квартальная отчетность'!AH$16</f>
        <v>0</v>
      </c>
      <c s="125">
        <f>'Квартальная отчетность'!AI$16</f>
        <v>0</v>
      </c>
      <c s="125">
        <f>'Квартальная отчетность'!AJ$16</f>
        <v>0</v>
      </c>
      <c s="125">
        <f>'Квартальная отчетность'!AK$16</f>
        <v>0</v>
      </c>
      <c s="125">
        <f>'Квартальная отчетность'!AL$16</f>
        <v>0</v>
      </c>
      <c s="125">
        <f>'Квартальная отчетность'!AM$16</f>
        <v>0</v>
      </c>
      <c s="125">
        <f>'Квартальная отчетность'!AN$16</f>
        <v>0</v>
      </c>
      <c s="125">
        <f>'Квартальная отчетность'!AO$16</f>
        <v>0</v>
      </c>
      <c s="125">
        <f>'Квартальная отчетность'!AP$16</f>
        <v>0</v>
      </c>
      <c s="125">
        <f>'Квартальная отчетность'!AQ$16</f>
        <v>0</v>
      </c>
      <c s="125">
        <f>'Квартальная отчетность'!AR$16</f>
        <v>0</v>
      </c>
      <c s="125">
        <f>'Квартальная отчетность'!AS$16</f>
        <v>0</v>
      </c>
      <c s="125">
        <f>'Квартальная отчетность'!AT$16</f>
        <v>0</v>
      </c>
      <c s="125">
        <f>'Квартальная отчетность'!AU$16</f>
        <v>0</v>
      </c>
      <c s="125">
        <f>'Квартальная отчетность'!AV$16</f>
        <v>0</v>
      </c>
      <c s="125">
        <f>'Квартальная отчетность'!AW$16</f>
        <v>0</v>
      </c>
      <c s="125">
        <f>'Квартальная отчетность'!AX$16</f>
        <v>0</v>
      </c>
      <c s="125">
        <f>'Квартальная отчетность'!AY$16</f>
        <v>0</v>
      </c>
      <c s="125">
        <f>'Квартальная отчетность'!AZ$16</f>
        <v>0</v>
      </c>
      <c s="125">
        <f>'Квартальная отчетность'!BA$16</f>
        <v>0</v>
      </c>
      <c s="125">
        <f>'Квартальная отчетность'!BB$16</f>
        <v>0</v>
      </c>
      <c s="125">
        <f>'Квартальная отчетность'!BC$16</f>
        <v>0</v>
      </c>
      <c s="125">
        <f>'Квартальная отчетность'!BD$16</f>
        <v>0</v>
      </c>
      <c s="125">
        <f>'Квартальная отчетность'!BE$16</f>
        <v>0</v>
      </c>
      <c s="125">
        <f>'Квартальная отчетность'!BF$16</f>
        <v>0</v>
      </c>
      <c s="125">
        <f>'Квартальная отчетность'!BG$16</f>
        <v>0</v>
      </c>
      <c s="125">
        <f>'Квартальная отчетность'!BH$16</f>
        <v>0</v>
      </c>
      <c s="125">
        <f>'Квартальная отчетность'!BI$16</f>
        <v>0</v>
      </c>
      <c s="125">
        <f>'Квартальная отчетность'!BJ$16</f>
        <v>0</v>
      </c>
      <c s="125">
        <f>'Квартальная отчетность'!BK$16</f>
        <v>0</v>
      </c>
      <c s="125">
        <f>'Квартальная отчетность'!BL$16</f>
        <v>0</v>
      </c>
      <c s="125">
        <f>'Квартальная отчетность'!BM$16</f>
        <v>0</v>
      </c>
    </row>
    <row r="212" spans="2:65" ht="15" customHeight="1">
      <c r="B212" s="12" t="s">
        <v>577</v>
      </c>
      <c s="124" t="str">
        <f>Единица_измерения</f>
        <v>тыс. руб.</v>
      </c>
      <c s="276">
        <f ca="1">SUMIF($E$6:$BM$6,CONCATENATE($E$32,MATCH($D$32,$E$8:$BM$8,0)),E212:BM212)</f>
        <v>0</v>
      </c>
      <c s="125">
        <f t="shared" si="595" ref="E212:BM212">E$145</f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  <c s="125">
        <f t="shared" si="595"/>
        <v>0</v>
      </c>
    </row>
    <row r="213" spans="2:65" ht="15" customHeight="1">
      <c r="B213" s="289" t="s">
        <v>1025</v>
      </c>
      <c s="290" t="s">
        <v>817</v>
      </c>
      <c s="282" t="str">
        <f ca="1" t="shared" si="596" ref="D213:E213">IFERROR(D212/D211,"-")</f>
        <v>-</v>
      </c>
      <c s="282" t="str">
        <f t="shared" ca="1" si="596"/>
        <v>-</v>
      </c>
      <c s="282" t="str">
        <f ca="1" t="shared" si="597" ref="F213:AG213">IFERROR(F212/F211,"-")</f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t="shared" ca="1" si="597"/>
        <v>-</v>
      </c>
      <c s="282" t="str">
        <f ca="1" t="shared" si="598" ref="AH213:BM213">IFERROR(AH212/AH211,"-")</f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  <c s="282" t="str">
        <f t="shared" ca="1" si="598"/>
        <v>-</v>
      </c>
    </row>
    <row r="214" ht="15" customHeight="1"/>
    <row r="215" spans="2:2" ht="21">
      <c r="B215" s="23" t="s">
        <v>1131</v>
      </c>
    </row>
    <row r="216" spans="2:65" ht="15" customHeight="1">
      <c r="B216" s="12" t="s">
        <v>1132</v>
      </c>
      <c s="124" t="str">
        <f>Единица_измерения</f>
        <v>тыс. руб.</v>
      </c>
      <c s="276">
        <f>SUMIF($E$6:$BM$6,CONCATENATE($E$32,MATCH($D$32,$E$8:$BM$8,0)),E216:BM216)</f>
        <v>0</v>
      </c>
      <c s="125">
        <f>'Квартальная отчетность'!E16</f>
        <v>0</v>
      </c>
      <c s="125">
        <f>'Квартальная отчетность'!F16</f>
        <v>0</v>
      </c>
      <c s="125">
        <f>'Квартальная отчетность'!G16</f>
        <v>0</v>
      </c>
      <c s="125">
        <f>'Квартальная отчетность'!H16</f>
        <v>0</v>
      </c>
      <c s="125">
        <f>'Квартальная отчетность'!I16</f>
        <v>0</v>
      </c>
      <c s="125">
        <f>'Квартальная отчетность'!J16</f>
        <v>0</v>
      </c>
      <c s="125">
        <f>'Квартальная отчетность'!K16</f>
        <v>0</v>
      </c>
      <c s="125">
        <f>'Квартальная отчетность'!L16</f>
        <v>0</v>
      </c>
      <c s="125">
        <f>'Квартальная отчетность'!M16</f>
        <v>0</v>
      </c>
      <c s="125">
        <f>'Квартальная отчетность'!N16</f>
        <v>0</v>
      </c>
      <c s="125">
        <f>'Квартальная отчетность'!O16</f>
        <v>0</v>
      </c>
      <c s="125">
        <f>'Квартальная отчетность'!P16</f>
        <v>0</v>
      </c>
      <c s="125">
        <f>'Квартальная отчетность'!Q16</f>
        <v>0</v>
      </c>
      <c s="125">
        <f>'Квартальная отчетность'!R16</f>
        <v>0</v>
      </c>
      <c s="125">
        <f>'Квартальная отчетность'!S16</f>
        <v>0</v>
      </c>
      <c s="125">
        <f>'Квартальная отчетность'!T16</f>
        <v>0</v>
      </c>
      <c s="125">
        <f>'Квартальная отчетность'!U16</f>
        <v>0</v>
      </c>
      <c s="125">
        <f>'Квартальная отчетность'!V16</f>
        <v>0</v>
      </c>
      <c s="125">
        <f>'Квартальная отчетность'!W16</f>
        <v>0</v>
      </c>
      <c s="125">
        <f>'Квартальная отчетность'!X16</f>
        <v>0</v>
      </c>
      <c s="125">
        <f>'Квартальная отчетность'!Y16</f>
        <v>0</v>
      </c>
      <c s="125">
        <f>'Квартальная отчетность'!Z16</f>
        <v>0</v>
      </c>
      <c s="125">
        <f>'Квартальная отчетность'!AA16</f>
        <v>0</v>
      </c>
      <c s="125">
        <f>'Квартальная отчетность'!AB16</f>
        <v>0</v>
      </c>
      <c s="125">
        <f>'Квартальная отчетность'!AC16</f>
        <v>0</v>
      </c>
      <c s="125">
        <f>'Квартальная отчетность'!AD16</f>
        <v>0</v>
      </c>
      <c s="125">
        <f>'Квартальная отчетность'!AE16</f>
        <v>0</v>
      </c>
      <c s="125">
        <f>'Квартальная отчетность'!AF16</f>
        <v>0</v>
      </c>
      <c s="125">
        <f>'Квартальная отчетность'!AG16</f>
        <v>0</v>
      </c>
      <c s="125">
        <f>'Квартальная отчетность'!AH16</f>
        <v>0</v>
      </c>
      <c s="125">
        <f>'Квартальная отчетность'!AI16</f>
        <v>0</v>
      </c>
      <c s="125">
        <f>'Квартальная отчетность'!AJ16</f>
        <v>0</v>
      </c>
      <c s="125">
        <f>'Квартальная отчетность'!AK16</f>
        <v>0</v>
      </c>
      <c s="125">
        <f>'Квартальная отчетность'!AL16</f>
        <v>0</v>
      </c>
      <c s="125">
        <f>'Квартальная отчетность'!AM16</f>
        <v>0</v>
      </c>
      <c s="125">
        <f>'Квартальная отчетность'!AN16</f>
        <v>0</v>
      </c>
      <c s="125">
        <f>'Квартальная отчетность'!AO16</f>
        <v>0</v>
      </c>
      <c s="125">
        <f>'Квартальная отчетность'!AP16</f>
        <v>0</v>
      </c>
      <c s="125">
        <f>'Квартальная отчетность'!AQ16</f>
        <v>0</v>
      </c>
      <c s="125">
        <f>'Квартальная отчетность'!AR16</f>
        <v>0</v>
      </c>
      <c s="125">
        <f>'Квартальная отчетность'!AS16</f>
        <v>0</v>
      </c>
      <c s="125">
        <f>'Квартальная отчетность'!AT16</f>
        <v>0</v>
      </c>
      <c s="125">
        <f>'Квартальная отчетность'!AU16</f>
        <v>0</v>
      </c>
      <c s="125">
        <f>'Квартальная отчетность'!AV16</f>
        <v>0</v>
      </c>
      <c s="125">
        <f>'Квартальная отчетность'!AW16</f>
        <v>0</v>
      </c>
      <c s="125">
        <f>'Квартальная отчетность'!AX16</f>
        <v>0</v>
      </c>
      <c s="125">
        <f>'Квартальная отчетность'!AY16</f>
        <v>0</v>
      </c>
      <c s="125">
        <f>'Квартальная отчетность'!AZ16</f>
        <v>0</v>
      </c>
      <c s="125">
        <f>'Квартальная отчетность'!BA16</f>
        <v>0</v>
      </c>
      <c s="125">
        <f>'Квартальная отчетность'!BB16</f>
        <v>0</v>
      </c>
      <c s="125">
        <f>'Квартальная отчетность'!BC16</f>
        <v>0</v>
      </c>
      <c s="125">
        <f>'Квартальная отчетность'!BD16</f>
        <v>0</v>
      </c>
      <c s="125">
        <f>'Квартальная отчетность'!BE16</f>
        <v>0</v>
      </c>
      <c s="125">
        <f>'Квартальная отчетность'!BF16</f>
        <v>0</v>
      </c>
      <c s="125">
        <f>'Квартальная отчетность'!BG16</f>
        <v>0</v>
      </c>
      <c s="125">
        <f>'Квартальная отчетность'!BH16</f>
        <v>0</v>
      </c>
      <c s="125">
        <f>'Квартальная отчетность'!BI16</f>
        <v>0</v>
      </c>
      <c s="125">
        <f>'Квартальная отчетность'!BJ16</f>
        <v>0</v>
      </c>
      <c s="125">
        <f>'Квартальная отчетность'!BK16</f>
        <v>0</v>
      </c>
      <c s="125">
        <f>'Квартальная отчетность'!BL16</f>
        <v>0</v>
      </c>
      <c s="125">
        <f>'Квартальная отчетность'!BM16</f>
        <v>0</v>
      </c>
    </row>
    <row r="217" spans="2:65" ht="15" customHeight="1">
      <c r="B217" s="12" t="s">
        <v>1133</v>
      </c>
      <c s="124" t="str">
        <f>Единица_измерения</f>
        <v>тыс. руб.</v>
      </c>
      <c s="276">
        <f>SUMIF($E$6:$BM$6,CONCATENATE($E$32,MATCH($D$32,$E$8:$BM$8,0)),E217:BM217)</f>
        <v>0</v>
      </c>
      <c s="125">
        <f>'Квартальная отчетность'!E265</f>
        <v>0</v>
      </c>
      <c s="125">
        <f>'Квартальная отчетность'!F265</f>
        <v>0</v>
      </c>
      <c s="125">
        <f>'Квартальная отчетность'!G265</f>
        <v>0</v>
      </c>
      <c s="125">
        <f>'Квартальная отчетность'!H265</f>
        <v>0</v>
      </c>
      <c s="125">
        <f>'Квартальная отчетность'!I265</f>
        <v>0</v>
      </c>
      <c s="125">
        <f>'Квартальная отчетность'!J265</f>
        <v>0</v>
      </c>
      <c s="125">
        <f>'Квартальная отчетность'!K265</f>
        <v>0</v>
      </c>
      <c s="125">
        <f>'Квартальная отчетность'!L265</f>
        <v>0</v>
      </c>
      <c s="125">
        <f>'Квартальная отчетность'!M265</f>
        <v>0</v>
      </c>
      <c s="125">
        <f>'Квартальная отчетность'!N265</f>
        <v>0</v>
      </c>
      <c s="125">
        <f>'Квартальная отчетность'!O265</f>
        <v>0</v>
      </c>
      <c s="125">
        <f>'Квартальная отчетность'!P265</f>
        <v>0</v>
      </c>
      <c s="125">
        <f>'Квартальная отчетность'!Q265</f>
        <v>0</v>
      </c>
      <c s="125">
        <f>'Квартальная отчетность'!R265</f>
        <v>0</v>
      </c>
      <c s="125">
        <f>'Квартальная отчетность'!S265</f>
        <v>0</v>
      </c>
      <c s="125">
        <f>'Квартальная отчетность'!T265</f>
        <v>0</v>
      </c>
      <c s="125">
        <f>'Квартальная отчетность'!U265</f>
        <v>0</v>
      </c>
      <c s="125">
        <f>'Квартальная отчетность'!V265</f>
        <v>0</v>
      </c>
      <c s="125">
        <f>'Квартальная отчетность'!W265</f>
        <v>0</v>
      </c>
      <c s="125">
        <f>'Квартальная отчетность'!X265</f>
        <v>0</v>
      </c>
      <c s="125">
        <f>'Квартальная отчетность'!Y265</f>
        <v>0</v>
      </c>
      <c s="125">
        <f>'Квартальная отчетность'!Z265</f>
        <v>0</v>
      </c>
      <c s="125">
        <f>'Квартальная отчетность'!AA265</f>
        <v>0</v>
      </c>
      <c s="125">
        <f>'Квартальная отчетность'!AB265</f>
        <v>0</v>
      </c>
      <c s="125">
        <f>'Квартальная отчетность'!AC265</f>
        <v>0</v>
      </c>
      <c s="125">
        <f>'Квартальная отчетность'!AD265</f>
        <v>0</v>
      </c>
      <c s="125">
        <f>'Квартальная отчетность'!AE265</f>
        <v>0</v>
      </c>
      <c s="125">
        <f>'Квартальная отчетность'!AF265</f>
        <v>0</v>
      </c>
      <c s="125">
        <f>'Квартальная отчетность'!AG265</f>
        <v>0</v>
      </c>
      <c s="125">
        <f>'Квартальная отчетность'!AH265</f>
        <v>0</v>
      </c>
      <c s="125">
        <f>'Квартальная отчетность'!AI265</f>
        <v>0</v>
      </c>
      <c s="125">
        <f>'Квартальная отчетность'!AJ265</f>
        <v>0</v>
      </c>
      <c s="125">
        <f>'Квартальная отчетность'!AK265</f>
        <v>0</v>
      </c>
      <c s="125">
        <f>'Квартальная отчетность'!AL265</f>
        <v>0</v>
      </c>
      <c s="125">
        <f>'Квартальная отчетность'!AM265</f>
        <v>0</v>
      </c>
      <c s="125">
        <f>'Квартальная отчетность'!AN265</f>
        <v>0</v>
      </c>
      <c s="125">
        <f>'Квартальная отчетность'!AO265</f>
        <v>0</v>
      </c>
      <c s="125">
        <f>'Квартальная отчетность'!AP265</f>
        <v>0</v>
      </c>
      <c s="125">
        <f>'Квартальная отчетность'!AQ265</f>
        <v>0</v>
      </c>
      <c s="125">
        <f>'Квартальная отчетность'!AR265</f>
        <v>0</v>
      </c>
      <c s="125">
        <f>'Квартальная отчетность'!AS265</f>
        <v>0</v>
      </c>
      <c s="125">
        <f>'Квартальная отчетность'!AT265</f>
        <v>0</v>
      </c>
      <c s="125">
        <f>'Квартальная отчетность'!AU265</f>
        <v>0</v>
      </c>
      <c s="125">
        <f>'Квартальная отчетность'!AV265</f>
        <v>0</v>
      </c>
      <c s="125">
        <f>'Квартальная отчетность'!AW265</f>
        <v>0</v>
      </c>
      <c s="125">
        <f>'Квартальная отчетность'!AX265</f>
        <v>0</v>
      </c>
      <c s="125">
        <f>'Квартальная отчетность'!AY265</f>
        <v>0</v>
      </c>
      <c s="125">
        <f>'Квартальная отчетность'!AZ265</f>
        <v>0</v>
      </c>
      <c s="125">
        <f>'Квартальная отчетность'!BA265</f>
        <v>0</v>
      </c>
      <c s="125">
        <f>'Квартальная отчетность'!BB265</f>
        <v>0</v>
      </c>
      <c s="125">
        <f>'Квартальная отчетность'!BC265</f>
        <v>0</v>
      </c>
      <c s="125">
        <f>'Квартальная отчетность'!BD265</f>
        <v>0</v>
      </c>
      <c s="125">
        <f>'Квартальная отчетность'!BE265</f>
        <v>0</v>
      </c>
      <c s="125">
        <f>'Квартальная отчетность'!BF265</f>
        <v>0</v>
      </c>
      <c s="125">
        <f>'Квартальная отчетность'!BG265</f>
        <v>0</v>
      </c>
      <c s="125">
        <f>'Квартальная отчетность'!BH265</f>
        <v>0</v>
      </c>
      <c s="125">
        <f>'Квартальная отчетность'!BI265</f>
        <v>0</v>
      </c>
      <c s="125">
        <f>'Квартальная отчетность'!BJ265</f>
        <v>0</v>
      </c>
      <c s="125">
        <f>'Квартальная отчетность'!BK265</f>
        <v>0</v>
      </c>
      <c s="125">
        <f>'Квартальная отчетность'!BL265</f>
        <v>0</v>
      </c>
      <c s="125">
        <f>'Квартальная отчетность'!BM265</f>
        <v>0</v>
      </c>
    </row>
    <row r="218" spans="2:65" ht="15" customHeight="1">
      <c r="B218" s="289" t="s">
        <v>1134</v>
      </c>
      <c s="290" t="s">
        <v>817</v>
      </c>
      <c s="282" t="str">
        <f>IFERROR(D216/D217,"-")</f>
        <v>-</v>
      </c>
      <c s="282" t="str">
        <f>IFERROR(E216/E217,"-")</f>
        <v>-</v>
      </c>
      <c s="282" t="str">
        <f t="shared" si="599" ref="F218:AG218">IFERROR(F216/F217,"-")</f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599"/>
        <v>-</v>
      </c>
      <c s="282" t="str">
        <f t="shared" si="600" ref="AH218:BM218">IFERROR(AH216/AH217,"-")</f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  <c s="282" t="str">
        <f t="shared" si="600"/>
        <v>-</v>
      </c>
    </row>
    <row r="219" ht="15" customHeight="1"/>
    <row r="220" spans="2:2" ht="21">
      <c r="B220" s="23" t="s">
        <v>1135</v>
      </c>
    </row>
    <row r="221" spans="2:2" ht="15" customHeight="1">
      <c r="B221" s="24" t="s">
        <v>1116</v>
      </c>
    </row>
    <row r="222" spans="2:65" ht="15" customHeight="1">
      <c r="B222" s="12" t="str">
        <f>"Заём "&amp;IF(ISNUMBER(SEARCH("РФРП",Программа)),"ФРП и РФРП","ФРП")</f>
        <v>Заём ФРП</v>
      </c>
      <c s="124" t="str">
        <f t="shared" si="601" ref="C222:C226">Единица_измерения</f>
        <v>тыс. руб.</v>
      </c>
      <c s="125"/>
      <c s="125">
        <f>Финансирование!E$17</f>
        <v>0</v>
      </c>
      <c s="125">
        <f>Финансирование!F$17</f>
        <v>0</v>
      </c>
      <c s="125">
        <f>Финансирование!G$17</f>
        <v>0</v>
      </c>
      <c s="125">
        <f>Финансирование!H$17</f>
        <v>0</v>
      </c>
      <c s="125">
        <f>Финансирование!I$17</f>
        <v>0</v>
      </c>
      <c s="125">
        <f>Финансирование!J$17</f>
        <v>0</v>
      </c>
      <c s="125">
        <f>Финансирование!K$17</f>
        <v>0</v>
      </c>
      <c s="125">
        <f>Финансирование!L$17</f>
        <v>0</v>
      </c>
      <c s="125">
        <f>Финансирование!M$17</f>
        <v>0</v>
      </c>
      <c s="125">
        <f>Финансирование!N$17</f>
        <v>0</v>
      </c>
      <c s="125">
        <f>Финансирование!O$17</f>
        <v>0</v>
      </c>
      <c s="125">
        <f>Финансирование!P$17</f>
        <v>0</v>
      </c>
      <c s="125">
        <f>Финансирование!Q$17</f>
        <v>0</v>
      </c>
      <c s="125">
        <f>Финансирование!R$17</f>
        <v>0</v>
      </c>
      <c s="125">
        <f>Финансирование!S$17</f>
        <v>0</v>
      </c>
      <c s="125">
        <f>Финансирование!T$17</f>
        <v>0</v>
      </c>
      <c s="125">
        <f>Финансирование!U$17</f>
        <v>0</v>
      </c>
      <c s="125">
        <f>Финансирование!V$17</f>
        <v>0</v>
      </c>
      <c s="125">
        <f>Финансирование!W$17</f>
        <v>0</v>
      </c>
      <c s="125">
        <f>Финансирование!X$17</f>
        <v>0</v>
      </c>
      <c s="125">
        <f>Финансирование!Y$17</f>
        <v>0</v>
      </c>
      <c s="125">
        <f>Финансирование!Z$17</f>
        <v>0</v>
      </c>
      <c s="125">
        <f>Финансирование!AA$17</f>
        <v>0</v>
      </c>
      <c s="125">
        <f>Финансирование!AB$17</f>
        <v>0</v>
      </c>
      <c s="125">
        <f>Финансирование!AC$17</f>
        <v>0</v>
      </c>
      <c s="125">
        <f>Финансирование!AD$17</f>
        <v>0</v>
      </c>
      <c s="125">
        <f>Финансирование!AE$17</f>
        <v>0</v>
      </c>
      <c s="125">
        <f>Финансирование!AF$17</f>
        <v>0</v>
      </c>
      <c s="125">
        <f>Финансирование!AG$17</f>
        <v>0</v>
      </c>
      <c s="125">
        <f>Финансирование!AH$17</f>
        <v>0</v>
      </c>
      <c s="125">
        <f>Финансирование!AI$17</f>
        <v>0</v>
      </c>
      <c s="125">
        <f>Финансирование!AJ$17</f>
        <v>0</v>
      </c>
      <c s="125">
        <f>Финансирование!AK$17</f>
        <v>0</v>
      </c>
      <c s="125">
        <f>Финансирование!AL$17</f>
        <v>0</v>
      </c>
      <c s="125">
        <f>Финансирование!AM$17</f>
        <v>0</v>
      </c>
      <c s="125">
        <f>Финансирование!AN$17</f>
        <v>0</v>
      </c>
      <c s="125">
        <f>Финансирование!AO$17</f>
        <v>0</v>
      </c>
      <c s="125">
        <f>Финансирование!AP$17</f>
        <v>0</v>
      </c>
      <c s="125">
        <f>Финансирование!AQ$17</f>
        <v>0</v>
      </c>
      <c s="125">
        <f>Финансирование!AR$17</f>
        <v>0</v>
      </c>
      <c s="125">
        <f>Финансирование!AS$17</f>
        <v>0</v>
      </c>
      <c s="125">
        <f>Финансирование!AT$17</f>
        <v>0</v>
      </c>
      <c s="125">
        <f>Финансирование!AU$17</f>
        <v>0</v>
      </c>
      <c s="125">
        <f>Финансирование!AV$17</f>
        <v>0</v>
      </c>
      <c s="125">
        <f>Финансирование!AW$17</f>
        <v>0</v>
      </c>
      <c s="125">
        <f>Финансирование!AX$17</f>
        <v>0</v>
      </c>
      <c s="125">
        <f>Финансирование!AY$17</f>
        <v>0</v>
      </c>
      <c s="125">
        <f>Финансирование!AZ$17</f>
        <v>0</v>
      </c>
      <c s="125">
        <f>Финансирование!BA$17</f>
        <v>0</v>
      </c>
      <c s="125">
        <f>Финансирование!BB$17</f>
        <v>0</v>
      </c>
      <c s="125">
        <f>Финансирование!BC$17</f>
        <v>0</v>
      </c>
      <c s="125">
        <f>Финансирование!BD$17</f>
        <v>0</v>
      </c>
      <c s="125">
        <f>Финансирование!BE$17</f>
        <v>0</v>
      </c>
      <c s="125">
        <f>Финансирование!BF$17</f>
        <v>0</v>
      </c>
      <c s="125">
        <f>Финансирование!BG$17</f>
        <v>0</v>
      </c>
      <c s="125">
        <f>Финансирование!BH$17</f>
        <v>0</v>
      </c>
      <c s="125">
        <f>Финансирование!BI$17</f>
        <v>0</v>
      </c>
      <c s="125">
        <f>Финансирование!BJ$17</f>
        <v>0</v>
      </c>
      <c s="125">
        <f>Финансирование!BK$17</f>
        <v>0</v>
      </c>
      <c s="125">
        <f>Финансирование!BL$17</f>
        <v>0</v>
      </c>
      <c s="125">
        <f>Финансирование!BM$17</f>
        <v>0</v>
      </c>
    </row>
    <row r="223" spans="2:65" ht="15" customHeight="1">
      <c r="B223" s="12" t="str">
        <f>IF(ISBLANK(Предпосылки!$C$396),"Заём бенефициара/аффилированных лиц",Предпосылки!$C$396&amp;" (Проект)")</f>
        <v>Заём бенефициара/аффилированных лиц</v>
      </c>
      <c s="124" t="str">
        <f t="shared" si="601"/>
        <v>тыс. руб.</v>
      </c>
      <c s="125"/>
      <c s="125">
        <f>Финансирование!E$30</f>
        <v>0</v>
      </c>
      <c s="125">
        <f>Финансирование!F$30</f>
        <v>0</v>
      </c>
      <c s="125">
        <f>Финансирование!G$30</f>
        <v>0</v>
      </c>
      <c s="125">
        <f>Финансирование!H$30</f>
        <v>0</v>
      </c>
      <c s="125">
        <f>Финансирование!I$30</f>
        <v>0</v>
      </c>
      <c s="125">
        <f>Финансирование!J$30</f>
        <v>0</v>
      </c>
      <c s="125">
        <f>Финансирование!K$30</f>
        <v>0</v>
      </c>
      <c s="125">
        <f>Финансирование!L$30</f>
        <v>0</v>
      </c>
      <c s="125">
        <f>Финансирование!M$30</f>
        <v>0</v>
      </c>
      <c s="125">
        <f>Финансирование!N$30</f>
        <v>0</v>
      </c>
      <c s="125">
        <f>Финансирование!O$30</f>
        <v>0</v>
      </c>
      <c s="125">
        <f>Финансирование!P$30</f>
        <v>0</v>
      </c>
      <c s="125">
        <f>Финансирование!Q$30</f>
        <v>0</v>
      </c>
      <c s="125">
        <f>Финансирование!R$30</f>
        <v>0</v>
      </c>
      <c s="125">
        <f>Финансирование!S$30</f>
        <v>0</v>
      </c>
      <c s="125">
        <f>Финансирование!T$30</f>
        <v>0</v>
      </c>
      <c s="125">
        <f>Финансирование!U$30</f>
        <v>0</v>
      </c>
      <c s="125">
        <f>Финансирование!V$30</f>
        <v>0</v>
      </c>
      <c s="125">
        <f>Финансирование!W$30</f>
        <v>0</v>
      </c>
      <c s="125">
        <f>Финансирование!X$30</f>
        <v>0</v>
      </c>
      <c s="125">
        <f>Финансирование!Y$30</f>
        <v>0</v>
      </c>
      <c s="125">
        <f>Финансирование!Z$30</f>
        <v>0</v>
      </c>
      <c s="125">
        <f>Финансирование!AA$30</f>
        <v>0</v>
      </c>
      <c s="125">
        <f>Финансирование!AB$30</f>
        <v>0</v>
      </c>
      <c s="125">
        <f>Финансирование!AC$30</f>
        <v>0</v>
      </c>
      <c s="125">
        <f>Финансирование!AD$30</f>
        <v>0</v>
      </c>
      <c s="125">
        <f>Финансирование!AE$30</f>
        <v>0</v>
      </c>
      <c s="125">
        <f>Финансирование!AF$30</f>
        <v>0</v>
      </c>
      <c s="125">
        <f>Финансирование!AG$30</f>
        <v>0</v>
      </c>
      <c s="125">
        <f>Финансирование!AH$30</f>
        <v>0</v>
      </c>
      <c s="125">
        <f>Финансирование!AI$30</f>
        <v>0</v>
      </c>
      <c s="125">
        <f>Финансирование!AJ$30</f>
        <v>0</v>
      </c>
      <c s="125">
        <f>Финансирование!AK$30</f>
        <v>0</v>
      </c>
      <c s="125">
        <f>Финансирование!AL$30</f>
        <v>0</v>
      </c>
      <c s="125">
        <f>Финансирование!AM$30</f>
        <v>0</v>
      </c>
      <c s="125">
        <f>Финансирование!AN$30</f>
        <v>0</v>
      </c>
      <c s="125">
        <f>Финансирование!AO$30</f>
        <v>0</v>
      </c>
      <c s="125">
        <f>Финансирование!AP$30</f>
        <v>0</v>
      </c>
      <c s="125">
        <f>Финансирование!AQ$30</f>
        <v>0</v>
      </c>
      <c s="125">
        <f>Финансирование!AR$30</f>
        <v>0</v>
      </c>
      <c s="125">
        <f>Финансирование!AS$30</f>
        <v>0</v>
      </c>
      <c s="125">
        <f>Финансирование!AT$30</f>
        <v>0</v>
      </c>
      <c s="125">
        <f>Финансирование!AU$30</f>
        <v>0</v>
      </c>
      <c s="125">
        <f>Финансирование!AV$30</f>
        <v>0</v>
      </c>
      <c s="125">
        <f>Финансирование!AW$30</f>
        <v>0</v>
      </c>
      <c s="125">
        <f>Финансирование!AX$30</f>
        <v>0</v>
      </c>
      <c s="125">
        <f>Финансирование!AY$30</f>
        <v>0</v>
      </c>
      <c s="125">
        <f>Финансирование!AZ$30</f>
        <v>0</v>
      </c>
      <c s="125">
        <f>Финансирование!BA$30</f>
        <v>0</v>
      </c>
      <c s="125">
        <f>Финансирование!BB$30</f>
        <v>0</v>
      </c>
      <c s="125">
        <f>Финансирование!BC$30</f>
        <v>0</v>
      </c>
      <c s="125">
        <f>Финансирование!BD$30</f>
        <v>0</v>
      </c>
      <c s="125">
        <f>Финансирование!BE$30</f>
        <v>0</v>
      </c>
      <c s="125">
        <f>Финансирование!BF$30</f>
        <v>0</v>
      </c>
      <c s="125">
        <f>Финансирование!BG$30</f>
        <v>0</v>
      </c>
      <c s="125">
        <f>Финансирование!BH$30</f>
        <v>0</v>
      </c>
      <c s="125">
        <f>Финансирование!BI$30</f>
        <v>0</v>
      </c>
      <c s="125">
        <f>Финансирование!BJ$30</f>
        <v>0</v>
      </c>
      <c s="125">
        <f>Финансирование!BK$30</f>
        <v>0</v>
      </c>
      <c s="125">
        <f>Финансирование!BL$30</f>
        <v>0</v>
      </c>
      <c s="125">
        <f>Финансирование!BM$30</f>
        <v>0</v>
      </c>
    </row>
    <row r="224" spans="2:65" ht="15" customHeight="1">
      <c r="B224" s="12" t="str">
        <f>IF(ISBLANK(Предпосылки!$C$411),"Кредит/заём с графиком (Проект)",Предпосылки!$C$411&amp;" (Проект)")</f>
        <v>Кредит/заём с графиком (Проект)</v>
      </c>
      <c s="124" t="str">
        <f t="shared" si="601"/>
        <v>тыс. руб.</v>
      </c>
      <c s="125"/>
      <c s="125">
        <f>Финансирование!E$45</f>
        <v>0</v>
      </c>
      <c s="125">
        <f>Финансирование!F$45</f>
        <v>0</v>
      </c>
      <c s="125">
        <f>Финансирование!G$45</f>
        <v>0</v>
      </c>
      <c s="125">
        <f>Финансирование!H$45</f>
        <v>0</v>
      </c>
      <c s="125">
        <f>Финансирование!I$45</f>
        <v>0</v>
      </c>
      <c s="125">
        <f>Финансирование!J$45</f>
        <v>0</v>
      </c>
      <c s="125">
        <f>Финансирование!K$45</f>
        <v>0</v>
      </c>
      <c s="125">
        <f>Финансирование!L$45</f>
        <v>0</v>
      </c>
      <c s="125">
        <f>Финансирование!M$45</f>
        <v>0</v>
      </c>
      <c s="125">
        <f>Финансирование!N$45</f>
        <v>0</v>
      </c>
      <c s="125">
        <f>Финансирование!O$45</f>
        <v>0</v>
      </c>
      <c s="125">
        <f>Финансирование!P$45</f>
        <v>0</v>
      </c>
      <c s="125">
        <f>Финансирование!Q$45</f>
        <v>0</v>
      </c>
      <c s="125">
        <f>Финансирование!R$45</f>
        <v>0</v>
      </c>
      <c s="125">
        <f>Финансирование!S$45</f>
        <v>0</v>
      </c>
      <c s="125">
        <f>Финансирование!T$45</f>
        <v>0</v>
      </c>
      <c s="125">
        <f>Финансирование!U$45</f>
        <v>0</v>
      </c>
      <c s="125">
        <f>Финансирование!V$45</f>
        <v>0</v>
      </c>
      <c s="125">
        <f>Финансирование!W$45</f>
        <v>0</v>
      </c>
      <c s="125">
        <f>Финансирование!X$45</f>
        <v>0</v>
      </c>
      <c s="125">
        <f>Финансирование!Y$45</f>
        <v>0</v>
      </c>
      <c s="125">
        <f>Финансирование!Z$45</f>
        <v>0</v>
      </c>
      <c s="125">
        <f>Финансирование!AA$45</f>
        <v>0</v>
      </c>
      <c s="125">
        <f>Финансирование!AB$45</f>
        <v>0</v>
      </c>
      <c s="125">
        <f>Финансирование!AC$45</f>
        <v>0</v>
      </c>
      <c s="125">
        <f>Финансирование!AD$45</f>
        <v>0</v>
      </c>
      <c s="125">
        <f>Финансирование!AE$45</f>
        <v>0</v>
      </c>
      <c s="125">
        <f>Финансирование!AF$45</f>
        <v>0</v>
      </c>
      <c s="125">
        <f>Финансирование!AG$45</f>
        <v>0</v>
      </c>
      <c s="125">
        <f>Финансирование!AH$45</f>
        <v>0</v>
      </c>
      <c s="125">
        <f>Финансирование!AI$45</f>
        <v>0</v>
      </c>
      <c s="125">
        <f>Финансирование!AJ$45</f>
        <v>0</v>
      </c>
      <c s="125">
        <f>Финансирование!AK$45</f>
        <v>0</v>
      </c>
      <c s="125">
        <f>Финансирование!AL$45</f>
        <v>0</v>
      </c>
      <c s="125">
        <f>Финансирование!AM$45</f>
        <v>0</v>
      </c>
      <c s="125">
        <f>Финансирование!AN$45</f>
        <v>0</v>
      </c>
      <c s="125">
        <f>Финансирование!AO$45</f>
        <v>0</v>
      </c>
      <c s="125">
        <f>Финансирование!AP$45</f>
        <v>0</v>
      </c>
      <c s="125">
        <f>Финансирование!AQ$45</f>
        <v>0</v>
      </c>
      <c s="125">
        <f>Финансирование!AR$45</f>
        <v>0</v>
      </c>
      <c s="125">
        <f>Финансирование!AS$45</f>
        <v>0</v>
      </c>
      <c s="125">
        <f>Финансирование!AT$45</f>
        <v>0</v>
      </c>
      <c s="125">
        <f>Финансирование!AU$45</f>
        <v>0</v>
      </c>
      <c s="125">
        <f>Финансирование!AV$45</f>
        <v>0</v>
      </c>
      <c s="125">
        <f>Финансирование!AW$45</f>
        <v>0</v>
      </c>
      <c s="125">
        <f>Финансирование!AX$45</f>
        <v>0</v>
      </c>
      <c s="125">
        <f>Финансирование!AY$45</f>
        <v>0</v>
      </c>
      <c s="125">
        <f>Финансирование!AZ$45</f>
        <v>0</v>
      </c>
      <c s="125">
        <f>Финансирование!BA$45</f>
        <v>0</v>
      </c>
      <c s="125">
        <f>Финансирование!BB$45</f>
        <v>0</v>
      </c>
      <c s="125">
        <f>Финансирование!BC$45</f>
        <v>0</v>
      </c>
      <c s="125">
        <f>Финансирование!BD$45</f>
        <v>0</v>
      </c>
      <c s="125">
        <f>Финансирование!BE$45</f>
        <v>0</v>
      </c>
      <c s="125">
        <f>Финансирование!BF$45</f>
        <v>0</v>
      </c>
      <c s="125">
        <f>Финансирование!BG$45</f>
        <v>0</v>
      </c>
      <c s="125">
        <f>Финансирование!BH$45</f>
        <v>0</v>
      </c>
      <c s="125">
        <f>Финансирование!BI$45</f>
        <v>0</v>
      </c>
      <c s="125">
        <f>Финансирование!BJ$45</f>
        <v>0</v>
      </c>
      <c s="125">
        <f>Финансирование!BK$45</f>
        <v>0</v>
      </c>
      <c s="125">
        <f>Финансирование!BL$45</f>
        <v>0</v>
      </c>
      <c s="125">
        <f>Финансирование!BM$45</f>
        <v>0</v>
      </c>
    </row>
    <row r="225" spans="2:65" ht="15" customHeight="1">
      <c r="B225" s="12" t="s">
        <v>1136</v>
      </c>
      <c s="124" t="str">
        <f t="shared" si="601"/>
        <v>тыс. руб.</v>
      </c>
      <c s="125"/>
      <c s="125">
        <f>SUM('Квартальная отчетность'!E$242,'Квартальная отчетность'!E$249)</f>
        <v>0</v>
      </c>
      <c s="125">
        <f>SUM('Квартальная отчетность'!F$242,'Квартальная отчетность'!F$249)</f>
        <v>0</v>
      </c>
      <c s="125">
        <f>SUM('Квартальная отчетность'!G$242,'Квартальная отчетность'!G$249)</f>
        <v>0</v>
      </c>
      <c s="125">
        <f>SUM('Квартальная отчетность'!H$242,'Квартальная отчетность'!H$249)</f>
        <v>0</v>
      </c>
      <c s="125">
        <f>SUM('Квартальная отчетность'!I$242,'Квартальная отчетность'!I$249)</f>
        <v>0</v>
      </c>
      <c s="125">
        <f>SUM('Квартальная отчетность'!J$242,'Квартальная отчетность'!J$249)</f>
        <v>0</v>
      </c>
      <c s="125">
        <f>SUM('Квартальная отчетность'!K$242,'Квартальная отчетность'!K$249)</f>
        <v>0</v>
      </c>
      <c s="125">
        <f>SUM('Квартальная отчетность'!L$242,'Квартальная отчетность'!L$249)</f>
        <v>0</v>
      </c>
      <c s="125">
        <f>SUM('Квартальная отчетность'!M$242,'Квартальная отчетность'!M$249)</f>
        <v>0</v>
      </c>
      <c s="125">
        <f>SUM('Квартальная отчетность'!N$242,'Квартальная отчетность'!N$249)</f>
        <v>0</v>
      </c>
      <c s="125">
        <f>SUM('Квартальная отчетность'!O$242,'Квартальная отчетность'!O$249)</f>
        <v>0</v>
      </c>
      <c s="125">
        <f>SUM('Квартальная отчетность'!P$242,'Квартальная отчетность'!P$249)</f>
        <v>0</v>
      </c>
      <c s="125">
        <f>SUM('Квартальная отчетность'!Q$242,'Квартальная отчетность'!Q$249)</f>
        <v>0</v>
      </c>
      <c s="125">
        <f>SUM('Квартальная отчетность'!R$242,'Квартальная отчетность'!R$249)</f>
        <v>0</v>
      </c>
      <c s="125">
        <f>SUM('Квартальная отчетность'!S$242,'Квартальная отчетность'!S$249)</f>
        <v>0</v>
      </c>
      <c s="125">
        <f>SUM('Квартальная отчетность'!T$242,'Квартальная отчетность'!T$249)</f>
        <v>0</v>
      </c>
      <c s="125">
        <f>SUM('Квартальная отчетность'!U$242,'Квартальная отчетность'!U$249)</f>
        <v>0</v>
      </c>
      <c s="125">
        <f>SUM('Квартальная отчетность'!V$242,'Квартальная отчетность'!V$249)</f>
        <v>0</v>
      </c>
      <c s="125">
        <f>SUM('Квартальная отчетность'!W$242,'Квартальная отчетность'!W$249)</f>
        <v>0</v>
      </c>
      <c s="125">
        <f>SUM('Квартальная отчетность'!X$242,'Квартальная отчетность'!X$249)</f>
        <v>0</v>
      </c>
      <c s="125">
        <f>SUM('Квартальная отчетность'!Y$242,'Квартальная отчетность'!Y$249)</f>
        <v>0</v>
      </c>
      <c s="125">
        <f>SUM('Квартальная отчетность'!Z$242,'Квартальная отчетность'!Z$249)</f>
        <v>0</v>
      </c>
      <c s="125">
        <f>SUM('Квартальная отчетность'!AA$242,'Квартальная отчетность'!AA$249)</f>
        <v>0</v>
      </c>
      <c s="125">
        <f>SUM('Квартальная отчетность'!AB$242,'Квартальная отчетность'!AB$249)</f>
        <v>0</v>
      </c>
      <c s="125">
        <f>SUM('Квартальная отчетность'!AC$242,'Квартальная отчетность'!AC$249)</f>
        <v>0</v>
      </c>
      <c s="125">
        <f>SUM('Квартальная отчетность'!AD$242,'Квартальная отчетность'!AD$249)</f>
        <v>0</v>
      </c>
      <c s="125">
        <f>SUM('Квартальная отчетность'!AE$242,'Квартальная отчетность'!AE$249)</f>
        <v>0</v>
      </c>
      <c s="125">
        <f>SUM('Квартальная отчетность'!AF$242,'Квартальная отчетность'!AF$249)</f>
        <v>0</v>
      </c>
      <c s="125">
        <f>SUM('Квартальная отчетность'!AG$242,'Квартальная отчетность'!AG$249)</f>
        <v>0</v>
      </c>
      <c s="125">
        <f>SUM('Квартальная отчетность'!AH$242,'Квартальная отчетность'!AH$249)</f>
        <v>0</v>
      </c>
      <c s="125">
        <f>SUM('Квартальная отчетность'!AI$242,'Квартальная отчетность'!AI$249)</f>
        <v>0</v>
      </c>
      <c s="125">
        <f>SUM('Квартальная отчетность'!AJ$242,'Квартальная отчетность'!AJ$249)</f>
        <v>0</v>
      </c>
      <c s="125">
        <f>SUM('Квартальная отчетность'!AK$242,'Квартальная отчетность'!AK$249)</f>
        <v>0</v>
      </c>
      <c s="125">
        <f>SUM('Квартальная отчетность'!AL$242,'Квартальная отчетность'!AL$249)</f>
        <v>0</v>
      </c>
      <c s="125">
        <f>SUM('Квартальная отчетность'!AM$242,'Квартальная отчетность'!AM$249)</f>
        <v>0</v>
      </c>
      <c s="125">
        <f>SUM('Квартальная отчетность'!AN$242,'Квартальная отчетность'!AN$249)</f>
        <v>0</v>
      </c>
      <c s="125">
        <f>SUM('Квартальная отчетность'!AO$242,'Квартальная отчетность'!AO$249)</f>
        <v>0</v>
      </c>
      <c s="125">
        <f>SUM('Квартальная отчетность'!AP$242,'Квартальная отчетность'!AP$249)</f>
        <v>0</v>
      </c>
      <c s="125">
        <f>SUM('Квартальная отчетность'!AQ$242,'Квартальная отчетность'!AQ$249)</f>
        <v>0</v>
      </c>
      <c s="125">
        <f>SUM('Квартальная отчетность'!AR$242,'Квартальная отчетность'!AR$249)</f>
        <v>0</v>
      </c>
      <c s="125">
        <f>SUM('Квартальная отчетность'!AS$242,'Квартальная отчетность'!AS$249)</f>
        <v>0</v>
      </c>
      <c s="125">
        <f>SUM('Квартальная отчетность'!AT$242,'Квартальная отчетность'!AT$249)</f>
        <v>0</v>
      </c>
      <c s="125">
        <f>SUM('Квартальная отчетность'!AU$242,'Квартальная отчетность'!AU$249)</f>
        <v>0</v>
      </c>
      <c s="125">
        <f>SUM('Квартальная отчетность'!AV$242,'Квартальная отчетность'!AV$249)</f>
        <v>0</v>
      </c>
      <c s="125">
        <f>SUM('Квартальная отчетность'!AW$242,'Квартальная отчетность'!AW$249)</f>
        <v>0</v>
      </c>
      <c s="125">
        <f>SUM('Квартальная отчетность'!AX$242,'Квартальная отчетность'!AX$249)</f>
        <v>0</v>
      </c>
      <c s="125">
        <f>SUM('Квартальная отчетность'!AY$242,'Квартальная отчетность'!AY$249)</f>
        <v>0</v>
      </c>
      <c s="125">
        <f>SUM('Квартальная отчетность'!AZ$242,'Квартальная отчетность'!AZ$249)</f>
        <v>0</v>
      </c>
      <c s="125">
        <f>SUM('Квартальная отчетность'!BA$242,'Квартальная отчетность'!BA$249)</f>
        <v>0</v>
      </c>
      <c s="125">
        <f>SUM('Квартальная отчетность'!BB$242,'Квартальная отчетность'!BB$249)</f>
        <v>0</v>
      </c>
      <c s="125">
        <f>SUM('Квартальная отчетность'!BC$242,'Квартальная отчетность'!BC$249)</f>
        <v>0</v>
      </c>
      <c s="125">
        <f>SUM('Квартальная отчетность'!BD$242,'Квартальная отчетность'!BD$249)</f>
        <v>0</v>
      </c>
      <c s="125">
        <f>SUM('Квартальная отчетность'!BE$242,'Квартальная отчетность'!BE$249)</f>
        <v>0</v>
      </c>
      <c s="125">
        <f>SUM('Квартальная отчетность'!BF$242,'Квартальная отчетность'!BF$249)</f>
        <v>0</v>
      </c>
      <c s="125">
        <f>SUM('Квартальная отчетность'!BG$242,'Квартальная отчетность'!BG$249)</f>
        <v>0</v>
      </c>
      <c s="125">
        <f>SUM('Квартальная отчетность'!BH$242,'Квартальная отчетность'!BH$249)</f>
        <v>0</v>
      </c>
      <c s="125">
        <f>SUM('Квартальная отчетность'!BI$242,'Квартальная отчетность'!BI$249)</f>
        <v>0</v>
      </c>
      <c s="125">
        <f>SUM('Квартальная отчетность'!BJ$242,'Квартальная отчетность'!BJ$249)</f>
        <v>0</v>
      </c>
      <c s="125">
        <f>SUM('Квартальная отчетность'!BK$242,'Квартальная отчетность'!BK$249)</f>
        <v>0</v>
      </c>
      <c s="125">
        <f>SUM('Квартальная отчетность'!BL$242,'Квартальная отчетность'!BL$249)</f>
        <v>0</v>
      </c>
      <c s="125">
        <f>SUM('Квартальная отчетность'!BM$242,'Квартальная отчетность'!BM$249)</f>
        <v>0</v>
      </c>
    </row>
    <row r="226" spans="2:65" ht="15" customHeight="1">
      <c r="B226" s="289" t="s">
        <v>454</v>
      </c>
      <c s="290" t="str">
        <f t="shared" si="601"/>
        <v>тыс. руб.</v>
      </c>
      <c s="276"/>
      <c s="276">
        <f t="shared" si="602" ref="E226:AE226">SUM(E222:E225)</f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2"/>
        <v>0</v>
      </c>
      <c s="276">
        <f t="shared" si="603" ref="AF226:BM226">SUM(AF222:AF225)</f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  <c s="276">
        <f t="shared" si="603"/>
        <v>0</v>
      </c>
    </row>
    <row r="227" ht="15" customHeight="1"/>
    <row r="228" spans="2:2" ht="15" customHeight="1">
      <c r="B228" s="24" t="s">
        <v>577</v>
      </c>
    </row>
    <row r="229" spans="2:65" ht="15" customHeight="1">
      <c r="B229" s="12" t="s">
        <v>1137</v>
      </c>
      <c s="124" t="str">
        <f>Единица_измерения</f>
        <v>тыс. руб.</v>
      </c>
      <c s="125"/>
      <c s="125">
        <f>E$145</f>
        <v>0</v>
      </c>
      <c s="125">
        <f ca="1" t="shared" si="604" ref="F229:BM229">F$145</f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  <c s="125">
        <f t="shared" ca="1" si="604"/>
        <v>0</v>
      </c>
    </row>
    <row r="230" spans="2:65" ht="15" customHeight="1">
      <c r="B230" s="12" t="s">
        <v>1138</v>
      </c>
      <c s="124" t="str">
        <f>Единица_измерения</f>
        <v>тыс. руб.</v>
      </c>
      <c s="125"/>
      <c s="125">
        <f>SUM('Квартальная отчетность'!E130,-'Квартальная отчетность'!E127,-'Квартальная отчетность'!E126,'Квартальная отчетность'!E136)</f>
        <v>0</v>
      </c>
      <c s="125">
        <f>SUM('Квартальная отчетность'!F130,-'Квартальная отчетность'!F127,-'Квартальная отчетность'!F126,'Квартальная отчетность'!F136)</f>
        <v>0</v>
      </c>
      <c s="125">
        <f>SUM('Квартальная отчетность'!G130,-'Квартальная отчетность'!G127,-'Квартальная отчетность'!G126,'Квартальная отчетность'!G136)</f>
        <v>0</v>
      </c>
      <c s="125">
        <f>SUM('Квартальная отчетность'!H130,-'Квартальная отчетность'!H127,-'Квартальная отчетность'!H126,'Квартальная отчетность'!H136)</f>
        <v>0</v>
      </c>
      <c s="125">
        <f>SUM('Квартальная отчетность'!I130,-'Квартальная отчетность'!I127,-'Квартальная отчетность'!I126,'Квартальная отчетность'!I136)</f>
        <v>0</v>
      </c>
      <c s="125">
        <f>SUM('Квартальная отчетность'!J130,-'Квартальная отчетность'!J127,-'Квартальная отчетность'!J126,'Квартальная отчетность'!J136)</f>
        <v>0</v>
      </c>
      <c s="125">
        <f>SUM('Квартальная отчетность'!K130,-'Квартальная отчетность'!K127,-'Квартальная отчетность'!K126,'Квартальная отчетность'!K136)</f>
        <v>0</v>
      </c>
      <c s="125">
        <f>SUM('Квартальная отчетность'!L130,-'Квартальная отчетность'!L127,-'Квартальная отчетность'!L126,'Квартальная отчетность'!L136)</f>
        <v>0</v>
      </c>
      <c s="125">
        <f>SUM('Квартальная отчетность'!M130,-'Квартальная отчетность'!M127,-'Квартальная отчетность'!M126,'Квартальная отчетность'!M136)</f>
        <v>0</v>
      </c>
      <c s="125">
        <f>SUM('Квартальная отчетность'!N130,-'Квартальная отчетность'!N127,-'Квартальная отчетность'!N126,'Квартальная отчетность'!N136)</f>
        <v>0</v>
      </c>
      <c s="125">
        <f>SUM('Квартальная отчетность'!O130,-'Квартальная отчетность'!O127,-'Квартальная отчетность'!O126,'Квартальная отчетность'!O136)</f>
        <v>0</v>
      </c>
      <c s="125">
        <f>SUM('Квартальная отчетность'!P130,-'Квартальная отчетность'!P127,-'Квартальная отчетность'!P126,'Квартальная отчетность'!P136)</f>
        <v>0</v>
      </c>
      <c s="125">
        <f>SUM('Квартальная отчетность'!Q130,-'Квартальная отчетность'!Q127,-'Квартальная отчетность'!Q126,'Квартальная отчетность'!Q136)</f>
        <v>0</v>
      </c>
      <c s="125">
        <f>SUM('Квартальная отчетность'!R130,-'Квартальная отчетность'!R127,-'Квартальная отчетность'!R126,'Квартальная отчетность'!R136)</f>
        <v>0</v>
      </c>
      <c s="125">
        <f>SUM('Квартальная отчетность'!S130,-'Квартальная отчетность'!S127,-'Квартальная отчетность'!S126,'Квартальная отчетность'!S136)</f>
        <v>0</v>
      </c>
      <c s="125">
        <f>SUM('Квартальная отчетность'!T130,-'Квартальная отчетность'!T127,-'Квартальная отчетность'!T126,'Квартальная отчетность'!T136)</f>
        <v>0</v>
      </c>
      <c s="125">
        <f>SUM('Квартальная отчетность'!U130,-'Квартальная отчетность'!U127,-'Квартальная отчетность'!U126,'Квартальная отчетность'!U136)</f>
        <v>0</v>
      </c>
      <c s="125">
        <f>SUM('Квартальная отчетность'!V130,-'Квартальная отчетность'!V127,-'Квартальная отчетность'!V126,'Квартальная отчетность'!V136)</f>
        <v>0</v>
      </c>
      <c s="125">
        <f>SUM('Квартальная отчетность'!W130,-'Квартальная отчетность'!W127,-'Квартальная отчетность'!W126,'Квартальная отчетность'!W136)</f>
        <v>0</v>
      </c>
      <c s="125">
        <f>SUM('Квартальная отчетность'!X130,-'Квартальная отчетность'!X127,-'Квартальная отчетность'!X126,'Квартальная отчетность'!X136)</f>
        <v>0</v>
      </c>
      <c s="125">
        <f>SUM('Квартальная отчетность'!Y130,-'Квартальная отчетность'!Y127,-'Квартальная отчетность'!Y126,'Квартальная отчетность'!Y136)</f>
        <v>0</v>
      </c>
      <c s="125">
        <f>SUM('Квартальная отчетность'!Z130,-'Квартальная отчетность'!Z127,-'Квартальная отчетность'!Z126,'Квартальная отчетность'!Z136)</f>
        <v>0</v>
      </c>
      <c s="125">
        <f>SUM('Квартальная отчетность'!AA130,-'Квартальная отчетность'!AA127,-'Квартальная отчетность'!AA126,'Квартальная отчетность'!AA136)</f>
        <v>0</v>
      </c>
      <c s="125">
        <f>SUM('Квартальная отчетность'!AB130,-'Квартальная отчетность'!AB127,-'Квартальная отчетность'!AB126,'Квартальная отчетность'!AB136)</f>
        <v>0</v>
      </c>
      <c s="125">
        <f>SUM('Квартальная отчетность'!AC130,-'Квартальная отчетность'!AC127,-'Квартальная отчетность'!AC126,'Квартальная отчетность'!AC136)</f>
        <v>0</v>
      </c>
      <c s="125">
        <f>SUM('Квартальная отчетность'!AD130,-'Квартальная отчетность'!AD127,-'Квартальная отчетность'!AD126,'Квартальная отчетность'!AD136)</f>
        <v>0</v>
      </c>
      <c s="125">
        <f>SUM('Квартальная отчетность'!AE130,-'Квартальная отчетность'!AE127,-'Квартальная отчетность'!AE126,'Квартальная отчетность'!AE136)</f>
        <v>0</v>
      </c>
      <c s="125">
        <f>SUM('Квартальная отчетность'!AF130,-'Квартальная отчетность'!AG127,-'Квартальная отчетность'!AF126,'Квартальная отчетность'!AF136)</f>
        <v>0</v>
      </c>
      <c s="125">
        <f>SUM('Квартальная отчетность'!AG130,-'Квартальная отчетность'!AH127,-'Квартальная отчетность'!AG126,'Квартальная отчетность'!AG136)</f>
        <v>0</v>
      </c>
      <c s="125">
        <f>SUM('Квартальная отчетность'!AH130,-'Квартальная отчетность'!AH127,-'Квартальная отчетность'!AH126,'Квартальная отчетность'!AH136)</f>
        <v>0</v>
      </c>
      <c s="125">
        <f>SUM('Квартальная отчетность'!AI130,-'Квартальная отчетность'!AI127,-'Квартальная отчетность'!AI126,'Квартальная отчетность'!AI136)</f>
        <v>0</v>
      </c>
      <c s="125">
        <f>SUM('Квартальная отчетность'!AJ130,-'Квартальная отчетность'!AJ127,-'Квартальная отчетность'!AJ126,'Квартальная отчетность'!AJ136)</f>
        <v>0</v>
      </c>
      <c s="125">
        <f>SUM('Квартальная отчетность'!AK130,-'Квартальная отчетность'!AK127,-'Квартальная отчетность'!AK126,'Квартальная отчетность'!AK136)</f>
        <v>0</v>
      </c>
      <c s="125">
        <f>SUM('Квартальная отчетность'!AL130,-'Квартальная отчетность'!AL127,-'Квартальная отчетность'!AL126,'Квартальная отчетность'!AL136)</f>
        <v>0</v>
      </c>
      <c s="125">
        <f>SUM('Квартальная отчетность'!AM130,-'Квартальная отчетность'!AM127,-'Квартальная отчетность'!AM126,'Квартальная отчетность'!AM136)</f>
        <v>0</v>
      </c>
      <c s="125">
        <f>SUM('Квартальная отчетность'!AN130,-'Квартальная отчетность'!AN127,-'Квартальная отчетность'!AN126,'Квартальная отчетность'!AN136)</f>
        <v>0</v>
      </c>
      <c s="125">
        <f>SUM('Квартальная отчетность'!AO130,-'Квартальная отчетность'!AO127,-'Квартальная отчетность'!AO126,'Квартальная отчетность'!AO136)</f>
        <v>0</v>
      </c>
      <c s="125">
        <f>SUM('Квартальная отчетность'!AP130,-'Квартальная отчетность'!AP127,-'Квартальная отчетность'!AP126,'Квартальная отчетность'!AP136)</f>
        <v>0</v>
      </c>
      <c s="125">
        <f>SUM('Квартальная отчетность'!AQ130,-'Квартальная отчетность'!AQ127,-'Квартальная отчетность'!AQ126,'Квартальная отчетность'!AQ136)</f>
        <v>0</v>
      </c>
      <c s="125">
        <f>SUM('Квартальная отчетность'!AR130,-'Квартальная отчетность'!AR127,-'Квартальная отчетность'!AR126,'Квартальная отчетность'!AR136)</f>
        <v>0</v>
      </c>
      <c s="125">
        <f>SUM('Квартальная отчетность'!AS130,-'Квартальная отчетность'!AS127,-'Квартальная отчетность'!AS126,'Квартальная отчетность'!AS136)</f>
        <v>0</v>
      </c>
      <c s="125">
        <f>SUM('Квартальная отчетность'!AT130,-'Квартальная отчетность'!AT127,-'Квартальная отчетность'!AT126,'Квартальная отчетность'!AT136)</f>
        <v>0</v>
      </c>
      <c s="125">
        <f>SUM('Квартальная отчетность'!AU130,-'Квартальная отчетность'!AU127,-'Квартальная отчетность'!AU126,'Квартальная отчетность'!AU136)</f>
        <v>0</v>
      </c>
      <c s="125">
        <f>SUM('Квартальная отчетность'!AV130,-'Квартальная отчетность'!AV127,-'Квартальная отчетность'!AV126,'Квартальная отчетность'!AV136)</f>
        <v>0</v>
      </c>
      <c s="125">
        <f>SUM('Квартальная отчетность'!AW130,-'Квартальная отчетность'!AW127,-'Квартальная отчетность'!AW126,'Квартальная отчетность'!AW136)</f>
        <v>0</v>
      </c>
      <c s="125">
        <f>SUM('Квартальная отчетность'!AX130,-'Квартальная отчетность'!AX127,-'Квартальная отчетность'!AX126,'Квартальная отчетность'!AX136)</f>
        <v>0</v>
      </c>
      <c s="125">
        <f>SUM('Квартальная отчетность'!AY130,-'Квартальная отчетность'!AY127,-'Квартальная отчетность'!AY126,'Квартальная отчетность'!AY136)</f>
        <v>0</v>
      </c>
      <c s="125">
        <f>SUM('Квартальная отчетность'!AZ130,-'Квартальная отчетность'!AZ127,-'Квартальная отчетность'!AZ126,'Квартальная отчетность'!AZ136)</f>
        <v>0</v>
      </c>
      <c s="125">
        <f>SUM('Квартальная отчетность'!BA130,-'Квартальная отчетность'!BA127,-'Квартальная отчетность'!BA126,'Квартальная отчетность'!BA136)</f>
        <v>0</v>
      </c>
      <c s="125">
        <f>SUM('Квартальная отчетность'!BB130,-'Квартальная отчетность'!BB127,-'Квартальная отчетность'!BB126,'Квартальная отчетность'!BB136)</f>
        <v>0</v>
      </c>
      <c s="125">
        <f>SUM('Квартальная отчетность'!BC130,-'Квартальная отчетность'!BC127,-'Квартальная отчетность'!BC126,'Квартальная отчетность'!BC136)</f>
        <v>0</v>
      </c>
      <c s="125">
        <f>SUM('Квартальная отчетность'!BD130,-'Квартальная отчетность'!BD127,-'Квартальная отчетность'!BD126,'Квартальная отчетность'!BD136)</f>
        <v>0</v>
      </c>
      <c s="125">
        <f>SUM('Квартальная отчетность'!BE130,-'Квартальная отчетность'!BE127,-'Квартальная отчетность'!BE126,'Квартальная отчетность'!BE136)</f>
        <v>0</v>
      </c>
      <c s="125">
        <f>SUM('Квартальная отчетность'!BF130,-'Квартальная отчетность'!BF127,-'Квартальная отчетность'!BF126,'Квартальная отчетность'!BF136)</f>
        <v>0</v>
      </c>
      <c s="125">
        <f>SUM('Квартальная отчетность'!BG130,-'Квартальная отчетность'!BG127,-'Квартальная отчетность'!BG126,'Квартальная отчетность'!BG136)</f>
        <v>0</v>
      </c>
      <c s="125">
        <f>SUM('Квартальная отчетность'!BH130,-'Квартальная отчетность'!BH127,-'Квартальная отчетность'!BH126,'Квартальная отчетность'!BH136)</f>
        <v>0</v>
      </c>
      <c s="125">
        <f>SUM('Квартальная отчетность'!BI130,-'Квартальная отчетность'!BI127,-'Квартальная отчетность'!BI126,'Квартальная отчетность'!BI136)</f>
        <v>0</v>
      </c>
      <c s="125">
        <f>SUM('Квартальная отчетность'!BJ130,-'Квартальная отчетность'!BJ127,-'Квартальная отчетность'!BJ126,'Квартальная отчетность'!BJ136)</f>
        <v>0</v>
      </c>
      <c s="125">
        <f>SUM('Квартальная отчетность'!BK130,-'Квартальная отчетность'!BK127,-'Квартальная отчетность'!BK126,'Квартальная отчетность'!BK136)</f>
        <v>0</v>
      </c>
      <c s="125">
        <f>SUM('Квартальная отчетность'!BL130,-'Квартальная отчетность'!BL127,-'Квартальная отчетность'!BL126,'Квартальная отчетность'!BL136)</f>
        <v>0</v>
      </c>
      <c s="125">
        <f>SUM('Квартальная отчетность'!BM130,-'Квартальная отчетность'!BM127,-'Квартальная отчетность'!BM126,'Квартальная отчетность'!BM136)</f>
        <v>0</v>
      </c>
    </row>
    <row r="231" spans="2:65" ht="15" customHeight="1">
      <c r="B231" s="289" t="s">
        <v>577</v>
      </c>
      <c s="290" t="str">
        <f>Единица_измерения</f>
        <v>тыс. руб.</v>
      </c>
      <c s="276"/>
      <c s="276">
        <f t="shared" si="605" ref="E231:AG231">SUM(E229:E230)</f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t="shared" si="605"/>
        <v>0</v>
      </c>
      <c s="276">
        <f ca="1" t="shared" si="606" ref="AH231:BM231">SUM(AH229:AH230)</f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  <c s="276">
        <f t="shared" ca="1" si="606"/>
        <v>0</v>
      </c>
    </row>
    <row r="232" spans="2:65" ht="15" customHeight="1">
      <c r="B232" s="12" t="s">
        <v>1139</v>
      </c>
      <c s="124" t="str">
        <f>Единица_измерения</f>
        <v>тыс. руб.</v>
      </c>
      <c s="125"/>
      <c s="125">
        <f ca="1">SUM(OFFSET(E231,,,,-4),IF(E$6&gt;3,0,OFFSET(Предпосылки!$F$554,,,,E$6-4)))</f>
        <v>0</v>
      </c>
      <c s="125">
        <f ca="1">SUM(OFFSET(F231,,,,-4),IF(F$6&gt;3,0,OFFSET(Предпосылки!$F$554,,,,F$6-4)))</f>
        <v>0</v>
      </c>
      <c s="125">
        <f ca="1">SUM(OFFSET(G231,,,,-4),IF(G$6&gt;3,0,OFFSET(Предпосылки!$F$554,,,,G$6-4)))</f>
        <v>0</v>
      </c>
      <c s="125">
        <f ca="1">SUM(OFFSET(H231,,,,-4),IF(H$6&gt;3,0,OFFSET(Предпосылки!$F$554,,,,H$6-4)))</f>
        <v>0</v>
      </c>
      <c s="125">
        <f ca="1">SUM(OFFSET(I231,,,,-4),IF(I$6&gt;3,0,OFFSET(Предпосылки!$F$554,,,,I$6-4)))</f>
        <v>0</v>
      </c>
      <c s="125">
        <f ca="1">SUM(OFFSET(J231,,,,-4),IF(J$6&gt;3,0,OFFSET(Предпосылки!$F$554,,,,J$6-4)))</f>
        <v>0</v>
      </c>
      <c s="125">
        <f ca="1">SUM(OFFSET(K231,,,,-4),IF(K$6&gt;3,0,OFFSET(Предпосылки!$F$554,,,,K$6-4)))</f>
        <v>0</v>
      </c>
      <c s="125">
        <f ca="1">SUM(OFFSET(L231,,,,-4),IF(L$6&gt;3,0,OFFSET(Предпосылки!$F$554,,,,L$6-4)))</f>
        <v>0</v>
      </c>
      <c s="125">
        <f ca="1">SUM(OFFSET(M231,,,,-4),IF(M$6&gt;3,0,OFFSET(Предпосылки!$F$554,,,,M$6-4)))</f>
        <v>0</v>
      </c>
      <c s="125">
        <f ca="1">SUM(OFFSET(N231,,,,-4),IF(N$6&gt;3,0,OFFSET(Предпосылки!$F$554,,,,N$6-4)))</f>
        <v>0</v>
      </c>
      <c s="125">
        <f ca="1">SUM(OFFSET(O231,,,,-4),IF(O$6&gt;3,0,OFFSET(Предпосылки!$F$554,,,,O$6-4)))</f>
        <v>0</v>
      </c>
      <c s="125">
        <f ca="1">SUM(OFFSET(P231,,,,-4),IF(P$6&gt;3,0,OFFSET(Предпосылки!$F$554,,,,P$6-4)))</f>
        <v>0</v>
      </c>
      <c s="125">
        <f ca="1">SUM(OFFSET(Q231,,,,-4),IF(Q$6&gt;3,0,OFFSET(Предпосылки!$F$554,,,,Q$6-4)))</f>
        <v>0</v>
      </c>
      <c s="125">
        <f ca="1">SUM(OFFSET(R231,,,,-4),IF(R$6&gt;3,0,OFFSET(Предпосылки!$F$554,,,,R$6-4)))</f>
        <v>0</v>
      </c>
      <c s="125">
        <f ca="1">SUM(OFFSET(S231,,,,-4),IF(S$6&gt;3,0,OFFSET(Предпосылки!$F$554,,,,S$6-4)))</f>
        <v>0</v>
      </c>
      <c s="125">
        <f ca="1">SUM(OFFSET(T231,,,,-4),IF(T$6&gt;3,0,OFFSET(Предпосылки!$F$554,,,,T$6-4)))</f>
        <v>0</v>
      </c>
      <c s="125">
        <f ca="1">SUM(OFFSET(U231,,,,-4),IF(U$6&gt;3,0,OFFSET(Предпосылки!$F$554,,,,U$6-4)))</f>
        <v>0</v>
      </c>
      <c s="125">
        <f ca="1">SUM(OFFSET(V231,,,,-4),IF(V$6&gt;3,0,OFFSET(Предпосылки!$F$554,,,,V$6-4)))</f>
        <v>0</v>
      </c>
      <c s="125">
        <f ca="1">SUM(OFFSET(W231,,,,-4),IF(W$6&gt;3,0,OFFSET(Предпосылки!$F$554,,,,W$6-4)))</f>
        <v>0</v>
      </c>
      <c s="125">
        <f ca="1">SUM(OFFSET(X231,,,,-4),IF(X$6&gt;3,0,OFFSET(Предпосылки!$F$554,,,,X$6-4)))</f>
        <v>0</v>
      </c>
      <c s="125">
        <f ca="1">SUM(OFFSET(Y231,,,,-4),IF(Y$6&gt;3,0,OFFSET(Предпосылки!$F$554,,,,Y$6-4)))</f>
        <v>0</v>
      </c>
      <c s="125">
        <f ca="1">SUM(OFFSET(Z231,,,,-4),IF(Z$6&gt;3,0,OFFSET(Предпосылки!$F$554,,,,Z$6-4)))</f>
        <v>0</v>
      </c>
      <c s="125">
        <f ca="1">SUM(OFFSET(AA231,,,,-4),IF(AA$6&gt;3,0,OFFSET(Предпосылки!$F$554,,,,AA$6-4)))</f>
        <v>0</v>
      </c>
      <c s="125">
        <f ca="1">SUM(OFFSET(AB231,,,,-4),IF(AB$6&gt;3,0,OFFSET(Предпосылки!$F$554,,,,AB$6-4)))</f>
        <v>0</v>
      </c>
      <c s="125">
        <f ca="1">SUM(OFFSET(AC231,,,,-4),IF(AC$6&gt;3,0,OFFSET(Предпосылки!$F$554,,,,AC$6-4)))</f>
        <v>0</v>
      </c>
      <c s="125">
        <f ca="1">SUM(OFFSET(AD231,,,,-4),IF(AD$6&gt;3,0,OFFSET(Предпосылки!$F$554,,,,AD$6-4)))</f>
        <v>0</v>
      </c>
      <c s="125">
        <f ca="1">SUM(OFFSET(AE231,,,,-4),IF(AE$6&gt;3,0,OFFSET(Предпосылки!$F$554,,,,AE$6-4)))</f>
        <v>0</v>
      </c>
      <c s="125">
        <f ca="1">SUM(OFFSET(AF231,,,,-4),IF(AF$6&gt;3,0,OFFSET(Предпосылки!$F$554,,,,AF$6-4)))</f>
        <v>0</v>
      </c>
      <c s="125">
        <f ca="1">SUM(OFFSET(AG231,,,,-4),IF(AG$6&gt;3,0,OFFSET(Предпосылки!$F$554,,,,AG$6-4)))</f>
        <v>0</v>
      </c>
      <c s="125">
        <f ca="1">SUM(OFFSET(AH231,,,,-4),IF(AH$6&gt;3,0,OFFSET(Предпосылки!$F$554,,,,AH$6-4)))</f>
        <v>0</v>
      </c>
      <c s="125">
        <f ca="1">SUM(OFFSET(AI231,,,,-4),IF(AI$6&gt;3,0,OFFSET(Предпосылки!$F$554,,,,AI$6-4)))</f>
        <v>0</v>
      </c>
      <c s="125">
        <f ca="1">SUM(OFFSET(AJ231,,,,-4),IF(AJ$6&gt;3,0,OFFSET(Предпосылки!$F$554,,,,AJ$6-4)))</f>
        <v>0</v>
      </c>
      <c s="125">
        <f ca="1">SUM(OFFSET(AK231,,,,-4),IF(AK$6&gt;3,0,OFFSET(Предпосылки!$F$554,,,,AK$6-4)))</f>
        <v>0</v>
      </c>
      <c s="125">
        <f ca="1">SUM(OFFSET(AL231,,,,-4),IF(AL$6&gt;3,0,OFFSET(Предпосылки!$F$554,,,,AL$6-4)))</f>
        <v>0</v>
      </c>
      <c s="125">
        <f ca="1">SUM(OFFSET(AM231,,,,-4),IF(AM$6&gt;3,0,OFFSET(Предпосылки!$F$554,,,,AM$6-4)))</f>
        <v>0</v>
      </c>
      <c s="125">
        <f ca="1">SUM(OFFSET(AN231,,,,-4),IF(AN$6&gt;3,0,OFFSET(Предпосылки!$F$554,,,,AN$6-4)))</f>
        <v>0</v>
      </c>
      <c s="125">
        <f ca="1">SUM(OFFSET(AO231,,,,-4),IF(AO$6&gt;3,0,OFFSET(Предпосылки!$F$554,,,,AO$6-4)))</f>
        <v>0</v>
      </c>
      <c s="125">
        <f ca="1">SUM(OFFSET(AP231,,,,-4),IF(AP$6&gt;3,0,OFFSET(Предпосылки!$F$554,,,,AP$6-4)))</f>
        <v>0</v>
      </c>
      <c s="125">
        <f ca="1">SUM(OFFSET(AQ231,,,,-4),IF(AQ$6&gt;3,0,OFFSET(Предпосылки!$F$554,,,,AQ$6-4)))</f>
        <v>0</v>
      </c>
      <c s="125">
        <f ca="1">SUM(OFFSET(AR231,,,,-4),IF(AR$6&gt;3,0,OFFSET(Предпосылки!$F$554,,,,AR$6-4)))</f>
        <v>0</v>
      </c>
      <c s="125">
        <f ca="1">SUM(OFFSET(AS231,,,,-4),IF(AS$6&gt;3,0,OFFSET(Предпосылки!$F$554,,,,AS$6-4)))</f>
        <v>0</v>
      </c>
      <c s="125">
        <f ca="1">SUM(OFFSET(AT231,,,,-4),IF(AT$6&gt;3,0,OFFSET(Предпосылки!$F$554,,,,AT$6-4)))</f>
        <v>0</v>
      </c>
      <c s="125">
        <f ca="1">SUM(OFFSET(AU231,,,,-4),IF(AU$6&gt;3,0,OFFSET(Предпосылки!$F$554,,,,AU$6-4)))</f>
        <v>0</v>
      </c>
      <c s="125">
        <f ca="1">SUM(OFFSET(AV231,,,,-4),IF(AV$6&gt;3,0,OFFSET(Предпосылки!$F$554,,,,AV$6-4)))</f>
        <v>0</v>
      </c>
      <c s="125">
        <f ca="1">SUM(OFFSET(AW231,,,,-4),IF(AW$6&gt;3,0,OFFSET(Предпосылки!$F$554,,,,AW$6-4)))</f>
        <v>0</v>
      </c>
      <c s="125">
        <f ca="1">SUM(OFFSET(AX231,,,,-4),IF(AX$6&gt;3,0,OFFSET(Предпосылки!$F$554,,,,AX$6-4)))</f>
        <v>0</v>
      </c>
      <c s="125">
        <f ca="1">SUM(OFFSET(AY231,,,,-4),IF(AY$6&gt;3,0,OFFSET(Предпосылки!$F$554,,,,AY$6-4)))</f>
        <v>0</v>
      </c>
      <c s="125">
        <f ca="1">SUM(OFFSET(AZ231,,,,-4),IF(AZ$6&gt;3,0,OFFSET(Предпосылки!$F$554,,,,AZ$6-4)))</f>
        <v>0</v>
      </c>
      <c s="125">
        <f ca="1">SUM(OFFSET(BA231,,,,-4),IF(BA$6&gt;3,0,OFFSET(Предпосылки!$F$554,,,,BA$6-4)))</f>
        <v>0</v>
      </c>
      <c s="125">
        <f ca="1">SUM(OFFSET(BB231,,,,-4),IF(BB$6&gt;3,0,OFFSET(Предпосылки!$F$554,,,,BB$6-4)))</f>
        <v>0</v>
      </c>
      <c s="125">
        <f ca="1">SUM(OFFSET(BC231,,,,-4),IF(BC$6&gt;3,0,OFFSET(Предпосылки!$F$554,,,,BC$6-4)))</f>
        <v>0</v>
      </c>
      <c s="125">
        <f ca="1">SUM(OFFSET(BD231,,,,-4),IF(BD$6&gt;3,0,OFFSET(Предпосылки!$F$554,,,,BD$6-4)))</f>
        <v>0</v>
      </c>
      <c s="125">
        <f ca="1">SUM(OFFSET(BE231,,,,-4),IF(BE$6&gt;3,0,OFFSET(Предпосылки!$F$554,,,,BE$6-4)))</f>
        <v>0</v>
      </c>
      <c s="125">
        <f ca="1">SUM(OFFSET(BF231,,,,-4),IF(BF$6&gt;3,0,OFFSET(Предпосылки!$F$554,,,,BF$6-4)))</f>
        <v>0</v>
      </c>
      <c s="125">
        <f ca="1">SUM(OFFSET(BG231,,,,-4),IF(BG$6&gt;3,0,OFFSET(Предпосылки!$F$554,,,,BG$6-4)))</f>
        <v>0</v>
      </c>
      <c s="125">
        <f ca="1">SUM(OFFSET(BH231,,,,-4),IF(BH$6&gt;3,0,OFFSET(Предпосылки!$F$554,,,,BH$6-4)))</f>
        <v>0</v>
      </c>
      <c s="125">
        <f ca="1">SUM(OFFSET(BI231,,,,-4),IF(BI$6&gt;3,0,OFFSET(Предпосылки!$F$554,,,,BI$6-4)))</f>
        <v>0</v>
      </c>
      <c s="125">
        <f ca="1">SUM(OFFSET(BJ231,,,,-4),IF(BJ$6&gt;3,0,OFFSET(Предпосылки!$F$554,,,,BJ$6-4)))</f>
        <v>0</v>
      </c>
      <c s="125">
        <f ca="1">SUM(OFFSET(BK231,,,,-4),IF(BK$6&gt;3,0,OFFSET(Предпосылки!$F$554,,,,BK$6-4)))</f>
        <v>0</v>
      </c>
      <c s="125">
        <f ca="1">SUM(OFFSET(BL231,,,,-4),IF(BL$6&gt;3,0,OFFSET(Предпосылки!$F$554,,,,BL$6-4)))</f>
        <v>0</v>
      </c>
      <c s="125">
        <f ca="1">SUM(OFFSET(BM231,,,,-4),IF(BM$6&gt;3,0,OFFSET(Предпосылки!$F$554,,,,BM$6-4)))</f>
        <v>0</v>
      </c>
    </row>
    <row r="233" ht="15" customHeight="1"/>
    <row r="234" spans="2:2" ht="15" customHeight="1">
      <c r="B234" s="24" t="s">
        <v>1115</v>
      </c>
    </row>
    <row r="235" spans="2:65" ht="15" customHeight="1">
      <c r="B235" s="12" t="s">
        <v>1116</v>
      </c>
      <c s="124" t="str">
        <f>Единица_измерения</f>
        <v>тыс. руб.</v>
      </c>
      <c s="125"/>
      <c s="125">
        <f t="shared" si="607" ref="E235:AG235">E226</f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7"/>
        <v>0</v>
      </c>
      <c s="125">
        <f t="shared" si="608" ref="AH235:BM235">AH226</f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  <c s="125">
        <f t="shared" si="608"/>
        <v>0</v>
      </c>
    </row>
    <row r="236" spans="2:65" ht="15" customHeight="1">
      <c r="B236" s="12" t="s">
        <v>1139</v>
      </c>
      <c s="124" t="str">
        <f>Единица_измерения</f>
        <v>тыс. руб.</v>
      </c>
      <c s="125"/>
      <c s="125">
        <f ca="1" t="shared" si="609" ref="E236:AG236">E232</f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t="shared" ca="1" si="609"/>
        <v>0</v>
      </c>
      <c s="125">
        <f ca="1" t="shared" si="610" ref="AH236:BM236">AH232</f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  <c s="125">
        <f t="shared" ca="1" si="610"/>
        <v>0</v>
      </c>
    </row>
    <row r="237" spans="2:65" ht="15" customHeight="1">
      <c r="B237" s="289" t="s">
        <v>1115</v>
      </c>
      <c s="290" t="s">
        <v>1117</v>
      </c>
      <c s="285"/>
      <c s="285" t="str">
        <f ca="1" t="shared" si="611" ref="E237:AG237">IFERROR(IF(E235=0,"-",E235/MAX(0,E236)),0)</f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t="shared" ca="1" si="611"/>
        <v>-</v>
      </c>
      <c s="285" t="str">
        <f ca="1" t="shared" si="612" ref="AH237:BM237">IFERROR(IF(AH235=0,"-",AH235/MAX(0,AH236)),0)</f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  <c s="285" t="str">
        <f t="shared" ca="1" si="612"/>
        <v>-</v>
      </c>
    </row>
    <row r="238" ht="15" customHeight="1"/>
    <row r="239" spans="2:2" ht="15" customHeight="1">
      <c r="B239" s="24" t="s">
        <v>1140</v>
      </c>
    </row>
    <row r="240" spans="2:65" ht="15" customHeight="1">
      <c r="B240" s="12" t="s">
        <v>1116</v>
      </c>
      <c s="124" t="str">
        <f>Единица_измерения</f>
        <v>тыс. руб.</v>
      </c>
      <c s="125"/>
      <c s="125">
        <f t="shared" si="613" ref="E240:AG240">E226</f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3"/>
        <v>0</v>
      </c>
      <c s="125">
        <f t="shared" si="614" ref="AH240:BM240">AH226</f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  <c s="125">
        <f t="shared" si="614"/>
        <v>0</v>
      </c>
    </row>
    <row r="241" spans="2:65" ht="15" customHeight="1">
      <c r="B241" s="12" t="s">
        <v>1141</v>
      </c>
      <c s="124" t="str">
        <f>Единица_измерения</f>
        <v>тыс. руб.</v>
      </c>
      <c s="125"/>
      <c s="125">
        <f ca="1">-'Квартальная отчетность'!E360</f>
        <v>0</v>
      </c>
      <c s="125">
        <f ca="1">-'Квартальная отчетность'!F360</f>
        <v>0</v>
      </c>
      <c s="125">
        <f ca="1">-'Квартальная отчетность'!G360</f>
        <v>0</v>
      </c>
      <c s="125">
        <f ca="1">-'Квартальная отчетность'!H360</f>
        <v>0</v>
      </c>
      <c s="125">
        <f ca="1">-'Квартальная отчетность'!I360</f>
        <v>0</v>
      </c>
      <c s="125">
        <f ca="1">-'Квартальная отчетность'!J360</f>
        <v>0</v>
      </c>
      <c s="125">
        <f ca="1">-'Квартальная отчетность'!K360</f>
        <v>0</v>
      </c>
      <c s="125">
        <f ca="1">-'Квартальная отчетность'!L360</f>
        <v>0</v>
      </c>
      <c s="125">
        <f ca="1">-'Квартальная отчетность'!M360</f>
        <v>0</v>
      </c>
      <c s="125">
        <f ca="1">-'Квартальная отчетность'!N360</f>
        <v>0</v>
      </c>
      <c s="125">
        <f ca="1">-'Квартальная отчетность'!O360</f>
        <v>0</v>
      </c>
      <c s="125">
        <f ca="1">-'Квартальная отчетность'!P360</f>
        <v>0</v>
      </c>
      <c s="125">
        <f ca="1">-'Квартальная отчетность'!Q360</f>
        <v>0</v>
      </c>
      <c s="125">
        <f ca="1">-'Квартальная отчетность'!R360</f>
        <v>0</v>
      </c>
      <c s="125">
        <f ca="1">-'Квартальная отчетность'!S360</f>
        <v>0</v>
      </c>
      <c s="125">
        <f ca="1">-'Квартальная отчетность'!T360</f>
        <v>0</v>
      </c>
      <c s="125">
        <f ca="1">-'Квартальная отчетность'!U360</f>
        <v>0</v>
      </c>
      <c s="125">
        <f ca="1">-'Квартальная отчетность'!V360</f>
        <v>0</v>
      </c>
      <c s="125">
        <f ca="1">-'Квартальная отчетность'!W360</f>
        <v>0</v>
      </c>
      <c s="125">
        <f ca="1">-'Квартальная отчетность'!X360</f>
        <v>0</v>
      </c>
      <c s="125">
        <f ca="1">-'Квартальная отчетность'!Y360</f>
        <v>0</v>
      </c>
      <c s="125">
        <f ca="1">-'Квартальная отчетность'!Z360</f>
        <v>0</v>
      </c>
      <c s="125">
        <f ca="1">-'Квартальная отчетность'!AA360</f>
        <v>0</v>
      </c>
      <c s="125">
        <f ca="1">-'Квартальная отчетность'!AB360</f>
        <v>0</v>
      </c>
      <c s="125">
        <f ca="1">-'Квартальная отчетность'!AC360</f>
        <v>0</v>
      </c>
      <c s="125">
        <f ca="1">-'Квартальная отчетность'!AD360</f>
        <v>0</v>
      </c>
      <c s="125">
        <f ca="1">-'Квартальная отчетность'!AE360</f>
        <v>0</v>
      </c>
      <c s="125">
        <f ca="1">-'Квартальная отчетность'!AF360</f>
        <v>0</v>
      </c>
      <c s="125">
        <f ca="1">-'Квартальная отчетность'!AG360</f>
        <v>0</v>
      </c>
      <c s="125">
        <f ca="1">-'Квартальная отчетность'!AH360</f>
        <v>0</v>
      </c>
      <c s="125">
        <f ca="1">-'Квартальная отчетность'!AI360</f>
        <v>0</v>
      </c>
      <c s="125">
        <f ca="1">-'Квартальная отчетность'!AJ360</f>
        <v>0</v>
      </c>
      <c s="125">
        <f ca="1">-'Квартальная отчетность'!AK360</f>
        <v>0</v>
      </c>
      <c s="125">
        <f ca="1">-'Квартальная отчетность'!AL360</f>
        <v>0</v>
      </c>
      <c s="125">
        <f ca="1">-'Квартальная отчетность'!AM360</f>
        <v>0</v>
      </c>
      <c s="125">
        <f ca="1">-'Квартальная отчетность'!AN360</f>
        <v>0</v>
      </c>
      <c s="125">
        <f ca="1">-'Квартальная отчетность'!AO360</f>
        <v>0</v>
      </c>
      <c s="125">
        <f ca="1">-'Квартальная отчетность'!AP360</f>
        <v>0</v>
      </c>
      <c s="125">
        <f ca="1">-'Квартальная отчетность'!AQ360</f>
        <v>0</v>
      </c>
      <c s="125">
        <f ca="1">-'Квартальная отчетность'!AR360</f>
        <v>0</v>
      </c>
      <c s="125">
        <f ca="1">-'Квартальная отчетность'!AS360</f>
        <v>0</v>
      </c>
      <c s="125">
        <f ca="1">-'Квартальная отчетность'!AT360</f>
        <v>0</v>
      </c>
      <c s="125">
        <f ca="1">-'Квартальная отчетность'!AU360</f>
        <v>0</v>
      </c>
      <c s="125">
        <f ca="1">-'Квартальная отчетность'!AV360</f>
        <v>0</v>
      </c>
      <c s="125">
        <f ca="1">-'Квартальная отчетность'!AW360</f>
        <v>0</v>
      </c>
      <c s="125">
        <f ca="1">-'Квартальная отчетность'!AX360</f>
        <v>0</v>
      </c>
      <c s="125">
        <f ca="1">-'Квартальная отчетность'!AY360</f>
        <v>0</v>
      </c>
      <c s="125">
        <f ca="1">-'Квартальная отчетность'!AZ360</f>
        <v>0</v>
      </c>
      <c s="125">
        <f ca="1">-'Квартальная отчетность'!BA360</f>
        <v>0</v>
      </c>
      <c s="125">
        <f ca="1">-'Квартальная отчетность'!BB360</f>
        <v>0</v>
      </c>
      <c s="125">
        <f ca="1">-'Квартальная отчетность'!BC360</f>
        <v>0</v>
      </c>
      <c s="125">
        <f ca="1">-'Квартальная отчетность'!BD360</f>
        <v>0</v>
      </c>
      <c s="125">
        <f ca="1">-'Квартальная отчетность'!BE360</f>
        <v>0</v>
      </c>
      <c s="125">
        <f ca="1">-'Квартальная отчетность'!BF360</f>
        <v>0</v>
      </c>
      <c s="125">
        <f ca="1">-'Квартальная отчетность'!BG360</f>
        <v>0</v>
      </c>
      <c s="125">
        <f ca="1">-'Квартальная отчетность'!BH360</f>
        <v>0</v>
      </c>
      <c s="125">
        <f ca="1">-'Квартальная отчетность'!BI360</f>
        <v>0</v>
      </c>
      <c s="125">
        <f ca="1">-'Квартальная отчетность'!BJ360</f>
        <v>0</v>
      </c>
      <c s="125">
        <f ca="1">-'Квартальная отчетность'!BK360</f>
        <v>0</v>
      </c>
      <c s="125">
        <f ca="1">-'Квартальная отчетность'!BL360</f>
        <v>0</v>
      </c>
      <c s="125">
        <f ca="1">-'Квартальная отчетность'!BM360</f>
        <v>0</v>
      </c>
    </row>
    <row r="242" spans="2:65" ht="15" customHeight="1">
      <c r="B242" s="289" t="s">
        <v>454</v>
      </c>
      <c s="290" t="str">
        <f>Единица_измерения</f>
        <v>тыс. руб.</v>
      </c>
      <c s="276"/>
      <c s="276">
        <f ca="1" t="shared" si="615" ref="E242:AG242">IF(SUM(E240:E241)&lt;0,0,SUM(E240:E241))</f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t="shared" ca="1" si="615"/>
        <v>0</v>
      </c>
      <c s="276">
        <f ca="1" t="shared" si="616" ref="AH242:BM242">IF(SUM(AH240:AH241)&lt;0,0,SUM(AH240:AH241))</f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  <c s="276">
        <f t="shared" ca="1" si="616"/>
        <v>0</v>
      </c>
    </row>
    <row r="243" ht="15" customHeight="1"/>
    <row r="244" spans="2:2" ht="15" customHeight="1">
      <c r="B244" s="24" t="s">
        <v>1118</v>
      </c>
    </row>
    <row r="245" spans="2:65" ht="15" customHeight="1">
      <c r="B245" s="12" t="s">
        <v>1140</v>
      </c>
      <c s="124" t="str">
        <f>Единица_измерения</f>
        <v>тыс. руб.</v>
      </c>
      <c s="125"/>
      <c s="125">
        <f ca="1" t="shared" si="617" ref="E245:AG245">E242</f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t="shared" ca="1" si="617"/>
        <v>0</v>
      </c>
      <c s="125">
        <f ca="1" t="shared" si="618" ref="AH245:BM245">AH242</f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  <c s="125">
        <f t="shared" ca="1" si="618"/>
        <v>0</v>
      </c>
    </row>
    <row r="246" spans="2:65" ht="15" customHeight="1">
      <c r="B246" s="12" t="s">
        <v>1139</v>
      </c>
      <c s="124" t="str">
        <f>Единица_измерения</f>
        <v>тыс. руб.</v>
      </c>
      <c s="125"/>
      <c s="125">
        <f ca="1" t="shared" si="619" ref="E246:AG246">E232</f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t="shared" ca="1" si="619"/>
        <v>0</v>
      </c>
      <c s="125">
        <f ca="1" t="shared" si="620" ref="AH246:BM246">AH232</f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  <c s="125">
        <f t="shared" ca="1" si="620"/>
        <v>0</v>
      </c>
    </row>
    <row r="247" spans="2:65" ht="15" customHeight="1">
      <c r="B247" s="289" t="s">
        <v>1142</v>
      </c>
      <c s="290" t="s">
        <v>1117</v>
      </c>
      <c s="285"/>
      <c s="285" t="str">
        <f ca="1" t="shared" si="621" ref="E247:AG247">IFERROR(IF(E245=0,"-",E245/MAX(0,E246)),0)</f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t="shared" ca="1" si="621"/>
        <v>-</v>
      </c>
      <c s="285" t="str">
        <f ca="1" t="shared" si="622" ref="AH247:BM247">IFERROR(IF(AH245=0,"-",AH245/MAX(0,AH246)),0)</f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  <c s="285" t="str">
        <f t="shared" ca="1" si="622"/>
        <v>-</v>
      </c>
    </row>
    <row r="248" ht="15" customHeight="1"/>
    <row r="249" spans="2:2" ht="15" customHeight="1">
      <c r="B249" s="24" t="s">
        <v>581</v>
      </c>
    </row>
    <row r="250" spans="2:65" ht="15" customHeight="1">
      <c r="B250" s="12" t="s">
        <v>289</v>
      </c>
      <c s="124" t="str">
        <f t="shared" si="623" ref="C250:C255">Единица_измерения</f>
        <v>тыс. руб.</v>
      </c>
      <c s="125"/>
      <c s="125">
        <f ca="1">'Квартальная отчетность'!E$297</f>
        <v>0</v>
      </c>
      <c s="125">
        <f ca="1">'Квартальная отчетность'!F$297</f>
        <v>0</v>
      </c>
      <c s="125">
        <f ca="1">'Квартальная отчетность'!G$297</f>
        <v>0</v>
      </c>
      <c s="125">
        <f ca="1">'Квартальная отчетность'!H$297</f>
        <v>0</v>
      </c>
      <c s="125">
        <f ca="1">'Квартальная отчетность'!I$297</f>
        <v>0</v>
      </c>
      <c s="125">
        <f ca="1">'Квартальная отчетность'!J$297</f>
        <v>0</v>
      </c>
      <c s="125">
        <f ca="1">'Квартальная отчетность'!K$297</f>
        <v>0</v>
      </c>
      <c s="125">
        <f ca="1">'Квартальная отчетность'!L$297</f>
        <v>0</v>
      </c>
      <c s="125">
        <f ca="1">'Квартальная отчетность'!M$297</f>
        <v>0</v>
      </c>
      <c s="125">
        <f ca="1">'Квартальная отчетность'!N$297</f>
        <v>0</v>
      </c>
      <c s="125">
        <f ca="1">'Квартальная отчетность'!O$297</f>
        <v>0</v>
      </c>
      <c s="125">
        <f ca="1">'Квартальная отчетность'!P$297</f>
        <v>0</v>
      </c>
      <c s="125">
        <f ca="1">'Квартальная отчетность'!Q$297</f>
        <v>0</v>
      </c>
      <c s="125">
        <f ca="1">'Квартальная отчетность'!R$297</f>
        <v>0</v>
      </c>
      <c s="125">
        <f ca="1">'Квартальная отчетность'!S$297</f>
        <v>0</v>
      </c>
      <c s="125">
        <f ca="1">'Квартальная отчетность'!T$297</f>
        <v>0</v>
      </c>
      <c s="125">
        <f ca="1">'Квартальная отчетность'!U$297</f>
        <v>0</v>
      </c>
      <c s="125">
        <f ca="1">'Квартальная отчетность'!V$297</f>
        <v>0</v>
      </c>
      <c s="125">
        <f ca="1">'Квартальная отчетность'!W$297</f>
        <v>0</v>
      </c>
      <c s="125">
        <f ca="1">'Квартальная отчетность'!X$297</f>
        <v>0</v>
      </c>
      <c s="125">
        <f ca="1">'Квартальная отчетность'!Y$297</f>
        <v>0</v>
      </c>
      <c s="125">
        <f ca="1">'Квартальная отчетность'!Z$297</f>
        <v>0</v>
      </c>
      <c s="125">
        <f ca="1">'Квартальная отчетность'!AA$297</f>
        <v>0</v>
      </c>
      <c s="125">
        <f ca="1">'Квартальная отчетность'!AB$297</f>
        <v>0</v>
      </c>
      <c s="125">
        <f ca="1">'Квартальная отчетность'!AC$297</f>
        <v>0</v>
      </c>
      <c s="125">
        <f ca="1">'Квартальная отчетность'!AD$297</f>
        <v>0</v>
      </c>
      <c s="125">
        <f ca="1">'Квартальная отчетность'!AE$297</f>
        <v>0</v>
      </c>
      <c s="125">
        <f ca="1">'Квартальная отчетность'!AF$297</f>
        <v>0</v>
      </c>
      <c s="125">
        <f ca="1">'Квартальная отчетность'!AG$297</f>
        <v>0</v>
      </c>
      <c s="125">
        <f ca="1">'Квартальная отчетность'!AH$297</f>
        <v>0</v>
      </c>
      <c s="125">
        <f ca="1">'Квартальная отчетность'!AI$297</f>
        <v>0</v>
      </c>
      <c s="125">
        <f ca="1">'Квартальная отчетность'!AJ$297</f>
        <v>0</v>
      </c>
      <c s="125">
        <f ca="1">'Квартальная отчетность'!AK$297</f>
        <v>0</v>
      </c>
      <c s="125">
        <f ca="1">'Квартальная отчетность'!AL$297</f>
        <v>0</v>
      </c>
      <c s="125">
        <f ca="1">'Квартальная отчетность'!AM$297</f>
        <v>0</v>
      </c>
      <c s="125">
        <f ca="1">'Квартальная отчетность'!AN$297</f>
        <v>0</v>
      </c>
      <c s="125">
        <f ca="1">'Квартальная отчетность'!AO$297</f>
        <v>0</v>
      </c>
      <c s="125">
        <f ca="1">'Квартальная отчетность'!AP$297</f>
        <v>0</v>
      </c>
      <c s="125">
        <f ca="1">'Квартальная отчетность'!AQ$297</f>
        <v>0</v>
      </c>
      <c s="125">
        <f ca="1">'Квартальная отчетность'!AR$297</f>
        <v>0</v>
      </c>
      <c s="125">
        <f ca="1">'Квартальная отчетность'!AS$297</f>
        <v>0</v>
      </c>
      <c s="125">
        <f ca="1">'Квартальная отчетность'!AT$297</f>
        <v>0</v>
      </c>
      <c s="125">
        <f ca="1">'Квартальная отчетность'!AU$297</f>
        <v>0</v>
      </c>
      <c s="125">
        <f ca="1">'Квартальная отчетность'!AV$297</f>
        <v>0</v>
      </c>
      <c s="125">
        <f ca="1">'Квартальная отчетность'!AW$297</f>
        <v>0</v>
      </c>
      <c s="125">
        <f ca="1">'Квартальная отчетность'!AX$297</f>
        <v>0</v>
      </c>
      <c s="125">
        <f ca="1">'Квартальная отчетность'!AY$297</f>
        <v>0</v>
      </c>
      <c s="125">
        <f ca="1">'Квартальная отчетность'!AZ$297</f>
        <v>0</v>
      </c>
      <c s="125">
        <f ca="1">'Квартальная отчетность'!BA$297</f>
        <v>0</v>
      </c>
      <c s="125">
        <f ca="1">'Квартальная отчетность'!BB$297</f>
        <v>0</v>
      </c>
      <c s="125">
        <f ca="1">'Квартальная отчетность'!BC$297</f>
        <v>0</v>
      </c>
      <c s="125">
        <f ca="1">'Квартальная отчетность'!BD$297</f>
        <v>0</v>
      </c>
      <c s="125">
        <f ca="1">'Квартальная отчетность'!BE$297</f>
        <v>0</v>
      </c>
      <c s="125">
        <f ca="1">'Квартальная отчетность'!BF$297</f>
        <v>0</v>
      </c>
      <c s="125">
        <f ca="1">'Квартальная отчетность'!BG$297</f>
        <v>0</v>
      </c>
      <c s="125">
        <f ca="1">'Квартальная отчетность'!BH$297</f>
        <v>0</v>
      </c>
      <c s="125">
        <f ca="1">'Квартальная отчетность'!BI$297</f>
        <v>0</v>
      </c>
      <c s="125">
        <f ca="1">'Квартальная отчетность'!BJ$297</f>
        <v>0</v>
      </c>
      <c s="125">
        <f ca="1">'Квартальная отчетность'!BK$297</f>
        <v>0</v>
      </c>
      <c s="125">
        <f ca="1">'Квартальная отчетность'!BL$297</f>
        <v>0</v>
      </c>
      <c s="125">
        <f ca="1">'Квартальная отчетность'!BM$297</f>
        <v>0</v>
      </c>
    </row>
    <row r="251" spans="2:65" ht="15" customHeight="1">
      <c r="B251" s="76" t="s">
        <v>291</v>
      </c>
      <c s="124" t="str">
        <f t="shared" si="623"/>
        <v>тыс. руб.</v>
      </c>
      <c s="125"/>
      <c s="125">
        <f>'Квартальная отчетность'!E$315</f>
        <v>0</v>
      </c>
      <c s="125">
        <f>'Квартальная отчетность'!F$315</f>
        <v>0</v>
      </c>
      <c s="125">
        <f>'Квартальная отчетность'!G$315</f>
        <v>0</v>
      </c>
      <c s="125">
        <f>'Квартальная отчетность'!H$315</f>
        <v>0</v>
      </c>
      <c s="125">
        <f>'Квартальная отчетность'!I$315</f>
        <v>0</v>
      </c>
      <c s="125">
        <f>'Квартальная отчетность'!J$315</f>
        <v>0</v>
      </c>
      <c s="125">
        <f>'Квартальная отчетность'!K$315</f>
        <v>0</v>
      </c>
      <c s="125">
        <f>'Квартальная отчетность'!L$315</f>
        <v>0</v>
      </c>
      <c s="125">
        <f>'Квартальная отчетность'!M$315</f>
        <v>0</v>
      </c>
      <c s="125">
        <f>'Квартальная отчетность'!N$315</f>
        <v>0</v>
      </c>
      <c s="125">
        <f>'Квартальная отчетность'!O$315</f>
        <v>0</v>
      </c>
      <c s="125">
        <f>'Квартальная отчетность'!P$315</f>
        <v>0</v>
      </c>
      <c s="125">
        <f>'Квартальная отчетность'!Q$315</f>
        <v>0</v>
      </c>
      <c s="125">
        <f>'Квартальная отчетность'!R$315</f>
        <v>0</v>
      </c>
      <c s="125">
        <f>'Квартальная отчетность'!S$315</f>
        <v>0</v>
      </c>
      <c s="125">
        <f>'Квартальная отчетность'!T$315</f>
        <v>0</v>
      </c>
      <c s="125">
        <f>'Квартальная отчетность'!U$315</f>
        <v>0</v>
      </c>
      <c s="125">
        <f>'Квартальная отчетность'!V$315</f>
        <v>0</v>
      </c>
      <c s="125">
        <f>'Квартальная отчетность'!W$315</f>
        <v>0</v>
      </c>
      <c s="125">
        <f>'Квартальная отчетность'!X$315</f>
        <v>0</v>
      </c>
      <c s="125">
        <f>'Квартальная отчетность'!Y$315</f>
        <v>0</v>
      </c>
      <c s="125">
        <f>'Квартальная отчетность'!Z$315</f>
        <v>0</v>
      </c>
      <c s="125">
        <f>'Квартальная отчетность'!AA$315</f>
        <v>0</v>
      </c>
      <c s="125">
        <f>'Квартальная отчетность'!AB$315</f>
        <v>0</v>
      </c>
      <c s="125">
        <f>'Квартальная отчетность'!AC$315</f>
        <v>0</v>
      </c>
      <c s="125">
        <f>'Квартальная отчетность'!AD$315</f>
        <v>0</v>
      </c>
      <c s="125">
        <f>'Квартальная отчетность'!AE$315</f>
        <v>0</v>
      </c>
      <c s="125">
        <f>'Квартальная отчетность'!AF$315</f>
        <v>0</v>
      </c>
      <c s="125">
        <f>'Квартальная отчетность'!AG$315</f>
        <v>0</v>
      </c>
      <c s="125">
        <f>'Квартальная отчетность'!AH$315</f>
        <v>0</v>
      </c>
      <c s="125">
        <f>'Квартальная отчетность'!AI$315</f>
        <v>0</v>
      </c>
      <c s="125">
        <f>'Квартальная отчетность'!AJ$315</f>
        <v>0</v>
      </c>
      <c s="125">
        <f>'Квартальная отчетность'!AK$315</f>
        <v>0</v>
      </c>
      <c s="125">
        <f>'Квартальная отчетность'!AL$315</f>
        <v>0</v>
      </c>
      <c s="125">
        <f>'Квартальная отчетность'!AM$315</f>
        <v>0</v>
      </c>
      <c s="125">
        <f>'Квартальная отчетность'!AN$315</f>
        <v>0</v>
      </c>
      <c s="125">
        <f>'Квартальная отчетность'!AO$315</f>
        <v>0</v>
      </c>
      <c s="125">
        <f>'Квартальная отчетность'!AP$315</f>
        <v>0</v>
      </c>
      <c s="125">
        <f>'Квартальная отчетность'!AQ$315</f>
        <v>0</v>
      </c>
      <c s="125">
        <f>'Квартальная отчетность'!AR$315</f>
        <v>0</v>
      </c>
      <c s="125">
        <f>'Квартальная отчетность'!AS$315</f>
        <v>0</v>
      </c>
      <c s="125">
        <f>'Квартальная отчетность'!AT$315</f>
        <v>0</v>
      </c>
      <c s="125">
        <f>'Квартальная отчетность'!AU$315</f>
        <v>0</v>
      </c>
      <c s="125">
        <f>'Квартальная отчетность'!AV$315</f>
        <v>0</v>
      </c>
      <c s="125">
        <f>'Квартальная отчетность'!AW$315</f>
        <v>0</v>
      </c>
      <c s="125">
        <f>'Квартальная отчетность'!AX$315</f>
        <v>0</v>
      </c>
      <c s="125">
        <f>'Квартальная отчетность'!AY$315</f>
        <v>0</v>
      </c>
      <c s="125">
        <f>'Квартальная отчетность'!AZ$315</f>
        <v>0</v>
      </c>
      <c s="125">
        <f>'Квартальная отчетность'!BA$315</f>
        <v>0</v>
      </c>
      <c s="125">
        <f>'Квартальная отчетность'!BB$315</f>
        <v>0</v>
      </c>
      <c s="125">
        <f>'Квартальная отчетность'!BC$315</f>
        <v>0</v>
      </c>
      <c s="125">
        <f>'Квартальная отчетность'!BD$315</f>
        <v>0</v>
      </c>
      <c s="125">
        <f>'Квартальная отчетность'!BE$315</f>
        <v>0</v>
      </c>
      <c s="125">
        <f>'Квартальная отчетность'!BF$315</f>
        <v>0</v>
      </c>
      <c s="125">
        <f>'Квартальная отчетность'!BG$315</f>
        <v>0</v>
      </c>
      <c s="125">
        <f>'Квартальная отчетность'!BH$315</f>
        <v>0</v>
      </c>
      <c s="125">
        <f>'Квартальная отчетность'!BI$315</f>
        <v>0</v>
      </c>
      <c s="125">
        <f>'Квартальная отчетность'!BJ$315</f>
        <v>0</v>
      </c>
      <c s="125">
        <f>'Квартальная отчетность'!BK$315</f>
        <v>0</v>
      </c>
      <c s="125">
        <f>'Квартальная отчетность'!BL$315</f>
        <v>0</v>
      </c>
      <c s="125">
        <f>'Квартальная отчетность'!BM$315</f>
        <v>0</v>
      </c>
    </row>
    <row r="252" spans="2:65" ht="15" customHeight="1">
      <c r="B252" s="12" t="s">
        <v>303</v>
      </c>
      <c s="124" t="str">
        <f t="shared" si="623"/>
        <v>тыс. руб.</v>
      </c>
      <c s="125"/>
      <c s="125">
        <f>-'Квартальная отчетность'!E$292</f>
        <v>0</v>
      </c>
      <c s="125">
        <f>-'Квартальная отчетность'!F$292</f>
        <v>0</v>
      </c>
      <c s="125">
        <f>-'Квартальная отчетность'!G$292</f>
        <v>0</v>
      </c>
      <c s="125">
        <f>-'Квартальная отчетность'!H$292</f>
        <v>0</v>
      </c>
      <c s="125">
        <f>-'Квартальная отчетность'!I$292</f>
        <v>0</v>
      </c>
      <c s="125">
        <f>-'Квартальная отчетность'!J$292</f>
        <v>0</v>
      </c>
      <c s="125">
        <f>-'Квартальная отчетность'!K$292</f>
        <v>0</v>
      </c>
      <c s="125">
        <f>-'Квартальная отчетность'!L$292</f>
        <v>0</v>
      </c>
      <c s="125">
        <f>-'Квартальная отчетность'!M$292</f>
        <v>0</v>
      </c>
      <c s="125">
        <f>-'Квартальная отчетность'!N$292</f>
        <v>0</v>
      </c>
      <c s="125">
        <f>-'Квартальная отчетность'!O$292</f>
        <v>0</v>
      </c>
      <c s="125">
        <f>-'Квартальная отчетность'!P$292</f>
        <v>0</v>
      </c>
      <c s="125">
        <f>-'Квартальная отчетность'!Q$292</f>
        <v>0</v>
      </c>
      <c s="125">
        <f>-'Квартальная отчетность'!R$292</f>
        <v>0</v>
      </c>
      <c s="125">
        <f>-'Квартальная отчетность'!S$292</f>
        <v>0</v>
      </c>
      <c s="125">
        <f>-'Квартальная отчетность'!T$292</f>
        <v>0</v>
      </c>
      <c s="125">
        <f>-'Квартальная отчетность'!U$292</f>
        <v>0</v>
      </c>
      <c s="125">
        <f>-'Квартальная отчетность'!V$292</f>
        <v>0</v>
      </c>
      <c s="125">
        <f>-'Квартальная отчетность'!W$292</f>
        <v>0</v>
      </c>
      <c s="125">
        <f>-'Квартальная отчетность'!X$292</f>
        <v>0</v>
      </c>
      <c s="125">
        <f>-'Квартальная отчетность'!Y$292</f>
        <v>0</v>
      </c>
      <c s="125">
        <f>-'Квартальная отчетность'!Z$292</f>
        <v>0</v>
      </c>
      <c s="125">
        <f>-'Квартальная отчетность'!AA$292</f>
        <v>0</v>
      </c>
      <c s="125">
        <f>-'Квартальная отчетность'!AB$292</f>
        <v>0</v>
      </c>
      <c s="125">
        <f>-'Квартальная отчетность'!AC$292</f>
        <v>0</v>
      </c>
      <c s="125">
        <f>-'Квартальная отчетность'!AD$292</f>
        <v>0</v>
      </c>
      <c s="125">
        <f>-'Квартальная отчетность'!AE$292</f>
        <v>0</v>
      </c>
      <c s="125">
        <f>-'Квартальная отчетность'!AF$292</f>
        <v>0</v>
      </c>
      <c s="125">
        <f>-'Квартальная отчетность'!AG$292</f>
        <v>0</v>
      </c>
      <c s="125">
        <f>-'Квартальная отчетность'!AH$292</f>
        <v>0</v>
      </c>
      <c s="125">
        <f>-'Квартальная отчетность'!AI$292</f>
        <v>0</v>
      </c>
      <c s="125">
        <f>-'Квартальная отчетность'!AJ$292</f>
        <v>0</v>
      </c>
      <c s="125">
        <f>-'Квартальная отчетность'!AK$292</f>
        <v>0</v>
      </c>
      <c s="125">
        <f>-'Квартальная отчетность'!AL$292</f>
        <v>0</v>
      </c>
      <c s="125">
        <f>-'Квартальная отчетность'!AM$292</f>
        <v>0</v>
      </c>
      <c s="125">
        <f>-'Квартальная отчетность'!AN$292</f>
        <v>0</v>
      </c>
      <c s="125">
        <f>-'Квартальная отчетность'!AO$292</f>
        <v>0</v>
      </c>
      <c s="125">
        <f>-'Квартальная отчетность'!AP$292</f>
        <v>0</v>
      </c>
      <c s="125">
        <f>-'Квартальная отчетность'!AQ$292</f>
        <v>0</v>
      </c>
      <c s="125">
        <f>-'Квартальная отчетность'!AR$292</f>
        <v>0</v>
      </c>
      <c s="125">
        <f>-'Квартальная отчетность'!AS$292</f>
        <v>0</v>
      </c>
      <c s="125">
        <f>-'Квартальная отчетность'!AT$292</f>
        <v>0</v>
      </c>
      <c s="125">
        <f>-'Квартальная отчетность'!AU$292</f>
        <v>0</v>
      </c>
      <c s="125">
        <f>-'Квартальная отчетность'!AV$292</f>
        <v>0</v>
      </c>
      <c s="125">
        <f>-'Квартальная отчетность'!AW$292</f>
        <v>0</v>
      </c>
      <c s="125">
        <f>-'Квартальная отчетность'!AX$292</f>
        <v>0</v>
      </c>
      <c s="125">
        <f>-'Квартальная отчетность'!AY$292</f>
        <v>0</v>
      </c>
      <c s="125">
        <f>-'Квартальная отчетность'!AZ$292</f>
        <v>0</v>
      </c>
      <c s="125">
        <f>-'Квартальная отчетность'!BA$292</f>
        <v>0</v>
      </c>
      <c s="125">
        <f>-'Квартальная отчетность'!BB$292</f>
        <v>0</v>
      </c>
      <c s="125">
        <f>-'Квартальная отчетность'!BC$292</f>
        <v>0</v>
      </c>
      <c s="125">
        <f>-'Квартальная отчетность'!BD$292</f>
        <v>0</v>
      </c>
      <c s="125">
        <f>-'Квартальная отчетность'!BE$292</f>
        <v>0</v>
      </c>
      <c s="125">
        <f>-'Квартальная отчетность'!BF$292</f>
        <v>0</v>
      </c>
      <c s="125">
        <f>-'Квартальная отчетность'!BG$292</f>
        <v>0</v>
      </c>
      <c s="125">
        <f>-'Квартальная отчетность'!BH$292</f>
        <v>0</v>
      </c>
      <c s="125">
        <f>-'Квартальная отчетность'!BI$292</f>
        <v>0</v>
      </c>
      <c s="125">
        <f>-'Квартальная отчетность'!BJ$292</f>
        <v>0</v>
      </c>
      <c s="125">
        <f>-'Квартальная отчетность'!BK$292</f>
        <v>0</v>
      </c>
      <c s="125">
        <f>-'Квартальная отчетность'!BL$292</f>
        <v>0</v>
      </c>
      <c s="125">
        <f>-'Квартальная отчетность'!BM$292</f>
        <v>0</v>
      </c>
    </row>
    <row r="253" spans="2:65" ht="15" customHeight="1">
      <c r="B253" s="12" t="s">
        <v>297</v>
      </c>
      <c s="124" t="str">
        <f t="shared" si="623"/>
        <v>тыс. руб.</v>
      </c>
      <c s="125"/>
      <c s="125">
        <f>'Квартальная отчетность'!E$319</f>
        <v>0</v>
      </c>
      <c s="125">
        <f>'Квартальная отчетность'!F$319</f>
        <v>0</v>
      </c>
      <c s="125">
        <f>'Квартальная отчетность'!G$319</f>
        <v>0</v>
      </c>
      <c s="125">
        <f>'Квартальная отчетность'!H$319</f>
        <v>0</v>
      </c>
      <c s="125">
        <f>'Квартальная отчетность'!I$319</f>
        <v>0</v>
      </c>
      <c s="125">
        <f>'Квартальная отчетность'!J$319</f>
        <v>0</v>
      </c>
      <c s="125">
        <f>'Квартальная отчетность'!K$319</f>
        <v>0</v>
      </c>
      <c s="125">
        <f>'Квартальная отчетность'!L$319</f>
        <v>0</v>
      </c>
      <c s="125">
        <f>'Квартальная отчетность'!M$319</f>
        <v>0</v>
      </c>
      <c s="125">
        <f>'Квартальная отчетность'!N$319</f>
        <v>0</v>
      </c>
      <c s="125">
        <f>'Квартальная отчетность'!O$319</f>
        <v>0</v>
      </c>
      <c s="125">
        <f>'Квартальная отчетность'!P$319</f>
        <v>0</v>
      </c>
      <c s="125">
        <f>'Квартальная отчетность'!Q$319</f>
        <v>0</v>
      </c>
      <c s="125">
        <f>'Квартальная отчетность'!R$319</f>
        <v>0</v>
      </c>
      <c s="125">
        <f>'Квартальная отчетность'!S$319</f>
        <v>0</v>
      </c>
      <c s="125">
        <f>'Квартальная отчетность'!T$319</f>
        <v>0</v>
      </c>
      <c s="125">
        <f>'Квартальная отчетность'!U$319</f>
        <v>0</v>
      </c>
      <c s="125">
        <f>'Квартальная отчетность'!V$319</f>
        <v>0</v>
      </c>
      <c s="125">
        <f>'Квартальная отчетность'!W$319</f>
        <v>0</v>
      </c>
      <c s="125">
        <f>'Квартальная отчетность'!X$319</f>
        <v>0</v>
      </c>
      <c s="125">
        <f>'Квартальная отчетность'!Y$319</f>
        <v>0</v>
      </c>
      <c s="125">
        <f>'Квартальная отчетность'!Z$319</f>
        <v>0</v>
      </c>
      <c s="125">
        <f>'Квартальная отчетность'!AA$319</f>
        <v>0</v>
      </c>
      <c s="125">
        <f>'Квартальная отчетность'!AB$319</f>
        <v>0</v>
      </c>
      <c s="125">
        <f>'Квартальная отчетность'!AC$319</f>
        <v>0</v>
      </c>
      <c s="125">
        <f>'Квартальная отчетность'!AD$319</f>
        <v>0</v>
      </c>
      <c s="125">
        <f>'Квартальная отчетность'!AE$319</f>
        <v>0</v>
      </c>
      <c s="125">
        <f>'Квартальная отчетность'!AF$319</f>
        <v>0</v>
      </c>
      <c s="125">
        <f>'Квартальная отчетность'!AG$319</f>
        <v>0</v>
      </c>
      <c s="125">
        <f>'Квартальная отчетность'!AH$319</f>
        <v>0</v>
      </c>
      <c s="125">
        <f>'Квартальная отчетность'!AI$319</f>
        <v>0</v>
      </c>
      <c s="125">
        <f>'Квартальная отчетность'!AJ$319</f>
        <v>0</v>
      </c>
      <c s="125">
        <f>'Квартальная отчетность'!AK$319</f>
        <v>0</v>
      </c>
      <c s="125">
        <f>'Квартальная отчетность'!AL$319</f>
        <v>0</v>
      </c>
      <c s="125">
        <f>'Квартальная отчетность'!AM$319</f>
        <v>0</v>
      </c>
      <c s="125">
        <f>'Квартальная отчетность'!AN$319</f>
        <v>0</v>
      </c>
      <c s="125">
        <f>'Квартальная отчетность'!AO$319</f>
        <v>0</v>
      </c>
      <c s="125">
        <f>'Квартальная отчетность'!AP$319</f>
        <v>0</v>
      </c>
      <c s="125">
        <f>'Квартальная отчетность'!AQ$319</f>
        <v>0</v>
      </c>
      <c s="125">
        <f>'Квартальная отчетность'!AR$319</f>
        <v>0</v>
      </c>
      <c s="125">
        <f>'Квартальная отчетность'!AS$319</f>
        <v>0</v>
      </c>
      <c s="125">
        <f>'Квартальная отчетность'!AT$319</f>
        <v>0</v>
      </c>
      <c s="125">
        <f>'Квартальная отчетность'!AU$319</f>
        <v>0</v>
      </c>
      <c s="125">
        <f>'Квартальная отчетность'!AV$319</f>
        <v>0</v>
      </c>
      <c s="125">
        <f>'Квартальная отчетность'!AW$319</f>
        <v>0</v>
      </c>
      <c s="125">
        <f>'Квартальная отчетность'!AX$319</f>
        <v>0</v>
      </c>
      <c s="125">
        <f>'Квартальная отчетность'!AY$319</f>
        <v>0</v>
      </c>
      <c s="125">
        <f>'Квартальная отчетность'!AZ$319</f>
        <v>0</v>
      </c>
      <c s="125">
        <f>'Квартальная отчетность'!BA$319</f>
        <v>0</v>
      </c>
      <c s="125">
        <f>'Квартальная отчетность'!BB$319</f>
        <v>0</v>
      </c>
      <c s="125">
        <f>'Квартальная отчетность'!BC$319</f>
        <v>0</v>
      </c>
      <c s="125">
        <f>'Квартальная отчетность'!BD$319</f>
        <v>0</v>
      </c>
      <c s="125">
        <f>'Квартальная отчетность'!BE$319</f>
        <v>0</v>
      </c>
      <c s="125">
        <f>'Квартальная отчетность'!BF$319</f>
        <v>0</v>
      </c>
      <c s="125">
        <f>'Квартальная отчетность'!BG$319</f>
        <v>0</v>
      </c>
      <c s="125">
        <f>'Квартальная отчетность'!BH$319</f>
        <v>0</v>
      </c>
      <c s="125">
        <f>'Квартальная отчетность'!BI$319</f>
        <v>0</v>
      </c>
      <c s="125">
        <f>'Квартальная отчетность'!BJ$319</f>
        <v>0</v>
      </c>
      <c s="125">
        <f>'Квартальная отчетность'!BK$319</f>
        <v>0</v>
      </c>
      <c s="125">
        <f>'Квартальная отчетность'!BL$319</f>
        <v>0</v>
      </c>
      <c s="125">
        <f>'Квартальная отчетность'!BM$319</f>
        <v>0</v>
      </c>
    </row>
    <row r="254" spans="2:65" ht="15" customHeight="1">
      <c r="B254" s="12" t="s">
        <v>299</v>
      </c>
      <c s="124" t="str">
        <f t="shared" si="623"/>
        <v>тыс. руб.</v>
      </c>
      <c s="125"/>
      <c s="125">
        <f>'Квартальная отчетность'!E$320</f>
        <v>0</v>
      </c>
      <c s="125">
        <f>'Квартальная отчетность'!F$320</f>
        <v>0</v>
      </c>
      <c s="125">
        <f>'Квартальная отчетность'!G$320</f>
        <v>0</v>
      </c>
      <c s="125">
        <f>'Квартальная отчетность'!H$320</f>
        <v>0</v>
      </c>
      <c s="125">
        <f>'Квартальная отчетность'!I$320</f>
        <v>0</v>
      </c>
      <c s="125">
        <f>'Квартальная отчетность'!J$320</f>
        <v>0</v>
      </c>
      <c s="125">
        <f>'Квартальная отчетность'!K$320</f>
        <v>0</v>
      </c>
      <c s="125">
        <f>'Квартальная отчетность'!L$320</f>
        <v>0</v>
      </c>
      <c s="125">
        <f>'Квартальная отчетность'!M$320</f>
        <v>0</v>
      </c>
      <c s="125">
        <f>'Квартальная отчетность'!N$320</f>
        <v>0</v>
      </c>
      <c s="125">
        <f>'Квартальная отчетность'!O$320</f>
        <v>0</v>
      </c>
      <c s="125">
        <f>'Квартальная отчетность'!P$320</f>
        <v>0</v>
      </c>
      <c s="125">
        <f>'Квартальная отчетность'!Q$320</f>
        <v>0</v>
      </c>
      <c s="125">
        <f>'Квартальная отчетность'!R$320</f>
        <v>0</v>
      </c>
      <c s="125">
        <f>'Квартальная отчетность'!S$320</f>
        <v>0</v>
      </c>
      <c s="125">
        <f>'Квартальная отчетность'!T$320</f>
        <v>0</v>
      </c>
      <c s="125">
        <f>'Квартальная отчетность'!U$320</f>
        <v>0</v>
      </c>
      <c s="125">
        <f>'Квартальная отчетность'!V$320</f>
        <v>0</v>
      </c>
      <c s="125">
        <f>'Квартальная отчетность'!W$320</f>
        <v>0</v>
      </c>
      <c s="125">
        <f>'Квартальная отчетность'!X$320</f>
        <v>0</v>
      </c>
      <c s="125">
        <f>'Квартальная отчетность'!Y$320</f>
        <v>0</v>
      </c>
      <c s="125">
        <f>'Квартальная отчетность'!Z$320</f>
        <v>0</v>
      </c>
      <c s="125">
        <f>'Квартальная отчетность'!AA$320</f>
        <v>0</v>
      </c>
      <c s="125">
        <f>'Квартальная отчетность'!AB$320</f>
        <v>0</v>
      </c>
      <c s="125">
        <f>'Квартальная отчетность'!AC$320</f>
        <v>0</v>
      </c>
      <c s="125">
        <f>'Квартальная отчетность'!AD$320</f>
        <v>0</v>
      </c>
      <c s="125">
        <f>'Квартальная отчетность'!AE$320</f>
        <v>0</v>
      </c>
      <c s="125">
        <f>'Квартальная отчетность'!AF$320</f>
        <v>0</v>
      </c>
      <c s="125">
        <f>'Квартальная отчетность'!AG$320</f>
        <v>0</v>
      </c>
      <c s="125">
        <f>'Квартальная отчетность'!AH$320</f>
        <v>0</v>
      </c>
      <c s="125">
        <f>'Квартальная отчетность'!AI$320</f>
        <v>0</v>
      </c>
      <c s="125">
        <f>'Квартальная отчетность'!AJ$320</f>
        <v>0</v>
      </c>
      <c s="125">
        <f>'Квартальная отчетность'!AK$320</f>
        <v>0</v>
      </c>
      <c s="125">
        <f>'Квартальная отчетность'!AL$320</f>
        <v>0</v>
      </c>
      <c s="125">
        <f>'Квартальная отчетность'!AM$320</f>
        <v>0</v>
      </c>
      <c s="125">
        <f>'Квартальная отчетность'!AN$320</f>
        <v>0</v>
      </c>
      <c s="125">
        <f>'Квартальная отчетность'!AO$320</f>
        <v>0</v>
      </c>
      <c s="125">
        <f>'Квартальная отчетность'!AP$320</f>
        <v>0</v>
      </c>
      <c s="125">
        <f>'Квартальная отчетность'!AQ$320</f>
        <v>0</v>
      </c>
      <c s="125">
        <f>'Квартальная отчетность'!AR$320</f>
        <v>0</v>
      </c>
      <c s="125">
        <f>'Квартальная отчетность'!AS$320</f>
        <v>0</v>
      </c>
      <c s="125">
        <f>'Квартальная отчетность'!AT$320</f>
        <v>0</v>
      </c>
      <c s="125">
        <f>'Квартальная отчетность'!AU$320</f>
        <v>0</v>
      </c>
      <c s="125">
        <f>'Квартальная отчетность'!AV$320</f>
        <v>0</v>
      </c>
      <c s="125">
        <f>'Квартальная отчетность'!AW$320</f>
        <v>0</v>
      </c>
      <c s="125">
        <f>'Квартальная отчетность'!AX$320</f>
        <v>0</v>
      </c>
      <c s="125">
        <f>'Квартальная отчетность'!AY$320</f>
        <v>0</v>
      </c>
      <c s="125">
        <f>'Квартальная отчетность'!AZ$320</f>
        <v>0</v>
      </c>
      <c s="125">
        <f>'Квартальная отчетность'!BA$320</f>
        <v>0</v>
      </c>
      <c s="125">
        <f>'Квартальная отчетность'!BB$320</f>
        <v>0</v>
      </c>
      <c s="125">
        <f>'Квартальная отчетность'!BC$320</f>
        <v>0</v>
      </c>
      <c s="125">
        <f>'Квартальная отчетность'!BD$320</f>
        <v>0</v>
      </c>
      <c s="125">
        <f>'Квартальная отчетность'!BE$320</f>
        <v>0</v>
      </c>
      <c s="125">
        <f>'Квартальная отчетность'!BF$320</f>
        <v>0</v>
      </c>
      <c s="125">
        <f>'Квартальная отчетность'!BG$320</f>
        <v>0</v>
      </c>
      <c s="125">
        <f>'Квартальная отчетность'!BH$320</f>
        <v>0</v>
      </c>
      <c s="125">
        <f>'Квартальная отчетность'!BI$320</f>
        <v>0</v>
      </c>
      <c s="125">
        <f>'Квартальная отчетность'!BJ$320</f>
        <v>0</v>
      </c>
      <c s="125">
        <f>'Квартальная отчетность'!BK$320</f>
        <v>0</v>
      </c>
      <c s="125">
        <f>'Квартальная отчетность'!BL$320</f>
        <v>0</v>
      </c>
      <c s="125">
        <f>'Квартальная отчетность'!BM$320</f>
        <v>0</v>
      </c>
    </row>
    <row r="255" spans="2:65" ht="15" customHeight="1">
      <c r="B255" s="289" t="s">
        <v>581</v>
      </c>
      <c s="290" t="str">
        <f t="shared" si="623"/>
        <v>тыс. руб.</v>
      </c>
      <c s="276"/>
      <c s="276">
        <f ca="1" t="shared" si="624" ref="E255:AG255">SUM(E250:E254)</f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t="shared" ca="1" si="624"/>
        <v>0</v>
      </c>
      <c s="276">
        <f ca="1" t="shared" si="625" ref="AH255:BM255">SUM(AH250:AH254)</f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  <c s="276">
        <f t="shared" ca="1" si="625"/>
        <v>0</v>
      </c>
    </row>
    <row r="256" spans="2:65" ht="15" customHeight="1">
      <c r="B256" s="12" t="s">
        <v>1143</v>
      </c>
      <c s="124" t="str">
        <f>Единица_измерения</f>
        <v>тыс. руб.</v>
      </c>
      <c s="125"/>
      <c s="125">
        <f ca="1">SUM(OFFSET(E$255,,,,-4),IF(E$6&gt;3,0,OFFSET(Предпосылки!$F$577,,,,E$6-4)))</f>
        <v>0</v>
      </c>
      <c s="125">
        <f ca="1">SUM(OFFSET(F$255,,,,-4),IF(F$6&gt;3,0,OFFSET(Предпосылки!$F$577,,,,F$6-4)))</f>
        <v>0</v>
      </c>
      <c s="125">
        <f ca="1">SUM(OFFSET(G$255,,,,-4),IF(G$6&gt;3,0,OFFSET(Предпосылки!$F$577,,,,G$6-4)))</f>
        <v>0</v>
      </c>
      <c s="125">
        <f ca="1">SUM(OFFSET(H$255,,,,-4),IF(H$6&gt;3,0,OFFSET(Предпосылки!$F$577,,,,H$6-4)))</f>
        <v>0</v>
      </c>
      <c s="125">
        <f ca="1">SUM(OFFSET(I$255,,,,-4),IF(I$6&gt;3,0,OFFSET(Предпосылки!$F$577,,,,I$6-4)))</f>
        <v>0</v>
      </c>
      <c s="125">
        <f ca="1">SUM(OFFSET(J$255,,,,-4),IF(J$6&gt;3,0,OFFSET(Предпосылки!$F$577,,,,J$6-4)))</f>
        <v>0</v>
      </c>
      <c s="125">
        <f ca="1">SUM(OFFSET(K$255,,,,-4),IF(K$6&gt;3,0,OFFSET(Предпосылки!$F$577,,,,K$6-4)))</f>
        <v>0</v>
      </c>
      <c s="125">
        <f ca="1">SUM(OFFSET(L$255,,,,-4),IF(L$6&gt;3,0,OFFSET(Предпосылки!$F$577,,,,L$6-4)))</f>
        <v>0</v>
      </c>
      <c s="125">
        <f ca="1">SUM(OFFSET(M$255,,,,-4),IF(M$6&gt;3,0,OFFSET(Предпосылки!$F$577,,,,M$6-4)))</f>
        <v>0</v>
      </c>
      <c s="125">
        <f ca="1">SUM(OFFSET(N$255,,,,-4),IF(N$6&gt;3,0,OFFSET(Предпосылки!$F$577,,,,N$6-4)))</f>
        <v>0</v>
      </c>
      <c s="125">
        <f ca="1">SUM(OFFSET(O$255,,,,-4),IF(O$6&gt;3,0,OFFSET(Предпосылки!$F$577,,,,O$6-4)))</f>
        <v>0</v>
      </c>
      <c s="125">
        <f ca="1">SUM(OFFSET(P$255,,,,-4),IF(P$6&gt;3,0,OFFSET(Предпосылки!$F$577,,,,P$6-4)))</f>
        <v>0</v>
      </c>
      <c s="125">
        <f ca="1">SUM(OFFSET(Q$255,,,,-4),IF(Q$6&gt;3,0,OFFSET(Предпосылки!$F$577,,,,Q$6-4)))</f>
        <v>0</v>
      </c>
      <c s="125">
        <f ca="1">SUM(OFFSET(R$255,,,,-4),IF(R$6&gt;3,0,OFFSET(Предпосылки!$F$577,,,,R$6-4)))</f>
        <v>0</v>
      </c>
      <c s="125">
        <f ca="1">SUM(OFFSET(S$255,,,,-4),IF(S$6&gt;3,0,OFFSET(Предпосылки!$F$577,,,,S$6-4)))</f>
        <v>0</v>
      </c>
      <c s="125">
        <f ca="1">SUM(OFFSET(T$255,,,,-4),IF(T$6&gt;3,0,OFFSET(Предпосылки!$F$577,,,,T$6-4)))</f>
        <v>0</v>
      </c>
      <c s="125">
        <f ca="1">SUM(OFFSET(U$255,,,,-4),IF(U$6&gt;3,0,OFFSET(Предпосылки!$F$577,,,,U$6-4)))</f>
        <v>0</v>
      </c>
      <c s="125">
        <f ca="1">SUM(OFFSET(V$255,,,,-4),IF(V$6&gt;3,0,OFFSET(Предпосылки!$F$577,,,,V$6-4)))</f>
        <v>0</v>
      </c>
      <c s="125">
        <f ca="1">SUM(OFFSET(W$255,,,,-4),IF(W$6&gt;3,0,OFFSET(Предпосылки!$F$577,,,,W$6-4)))</f>
        <v>0</v>
      </c>
      <c s="125">
        <f ca="1">SUM(OFFSET(X$255,,,,-4),IF(X$6&gt;3,0,OFFSET(Предпосылки!$F$577,,,,X$6-4)))</f>
        <v>0</v>
      </c>
      <c s="125">
        <f ca="1">SUM(OFFSET(Y$255,,,,-4),IF(Y$6&gt;3,0,OFFSET(Предпосылки!$F$577,,,,Y$6-4)))</f>
        <v>0</v>
      </c>
      <c s="125">
        <f ca="1">SUM(OFFSET(Z$255,,,,-4),IF(Z$6&gt;3,0,OFFSET(Предпосылки!$F$577,,,,Z$6-4)))</f>
        <v>0</v>
      </c>
      <c s="125">
        <f ca="1">SUM(OFFSET(AA$255,,,,-4),IF(AA$6&gt;3,0,OFFSET(Предпосылки!$F$577,,,,AA$6-4)))</f>
        <v>0</v>
      </c>
      <c s="125">
        <f ca="1">SUM(OFFSET(AB$255,,,,-4),IF(AB$6&gt;3,0,OFFSET(Предпосылки!$F$577,,,,AB$6-4)))</f>
        <v>0</v>
      </c>
      <c s="125">
        <f ca="1">SUM(OFFSET(AC$255,,,,-4),IF(AC$6&gt;3,0,OFFSET(Предпосылки!$F$577,,,,AC$6-4)))</f>
        <v>0</v>
      </c>
      <c s="125">
        <f ca="1">SUM(OFFSET(AD$255,,,,-4),IF(AD$6&gt;3,0,OFFSET(Предпосылки!$F$577,,,,AD$6-4)))</f>
        <v>0</v>
      </c>
      <c s="125">
        <f ca="1">SUM(OFFSET(AE$255,,,,-4),IF(AE$6&gt;3,0,OFFSET(Предпосылки!$F$577,,,,AE$6-4)))</f>
        <v>0</v>
      </c>
      <c s="125">
        <f ca="1">SUM(OFFSET(AF$255,,,,-4),IF(AF$6&gt;3,0,OFFSET(Предпосылки!$F$577,,,,AF$6-4)))</f>
        <v>0</v>
      </c>
      <c s="125">
        <f ca="1">SUM(OFFSET(AG$255,,,,-4),IF(AG$6&gt;3,0,OFFSET(Предпосылки!$F$577,,,,AG$6-4)))</f>
        <v>0</v>
      </c>
      <c s="125">
        <f ca="1">SUM(OFFSET(AH$255,,,,-4),IF(AH$6&gt;3,0,OFFSET(Предпосылки!$F$577,,,,AH$6-4)))</f>
        <v>0</v>
      </c>
      <c s="125">
        <f ca="1">SUM(OFFSET(AI$255,,,,-4),IF(AI$6&gt;3,0,OFFSET(Предпосылки!$F$577,,,,AI$6-4)))</f>
        <v>0</v>
      </c>
      <c s="125">
        <f ca="1">SUM(OFFSET(AJ$255,,,,-4),IF(AJ$6&gt;3,0,OFFSET(Предпосылки!$F$577,,,,AJ$6-4)))</f>
        <v>0</v>
      </c>
      <c s="125">
        <f ca="1">SUM(OFFSET(AK$255,,,,-4),IF(AK$6&gt;3,0,OFFSET(Предпосылки!$F$577,,,,AK$6-4)))</f>
        <v>0</v>
      </c>
      <c s="125">
        <f ca="1">SUM(OFFSET(AL$255,,,,-4),IF(AL$6&gt;3,0,OFFSET(Предпосылки!$F$577,,,,AL$6-4)))</f>
        <v>0</v>
      </c>
      <c s="125">
        <f ca="1">SUM(OFFSET(AM$255,,,,-4),IF(AM$6&gt;3,0,OFFSET(Предпосылки!$F$577,,,,AM$6-4)))</f>
        <v>0</v>
      </c>
      <c s="125">
        <f ca="1">SUM(OFFSET(AN$255,,,,-4),IF(AN$6&gt;3,0,OFFSET(Предпосылки!$F$577,,,,AN$6-4)))</f>
        <v>0</v>
      </c>
      <c s="125">
        <f ca="1">SUM(OFFSET(AO$255,,,,-4),IF(AO$6&gt;3,0,OFFSET(Предпосылки!$F$577,,,,AO$6-4)))</f>
        <v>0</v>
      </c>
      <c s="125">
        <f ca="1">SUM(OFFSET(AP$255,,,,-4),IF(AP$6&gt;3,0,OFFSET(Предпосылки!$F$577,,,,AP$6-4)))</f>
        <v>0</v>
      </c>
      <c s="125">
        <f ca="1">SUM(OFFSET(AQ$255,,,,-4),IF(AQ$6&gt;3,0,OFFSET(Предпосылки!$F$577,,,,AQ$6-4)))</f>
        <v>0</v>
      </c>
      <c s="125">
        <f ca="1">SUM(OFFSET(AR$255,,,,-4),IF(AR$6&gt;3,0,OFFSET(Предпосылки!$F$577,,,,AR$6-4)))</f>
        <v>0</v>
      </c>
      <c s="125">
        <f ca="1">SUM(OFFSET(AS$255,,,,-4),IF(AS$6&gt;3,0,OFFSET(Предпосылки!$F$577,,,,AS$6-4)))</f>
        <v>0</v>
      </c>
      <c s="125">
        <f ca="1">SUM(OFFSET(AT$255,,,,-4),IF(AT$6&gt;3,0,OFFSET(Предпосылки!$F$577,,,,AT$6-4)))</f>
        <v>0</v>
      </c>
      <c s="125">
        <f ca="1">SUM(OFFSET(AU$255,,,,-4),IF(AU$6&gt;3,0,OFFSET(Предпосылки!$F$577,,,,AU$6-4)))</f>
        <v>0</v>
      </c>
      <c s="125">
        <f ca="1">SUM(OFFSET(AV$255,,,,-4),IF(AV$6&gt;3,0,OFFSET(Предпосылки!$F$577,,,,AV$6-4)))</f>
        <v>0</v>
      </c>
      <c s="125">
        <f ca="1">SUM(OFFSET(AW$255,,,,-4),IF(AW$6&gt;3,0,OFFSET(Предпосылки!$F$577,,,,AW$6-4)))</f>
        <v>0</v>
      </c>
      <c s="125">
        <f ca="1">SUM(OFFSET(AX$255,,,,-4),IF(AX$6&gt;3,0,OFFSET(Предпосылки!$F$577,,,,AX$6-4)))</f>
        <v>0</v>
      </c>
      <c s="125">
        <f ca="1">SUM(OFFSET(AY$255,,,,-4),IF(AY$6&gt;3,0,OFFSET(Предпосылки!$F$577,,,,AY$6-4)))</f>
        <v>0</v>
      </c>
      <c s="125">
        <f ca="1">SUM(OFFSET(AZ$255,,,,-4),IF(AZ$6&gt;3,0,OFFSET(Предпосылки!$F$577,,,,AZ$6-4)))</f>
        <v>0</v>
      </c>
      <c s="125">
        <f ca="1">SUM(OFFSET(BA$255,,,,-4),IF(BA$6&gt;3,0,OFFSET(Предпосылки!$F$577,,,,BA$6-4)))</f>
        <v>0</v>
      </c>
      <c s="125">
        <f ca="1">SUM(OFFSET(BB$255,,,,-4),IF(BB$6&gt;3,0,OFFSET(Предпосылки!$F$577,,,,BB$6-4)))</f>
        <v>0</v>
      </c>
      <c s="125">
        <f ca="1">SUM(OFFSET(BC$255,,,,-4),IF(BC$6&gt;3,0,OFFSET(Предпосылки!$F$577,,,,BC$6-4)))</f>
        <v>0</v>
      </c>
      <c s="125">
        <f ca="1">SUM(OFFSET(BD$255,,,,-4),IF(BD$6&gt;3,0,OFFSET(Предпосылки!$F$577,,,,BD$6-4)))</f>
        <v>0</v>
      </c>
      <c s="125">
        <f ca="1">SUM(OFFSET(BE$255,,,,-4),IF(BE$6&gt;3,0,OFFSET(Предпосылки!$F$577,,,,BE$6-4)))</f>
        <v>0</v>
      </c>
      <c s="125">
        <f ca="1">SUM(OFFSET(BF$255,,,,-4),IF(BF$6&gt;3,0,OFFSET(Предпосылки!$F$577,,,,BF$6-4)))</f>
        <v>0</v>
      </c>
      <c s="125">
        <f ca="1">SUM(OFFSET(BG$255,,,,-4),IF(BG$6&gt;3,0,OFFSET(Предпосылки!$F$577,,,,BG$6-4)))</f>
        <v>0</v>
      </c>
      <c s="125">
        <f ca="1">SUM(OFFSET(BH$255,,,,-4),IF(BH$6&gt;3,0,OFFSET(Предпосылки!$F$577,,,,BH$6-4)))</f>
        <v>0</v>
      </c>
      <c s="125">
        <f ca="1">SUM(OFFSET(BI$255,,,,-4),IF(BI$6&gt;3,0,OFFSET(Предпосылки!$F$577,,,,BI$6-4)))</f>
        <v>0</v>
      </c>
      <c s="125">
        <f ca="1">SUM(OFFSET(BJ$255,,,,-4),IF(BJ$6&gt;3,0,OFFSET(Предпосылки!$F$577,,,,BJ$6-4)))</f>
        <v>0</v>
      </c>
      <c s="125">
        <f ca="1">SUM(OFFSET(BK$255,,,,-4),IF(BK$6&gt;3,0,OFFSET(Предпосылки!$F$577,,,,BK$6-4)))</f>
        <v>0</v>
      </c>
      <c s="125">
        <f ca="1">SUM(OFFSET(BL$255,,,,-4),IF(BL$6&gt;3,0,OFFSET(Предпосылки!$F$577,,,,BL$6-4)))</f>
        <v>0</v>
      </c>
      <c s="125">
        <f ca="1">SUM(OFFSET(BM$255,,,,-4),IF(BM$6&gt;3,0,OFFSET(Предпосылки!$F$577,,,,BM$6-4)))</f>
        <v>0</v>
      </c>
    </row>
    <row r="257" ht="15" customHeight="1"/>
    <row r="258" spans="2:2" ht="15" customHeight="1">
      <c r="B258" s="24" t="s">
        <v>1121</v>
      </c>
    </row>
    <row r="259" spans="2:65" ht="15" customHeight="1">
      <c r="B259" s="12" t="s">
        <v>581</v>
      </c>
      <c s="124" t="str">
        <f>Единица_измерения</f>
        <v>тыс. руб.</v>
      </c>
      <c s="125"/>
      <c s="125">
        <f ca="1">E$255</f>
        <v>0</v>
      </c>
      <c s="125">
        <f ca="1" t="shared" si="626" ref="F259:BM259">F$255</f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  <c s="125">
        <f t="shared" ca="1" si="626"/>
        <v>0</v>
      </c>
    </row>
    <row r="260" spans="2:65" ht="15" customHeight="1">
      <c r="B260" s="12" t="s">
        <v>301</v>
      </c>
      <c s="124" t="str">
        <f>Единица_измерения</f>
        <v>тыс. руб.</v>
      </c>
      <c s="125"/>
      <c s="125">
        <f>-'Квартальная отчетность'!E$329</f>
        <v>0</v>
      </c>
      <c s="125">
        <f>-'Квартальная отчетность'!F$329</f>
        <v>0</v>
      </c>
      <c s="125">
        <f>-'Квартальная отчетность'!G$329</f>
        <v>0</v>
      </c>
      <c s="125">
        <f>-'Квартальная отчетность'!H$329</f>
        <v>0</v>
      </c>
      <c s="125">
        <f>-'Квартальная отчетность'!I$329</f>
        <v>0</v>
      </c>
      <c s="125">
        <f>-'Квартальная отчетность'!J$329</f>
        <v>0</v>
      </c>
      <c s="125">
        <f>-'Квартальная отчетность'!K$329</f>
        <v>0</v>
      </c>
      <c s="125">
        <f>-'Квартальная отчетность'!L$329</f>
        <v>0</v>
      </c>
      <c s="125">
        <f>-'Квартальная отчетность'!M$329</f>
        <v>0</v>
      </c>
      <c s="125">
        <f>-'Квартальная отчетность'!N$329</f>
        <v>0</v>
      </c>
      <c s="125">
        <f>-'Квартальная отчетность'!O$329</f>
        <v>0</v>
      </c>
      <c s="125">
        <f>-'Квартальная отчетность'!P$329</f>
        <v>0</v>
      </c>
      <c s="125">
        <f>-'Квартальная отчетность'!Q$329</f>
        <v>0</v>
      </c>
      <c s="125">
        <f>-'Квартальная отчетность'!R$329</f>
        <v>0</v>
      </c>
      <c s="125">
        <f>-'Квартальная отчетность'!S$329</f>
        <v>0</v>
      </c>
      <c s="125">
        <f>-'Квартальная отчетность'!T$329</f>
        <v>0</v>
      </c>
      <c s="125">
        <f>-'Квартальная отчетность'!U$329</f>
        <v>0</v>
      </c>
      <c s="125">
        <f>-'Квартальная отчетность'!V$329</f>
        <v>0</v>
      </c>
      <c s="125">
        <f>-'Квартальная отчетность'!W$329</f>
        <v>0</v>
      </c>
      <c s="125">
        <f>-'Квартальная отчетность'!X$329</f>
        <v>0</v>
      </c>
      <c s="125">
        <f>-'Квартальная отчетность'!Y$329</f>
        <v>0</v>
      </c>
      <c s="125">
        <f>-'Квартальная отчетность'!Z$329</f>
        <v>0</v>
      </c>
      <c s="125">
        <f>-'Квартальная отчетность'!AA$329</f>
        <v>0</v>
      </c>
      <c s="125">
        <f>-'Квартальная отчетность'!AB$329</f>
        <v>0</v>
      </c>
      <c s="125">
        <f>-'Квартальная отчетность'!AC$329</f>
        <v>0</v>
      </c>
      <c s="125">
        <f>-'Квартальная отчетность'!AD$329</f>
        <v>0</v>
      </c>
      <c s="125">
        <f>-'Квартальная отчетность'!AE$329</f>
        <v>0</v>
      </c>
      <c s="125">
        <f>-'Квартальная отчетность'!AF$329</f>
        <v>0</v>
      </c>
      <c s="125">
        <f>-'Квартальная отчетность'!AG$329</f>
        <v>0</v>
      </c>
      <c s="125">
        <f>-'Квартальная отчетность'!AH$329</f>
        <v>0</v>
      </c>
      <c s="125">
        <f>-'Квартальная отчетность'!AI$329</f>
        <v>0</v>
      </c>
      <c s="125">
        <f>-'Квартальная отчетность'!AJ$329</f>
        <v>0</v>
      </c>
      <c s="125">
        <f>-'Квартальная отчетность'!AK$329</f>
        <v>0</v>
      </c>
      <c s="125">
        <f>-'Квартальная отчетность'!AL$329</f>
        <v>0</v>
      </c>
      <c s="125">
        <f>-'Квартальная отчетность'!AM$329</f>
        <v>0</v>
      </c>
      <c s="125">
        <f>-'Квартальная отчетность'!AN$329</f>
        <v>0</v>
      </c>
      <c s="125">
        <f>-'Квартальная отчетность'!AO$329</f>
        <v>0</v>
      </c>
      <c s="125">
        <f>-'Квартальная отчетность'!AP$329</f>
        <v>0</v>
      </c>
      <c s="125">
        <f>-'Квартальная отчетность'!AQ$329</f>
        <v>0</v>
      </c>
      <c s="125">
        <f>-'Квартальная отчетность'!AR$329</f>
        <v>0</v>
      </c>
      <c s="125">
        <f>-'Квартальная отчетность'!AS$329</f>
        <v>0</v>
      </c>
      <c s="125">
        <f>-'Квартальная отчетность'!AT$329</f>
        <v>0</v>
      </c>
      <c s="125">
        <f>-'Квартальная отчетность'!AU$329</f>
        <v>0</v>
      </c>
      <c s="125">
        <f>-'Квартальная отчетность'!AV$329</f>
        <v>0</v>
      </c>
      <c s="125">
        <f>-'Квартальная отчетность'!AW$329</f>
        <v>0</v>
      </c>
      <c s="125">
        <f>-'Квартальная отчетность'!AX$329</f>
        <v>0</v>
      </c>
      <c s="125">
        <f>-'Квартальная отчетность'!AY$329</f>
        <v>0</v>
      </c>
      <c s="125">
        <f>-'Квартальная отчетность'!AZ$329</f>
        <v>0</v>
      </c>
      <c s="125">
        <f>-'Квартальная отчетность'!BA$329</f>
        <v>0</v>
      </c>
      <c s="125">
        <f>-'Квартальная отчетность'!BB$329</f>
        <v>0</v>
      </c>
      <c s="125">
        <f>-'Квартальная отчетность'!BC$329</f>
        <v>0</v>
      </c>
      <c s="125">
        <f>-'Квартальная отчетность'!BD$329</f>
        <v>0</v>
      </c>
      <c s="125">
        <f>-'Квартальная отчетность'!BE$329</f>
        <v>0</v>
      </c>
      <c s="125">
        <f>-'Квартальная отчетность'!BF$329</f>
        <v>0</v>
      </c>
      <c s="125">
        <f>-'Квартальная отчетность'!BG$329</f>
        <v>0</v>
      </c>
      <c s="125">
        <f>-'Квартальная отчетность'!BH$329</f>
        <v>0</v>
      </c>
      <c s="125">
        <f>-'Квартальная отчетность'!BI$329</f>
        <v>0</v>
      </c>
      <c s="125">
        <f>-'Квартальная отчетность'!BJ$329</f>
        <v>0</v>
      </c>
      <c s="125">
        <f>-'Квартальная отчетность'!BK$329</f>
        <v>0</v>
      </c>
      <c s="125">
        <f>-'Квартальная отчетность'!BL$329</f>
        <v>0</v>
      </c>
      <c s="125">
        <f>-'Квартальная отчетность'!BM$329</f>
        <v>0</v>
      </c>
    </row>
    <row r="261" spans="2:65" ht="15" customHeight="1">
      <c r="B261" s="12" t="s">
        <v>303</v>
      </c>
      <c s="124" t="str">
        <f>Единица_измерения</f>
        <v>тыс. руб.</v>
      </c>
      <c s="125"/>
      <c s="125">
        <f>-'Квартальная отчетность'!E$292</f>
        <v>0</v>
      </c>
      <c s="125">
        <f>-'Квартальная отчетность'!F$292</f>
        <v>0</v>
      </c>
      <c s="125">
        <f>-'Квартальная отчетность'!G$292</f>
        <v>0</v>
      </c>
      <c s="125">
        <f>-'Квартальная отчетность'!H$292</f>
        <v>0</v>
      </c>
      <c s="125">
        <f>-'Квартальная отчетность'!I$292</f>
        <v>0</v>
      </c>
      <c s="125">
        <f>-'Квартальная отчетность'!J$292</f>
        <v>0</v>
      </c>
      <c s="125">
        <f>-'Квартальная отчетность'!K$292</f>
        <v>0</v>
      </c>
      <c s="125">
        <f>-'Квартальная отчетность'!L$292</f>
        <v>0</v>
      </c>
      <c s="125">
        <f>-'Квартальная отчетность'!M$292</f>
        <v>0</v>
      </c>
      <c s="125">
        <f>-'Квартальная отчетность'!N$292</f>
        <v>0</v>
      </c>
      <c s="125">
        <f>-'Квартальная отчетность'!O$292</f>
        <v>0</v>
      </c>
      <c s="125">
        <f>-'Квартальная отчетность'!P$292</f>
        <v>0</v>
      </c>
      <c s="125">
        <f>-'Квартальная отчетность'!Q$292</f>
        <v>0</v>
      </c>
      <c s="125">
        <f>-'Квартальная отчетность'!R$292</f>
        <v>0</v>
      </c>
      <c s="125">
        <f>-'Квартальная отчетность'!S$292</f>
        <v>0</v>
      </c>
      <c s="125">
        <f>-'Квартальная отчетность'!T$292</f>
        <v>0</v>
      </c>
      <c s="125">
        <f>-'Квартальная отчетность'!U$292</f>
        <v>0</v>
      </c>
      <c s="125">
        <f>-'Квартальная отчетность'!V$292</f>
        <v>0</v>
      </c>
      <c s="125">
        <f>-'Квартальная отчетность'!W$292</f>
        <v>0</v>
      </c>
      <c s="125">
        <f>-'Квартальная отчетность'!X$292</f>
        <v>0</v>
      </c>
      <c s="125">
        <f>-'Квартальная отчетность'!Y$292</f>
        <v>0</v>
      </c>
      <c s="125">
        <f>-'Квартальная отчетность'!Z$292</f>
        <v>0</v>
      </c>
      <c s="125">
        <f>-'Квартальная отчетность'!AA$292</f>
        <v>0</v>
      </c>
      <c s="125">
        <f>-'Квартальная отчетность'!AB$292</f>
        <v>0</v>
      </c>
      <c s="125">
        <f>-'Квартальная отчетность'!AC$292</f>
        <v>0</v>
      </c>
      <c s="125">
        <f>-'Квартальная отчетность'!AD$292</f>
        <v>0</v>
      </c>
      <c s="125">
        <f>-'Квартальная отчетность'!AE$292</f>
        <v>0</v>
      </c>
      <c s="125">
        <f>-'Квартальная отчетность'!AF$292</f>
        <v>0</v>
      </c>
      <c s="125">
        <f>-'Квартальная отчетность'!AG$292</f>
        <v>0</v>
      </c>
      <c s="125">
        <f>-'Квартальная отчетность'!AH$292</f>
        <v>0</v>
      </c>
      <c s="125">
        <f>-'Квартальная отчетность'!AI$292</f>
        <v>0</v>
      </c>
      <c s="125">
        <f>-'Квартальная отчетность'!AJ$292</f>
        <v>0</v>
      </c>
      <c s="125">
        <f>-'Квартальная отчетность'!AK$292</f>
        <v>0</v>
      </c>
      <c s="125">
        <f>-'Квартальная отчетность'!AL$292</f>
        <v>0</v>
      </c>
      <c s="125">
        <f>-'Квартальная отчетность'!AM$292</f>
        <v>0</v>
      </c>
      <c s="125">
        <f>-'Квартальная отчетность'!AN$292</f>
        <v>0</v>
      </c>
      <c s="125">
        <f>-'Квартальная отчетность'!AO$292</f>
        <v>0</v>
      </c>
      <c s="125">
        <f>-'Квартальная отчетность'!AP$292</f>
        <v>0</v>
      </c>
      <c s="125">
        <f>-'Квартальная отчетность'!AQ$292</f>
        <v>0</v>
      </c>
      <c s="125">
        <f>-'Квартальная отчетность'!AR$292</f>
        <v>0</v>
      </c>
      <c s="125">
        <f>-'Квартальная отчетность'!AS$292</f>
        <v>0</v>
      </c>
      <c s="125">
        <f>-'Квартальная отчетность'!AT$292</f>
        <v>0</v>
      </c>
      <c s="125">
        <f>-'Квартальная отчетность'!AU$292</f>
        <v>0</v>
      </c>
      <c s="125">
        <f>-'Квартальная отчетность'!AV$292</f>
        <v>0</v>
      </c>
      <c s="125">
        <f>-'Квартальная отчетность'!AW$292</f>
        <v>0</v>
      </c>
      <c s="125">
        <f>-'Квартальная отчетность'!AX$292</f>
        <v>0</v>
      </c>
      <c s="125">
        <f>-'Квартальная отчетность'!AY$292</f>
        <v>0</v>
      </c>
      <c s="125">
        <f>-'Квартальная отчетность'!AZ$292</f>
        <v>0</v>
      </c>
      <c s="125">
        <f>-'Квартальная отчетность'!BA$292</f>
        <v>0</v>
      </c>
      <c s="125">
        <f>-'Квартальная отчетность'!BB$292</f>
        <v>0</v>
      </c>
      <c s="125">
        <f>-'Квартальная отчетность'!BC$292</f>
        <v>0</v>
      </c>
      <c s="125">
        <f>-'Квартальная отчетность'!BD$292</f>
        <v>0</v>
      </c>
      <c s="125">
        <f>-'Квартальная отчетность'!BE$292</f>
        <v>0</v>
      </c>
      <c s="125">
        <f>-'Квартальная отчетность'!BF$292</f>
        <v>0</v>
      </c>
      <c s="125">
        <f>-'Квартальная отчетность'!BG$292</f>
        <v>0</v>
      </c>
      <c s="125">
        <f>-'Квартальная отчетность'!BH$292</f>
        <v>0</v>
      </c>
      <c s="125">
        <f>-'Квартальная отчетность'!BI$292</f>
        <v>0</v>
      </c>
      <c s="125">
        <f>-'Квартальная отчетность'!BJ$292</f>
        <v>0</v>
      </c>
      <c s="125">
        <f>-'Квартальная отчетность'!BK$292</f>
        <v>0</v>
      </c>
      <c s="125">
        <f>-'Квартальная отчетность'!BL$292</f>
        <v>0</v>
      </c>
      <c s="125">
        <f>-'Квартальная отчетность'!BM$292</f>
        <v>0</v>
      </c>
    </row>
    <row r="262" spans="2:65" ht="15" customHeight="1">
      <c r="B262" s="289" t="s">
        <v>584</v>
      </c>
      <c s="290" t="s">
        <v>1117</v>
      </c>
      <c s="285"/>
      <c s="285" t="str">
        <f ca="1">IFERROR(E$259/SUM(E$260:E$261),"-")</f>
        <v>-</v>
      </c>
      <c s="285" t="str">
        <f ca="1" t="shared" si="627" ref="F262:BM262">IFERROR(F$259/SUM(F$260:F$261),"-")</f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  <c s="285" t="str">
        <f t="shared" ca="1" si="627"/>
        <v>-</v>
      </c>
    </row>
    <row r="263" spans="2:65" ht="15" customHeight="1">
      <c r="B263" s="139" t="s">
        <v>1144</v>
      </c>
      <c s="124" t="s">
        <v>1117</v>
      </c>
      <c s="140"/>
      <c s="141" t="str">
        <f ca="1">IFERROR(E$256/SUM(OFFSET(E$260:E$261,,,,-4),IF(E$6&gt;3,0,-SUM(OFFSET(Предпосылки!$F$578:$F$579,,,,E$6-4)))),"-")</f>
        <v>-</v>
      </c>
      <c s="141" t="str">
        <f ca="1">IFERROR(F$256/SUM(OFFSET(F$260:F$261,,,,-4),IF(F$6&gt;3,0,-SUM(OFFSET(Предпосылки!$F$578:$F$579,,,,F$6-4)))),"-")</f>
        <v>-</v>
      </c>
      <c s="141" t="str">
        <f ca="1">IFERROR(G$256/SUM(OFFSET(G$260:G$261,,,,-4),IF(G$6&gt;3,0,-SUM(OFFSET(Предпосылки!$F$578:$F$579,,,,G$6-4)))),"-")</f>
        <v>-</v>
      </c>
      <c s="141" t="str">
        <f ca="1">IFERROR(H$256/SUM(OFFSET(H$260:H$261,,,,-4),IF(H$6&gt;3,0,-SUM(OFFSET(Предпосылки!$F$578:$F$579,,,,H$6-4)))),"-")</f>
        <v>-</v>
      </c>
      <c s="141" t="str">
        <f ca="1">IFERROR(I$256/SUM(OFFSET(I$260:I$261,,,,-4),IF(I$6&gt;3,0,-SUM(OFFSET(Предпосылки!$F$578:$F$579,,,,I$6-4)))),"-")</f>
        <v>-</v>
      </c>
      <c s="141" t="str">
        <f ca="1">IFERROR(J$256/SUM(OFFSET(J$260:J$261,,,,-4),IF(J$6&gt;3,0,-SUM(OFFSET(Предпосылки!$F$578:$F$579,,,,J$6-4)))),"-")</f>
        <v>-</v>
      </c>
      <c s="141" t="str">
        <f ca="1">IFERROR(K$256/SUM(OFFSET(K$260:K$261,,,,-4),IF(K$6&gt;3,0,-SUM(OFFSET(Предпосылки!$F$578:$F$579,,,,K$6-4)))),"-")</f>
        <v>-</v>
      </c>
      <c s="141" t="str">
        <f ca="1">IFERROR(L$256/SUM(OFFSET(L$260:L$261,,,,-4),IF(L$6&gt;3,0,-SUM(OFFSET(Предпосылки!$F$578:$F$579,,,,L$6-4)))),"-")</f>
        <v>-</v>
      </c>
      <c s="141" t="str">
        <f ca="1">IFERROR(M$256/SUM(OFFSET(M$260:M$261,,,,-4),IF(M$6&gt;3,0,-SUM(OFFSET(Предпосылки!$F$578:$F$579,,,,M$6-4)))),"-")</f>
        <v>-</v>
      </c>
      <c s="141" t="str">
        <f ca="1">IFERROR(N$256/SUM(OFFSET(N$260:N$261,,,,-4),IF(N$6&gt;3,0,-SUM(OFFSET(Предпосылки!$F$578:$F$579,,,,N$6-4)))),"-")</f>
        <v>-</v>
      </c>
      <c s="141" t="str">
        <f ca="1">IFERROR(O$256/SUM(OFFSET(O$260:O$261,,,,-4),IF(O$6&gt;3,0,-SUM(OFFSET(Предпосылки!$F$578:$F$579,,,,O$6-4)))),"-")</f>
        <v>-</v>
      </c>
      <c s="141" t="str">
        <f ca="1">IFERROR(P$256/SUM(OFFSET(P$260:P$261,,,,-4),IF(P$6&gt;3,0,-SUM(OFFSET(Предпосылки!$F$578:$F$579,,,,P$6-4)))),"-")</f>
        <v>-</v>
      </c>
      <c s="141" t="str">
        <f ca="1">IFERROR(Q$256/SUM(OFFSET(Q$260:Q$261,,,,-4),IF(Q$6&gt;3,0,-SUM(OFFSET(Предпосылки!$F$578:$F$579,,,,Q$6-4)))),"-")</f>
        <v>-</v>
      </c>
      <c s="141" t="str">
        <f ca="1">IFERROR(R$256/SUM(OFFSET(R$260:R$261,,,,-4),IF(R$6&gt;3,0,-SUM(OFFSET(Предпосылки!$F$578:$F$579,,,,R$6-4)))),"-")</f>
        <v>-</v>
      </c>
      <c s="141" t="str">
        <f ca="1">IFERROR(S$256/SUM(OFFSET(S$260:S$261,,,,-4),IF(S$6&gt;3,0,-SUM(OFFSET(Предпосылки!$F$578:$F$579,,,,S$6-4)))),"-")</f>
        <v>-</v>
      </c>
      <c s="141" t="str">
        <f ca="1">IFERROR(T$256/SUM(OFFSET(T$260:T$261,,,,-4),IF(T$6&gt;3,0,-SUM(OFFSET(Предпосылки!$F$578:$F$579,,,,T$6-4)))),"-")</f>
        <v>-</v>
      </c>
      <c s="141" t="str">
        <f ca="1">IFERROR(U$256/SUM(OFFSET(U$260:U$261,,,,-4),IF(U$6&gt;3,0,-SUM(OFFSET(Предпосылки!$F$578:$F$579,,,,U$6-4)))),"-")</f>
        <v>-</v>
      </c>
      <c s="141" t="str">
        <f ca="1">IFERROR(V$256/SUM(OFFSET(V$260:V$261,,,,-4),IF(V$6&gt;3,0,-SUM(OFFSET(Предпосылки!$F$578:$F$579,,,,V$6-4)))),"-")</f>
        <v>-</v>
      </c>
      <c s="141" t="str">
        <f ca="1">IFERROR(W$256/SUM(OFFSET(W$260:W$261,,,,-4),IF(W$6&gt;3,0,-SUM(OFFSET(Предпосылки!$F$578:$F$579,,,,W$6-4)))),"-")</f>
        <v>-</v>
      </c>
      <c s="141" t="str">
        <f ca="1">IFERROR(X$256/SUM(OFFSET(X$260:X$261,,,,-4),IF(X$6&gt;3,0,-SUM(OFFSET(Предпосылки!$F$578:$F$579,,,,X$6-4)))),"-")</f>
        <v>-</v>
      </c>
      <c s="141" t="str">
        <f ca="1">IFERROR(Y$256/SUM(OFFSET(Y$260:Y$261,,,,-4),IF(Y$6&gt;3,0,-SUM(OFFSET(Предпосылки!$F$578:$F$579,,,,Y$6-4)))),"-")</f>
        <v>-</v>
      </c>
      <c s="141" t="str">
        <f ca="1">IFERROR(Z$256/SUM(OFFSET(Z$260:Z$261,,,,-4),IF(Z$6&gt;3,0,-SUM(OFFSET(Предпосылки!$F$578:$F$579,,,,Z$6-4)))),"-")</f>
        <v>-</v>
      </c>
      <c s="141" t="str">
        <f ca="1">IFERROR(AA$256/SUM(OFFSET(AA$260:AA$261,,,,-4),IF(AA$6&gt;3,0,-SUM(OFFSET(Предпосылки!$F$578:$F$579,,,,AA$6-4)))),"-")</f>
        <v>-</v>
      </c>
      <c s="141" t="str">
        <f ca="1">IFERROR(AB$256/SUM(OFFSET(AB$260:AB$261,,,,-4),IF(AB$6&gt;3,0,-SUM(OFFSET(Предпосылки!$F$578:$F$579,,,,AB$6-4)))),"-")</f>
        <v>-</v>
      </c>
      <c s="141" t="str">
        <f ca="1">IFERROR(AC$256/SUM(OFFSET(AC$260:AC$261,,,,-4),IF(AC$6&gt;3,0,-SUM(OFFSET(Предпосылки!$F$578:$F$579,,,,AC$6-4)))),"-")</f>
        <v>-</v>
      </c>
      <c s="141" t="str">
        <f ca="1">IFERROR(AD$256/SUM(OFFSET(AD$260:AD$261,,,,-4),IF(AD$6&gt;3,0,-SUM(OFFSET(Предпосылки!$F$578:$F$579,,,,AD$6-4)))),"-")</f>
        <v>-</v>
      </c>
      <c s="141" t="str">
        <f ca="1">IFERROR(AE$256/SUM(OFFSET(AE$260:AE$261,,,,-4),IF(AE$6&gt;3,0,-SUM(OFFSET(Предпосылки!$F$578:$F$579,,,,AE$6-4)))),"-")</f>
        <v>-</v>
      </c>
      <c s="141" t="str">
        <f ca="1">IFERROR(AF$256/SUM(OFFSET(AF$260:AF$261,,,,-4),IF(AF$6&gt;3,0,-SUM(OFFSET(Предпосылки!$F$578:$F$579,,,,AF$6-4)))),"-")</f>
        <v>-</v>
      </c>
      <c s="141" t="str">
        <f ca="1">IFERROR(AG$256/SUM(OFFSET(AG$260:AG$261,,,,-4),IF(AG$6&gt;3,0,-SUM(OFFSET(Предпосылки!$F$578:$F$579,,,,AG$6-4)))),"-")</f>
        <v>-</v>
      </c>
      <c s="141" t="str">
        <f ca="1">IFERROR(AH$256/SUM(OFFSET(AH$260:AH$261,,,,-4),IF(AH$6&gt;3,0,-SUM(OFFSET(Предпосылки!$F$578:$F$579,,,,AH$6-4)))),"-")</f>
        <v>-</v>
      </c>
      <c s="141" t="str">
        <f ca="1">IFERROR(AI$256/SUM(OFFSET(AI$260:AI$261,,,,-4),IF(AI$6&gt;3,0,-SUM(OFFSET(Предпосылки!$F$578:$F$579,,,,AI$6-4)))),"-")</f>
        <v>-</v>
      </c>
      <c s="141" t="str">
        <f ca="1">IFERROR(AJ$256/SUM(OFFSET(AJ$260:AJ$261,,,,-4),IF(AJ$6&gt;3,0,-SUM(OFFSET(Предпосылки!$F$578:$F$579,,,,AJ$6-4)))),"-")</f>
        <v>-</v>
      </c>
      <c s="141" t="str">
        <f ca="1">IFERROR(AK$256/SUM(OFFSET(AK$260:AK$261,,,,-4),IF(AK$6&gt;3,0,-SUM(OFFSET(Предпосылки!$F$578:$F$579,,,,AK$6-4)))),"-")</f>
        <v>-</v>
      </c>
      <c s="141" t="str">
        <f ca="1">IFERROR(AL$256/SUM(OFFSET(AL$260:AL$261,,,,-4),IF(AL$6&gt;3,0,-SUM(OFFSET(Предпосылки!$F$578:$F$579,,,,AL$6-4)))),"-")</f>
        <v>-</v>
      </c>
      <c s="141" t="str">
        <f ca="1">IFERROR(AM$256/SUM(OFFSET(AM$260:AM$261,,,,-4),IF(AM$6&gt;3,0,-SUM(OFFSET(Предпосылки!$F$578:$F$579,,,,AM$6-4)))),"-")</f>
        <v>-</v>
      </c>
      <c s="141" t="str">
        <f ca="1">IFERROR(AN$256/SUM(OFFSET(AN$260:AN$261,,,,-4),IF(AN$6&gt;3,0,-SUM(OFFSET(Предпосылки!$F$578:$F$579,,,,AN$6-4)))),"-")</f>
        <v>-</v>
      </c>
      <c s="141" t="str">
        <f ca="1">IFERROR(AO$256/SUM(OFFSET(AO$260:AO$261,,,,-4),IF(AO$6&gt;3,0,-SUM(OFFSET(Предпосылки!$F$578:$F$579,,,,AO$6-4)))),"-")</f>
        <v>-</v>
      </c>
      <c s="141" t="str">
        <f ca="1">IFERROR(AP$256/SUM(OFFSET(AP$260:AP$261,,,,-4),IF(AP$6&gt;3,0,-SUM(OFFSET(Предпосылки!$F$578:$F$579,,,,AP$6-4)))),"-")</f>
        <v>-</v>
      </c>
      <c s="141" t="str">
        <f ca="1">IFERROR(AQ$256/SUM(OFFSET(AQ$260:AQ$261,,,,-4),IF(AQ$6&gt;3,0,-SUM(OFFSET(Предпосылки!$F$578:$F$579,,,,AQ$6-4)))),"-")</f>
        <v>-</v>
      </c>
      <c s="141" t="str">
        <f ca="1">IFERROR(AR$256/SUM(OFFSET(AR$260:AR$261,,,,-4),IF(AR$6&gt;3,0,-SUM(OFFSET(Предпосылки!$F$578:$F$579,,,,AR$6-4)))),"-")</f>
        <v>-</v>
      </c>
      <c s="141" t="str">
        <f ca="1">IFERROR(AS$256/SUM(OFFSET(AS$260:AS$261,,,,-4),IF(AS$6&gt;3,0,-SUM(OFFSET(Предпосылки!$F$578:$F$579,,,,AS$6-4)))),"-")</f>
        <v>-</v>
      </c>
      <c s="141" t="str">
        <f ca="1">IFERROR(AT$256/SUM(OFFSET(AT$260:AT$261,,,,-4),IF(AT$6&gt;3,0,-SUM(OFFSET(Предпосылки!$F$578:$F$579,,,,AT$6-4)))),"-")</f>
        <v>-</v>
      </c>
      <c s="141" t="str">
        <f ca="1">IFERROR(AU$256/SUM(OFFSET(AU$260:AU$261,,,,-4),IF(AU$6&gt;3,0,-SUM(OFFSET(Предпосылки!$F$578:$F$579,,,,AU$6-4)))),"-")</f>
        <v>-</v>
      </c>
      <c s="141" t="str">
        <f ca="1">IFERROR(AV$256/SUM(OFFSET(AV$260:AV$261,,,,-4),IF(AV$6&gt;3,0,-SUM(OFFSET(Предпосылки!$F$578:$F$579,,,,AV$6-4)))),"-")</f>
        <v>-</v>
      </c>
      <c s="141" t="str">
        <f ca="1">IFERROR(AW$256/SUM(OFFSET(AW$260:AW$261,,,,-4),IF(AW$6&gt;3,0,-SUM(OFFSET(Предпосылки!$F$578:$F$579,,,,AW$6-4)))),"-")</f>
        <v>-</v>
      </c>
      <c s="141" t="str">
        <f ca="1">IFERROR(AX$256/SUM(OFFSET(AX$260:AX$261,,,,-4),IF(AX$6&gt;3,0,-SUM(OFFSET(Предпосылки!$F$578:$F$579,,,,AX$6-4)))),"-")</f>
        <v>-</v>
      </c>
      <c s="141" t="str">
        <f ca="1">IFERROR(AY$256/SUM(OFFSET(AY$260:AY$261,,,,-4),IF(AY$6&gt;3,0,-SUM(OFFSET(Предпосылки!$F$578:$F$579,,,,AY$6-4)))),"-")</f>
        <v>-</v>
      </c>
      <c s="141" t="str">
        <f ca="1">IFERROR(AZ$256/SUM(OFFSET(AZ$260:AZ$261,,,,-4),IF(AZ$6&gt;3,0,-SUM(OFFSET(Предпосылки!$F$578:$F$579,,,,AZ$6-4)))),"-")</f>
        <v>-</v>
      </c>
      <c s="141" t="str">
        <f ca="1">IFERROR(BA$256/SUM(OFFSET(BA$260:BA$261,,,,-4),IF(BA$6&gt;3,0,-SUM(OFFSET(Предпосылки!$F$578:$F$579,,,,BA$6-4)))),"-")</f>
        <v>-</v>
      </c>
      <c s="141" t="str">
        <f ca="1">IFERROR(BB$256/SUM(OFFSET(BB$260:BB$261,,,,-4),IF(BB$6&gt;3,0,-SUM(OFFSET(Предпосылки!$F$578:$F$579,,,,BB$6-4)))),"-")</f>
        <v>-</v>
      </c>
      <c s="141" t="str">
        <f ca="1">IFERROR(BC$256/SUM(OFFSET(BC$260:BC$261,,,,-4),IF(BC$6&gt;3,0,-SUM(OFFSET(Предпосылки!$F$578:$F$579,,,,BC$6-4)))),"-")</f>
        <v>-</v>
      </c>
      <c s="141" t="str">
        <f ca="1">IFERROR(BD$256/SUM(OFFSET(BD$260:BD$261,,,,-4),IF(BD$6&gt;3,0,-SUM(OFFSET(Предпосылки!$F$578:$F$579,,,,BD$6-4)))),"-")</f>
        <v>-</v>
      </c>
      <c s="141" t="str">
        <f ca="1">IFERROR(BE$256/SUM(OFFSET(BE$260:BE$261,,,,-4),IF(BE$6&gt;3,0,-SUM(OFFSET(Предпосылки!$F$578:$F$579,,,,BE$6-4)))),"-")</f>
        <v>-</v>
      </c>
      <c s="141" t="str">
        <f ca="1">IFERROR(BF$256/SUM(OFFSET(BF$260:BF$261,,,,-4),IF(BF$6&gt;3,0,-SUM(OFFSET(Предпосылки!$F$578:$F$579,,,,BF$6-4)))),"-")</f>
        <v>-</v>
      </c>
      <c s="141" t="str">
        <f ca="1">IFERROR(BG$256/SUM(OFFSET(BG$260:BG$261,,,,-4),IF(BG$6&gt;3,0,-SUM(OFFSET(Предпосылки!$F$578:$F$579,,,,BG$6-4)))),"-")</f>
        <v>-</v>
      </c>
      <c s="141" t="str">
        <f ca="1">IFERROR(BH$256/SUM(OFFSET(BH$260:BH$261,,,,-4),IF(BH$6&gt;3,0,-SUM(OFFSET(Предпосылки!$F$578:$F$579,,,,BH$6-4)))),"-")</f>
        <v>-</v>
      </c>
      <c s="141" t="str">
        <f ca="1">IFERROR(BI$256/SUM(OFFSET(BI$260:BI$261,,,,-4),IF(BI$6&gt;3,0,-SUM(OFFSET(Предпосылки!$F$578:$F$579,,,,BI$6-4)))),"-")</f>
        <v>-</v>
      </c>
      <c s="141" t="str">
        <f ca="1">IFERROR(BJ$256/SUM(OFFSET(BJ$260:BJ$261,,,,-4),IF(BJ$6&gt;3,0,-SUM(OFFSET(Предпосылки!$F$578:$F$579,,,,BJ$6-4)))),"-")</f>
        <v>-</v>
      </c>
      <c s="141" t="str">
        <f ca="1">IFERROR(BK$256/SUM(OFFSET(BK$260:BK$261,,,,-4),IF(BK$6&gt;3,0,-SUM(OFFSET(Предпосылки!$F$578:$F$579,,,,BK$6-4)))),"-")</f>
        <v>-</v>
      </c>
      <c s="141" t="str">
        <f ca="1">IFERROR(BL$256/SUM(OFFSET(BL$260:BL$261,,,,-4),IF(BL$6&gt;3,0,-SUM(OFFSET(Предпосылки!$F$578:$F$579,,,,BL$6-4)))),"-")</f>
        <v>-</v>
      </c>
      <c s="141" t="str">
        <f ca="1">IFERROR(BM$256/SUM(OFFSET(BM$260:BM$261,,,,-4),IF(BM$6&gt;3,0,-SUM(OFFSET(Предпосылки!$F$578:$F$579,,,,BM$6-4)))),"-")</f>
        <v>-</v>
      </c>
    </row>
    <row r="264" spans="2:65" ht="15" customHeight="1">
      <c r="B264" s="139" t="s">
        <v>1122</v>
      </c>
      <c s="124" t="s">
        <v>1117</v>
      </c>
      <c s="140"/>
      <c s="141" t="str">
        <f ca="1">IFERROR(SUM($E$259:E$259)/SUM($E$260:E$260,$E$261:E$261),"-")</f>
        <v>-</v>
      </c>
      <c s="141" t="str">
        <f ca="1">IFERROR(SUM($E$259:F$259)/SUM($E$260:F$260,$E$261:F$261),"-")</f>
        <v>-</v>
      </c>
      <c s="141" t="str">
        <f ca="1">IFERROR(SUM($E$259:G$259)/SUM($E$260:G$260,$E$261:G$261),"-")</f>
        <v>-</v>
      </c>
      <c s="141" t="str">
        <f ca="1">IFERROR(SUM($E$259:H$259)/SUM($E$260:H$260,$E$261:H$261),"-")</f>
        <v>-</v>
      </c>
      <c s="141" t="str">
        <f ca="1">IFERROR(SUM($E$259:I$259)/SUM($E$260:I$260,$E$261:I$261),"-")</f>
        <v>-</v>
      </c>
      <c s="141" t="str">
        <f ca="1">IFERROR(SUM($E$259:J$259)/SUM($E$260:J$260,$E$261:J$261),"-")</f>
        <v>-</v>
      </c>
      <c s="141" t="str">
        <f ca="1">IFERROR(SUM($E$259:K$259)/SUM($E$260:K$260,$E$261:K$261),"-")</f>
        <v>-</v>
      </c>
      <c s="141" t="str">
        <f ca="1">IFERROR(SUM($E$259:L$259)/SUM($E$260:L$260,$E$261:L$261),"-")</f>
        <v>-</v>
      </c>
      <c s="141" t="str">
        <f ca="1">IFERROR(SUM($E$259:M$259)/SUM($E$260:M$260,$E$261:M$261),"-")</f>
        <v>-</v>
      </c>
      <c s="141" t="str">
        <f ca="1">IFERROR(SUM($E$259:N$259)/SUM($E$260:N$260,$E$261:N$261),"-")</f>
        <v>-</v>
      </c>
      <c s="141" t="str">
        <f ca="1">IFERROR(SUM($E$259:O$259)/SUM($E$260:O$260,$E$261:O$261),"-")</f>
        <v>-</v>
      </c>
      <c s="141" t="str">
        <f ca="1">IFERROR(SUM($E$259:P$259)/SUM($E$260:P$260,$E$261:P$261),"-")</f>
        <v>-</v>
      </c>
      <c s="141" t="str">
        <f ca="1">IFERROR(SUM($E$259:Q$259)/SUM($E$260:Q$260,$E$261:Q$261),"-")</f>
        <v>-</v>
      </c>
      <c s="141" t="str">
        <f ca="1">IFERROR(SUM($E$259:R$259)/SUM($E$260:R$260,$E$261:R$261),"-")</f>
        <v>-</v>
      </c>
      <c s="141" t="str">
        <f ca="1">IFERROR(SUM($E$259:S$259)/SUM($E$260:S$260,$E$261:S$261),"-")</f>
        <v>-</v>
      </c>
      <c s="141" t="str">
        <f ca="1">IFERROR(SUM($E$259:T$259)/SUM($E$260:T$260,$E$261:T$261),"-")</f>
        <v>-</v>
      </c>
      <c s="141" t="str">
        <f ca="1">IFERROR(SUM($E$259:U$259)/SUM($E$260:U$260,$E$261:U$261),"-")</f>
        <v>-</v>
      </c>
      <c s="141" t="str">
        <f ca="1">IFERROR(SUM($E$259:V$259)/SUM($E$260:V$260,$E$261:V$261),"-")</f>
        <v>-</v>
      </c>
      <c s="141" t="str">
        <f ca="1">IFERROR(SUM($E$259:W$259)/SUM($E$260:W$260,$E$261:W$261),"-")</f>
        <v>-</v>
      </c>
      <c s="141" t="str">
        <f ca="1">IFERROR(SUM($E$259:X$259)/SUM($E$260:X$260,$E$261:X$261),"-")</f>
        <v>-</v>
      </c>
      <c s="141" t="str">
        <f ca="1">IFERROR(SUM($E$259:Y$259)/SUM($E$260:Y$260,$E$261:Y$261),"-")</f>
        <v>-</v>
      </c>
      <c s="141" t="str">
        <f ca="1">IFERROR(SUM($E$259:Z$259)/SUM($E$260:Z$260,$E$261:Z$261),"-")</f>
        <v>-</v>
      </c>
      <c s="141" t="str">
        <f ca="1">IFERROR(SUM($E$259:AA$259)/SUM($E$260:AA$260,$E$261:AA$261),"-")</f>
        <v>-</v>
      </c>
      <c s="141" t="str">
        <f ca="1">IFERROR(SUM($E$259:AB$259)/SUM($E$260:AB$260,$E$261:AB$261),"-")</f>
        <v>-</v>
      </c>
      <c s="141" t="str">
        <f ca="1">IFERROR(SUM($E$259:AC$259)/SUM($E$260:AC$260,$E$261:AC$261),"-")</f>
        <v>-</v>
      </c>
      <c s="141" t="str">
        <f ca="1">IFERROR(SUM($E$259:AD$259)/SUM($E$260:AD$260,$E$261:AD$261),"-")</f>
        <v>-</v>
      </c>
      <c s="141" t="str">
        <f ca="1">IFERROR(SUM($E$259:AE$259)/SUM($E$260:AE$260,$E$261:AE$261),"-")</f>
        <v>-</v>
      </c>
      <c s="141" t="str">
        <f ca="1">IFERROR(SUM($E$259:AF$259)/SUM($E$260:AF$260,$E$261:AF$261),"-")</f>
        <v>-</v>
      </c>
      <c s="141" t="str">
        <f ca="1">IFERROR(SUM($E$259:AG$259)/SUM($E$260:AG$260,$E$261:AG$261),"-")</f>
        <v>-</v>
      </c>
      <c s="141" t="str">
        <f ca="1">IFERROR(SUM($E$259:AH$259)/SUM($E$260:AH$260,$E$261:AH$261),"-")</f>
        <v>-</v>
      </c>
      <c s="141" t="str">
        <f ca="1">IFERROR(SUM($E$259:AI$259)/SUM($E$260:AI$260,$E$261:AI$261),"-")</f>
        <v>-</v>
      </c>
      <c s="141" t="str">
        <f ca="1">IFERROR(SUM($E$259:AJ$259)/SUM($E$260:AJ$260,$E$261:AJ$261),"-")</f>
        <v>-</v>
      </c>
      <c s="141" t="str">
        <f ca="1">IFERROR(SUM($E$259:AK$259)/SUM($E$260:AK$260,$E$261:AK$261),"-")</f>
        <v>-</v>
      </c>
      <c s="141" t="str">
        <f ca="1">IFERROR(SUM($E$259:AL$259)/SUM($E$260:AL$260,$E$261:AL$261),"-")</f>
        <v>-</v>
      </c>
      <c s="141" t="str">
        <f ca="1">IFERROR(SUM($E$259:AM$259)/SUM($E$260:AM$260,$E$261:AM$261),"-")</f>
        <v>-</v>
      </c>
      <c s="141" t="str">
        <f ca="1">IFERROR(SUM($E$259:AN$259)/SUM($E$260:AN$260,$E$261:AN$261),"-")</f>
        <v>-</v>
      </c>
      <c s="141" t="str">
        <f ca="1">IFERROR(SUM($E$259:AO$259)/SUM($E$260:AO$260,$E$261:AO$261),"-")</f>
        <v>-</v>
      </c>
      <c s="141" t="str">
        <f ca="1">IFERROR(SUM($E$259:AP$259)/SUM($E$260:AP$260,$E$261:AP$261),"-")</f>
        <v>-</v>
      </c>
      <c s="141" t="str">
        <f ca="1">IFERROR(SUM($E$259:AQ$259)/SUM($E$260:AQ$260,$E$261:AQ$261),"-")</f>
        <v>-</v>
      </c>
      <c s="141" t="str">
        <f ca="1">IFERROR(SUM($E$259:AR$259)/SUM($E$260:AR$260,$E$261:AR$261),"-")</f>
        <v>-</v>
      </c>
      <c s="141" t="str">
        <f ca="1">IFERROR(SUM($E$259:AS$259)/SUM($E$260:AS$260,$E$261:AS$261),"-")</f>
        <v>-</v>
      </c>
      <c s="141" t="str">
        <f ca="1">IFERROR(SUM($E$259:AT$259)/SUM($E$260:AT$260,$E$261:AT$261),"-")</f>
        <v>-</v>
      </c>
      <c s="141" t="str">
        <f ca="1">IFERROR(SUM($E$259:AU$259)/SUM($E$260:AU$260,$E$261:AU$261),"-")</f>
        <v>-</v>
      </c>
      <c s="141" t="str">
        <f ca="1">IFERROR(SUM($E$259:AV$259)/SUM($E$260:AV$260,$E$261:AV$261),"-")</f>
        <v>-</v>
      </c>
      <c s="141" t="str">
        <f ca="1">IFERROR(SUM($E$259:AW$259)/SUM($E$260:AW$260,$E$261:AW$261),"-")</f>
        <v>-</v>
      </c>
      <c s="141" t="str">
        <f ca="1">IFERROR(SUM($E$259:AX$259)/SUM($E$260:AX$260,$E$261:AX$261),"-")</f>
        <v>-</v>
      </c>
      <c s="141" t="str">
        <f ca="1">IFERROR(SUM($E$259:AY$259)/SUM($E$260:AY$260,$E$261:AY$261),"-")</f>
        <v>-</v>
      </c>
      <c s="141" t="str">
        <f ca="1">IFERROR(SUM($E$259:AZ$259)/SUM($E$260:AZ$260,$E$261:AZ$261),"-")</f>
        <v>-</v>
      </c>
      <c s="141" t="str">
        <f ca="1">IFERROR(SUM($E$259:BA$259)/SUM($E$260:BA$260,$E$261:BA$261),"-")</f>
        <v>-</v>
      </c>
      <c s="141" t="str">
        <f ca="1">IFERROR(SUM($E$259:BB$259)/SUM($E$260:BB$260,$E$261:BB$261),"-")</f>
        <v>-</v>
      </c>
      <c s="141" t="str">
        <f ca="1">IFERROR(SUM($E$259:BC$259)/SUM($E$260:BC$260,$E$261:BC$261),"-")</f>
        <v>-</v>
      </c>
      <c s="141" t="str">
        <f ca="1">IFERROR(SUM($E$259:BD$259)/SUM($E$260:BD$260,$E$261:BD$261),"-")</f>
        <v>-</v>
      </c>
      <c s="141" t="str">
        <f ca="1">IFERROR(SUM($E$259:BE$259)/SUM($E$260:BE$260,$E$261:BE$261),"-")</f>
        <v>-</v>
      </c>
      <c s="141" t="str">
        <f ca="1">IFERROR(SUM($E$259:BF$259)/SUM($E$260:BF$260,$E$261:BF$261),"-")</f>
        <v>-</v>
      </c>
      <c s="141" t="str">
        <f ca="1">IFERROR(SUM($E$259:BG$259)/SUM($E$260:BG$260,$E$261:BG$261),"-")</f>
        <v>-</v>
      </c>
      <c s="141" t="str">
        <f ca="1">IFERROR(SUM($E$259:BH$259)/SUM($E$260:BH$260,$E$261:BH$261),"-")</f>
        <v>-</v>
      </c>
      <c s="141" t="str">
        <f ca="1">IFERROR(SUM($E$259:BI$259)/SUM($E$260:BI$260,$E$261:BI$261),"-")</f>
        <v>-</v>
      </c>
      <c s="141" t="str">
        <f ca="1">IFERROR(SUM($E$259:BJ$259)/SUM($E$260:BJ$260,$E$261:BJ$261),"-")</f>
        <v>-</v>
      </c>
      <c s="141" t="str">
        <f ca="1">IFERROR(SUM($E$259:BK$259)/SUM($E$260:BK$260,$E$261:BK$261),"-")</f>
        <v>-</v>
      </c>
      <c s="141" t="str">
        <f ca="1">IFERROR(SUM($E$259:BL$259)/SUM($E$260:BL$260,$E$261:BL$261),"-")</f>
        <v>-</v>
      </c>
      <c s="141" t="str">
        <f ca="1">IFERROR(SUM($E$259:BM$259)/SUM($E$260:BM$260,$E$261:BM$261),"-")</f>
        <v>-</v>
      </c>
    </row>
    <row r="265" spans="2:65" ht="18.75" customHeight="1">
      <c r="B265" s="139" t="s">
        <v>1145</v>
      </c>
      <c s="124" t="s">
        <v>1117</v>
      </c>
      <c s="377"/>
      <c s="378" t="str">
        <f ca="1">IFERROR(SUM($E$259:E$259,'Квартальная отчетность'!$E$200)/SUM($E$260:E$260,$E$261:E$261),"-")</f>
        <v>-</v>
      </c>
      <c s="378" t="str">
        <f ca="1">IFERROR(SUM($E$259:F$259,'Квартальная отчетность'!$E$200)/SUM($E$260:F$260,$E$261:F$261),"-")</f>
        <v>-</v>
      </c>
      <c s="378" t="str">
        <f ca="1">IFERROR(SUM($E$259:G$259,'Квартальная отчетность'!$E$200)/SUM($E$260:G$260,$E$261:G$261),"-")</f>
        <v>-</v>
      </c>
      <c s="378" t="str">
        <f ca="1">IFERROR(SUM($E$259:H$259,'Квартальная отчетность'!$E$200)/SUM($E$260:H$260,$E$261:H$261),"-")</f>
        <v>-</v>
      </c>
      <c s="378" t="str">
        <f ca="1">IFERROR(SUM($E$259:I$259,'Квартальная отчетность'!$E$200)/SUM($E$260:I$260,$E$261:I$261),"-")</f>
        <v>-</v>
      </c>
      <c s="378" t="str">
        <f ca="1">IFERROR(SUM($E$259:J$259,'Квартальная отчетность'!$E$200)/SUM($E$260:J$260,$E$261:J$261),"-")</f>
        <v>-</v>
      </c>
      <c s="378" t="str">
        <f ca="1">IFERROR(SUM($E$259:K$259,'Квартальная отчетность'!$E$200)/SUM($E$260:K$260,$E$261:K$261),"-")</f>
        <v>-</v>
      </c>
      <c s="378" t="str">
        <f ca="1">IFERROR(SUM($E$259:L$259,'Квартальная отчетность'!$E$200)/SUM($E$260:L$260,$E$261:L$261),"-")</f>
        <v>-</v>
      </c>
      <c s="378" t="str">
        <f ca="1">IFERROR(SUM($E$259:M$259,'Квартальная отчетность'!$E$200)/SUM($E$260:M$260,$E$261:M$261),"-")</f>
        <v>-</v>
      </c>
      <c s="378" t="str">
        <f ca="1">IFERROR(SUM($E$259:N$259,'Квартальная отчетность'!$E$200)/SUM($E$260:N$260,$E$261:N$261),"-")</f>
        <v>-</v>
      </c>
      <c s="378" t="str">
        <f ca="1">IFERROR(SUM($E$259:O$259,'Квартальная отчетность'!$E$200)/SUM($E$260:O$260,$E$261:O$261),"-")</f>
        <v>-</v>
      </c>
      <c s="378" t="str">
        <f ca="1">IFERROR(SUM($E$259:P$259,'Квартальная отчетность'!$E$200)/SUM($E$260:P$260,$E$261:P$261),"-")</f>
        <v>-</v>
      </c>
      <c s="378" t="str">
        <f ca="1">IFERROR(SUM($E$259:Q$259,'Квартальная отчетность'!$E$200)/SUM($E$260:Q$260,$E$261:Q$261),"-")</f>
        <v>-</v>
      </c>
      <c s="378" t="str">
        <f ca="1">IFERROR(SUM($E$259:R$259,'Квартальная отчетность'!$E$200)/SUM($E$260:R$260,$E$261:R$261),"-")</f>
        <v>-</v>
      </c>
      <c s="378" t="str">
        <f ca="1">IFERROR(SUM($E$259:S$259,'Квартальная отчетность'!$E$200)/SUM($E$260:S$260,$E$261:S$261),"-")</f>
        <v>-</v>
      </c>
      <c s="378" t="str">
        <f ca="1">IFERROR(SUM($E$259:T$259,'Квартальная отчетность'!$E$200)/SUM($E$260:T$260,$E$261:T$261),"-")</f>
        <v>-</v>
      </c>
      <c s="378" t="str">
        <f ca="1">IFERROR(SUM($E$259:U$259,'Квартальная отчетность'!$E$200)/SUM($E$260:U$260,$E$261:U$261),"-")</f>
        <v>-</v>
      </c>
      <c s="378" t="str">
        <f ca="1">IFERROR(SUM($E$259:V$259,'Квартальная отчетность'!$E$200)/SUM($E$260:V$260,$E$261:V$261),"-")</f>
        <v>-</v>
      </c>
      <c s="378" t="str">
        <f ca="1">IFERROR(SUM($E$259:W$259,'Квартальная отчетность'!$E$200)/SUM($E$260:W$260,$E$261:W$261),"-")</f>
        <v>-</v>
      </c>
      <c s="378" t="str">
        <f ca="1">IFERROR(SUM($E$259:X$259,'Квартальная отчетность'!$E$200)/SUM($E$260:X$260,$E$261:X$261),"-")</f>
        <v>-</v>
      </c>
      <c s="378" t="str">
        <f ca="1">IFERROR(SUM($E$259:Y$259,'Квартальная отчетность'!$E$200)/SUM($E$260:Y$260,$E$261:Y$261),"-")</f>
        <v>-</v>
      </c>
      <c s="378" t="str">
        <f ca="1">IFERROR(SUM($E$259:Z$259,'Квартальная отчетность'!$E$200)/SUM($E$260:Z$260,$E$261:Z$261),"-")</f>
        <v>-</v>
      </c>
      <c s="378" t="str">
        <f ca="1">IFERROR(SUM($E$259:AA$259,'Квартальная отчетность'!$E$200)/SUM($E$260:AA$260,$E$261:AA$261),"-")</f>
        <v>-</v>
      </c>
      <c s="378" t="str">
        <f ca="1">IFERROR(SUM($E$259:AB$259,'Квартальная отчетность'!$E$200)/SUM($E$260:AB$260,$E$261:AB$261),"-")</f>
        <v>-</v>
      </c>
      <c s="378" t="str">
        <f ca="1">IFERROR(SUM($E$259:AC$259,'Квартальная отчетность'!$E$200)/SUM($E$260:AC$260,$E$261:AC$261),"-")</f>
        <v>-</v>
      </c>
      <c s="378" t="str">
        <f ca="1">IFERROR(SUM($E$259:AD$259,'Квартальная отчетность'!$E$200)/SUM($E$260:AD$260,$E$261:AD$261),"-")</f>
        <v>-</v>
      </c>
      <c s="378" t="str">
        <f ca="1">IFERROR(SUM($E$259:AE$259,'Квартальная отчетность'!$E$200)/SUM($E$260:AE$260,$E$261:AE$261),"-")</f>
        <v>-</v>
      </c>
      <c s="378" t="str">
        <f ca="1">IFERROR(SUM($E$259:AF$259,'Квартальная отчетность'!$E$200)/SUM($E$260:AF$260,$E$261:AF$261),"-")</f>
        <v>-</v>
      </c>
      <c s="378" t="str">
        <f ca="1">IFERROR(SUM($E$259:AG$259,'Квартальная отчетность'!$E$200)/SUM($E$260:AG$260,$E$261:AG$261),"-")</f>
        <v>-</v>
      </c>
      <c s="378" t="str">
        <f ca="1">IFERROR(SUM($E$259:AH$259,'Квартальная отчетность'!$E$200)/SUM($E$260:AH$260,$E$261:AH$261),"-")</f>
        <v>-</v>
      </c>
      <c s="378" t="str">
        <f ca="1">IFERROR(SUM($E$259:AI$259,'Квартальная отчетность'!$E$200)/SUM($E$260:AI$260,$E$261:AI$261),"-")</f>
        <v>-</v>
      </c>
      <c s="378" t="str">
        <f ca="1">IFERROR(SUM($E$259:AJ$259,'Квартальная отчетность'!$E$200)/SUM($E$260:AJ$260,$E$261:AJ$261),"-")</f>
        <v>-</v>
      </c>
      <c s="378" t="str">
        <f ca="1">IFERROR(SUM($E$259:AK$259,'Квартальная отчетность'!$E$200)/SUM($E$260:AK$260,$E$261:AK$261),"-")</f>
        <v>-</v>
      </c>
      <c s="378" t="str">
        <f ca="1">IFERROR(SUM($E$259:AL$259,'Квартальная отчетность'!$E$200)/SUM($E$260:AL$260,$E$261:AL$261),"-")</f>
        <v>-</v>
      </c>
      <c s="378" t="str">
        <f ca="1">IFERROR(SUM($E$259:AM$259,'Квартальная отчетность'!$E$200)/SUM($E$260:AM$260,$E$261:AM$261),"-")</f>
        <v>-</v>
      </c>
      <c s="378" t="str">
        <f ca="1">IFERROR(SUM($E$259:AN$259,'Квартальная отчетность'!$E$200)/SUM($E$260:AN$260,$E$261:AN$261),"-")</f>
        <v>-</v>
      </c>
      <c s="378" t="str">
        <f ca="1">IFERROR(SUM($E$259:AO$259,'Квартальная отчетность'!$E$200)/SUM($E$260:AO$260,$E$261:AO$261),"-")</f>
        <v>-</v>
      </c>
      <c s="378" t="str">
        <f ca="1">IFERROR(SUM($E$259:AP$259,'Квартальная отчетность'!$E$200)/SUM($E$260:AP$260,$E$261:AP$261),"-")</f>
        <v>-</v>
      </c>
      <c s="378" t="str">
        <f ca="1">IFERROR(SUM($E$259:AQ$259,'Квартальная отчетность'!$E$200)/SUM($E$260:AQ$260,$E$261:AQ$261),"-")</f>
        <v>-</v>
      </c>
      <c s="378" t="str">
        <f ca="1">IFERROR(SUM($E$259:AR$259,'Квартальная отчетность'!$E$200)/SUM($E$260:AR$260,$E$261:AR$261),"-")</f>
        <v>-</v>
      </c>
      <c s="378" t="str">
        <f ca="1">IFERROR(SUM($E$259:AS$259,'Квартальная отчетность'!$E$200)/SUM($E$260:AS$260,$E$261:AS$261),"-")</f>
        <v>-</v>
      </c>
      <c s="378" t="str">
        <f ca="1">IFERROR(SUM($E$259:AT$259,'Квартальная отчетность'!$E$200)/SUM($E$260:AT$260,$E$261:AT$261),"-")</f>
        <v>-</v>
      </c>
      <c s="378" t="str">
        <f ca="1">IFERROR(SUM($E$259:AU$259,'Квартальная отчетность'!$E$200)/SUM($E$260:AU$260,$E$261:AU$261),"-")</f>
        <v>-</v>
      </c>
      <c s="378" t="str">
        <f ca="1">IFERROR(SUM($E$259:AV$259,'Квартальная отчетность'!$E$200)/SUM($E$260:AV$260,$E$261:AV$261),"-")</f>
        <v>-</v>
      </c>
      <c s="378" t="str">
        <f ca="1">IFERROR(SUM($E$259:AW$259,'Квартальная отчетность'!$E$200)/SUM($E$260:AW$260,$E$261:AW$261),"-")</f>
        <v>-</v>
      </c>
      <c s="378" t="str">
        <f ca="1">IFERROR(SUM($E$259:AX$259,'Квартальная отчетность'!$E$200)/SUM($E$260:AX$260,$E$261:AX$261),"-")</f>
        <v>-</v>
      </c>
      <c s="378" t="str">
        <f ca="1">IFERROR(SUM($E$259:AY$259,'Квартальная отчетность'!$E$200)/SUM($E$260:AY$260,$E$261:AY$261),"-")</f>
        <v>-</v>
      </c>
      <c s="378" t="str">
        <f ca="1">IFERROR(SUM($E$259:AZ$259,'Квартальная отчетность'!$E$200)/SUM($E$260:AZ$260,$E$261:AZ$261),"-")</f>
        <v>-</v>
      </c>
      <c s="378" t="str">
        <f ca="1">IFERROR(SUM($E$259:BA$259,'Квартальная отчетность'!$E$200)/SUM($E$260:BA$260,$E$261:BA$261),"-")</f>
        <v>-</v>
      </c>
      <c s="378" t="str">
        <f ca="1">IFERROR(SUM($E$259:BB$259,'Квартальная отчетность'!$E$200)/SUM($E$260:BB$260,$E$261:BB$261),"-")</f>
        <v>-</v>
      </c>
      <c s="378" t="str">
        <f ca="1">IFERROR(SUM($E$259:BC$259,'Квартальная отчетность'!$E$200)/SUM($E$260:BC$260,$E$261:BC$261),"-")</f>
        <v>-</v>
      </c>
      <c s="378" t="str">
        <f ca="1">IFERROR(SUM($E$259:BD$259,'Квартальная отчетность'!$E$200)/SUM($E$260:BD$260,$E$261:BD$261),"-")</f>
        <v>-</v>
      </c>
      <c s="378" t="str">
        <f ca="1">IFERROR(SUM($E$259:BE$259,'Квартальная отчетность'!$E$200)/SUM($E$260:BE$260,$E$261:BE$261),"-")</f>
        <v>-</v>
      </c>
      <c s="378" t="str">
        <f ca="1">IFERROR(SUM($E$259:BF$259,'Квартальная отчетность'!$E$200)/SUM($E$260:BF$260,$E$261:BF$261),"-")</f>
        <v>-</v>
      </c>
      <c s="378" t="str">
        <f ca="1">IFERROR(SUM($E$259:BG$259,'Квартальная отчетность'!$E$200)/SUM($E$260:BG$260,$E$261:BG$261),"-")</f>
        <v>-</v>
      </c>
      <c s="378" t="str">
        <f ca="1">IFERROR(SUM($E$259:BH$259,'Квартальная отчетность'!$E$200)/SUM($E$260:BH$260,$E$261:BH$261),"-")</f>
        <v>-</v>
      </c>
      <c s="378" t="str">
        <f ca="1">IFERROR(SUM($E$259:BI$259,'Квартальная отчетность'!$E$200)/SUM($E$260:BI$260,$E$261:BI$261),"-")</f>
        <v>-</v>
      </c>
      <c s="378" t="str">
        <f ca="1">IFERROR(SUM($E$259:BJ$259,'Квартальная отчетность'!$E$200)/SUM($E$260:BJ$260,$E$261:BJ$261),"-")</f>
        <v>-</v>
      </c>
      <c s="378" t="str">
        <f ca="1">IFERROR(SUM($E$259:BK$259,'Квартальная отчетность'!$E$200)/SUM($E$260:BK$260,$E$261:BK$261),"-")</f>
        <v>-</v>
      </c>
      <c s="378" t="str">
        <f ca="1">IFERROR(SUM($E$259:BL$259,'Квартальная отчетность'!$E$200)/SUM($E$260:BL$260,$E$261:BL$261),"-")</f>
        <v>-</v>
      </c>
      <c s="378" t="str">
        <f ca="1">IFERROR(SUM($E$259:BM$259,'Квартальная отчетность'!$E$200)/SUM($E$260:BM$260,$E$261:BM$261),"-")</f>
        <v>-</v>
      </c>
    </row>
    <row r="266" ht="15" customHeight="1"/>
    <row r="267" spans="2:2" ht="21">
      <c r="B267" s="23" t="s">
        <v>1146</v>
      </c>
    </row>
    <row r="268" spans="2:2" ht="15" customHeight="1">
      <c r="B268" s="24" t="s">
        <v>576</v>
      </c>
    </row>
    <row r="269" spans="2:65" ht="15" customHeight="1">
      <c r="B269" s="12" t="s">
        <v>1147</v>
      </c>
      <c s="124" t="str">
        <f>Единица_измерения</f>
        <v>тыс. руб.</v>
      </c>
      <c s="125"/>
      <c s="125">
        <f>E$140</f>
        <v>0</v>
      </c>
      <c s="125">
        <f ca="1" t="shared" si="628" ref="F269:BM269">F$140</f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  <c s="125">
        <f t="shared" ca="1" si="628"/>
        <v>0</v>
      </c>
    </row>
    <row r="270" spans="2:65" ht="15" customHeight="1">
      <c r="B270" s="12" t="s">
        <v>1148</v>
      </c>
      <c s="124" t="str">
        <f>Единица_измерения</f>
        <v>тыс. руб.</v>
      </c>
      <c s="125"/>
      <c s="125">
        <f>SUM('Квартальная отчетность'!E130,-'Квартальная отчетность'!E127,-'Квартальная отчетность'!E126)</f>
        <v>0</v>
      </c>
      <c s="125">
        <f>SUM('Квартальная отчетность'!F130,-'Квартальная отчетность'!F127,-'Квартальная отчетность'!F126)</f>
        <v>0</v>
      </c>
      <c s="125">
        <f>SUM('Квартальная отчетность'!G130,-'Квартальная отчетность'!G127,-'Квартальная отчетность'!G126)</f>
        <v>0</v>
      </c>
      <c s="125">
        <f>SUM('Квартальная отчетность'!H130,-'Квартальная отчетность'!H127,-'Квартальная отчетность'!H126)</f>
        <v>0</v>
      </c>
      <c s="125">
        <f>SUM('Квартальная отчетность'!I130,-'Квартальная отчетность'!I127,-'Квартальная отчетность'!I126)</f>
        <v>0</v>
      </c>
      <c s="125">
        <f>SUM('Квартальная отчетность'!J130,-'Квартальная отчетность'!J127,-'Квартальная отчетность'!J126)</f>
        <v>0</v>
      </c>
      <c s="125">
        <f>SUM('Квартальная отчетность'!K130,-'Квартальная отчетность'!K127,-'Квартальная отчетность'!K126)</f>
        <v>0</v>
      </c>
      <c s="125">
        <f>SUM('Квартальная отчетность'!L130,-'Квартальная отчетность'!L127,-'Квартальная отчетность'!L126)</f>
        <v>0</v>
      </c>
      <c s="125">
        <f>SUM('Квартальная отчетность'!M130,-'Квартальная отчетность'!M127,-'Квартальная отчетность'!M126)</f>
        <v>0</v>
      </c>
      <c s="125">
        <f>SUM('Квартальная отчетность'!N130,-'Квартальная отчетность'!N127,-'Квартальная отчетность'!N126)</f>
        <v>0</v>
      </c>
      <c s="125">
        <f>SUM('Квартальная отчетность'!O130,-'Квартальная отчетность'!O127,-'Квартальная отчетность'!O126)</f>
        <v>0</v>
      </c>
      <c s="125">
        <f>SUM('Квартальная отчетность'!P130,-'Квартальная отчетность'!P127,-'Квартальная отчетность'!P126)</f>
        <v>0</v>
      </c>
      <c s="125">
        <f>SUM('Квартальная отчетность'!Q130,-'Квартальная отчетность'!Q127,-'Квартальная отчетность'!Q126)</f>
        <v>0</v>
      </c>
      <c s="125">
        <f>SUM('Квартальная отчетность'!R130,-'Квартальная отчетность'!R127,-'Квартальная отчетность'!R126)</f>
        <v>0</v>
      </c>
      <c s="125">
        <f>SUM('Квартальная отчетность'!S130,-'Квартальная отчетность'!S127,-'Квартальная отчетность'!S126)</f>
        <v>0</v>
      </c>
      <c s="125">
        <f>SUM('Квартальная отчетность'!T130,-'Квартальная отчетность'!T127,-'Квартальная отчетность'!T126)</f>
        <v>0</v>
      </c>
      <c s="125">
        <f>SUM('Квартальная отчетность'!U130,-'Квартальная отчетность'!U127,-'Квартальная отчетность'!U126)</f>
        <v>0</v>
      </c>
      <c s="125">
        <f>SUM('Квартальная отчетность'!V130,-'Квартальная отчетность'!V127,-'Квартальная отчетность'!V126)</f>
        <v>0</v>
      </c>
      <c s="125">
        <f>SUM('Квартальная отчетность'!W130,-'Квартальная отчетность'!W127,-'Квартальная отчетность'!W126)</f>
        <v>0</v>
      </c>
      <c s="125">
        <f>SUM('Квартальная отчетность'!X130,-'Квартальная отчетность'!X127,-'Квартальная отчетность'!X126)</f>
        <v>0</v>
      </c>
      <c s="125">
        <f>SUM('Квартальная отчетность'!Y130,-'Квартальная отчетность'!Y127,-'Квартальная отчетность'!Y126)</f>
        <v>0</v>
      </c>
      <c s="125">
        <f>SUM('Квартальная отчетность'!Z130,-'Квартальная отчетность'!Z127,-'Квартальная отчетность'!Z126)</f>
        <v>0</v>
      </c>
      <c s="125">
        <f>SUM('Квартальная отчетность'!AA130,-'Квартальная отчетность'!AA127,-'Квартальная отчетность'!AA126)</f>
        <v>0</v>
      </c>
      <c s="125">
        <f>SUM('Квартальная отчетность'!AB130,-'Квартальная отчетность'!AB127,-'Квартальная отчетность'!AB126)</f>
        <v>0</v>
      </c>
      <c s="125">
        <f>SUM('Квартальная отчетность'!AC130,-'Квартальная отчетность'!AC127,-'Квартальная отчетность'!AC126)</f>
        <v>0</v>
      </c>
      <c s="125">
        <f>SUM('Квартальная отчетность'!AD130,-'Квартальная отчетность'!AD127,-'Квартальная отчетность'!AD126)</f>
        <v>0</v>
      </c>
      <c s="125">
        <f>SUM('Квартальная отчетность'!AE130,-'Квартальная отчетность'!AE127,-'Квартальная отчетность'!AE126)</f>
        <v>0</v>
      </c>
      <c s="125">
        <f>SUM('Квартальная отчетность'!AF130,-'Квартальная отчетность'!AF127,-'Квартальная отчетность'!AF126)</f>
        <v>0</v>
      </c>
      <c s="125">
        <f>SUM('Квартальная отчетность'!AG130,-'Квартальная отчетность'!AG127,-'Квартальная отчетность'!AG126)</f>
        <v>0</v>
      </c>
      <c s="125">
        <f>SUM('Квартальная отчетность'!AH130,-'Квартальная отчетность'!AH127,-'Квартальная отчетность'!AH126)</f>
        <v>0</v>
      </c>
      <c s="125">
        <f>SUM('Квартальная отчетность'!AI130,-'Квартальная отчетность'!AI127,-'Квартальная отчетность'!AI126)</f>
        <v>0</v>
      </c>
      <c s="125">
        <f>SUM('Квартальная отчетность'!AJ130,-'Квартальная отчетность'!AJ127,-'Квартальная отчетность'!AJ126)</f>
        <v>0</v>
      </c>
      <c s="125">
        <f>SUM('Квартальная отчетность'!AK130,-'Квартальная отчетность'!AK127,-'Квартальная отчетность'!AK126)</f>
        <v>0</v>
      </c>
      <c s="125">
        <f>SUM('Квартальная отчетность'!AL130,-'Квартальная отчетность'!AL127,-'Квартальная отчетность'!AL126)</f>
        <v>0</v>
      </c>
      <c s="125">
        <f>SUM('Квартальная отчетность'!AM130,-'Квартальная отчетность'!AM127,-'Квартальная отчетность'!AM126)</f>
        <v>0</v>
      </c>
      <c s="125">
        <f>SUM('Квартальная отчетность'!AN130,-'Квартальная отчетность'!AN127,-'Квартальная отчетность'!AN126)</f>
        <v>0</v>
      </c>
      <c s="125">
        <f>SUM('Квартальная отчетность'!AO130,-'Квартальная отчетность'!AO127,-'Квартальная отчетность'!AO126)</f>
        <v>0</v>
      </c>
      <c s="125">
        <f>SUM('Квартальная отчетность'!AP130,-'Квартальная отчетность'!AP127,-'Квартальная отчетность'!AP126)</f>
        <v>0</v>
      </c>
      <c s="125">
        <f>SUM('Квартальная отчетность'!AQ130,-'Квартальная отчетность'!AQ127,-'Квартальная отчетность'!AQ126)</f>
        <v>0</v>
      </c>
      <c s="125">
        <f>SUM('Квартальная отчетность'!AR130,-'Квартальная отчетность'!AR127,-'Квартальная отчетность'!AR126)</f>
        <v>0</v>
      </c>
      <c s="125">
        <f>SUM('Квартальная отчетность'!AS130,-'Квартальная отчетность'!AS127,-'Квартальная отчетность'!AS126)</f>
        <v>0</v>
      </c>
      <c s="125">
        <f>SUM('Квартальная отчетность'!AT130,-'Квартальная отчетность'!AT127,-'Квартальная отчетность'!AT126)</f>
        <v>0</v>
      </c>
      <c s="125">
        <f>SUM('Квартальная отчетность'!AU130,-'Квартальная отчетность'!AU127,-'Квартальная отчетность'!AU126)</f>
        <v>0</v>
      </c>
      <c s="125">
        <f>SUM('Квартальная отчетность'!AV130,-'Квартальная отчетность'!AV127,-'Квартальная отчетность'!AV126)</f>
        <v>0</v>
      </c>
      <c s="125">
        <f>SUM('Квартальная отчетность'!AW130,-'Квартальная отчетность'!AW127,-'Квартальная отчетность'!AW126)</f>
        <v>0</v>
      </c>
      <c s="125">
        <f>SUM('Квартальная отчетность'!AX130,-'Квартальная отчетность'!AX127,-'Квартальная отчетность'!AX126)</f>
        <v>0</v>
      </c>
      <c s="125">
        <f>SUM('Квартальная отчетность'!AY130,-'Квартальная отчетность'!AY127,-'Квартальная отчетность'!AY126)</f>
        <v>0</v>
      </c>
      <c s="125">
        <f>SUM('Квартальная отчетность'!AZ130,-'Квартальная отчетность'!AZ127,-'Квартальная отчетность'!AZ126)</f>
        <v>0</v>
      </c>
      <c s="125">
        <f>SUM('Квартальная отчетность'!BA130,-'Квартальная отчетность'!BA127,-'Квартальная отчетность'!BA126)</f>
        <v>0</v>
      </c>
      <c s="125">
        <f>SUM('Квартальная отчетность'!BB130,-'Квартальная отчетность'!BB127,-'Квартальная отчетность'!BB126)</f>
        <v>0</v>
      </c>
      <c s="125">
        <f>SUM('Квартальная отчетность'!BC130,-'Квартальная отчетность'!BC127,-'Квартальная отчетность'!BC126)</f>
        <v>0</v>
      </c>
      <c s="125">
        <f>SUM('Квартальная отчетность'!BD130,-'Квартальная отчетность'!BD127,-'Квартальная отчетность'!BD126)</f>
        <v>0</v>
      </c>
      <c s="125">
        <f>SUM('Квартальная отчетность'!BE130,-'Квартальная отчетность'!BE127,-'Квартальная отчетность'!BE126)</f>
        <v>0</v>
      </c>
      <c s="125">
        <f>SUM('Квартальная отчетность'!BF130,-'Квартальная отчетность'!BF127,-'Квартальная отчетность'!BF126)</f>
        <v>0</v>
      </c>
      <c s="125">
        <f>SUM('Квартальная отчетность'!BG130,-'Квартальная отчетность'!BG127,-'Квартальная отчетность'!BG126)</f>
        <v>0</v>
      </c>
      <c s="125">
        <f>SUM('Квартальная отчетность'!BH130,-'Квартальная отчетность'!BH127,-'Квартальная отчетность'!BH126)</f>
        <v>0</v>
      </c>
      <c s="125">
        <f>SUM('Квартальная отчетность'!BI130,-'Квартальная отчетность'!BI127,-'Квартальная отчетность'!BI126)</f>
        <v>0</v>
      </c>
      <c s="125">
        <f>SUM('Квартальная отчетность'!BJ130,-'Квартальная отчетность'!BJ127,-'Квартальная отчетность'!BJ126)</f>
        <v>0</v>
      </c>
      <c s="125">
        <f>SUM('Квартальная отчетность'!BK130,-'Квартальная отчетность'!BK127,-'Квартальная отчетность'!BK126)</f>
        <v>0</v>
      </c>
      <c s="125">
        <f>SUM('Квартальная отчетность'!BL130,-'Квартальная отчетность'!BL127,-'Квартальная отчетность'!BL126)</f>
        <v>0</v>
      </c>
      <c s="125">
        <f>SUM('Квартальная отчетность'!BM130,-'Квартальная отчетность'!BM127,-'Квартальная отчетность'!BM126)</f>
        <v>0</v>
      </c>
    </row>
    <row r="271" spans="2:65" ht="15" customHeight="1">
      <c r="B271" s="289" t="s">
        <v>576</v>
      </c>
      <c s="290" t="str">
        <f>Единица_измерения</f>
        <v>тыс. руб.</v>
      </c>
      <c s="276"/>
      <c s="276">
        <f t="shared" si="629" ref="E271:AG271">SUM(E269:E270)</f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t="shared" si="629"/>
        <v>0</v>
      </c>
      <c s="276">
        <f ca="1" t="shared" si="630" ref="AH271:BM271">SUM(AH269:AH270)</f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  <c s="276">
        <f t="shared" ca="1" si="630"/>
        <v>0</v>
      </c>
    </row>
    <row r="272" spans="2:65" ht="15" customHeight="1">
      <c r="B272" s="12" t="s">
        <v>1149</v>
      </c>
      <c s="124" t="str">
        <f>Единица_измерения</f>
        <v>тыс. руб.</v>
      </c>
      <c s="125"/>
      <c s="125">
        <f ca="1">SUM(OFFSET(E$271,,,,-4),IF(E$6&gt;3,0,OFFSET(Предпосылки!$F$553,,,,E$6-4)))</f>
        <v>0</v>
      </c>
      <c s="125">
        <f ca="1">SUM(OFFSET(F$271,,,,-4),IF(F$6&gt;3,0,OFFSET(Предпосылки!$F$553,,,,F$6-4)))</f>
        <v>0</v>
      </c>
      <c s="125">
        <f ca="1">SUM(OFFSET(G$271,,,,-4),IF(G$6&gt;3,0,OFFSET(Предпосылки!$F$553,,,,G$6-4)))</f>
        <v>0</v>
      </c>
      <c s="125">
        <f ca="1">SUM(OFFSET(H$271,,,,-4),IF(H$6&gt;3,0,OFFSET(Предпосылки!$F$553,,,,H$6-4)))</f>
        <v>0</v>
      </c>
      <c s="125">
        <f ca="1">SUM(OFFSET(I$271,,,,-4),IF(I$6&gt;3,0,OFFSET(Предпосылки!$F$553,,,,I$6-4)))</f>
        <v>0</v>
      </c>
      <c s="125">
        <f ca="1">SUM(OFFSET(J$271,,,,-4),IF(J$6&gt;3,0,OFFSET(Предпосылки!$F$553,,,,J$6-4)))</f>
        <v>0</v>
      </c>
      <c s="125">
        <f ca="1">SUM(OFFSET(K$271,,,,-4),IF(K$6&gt;3,0,OFFSET(Предпосылки!$F$553,,,,K$6-4)))</f>
        <v>0</v>
      </c>
      <c s="125">
        <f ca="1">SUM(OFFSET(L$271,,,,-4),IF(L$6&gt;3,0,OFFSET(Предпосылки!$F$553,,,,L$6-4)))</f>
        <v>0</v>
      </c>
      <c s="125">
        <f ca="1">SUM(OFFSET(M$271,,,,-4),IF(M$6&gt;3,0,OFFSET(Предпосылки!$F$553,,,,M$6-4)))</f>
        <v>0</v>
      </c>
      <c s="125">
        <f ca="1">SUM(OFFSET(N$271,,,,-4),IF(N$6&gt;3,0,OFFSET(Предпосылки!$F$553,,,,N$6-4)))</f>
        <v>0</v>
      </c>
      <c s="125">
        <f ca="1">SUM(OFFSET(O$271,,,,-4),IF(O$6&gt;3,0,OFFSET(Предпосылки!$F$553,,,,O$6-4)))</f>
        <v>0</v>
      </c>
      <c s="125">
        <f ca="1">SUM(OFFSET(P$271,,,,-4),IF(P$6&gt;3,0,OFFSET(Предпосылки!$F$553,,,,P$6-4)))</f>
        <v>0</v>
      </c>
      <c s="125">
        <f ca="1">SUM(OFFSET(Q$271,,,,-4),IF(Q$6&gt;3,0,OFFSET(Предпосылки!$F$553,,,,Q$6-4)))</f>
        <v>0</v>
      </c>
      <c s="125">
        <f ca="1">SUM(OFFSET(R$271,,,,-4),IF(R$6&gt;3,0,OFFSET(Предпосылки!$F$553,,,,R$6-4)))</f>
        <v>0</v>
      </c>
      <c s="125">
        <f ca="1">SUM(OFFSET(S$271,,,,-4),IF(S$6&gt;3,0,OFFSET(Предпосылки!$F$553,,,,S$6-4)))</f>
        <v>0</v>
      </c>
      <c s="125">
        <f ca="1">SUM(OFFSET(T$271,,,,-4),IF(T$6&gt;3,0,OFFSET(Предпосылки!$F$553,,,,T$6-4)))</f>
        <v>0</v>
      </c>
      <c s="125">
        <f ca="1">SUM(OFFSET(U$271,,,,-4),IF(U$6&gt;3,0,OFFSET(Предпосылки!$F$553,,,,U$6-4)))</f>
        <v>0</v>
      </c>
      <c s="125">
        <f ca="1">SUM(OFFSET(V$271,,,,-4),IF(V$6&gt;3,0,OFFSET(Предпосылки!$F$553,,,,V$6-4)))</f>
        <v>0</v>
      </c>
      <c s="125">
        <f ca="1">SUM(OFFSET(W$271,,,,-4),IF(W$6&gt;3,0,OFFSET(Предпосылки!$F$553,,,,W$6-4)))</f>
        <v>0</v>
      </c>
      <c s="125">
        <f ca="1">SUM(OFFSET(X$271,,,,-4),IF(X$6&gt;3,0,OFFSET(Предпосылки!$F$553,,,,X$6-4)))</f>
        <v>0</v>
      </c>
      <c s="125">
        <f ca="1">SUM(OFFSET(Y$271,,,,-4),IF(Y$6&gt;3,0,OFFSET(Предпосылки!$F$553,,,,Y$6-4)))</f>
        <v>0</v>
      </c>
      <c s="125">
        <f ca="1">SUM(OFFSET(Z$271,,,,-4),IF(Z$6&gt;3,0,OFFSET(Предпосылки!$F$553,,,,Z$6-4)))</f>
        <v>0</v>
      </c>
      <c s="125">
        <f ca="1">SUM(OFFSET(AA$271,,,,-4),IF(AA$6&gt;3,0,OFFSET(Предпосылки!$F$553,,,,AA$6-4)))</f>
        <v>0</v>
      </c>
      <c s="125">
        <f ca="1">SUM(OFFSET(AB$271,,,,-4),IF(AB$6&gt;3,0,OFFSET(Предпосылки!$F$553,,,,AB$6-4)))</f>
        <v>0</v>
      </c>
      <c s="125">
        <f ca="1">SUM(OFFSET(AC$271,,,,-4),IF(AC$6&gt;3,0,OFFSET(Предпосылки!$F$553,,,,AC$6-4)))</f>
        <v>0</v>
      </c>
      <c s="125">
        <f ca="1">SUM(OFFSET(AD$271,,,,-4),IF(AD$6&gt;3,0,OFFSET(Предпосылки!$F$553,,,,AD$6-4)))</f>
        <v>0</v>
      </c>
      <c s="125">
        <f ca="1">SUM(OFFSET(AE$271,,,,-4),IF(AE$6&gt;3,0,OFFSET(Предпосылки!$F$553,,,,AE$6-4)))</f>
        <v>0</v>
      </c>
      <c s="125">
        <f ca="1">SUM(OFFSET(AF$271,,,,-4),IF(AF$6&gt;3,0,OFFSET(Предпосылки!$F$553,,,,AF$6-4)))</f>
        <v>0</v>
      </c>
      <c s="125">
        <f ca="1">SUM(OFFSET(AG$271,,,,-4),IF(AG$6&gt;3,0,OFFSET(Предпосылки!$F$553,,,,AG$6-4)))</f>
        <v>0</v>
      </c>
      <c s="125">
        <f ca="1">SUM(OFFSET(AH$271,,,,-4),IF(AH$6&gt;3,0,OFFSET(Предпосылки!$F$553,,,,AH$6-4)))</f>
        <v>0</v>
      </c>
      <c s="125">
        <f ca="1">SUM(OFFSET(AI$271,,,,-4),IF(AI$6&gt;3,0,OFFSET(Предпосылки!$F$553,,,,AI$6-4)))</f>
        <v>0</v>
      </c>
      <c s="125">
        <f ca="1">SUM(OFFSET(AJ$271,,,,-4),IF(AJ$6&gt;3,0,OFFSET(Предпосылки!$F$553,,,,AJ$6-4)))</f>
        <v>0</v>
      </c>
      <c s="125">
        <f ca="1">SUM(OFFSET(AK$271,,,,-4),IF(AK$6&gt;3,0,OFFSET(Предпосылки!$F$553,,,,AK$6-4)))</f>
        <v>0</v>
      </c>
      <c s="125">
        <f ca="1">SUM(OFFSET(AL$271,,,,-4),IF(AL$6&gt;3,0,OFFSET(Предпосылки!$F$553,,,,AL$6-4)))</f>
        <v>0</v>
      </c>
      <c s="125">
        <f ca="1">SUM(OFFSET(AM$271,,,,-4),IF(AM$6&gt;3,0,OFFSET(Предпосылки!$F$553,,,,AM$6-4)))</f>
        <v>0</v>
      </c>
      <c s="125">
        <f ca="1">SUM(OFFSET(AN$271,,,,-4),IF(AN$6&gt;3,0,OFFSET(Предпосылки!$F$553,,,,AN$6-4)))</f>
        <v>0</v>
      </c>
      <c s="125">
        <f ca="1">SUM(OFFSET(AO$271,,,,-4),IF(AO$6&gt;3,0,OFFSET(Предпосылки!$F$553,,,,AO$6-4)))</f>
        <v>0</v>
      </c>
      <c s="125">
        <f ca="1">SUM(OFFSET(AP$271,,,,-4),IF(AP$6&gt;3,0,OFFSET(Предпосылки!$F$553,,,,AP$6-4)))</f>
        <v>0</v>
      </c>
      <c s="125">
        <f ca="1">SUM(OFFSET(AQ$271,,,,-4),IF(AQ$6&gt;3,0,OFFSET(Предпосылки!$F$553,,,,AQ$6-4)))</f>
        <v>0</v>
      </c>
      <c s="125">
        <f ca="1">SUM(OFFSET(AR$271,,,,-4),IF(AR$6&gt;3,0,OFFSET(Предпосылки!$F$553,,,,AR$6-4)))</f>
        <v>0</v>
      </c>
      <c s="125">
        <f ca="1">SUM(OFFSET(AS$271,,,,-4),IF(AS$6&gt;3,0,OFFSET(Предпосылки!$F$553,,,,AS$6-4)))</f>
        <v>0</v>
      </c>
      <c s="125">
        <f ca="1">SUM(OFFSET(AT$271,,,,-4),IF(AT$6&gt;3,0,OFFSET(Предпосылки!$F$553,,,,AT$6-4)))</f>
        <v>0</v>
      </c>
      <c s="125">
        <f ca="1">SUM(OFFSET(AU$271,,,,-4),IF(AU$6&gt;3,0,OFFSET(Предпосылки!$F$553,,,,AU$6-4)))</f>
        <v>0</v>
      </c>
      <c s="125">
        <f ca="1">SUM(OFFSET(AV$271,,,,-4),IF(AV$6&gt;3,0,OFFSET(Предпосылки!$F$553,,,,AV$6-4)))</f>
        <v>0</v>
      </c>
      <c s="125">
        <f ca="1">SUM(OFFSET(AW$271,,,,-4),IF(AW$6&gt;3,0,OFFSET(Предпосылки!$F$553,,,,AW$6-4)))</f>
        <v>0</v>
      </c>
      <c s="125">
        <f ca="1">SUM(OFFSET(AX$271,,,,-4),IF(AX$6&gt;3,0,OFFSET(Предпосылки!$F$553,,,,AX$6-4)))</f>
        <v>0</v>
      </c>
      <c s="125">
        <f ca="1">SUM(OFFSET(AY$271,,,,-4),IF(AY$6&gt;3,0,OFFSET(Предпосылки!$F$553,,,,AY$6-4)))</f>
        <v>0</v>
      </c>
      <c s="125">
        <f ca="1">SUM(OFFSET(AZ$271,,,,-4),IF(AZ$6&gt;3,0,OFFSET(Предпосылки!$F$553,,,,AZ$6-4)))</f>
        <v>0</v>
      </c>
      <c s="125">
        <f ca="1">SUM(OFFSET(BA$271,,,,-4),IF(BA$6&gt;3,0,OFFSET(Предпосылки!$F$553,,,,BA$6-4)))</f>
        <v>0</v>
      </c>
      <c s="125">
        <f ca="1">SUM(OFFSET(BB$271,,,,-4),IF(BB$6&gt;3,0,OFFSET(Предпосылки!$F$553,,,,BB$6-4)))</f>
        <v>0</v>
      </c>
      <c s="125">
        <f ca="1">SUM(OFFSET(BC$271,,,,-4),IF(BC$6&gt;3,0,OFFSET(Предпосылки!$F$553,,,,BC$6-4)))</f>
        <v>0</v>
      </c>
      <c s="125">
        <f ca="1">SUM(OFFSET(BD$271,,,,-4),IF(BD$6&gt;3,0,OFFSET(Предпосылки!$F$553,,,,BD$6-4)))</f>
        <v>0</v>
      </c>
      <c s="125">
        <f ca="1">SUM(OFFSET(BE$271,,,,-4),IF(BE$6&gt;3,0,OFFSET(Предпосылки!$F$553,,,,BE$6-4)))</f>
        <v>0</v>
      </c>
      <c s="125">
        <f ca="1">SUM(OFFSET(BF$271,,,,-4),IF(BF$6&gt;3,0,OFFSET(Предпосылки!$F$553,,,,BF$6-4)))</f>
        <v>0</v>
      </c>
      <c s="125">
        <f ca="1">SUM(OFFSET(BG$271,,,,-4),IF(BG$6&gt;3,0,OFFSET(Предпосылки!$F$553,,,,BG$6-4)))</f>
        <v>0</v>
      </c>
      <c s="125">
        <f ca="1">SUM(OFFSET(BH$271,,,,-4),IF(BH$6&gt;3,0,OFFSET(Предпосылки!$F$553,,,,BH$6-4)))</f>
        <v>0</v>
      </c>
      <c s="125">
        <f ca="1">SUM(OFFSET(BI$271,,,,-4),IF(BI$6&gt;3,0,OFFSET(Предпосылки!$F$553,,,,BI$6-4)))</f>
        <v>0</v>
      </c>
      <c s="125">
        <f ca="1">SUM(OFFSET(BJ$271,,,,-4),IF(BJ$6&gt;3,0,OFFSET(Предпосылки!$F$553,,,,BJ$6-4)))</f>
        <v>0</v>
      </c>
      <c s="125">
        <f ca="1">SUM(OFFSET(BK$271,,,,-4),IF(BK$6&gt;3,0,OFFSET(Предпосылки!$F$553,,,,BK$6-4)))</f>
        <v>0</v>
      </c>
      <c s="125">
        <f ca="1">SUM(OFFSET(BL$271,,,,-4),IF(BL$6&gt;3,0,OFFSET(Предпосылки!$F$553,,,,BL$6-4)))</f>
        <v>0</v>
      </c>
      <c s="125">
        <f ca="1">SUM(OFFSET(BM$271,,,,-4),IF(BM$6&gt;3,0,OFFSET(Предпосылки!$F$553,,,,BM$6-4)))</f>
        <v>0</v>
      </c>
    </row>
    <row r="273" spans="5:65" ht="15" customHeight="1">
      <c r="E273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274" spans="2:2" ht="15" customHeight="1">
      <c r="B274" s="24" t="s">
        <v>279</v>
      </c>
    </row>
    <row r="275" spans="2:65" ht="15" customHeight="1">
      <c r="B275" s="12" t="s">
        <v>1150</v>
      </c>
      <c s="124" t="str">
        <f>Единица_измерения</f>
        <v>тыс. руб.</v>
      </c>
      <c s="125"/>
      <c s="125">
        <f>-'Квартальная отчетность'!E24</f>
        <v>0</v>
      </c>
      <c s="125">
        <f>-'Квартальная отчетность'!F24</f>
        <v>0</v>
      </c>
      <c s="125">
        <f>-'Квартальная отчетность'!G24</f>
        <v>0</v>
      </c>
      <c s="125">
        <f>-'Квартальная отчетность'!H24</f>
        <v>0</v>
      </c>
      <c s="125">
        <f>-'Квартальная отчетность'!I24</f>
        <v>0</v>
      </c>
      <c s="125">
        <f>-'Квартальная отчетность'!J24</f>
        <v>0</v>
      </c>
      <c s="125">
        <f>-'Квартальная отчетность'!K24</f>
        <v>0</v>
      </c>
      <c s="125">
        <f>-'Квартальная отчетность'!L24</f>
        <v>0</v>
      </c>
      <c s="125">
        <f>-'Квартальная отчетность'!M24</f>
        <v>0</v>
      </c>
      <c s="125">
        <f>-'Квартальная отчетность'!N24</f>
        <v>0</v>
      </c>
      <c s="125">
        <f>-'Квартальная отчетность'!O24</f>
        <v>0</v>
      </c>
      <c s="125">
        <f>-'Квартальная отчетность'!P24</f>
        <v>0</v>
      </c>
      <c s="125">
        <f>-'Квартальная отчетность'!Q24</f>
        <v>0</v>
      </c>
      <c s="125">
        <f>-'Квартальная отчетность'!R24</f>
        <v>0</v>
      </c>
      <c s="125">
        <f>-'Квартальная отчетность'!S24</f>
        <v>0</v>
      </c>
      <c s="125">
        <f>-'Квартальная отчетность'!T24</f>
        <v>0</v>
      </c>
      <c s="125">
        <f>-'Квартальная отчетность'!U24</f>
        <v>0</v>
      </c>
      <c s="125">
        <f>-'Квартальная отчетность'!V24</f>
        <v>0</v>
      </c>
      <c s="125">
        <f>-'Квартальная отчетность'!W24</f>
        <v>0</v>
      </c>
      <c s="125">
        <f>-'Квартальная отчетность'!X24</f>
        <v>0</v>
      </c>
      <c s="125">
        <f>-'Квартальная отчетность'!Y24</f>
        <v>0</v>
      </c>
      <c s="125">
        <f>-'Квартальная отчетность'!Z24</f>
        <v>0</v>
      </c>
      <c s="125">
        <f>-'Квартальная отчетность'!AA24</f>
        <v>0</v>
      </c>
      <c s="125">
        <f>-'Квартальная отчетность'!AB24</f>
        <v>0</v>
      </c>
      <c s="125">
        <f>-'Квартальная отчетность'!AC24</f>
        <v>0</v>
      </c>
      <c s="125">
        <f>-'Квартальная отчетность'!AD24</f>
        <v>0</v>
      </c>
      <c s="125">
        <f>-'Квартальная отчетность'!AE24</f>
        <v>0</v>
      </c>
      <c s="125">
        <f>-'Квартальная отчетность'!AF24</f>
        <v>0</v>
      </c>
      <c s="125">
        <f>-'Квартальная отчетность'!AG24</f>
        <v>0</v>
      </c>
      <c s="125">
        <f>-'Квартальная отчетность'!AH24</f>
        <v>0</v>
      </c>
      <c s="125">
        <f>-'Квартальная отчетность'!AI24</f>
        <v>0</v>
      </c>
      <c s="125">
        <f>-'Квартальная отчетность'!AJ24</f>
        <v>0</v>
      </c>
      <c s="125">
        <f>-'Квартальная отчетность'!AK24</f>
        <v>0</v>
      </c>
      <c s="125">
        <f>-'Квартальная отчетность'!AL24</f>
        <v>0</v>
      </c>
      <c s="125">
        <f>-'Квартальная отчетность'!AM24</f>
        <v>0</v>
      </c>
      <c s="125">
        <f>-'Квартальная отчетность'!AN24</f>
        <v>0</v>
      </c>
      <c s="125">
        <f>-'Квартальная отчетность'!AO24</f>
        <v>0</v>
      </c>
      <c s="125">
        <f>-'Квартальная отчетность'!AP24</f>
        <v>0</v>
      </c>
      <c s="125">
        <f>-'Квартальная отчетность'!AQ24</f>
        <v>0</v>
      </c>
      <c s="125">
        <f>-'Квартальная отчетность'!AR24</f>
        <v>0</v>
      </c>
      <c s="125">
        <f>-'Квартальная отчетность'!AS24</f>
        <v>0</v>
      </c>
      <c s="125">
        <f>-'Квартальная отчетность'!AT24</f>
        <v>0</v>
      </c>
      <c s="125">
        <f>-'Квартальная отчетность'!AU24</f>
        <v>0</v>
      </c>
      <c s="125">
        <f>-'Квартальная отчетность'!AV24</f>
        <v>0</v>
      </c>
      <c s="125">
        <f>-'Квартальная отчетность'!AW24</f>
        <v>0</v>
      </c>
      <c s="125">
        <f>-'Квартальная отчетность'!AX24</f>
        <v>0</v>
      </c>
      <c s="125">
        <f>-'Квартальная отчетность'!AY24</f>
        <v>0</v>
      </c>
      <c s="125">
        <f>-'Квартальная отчетность'!AZ24</f>
        <v>0</v>
      </c>
      <c s="125">
        <f>-'Квартальная отчетность'!BA24</f>
        <v>0</v>
      </c>
      <c s="125">
        <f>-'Квартальная отчетность'!BB24</f>
        <v>0</v>
      </c>
      <c s="125">
        <f>-'Квартальная отчетность'!BC24</f>
        <v>0</v>
      </c>
      <c s="125">
        <f>-'Квартальная отчетность'!BD24</f>
        <v>0</v>
      </c>
      <c s="125">
        <f>-'Квартальная отчетность'!BE24</f>
        <v>0</v>
      </c>
      <c s="125">
        <f>-'Квартальная отчетность'!BF24</f>
        <v>0</v>
      </c>
      <c s="125">
        <f>-'Квартальная отчетность'!BG24</f>
        <v>0</v>
      </c>
      <c s="125">
        <f>-'Квартальная отчетность'!BH24</f>
        <v>0</v>
      </c>
      <c s="125">
        <f>-'Квартальная отчетность'!BI24</f>
        <v>0</v>
      </c>
      <c s="125">
        <f>-'Квартальная отчетность'!BJ24</f>
        <v>0</v>
      </c>
      <c s="125">
        <f>-'Квартальная отчетность'!BK24</f>
        <v>0</v>
      </c>
      <c s="125">
        <f>-'Квартальная отчетность'!BL24</f>
        <v>0</v>
      </c>
      <c s="125">
        <f>-'Квартальная отчетность'!BM24</f>
        <v>0</v>
      </c>
    </row>
    <row r="276" spans="2:65" ht="15" customHeight="1">
      <c r="B276" s="12" t="s">
        <v>1151</v>
      </c>
      <c s="124" t="str">
        <f>Единица_измерения</f>
        <v>тыс. руб.</v>
      </c>
      <c s="125"/>
      <c s="125">
        <f>-'Квартальная отчетность'!E127</f>
        <v>0</v>
      </c>
      <c s="125">
        <f>-'Квартальная отчетность'!F127</f>
        <v>0</v>
      </c>
      <c s="125">
        <f>-'Квартальная отчетность'!G127</f>
        <v>0</v>
      </c>
      <c s="125">
        <f>-'Квартальная отчетность'!H127</f>
        <v>0</v>
      </c>
      <c s="125">
        <f>-'Квартальная отчетность'!I127</f>
        <v>0</v>
      </c>
      <c s="125">
        <f>-'Квартальная отчетность'!J127</f>
        <v>0</v>
      </c>
      <c s="125">
        <f>-'Квартальная отчетность'!K127</f>
        <v>0</v>
      </c>
      <c s="125">
        <f>-'Квартальная отчетность'!L127</f>
        <v>0</v>
      </c>
      <c s="125">
        <f>-'Квартальная отчетность'!M127</f>
        <v>0</v>
      </c>
      <c s="125">
        <f>-'Квартальная отчетность'!N127</f>
        <v>0</v>
      </c>
      <c s="125">
        <f>-'Квартальная отчетность'!O127</f>
        <v>0</v>
      </c>
      <c s="125">
        <f>-'Квартальная отчетность'!P127</f>
        <v>0</v>
      </c>
      <c s="125">
        <f>-'Квартальная отчетность'!Q127</f>
        <v>0</v>
      </c>
      <c s="125">
        <f>-'Квартальная отчетность'!R127</f>
        <v>0</v>
      </c>
      <c s="125">
        <f>-'Квартальная отчетность'!S127</f>
        <v>0</v>
      </c>
      <c s="125">
        <f>-'Квартальная отчетность'!T127</f>
        <v>0</v>
      </c>
      <c s="125">
        <f>-'Квартальная отчетность'!U127</f>
        <v>0</v>
      </c>
      <c s="125">
        <f>-'Квартальная отчетность'!V127</f>
        <v>0</v>
      </c>
      <c s="125">
        <f>-'Квартальная отчетность'!W127</f>
        <v>0</v>
      </c>
      <c s="125">
        <f>-'Квартальная отчетность'!X127</f>
        <v>0</v>
      </c>
      <c s="125">
        <f>-'Квартальная отчетность'!Y127</f>
        <v>0</v>
      </c>
      <c s="125">
        <f>-'Квартальная отчетность'!Z127</f>
        <v>0</v>
      </c>
      <c s="125">
        <f>-'Квартальная отчетность'!AA127</f>
        <v>0</v>
      </c>
      <c s="125">
        <f>-'Квартальная отчетность'!AB127</f>
        <v>0</v>
      </c>
      <c s="125">
        <f>-'Квартальная отчетность'!AC127</f>
        <v>0</v>
      </c>
      <c s="125">
        <f>-'Квартальная отчетность'!AD127</f>
        <v>0</v>
      </c>
      <c s="125">
        <f>-'Квартальная отчетность'!AE127</f>
        <v>0</v>
      </c>
      <c s="125">
        <f>-'Квартальная отчетность'!AG127</f>
        <v>0</v>
      </c>
      <c s="125">
        <f>-'Квартальная отчетность'!AH127</f>
        <v>0</v>
      </c>
      <c s="125">
        <f>-'Квартальная отчетность'!AH127</f>
        <v>0</v>
      </c>
      <c s="125">
        <f>-'Квартальная отчетность'!AI127</f>
        <v>0</v>
      </c>
      <c s="125">
        <f>-'Квартальная отчетность'!AJ127</f>
        <v>0</v>
      </c>
      <c s="125">
        <f>-'Квартальная отчетность'!AK127</f>
        <v>0</v>
      </c>
      <c s="125">
        <f>-'Квартальная отчетность'!AL127</f>
        <v>0</v>
      </c>
      <c s="125">
        <f>-'Квартальная отчетность'!AM127</f>
        <v>0</v>
      </c>
      <c s="125">
        <f>-'Квартальная отчетность'!AN127</f>
        <v>0</v>
      </c>
      <c s="125">
        <f>-'Квартальная отчетность'!AO127</f>
        <v>0</v>
      </c>
      <c s="125">
        <f>-'Квартальная отчетность'!AP127</f>
        <v>0</v>
      </c>
      <c s="125">
        <f>-'Квартальная отчетность'!AQ127</f>
        <v>0</v>
      </c>
      <c s="125">
        <f>-'Квартальная отчетность'!AR127</f>
        <v>0</v>
      </c>
      <c s="125">
        <f>-'Квартальная отчетность'!AS127</f>
        <v>0</v>
      </c>
      <c s="125">
        <f>-'Квартальная отчетность'!AT127</f>
        <v>0</v>
      </c>
      <c s="125">
        <f>-'Квартальная отчетность'!AU127</f>
        <v>0</v>
      </c>
      <c s="125">
        <f>-'Квартальная отчетность'!AV127</f>
        <v>0</v>
      </c>
      <c s="125">
        <f>-'Квартальная отчетность'!AW127</f>
        <v>0</v>
      </c>
      <c s="125">
        <f>-'Квартальная отчетность'!AX127</f>
        <v>0</v>
      </c>
      <c s="125">
        <f>-'Квартальная отчетность'!AY127</f>
        <v>0</v>
      </c>
      <c s="125">
        <f>-'Квартальная отчетность'!AZ127</f>
        <v>0</v>
      </c>
      <c s="125">
        <f>-'Квартальная отчетность'!BA127</f>
        <v>0</v>
      </c>
      <c s="125">
        <f>-'Квартальная отчетность'!BB127</f>
        <v>0</v>
      </c>
      <c s="125">
        <f>-'Квартальная отчетность'!BC127</f>
        <v>0</v>
      </c>
      <c s="125">
        <f>-'Квартальная отчетность'!BD127</f>
        <v>0</v>
      </c>
      <c s="125">
        <f>-'Квартальная отчетность'!BE127</f>
        <v>0</v>
      </c>
      <c s="125">
        <f>-'Квартальная отчетность'!BF127</f>
        <v>0</v>
      </c>
      <c s="125">
        <f>-'Квартальная отчетность'!BG127</f>
        <v>0</v>
      </c>
      <c s="125">
        <f>-'Квартальная отчетность'!BH127</f>
        <v>0</v>
      </c>
      <c s="125">
        <f>-'Квартальная отчетность'!BI127</f>
        <v>0</v>
      </c>
      <c s="125">
        <f>-'Квартальная отчетность'!BJ127</f>
        <v>0</v>
      </c>
      <c s="125">
        <f>-'Квартальная отчетность'!BK127</f>
        <v>0</v>
      </c>
      <c s="125">
        <f>-'Квартальная отчетность'!BL127</f>
        <v>0</v>
      </c>
      <c s="125">
        <f>-'Квартальная отчетность'!BM127</f>
        <v>0</v>
      </c>
    </row>
    <row r="277" spans="2:65" ht="15" customHeight="1">
      <c r="B277" s="289" t="s">
        <v>279</v>
      </c>
      <c s="290" t="str">
        <f>Единица_измерения</f>
        <v>тыс. руб.</v>
      </c>
      <c s="276"/>
      <c s="276">
        <f t="shared" si="631" ref="E277:AG277">SUM(E275:E276)</f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1"/>
        <v>0</v>
      </c>
      <c s="276">
        <f t="shared" si="632" ref="AH277:BM277">SUM(AH275:AH276)</f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  <c s="276">
        <f t="shared" si="632"/>
        <v>0</v>
      </c>
    </row>
    <row r="278" spans="2:65" ht="15" customHeight="1">
      <c r="B278" s="12" t="s">
        <v>1152</v>
      </c>
      <c s="124" t="str">
        <f>Единица_измерения</f>
        <v>тыс. руб.</v>
      </c>
      <c s="125"/>
      <c s="125">
        <f ca="1">SUM(OFFSET(E277,,,,-4),IF(E$6&gt;3,0,-SUM(OFFSET(Предпосылки!$F$546,,,,E$6-4))))</f>
        <v>0</v>
      </c>
      <c s="125">
        <f ca="1">SUM(OFFSET(F277,,,,-4),IF(F$6&gt;3,0,-SUM(OFFSET(Предпосылки!$F$546,,,,F$6-4))))</f>
        <v>0</v>
      </c>
      <c s="125">
        <f ca="1">SUM(OFFSET(G277,,,,-4),IF(G$6&gt;3,0,-SUM(OFFSET(Предпосылки!$F$546,,,,G$6-4))))</f>
        <v>0</v>
      </c>
      <c s="125">
        <f ca="1">SUM(OFFSET(H277,,,,-4),IF(H$6&gt;3,0,-SUM(OFFSET(Предпосылки!$F$546,,,,H$6-4))))</f>
        <v>0</v>
      </c>
      <c s="125">
        <f ca="1">SUM(OFFSET(I277,,,,-4),IF(I$6&gt;3,0,-SUM(OFFSET(Предпосылки!$F$546,,,,I$6-4))))</f>
        <v>0</v>
      </c>
      <c s="125">
        <f ca="1">SUM(OFFSET(J277,,,,-4),IF(J$6&gt;3,0,-SUM(OFFSET(Предпосылки!$F$546,,,,J$6-4))))</f>
        <v>0</v>
      </c>
      <c s="125">
        <f ca="1">SUM(OFFSET(K277,,,,-4),IF(K$6&gt;3,0,-SUM(OFFSET(Предпосылки!$F$546,,,,K$6-4))))</f>
        <v>0</v>
      </c>
      <c s="125">
        <f ca="1">SUM(OFFSET(L277,,,,-4),IF(L$6&gt;3,0,-SUM(OFFSET(Предпосылки!$F$546,,,,L$6-4))))</f>
        <v>0</v>
      </c>
      <c s="125">
        <f ca="1">SUM(OFFSET(M277,,,,-4),IF(M$6&gt;3,0,-SUM(OFFSET(Предпосылки!$F$546,,,,M$6-4))))</f>
        <v>0</v>
      </c>
      <c s="125">
        <f ca="1">SUM(OFFSET(N277,,,,-4),IF(N$6&gt;3,0,-SUM(OFFSET(Предпосылки!$F$546,,,,N$6-4))))</f>
        <v>0</v>
      </c>
      <c s="125">
        <f ca="1">SUM(OFFSET(O277,,,,-4),IF(O$6&gt;3,0,-SUM(OFFSET(Предпосылки!$F$546,,,,O$6-4))))</f>
        <v>0</v>
      </c>
      <c s="125">
        <f ca="1">SUM(OFFSET(P277,,,,-4),IF(P$6&gt;3,0,-SUM(OFFSET(Предпосылки!$F$546,,,,P$6-4))))</f>
        <v>0</v>
      </c>
      <c s="125">
        <f ca="1">SUM(OFFSET(Q277,,,,-4),IF(Q$6&gt;3,0,-SUM(OFFSET(Предпосылки!$F$546,,,,Q$6-4))))</f>
        <v>0</v>
      </c>
      <c s="125">
        <f ca="1">SUM(OFFSET(R277,,,,-4),IF(R$6&gt;3,0,-SUM(OFFSET(Предпосылки!$F$546,,,,R$6-4))))</f>
        <v>0</v>
      </c>
      <c s="125">
        <f ca="1">SUM(OFFSET(S277,,,,-4),IF(S$6&gt;3,0,-SUM(OFFSET(Предпосылки!$F$546,,,,S$6-4))))</f>
        <v>0</v>
      </c>
      <c s="125">
        <f ca="1">SUM(OFFSET(T277,,,,-4),IF(T$6&gt;3,0,-SUM(OFFSET(Предпосылки!$F$546,,,,T$6-4))))</f>
        <v>0</v>
      </c>
      <c s="125">
        <f ca="1">SUM(OFFSET(U277,,,,-4),IF(U$6&gt;3,0,-SUM(OFFSET(Предпосылки!$F$546,,,,U$6-4))))</f>
        <v>0</v>
      </c>
      <c s="125">
        <f ca="1">SUM(OFFSET(V277,,,,-4),IF(V$6&gt;3,0,-SUM(OFFSET(Предпосылки!$F$546,,,,V$6-4))))</f>
        <v>0</v>
      </c>
      <c s="125">
        <f ca="1">SUM(OFFSET(W277,,,,-4),IF(W$6&gt;3,0,-SUM(OFFSET(Предпосылки!$F$546,,,,W$6-4))))</f>
        <v>0</v>
      </c>
      <c s="125">
        <f ca="1">SUM(OFFSET(X277,,,,-4),IF(X$6&gt;3,0,-SUM(OFFSET(Предпосылки!$F$546,,,,X$6-4))))</f>
        <v>0</v>
      </c>
      <c s="125">
        <f ca="1">SUM(OFFSET(Y277,,,,-4),IF(Y$6&gt;3,0,-SUM(OFFSET(Предпосылки!$F$546,,,,Y$6-4))))</f>
        <v>0</v>
      </c>
      <c s="125">
        <f ca="1">SUM(OFFSET(Z277,,,,-4),IF(Z$6&gt;3,0,-SUM(OFFSET(Предпосылки!$F$546,,,,Z$6-4))))</f>
        <v>0</v>
      </c>
      <c s="125">
        <f ca="1">SUM(OFFSET(AA277,,,,-4),IF(AA$6&gt;3,0,-SUM(OFFSET(Предпосылки!$F$546,,,,AA$6-4))))</f>
        <v>0</v>
      </c>
      <c s="125">
        <f ca="1">SUM(OFFSET(AB277,,,,-4),IF(AB$6&gt;3,0,-SUM(OFFSET(Предпосылки!$F$546,,,,AB$6-4))))</f>
        <v>0</v>
      </c>
      <c s="125">
        <f ca="1">SUM(OFFSET(AC277,,,,-4),IF(AC$6&gt;3,0,-SUM(OFFSET(Предпосылки!$F$546,,,,AC$6-4))))</f>
        <v>0</v>
      </c>
      <c s="125">
        <f ca="1">SUM(OFFSET(AD277,,,,-4),IF(AD$6&gt;3,0,-SUM(OFFSET(Предпосылки!$F$546,,,,AD$6-4))))</f>
        <v>0</v>
      </c>
      <c s="125">
        <f ca="1">SUM(OFFSET(AE277,,,,-4),IF(AE$6&gt;3,0,-SUM(OFFSET(Предпосылки!$F$546,,,,AE$6-4))))</f>
        <v>0</v>
      </c>
      <c s="125">
        <f ca="1">SUM(OFFSET(AF277,,,,-4),IF(AF$6&gt;3,0,-SUM(OFFSET(Предпосылки!$F$546,,,,AF$6-4))))</f>
        <v>0</v>
      </c>
      <c s="125">
        <f ca="1">SUM(OFFSET(AG277,,,,-4),IF(AG$6&gt;3,0,-SUM(OFFSET(Предпосылки!$F$546,,,,AG$6-4))))</f>
        <v>0</v>
      </c>
      <c s="125">
        <f ca="1">SUM(OFFSET(AH277,,,,-4),IF(AH$6&gt;3,0,-SUM(OFFSET(Предпосылки!$F$546,,,,AH$6-4))))</f>
        <v>0</v>
      </c>
      <c s="125">
        <f ca="1">SUM(OFFSET(AI277,,,,-4),IF(AI$6&gt;3,0,-SUM(OFFSET(Предпосылки!$F$546,,,,AI$6-4))))</f>
        <v>0</v>
      </c>
      <c s="125">
        <f ca="1">SUM(OFFSET(AJ277,,,,-4),IF(AJ$6&gt;3,0,-SUM(OFFSET(Предпосылки!$F$546,,,,AJ$6-4))))</f>
        <v>0</v>
      </c>
      <c s="125">
        <f ca="1">SUM(OFFSET(AK277,,,,-4),IF(AK$6&gt;3,0,-SUM(OFFSET(Предпосылки!$F$546,,,,AK$6-4))))</f>
        <v>0</v>
      </c>
      <c s="125">
        <f ca="1">SUM(OFFSET(AL277,,,,-4),IF(AL$6&gt;3,0,-SUM(OFFSET(Предпосылки!$F$546,,,,AL$6-4))))</f>
        <v>0</v>
      </c>
      <c s="125">
        <f ca="1">SUM(OFFSET(AM277,,,,-4),IF(AM$6&gt;3,0,-SUM(OFFSET(Предпосылки!$F$546,,,,AM$6-4))))</f>
        <v>0</v>
      </c>
      <c s="125">
        <f ca="1">SUM(OFFSET(AN277,,,,-4),IF(AN$6&gt;3,0,-SUM(OFFSET(Предпосылки!$F$546,,,,AN$6-4))))</f>
        <v>0</v>
      </c>
      <c s="125">
        <f ca="1">SUM(OFFSET(AO277,,,,-4),IF(AO$6&gt;3,0,-SUM(OFFSET(Предпосылки!$F$546,,,,AO$6-4))))</f>
        <v>0</v>
      </c>
      <c s="125">
        <f ca="1">SUM(OFFSET(AP277,,,,-4),IF(AP$6&gt;3,0,-SUM(OFFSET(Предпосылки!$F$546,,,,AP$6-4))))</f>
        <v>0</v>
      </c>
      <c s="125">
        <f ca="1">SUM(OFFSET(AQ277,,,,-4),IF(AQ$6&gt;3,0,-SUM(OFFSET(Предпосылки!$F$546,,,,AQ$6-4))))</f>
        <v>0</v>
      </c>
      <c s="125">
        <f ca="1">SUM(OFFSET(AR277,,,,-4),IF(AR$6&gt;3,0,-SUM(OFFSET(Предпосылки!$F$546,,,,AR$6-4))))</f>
        <v>0</v>
      </c>
      <c s="125">
        <f ca="1">SUM(OFFSET(AS277,,,,-4),IF(AS$6&gt;3,0,-SUM(OFFSET(Предпосылки!$F$546,,,,AS$6-4))))</f>
        <v>0</v>
      </c>
      <c s="125">
        <f ca="1">SUM(OFFSET(AT277,,,,-4),IF(AT$6&gt;3,0,-SUM(OFFSET(Предпосылки!$F$546,,,,AT$6-4))))</f>
        <v>0</v>
      </c>
      <c s="125">
        <f ca="1">SUM(OFFSET(AU277,,,,-4),IF(AU$6&gt;3,0,-SUM(OFFSET(Предпосылки!$F$546,,,,AU$6-4))))</f>
        <v>0</v>
      </c>
      <c s="125">
        <f ca="1">SUM(OFFSET(AV277,,,,-4),IF(AV$6&gt;3,0,-SUM(OFFSET(Предпосылки!$F$546,,,,AV$6-4))))</f>
        <v>0</v>
      </c>
      <c s="125">
        <f ca="1">SUM(OFFSET(AW277,,,,-4),IF(AW$6&gt;3,0,-SUM(OFFSET(Предпосылки!$F$546,,,,AW$6-4))))</f>
        <v>0</v>
      </c>
      <c s="125">
        <f ca="1">SUM(OFFSET(AX277,,,,-4),IF(AX$6&gt;3,0,-SUM(OFFSET(Предпосылки!$F$546,,,,AX$6-4))))</f>
        <v>0</v>
      </c>
      <c s="125">
        <f ca="1">SUM(OFFSET(AY277,,,,-4),IF(AY$6&gt;3,0,-SUM(OFFSET(Предпосылки!$F$546,,,,AY$6-4))))</f>
        <v>0</v>
      </c>
      <c s="125">
        <f ca="1">SUM(OFFSET(AZ277,,,,-4),IF(AZ$6&gt;3,0,-SUM(OFFSET(Предпосылки!$F$546,,,,AZ$6-4))))</f>
        <v>0</v>
      </c>
      <c s="125">
        <f ca="1">SUM(OFFSET(BA277,,,,-4),IF(BA$6&gt;3,0,-SUM(OFFSET(Предпосылки!$F$546,,,,BA$6-4))))</f>
        <v>0</v>
      </c>
      <c s="125">
        <f ca="1">SUM(OFFSET(BB277,,,,-4),IF(BB$6&gt;3,0,-SUM(OFFSET(Предпосылки!$F$546,,,,BB$6-4))))</f>
        <v>0</v>
      </c>
      <c s="125">
        <f ca="1">SUM(OFFSET(BC277,,,,-4),IF(BC$6&gt;3,0,-SUM(OFFSET(Предпосылки!$F$546,,,,BC$6-4))))</f>
        <v>0</v>
      </c>
      <c s="125">
        <f ca="1">SUM(OFFSET(BD277,,,,-4),IF(BD$6&gt;3,0,-SUM(OFFSET(Предпосылки!$F$546,,,,BD$6-4))))</f>
        <v>0</v>
      </c>
      <c s="125">
        <f ca="1">SUM(OFFSET(BE277,,,,-4),IF(BE$6&gt;3,0,-SUM(OFFSET(Предпосылки!$F$546,,,,BE$6-4))))</f>
        <v>0</v>
      </c>
      <c s="125">
        <f ca="1">SUM(OFFSET(BF277,,,,-4),IF(BF$6&gt;3,0,-SUM(OFFSET(Предпосылки!$F$546,,,,BF$6-4))))</f>
        <v>0</v>
      </c>
      <c s="125">
        <f ca="1">SUM(OFFSET(BG277,,,,-4),IF(BG$6&gt;3,0,-SUM(OFFSET(Предпосылки!$F$546,,,,BG$6-4))))</f>
        <v>0</v>
      </c>
      <c s="125">
        <f ca="1">SUM(OFFSET(BH277,,,,-4),IF(BH$6&gt;3,0,-SUM(OFFSET(Предпосылки!$F$546,,,,BH$6-4))))</f>
        <v>0</v>
      </c>
      <c s="125">
        <f ca="1">SUM(OFFSET(BI277,,,,-4),IF(BI$6&gt;3,0,-SUM(OFFSET(Предпосылки!$F$546,,,,BI$6-4))))</f>
        <v>0</v>
      </c>
      <c s="125">
        <f ca="1">SUM(OFFSET(BJ277,,,,-4),IF(BJ$6&gt;3,0,-SUM(OFFSET(Предпосылки!$F$546,,,,BJ$6-4))))</f>
        <v>0</v>
      </c>
      <c s="125">
        <f ca="1">SUM(OFFSET(BK277,,,,-4),IF(BK$6&gt;3,0,-SUM(OFFSET(Предпосылки!$F$546,,,,BK$6-4))))</f>
        <v>0</v>
      </c>
      <c s="125">
        <f ca="1">SUM(OFFSET(BL277,,,,-4),IF(BL$6&gt;3,0,-SUM(OFFSET(Предпосылки!$F$546,,,,BL$6-4))))</f>
        <v>0</v>
      </c>
      <c s="125">
        <f ca="1">SUM(OFFSET(BM277,,,,-4),IF(BM$6&gt;3,0,-SUM(OFFSET(Предпосылки!$F$546,,,,BM$6-4))))</f>
        <v>0</v>
      </c>
    </row>
    <row r="279" spans="5:65" ht="15" customHeight="1">
      <c r="E279"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  <c s="131"/>
    </row>
    <row r="280" spans="2:2" ht="15" customHeight="1">
      <c r="B280" s="24" t="s">
        <v>1153</v>
      </c>
    </row>
    <row r="281" spans="2:65" ht="15" customHeight="1">
      <c r="B281" s="12" t="s">
        <v>1149</v>
      </c>
      <c s="124" t="str">
        <f>Единица_измерения</f>
        <v>тыс. руб.</v>
      </c>
      <c s="125"/>
      <c s="125">
        <f ca="1" t="shared" si="633" ref="E281:AG281">E272</f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t="shared" ca="1" si="633"/>
        <v>0</v>
      </c>
      <c s="125">
        <f ca="1" t="shared" si="634" ref="AH281:BM281">AH272</f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  <c s="125">
        <f t="shared" ca="1" si="634"/>
        <v>0</v>
      </c>
    </row>
    <row r="282" spans="2:65" ht="15" customHeight="1">
      <c r="B282" s="12" t="s">
        <v>1152</v>
      </c>
      <c s="124" t="str">
        <f>Единица_измерения</f>
        <v>тыс. руб.</v>
      </c>
      <c s="125"/>
      <c s="125">
        <f ca="1" t="shared" si="635" ref="E282:AG282">E278</f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t="shared" ca="1" si="635"/>
        <v>0</v>
      </c>
      <c s="125">
        <f ca="1" t="shared" si="636" ref="AH282:BM282">AH278</f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  <c s="125">
        <f t="shared" ca="1" si="636"/>
        <v>0</v>
      </c>
    </row>
    <row r="283" spans="2:65" ht="15" customHeight="1">
      <c r="B283" s="289" t="s">
        <v>1154</v>
      </c>
      <c s="290" t="s">
        <v>1117</v>
      </c>
      <c s="285"/>
      <c s="285">
        <f ca="1" t="shared" si="637" ref="E283:AG283">IFERROR(MAX(0,E281)/E282,0)</f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t="shared" ca="1" si="637"/>
        <v>0</v>
      </c>
      <c s="285">
        <f ca="1" t="shared" si="638" ref="AH283:BM283">IFERROR(MAX(0,AH281)/AH282,0)</f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  <c s="285">
        <f t="shared" ca="1" si="638"/>
        <v>0</v>
      </c>
    </row>
    <row r="284" ht="15" customHeight="1"/>
    <row r="285" spans="2:65" ht="21">
      <c r="B285" s="23" t="s">
        <v>1155</v>
      </c>
      <c r="D285"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6" spans="2:2" ht="15" customHeight="1">
      <c r="B286" s="24" t="s">
        <v>1124</v>
      </c>
    </row>
    <row r="287" spans="2:65" ht="15" customHeight="1">
      <c r="B287" s="12" t="s">
        <v>1005</v>
      </c>
      <c s="124" t="str">
        <f>Единица_измерения</f>
        <v>тыс. руб.</v>
      </c>
      <c s="125"/>
      <c s="125">
        <f ca="1">'Квартальная отчетность'!E$337</f>
        <v>0</v>
      </c>
      <c s="125">
        <f ca="1">'Квартальная отчетность'!F$337</f>
        <v>0</v>
      </c>
      <c s="125">
        <f ca="1">'Квартальная отчетность'!G$337</f>
        <v>0</v>
      </c>
      <c s="125">
        <f ca="1">'Квартальная отчетность'!H$337</f>
        <v>0</v>
      </c>
      <c s="125">
        <f ca="1">'Квартальная отчетность'!I$337</f>
        <v>0</v>
      </c>
      <c s="125">
        <f ca="1">'Квартальная отчетность'!J$337</f>
        <v>0</v>
      </c>
      <c s="125">
        <f ca="1">'Квартальная отчетность'!K$337</f>
        <v>0</v>
      </c>
      <c s="125">
        <f ca="1">'Квартальная отчетность'!L$337</f>
        <v>0</v>
      </c>
      <c s="125">
        <f ca="1">'Квартальная отчетность'!M$337</f>
        <v>0</v>
      </c>
      <c s="125">
        <f ca="1">'Квартальная отчетность'!N$337</f>
        <v>0</v>
      </c>
      <c s="125">
        <f ca="1">'Квартальная отчетность'!O$337</f>
        <v>0</v>
      </c>
      <c s="125">
        <f ca="1">'Квартальная отчетность'!P$337</f>
        <v>0</v>
      </c>
      <c s="125">
        <f ca="1">'Квартальная отчетность'!Q$337</f>
        <v>0</v>
      </c>
      <c s="125">
        <f ca="1">'Квартальная отчетность'!R$337</f>
        <v>0</v>
      </c>
      <c s="125">
        <f ca="1">'Квартальная отчетность'!S$337</f>
        <v>0</v>
      </c>
      <c s="125">
        <f ca="1">'Квартальная отчетность'!T$337</f>
        <v>0</v>
      </c>
      <c s="125">
        <f ca="1">'Квартальная отчетность'!U$337</f>
        <v>0</v>
      </c>
      <c s="125">
        <f ca="1">'Квартальная отчетность'!V$337</f>
        <v>0</v>
      </c>
      <c s="125">
        <f ca="1">'Квартальная отчетность'!W$337</f>
        <v>0</v>
      </c>
      <c s="125">
        <f ca="1">'Квартальная отчетность'!X$337</f>
        <v>0</v>
      </c>
      <c s="125">
        <f ca="1">'Квартальная отчетность'!Y$337</f>
        <v>0</v>
      </c>
      <c s="125">
        <f ca="1">'Квартальная отчетность'!Z$337</f>
        <v>0</v>
      </c>
      <c s="125">
        <f ca="1">'Квартальная отчетность'!AA$337</f>
        <v>0</v>
      </c>
      <c s="125">
        <f ca="1">'Квартальная отчетность'!AB$337</f>
        <v>0</v>
      </c>
      <c s="125">
        <f ca="1">'Квартальная отчетность'!AC$337</f>
        <v>0</v>
      </c>
      <c s="125">
        <f ca="1">'Квартальная отчетность'!AD$337</f>
        <v>0</v>
      </c>
      <c s="125">
        <f ca="1">'Квартальная отчетность'!AE$337</f>
        <v>0</v>
      </c>
      <c s="125">
        <f ca="1">'Квартальная отчетность'!AF$337</f>
        <v>0</v>
      </c>
      <c s="125">
        <f ca="1">'Квартальная отчетность'!AG$337</f>
        <v>0</v>
      </c>
      <c s="125">
        <f ca="1">'Квартальная отчетность'!AH$337</f>
        <v>0</v>
      </c>
      <c s="125">
        <f ca="1">'Квартальная отчетность'!AI$337</f>
        <v>0</v>
      </c>
      <c s="125">
        <f ca="1">'Квартальная отчетность'!AJ$337</f>
        <v>0</v>
      </c>
      <c s="125">
        <f ca="1">'Квартальная отчетность'!AK$337</f>
        <v>0</v>
      </c>
      <c s="125">
        <f ca="1">'Квартальная отчетность'!AL$337</f>
        <v>0</v>
      </c>
      <c s="125">
        <f ca="1">'Квартальная отчетность'!AM$337</f>
        <v>0</v>
      </c>
      <c s="125">
        <f ca="1">'Квартальная отчетность'!AN$337</f>
        <v>0</v>
      </c>
      <c s="125">
        <f ca="1">'Квартальная отчетность'!AO$337</f>
        <v>0</v>
      </c>
      <c s="125">
        <f ca="1">'Квартальная отчетность'!AP$337</f>
        <v>0</v>
      </c>
      <c s="125">
        <f ca="1">'Квартальная отчетность'!AQ$337</f>
        <v>0</v>
      </c>
      <c s="125">
        <f ca="1">'Квартальная отчетность'!AR$337</f>
        <v>0</v>
      </c>
      <c s="125">
        <f ca="1">'Квартальная отчетность'!AS$337</f>
        <v>0</v>
      </c>
      <c s="125">
        <f ca="1">'Квартальная отчетность'!AT$337</f>
        <v>0</v>
      </c>
      <c s="125">
        <f ca="1">'Квартальная отчетность'!AU$337</f>
        <v>0</v>
      </c>
      <c s="125">
        <f ca="1">'Квартальная отчетность'!AV$337</f>
        <v>0</v>
      </c>
      <c s="125">
        <f ca="1">'Квартальная отчетность'!AW$337</f>
        <v>0</v>
      </c>
      <c s="125">
        <f ca="1">'Квартальная отчетность'!AX$337</f>
        <v>0</v>
      </c>
      <c s="125">
        <f ca="1">'Квартальная отчетность'!AY$337</f>
        <v>0</v>
      </c>
      <c s="125">
        <f ca="1">'Квартальная отчетность'!AZ$337</f>
        <v>0</v>
      </c>
      <c s="125">
        <f ca="1">'Квартальная отчетность'!BA$337</f>
        <v>0</v>
      </c>
      <c s="125">
        <f ca="1">'Квартальная отчетность'!BB$337</f>
        <v>0</v>
      </c>
      <c s="125">
        <f ca="1">'Квартальная отчетность'!BC$337</f>
        <v>0</v>
      </c>
      <c s="125">
        <f ca="1">'Квартальная отчетность'!BD$337</f>
        <v>0</v>
      </c>
      <c s="125">
        <f ca="1">'Квартальная отчетность'!BE$337</f>
        <v>0</v>
      </c>
      <c s="125">
        <f ca="1">'Квартальная отчетность'!BF$337</f>
        <v>0</v>
      </c>
      <c s="125">
        <f ca="1">'Квартальная отчетность'!BG$337</f>
        <v>0</v>
      </c>
      <c s="125">
        <f ca="1">'Квартальная отчетность'!BH$337</f>
        <v>0</v>
      </c>
      <c s="125">
        <f ca="1">'Квартальная отчетность'!BI$337</f>
        <v>0</v>
      </c>
      <c s="125">
        <f ca="1">'Квартальная отчетность'!BJ$337</f>
        <v>0</v>
      </c>
      <c s="125">
        <f ca="1">'Квартальная отчетность'!BK$337</f>
        <v>0</v>
      </c>
      <c s="125">
        <f ca="1">'Квартальная отчетность'!BL$337</f>
        <v>0</v>
      </c>
      <c s="125">
        <f ca="1">'Квартальная отчетность'!BM$337</f>
        <v>0</v>
      </c>
    </row>
    <row r="288" spans="2:65" ht="15" customHeight="1">
      <c r="B288" s="12" t="s">
        <v>1074</v>
      </c>
      <c s="124" t="str">
        <f>Единица_измерения</f>
        <v>тыс. руб.</v>
      </c>
      <c s="125"/>
      <c s="125">
        <f ca="1">'Квартальная отчетность'!E$388</f>
        <v>0</v>
      </c>
      <c s="125">
        <f ca="1">'Квартальная отчетность'!F$388</f>
        <v>0</v>
      </c>
      <c s="125">
        <f ca="1">'Квартальная отчетность'!G$388</f>
        <v>0</v>
      </c>
      <c s="125">
        <f ca="1">'Квартальная отчетность'!H$388</f>
        <v>0</v>
      </c>
      <c s="125">
        <f ca="1">'Квартальная отчетность'!I$388</f>
        <v>0</v>
      </c>
      <c s="125">
        <f ca="1">'Квартальная отчетность'!J$388</f>
        <v>0</v>
      </c>
      <c s="125">
        <f ca="1">'Квартальная отчетность'!K$388</f>
        <v>0</v>
      </c>
      <c s="125">
        <f ca="1">'Квартальная отчетность'!L$388</f>
        <v>0</v>
      </c>
      <c s="125">
        <f ca="1">'Квартальная отчетность'!M$388</f>
        <v>0</v>
      </c>
      <c s="125">
        <f ca="1">'Квартальная отчетность'!N$388</f>
        <v>0</v>
      </c>
      <c s="125">
        <f ca="1">'Квартальная отчетность'!O$388</f>
        <v>0</v>
      </c>
      <c s="125">
        <f ca="1">'Квартальная отчетность'!P$388</f>
        <v>0</v>
      </c>
      <c s="125">
        <f ca="1">'Квартальная отчетность'!Q$388</f>
        <v>0</v>
      </c>
      <c s="125">
        <f ca="1">'Квартальная отчетность'!R$388</f>
        <v>0</v>
      </c>
      <c s="125">
        <f ca="1">'Квартальная отчетность'!S$388</f>
        <v>0</v>
      </c>
      <c s="125">
        <f ca="1">'Квартальная отчетность'!T$388</f>
        <v>0</v>
      </c>
      <c s="125">
        <f ca="1">'Квартальная отчетность'!U$388</f>
        <v>0</v>
      </c>
      <c s="125">
        <f ca="1">'Квартальная отчетность'!V$388</f>
        <v>0</v>
      </c>
      <c s="125">
        <f ca="1">'Квартальная отчетность'!W$388</f>
        <v>0</v>
      </c>
      <c s="125">
        <f ca="1">'Квартальная отчетность'!X$388</f>
        <v>0</v>
      </c>
      <c s="125">
        <f ca="1">'Квартальная отчетность'!Y$388</f>
        <v>0</v>
      </c>
      <c s="125">
        <f ca="1">'Квартальная отчетность'!Z$388</f>
        <v>0</v>
      </c>
      <c s="125">
        <f ca="1">'Квартальная отчетность'!AA$388</f>
        <v>0</v>
      </c>
      <c s="125">
        <f ca="1">'Квартальная отчетность'!AB$388</f>
        <v>0</v>
      </c>
      <c s="125">
        <f ca="1">'Квартальная отчетность'!AC$388</f>
        <v>0</v>
      </c>
      <c s="125">
        <f ca="1">'Квартальная отчетность'!AD$388</f>
        <v>0</v>
      </c>
      <c s="125">
        <f ca="1">'Квартальная отчетность'!AE$388</f>
        <v>0</v>
      </c>
      <c s="125">
        <f ca="1">'Квартальная отчетность'!AF$388</f>
        <v>0</v>
      </c>
      <c s="125">
        <f ca="1">'Квартальная отчетность'!AG$388</f>
        <v>0</v>
      </c>
      <c s="125">
        <f ca="1">'Квартальная отчетность'!AH$388</f>
        <v>0</v>
      </c>
      <c s="125">
        <f ca="1">'Квартальная отчетность'!AI$388</f>
        <v>0</v>
      </c>
      <c s="125">
        <f ca="1">'Квартальная отчетность'!AJ$388</f>
        <v>0</v>
      </c>
      <c s="125">
        <f ca="1">'Квартальная отчетность'!AK$388</f>
        <v>0</v>
      </c>
      <c s="125">
        <f ca="1">'Квартальная отчетность'!AL$388</f>
        <v>0</v>
      </c>
      <c s="125">
        <f ca="1">'Квартальная отчетность'!AM$388</f>
        <v>0</v>
      </c>
      <c s="125">
        <f ca="1">'Квартальная отчетность'!AN$388</f>
        <v>0</v>
      </c>
      <c s="125">
        <f ca="1">'Квартальная отчетность'!AO$388</f>
        <v>0</v>
      </c>
      <c s="125">
        <f ca="1">'Квартальная отчетность'!AP$388</f>
        <v>0</v>
      </c>
      <c s="125">
        <f ca="1">'Квартальная отчетность'!AQ$388</f>
        <v>0</v>
      </c>
      <c s="125">
        <f ca="1">'Квартальная отчетность'!AR$388</f>
        <v>0</v>
      </c>
      <c s="125">
        <f ca="1">'Квартальная отчетность'!AS$388</f>
        <v>0</v>
      </c>
      <c s="125">
        <f ca="1">'Квартальная отчетность'!AT$388</f>
        <v>0</v>
      </c>
      <c s="125">
        <f ca="1">'Квартальная отчетность'!AU$388</f>
        <v>0</v>
      </c>
      <c s="125">
        <f ca="1">'Квартальная отчетность'!AV$388</f>
        <v>0</v>
      </c>
      <c s="125">
        <f ca="1">'Квартальная отчетность'!AW$388</f>
        <v>0</v>
      </c>
      <c s="125">
        <f ca="1">'Квартальная отчетность'!AX$388</f>
        <v>0</v>
      </c>
      <c s="125">
        <f ca="1">'Квартальная отчетность'!AY$388</f>
        <v>0</v>
      </c>
      <c s="125">
        <f ca="1">'Квартальная отчетность'!AZ$388</f>
        <v>0</v>
      </c>
      <c s="125">
        <f ca="1">'Квартальная отчетность'!BA$388</f>
        <v>0</v>
      </c>
      <c s="125">
        <f ca="1">'Квартальная отчетность'!BB$388</f>
        <v>0</v>
      </c>
      <c s="125">
        <f ca="1">'Квартальная отчетность'!BC$388</f>
        <v>0</v>
      </c>
      <c s="125">
        <f ca="1">'Квартальная отчетность'!BD$388</f>
        <v>0</v>
      </c>
      <c s="125">
        <f ca="1">'Квартальная отчетность'!BE$388</f>
        <v>0</v>
      </c>
      <c s="125">
        <f ca="1">'Квартальная отчетность'!BF$388</f>
        <v>0</v>
      </c>
      <c s="125">
        <f ca="1">'Квартальная отчетность'!BG$388</f>
        <v>0</v>
      </c>
      <c s="125">
        <f ca="1">'Квартальная отчетность'!BH$388</f>
        <v>0</v>
      </c>
      <c s="125">
        <f ca="1">'Квартальная отчетность'!BI$388</f>
        <v>0</v>
      </c>
      <c s="125">
        <f ca="1">'Квартальная отчетность'!BJ$388</f>
        <v>0</v>
      </c>
      <c s="125">
        <f ca="1">'Квартальная отчетность'!BK$388</f>
        <v>0</v>
      </c>
      <c s="125">
        <f ca="1">'Квартальная отчетность'!BL$388</f>
        <v>0</v>
      </c>
      <c s="125">
        <f ca="1">'Квартальная отчетность'!BM$388</f>
        <v>0</v>
      </c>
    </row>
    <row r="289" spans="2:65" ht="15" customHeight="1">
      <c r="B289" s="289" t="s">
        <v>1124</v>
      </c>
      <c s="290" t="s">
        <v>1117</v>
      </c>
      <c s="276"/>
      <c s="276" t="str">
        <f ca="1" t="shared" si="639" ref="E289:AG289">IFERROR(E287/E288,"-")</f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t="shared" ca="1" si="639"/>
        <v>-</v>
      </c>
      <c s="276" t="str">
        <f ca="1" t="shared" si="640" ref="AH289:BM289">IFERROR(AH287/AH288,"-")</f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  <c s="276" t="str">
        <f t="shared" ca="1" si="640"/>
        <v>-</v>
      </c>
    </row>
    <row r="290" ht="15" customHeight="1"/>
    <row r="291" spans="2:2" ht="15" customHeight="1">
      <c r="B291" s="24" t="s">
        <v>1125</v>
      </c>
    </row>
    <row r="292" spans="2:65" ht="15" customHeight="1">
      <c r="B292" s="12" t="s">
        <v>1003</v>
      </c>
      <c s="124" t="str">
        <f>Единица_измерения</f>
        <v>тыс. руб.</v>
      </c>
      <c s="125"/>
      <c s="125">
        <f ca="1">'Квартальная отчетность'!E$362</f>
        <v>0</v>
      </c>
      <c s="125">
        <f ca="1">'Квартальная отчетность'!F$362</f>
        <v>0</v>
      </c>
      <c s="125">
        <f ca="1">'Квартальная отчетность'!G$362</f>
        <v>0</v>
      </c>
      <c s="125">
        <f ca="1">'Квартальная отчетность'!H$362</f>
        <v>0</v>
      </c>
      <c s="125">
        <f ca="1">'Квартальная отчетность'!I$362</f>
        <v>0</v>
      </c>
      <c s="125">
        <f ca="1">'Квартальная отчетность'!J$362</f>
        <v>0</v>
      </c>
      <c s="125">
        <f ca="1">'Квартальная отчетность'!K$362</f>
        <v>0</v>
      </c>
      <c s="125">
        <f ca="1">'Квартальная отчетность'!L$362</f>
        <v>0</v>
      </c>
      <c s="125">
        <f ca="1">'Квартальная отчетность'!M$362</f>
        <v>0</v>
      </c>
      <c s="125">
        <f ca="1">'Квартальная отчетность'!N$362</f>
        <v>0</v>
      </c>
      <c s="125">
        <f ca="1">'Квартальная отчетность'!O$362</f>
        <v>0</v>
      </c>
      <c s="125">
        <f ca="1">'Квартальная отчетность'!P$362</f>
        <v>0</v>
      </c>
      <c s="125">
        <f ca="1">'Квартальная отчетность'!Q$362</f>
        <v>0</v>
      </c>
      <c s="125">
        <f ca="1">'Квартальная отчетность'!R$362</f>
        <v>0</v>
      </c>
      <c s="125">
        <f ca="1">'Квартальная отчетность'!S$362</f>
        <v>0</v>
      </c>
      <c s="125">
        <f ca="1">'Квартальная отчетность'!T$362</f>
        <v>0</v>
      </c>
      <c s="125">
        <f ca="1">'Квартальная отчетность'!U$362</f>
        <v>0</v>
      </c>
      <c s="125">
        <f ca="1">'Квартальная отчетность'!V$362</f>
        <v>0</v>
      </c>
      <c s="125">
        <f ca="1">'Квартальная отчетность'!W$362</f>
        <v>0</v>
      </c>
      <c s="125">
        <f ca="1">'Квартальная отчетность'!X$362</f>
        <v>0</v>
      </c>
      <c s="125">
        <f ca="1">'Квартальная отчетность'!Y$362</f>
        <v>0</v>
      </c>
      <c s="125">
        <f ca="1">'Квартальная отчетность'!Z$362</f>
        <v>0</v>
      </c>
      <c s="125">
        <f ca="1">'Квартальная отчетность'!AA$362</f>
        <v>0</v>
      </c>
      <c s="125">
        <f ca="1">'Квартальная отчетность'!AB$362</f>
        <v>0</v>
      </c>
      <c s="125">
        <f ca="1">'Квартальная отчетность'!AC$362</f>
        <v>0</v>
      </c>
      <c s="125">
        <f ca="1">'Квартальная отчетность'!AD$362</f>
        <v>0</v>
      </c>
      <c s="125">
        <f ca="1">'Квартальная отчетность'!AE$362</f>
        <v>0</v>
      </c>
      <c s="125">
        <f ca="1">'Квартальная отчетность'!AF$362</f>
        <v>0</v>
      </c>
      <c s="125">
        <f ca="1">'Квартальная отчетность'!AG$362</f>
        <v>0</v>
      </c>
      <c s="125">
        <f ca="1">'Квартальная отчетность'!AH$362</f>
        <v>0</v>
      </c>
      <c s="125">
        <f ca="1">'Квартальная отчетность'!AI$362</f>
        <v>0</v>
      </c>
      <c s="125">
        <f ca="1">'Квартальная отчетность'!AJ$362</f>
        <v>0</v>
      </c>
      <c s="125">
        <f ca="1">'Квартальная отчетность'!AK$362</f>
        <v>0</v>
      </c>
      <c s="125">
        <f ca="1">'Квартальная отчетность'!AL$362</f>
        <v>0</v>
      </c>
      <c s="125">
        <f ca="1">'Квартальная отчетность'!AM$362</f>
        <v>0</v>
      </c>
      <c s="125">
        <f ca="1">'Квартальная отчетность'!AN$362</f>
        <v>0</v>
      </c>
      <c s="125">
        <f ca="1">'Квартальная отчетность'!AO$362</f>
        <v>0</v>
      </c>
      <c s="125">
        <f ca="1">'Квартальная отчетность'!AP$362</f>
        <v>0</v>
      </c>
      <c s="125">
        <f ca="1">'Квартальная отчетность'!AQ$362</f>
        <v>0</v>
      </c>
      <c s="125">
        <f ca="1">'Квартальная отчетность'!AR$362</f>
        <v>0</v>
      </c>
      <c s="125">
        <f ca="1">'Квартальная отчетность'!AS$362</f>
        <v>0</v>
      </c>
      <c s="125">
        <f ca="1">'Квартальная отчетность'!AT$362</f>
        <v>0</v>
      </c>
      <c s="125">
        <f ca="1">'Квартальная отчетность'!AU$362</f>
        <v>0</v>
      </c>
      <c s="125">
        <f ca="1">'Квартальная отчетность'!AV$362</f>
        <v>0</v>
      </c>
      <c s="125">
        <f ca="1">'Квартальная отчетность'!AW$362</f>
        <v>0</v>
      </c>
      <c s="125">
        <f ca="1">'Квартальная отчетность'!AX$362</f>
        <v>0</v>
      </c>
      <c s="125">
        <f ca="1">'Квартальная отчетность'!AY$362</f>
        <v>0</v>
      </c>
      <c s="125">
        <f ca="1">'Квартальная отчетность'!AZ$362</f>
        <v>0</v>
      </c>
      <c s="125">
        <f ca="1">'Квартальная отчетность'!BA$362</f>
        <v>0</v>
      </c>
      <c s="125">
        <f ca="1">'Квартальная отчетность'!BB$362</f>
        <v>0</v>
      </c>
      <c s="125">
        <f ca="1">'Квартальная отчетность'!BC$362</f>
        <v>0</v>
      </c>
      <c s="125">
        <f ca="1">'Квартальная отчетность'!BD$362</f>
        <v>0</v>
      </c>
      <c s="125">
        <f ca="1">'Квартальная отчетность'!BE$362</f>
        <v>0</v>
      </c>
      <c s="125">
        <f ca="1">'Квартальная отчетность'!BF$362</f>
        <v>0</v>
      </c>
      <c s="125">
        <f ca="1">'Квартальная отчетность'!BG$362</f>
        <v>0</v>
      </c>
      <c s="125">
        <f ca="1">'Квартальная отчетность'!BH$362</f>
        <v>0</v>
      </c>
      <c s="125">
        <f ca="1">'Квартальная отчетность'!BI$362</f>
        <v>0</v>
      </c>
      <c s="125">
        <f ca="1">'Квартальная отчетность'!BJ$362</f>
        <v>0</v>
      </c>
      <c s="125">
        <f ca="1">'Квартальная отчетность'!BK$362</f>
        <v>0</v>
      </c>
      <c s="125">
        <f ca="1">'Квартальная отчетность'!BL$362</f>
        <v>0</v>
      </c>
      <c s="125">
        <f ca="1">'Квартальная отчетность'!BM$362</f>
        <v>0</v>
      </c>
    </row>
    <row r="293" spans="2:65" ht="15" customHeight="1">
      <c r="B293" s="12" t="s">
        <v>1074</v>
      </c>
      <c s="124" t="str">
        <f>Единица_измерения</f>
        <v>тыс. руб.</v>
      </c>
      <c s="125"/>
      <c s="125">
        <f ca="1">'Квартальная отчетность'!E$388</f>
        <v>0</v>
      </c>
      <c s="125">
        <f ca="1">'Квартальная отчетность'!F$388</f>
        <v>0</v>
      </c>
      <c s="125">
        <f ca="1">'Квартальная отчетность'!G$388</f>
        <v>0</v>
      </c>
      <c s="125">
        <f ca="1">'Квартальная отчетность'!H$388</f>
        <v>0</v>
      </c>
      <c s="125">
        <f ca="1">'Квартальная отчетность'!I$388</f>
        <v>0</v>
      </c>
      <c s="125">
        <f ca="1">'Квартальная отчетность'!J$388</f>
        <v>0</v>
      </c>
      <c s="125">
        <f ca="1">'Квартальная отчетность'!K$388</f>
        <v>0</v>
      </c>
      <c s="125">
        <f ca="1">'Квартальная отчетность'!L$388</f>
        <v>0</v>
      </c>
      <c s="125">
        <f ca="1">'Квартальная отчетность'!M$388</f>
        <v>0</v>
      </c>
      <c s="125">
        <f ca="1">'Квартальная отчетность'!N$388</f>
        <v>0</v>
      </c>
      <c s="125">
        <f ca="1">'Квартальная отчетность'!O$388</f>
        <v>0</v>
      </c>
      <c s="125">
        <f ca="1">'Квартальная отчетность'!P$388</f>
        <v>0</v>
      </c>
      <c s="125">
        <f ca="1">'Квартальная отчетность'!Q$388</f>
        <v>0</v>
      </c>
      <c s="125">
        <f ca="1">'Квартальная отчетность'!R$388</f>
        <v>0</v>
      </c>
      <c s="125">
        <f ca="1">'Квартальная отчетность'!S$388</f>
        <v>0</v>
      </c>
      <c s="125">
        <f ca="1">'Квартальная отчетность'!T$388</f>
        <v>0</v>
      </c>
      <c s="125">
        <f ca="1">'Квартальная отчетность'!U$388</f>
        <v>0</v>
      </c>
      <c s="125">
        <f ca="1">'Квартальная отчетность'!V$388</f>
        <v>0</v>
      </c>
      <c s="125">
        <f ca="1">'Квартальная отчетность'!W$388</f>
        <v>0</v>
      </c>
      <c s="125">
        <f ca="1">'Квартальная отчетность'!X$388</f>
        <v>0</v>
      </c>
      <c s="125">
        <f ca="1">'Квартальная отчетность'!Y$388</f>
        <v>0</v>
      </c>
      <c s="125">
        <f ca="1">'Квартальная отчетность'!Z$388</f>
        <v>0</v>
      </c>
      <c s="125">
        <f ca="1">'Квартальная отчетность'!AA$388</f>
        <v>0</v>
      </c>
      <c s="125">
        <f ca="1">'Квартальная отчетность'!AB$388</f>
        <v>0</v>
      </c>
      <c s="125">
        <f ca="1">'Квартальная отчетность'!AC$388</f>
        <v>0</v>
      </c>
      <c s="125">
        <f ca="1">'Квартальная отчетность'!AD$388</f>
        <v>0</v>
      </c>
      <c s="125">
        <f ca="1">'Квартальная отчетность'!AE$388</f>
        <v>0</v>
      </c>
      <c s="125">
        <f ca="1">'Квартальная отчетность'!AF$388</f>
        <v>0</v>
      </c>
      <c s="125">
        <f ca="1">'Квартальная отчетность'!AG$388</f>
        <v>0</v>
      </c>
      <c s="125">
        <f ca="1">'Квартальная отчетность'!AH$388</f>
        <v>0</v>
      </c>
      <c s="125">
        <f ca="1">'Квартальная отчетность'!AI$388</f>
        <v>0</v>
      </c>
      <c s="125">
        <f ca="1">'Квартальная отчетность'!AJ$388</f>
        <v>0</v>
      </c>
      <c s="125">
        <f ca="1">'Квартальная отчетность'!AK$388</f>
        <v>0</v>
      </c>
      <c s="125">
        <f ca="1">'Квартальная отчетность'!AL$388</f>
        <v>0</v>
      </c>
      <c s="125">
        <f ca="1">'Квартальная отчетность'!AM$388</f>
        <v>0</v>
      </c>
      <c s="125">
        <f ca="1">'Квартальная отчетность'!AN$388</f>
        <v>0</v>
      </c>
      <c s="125">
        <f ca="1">'Квартальная отчетность'!AO$388</f>
        <v>0</v>
      </c>
      <c s="125">
        <f ca="1">'Квартальная отчетность'!AP$388</f>
        <v>0</v>
      </c>
      <c s="125">
        <f ca="1">'Квартальная отчетность'!AQ$388</f>
        <v>0</v>
      </c>
      <c s="125">
        <f ca="1">'Квартальная отчетность'!AR$388</f>
        <v>0</v>
      </c>
      <c s="125">
        <f ca="1">'Квартальная отчетность'!AS$388</f>
        <v>0</v>
      </c>
      <c s="125">
        <f ca="1">'Квартальная отчетность'!AT$388</f>
        <v>0</v>
      </c>
      <c s="125">
        <f ca="1">'Квартальная отчетность'!AU$388</f>
        <v>0</v>
      </c>
      <c s="125">
        <f ca="1">'Квартальная отчетность'!AV$388</f>
        <v>0</v>
      </c>
      <c s="125">
        <f ca="1">'Квартальная отчетность'!AW$388</f>
        <v>0</v>
      </c>
      <c s="125">
        <f ca="1">'Квартальная отчетность'!AX$388</f>
        <v>0</v>
      </c>
      <c s="125">
        <f ca="1">'Квартальная отчетность'!AY$388</f>
        <v>0</v>
      </c>
      <c s="125">
        <f ca="1">'Квартальная отчетность'!AZ$388</f>
        <v>0</v>
      </c>
      <c s="125">
        <f ca="1">'Квартальная отчетность'!BA$388</f>
        <v>0</v>
      </c>
      <c s="125">
        <f ca="1">'Квартальная отчетность'!BB$388</f>
        <v>0</v>
      </c>
      <c s="125">
        <f ca="1">'Квартальная отчетность'!BC$388</f>
        <v>0</v>
      </c>
      <c s="125">
        <f ca="1">'Квартальная отчетность'!BD$388</f>
        <v>0</v>
      </c>
      <c s="125">
        <f ca="1">'Квартальная отчетность'!BE$388</f>
        <v>0</v>
      </c>
      <c s="125">
        <f ca="1">'Квартальная отчетность'!BF$388</f>
        <v>0</v>
      </c>
      <c s="125">
        <f ca="1">'Квартальная отчетность'!BG$388</f>
        <v>0</v>
      </c>
      <c s="125">
        <f ca="1">'Квартальная отчетность'!BH$388</f>
        <v>0</v>
      </c>
      <c s="125">
        <f ca="1">'Квартальная отчетность'!BI$388</f>
        <v>0</v>
      </c>
      <c s="125">
        <f ca="1">'Квартальная отчетность'!BJ$388</f>
        <v>0</v>
      </c>
      <c s="125">
        <f ca="1">'Квартальная отчетность'!BK$388</f>
        <v>0</v>
      </c>
      <c s="125">
        <f ca="1">'Квартальная отчетность'!BL$388</f>
        <v>0</v>
      </c>
      <c s="125">
        <f ca="1">'Квартальная отчетность'!BM$388</f>
        <v>0</v>
      </c>
    </row>
    <row r="294" spans="2:65" ht="15" customHeight="1">
      <c r="B294" s="289" t="s">
        <v>1125</v>
      </c>
      <c s="290" t="s">
        <v>1117</v>
      </c>
      <c s="276"/>
      <c s="276" t="str">
        <f ca="1" t="shared" si="641" ref="E294:AG294">IFERROR(E292/E293,"-")</f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t="shared" ca="1" si="641"/>
        <v>-</v>
      </c>
      <c s="276" t="str">
        <f ca="1" t="shared" si="642" ref="AH294:BM294">IFERROR(AH292/AH293,"-")</f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  <c s="276" t="str">
        <f t="shared" ca="1" si="642"/>
        <v>-</v>
      </c>
    </row>
    <row r="295" ht="15" customHeight="1"/>
    <row r="296" spans="2:2" ht="21">
      <c r="B296" s="23" t="s">
        <v>1156</v>
      </c>
    </row>
    <row r="297" spans="2:65" ht="15" customHeight="1">
      <c r="B297" s="12" t="str">
        <f>"Заём "&amp;IF(ISNUMBER(SEARCH("РФРП",Программа)),"ФРП и РФРП","ФРП")&amp;" (основной долг)"</f>
        <v>Заём ФРП (основной долг)</v>
      </c>
      <c s="124" t="str">
        <f t="shared" si="643" ref="C297:C303">Единица_измерения</f>
        <v>тыс. руб.</v>
      </c>
      <c s="125"/>
      <c s="125">
        <f>-Финансирование!E16</f>
        <v>0</v>
      </c>
      <c s="125">
        <f>-Финансирование!F16</f>
        <v>0</v>
      </c>
      <c s="125">
        <f>-Финансирование!G16</f>
        <v>0</v>
      </c>
      <c s="125">
        <f>-Финансирование!H16</f>
        <v>0</v>
      </c>
      <c s="125">
        <f>-Финансирование!I16</f>
        <v>0</v>
      </c>
      <c s="125">
        <f>-Финансирование!J16</f>
        <v>0</v>
      </c>
      <c s="125">
        <f>-Финансирование!K16</f>
        <v>0</v>
      </c>
      <c s="125">
        <f>-Финансирование!L16</f>
        <v>0</v>
      </c>
      <c s="125">
        <f>-Финансирование!M16</f>
        <v>0</v>
      </c>
      <c s="125">
        <f>-Финансирование!N16</f>
        <v>0</v>
      </c>
      <c s="125">
        <f>-Финансирование!O16</f>
        <v>0</v>
      </c>
      <c s="125">
        <f>-Финансирование!P16</f>
        <v>0</v>
      </c>
      <c s="125">
        <f>-Финансирование!Q16</f>
        <v>0</v>
      </c>
      <c s="125">
        <f>-Финансирование!R16</f>
        <v>0</v>
      </c>
      <c s="125">
        <f>-Финансирование!S16</f>
        <v>0</v>
      </c>
      <c s="125">
        <f>-Финансирование!T16</f>
        <v>0</v>
      </c>
      <c s="125">
        <f>-Финансирование!U16</f>
        <v>0</v>
      </c>
      <c s="125">
        <f>-Финансирование!V16</f>
        <v>0</v>
      </c>
      <c s="125">
        <f>-Финансирование!W16</f>
        <v>0</v>
      </c>
      <c s="125">
        <f>-Финансирование!X16</f>
        <v>0</v>
      </c>
      <c s="125">
        <f>-Финансирование!Y16</f>
        <v>0</v>
      </c>
      <c s="125">
        <f>-Финансирование!Z16</f>
        <v>0</v>
      </c>
      <c s="125">
        <f>-Финансирование!AA16</f>
        <v>0</v>
      </c>
      <c s="125">
        <f>-Финансирование!AB16</f>
        <v>0</v>
      </c>
      <c s="125">
        <f>-Финансирование!AC16</f>
        <v>0</v>
      </c>
      <c s="125">
        <f>-Финансирование!AD16</f>
        <v>0</v>
      </c>
      <c s="125">
        <f>-Финансирование!AE16</f>
        <v>0</v>
      </c>
      <c s="125">
        <f>-Финансирование!AF16</f>
        <v>0</v>
      </c>
      <c s="125">
        <f>-Финансирование!AG16</f>
        <v>0</v>
      </c>
      <c s="125">
        <f>-Финансирование!AH16</f>
        <v>0</v>
      </c>
      <c s="125">
        <f>-Финансирование!AI16</f>
        <v>0</v>
      </c>
      <c s="125">
        <f>-Финансирование!AJ16</f>
        <v>0</v>
      </c>
      <c s="125">
        <f>-Финансирование!AK16</f>
        <v>0</v>
      </c>
      <c s="125">
        <f>-Финансирование!AL16</f>
        <v>0</v>
      </c>
      <c s="125">
        <f>-Финансирование!AM16</f>
        <v>0</v>
      </c>
      <c s="125">
        <f>-Финансирование!AN16</f>
        <v>0</v>
      </c>
      <c s="125">
        <f>-Финансирование!AO16</f>
        <v>0</v>
      </c>
      <c s="125">
        <f>-Финансирование!AP16</f>
        <v>0</v>
      </c>
      <c s="125">
        <f>-Финансирование!AQ16</f>
        <v>0</v>
      </c>
      <c s="125">
        <f>-Финансирование!AR16</f>
        <v>0</v>
      </c>
      <c s="125">
        <f>-Финансирование!AS16</f>
        <v>0</v>
      </c>
      <c s="125">
        <f>-Финансирование!AT16</f>
        <v>0</v>
      </c>
      <c s="125">
        <f>-Финансирование!AU16</f>
        <v>0</v>
      </c>
      <c s="125">
        <f>-Финансирование!AV16</f>
        <v>0</v>
      </c>
      <c s="125">
        <f>-Финансирование!AW16</f>
        <v>0</v>
      </c>
      <c s="125">
        <f>-Финансирование!AX16</f>
        <v>0</v>
      </c>
      <c s="125">
        <f>-Финансирование!AY16</f>
        <v>0</v>
      </c>
      <c s="125">
        <f>-Финансирование!AZ16</f>
        <v>0</v>
      </c>
      <c s="125">
        <f>-Финансирование!BA16</f>
        <v>0</v>
      </c>
      <c s="125">
        <f>-Финансирование!BB16</f>
        <v>0</v>
      </c>
      <c s="125">
        <f>-Финансирование!BC16</f>
        <v>0</v>
      </c>
      <c s="125">
        <f>-Финансирование!BD16</f>
        <v>0</v>
      </c>
      <c s="125">
        <f>-Финансирование!BE16</f>
        <v>0</v>
      </c>
      <c s="125">
        <f>-Финансирование!BF16</f>
        <v>0</v>
      </c>
      <c s="125">
        <f>-Финансирование!BG16</f>
        <v>0</v>
      </c>
      <c s="125">
        <f>-Финансирование!BH16</f>
        <v>0</v>
      </c>
      <c s="125">
        <f>-Финансирование!BI16</f>
        <v>0</v>
      </c>
      <c s="125">
        <f>-Финансирование!BJ16</f>
        <v>0</v>
      </c>
      <c s="125">
        <f>-Финансирование!BK16</f>
        <v>0</v>
      </c>
      <c s="125">
        <f>-Финансирование!BL16</f>
        <v>0</v>
      </c>
      <c s="125">
        <f>-Финансирование!BM16</f>
        <v>0</v>
      </c>
    </row>
    <row r="298" spans="2:65" ht="15" customHeight="1">
      <c r="B298" s="12" t="str">
        <f>"Заём "&amp;IF(ISNUMBER(SEARCH("РФРП",Программа)),"ФРП и РФРП","ФРП")&amp;" (проценты)"</f>
        <v>Заём ФРП (проценты)</v>
      </c>
      <c s="124" t="str">
        <f t="shared" si="643"/>
        <v>тыс. руб.</v>
      </c>
      <c s="125"/>
      <c s="125">
        <f>-Финансирование!E22</f>
        <v>0</v>
      </c>
      <c s="125">
        <f>-Финансирование!F22</f>
        <v>0</v>
      </c>
      <c s="125">
        <f>-Финансирование!G22</f>
        <v>0</v>
      </c>
      <c s="125">
        <f>-Финансирование!H22</f>
        <v>0</v>
      </c>
      <c s="125">
        <f>-Финансирование!I22</f>
        <v>0</v>
      </c>
      <c s="125">
        <f>-Финансирование!J22</f>
        <v>0</v>
      </c>
      <c s="125">
        <f>-Финансирование!K22</f>
        <v>0</v>
      </c>
      <c s="125">
        <f>-Финансирование!L22</f>
        <v>0</v>
      </c>
      <c s="125">
        <f>-Финансирование!M22</f>
        <v>0</v>
      </c>
      <c s="125">
        <f>-Финансирование!N22</f>
        <v>0</v>
      </c>
      <c s="125">
        <f>-Финансирование!O22</f>
        <v>0</v>
      </c>
      <c s="125">
        <f>-Финансирование!P22</f>
        <v>0</v>
      </c>
      <c s="125">
        <f>-Финансирование!Q22</f>
        <v>0</v>
      </c>
      <c s="125">
        <f>-Финансирование!R22</f>
        <v>0</v>
      </c>
      <c s="125">
        <f>-Финансирование!S22</f>
        <v>0</v>
      </c>
      <c s="125">
        <f>-Финансирование!T22</f>
        <v>0</v>
      </c>
      <c s="125">
        <f>-Финансирование!U22</f>
        <v>0</v>
      </c>
      <c s="125">
        <f>-Финансирование!V22</f>
        <v>0</v>
      </c>
      <c s="125">
        <f>-Финансирование!W22</f>
        <v>0</v>
      </c>
      <c s="125">
        <f>-Финансирование!X22</f>
        <v>0</v>
      </c>
      <c s="125">
        <f>-Финансирование!Y22</f>
        <v>0</v>
      </c>
      <c s="125">
        <f>-Финансирование!Z22</f>
        <v>0</v>
      </c>
      <c s="125">
        <f>-Финансирование!AA22</f>
        <v>0</v>
      </c>
      <c s="125">
        <f>-Финансирование!AB22</f>
        <v>0</v>
      </c>
      <c s="125">
        <f>-Финансирование!AC22</f>
        <v>0</v>
      </c>
      <c s="125">
        <f>-Финансирование!AD22</f>
        <v>0</v>
      </c>
      <c s="125">
        <f>-Финансирование!AE22</f>
        <v>0</v>
      </c>
      <c s="125">
        <f>-Финансирование!AF22</f>
        <v>0</v>
      </c>
      <c s="125">
        <f>-Финансирование!AG22</f>
        <v>0</v>
      </c>
      <c s="125">
        <f>-Финансирование!AH22</f>
        <v>0</v>
      </c>
      <c s="125">
        <f>-Финансирование!AI22</f>
        <v>0</v>
      </c>
      <c s="125">
        <f>-Финансирование!AJ22</f>
        <v>0</v>
      </c>
      <c s="125">
        <f>-Финансирование!AK22</f>
        <v>0</v>
      </c>
      <c s="125">
        <f>-Финансирование!AL22</f>
        <v>0</v>
      </c>
      <c s="125">
        <f>-Финансирование!AM22</f>
        <v>0</v>
      </c>
      <c s="125">
        <f>-Финансирование!AN22</f>
        <v>0</v>
      </c>
      <c s="125">
        <f>-Финансирование!AO22</f>
        <v>0</v>
      </c>
      <c s="125">
        <f>-Финансирование!AP22</f>
        <v>0</v>
      </c>
      <c s="125">
        <f>-Финансирование!AQ22</f>
        <v>0</v>
      </c>
      <c s="125">
        <f>-Финансирование!AR22</f>
        <v>0</v>
      </c>
      <c s="125">
        <f>-Финансирование!AS22</f>
        <v>0</v>
      </c>
      <c s="125">
        <f>-Финансирование!AT22</f>
        <v>0</v>
      </c>
      <c s="125">
        <f>-Финансирование!AU22</f>
        <v>0</v>
      </c>
      <c s="125">
        <f>-Финансирование!AV22</f>
        <v>0</v>
      </c>
      <c s="125">
        <f>-Финансирование!AW22</f>
        <v>0</v>
      </c>
      <c s="125">
        <f>-Финансирование!AX22</f>
        <v>0</v>
      </c>
      <c s="125">
        <f>-Финансирование!AY22</f>
        <v>0</v>
      </c>
      <c s="125">
        <f>-Финансирование!AZ22</f>
        <v>0</v>
      </c>
      <c s="125">
        <f>-Финансирование!BA22</f>
        <v>0</v>
      </c>
      <c s="125">
        <f>-Финансирование!BB22</f>
        <v>0</v>
      </c>
      <c s="125">
        <f>-Финансирование!BC22</f>
        <v>0</v>
      </c>
      <c s="125">
        <f>-Финансирование!BD22</f>
        <v>0</v>
      </c>
      <c s="125">
        <f>-Финансирование!BE22</f>
        <v>0</v>
      </c>
      <c s="125">
        <f>-Финансирование!BF22</f>
        <v>0</v>
      </c>
      <c s="125">
        <f>-Финансирование!BG22</f>
        <v>0</v>
      </c>
      <c s="125">
        <f>-Финансирование!BH22</f>
        <v>0</v>
      </c>
      <c s="125">
        <f>-Финансирование!BI22</f>
        <v>0</v>
      </c>
      <c s="125">
        <f>-Финансирование!BJ22</f>
        <v>0</v>
      </c>
      <c s="125">
        <f>-Финансирование!BK22</f>
        <v>0</v>
      </c>
      <c s="125">
        <f>-Финансирование!BL22</f>
        <v>0</v>
      </c>
      <c s="125">
        <f>-Финансирование!BM22</f>
        <v>0</v>
      </c>
    </row>
    <row r="299" spans="2:65" ht="15" customHeight="1">
      <c r="B299" s="12" t="s">
        <v>1157</v>
      </c>
      <c s="124" t="str">
        <f t="shared" si="643"/>
        <v>тыс. руб.</v>
      </c>
      <c s="125"/>
      <c s="125">
        <f>-SUM(Финансирование!E29,Финансирование!E44)</f>
        <v>0</v>
      </c>
      <c s="125">
        <f>-SUM(Финансирование!F29,Финансирование!F44)</f>
        <v>0</v>
      </c>
      <c s="125">
        <f>-SUM(Финансирование!G29,Финансирование!G44)</f>
        <v>0</v>
      </c>
      <c s="125">
        <f>-SUM(Финансирование!H29,Финансирование!H44)</f>
        <v>0</v>
      </c>
      <c s="125">
        <f>-SUM(Финансирование!I29,Финансирование!I44)</f>
        <v>0</v>
      </c>
      <c s="125">
        <f>-SUM(Финансирование!J29,Финансирование!J44)</f>
        <v>0</v>
      </c>
      <c s="125">
        <f>-SUM(Финансирование!K29,Финансирование!K44)</f>
        <v>0</v>
      </c>
      <c s="125">
        <f>-SUM(Финансирование!L29,Финансирование!L44)</f>
        <v>0</v>
      </c>
      <c s="125">
        <f>-SUM(Финансирование!M29,Финансирование!M44)</f>
        <v>0</v>
      </c>
      <c s="125">
        <f>-SUM(Финансирование!N29,Финансирование!N44)</f>
        <v>0</v>
      </c>
      <c s="125">
        <f>-SUM(Финансирование!O29,Финансирование!O44)</f>
        <v>0</v>
      </c>
      <c s="125">
        <f>-SUM(Финансирование!P29,Финансирование!P44)</f>
        <v>0</v>
      </c>
      <c s="125">
        <f>-SUM(Финансирование!Q29,Финансирование!Q44)</f>
        <v>0</v>
      </c>
      <c s="125">
        <f>-SUM(Финансирование!R29,Финансирование!R44)</f>
        <v>0</v>
      </c>
      <c s="125">
        <f>-SUM(Финансирование!S29,Финансирование!S44)</f>
        <v>0</v>
      </c>
      <c s="125">
        <f>-SUM(Финансирование!T29,Финансирование!T44)</f>
        <v>0</v>
      </c>
      <c s="125">
        <f>-SUM(Финансирование!U29,Финансирование!U44)</f>
        <v>0</v>
      </c>
      <c s="125">
        <f>-SUM(Финансирование!V29,Финансирование!V44)</f>
        <v>0</v>
      </c>
      <c s="125">
        <f>-SUM(Финансирование!W29,Финансирование!W44)</f>
        <v>0</v>
      </c>
      <c s="125">
        <f>-SUM(Финансирование!X29,Финансирование!X44)</f>
        <v>0</v>
      </c>
      <c s="125">
        <f>-SUM(Финансирование!Y29,Финансирование!Y44)</f>
        <v>0</v>
      </c>
      <c s="125">
        <f>-SUM(Финансирование!Z29,Финансирование!Z44)</f>
        <v>0</v>
      </c>
      <c s="125">
        <f>-SUM(Финансирование!AA29,Финансирование!AA44)</f>
        <v>0</v>
      </c>
      <c s="125">
        <f>-SUM(Финансирование!AB29,Финансирование!AB44)</f>
        <v>0</v>
      </c>
      <c s="125">
        <f>-SUM(Финансирование!AC29,Финансирование!AC44)</f>
        <v>0</v>
      </c>
      <c s="125">
        <f>-SUM(Финансирование!AD29,Финансирование!AD44)</f>
        <v>0</v>
      </c>
      <c s="125">
        <f>-SUM(Финансирование!AE29,Финансирование!AE44)</f>
        <v>0</v>
      </c>
      <c s="125">
        <f>-SUM(Финансирование!AF29,Финансирование!AF44)</f>
        <v>0</v>
      </c>
      <c s="125">
        <f>-SUM(Финансирование!AG29,Финансирование!AG44)</f>
        <v>0</v>
      </c>
      <c s="125">
        <f>-SUM(Финансирование!AH29,Финансирование!AH44)</f>
        <v>0</v>
      </c>
      <c s="125">
        <f>-SUM(Финансирование!AI29,Финансирование!AI44)</f>
        <v>0</v>
      </c>
      <c s="125">
        <f>-SUM(Финансирование!AJ29,Финансирование!AJ44)</f>
        <v>0</v>
      </c>
      <c s="125">
        <f>-SUM(Финансирование!AK29,Финансирование!AK44)</f>
        <v>0</v>
      </c>
      <c s="125">
        <f>-SUM(Финансирование!AL29,Финансирование!AL44)</f>
        <v>0</v>
      </c>
      <c s="125">
        <f>-SUM(Финансирование!AM29,Финансирование!AM44)</f>
        <v>0</v>
      </c>
      <c s="125">
        <f>-SUM(Финансирование!AN29,Финансирование!AN44)</f>
        <v>0</v>
      </c>
      <c s="125">
        <f>-SUM(Финансирование!AO29,Финансирование!AO44)</f>
        <v>0</v>
      </c>
      <c s="125">
        <f>-SUM(Финансирование!AP29,Финансирование!AP44)</f>
        <v>0</v>
      </c>
      <c s="125">
        <f>-SUM(Финансирование!AQ29,Финансирование!AQ44)</f>
        <v>0</v>
      </c>
      <c s="125">
        <f>-SUM(Финансирование!AR29,Финансирование!AR44)</f>
        <v>0</v>
      </c>
      <c s="125">
        <f>-SUM(Финансирование!AS29,Финансирование!AS44)</f>
        <v>0</v>
      </c>
      <c s="125">
        <f>-SUM(Финансирование!AT29,Финансирование!AT44)</f>
        <v>0</v>
      </c>
      <c s="125">
        <f>-SUM(Финансирование!AU29,Финансирование!AU44)</f>
        <v>0</v>
      </c>
      <c s="125">
        <f>-SUM(Финансирование!AV29,Финансирование!AV44)</f>
        <v>0</v>
      </c>
      <c s="125">
        <f>-SUM(Финансирование!AW29,Финансирование!AW44)</f>
        <v>0</v>
      </c>
      <c s="125">
        <f>-SUM(Финансирование!AX29,Финансирование!AX44)</f>
        <v>0</v>
      </c>
      <c s="125">
        <f>-SUM(Финансирование!AY29,Финансирование!AY44)</f>
        <v>0</v>
      </c>
      <c s="125">
        <f>-SUM(Финансирование!AZ29,Финансирование!AZ44)</f>
        <v>0</v>
      </c>
      <c s="125">
        <f>-SUM(Финансирование!BA29,Финансирование!BA44)</f>
        <v>0</v>
      </c>
      <c s="125">
        <f>-SUM(Финансирование!BB29,Финансирование!BB44)</f>
        <v>0</v>
      </c>
      <c s="125">
        <f>-SUM(Финансирование!BC29,Финансирование!BC44)</f>
        <v>0</v>
      </c>
      <c s="125">
        <f>-SUM(Финансирование!BD29,Финансирование!BD44)</f>
        <v>0</v>
      </c>
      <c s="125">
        <f>-SUM(Финансирование!BE29,Финансирование!BE44)</f>
        <v>0</v>
      </c>
      <c s="125">
        <f>-SUM(Финансирование!BF29,Финансирование!BF44)</f>
        <v>0</v>
      </c>
      <c s="125">
        <f>-SUM(Финансирование!BG29,Финансирование!BG44)</f>
        <v>0</v>
      </c>
      <c s="125">
        <f>-SUM(Финансирование!BH29,Финансирование!BH44)</f>
        <v>0</v>
      </c>
      <c s="125">
        <f>-SUM(Финансирование!BI29,Финансирование!BI44)</f>
        <v>0</v>
      </c>
      <c s="125">
        <f>-SUM(Финансирование!BJ29,Финансирование!BJ44)</f>
        <v>0</v>
      </c>
      <c s="125">
        <f>-SUM(Финансирование!BK29,Финансирование!BK44)</f>
        <v>0</v>
      </c>
      <c s="125">
        <f>-SUM(Финансирование!BL29,Финансирование!BL44)</f>
        <v>0</v>
      </c>
      <c s="125">
        <f>-SUM(Финансирование!BM29,Финансирование!BM44)</f>
        <v>0</v>
      </c>
    </row>
    <row r="300" spans="2:65" ht="15" customHeight="1">
      <c r="B300" s="12" t="s">
        <v>1158</v>
      </c>
      <c s="124" t="str">
        <f t="shared" si="643"/>
        <v>тыс. руб.</v>
      </c>
      <c s="125"/>
      <c s="125">
        <f>-SUM(Финансирование!E37,Финансирование!E52)</f>
        <v>0</v>
      </c>
      <c s="125">
        <f>-SUM(Финансирование!F37,Финансирование!F52)</f>
        <v>0</v>
      </c>
      <c s="125">
        <f>-SUM(Финансирование!G37,Финансирование!G52)</f>
        <v>0</v>
      </c>
      <c s="125">
        <f>-SUM(Финансирование!H37,Финансирование!H52)</f>
        <v>0</v>
      </c>
      <c s="125">
        <f>-SUM(Финансирование!I37,Финансирование!I52)</f>
        <v>0</v>
      </c>
      <c s="125">
        <f>-SUM(Финансирование!J37,Финансирование!J52)</f>
        <v>0</v>
      </c>
      <c s="125">
        <f>-SUM(Финансирование!K37,Финансирование!K52)</f>
        <v>0</v>
      </c>
      <c s="125">
        <f>-SUM(Финансирование!L37,Финансирование!L52)</f>
        <v>0</v>
      </c>
      <c s="125">
        <f>-SUM(Финансирование!M37,Финансирование!M52)</f>
        <v>0</v>
      </c>
      <c s="125">
        <f>-SUM(Финансирование!N37,Финансирование!N52)</f>
        <v>0</v>
      </c>
      <c s="125">
        <f>-SUM(Финансирование!O37,Финансирование!O52)</f>
        <v>0</v>
      </c>
      <c s="125">
        <f>-SUM(Финансирование!P37,Финансирование!P52)</f>
        <v>0</v>
      </c>
      <c s="125">
        <f>-SUM(Финансирование!Q37,Финансирование!Q52)</f>
        <v>0</v>
      </c>
      <c s="125">
        <f>-SUM(Финансирование!R37,Финансирование!R52)</f>
        <v>0</v>
      </c>
      <c s="125">
        <f>-SUM(Финансирование!S37,Финансирование!S52)</f>
        <v>0</v>
      </c>
      <c s="125">
        <f>-SUM(Финансирование!T37,Финансирование!T52)</f>
        <v>0</v>
      </c>
      <c s="125">
        <f>-SUM(Финансирование!U37,Финансирование!U52)</f>
        <v>0</v>
      </c>
      <c s="125">
        <f>-SUM(Финансирование!V37,Финансирование!V52)</f>
        <v>0</v>
      </c>
      <c s="125">
        <f>-SUM(Финансирование!W37,Финансирование!W52)</f>
        <v>0</v>
      </c>
      <c s="125">
        <f>-SUM(Финансирование!X37,Финансирование!X52)</f>
        <v>0</v>
      </c>
      <c s="125">
        <f>-SUM(Финансирование!Y37,Финансирование!Y52)</f>
        <v>0</v>
      </c>
      <c s="125">
        <f>-SUM(Финансирование!Z37,Финансирование!Z52)</f>
        <v>0</v>
      </c>
      <c s="125">
        <f>-SUM(Финансирование!AA37,Финансирование!AA52)</f>
        <v>0</v>
      </c>
      <c s="125">
        <f>-SUM(Финансирование!AB37,Финансирование!AB52)</f>
        <v>0</v>
      </c>
      <c s="125">
        <f>-SUM(Финансирование!AC37,Финансирование!AC52)</f>
        <v>0</v>
      </c>
      <c s="125">
        <f>-SUM(Финансирование!AD37,Финансирование!AD52)</f>
        <v>0</v>
      </c>
      <c s="125">
        <f>-SUM(Финансирование!AE37,Финансирование!AE52)</f>
        <v>0</v>
      </c>
      <c s="125">
        <f>-SUM(Финансирование!AF37,Финансирование!AF52)</f>
        <v>0</v>
      </c>
      <c s="125">
        <f>-SUM(Финансирование!AG37,Финансирование!AG52)</f>
        <v>0</v>
      </c>
      <c s="125">
        <f>-SUM(Финансирование!AH37,Финансирование!AH52)</f>
        <v>0</v>
      </c>
      <c s="125">
        <f>-SUM(Финансирование!AI37,Финансирование!AI52)</f>
        <v>0</v>
      </c>
      <c s="125">
        <f>-SUM(Финансирование!AJ37,Финансирование!AJ52)</f>
        <v>0</v>
      </c>
      <c s="125">
        <f>-SUM(Финансирование!AK37,Финансирование!AK52)</f>
        <v>0</v>
      </c>
      <c s="125">
        <f>-SUM(Финансирование!AL37,Финансирование!AL52)</f>
        <v>0</v>
      </c>
      <c s="125">
        <f>-SUM(Финансирование!AM37,Финансирование!AM52)</f>
        <v>0</v>
      </c>
      <c s="125">
        <f>-SUM(Финансирование!AN37,Финансирование!AN52)</f>
        <v>0</v>
      </c>
      <c s="125">
        <f>-SUM(Финансирование!AO37,Финансирование!AO52)</f>
        <v>0</v>
      </c>
      <c s="125">
        <f>-SUM(Финансирование!AP37,Финансирование!AP52)</f>
        <v>0</v>
      </c>
      <c s="125">
        <f>-SUM(Финансирование!AQ37,Финансирование!AQ52)</f>
        <v>0</v>
      </c>
      <c s="125">
        <f>-SUM(Финансирование!AR37,Финансирование!AR52)</f>
        <v>0</v>
      </c>
      <c s="125">
        <f>-SUM(Финансирование!AS37,Финансирование!AS52)</f>
        <v>0</v>
      </c>
      <c s="125">
        <f>-SUM(Финансирование!AT37,Финансирование!AT52)</f>
        <v>0</v>
      </c>
      <c s="125">
        <f>-SUM(Финансирование!AU37,Финансирование!AU52)</f>
        <v>0</v>
      </c>
      <c s="125">
        <f>-SUM(Финансирование!AV37,Финансирование!AV52)</f>
        <v>0</v>
      </c>
      <c s="125">
        <f>-SUM(Финансирование!AW37,Финансирование!AW52)</f>
        <v>0</v>
      </c>
      <c s="125">
        <f>-SUM(Финансирование!AX37,Финансирование!AX52)</f>
        <v>0</v>
      </c>
      <c s="125">
        <f>-SUM(Финансирование!AY37,Финансирование!AY52)</f>
        <v>0</v>
      </c>
      <c s="125">
        <f>-SUM(Финансирование!AZ37,Финансирование!AZ52)</f>
        <v>0</v>
      </c>
      <c s="125">
        <f>-SUM(Финансирование!BA37,Финансирование!BA52)</f>
        <v>0</v>
      </c>
      <c s="125">
        <f>-SUM(Финансирование!BB37,Финансирование!BB52)</f>
        <v>0</v>
      </c>
      <c s="125">
        <f>-SUM(Финансирование!BC37,Финансирование!BC52)</f>
        <v>0</v>
      </c>
      <c s="125">
        <f>-SUM(Финансирование!BD37,Финансирование!BD52)</f>
        <v>0</v>
      </c>
      <c s="125">
        <f>-SUM(Финансирование!BE37,Финансирование!BE52)</f>
        <v>0</v>
      </c>
      <c s="125">
        <f>-SUM(Финансирование!BF37,Финансирование!BF52)</f>
        <v>0</v>
      </c>
      <c s="125">
        <f>-SUM(Финансирование!BG37,Финансирование!BG52)</f>
        <v>0</v>
      </c>
      <c s="125">
        <f>-SUM(Финансирование!BH37,Финансирование!BH52)</f>
        <v>0</v>
      </c>
      <c s="125">
        <f>-SUM(Финансирование!BI37,Финансирование!BI52)</f>
        <v>0</v>
      </c>
      <c s="125">
        <f>-SUM(Финансирование!BJ37,Финансирование!BJ52)</f>
        <v>0</v>
      </c>
      <c s="125">
        <f>-SUM(Финансирование!BK37,Финансирование!BK52)</f>
        <v>0</v>
      </c>
      <c s="125">
        <f>-SUM(Финансирование!BL37,Финансирование!BL52)</f>
        <v>0</v>
      </c>
      <c s="125">
        <f>-SUM(Финансирование!BM37,Финансирование!BM52)</f>
        <v>0</v>
      </c>
    </row>
    <row r="301" spans="2:65" ht="15" customHeight="1">
      <c r="B301" s="12" t="s">
        <v>1159</v>
      </c>
      <c s="124" t="str">
        <f t="shared" si="643"/>
        <v>тыс. руб.</v>
      </c>
      <c s="125"/>
      <c s="125">
        <f>-'Квартальная отчетность'!E192</f>
        <v>0</v>
      </c>
      <c s="125">
        <f>-'Квартальная отчетность'!F192</f>
        <v>0</v>
      </c>
      <c s="125">
        <f>-'Квартальная отчетность'!G192</f>
        <v>0</v>
      </c>
      <c s="125">
        <f>-'Квартальная отчетность'!H192</f>
        <v>0</v>
      </c>
      <c s="125">
        <f>-'Квартальная отчетность'!I192</f>
        <v>0</v>
      </c>
      <c s="125">
        <f>-'Квартальная отчетность'!J192</f>
        <v>0</v>
      </c>
      <c s="125">
        <f>-'Квартальная отчетность'!K192</f>
        <v>0</v>
      </c>
      <c s="125">
        <f>-'Квартальная отчетность'!L192</f>
        <v>0</v>
      </c>
      <c s="125">
        <f>-'Квартальная отчетность'!M192</f>
        <v>0</v>
      </c>
      <c s="125">
        <f>-'Квартальная отчетность'!N192</f>
        <v>0</v>
      </c>
      <c s="125">
        <f>-'Квартальная отчетность'!O192</f>
        <v>0</v>
      </c>
      <c s="125">
        <f>-'Квартальная отчетность'!P192</f>
        <v>0</v>
      </c>
      <c s="125">
        <f>-'Квартальная отчетность'!Q192</f>
        <v>0</v>
      </c>
      <c s="125">
        <f>-'Квартальная отчетность'!R192</f>
        <v>0</v>
      </c>
      <c s="125">
        <f>-'Квартальная отчетность'!S192</f>
        <v>0</v>
      </c>
      <c s="125">
        <f>-'Квартальная отчетность'!T192</f>
        <v>0</v>
      </c>
      <c s="125">
        <f>-'Квартальная отчетность'!U192</f>
        <v>0</v>
      </c>
      <c s="125">
        <f>-'Квартальная отчетность'!V192</f>
        <v>0</v>
      </c>
      <c s="125">
        <f>-'Квартальная отчетность'!W192</f>
        <v>0</v>
      </c>
      <c s="125">
        <f>-'Квартальная отчетность'!X192</f>
        <v>0</v>
      </c>
      <c s="125">
        <f>-'Квартальная отчетность'!Y192</f>
        <v>0</v>
      </c>
      <c s="125">
        <f>-'Квартальная отчетность'!Z192</f>
        <v>0</v>
      </c>
      <c s="125">
        <f>-'Квартальная отчетность'!AA192</f>
        <v>0</v>
      </c>
      <c s="125">
        <f>-'Квартальная отчетность'!AB192</f>
        <v>0</v>
      </c>
      <c s="125">
        <f>-'Квартальная отчетность'!AC192</f>
        <v>0</v>
      </c>
      <c s="125">
        <f>-'Квартальная отчетность'!AD192</f>
        <v>0</v>
      </c>
      <c s="125">
        <f>-'Квартальная отчетность'!AE192</f>
        <v>0</v>
      </c>
      <c s="125">
        <f>-'Квартальная отчетность'!AF192</f>
        <v>0</v>
      </c>
      <c s="125">
        <f>-'Квартальная отчетность'!AG192</f>
        <v>0</v>
      </c>
      <c s="125">
        <f>-'Квартальная отчетность'!AH192</f>
        <v>0</v>
      </c>
      <c s="125">
        <f>-'Квартальная отчетность'!AI192</f>
        <v>0</v>
      </c>
      <c s="125">
        <f>-'Квартальная отчетность'!AJ192</f>
        <v>0</v>
      </c>
      <c s="125">
        <f>-'Квартальная отчетность'!AK192</f>
        <v>0</v>
      </c>
      <c s="125">
        <f>-'Квартальная отчетность'!AL192</f>
        <v>0</v>
      </c>
      <c s="125">
        <f>-'Квартальная отчетность'!AM192</f>
        <v>0</v>
      </c>
      <c s="125">
        <f>-'Квартальная отчетность'!AN192</f>
        <v>0</v>
      </c>
      <c s="125">
        <f>-'Квартальная отчетность'!AO192</f>
        <v>0</v>
      </c>
      <c s="125">
        <f>-'Квартальная отчетность'!AP192</f>
        <v>0</v>
      </c>
      <c s="125">
        <f>-'Квартальная отчетность'!AQ192</f>
        <v>0</v>
      </c>
      <c s="125">
        <f>-'Квартальная отчетность'!AR192</f>
        <v>0</v>
      </c>
      <c s="125">
        <f>-'Квартальная отчетность'!AS192</f>
        <v>0</v>
      </c>
      <c s="125">
        <f>-'Квартальная отчетность'!AT192</f>
        <v>0</v>
      </c>
      <c s="125">
        <f>-'Квартальная отчетность'!AU192</f>
        <v>0</v>
      </c>
      <c s="125">
        <f>-'Квартальная отчетность'!AV192</f>
        <v>0</v>
      </c>
      <c s="125">
        <f>-'Квартальная отчетность'!AW192</f>
        <v>0</v>
      </c>
      <c s="125">
        <f>-'Квартальная отчетность'!AX192</f>
        <v>0</v>
      </c>
      <c s="125">
        <f>-'Квартальная отчетность'!AY192</f>
        <v>0</v>
      </c>
      <c s="125">
        <f>-'Квартальная отчетность'!AZ192</f>
        <v>0</v>
      </c>
      <c s="125">
        <f>-'Квартальная отчетность'!BA192</f>
        <v>0</v>
      </c>
      <c s="125">
        <f>-'Квартальная отчетность'!BB192</f>
        <v>0</v>
      </c>
      <c s="125">
        <f>-'Квартальная отчетность'!BC192</f>
        <v>0</v>
      </c>
      <c s="125">
        <f>-'Квартальная отчетность'!BD192</f>
        <v>0</v>
      </c>
      <c s="125">
        <f>-'Квартальная отчетность'!BE192</f>
        <v>0</v>
      </c>
      <c s="125">
        <f>-'Квартальная отчетность'!BF192</f>
        <v>0</v>
      </c>
      <c s="125">
        <f>-'Квартальная отчетность'!BG192</f>
        <v>0</v>
      </c>
      <c s="125">
        <f>-'Квартальная отчетность'!BH192</f>
        <v>0</v>
      </c>
      <c s="125">
        <f>-'Квартальная отчетность'!BI192</f>
        <v>0</v>
      </c>
      <c s="125">
        <f>-'Квартальная отчетность'!BJ192</f>
        <v>0</v>
      </c>
      <c s="125">
        <f>-'Квартальная отчетность'!BK192</f>
        <v>0</v>
      </c>
      <c s="125">
        <f>-'Квартальная отчетность'!BL192</f>
        <v>0</v>
      </c>
      <c s="125">
        <f>-'Квартальная отчетность'!BM192</f>
        <v>0</v>
      </c>
    </row>
    <row r="302" spans="2:65" ht="15" customHeight="1">
      <c r="B302" s="12" t="s">
        <v>1160</v>
      </c>
      <c s="124" t="str">
        <f t="shared" si="643"/>
        <v>тыс. руб.</v>
      </c>
      <c s="125"/>
      <c s="125">
        <f>-'Квартальная отчетность'!E152</f>
        <v>0</v>
      </c>
      <c s="125">
        <f>-'Квартальная отчетность'!F152</f>
        <v>0</v>
      </c>
      <c s="125">
        <f>-'Квартальная отчетность'!G152</f>
        <v>0</v>
      </c>
      <c s="125">
        <f>-'Квартальная отчетность'!H152</f>
        <v>0</v>
      </c>
      <c s="125">
        <f>-'Квартальная отчетность'!I152</f>
        <v>0</v>
      </c>
      <c s="125">
        <f>-'Квартальная отчетность'!J152</f>
        <v>0</v>
      </c>
      <c s="125">
        <f>-'Квартальная отчетность'!K152</f>
        <v>0</v>
      </c>
      <c s="125">
        <f>-'Квартальная отчетность'!L152</f>
        <v>0</v>
      </c>
      <c s="125">
        <f>-'Квартальная отчетность'!M152</f>
        <v>0</v>
      </c>
      <c s="125">
        <f>-'Квартальная отчетность'!N152</f>
        <v>0</v>
      </c>
      <c s="125">
        <f>-'Квартальная отчетность'!O152</f>
        <v>0</v>
      </c>
      <c s="125">
        <f>-'Квартальная отчетность'!P152</f>
        <v>0</v>
      </c>
      <c s="125">
        <f>-'Квартальная отчетность'!Q152</f>
        <v>0</v>
      </c>
      <c s="125">
        <f>-'Квартальная отчетность'!R152</f>
        <v>0</v>
      </c>
      <c s="125">
        <f>-'Квартальная отчетность'!S152</f>
        <v>0</v>
      </c>
      <c s="125">
        <f>-'Квартальная отчетность'!T152</f>
        <v>0</v>
      </c>
      <c s="125">
        <f>-'Квартальная отчетность'!U152</f>
        <v>0</v>
      </c>
      <c s="125">
        <f>-'Квартальная отчетность'!V152</f>
        <v>0</v>
      </c>
      <c s="125">
        <f>-'Квартальная отчетность'!W152</f>
        <v>0</v>
      </c>
      <c s="125">
        <f>-'Квартальная отчетность'!X152</f>
        <v>0</v>
      </c>
      <c s="125">
        <f>-'Квартальная отчетность'!Y152</f>
        <v>0</v>
      </c>
      <c s="125">
        <f>-'Квартальная отчетность'!Z152</f>
        <v>0</v>
      </c>
      <c s="125">
        <f>-'Квартальная отчетность'!AA152</f>
        <v>0</v>
      </c>
      <c s="125">
        <f>-'Квартальная отчетность'!AB152</f>
        <v>0</v>
      </c>
      <c s="125">
        <f>-'Квартальная отчетность'!AC152</f>
        <v>0</v>
      </c>
      <c s="125">
        <f>-'Квартальная отчетность'!AD152</f>
        <v>0</v>
      </c>
      <c s="125">
        <f>-'Квартальная отчетность'!AE152</f>
        <v>0</v>
      </c>
      <c s="125">
        <f>-'Квартальная отчетность'!AF152</f>
        <v>0</v>
      </c>
      <c s="125">
        <f>-'Квартальная отчетность'!AG152</f>
        <v>0</v>
      </c>
      <c s="125">
        <f>-'Квартальная отчетность'!AH152</f>
        <v>0</v>
      </c>
      <c s="125">
        <f>-'Квартальная отчетность'!AI152</f>
        <v>0</v>
      </c>
      <c s="125">
        <f>-'Квартальная отчетность'!AJ152</f>
        <v>0</v>
      </c>
      <c s="125">
        <f>-'Квартальная отчетность'!AK152</f>
        <v>0</v>
      </c>
      <c s="125">
        <f>-'Квартальная отчетность'!AL152</f>
        <v>0</v>
      </c>
      <c s="125">
        <f>-'Квартальная отчетность'!AM152</f>
        <v>0</v>
      </c>
      <c s="125">
        <f>-'Квартальная отчетность'!AN152</f>
        <v>0</v>
      </c>
      <c s="125">
        <f>-'Квартальная отчетность'!AO152</f>
        <v>0</v>
      </c>
      <c s="125">
        <f>-'Квартальная отчетность'!AP152</f>
        <v>0</v>
      </c>
      <c s="125">
        <f>-'Квартальная отчетность'!AQ152</f>
        <v>0</v>
      </c>
      <c s="125">
        <f>-'Квартальная отчетность'!AR152</f>
        <v>0</v>
      </c>
      <c s="125">
        <f>-'Квартальная отчетность'!AS152</f>
        <v>0</v>
      </c>
      <c s="125">
        <f>-'Квартальная отчетность'!AT152</f>
        <v>0</v>
      </c>
      <c s="125">
        <f>-'Квартальная отчетность'!AU152</f>
        <v>0</v>
      </c>
      <c s="125">
        <f>-'Квартальная отчетность'!AV152</f>
        <v>0</v>
      </c>
      <c s="125">
        <f>-'Квартальная отчетность'!AW152</f>
        <v>0</v>
      </c>
      <c s="125">
        <f>-'Квартальная отчетность'!AX152</f>
        <v>0</v>
      </c>
      <c s="125">
        <f>-'Квартальная отчетность'!AY152</f>
        <v>0</v>
      </c>
      <c s="125">
        <f>-'Квартальная отчетность'!AZ152</f>
        <v>0</v>
      </c>
      <c s="125">
        <f>-'Квартальная отчетность'!BA152</f>
        <v>0</v>
      </c>
      <c s="125">
        <f>-'Квартальная отчетность'!BB152</f>
        <v>0</v>
      </c>
      <c s="125">
        <f>-'Квартальная отчетность'!BC152</f>
        <v>0</v>
      </c>
      <c s="125">
        <f>-'Квартальная отчетность'!BD152</f>
        <v>0</v>
      </c>
      <c s="125">
        <f>-'Квартальная отчетность'!BE152</f>
        <v>0</v>
      </c>
      <c s="125">
        <f>-'Квартальная отчетность'!BF152</f>
        <v>0</v>
      </c>
      <c s="125">
        <f>-'Квартальная отчетность'!BG152</f>
        <v>0</v>
      </c>
      <c s="125">
        <f>-'Квартальная отчетность'!BH152</f>
        <v>0</v>
      </c>
      <c s="125">
        <f>-'Квартальная отчетность'!BI152</f>
        <v>0</v>
      </c>
      <c s="125">
        <f>-'Квартальная отчетность'!BJ152</f>
        <v>0</v>
      </c>
      <c s="125">
        <f>-'Квартальная отчетность'!BK152</f>
        <v>0</v>
      </c>
      <c s="125">
        <f>-'Квартальная отчетность'!BL152</f>
        <v>0</v>
      </c>
      <c s="125">
        <f>-'Квартальная отчетность'!BM152</f>
        <v>0</v>
      </c>
    </row>
    <row r="303" spans="2:65" ht="15" customHeight="1">
      <c r="B303" s="289" t="s">
        <v>454</v>
      </c>
      <c s="290" t="str">
        <f t="shared" si="643"/>
        <v>тыс. руб.</v>
      </c>
      <c s="276"/>
      <c s="276">
        <f t="shared" si="644" ref="E303:AG303">SUM(E297:E302)</f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4"/>
        <v>0</v>
      </c>
      <c s="276">
        <f t="shared" si="645" ref="AH303:BM303">SUM(AH297:AH302)</f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  <c s="276">
        <f t="shared" si="645"/>
        <v>0</v>
      </c>
    </row>
  </sheetData>
  <sheetProtection algorithmName="SHA-512" hashValue="Qjjvvhi3APh+xkAH0FU1KW1iJgsj7hnBq/vz9x7TLAdro9T2l/LParuI7b1cV7FD63wPRFX9thg5BECMH5MC/Q==" saltValue="lx3UxfrPJcVSnuycZSTyCA==" spinCount="100000" sheet="1" objects="1" scenarios="1"/>
  <mergeCells count="4">
    <mergeCell ref="B6:B8"/>
    <mergeCell ref="C6:C8"/>
    <mergeCell ref="E2:H2"/>
    <mergeCell ref="E4:G4"/>
  </mergeCells>
  <conditionalFormatting sqref="E4">
    <cfRule type="expression" priority="5" dxfId="24">
      <formula>$H$4="Q"</formula>
    </cfRule>
    <cfRule type="expression" priority="6" dxfId="23">
      <formula>$H$4="R"</formula>
    </cfRule>
  </conditionalFormatting>
  <conditionalFormatting sqref="E12:BM12">
    <cfRule type="cellIs" priority="1" dxfId="23" operator="equal">
      <formula>1</formula>
    </cfRule>
  </conditionalFormatting>
  <conditionalFormatting sqref="H4">
    <cfRule type="cellIs" priority="3" dxfId="24" operator="equal">
      <formula>"Q"</formula>
    </cfRule>
    <cfRule type="cellIs" priority="4" dxfId="23" operator="equal">
      <formula>"R"</formula>
    </cfRule>
  </conditionalFormatting>
  <dataValidations count="1">
    <dataValidation type="list" allowBlank="1" showInputMessage="1" showErrorMessage="1" sqref="D32">
      <formula1>$E$8:$BM$8</formula1>
    </dataValidation>
  </dataValidations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1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7">
    <tabColor rgb="FF2A2D4F"/>
  </sheetPr>
  <dimension ref="B5:AD26"/>
  <sheetViews>
    <sheetView showGridLines="0" showRowColHeaders="0" workbookViewId="0" topLeftCell="A1">
      <pane ySplit="5" topLeftCell="A6" activePane="bottomLeft" state="frozen"/>
      <selection pane="topLeft" activeCell="J5" sqref="J5:J6"/>
      <selection pane="bottomLeft" activeCell="B3" sqref="B3"/>
    </sheetView>
  </sheetViews>
  <sheetFormatPr defaultColWidth="0" defaultRowHeight="15" customHeight="1" zeroHeight="1"/>
  <cols>
    <col min="1" max="1" width="2.85714285714286" customWidth="1"/>
    <col min="2" max="2" width="50" customWidth="1"/>
    <col min="3" max="3" width="2.85714285714286" customWidth="1"/>
    <col min="4" max="24" width="15.7142857142857" hidden="1" customWidth="1"/>
    <col min="25" max="25" width="2.85714285714286" hidden="1" customWidth="1"/>
    <col min="26" max="30" width="15.7142857142857" hidden="1" customWidth="1"/>
    <col min="31" max="31" width="2.85714285714286" hidden="1" customWidth="1"/>
    <col min="32" max="46" width="0" hidden="1" customWidth="1"/>
    <col min="47" max="16384" width="9.14285714285714" hidden="1"/>
  </cols>
  <sheetData>
    <row r="1" ht="15" customHeight="1"/>
    <row r="2" ht="14.45"/>
    <row r="3" ht="15" customHeight="1"/>
    <row r="4" ht="15" customHeight="1"/>
    <row r="5" spans="2:30" ht="31.15">
      <c r="B5" s="7" t="s">
        <v>5</v>
      </c>
      <c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ht="15" customHeight="1"/>
    <row r="7" spans="2:2" ht="15" customHeight="1">
      <c r="B7" s="81" t="s">
        <v>6</v>
      </c>
    </row>
    <row r="8" spans="2:2" ht="15" customHeight="1">
      <c r="B8" s="81" t="s">
        <v>7</v>
      </c>
    </row>
    <row r="9" spans="2:2" ht="15" customHeight="1">
      <c r="B9" s="81" t="s">
        <v>8</v>
      </c>
    </row>
    <row r="10" spans="2:2" ht="15" customHeight="1">
      <c r="B10" s="81" t="s">
        <v>9</v>
      </c>
    </row>
    <row r="11" spans="2:2" ht="15" customHeight="1">
      <c r="B11" s="81" t="s">
        <v>10</v>
      </c>
    </row>
    <row r="12" spans="2:2" ht="15" customHeight="1">
      <c r="B12" s="81" t="s">
        <v>11</v>
      </c>
    </row>
    <row r="13" spans="2:2" ht="15" customHeight="1">
      <c r="B13" s="81" t="s">
        <v>12</v>
      </c>
    </row>
    <row r="14" spans="2:2" ht="15" customHeight="1">
      <c r="B14" s="81" t="s">
        <v>13</v>
      </c>
    </row>
    <row r="15" spans="2:2" ht="15" customHeight="1">
      <c r="B15" s="81" t="s">
        <v>14</v>
      </c>
    </row>
    <row r="16" spans="2:2" ht="15" customHeight="1">
      <c r="B16" s="81" t="s">
        <v>15</v>
      </c>
    </row>
    <row r="17" spans="2:2" ht="15" customHeight="1">
      <c r="B17" s="81" t="s">
        <v>16</v>
      </c>
    </row>
    <row r="18" spans="2:2" ht="15" customHeight="1">
      <c r="B18" s="81" t="s">
        <v>17</v>
      </c>
    </row>
    <row r="19" spans="2:2" ht="15" customHeight="1">
      <c r="B19" s="81" t="s">
        <v>18</v>
      </c>
    </row>
    <row r="20" spans="2:2" ht="15" customHeight="1">
      <c r="B20" s="81" t="s">
        <v>19</v>
      </c>
    </row>
    <row r="21" spans="2:2" ht="15" customHeight="1">
      <c r="B21" s="81" t="s">
        <v>20</v>
      </c>
    </row>
    <row r="22" spans="2:2" ht="15" customHeight="1">
      <c r="B22" s="81" t="s">
        <v>21</v>
      </c>
    </row>
    <row r="23" spans="2:2" ht="15" customHeight="1">
      <c r="B23" s="81" t="s">
        <v>22</v>
      </c>
    </row>
    <row r="24" spans="2:2" ht="15" customHeight="1">
      <c r="B24" s="81" t="s">
        <v>23</v>
      </c>
    </row>
    <row r="25" spans="2:2" ht="15" customHeight="1">
      <c r="B25" s="81" t="s">
        <v>24</v>
      </c>
    </row>
    <row r="26" spans="2:2" ht="15" customHeight="1">
      <c r="B26" s="81" t="s">
        <v>25</v>
      </c>
    </row>
    <row r="27" ht="15" customHeight="1"/>
  </sheetData>
  <sheetProtection algorithmName="SHA-512" hashValue="PazT7DNQ1wqoUhEoEKl81GQXp8Sg9Qp3sB5gJRvmnb1StPHt0kuPyQI7+EGZ+bpo9eKViLhr0EJcuwkZDzL3pw==" saltValue="vs89A355Po9b6z2f/tFNCQ==" spinCount="100000" sheet="1" objects="1" scenarios="1"/>
  <hyperlinks>
    <hyperlink ref="B10" location="'Параметры займа'!A1" tooltip="Перейти на лист" display="Параметры займа"/>
    <hyperlink ref="B11" location="Предпосылки!A1" tooltip="Перейти на лист" display="Предпосылки"/>
    <hyperlink ref="B12" location="Источники!A1" tooltip="Перейти на лист" display="Источники"/>
    <hyperlink ref="B13" location="'Капитальные вложения'!A1" tooltip="Перейти на лист" display="Капитальные вложения"/>
    <hyperlink ref="B14" location="Продажи!A1" tooltip="Перейти на лист" display="Продажи"/>
    <hyperlink ref="B15" location="'Операционные затраты'!A1" tooltip="Перейти на лист" display="Операционные затраты"/>
    <hyperlink ref="B16" location="ФОТ!A1" tooltip="Перейти на лист" display="ФОТ"/>
    <hyperlink ref="B17" location="'Оборотный капитал'!A1" tooltip="Перейти на лист" display="Оборотный капитал"/>
    <hyperlink ref="B18" location="Налоги!A1" tooltip="Перейти на лист" display="Налоги"/>
    <hyperlink ref="B19" location="Финансирование!A1" tooltip="Перейти на лист" display="Финансирование"/>
    <hyperlink ref="B20" location="'Квартальная отчетность'!A1" tooltip="Перейти на лист" display="Квартальная отчетность"/>
    <hyperlink ref="B21" location="'Годовая отчетность'!A1" tooltip="Перейти на лист" display="Годовая отчетность"/>
    <hyperlink ref="B22" location="Показатели!A1" tooltip="Перейти на лист" display="Показатели"/>
    <hyperlink ref="B23" location="Чувствительность!A1" tooltip="Перейти на лист" display="Чувствительность"/>
    <hyperlink ref="B24" location="Графики!A1" tooltip="Перейти на лист" display="Графики"/>
    <hyperlink ref="B25" location="Выводы!A1" tooltip="Перейти на лист" display="Выводы"/>
    <hyperlink ref="B26" location="Проверка!A1" tooltip="Перейти на лист" display="Проверка"/>
    <hyperlink ref="B9" location="Руководство!A1" tooltip="Перейти на лист" display="Руководство"/>
    <hyperlink ref="B8" location="'Программы финансирования'!A1" tooltip="Перейти на лист" display="Программы финансирования"/>
    <hyperlink ref="B7" location="Обращение!A1" tooltip="Перейти на лист" display="Обращение"/>
  </hyperlinks>
  <pageMargins left="0.7" right="0.7" top="0.75" bottom="0.75" header="0.3" footer="0.3"/>
  <pageSetup orientation="portrait" paperSize="9" r:id="rId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9">
    <tabColor rgb="FFC8E6E5"/>
    <pageSetUpPr fitToPage="1"/>
  </sheetPr>
  <dimension ref="B2:AH49"/>
  <sheetViews>
    <sheetView showGridLines="0" zoomScale="130" zoomScaleNormal="130" workbookViewId="0" topLeftCell="A1">
      <pane ySplit="5" topLeftCell="A6" activePane="bottomLeft" state="frozen"/>
      <selection pane="topLeft" activeCell="K3" sqref="K3"/>
      <selection pane="bottomLeft" activeCell="E13" sqref="E13"/>
    </sheetView>
  </sheetViews>
  <sheetFormatPr defaultColWidth="0" defaultRowHeight="15" customHeight="1" zeroHeight="1"/>
  <cols>
    <col min="1" max="1" width="2.71428571428571" customWidth="1"/>
    <col min="2" max="2" width="53.2857142857143" customWidth="1"/>
    <col min="3" max="15" width="17.7142857142857" customWidth="1"/>
    <col min="16" max="16" width="2.71428571428571" customWidth="1"/>
    <col min="17" max="28" width="15.7142857142857" hidden="1" customWidth="1"/>
    <col min="29" max="29" width="2.85714285714286" hidden="1" customWidth="1"/>
    <col min="30" max="34" width="15.7142857142857" hidden="1" customWidth="1"/>
    <col min="35" max="35" width="2.85714285714286" hidden="1" customWidth="1"/>
    <col min="36" max="46" width="0" hidden="1" customWidth="1"/>
    <col min="47" max="16384" width="9.14285714285714" hidden="1"/>
  </cols>
  <sheetData>
    <row r="1" ht="15" customHeight="1"/>
    <row r="2" spans="5:8" ht="14.45" customHeight="1">
      <c r="E2" s="566" t="s">
        <v>424</v>
      </c>
      <c s="566"/>
      <c s="566"/>
      <c s="566"/>
    </row>
    <row r="3" spans="5:8" ht="15" customHeight="1">
      <c r="E3" s="63" t="s">
        <v>8</v>
      </c>
      <c s="63" t="s">
        <v>9</v>
      </c>
      <c s="63" t="s">
        <v>10</v>
      </c>
      <c s="63" t="s">
        <v>24</v>
      </c>
    </row>
    <row r="4" spans="5:8" ht="15" customHeight="1">
      <c r="E4" s="596" t="str">
        <f ca="1">IF(H4="R","Все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34" ht="31.15">
      <c r="B5" s="7" t="s">
        <v>22</v>
      </c>
      <c s="7"/>
      <c r="E5" s="7"/>
      <c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15" ht="15" customHeight="1">
      <c r="B6" s="255" t="s">
        <v>53</v>
      </c>
      <c s="255" t="s">
        <v>599</v>
      </c>
      <c s="86"/>
      <c s="86"/>
      <c s="86"/>
      <c s="86"/>
      <c s="86"/>
      <c s="86"/>
      <c r="K6" s="86"/>
      <c s="86"/>
      <c s="86"/>
      <c s="86"/>
      <c s="86"/>
    </row>
    <row r="7" spans="2:15" ht="15" customHeight="1">
      <c r="B7" s="101" t="s">
        <v>1161</v>
      </c>
      <c s="297" t="s">
        <v>410</v>
      </c>
      <c s="86"/>
      <c s="86"/>
      <c s="86"/>
      <c s="86"/>
      <c s="86"/>
      <c s="86"/>
      <c s="86"/>
      <c s="86"/>
      <c s="86"/>
      <c s="86"/>
      <c s="86"/>
      <c s="86"/>
    </row>
    <row r="8" spans="2:15" ht="15" customHeight="1">
      <c r="B8" s="101" t="s">
        <v>1162</v>
      </c>
      <c s="297" t="s">
        <v>410</v>
      </c>
      <c s="86"/>
      <c s="86"/>
      <c s="86"/>
      <c s="86"/>
      <c s="86"/>
      <c s="86"/>
      <c s="86"/>
      <c s="86"/>
      <c s="86"/>
      <c s="86"/>
      <c s="86"/>
      <c s="86"/>
    </row>
    <row r="9" spans="2:15" ht="15" customHeight="1">
      <c r="B9" s="100"/>
      <c s="100"/>
      <c s="86"/>
      <c s="86"/>
      <c s="86"/>
      <c s="86"/>
      <c s="86"/>
      <c s="379"/>
      <c s="86"/>
      <c s="86"/>
      <c s="86"/>
      <c s="86"/>
      <c s="86"/>
      <c s="86"/>
    </row>
    <row r="10" spans="2:15" ht="15" customHeight="1">
      <c r="B10" s="100" t="s">
        <v>1163</v>
      </c>
      <c s="100"/>
      <c s="86"/>
      <c s="86"/>
      <c s="86"/>
      <c s="86"/>
      <c s="86"/>
      <c s="86"/>
      <c s="86"/>
      <c s="86"/>
      <c s="86"/>
      <c s="86"/>
      <c s="86"/>
      <c s="86"/>
    </row>
    <row r="11" spans="2:15" ht="15" customHeight="1">
      <c r="B11" s="261" t="s">
        <v>1164</v>
      </c>
      <c s="261" t="s">
        <v>21</v>
      </c>
      <c s="261" t="s">
        <v>1165</v>
      </c>
      <c s="450" t="s">
        <v>1166</v>
      </c>
      <c s="451"/>
      <c s="451"/>
      <c s="451"/>
      <c s="451"/>
      <c s="451"/>
      <c s="451"/>
      <c s="451"/>
      <c s="451"/>
      <c s="451"/>
      <c s="452"/>
    </row>
    <row r="12" spans="2:15" ht="15" customHeight="1">
      <c r="B12" s="612" t="s">
        <v>1167</v>
      </c>
      <c s="119"/>
      <c s="120">
        <v>0</v>
      </c>
      <c s="224">
        <v>-0.25</v>
      </c>
      <c s="193">
        <v>-0.20000000000000001</v>
      </c>
      <c s="193">
        <v>-0.14999999999999999</v>
      </c>
      <c s="193">
        <v>-0.10000000000000001</v>
      </c>
      <c s="193">
        <v>-0.050000000000000003</v>
      </c>
      <c s="194">
        <v>0</v>
      </c>
      <c s="193">
        <v>0.050000000000000003</v>
      </c>
      <c s="193">
        <v>0.10000000000000001</v>
      </c>
      <c s="193">
        <v>0.14999999999999999</v>
      </c>
      <c s="193">
        <v>0.20000000000000001</v>
      </c>
      <c s="193">
        <v>0.25</v>
      </c>
    </row>
    <row r="13" spans="2:15" ht="15" customHeight="1">
      <c r="B13" s="610"/>
      <c s="101" t="s">
        <v>1168</v>
      </c>
      <c s="87">
        <f ca="1">IF($C$7="нет",IF($C$8="да",Показатели!$D$34,Показатели!$D$33),IF($C$8="да",Показатели!$D$57,Показатели!$D$56))</f>
        <v>-0.00095709700890973413</v>
      </c>
      <c s="295">
        <f t="dataTable" ref="E13:O15" dt2D="0" dtr="0" r1="D12"/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</row>
    <row r="14" spans="2:15" ht="15" customHeight="1">
      <c r="B14" s="610"/>
      <c s="101" t="s">
        <v>1169</v>
      </c>
      <c s="87" t="str">
        <f ca="1">IF($C$7="нет",Показатели!$D$38,Показатели!$D$61)</f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</row>
    <row r="15" spans="2:15" ht="15" customHeight="1">
      <c r="B15" s="611"/>
      <c s="101" t="s">
        <v>1170</v>
      </c>
      <c s="87">
        <f ca="1">ROUND(MIN('Квартальная отчетность'!E360:OFFSET('Квартальная отчетность'!$E$360,0,MATCH(0,'Квартальная отчетность'!E12:BM12,0)-2,,)),2)</f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</row>
    <row r="16" spans="2:15" ht="15" customHeight="1">
      <c r="B16" s="512" t="s">
        <v>1171</v>
      </c>
      <c s="101"/>
      <c s="102">
        <v>0</v>
      </c>
      <c s="224">
        <v>-0.25</v>
      </c>
      <c s="193">
        <v>-0.20000000000000001</v>
      </c>
      <c s="193">
        <v>-0.14999999999999999</v>
      </c>
      <c s="193">
        <v>-0.10000000000000001</v>
      </c>
      <c s="193">
        <v>-0.050000000000000003</v>
      </c>
      <c s="195">
        <v>0</v>
      </c>
      <c s="193">
        <v>0.050000000000000003</v>
      </c>
      <c s="193">
        <v>0.10000000000000001</v>
      </c>
      <c s="193">
        <v>0.14999999999999999</v>
      </c>
      <c s="193">
        <v>0.20000000000000001</v>
      </c>
      <c s="193">
        <v>0.25</v>
      </c>
    </row>
    <row r="17" spans="2:15" ht="15" customHeight="1">
      <c r="B17" s="610"/>
      <c s="101" t="s">
        <v>1168</v>
      </c>
      <c s="87">
        <f ca="1">IF($C$7="нет",IF($C$8="да",Показатели!$D$34,Показатели!$D$33),IF($C$8="да",Показатели!$D$57,Показатели!$D$56))</f>
        <v>-0.00095709700890973413</v>
      </c>
      <c s="295">
        <f t="dataTable" ref="E17:O19" dt2D="0" dtr="0" r1="D16"/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</row>
    <row r="18" spans="2:15" ht="15" customHeight="1">
      <c r="B18" s="610"/>
      <c s="101" t="s">
        <v>1169</v>
      </c>
      <c s="87" t="str">
        <f ca="1">IF($C$7="нет",Показатели!$D$38,Показатели!$D$61)</f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</row>
    <row r="19" spans="2:15" ht="15" customHeight="1">
      <c r="B19" s="611"/>
      <c s="101" t="s">
        <v>1170</v>
      </c>
      <c s="87">
        <f ca="1">ROUND(MIN('Квартальная отчетность'!E360:OFFSET('Квартальная отчетность'!$E$360,0,MATCH(0,'Квартальная отчетность'!E12:BM12,0)-2,,)),2)</f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</row>
    <row r="20" spans="2:15" ht="15" customHeight="1">
      <c r="B20" s="512" t="s">
        <v>1172</v>
      </c>
      <c s="101"/>
      <c s="102">
        <v>0</v>
      </c>
      <c s="224">
        <v>-0.25</v>
      </c>
      <c s="193">
        <v>-0.20000000000000001</v>
      </c>
      <c s="193">
        <v>-0.14999999999999999</v>
      </c>
      <c s="193">
        <v>-0.10000000000000001</v>
      </c>
      <c s="193">
        <v>-0.050000000000000003</v>
      </c>
      <c s="195">
        <v>0</v>
      </c>
      <c s="193">
        <v>0.050000000000000003</v>
      </c>
      <c s="193">
        <v>0.10000000000000001</v>
      </c>
      <c s="193">
        <v>0.14999999999999999</v>
      </c>
      <c s="193">
        <v>0.20000000000000001</v>
      </c>
      <c s="193">
        <v>0.25</v>
      </c>
    </row>
    <row r="21" spans="2:15" ht="15" customHeight="1">
      <c r="B21" s="610"/>
      <c s="101" t="s">
        <v>1168</v>
      </c>
      <c s="87">
        <f ca="1">IF($C$7="нет",IF($C$8="да",Показатели!$D$34,Показатели!$D$33),IF($C$8="да",Показатели!$D$57,Показатели!$D$56))</f>
        <v>-0.00095709700890973413</v>
      </c>
      <c s="295">
        <f t="dataTable" ref="E21:O23" dt2D="0" dtr="0" r1="D20"/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</row>
    <row r="22" spans="2:15" ht="15" customHeight="1">
      <c r="B22" s="610"/>
      <c s="101" t="s">
        <v>1169</v>
      </c>
      <c s="87" t="str">
        <f ca="1">IF($C$7="нет",Показатели!$D$38,Показатели!$D$61)</f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</row>
    <row r="23" spans="2:15" ht="15" customHeight="1">
      <c r="B23" s="611"/>
      <c s="101" t="s">
        <v>1170</v>
      </c>
      <c s="87">
        <f ca="1">ROUND(MIN('Квартальная отчетность'!E360:OFFSET('Квартальная отчетность'!$E$360,0,MATCH(0,'Квартальная отчетность'!E12:BM12,0)-2,,)),2)</f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</row>
    <row r="24" spans="2:15" ht="15" customHeight="1">
      <c r="B24" s="512" t="s">
        <v>1173</v>
      </c>
      <c s="101"/>
      <c s="102">
        <v>0</v>
      </c>
      <c s="224">
        <v>-0.25</v>
      </c>
      <c s="193">
        <v>-0.20000000000000001</v>
      </c>
      <c s="193">
        <v>-0.14999999999999999</v>
      </c>
      <c s="193">
        <v>-0.10000000000000001</v>
      </c>
      <c s="193">
        <v>-0.050000000000000003</v>
      </c>
      <c s="195">
        <v>0</v>
      </c>
      <c s="193">
        <v>0.050000000000000003</v>
      </c>
      <c s="193">
        <v>0.10000000000000001</v>
      </c>
      <c s="193">
        <v>0.14999999999999999</v>
      </c>
      <c s="193">
        <v>0.20000000000000001</v>
      </c>
      <c s="193">
        <v>0.25</v>
      </c>
    </row>
    <row r="25" spans="2:15" ht="15" customHeight="1">
      <c r="B25" s="610"/>
      <c s="101" t="s">
        <v>1168</v>
      </c>
      <c s="87">
        <f ca="1">IF($C$7="нет",IF($C$8="да",Показатели!$D$34,Показатели!$D$33),IF($C$8="да",Показатели!$D$57,Показатели!$D$56))</f>
        <v>-0.00095709700890973413</v>
      </c>
      <c s="295">
        <f t="dataTable" ref="E25:O27" dt2D="0" dtr="0" r1="D24"/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</row>
    <row r="26" spans="2:15" ht="15" customHeight="1">
      <c r="B26" s="610"/>
      <c s="101" t="s">
        <v>1169</v>
      </c>
      <c s="87" t="str">
        <f ca="1">IF($C$7="нет",Показатели!$D$38,Показатели!$D$61)</f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</row>
    <row r="27" spans="2:15" ht="15" customHeight="1">
      <c r="B27" s="611"/>
      <c s="101" t="s">
        <v>1170</v>
      </c>
      <c s="87">
        <f ca="1">ROUND(MIN('Квартальная отчетность'!E360:OFFSET('Квартальная отчетность'!$E$360,0,MATCH(0,'Квартальная отчетность'!E12:BM12,0)-2,,)),2)</f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</row>
    <row r="28" spans="2:15" ht="15" customHeight="1">
      <c r="B28" s="512" t="s">
        <v>1174</v>
      </c>
      <c s="101"/>
      <c s="102">
        <v>0</v>
      </c>
      <c s="224">
        <v>-0.25</v>
      </c>
      <c s="193">
        <v>-0.20000000000000001</v>
      </c>
      <c s="193">
        <v>-0.14999999999999999</v>
      </c>
      <c s="193">
        <v>-0.10000000000000001</v>
      </c>
      <c s="193">
        <v>-0.050000000000000003</v>
      </c>
      <c s="195">
        <v>0</v>
      </c>
      <c s="193">
        <v>0.050000000000000003</v>
      </c>
      <c s="193">
        <v>0.10000000000000001</v>
      </c>
      <c s="193">
        <v>0.14999999999999999</v>
      </c>
      <c s="193">
        <v>0.20000000000000001</v>
      </c>
      <c s="193">
        <v>0.25</v>
      </c>
    </row>
    <row r="29" spans="2:15" ht="15" customHeight="1">
      <c r="B29" s="610"/>
      <c s="101" t="s">
        <v>1168</v>
      </c>
      <c s="87">
        <f ca="1">IF($C$7="нет",IF($C$8="да",Показатели!$D$34,Показатели!$D$33),IF($C$8="да",Показатели!$D$57,Показатели!$D$56))</f>
        <v>-0.00095709700890973413</v>
      </c>
      <c s="295">
        <f t="dataTable" ref="E29:O31" dt2D="0" dtr="0" r1="D28"/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  <c s="295">
        <v>-0.00095709700890973413</v>
      </c>
    </row>
    <row r="30" spans="2:15" ht="15" customHeight="1">
      <c r="B30" s="610"/>
      <c s="101" t="s">
        <v>1169</v>
      </c>
      <c s="87" t="str">
        <f ca="1">IF($C$7="нет",Показатели!$D$38,Показатели!$D$61)</f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</row>
    <row r="31" spans="2:15" ht="15" customHeight="1">
      <c r="B31" s="611"/>
      <c s="101" t="s">
        <v>1170</v>
      </c>
      <c s="87">
        <f ca="1">ROUND(MIN('Квартальная отчетность'!E360:OFFSET('Квартальная отчетность'!$E$360,0,MATCH(0,'Квартальная отчетность'!E12:BM12,0)-2,,)),2)</f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  <c s="295">
        <v>0</v>
      </c>
    </row>
    <row r="32" spans="2:15" ht="15" customHeight="1">
      <c r="B32" s="512" t="s">
        <v>1175</v>
      </c>
      <c s="101"/>
      <c s="102">
        <v>0</v>
      </c>
      <c s="224">
        <v>-0.25</v>
      </c>
      <c s="193">
        <v>-0.20000000000000001</v>
      </c>
      <c s="193">
        <v>-0.14999999999999999</v>
      </c>
      <c s="193">
        <v>-0.10000000000000001</v>
      </c>
      <c s="193">
        <v>-0.050000000000000003</v>
      </c>
      <c s="195">
        <v>0</v>
      </c>
      <c s="193">
        <v>0.050000000000000003</v>
      </c>
      <c s="193">
        <v>0.10000000000000001</v>
      </c>
      <c s="193">
        <v>0.14999999999999999</v>
      </c>
      <c s="193">
        <v>0.20000000000000001</v>
      </c>
      <c s="193">
        <v>0.25</v>
      </c>
    </row>
    <row r="33" spans="2:15" ht="15" customHeight="1">
      <c r="B33" s="610"/>
      <c s="101" t="s">
        <v>1168</v>
      </c>
      <c s="87">
        <f ca="1">IF($C$7="нет",IF($C$8="да",Показатели!$D$34,Показатели!$D$33),IF($C$8="да",Показатели!$D$57,Показатели!$D$56))</f>
        <v>-0.00095709700890973413</v>
      </c>
      <c s="295">
        <f t="dataTable" ref="E33:O34" dt2D="0" dtr="0" r1="D32"/>
        <v>-0.00096747388982857936</v>
      </c>
      <c s="295">
        <v>-0.00096538055155010816</v>
      </c>
      <c s="295">
        <v>-0.00096329625249041658</v>
      </c>
      <c s="295">
        <v>-0.00096122093422742777</v>
      </c>
      <c s="295">
        <v>-0.00095915453884143928</v>
      </c>
      <c s="295">
        <v>-0.00095709700890973413</v>
      </c>
      <c s="295">
        <v>-0.00095504828750126206</v>
      </c>
      <c s="295">
        <v>-0.00095300831817138852</v>
      </c>
      <c s="295">
        <v>-0.00095097704495671032</v>
      </c>
      <c s="295">
        <v>-0.00094895441236993909</v>
      </c>
      <c s="295">
        <v>-0.00094694036539484715</v>
      </c>
    </row>
    <row r="34" spans="2:15" ht="15" customHeight="1">
      <c r="B34" s="611"/>
      <c s="101" t="s">
        <v>1169</v>
      </c>
      <c s="87" t="str">
        <f ca="1">IF($C$7="нет",Показатели!$D$38,Показатели!$D$61)</f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  <c s="296" t="str">
        <v>не окупается</v>
      </c>
    </row>
    <row r="35" spans="2:3" ht="15" customHeight="1">
      <c r="B35" s="30"/>
      <c s="30"/>
    </row>
    <row r="36" spans="2:3" ht="15" customHeight="1" hidden="1">
      <c r="B36" s="30"/>
      <c s="30"/>
    </row>
    <row r="37" spans="2:3" ht="15" customHeight="1" hidden="1">
      <c r="B37" s="30"/>
      <c s="30"/>
    </row>
    <row r="38" spans="2:3" ht="15" customHeight="1" hidden="1">
      <c r="B38" s="30"/>
      <c s="30"/>
    </row>
    <row r="39" spans="2:3" ht="15" customHeight="1" hidden="1">
      <c r="B39" s="30"/>
      <c s="30"/>
    </row>
    <row r="40" spans="2:3" ht="15" customHeight="1" hidden="1">
      <c r="B40" s="30"/>
      <c s="30"/>
    </row>
    <row r="41" spans="2:3" ht="15" customHeight="1" hidden="1">
      <c r="B41" s="30"/>
      <c s="30"/>
    </row>
    <row r="42" spans="2:3" ht="15" customHeight="1" hidden="1">
      <c r="B42" s="30"/>
      <c s="30"/>
    </row>
    <row r="43" spans="2:3" ht="15" customHeight="1" hidden="1">
      <c r="B43" s="30"/>
      <c s="30"/>
    </row>
    <row r="44" spans="2:3" ht="15" customHeight="1" hidden="1">
      <c r="B44" s="30"/>
      <c s="30"/>
    </row>
    <row r="45" spans="2:3" ht="15" customHeight="1" hidden="1">
      <c r="B45" s="30"/>
      <c s="30"/>
    </row>
    <row r="46" spans="2:3" ht="15" customHeight="1" hidden="1">
      <c r="B46" s="30"/>
      <c s="30"/>
    </row>
    <row r="47" spans="2:3" ht="15" customHeight="1" hidden="1">
      <c r="B47" s="30"/>
      <c s="30"/>
    </row>
    <row r="48" spans="2:3" ht="15" customHeight="1" hidden="1">
      <c r="B48" s="30"/>
      <c s="30"/>
    </row>
    <row r="49" spans="2:3" ht="15" customHeight="1" hidden="1">
      <c r="B49" s="30"/>
      <c s="30"/>
    </row>
  </sheetData>
  <sheetProtection algorithmName="SHA-512" hashValue="Mt3KLgWYFYEWo8w1cAjR0h21ifwplflZAz7XEK5xKGJMw2KFjnMHhcenJwcVQ/oX9ooCjqY+L+amK86NjD3yBw==" saltValue="C6rhtcpJbB0R8KF0BOoY2A==" spinCount="100000" sheet="1" objects="1" scenarios="1"/>
  <mergeCells count="9">
    <mergeCell ref="E2:H2"/>
    <mergeCell ref="E4:G4"/>
    <mergeCell ref="E11:O11"/>
    <mergeCell ref="B32:B34"/>
    <mergeCell ref="B12:B15"/>
    <mergeCell ref="B16:B19"/>
    <mergeCell ref="B28:B31"/>
    <mergeCell ref="B24:B27"/>
    <mergeCell ref="B20:B23"/>
  </mergeCells>
  <conditionalFormatting sqref="E4">
    <cfRule type="expression" priority="5" dxfId="24">
      <formula>$H$4="Q"</formula>
    </cfRule>
    <cfRule type="expression" priority="6" dxfId="23">
      <formula>$H$4="R"</formula>
    </cfRule>
  </conditionalFormatting>
  <conditionalFormatting sqref="H4">
    <cfRule type="cellIs" priority="3" dxfId="24" operator="equal">
      <formula>"Q"</formula>
    </cfRule>
    <cfRule type="cellIs" priority="4" dxfId="23" operator="equal">
      <formula>"R"</formula>
    </cfRule>
  </conditionalFormatting>
  <dataValidations count="11">
    <dataValidation type="list" allowBlank="1" showInputMessage="1" showErrorMessage="1" sqref="C7:C8">
      <formula1>"да,нет"</formula1>
    </dataValidation>
    <dataValidation type="list" allowBlank="1" showInputMessage="1" showErrorMessage="1" sqref="K12 K32 K16 K20 K24 K28">
      <formula1>"1%,2%,3%,4%,5%"</formula1>
    </dataValidation>
    <dataValidation type="list" allowBlank="1" showInputMessage="1" showErrorMessage="1" sqref="L12 L32 L16 L20 L24 L28">
      <formula1>"6%,7%,8%,9%,10%"</formula1>
    </dataValidation>
    <dataValidation type="list" allowBlank="1" showInputMessage="1" showErrorMessage="1" sqref="M12 M16 M20 M24 M28 M32">
      <formula1>"11%,12%,13%,14%,15%"</formula1>
    </dataValidation>
    <dataValidation type="list" allowBlank="1" showInputMessage="1" showErrorMessage="1" sqref="N12 N16 N20 N24 N28 N32">
      <formula1>"16%,17%,18%,19%,20%"</formula1>
    </dataValidation>
    <dataValidation type="list" allowBlank="1" showInputMessage="1" showErrorMessage="1" sqref="F12 F16 F20 F24 F28 F32">
      <formula1>"-20%,-19%,-18%,-17%,-16%"</formula1>
    </dataValidation>
    <dataValidation type="list" allowBlank="1" showInputMessage="1" showErrorMessage="1" sqref="G12 G16 G20 G24 G28 G32">
      <formula1>"-15%,-14%,-13%,-12%,-11%,"</formula1>
    </dataValidation>
    <dataValidation type="list" allowBlank="1" showInputMessage="1" showErrorMessage="1" sqref="H12 H16 H20 H24 H28 H32">
      <formula1>"-10%,-9%,-8%,-7%,-6%"</formula1>
    </dataValidation>
    <dataValidation type="list" allowBlank="1" showInputMessage="1" showErrorMessage="1" sqref="I12 I16 I20 I24 I28 I32">
      <formula1>"-5%,-4%,-3%,-2%,-1%"</formula1>
    </dataValidation>
    <dataValidation type="list" allowBlank="1" showInputMessage="1" showErrorMessage="1" sqref="E12 E32 E16 E20 E24 E28">
      <formula1>"-50%,-49%,-48%,-47%,-46%,-45%,-44%,-43%,-42%,-41%,-40%,-39%,-38%,-37%,-36%,-35%,-34%,-33%,-32%,-31%,-30%,-29%,-28%,-27%,-26%,-25%,-24%,-23%,-22%,-21%,"</formula1>
    </dataValidation>
    <dataValidation type="list" allowBlank="1" showInputMessage="1" showErrorMessage="1" sqref="O12 O32 O16 O20 O24 O28">
      <formula1>"21%,22%,23%,24%,25%,26%,27%,28%,29%,30%,31%,32%,33%,34%,35%,36%,37%,38%,39%,40%,41%,42%,43%,44%,45%,46%,47%,48%,49%,50%"</formula1>
    </dataValidation>
  </dataValidations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45" r:id="rId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15e65f5a-4830-422c-b831-0ee7dcbbad2e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E12 O12 G12:M12 G16:M16 G20:M20 G24:M24 G28:M28 G32:M32 E16 E20 E24 E28 E32 O16 O20 O24 O28 O32</xm:sqref>
        </x14:conditionalFormatting>
        <x14:conditionalFormatting xmlns:xm="http://schemas.microsoft.com/office/excel/2006/main">
          <x14:cfRule type="iconSet" priority="7" id="{2104ff98-b4f3-4ad1-b427-95e44732fec6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F12 F16 F20 F24 F28 F32</xm:sqref>
        </x14:conditionalFormatting>
        <x14:conditionalFormatting xmlns:xm="http://schemas.microsoft.com/office/excel/2006/main">
          <x14:cfRule type="iconSet" priority="8" id="{c7995d78-a4dd-4d18-b25f-b8d2b77e2fde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N12 N16 N20 N24 N28 N32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0">
    <tabColor rgb="FFC8E6E5"/>
    <pageSetUpPr fitToPage="1"/>
  </sheetPr>
  <dimension ref="B2:AS149"/>
  <sheetViews>
    <sheetView showGridLines="0" workbookViewId="0" topLeftCell="A1">
      <pane ySplit="5" topLeftCell="A6" activePane="bottomLeft" state="frozen"/>
      <selection pane="topLeft" activeCell="K3" sqref="K3"/>
      <selection pane="bottomLeft" activeCell="D5" sqref="D5"/>
    </sheetView>
  </sheetViews>
  <sheetFormatPr defaultColWidth="0" defaultRowHeight="15" customHeight="1" zeroHeight="1"/>
  <cols>
    <col min="1" max="1" width="2.71428571428571" customWidth="1"/>
    <col min="2" max="2" width="44" customWidth="1"/>
    <col min="3" max="17" width="18.8571428571429" customWidth="1"/>
    <col min="18" max="18" width="2.71428571428571" customWidth="1"/>
    <col min="19" max="39" width="15.7142857142857" hidden="1" customWidth="1"/>
    <col min="40" max="40" width="2.85714285714286" hidden="1" customWidth="1"/>
    <col min="41" max="45" width="15.7142857142857" hidden="1" customWidth="1"/>
    <col min="46" max="46" width="2.85714285714286" hidden="1" customWidth="1"/>
    <col min="47" max="60" width="0" hidden="1" customWidth="1"/>
    <col min="61" max="16384" width="9.14285714285714" hidden="1"/>
  </cols>
  <sheetData>
    <row r="1" ht="15" customHeight="1"/>
    <row r="2" spans="3:17" ht="14.45" customHeight="1">
      <c r="C2" s="613" t="s">
        <v>971</v>
      </c>
      <c s="656" t="str">
        <f>IF(ISBLANK(Имя_Проекта),"&lt;...&gt;",Имя_Проекта&amp;" - "&amp;Программа)</f>
        <v>&lt;...&gt;</v>
      </c>
      <c s="656"/>
      <c s="656"/>
      <c s="656"/>
      <c s="656"/>
      <c s="656"/>
      <c s="656"/>
      <c s="656"/>
      <c s="656"/>
      <c s="657"/>
      <c s="658"/>
      <c s="658"/>
      <c s="658"/>
      <c s="658"/>
    </row>
    <row r="3" spans="3:17" ht="15" customHeight="1">
      <c r="C3" s="614"/>
      <c s="659"/>
      <c s="659"/>
      <c s="659"/>
      <c s="659"/>
      <c s="659"/>
      <c s="659"/>
      <c s="659"/>
      <c s="659"/>
      <c s="659"/>
      <c s="660"/>
      <c s="658"/>
      <c s="658"/>
      <c s="658"/>
      <c s="658"/>
    </row>
    <row r="4" ht="15" customHeight="1"/>
    <row r="5" spans="2:45" ht="31.15">
      <c r="B5" s="7" t="s">
        <v>23</v>
      </c>
      <c s="7"/>
      <c s="7"/>
      <c s="7"/>
      <c s="7"/>
      <c s="7"/>
      <c s="7"/>
      <c s="7"/>
      <c s="7"/>
      <c s="7"/>
      <c s="7"/>
      <c r="R5" s="7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ht="15" customHeight="1"/>
    <row r="7" spans="2:2" ht="21">
      <c r="B7" s="23" t="s">
        <v>1176</v>
      </c>
    </row>
    <row r="8" spans="2:2" ht="15" customHeight="1">
      <c r="B8" s="24" t="str">
        <f>Единица_измерения</f>
        <v>тыс. руб.</v>
      </c>
    </row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spans="2:2" ht="21">
      <c r="B35" s="23" t="s">
        <v>1177</v>
      </c>
    </row>
    <row r="36" spans="2:2" ht="15" customHeight="1">
      <c r="B36" s="24" t="str">
        <f>Единица_измерения</f>
        <v>тыс. руб.</v>
      </c>
    </row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spans="2:2" ht="21">
      <c r="B63" s="23" t="s">
        <v>1178</v>
      </c>
    </row>
    <row r="64" spans="2:2" ht="15" customHeight="1">
      <c r="B64" s="24" t="str">
        <f>Единица_измерения</f>
        <v>тыс. руб.</v>
      </c>
    </row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spans="2:7" ht="21">
      <c r="B91" s="23" t="s">
        <v>1179</v>
      </c>
      <c r="G91" s="23" t="s">
        <v>1180</v>
      </c>
    </row>
    <row r="92" spans="2:7" ht="15" customHeight="1">
      <c r="B92" s="24" t="s">
        <v>817</v>
      </c>
      <c r="G92" s="24" t="s">
        <v>817</v>
      </c>
    </row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spans="2:2" ht="21">
      <c r="B119" s="23" t="s">
        <v>1181</v>
      </c>
    </row>
    <row r="120" spans="2:2" ht="15" customHeight="1">
      <c r="B120" s="24" t="str">
        <f>Единица_измерения</f>
        <v>тыс. руб.</v>
      </c>
    </row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spans="2:2" ht="21">
      <c r="B148" s="23" t="s">
        <v>1131</v>
      </c>
    </row>
    <row r="149" spans="2:2" ht="15" customHeight="1">
      <c r="B149" s="24" t="s">
        <v>817</v>
      </c>
    </row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</sheetData>
  <sheetProtection algorithmName="SHA-512" hashValue="YsDwjSsKtR01ckq1H6u/hPmMcVNooOW0aonu3psTDt50HljsVW5CmIc/T2uEnZRWwm4429QeLuOGrYNzAE2d4Q==" saltValue="+DO5txXylnXgVio5hhqIng==" spinCount="100000" sheet="1" objects="1" scenarios="1"/>
  <mergeCells count="2">
    <mergeCell ref="D2:M3"/>
    <mergeCell ref="C2:C3"/>
  </mergeCells>
  <pageMargins left="0.708661417322835" right="0.708661417322835" top="0.748031496062992" bottom="0.748031496062992" header="0.31496062992126" footer="0.31496062992126"/>
  <pageSetup fitToHeight="0" orientation="landscape" paperSize="9" scale="52" r:id="rId2"/>
  <rowBreaks count="2" manualBreakCount="2">
    <brk id="61" min="1" max="14" man="1"/>
    <brk id="117" min="1" max="14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>
    <tabColor rgb="FFC8E6E5"/>
    <pageSetUpPr fitToPage="1"/>
  </sheetPr>
  <dimension ref="B2:AN185"/>
  <sheetViews>
    <sheetView showGridLines="0" zoomScale="140" zoomScaleNormal="140" zoomScaleSheetLayoutView="70" workbookViewId="0" topLeftCell="A1">
      <pane ySplit="5" topLeftCell="A52" activePane="bottomLeft" state="frozen"/>
      <selection pane="topLeft" activeCell="K3" sqref="K3"/>
      <selection pane="bottomLeft" activeCell="B85" sqref="B85"/>
    </sheetView>
  </sheetViews>
  <sheetFormatPr defaultColWidth="0" defaultRowHeight="15" customHeight="1" zeroHeight="1"/>
  <cols>
    <col min="1" max="1" width="2.71428571428571" customWidth="1"/>
    <col min="2" max="2" width="44" customWidth="1"/>
    <col min="3" max="21" width="18.8571428571429" customWidth="1"/>
    <col min="22" max="22" width="2.71428571428571" customWidth="1"/>
    <col min="23" max="34" width="15.7142857142857" hidden="1" customWidth="1"/>
    <col min="35" max="35" width="2.85714285714286" hidden="1" customWidth="1"/>
    <col min="36" max="40" width="15.7142857142857" hidden="1" customWidth="1"/>
    <col min="41" max="41" width="2.85714285714286" hidden="1" customWidth="1"/>
    <col min="42" max="58" width="0" hidden="1" customWidth="1"/>
    <col min="59" max="16384" width="9.14285714285714" hidden="1"/>
  </cols>
  <sheetData>
    <row r="1" ht="15" customHeight="1"/>
    <row r="2" spans="3:21" ht="14.45" customHeight="1">
      <c r="C2" s="613" t="s">
        <v>971</v>
      </c>
      <c s="656" t="str">
        <f>IF(ISBLANK(Предпосылки!B9),"&lt;…&gt;",CONCATENATE(Предпосылки!C10,"  ",Предпосылки!B9," / ",Предпосылки!E10," / ",Программа))</f>
        <v>&lt;…&gt;</v>
      </c>
      <c s="656"/>
      <c s="656"/>
      <c s="656"/>
      <c s="656"/>
      <c s="656"/>
      <c s="656"/>
      <c s="656"/>
      <c s="656"/>
      <c s="657"/>
      <c s="658"/>
      <c s="658"/>
      <c s="658"/>
      <c s="658"/>
      <c s="658"/>
      <c s="658"/>
      <c s="658"/>
      <c s="658"/>
    </row>
    <row r="3" spans="3:21" ht="15" customHeight="1">
      <c r="C3" s="614"/>
      <c s="659"/>
      <c s="659"/>
      <c s="659"/>
      <c s="659"/>
      <c s="659"/>
      <c s="659"/>
      <c s="659"/>
      <c s="659"/>
      <c s="659"/>
      <c s="660"/>
      <c s="658"/>
      <c s="658"/>
      <c s="658"/>
      <c s="658"/>
      <c s="658"/>
      <c s="658"/>
      <c s="658"/>
      <c s="658"/>
    </row>
    <row r="4" spans="15:17" ht="15" customHeight="1">
      <c r="O4" s="262" t="s">
        <v>482</v>
      </c>
      <c s="179" t="s">
        <v>1182</v>
      </c>
      <c s="179">
        <v>1000</v>
      </c>
    </row>
    <row r="5" spans="2:40" ht="31.15">
      <c r="B5" s="7" t="s">
        <v>24</v>
      </c>
      <c s="7"/>
      <c r="E5" s="7"/>
      <c s="6"/>
      <c s="6"/>
      <c s="6"/>
      <c s="6"/>
      <c s="6"/>
      <c s="6"/>
      <c s="6"/>
      <c s="6"/>
      <c s="6"/>
      <c s="301" t="s">
        <v>438</v>
      </c>
      <c s="180" t="s">
        <v>438</v>
      </c>
      <c s="180">
        <v>1</v>
      </c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ht="15" customHeight="1"/>
    <row r="7" spans="2:2" ht="21">
      <c r="B7" s="23" t="s">
        <v>1183</v>
      </c>
    </row>
    <row r="8" spans="2:2" ht="15" customHeight="1">
      <c r="B8" s="24" t="s">
        <v>326</v>
      </c>
    </row>
    <row r="9" spans="2:21" ht="15" customHeight="1">
      <c r="B9" s="615" t="s">
        <v>562</v>
      </c>
      <c s="615" t="s">
        <v>482</v>
      </c>
      <c s="615" t="s">
        <v>454</v>
      </c>
      <c s="617" t="s">
        <v>1184</v>
      </c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10" spans="2:21" ht="15" customHeight="1">
      <c r="B10" s="616"/>
      <c s="616"/>
      <c s="616"/>
      <c s="618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11" spans="2:21" ht="15" customHeight="1">
      <c r="B11" s="144" t="s">
        <v>273</v>
      </c>
      <c s="183" t="str">
        <f>O5</f>
        <v>тыс. руб.</v>
      </c>
      <c s="298">
        <f>SUM(F11:U11)</f>
        <v>0</v>
      </c>
      <c s="298">
        <f>SUMPRODUCT('Квартальная отчетность'!$E$12:$BM$12,'Квартальная отчетность'!E16:BM16)/LOOKUP($O$5,$P$4:$P$5,$Q$4:$Q$5)</f>
        <v>0</v>
      </c>
      <c s="185">
        <f>IFERROR('Годовая отчетность'!E12*IF(F$9&gt;YEAR('Годовая отчетность'!$K$3),0,1)/LOOKUP($O$5,$P$4:$P$5,$Q$4:$Q$5),"-")</f>
        <v>0</v>
      </c>
      <c s="185">
        <f>IFERROR('Годовая отчетность'!F12*IF(G$9&gt;YEAR('Годовая отчетность'!$K$3),0,1)/LOOKUP($O$5,$P$4:$P$5,$Q$4:$Q$5),"-")</f>
        <v>0</v>
      </c>
      <c s="185">
        <f>IFERROR('Годовая отчетность'!G12*IF(H$9&gt;YEAR('Годовая отчетность'!$K$3),0,1)/LOOKUP($O$5,$P$4:$P$5,$Q$4:$Q$5),"-")</f>
        <v>0</v>
      </c>
      <c s="185">
        <f>IFERROR('Годовая отчетность'!H12*IF(I$9&gt;YEAR('Годовая отчетность'!$K$3),0,1)/LOOKUP($O$5,$P$4:$P$5,$Q$4:$Q$5),"-")</f>
        <v>0</v>
      </c>
      <c s="185">
        <f>IFERROR('Годовая отчетность'!I12*IF(J$9&gt;YEAR('Годовая отчетность'!$K$3),0,1)/LOOKUP($O$5,$P$4:$P$5,$Q$4:$Q$5),"-")</f>
        <v>0</v>
      </c>
      <c s="185">
        <f>IFERROR('Годовая отчетность'!J12*IF(K$9&gt;YEAR('Годовая отчетность'!$K$3),0,1)/LOOKUP($O$5,$P$4:$P$5,$Q$4:$Q$5),"-")</f>
        <v>0</v>
      </c>
      <c s="185">
        <f>IFERROR('Годовая отчетность'!K12*IF(L$9&gt;YEAR('Годовая отчетность'!$K$3),0,1)/LOOKUP($O$5,$P$4:$P$5,$Q$4:$Q$5),"-")</f>
        <v>0</v>
      </c>
      <c s="185">
        <f>IFERROR('Годовая отчетность'!L12*IF(M$9&gt;YEAR('Годовая отчетность'!$K$3),0,1)/LOOKUP($O$5,$P$4:$P$5,$Q$4:$Q$5),"-")</f>
        <v>0</v>
      </c>
      <c s="185">
        <f>IFERROR('Годовая отчетность'!M12*IF(N$9&gt;YEAR('Годовая отчетность'!$K$3),0,1)/LOOKUP($O$5,$P$4:$P$5,$Q$4:$Q$5),"-")</f>
        <v>0</v>
      </c>
      <c s="185">
        <f>IFERROR('Годовая отчетность'!N12*IF(O$9&gt;YEAR('Годовая отчетность'!$K$3),0,1)/LOOKUP($O$5,$P$4:$P$5,$Q$4:$Q$5),"-")</f>
        <v>0</v>
      </c>
      <c s="185">
        <f>IFERROR('Годовая отчетность'!O12*IF(P$9&gt;YEAR('Годовая отчетность'!$K$3),0,1)/LOOKUP($O$5,$P$4:$P$5,$Q$4:$Q$5),"-")</f>
        <v>0</v>
      </c>
      <c s="185">
        <f>IFERROR('Годовая отчетность'!P12*IF(Q$9&gt;YEAR('Годовая отчетность'!$K$3),0,1)/LOOKUP($O$5,$P$4:$P$5,$Q$4:$Q$5),"-")</f>
        <v>0</v>
      </c>
      <c s="185">
        <f>IFERROR('Годовая отчетность'!Q12*IF(R$9&gt;YEAR('Годовая отчетность'!$K$3),0,1)/LOOKUP($O$5,$P$4:$P$5,$Q$4:$Q$5),"-")</f>
        <v>0</v>
      </c>
      <c s="185">
        <f>IFERROR('Годовая отчетность'!R12*IF(S$9&gt;YEAR('Годовая отчетность'!$K$3),0,1)/LOOKUP($O$5,$P$4:$P$5,$Q$4:$Q$5),"-")</f>
        <v>0</v>
      </c>
      <c s="185">
        <f>IFERROR('Годовая отчетность'!S12*IF(T$9&gt;YEAR('Годовая отчетность'!$K$3),0,1)/LOOKUP($O$5,$P$4:$P$5,$Q$4:$Q$5),"-")</f>
        <v>0</v>
      </c>
      <c s="185">
        <f>IFERROR('Годовая отчетность'!T12*IF(U$9&gt;YEAR('Годовая отчетность'!$K$3),0,1)/LOOKUP($O$5,$P$4:$P$5,$Q$4:$Q$5),"-")</f>
        <v>0</v>
      </c>
    </row>
    <row r="12" spans="2:21" ht="15" customHeight="1">
      <c r="B12" s="146" t="s">
        <v>1185</v>
      </c>
      <c s="184" t="str">
        <f>O5</f>
        <v>тыс. руб.</v>
      </c>
      <c s="298">
        <f ca="1">SUM(F12:U12)</f>
        <v>0</v>
      </c>
      <c s="299">
        <f ca="1">SUMPRODUCT('Квартальная отчетность'!$E$12:$BM$12,'Квартальная отчетность'!E18:BM18)/LOOKUP($O$5,$P$4:$P$5,$Q$4:$Q$5)</f>
        <v>0</v>
      </c>
      <c s="186">
        <f ca="1">IFERROR('Годовая отчетность'!E14*IF(F$9&gt;YEAR('Годовая отчетность'!$K$3),0,1)/LOOKUP($O$5,$P$4:$P$5,$Q$4:$Q$5),"-")</f>
        <v>0</v>
      </c>
      <c s="186">
        <f ca="1">IFERROR('Годовая отчетность'!F14*IF(G$9&gt;YEAR('Годовая отчетность'!$K$3),0,1)/LOOKUP($O$5,$P$4:$P$5,$Q$4:$Q$5),"-")</f>
        <v>0</v>
      </c>
      <c s="185">
        <f ca="1">IFERROR('Годовая отчетность'!G14*IF(H$9&gt;YEAR('Годовая отчетность'!$K$3),0,1)/LOOKUP($O$5,$P$4:$P$5,$Q$4:$Q$5),"-")</f>
        <v>0</v>
      </c>
      <c s="185">
        <f ca="1">IFERROR('Годовая отчетность'!H14*IF(I$9&gt;YEAR('Годовая отчетность'!$K$3),0,1)/LOOKUP($O$5,$P$4:$P$5,$Q$4:$Q$5),"-")</f>
        <v>0</v>
      </c>
      <c s="185">
        <f ca="1">IFERROR('Годовая отчетность'!I14*IF(J$9&gt;YEAR('Годовая отчетность'!$K$3),0,1)/LOOKUP($O$5,$P$4:$P$5,$Q$4:$Q$5),"-")</f>
        <v>0</v>
      </c>
      <c s="185">
        <f ca="1">IFERROR('Годовая отчетность'!J14*IF(K$9&gt;YEAR('Годовая отчетность'!$K$3),0,1)/LOOKUP($O$5,$P$4:$P$5,$Q$4:$Q$5),"-")</f>
        <v>0</v>
      </c>
      <c s="185">
        <f ca="1">IFERROR('Годовая отчетность'!K14*IF(L$9&gt;YEAR('Годовая отчетность'!$K$3),0,1)/LOOKUP($O$5,$P$4:$P$5,$Q$4:$Q$5),"-")</f>
        <v>0</v>
      </c>
      <c s="185">
        <f ca="1">IFERROR('Годовая отчетность'!L14*IF(M$9&gt;YEAR('Годовая отчетность'!$K$3),0,1)/LOOKUP($O$5,$P$4:$P$5,$Q$4:$Q$5),"-")</f>
        <v>0</v>
      </c>
      <c s="185">
        <f ca="1">IFERROR('Годовая отчетность'!M14*IF(N$9&gt;YEAR('Годовая отчетность'!$K$3),0,1)/LOOKUP($O$5,$P$4:$P$5,$Q$4:$Q$5),"-")</f>
        <v>0</v>
      </c>
      <c s="185">
        <f ca="1">IFERROR('Годовая отчетность'!N14*IF(O$9&gt;YEAR('Годовая отчетность'!$K$3),0,1)/LOOKUP($O$5,$P$4:$P$5,$Q$4:$Q$5),"-")</f>
        <v>0</v>
      </c>
      <c s="185">
        <f ca="1">IFERROR('Годовая отчетность'!O14*IF(P$9&gt;YEAR('Годовая отчетность'!$K$3),0,1)/LOOKUP($O$5,$P$4:$P$5,$Q$4:$Q$5),"-")</f>
        <v>0</v>
      </c>
      <c s="185">
        <f ca="1">IFERROR('Годовая отчетность'!P14*IF(Q$9&gt;YEAR('Годовая отчетность'!$K$3),0,1)/LOOKUP($O$5,$P$4:$P$5,$Q$4:$Q$5),"-")</f>
        <v>0</v>
      </c>
      <c s="185">
        <f ca="1">IFERROR('Годовая отчетность'!Q14*IF(R$9&gt;YEAR('Годовая отчетность'!$K$3),0,1)/LOOKUP($O$5,$P$4:$P$5,$Q$4:$Q$5),"-")</f>
        <v>0</v>
      </c>
      <c s="185">
        <f ca="1">IFERROR('Годовая отчетность'!R14*IF(S$9&gt;YEAR('Годовая отчетность'!$K$3),0,1)/LOOKUP($O$5,$P$4:$P$5,$Q$4:$Q$5),"-")</f>
        <v>0</v>
      </c>
      <c s="185">
        <f ca="1">IFERROR('Годовая отчетность'!S14*IF(T$9&gt;YEAR('Годовая отчетность'!$K$3),0,1)/LOOKUP($O$5,$P$4:$P$5,$Q$4:$Q$5),"-")</f>
        <v>0</v>
      </c>
      <c s="185">
        <f ca="1">IFERROR('Годовая отчетность'!T14*IF(U$9&gt;YEAR('Годовая отчетность'!$K$3),0,1)/LOOKUP($O$5,$P$4:$P$5,$Q$4:$Q$5),"-")</f>
        <v>0</v>
      </c>
    </row>
    <row r="13" spans="2:21" ht="15" customHeight="1">
      <c r="B13" s="148" t="s">
        <v>1020</v>
      </c>
      <c s="149" t="s">
        <v>817</v>
      </c>
      <c s="300" t="str">
        <f ca="1" t="shared" si="0" ref="D13:F13">IFERROR(D12/D$11,"-")</f>
        <v>-</v>
      </c>
      <c s="300" t="str">
        <f t="shared" ca="1" si="0"/>
        <v>-</v>
      </c>
      <c s="150" t="str">
        <f t="shared" ca="1" si="0"/>
        <v>-</v>
      </c>
      <c s="150" t="str">
        <f ca="1" t="shared" si="1" ref="G13:M13">IFERROR(G12/G$11,"-")</f>
        <v>-</v>
      </c>
      <c s="150" t="str">
        <f t="shared" ca="1" si="1"/>
        <v>-</v>
      </c>
      <c s="150" t="str">
        <f t="shared" ca="1" si="1"/>
        <v>-</v>
      </c>
      <c s="150" t="str">
        <f t="shared" ca="1" si="1"/>
        <v>-</v>
      </c>
      <c s="150" t="str">
        <f t="shared" ca="1" si="1"/>
        <v>-</v>
      </c>
      <c s="150" t="str">
        <f t="shared" ca="1" si="1"/>
        <v>-</v>
      </c>
      <c s="150" t="str">
        <f t="shared" ca="1" si="1"/>
        <v>-</v>
      </c>
      <c s="150" t="str">
        <f ca="1" t="shared" si="2" ref="N13:U13">IFERROR(N12/N$11,"-")</f>
        <v>-</v>
      </c>
      <c s="150" t="str">
        <f t="shared" ca="1" si="2"/>
        <v>-</v>
      </c>
      <c s="150" t="str">
        <f t="shared" ca="1" si="2"/>
        <v>-</v>
      </c>
      <c s="150" t="str">
        <f t="shared" ca="1" si="2"/>
        <v>-</v>
      </c>
      <c s="150" t="str">
        <f t="shared" ca="1" si="2"/>
        <v>-</v>
      </c>
      <c s="150" t="str">
        <f t="shared" ca="1" si="2"/>
        <v>-</v>
      </c>
      <c s="150" t="str">
        <f t="shared" ca="1" si="2"/>
        <v>-</v>
      </c>
      <c s="150" t="str">
        <f t="shared" ca="1" si="2"/>
        <v>-</v>
      </c>
    </row>
    <row r="14" spans="2:21" ht="15" customHeight="1">
      <c r="B14" s="146" t="s">
        <v>577</v>
      </c>
      <c s="184" t="str">
        <f>O5</f>
        <v>тыс. руб.</v>
      </c>
      <c s="298">
        <f ca="1">SUM(F14:U14)</f>
        <v>0</v>
      </c>
      <c s="299">
        <f ca="1">SUMPRODUCT(Показатели!$E$12:$BM$12,Показатели!$E$145:$BM$145)/LOOKUP($O$5,$P$4:$P$5,$Q$4:$Q$5)</f>
        <v>0</v>
      </c>
      <c s="153">
        <f ca="1">SUMIF(Показатели!$E$10:$BM$10,F$9,Показатели!$E$145:$BM$145)*IF(F$9&gt;YEAR('Годовая отчетность'!$K$3),0,1)/LOOKUP($O$5,$P$4:$P$5,$Q$4:$Q$5)</f>
        <v>0</v>
      </c>
      <c s="186">
        <f ca="1">SUMIF(Показатели!$E$10:$BM$10,G$9,Показатели!$E$145:$BM$145)*IF(G$9&gt;YEAR('Годовая отчетность'!$K$3),0,1)/LOOKUP($O$5,$P$4:$P$5,$Q$4:$Q$5)</f>
        <v>0</v>
      </c>
      <c s="185">
        <f ca="1">SUMIF(Показатели!$E$10:$BM$10,H$9,Показатели!$E$145:$BM$145)*IF(H$9&gt;YEAR('Годовая отчетность'!$K$3),0,1)/LOOKUP($O$5,$P$4:$P$5,$Q$4:$Q$5)</f>
        <v>0</v>
      </c>
      <c s="185">
        <f ca="1">SUMIF(Показатели!$E$10:$BM$10,I$9,Показатели!$E$145:$BM$145)*IF(I$9&gt;YEAR('Годовая отчетность'!$K$3),0,1)/LOOKUP($O$5,$P$4:$P$5,$Q$4:$Q$5)</f>
        <v>0</v>
      </c>
      <c s="185">
        <f ca="1">SUMIF(Показатели!$E$10:$BM$10,J$9,Показатели!$E$145:$BM$145)*IF(J$9&gt;YEAR('Годовая отчетность'!$K$3),0,1)/LOOKUP($O$5,$P$4:$P$5,$Q$4:$Q$5)</f>
        <v>0</v>
      </c>
      <c s="185">
        <f ca="1">SUMIF(Показатели!$E$10:$BM$10,K$9,Показатели!$E$145:$BM$145)*IF(K$9&gt;YEAR('Годовая отчетность'!$K$3),0,1)/LOOKUP($O$5,$P$4:$P$5,$Q$4:$Q$5)</f>
        <v>0</v>
      </c>
      <c s="185">
        <f ca="1">SUMIF(Показатели!$E$10:$BM$10,L$9,Показатели!$E$145:$BM$145)*IF(L$9&gt;YEAR('Годовая отчетность'!$K$3),0,1)/LOOKUP($O$5,$P$4:$P$5,$Q$4:$Q$5)</f>
        <v>0</v>
      </c>
      <c s="185">
        <f ca="1">SUMIF(Показатели!$E$10:$BM$10,M$9,Показатели!$E$145:$BM$145)*IF(M$9&gt;YEAR('Годовая отчетность'!$K$3),0,1)/LOOKUP($O$5,$P$4:$P$5,$Q$4:$Q$5)</f>
        <v>0</v>
      </c>
      <c s="185">
        <f ca="1">SUMIF(Показатели!$E$10:$BM$10,N$9,Показатели!$E$145:$BM$145)*IF(N$9&gt;YEAR('Годовая отчетность'!$K$3),0,1)/LOOKUP($O$5,$P$4:$P$5,$Q$4:$Q$5)</f>
        <v>0</v>
      </c>
      <c s="185">
        <f ca="1">SUMIF(Показатели!$E$10:$BM$10,O$9,Показатели!$E$145:$BM$145)*IF(O$9&gt;YEAR('Годовая отчетность'!$K$3),0,1)/LOOKUP($O$5,$P$4:$P$5,$Q$4:$Q$5)</f>
        <v>0</v>
      </c>
      <c s="185">
        <f ca="1">SUMIF(Показатели!$E$10:$BM$10,P$9,Показатели!$E$145:$BM$145)*IF(P$9&gt;YEAR('Годовая отчетность'!$K$3),0,1)/LOOKUP($O$5,$P$4:$P$5,$Q$4:$Q$5)</f>
        <v>0</v>
      </c>
      <c s="185">
        <f ca="1">SUMIF(Показатели!$E$10:$BM$10,Q$9,Показатели!$E$145:$BM$145)*IF(Q$9&gt;YEAR('Годовая отчетность'!$K$3),0,1)/LOOKUP($O$5,$P$4:$P$5,$Q$4:$Q$5)</f>
        <v>0</v>
      </c>
      <c s="185">
        <f ca="1">SUMIF(Показатели!$E$10:$BM$10,R$9,Показатели!$E$145:$BM$145)*IF(R$9&gt;YEAR('Годовая отчетность'!$K$3),0,1)/LOOKUP($O$5,$P$4:$P$5,$Q$4:$Q$5)</f>
        <v>0</v>
      </c>
      <c s="185">
        <f ca="1">SUMIF(Показатели!$E$10:$BM$10,S$9,Показатели!$E$145:$BM$145)*IF(S$9&gt;YEAR('Годовая отчетность'!$K$3),0,1)/LOOKUP($O$5,$P$4:$P$5,$Q$4:$Q$5)</f>
        <v>0</v>
      </c>
      <c s="185">
        <f ca="1">SUMIF(Показатели!$E$10:$BM$10,T$9,Показатели!$E$145:$BM$145)*IF(T$9&gt;YEAR('Годовая отчетность'!$K$3),0,1)/LOOKUP($O$5,$P$4:$P$5,$Q$4:$Q$5)</f>
        <v>0</v>
      </c>
      <c s="185">
        <f ca="1">SUMIF(Показатели!$E$10:$BM$10,U$9,Показатели!$E$145:$BM$145)*IF(U$9&gt;YEAR('Годовая отчетность'!$K$3),0,1)/LOOKUP($O$5,$P$4:$P$5,$Q$4:$Q$5)</f>
        <v>0</v>
      </c>
    </row>
    <row r="15" spans="2:21" ht="15" customHeight="1">
      <c r="B15" s="148" t="s">
        <v>1025</v>
      </c>
      <c s="149" t="s">
        <v>817</v>
      </c>
      <c s="300" t="str">
        <f ca="1" t="shared" si="3" ref="D15:F15">IFERROR(D14/D$11,"-")</f>
        <v>-</v>
      </c>
      <c s="300" t="str">
        <f t="shared" ca="1" si="3"/>
        <v>-</v>
      </c>
      <c s="150" t="str">
        <f t="shared" ca="1" si="3"/>
        <v>-</v>
      </c>
      <c s="150" t="str">
        <f ca="1" t="shared" si="4" ref="G15:M15">IFERROR(G14/G$11,"-")</f>
        <v>-</v>
      </c>
      <c s="150" t="str">
        <f t="shared" ca="1" si="4"/>
        <v>-</v>
      </c>
      <c s="150" t="str">
        <f t="shared" ca="1" si="4"/>
        <v>-</v>
      </c>
      <c s="150" t="str">
        <f t="shared" ca="1" si="4"/>
        <v>-</v>
      </c>
      <c s="150" t="str">
        <f t="shared" ca="1" si="4"/>
        <v>-</v>
      </c>
      <c s="150" t="str">
        <f t="shared" ca="1" si="4"/>
        <v>-</v>
      </c>
      <c s="150" t="str">
        <f t="shared" ca="1" si="4"/>
        <v>-</v>
      </c>
      <c s="150" t="str">
        <f ca="1" t="shared" si="5" ref="N15:U15">IFERROR(N14/N$11,"-")</f>
        <v>-</v>
      </c>
      <c s="150" t="str">
        <f t="shared" ca="1" si="5"/>
        <v>-</v>
      </c>
      <c s="150" t="str">
        <f t="shared" ca="1" si="5"/>
        <v>-</v>
      </c>
      <c s="150" t="str">
        <f t="shared" ca="1" si="5"/>
        <v>-</v>
      </c>
      <c s="150" t="str">
        <f t="shared" ca="1" si="5"/>
        <v>-</v>
      </c>
      <c s="150" t="str">
        <f t="shared" ca="1" si="5"/>
        <v>-</v>
      </c>
      <c s="150" t="str">
        <f t="shared" ca="1" si="5"/>
        <v>-</v>
      </c>
      <c s="150" t="str">
        <f t="shared" ca="1" si="5"/>
        <v>-</v>
      </c>
    </row>
    <row r="16" spans="2:21" ht="15" customHeight="1">
      <c r="B16" s="146" t="s">
        <v>1186</v>
      </c>
      <c s="184" t="str">
        <f>O5</f>
        <v>тыс. руб.</v>
      </c>
      <c s="298">
        <f ca="1">SUM(F16:U16)</f>
        <v>0</v>
      </c>
      <c s="299">
        <f ca="1">SUMPRODUCT('Квартальная отчетность'!$E$12:$BM$12,'Квартальная отчетность'!E29:BM29)/LOOKUP($O$5,$P$4:$P$5,$Q$4:$Q$5)</f>
        <v>0</v>
      </c>
      <c s="182">
        <f ca="1">'Годовая отчетность'!E25/LOOKUP($O$5,$P$4:$P$5,$Q$4:$Q$5)</f>
        <v>0</v>
      </c>
      <c s="182">
        <f ca="1">'Годовая отчетность'!F25/LOOKUP($O$5,$P$4:$P$5,$Q$4:$Q$5)</f>
        <v>0</v>
      </c>
      <c s="182">
        <f ca="1">'Годовая отчетность'!G25/LOOKUP($O$5,$P$4:$P$5,$Q$4:$Q$5)</f>
        <v>0</v>
      </c>
      <c s="182">
        <f ca="1">'Годовая отчетность'!H25/LOOKUP($O$5,$P$4:$P$5,$Q$4:$Q$5)</f>
        <v>0</v>
      </c>
      <c s="182">
        <f ca="1">'Годовая отчетность'!I25/LOOKUP($O$5,$P$4:$P$5,$Q$4:$Q$5)</f>
        <v>0</v>
      </c>
      <c s="182">
        <f ca="1">'Годовая отчетность'!J25/LOOKUP($O$5,$P$4:$P$5,$Q$4:$Q$5)</f>
        <v>0</v>
      </c>
      <c s="182">
        <f ca="1">'Годовая отчетность'!K25/LOOKUP($O$5,$P$4:$P$5,$Q$4:$Q$5)</f>
        <v>0</v>
      </c>
      <c s="182">
        <f ca="1">'Годовая отчетность'!L25/LOOKUP($O$5,$P$4:$P$5,$Q$4:$Q$5)</f>
        <v>0</v>
      </c>
      <c s="182">
        <f ca="1">'Годовая отчетность'!M25/LOOKUP($O$5,$P$4:$P$5,$Q$4:$Q$5)</f>
        <v>0</v>
      </c>
      <c s="182">
        <f ca="1">'Годовая отчетность'!N25/LOOKUP($O$5,$P$4:$P$5,$Q$4:$Q$5)</f>
        <v>0</v>
      </c>
      <c s="182">
        <f ca="1">'Годовая отчетность'!O25/LOOKUP($O$5,$P$4:$P$5,$Q$4:$Q$5)</f>
        <v>0</v>
      </c>
      <c s="182">
        <f ca="1">'Годовая отчетность'!P25/LOOKUP($O$5,$P$4:$P$5,$Q$4:$Q$5)</f>
        <v>0</v>
      </c>
      <c s="182">
        <f ca="1">'Годовая отчетность'!Q25/LOOKUP($O$5,$P$4:$P$5,$Q$4:$Q$5)</f>
        <v>0</v>
      </c>
      <c s="182">
        <f ca="1">'Годовая отчетность'!R25/LOOKUP($O$5,$P$4:$P$5,$Q$4:$Q$5)</f>
        <v>0</v>
      </c>
      <c s="182">
        <f ca="1">'Годовая отчетность'!S25/LOOKUP($O$5,$P$4:$P$5,$Q$4:$Q$5)</f>
        <v>0</v>
      </c>
      <c s="182">
        <f ca="1">'Годовая отчетность'!T25/LOOKUP($O$5,$P$4:$P$5,$Q$4:$Q$5)</f>
        <v>0</v>
      </c>
    </row>
    <row r="17" spans="2:21" ht="15" customHeight="1">
      <c r="B17" s="148" t="s">
        <v>1129</v>
      </c>
      <c s="149" t="s">
        <v>817</v>
      </c>
      <c s="300" t="str">
        <f ca="1" t="shared" si="6" ref="D17:F17">IFERROR(D16/D$11,"-")</f>
        <v>-</v>
      </c>
      <c s="300" t="str">
        <f t="shared" ca="1" si="6"/>
        <v>-</v>
      </c>
      <c s="150" t="str">
        <f t="shared" ca="1" si="6"/>
        <v>-</v>
      </c>
      <c s="150" t="str">
        <f ca="1" t="shared" si="7" ref="G17:M17">IFERROR(G16/G$11,"-")</f>
        <v>-</v>
      </c>
      <c s="150" t="str">
        <f t="shared" ca="1" si="7"/>
        <v>-</v>
      </c>
      <c s="150" t="str">
        <f t="shared" ca="1" si="7"/>
        <v>-</v>
      </c>
      <c s="150" t="str">
        <f t="shared" ca="1" si="7"/>
        <v>-</v>
      </c>
      <c s="150" t="str">
        <f t="shared" ca="1" si="7"/>
        <v>-</v>
      </c>
      <c s="150" t="str">
        <f t="shared" ca="1" si="7"/>
        <v>-</v>
      </c>
      <c s="150" t="str">
        <f t="shared" ca="1" si="7"/>
        <v>-</v>
      </c>
      <c s="150" t="str">
        <f ca="1" t="shared" si="8" ref="N17:U17">IFERROR(N16/N$11,"-")</f>
        <v>-</v>
      </c>
      <c s="150" t="str">
        <f t="shared" ca="1" si="8"/>
        <v>-</v>
      </c>
      <c s="150" t="str">
        <f t="shared" ca="1" si="8"/>
        <v>-</v>
      </c>
      <c s="150" t="str">
        <f t="shared" ca="1" si="8"/>
        <v>-</v>
      </c>
      <c s="150" t="str">
        <f t="shared" ca="1" si="8"/>
        <v>-</v>
      </c>
      <c s="150" t="str">
        <f t="shared" ca="1" si="8"/>
        <v>-</v>
      </c>
      <c s="150" t="str">
        <f t="shared" ca="1" si="8"/>
        <v>-</v>
      </c>
      <c s="150" t="str">
        <f t="shared" ca="1" si="8"/>
        <v>-</v>
      </c>
    </row>
    <row r="18" ht="15" customHeight="1"/>
    <row r="19" spans="2:2" ht="15" customHeight="1">
      <c r="B19" s="24" t="s">
        <v>330</v>
      </c>
    </row>
    <row r="20" spans="2:21" ht="15" customHeight="1">
      <c r="B20" s="615" t="s">
        <v>562</v>
      </c>
      <c s="615" t="s">
        <v>482</v>
      </c>
      <c s="615" t="s">
        <v>454</v>
      </c>
      <c s="617" t="s">
        <v>1184</v>
      </c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21" spans="2:21" ht="15" customHeight="1">
      <c r="B21" s="616"/>
      <c s="616"/>
      <c s="616"/>
      <c s="618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22" spans="2:21" ht="15" customHeight="1">
      <c r="B22" s="144" t="s">
        <v>1187</v>
      </c>
      <c s="185" t="str">
        <f>O5</f>
        <v>тыс. руб.</v>
      </c>
      <c s="298">
        <f ca="1">SUM(F22:U22)</f>
        <v>0</v>
      </c>
      <c s="298">
        <f ca="1">SUMPRODUCT('Квартальная отчетность'!$E$12:$BM$12,'Квартальная отчетность'!E53:BM53)/LOOKUP($O$5,$P$4:$P$5,$Q$4:$Q$5)</f>
        <v>0</v>
      </c>
      <c s="182">
        <f ca="1">'Годовая отчетность'!E49/LOOKUP($O$5,$P$4:$P$5,$Q$4:$Q$5)</f>
        <v>0</v>
      </c>
      <c s="182">
        <f ca="1">'Годовая отчетность'!F49/LOOKUP($O$5,$P$4:$P$5,$Q$4:$Q$5)</f>
        <v>0</v>
      </c>
      <c s="182">
        <f ca="1">'Годовая отчетность'!G49/LOOKUP($O$5,$P$4:$P$5,$Q$4:$Q$5)</f>
        <v>0</v>
      </c>
      <c s="182">
        <f ca="1">'Годовая отчетность'!H49/LOOKUP($O$5,$P$4:$P$5,$Q$4:$Q$5)</f>
        <v>0</v>
      </c>
      <c s="182">
        <f ca="1">'Годовая отчетность'!I49/LOOKUP($O$5,$P$4:$P$5,$Q$4:$Q$5)</f>
        <v>0</v>
      </c>
      <c s="182">
        <f ca="1">'Годовая отчетность'!J49/LOOKUP($O$5,$P$4:$P$5,$Q$4:$Q$5)</f>
        <v>0</v>
      </c>
      <c s="182">
        <f ca="1">'Годовая отчетность'!K49/LOOKUP($O$5,$P$4:$P$5,$Q$4:$Q$5)</f>
        <v>0</v>
      </c>
      <c s="182">
        <f ca="1">'Годовая отчетность'!L49/LOOKUP($O$5,$P$4:$P$5,$Q$4:$Q$5)</f>
        <v>0</v>
      </c>
      <c s="182">
        <f ca="1">'Годовая отчетность'!M49/LOOKUP($O$5,$P$4:$P$5,$Q$4:$Q$5)</f>
        <v>0</v>
      </c>
      <c s="182">
        <f ca="1">'Годовая отчетность'!N49/LOOKUP($O$5,$P$4:$P$5,$Q$4:$Q$5)</f>
        <v>0</v>
      </c>
      <c s="182">
        <f ca="1">'Годовая отчетность'!O49/LOOKUP($O$5,$P$4:$P$5,$Q$4:$Q$5)</f>
        <v>0</v>
      </c>
      <c s="182">
        <f ca="1">'Годовая отчетность'!P49/LOOKUP($O$5,$P$4:$P$5,$Q$4:$Q$5)</f>
        <v>0</v>
      </c>
      <c s="182">
        <f ca="1">'Годовая отчетность'!Q49/LOOKUP($O$5,$P$4:$P$5,$Q$4:$Q$5)</f>
        <v>0</v>
      </c>
      <c s="182">
        <f ca="1">'Годовая отчетность'!R49/LOOKUP($O$5,$P$4:$P$5,$Q$4:$Q$5)</f>
        <v>0</v>
      </c>
      <c s="182">
        <f ca="1">'Годовая отчетность'!S49/LOOKUP($O$5,$P$4:$P$5,$Q$4:$Q$5)</f>
        <v>0</v>
      </c>
      <c s="182">
        <f ca="1">'Годовая отчетность'!T49/LOOKUP($O$5,$P$4:$P$5,$Q$4:$Q$5)</f>
        <v>0</v>
      </c>
    </row>
    <row r="23" spans="2:21" ht="15" customHeight="1">
      <c r="B23" s="146" t="s">
        <v>1188</v>
      </c>
      <c s="186" t="str">
        <f>O5</f>
        <v>тыс. руб.</v>
      </c>
      <c s="298">
        <f>SUM(F23:U23)</f>
        <v>0</v>
      </c>
      <c s="299">
        <f>SUMPRODUCT('Квартальная отчетность'!$E$12:$BM$12,'Квартальная отчетность'!E60:BM60)/LOOKUP($O$5,$P$4:$P$5,$Q$4:$Q$5)</f>
        <v>0</v>
      </c>
      <c s="153">
        <f>'Годовая отчетность'!E56/LOOKUP($O$5,$P$4:$P$5,$Q$4:$Q$5)</f>
        <v>0</v>
      </c>
      <c s="153">
        <f>'Годовая отчетность'!F56/LOOKUP($O$5,$P$4:$P$5,$Q$4:$Q$5)</f>
        <v>0</v>
      </c>
      <c s="153">
        <f>'Годовая отчетность'!G56/LOOKUP($O$5,$P$4:$P$5,$Q$4:$Q$5)</f>
        <v>0</v>
      </c>
      <c s="153">
        <f>'Годовая отчетность'!H56/LOOKUP($O$5,$P$4:$P$5,$Q$4:$Q$5)</f>
        <v>0</v>
      </c>
      <c s="153">
        <f>'Годовая отчетность'!I56/LOOKUP($O$5,$P$4:$P$5,$Q$4:$Q$5)</f>
        <v>0</v>
      </c>
      <c s="153">
        <f>'Годовая отчетность'!J56/LOOKUP($O$5,$P$4:$P$5,$Q$4:$Q$5)</f>
        <v>0</v>
      </c>
      <c s="153">
        <f>'Годовая отчетность'!K56/LOOKUP($O$5,$P$4:$P$5,$Q$4:$Q$5)</f>
        <v>0</v>
      </c>
      <c s="153">
        <f>'Годовая отчетность'!L56/LOOKUP($O$5,$P$4:$P$5,$Q$4:$Q$5)</f>
        <v>0</v>
      </c>
      <c s="153">
        <f>'Годовая отчетность'!M56/LOOKUP($O$5,$P$4:$P$5,$Q$4:$Q$5)</f>
        <v>0</v>
      </c>
      <c s="153">
        <f>'Годовая отчетность'!N56/LOOKUP($O$5,$P$4:$P$5,$Q$4:$Q$5)</f>
        <v>0</v>
      </c>
      <c s="153">
        <f>'Годовая отчетность'!O56/LOOKUP($O$5,$P$4:$P$5,$Q$4:$Q$5)</f>
        <v>0</v>
      </c>
      <c s="153">
        <f>'Годовая отчетность'!P56/LOOKUP($O$5,$P$4:$P$5,$Q$4:$Q$5)</f>
        <v>0</v>
      </c>
      <c s="153">
        <f>'Годовая отчетность'!Q56/LOOKUP($O$5,$P$4:$P$5,$Q$4:$Q$5)</f>
        <v>0</v>
      </c>
      <c s="153">
        <f>'Годовая отчетность'!R56/LOOKUP($O$5,$P$4:$P$5,$Q$4:$Q$5)</f>
        <v>0</v>
      </c>
      <c s="153">
        <f>'Годовая отчетность'!S56/LOOKUP($O$5,$P$4:$P$5,$Q$4:$Q$5)</f>
        <v>0</v>
      </c>
      <c s="153">
        <f>'Годовая отчетность'!T56/LOOKUP($O$5,$P$4:$P$5,$Q$4:$Q$5)</f>
        <v>0</v>
      </c>
    </row>
    <row r="24" spans="2:21" ht="15" customHeight="1">
      <c r="B24" s="146" t="s">
        <v>1189</v>
      </c>
      <c s="186" t="str">
        <f>O5</f>
        <v>тыс. руб.</v>
      </c>
      <c s="298">
        <f ca="1">SUM(F24:U24)</f>
        <v>0</v>
      </c>
      <c s="299">
        <f ca="1">SUMPRODUCT('Квартальная отчетность'!$E$12:$BM$12,'Квартальная отчетность'!E73:BM73)/LOOKUP($O$5,$P$4:$P$5,$Q$4:$Q$5)</f>
        <v>0</v>
      </c>
      <c s="153">
        <f ca="1">'Годовая отчетность'!E69/LOOKUP($O$5,$P$4:$P$5,$Q$4:$Q$5)</f>
        <v>0</v>
      </c>
      <c s="153">
        <f ca="1">'Годовая отчетность'!F69/LOOKUP($O$5,$P$4:$P$5,$Q$4:$Q$5)</f>
        <v>0</v>
      </c>
      <c s="153">
        <f ca="1">'Годовая отчетность'!G69/LOOKUP($O$5,$P$4:$P$5,$Q$4:$Q$5)</f>
        <v>0</v>
      </c>
      <c s="153">
        <f ca="1">'Годовая отчетность'!H69/LOOKUP($O$5,$P$4:$P$5,$Q$4:$Q$5)</f>
        <v>0</v>
      </c>
      <c s="153">
        <f ca="1">'Годовая отчетность'!I69/LOOKUP($O$5,$P$4:$P$5,$Q$4:$Q$5)</f>
        <v>0</v>
      </c>
      <c s="153">
        <f ca="1">'Годовая отчетность'!J69/LOOKUP($O$5,$P$4:$P$5,$Q$4:$Q$5)</f>
        <v>0</v>
      </c>
      <c s="153">
        <f ca="1">'Годовая отчетность'!K69/LOOKUP($O$5,$P$4:$P$5,$Q$4:$Q$5)</f>
        <v>0</v>
      </c>
      <c s="153">
        <f ca="1">'Годовая отчетность'!L69/LOOKUP($O$5,$P$4:$P$5,$Q$4:$Q$5)</f>
        <v>0</v>
      </c>
      <c s="153">
        <f ca="1">'Годовая отчетность'!M69/LOOKUP($O$5,$P$4:$P$5,$Q$4:$Q$5)</f>
        <v>0</v>
      </c>
      <c s="153">
        <f ca="1">'Годовая отчетность'!N69/LOOKUP($O$5,$P$4:$P$5,$Q$4:$Q$5)</f>
        <v>0</v>
      </c>
      <c s="153">
        <f ca="1">'Годовая отчетность'!O69/LOOKUP($O$5,$P$4:$P$5,$Q$4:$Q$5)</f>
        <v>0</v>
      </c>
      <c s="153">
        <f ca="1">'Годовая отчетность'!P69/LOOKUP($O$5,$P$4:$P$5,$Q$4:$Q$5)</f>
        <v>0</v>
      </c>
      <c s="153">
        <f ca="1">'Годовая отчетность'!Q69/LOOKUP($O$5,$P$4:$P$5,$Q$4:$Q$5)</f>
        <v>0</v>
      </c>
      <c s="153">
        <f ca="1">'Годовая отчетность'!R69/LOOKUP($O$5,$P$4:$P$5,$Q$4:$Q$5)</f>
        <v>0</v>
      </c>
      <c s="153">
        <f ca="1">'Годовая отчетность'!S69/LOOKUP($O$5,$P$4:$P$5,$Q$4:$Q$5)</f>
        <v>0</v>
      </c>
      <c s="153">
        <f ca="1">'Годовая отчетность'!T69/LOOKUP($O$5,$P$4:$P$5,$Q$4:$Q$5)</f>
        <v>0</v>
      </c>
    </row>
    <row r="25" spans="2:21" ht="15" customHeight="1">
      <c r="B25" s="302" t="s">
        <v>1190</v>
      </c>
      <c s="303" t="str">
        <f>O5</f>
        <v>тыс. руб.</v>
      </c>
      <c s="298">
        <f ca="1">SUM(F25:U25)</f>
        <v>0</v>
      </c>
      <c s="299">
        <f ca="1">SUMPRODUCT('Квартальная отчетность'!$E$12:$BM$12,'Квартальная отчетность'!E77:BM77)/LOOKUP($O$5,$P$4:$P$5,$Q$4:$Q$5)</f>
        <v>0</v>
      </c>
      <c s="299">
        <f ca="1" t="shared" si="9" ref="F25">SUM(F22:F24)</f>
        <v>0</v>
      </c>
      <c s="299">
        <f ca="1" t="shared" si="10" ref="G25:M25">SUM(G22:G24)</f>
        <v>0</v>
      </c>
      <c s="299">
        <f t="shared" ca="1" si="10"/>
        <v>0</v>
      </c>
      <c s="299">
        <f t="shared" ca="1" si="10"/>
        <v>0</v>
      </c>
      <c s="299">
        <f t="shared" ca="1" si="10"/>
        <v>0</v>
      </c>
      <c s="299">
        <f t="shared" ca="1" si="10"/>
        <v>0</v>
      </c>
      <c s="299">
        <f t="shared" ca="1" si="10"/>
        <v>0</v>
      </c>
      <c s="299">
        <f t="shared" ca="1" si="10"/>
        <v>0</v>
      </c>
      <c s="299">
        <f ca="1" t="shared" si="11" ref="N25:U25">SUM(N22:N24)</f>
        <v>0</v>
      </c>
      <c s="299">
        <f t="shared" ca="1" si="11"/>
        <v>0</v>
      </c>
      <c s="299">
        <f t="shared" ca="1" si="11"/>
        <v>0</v>
      </c>
      <c s="299">
        <f t="shared" ca="1" si="11"/>
        <v>0</v>
      </c>
      <c s="299">
        <f t="shared" ca="1" si="11"/>
        <v>0</v>
      </c>
      <c s="299">
        <f t="shared" ca="1" si="11"/>
        <v>0</v>
      </c>
      <c s="299">
        <f t="shared" ca="1" si="11"/>
        <v>0</v>
      </c>
      <c s="299">
        <f t="shared" ca="1" si="11"/>
        <v>0</v>
      </c>
    </row>
    <row r="26" ht="15" customHeight="1"/>
    <row r="27" spans="2:2" ht="15" customHeight="1">
      <c r="B27" s="24" t="str">
        <f>"Инвестиционная оценка (ставка дисконтирования "&amp;TEXT(Ставка_Дисконтирования,"0,0%")&amp;")"</f>
        <v>Инвестиционная оценка (ставка дисконтирования 19,2%)</v>
      </c>
    </row>
    <row r="28" spans="2:21" ht="15" customHeight="1">
      <c r="B28" s="615" t="s">
        <v>562</v>
      </c>
      <c s="615" t="s">
        <v>482</v>
      </c>
      <c s="615" t="s">
        <v>454</v>
      </c>
      <c s="617" t="s">
        <v>1184</v>
      </c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29" spans="2:21" ht="15" customHeight="1">
      <c r="B29" s="616"/>
      <c s="616"/>
      <c s="616"/>
      <c s="618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30" spans="2:21" ht="15" customHeight="1">
      <c r="B30" s="144" t="s">
        <v>1191</v>
      </c>
      <c s="185" t="str">
        <f>O5</f>
        <v>тыс. руб.</v>
      </c>
      <c s="298">
        <f ca="1">SUM(F30:U30)</f>
        <v>-0.001</v>
      </c>
      <c s="298">
        <f ca="1">SUMPRODUCT(Показатели!$E$12:$BM$12,Показатели!$E$17:$BM$17)/LOOKUP($O$5,$P$4:$P$5,$Q$4:$Q$5)</f>
        <v>-0.001</v>
      </c>
      <c s="182">
        <f ca="1">SUMIF(Показатели!$E$10:$BM$10,F$28,Показатели!$E$17:$BM$17)/LOOKUP($O$5,$P$4:$P$5,$Q$4:$Q$5)</f>
        <v>-0.001</v>
      </c>
      <c s="182">
        <f ca="1">SUMIF(Показатели!$E$10:$BM$10,G$28,Показатели!$E$17:$BM$17)/LOOKUP($O$5,$P$4:$P$5,$Q$4:$Q$5)</f>
        <v>0</v>
      </c>
      <c s="182">
        <f ca="1">SUMIF(Показатели!$E$10:$BM$10,H$28,Показатели!$E$17:$BM$17)/LOOKUP($O$5,$P$4:$P$5,$Q$4:$Q$5)</f>
        <v>0</v>
      </c>
      <c s="182">
        <f ca="1">SUMIF(Показатели!$E$10:$BM$10,I$28,Показатели!$E$17:$BM$17)/LOOKUP($O$5,$P$4:$P$5,$Q$4:$Q$5)</f>
        <v>0</v>
      </c>
      <c s="182">
        <f ca="1">SUMIF(Показатели!$E$10:$BM$10,J$28,Показатели!$E$17:$BM$17)/LOOKUP($O$5,$P$4:$P$5,$Q$4:$Q$5)</f>
        <v>0</v>
      </c>
      <c s="182">
        <f ca="1">SUMIF(Показатели!$E$10:$BM$10,K$28,Показатели!$E$17:$BM$17)/LOOKUP($O$5,$P$4:$P$5,$Q$4:$Q$5)</f>
        <v>0</v>
      </c>
      <c s="182">
        <f ca="1">SUMIF(Показатели!$E$10:$BM$10,L$28,Показатели!$E$17:$BM$17)/LOOKUP($O$5,$P$4:$P$5,$Q$4:$Q$5)</f>
        <v>0</v>
      </c>
      <c s="182">
        <f ca="1">SUMIF(Показатели!$E$10:$BM$10,M$28,Показатели!$E$17:$BM$17)/LOOKUP($O$5,$P$4:$P$5,$Q$4:$Q$5)</f>
        <v>0</v>
      </c>
      <c s="182">
        <f ca="1">SUMIF(Показатели!$E$10:$BM$10,N$28,Показатели!$E$17:$BM$17)/LOOKUP($O$5,$P$4:$P$5,$Q$4:$Q$5)</f>
        <v>0</v>
      </c>
      <c s="182">
        <f ca="1">SUMIF(Показатели!$E$10:$BM$10,O$28,Показатели!$E$17:$BM$17)/LOOKUP($O$5,$P$4:$P$5,$Q$4:$Q$5)</f>
        <v>0</v>
      </c>
      <c s="182">
        <f ca="1">SUMIF(Показатели!$E$10:$BM$10,P$28,Показатели!$E$17:$BM$17)/LOOKUP($O$5,$P$4:$P$5,$Q$4:$Q$5)</f>
        <v>0</v>
      </c>
      <c s="182">
        <f ca="1">SUMIF(Показатели!$E$10:$BM$10,Q$28,Показатели!$E$17:$BM$17)/LOOKUP($O$5,$P$4:$P$5,$Q$4:$Q$5)</f>
        <v>0</v>
      </c>
      <c s="182">
        <f ca="1">SUMIF(Показатели!$E$10:$BM$10,R$28,Показатели!$E$17:$BM$17)/LOOKUP($O$5,$P$4:$P$5,$Q$4:$Q$5)</f>
        <v>0</v>
      </c>
      <c s="182">
        <f ca="1">SUMIF(Показатели!$E$10:$BM$10,S$28,Показатели!$E$17:$BM$17)/LOOKUP($O$5,$P$4:$P$5,$Q$4:$Q$5)</f>
        <v>0</v>
      </c>
      <c s="182">
        <f ca="1">SUMIF(Показатели!$E$10:$BM$10,T$28,Показатели!$E$17:$BM$17)/LOOKUP($O$5,$P$4:$P$5,$Q$4:$Q$5)</f>
        <v>0</v>
      </c>
      <c s="182">
        <f ca="1">SUMIF(Показатели!$E$10:$BM$10,U$28,Показатели!$E$17:$BM$17)/LOOKUP($O$5,$P$4:$P$5,$Q$4:$Q$5)</f>
        <v>0</v>
      </c>
    </row>
    <row r="31" spans="2:21" ht="15" customHeight="1">
      <c r="B31" s="146" t="s">
        <v>1192</v>
      </c>
      <c s="186" t="str">
        <f>O5</f>
        <v>тыс. руб.</v>
      </c>
      <c s="298">
        <f ca="1">SUM(F31:U31)</f>
        <v>-0.00095709700890973413</v>
      </c>
      <c s="299">
        <f ca="1">SUMPRODUCT(Показатели!$E$12:$BM$12,Показатели!$E$27:$BM$27)/LOOKUP($O$5,$P$4:$P$5,$Q$4:$Q$5)</f>
        <v>-0.00095709700890973413</v>
      </c>
      <c s="153">
        <f ca="1">SUMIF(Показатели!$E$10:$BM$10,F$28,Показатели!$E$27:$BM$27)/LOOKUP($O$5,$P$4:$P$5,$Q$4:$Q$5)</f>
        <v>-0.00095709700890973413</v>
      </c>
      <c s="153">
        <f ca="1">SUMIF(Показатели!$E$10:$BM$10,G$28,Показатели!$E$27:$BM$27)/LOOKUP($O$5,$P$4:$P$5,$Q$4:$Q$5)</f>
        <v>0</v>
      </c>
      <c s="153">
        <f ca="1">SUMIF(Показатели!$E$10:$BM$10,H$28,Показатели!$E$27:$BM$27)/LOOKUP($O$5,$P$4:$P$5,$Q$4:$Q$5)</f>
        <v>0</v>
      </c>
      <c s="153">
        <f ca="1">SUMIF(Показатели!$E$10:$BM$10,I$28,Показатели!$E$27:$BM$27)/LOOKUP($O$5,$P$4:$P$5,$Q$4:$Q$5)</f>
        <v>0</v>
      </c>
      <c s="153">
        <f ca="1">SUMIF(Показатели!$E$10:$BM$10,J$28,Показатели!$E$27:$BM$27)/LOOKUP($O$5,$P$4:$P$5,$Q$4:$Q$5)</f>
        <v>0</v>
      </c>
      <c s="153">
        <f ca="1">SUMIF(Показатели!$E$10:$BM$10,K$28,Показатели!$E$27:$BM$27)/LOOKUP($O$5,$P$4:$P$5,$Q$4:$Q$5)</f>
        <v>0</v>
      </c>
      <c s="153">
        <f ca="1">SUMIF(Показатели!$E$10:$BM$10,L$28,Показатели!$E$27:$BM$27)/LOOKUP($O$5,$P$4:$P$5,$Q$4:$Q$5)</f>
        <v>0</v>
      </c>
      <c s="153">
        <f ca="1">SUMIF(Показатели!$E$10:$BM$10,M$28,Показатели!$E$27:$BM$27)/LOOKUP($O$5,$P$4:$P$5,$Q$4:$Q$5)</f>
        <v>0</v>
      </c>
      <c s="153">
        <f ca="1">SUMIF(Показатели!$E$10:$BM$10,N$28,Показатели!$E$27:$BM$27)/LOOKUP($O$5,$P$4:$P$5,$Q$4:$Q$5)</f>
        <v>0</v>
      </c>
      <c s="153">
        <f ca="1">SUMIF(Показатели!$E$10:$BM$10,O$28,Показатели!$E$27:$BM$27)/LOOKUP($O$5,$P$4:$P$5,$Q$4:$Q$5)</f>
        <v>0</v>
      </c>
      <c s="153">
        <f ca="1">SUMIF(Показатели!$E$10:$BM$10,P$28,Показатели!$E$27:$BM$27)/LOOKUP($O$5,$P$4:$P$5,$Q$4:$Q$5)</f>
        <v>0</v>
      </c>
      <c s="153">
        <f ca="1">SUMIF(Показатели!$E$10:$BM$10,Q$28,Показатели!$E$27:$BM$27)/LOOKUP($O$5,$P$4:$P$5,$Q$4:$Q$5)</f>
        <v>0</v>
      </c>
      <c s="153">
        <f ca="1">SUMIF(Показатели!$E$10:$BM$10,R$28,Показатели!$E$27:$BM$27)/LOOKUP($O$5,$P$4:$P$5,$Q$4:$Q$5)</f>
        <v>0</v>
      </c>
      <c s="153">
        <f ca="1">SUMIF(Показатели!$E$10:$BM$10,S$28,Показатели!$E$27:$BM$27)/LOOKUP($O$5,$P$4:$P$5,$Q$4:$Q$5)</f>
        <v>0</v>
      </c>
      <c s="153">
        <f ca="1">SUMIF(Показатели!$E$10:$BM$10,T$28,Показатели!$E$27:$BM$27)/LOOKUP($O$5,$P$4:$P$5,$Q$4:$Q$5)</f>
        <v>0</v>
      </c>
      <c s="153">
        <f ca="1">SUMIF(Показатели!$E$10:$BM$10,U$28,Показатели!$E$27:$BM$27)/LOOKUP($O$5,$P$4:$P$5,$Q$4:$Q$5)</f>
        <v>0</v>
      </c>
    </row>
    <row r="32" ht="15" customHeight="1"/>
    <row r="33" spans="2:21" ht="15" customHeight="1">
      <c r="B33" s="615" t="s">
        <v>562</v>
      </c>
      <c s="615" t="s">
        <v>482</v>
      </c>
      <c s="619" t="s">
        <v>1193</v>
      </c>
      <c s="620"/>
      <c s="619" t="s">
        <v>1194</v>
      </c>
      <c s="620"/>
      <c s="46"/>
      <c s="46"/>
      <c s="46"/>
      <c s="46"/>
      <c s="46"/>
      <c s="46"/>
      <c s="46"/>
      <c s="46"/>
      <c s="46"/>
      <c s="46"/>
      <c s="46"/>
      <c s="46"/>
      <c s="46"/>
      <c s="46"/>
    </row>
    <row r="34" spans="2:21" ht="28.5" customHeight="1">
      <c r="B34" s="616"/>
      <c s="616"/>
      <c s="263" t="s">
        <v>454</v>
      </c>
      <c s="351" t="s">
        <v>1184</v>
      </c>
      <c s="263" t="s">
        <v>454</v>
      </c>
      <c s="351" t="s">
        <v>1184</v>
      </c>
      <c s="46"/>
      <c s="46"/>
      <c s="46"/>
      <c s="46"/>
      <c s="46"/>
      <c s="46"/>
      <c s="46"/>
      <c s="46"/>
      <c s="46"/>
      <c s="46"/>
      <c s="46"/>
      <c s="46"/>
      <c s="46"/>
      <c s="46"/>
    </row>
    <row r="35" spans="2:21" ht="15" customHeight="1">
      <c r="B35" s="144" t="s">
        <v>1195</v>
      </c>
      <c s="185" t="str">
        <f>O5</f>
        <v>тыс. руб.</v>
      </c>
      <c s="182">
        <f ca="1">Показатели!$D$56/LOOKUP($O$5,$P$4:$P$5,$Q$4:$Q$5)</f>
        <v>-0.00095709700890973413</v>
      </c>
      <c s="182">
        <f ca="1">Показатели!$D$57/LOOKUP($O$5,$P$4:$P$5,$Q$4:$Q$5)</f>
        <v>-0.00095709700890973413</v>
      </c>
      <c s="182">
        <f ca="1">Показатели!$D$33/LOOKUP($O$5,$P$4:$P$5,$Q$4:$Q$5)</f>
        <v>-0.00095709700890973413</v>
      </c>
      <c s="182">
        <f ca="1">Показатели!$D$34/LOOKUP($O$5,$P$4:$P$5,$Q$4:$Q$5)</f>
        <v>-0.00095709700890973413</v>
      </c>
      <c s="46"/>
      <c s="46"/>
      <c s="46"/>
      <c s="46"/>
      <c s="46"/>
      <c s="46"/>
      <c s="46"/>
      <c s="46"/>
      <c s="46"/>
      <c s="46"/>
      <c s="46"/>
      <c s="46"/>
      <c s="46"/>
      <c s="46"/>
    </row>
    <row r="36" spans="2:21" ht="15" customHeight="1">
      <c r="B36" s="146" t="s">
        <v>1196</v>
      </c>
      <c s="151" t="s">
        <v>817</v>
      </c>
      <c s="152">
        <f ca="1">Показатели!$D$58</f>
        <v>0</v>
      </c>
      <c s="152" t="str">
        <f ca="1">Показатели!$D$59</f>
        <v>-</v>
      </c>
      <c s="152">
        <f ca="1">Показатели!$D$35</f>
        <v>0</v>
      </c>
      <c s="152" t="str">
        <f ca="1">Показатели!$D$36</f>
        <v>-</v>
      </c>
      <c s="46"/>
      <c s="46"/>
      <c s="46"/>
      <c s="46"/>
      <c s="46"/>
      <c s="46"/>
      <c s="46"/>
      <c s="46"/>
      <c s="46"/>
      <c s="46"/>
      <c s="46"/>
      <c s="46"/>
      <c s="46"/>
      <c s="46"/>
    </row>
    <row r="37" spans="2:21" ht="15" customHeight="1">
      <c r="B37" s="146" t="s">
        <v>1197</v>
      </c>
      <c s="151" t="s">
        <v>1101</v>
      </c>
      <c s="147" t="str">
        <f ca="1">Показатели!$D$60</f>
        <v>не окупается</v>
      </c>
      <c s="147" t="str">
        <f ca="1">Показатели!$D$60</f>
        <v>не окупается</v>
      </c>
      <c s="147" t="str">
        <f ca="1">Показатели!$D$37</f>
        <v>не окупается</v>
      </c>
      <c s="147" t="str">
        <f ca="1">Показатели!$D$37</f>
        <v>не окупается</v>
      </c>
      <c s="46"/>
      <c s="46"/>
      <c s="46"/>
      <c s="46"/>
      <c s="46"/>
      <c s="46"/>
      <c s="46"/>
      <c s="46"/>
      <c s="46"/>
      <c s="46"/>
      <c s="46"/>
      <c s="46"/>
      <c s="46"/>
      <c s="46"/>
    </row>
    <row r="38" spans="2:21" ht="15" customHeight="1">
      <c r="B38" s="146" t="s">
        <v>1198</v>
      </c>
      <c s="151" t="s">
        <v>1101</v>
      </c>
      <c s="147" t="str">
        <f ca="1">Показатели!$D$61</f>
        <v>не окупается</v>
      </c>
      <c s="147" t="str">
        <f ca="1">Показатели!$D$61</f>
        <v>не окупается</v>
      </c>
      <c s="147" t="str">
        <f ca="1">Показатели!$D$38</f>
        <v>не окупается</v>
      </c>
      <c s="147" t="str">
        <f ca="1">Показатели!$D$38</f>
        <v>не окупается</v>
      </c>
      <c s="46"/>
      <c s="46"/>
      <c s="46"/>
      <c s="46"/>
      <c s="46"/>
      <c s="46"/>
      <c s="46"/>
      <c s="46"/>
      <c s="46"/>
      <c s="46"/>
      <c s="46"/>
      <c s="46"/>
      <c s="46"/>
      <c s="46"/>
    </row>
    <row r="39" ht="15" customHeight="1"/>
    <row r="40" spans="2:2" ht="15" customHeight="1">
      <c r="B40" s="24" t="s">
        <v>1199</v>
      </c>
    </row>
    <row r="41" spans="2:16" ht="15" customHeight="1">
      <c r="B41" s="615" t="s">
        <v>562</v>
      </c>
      <c s="615" t="s">
        <v>482</v>
      </c>
      <c s="615" t="s">
        <v>454</v>
      </c>
      <c s="617" t="s">
        <v>1184</v>
      </c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</row>
    <row r="42" spans="2:16" ht="15" customHeight="1">
      <c r="B42" s="616"/>
      <c s="616"/>
      <c s="616"/>
      <c s="618"/>
      <c s="616"/>
      <c s="616"/>
      <c s="616"/>
      <c s="616"/>
      <c s="616"/>
      <c s="616"/>
      <c s="616"/>
      <c s="616"/>
      <c s="616"/>
      <c s="616"/>
      <c s="616"/>
    </row>
    <row r="43" spans="2:16" ht="15" customHeight="1">
      <c r="B43" s="144" t="s">
        <v>1200</v>
      </c>
      <c s="185" t="str">
        <f>O5</f>
        <v>тыс. руб.</v>
      </c>
      <c s="298">
        <f>SUM(F43:U43)</f>
        <v>0</v>
      </c>
      <c s="298">
        <f>SUMPRODUCT('Квартальная отчетность'!$E$12:$BM$12,'Квартальная отчетность'!$E$16:$BM$16)/LOOKUP($O$5,$P$4:$P$5,$Q$4:$Q$5)</f>
        <v>0</v>
      </c>
      <c s="182">
        <f>F11</f>
        <v>0</v>
      </c>
      <c s="182">
        <f t="shared" si="12" ref="G43:P43">G11</f>
        <v>0</v>
      </c>
      <c s="182">
        <f t="shared" si="12"/>
        <v>0</v>
      </c>
      <c s="182">
        <f t="shared" si="12"/>
        <v>0</v>
      </c>
      <c s="182">
        <f t="shared" si="12"/>
        <v>0</v>
      </c>
      <c s="182">
        <f t="shared" si="12"/>
        <v>0</v>
      </c>
      <c s="182">
        <f t="shared" si="12"/>
        <v>0</v>
      </c>
      <c s="182">
        <f t="shared" si="12"/>
        <v>0</v>
      </c>
      <c s="182">
        <f t="shared" si="12"/>
        <v>0</v>
      </c>
      <c s="182">
        <f t="shared" si="12"/>
        <v>0</v>
      </c>
      <c s="182">
        <f t="shared" si="12"/>
        <v>0</v>
      </c>
    </row>
    <row r="44" spans="2:16" ht="15" customHeight="1">
      <c r="B44" s="146" t="s">
        <v>1201</v>
      </c>
      <c s="186" t="str">
        <f>O5</f>
        <v>тыс. руб.</v>
      </c>
      <c s="298">
        <f ca="1">SUM(F44:U44)</f>
        <v>0</v>
      </c>
      <c s="299">
        <f ca="1">SUMPRODUCT(Показатели!$E$12:$BM$12,Показатели!$E$127:$BM$127)/LOOKUP($O$5,$P$4:$P$5,$Q$4:$Q$5)</f>
        <v>0</v>
      </c>
      <c s="153">
        <f ca="1">SUMIF(Показатели!$E$10:$BM$10,F$41,Показатели!$E$127:$BM$127)/LOOKUP($O$5,$P$4:$P$5,$Q$4:$Q$5)</f>
        <v>0</v>
      </c>
      <c s="153">
        <f ca="1">SUMIF(Показатели!$E$10:$BM$10,G$41,Показатели!$E$127:$BM$127)/LOOKUP($O$5,$P$4:$P$5,$Q$4:$Q$5)</f>
        <v>0</v>
      </c>
      <c s="153">
        <f ca="1">SUMIF(Показатели!$E$10:$BM$10,H$41,Показатели!$E$127:$BM$127)/LOOKUP($O$5,$P$4:$P$5,$Q$4:$Q$5)</f>
        <v>0</v>
      </c>
      <c s="153">
        <f ca="1">SUMIF(Показатели!$E$10:$BM$10,I$41,Показатели!$E$127:$BM$127)/LOOKUP($O$5,$P$4:$P$5,$Q$4:$Q$5)</f>
        <v>0</v>
      </c>
      <c s="153">
        <f ca="1">SUMIF(Показатели!$E$10:$BM$10,J$41,Показатели!$E$127:$BM$127)/LOOKUP($O$5,$P$4:$P$5,$Q$4:$Q$5)</f>
        <v>0</v>
      </c>
      <c s="153">
        <f ca="1">SUMIF(Показатели!$E$10:$BM$10,K$41,Показатели!$E$127:$BM$127)/LOOKUP($O$5,$P$4:$P$5,$Q$4:$Q$5)</f>
        <v>0</v>
      </c>
      <c s="153">
        <f ca="1">SUMIF(Показатели!$E$10:$BM$10,L$41,Показатели!$E$127:$BM$127)/LOOKUP($O$5,$P$4:$P$5,$Q$4:$Q$5)</f>
        <v>0</v>
      </c>
      <c s="153">
        <f ca="1">SUMIF(Показатели!$E$10:$BM$10,M$41,Показатели!$E$127:$BM$127)/LOOKUP($O$5,$P$4:$P$5,$Q$4:$Q$5)</f>
        <v>0</v>
      </c>
      <c s="153">
        <f ca="1">SUMIF(Показатели!$E$10:$BM$10,N$41,Показатели!$E$127:$BM$127)/LOOKUP($O$5,$P$4:$P$5,$Q$4:$Q$5)</f>
        <v>0</v>
      </c>
      <c s="153">
        <f ca="1">SUMIF(Показатели!$E$10:$BM$10,O$41,Показатели!$E$127:$BM$127)/LOOKUP($O$5,$P$4:$P$5,$Q$4:$Q$5)</f>
        <v>0</v>
      </c>
      <c s="153">
        <f ca="1">SUMIF(Показатели!$E$10:$BM$10,P$41,Показатели!$E$127:$BM$127)/LOOKUP($O$5,$P$4:$P$5,$Q$4:$Q$5)</f>
        <v>0</v>
      </c>
    </row>
    <row r="45" spans="2:16" ht="15" customHeight="1">
      <c r="B45" s="146" t="s">
        <v>1202</v>
      </c>
      <c s="186" t="str">
        <f>O5</f>
        <v>тыс. руб.</v>
      </c>
      <c s="298">
        <f>SUM(F45:U45)</f>
        <v>0</v>
      </c>
      <c s="299">
        <f>SUMPRODUCT(Показатели!$E$12:$BM$12,Показатели!$E$133:$BM$133)/LOOKUP($O$5,$P$4:$P$5,$Q$4:$Q$5)</f>
        <v>0</v>
      </c>
      <c s="153">
        <f>SUMIF(Показатели!$E$10:$BM$10,F$41,Показатели!$E$133:$BM$133)/LOOKUP($O$5,$P$4:$P$5,$Q$4:$Q$5)</f>
        <v>0</v>
      </c>
      <c s="153">
        <f>SUMIF(Показатели!$E$10:$BM$10,G$41,Показатели!$E$133:$BM$133)/LOOKUP($O$5,$P$4:$P$5,$Q$4:$Q$5)</f>
        <v>0</v>
      </c>
      <c s="153">
        <f>SUMIF(Показатели!$E$10:$BM$10,H$41,Показатели!$E$133:$BM$133)/LOOKUP($O$5,$P$4:$P$5,$Q$4:$Q$5)</f>
        <v>0</v>
      </c>
      <c s="153">
        <f>SUMIF(Показатели!$E$10:$BM$10,I$41,Показатели!$E$133:$BM$133)/LOOKUP($O$5,$P$4:$P$5,$Q$4:$Q$5)</f>
        <v>0</v>
      </c>
      <c s="153">
        <f>SUMIF(Показатели!$E$10:$BM$10,J$41,Показатели!$E$133:$BM$133)/LOOKUP($O$5,$P$4:$P$5,$Q$4:$Q$5)</f>
        <v>0</v>
      </c>
      <c s="153">
        <f>SUMIF(Показатели!$E$10:$BM$10,K$41,Показатели!$E$133:$BM$133)/LOOKUP($O$5,$P$4:$P$5,$Q$4:$Q$5)</f>
        <v>0</v>
      </c>
      <c s="153">
        <f>SUMIF(Показатели!$E$10:$BM$10,L$41,Показатели!$E$133:$BM$133)/LOOKUP($O$5,$P$4:$P$5,$Q$4:$Q$5)</f>
        <v>0</v>
      </c>
      <c s="153">
        <f>SUMIF(Показатели!$E$10:$BM$10,M$41,Показатели!$E$133:$BM$133)/LOOKUP($O$5,$P$4:$P$5,$Q$4:$Q$5)</f>
        <v>0</v>
      </c>
      <c s="153">
        <f>SUMIF(Показатели!$E$10:$BM$10,N$41,Показатели!$E$133:$BM$133)/LOOKUP($O$5,$P$4:$P$5,$Q$4:$Q$5)</f>
        <v>0</v>
      </c>
      <c s="153">
        <f>SUMIF(Показатели!$E$10:$BM$10,O$41,Показатели!$E$133:$BM$133)/LOOKUP($O$5,$P$4:$P$5,$Q$4:$Q$5)</f>
        <v>0</v>
      </c>
      <c s="153">
        <f>SUMIF(Показатели!$E$10:$BM$10,P$41,Показатели!$E$133:$BM$133)/LOOKUP($O$5,$P$4:$P$5,$Q$4:$Q$5)</f>
        <v>0</v>
      </c>
    </row>
    <row r="46" spans="2:16" ht="15" customHeight="1">
      <c r="B46" s="146" t="s">
        <v>1203</v>
      </c>
      <c s="151" t="s">
        <v>1204</v>
      </c>
      <c s="304">
        <f>SUM(F46:P46)</f>
        <v>0</v>
      </c>
      <c s="299">
        <f>SUMIF(Предпосылки!$C$378:$R$378,"&lt;="&amp;YEAR(Предпосылки!C15),Предпосылки!$C$379:$R$379)</f>
        <v>0</v>
      </c>
      <c s="153">
        <f>Предпосылки!C$379</f>
        <v>0</v>
      </c>
      <c s="153">
        <f>Предпосылки!D$379</f>
        <v>0</v>
      </c>
      <c s="153">
        <f>Предпосылки!E$379</f>
        <v>0</v>
      </c>
      <c s="153">
        <f>Предпосылки!F$379</f>
        <v>0</v>
      </c>
      <c s="153">
        <f>Предпосылки!G$379</f>
        <v>0</v>
      </c>
      <c s="153">
        <f>Предпосылки!H$379</f>
        <v>0</v>
      </c>
      <c s="153">
        <f>Предпосылки!I$379</f>
        <v>0</v>
      </c>
      <c s="153">
        <f>Предпосылки!J$379</f>
        <v>0</v>
      </c>
      <c s="153">
        <f>Предпосылки!K$379</f>
        <v>0</v>
      </c>
      <c s="153">
        <f>Предпосылки!L$379</f>
        <v>0</v>
      </c>
      <c s="153">
        <f>Предпосылки!M$379</f>
        <v>0</v>
      </c>
    </row>
    <row r="47" spans="2:16" ht="15" customHeight="1">
      <c r="B47" s="146"/>
      <c s="151"/>
      <c s="305"/>
      <c s="305"/>
      <c s="152"/>
      <c s="152"/>
      <c s="152"/>
      <c s="152"/>
      <c s="152"/>
      <c s="152"/>
      <c s="152"/>
      <c s="152"/>
      <c s="152"/>
      <c s="152"/>
      <c s="152"/>
    </row>
    <row r="48" ht="15" customHeight="1"/>
    <row r="49" spans="2:2" ht="15" customHeight="1">
      <c r="B49" s="24" t="s">
        <v>1205</v>
      </c>
    </row>
    <row r="50" spans="2:7" ht="15" customHeight="1">
      <c r="B50" s="615" t="s">
        <v>91</v>
      </c>
      <c s="615" t="s">
        <v>482</v>
      </c>
      <c s="615" t="s">
        <v>454</v>
      </c>
      <c s="615" t="s">
        <v>529</v>
      </c>
      <c s="615" t="s">
        <v>527</v>
      </c>
      <c s="617" t="s">
        <v>1206</v>
      </c>
    </row>
    <row r="51" spans="2:7" ht="15" customHeight="1">
      <c r="B51" s="616"/>
      <c s="616"/>
      <c s="616"/>
      <c s="616"/>
      <c s="616"/>
      <c s="616"/>
    </row>
    <row r="52" spans="2:8" ht="15" customHeight="1">
      <c r="B52" s="144" t="s">
        <v>1207</v>
      </c>
      <c s="185" t="str">
        <f>O5</f>
        <v>тыс. руб.</v>
      </c>
      <c s="304">
        <f>SUM(F52:G52)</f>
        <v>0</v>
      </c>
      <c s="306">
        <f>IFERROR(D52/$D$56,0)</f>
        <v>0</v>
      </c>
      <c s="187">
        <f>Предпосылки!C436/LOOKUP($O$5,$P$4:$P$5,$Q$4:$Q$5)</f>
        <v>0</v>
      </c>
      <c s="187">
        <f>Предпосылки!D436/LOOKUP($O$5,$P$4:$P$5,$Q$4:$Q$5)</f>
        <v>0</v>
      </c>
      <c s="352" t="str">
        <f>IF(E52+E53+E54&lt;0.2,"доля софинансирования менее 20%","")</f>
        <v>доля софинансирования менее 20%</v>
      </c>
    </row>
    <row r="53" spans="2:7" ht="15" customHeight="1">
      <c r="B53" s="146" t="s">
        <v>1208</v>
      </c>
      <c s="186" t="str">
        <f>O5</f>
        <v>тыс. руб.</v>
      </c>
      <c s="305">
        <f>SUM(F53:G53)</f>
        <v>0</v>
      </c>
      <c s="300">
        <f>IFERROR(D53/$D$56,0)</f>
        <v>0</v>
      </c>
      <c s="188">
        <f>Предпосылки!C437/LOOKUP($O$5,$P$4:$P$5,$Q$4:$Q$5)</f>
        <v>0</v>
      </c>
      <c s="188">
        <f>Предпосылки!D437/LOOKUP($O$5,$P$4:$P$5,$Q$4:$Q$5)</f>
        <v>0</v>
      </c>
    </row>
    <row r="54" spans="2:7" ht="15" customHeight="1">
      <c r="B54" s="146" t="s">
        <v>1209</v>
      </c>
      <c s="186" t="str">
        <f>O5</f>
        <v>тыс. руб.</v>
      </c>
      <c s="305">
        <f>SUM(F54:G54)</f>
        <v>0</v>
      </c>
      <c s="300">
        <f>IFERROR(D54/$D$56,0)</f>
        <v>0</v>
      </c>
      <c s="188">
        <f>Предпосылки!C438/LOOKUP($O$5,$P$4:$P$5,$Q$4:$Q$5)</f>
        <v>0</v>
      </c>
      <c s="188">
        <f>Предпосылки!D438/LOOKUP($O$5,$P$4:$P$5,$Q$4:$Q$5)</f>
        <v>0</v>
      </c>
    </row>
    <row r="55" spans="2:7" ht="15" customHeight="1">
      <c r="B55" s="146" t="str">
        <f>"Средства "&amp;IF(ISNUMBER(SEARCH("РФРП",Программа)),"ФРП и РФРП","ФРП")</f>
        <v>Средства ФРП</v>
      </c>
      <c s="186" t="str">
        <f>O5</f>
        <v>тыс. руб.</v>
      </c>
      <c s="305">
        <f>SUM(F55:G55)</f>
        <v>0</v>
      </c>
      <c s="300">
        <f>IFERROR(D55/$D$56,0)</f>
        <v>0</v>
      </c>
      <c s="188">
        <f>Предпосылки!C439/LOOKUP($O$5,$P$4:$P$5,$Q$4:$Q$5)</f>
        <v>0</v>
      </c>
      <c s="188">
        <f>Предпосылки!D439/LOOKUP($O$5,$P$4:$P$5,$Q$4:$Q$5)</f>
        <v>0</v>
      </c>
    </row>
    <row r="56" spans="2:7" ht="15" customHeight="1">
      <c r="B56" s="307" t="s">
        <v>1210</v>
      </c>
      <c s="308" t="str">
        <f>O5</f>
        <v>тыс. руб.</v>
      </c>
      <c s="309">
        <f>SUM(D52:D55)</f>
        <v>0</v>
      </c>
      <c s="310">
        <f>SUM(E52:E55)</f>
        <v>0</v>
      </c>
      <c s="311">
        <f>SUM(F52:F55)</f>
        <v>0</v>
      </c>
      <c s="311">
        <f>SUM(G52:G55)</f>
        <v>0</v>
      </c>
    </row>
    <row r="57" ht="15" customHeight="1"/>
    <row r="58" spans="2:2" ht="21">
      <c r="B58" s="23" t="s">
        <v>22</v>
      </c>
    </row>
    <row r="59" spans="2:2" ht="15" customHeight="1">
      <c r="B59" s="24" t="str">
        <f>"чистой приведенной стоимости - NPV ("&amp;IF(Чувствительность!$C$7="нет","без учёта ранее понесённых затрат","с учётом ранее понесённых затрат")&amp;"), "&amp;Единица_измерения</f>
        <v>чистой приведенной стоимости - NPV (с учётом ранее понесённых затрат), тыс. руб.</v>
      </c>
    </row>
    <row r="60" spans="2:21" ht="15" customHeight="1">
      <c r="B60" s="154"/>
      <c s="313">
        <v>-0.25</v>
      </c>
      <c s="313">
        <v>-0.20000000000000001</v>
      </c>
      <c s="313">
        <v>-0.15000000000000002</v>
      </c>
      <c s="313">
        <v>-0.10000000000000001</v>
      </c>
      <c s="313">
        <v>-0.049999999999999989</v>
      </c>
      <c s="312">
        <v>0</v>
      </c>
      <c s="313">
        <v>0.049999999999999989</v>
      </c>
      <c s="313">
        <v>0.10000000000000003</v>
      </c>
      <c s="313">
        <v>0.15000000000000002</v>
      </c>
      <c s="313">
        <v>0.20000000000000001</v>
      </c>
      <c s="313">
        <v>0.25</v>
      </c>
      <c s="172"/>
      <c s="172"/>
      <c s="172"/>
      <c s="172"/>
      <c s="172"/>
      <c s="172"/>
      <c s="172"/>
      <c s="172"/>
    </row>
    <row r="61" spans="2:21" ht="15" customHeight="1">
      <c r="B61" s="146" t="s">
        <v>1211</v>
      </c>
      <c s="661">
        <f>Чувствительность!E13/LOOKUP($O$5,$P$4:$P$5,$Q$4:$Q$5)</f>
        <v>-0.00095709700890973413</v>
      </c>
      <c s="661">
        <f>Чувствительность!F13/LOOKUP($O$5,$P$4:$P$5,$Q$4:$Q$5)</f>
        <v>-0.00095709700890973413</v>
      </c>
      <c s="661">
        <f>Чувствительность!G13/LOOKUP($O$5,$P$4:$P$5,$Q$4:$Q$5)</f>
        <v>-0.00095709700890973413</v>
      </c>
      <c s="661">
        <f>Чувствительность!H13/LOOKUP($O$5,$P$4:$P$5,$Q$4:$Q$5)</f>
        <v>-0.00095709700890973413</v>
      </c>
      <c s="661">
        <f>Чувствительность!I13/LOOKUP($O$5,$P$4:$P$5,$Q$4:$Q$5)</f>
        <v>-0.00095709700890973413</v>
      </c>
      <c s="299">
        <f>Чувствительность!J13/LOOKUP($O$5,$P$4:$P$5,$Q$4:$Q$5)</f>
        <v>-0.00095709700890973413</v>
      </c>
      <c s="661">
        <f>Чувствительность!K13/LOOKUP($O$5,$P$4:$P$5,$Q$4:$Q$5)</f>
        <v>-0.00095709700890973413</v>
      </c>
      <c s="661">
        <f>Чувствительность!L13/LOOKUP($O$5,$P$4:$P$5,$Q$4:$Q$5)</f>
        <v>-0.00095709700890973413</v>
      </c>
      <c s="661">
        <f>Чувствительность!M13/LOOKUP($O$5,$P$4:$P$5,$Q$4:$Q$5)</f>
        <v>-0.00095709700890973413</v>
      </c>
      <c s="661">
        <f>Чувствительность!N13/LOOKUP($O$5,$P$4:$P$5,$Q$4:$Q$5)</f>
        <v>-0.00095709700890973413</v>
      </c>
      <c s="661">
        <f>Чувствительность!O13/LOOKUP($O$5,$P$4:$P$5,$Q$4:$Q$5)</f>
        <v>-0.00095709700890973413</v>
      </c>
      <c s="662"/>
      <c s="662"/>
      <c s="662"/>
      <c s="662"/>
      <c s="662"/>
      <c s="662"/>
      <c s="662"/>
      <c s="662"/>
    </row>
    <row r="62" spans="2:21" ht="15" customHeight="1">
      <c r="B62" s="146" t="s">
        <v>1212</v>
      </c>
      <c s="661">
        <f>Чувствительность!E17/LOOKUP($O$5,$P$4:$P$5,$Q$4:$Q$5)</f>
        <v>-0.00095709700890973413</v>
      </c>
      <c s="661">
        <f>Чувствительность!F17/LOOKUP($O$5,$P$4:$P$5,$Q$4:$Q$5)</f>
        <v>-0.00095709700890973413</v>
      </c>
      <c s="661">
        <f>Чувствительность!G17/LOOKUP($O$5,$P$4:$P$5,$Q$4:$Q$5)</f>
        <v>-0.00095709700890973413</v>
      </c>
      <c s="661">
        <f>Чувствительность!H17/LOOKUP($O$5,$P$4:$P$5,$Q$4:$Q$5)</f>
        <v>-0.00095709700890973413</v>
      </c>
      <c s="661">
        <f>Чувствительность!I17/LOOKUP($O$5,$P$4:$P$5,$Q$4:$Q$5)</f>
        <v>-0.00095709700890973413</v>
      </c>
      <c s="299">
        <f>Чувствительность!J17/LOOKUP($O$5,$P$4:$P$5,$Q$4:$Q$5)</f>
        <v>-0.00095709700890973413</v>
      </c>
      <c s="661">
        <f>Чувствительность!K17/LOOKUP($O$5,$P$4:$P$5,$Q$4:$Q$5)</f>
        <v>-0.00095709700890973413</v>
      </c>
      <c s="661">
        <f>Чувствительность!L17/LOOKUP($O$5,$P$4:$P$5,$Q$4:$Q$5)</f>
        <v>-0.00095709700890973413</v>
      </c>
      <c s="661">
        <f>Чувствительность!M17/LOOKUP($O$5,$P$4:$P$5,$Q$4:$Q$5)</f>
        <v>-0.00095709700890973413</v>
      </c>
      <c s="661">
        <f>Чувствительность!N17/LOOKUP($O$5,$P$4:$P$5,$Q$4:$Q$5)</f>
        <v>-0.00095709700890973413</v>
      </c>
      <c s="661">
        <f>Чувствительность!O17/LOOKUP($O$5,$P$4:$P$5,$Q$4:$Q$5)</f>
        <v>-0.00095709700890973413</v>
      </c>
      <c s="662"/>
      <c s="662"/>
      <c s="662"/>
      <c s="662"/>
      <c s="662"/>
      <c s="662"/>
      <c s="662"/>
      <c s="662"/>
    </row>
    <row r="63" spans="2:21" ht="15" customHeight="1">
      <c r="B63" s="146" t="s">
        <v>1213</v>
      </c>
      <c s="661">
        <f>Чувствительность!E21/LOOKUP($O$5,$P$4:$P$5,$Q$4:$Q$5)</f>
        <v>-0.00095709700890973413</v>
      </c>
      <c s="661">
        <f>Чувствительность!F21/LOOKUP($O$5,$P$4:$P$5,$Q$4:$Q$5)</f>
        <v>-0.00095709700890973413</v>
      </c>
      <c s="661">
        <f>Чувствительность!G21/LOOKUP($O$5,$P$4:$P$5,$Q$4:$Q$5)</f>
        <v>-0.00095709700890973413</v>
      </c>
      <c s="661">
        <f>Чувствительность!H21/LOOKUP($O$5,$P$4:$P$5,$Q$4:$Q$5)</f>
        <v>-0.00095709700890973413</v>
      </c>
      <c s="661">
        <f>Чувствительность!I21/LOOKUP($O$5,$P$4:$P$5,$Q$4:$Q$5)</f>
        <v>-0.00095709700890973413</v>
      </c>
      <c s="299">
        <f>Чувствительность!J21/LOOKUP($O$5,$P$4:$P$5,$Q$4:$Q$5)</f>
        <v>-0.00095709700890973413</v>
      </c>
      <c s="661">
        <f>Чувствительность!K21/LOOKUP($O$5,$P$4:$P$5,$Q$4:$Q$5)</f>
        <v>-0.00095709700890973413</v>
      </c>
      <c s="661">
        <f>Чувствительность!L21/LOOKUP($O$5,$P$4:$P$5,$Q$4:$Q$5)</f>
        <v>-0.00095709700890973413</v>
      </c>
      <c s="661">
        <f>Чувствительность!M21/LOOKUP($O$5,$P$4:$P$5,$Q$4:$Q$5)</f>
        <v>-0.00095709700890973413</v>
      </c>
      <c s="661">
        <f>Чувствительность!N21/LOOKUP($O$5,$P$4:$P$5,$Q$4:$Q$5)</f>
        <v>-0.00095709700890973413</v>
      </c>
      <c s="661">
        <f>Чувствительность!O21/LOOKUP($O$5,$P$4:$P$5,$Q$4:$Q$5)</f>
        <v>-0.00095709700890973413</v>
      </c>
      <c s="662"/>
      <c s="662"/>
      <c s="662"/>
      <c s="662"/>
      <c s="662"/>
      <c s="662"/>
      <c s="662"/>
      <c s="662"/>
    </row>
    <row r="64" spans="2:21" ht="15" customHeight="1">
      <c r="B64" s="146" t="s">
        <v>1214</v>
      </c>
      <c s="661">
        <f>Чувствительность!E25/LOOKUP($O$5,$P$4:$P$5,$Q$4:$Q$5)</f>
        <v>-0.00095709700890973413</v>
      </c>
      <c s="661">
        <f>Чувствительность!F25/LOOKUP($O$5,$P$4:$P$5,$Q$4:$Q$5)</f>
        <v>-0.00095709700890973413</v>
      </c>
      <c s="661">
        <f>Чувствительность!G25/LOOKUP($O$5,$P$4:$P$5,$Q$4:$Q$5)</f>
        <v>-0.00095709700890973413</v>
      </c>
      <c s="661">
        <f>Чувствительность!H25/LOOKUP($O$5,$P$4:$P$5,$Q$4:$Q$5)</f>
        <v>-0.00095709700890973413</v>
      </c>
      <c s="661">
        <f>Чувствительность!I25/LOOKUP($O$5,$P$4:$P$5,$Q$4:$Q$5)</f>
        <v>-0.00095709700890973413</v>
      </c>
      <c s="299">
        <f>Чувствительность!J25/LOOKUP($O$5,$P$4:$P$5,$Q$4:$Q$5)</f>
        <v>-0.00095709700890973413</v>
      </c>
      <c s="661">
        <f>Чувствительность!K25/LOOKUP($O$5,$P$4:$P$5,$Q$4:$Q$5)</f>
        <v>-0.00095709700890973413</v>
      </c>
      <c s="661">
        <f>Чувствительность!L25/LOOKUP($O$5,$P$4:$P$5,$Q$4:$Q$5)</f>
        <v>-0.00095709700890973413</v>
      </c>
      <c s="661">
        <f>Чувствительность!M25/LOOKUP($O$5,$P$4:$P$5,$Q$4:$Q$5)</f>
        <v>-0.00095709700890973413</v>
      </c>
      <c s="661">
        <f>Чувствительность!N25/LOOKUP($O$5,$P$4:$P$5,$Q$4:$Q$5)</f>
        <v>-0.00095709700890973413</v>
      </c>
      <c s="661">
        <f>Чувствительность!O25/LOOKUP($O$5,$P$4:$P$5,$Q$4:$Q$5)</f>
        <v>-0.00095709700890973413</v>
      </c>
      <c s="662"/>
      <c s="662"/>
      <c s="662"/>
      <c s="662"/>
      <c s="662"/>
      <c s="662"/>
      <c s="662"/>
      <c s="662"/>
    </row>
    <row r="65" spans="2:21" ht="15" customHeight="1">
      <c r="B65" s="146" t="s">
        <v>1215</v>
      </c>
      <c s="661">
        <f>Чувствительность!E29/LOOKUP($O$5,$P$4:$P$5,$Q$4:$Q$5)</f>
        <v>-0.00095709700890973413</v>
      </c>
      <c s="661">
        <f>Чувствительность!F29/LOOKUP($O$5,$P$4:$P$5,$Q$4:$Q$5)</f>
        <v>-0.00095709700890973413</v>
      </c>
      <c s="661">
        <f>Чувствительность!G29/LOOKUP($O$5,$P$4:$P$5,$Q$4:$Q$5)</f>
        <v>-0.00095709700890973413</v>
      </c>
      <c s="661">
        <f>Чувствительность!H29/LOOKUP($O$5,$P$4:$P$5,$Q$4:$Q$5)</f>
        <v>-0.00095709700890973413</v>
      </c>
      <c s="661">
        <f>Чувствительность!I29/LOOKUP($O$5,$P$4:$P$5,$Q$4:$Q$5)</f>
        <v>-0.00095709700890973413</v>
      </c>
      <c s="299">
        <f>Чувствительность!J29/LOOKUP($O$5,$P$4:$P$5,$Q$4:$Q$5)</f>
        <v>-0.00095709700890973413</v>
      </c>
      <c s="661">
        <f>Чувствительность!K29/LOOKUP($O$5,$P$4:$P$5,$Q$4:$Q$5)</f>
        <v>-0.00095709700890973413</v>
      </c>
      <c s="661">
        <f>Чувствительность!L29/LOOKUP($O$5,$P$4:$P$5,$Q$4:$Q$5)</f>
        <v>-0.00095709700890973413</v>
      </c>
      <c s="661">
        <f>Чувствительность!M29/LOOKUP($O$5,$P$4:$P$5,$Q$4:$Q$5)</f>
        <v>-0.00095709700890973413</v>
      </c>
      <c s="661">
        <f>Чувствительность!N29/LOOKUP($O$5,$P$4:$P$5,$Q$4:$Q$5)</f>
        <v>-0.00095709700890973413</v>
      </c>
      <c s="661">
        <f>Чувствительность!O29/LOOKUP($O$5,$P$4:$P$5,$Q$4:$Q$5)</f>
        <v>-0.00095709700890973413</v>
      </c>
      <c s="662"/>
      <c s="662"/>
      <c s="662"/>
      <c s="662"/>
      <c s="662"/>
      <c s="662"/>
      <c s="662"/>
      <c s="662"/>
    </row>
    <row r="66" spans="2:21" ht="15" customHeight="1">
      <c r="B66" s="146" t="s">
        <v>1216</v>
      </c>
      <c s="661">
        <f>Чувствительность!E33/LOOKUP($O$5,$P$4:$P$5,$Q$4:$Q$5)</f>
        <v>-0.00096747388982857936</v>
      </c>
      <c s="661">
        <f>Чувствительность!F33/LOOKUP($O$5,$P$4:$P$5,$Q$4:$Q$5)</f>
        <v>-0.00096538055155010816</v>
      </c>
      <c s="661">
        <f>Чувствительность!G33/LOOKUP($O$5,$P$4:$P$5,$Q$4:$Q$5)</f>
        <v>-0.00096329625249041658</v>
      </c>
      <c s="661">
        <f>Чувствительность!H33/LOOKUP($O$5,$P$4:$P$5,$Q$4:$Q$5)</f>
        <v>-0.00096122093422742777</v>
      </c>
      <c s="661">
        <f>Чувствительность!I33/LOOKUP($O$5,$P$4:$P$5,$Q$4:$Q$5)</f>
        <v>-0.00095915453884143928</v>
      </c>
      <c s="299">
        <f>Чувствительность!J33/LOOKUP($O$5,$P$4:$P$5,$Q$4:$Q$5)</f>
        <v>-0.00095709700890973413</v>
      </c>
      <c s="661">
        <f>Чувствительность!K33/LOOKUP($O$5,$P$4:$P$5,$Q$4:$Q$5)</f>
        <v>-0.00095504828750126206</v>
      </c>
      <c s="661">
        <f>Чувствительность!L33/LOOKUP($O$5,$P$4:$P$5,$Q$4:$Q$5)</f>
        <v>-0.00095300831817138852</v>
      </c>
      <c s="661">
        <f>Чувствительность!M33/LOOKUP($O$5,$P$4:$P$5,$Q$4:$Q$5)</f>
        <v>-0.00095097704495671032</v>
      </c>
      <c s="661">
        <f>Чувствительность!N33/LOOKUP($O$5,$P$4:$P$5,$Q$4:$Q$5)</f>
        <v>-0.00094895441236993909</v>
      </c>
      <c s="661">
        <f>Чувствительность!O33/LOOKUP($O$5,$P$4:$P$5,$Q$4:$Q$5)</f>
        <v>-0.00094694036539484715</v>
      </c>
      <c s="662"/>
      <c s="662"/>
      <c s="662"/>
      <c s="662"/>
      <c s="662"/>
      <c s="662"/>
      <c s="662"/>
      <c s="662"/>
    </row>
    <row r="67" ht="15" customHeight="1"/>
    <row r="68" spans="2:2" ht="15" customHeight="1">
      <c r="B68" s="24" t="str">
        <f>"дисконтированного срока окупаемости - DPBP ("&amp;IF(Чувствительность!$C$7="нет","без учёта ранее понесённых затрат","с учётом ранее понесённых затрат")&amp;"), лет"</f>
        <v>дисконтированного срока окупаемости - DPBP (с учётом ранее понесённых затрат), лет</v>
      </c>
    </row>
    <row r="69" spans="2:21" ht="15" customHeight="1">
      <c r="B69" s="154"/>
      <c s="313">
        <v>-0.25</v>
      </c>
      <c s="313">
        <v>-0.20000000000000001</v>
      </c>
      <c s="313">
        <v>-0.15000000000000002</v>
      </c>
      <c s="313">
        <v>-0.10000000000000001</v>
      </c>
      <c s="313">
        <v>-0.049999999999999989</v>
      </c>
      <c s="312">
        <v>0</v>
      </c>
      <c s="313">
        <v>0.049999999999999989</v>
      </c>
      <c s="313">
        <v>0.10000000000000003</v>
      </c>
      <c s="313">
        <v>0.15000000000000002</v>
      </c>
      <c s="313">
        <v>0.20000000000000001</v>
      </c>
      <c s="313">
        <v>0.25</v>
      </c>
      <c s="172"/>
      <c s="172"/>
      <c s="172"/>
      <c s="172"/>
      <c s="172"/>
      <c s="172"/>
      <c s="172"/>
      <c s="172"/>
    </row>
    <row r="70" spans="2:21" ht="15" customHeight="1">
      <c r="B70" s="146" t="s">
        <v>1211</v>
      </c>
      <c s="663" t="str">
        <f>Чувствительность!E14</f>
        <v>не окупается</v>
      </c>
      <c s="663" t="str">
        <f>Чувствительность!F14</f>
        <v>не окупается</v>
      </c>
      <c s="663" t="str">
        <f>Чувствительность!G14</f>
        <v>не окупается</v>
      </c>
      <c s="663" t="str">
        <f>Чувствительность!H14</f>
        <v>не окупается</v>
      </c>
      <c s="663" t="str">
        <f>Чувствительность!I14</f>
        <v>не окупается</v>
      </c>
      <c s="305" t="str">
        <f>Чувствительность!J14</f>
        <v>не окупается</v>
      </c>
      <c s="663" t="str">
        <f>Чувствительность!K14</f>
        <v>не окупается</v>
      </c>
      <c s="663" t="str">
        <f>Чувствительность!L14</f>
        <v>не окупается</v>
      </c>
      <c s="663" t="str">
        <f>Чувствительность!M14</f>
        <v>не окупается</v>
      </c>
      <c s="663" t="str">
        <f>Чувствительность!N14</f>
        <v>не окупается</v>
      </c>
      <c s="663" t="str">
        <f>Чувствительность!O14</f>
        <v>не окупается</v>
      </c>
      <c s="662"/>
      <c s="662"/>
      <c s="662"/>
      <c s="662"/>
      <c s="662"/>
      <c s="662"/>
      <c s="662"/>
      <c s="662"/>
    </row>
    <row r="71" spans="2:21" ht="15" customHeight="1">
      <c r="B71" s="146" t="s">
        <v>1212</v>
      </c>
      <c s="663" t="str">
        <f>Чувствительность!E18</f>
        <v>не окупается</v>
      </c>
      <c s="663" t="str">
        <f>Чувствительность!F18</f>
        <v>не окупается</v>
      </c>
      <c s="663" t="str">
        <f>Чувствительность!G18</f>
        <v>не окупается</v>
      </c>
      <c s="663" t="str">
        <f>Чувствительность!H18</f>
        <v>не окупается</v>
      </c>
      <c s="663" t="str">
        <f>Чувствительность!I18</f>
        <v>не окупается</v>
      </c>
      <c s="305" t="str">
        <f>Чувствительность!J18</f>
        <v>не окупается</v>
      </c>
      <c s="663" t="str">
        <f>Чувствительность!K18</f>
        <v>не окупается</v>
      </c>
      <c s="663" t="str">
        <f>Чувствительность!L18</f>
        <v>не окупается</v>
      </c>
      <c s="663" t="str">
        <f>Чувствительность!M18</f>
        <v>не окупается</v>
      </c>
      <c s="663" t="str">
        <f>Чувствительность!N18</f>
        <v>не окупается</v>
      </c>
      <c s="663" t="str">
        <f>Чувствительность!O18</f>
        <v>не окупается</v>
      </c>
      <c s="662"/>
      <c s="662"/>
      <c s="662"/>
      <c s="662"/>
      <c s="662"/>
      <c s="662"/>
      <c s="662"/>
      <c s="662"/>
    </row>
    <row r="72" spans="2:21" ht="15" customHeight="1">
      <c r="B72" s="146" t="s">
        <v>1213</v>
      </c>
      <c s="663" t="e">
        <f>Чувствительность!E22/LOOKUP($O$5,$P$4:$P$5,$Q$4:$Q$5)</f>
        <v>#VALUE!</v>
      </c>
      <c s="663" t="str">
        <f>Чувствительность!F22</f>
        <v>не окупается</v>
      </c>
      <c s="663" t="str">
        <f>Чувствительность!G22</f>
        <v>не окупается</v>
      </c>
      <c s="663" t="str">
        <f>Чувствительность!H22</f>
        <v>не окупается</v>
      </c>
      <c s="663" t="str">
        <f>Чувствительность!I22</f>
        <v>не окупается</v>
      </c>
      <c s="305" t="str">
        <f>Чувствительность!J22</f>
        <v>не окупается</v>
      </c>
      <c s="663" t="str">
        <f>Чувствительность!K22</f>
        <v>не окупается</v>
      </c>
      <c s="663" t="str">
        <f>Чувствительность!L22</f>
        <v>не окупается</v>
      </c>
      <c s="663" t="str">
        <f>Чувствительность!M22</f>
        <v>не окупается</v>
      </c>
      <c s="663" t="str">
        <f>Чувствительность!N22</f>
        <v>не окупается</v>
      </c>
      <c s="663" t="str">
        <f>Чувствительность!O22</f>
        <v>не окупается</v>
      </c>
      <c s="662"/>
      <c s="662"/>
      <c s="662"/>
      <c s="662"/>
      <c s="662"/>
      <c s="662"/>
      <c s="662"/>
      <c s="662"/>
    </row>
    <row r="73" spans="2:21" ht="15" customHeight="1">
      <c r="B73" s="146" t="s">
        <v>1214</v>
      </c>
      <c s="663" t="e">
        <f>Чувствительность!E26/LOOKUP($O$5,$P$4:$P$5,$Q$4:$Q$5)</f>
        <v>#VALUE!</v>
      </c>
      <c s="663" t="str">
        <f>Чувствительность!F26</f>
        <v>не окупается</v>
      </c>
      <c s="663" t="str">
        <f>Чувствительность!G26</f>
        <v>не окупается</v>
      </c>
      <c s="663" t="str">
        <f>Чувствительность!H26</f>
        <v>не окупается</v>
      </c>
      <c s="663" t="str">
        <f>Чувствительность!I26</f>
        <v>не окупается</v>
      </c>
      <c s="305" t="str">
        <f>Чувствительность!J26</f>
        <v>не окупается</v>
      </c>
      <c s="663" t="str">
        <f>Чувствительность!K26</f>
        <v>не окупается</v>
      </c>
      <c s="663" t="str">
        <f>Чувствительность!L26</f>
        <v>не окупается</v>
      </c>
      <c s="663" t="str">
        <f>Чувствительность!M26</f>
        <v>не окупается</v>
      </c>
      <c s="663" t="str">
        <f>Чувствительность!N26</f>
        <v>не окупается</v>
      </c>
      <c s="663" t="str">
        <f>Чувствительность!O26</f>
        <v>не окупается</v>
      </c>
      <c s="662"/>
      <c s="662"/>
      <c s="662"/>
      <c s="662"/>
      <c s="662"/>
      <c s="662"/>
      <c s="662"/>
      <c s="662"/>
    </row>
    <row r="74" spans="2:21" ht="15" customHeight="1">
      <c r="B74" s="146" t="s">
        <v>1215</v>
      </c>
      <c s="663" t="e">
        <f>Чувствительность!E30/LOOKUP($O$5,$P$4:$P$5,$Q$4:$Q$5)</f>
        <v>#VALUE!</v>
      </c>
      <c s="663" t="str">
        <f>Чувствительность!F30</f>
        <v>не окупается</v>
      </c>
      <c s="663" t="str">
        <f>Чувствительность!G30</f>
        <v>не окупается</v>
      </c>
      <c s="663" t="str">
        <f>Чувствительность!H30</f>
        <v>не окупается</v>
      </c>
      <c s="663" t="str">
        <f>Чувствительность!I30</f>
        <v>не окупается</v>
      </c>
      <c s="305" t="str">
        <f>Чувствительность!J30</f>
        <v>не окупается</v>
      </c>
      <c s="663" t="str">
        <f>Чувствительность!K30</f>
        <v>не окупается</v>
      </c>
      <c s="663" t="str">
        <f>Чувствительность!L30</f>
        <v>не окупается</v>
      </c>
      <c s="663" t="str">
        <f>Чувствительность!M30</f>
        <v>не окупается</v>
      </c>
      <c s="663" t="str">
        <f>Чувствительность!N30</f>
        <v>не окупается</v>
      </c>
      <c s="663" t="str">
        <f>Чувствительность!O30</f>
        <v>не окупается</v>
      </c>
      <c s="662"/>
      <c s="662"/>
      <c s="662"/>
      <c s="662"/>
      <c s="662"/>
      <c s="662"/>
      <c s="662"/>
      <c s="662"/>
    </row>
    <row r="75" spans="2:21" ht="15" customHeight="1">
      <c r="B75" s="146" t="s">
        <v>1216</v>
      </c>
      <c s="663" t="str">
        <f>Чувствительность!E34</f>
        <v>не окупается</v>
      </c>
      <c s="663" t="str">
        <f>Чувствительность!F34</f>
        <v>не окупается</v>
      </c>
      <c s="663" t="str">
        <f>Чувствительность!G34</f>
        <v>не окупается</v>
      </c>
      <c s="663" t="str">
        <f>Чувствительность!H34</f>
        <v>не окупается</v>
      </c>
      <c s="663" t="str">
        <f>Чувствительность!I34</f>
        <v>не окупается</v>
      </c>
      <c s="305" t="str">
        <f>Чувствительность!J34</f>
        <v>не окупается</v>
      </c>
      <c s="663" t="str">
        <f>Чувствительность!K34</f>
        <v>не окупается</v>
      </c>
      <c s="663" t="str">
        <f>Чувствительность!L34</f>
        <v>не окупается</v>
      </c>
      <c s="663" t="str">
        <f>Чувствительность!M34</f>
        <v>не окупается</v>
      </c>
      <c s="663" t="str">
        <f>Чувствительность!N34</f>
        <v>не окупается</v>
      </c>
      <c s="663" t="str">
        <f>Чувствительность!O34</f>
        <v>не окупается</v>
      </c>
      <c s="662"/>
      <c s="662"/>
      <c s="662"/>
      <c s="662"/>
      <c s="662"/>
      <c s="662"/>
      <c s="662"/>
      <c s="662"/>
    </row>
    <row r="76" ht="15" customHeight="1"/>
    <row r="77" spans="2:2" ht="15" customHeight="1">
      <c r="B77" s="24" t="str">
        <f>"величины минимального остатка д/с по текущей деятельности (с учетом Проекта), "&amp;Единица_измерения</f>
        <v>величины минимального остатка д/с по текущей деятельности (с учетом Проекта), тыс. руб.</v>
      </c>
    </row>
    <row r="78" spans="2:21" ht="15" customHeight="1">
      <c r="B78" s="154"/>
      <c s="313">
        <v>-0.25</v>
      </c>
      <c s="313">
        <v>-0.20000000000000001</v>
      </c>
      <c s="313">
        <v>-0.15000000000000002</v>
      </c>
      <c s="313">
        <v>-0.10000000000000001</v>
      </c>
      <c s="313">
        <v>-0.049999999999999989</v>
      </c>
      <c s="312">
        <v>0</v>
      </c>
      <c s="313">
        <v>0.049999999999999989</v>
      </c>
      <c s="313">
        <v>0.10000000000000003</v>
      </c>
      <c s="313">
        <v>0.15000000000000002</v>
      </c>
      <c s="313">
        <v>0.20000000000000001</v>
      </c>
      <c s="313">
        <v>0.25</v>
      </c>
      <c s="172"/>
      <c s="172"/>
      <c s="172"/>
      <c s="172"/>
      <c s="172"/>
      <c s="172"/>
      <c s="172"/>
      <c s="172"/>
    </row>
    <row r="79" spans="2:21" ht="15" customHeight="1">
      <c r="B79" s="146" t="s">
        <v>1211</v>
      </c>
      <c s="663">
        <f>Чувствительность!E15/LOOKUP($O$5,$P$4:$P$5,$Q$4:$Q$5)</f>
        <v>0</v>
      </c>
      <c s="663">
        <f>Чувствительность!F15/LOOKUP($O$5,$P$4:$P$5,$Q$4:$Q$5)</f>
        <v>0</v>
      </c>
      <c s="663">
        <f>Чувствительность!G15/LOOKUP($O$5,$P$4:$P$5,$Q$4:$Q$5)</f>
        <v>0</v>
      </c>
      <c s="663">
        <f>Чувствительность!H15/LOOKUP($O$5,$P$4:$P$5,$Q$4:$Q$5)</f>
        <v>0</v>
      </c>
      <c s="663">
        <f>Чувствительность!I15/LOOKUP($O$5,$P$4:$P$5,$Q$4:$Q$5)</f>
        <v>0</v>
      </c>
      <c s="305">
        <f>Чувствительность!J15/LOOKUP($O$5,$P$4:$P$5,$Q$4:$Q$5)</f>
        <v>0</v>
      </c>
      <c s="663">
        <f>Чувствительность!K15/LOOKUP($O$5,$P$4:$P$5,$Q$4:$Q$5)</f>
        <v>0</v>
      </c>
      <c s="663">
        <f>Чувствительность!L15/LOOKUP($O$5,$P$4:$P$5,$Q$4:$Q$5)</f>
        <v>0</v>
      </c>
      <c s="663">
        <f>Чувствительность!M15/LOOKUP($O$5,$P$4:$P$5,$Q$4:$Q$5)</f>
        <v>0</v>
      </c>
      <c s="663">
        <f>Чувствительность!N15/LOOKUP($O$5,$P$4:$P$5,$Q$4:$Q$5)</f>
        <v>0</v>
      </c>
      <c s="663">
        <f>Чувствительность!O15/LOOKUP($O$5,$P$4:$P$5,$Q$4:$Q$5)</f>
        <v>0</v>
      </c>
      <c s="662"/>
      <c s="662"/>
      <c s="662"/>
      <c s="662"/>
      <c s="662"/>
      <c s="662"/>
      <c s="662"/>
      <c s="662"/>
    </row>
    <row r="80" spans="2:21" ht="15" customHeight="1">
      <c r="B80" s="146" t="s">
        <v>1212</v>
      </c>
      <c s="663">
        <f>Чувствительность!E19/LOOKUP($O$5,$P$4:$P$5,$Q$4:$Q$5)</f>
        <v>0</v>
      </c>
      <c s="663">
        <f>Чувствительность!F19/LOOKUP($O$5,$P$4:$P$5,$Q$4:$Q$5)</f>
        <v>0</v>
      </c>
      <c s="663">
        <f>Чувствительность!G19/LOOKUP($O$5,$P$4:$P$5,$Q$4:$Q$5)</f>
        <v>0</v>
      </c>
      <c s="663">
        <f>Чувствительность!H19/LOOKUP($O$5,$P$4:$P$5,$Q$4:$Q$5)</f>
        <v>0</v>
      </c>
      <c s="663">
        <f>Чувствительность!I19/LOOKUP($O$5,$P$4:$P$5,$Q$4:$Q$5)</f>
        <v>0</v>
      </c>
      <c s="305">
        <f>Чувствительность!J19/LOOKUP($O$5,$P$4:$P$5,$Q$4:$Q$5)</f>
        <v>0</v>
      </c>
      <c s="663">
        <f>Чувствительность!K19/LOOKUP($O$5,$P$4:$P$5,$Q$4:$Q$5)</f>
        <v>0</v>
      </c>
      <c s="663">
        <f>Чувствительность!L19/LOOKUP($O$5,$P$4:$P$5,$Q$4:$Q$5)</f>
        <v>0</v>
      </c>
      <c s="663">
        <f>Чувствительность!M19/LOOKUP($O$5,$P$4:$P$5,$Q$4:$Q$5)</f>
        <v>0</v>
      </c>
      <c s="663">
        <f>Чувствительность!N19/LOOKUP($O$5,$P$4:$P$5,$Q$4:$Q$5)</f>
        <v>0</v>
      </c>
      <c s="663">
        <f>Чувствительность!O19/LOOKUP($O$5,$P$4:$P$5,$Q$4:$Q$5)</f>
        <v>0</v>
      </c>
      <c s="662"/>
      <c s="662"/>
      <c s="662"/>
      <c s="662"/>
      <c s="662"/>
      <c s="662"/>
      <c s="662"/>
      <c s="662"/>
    </row>
    <row r="81" spans="2:21" ht="15" customHeight="1">
      <c r="B81" s="146" t="s">
        <v>1213</v>
      </c>
      <c s="663">
        <f>Чувствительность!E23/LOOKUP($O$5,$P$4:$P$5,$Q$4:$Q$5)</f>
        <v>0</v>
      </c>
      <c s="663">
        <f>Чувствительность!F23/LOOKUP($O$5,$P$4:$P$5,$Q$4:$Q$5)</f>
        <v>0</v>
      </c>
      <c s="663">
        <f>Чувствительность!G23/LOOKUP($O$5,$P$4:$P$5,$Q$4:$Q$5)</f>
        <v>0</v>
      </c>
      <c s="663">
        <f>Чувствительность!H23/LOOKUP($O$5,$P$4:$P$5,$Q$4:$Q$5)</f>
        <v>0</v>
      </c>
      <c s="663">
        <f>Чувствительность!I23/LOOKUP($O$5,$P$4:$P$5,$Q$4:$Q$5)</f>
        <v>0</v>
      </c>
      <c s="305">
        <f>Чувствительность!J23/LOOKUP($O$5,$P$4:$P$5,$Q$4:$Q$5)</f>
        <v>0</v>
      </c>
      <c s="663">
        <f>Чувствительность!K23/LOOKUP($O$5,$P$4:$P$5,$Q$4:$Q$5)</f>
        <v>0</v>
      </c>
      <c s="663">
        <f>Чувствительность!L23/LOOKUP($O$5,$P$4:$P$5,$Q$4:$Q$5)</f>
        <v>0</v>
      </c>
      <c s="663">
        <f>Чувствительность!M23/LOOKUP($O$5,$P$4:$P$5,$Q$4:$Q$5)</f>
        <v>0</v>
      </c>
      <c s="663">
        <f>Чувствительность!N23/LOOKUP($O$5,$P$4:$P$5,$Q$4:$Q$5)</f>
        <v>0</v>
      </c>
      <c s="663">
        <f>Чувствительность!O23/LOOKUP($O$5,$P$4:$P$5,$Q$4:$Q$5)</f>
        <v>0</v>
      </c>
      <c s="662"/>
      <c s="662"/>
      <c s="662"/>
      <c s="662"/>
      <c s="662"/>
      <c s="662"/>
      <c s="662"/>
      <c s="662"/>
    </row>
    <row r="82" spans="2:21" ht="15" customHeight="1">
      <c r="B82" s="146" t="s">
        <v>1214</v>
      </c>
      <c s="663">
        <f>Чувствительность!E27/LOOKUP($O$5,$P$4:$P$5,$Q$4:$Q$5)</f>
        <v>0</v>
      </c>
      <c s="663">
        <f>Чувствительность!F27/LOOKUP($O$5,$P$4:$P$5,$Q$4:$Q$5)</f>
        <v>0</v>
      </c>
      <c s="663">
        <f>Чувствительность!G27/LOOKUP($O$5,$P$4:$P$5,$Q$4:$Q$5)</f>
        <v>0</v>
      </c>
      <c s="663">
        <f>Чувствительность!H27/LOOKUP($O$5,$P$4:$P$5,$Q$4:$Q$5)</f>
        <v>0</v>
      </c>
      <c s="663">
        <f>Чувствительность!I27/LOOKUP($O$5,$P$4:$P$5,$Q$4:$Q$5)</f>
        <v>0</v>
      </c>
      <c s="305">
        <f>Чувствительность!J27/LOOKUP($O$5,$P$4:$P$5,$Q$4:$Q$5)</f>
        <v>0</v>
      </c>
      <c s="663">
        <f>Чувствительность!K27/LOOKUP($O$5,$P$4:$P$5,$Q$4:$Q$5)</f>
        <v>0</v>
      </c>
      <c s="663">
        <f>Чувствительность!L27/LOOKUP($O$5,$P$4:$P$5,$Q$4:$Q$5)</f>
        <v>0</v>
      </c>
      <c s="663">
        <f>Чувствительность!M27/LOOKUP($O$5,$P$4:$P$5,$Q$4:$Q$5)</f>
        <v>0</v>
      </c>
      <c s="663">
        <f>Чувствительность!N27/LOOKUP($O$5,$P$4:$P$5,$Q$4:$Q$5)</f>
        <v>0</v>
      </c>
      <c s="663">
        <f>Чувствительность!O27/LOOKUP($O$5,$P$4:$P$5,$Q$4:$Q$5)</f>
        <v>0</v>
      </c>
      <c s="662"/>
      <c s="662"/>
      <c s="662"/>
      <c s="662"/>
      <c s="662"/>
      <c s="662"/>
      <c s="662"/>
      <c s="662"/>
    </row>
    <row r="83" spans="2:21" ht="15" customHeight="1">
      <c r="B83" s="146" t="s">
        <v>1215</v>
      </c>
      <c s="663">
        <f>Чувствительность!E31/LOOKUP($O$5,$P$4:$P$5,$Q$4:$Q$5)</f>
        <v>0</v>
      </c>
      <c s="663">
        <f>Чувствительность!F31/LOOKUP($O$5,$P$4:$P$5,$Q$4:$Q$5)</f>
        <v>0</v>
      </c>
      <c s="663">
        <f>Чувствительность!G31/LOOKUP($O$5,$P$4:$P$5,$Q$4:$Q$5)</f>
        <v>0</v>
      </c>
      <c s="663">
        <f>Чувствительность!H31/LOOKUP($O$5,$P$4:$P$5,$Q$4:$Q$5)</f>
        <v>0</v>
      </c>
      <c s="663">
        <f>Чувствительность!I31/LOOKUP($O$5,$P$4:$P$5,$Q$4:$Q$5)</f>
        <v>0</v>
      </c>
      <c s="305">
        <f>Чувствительность!J31/LOOKUP($O$5,$P$4:$P$5,$Q$4:$Q$5)</f>
        <v>0</v>
      </c>
      <c s="663">
        <f>Чувствительность!K31/LOOKUP($O$5,$P$4:$P$5,$Q$4:$Q$5)</f>
        <v>0</v>
      </c>
      <c s="663">
        <f>Чувствительность!L31/LOOKUP($O$5,$P$4:$P$5,$Q$4:$Q$5)</f>
        <v>0</v>
      </c>
      <c s="663">
        <f>Чувствительность!M31/LOOKUP($O$5,$P$4:$P$5,$Q$4:$Q$5)</f>
        <v>0</v>
      </c>
      <c s="663">
        <f>Чувствительность!N31/LOOKUP($O$5,$P$4:$P$5,$Q$4:$Q$5)</f>
        <v>0</v>
      </c>
      <c s="663">
        <f>Чувствительность!O31/LOOKUP($O$5,$P$4:$P$5,$Q$4:$Q$5)</f>
        <v>0</v>
      </c>
      <c s="662"/>
      <c s="662"/>
      <c s="662"/>
      <c s="662"/>
      <c s="662"/>
      <c s="662"/>
      <c s="662"/>
      <c s="662"/>
    </row>
    <row r="84" ht="15" customHeight="1"/>
    <row r="85" spans="2:2" ht="15" customHeight="1">
      <c r="B85" s="24" t="str">
        <f>"График чувствительности NPV Проекта ("&amp;IF(Чувствительность!$C$7="нет","без учёта ранее понесённых затрат","с учётом ранее понесённых затрат")&amp;") к изменению основных параметров"</f>
        <v>График чувствительности NPV Проекта (с учётом ранее понесённых затрат) к изменению основных параметров</v>
      </c>
    </row>
    <row r="86" spans="2:2" ht="15" customHeight="1">
      <c r="B86" s="24" t="str">
        <f>Единица_измерения</f>
        <v>тыс. руб.</v>
      </c>
    </row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spans="2:2" ht="21">
      <c r="B114" s="23" t="s">
        <v>1217</v>
      </c>
    </row>
    <row r="115" spans="2:2" ht="15" customHeight="1">
      <c r="B115" s="24" t="s">
        <v>326</v>
      </c>
    </row>
    <row r="116" spans="2:21" ht="15" customHeight="1">
      <c r="B116" s="615" t="s">
        <v>562</v>
      </c>
      <c s="615" t="s">
        <v>482</v>
      </c>
      <c s="615"/>
      <c s="615"/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117" spans="2:21" ht="15" customHeight="1">
      <c r="B117"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118" spans="2:21" ht="15" customHeight="1">
      <c r="B118" s="144" t="s">
        <v>273</v>
      </c>
      <c s="185" t="str">
        <f>O5</f>
        <v>тыс. руб.</v>
      </c>
      <c s="143"/>
      <c s="143"/>
      <c s="182">
        <f ca="1">SUM('Годовая отчетность'!E253,IF(ISBLANK(E$116),OFFSET(Предпосылки!$G$538,,,,-ROUNDUP(MONTH(Предпосылки!$C$13)/Месяцев_в_квартале,0)),0))/LOOKUP($O$5,$P$4:$P$5,$Q$4:$Q$5)</f>
        <v>0</v>
      </c>
      <c s="182">
        <f ca="1">SUM('Годовая отчетность'!F253,IF(ISBLANK(F$116),OFFSET(Предпосылки!$G$538,,,,-ROUNDUP(MONTH(Предпосылки!$C$13)/Месяцев_в_квартале,0)),0))/LOOKUP($O$5,$P$4:$P$5,$Q$4:$Q$5)</f>
        <v>0</v>
      </c>
      <c s="182">
        <f ca="1">SUM('Годовая отчетность'!G253,IF(ISBLANK(G$116),OFFSET(Предпосылки!$G$538,,,,-ROUNDUP(MONTH(Предпосылки!$C$13)/Месяцев_в_квартале,0)),0))/LOOKUP($O$5,$P$4:$P$5,$Q$4:$Q$5)</f>
        <v>0</v>
      </c>
      <c s="182">
        <f ca="1">SUM('Годовая отчетность'!H253,IF(ISBLANK(H$116),OFFSET(Предпосылки!$G$538,,,,-ROUNDUP(MONTH(Предпосылки!$C$13)/Месяцев_в_квартале,0)),0))/LOOKUP($O$5,$P$4:$P$5,$Q$4:$Q$5)</f>
        <v>0</v>
      </c>
      <c s="182">
        <f ca="1">SUM('Годовая отчетность'!I253,IF(ISBLANK(I$116),OFFSET(Предпосылки!$G$538,,,,-ROUNDUP(MONTH(Предпосылки!$C$13)/Месяцев_в_квартале,0)),0))/LOOKUP($O$5,$P$4:$P$5,$Q$4:$Q$5)</f>
        <v>0</v>
      </c>
      <c s="182">
        <f ca="1">SUM('Годовая отчетность'!J253,IF(ISBLANK(J$116),OFFSET(Предпосылки!$G$538,,,,-ROUNDUP(MONTH(Предпосылки!$C$13)/Месяцев_в_квартале,0)),0))/LOOKUP($O$5,$P$4:$P$5,$Q$4:$Q$5)</f>
        <v>0</v>
      </c>
      <c s="182">
        <f ca="1">SUM('Годовая отчетность'!K253,IF(ISBLANK(K$116),OFFSET(Предпосылки!$G$538,,,,-ROUNDUP(MONTH(Предпосылки!$C$13)/Месяцев_в_квартале,0)),0))/LOOKUP($O$5,$P$4:$P$5,$Q$4:$Q$5)</f>
        <v>0</v>
      </c>
      <c s="182">
        <f ca="1">SUM('Годовая отчетность'!L253,IF(ISBLANK(L$116),OFFSET(Предпосылки!$G$538,,,,-ROUNDUP(MONTH(Предпосылки!$C$13)/Месяцев_в_квартале,0)),0))/LOOKUP($O$5,$P$4:$P$5,$Q$4:$Q$5)</f>
        <v>0</v>
      </c>
      <c s="182">
        <f ca="1">SUM('Годовая отчетность'!M253,IF(ISBLANK(M$116),OFFSET(Предпосылки!$G$538,,,,-ROUNDUP(MONTH(Предпосылки!$C$13)/Месяцев_в_квартале,0)),0))/LOOKUP($O$5,$P$4:$P$5,$Q$4:$Q$5)</f>
        <v>0</v>
      </c>
      <c s="182">
        <f ca="1">SUM('Годовая отчетность'!N253,IF(ISBLANK(N$116),OFFSET(Предпосылки!$G$538,,,,-ROUNDUP(MONTH(Предпосылки!$C$13)/Месяцев_в_квартале,0)),0))/LOOKUP($O$5,$P$4:$P$5,$Q$4:$Q$5)</f>
        <v>0</v>
      </c>
      <c s="182">
        <f ca="1">SUM('Годовая отчетность'!O253,IF(ISBLANK(O$116),OFFSET(Предпосылки!$G$538,,,,-ROUNDUP(MONTH(Предпосылки!$C$13)/Месяцев_в_квартале,0)),0))/LOOKUP($O$5,$P$4:$P$5,$Q$4:$Q$5)</f>
        <v>0</v>
      </c>
      <c s="182">
        <f ca="1">SUM('Годовая отчетность'!P253,IF(ISBLANK(P$116),OFFSET(Предпосылки!$G$538,,,,-ROUNDUP(MONTH(Предпосылки!$C$13)/Месяцев_в_квартале,0)),0))/LOOKUP($O$5,$P$4:$P$5,$Q$4:$Q$5)</f>
        <v>0</v>
      </c>
      <c s="182">
        <f ca="1">SUM('Годовая отчетность'!Q253,IF(ISBLANK(Q$116),OFFSET(Предпосылки!$G$538,,,,-ROUNDUP(MONTH(Предпосылки!$C$13)/Месяцев_в_квартале,0)),0))/LOOKUP($O$5,$P$4:$P$5,$Q$4:$Q$5)</f>
        <v>0</v>
      </c>
      <c s="182">
        <f ca="1">SUM('Годовая отчетность'!R253,IF(ISBLANK(R$116),OFFSET(Предпосылки!$G$538,,,,-ROUNDUP(MONTH(Предпосылки!$C$13)/Месяцев_в_квартале,0)),0))/LOOKUP($O$5,$P$4:$P$5,$Q$4:$Q$5)</f>
        <v>0</v>
      </c>
      <c s="182">
        <f ca="1">SUM('Годовая отчетность'!S253,IF(ISBLANK(S$116),OFFSET(Предпосылки!$G$538,,,,-ROUNDUP(MONTH(Предпосылки!$C$13)/Месяцев_в_квартале,0)),0))/LOOKUP($O$5,$P$4:$P$5,$Q$4:$Q$5)</f>
        <v>0</v>
      </c>
      <c s="182">
        <f ca="1">SUM('Годовая отчетность'!T253,IF(ISBLANK(T$116),OFFSET(Предпосылки!$G$538,,,,-ROUNDUP(MONTH(Предпосылки!$C$13)/Месяцев_в_квартале,0)),0))/LOOKUP($O$5,$P$4:$P$5,$Q$4:$Q$5)</f>
        <v>0</v>
      </c>
    </row>
    <row r="119" spans="2:21" ht="15" customHeight="1">
      <c r="B119" s="148" t="s">
        <v>1218</v>
      </c>
      <c s="155" t="s">
        <v>817</v>
      </c>
      <c s="143"/>
      <c s="143"/>
      <c s="150" t="str">
        <f ca="1">IFERROR(F118/IF(ISBLANK(E$116),Предпосылки!$C$566,E$118)-1,"-")</f>
        <v>-</v>
      </c>
      <c s="150" t="str">
        <f ca="1">IFERROR(G118/IF(ISBLANK(F$116),Предпосылки!$C$566,F$118)-1,"-")</f>
        <v>-</v>
      </c>
      <c s="150" t="str">
        <f ca="1">IFERROR(H118/IF(ISBLANK(G$116),Предпосылки!$C$566,G$118)-1,"-")</f>
        <v>-</v>
      </c>
      <c s="150" t="str">
        <f ca="1">IFERROR(I118/IF(ISBLANK(H$116),Предпосылки!$C$566,H$118)-1,"-")</f>
        <v>-</v>
      </c>
      <c s="150" t="str">
        <f ca="1">IFERROR(J118/IF(ISBLANK(I$116),Предпосылки!$C$566,I$118)-1,"-")</f>
        <v>-</v>
      </c>
      <c s="150" t="str">
        <f ca="1">IFERROR(K118/IF(ISBLANK(J$116),Предпосылки!$C$566,J$118)-1,"-")</f>
        <v>-</v>
      </c>
      <c s="150" t="str">
        <f ca="1">IFERROR(L118/IF(ISBLANK(K$116),Предпосылки!$C$566,K$118)-1,"-")</f>
        <v>-</v>
      </c>
      <c s="150" t="str">
        <f ca="1">IFERROR(M118/IF(ISBLANK(L$116),Предпосылки!$C$566,L$118)-1,"-")</f>
        <v>-</v>
      </c>
      <c s="150" t="str">
        <f ca="1">IFERROR(N118/IF(ISBLANK(M$116),Предпосылки!$C$566,M$118)-1,"-")</f>
        <v>-</v>
      </c>
      <c s="150" t="str">
        <f ca="1">IFERROR(O118/IF(ISBLANK(N$116),Предпосылки!$C$566,N$118)-1,"-")</f>
        <v>-</v>
      </c>
      <c s="150" t="str">
        <f ca="1">IFERROR(P118/IF(ISBLANK(O$116),Предпосылки!$C$566,O$118)-1,"-")</f>
        <v>-</v>
      </c>
      <c s="150" t="str">
        <f ca="1">IFERROR(Q118/IF(ISBLANK(P$116),Предпосылки!$C$566,P$118)-1,"-")</f>
        <v>-</v>
      </c>
      <c s="150" t="str">
        <f ca="1">IFERROR(R118/IF(ISBLANK(Q$116),Предпосылки!$C$566,Q$118)-1,"-")</f>
        <v>-</v>
      </c>
      <c s="150" t="str">
        <f ca="1">IFERROR(S118/IF(ISBLANK(R$116),Предпосылки!$C$566,R$118)-1,"-")</f>
        <v>-</v>
      </c>
      <c s="150" t="str">
        <f ca="1">IFERROR(T118/IF(ISBLANK(S$116),Предпосылки!$C$566,S$118)-1,"-")</f>
        <v>-</v>
      </c>
      <c s="150" t="str">
        <f ca="1">IFERROR(U118/IF(ISBLANK(T$116),Предпосылки!$C$566,T$118)-1,"-")</f>
        <v>-</v>
      </c>
    </row>
    <row r="120" spans="2:21" ht="15" customHeight="1">
      <c r="B120" s="146" t="s">
        <v>1185</v>
      </c>
      <c s="186" t="str">
        <f>O5</f>
        <v>тыс. руб.</v>
      </c>
      <c s="143"/>
      <c s="143"/>
      <c s="153">
        <f ca="1">SUM('Годовая отчетность'!E255,IF(ISBLANK(E$116),OFFSET(Предпосылки!$G$540,,,,-ROUNDUP(MONTH(Предпосылки!$C$13)/Месяцев_в_квартале,0)),0))/LOOKUP($O$5,$P$4:$P$5,$Q$4:$Q$5)</f>
        <v>0</v>
      </c>
      <c s="153">
        <f ca="1">SUM('Годовая отчетность'!F255,IF(ISBLANK(F$116),OFFSET(Предпосылки!$G$540,,,,-ROUNDUP(MONTH(Предпосылки!$C$13)/Месяцев_в_квартале,0)),0))/LOOKUP($O$5,$P$4:$P$5,$Q$4:$Q$5)</f>
        <v>0</v>
      </c>
      <c s="153">
        <f ca="1">SUM('Годовая отчетность'!G255,IF(ISBLANK(G$116),OFFSET(Предпосылки!$G$540,,,,-ROUNDUP(MONTH(Предпосылки!$C$13)/Месяцев_в_квартале,0)),0))/LOOKUP($O$5,$P$4:$P$5,$Q$4:$Q$5)</f>
        <v>0</v>
      </c>
      <c s="153">
        <f ca="1">SUM('Годовая отчетность'!H255,IF(ISBLANK(H$116),OFFSET(Предпосылки!$G$540,,,,-ROUNDUP(MONTH(Предпосылки!$C$13)/Месяцев_в_квартале,0)),0))/LOOKUP($O$5,$P$4:$P$5,$Q$4:$Q$5)</f>
        <v>0</v>
      </c>
      <c s="153">
        <f ca="1">SUM('Годовая отчетность'!I255,IF(ISBLANK(I$116),OFFSET(Предпосылки!$G$540,,,,-ROUNDUP(MONTH(Предпосылки!$C$13)/Месяцев_в_квартале,0)),0))/LOOKUP($O$5,$P$4:$P$5,$Q$4:$Q$5)</f>
        <v>0</v>
      </c>
      <c s="153">
        <f ca="1">SUM('Годовая отчетность'!J255,IF(ISBLANK(J$116),OFFSET(Предпосылки!$G$540,,,,-ROUNDUP(MONTH(Предпосылки!$C$13)/Месяцев_в_квартале,0)),0))/LOOKUP($O$5,$P$4:$P$5,$Q$4:$Q$5)</f>
        <v>0</v>
      </c>
      <c s="153">
        <f ca="1">SUM('Годовая отчетность'!K255,IF(ISBLANK(K$116),OFFSET(Предпосылки!$G$540,,,,-ROUNDUP(MONTH(Предпосылки!$C$13)/Месяцев_в_квартале,0)),0))/LOOKUP($O$5,$P$4:$P$5,$Q$4:$Q$5)</f>
        <v>0</v>
      </c>
      <c s="153">
        <f ca="1">SUM('Годовая отчетность'!L255,IF(ISBLANK(L$116),OFFSET(Предпосылки!$G$540,,,,-ROUNDUP(MONTH(Предпосылки!$C$13)/Месяцев_в_квартале,0)),0))/LOOKUP($O$5,$P$4:$P$5,$Q$4:$Q$5)</f>
        <v>0</v>
      </c>
      <c s="153">
        <f ca="1">SUM('Годовая отчетность'!M255,IF(ISBLANK(M$116),OFFSET(Предпосылки!$G$540,,,,-ROUNDUP(MONTH(Предпосылки!$C$13)/Месяцев_в_квартале,0)),0))/LOOKUP($O$5,$P$4:$P$5,$Q$4:$Q$5)</f>
        <v>0</v>
      </c>
      <c s="153">
        <f ca="1">SUM('Годовая отчетность'!N255,IF(ISBLANK(N$116),OFFSET(Предпосылки!$G$540,,,,-ROUNDUP(MONTH(Предпосылки!$C$13)/Месяцев_в_квартале,0)),0))/LOOKUP($O$5,$P$4:$P$5,$Q$4:$Q$5)</f>
        <v>0</v>
      </c>
      <c s="153">
        <f ca="1">SUM('Годовая отчетность'!O255,IF(ISBLANK(O$116),OFFSET(Предпосылки!$G$540,,,,-ROUNDUP(MONTH(Предпосылки!$C$13)/Месяцев_в_квартале,0)),0))/LOOKUP($O$5,$P$4:$P$5,$Q$4:$Q$5)</f>
        <v>0</v>
      </c>
      <c s="153">
        <f ca="1">SUM('Годовая отчетность'!P255,IF(ISBLANK(P$116),OFFSET(Предпосылки!$G$540,,,,-ROUNDUP(MONTH(Предпосылки!$C$13)/Месяцев_в_квартале,0)),0))/LOOKUP($O$5,$P$4:$P$5,$Q$4:$Q$5)</f>
        <v>0</v>
      </c>
      <c s="153">
        <f ca="1">SUM('Годовая отчетность'!Q255,IF(ISBLANK(Q$116),OFFSET(Предпосылки!$G$540,,,,-ROUNDUP(MONTH(Предпосылки!$C$13)/Месяцев_в_квартале,0)),0))/LOOKUP($O$5,$P$4:$P$5,$Q$4:$Q$5)</f>
        <v>0</v>
      </c>
      <c s="153">
        <f ca="1">SUM('Годовая отчетность'!R255,IF(ISBLANK(R$116),OFFSET(Предпосылки!$G$540,,,,-ROUNDUP(MONTH(Предпосылки!$C$13)/Месяцев_в_квартале,0)),0))/LOOKUP($O$5,$P$4:$P$5,$Q$4:$Q$5)</f>
        <v>0</v>
      </c>
      <c s="153">
        <f ca="1">SUM('Годовая отчетность'!S255,IF(ISBLANK(S$116),OFFSET(Предпосылки!$G$540,,,,-ROUNDUP(MONTH(Предпосылки!$C$13)/Месяцев_в_квартале,0)),0))/LOOKUP($O$5,$P$4:$P$5,$Q$4:$Q$5)</f>
        <v>0</v>
      </c>
      <c s="153">
        <f ca="1">SUM('Годовая отчетность'!T255,IF(ISBLANK(T$116),OFFSET(Предпосылки!$G$540,,,,-ROUNDUP(MONTH(Предпосылки!$C$13)/Месяцев_в_квартале,0)),0))/LOOKUP($O$5,$P$4:$P$5,$Q$4:$Q$5)</f>
        <v>0</v>
      </c>
    </row>
    <row r="121" spans="2:21" ht="15" customHeight="1">
      <c r="B121" s="148" t="s">
        <v>1020</v>
      </c>
      <c s="155" t="s">
        <v>817</v>
      </c>
      <c s="143"/>
      <c s="143"/>
      <c s="150" t="str">
        <f ca="1" t="shared" si="13" ref="F121:K121">IFERROR(F120/F$118,"-")</f>
        <v>-</v>
      </c>
      <c s="150" t="str">
        <f t="shared" ca="1" si="13"/>
        <v>-</v>
      </c>
      <c s="150" t="str">
        <f t="shared" ca="1" si="13"/>
        <v>-</v>
      </c>
      <c s="150" t="str">
        <f t="shared" ca="1" si="13"/>
        <v>-</v>
      </c>
      <c s="150" t="str">
        <f t="shared" ca="1" si="13"/>
        <v>-</v>
      </c>
      <c s="150" t="str">
        <f t="shared" ca="1" si="13"/>
        <v>-</v>
      </c>
      <c s="150" t="str">
        <f ca="1" t="shared" si="14" ref="L121:U121">IFERROR(L120/L$118,"-")</f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  <c s="150" t="str">
        <f t="shared" ca="1" si="14"/>
        <v>-</v>
      </c>
    </row>
    <row r="122" spans="2:21" ht="15" customHeight="1">
      <c r="B122" s="146" t="s">
        <v>577</v>
      </c>
      <c s="186" t="str">
        <f>O5</f>
        <v>тыс. руб.</v>
      </c>
      <c s="143"/>
      <c s="143" t="s">
        <v>1219</v>
      </c>
      <c s="153">
        <f ca="1">SUM(SUMIF(Показатели!$E$10:$BM$10,F$116,Показатели!$E$231:$BM$231),IF(ISBLANK(E$116),OFFSET(Предпосылки!$G$554,,,,-ROUNDUP(MONTH(Предпосылки!$C$13)/Месяцев_в_квартале,0)),0))/LOOKUP($O$5,$P$4:$P$5,$Q$4:$Q$5)</f>
        <v>0</v>
      </c>
      <c s="153">
        <f ca="1">SUM(SUMIF(Показатели!$E$10:$BM$10,G$116,Показатели!$E$231:$BM$231),IF(ISBLANK(F$116),OFFSET(Предпосылки!$G$554,,,,-ROUNDUP(MONTH(Предпосылки!$C$13)/Месяцев_в_квартале,0)),0))/LOOKUP($O$5,$P$4:$P$5,$Q$4:$Q$5)</f>
        <v>0</v>
      </c>
      <c s="153">
        <f ca="1">SUM(SUMIF(Показатели!$E$10:$BM$10,H$116,Показатели!$E$231:$BM$231),IF(ISBLANK(G$116),OFFSET(Предпосылки!$G$554,,,,-ROUNDUP(MONTH(Предпосылки!$C$13)/Месяцев_в_квартале,0)),0))/LOOKUP($O$5,$P$4:$P$5,$Q$4:$Q$5)</f>
        <v>0</v>
      </c>
      <c s="153">
        <f ca="1">SUM(SUMIF(Показатели!$E$10:$BM$10,I$116,Показатели!$E$231:$BM$231),IF(ISBLANK(H$116),OFFSET(Предпосылки!$G$554,,,,-ROUNDUP(MONTH(Предпосылки!$C$13)/Месяцев_в_квартале,0)),0))/LOOKUP($O$5,$P$4:$P$5,$Q$4:$Q$5)</f>
        <v>0</v>
      </c>
      <c s="153">
        <f ca="1">SUM(SUMIF(Показатели!$E$10:$BM$10,J$116,Показатели!$E$231:$BM$231),IF(ISBLANK(I$116),OFFSET(Предпосылки!$G$554,,,,-ROUNDUP(MONTH(Предпосылки!$C$13)/Месяцев_в_квартале,0)),0))/LOOKUP($O$5,$P$4:$P$5,$Q$4:$Q$5)</f>
        <v>0</v>
      </c>
      <c s="153">
        <f ca="1">SUM(SUMIF(Показатели!$E$10:$BM$10,K$116,Показатели!$E$231:$BM$231),IF(ISBLANK(J$116),OFFSET(Предпосылки!$G$554,,,,-ROUNDUP(MONTH(Предпосылки!$C$13)/Месяцев_в_квартале,0)),0))/LOOKUP($O$5,$P$4:$P$5,$Q$4:$Q$5)</f>
        <v>0</v>
      </c>
      <c s="153">
        <f ca="1">SUM(SUMIF(Показатели!$E$10:$BM$10,L$116,Показатели!$E$231:$BM$231),IF(ISBLANK(K$116),OFFSET(Предпосылки!$G$554,,,,-ROUNDUP(MONTH(Предпосылки!$C$13)/Месяцев_в_квартале,0)),0))/LOOKUP($O$5,$P$4:$P$5,$Q$4:$Q$5)</f>
        <v>0</v>
      </c>
      <c s="153">
        <f ca="1">SUM(SUMIF(Показатели!$E$10:$BM$10,M$116,Показатели!$E$231:$BM$231),IF(ISBLANK(L$116),OFFSET(Предпосылки!$G$554,,,,-ROUNDUP(MONTH(Предпосылки!$C$13)/Месяцев_в_квартале,0)),0))/LOOKUP($O$5,$P$4:$P$5,$Q$4:$Q$5)</f>
        <v>0</v>
      </c>
      <c s="153">
        <f ca="1">SUM(SUMIF(Показатели!$E$10:$BM$10,N$116,Показатели!$E$231:$BM$231),IF(ISBLANK(M$116),OFFSET(Предпосылки!$G$554,,,,-ROUNDUP(MONTH(Предпосылки!$C$13)/Месяцев_в_квартале,0)),0))/LOOKUP($O$5,$P$4:$P$5,$Q$4:$Q$5)</f>
        <v>0</v>
      </c>
      <c s="153">
        <f ca="1">SUM(SUMIF(Показатели!$E$10:$BM$10,O$116,Показатели!$E$231:$BM$231),IF(ISBLANK(N$116),OFFSET(Предпосылки!$G$554,,,,-ROUNDUP(MONTH(Предпосылки!$C$13)/Месяцев_в_квартале,0)),0))/LOOKUP($O$5,$P$4:$P$5,$Q$4:$Q$5)</f>
        <v>0</v>
      </c>
      <c s="153">
        <f ca="1">SUM(SUMIF(Показатели!$E$10:$BM$10,P$116,Показатели!$E$231:$BM$231),IF(ISBLANK(O$116),OFFSET(Предпосылки!$G$554,,,,-ROUNDUP(MONTH(Предпосылки!$C$13)/Месяцев_в_квартале,0)),0))/LOOKUP($O$5,$P$4:$P$5,$Q$4:$Q$5)</f>
        <v>0</v>
      </c>
      <c s="153">
        <f ca="1">SUM(SUMIF(Показатели!$E$10:$BM$10,Q$116,Показатели!$E$231:$BM$231),IF(ISBLANK(P$116),OFFSET(Предпосылки!$G$554,,,,-ROUNDUP(MONTH(Предпосылки!$C$13)/Месяцев_в_квартале,0)),0))/LOOKUP($O$5,$P$4:$P$5,$Q$4:$Q$5)</f>
        <v>0</v>
      </c>
      <c s="153">
        <f ca="1">SUM(SUMIF(Показатели!$E$10:$BM$10,R$116,Показатели!$E$231:$BM$231),IF(ISBLANK(Q$116),OFFSET(Предпосылки!$G$554,,,,-ROUNDUP(MONTH(Предпосылки!$C$13)/Месяцев_в_квартале,0)),0))/LOOKUP($O$5,$P$4:$P$5,$Q$4:$Q$5)</f>
        <v>0</v>
      </c>
      <c s="153">
        <f ca="1">SUM(SUMIF(Показатели!$E$10:$BM$10,S$116,Показатели!$E$231:$BM$231),IF(ISBLANK(R$116),OFFSET(Предпосылки!$G$554,,,,-ROUNDUP(MONTH(Предпосылки!$C$13)/Месяцев_в_квартале,0)),0))/LOOKUP($O$5,$P$4:$P$5,$Q$4:$Q$5)</f>
        <v>0</v>
      </c>
      <c s="153">
        <f ca="1">SUM(SUMIF(Показатели!$E$10:$BM$10,T$116,Показатели!$E$231:$BM$231),IF(ISBLANK(S$116),OFFSET(Предпосылки!$G$554,,,,-ROUNDUP(MONTH(Предпосылки!$C$13)/Месяцев_в_квартале,0)),0))/LOOKUP($O$5,$P$4:$P$5,$Q$4:$Q$5)</f>
        <v>0</v>
      </c>
      <c s="153">
        <f ca="1">SUM(SUMIF(Показатели!$E$10:$BM$10,U$116,Показатели!$E$231:$BM$231),IF(ISBLANK(T$116),OFFSET(Предпосылки!$G$554,,,,-ROUNDUP(MONTH(Предпосылки!$C$13)/Месяцев_в_квартале,0)),0))/LOOKUP($O$5,$P$4:$P$5,$Q$4:$Q$5)</f>
        <v>0</v>
      </c>
    </row>
    <row r="123" spans="2:21" ht="15" customHeight="1">
      <c r="B123" s="148" t="s">
        <v>1025</v>
      </c>
      <c s="155" t="s">
        <v>817</v>
      </c>
      <c s="143"/>
      <c s="143"/>
      <c s="150" t="str">
        <f ca="1" t="shared" si="15" ref="F123:F125">IFERROR(F122/F$118,"-")</f>
        <v>-</v>
      </c>
      <c s="150" t="str">
        <f ca="1" t="shared" si="16" ref="G123:U123">IFERROR(G122/G$118,"-")</f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  <c s="150" t="str">
        <f t="shared" ca="1" si="16"/>
        <v>-</v>
      </c>
    </row>
    <row r="124" spans="2:21" ht="15" customHeight="1">
      <c r="B124" s="146" t="s">
        <v>576</v>
      </c>
      <c s="186" t="str">
        <f>O5</f>
        <v>тыс. руб.</v>
      </c>
      <c s="143"/>
      <c s="143"/>
      <c s="153">
        <f ca="1">SUM(SUMIF(Показатели!$E$10:$BM$10,F$116,Показатели!$E$271:$BM$271),IF(ISBLANK(E$116),OFFSET(Предпосылки!$G$553,,,,-ROUNDUP(MONTH(Предпосылки!$C$13)/Месяцев_в_квартале,0)),0))/LOOKUP($O$5,$P$4:$P$5,$Q$4:$Q$5)</f>
        <v>0</v>
      </c>
      <c s="153">
        <f ca="1">SUM(SUMIF(Показатели!$E$10:$BM$10,G$116,Показатели!$E$271:$BM$271),IF(ISBLANK(F$116),OFFSET(Предпосылки!$G$553,,,,-ROUNDUP(MONTH(Предпосылки!$C$13)/Месяцев_в_квартале,0)),0))/LOOKUP($O$5,$P$4:$P$5,$Q$4:$Q$5)</f>
        <v>0</v>
      </c>
      <c s="153">
        <f ca="1">SUM(SUMIF(Показатели!$E$10:$BM$10,H$116,Показатели!$E$271:$BM$271),IF(ISBLANK(G$116),OFFSET(Предпосылки!$G$553,,,,-ROUNDUP(MONTH(Предпосылки!$C$13)/Месяцев_в_квартале,0)),0))/LOOKUP($O$5,$P$4:$P$5,$Q$4:$Q$5)</f>
        <v>0</v>
      </c>
      <c s="153">
        <f ca="1">SUM(SUMIF(Показатели!$E$10:$BM$10,I$116,Показатели!$E$271:$BM$271),IF(ISBLANK(H$116),OFFSET(Предпосылки!$G$553,,,,-ROUNDUP(MONTH(Предпосылки!$C$13)/Месяцев_в_квартале,0)),0))/LOOKUP($O$5,$P$4:$P$5,$Q$4:$Q$5)</f>
        <v>0</v>
      </c>
      <c s="153">
        <f ca="1">SUM(SUMIF(Показатели!$E$10:$BM$10,J$116,Показатели!$E$271:$BM$271),IF(ISBLANK(I$116),OFFSET(Предпосылки!$G$553,,,,-ROUNDUP(MONTH(Предпосылки!$C$13)/Месяцев_в_квартале,0)),0))/LOOKUP($O$5,$P$4:$P$5,$Q$4:$Q$5)</f>
        <v>0</v>
      </c>
      <c s="153">
        <f ca="1">SUM(SUMIF(Показатели!$E$10:$BM$10,K$116,Показатели!$E$271:$BM$271),IF(ISBLANK(J$116),OFFSET(Предпосылки!$G$553,,,,-ROUNDUP(MONTH(Предпосылки!$C$13)/Месяцев_в_квартале,0)),0))/LOOKUP($O$5,$P$4:$P$5,$Q$4:$Q$5)</f>
        <v>0</v>
      </c>
      <c s="153">
        <f ca="1">SUM(SUMIF(Показатели!$E$10:$BM$10,L$116,Показатели!$E$271:$BM$271),IF(ISBLANK(K$116),OFFSET(Предпосылки!$G$553,,,,-ROUNDUP(MONTH(Предпосылки!$C$13)/Месяцев_в_квартале,0)),0))/LOOKUP($O$5,$P$4:$P$5,$Q$4:$Q$5)</f>
        <v>0</v>
      </c>
      <c s="153">
        <f ca="1">SUM(SUMIF(Показатели!$E$10:$BM$10,M$116,Показатели!$E$271:$BM$271),IF(ISBLANK(L$116),OFFSET(Предпосылки!$G$553,,,,-ROUNDUP(MONTH(Предпосылки!$C$13)/Месяцев_в_квартале,0)),0))/LOOKUP($O$5,$P$4:$P$5,$Q$4:$Q$5)</f>
        <v>0</v>
      </c>
      <c s="153">
        <f ca="1">SUM(SUMIF(Показатели!$E$10:$BM$10,N$116,Показатели!$E$271:$BM$271),IF(ISBLANK(M$116),OFFSET(Предпосылки!$G$553,,,,-ROUNDUP(MONTH(Предпосылки!$C$13)/Месяцев_в_квартале,0)),0))/LOOKUP($O$5,$P$4:$P$5,$Q$4:$Q$5)</f>
        <v>0</v>
      </c>
      <c s="153">
        <f ca="1">SUM(SUMIF(Показатели!$E$10:$BM$10,O$116,Показатели!$E$271:$BM$271),IF(ISBLANK(N$116),OFFSET(Предпосылки!$G$553,,,,-ROUNDUP(MONTH(Предпосылки!$C$13)/Месяцев_в_квартале,0)),0))/LOOKUP($O$5,$P$4:$P$5,$Q$4:$Q$5)</f>
        <v>0</v>
      </c>
      <c s="153">
        <f ca="1">SUM(SUMIF(Показатели!$E$10:$BM$10,P$116,Показатели!$E$271:$BM$271),IF(ISBLANK(O$116),OFFSET(Предпосылки!$G$553,,,,-ROUNDUP(MONTH(Предпосылки!$C$13)/Месяцев_в_квартале,0)),0))/LOOKUP($O$5,$P$4:$P$5,$Q$4:$Q$5)</f>
        <v>0</v>
      </c>
      <c s="153">
        <f ca="1">SUM(SUMIF(Показатели!$E$10:$BM$10,Q$116,Показатели!$E$271:$BM$271),IF(ISBLANK(P$116),OFFSET(Предпосылки!$G$553,,,,-ROUNDUP(MONTH(Предпосылки!$C$13)/Месяцев_в_квартале,0)),0))/LOOKUP($O$5,$P$4:$P$5,$Q$4:$Q$5)</f>
        <v>0</v>
      </c>
      <c s="153">
        <f ca="1">SUM(SUMIF(Показатели!$E$10:$BM$10,R$116,Показатели!$E$271:$BM$271),IF(ISBLANK(Q$116),OFFSET(Предпосылки!$G$553,,,,-ROUNDUP(MONTH(Предпосылки!$C$13)/Месяцев_в_квартале,0)),0))/LOOKUP($O$5,$P$4:$P$5,$Q$4:$Q$5)</f>
        <v>0</v>
      </c>
      <c s="153">
        <f ca="1">SUM(SUMIF(Показатели!$E$10:$BM$10,S$116,Показатели!$E$271:$BM$271),IF(ISBLANK(R$116),OFFSET(Предпосылки!$G$553,,,,-ROUNDUP(MONTH(Предпосылки!$C$13)/Месяцев_в_квартале,0)),0))/LOOKUP($O$5,$P$4:$P$5,$Q$4:$Q$5)</f>
        <v>0</v>
      </c>
      <c s="153">
        <f ca="1">SUM(SUMIF(Показатели!$E$10:$BM$10,T$116,Показатели!$E$271:$BM$271),IF(ISBLANK(S$116),OFFSET(Предпосылки!$G$553,,,,-ROUNDUP(MONTH(Предпосылки!$C$13)/Месяцев_в_квартале,0)),0))/LOOKUP($O$5,$P$4:$P$5,$Q$4:$Q$5)</f>
        <v>0</v>
      </c>
      <c s="153">
        <f ca="1">SUM(SUMIF(Показатели!$E$10:$BM$10,U$116,Показатели!$E$271:$BM$271),IF(ISBLANK(T$116),OFFSET(Предпосылки!$G$553,,,,-ROUNDUP(MONTH(Предпосылки!$C$13)/Месяцев_в_квартале,0)),0))/LOOKUP($O$5,$P$4:$P$5,$Q$4:$Q$5)</f>
        <v>0</v>
      </c>
    </row>
    <row r="125" spans="2:21" ht="15" customHeight="1">
      <c r="B125" s="148" t="s">
        <v>1130</v>
      </c>
      <c s="155" t="s">
        <v>817</v>
      </c>
      <c s="143"/>
      <c s="143"/>
      <c s="150" t="str">
        <f t="shared" ca="1" si="15"/>
        <v>-</v>
      </c>
      <c s="150" t="str">
        <f ca="1" t="shared" si="17" ref="G125:U125">IFERROR(G124/G$118,"-")</f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  <c s="150" t="str">
        <f t="shared" ca="1" si="17"/>
        <v>-</v>
      </c>
    </row>
    <row r="126" spans="2:21" ht="15" customHeight="1">
      <c r="B126" s="146" t="s">
        <v>1186</v>
      </c>
      <c s="186" t="str">
        <f>O5</f>
        <v>тыс. руб.</v>
      </c>
      <c s="143"/>
      <c s="143"/>
      <c s="153">
        <f ca="1">SUM('Годовая отчетность'!E266,IF(ISBLANK(E$116),OFFSET(Предпосылки!$G$551,,,,-ROUNDUP(MONTH(Предпосылки!$C$13)/Месяцев_в_квартале,0)),0))/LOOKUP($O$5,$P$4:$P$5,$Q$4:$Q$5)</f>
        <v>0</v>
      </c>
      <c s="153">
        <f ca="1">SUM('Годовая отчетность'!F266,IF(ISBLANK(F$116),OFFSET(Предпосылки!$G$551,,,,-ROUNDUP(MONTH(Предпосылки!$C$13)/Месяцев_в_квартале,0)),0))/LOOKUP($O$5,$P$4:$P$5,$Q$4:$Q$5)</f>
        <v>0</v>
      </c>
      <c s="153">
        <f ca="1">SUM('Годовая отчетность'!G266,IF(ISBLANK(G$116),OFFSET(Предпосылки!$G$551,,,,-ROUNDUP(MONTH(Предпосылки!$C$13)/Месяцев_в_квартале,0)),0))/LOOKUP($O$5,$P$4:$P$5,$Q$4:$Q$5)</f>
        <v>0</v>
      </c>
      <c s="153">
        <f ca="1">SUM('Годовая отчетность'!H266,IF(ISBLANK(H$116),OFFSET(Предпосылки!$G$551,,,,-ROUNDUP(MONTH(Предпосылки!$C$13)/Месяцев_в_квартале,0)),0))/LOOKUP($O$5,$P$4:$P$5,$Q$4:$Q$5)</f>
        <v>0</v>
      </c>
      <c s="153">
        <f ca="1">SUM('Годовая отчетность'!I266,IF(ISBLANK(I$116),OFFSET(Предпосылки!$G$551,,,,-ROUNDUP(MONTH(Предпосылки!$C$13)/Месяцев_в_квартале,0)),0))/LOOKUP($O$5,$P$4:$P$5,$Q$4:$Q$5)</f>
        <v>0</v>
      </c>
      <c s="153">
        <f ca="1">SUM('Годовая отчетность'!J266,IF(ISBLANK(J$116),OFFSET(Предпосылки!$G$551,,,,-ROUNDUP(MONTH(Предпосылки!$C$13)/Месяцев_в_квартале,0)),0))/LOOKUP($O$5,$P$4:$P$5,$Q$4:$Q$5)</f>
        <v>0</v>
      </c>
      <c s="153">
        <f ca="1">SUM('Годовая отчетность'!K266,IF(ISBLANK(K$116),OFFSET(Предпосылки!$G$551,,,,-ROUNDUP(MONTH(Предпосылки!$C$13)/Месяцев_в_квартале,0)),0))/LOOKUP($O$5,$P$4:$P$5,$Q$4:$Q$5)</f>
        <v>0</v>
      </c>
      <c s="153">
        <f ca="1">SUM('Годовая отчетность'!L266,IF(ISBLANK(L$116),OFFSET(Предпосылки!$G$551,,,,-ROUNDUP(MONTH(Предпосылки!$C$13)/Месяцев_в_квартале,0)),0))/LOOKUP($O$5,$P$4:$P$5,$Q$4:$Q$5)</f>
        <v>0</v>
      </c>
      <c s="153">
        <f ca="1">SUM('Годовая отчетность'!M266,IF(ISBLANK(M$116),OFFSET(Предпосылки!$G$551,,,,-ROUNDUP(MONTH(Предпосылки!$C$13)/Месяцев_в_квартале,0)),0))/LOOKUP($O$5,$P$4:$P$5,$Q$4:$Q$5)</f>
        <v>0</v>
      </c>
      <c s="153">
        <f ca="1">SUM('Годовая отчетность'!N266,IF(ISBLANK(N$116),OFFSET(Предпосылки!$G$551,,,,-ROUNDUP(MONTH(Предпосылки!$C$13)/Месяцев_в_квартале,0)),0))/LOOKUP($O$5,$P$4:$P$5,$Q$4:$Q$5)</f>
        <v>0</v>
      </c>
      <c s="153">
        <f ca="1">SUM('Годовая отчетность'!O266,IF(ISBLANK(O$116),OFFSET(Предпосылки!$G$551,,,,-ROUNDUP(MONTH(Предпосылки!$C$13)/Месяцев_в_квартале,0)),0))/LOOKUP($O$5,$P$4:$P$5,$Q$4:$Q$5)</f>
        <v>0</v>
      </c>
      <c s="153">
        <f ca="1">SUM('Годовая отчетность'!P266,IF(ISBLANK(P$116),OFFSET(Предпосылки!$G$551,,,,-ROUNDUP(MONTH(Предпосылки!$C$13)/Месяцев_в_квартале,0)),0))/LOOKUP($O$5,$P$4:$P$5,$Q$4:$Q$5)</f>
        <v>0</v>
      </c>
      <c s="153">
        <f ca="1">SUM('Годовая отчетность'!Q266,IF(ISBLANK(Q$116),OFFSET(Предпосылки!$G$551,,,,-ROUNDUP(MONTH(Предпосылки!$C$13)/Месяцев_в_квартале,0)),0))/LOOKUP($O$5,$P$4:$P$5,$Q$4:$Q$5)</f>
        <v>0</v>
      </c>
      <c s="153">
        <f ca="1">SUM('Годовая отчетность'!R266,IF(ISBLANK(R$116),OFFSET(Предпосылки!$G$551,,,,-ROUNDUP(MONTH(Предпосылки!$C$13)/Месяцев_в_квартале,0)),0))/LOOKUP($O$5,$P$4:$P$5,$Q$4:$Q$5)</f>
        <v>0</v>
      </c>
      <c s="153">
        <f ca="1">SUM('Годовая отчетность'!S266,IF(ISBLANK(S$116),OFFSET(Предпосылки!$G$551,,,,-ROUNDUP(MONTH(Предпосылки!$C$13)/Месяцев_в_квартале,0)),0))/LOOKUP($O$5,$P$4:$P$5,$Q$4:$Q$5)</f>
        <v>0</v>
      </c>
      <c s="153">
        <f ca="1">SUM('Годовая отчетность'!T266,IF(ISBLANK(T$116),OFFSET(Предпосылки!$G$551,,,,-ROUNDUP(MONTH(Предпосылки!$C$13)/Месяцев_в_квартале,0)),0))/LOOKUP($O$5,$P$4:$P$5,$Q$4:$Q$5)</f>
        <v>0</v>
      </c>
    </row>
    <row r="127" spans="2:21" ht="15" customHeight="1">
      <c r="B127" s="148" t="s">
        <v>1129</v>
      </c>
      <c s="155" t="s">
        <v>817</v>
      </c>
      <c s="143"/>
      <c s="143"/>
      <c s="150" t="str">
        <f ca="1" t="shared" si="18" ref="F127:G127">IFERROR(F126/F$118,"-")</f>
        <v>-</v>
      </c>
      <c s="150" t="str">
        <f t="shared" ca="1" si="18"/>
        <v>-</v>
      </c>
      <c s="150" t="str">
        <f ca="1" t="shared" si="19" ref="H127:U127">IFERROR(H126/H$118,"-")</f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  <c s="150" t="str">
        <f t="shared" ca="1" si="19"/>
        <v>-</v>
      </c>
    </row>
    <row r="128" ht="15" customHeight="1"/>
    <row r="129" spans="2:2" ht="15" customHeight="1">
      <c r="B129" s="24" t="s">
        <v>330</v>
      </c>
    </row>
    <row r="130" spans="2:21" ht="15" customHeight="1">
      <c r="B130" s="615" t="s">
        <v>562</v>
      </c>
      <c s="615" t="s">
        <v>482</v>
      </c>
      <c s="615"/>
      <c s="615"/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131" spans="2:21" ht="15" customHeight="1">
      <c r="B131"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132" spans="2:21" ht="15" customHeight="1">
      <c r="B132" s="144" t="s">
        <v>1187</v>
      </c>
      <c s="185" t="str">
        <f>O5</f>
        <v>тыс. руб.</v>
      </c>
      <c s="143"/>
      <c s="143"/>
      <c s="182">
        <f ca="1">SUM('Годовая отчетность'!E285,IF(ISBLANK(E$130),OFFSET(Предпосылки!$G$560,,,,-ROUNDUP(MONTH(Предпосылки!$C$13)/Месяцев_в_квартале,0)),0))/LOOKUP($O$5,$P$4:$P$5,$Q$4:$Q$5)</f>
        <v>0</v>
      </c>
      <c s="182">
        <f ca="1">SUM('Годовая отчетность'!F285,IF(ISBLANK(F$130),OFFSET(Предпосылки!$G$560,,,,-ROUNDUP(MONTH(Предпосылки!$C$13)/Месяцев_в_квартале,0)),0))/LOOKUP($O$5,$P$4:$P$5,$Q$4:$Q$5)</f>
        <v>0</v>
      </c>
      <c s="182">
        <f ca="1">SUM('Годовая отчетность'!G285,IF(ISBLANK(G$130),OFFSET(Предпосылки!$G$560,,,,-ROUNDUP(MONTH(Предпосылки!$C$13)/Месяцев_в_квартале,0)),0))/LOOKUP($O$5,$P$4:$P$5,$Q$4:$Q$5)</f>
        <v>0</v>
      </c>
      <c s="182">
        <f ca="1">SUM('Годовая отчетность'!H285,IF(ISBLANK(H$130),OFFSET(Предпосылки!$G$560,,,,-ROUNDUP(MONTH(Предпосылки!$C$13)/Месяцев_в_квартале,0)),0))/LOOKUP($O$5,$P$4:$P$5,$Q$4:$Q$5)</f>
        <v>0</v>
      </c>
      <c s="182">
        <f ca="1">SUM('Годовая отчетность'!I285,IF(ISBLANK(I$130),OFFSET(Предпосылки!$G$560,,,,-ROUNDUP(MONTH(Предпосылки!$C$13)/Месяцев_в_квартале,0)),0))/LOOKUP($O$5,$P$4:$P$5,$Q$4:$Q$5)</f>
        <v>0</v>
      </c>
      <c s="182">
        <f ca="1">SUM('Годовая отчетность'!J285,IF(ISBLANK(J$130),OFFSET(Предпосылки!$G$560,,,,-ROUNDUP(MONTH(Предпосылки!$C$13)/Месяцев_в_квартале,0)),0))/LOOKUP($O$5,$P$4:$P$5,$Q$4:$Q$5)</f>
        <v>0</v>
      </c>
      <c s="182">
        <f ca="1">SUM('Годовая отчетность'!K285,IF(ISBLANK(K$130),OFFSET(Предпосылки!$G$560,,,,-ROUNDUP(MONTH(Предпосылки!$C$13)/Месяцев_в_квартале,0)),0))/LOOKUP($O$5,$P$4:$P$5,$Q$4:$Q$5)</f>
        <v>0</v>
      </c>
      <c s="182">
        <f ca="1">SUM('Годовая отчетность'!L285,IF(ISBLANK(L$130),OFFSET(Предпосылки!$G$560,,,,-ROUNDUP(MONTH(Предпосылки!$C$13)/Месяцев_в_квартале,0)),0))/LOOKUP($O$5,$P$4:$P$5,$Q$4:$Q$5)</f>
        <v>0</v>
      </c>
      <c s="182">
        <f ca="1">SUM('Годовая отчетность'!M285,IF(ISBLANK(M$130),OFFSET(Предпосылки!$G$560,,,,-ROUNDUP(MONTH(Предпосылки!$C$13)/Месяцев_в_квартале,0)),0))/LOOKUP($O$5,$P$4:$P$5,$Q$4:$Q$5)</f>
        <v>0</v>
      </c>
      <c s="182">
        <f ca="1">SUM('Годовая отчетность'!N285,IF(ISBLANK(N$130),OFFSET(Предпосылки!$G$560,,,,-ROUNDUP(MONTH(Предпосылки!$C$13)/Месяцев_в_квартале,0)),0))/LOOKUP($O$5,$P$4:$P$5,$Q$4:$Q$5)</f>
        <v>0</v>
      </c>
      <c s="182">
        <f ca="1">SUM('Годовая отчетность'!O285,IF(ISBLANK(O$130),OFFSET(Предпосылки!$G$560,,,,-ROUNDUP(MONTH(Предпосылки!$C$13)/Месяцев_в_квартале,0)),0))/LOOKUP($O$5,$P$4:$P$5,$Q$4:$Q$5)</f>
        <v>0</v>
      </c>
      <c s="182">
        <f ca="1">SUM('Годовая отчетность'!P285,IF(ISBLANK(P$130),OFFSET(Предпосылки!$G$560,,,,-ROUNDUP(MONTH(Предпосылки!$C$13)/Месяцев_в_квартале,0)),0))/LOOKUP($O$5,$P$4:$P$5,$Q$4:$Q$5)</f>
        <v>0</v>
      </c>
      <c s="182">
        <f ca="1">SUM('Годовая отчетность'!Q285,IF(ISBLANK(Q$130),OFFSET(Предпосылки!$G$560,,,,-ROUNDUP(MONTH(Предпосылки!$C$13)/Месяцев_в_квартале,0)),0))/LOOKUP($O$5,$P$4:$P$5,$Q$4:$Q$5)</f>
        <v>0</v>
      </c>
      <c s="182">
        <f ca="1">SUM('Годовая отчетность'!R285,IF(ISBLANK(R$130),OFFSET(Предпосылки!$G$560,,,,-ROUNDUP(MONTH(Предпосылки!$C$13)/Месяцев_в_квартале,0)),0))/LOOKUP($O$5,$P$4:$P$5,$Q$4:$Q$5)</f>
        <v>0</v>
      </c>
      <c s="182">
        <f ca="1">SUM('Годовая отчетность'!S285,IF(ISBLANK(S$130),OFFSET(Предпосылки!$G$560,,,,-ROUNDUP(MONTH(Предпосылки!$C$13)/Месяцев_в_квартале,0)),0))/LOOKUP($O$5,$P$4:$P$5,$Q$4:$Q$5)</f>
        <v>0</v>
      </c>
      <c s="182">
        <f ca="1">SUM('Годовая отчетность'!T285,IF(ISBLANK(T$130),OFFSET(Предпосылки!$G$560,,,,-ROUNDUP(MONTH(Предпосылки!$C$13)/Месяцев_в_квартале,0)),0))/LOOKUP($O$5,$P$4:$P$5,$Q$4:$Q$5)</f>
        <v>0</v>
      </c>
    </row>
    <row r="133" spans="2:21" ht="15" customHeight="1">
      <c r="B133" s="146" t="s">
        <v>1188</v>
      </c>
      <c s="186" t="str">
        <f>O5</f>
        <v>тыс. руб.</v>
      </c>
      <c s="143"/>
      <c s="143"/>
      <c s="153">
        <f ca="1">SUM('Годовая отчетность'!E303,IF(ISBLANK(E$130),OFFSET(Предпосылки!$G$561,,,,-ROUNDUP(MONTH(Предпосылки!$C$13)/Месяцев_в_квартале,0)),0))/LOOKUP($O$5,$P$4:$P$5,$Q$4:$Q$5)</f>
        <v>0</v>
      </c>
      <c s="153">
        <f ca="1">SUM('Годовая отчетность'!F303,IF(ISBLANK(F$130),OFFSET(Предпосылки!$G$561,,,,-ROUNDUP(MONTH(Предпосылки!$C$13)/Месяцев_в_квартале,0)),0))/LOOKUP($O$5,$P$4:$P$5,$Q$4:$Q$5)</f>
        <v>0</v>
      </c>
      <c s="153">
        <f ca="1">SUM('Годовая отчетность'!G303,IF(ISBLANK(G$130),OFFSET(Предпосылки!$G$561,,,,-ROUNDUP(MONTH(Предпосылки!$C$13)/Месяцев_в_квартале,0)),0))/LOOKUP($O$5,$P$4:$P$5,$Q$4:$Q$5)</f>
        <v>0</v>
      </c>
      <c s="153">
        <f ca="1">SUM('Годовая отчетность'!H303,IF(ISBLANK(H$130),OFFSET(Предпосылки!$G$561,,,,-ROUNDUP(MONTH(Предпосылки!$C$13)/Месяцев_в_квартале,0)),0))/LOOKUP($O$5,$P$4:$P$5,$Q$4:$Q$5)</f>
        <v>0</v>
      </c>
      <c s="153">
        <f ca="1">SUM('Годовая отчетность'!I303,IF(ISBLANK(I$130),OFFSET(Предпосылки!$G$561,,,,-ROUNDUP(MONTH(Предпосылки!$C$13)/Месяцев_в_квартале,0)),0))/LOOKUP($O$5,$P$4:$P$5,$Q$4:$Q$5)</f>
        <v>0</v>
      </c>
      <c s="153">
        <f ca="1">SUM('Годовая отчетность'!J303,IF(ISBLANK(J$130),OFFSET(Предпосылки!$G$561,,,,-ROUNDUP(MONTH(Предпосылки!$C$13)/Месяцев_в_квартале,0)),0))/LOOKUP($O$5,$P$4:$P$5,$Q$4:$Q$5)</f>
        <v>0</v>
      </c>
      <c s="153">
        <f ca="1">SUM('Годовая отчетность'!K303,IF(ISBLANK(K$130),OFFSET(Предпосылки!$G$561,,,,-ROUNDUP(MONTH(Предпосылки!$C$13)/Месяцев_в_квартале,0)),0))/LOOKUP($O$5,$P$4:$P$5,$Q$4:$Q$5)</f>
        <v>0</v>
      </c>
      <c s="153">
        <f ca="1">SUM('Годовая отчетность'!L303,IF(ISBLANK(L$130),OFFSET(Предпосылки!$G$561,,,,-ROUNDUP(MONTH(Предпосылки!$C$13)/Месяцев_в_квартале,0)),0))/LOOKUP($O$5,$P$4:$P$5,$Q$4:$Q$5)</f>
        <v>0</v>
      </c>
      <c s="153">
        <f ca="1">SUM('Годовая отчетность'!M303,IF(ISBLANK(M$130),OFFSET(Предпосылки!$G$561,,,,-ROUNDUP(MONTH(Предпосылки!$C$13)/Месяцев_в_квартале,0)),0))/LOOKUP($O$5,$P$4:$P$5,$Q$4:$Q$5)</f>
        <v>0</v>
      </c>
      <c s="153">
        <f ca="1">SUM('Годовая отчетность'!N303,IF(ISBLANK(N$130),OFFSET(Предпосылки!$G$561,,,,-ROUNDUP(MONTH(Предпосылки!$C$13)/Месяцев_в_квартале,0)),0))/LOOKUP($O$5,$P$4:$P$5,$Q$4:$Q$5)</f>
        <v>0</v>
      </c>
      <c s="153">
        <f ca="1">SUM('Годовая отчетность'!O303,IF(ISBLANK(O$130),OFFSET(Предпосылки!$G$561,,,,-ROUNDUP(MONTH(Предпосылки!$C$13)/Месяцев_в_квартале,0)),0))/LOOKUP($O$5,$P$4:$P$5,$Q$4:$Q$5)</f>
        <v>0</v>
      </c>
      <c s="153">
        <f ca="1">SUM('Годовая отчетность'!P303,IF(ISBLANK(P$130),OFFSET(Предпосылки!$G$561,,,,-ROUNDUP(MONTH(Предпосылки!$C$13)/Месяцев_в_квартале,0)),0))/LOOKUP($O$5,$P$4:$P$5,$Q$4:$Q$5)</f>
        <v>0</v>
      </c>
      <c s="153">
        <f ca="1">SUM('Годовая отчетность'!Q303,IF(ISBLANK(Q$130),OFFSET(Предпосылки!$G$561,,,,-ROUNDUP(MONTH(Предпосылки!$C$13)/Месяцев_в_квартале,0)),0))/LOOKUP($O$5,$P$4:$P$5,$Q$4:$Q$5)</f>
        <v>0</v>
      </c>
      <c s="153">
        <f ca="1">SUM('Годовая отчетность'!R303,IF(ISBLANK(R$130),OFFSET(Предпосылки!$G$561,,,,-ROUNDUP(MONTH(Предпосылки!$C$13)/Месяцев_в_квартале,0)),0))/LOOKUP($O$5,$P$4:$P$5,$Q$4:$Q$5)</f>
        <v>0</v>
      </c>
      <c s="153">
        <f ca="1">SUM('Годовая отчетность'!S303,IF(ISBLANK(S$130),OFFSET(Предпосылки!$G$561,,,,-ROUNDUP(MONTH(Предпосылки!$C$13)/Месяцев_в_квартале,0)),0))/LOOKUP($O$5,$P$4:$P$5,$Q$4:$Q$5)</f>
        <v>0</v>
      </c>
      <c s="153">
        <f ca="1">SUM('Годовая отчетность'!T303,IF(ISBLANK(T$130),OFFSET(Предпосылки!$G$561,,,,-ROUNDUP(MONTH(Предпосылки!$C$13)/Месяцев_в_квартале,0)),0))/LOOKUP($O$5,$P$4:$P$5,$Q$4:$Q$5)</f>
        <v>0</v>
      </c>
    </row>
    <row r="134" spans="2:21" ht="15" customHeight="1">
      <c r="B134" s="146" t="s">
        <v>1189</v>
      </c>
      <c s="186" t="str">
        <f>O5</f>
        <v>тыс. руб.</v>
      </c>
      <c s="143"/>
      <c s="143"/>
      <c s="153">
        <f ca="1">SUM('Годовая отчетность'!E320,IF(ISBLANK(E$130),OFFSET(Предпосылки!$G$562,,,,-ROUNDUP(MONTH(Предпосылки!$C$13)/Месяцев_в_квартале,0)),0))/LOOKUP($O$5,$P$4:$P$5,$Q$4:$Q$5)</f>
        <v>0</v>
      </c>
      <c s="153">
        <f ca="1">SUM('Годовая отчетность'!F320,IF(ISBLANK(F$130),OFFSET(Предпосылки!$G$562,,,,-ROUNDUP(MONTH(Предпосылки!$C$13)/Месяцев_в_квартале,0)),0))/LOOKUP($O$5,$P$4:$P$5,$Q$4:$Q$5)</f>
        <v>0</v>
      </c>
      <c s="153">
        <f ca="1">SUM('Годовая отчетность'!G320,IF(ISBLANK(G$130),OFFSET(Предпосылки!$G$562,,,,-ROUNDUP(MONTH(Предпосылки!$C$13)/Месяцев_в_квартале,0)),0))/LOOKUP($O$5,$P$4:$P$5,$Q$4:$Q$5)</f>
        <v>0</v>
      </c>
      <c s="153">
        <f ca="1">SUM('Годовая отчетность'!H320,IF(ISBLANK(H$130),OFFSET(Предпосылки!$G$562,,,,-ROUNDUP(MONTH(Предпосылки!$C$13)/Месяцев_в_квартале,0)),0))/LOOKUP($O$5,$P$4:$P$5,$Q$4:$Q$5)</f>
        <v>0</v>
      </c>
      <c s="153">
        <f ca="1">SUM('Годовая отчетность'!I320,IF(ISBLANK(I$130),OFFSET(Предпосылки!$G$562,,,,-ROUNDUP(MONTH(Предпосылки!$C$13)/Месяцев_в_квартале,0)),0))/LOOKUP($O$5,$P$4:$P$5,$Q$4:$Q$5)</f>
        <v>0</v>
      </c>
      <c s="153">
        <f ca="1">SUM('Годовая отчетность'!J320,IF(ISBLANK(J$130),OFFSET(Предпосылки!$G$562,,,,-ROUNDUP(MONTH(Предпосылки!$C$13)/Месяцев_в_квартале,0)),0))/LOOKUP($O$5,$P$4:$P$5,$Q$4:$Q$5)</f>
        <v>0</v>
      </c>
      <c s="153">
        <f ca="1">SUM('Годовая отчетность'!K320,IF(ISBLANK(K$130),OFFSET(Предпосылки!$G$562,,,,-ROUNDUP(MONTH(Предпосылки!$C$13)/Месяцев_в_квартале,0)),0))/LOOKUP($O$5,$P$4:$P$5,$Q$4:$Q$5)</f>
        <v>0</v>
      </c>
      <c s="153">
        <f ca="1">SUM('Годовая отчетность'!L320,IF(ISBLANK(L$130),OFFSET(Предпосылки!$G$562,,,,-ROUNDUP(MONTH(Предпосылки!$C$13)/Месяцев_в_квартале,0)),0))/LOOKUP($O$5,$P$4:$P$5,$Q$4:$Q$5)</f>
        <v>0</v>
      </c>
      <c s="153">
        <f ca="1">SUM('Годовая отчетность'!M320,IF(ISBLANK(M$130),OFFSET(Предпосылки!$G$562,,,,-ROUNDUP(MONTH(Предпосылки!$C$13)/Месяцев_в_квартале,0)),0))/LOOKUP($O$5,$P$4:$P$5,$Q$4:$Q$5)</f>
        <v>0</v>
      </c>
      <c s="153">
        <f ca="1">SUM('Годовая отчетность'!N320,IF(ISBLANK(N$130),OFFSET(Предпосылки!$G$562,,,,-ROUNDUP(MONTH(Предпосылки!$C$13)/Месяцев_в_квартале,0)),0))/LOOKUP($O$5,$P$4:$P$5,$Q$4:$Q$5)</f>
        <v>0</v>
      </c>
      <c s="153">
        <f ca="1">SUM('Годовая отчетность'!O320,IF(ISBLANK(O$130),OFFSET(Предпосылки!$G$562,,,,-ROUNDUP(MONTH(Предпосылки!$C$13)/Месяцев_в_квартале,0)),0))/LOOKUP($O$5,$P$4:$P$5,$Q$4:$Q$5)</f>
        <v>0</v>
      </c>
      <c s="153">
        <f ca="1">SUM('Годовая отчетность'!P320,IF(ISBLANK(P$130),OFFSET(Предпосылки!$G$562,,,,-ROUNDUP(MONTH(Предпосылки!$C$13)/Месяцев_в_квартале,0)),0))/LOOKUP($O$5,$P$4:$P$5,$Q$4:$Q$5)</f>
        <v>0</v>
      </c>
      <c s="153">
        <f ca="1">SUM('Годовая отчетность'!Q320,IF(ISBLANK(Q$130),OFFSET(Предпосылки!$G$562,,,,-ROUNDUP(MONTH(Предпосылки!$C$13)/Месяцев_в_квартале,0)),0))/LOOKUP($O$5,$P$4:$P$5,$Q$4:$Q$5)</f>
        <v>0</v>
      </c>
      <c s="153">
        <f ca="1">SUM('Годовая отчетность'!R320,IF(ISBLANK(R$130),OFFSET(Предпосылки!$G$562,,,,-ROUNDUP(MONTH(Предпосылки!$C$13)/Месяцев_в_квартале,0)),0))/LOOKUP($O$5,$P$4:$P$5,$Q$4:$Q$5)</f>
        <v>0</v>
      </c>
      <c s="153">
        <f ca="1">SUM('Годовая отчетность'!S320,IF(ISBLANK(S$130),OFFSET(Предпосылки!$G$562,,,,-ROUNDUP(MONTH(Предпосылки!$C$13)/Месяцев_в_квартале,0)),0))/LOOKUP($O$5,$P$4:$P$5,$Q$4:$Q$5)</f>
        <v>0</v>
      </c>
      <c s="153">
        <f ca="1">SUM('Годовая отчетность'!T320,IF(ISBLANK(T$130),OFFSET(Предпосылки!$G$562,,,,-ROUNDUP(MONTH(Предпосылки!$C$13)/Месяцев_в_квартале,0)),0))/LOOKUP($O$5,$P$4:$P$5,$Q$4:$Q$5)</f>
        <v>0</v>
      </c>
    </row>
    <row r="135" spans="2:21" ht="15" customHeight="1">
      <c r="B135" s="302" t="s">
        <v>1190</v>
      </c>
      <c s="303" t="str">
        <f>O5</f>
        <v>тыс. руб.</v>
      </c>
      <c s="314"/>
      <c s="314"/>
      <c s="299">
        <f ca="1" t="shared" si="20" ref="F135">SUM(F132:F134)</f>
        <v>0</v>
      </c>
      <c s="299">
        <f ca="1" t="shared" si="21" ref="G135:I135">SUM(G132:G134)</f>
        <v>0</v>
      </c>
      <c s="299">
        <f t="shared" ca="1" si="21"/>
        <v>0</v>
      </c>
      <c s="299">
        <f t="shared" ca="1" si="21"/>
        <v>0</v>
      </c>
      <c s="299">
        <f ca="1" t="shared" si="22" ref="J135:M135">SUM(J132:J134)</f>
        <v>0</v>
      </c>
      <c s="299">
        <f t="shared" ca="1" si="22"/>
        <v>0</v>
      </c>
      <c s="299">
        <f t="shared" ca="1" si="22"/>
        <v>0</v>
      </c>
      <c s="299">
        <f t="shared" ca="1" si="22"/>
        <v>0</v>
      </c>
      <c s="299">
        <f ca="1" t="shared" si="23" ref="N135:U135">SUM(N132:N134)</f>
        <v>0</v>
      </c>
      <c s="299">
        <f t="shared" ca="1" si="23"/>
        <v>0</v>
      </c>
      <c s="299">
        <f t="shared" ca="1" si="23"/>
        <v>0</v>
      </c>
      <c s="299">
        <f t="shared" ca="1" si="23"/>
        <v>0</v>
      </c>
      <c s="299">
        <f t="shared" ca="1" si="23"/>
        <v>0</v>
      </c>
      <c s="299">
        <f t="shared" ca="1" si="23"/>
        <v>0</v>
      </c>
      <c s="299">
        <f t="shared" ca="1" si="23"/>
        <v>0</v>
      </c>
      <c s="299">
        <f t="shared" ca="1" si="23"/>
        <v>0</v>
      </c>
    </row>
    <row r="136" ht="15" customHeight="1"/>
    <row r="137" spans="2:2" ht="15" customHeight="1">
      <c r="B137" s="24" t="s">
        <v>335</v>
      </c>
    </row>
    <row r="138" spans="2:24" ht="15" customHeight="1">
      <c r="B138" s="25" t="s">
        <v>1220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9" spans="2:21" ht="15" customHeight="1">
      <c r="B139" s="615" t="s">
        <v>562</v>
      </c>
      <c s="615" t="s">
        <v>482</v>
      </c>
      <c s="615"/>
      <c s="615"/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140" spans="2:21" ht="15" customHeight="1">
      <c r="B140"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141" spans="2:21" ht="15" customHeight="1">
      <c r="B141" s="144" t="s">
        <v>1001</v>
      </c>
      <c s="185" t="str">
        <f>O5</f>
        <v>тыс. руб.</v>
      </c>
      <c s="143"/>
      <c s="143"/>
      <c s="185">
        <f>'Годовая отчетность'!E335/LOOKUP($O$5,$P$4:$P$5,$Q$4:$Q$5)</f>
        <v>0</v>
      </c>
      <c s="185">
        <f>'Годовая отчетность'!F335/LOOKUP($O$5,$P$4:$P$5,$Q$4:$Q$5)</f>
        <v>0</v>
      </c>
      <c s="185">
        <f>'Годовая отчетность'!G335/LOOKUP($O$5,$P$4:$P$5,$Q$4:$Q$5)</f>
        <v>0</v>
      </c>
      <c s="185">
        <f>'Годовая отчетность'!H335/LOOKUP($O$5,$P$4:$P$5,$Q$4:$Q$5)</f>
        <v>0</v>
      </c>
      <c s="185">
        <f>'Годовая отчетность'!I335/LOOKUP($O$5,$P$4:$P$5,$Q$4:$Q$5)</f>
        <v>0</v>
      </c>
      <c s="185">
        <f>'Годовая отчетность'!J335/LOOKUP($O$5,$P$4:$P$5,$Q$4:$Q$5)</f>
        <v>0</v>
      </c>
      <c s="185">
        <f>'Годовая отчетность'!K335/LOOKUP($O$5,$P$4:$P$5,$Q$4:$Q$5)</f>
        <v>0</v>
      </c>
      <c s="185">
        <f>'Годовая отчетность'!L335/LOOKUP($O$5,$P$4:$P$5,$Q$4:$Q$5)</f>
        <v>0</v>
      </c>
      <c s="185">
        <f>'Годовая отчетность'!M335/LOOKUP($O$5,$P$4:$P$5,$Q$4:$Q$5)</f>
        <v>0</v>
      </c>
      <c s="185">
        <f>'Годовая отчетность'!N335/LOOKUP($O$5,$P$4:$P$5,$Q$4:$Q$5)</f>
        <v>0</v>
      </c>
      <c s="185">
        <f>'Годовая отчетность'!O335/LOOKUP($O$5,$P$4:$P$5,$Q$4:$Q$5)</f>
        <v>0</v>
      </c>
      <c s="185">
        <f>'Годовая отчетность'!P335/LOOKUP($O$5,$P$4:$P$5,$Q$4:$Q$5)</f>
        <v>0</v>
      </c>
      <c s="185">
        <f>'Годовая отчетность'!Q335/LOOKUP($O$5,$P$4:$P$5,$Q$4:$Q$5)</f>
        <v>0</v>
      </c>
      <c s="185">
        <f>'Годовая отчетность'!R335/LOOKUP($O$5,$P$4:$P$5,$Q$4:$Q$5)</f>
        <v>0</v>
      </c>
      <c s="185">
        <f>'Годовая отчетность'!S335/LOOKUP($O$5,$P$4:$P$5,$Q$4:$Q$5)</f>
        <v>0</v>
      </c>
      <c s="185">
        <f>'Годовая отчетность'!T335/LOOKUP($O$5,$P$4:$P$5,$Q$4:$Q$5)</f>
        <v>0</v>
      </c>
    </row>
    <row r="142" spans="2:21" ht="15" customHeight="1">
      <c r="B142" s="146" t="s">
        <v>1058</v>
      </c>
      <c s="186" t="str">
        <f>O5</f>
        <v>тыс. руб.</v>
      </c>
      <c s="151"/>
      <c s="151"/>
      <c s="186">
        <f>SUM('Годовая отчетность'!E331:E334,'Годовая отчетность'!E336:E339)/LOOKUP($O$5,$P$4:$P$5,$Q$4:$Q$5)</f>
        <v>0</v>
      </c>
      <c s="186">
        <f>SUM('Годовая отчетность'!F331:F334,'Годовая отчетность'!F336:F339)/LOOKUP($O$5,$P$4:$P$5,$Q$4:$Q$5)</f>
        <v>0</v>
      </c>
      <c s="186">
        <f>SUM('Годовая отчетность'!G331:G334,'Годовая отчетность'!G336:G339)/LOOKUP($O$5,$P$4:$P$5,$Q$4:$Q$5)</f>
        <v>0</v>
      </c>
      <c s="186">
        <f>SUM('Годовая отчетность'!H331:H334,'Годовая отчетность'!H336:H339)/LOOKUP($O$5,$P$4:$P$5,$Q$4:$Q$5)</f>
        <v>0</v>
      </c>
      <c s="186">
        <f>SUM('Годовая отчетность'!I331:I334,'Годовая отчетность'!I336:I339)/LOOKUP($O$5,$P$4:$P$5,$Q$4:$Q$5)</f>
        <v>0</v>
      </c>
      <c s="186">
        <f>SUM('Годовая отчетность'!J331:J334,'Годовая отчетность'!J336:J339)/LOOKUP($O$5,$P$4:$P$5,$Q$4:$Q$5)</f>
        <v>0</v>
      </c>
      <c s="186">
        <f>SUM('Годовая отчетность'!K331:K334,'Годовая отчетность'!K336:K339)/LOOKUP($O$5,$P$4:$P$5,$Q$4:$Q$5)</f>
        <v>0</v>
      </c>
      <c s="186">
        <f>SUM('Годовая отчетность'!L331:L334,'Годовая отчетность'!L336:L339)/LOOKUP($O$5,$P$4:$P$5,$Q$4:$Q$5)</f>
        <v>0</v>
      </c>
      <c s="186">
        <f>SUM('Годовая отчетность'!M331:M334,'Годовая отчетность'!M336:M339)/LOOKUP($O$5,$P$4:$P$5,$Q$4:$Q$5)</f>
        <v>0</v>
      </c>
      <c s="186">
        <f>SUM('Годовая отчетность'!N331:N334,'Годовая отчетность'!N336:N339)/LOOKUP($O$5,$P$4:$P$5,$Q$4:$Q$5)</f>
        <v>0</v>
      </c>
      <c s="186">
        <f>SUM('Годовая отчетность'!O331:O334,'Годовая отчетность'!O336:O339)/LOOKUP($O$5,$P$4:$P$5,$Q$4:$Q$5)</f>
        <v>0</v>
      </c>
      <c s="186">
        <f>SUM('Годовая отчетность'!P331:P334,'Годовая отчетность'!P336:P339)/LOOKUP($O$5,$P$4:$P$5,$Q$4:$Q$5)</f>
        <v>0</v>
      </c>
      <c s="186">
        <f>SUM('Годовая отчетность'!Q331:Q334,'Годовая отчетность'!Q336:Q339)/LOOKUP($O$5,$P$4:$P$5,$Q$4:$Q$5)</f>
        <v>0</v>
      </c>
      <c s="186">
        <f>SUM('Годовая отчетность'!R331:R334,'Годовая отчетность'!R336:R339)/LOOKUP($O$5,$P$4:$P$5,$Q$4:$Q$5)</f>
        <v>0</v>
      </c>
      <c s="186">
        <f>SUM('Годовая отчетность'!S331:S334,'Годовая отчетность'!S336:S339)/LOOKUP($O$5,$P$4:$P$5,$Q$4:$Q$5)</f>
        <v>0</v>
      </c>
      <c s="186">
        <f>SUM('Годовая отчетность'!T331:T334,'Годовая отчетность'!T336:T339)/LOOKUP($O$5,$P$4:$P$5,$Q$4:$Q$5)</f>
        <v>0</v>
      </c>
    </row>
    <row r="143" spans="2:21" ht="15" customHeight="1">
      <c r="B143" s="302" t="s">
        <v>999</v>
      </c>
      <c s="303" t="str">
        <f>O5</f>
        <v>тыс. руб.</v>
      </c>
      <c s="314"/>
      <c s="314"/>
      <c s="303">
        <f>SUM(F141:F142)</f>
        <v>0</v>
      </c>
      <c s="303">
        <f t="shared" si="24" ref="G143:U143">SUM(G141:G142)</f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  <c s="303">
        <f t="shared" si="24"/>
        <v>0</v>
      </c>
    </row>
    <row r="144" spans="2:21" ht="15" customHeight="1">
      <c r="B144" s="146" t="s">
        <v>309</v>
      </c>
      <c s="186" t="str">
        <f>O5</f>
        <v>тыс. руб.</v>
      </c>
      <c s="151"/>
      <c s="151"/>
      <c s="186">
        <f>'Годовая отчетность'!E343/LOOKUP($O$5,$P$4:$P$5,$Q$4:$Q$5)</f>
        <v>0</v>
      </c>
      <c s="186">
        <f>'Годовая отчетность'!F343/LOOKUP($O$5,$P$4:$P$5,$Q$4:$Q$5)</f>
        <v>0</v>
      </c>
      <c s="186">
        <f>'Годовая отчетность'!G343/LOOKUP($O$5,$P$4:$P$5,$Q$4:$Q$5)</f>
        <v>0</v>
      </c>
      <c s="186">
        <f>'Годовая отчетность'!H343/LOOKUP($O$5,$P$4:$P$5,$Q$4:$Q$5)</f>
        <v>0</v>
      </c>
      <c s="186">
        <f>'Годовая отчетность'!I343/LOOKUP($O$5,$P$4:$P$5,$Q$4:$Q$5)</f>
        <v>0</v>
      </c>
      <c s="186">
        <f>'Годовая отчетность'!J343/LOOKUP($O$5,$P$4:$P$5,$Q$4:$Q$5)</f>
        <v>0</v>
      </c>
      <c s="186">
        <f>'Годовая отчетность'!K343/LOOKUP($O$5,$P$4:$P$5,$Q$4:$Q$5)</f>
        <v>0</v>
      </c>
      <c s="186">
        <f>'Годовая отчетность'!L343/LOOKUP($O$5,$P$4:$P$5,$Q$4:$Q$5)</f>
        <v>0</v>
      </c>
      <c s="186">
        <f>'Годовая отчетность'!M343/LOOKUP($O$5,$P$4:$P$5,$Q$4:$Q$5)</f>
        <v>0</v>
      </c>
      <c s="186">
        <f>'Годовая отчетность'!N343/LOOKUP($O$5,$P$4:$P$5,$Q$4:$Q$5)</f>
        <v>0</v>
      </c>
      <c s="186">
        <f>'Годовая отчетность'!O343/LOOKUP($O$5,$P$4:$P$5,$Q$4:$Q$5)</f>
        <v>0</v>
      </c>
      <c s="186">
        <f>'Годовая отчетность'!P343/LOOKUP($O$5,$P$4:$P$5,$Q$4:$Q$5)</f>
        <v>0</v>
      </c>
      <c s="186">
        <f>'Годовая отчетность'!Q343/LOOKUP($O$5,$P$4:$P$5,$Q$4:$Q$5)</f>
        <v>0</v>
      </c>
      <c s="186">
        <f>'Годовая отчетность'!R343/LOOKUP($O$5,$P$4:$P$5,$Q$4:$Q$5)</f>
        <v>0</v>
      </c>
      <c s="186">
        <f>'Годовая отчетность'!S343/LOOKUP($O$5,$P$4:$P$5,$Q$4:$Q$5)</f>
        <v>0</v>
      </c>
      <c s="186">
        <f>'Годовая отчетность'!T343/LOOKUP($O$5,$P$4:$P$5,$Q$4:$Q$5)</f>
        <v>0</v>
      </c>
    </row>
    <row r="145" spans="2:21" ht="15" customHeight="1">
      <c r="B145" s="146" t="s">
        <v>311</v>
      </c>
      <c s="186" t="str">
        <f>O5</f>
        <v>тыс. руб.</v>
      </c>
      <c s="151"/>
      <c s="151"/>
      <c s="186">
        <f ca="1">'Годовая отчетность'!E345/LOOKUP($O$5,$P$4:$P$5,$Q$4:$Q$5)</f>
        <v>0</v>
      </c>
      <c s="186">
        <f ca="1">'Годовая отчетность'!F345/LOOKUP($O$5,$P$4:$P$5,$Q$4:$Q$5)</f>
        <v>0</v>
      </c>
      <c s="186">
        <f ca="1">'Годовая отчетность'!G345/LOOKUP($O$5,$P$4:$P$5,$Q$4:$Q$5)</f>
        <v>0</v>
      </c>
      <c s="186">
        <f ca="1">'Годовая отчетность'!H345/LOOKUP($O$5,$P$4:$P$5,$Q$4:$Q$5)</f>
        <v>0</v>
      </c>
      <c s="186">
        <f ca="1">'Годовая отчетность'!I345/LOOKUP($O$5,$P$4:$P$5,$Q$4:$Q$5)</f>
        <v>0</v>
      </c>
      <c s="186">
        <f ca="1">'Годовая отчетность'!J345/LOOKUP($O$5,$P$4:$P$5,$Q$4:$Q$5)</f>
        <v>0</v>
      </c>
      <c s="186">
        <f ca="1">'Годовая отчетность'!K345/LOOKUP($O$5,$P$4:$P$5,$Q$4:$Q$5)</f>
        <v>0</v>
      </c>
      <c s="186">
        <f ca="1">'Годовая отчетность'!L345/LOOKUP($O$5,$P$4:$P$5,$Q$4:$Q$5)</f>
        <v>0</v>
      </c>
      <c s="186">
        <f ca="1">'Годовая отчетность'!M345/LOOKUP($O$5,$P$4:$P$5,$Q$4:$Q$5)</f>
        <v>0</v>
      </c>
      <c s="186">
        <f ca="1">'Годовая отчетность'!N345/LOOKUP($O$5,$P$4:$P$5,$Q$4:$Q$5)</f>
        <v>0</v>
      </c>
      <c s="186">
        <f ca="1">'Годовая отчетность'!O345/LOOKUP($O$5,$P$4:$P$5,$Q$4:$Q$5)</f>
        <v>0</v>
      </c>
      <c s="186">
        <f ca="1">'Годовая отчетность'!P345/LOOKUP($O$5,$P$4:$P$5,$Q$4:$Q$5)</f>
        <v>0</v>
      </c>
      <c s="186">
        <f ca="1">'Годовая отчетность'!Q345/LOOKUP($O$5,$P$4:$P$5,$Q$4:$Q$5)</f>
        <v>0</v>
      </c>
      <c s="186">
        <f ca="1">'Годовая отчетность'!R345/LOOKUP($O$5,$P$4:$P$5,$Q$4:$Q$5)</f>
        <v>0</v>
      </c>
      <c s="186">
        <f ca="1">'Годовая отчетность'!S345/LOOKUP($O$5,$P$4:$P$5,$Q$4:$Q$5)</f>
        <v>0</v>
      </c>
      <c s="186">
        <f ca="1">'Годовая отчетность'!T345/LOOKUP($O$5,$P$4:$P$5,$Q$4:$Q$5)</f>
        <v>0</v>
      </c>
    </row>
    <row r="146" spans="2:21" ht="15" customHeight="1">
      <c r="B146" s="146" t="s">
        <v>1005</v>
      </c>
      <c s="186" t="str">
        <f>O5</f>
        <v>тыс. руб.</v>
      </c>
      <c s="151"/>
      <c s="151"/>
      <c s="186">
        <f ca="1">'Годовая отчетность'!E347/LOOKUP($O$5,$P$4:$P$5,$Q$4:$Q$5)</f>
        <v>0</v>
      </c>
      <c s="186">
        <f ca="1">'Годовая отчетность'!F347/LOOKUP($O$5,$P$4:$P$5,$Q$4:$Q$5)</f>
        <v>0</v>
      </c>
      <c s="186">
        <f ca="1">'Годовая отчетность'!G347/LOOKUP($O$5,$P$4:$P$5,$Q$4:$Q$5)</f>
        <v>0</v>
      </c>
      <c s="186">
        <f ca="1">'Годовая отчетность'!H347/LOOKUP($O$5,$P$4:$P$5,$Q$4:$Q$5)</f>
        <v>0</v>
      </c>
      <c s="186">
        <f ca="1">'Годовая отчетность'!I347/LOOKUP($O$5,$P$4:$P$5,$Q$4:$Q$5)</f>
        <v>0</v>
      </c>
      <c s="186">
        <f ca="1">'Годовая отчетность'!J347/LOOKUP($O$5,$P$4:$P$5,$Q$4:$Q$5)</f>
        <v>0</v>
      </c>
      <c s="186">
        <f ca="1">'Годовая отчетность'!K347/LOOKUP($O$5,$P$4:$P$5,$Q$4:$Q$5)</f>
        <v>0</v>
      </c>
      <c s="186">
        <f ca="1">'Годовая отчетность'!L347/LOOKUP($O$5,$P$4:$P$5,$Q$4:$Q$5)</f>
        <v>0</v>
      </c>
      <c s="186">
        <f ca="1">'Годовая отчетность'!M347/LOOKUP($O$5,$P$4:$P$5,$Q$4:$Q$5)</f>
        <v>0</v>
      </c>
      <c s="186">
        <f ca="1">'Годовая отчетность'!N347/LOOKUP($O$5,$P$4:$P$5,$Q$4:$Q$5)</f>
        <v>0</v>
      </c>
      <c s="186">
        <f ca="1">'Годовая отчетность'!O347/LOOKUP($O$5,$P$4:$P$5,$Q$4:$Q$5)</f>
        <v>0</v>
      </c>
      <c s="186">
        <f ca="1">'Годовая отчетность'!P347/LOOKUP($O$5,$P$4:$P$5,$Q$4:$Q$5)</f>
        <v>0</v>
      </c>
      <c s="186">
        <f ca="1">'Годовая отчетность'!Q347/LOOKUP($O$5,$P$4:$P$5,$Q$4:$Q$5)</f>
        <v>0</v>
      </c>
      <c s="186">
        <f ca="1">'Годовая отчетность'!R347/LOOKUP($O$5,$P$4:$P$5,$Q$4:$Q$5)</f>
        <v>0</v>
      </c>
      <c s="186">
        <f ca="1">'Годовая отчетность'!S347/LOOKUP($O$5,$P$4:$P$5,$Q$4:$Q$5)</f>
        <v>0</v>
      </c>
      <c s="186">
        <f ca="1">'Годовая отчетность'!T347/LOOKUP($O$5,$P$4:$P$5,$Q$4:$Q$5)</f>
        <v>0</v>
      </c>
    </row>
    <row r="147" spans="2:21" ht="15" customHeight="1">
      <c r="B147" s="146" t="s">
        <v>1061</v>
      </c>
      <c s="186" t="str">
        <f>O5</f>
        <v>тыс. руб.</v>
      </c>
      <c s="151"/>
      <c s="151"/>
      <c s="186">
        <f ca="1">SUM('Годовая отчетность'!E344,'Годовая отчетность'!E346,'Годовая отчетность'!E348)/LOOKUP($O$5,$P$4:$P$5,$Q$4:$Q$5)</f>
        <v>0</v>
      </c>
      <c s="186">
        <f ca="1">SUM('Годовая отчетность'!F344,'Годовая отчетность'!F346,'Годовая отчетность'!F348)/LOOKUP($O$5,$P$4:$P$5,$Q$4:$Q$5)</f>
        <v>0</v>
      </c>
      <c s="186">
        <f ca="1">SUM('Годовая отчетность'!G344,'Годовая отчетность'!G346,'Годовая отчетность'!G348)/LOOKUP($O$5,$P$4:$P$5,$Q$4:$Q$5)</f>
        <v>0</v>
      </c>
      <c s="186">
        <f ca="1">SUM('Годовая отчетность'!H344,'Годовая отчетность'!H346,'Годовая отчетность'!H348)/LOOKUP($O$5,$P$4:$P$5,$Q$4:$Q$5)</f>
        <v>0</v>
      </c>
      <c s="186">
        <f ca="1">SUM('Годовая отчетность'!I344,'Годовая отчетность'!I346,'Годовая отчетность'!I348)/LOOKUP($O$5,$P$4:$P$5,$Q$4:$Q$5)</f>
        <v>0</v>
      </c>
      <c s="186">
        <f ca="1">SUM('Годовая отчетность'!J344,'Годовая отчетность'!J346,'Годовая отчетность'!J348)/LOOKUP($O$5,$P$4:$P$5,$Q$4:$Q$5)</f>
        <v>0</v>
      </c>
      <c s="186">
        <f ca="1">SUM('Годовая отчетность'!K344,'Годовая отчетность'!K346,'Годовая отчетность'!K348)/LOOKUP($O$5,$P$4:$P$5,$Q$4:$Q$5)</f>
        <v>0</v>
      </c>
      <c s="186">
        <f ca="1">SUM('Годовая отчетность'!L344,'Годовая отчетность'!L346,'Годовая отчетность'!L348)/LOOKUP($O$5,$P$4:$P$5,$Q$4:$Q$5)</f>
        <v>0</v>
      </c>
      <c s="186">
        <f ca="1">SUM('Годовая отчетность'!M344,'Годовая отчетность'!M346,'Годовая отчетность'!M348)/LOOKUP($O$5,$P$4:$P$5,$Q$4:$Q$5)</f>
        <v>0</v>
      </c>
      <c s="186">
        <f ca="1">SUM('Годовая отчетность'!N344,'Годовая отчетность'!N346,'Годовая отчетность'!N348)/LOOKUP($O$5,$P$4:$P$5,$Q$4:$Q$5)</f>
        <v>0</v>
      </c>
      <c s="186">
        <f ca="1">SUM('Годовая отчетность'!O344,'Годовая отчетность'!O346,'Годовая отчетность'!O348)/LOOKUP($O$5,$P$4:$P$5,$Q$4:$Q$5)</f>
        <v>0</v>
      </c>
      <c s="186">
        <f ca="1">SUM('Годовая отчетность'!P344,'Годовая отчетность'!P346,'Годовая отчетность'!P348)/LOOKUP($O$5,$P$4:$P$5,$Q$4:$Q$5)</f>
        <v>0</v>
      </c>
      <c s="186">
        <f ca="1">SUM('Годовая отчетность'!Q344,'Годовая отчетность'!Q346,'Годовая отчетность'!Q348)/LOOKUP($O$5,$P$4:$P$5,$Q$4:$Q$5)</f>
        <v>0</v>
      </c>
      <c s="186">
        <f ca="1">SUM('Годовая отчетность'!R344,'Годовая отчетность'!R346,'Годовая отчетность'!R348)/LOOKUP($O$5,$P$4:$P$5,$Q$4:$Q$5)</f>
        <v>0</v>
      </c>
      <c s="186">
        <f ca="1">SUM('Годовая отчетность'!S344,'Годовая отчетность'!S346,'Годовая отчетность'!S348)/LOOKUP($O$5,$P$4:$P$5,$Q$4:$Q$5)</f>
        <v>0</v>
      </c>
      <c s="186">
        <f ca="1">SUM('Годовая отчетность'!T344,'Годовая отчетность'!T346,'Годовая отчетность'!T348)/LOOKUP($O$5,$P$4:$P$5,$Q$4:$Q$5)</f>
        <v>0</v>
      </c>
    </row>
    <row r="148" spans="2:21" ht="15" customHeight="1">
      <c r="B148" s="302" t="s">
        <v>1003</v>
      </c>
      <c s="303" t="str">
        <f>O5</f>
        <v>тыс. руб.</v>
      </c>
      <c s="314"/>
      <c s="314"/>
      <c s="303">
        <f ca="1" t="shared" si="25" ref="F148:U148">SUM(F144:F147)</f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  <c s="303">
        <f t="shared" ca="1" si="25"/>
        <v>0</v>
      </c>
    </row>
    <row r="149" spans="2:21" ht="15" customHeight="1">
      <c r="B149" s="307" t="s">
        <v>1007</v>
      </c>
      <c s="308" t="str">
        <f>O5</f>
        <v>тыс. руб.</v>
      </c>
      <c s="315"/>
      <c s="315"/>
      <c s="308">
        <f ca="1" t="shared" si="26" ref="F149:U149">SUM(F143,F148)</f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  <c s="308">
        <f t="shared" ca="1" si="26"/>
        <v>0</v>
      </c>
    </row>
    <row r="150" ht="15" customHeight="1"/>
    <row r="151" spans="2:24" ht="15" customHeight="1">
      <c r="B151" s="25" t="s">
        <v>1221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2" spans="2:21" ht="15" customHeight="1">
      <c r="B152" s="615" t="s">
        <v>562</v>
      </c>
      <c s="615" t="s">
        <v>482</v>
      </c>
      <c s="615"/>
      <c s="615"/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153" spans="2:21" ht="15" customHeight="1">
      <c r="B153"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154" spans="2:21" ht="15" customHeight="1">
      <c r="B154" s="144" t="s">
        <v>1063</v>
      </c>
      <c s="185" t="str">
        <f>O5</f>
        <v>тыс. руб.</v>
      </c>
      <c s="143"/>
      <c s="143"/>
      <c s="185">
        <f>'Годовая отчетность'!E354/LOOKUP($O$5,$P$4:$P$5,$Q$4:$Q$5)</f>
        <v>0</v>
      </c>
      <c s="185">
        <f>'Годовая отчетность'!F354/LOOKUP($O$5,$P$4:$P$5,$Q$4:$Q$5)</f>
        <v>0</v>
      </c>
      <c s="185">
        <f>'Годовая отчетность'!G354/LOOKUP($O$5,$P$4:$P$5,$Q$4:$Q$5)</f>
        <v>0</v>
      </c>
      <c s="185">
        <f>'Годовая отчетность'!H354/LOOKUP($O$5,$P$4:$P$5,$Q$4:$Q$5)</f>
        <v>0</v>
      </c>
      <c s="185">
        <f>'Годовая отчетность'!I354/LOOKUP($O$5,$P$4:$P$5,$Q$4:$Q$5)</f>
        <v>0</v>
      </c>
      <c s="185">
        <f>'Годовая отчетность'!J354/LOOKUP($O$5,$P$4:$P$5,$Q$4:$Q$5)</f>
        <v>0</v>
      </c>
      <c s="185">
        <f>'Годовая отчетность'!K354/LOOKUP($O$5,$P$4:$P$5,$Q$4:$Q$5)</f>
        <v>0</v>
      </c>
      <c s="185">
        <f>'Годовая отчетность'!L354/LOOKUP($O$5,$P$4:$P$5,$Q$4:$Q$5)</f>
        <v>0</v>
      </c>
      <c s="185">
        <f>'Годовая отчетность'!M354/LOOKUP($O$5,$P$4:$P$5,$Q$4:$Q$5)</f>
        <v>0</v>
      </c>
      <c s="185">
        <f>'Годовая отчетность'!N354/LOOKUP($O$5,$P$4:$P$5,$Q$4:$Q$5)</f>
        <v>0</v>
      </c>
      <c s="185">
        <f>'Годовая отчетность'!O354/LOOKUP($O$5,$P$4:$P$5,$Q$4:$Q$5)</f>
        <v>0</v>
      </c>
      <c s="185">
        <f>'Годовая отчетность'!P354/LOOKUP($O$5,$P$4:$P$5,$Q$4:$Q$5)</f>
        <v>0</v>
      </c>
      <c s="185">
        <f>'Годовая отчетность'!Q354/LOOKUP($O$5,$P$4:$P$5,$Q$4:$Q$5)</f>
        <v>0</v>
      </c>
      <c s="185">
        <f>'Годовая отчетность'!R354/LOOKUP($O$5,$P$4:$P$5,$Q$4:$Q$5)</f>
        <v>0</v>
      </c>
      <c s="185">
        <f>'Годовая отчетность'!S354/LOOKUP($O$5,$P$4:$P$5,$Q$4:$Q$5)</f>
        <v>0</v>
      </c>
      <c s="185">
        <f>'Годовая отчетность'!T354/LOOKUP($O$5,$P$4:$P$5,$Q$4:$Q$5)</f>
        <v>0</v>
      </c>
    </row>
    <row r="155" spans="2:21" ht="15" customHeight="1">
      <c r="B155" s="146" t="s">
        <v>1222</v>
      </c>
      <c s="186" t="str">
        <f>O5</f>
        <v>тыс. руб.</v>
      </c>
      <c s="151"/>
      <c s="151"/>
      <c s="186">
        <f ca="1">'Годовая отчетность'!E359/LOOKUP($O$5,$P$4:$P$5,$Q$4:$Q$5)</f>
        <v>0</v>
      </c>
      <c s="186">
        <f ca="1">'Годовая отчетность'!F359/LOOKUP($O$5,$P$4:$P$5,$Q$4:$Q$5)</f>
        <v>0</v>
      </c>
      <c s="186">
        <f ca="1">'Годовая отчетность'!G359/LOOKUP($O$5,$P$4:$P$5,$Q$4:$Q$5)</f>
        <v>0</v>
      </c>
      <c s="186">
        <f ca="1">'Годовая отчетность'!H359/LOOKUP($O$5,$P$4:$P$5,$Q$4:$Q$5)</f>
        <v>0</v>
      </c>
      <c s="186">
        <f ca="1">'Годовая отчетность'!I359/LOOKUP($O$5,$P$4:$P$5,$Q$4:$Q$5)</f>
        <v>0</v>
      </c>
      <c s="186">
        <f ca="1">'Годовая отчетность'!J359/LOOKUP($O$5,$P$4:$P$5,$Q$4:$Q$5)</f>
        <v>0</v>
      </c>
      <c s="186">
        <f ca="1">'Годовая отчетность'!K359/LOOKUP($O$5,$P$4:$P$5,$Q$4:$Q$5)</f>
        <v>0</v>
      </c>
      <c s="186">
        <f ca="1">'Годовая отчетность'!L359/LOOKUP($O$5,$P$4:$P$5,$Q$4:$Q$5)</f>
        <v>0</v>
      </c>
      <c s="186">
        <f ca="1">'Годовая отчетность'!M359/LOOKUP($O$5,$P$4:$P$5,$Q$4:$Q$5)</f>
        <v>0</v>
      </c>
      <c s="186">
        <f ca="1">'Годовая отчетность'!N359/LOOKUP($O$5,$P$4:$P$5,$Q$4:$Q$5)</f>
        <v>0</v>
      </c>
      <c s="186">
        <f ca="1">'Годовая отчетность'!O359/LOOKUP($O$5,$P$4:$P$5,$Q$4:$Q$5)</f>
        <v>0</v>
      </c>
      <c s="186">
        <f ca="1">'Годовая отчетность'!P359/LOOKUP($O$5,$P$4:$P$5,$Q$4:$Q$5)</f>
        <v>0</v>
      </c>
      <c s="186">
        <f ca="1">'Годовая отчетность'!Q359/LOOKUP($O$5,$P$4:$P$5,$Q$4:$Q$5)</f>
        <v>0</v>
      </c>
      <c s="186">
        <f ca="1">'Годовая отчетность'!R359/LOOKUP($O$5,$P$4:$P$5,$Q$4:$Q$5)</f>
        <v>0</v>
      </c>
      <c s="186">
        <f ca="1">'Годовая отчетность'!S359/LOOKUP($O$5,$P$4:$P$5,$Q$4:$Q$5)</f>
        <v>0</v>
      </c>
      <c s="186">
        <f ca="1">'Годовая отчетность'!T359/LOOKUP($O$5,$P$4:$P$5,$Q$4:$Q$5)</f>
        <v>0</v>
      </c>
    </row>
    <row r="156" spans="2:21" ht="15" customHeight="1">
      <c r="B156" s="146" t="s">
        <v>1223</v>
      </c>
      <c s="186" t="str">
        <f>O5</f>
        <v>тыс. руб.</v>
      </c>
      <c s="151"/>
      <c s="151"/>
      <c s="186">
        <f>SUM('Годовая отчетность'!E355:E358)/LOOKUP($O$5,$P$4:$P$5,$Q$4:$Q$5)</f>
        <v>0</v>
      </c>
      <c s="186">
        <f>SUM('Годовая отчетность'!F355:F358)/LOOKUP($O$5,$P$4:$P$5,$Q$4:$Q$5)</f>
        <v>0</v>
      </c>
      <c s="186">
        <f>SUM('Годовая отчетность'!G355:G358)/LOOKUP($O$5,$P$4:$P$5,$Q$4:$Q$5)</f>
        <v>0</v>
      </c>
      <c s="186">
        <f>SUM('Годовая отчетность'!H355:H358)/LOOKUP($O$5,$P$4:$P$5,$Q$4:$Q$5)</f>
        <v>0</v>
      </c>
      <c s="186">
        <f>SUM('Годовая отчетность'!I355:I358)/LOOKUP($O$5,$P$4:$P$5,$Q$4:$Q$5)</f>
        <v>0</v>
      </c>
      <c s="186">
        <f>SUM('Годовая отчетность'!J355:J358)/LOOKUP($O$5,$P$4:$P$5,$Q$4:$Q$5)</f>
        <v>0</v>
      </c>
      <c s="186">
        <f>SUM('Годовая отчетность'!K355:K358)/LOOKUP($O$5,$P$4:$P$5,$Q$4:$Q$5)</f>
        <v>0</v>
      </c>
      <c s="186">
        <f>SUM('Годовая отчетность'!L355:L358)/LOOKUP($O$5,$P$4:$P$5,$Q$4:$Q$5)</f>
        <v>0</v>
      </c>
      <c s="186">
        <f>SUM('Годовая отчетность'!M355:M358)/LOOKUP($O$5,$P$4:$P$5,$Q$4:$Q$5)</f>
        <v>0</v>
      </c>
      <c s="186">
        <f>SUM('Годовая отчетность'!N355:N358)/LOOKUP($O$5,$P$4:$P$5,$Q$4:$Q$5)</f>
        <v>0</v>
      </c>
      <c s="186">
        <f>SUM('Годовая отчетность'!O355:O358)/LOOKUP($O$5,$P$4:$P$5,$Q$4:$Q$5)</f>
        <v>0</v>
      </c>
      <c s="186">
        <f>SUM('Годовая отчетность'!P355:P358)/LOOKUP($O$5,$P$4:$P$5,$Q$4:$Q$5)</f>
        <v>0</v>
      </c>
      <c s="186">
        <f>SUM('Годовая отчетность'!Q355:Q358)/LOOKUP($O$5,$P$4:$P$5,$Q$4:$Q$5)</f>
        <v>0</v>
      </c>
      <c s="186">
        <f>SUM('Годовая отчетность'!R355:R358)/LOOKUP($O$5,$P$4:$P$5,$Q$4:$Q$5)</f>
        <v>0</v>
      </c>
      <c s="186">
        <f>SUM('Годовая отчетность'!S355:S358)/LOOKUP($O$5,$P$4:$P$5,$Q$4:$Q$5)</f>
        <v>0</v>
      </c>
      <c s="186">
        <f>SUM('Годовая отчетность'!T355:T358)/LOOKUP($O$5,$P$4:$P$5,$Q$4:$Q$5)</f>
        <v>0</v>
      </c>
    </row>
    <row r="157" spans="2:21" ht="15" customHeight="1">
      <c r="B157" s="302" t="s">
        <v>1062</v>
      </c>
      <c s="303" t="str">
        <f>O5</f>
        <v>тыс. руб.</v>
      </c>
      <c s="314"/>
      <c s="314"/>
      <c s="303">
        <f ca="1" t="shared" si="27" ref="F157:U157">SUM(F154:F156)</f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  <c s="303">
        <f t="shared" ca="1" si="27"/>
        <v>0</v>
      </c>
    </row>
    <row r="158" spans="2:21" ht="15" customHeight="1">
      <c r="B158" s="146" t="s">
        <v>1224</v>
      </c>
      <c s="186" t="str">
        <f>O5</f>
        <v>тыс. руб.</v>
      </c>
      <c s="151"/>
      <c s="151"/>
      <c s="186">
        <f>'Годовая отчетность'!E363/LOOKUP($O$5,$P$4:$P$5,$Q$4:$Q$5)</f>
        <v>0</v>
      </c>
      <c s="186">
        <f>'Годовая отчетность'!F363/LOOKUP($O$5,$P$4:$P$5,$Q$4:$Q$5)</f>
        <v>0</v>
      </c>
      <c s="186">
        <f>'Годовая отчетность'!G363/LOOKUP($O$5,$P$4:$P$5,$Q$4:$Q$5)</f>
        <v>0</v>
      </c>
      <c s="186">
        <f>'Годовая отчетность'!H363/LOOKUP($O$5,$P$4:$P$5,$Q$4:$Q$5)</f>
        <v>0</v>
      </c>
      <c s="186">
        <f>'Годовая отчетность'!I363/LOOKUP($O$5,$P$4:$P$5,$Q$4:$Q$5)</f>
        <v>0</v>
      </c>
      <c s="186">
        <f>'Годовая отчетность'!J363/LOOKUP($O$5,$P$4:$P$5,$Q$4:$Q$5)</f>
        <v>0</v>
      </c>
      <c s="186">
        <f>'Годовая отчетность'!K363/LOOKUP($O$5,$P$4:$P$5,$Q$4:$Q$5)</f>
        <v>0</v>
      </c>
      <c s="186">
        <f>'Годовая отчетность'!L363/LOOKUP($O$5,$P$4:$P$5,$Q$4:$Q$5)</f>
        <v>0</v>
      </c>
      <c s="186">
        <f>'Годовая отчетность'!M363/LOOKUP($O$5,$P$4:$P$5,$Q$4:$Q$5)</f>
        <v>0</v>
      </c>
      <c s="186">
        <f>'Годовая отчетность'!N363/LOOKUP($O$5,$P$4:$P$5,$Q$4:$Q$5)</f>
        <v>0</v>
      </c>
      <c s="186">
        <f>'Годовая отчетность'!O363/LOOKUP($O$5,$P$4:$P$5,$Q$4:$Q$5)</f>
        <v>0</v>
      </c>
      <c s="186">
        <f>'Годовая отчетность'!P363/LOOKUP($O$5,$P$4:$P$5,$Q$4:$Q$5)</f>
        <v>0</v>
      </c>
      <c s="186">
        <f>'Годовая отчетность'!Q363/LOOKUP($O$5,$P$4:$P$5,$Q$4:$Q$5)</f>
        <v>0</v>
      </c>
      <c s="186">
        <f>'Годовая отчетность'!R363/LOOKUP($O$5,$P$4:$P$5,$Q$4:$Q$5)</f>
        <v>0</v>
      </c>
      <c s="186">
        <f>'Годовая отчетность'!S363/LOOKUP($O$5,$P$4:$P$5,$Q$4:$Q$5)</f>
        <v>0</v>
      </c>
      <c s="186">
        <f>'Годовая отчетность'!T363/LOOKUP($O$5,$P$4:$P$5,$Q$4:$Q$5)</f>
        <v>0</v>
      </c>
    </row>
    <row r="159" spans="2:21" ht="15" customHeight="1">
      <c r="B159" s="146" t="s">
        <v>1225</v>
      </c>
      <c s="186" t="str">
        <f>O5</f>
        <v>тыс. руб.</v>
      </c>
      <c s="151"/>
      <c s="151"/>
      <c s="186">
        <f>SUM('Годовая отчетность'!E364:E366)/LOOKUP($O$5,$P$4:$P$5,$Q$4:$Q$5)</f>
        <v>0</v>
      </c>
      <c s="186">
        <f>SUM('Годовая отчетность'!F364:F366)/LOOKUP($O$5,$P$4:$P$5,$Q$4:$Q$5)</f>
        <v>0</v>
      </c>
      <c s="186">
        <f>SUM('Годовая отчетность'!G364:G366)/LOOKUP($O$5,$P$4:$P$5,$Q$4:$Q$5)</f>
        <v>0</v>
      </c>
      <c s="186">
        <f>SUM('Годовая отчетность'!H364:H366)/LOOKUP($O$5,$P$4:$P$5,$Q$4:$Q$5)</f>
        <v>0</v>
      </c>
      <c s="186">
        <f>SUM('Годовая отчетность'!I364:I366)/LOOKUP($O$5,$P$4:$P$5,$Q$4:$Q$5)</f>
        <v>0</v>
      </c>
      <c s="186">
        <f>SUM('Годовая отчетность'!J364:J366)/LOOKUP($O$5,$P$4:$P$5,$Q$4:$Q$5)</f>
        <v>0</v>
      </c>
      <c s="186">
        <f>SUM('Годовая отчетность'!K364:K366)/LOOKUP($O$5,$P$4:$P$5,$Q$4:$Q$5)</f>
        <v>0</v>
      </c>
      <c s="186">
        <f>SUM('Годовая отчетность'!L364:L366)/LOOKUP($O$5,$P$4:$P$5,$Q$4:$Q$5)</f>
        <v>0</v>
      </c>
      <c s="186">
        <f>SUM('Годовая отчетность'!M364:M366)/LOOKUP($O$5,$P$4:$P$5,$Q$4:$Q$5)</f>
        <v>0</v>
      </c>
      <c s="186">
        <f>SUM('Годовая отчетность'!N364:N366)/LOOKUP($O$5,$P$4:$P$5,$Q$4:$Q$5)</f>
        <v>0</v>
      </c>
      <c s="186">
        <f>SUM('Годовая отчетность'!O364:O366)/LOOKUP($O$5,$P$4:$P$5,$Q$4:$Q$5)</f>
        <v>0</v>
      </c>
      <c s="186">
        <f>SUM('Годовая отчетность'!P364:P366)/LOOKUP($O$5,$P$4:$P$5,$Q$4:$Q$5)</f>
        <v>0</v>
      </c>
      <c s="186">
        <f>SUM('Годовая отчетность'!Q364:Q366)/LOOKUP($O$5,$P$4:$P$5,$Q$4:$Q$5)</f>
        <v>0</v>
      </c>
      <c s="186">
        <f>SUM('Годовая отчетность'!R364:R366)/LOOKUP($O$5,$P$4:$P$5,$Q$4:$Q$5)</f>
        <v>0</v>
      </c>
      <c s="186">
        <f>SUM('Годовая отчетность'!S364:S366)/LOOKUP($O$5,$P$4:$P$5,$Q$4:$Q$5)</f>
        <v>0</v>
      </c>
      <c s="186">
        <f>SUM('Годовая отчетность'!T364:T366)/LOOKUP($O$5,$P$4:$P$5,$Q$4:$Q$5)</f>
        <v>0</v>
      </c>
    </row>
    <row r="160" spans="2:21" ht="15" customHeight="1">
      <c r="B160" s="302" t="s">
        <v>1069</v>
      </c>
      <c s="303" t="str">
        <f>O5</f>
        <v>тыс. руб.</v>
      </c>
      <c s="314"/>
      <c s="314"/>
      <c s="303">
        <f t="shared" si="28" ref="F160:G160">SUM(F158:F159)</f>
        <v>0</v>
      </c>
      <c s="303">
        <f t="shared" si="28"/>
        <v>0</v>
      </c>
      <c s="303">
        <f t="shared" si="29" ref="H160:U160">SUM(H158:H159)</f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  <c s="303">
        <f t="shared" si="29"/>
        <v>0</v>
      </c>
    </row>
    <row r="161" spans="2:21" ht="15" customHeight="1">
      <c r="B161" s="146" t="s">
        <v>1226</v>
      </c>
      <c s="186" t="str">
        <f>O5</f>
        <v>тыс. руб.</v>
      </c>
      <c s="151"/>
      <c s="151"/>
      <c s="186">
        <f>'Годовая отчетность'!E370/LOOKUP($O$5,$P$4:$P$5,$Q$4:$Q$5)</f>
        <v>0</v>
      </c>
      <c s="186">
        <f>'Годовая отчетность'!F370/LOOKUP($O$5,$P$4:$P$5,$Q$4:$Q$5)</f>
        <v>0</v>
      </c>
      <c s="186">
        <f>'Годовая отчетность'!G370/LOOKUP($O$5,$P$4:$P$5,$Q$4:$Q$5)</f>
        <v>0</v>
      </c>
      <c s="186">
        <f>'Годовая отчетность'!H370/LOOKUP($O$5,$P$4:$P$5,$Q$4:$Q$5)</f>
        <v>0</v>
      </c>
      <c s="186">
        <f>'Годовая отчетность'!I370/LOOKUP($O$5,$P$4:$P$5,$Q$4:$Q$5)</f>
        <v>0</v>
      </c>
      <c s="186">
        <f>'Годовая отчетность'!J370/LOOKUP($O$5,$P$4:$P$5,$Q$4:$Q$5)</f>
        <v>0</v>
      </c>
      <c s="186">
        <f>'Годовая отчетность'!K370/LOOKUP($O$5,$P$4:$P$5,$Q$4:$Q$5)</f>
        <v>0</v>
      </c>
      <c s="186">
        <f>'Годовая отчетность'!L370/LOOKUP($O$5,$P$4:$P$5,$Q$4:$Q$5)</f>
        <v>0</v>
      </c>
      <c s="186">
        <f>'Годовая отчетность'!M370/LOOKUP($O$5,$P$4:$P$5,$Q$4:$Q$5)</f>
        <v>0</v>
      </c>
      <c s="186">
        <f>'Годовая отчетность'!N370/LOOKUP($O$5,$P$4:$P$5,$Q$4:$Q$5)</f>
        <v>0</v>
      </c>
      <c s="186">
        <f>'Годовая отчетность'!O370/LOOKUP($O$5,$P$4:$P$5,$Q$4:$Q$5)</f>
        <v>0</v>
      </c>
      <c s="186">
        <f>'Годовая отчетность'!P370/LOOKUP($O$5,$P$4:$P$5,$Q$4:$Q$5)</f>
        <v>0</v>
      </c>
      <c s="186">
        <f>'Годовая отчетность'!Q370/LOOKUP($O$5,$P$4:$P$5,$Q$4:$Q$5)</f>
        <v>0</v>
      </c>
      <c s="186">
        <f>'Годовая отчетность'!R370/LOOKUP($O$5,$P$4:$P$5,$Q$4:$Q$5)</f>
        <v>0</v>
      </c>
      <c s="186">
        <f>'Годовая отчетность'!S370/LOOKUP($O$5,$P$4:$P$5,$Q$4:$Q$5)</f>
        <v>0</v>
      </c>
      <c s="186">
        <f>'Годовая отчетность'!T370/LOOKUP($O$5,$P$4:$P$5,$Q$4:$Q$5)</f>
        <v>0</v>
      </c>
    </row>
    <row r="162" spans="2:21" ht="15" customHeight="1">
      <c r="B162" s="146" t="s">
        <v>313</v>
      </c>
      <c s="186" t="str">
        <f>O5</f>
        <v>тыс. руб.</v>
      </c>
      <c s="151"/>
      <c s="151"/>
      <c s="186">
        <f ca="1">'Годовая отчетность'!E371/LOOKUP($O$5,$P$4:$P$5,$Q$4:$Q$5)</f>
        <v>0</v>
      </c>
      <c s="186">
        <f ca="1">'Годовая отчетность'!F371/LOOKUP($O$5,$P$4:$P$5,$Q$4:$Q$5)</f>
        <v>0</v>
      </c>
      <c s="186">
        <f ca="1">'Годовая отчетность'!G371/LOOKUP($O$5,$P$4:$P$5,$Q$4:$Q$5)</f>
        <v>0</v>
      </c>
      <c s="186">
        <f ca="1">'Годовая отчетность'!H371/LOOKUP($O$5,$P$4:$P$5,$Q$4:$Q$5)</f>
        <v>0</v>
      </c>
      <c s="186">
        <f ca="1">'Годовая отчетность'!I371/LOOKUP($O$5,$P$4:$P$5,$Q$4:$Q$5)</f>
        <v>0</v>
      </c>
      <c s="186">
        <f ca="1">'Годовая отчетность'!J371/LOOKUP($O$5,$P$4:$P$5,$Q$4:$Q$5)</f>
        <v>0</v>
      </c>
      <c s="186">
        <f ca="1">'Годовая отчетность'!K371/LOOKUP($O$5,$P$4:$P$5,$Q$4:$Q$5)</f>
        <v>0</v>
      </c>
      <c s="186">
        <f ca="1">'Годовая отчетность'!L371/LOOKUP($O$5,$P$4:$P$5,$Q$4:$Q$5)</f>
        <v>0</v>
      </c>
      <c s="186">
        <f ca="1">'Годовая отчетность'!M371/LOOKUP($O$5,$P$4:$P$5,$Q$4:$Q$5)</f>
        <v>0</v>
      </c>
      <c s="186">
        <f ca="1">'Годовая отчетность'!N371/LOOKUP($O$5,$P$4:$P$5,$Q$4:$Q$5)</f>
        <v>0</v>
      </c>
      <c s="186">
        <f ca="1">'Годовая отчетность'!O371/LOOKUP($O$5,$P$4:$P$5,$Q$4:$Q$5)</f>
        <v>0</v>
      </c>
      <c s="186">
        <f ca="1">'Годовая отчетность'!P371/LOOKUP($O$5,$P$4:$P$5,$Q$4:$Q$5)</f>
        <v>0</v>
      </c>
      <c s="186">
        <f ca="1">'Годовая отчетность'!Q371/LOOKUP($O$5,$P$4:$P$5,$Q$4:$Q$5)</f>
        <v>0</v>
      </c>
      <c s="186">
        <f ca="1">'Годовая отчетность'!R371/LOOKUP($O$5,$P$4:$P$5,$Q$4:$Q$5)</f>
        <v>0</v>
      </c>
      <c s="186">
        <f ca="1">'Годовая отчетность'!S371/LOOKUP($O$5,$P$4:$P$5,$Q$4:$Q$5)</f>
        <v>0</v>
      </c>
      <c s="186">
        <f ca="1">'Годовая отчетность'!T371/LOOKUP($O$5,$P$4:$P$5,$Q$4:$Q$5)</f>
        <v>0</v>
      </c>
    </row>
    <row r="163" spans="2:21" ht="15" customHeight="1">
      <c r="B163" s="146" t="s">
        <v>1227</v>
      </c>
      <c s="186" t="str">
        <f>O5</f>
        <v>тыс. руб.</v>
      </c>
      <c s="151"/>
      <c s="151"/>
      <c s="186">
        <f>SUM('Годовая отчетность'!E372:E374)/LOOKUP($O$5,$P$4:$P$5,$Q$4:$Q$5)</f>
        <v>0</v>
      </c>
      <c s="186">
        <f>SUM('Годовая отчетность'!F372:F374)/LOOKUP($O$5,$P$4:$P$5,$Q$4:$Q$5)</f>
        <v>0</v>
      </c>
      <c s="186">
        <f>SUM('Годовая отчетность'!G372:G374)/LOOKUP($O$5,$P$4:$P$5,$Q$4:$Q$5)</f>
        <v>0</v>
      </c>
      <c s="186">
        <f>SUM('Годовая отчетность'!H372:H374)/LOOKUP($O$5,$P$4:$P$5,$Q$4:$Q$5)</f>
        <v>0</v>
      </c>
      <c s="186">
        <f>SUM('Годовая отчетность'!I372:I374)/LOOKUP($O$5,$P$4:$P$5,$Q$4:$Q$5)</f>
        <v>0</v>
      </c>
      <c s="186">
        <f>SUM('Годовая отчетность'!J372:J374)/LOOKUP($O$5,$P$4:$P$5,$Q$4:$Q$5)</f>
        <v>0</v>
      </c>
      <c s="186">
        <f>SUM('Годовая отчетность'!K372:K374)/LOOKUP($O$5,$P$4:$P$5,$Q$4:$Q$5)</f>
        <v>0</v>
      </c>
      <c s="186">
        <f>SUM('Годовая отчетность'!L372:L374)/LOOKUP($O$5,$P$4:$P$5,$Q$4:$Q$5)</f>
        <v>0</v>
      </c>
      <c s="186">
        <f>SUM('Годовая отчетность'!M372:M374)/LOOKUP($O$5,$P$4:$P$5,$Q$4:$Q$5)</f>
        <v>0</v>
      </c>
      <c s="186">
        <f>SUM('Годовая отчетность'!N372:N374)/LOOKUP($O$5,$P$4:$P$5,$Q$4:$Q$5)</f>
        <v>0</v>
      </c>
      <c s="186">
        <f>SUM('Годовая отчетность'!O372:O374)/LOOKUP($O$5,$P$4:$P$5,$Q$4:$Q$5)</f>
        <v>0</v>
      </c>
      <c s="186">
        <f>SUM('Годовая отчетность'!P372:P374)/LOOKUP($O$5,$P$4:$P$5,$Q$4:$Q$5)</f>
        <v>0</v>
      </c>
      <c s="186">
        <f>SUM('Годовая отчетность'!Q372:Q374)/LOOKUP($O$5,$P$4:$P$5,$Q$4:$Q$5)</f>
        <v>0</v>
      </c>
      <c s="186">
        <f>SUM('Годовая отчетность'!R372:R374)/LOOKUP($O$5,$P$4:$P$5,$Q$4:$Q$5)</f>
        <v>0</v>
      </c>
      <c s="186">
        <f>SUM('Годовая отчетность'!S372:S374)/LOOKUP($O$5,$P$4:$P$5,$Q$4:$Q$5)</f>
        <v>0</v>
      </c>
      <c s="186">
        <f>SUM('Годовая отчетность'!T372:T374)/LOOKUP($O$5,$P$4:$P$5,$Q$4:$Q$5)</f>
        <v>0</v>
      </c>
    </row>
    <row r="164" spans="2:21" ht="15" customHeight="1">
      <c r="B164" s="302" t="s">
        <v>1074</v>
      </c>
      <c s="303" t="str">
        <f>O5</f>
        <v>тыс. руб.</v>
      </c>
      <c s="314"/>
      <c s="314"/>
      <c s="303">
        <f ca="1" t="shared" si="30" ref="F164:G164">SUM(F161:F163)</f>
        <v>0</v>
      </c>
      <c s="303">
        <f t="shared" ca="1" si="30"/>
        <v>0</v>
      </c>
      <c s="303">
        <f ca="1" t="shared" si="31" ref="H164:U164">SUM(H161:H163)</f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  <c s="303">
        <f t="shared" ca="1" si="31"/>
        <v>0</v>
      </c>
    </row>
    <row r="165" spans="2:21" ht="15" customHeight="1">
      <c r="B165" s="307" t="s">
        <v>1014</v>
      </c>
      <c s="308" t="str">
        <f>O5</f>
        <v>тыс. руб.</v>
      </c>
      <c s="315"/>
      <c s="315"/>
      <c s="308">
        <f ca="1" t="shared" si="32" ref="F165:G165">SUM(F157,F160,F164)</f>
        <v>0</v>
      </c>
      <c s="308">
        <f t="shared" ca="1" si="32"/>
        <v>0</v>
      </c>
      <c s="308">
        <f ca="1" t="shared" si="33" ref="H165:U165">SUM(H157,H160,H164)</f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  <c s="308">
        <f t="shared" ca="1" si="33"/>
        <v>0</v>
      </c>
    </row>
    <row r="166" ht="15" customHeight="1"/>
    <row r="167" spans="2:2" ht="21">
      <c r="B167" s="23" t="s">
        <v>1217</v>
      </c>
    </row>
    <row r="168" spans="2:2" ht="15" customHeight="1">
      <c r="B168" s="24" t="s">
        <v>1228</v>
      </c>
    </row>
    <row r="169" spans="2:21" ht="15" customHeight="1">
      <c r="B169" s="615" t="s">
        <v>562</v>
      </c>
      <c s="615" t="s">
        <v>482</v>
      </c>
      <c s="617"/>
      <c s="617"/>
      <c s="615">
        <f>YEAR('Годовая отчетность'!E$8)</f>
        <v>2025</v>
      </c>
      <c s="615">
        <f>YEAR('Годовая отчетность'!F$8)</f>
        <v>2026</v>
      </c>
      <c s="615">
        <f>YEAR('Годовая отчетность'!G$8)</f>
        <v>2027</v>
      </c>
      <c s="615">
        <f>YEAR('Годовая отчетность'!H$8)</f>
        <v>2028</v>
      </c>
      <c s="615">
        <f>YEAR('Годовая отчетность'!I$8)</f>
        <v>2029</v>
      </c>
      <c s="615">
        <f>YEAR('Годовая отчетность'!J$8)</f>
        <v>2030</v>
      </c>
      <c s="615">
        <f>YEAR('Годовая отчетность'!K$8)</f>
        <v>2031</v>
      </c>
      <c s="615">
        <f>YEAR('Годовая отчетность'!L$8)</f>
        <v>2032</v>
      </c>
      <c s="615">
        <f>YEAR('Годовая отчетность'!M$8)</f>
        <v>2033</v>
      </c>
      <c s="615">
        <f>YEAR('Годовая отчетность'!N$8)</f>
        <v>2034</v>
      </c>
      <c s="615">
        <f>YEAR('Годовая отчетность'!O$8)</f>
        <v>2035</v>
      </c>
      <c s="615">
        <f>YEAR('Годовая отчетность'!P$8)</f>
        <v>2036</v>
      </c>
      <c s="615">
        <f>YEAR('Годовая отчетность'!Q$8)</f>
        <v>2037</v>
      </c>
      <c s="615">
        <f>YEAR('Годовая отчетность'!R$8)</f>
        <v>2038</v>
      </c>
      <c s="615">
        <f>YEAR('Годовая отчетность'!S$8)</f>
        <v>2039</v>
      </c>
      <c s="615">
        <f>YEAR('Годовая отчетность'!T$8)</f>
        <v>2040</v>
      </c>
    </row>
    <row r="170" spans="2:21" ht="15" customHeight="1">
      <c r="B170" s="616"/>
      <c s="616"/>
      <c s="618"/>
      <c s="618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  <c s="616"/>
    </row>
    <row r="171" spans="2:21" ht="15" customHeight="1">
      <c r="B171" s="156" t="s">
        <v>581</v>
      </c>
      <c s="185" t="str">
        <f>O5</f>
        <v>тыс. руб.</v>
      </c>
      <c s="137"/>
      <c s="137"/>
      <c s="182">
        <f ca="1">LOOKUP(DATE(F$169,12,31),Показатели!$E$8:$BM$8,Показатели!$E$256:$BM$256)/LOOKUP($O$5,$P$4:$P$5,$Q$4:$Q$5)</f>
        <v>0</v>
      </c>
      <c s="182">
        <f ca="1">LOOKUP(DATE(G$169,12,31),Показатели!$E$8:$BM$8,Показатели!$E$256:$BM$256)/LOOKUP($O$5,$P$4:$P$5,$Q$4:$Q$5)</f>
        <v>0</v>
      </c>
      <c s="182">
        <f ca="1">LOOKUP(DATE(H$169,12,31),Показатели!$E$8:$BM$8,Показатели!$E$256:$BM$256)/LOOKUP($O$5,$P$4:$P$5,$Q$4:$Q$5)</f>
        <v>0</v>
      </c>
      <c s="182">
        <f ca="1">LOOKUP(DATE(I$169,12,31),Показатели!$E$8:$BM$8,Показатели!$E$256:$BM$256)/LOOKUP($O$5,$P$4:$P$5,$Q$4:$Q$5)</f>
        <v>0</v>
      </c>
      <c s="182">
        <f ca="1">LOOKUP(DATE(J$169,12,31),Показатели!$E$8:$BM$8,Показатели!$E$256:$BM$256)/LOOKUP($O$5,$P$4:$P$5,$Q$4:$Q$5)</f>
        <v>0</v>
      </c>
      <c s="182">
        <f ca="1">LOOKUP(DATE(K$169,12,31),Показатели!$E$8:$BM$8,Показатели!$E$256:$BM$256)/LOOKUP($O$5,$P$4:$P$5,$Q$4:$Q$5)</f>
        <v>0</v>
      </c>
      <c s="182">
        <f ca="1">LOOKUP(DATE(L$169,12,31),Показатели!$E$8:$BM$8,Показатели!$E$256:$BM$256)/LOOKUP($O$5,$P$4:$P$5,$Q$4:$Q$5)</f>
        <v>0</v>
      </c>
      <c s="182">
        <f ca="1">LOOKUP(DATE(M$169,12,31),Показатели!$E$8:$BM$8,Показатели!$E$256:$BM$256)/LOOKUP($O$5,$P$4:$P$5,$Q$4:$Q$5)</f>
        <v>0</v>
      </c>
      <c s="182">
        <f ca="1">LOOKUP(DATE(N$169,12,31),Показатели!$E$8:$BM$8,Показатели!$E$256:$BM$256)/LOOKUP($O$5,$P$4:$P$5,$Q$4:$Q$5)</f>
        <v>0</v>
      </c>
      <c s="182">
        <f ca="1">LOOKUP(DATE(O$169,12,31),Показатели!$E$8:$BM$8,Показатели!$E$256:$BM$256)/LOOKUP($O$5,$P$4:$P$5,$Q$4:$Q$5)</f>
        <v>0</v>
      </c>
      <c s="182">
        <f ca="1">LOOKUP(DATE(P$169,12,31),Показатели!$E$8:$BM$8,Показатели!$E$256:$BM$256)/LOOKUP($O$5,$P$4:$P$5,$Q$4:$Q$5)</f>
        <v>0</v>
      </c>
      <c s="182">
        <f ca="1">LOOKUP(DATE(Q$169,12,31),Показатели!$E$8:$BM$8,Показатели!$E$256:$BM$256)/LOOKUP($O$5,$P$4:$P$5,$Q$4:$Q$5)</f>
        <v>0</v>
      </c>
      <c s="182">
        <f ca="1">LOOKUP(DATE(R$169,12,31),Показатели!$E$8:$BM$8,Показатели!$E$256:$BM$256)/LOOKUP($O$5,$P$4:$P$5,$Q$4:$Q$5)</f>
        <v>0</v>
      </c>
      <c s="182">
        <f ca="1">LOOKUP(DATE(S$169,12,31),Показатели!$E$8:$BM$8,Показатели!$E$256:$BM$256)/LOOKUP($O$5,$P$4:$P$5,$Q$4:$Q$5)</f>
        <v>0</v>
      </c>
      <c s="182">
        <f ca="1">LOOKUP(DATE(T$169,12,31),Показатели!$E$8:$BM$8,Показатели!$E$256:$BM$256)/LOOKUP($O$5,$P$4:$P$5,$Q$4:$Q$5)</f>
        <v>0</v>
      </c>
      <c s="182">
        <f ca="1">LOOKUP(DATE(U$169,12,31),Показатели!$E$8:$BM$8,Показатели!$E$256:$BM$256)/LOOKUP($O$5,$P$4:$P$5,$Q$4:$Q$5)</f>
        <v>0</v>
      </c>
    </row>
    <row r="172" spans="2:22" ht="15" customHeight="1">
      <c r="B172" s="156" t="s">
        <v>1229</v>
      </c>
      <c s="185" t="str">
        <f>O5</f>
        <v>тыс. руб.</v>
      </c>
      <c s="137"/>
      <c s="137"/>
      <c s="182">
        <f ca="1">LOOKUP(DATE(F$169,12,31),Показатели!$E$8:$BM$8,Показатели!$E$278:$BM$278)/LOOKUP($O$5,$P$4:$P$5,$Q$4:$Q$5)</f>
        <v>0</v>
      </c>
      <c s="182">
        <f ca="1">LOOKUP(DATE(G$169,12,31),Показатели!$E$8:$BM$8,Показатели!$E$278:$BM$278)/LOOKUP($O$5,$P$4:$P$5,$Q$4:$Q$5)</f>
        <v>0</v>
      </c>
      <c s="182">
        <f ca="1">LOOKUP(DATE(H$169,12,31),Показатели!$E$8:$BM$8,Показатели!$E$278:$BM$278)/LOOKUP($O$5,$P$4:$P$5,$Q$4:$Q$5)</f>
        <v>0</v>
      </c>
      <c s="182">
        <f ca="1">LOOKUP(DATE(I$169,12,31),Показатели!$E$8:$BM$8,Показатели!$E$278:$BM$278)/LOOKUP($O$5,$P$4:$P$5,$Q$4:$Q$5)</f>
        <v>0</v>
      </c>
      <c s="182">
        <f ca="1">LOOKUP(DATE(J$169,12,31),Показатели!$E$8:$BM$8,Показатели!$E$278:$BM$278)/LOOKUP($O$5,$P$4:$P$5,$Q$4:$Q$5)</f>
        <v>0</v>
      </c>
      <c s="182">
        <f ca="1">LOOKUP(DATE(K$169,12,31),Показатели!$E$8:$BM$8,Показатели!$E$278:$BM$278)/LOOKUP($O$5,$P$4:$P$5,$Q$4:$Q$5)</f>
        <v>0</v>
      </c>
      <c s="182">
        <f ca="1">LOOKUP(DATE(L$169,12,31),Показатели!$E$8:$BM$8,Показатели!$E$278:$BM$278)/LOOKUP($O$5,$P$4:$P$5,$Q$4:$Q$5)</f>
        <v>0</v>
      </c>
      <c s="182">
        <f ca="1">LOOKUP(DATE(M$169,12,31),Показатели!$E$8:$BM$8,Показатели!$E$278:$BM$278)/LOOKUP($O$5,$P$4:$P$5,$Q$4:$Q$5)</f>
        <v>0</v>
      </c>
      <c s="182">
        <f ca="1">LOOKUP(DATE(N$169,12,31),Показатели!$E$8:$BM$8,Показатели!$E$278:$BM$278)/LOOKUP($O$5,$P$4:$P$5,$Q$4:$Q$5)</f>
        <v>0</v>
      </c>
      <c s="182">
        <f ca="1">LOOKUP(DATE(O$169,12,31),Показатели!$E$8:$BM$8,Показатели!$E$278:$BM$278)/LOOKUP($O$5,$P$4:$P$5,$Q$4:$Q$5)</f>
        <v>0</v>
      </c>
      <c s="182">
        <f ca="1">LOOKUP(DATE(P$169,12,31),Показатели!$E$8:$BM$8,Показатели!$E$278:$BM$278)/LOOKUP($O$5,$P$4:$P$5,$Q$4:$Q$5)</f>
        <v>0</v>
      </c>
      <c s="182">
        <f ca="1">LOOKUP(DATE(Q$169,12,31),Показатели!$E$8:$BM$8,Показатели!$E$278:$BM$278)/LOOKUP($O$5,$P$4:$P$5,$Q$4:$Q$5)</f>
        <v>0</v>
      </c>
      <c s="182">
        <f ca="1">LOOKUP(DATE(R$169,12,31),Показатели!$E$8:$BM$8,Показатели!$E$278:$BM$278)/LOOKUP($O$5,$P$4:$P$5,$Q$4:$Q$5)</f>
        <v>0</v>
      </c>
      <c s="182">
        <f ca="1">LOOKUP(DATE(S$169,12,31),Показатели!$E$8:$BM$8,Показатели!$E$278:$BM$278)/LOOKUP($O$5,$P$4:$P$5,$Q$4:$Q$5)</f>
        <v>0</v>
      </c>
      <c s="182">
        <f ca="1">LOOKUP(DATE(T$169,12,31),Показатели!$E$8:$BM$8,Показатели!$E$278:$BM$278)/LOOKUP($O$5,$P$4:$P$5,$Q$4:$Q$5)</f>
        <v>0</v>
      </c>
      <c s="182">
        <f ca="1">LOOKUP(DATE(U$169,12,31),Показатели!$E$8:$BM$8,Показатели!$E$278:$BM$278)/LOOKUP($O$5,$P$4:$P$5,$Q$4:$Q$5)</f>
        <v>0</v>
      </c>
      <c s="145"/>
    </row>
    <row r="173" spans="2:21" ht="15" customHeight="1">
      <c r="B173" s="156" t="s">
        <v>1116</v>
      </c>
      <c s="185" t="str">
        <f>O5</f>
        <v>тыс. руб.</v>
      </c>
      <c s="137"/>
      <c s="137"/>
      <c s="182">
        <f t="shared" si="34" ref="F173:M173">SUM(F158,F161)</f>
        <v>0</v>
      </c>
      <c s="182">
        <f t="shared" si="34"/>
        <v>0</v>
      </c>
      <c s="182">
        <f t="shared" si="34"/>
        <v>0</v>
      </c>
      <c s="182">
        <f t="shared" si="34"/>
        <v>0</v>
      </c>
      <c s="182">
        <f t="shared" si="34"/>
        <v>0</v>
      </c>
      <c s="182">
        <f t="shared" si="34"/>
        <v>0</v>
      </c>
      <c s="182">
        <f t="shared" si="34"/>
        <v>0</v>
      </c>
      <c s="182">
        <f t="shared" si="34"/>
        <v>0</v>
      </c>
      <c s="182">
        <f t="shared" si="35" ref="N173:U173">SUM(N158,N161)</f>
        <v>0</v>
      </c>
      <c s="182">
        <f t="shared" si="35"/>
        <v>0</v>
      </c>
      <c s="182">
        <f t="shared" si="35"/>
        <v>0</v>
      </c>
      <c s="182">
        <f t="shared" si="35"/>
        <v>0</v>
      </c>
      <c s="182">
        <f t="shared" si="35"/>
        <v>0</v>
      </c>
      <c s="182">
        <f t="shared" si="35"/>
        <v>0</v>
      </c>
      <c s="182">
        <f t="shared" si="35"/>
        <v>0</v>
      </c>
      <c s="182">
        <f t="shared" si="35"/>
        <v>0</v>
      </c>
    </row>
    <row r="174" spans="2:21" ht="15" customHeight="1">
      <c r="B174" s="157" t="s">
        <v>1140</v>
      </c>
      <c s="186" t="str">
        <f>O5</f>
        <v>тыс. руб.</v>
      </c>
      <c s="142"/>
      <c s="142"/>
      <c s="153">
        <f ca="1" t="shared" si="36" ref="F174:M174">MAX(0,F173-F146)</f>
        <v>0</v>
      </c>
      <c s="153">
        <f t="shared" ca="1" si="36"/>
        <v>0</v>
      </c>
      <c s="153">
        <f t="shared" ca="1" si="36"/>
        <v>0</v>
      </c>
      <c s="153">
        <f t="shared" ca="1" si="36"/>
        <v>0</v>
      </c>
      <c s="153">
        <f t="shared" ca="1" si="36"/>
        <v>0</v>
      </c>
      <c s="153">
        <f t="shared" ca="1" si="36"/>
        <v>0</v>
      </c>
      <c s="153">
        <f t="shared" ca="1" si="36"/>
        <v>0</v>
      </c>
      <c s="153">
        <f t="shared" ca="1" si="36"/>
        <v>0</v>
      </c>
      <c s="153">
        <f ca="1" t="shared" si="37" ref="N174:U174">MAX(0,N173-N146)</f>
        <v>0</v>
      </c>
      <c s="153">
        <f t="shared" ca="1" si="37"/>
        <v>0</v>
      </c>
      <c s="153">
        <f t="shared" ca="1" si="37"/>
        <v>0</v>
      </c>
      <c s="153">
        <f t="shared" ca="1" si="37"/>
        <v>0</v>
      </c>
      <c s="153">
        <f t="shared" ca="1" si="37"/>
        <v>0</v>
      </c>
      <c s="153">
        <f t="shared" ca="1" si="37"/>
        <v>0</v>
      </c>
      <c s="153">
        <f t="shared" ca="1" si="37"/>
        <v>0</v>
      </c>
      <c s="153">
        <f t="shared" ca="1" si="37"/>
        <v>0</v>
      </c>
    </row>
    <row r="175" spans="2:21" ht="15" customHeight="1">
      <c r="B175" s="157" t="s">
        <v>1115</v>
      </c>
      <c s="151" t="s">
        <v>1117</v>
      </c>
      <c s="142"/>
      <c s="142"/>
      <c s="158" t="str">
        <f ca="1">LOOKUP(DATE(F$169,12,31),Показатели!$E$8:$BM$8,Показатели!$E$237:$BM$237)</f>
        <v>-</v>
      </c>
      <c s="158" t="str">
        <f ca="1">LOOKUP(DATE(G$169,12,31),Показатели!$E$8:$BM$8,Показатели!$E$237:$BM$237)</f>
        <v>-</v>
      </c>
      <c s="158" t="str">
        <f ca="1">LOOKUP(DATE(H$169,12,31),Показатели!$E$8:$BM$8,Показатели!$E$237:$BM$237)</f>
        <v>-</v>
      </c>
      <c s="158" t="str">
        <f ca="1">LOOKUP(DATE(I$169,12,31),Показатели!$E$8:$BM$8,Показатели!$E$237:$BM$237)</f>
        <v>-</v>
      </c>
      <c s="158" t="str">
        <f ca="1">LOOKUP(DATE(J$169,12,31),Показатели!$E$8:$BM$8,Показатели!$E$237:$BM$237)</f>
        <v>-</v>
      </c>
      <c s="158" t="str">
        <f ca="1">LOOKUP(DATE(K$169,12,31),Показатели!$E$8:$BM$8,Показатели!$E$237:$BM$237)</f>
        <v>-</v>
      </c>
      <c s="158" t="str">
        <f ca="1">LOOKUP(DATE(L$169,12,31),Показатели!$E$8:$BM$8,Показатели!$E$237:$BM$237)</f>
        <v>-</v>
      </c>
      <c s="158" t="str">
        <f ca="1">LOOKUP(DATE(M$169,12,31),Показатели!$E$8:$BM$8,Показатели!$E$237:$BM$237)</f>
        <v>-</v>
      </c>
      <c s="158" t="str">
        <f ca="1">LOOKUP(DATE(N$169,12,31),Показатели!$E$8:$BM$8,Показатели!$E$237:$BM$237)</f>
        <v>-</v>
      </c>
      <c s="158" t="str">
        <f ca="1">LOOKUP(DATE(O$169,12,31),Показатели!$E$8:$BM$8,Показатели!$E$237:$BM$237)</f>
        <v>-</v>
      </c>
      <c s="158" t="str">
        <f ca="1">LOOKUP(DATE(P$169,12,31),Показатели!$E$8:$BM$8,Показатели!$E$237:$BM$237)</f>
        <v>-</v>
      </c>
      <c s="158" t="str">
        <f ca="1">LOOKUP(DATE(Q$169,12,31),Показатели!$E$8:$BM$8,Показатели!$E$237:$BM$237)</f>
        <v>-</v>
      </c>
      <c s="158" t="str">
        <f ca="1">LOOKUP(DATE(R$169,12,31),Показатели!$E$8:$BM$8,Показатели!$E$237:$BM$237)</f>
        <v>-</v>
      </c>
      <c s="158" t="str">
        <f ca="1">LOOKUP(DATE(S$169,12,31),Показатели!$E$8:$BM$8,Показатели!$E$237:$BM$237)</f>
        <v>-</v>
      </c>
      <c s="158" t="str">
        <f ca="1">LOOKUP(DATE(T$169,12,31),Показатели!$E$8:$BM$8,Показатели!$E$237:$BM$237)</f>
        <v>-</v>
      </c>
      <c s="158" t="str">
        <f ca="1">LOOKUP(DATE(U$169,12,31),Показатели!$E$8:$BM$8,Показатели!$E$237:$BM$237)</f>
        <v>-</v>
      </c>
    </row>
    <row r="176" spans="2:21" ht="15" customHeight="1">
      <c r="B176" s="157" t="s">
        <v>1118</v>
      </c>
      <c s="151" t="s">
        <v>1117</v>
      </c>
      <c s="142"/>
      <c s="142"/>
      <c s="158" t="str">
        <f ca="1">LOOKUP(DATE(F$169,12,31),Показатели!$E$8:$BM$8,Показатели!$E$247:$BM$247)</f>
        <v>-</v>
      </c>
      <c s="158" t="str">
        <f ca="1">LOOKUP(DATE(G$169,12,31),Показатели!$E$8:$BM$8,Показатели!$E$247:$BM$247)</f>
        <v>-</v>
      </c>
      <c s="158" t="str">
        <f ca="1">LOOKUP(DATE(H$169,12,31),Показатели!$E$8:$BM$8,Показатели!$E$247:$BM$247)</f>
        <v>-</v>
      </c>
      <c s="158" t="str">
        <f ca="1">LOOKUP(DATE(I$169,12,31),Показатели!$E$8:$BM$8,Показатели!$E$247:$BM$247)</f>
        <v>-</v>
      </c>
      <c s="158" t="str">
        <f ca="1">LOOKUP(DATE(J$169,12,31),Показатели!$E$8:$BM$8,Показатели!$E$247:$BM$247)</f>
        <v>-</v>
      </c>
      <c s="158" t="str">
        <f ca="1">LOOKUP(DATE(K$169,12,31),Показатели!$E$8:$BM$8,Показатели!$E$247:$BM$247)</f>
        <v>-</v>
      </c>
      <c s="158" t="str">
        <f ca="1">LOOKUP(DATE(L$169,12,31),Показатели!$E$8:$BM$8,Показатели!$E$247:$BM$247)</f>
        <v>-</v>
      </c>
      <c s="158" t="str">
        <f ca="1">LOOKUP(DATE(M$169,12,31),Показатели!$E$8:$BM$8,Показатели!$E$247:$BM$247)</f>
        <v>-</v>
      </c>
      <c s="158" t="str">
        <f ca="1">LOOKUP(DATE(N$169,12,31),Показатели!$E$8:$BM$8,Показатели!$E$247:$BM$247)</f>
        <v>-</v>
      </c>
      <c s="158" t="str">
        <f ca="1">LOOKUP(DATE(O$169,12,31),Показатели!$E$8:$BM$8,Показатели!$E$247:$BM$247)</f>
        <v>-</v>
      </c>
      <c s="158" t="str">
        <f ca="1">LOOKUP(DATE(P$169,12,31),Показатели!$E$8:$BM$8,Показатели!$E$247:$BM$247)</f>
        <v>-</v>
      </c>
      <c s="158" t="str">
        <f ca="1">LOOKUP(DATE(Q$169,12,31),Показатели!$E$8:$BM$8,Показатели!$E$247:$BM$247)</f>
        <v>-</v>
      </c>
      <c s="158" t="str">
        <f ca="1">LOOKUP(DATE(R$169,12,31),Показатели!$E$8:$BM$8,Показатели!$E$247:$BM$247)</f>
        <v>-</v>
      </c>
      <c s="158" t="str">
        <f ca="1">LOOKUP(DATE(S$169,12,31),Показатели!$E$8:$BM$8,Показатели!$E$247:$BM$247)</f>
        <v>-</v>
      </c>
      <c s="158" t="str">
        <f ca="1">LOOKUP(DATE(T$169,12,31),Показатели!$E$8:$BM$8,Показатели!$E$247:$BM$247)</f>
        <v>-</v>
      </c>
      <c s="158" t="str">
        <f ca="1">LOOKUP(DATE(U$169,12,31),Показатели!$E$8:$BM$8,Показатели!$E$247:$BM$247)</f>
        <v>-</v>
      </c>
    </row>
    <row r="177" spans="2:21" ht="15" customHeight="1">
      <c r="B177" s="157" t="s">
        <v>1230</v>
      </c>
      <c s="151" t="s">
        <v>1117</v>
      </c>
      <c s="142"/>
      <c s="142"/>
      <c s="158">
        <f ca="1">LOOKUP(DATE(F$169,12,31),Показатели!$E$8:$BM$8,Показатели!$E$283:$BM$283)</f>
        <v>0</v>
      </c>
      <c s="158">
        <f ca="1">LOOKUP(DATE(G$169,12,31),Показатели!$E$8:$BM$8,Показатели!$E$283:$BM$283)</f>
        <v>0</v>
      </c>
      <c s="158">
        <f ca="1">LOOKUP(DATE(H$169,12,31),Показатели!$E$8:$BM$8,Показатели!$E$283:$BM$283)</f>
        <v>0</v>
      </c>
      <c s="158">
        <f ca="1">LOOKUP(DATE(I$169,12,31),Показатели!$E$8:$BM$8,Показатели!$E$283:$BM$283)</f>
        <v>0</v>
      </c>
      <c s="158">
        <f ca="1">LOOKUP(DATE(J$169,12,31),Показатели!$E$8:$BM$8,Показатели!$E$283:$BM$283)</f>
        <v>0</v>
      </c>
      <c s="158">
        <f ca="1">LOOKUP(DATE(K$169,12,31),Показатели!$E$8:$BM$8,Показатели!$E$283:$BM$283)</f>
        <v>0</v>
      </c>
      <c s="158">
        <f ca="1">LOOKUP(DATE(L$169,12,31),Показатели!$E$8:$BM$8,Показатели!$E$283:$BM$283)</f>
        <v>0</v>
      </c>
      <c s="158">
        <f ca="1">LOOKUP(DATE(M$169,12,31),Показатели!$E$8:$BM$8,Показатели!$E$283:$BM$283)</f>
        <v>0</v>
      </c>
      <c s="158">
        <f ca="1">LOOKUP(DATE(N$169,12,31),Показатели!$E$8:$BM$8,Показатели!$E$283:$BM$283)</f>
        <v>0</v>
      </c>
      <c s="158">
        <f ca="1">LOOKUP(DATE(O$169,12,31),Показатели!$E$8:$BM$8,Показатели!$E$283:$BM$283)</f>
        <v>0</v>
      </c>
      <c s="158">
        <f ca="1">LOOKUP(DATE(P$169,12,31),Показатели!$E$8:$BM$8,Показатели!$E$283:$BM$283)</f>
        <v>0</v>
      </c>
      <c s="158">
        <f ca="1">LOOKUP(DATE(Q$169,12,31),Показатели!$E$8:$BM$8,Показатели!$E$283:$BM$283)</f>
        <v>0</v>
      </c>
      <c s="158">
        <f ca="1">LOOKUP(DATE(R$169,12,31),Показатели!$E$8:$BM$8,Показатели!$E$283:$BM$283)</f>
        <v>0</v>
      </c>
      <c s="158">
        <f ca="1">LOOKUP(DATE(S$169,12,31),Показатели!$E$8:$BM$8,Показатели!$E$283:$BM$283)</f>
        <v>0</v>
      </c>
      <c s="158">
        <f ca="1">LOOKUP(DATE(T$169,12,31),Показатели!$E$8:$BM$8,Показатели!$E$283:$BM$283)</f>
        <v>0</v>
      </c>
      <c s="158">
        <f ca="1">LOOKUP(DATE(U$169,12,31),Показатели!$E$8:$BM$8,Показатели!$E$283:$BM$283)</f>
        <v>0</v>
      </c>
    </row>
    <row r="178" spans="2:21" ht="15" customHeight="1">
      <c r="B178" s="157" t="s">
        <v>584</v>
      </c>
      <c s="151" t="s">
        <v>1117</v>
      </c>
      <c s="142"/>
      <c s="142"/>
      <c s="158" t="str">
        <f ca="1">LOOKUP(DATE(F$169,12,31),Показатели!$E$8:$BM$8,Показатели!$E$263:$BM$263)</f>
        <v>-</v>
      </c>
      <c s="158" t="str">
        <f ca="1">LOOKUP(DATE(G$169,12,31),Показатели!$E$8:$BM$8,Показатели!$E$263:$BM$263)</f>
        <v>-</v>
      </c>
      <c s="158" t="str">
        <f ca="1">LOOKUP(DATE(H$169,12,31),Показатели!$E$8:$BM$8,Показатели!$E$263:$BM$263)</f>
        <v>-</v>
      </c>
      <c s="158" t="str">
        <f ca="1">LOOKUP(DATE(I$169,12,31),Показатели!$E$8:$BM$8,Показатели!$E$263:$BM$263)</f>
        <v>-</v>
      </c>
      <c s="158" t="str">
        <f ca="1">LOOKUP(DATE(J$169,12,31),Показатели!$E$8:$BM$8,Показатели!$E$263:$BM$263)</f>
        <v>-</v>
      </c>
      <c s="158" t="str">
        <f ca="1">LOOKUP(DATE(K$169,12,31),Показатели!$E$8:$BM$8,Показатели!$E$263:$BM$263)</f>
        <v>-</v>
      </c>
      <c s="158" t="str">
        <f ca="1">LOOKUP(DATE(L$169,12,31),Показатели!$E$8:$BM$8,Показатели!$E$263:$BM$263)</f>
        <v>-</v>
      </c>
      <c s="158" t="str">
        <f ca="1">LOOKUP(DATE(M$169,12,31),Показатели!$E$8:$BM$8,Показатели!$E$263:$BM$263)</f>
        <v>-</v>
      </c>
      <c s="158" t="str">
        <f ca="1">LOOKUP(DATE(N$169,12,31),Показатели!$E$8:$BM$8,Показатели!$E$263:$BM$263)</f>
        <v>-</v>
      </c>
      <c s="158" t="str">
        <f ca="1">LOOKUP(DATE(O$169,12,31),Показатели!$E$8:$BM$8,Показатели!$E$263:$BM$263)</f>
        <v>-</v>
      </c>
      <c s="158" t="str">
        <f ca="1">LOOKUP(DATE(P$169,12,31),Показатели!$E$8:$BM$8,Показатели!$E$263:$BM$263)</f>
        <v>-</v>
      </c>
      <c s="158" t="str">
        <f ca="1">LOOKUP(DATE(Q$169,12,31),Показатели!$E$8:$BM$8,Показатели!$E$263:$BM$263)</f>
        <v>-</v>
      </c>
      <c s="158" t="str">
        <f ca="1">LOOKUP(DATE(R$169,12,31),Показатели!$E$8:$BM$8,Показатели!$E$263:$BM$263)</f>
        <v>-</v>
      </c>
      <c s="158" t="str">
        <f ca="1">LOOKUP(DATE(S$169,12,31),Показатели!$E$8:$BM$8,Показатели!$E$263:$BM$263)</f>
        <v>-</v>
      </c>
      <c s="158" t="str">
        <f ca="1">LOOKUP(DATE(T$169,12,31),Показатели!$E$8:$BM$8,Показатели!$E$263:$BM$263)</f>
        <v>-</v>
      </c>
      <c s="158" t="str">
        <f ca="1">LOOKUP(DATE(U$169,12,31),Показатели!$E$8:$BM$8,Показатели!$E$263:$BM$263)</f>
        <v>-</v>
      </c>
    </row>
    <row r="179" spans="2:21" ht="15" customHeight="1">
      <c r="B179" s="157" t="s">
        <v>1231</v>
      </c>
      <c s="151" t="s">
        <v>1117</v>
      </c>
      <c s="142"/>
      <c s="142"/>
      <c s="158" t="str">
        <f ca="1">LOOKUP(DATE(F$169,12,31),Показатели!$E$8:$BM$8,Показатели!$E$264:$BM$264)</f>
        <v>-</v>
      </c>
      <c s="158" t="str">
        <f ca="1">LOOKUP(DATE(G$169,12,31),Показатели!$E$8:$BM$8,Показатели!$E$264:$BM$264)</f>
        <v>-</v>
      </c>
      <c s="158" t="str">
        <f ca="1">LOOKUP(DATE(H$169,12,31),Показатели!$E$8:$BM$8,Показатели!$E$264:$BM$264)</f>
        <v>-</v>
      </c>
      <c s="158" t="str">
        <f ca="1">LOOKUP(DATE(I$169,12,31),Показатели!$E$8:$BM$8,Показатели!$E$264:$BM$264)</f>
        <v>-</v>
      </c>
      <c s="158" t="str">
        <f ca="1">LOOKUP(DATE(J$169,12,31),Показатели!$E$8:$BM$8,Показатели!$E$264:$BM$264)</f>
        <v>-</v>
      </c>
      <c s="158" t="str">
        <f ca="1">LOOKUP(DATE(K$169,12,31),Показатели!$E$8:$BM$8,Показатели!$E$264:$BM$264)</f>
        <v>-</v>
      </c>
      <c s="158" t="str">
        <f ca="1">LOOKUP(DATE(L$169,12,31),Показатели!$E$8:$BM$8,Показатели!$E$264:$BM$264)</f>
        <v>-</v>
      </c>
      <c s="158" t="str">
        <f ca="1">LOOKUP(DATE(M$169,12,31),Показатели!$E$8:$BM$8,Показатели!$E$264:$BM$264)</f>
        <v>-</v>
      </c>
      <c s="158" t="str">
        <f ca="1">LOOKUP(DATE(N$169,12,31),Показатели!$E$8:$BM$8,Показатели!$E$264:$BM$264)</f>
        <v>-</v>
      </c>
      <c s="158" t="str">
        <f ca="1">LOOKUP(DATE(O$169,12,31),Показатели!$E$8:$BM$8,Показатели!$E$264:$BM$264)</f>
        <v>-</v>
      </c>
      <c s="158" t="str">
        <f ca="1">LOOKUP(DATE(P$169,12,31),Показатели!$E$8:$BM$8,Показатели!$E$264:$BM$264)</f>
        <v>-</v>
      </c>
      <c s="158" t="str">
        <f ca="1">LOOKUP(DATE(Q$169,12,31),Показатели!$E$8:$BM$8,Показатели!$E$264:$BM$264)</f>
        <v>-</v>
      </c>
      <c s="158" t="str">
        <f ca="1">LOOKUP(DATE(R$169,12,31),Показатели!$E$8:$BM$8,Показатели!$E$264:$BM$264)</f>
        <v>-</v>
      </c>
      <c s="158" t="str">
        <f ca="1">LOOKUP(DATE(S$169,12,31),Показатели!$E$8:$BM$8,Показатели!$E$264:$BM$264)</f>
        <v>-</v>
      </c>
      <c s="158" t="str">
        <f ca="1">LOOKUP(DATE(T$169,12,31),Показатели!$E$8:$BM$8,Показатели!$E$264:$BM$264)</f>
        <v>-</v>
      </c>
      <c s="158" t="str">
        <f ca="1">LOOKUP(DATE(U$169,12,31),Показатели!$E$8:$BM$8,Показатели!$E$264:$BM$264)</f>
        <v>-</v>
      </c>
    </row>
    <row r="180" spans="2:21" ht="15" customHeight="1">
      <c r="B180" s="157" t="s">
        <v>1232</v>
      </c>
      <c s="151" t="s">
        <v>1117</v>
      </c>
      <c s="142"/>
      <c s="142"/>
      <c s="158" t="str">
        <f ca="1">LOOKUP(DATE(F$169,12,31),Показатели!$E$8:$BM$8,Показатели!$E$265:$BM$265)</f>
        <v>-</v>
      </c>
      <c s="158" t="str">
        <f ca="1">LOOKUP(DATE(G$169,12,31),Показатели!$E$8:$BM$8,Показатели!$E$265:$BM$265)</f>
        <v>-</v>
      </c>
      <c s="158" t="str">
        <f ca="1">LOOKUP(DATE(H$169,12,31),Показатели!$E$8:$BM$8,Показатели!$E$265:$BM$265)</f>
        <v>-</v>
      </c>
      <c s="158" t="str">
        <f ca="1">LOOKUP(DATE(I$169,12,31),Показатели!$E$8:$BM$8,Показатели!$E$265:$BM$265)</f>
        <v>-</v>
      </c>
      <c s="158" t="str">
        <f ca="1">LOOKUP(DATE(J$169,12,31),Показатели!$E$8:$BM$8,Показатели!$E$265:$BM$265)</f>
        <v>-</v>
      </c>
      <c s="158" t="str">
        <f ca="1">LOOKUP(DATE(K$169,12,31),Показатели!$E$8:$BM$8,Показатели!$E$265:$BM$265)</f>
        <v>-</v>
      </c>
      <c s="158" t="str">
        <f ca="1">LOOKUP(DATE(L$169,12,31),Показатели!$E$8:$BM$8,Показатели!$E$265:$BM$265)</f>
        <v>-</v>
      </c>
      <c s="158" t="str">
        <f ca="1">LOOKUP(DATE(M$169,12,31),Показатели!$E$8:$BM$8,Показатели!$E$265:$BM$265)</f>
        <v>-</v>
      </c>
      <c s="158" t="str">
        <f ca="1">LOOKUP(DATE(N$169,12,31),Показатели!$E$8:$BM$8,Показатели!$E$265:$BM$265)</f>
        <v>-</v>
      </c>
      <c s="158" t="str">
        <f ca="1">LOOKUP(DATE(O$169,12,31),Показатели!$E$8:$BM$8,Показатели!$E$265:$BM$265)</f>
        <v>-</v>
      </c>
      <c s="158" t="str">
        <f ca="1">LOOKUP(DATE(P$169,12,31),Показатели!$E$8:$BM$8,Показатели!$E$265:$BM$265)</f>
        <v>-</v>
      </c>
      <c s="158" t="str">
        <f ca="1">LOOKUP(DATE(Q$169,12,31),Показатели!$E$8:$BM$8,Показатели!$E$265:$BM$265)</f>
        <v>-</v>
      </c>
      <c s="158" t="str">
        <f ca="1">LOOKUP(DATE(R$169,12,31),Показатели!$E$8:$BM$8,Показатели!$E$265:$BM$265)</f>
        <v>-</v>
      </c>
      <c s="158" t="str">
        <f ca="1">LOOKUP(DATE(S$169,12,31),Показатели!$E$8:$BM$8,Показатели!$E$265:$BM$265)</f>
        <v>-</v>
      </c>
      <c s="158" t="str">
        <f ca="1">LOOKUP(DATE(T$169,12,31),Показатели!$E$8:$BM$8,Показатели!$E$265:$BM$265)</f>
        <v>-</v>
      </c>
      <c s="158" t="str">
        <f ca="1">LOOKUP(DATE(U$169,12,31),Показатели!$E$8:$BM$8,Показатели!$E$265:$BM$265)</f>
        <v>-</v>
      </c>
    </row>
    <row r="181" spans="2:21" ht="15" customHeight="1">
      <c r="B181" s="157" t="s">
        <v>1124</v>
      </c>
      <c s="151" t="s">
        <v>1117</v>
      </c>
      <c s="142"/>
      <c s="142"/>
      <c s="147" t="str">
        <f ca="1">LOOKUP(DATE(F$169,12,31),Показатели!$E$8:$BM$8,Показатели!$E$289:$BM$289)</f>
        <v>-</v>
      </c>
      <c s="147" t="str">
        <f ca="1">LOOKUP(DATE(G$169,12,31),Показатели!$E$8:$BM$8,Показатели!$E$289:$BM$289)</f>
        <v>-</v>
      </c>
      <c s="147" t="str">
        <f ca="1">LOOKUP(DATE(H$169,12,31),Показатели!$E$8:$BM$8,Показатели!$E$289:$BM$289)</f>
        <v>-</v>
      </c>
      <c s="147" t="str">
        <f ca="1">LOOKUP(DATE(I$169,12,31),Показатели!$E$8:$BM$8,Показатели!$E$289:$BM$289)</f>
        <v>-</v>
      </c>
      <c s="147" t="str">
        <f ca="1">LOOKUP(DATE(J$169,12,31),Показатели!$E$8:$BM$8,Показатели!$E$289:$BM$289)</f>
        <v>-</v>
      </c>
      <c s="147" t="str">
        <f ca="1">LOOKUP(DATE(K$169,12,31),Показатели!$E$8:$BM$8,Показатели!$E$289:$BM$289)</f>
        <v>-</v>
      </c>
      <c s="147" t="str">
        <f ca="1">LOOKUP(DATE(L$169,12,31),Показатели!$E$8:$BM$8,Показатели!$E$289:$BM$289)</f>
        <v>-</v>
      </c>
      <c s="147" t="str">
        <f ca="1">LOOKUP(DATE(M$169,12,31),Показатели!$E$8:$BM$8,Показатели!$E$289:$BM$289)</f>
        <v>-</v>
      </c>
      <c s="147" t="str">
        <f ca="1">LOOKUP(DATE(N$169,12,31),Показатели!$E$8:$BM$8,Показатели!$E$289:$BM$289)</f>
        <v>-</v>
      </c>
      <c s="147" t="str">
        <f ca="1">LOOKUP(DATE(O$169,12,31),Показатели!$E$8:$BM$8,Показатели!$E$289:$BM$289)</f>
        <v>-</v>
      </c>
      <c s="147" t="str">
        <f ca="1">LOOKUP(DATE(P$169,12,31),Показатели!$E$8:$BM$8,Показатели!$E$289:$BM$289)</f>
        <v>-</v>
      </c>
      <c s="147" t="str">
        <f ca="1">LOOKUP(DATE(Q$169,12,31),Показатели!$E$8:$BM$8,Показатели!$E$289:$BM$289)</f>
        <v>-</v>
      </c>
      <c s="147" t="str">
        <f ca="1">LOOKUP(DATE(R$169,12,31),Показатели!$E$8:$BM$8,Показатели!$E$289:$BM$289)</f>
        <v>-</v>
      </c>
      <c s="147" t="str">
        <f ca="1">LOOKUP(DATE(S$169,12,31),Показатели!$E$8:$BM$8,Показатели!$E$289:$BM$289)</f>
        <v>-</v>
      </c>
      <c s="147" t="str">
        <f ca="1">LOOKUP(DATE(T$169,12,31),Показатели!$E$8:$BM$8,Показатели!$E$289:$BM$289)</f>
        <v>-</v>
      </c>
      <c s="147" t="str">
        <f ca="1">LOOKUP(DATE(U$169,12,31),Показатели!$E$8:$BM$8,Показатели!$E$289:$BM$289)</f>
        <v>-</v>
      </c>
    </row>
    <row r="182" spans="2:21" ht="15" customHeight="1">
      <c r="B182" s="157" t="s">
        <v>1125</v>
      </c>
      <c s="151" t="s">
        <v>1117</v>
      </c>
      <c s="142"/>
      <c s="142"/>
      <c s="147" t="str">
        <f ca="1">LOOKUP(DATE(F$169,12,31),Показатели!$E$8:$BM$8,Показатели!$E$294:$BM$294)</f>
        <v>-</v>
      </c>
      <c s="147" t="str">
        <f ca="1">LOOKUP(DATE(G$169,12,31),Показатели!$E$8:$BM$8,Показатели!$E$294:$BM$294)</f>
        <v>-</v>
      </c>
      <c s="147" t="str">
        <f ca="1">LOOKUP(DATE(H$169,12,31),Показатели!$E$8:$BM$8,Показатели!$E$294:$BM$294)</f>
        <v>-</v>
      </c>
      <c s="147" t="str">
        <f ca="1">LOOKUP(DATE(I$169,12,31),Показатели!$E$8:$BM$8,Показатели!$E$294:$BM$294)</f>
        <v>-</v>
      </c>
      <c s="147" t="str">
        <f ca="1">LOOKUP(DATE(J$169,12,31),Показатели!$E$8:$BM$8,Показатели!$E$294:$BM$294)</f>
        <v>-</v>
      </c>
      <c s="147" t="str">
        <f ca="1">LOOKUP(DATE(K$169,12,31),Показатели!$E$8:$BM$8,Показатели!$E$294:$BM$294)</f>
        <v>-</v>
      </c>
      <c s="147" t="str">
        <f ca="1">LOOKUP(DATE(L$169,12,31),Показатели!$E$8:$BM$8,Показатели!$E$294:$BM$294)</f>
        <v>-</v>
      </c>
      <c s="147" t="str">
        <f ca="1">LOOKUP(DATE(M$169,12,31),Показатели!$E$8:$BM$8,Показатели!$E$294:$BM$294)</f>
        <v>-</v>
      </c>
      <c s="147" t="str">
        <f ca="1">LOOKUP(DATE(N$169,12,31),Показатели!$E$8:$BM$8,Показатели!$E$294:$BM$294)</f>
        <v>-</v>
      </c>
      <c s="147" t="str">
        <f ca="1">LOOKUP(DATE(O$169,12,31),Показатели!$E$8:$BM$8,Показатели!$E$294:$BM$294)</f>
        <v>-</v>
      </c>
      <c s="147" t="str">
        <f ca="1">LOOKUP(DATE(P$169,12,31),Показатели!$E$8:$BM$8,Показатели!$E$294:$BM$294)</f>
        <v>-</v>
      </c>
      <c s="147" t="str">
        <f ca="1">LOOKUP(DATE(Q$169,12,31),Показатели!$E$8:$BM$8,Показатели!$E$294:$BM$294)</f>
        <v>-</v>
      </c>
      <c s="147" t="str">
        <f ca="1">LOOKUP(DATE(R$169,12,31),Показатели!$E$8:$BM$8,Показатели!$E$294:$BM$294)</f>
        <v>-</v>
      </c>
      <c s="147" t="str">
        <f ca="1">LOOKUP(DATE(S$169,12,31),Показатели!$E$8:$BM$8,Показатели!$E$294:$BM$294)</f>
        <v>-</v>
      </c>
      <c s="147" t="str">
        <f ca="1">LOOKUP(DATE(T$169,12,31),Показатели!$E$8:$BM$8,Показатели!$E$294:$BM$294)</f>
        <v>-</v>
      </c>
      <c s="147" t="str">
        <f ca="1">LOOKUP(DATE(U$169,12,31),Показатели!$E$8:$BM$8,Показатели!$E$294:$BM$294)</f>
        <v>-</v>
      </c>
    </row>
    <row r="183" ht="15" customHeight="1"/>
    <row r="184" spans="2:2" ht="21">
      <c r="B184" s="23" t="s">
        <v>1177</v>
      </c>
    </row>
    <row r="185" spans="2:2" ht="15" customHeight="1">
      <c r="B185" s="24" t="str">
        <f>Единица_измерения</f>
        <v>тыс. руб.</v>
      </c>
    </row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</sheetData>
  <sheetProtection algorithmName="SHA-512" hashValue="2kM4jyraiI5jbSggTycJcvx7q2o1I/eNAk8dXMPa6/zbxbbgcKQCMQRpjgWc/KXZlMiSGgCRg7iVecgKkRp9oA==" saltValue="3PKa70NlVssz7pLGINZZ0Q==" spinCount="100000" sheet="1" objects="1" scenarios="1"/>
  <mergeCells count="187">
    <mergeCell ref="K169:K170"/>
    <mergeCell ref="D50:D51"/>
    <mergeCell ref="E50:E51"/>
    <mergeCell ref="F50:F51"/>
    <mergeCell ref="J169:J170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E169:E170"/>
    <mergeCell ref="F169:F170"/>
    <mergeCell ref="G169:G170"/>
    <mergeCell ref="H169:H170"/>
    <mergeCell ref="I169:I170"/>
    <mergeCell ref="J139:J140"/>
    <mergeCell ref="B169:B170"/>
    <mergeCell ref="C169:C170"/>
    <mergeCell ref="B20:B21"/>
    <mergeCell ref="C20:C21"/>
    <mergeCell ref="D20:D21"/>
    <mergeCell ref="D28:D29"/>
    <mergeCell ref="E28:E29"/>
    <mergeCell ref="D169:D170"/>
    <mergeCell ref="I116:I117"/>
    <mergeCell ref="J116:J117"/>
    <mergeCell ref="H41:H42"/>
    <mergeCell ref="I41:I42"/>
    <mergeCell ref="B116:B117"/>
    <mergeCell ref="C116:C117"/>
    <mergeCell ref="D116:D117"/>
    <mergeCell ref="E116:E117"/>
    <mergeCell ref="F116:F117"/>
    <mergeCell ref="B130:B131"/>
    <mergeCell ref="C130:C131"/>
    <mergeCell ref="F41:F42"/>
    <mergeCell ref="G41:G42"/>
    <mergeCell ref="G116:G117"/>
    <mergeCell ref="H116:H117"/>
    <mergeCell ref="D130:D131"/>
    <mergeCell ref="E130:E131"/>
    <mergeCell ref="F130:F131"/>
    <mergeCell ref="G28:G29"/>
    <mergeCell ref="B28:B29"/>
    <mergeCell ref="C28:C29"/>
    <mergeCell ref="E41:E42"/>
    <mergeCell ref="J41:J42"/>
    <mergeCell ref="B139:B140"/>
    <mergeCell ref="C139:C140"/>
    <mergeCell ref="D139:D140"/>
    <mergeCell ref="E139:E140"/>
    <mergeCell ref="F139:F140"/>
    <mergeCell ref="J130:J131"/>
    <mergeCell ref="I130:I131"/>
    <mergeCell ref="G139:G140"/>
    <mergeCell ref="H139:H140"/>
    <mergeCell ref="I139:I140"/>
    <mergeCell ref="B41:B42"/>
    <mergeCell ref="C41:C42"/>
    <mergeCell ref="D41:D42"/>
    <mergeCell ref="D33:E33"/>
    <mergeCell ref="G130:G131"/>
    <mergeCell ref="H130:H131"/>
    <mergeCell ref="G50:G51"/>
    <mergeCell ref="B50:B51"/>
    <mergeCell ref="C50:C51"/>
    <mergeCell ref="D2:M3"/>
    <mergeCell ref="B33:B34"/>
    <mergeCell ref="C33:C34"/>
    <mergeCell ref="C2:C3"/>
    <mergeCell ref="F9:F10"/>
    <mergeCell ref="G9:G10"/>
    <mergeCell ref="H9:H10"/>
    <mergeCell ref="I9:I10"/>
    <mergeCell ref="J9:J10"/>
    <mergeCell ref="E9:E10"/>
    <mergeCell ref="D9:D10"/>
    <mergeCell ref="C9:C10"/>
    <mergeCell ref="B9:B10"/>
    <mergeCell ref="E20:E21"/>
    <mergeCell ref="F20:F21"/>
    <mergeCell ref="G20:G21"/>
    <mergeCell ref="H20:H21"/>
    <mergeCell ref="I20:I21"/>
    <mergeCell ref="J20:J21"/>
    <mergeCell ref="H28:H29"/>
    <mergeCell ref="I28:I29"/>
    <mergeCell ref="J28:J29"/>
    <mergeCell ref="F33:G33"/>
    <mergeCell ref="F28:F29"/>
    <mergeCell ref="M152:M153"/>
    <mergeCell ref="L9:L10"/>
    <mergeCell ref="M9:M10"/>
    <mergeCell ref="L20:L21"/>
    <mergeCell ref="M20:M21"/>
    <mergeCell ref="L28:L29"/>
    <mergeCell ref="M28:M29"/>
    <mergeCell ref="L41:L42"/>
    <mergeCell ref="K9:K10"/>
    <mergeCell ref="K20:K21"/>
    <mergeCell ref="K28:K29"/>
    <mergeCell ref="K41:K42"/>
    <mergeCell ref="M41:M42"/>
    <mergeCell ref="U28:U29"/>
    <mergeCell ref="L169:L170"/>
    <mergeCell ref="M169:M170"/>
    <mergeCell ref="K116:K117"/>
    <mergeCell ref="K130:K131"/>
    <mergeCell ref="N9:N10"/>
    <mergeCell ref="O9:O10"/>
    <mergeCell ref="P9:P10"/>
    <mergeCell ref="Q9:Q10"/>
    <mergeCell ref="R9:R10"/>
    <mergeCell ref="N152:N153"/>
    <mergeCell ref="O152:O153"/>
    <mergeCell ref="P152:P153"/>
    <mergeCell ref="Q152:Q153"/>
    <mergeCell ref="R152:R153"/>
    <mergeCell ref="K139:K140"/>
    <mergeCell ref="K152:K153"/>
    <mergeCell ref="L116:L117"/>
    <mergeCell ref="M116:M117"/>
    <mergeCell ref="L130:L131"/>
    <mergeCell ref="M130:M131"/>
    <mergeCell ref="L139:L140"/>
    <mergeCell ref="M139:M140"/>
    <mergeCell ref="L152:L153"/>
    <mergeCell ref="N41:N42"/>
    <mergeCell ref="O41:O42"/>
    <mergeCell ref="N28:N29"/>
    <mergeCell ref="O28:O29"/>
    <mergeCell ref="P28:P29"/>
    <mergeCell ref="Q28:Q29"/>
    <mergeCell ref="R28:R29"/>
    <mergeCell ref="S28:S29"/>
    <mergeCell ref="T28:T29"/>
    <mergeCell ref="P41:P42"/>
    <mergeCell ref="S9:S10"/>
    <mergeCell ref="T9:T10"/>
    <mergeCell ref="U9:U10"/>
    <mergeCell ref="N20:N21"/>
    <mergeCell ref="O20:O21"/>
    <mergeCell ref="P20:P21"/>
    <mergeCell ref="Q20:Q21"/>
    <mergeCell ref="R20:R21"/>
    <mergeCell ref="S20:S21"/>
    <mergeCell ref="T20:T21"/>
    <mergeCell ref="U20:U21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S130:S131"/>
    <mergeCell ref="T130:T131"/>
    <mergeCell ref="U130:U131"/>
    <mergeCell ref="N130:N131"/>
    <mergeCell ref="O130:O131"/>
    <mergeCell ref="P130:P131"/>
    <mergeCell ref="Q130:Q131"/>
    <mergeCell ref="R130:R131"/>
    <mergeCell ref="N169:N170"/>
    <mergeCell ref="O169:O170"/>
    <mergeCell ref="P169:P170"/>
    <mergeCell ref="Q169:Q170"/>
    <mergeCell ref="R169:R170"/>
    <mergeCell ref="S169:S170"/>
    <mergeCell ref="T169:T170"/>
    <mergeCell ref="U169:U170"/>
    <mergeCell ref="N139:N140"/>
    <mergeCell ref="O139:O140"/>
    <mergeCell ref="P139:P140"/>
    <mergeCell ref="Q139:Q140"/>
    <mergeCell ref="R139:R140"/>
    <mergeCell ref="S139:S140"/>
    <mergeCell ref="T139:T140"/>
    <mergeCell ref="U139:U140"/>
    <mergeCell ref="S152:S153"/>
    <mergeCell ref="T152:T153"/>
    <mergeCell ref="U152:U153"/>
  </mergeCells>
  <dataValidations count="1">
    <dataValidation type="list" allowBlank="1" showInputMessage="1" showErrorMessage="1" sqref="O5">
      <formula1>$P$4:$P$5</formula1>
    </dataValidation>
  </dataValidations>
  <pageMargins left="0.708661417322835" right="0.708661417322835" top="0.748031496062992" bottom="0.748031496062992" header="0.31496062992126" footer="0.31496062992126"/>
  <pageSetup fitToHeight="0" orientation="landscape" paperSize="9" scale="52" r:id="rId2"/>
  <rowBreaks count="3" manualBreakCount="3">
    <brk id="56" min="1" max="13" man="1"/>
    <brk id="112" min="1" max="13" man="1"/>
    <brk id="165" min="1" max="13" man="1"/>
  </rowBreak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a5c758d9-b7b1-4c9e-b682-9e78c6192cd0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C60</xm:sqref>
        </x14:conditionalFormatting>
        <x14:conditionalFormatting xmlns:xm="http://schemas.microsoft.com/office/excel/2006/main">
          <x14:cfRule type="iconSet" priority="2" id="{cb1c3271-8012-43ee-9acd-839b74cf1315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C69</xm:sqref>
        </x14:conditionalFormatting>
        <x14:conditionalFormatting xmlns:xm="http://schemas.microsoft.com/office/excel/2006/main">
          <x14:cfRule type="iconSet" priority="1" id="{242889ca-8487-4b67-a982-c98f504d94bf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C78</xm:sqref>
        </x14:conditionalFormatting>
        <x14:conditionalFormatting xmlns:xm="http://schemas.microsoft.com/office/excel/2006/main">
          <x14:cfRule type="iconSet" priority="68" id="{116149c4-0045-4ad2-b4e7-570122dc2fba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D60:L60</xm:sqref>
        </x14:conditionalFormatting>
        <x14:conditionalFormatting xmlns:xm="http://schemas.microsoft.com/office/excel/2006/main">
          <x14:cfRule type="iconSet" priority="65" id="{2e19366e-151f-44f4-8bf2-ede4804b48a4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D69:L69</xm:sqref>
        </x14:conditionalFormatting>
        <x14:conditionalFormatting xmlns:xm="http://schemas.microsoft.com/office/excel/2006/main">
          <x14:cfRule type="iconSet" priority="67" id="{d84baf73-7089-41ba-9409-c1a7552a1f63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D78:L78</xm:sqref>
        </x14:conditionalFormatting>
        <x14:conditionalFormatting xmlns:xm="http://schemas.microsoft.com/office/excel/2006/main">
          <x14:cfRule type="iconSet" priority="5" id="{e1d9207d-cbcb-4a2a-b294-af0da3254c8e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M60:U60</xm:sqref>
        </x14:conditionalFormatting>
        <x14:conditionalFormatting xmlns:xm="http://schemas.microsoft.com/office/excel/2006/main">
          <x14:cfRule type="iconSet" priority="3" id="{78dfcc6c-5c79-4864-b3be-6744ab5c524f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M69:U69</xm:sqref>
        </x14:conditionalFormatting>
        <x14:conditionalFormatting xmlns:xm="http://schemas.microsoft.com/office/excel/2006/main">
          <x14:cfRule type="iconSet" priority="4" id="{ae57d139-a3bf-4ddf-980e-618a24da3285}">
            <x14:iconSet iconSet="3Triangles">
              <x14:cfvo type="percent">
                <xm:f>0</xm:f>
              </x14:cfvo>
              <x14:cfvo type="num">
                <xm:f>0</xm:f>
              </x14:cfvo>
              <x14:cfvo gte="0" type="num">
                <xm:f>0</xm:f>
              </x14:cfvo>
            </x14:iconSet>
            <x14:dxf/>
          </x14:cfRule>
          <xm:sqref>M78:U78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1">
    <tabColor rgb="FFC8E6E5"/>
  </sheetPr>
  <dimension ref="B2:G55"/>
  <sheetViews>
    <sheetView showGridLines="0" workbookViewId="0" topLeftCell="A1">
      <pane ySplit="5" topLeftCell="A6" activePane="bottomLeft" state="frozen"/>
      <selection pane="topLeft" activeCell="K3" sqref="K3"/>
      <selection pane="bottomLeft" activeCell="G5" sqref="G5"/>
    </sheetView>
  </sheetViews>
  <sheetFormatPr defaultColWidth="0" defaultRowHeight="15" customHeight="1" zeroHeight="1"/>
  <cols>
    <col min="1" max="1" width="2.71428571428571" customWidth="1"/>
    <col min="2" max="2" width="50.1428571428571" customWidth="1"/>
    <col min="3" max="7" width="17.1428571428571" customWidth="1"/>
    <col min="8" max="8" width="2.71428571428571" customWidth="1"/>
    <col min="9" max="29" width="15.7142857142857" hidden="1" customWidth="1"/>
    <col min="30" max="30" width="2.85714285714286" hidden="1" customWidth="1"/>
    <col min="31" max="35" width="15.7142857142857" hidden="1" customWidth="1"/>
    <col min="36" max="36" width="2.85714285714286" hidden="1" customWidth="1"/>
    <col min="37" max="52" width="0" hidden="1" customWidth="1"/>
    <col min="53" max="16384" width="9.14285714285714" hidden="1"/>
  </cols>
  <sheetData>
    <row r="1" ht="15" customHeight="1"/>
    <row r="2" spans="4:7" ht="14.45" customHeight="1">
      <c r="D2" s="566" t="s">
        <v>424</v>
      </c>
      <c s="566"/>
      <c s="566"/>
      <c s="566"/>
    </row>
    <row r="3" spans="4:7" ht="15" customHeight="1">
      <c r="D3" s="63" t="s">
        <v>8</v>
      </c>
      <c s="63" t="s">
        <v>9</v>
      </c>
      <c s="63" t="s">
        <v>10</v>
      </c>
      <c s="63" t="s">
        <v>24</v>
      </c>
    </row>
    <row r="4" spans="4:7" ht="15" customHeight="1">
      <c r="D4" s="596" t="str">
        <f ca="1">IF(G4="R","Все расчёты корректны","Имеются некорректные данные")</f>
        <v>Имеются некорректные данные</v>
      </c>
      <c s="597"/>
      <c s="598"/>
      <c s="71" t="str">
        <f ca="1">Проверка</f>
        <v>Q</v>
      </c>
    </row>
    <row r="5" spans="2:6" ht="31.15">
      <c r="B5" s="7" t="s">
        <v>25</v>
      </c>
      <c s="7"/>
      <c s="7"/>
      <c s="7"/>
      <c s="7"/>
    </row>
    <row r="6" ht="15" customHeight="1"/>
    <row r="7" spans="2:7" ht="21">
      <c r="B7" s="88" t="s">
        <v>51</v>
      </c>
      <c s="88"/>
      <c s="88"/>
      <c s="88"/>
      <c s="88"/>
      <c s="86"/>
    </row>
    <row r="8" spans="2:7" ht="15" customHeight="1">
      <c r="B8" s="456" t="s">
        <v>25</v>
      </c>
      <c s="457"/>
      <c s="457"/>
      <c s="457"/>
      <c s="458"/>
      <c s="252" t="s">
        <v>42</v>
      </c>
    </row>
    <row r="9" spans="2:7" ht="15" customHeight="1">
      <c r="B9" s="506" t="s">
        <v>343</v>
      </c>
      <c s="507"/>
      <c s="507"/>
      <c s="507"/>
      <c s="508"/>
      <c s="112" t="str">
        <f>'Параметры займа'!D12</f>
        <v>Q</v>
      </c>
    </row>
    <row r="10" spans="2:7" ht="15" customHeight="1">
      <c r="B10" s="478" t="s">
        <v>345</v>
      </c>
      <c s="479"/>
      <c s="479"/>
      <c s="479"/>
      <c s="480"/>
      <c s="71" t="str">
        <f>'Параметры займа'!D13</f>
        <v>R</v>
      </c>
    </row>
    <row r="11" spans="2:7" ht="15" customHeight="1">
      <c r="B11" s="86"/>
      <c s="86"/>
      <c s="86"/>
      <c s="86"/>
      <c s="86"/>
      <c s="86"/>
    </row>
    <row r="12" spans="2:6" ht="21">
      <c r="B12" s="88" t="s">
        <v>76</v>
      </c>
      <c s="88"/>
      <c s="88"/>
      <c s="88"/>
      <c s="88"/>
    </row>
    <row r="13" spans="2:7" ht="15" customHeight="1">
      <c r="B13" s="456" t="s">
        <v>25</v>
      </c>
      <c s="457"/>
      <c s="457"/>
      <c s="457"/>
      <c s="458"/>
      <c s="252" t="s">
        <v>42</v>
      </c>
    </row>
    <row r="14" spans="2:7" ht="15" customHeight="1">
      <c r="B14" s="478" t="s">
        <v>347</v>
      </c>
      <c s="479"/>
      <c s="479"/>
      <c s="479"/>
      <c s="480"/>
      <c s="159" t="str">
        <f>IF(ISERROR(VLOOKUP("Q",Предпосылки!I30:I69,1,FALSE))=TRUE,"R","Q")</f>
        <v>R</v>
      </c>
    </row>
    <row r="15" spans="2:7" ht="15" customHeight="1">
      <c r="B15" s="478" t="s">
        <v>349</v>
      </c>
      <c s="479"/>
      <c s="479"/>
      <c s="479"/>
      <c s="480"/>
      <c s="159" t="str">
        <f>IF(ISERROR(VLOOKUP("Q",Предпосылки!J30:J69,1,FALSE))=TRUE,"R","Q")</f>
        <v>R</v>
      </c>
    </row>
    <row r="16" spans="2:7" ht="15" customHeight="1">
      <c r="B16" s="478" t="s">
        <v>351</v>
      </c>
      <c s="479"/>
      <c s="479"/>
      <c s="479"/>
      <c s="480"/>
      <c s="159" t="str">
        <f>IF(ISERROR(VLOOKUP("Q",Предпосылки!BV76:BV115,1,FALSE))=TRUE,"R","Q")</f>
        <v>R</v>
      </c>
    </row>
    <row r="17" spans="2:7" ht="15" customHeight="1">
      <c r="B17" s="478" t="s">
        <v>479</v>
      </c>
      <c s="479"/>
      <c s="479"/>
      <c s="479"/>
      <c s="480"/>
      <c s="159" t="str">
        <f>Предпосылки!D143</f>
        <v>R</v>
      </c>
    </row>
    <row r="18" spans="2:7" ht="15" customHeight="1">
      <c r="B18" s="478" t="s">
        <v>480</v>
      </c>
      <c s="479"/>
      <c s="479"/>
      <c s="479"/>
      <c s="480"/>
      <c s="47" t="str">
        <f>Предпосылки!D144</f>
        <v>R</v>
      </c>
    </row>
    <row r="19" spans="2:7" ht="15" customHeight="1">
      <c r="B19" s="478" t="s">
        <v>504</v>
      </c>
      <c s="479"/>
      <c s="479"/>
      <c s="479"/>
      <c s="480"/>
      <c s="47" t="str">
        <f>Предпосылки!D222</f>
        <v>R</v>
      </c>
    </row>
    <row r="20" spans="2:7" ht="15" customHeight="1">
      <c r="B20" s="478" t="s">
        <v>1233</v>
      </c>
      <c s="479"/>
      <c s="479"/>
      <c s="479"/>
      <c s="480"/>
      <c s="47" t="str">
        <f>Предпосылки!D304</f>
        <v>R</v>
      </c>
    </row>
    <row r="21" spans="2:7" ht="15" customHeight="1">
      <c r="B21" s="478" t="str">
        <f>"Сумма погашения "&amp;Предпосылки!$C$396&amp;" не превышает сумму привлечения"</f>
        <v>Сумма погашения  не превышает сумму привлечения</v>
      </c>
      <c s="479"/>
      <c s="479"/>
      <c s="479"/>
      <c s="480"/>
      <c s="47" t="str">
        <f>Предпосылки!C407</f>
        <v>R</v>
      </c>
    </row>
    <row r="22" spans="2:7" ht="15" customHeight="1">
      <c r="B22" s="478" t="str">
        <f>"Сумма погашения "&amp;Предпосылки!$C$411&amp;" не превышает сумму привлечения"</f>
        <v>Сумма погашения  не превышает сумму привлечения</v>
      </c>
      <c s="479"/>
      <c s="479"/>
      <c s="479"/>
      <c s="480"/>
      <c s="47" t="str">
        <f>Предпосылки!C422</f>
        <v>R</v>
      </c>
    </row>
    <row r="23" spans="2:7" ht="15" customHeight="1">
      <c r="B23" s="478" t="s">
        <v>530</v>
      </c>
      <c s="479"/>
      <c s="479"/>
      <c s="479"/>
      <c s="480"/>
      <c s="47" t="str">
        <f>Предпосылки!F442</f>
        <v>R</v>
      </c>
    </row>
    <row r="24" spans="2:6" ht="15" customHeight="1">
      <c r="B24" s="86"/>
      <c s="86"/>
      <c s="86"/>
      <c s="86"/>
      <c s="86"/>
    </row>
    <row r="25" spans="2:6" ht="21">
      <c r="B25" s="88" t="s">
        <v>1234</v>
      </c>
      <c s="88"/>
      <c s="88"/>
      <c s="88"/>
      <c s="88"/>
    </row>
    <row r="26" spans="2:7" ht="15" customHeight="1">
      <c r="B26" s="456" t="s">
        <v>25</v>
      </c>
      <c s="457"/>
      <c s="457"/>
      <c s="457"/>
      <c s="458"/>
      <c s="264" t="s">
        <v>42</v>
      </c>
    </row>
    <row r="27" spans="2:7" ht="15" customHeight="1">
      <c r="B27" s="506" t="s">
        <v>1235</v>
      </c>
      <c s="507"/>
      <c s="507"/>
      <c s="507"/>
      <c s="508"/>
      <c s="159" t="str">
        <f>'Капитальные вложения'!C419</f>
        <v>R</v>
      </c>
    </row>
    <row r="28" spans="2:6" ht="15" customHeight="1">
      <c r="B28" s="86"/>
      <c s="86"/>
      <c s="86"/>
      <c s="86"/>
      <c s="86"/>
    </row>
    <row r="29" spans="2:6" ht="21">
      <c r="B29" s="88" t="s">
        <v>1236</v>
      </c>
      <c s="88"/>
      <c s="88"/>
      <c s="88"/>
      <c s="88"/>
    </row>
    <row r="30" spans="2:7" ht="15" customHeight="1">
      <c r="B30" s="456" t="s">
        <v>25</v>
      </c>
      <c s="457"/>
      <c s="457"/>
      <c s="457"/>
      <c s="458"/>
      <c s="264" t="s">
        <v>42</v>
      </c>
    </row>
    <row r="31" spans="2:7" ht="15" customHeight="1">
      <c r="B31" s="506" t="s">
        <v>368</v>
      </c>
      <c s="507"/>
      <c s="507"/>
      <c s="507"/>
      <c s="508"/>
      <c s="159" t="str">
        <f ca="1">'Операционные затраты'!C695</f>
        <v>R</v>
      </c>
    </row>
    <row r="32" spans="2:6" ht="15" customHeight="1">
      <c r="B32" s="86"/>
      <c s="86"/>
      <c s="86"/>
      <c s="86"/>
      <c s="86"/>
    </row>
    <row r="33" spans="2:6" ht="21">
      <c r="B33" s="88" t="s">
        <v>1237</v>
      </c>
      <c s="88"/>
      <c s="88"/>
      <c s="88"/>
      <c s="88"/>
    </row>
    <row r="34" spans="2:7" ht="15" customHeight="1">
      <c r="B34" s="471" t="s">
        <v>25</v>
      </c>
      <c s="472"/>
      <c s="472"/>
      <c s="472"/>
      <c s="473"/>
      <c s="259" t="s">
        <v>42</v>
      </c>
    </row>
    <row r="35" spans="2:7" ht="15" customHeight="1">
      <c r="B35" s="506" t="s">
        <v>370</v>
      </c>
      <c s="507"/>
      <c s="507"/>
      <c s="507"/>
      <c s="508"/>
      <c s="159" t="str">
        <f>ФОТ!C353</f>
        <v>R</v>
      </c>
    </row>
    <row r="36" spans="2:6" ht="15" customHeight="1">
      <c r="B36" s="86"/>
      <c s="86"/>
      <c s="86"/>
      <c s="86"/>
      <c s="86"/>
    </row>
    <row r="37" spans="2:6" ht="21">
      <c r="B37" s="88" t="s">
        <v>1238</v>
      </c>
      <c s="88"/>
      <c s="88"/>
      <c s="88"/>
      <c s="88"/>
    </row>
    <row r="38" spans="2:7" ht="15" customHeight="1">
      <c r="B38" s="456" t="s">
        <v>25</v>
      </c>
      <c s="457"/>
      <c s="457"/>
      <c s="457"/>
      <c s="458"/>
      <c s="264" t="s">
        <v>42</v>
      </c>
    </row>
    <row r="39" spans="2:7" ht="15" customHeight="1">
      <c r="B39" s="506" t="s">
        <v>1239</v>
      </c>
      <c s="507"/>
      <c s="507"/>
      <c s="507"/>
      <c s="508"/>
      <c s="159" t="str">
        <f ca="1">'Квартальная отчетность'!D81</f>
        <v>R</v>
      </c>
    </row>
    <row r="40" spans="2:7" ht="15" customHeight="1">
      <c r="B40" s="478" t="s">
        <v>1240</v>
      </c>
      <c s="479"/>
      <c s="479"/>
      <c s="479"/>
      <c s="480"/>
      <c s="47" t="str">
        <f ca="1">'Квартальная отчетность'!D113</f>
        <v>R</v>
      </c>
    </row>
    <row r="41" spans="2:7" ht="15" customHeight="1">
      <c r="B41" s="478" t="s">
        <v>1241</v>
      </c>
      <c s="479"/>
      <c s="479"/>
      <c s="479"/>
      <c s="480"/>
      <c s="47" t="str">
        <f ca="1">'Квартальная отчетность'!D205</f>
        <v>R</v>
      </c>
    </row>
    <row r="42" spans="2:7" ht="15" customHeight="1">
      <c r="B42" s="478" t="s">
        <v>1242</v>
      </c>
      <c s="479"/>
      <c s="479"/>
      <c s="479"/>
      <c s="480"/>
      <c s="47" t="str">
        <f ca="1">'Квартальная отчетность'!D261</f>
        <v>R</v>
      </c>
    </row>
    <row r="43" spans="2:7" ht="15" customHeight="1">
      <c r="B43" s="478" t="s">
        <v>1243</v>
      </c>
      <c s="479"/>
      <c s="479"/>
      <c s="479"/>
      <c s="480"/>
      <c s="47" t="str">
        <f ca="1">'Квартальная отчетность'!D340</f>
        <v>R</v>
      </c>
    </row>
    <row r="44" spans="2:7" ht="15" customHeight="1">
      <c r="B44" s="478" t="s">
        <v>1244</v>
      </c>
      <c s="479"/>
      <c s="479"/>
      <c s="479"/>
      <c s="480"/>
      <c s="47" t="str">
        <f ca="1">'Квартальная отчетность'!D395</f>
        <v>R</v>
      </c>
    </row>
    <row r="45" spans="2:6" ht="15" customHeight="1">
      <c r="B45" s="86"/>
      <c s="86"/>
      <c s="86"/>
      <c s="86"/>
      <c s="86"/>
    </row>
    <row r="46" spans="2:6" ht="21">
      <c r="B46" s="88" t="s">
        <v>1245</v>
      </c>
      <c s="88"/>
      <c s="88"/>
      <c s="88"/>
      <c s="88"/>
    </row>
    <row r="47" spans="2:7" ht="15" customHeight="1">
      <c r="B47" s="456" t="s">
        <v>25</v>
      </c>
      <c s="457"/>
      <c s="457"/>
      <c s="457"/>
      <c s="458"/>
      <c s="264" t="s">
        <v>42</v>
      </c>
    </row>
    <row r="48" spans="2:7" ht="15" customHeight="1">
      <c r="B48" s="506" t="s">
        <v>1239</v>
      </c>
      <c s="507"/>
      <c s="507"/>
      <c s="507"/>
      <c s="508"/>
      <c s="159" t="str">
        <f ca="1">'Годовая отчетность'!C76</f>
        <v>R</v>
      </c>
    </row>
    <row r="49" spans="2:7" ht="15" customHeight="1">
      <c r="B49" s="478" t="s">
        <v>1240</v>
      </c>
      <c s="479"/>
      <c s="479"/>
      <c s="479"/>
      <c s="480"/>
      <c s="47" t="str">
        <f ca="1">'Годовая отчетность'!C107</f>
        <v>R</v>
      </c>
    </row>
    <row r="50" spans="2:7" ht="15" customHeight="1">
      <c r="B50" s="478" t="s">
        <v>1241</v>
      </c>
      <c s="479"/>
      <c s="479"/>
      <c s="479"/>
      <c s="480"/>
      <c s="47" t="str">
        <f ca="1">'Годовая отчетность'!C194</f>
        <v>R</v>
      </c>
    </row>
    <row r="51" spans="2:7" ht="15" customHeight="1">
      <c r="B51" s="478" t="s">
        <v>1242</v>
      </c>
      <c s="479"/>
      <c s="479"/>
      <c s="479"/>
      <c s="480"/>
      <c s="47" t="str">
        <f ca="1">'Годовая отчетность'!C249</f>
        <v>R</v>
      </c>
    </row>
    <row r="52" spans="2:7" ht="15" customHeight="1">
      <c r="B52" s="478" t="s">
        <v>1243</v>
      </c>
      <c s="479"/>
      <c s="479"/>
      <c s="479"/>
      <c s="480"/>
      <c s="47" t="str">
        <f ca="1">'Годовая отчетность'!C327</f>
        <v>R</v>
      </c>
    </row>
    <row r="53" spans="2:7" ht="15" customHeight="1">
      <c r="B53" s="478" t="s">
        <v>1244</v>
      </c>
      <c s="479"/>
      <c s="479"/>
      <c s="479"/>
      <c s="480"/>
      <c s="47" t="str">
        <f ca="1">'Годовая отчетность'!C381</f>
        <v>R</v>
      </c>
    </row>
    <row r="54" spans="2:6" ht="15" customHeight="1">
      <c r="B54" s="86"/>
      <c s="86"/>
      <c s="86"/>
      <c s="86"/>
      <c s="86"/>
    </row>
    <row r="55" spans="2:7" ht="15" customHeight="1">
      <c r="B55" s="621" t="s">
        <v>1246</v>
      </c>
      <c s="622"/>
      <c s="622"/>
      <c s="622"/>
      <c s="623"/>
      <c s="47" t="str">
        <f ca="1">IF(COUNTIF(G8:G53,"Q")&gt;0,"Q","R")</f>
        <v>Q</v>
      </c>
    </row>
  </sheetData>
  <sheetProtection algorithmName="SHA-512" hashValue="G8wZIFw2Z58HjwAL6hzjEn2zkbpAi7yDy5uitTgfgHgOY6nAGIwNUM6nTtnaRn2vzq1rycYIHJhYsWhbSjr5fg==" saltValue="5O2vdijGMwi7Jyx6FZ3pTA==" spinCount="100000" sheet="1" objects="1" scenarios="1"/>
  <mergeCells count="37">
    <mergeCell ref="B55:F55"/>
    <mergeCell ref="D2:G2"/>
    <mergeCell ref="D4:F4"/>
    <mergeCell ref="B48:F48"/>
    <mergeCell ref="B49:F49"/>
    <mergeCell ref="B50:F50"/>
    <mergeCell ref="B51:F51"/>
    <mergeCell ref="B52:F52"/>
    <mergeCell ref="B53:F53"/>
    <mergeCell ref="B39:F39"/>
    <mergeCell ref="B40:F40"/>
    <mergeCell ref="B41:F41"/>
    <mergeCell ref="B42:F42"/>
    <mergeCell ref="B43:F43"/>
    <mergeCell ref="B44:F44"/>
    <mergeCell ref="B47:F47"/>
    <mergeCell ref="B20:F20"/>
    <mergeCell ref="B21:F21"/>
    <mergeCell ref="B22:F22"/>
    <mergeCell ref="B23:F23"/>
    <mergeCell ref="B8:F8"/>
    <mergeCell ref="B13:F13"/>
    <mergeCell ref="B9:F9"/>
    <mergeCell ref="B10:F10"/>
    <mergeCell ref="B14:F14"/>
    <mergeCell ref="B18:F18"/>
    <mergeCell ref="B19:F19"/>
    <mergeCell ref="B15:F15"/>
    <mergeCell ref="B16:F16"/>
    <mergeCell ref="B17:F17"/>
    <mergeCell ref="B26:F26"/>
    <mergeCell ref="B30:F30"/>
    <mergeCell ref="B34:F34"/>
    <mergeCell ref="B38:F38"/>
    <mergeCell ref="B27:F27"/>
    <mergeCell ref="B31:F31"/>
    <mergeCell ref="B35:F35"/>
  </mergeCells>
  <conditionalFormatting sqref="D4">
    <cfRule type="expression" priority="3" dxfId="24">
      <formula>$G$4="Q"</formula>
    </cfRule>
    <cfRule type="expression" priority="4" dxfId="23">
      <formula>$G$4="R"</formula>
    </cfRule>
  </conditionalFormatting>
  <conditionalFormatting sqref="G4">
    <cfRule type="cellIs" priority="5" dxfId="24" operator="equal">
      <formula>"Q"</formula>
    </cfRule>
    <cfRule type="cellIs" priority="6" dxfId="23" operator="equal">
      <formula>"R"</formula>
    </cfRule>
  </conditionalFormatting>
  <conditionalFormatting sqref="G9:G10">
    <cfRule type="cellIs" priority="63" dxfId="24" operator="equal">
      <formula>"Q"</formula>
    </cfRule>
    <cfRule type="cellIs" priority="64" dxfId="23" operator="equal">
      <formula>"R"</formula>
    </cfRule>
  </conditionalFormatting>
  <conditionalFormatting sqref="G14:G23">
    <cfRule type="cellIs" priority="19" dxfId="24" operator="equal">
      <formula>"Q"</formula>
    </cfRule>
    <cfRule type="cellIs" priority="20" dxfId="23" operator="equal">
      <formula>"R"</formula>
    </cfRule>
  </conditionalFormatting>
  <conditionalFormatting sqref="G27">
    <cfRule type="cellIs" priority="17" dxfId="24" operator="equal">
      <formula>"Q"</formula>
    </cfRule>
    <cfRule type="cellIs" priority="18" dxfId="23" operator="equal">
      <formula>"R"</formula>
    </cfRule>
  </conditionalFormatting>
  <conditionalFormatting sqref="G31">
    <cfRule type="cellIs" priority="15" dxfId="24" operator="equal">
      <formula>"Q"</formula>
    </cfRule>
    <cfRule type="cellIs" priority="16" dxfId="23" operator="equal">
      <formula>"R"</formula>
    </cfRule>
  </conditionalFormatting>
  <conditionalFormatting sqref="G35">
    <cfRule type="cellIs" priority="13" dxfId="24" operator="equal">
      <formula>"Q"</formula>
    </cfRule>
    <cfRule type="cellIs" priority="14" dxfId="23" operator="equal">
      <formula>"R"</formula>
    </cfRule>
  </conditionalFormatting>
  <conditionalFormatting sqref="G39:G44">
    <cfRule type="cellIs" priority="11" dxfId="24" operator="equal">
      <formula>"Q"</formula>
    </cfRule>
    <cfRule type="cellIs" priority="12" dxfId="23" operator="equal">
      <formula>"R"</formula>
    </cfRule>
  </conditionalFormatting>
  <conditionalFormatting sqref="G48:G53">
    <cfRule type="cellIs" priority="9" dxfId="24" operator="equal">
      <formula>"Q"</formula>
    </cfRule>
    <cfRule type="cellIs" priority="10" dxfId="23" operator="equal">
      <formula>"R"</formula>
    </cfRule>
  </conditionalFormatting>
  <conditionalFormatting sqref="G55">
    <cfRule type="cellIs" priority="45" dxfId="24" operator="equal">
      <formula>"Q"</formula>
    </cfRule>
    <cfRule type="cellIs" priority="46" dxfId="23" operator="equal">
      <formula>"R"</formula>
    </cfRule>
  </conditionalFormatting>
  <hyperlinks>
    <hyperlink ref="D4:F4" location="Проверка!A1" tooltip="Перейти на лист Проверка" display="Проверка!A1"/>
    <hyperlink ref="D3" location="Руководство!A1" tooltip="Перейти на лист Руководство" display="Руководство"/>
    <hyperlink ref="E3" location="'Параметры займа'!A1" tooltip="Перейти на лист Параметры займа" display="Параметры займа"/>
    <hyperlink ref="F3" location="Предпосылки!A1" tooltip="Перейти на лист Предпосылки" display="Предпосылки"/>
    <hyperlink ref="G3" location="Выводы!A1" tooltip="Перейти на лист Выводы" display="Выводы"/>
    <hyperlink ref="G4" location="Проверка!A1" tooltip="Перейти на лист Проверка" display="Проверка!A1"/>
  </hyperlinks>
  <pageMargins left="0.7" right="0.7" top="0.75" bottom="0.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2:BK251"/>
  <sheetViews>
    <sheetView zoomScale="140" zoomScaleNormal="140" workbookViewId="0" topLeftCell="A1">
      <selection pane="topLeft" activeCell="V25" sqref="V25"/>
    </sheetView>
  </sheetViews>
  <sheetFormatPr defaultColWidth="8.85428571428571" defaultRowHeight="13.9"/>
  <cols>
    <col min="1" max="1" width="13.1428571428571" style="214" customWidth="1"/>
    <col min="2" max="2" width="33" style="214" customWidth="1"/>
    <col min="3" max="6" width="12.8571428571429" style="214" bestFit="1" customWidth="1"/>
    <col min="7" max="16384" width="8.85714285714286" style="214"/>
  </cols>
  <sheetData>
    <row r="2" spans="7:7" ht="13.9">
      <c r="G2" s="210" t="s">
        <v>1247</v>
      </c>
    </row>
    <row r="3" spans="2:18" ht="13.9">
      <c r="B3" s="626" t="s">
        <v>1248</v>
      </c>
      <c s="627"/>
      <c s="627"/>
      <c s="627"/>
      <c s="627"/>
      <c s="627"/>
      <c s="627"/>
      <c s="627"/>
      <c s="627"/>
      <c s="664"/>
      <c s="664"/>
      <c s="664"/>
      <c s="664"/>
      <c s="664"/>
      <c s="664"/>
      <c s="664"/>
      <c s="665"/>
    </row>
    <row r="4" spans="2:18" ht="13.9">
      <c r="B4" s="199" t="s">
        <v>562</v>
      </c>
      <c s="199">
        <f>Выводы!F9</f>
        <v>2025</v>
      </c>
      <c s="199">
        <f t="shared" si="0" ref="D4:R4">C4+1</f>
        <v>2026</v>
      </c>
      <c s="199">
        <f t="shared" si="0"/>
        <v>2027</v>
      </c>
      <c s="199">
        <f t="shared" si="0"/>
        <v>2028</v>
      </c>
      <c s="199">
        <f t="shared" si="0"/>
        <v>2029</v>
      </c>
      <c s="199">
        <f t="shared" si="0"/>
        <v>2030</v>
      </c>
      <c s="199">
        <f t="shared" si="0"/>
        <v>2031</v>
      </c>
      <c s="199">
        <f t="shared" si="0"/>
        <v>2032</v>
      </c>
      <c s="199">
        <f t="shared" si="0"/>
        <v>2033</v>
      </c>
      <c s="199">
        <f t="shared" si="0"/>
        <v>2034</v>
      </c>
      <c s="199">
        <f t="shared" si="0"/>
        <v>2035</v>
      </c>
      <c s="199">
        <f t="shared" si="0"/>
        <v>2036</v>
      </c>
      <c s="199">
        <f t="shared" si="0"/>
        <v>2037</v>
      </c>
      <c s="199">
        <f t="shared" si="0"/>
        <v>2038</v>
      </c>
      <c s="199">
        <f t="shared" si="0"/>
        <v>2039</v>
      </c>
      <c s="199">
        <f t="shared" si="0"/>
        <v>2040</v>
      </c>
    </row>
    <row r="5" spans="2:18" ht="13.9">
      <c r="B5" s="199" t="s">
        <v>438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  <c s="199" t="s">
        <v>1249</v>
      </c>
    </row>
    <row r="6" spans="2:18" ht="13.9">
      <c r="B6" s="200" t="s">
        <v>273</v>
      </c>
      <c s="231">
        <f ca="1">SUMIF(Выводы!$F$116:$U$116,tables!C$4,Выводы!$F118:$U118)</f>
        <v>0</v>
      </c>
      <c s="231">
        <f ca="1">SUMIF(Выводы!$F$116:$U$116,tables!D$4,Выводы!$F118:$U118)</f>
        <v>0</v>
      </c>
      <c s="231">
        <f ca="1">SUMIF(Выводы!$F$116:$U$116,tables!E$4,Выводы!$F118:$U118)</f>
        <v>0</v>
      </c>
      <c s="231">
        <f ca="1">SUMIF(Выводы!$F$116:$U$116,tables!F$4,Выводы!$F118:$U118)</f>
        <v>0</v>
      </c>
      <c s="231">
        <f ca="1">SUMIF(Выводы!$F$116:$U$116,tables!G$4,Выводы!$F118:$U118)</f>
        <v>0</v>
      </c>
      <c s="231">
        <f ca="1">SUMIF(Выводы!$F$116:$U$116,tables!H$4,Выводы!$F118:$U118)</f>
        <v>0</v>
      </c>
      <c s="231">
        <f ca="1">SUMIF(Выводы!$F$116:$U$116,tables!I$4,Выводы!$F118:$U118)</f>
        <v>0</v>
      </c>
      <c s="231">
        <f ca="1">SUMIF(Выводы!$F$116:$U$116,tables!J$4,Выводы!$F118:$U118)</f>
        <v>0</v>
      </c>
      <c s="231">
        <f ca="1">SUMIF(Выводы!$F$116:$U$116,tables!K$4,Выводы!$F118:$U118)</f>
        <v>0</v>
      </c>
      <c s="231">
        <f ca="1">SUMIF(Выводы!$F$116:$U$116,tables!L$4,Выводы!$F118:$U118)</f>
        <v>0</v>
      </c>
      <c s="231">
        <f ca="1">SUMIF(Выводы!$F$116:$U$116,tables!M$4,Выводы!$F118:$U118)</f>
        <v>0</v>
      </c>
      <c s="231">
        <f ca="1">SUMIF(Выводы!$F$116:$U$116,tables!N$4,Выводы!$F118:$U118)</f>
        <v>0</v>
      </c>
      <c s="231">
        <f ca="1">SUMIF(Выводы!$F$116:$U$116,tables!O$4,Выводы!$F118:$U118)</f>
        <v>0</v>
      </c>
      <c s="231">
        <f ca="1">SUMIF(Выводы!$F$116:$U$116,tables!P$4,Выводы!$F118:$U118)</f>
        <v>0</v>
      </c>
      <c s="231">
        <f ca="1">SUMIF(Выводы!$F$116:$U$116,tables!Q$4,Выводы!$F118:$U118)</f>
        <v>0</v>
      </c>
      <c s="231">
        <f ca="1">SUMIF(Выводы!$F$116:$U$116,tables!R$4,Выводы!$F118:$U118)</f>
        <v>0</v>
      </c>
    </row>
    <row r="7" spans="2:18" ht="13.9">
      <c r="B7" s="200" t="s">
        <v>1185</v>
      </c>
      <c s="231">
        <f ca="1">SUMIF(Выводы!$F$116:$U$116,tables!C$4,Выводы!$F120:$U120)</f>
        <v>0</v>
      </c>
      <c s="231">
        <f ca="1">SUMIF(Выводы!$F$116:$U$116,tables!D$4,Выводы!$F120:$U120)</f>
        <v>0</v>
      </c>
      <c s="231">
        <f ca="1">SUMIF(Выводы!$F$116:$U$116,tables!E$4,Выводы!$F120:$U120)</f>
        <v>0</v>
      </c>
      <c s="231">
        <f ca="1">SUMIF(Выводы!$F$116:$U$116,tables!F$4,Выводы!$F120:$U120)</f>
        <v>0</v>
      </c>
      <c s="231">
        <f ca="1">SUMIF(Выводы!$F$116:$U$116,tables!G$4,Выводы!$F120:$U120)</f>
        <v>0</v>
      </c>
      <c s="231">
        <f ca="1">SUMIF(Выводы!$F$116:$U$116,tables!H$4,Выводы!$F120:$U120)</f>
        <v>0</v>
      </c>
      <c s="231">
        <f ca="1">SUMIF(Выводы!$F$116:$U$116,tables!I$4,Выводы!$F120:$U120)</f>
        <v>0</v>
      </c>
      <c s="231">
        <f ca="1">SUMIF(Выводы!$F$116:$U$116,tables!J$4,Выводы!$F120:$U120)</f>
        <v>0</v>
      </c>
      <c s="231">
        <f ca="1">SUMIF(Выводы!$F$116:$U$116,tables!K$4,Выводы!$F120:$U120)</f>
        <v>0</v>
      </c>
      <c s="231">
        <f ca="1">SUMIF(Выводы!$F$116:$U$116,tables!L$4,Выводы!$F120:$U120)</f>
        <v>0</v>
      </c>
      <c s="231">
        <f ca="1">SUMIF(Выводы!$F$116:$U$116,tables!M$4,Выводы!$F120:$U120)</f>
        <v>0</v>
      </c>
      <c s="231">
        <f ca="1">SUMIF(Выводы!$F$116:$U$116,tables!N$4,Выводы!$F120:$U120)</f>
        <v>0</v>
      </c>
      <c s="231">
        <f ca="1">SUMIF(Выводы!$F$116:$U$116,tables!O$4,Выводы!$F120:$U120)</f>
        <v>0</v>
      </c>
      <c s="231">
        <f ca="1">SUMIF(Выводы!$F$116:$U$116,tables!P$4,Выводы!$F120:$U120)</f>
        <v>0</v>
      </c>
      <c s="231">
        <f ca="1">SUMIF(Выводы!$F$116:$U$116,tables!Q$4,Выводы!$F120:$U120)</f>
        <v>0</v>
      </c>
      <c s="231">
        <f ca="1">SUMIF(Выводы!$F$116:$U$116,tables!R$4,Выводы!$F120:$U120)</f>
        <v>0</v>
      </c>
    </row>
    <row r="8" spans="2:18" ht="13.9">
      <c r="B8" s="201" t="s">
        <v>1250</v>
      </c>
      <c s="231" t="str">
        <f ca="1">IFERROR(C7/C6,"-")</f>
        <v>-</v>
      </c>
      <c s="231" t="str">
        <f ca="1" t="shared" si="1" ref="D8:R8">IFERROR(D7/D6,"-")</f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  <c s="231" t="str">
        <f t="shared" ca="1" si="1"/>
        <v>-</v>
      </c>
    </row>
    <row r="9" spans="2:18" ht="13.9">
      <c r="B9" s="200" t="s">
        <v>1186</v>
      </c>
      <c s="231">
        <f ca="1">SUMIF(Выводы!$F$116:$U$116,tables!C$4,Выводы!$F126:$U126)</f>
        <v>0</v>
      </c>
      <c s="231">
        <f ca="1">SUMIF(Выводы!$F$116:$U$116,tables!D$4,Выводы!$F126:$U126)</f>
        <v>0</v>
      </c>
      <c s="231">
        <f ca="1">SUMIF(Выводы!$F$116:$U$116,tables!E$4,Выводы!$F126:$U126)</f>
        <v>0</v>
      </c>
      <c s="231">
        <f ca="1">SUMIF(Выводы!$F$116:$U$116,tables!F$4,Выводы!$F126:$U126)</f>
        <v>0</v>
      </c>
      <c s="231">
        <f ca="1">SUMIF(Выводы!$F$116:$U$116,tables!G$4,Выводы!$F126:$U126)</f>
        <v>0</v>
      </c>
      <c s="231">
        <f ca="1">SUMIF(Выводы!$F$116:$U$116,tables!H$4,Выводы!$F126:$U126)</f>
        <v>0</v>
      </c>
      <c s="231">
        <f ca="1">SUMIF(Выводы!$F$116:$U$116,tables!I$4,Выводы!$F126:$U126)</f>
        <v>0</v>
      </c>
      <c s="231">
        <f ca="1">SUMIF(Выводы!$F$116:$U$116,tables!J$4,Выводы!$F126:$U126)</f>
        <v>0</v>
      </c>
      <c s="231">
        <f ca="1">SUMIF(Выводы!$F$116:$U$116,tables!K$4,Выводы!$F126:$U126)</f>
        <v>0</v>
      </c>
      <c s="231">
        <f ca="1">SUMIF(Выводы!$F$116:$U$116,tables!L$4,Выводы!$F126:$U126)</f>
        <v>0</v>
      </c>
      <c s="231">
        <f ca="1">SUMIF(Выводы!$F$116:$U$116,tables!M$4,Выводы!$F126:$U126)</f>
        <v>0</v>
      </c>
      <c s="231">
        <f ca="1">SUMIF(Выводы!$F$116:$U$116,tables!N$4,Выводы!$F126:$U126)</f>
        <v>0</v>
      </c>
      <c s="231">
        <f ca="1">SUMIF(Выводы!$F$116:$U$116,tables!O$4,Выводы!$F126:$U126)</f>
        <v>0</v>
      </c>
      <c s="231">
        <f ca="1">SUMIF(Выводы!$F$116:$U$116,tables!P$4,Выводы!$F126:$U126)</f>
        <v>0</v>
      </c>
      <c s="231">
        <f ca="1">SUMIF(Выводы!$F$116:$U$116,tables!Q$4,Выводы!$F126:$U126)</f>
        <v>0</v>
      </c>
      <c s="231">
        <f ca="1">SUMIF(Выводы!$F$116:$U$116,tables!R$4,Выводы!$F126:$U126)</f>
        <v>0</v>
      </c>
    </row>
    <row r="10" spans="2:18" ht="13.9">
      <c r="B10" s="201" t="s">
        <v>1250</v>
      </c>
      <c s="231" t="str">
        <f ca="1">IFERROR(C9/C6,"-")</f>
        <v>-</v>
      </c>
      <c s="231" t="str">
        <f ca="1" t="shared" si="2" ref="D10:R10">IFERROR(D9/D6,"-")</f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  <c s="231" t="str">
        <f t="shared" ca="1" si="2"/>
        <v>-</v>
      </c>
    </row>
    <row r="11" spans="2:18" ht="13.9">
      <c r="B11" s="200" t="s">
        <v>577</v>
      </c>
      <c s="231">
        <f ca="1">SUMIF(Выводы!$F$116:$U$116,tables!C$4,Выводы!$F122:$U122)</f>
        <v>0</v>
      </c>
      <c s="231">
        <f ca="1">SUMIF(Выводы!$F$116:$U$116,tables!D$4,Выводы!$F122:$U122)</f>
        <v>0</v>
      </c>
      <c s="231">
        <f ca="1">SUMIF(Выводы!$F$116:$U$116,tables!E$4,Выводы!$F122:$U122)</f>
        <v>0</v>
      </c>
      <c s="231">
        <f ca="1">SUMIF(Выводы!$F$116:$U$116,tables!F$4,Выводы!$F122:$U122)</f>
        <v>0</v>
      </c>
      <c s="231">
        <f ca="1">SUMIF(Выводы!$F$116:$U$116,tables!G$4,Выводы!$F122:$U122)</f>
        <v>0</v>
      </c>
      <c s="231">
        <f ca="1">SUMIF(Выводы!$F$116:$U$116,tables!H$4,Выводы!$F122:$U122)</f>
        <v>0</v>
      </c>
      <c s="231">
        <f ca="1">SUMIF(Выводы!$F$116:$U$116,tables!I$4,Выводы!$F122:$U122)</f>
        <v>0</v>
      </c>
      <c s="231">
        <f ca="1">SUMIF(Выводы!$F$116:$U$116,tables!J$4,Выводы!$F122:$U122)</f>
        <v>0</v>
      </c>
      <c s="231">
        <f ca="1">SUMIF(Выводы!$F$116:$U$116,tables!K$4,Выводы!$F122:$U122)</f>
        <v>0</v>
      </c>
      <c s="231">
        <f ca="1">SUMIF(Выводы!$F$116:$U$116,tables!L$4,Выводы!$F122:$U122)</f>
        <v>0</v>
      </c>
      <c s="231">
        <f ca="1">SUMIF(Выводы!$F$116:$U$116,tables!M$4,Выводы!$F122:$U122)</f>
        <v>0</v>
      </c>
      <c s="231">
        <f ca="1">SUMIF(Выводы!$F$116:$U$116,tables!N$4,Выводы!$F122:$U122)</f>
        <v>0</v>
      </c>
      <c s="231">
        <f ca="1">SUMIF(Выводы!$F$116:$U$116,tables!O$4,Выводы!$F122:$U122)</f>
        <v>0</v>
      </c>
      <c s="231">
        <f ca="1">SUMIF(Выводы!$F$116:$U$116,tables!P$4,Выводы!$F122:$U122)</f>
        <v>0</v>
      </c>
      <c s="231">
        <f ca="1">SUMIF(Выводы!$F$116:$U$116,tables!Q$4,Выводы!$F122:$U122)</f>
        <v>0</v>
      </c>
      <c s="231">
        <f ca="1">SUMIF(Выводы!$F$116:$U$116,tables!R$4,Выводы!$F122:$U122)</f>
        <v>0</v>
      </c>
    </row>
    <row r="12" spans="2:18" ht="13.9">
      <c r="B12" s="201" t="s">
        <v>1251</v>
      </c>
      <c s="202" t="str">
        <f ca="1">IFERROR(C11/C6,"-")</f>
        <v>-</v>
      </c>
      <c s="202" t="str">
        <f ca="1" t="shared" si="3" ref="D12:R12">IFERROR(D11/D6,"-")</f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  <c s="202" t="str">
        <f t="shared" ca="1" si="3"/>
        <v>-</v>
      </c>
    </row>
    <row r="13" spans="2:18" ht="13.9">
      <c r="B13" s="200" t="s">
        <v>1229</v>
      </c>
      <c s="231">
        <f ca="1">SUMIF(Выводы!$F$116:$U$116,tables!C$4,Выводы!$F172:$U172)</f>
        <v>0</v>
      </c>
      <c s="231">
        <f ca="1">SUMIF(Выводы!$F$116:$U$116,tables!D$4,Выводы!$F172:$U172)</f>
        <v>0</v>
      </c>
      <c s="231">
        <f ca="1">SUMIF(Выводы!$F$116:$U$116,tables!E$4,Выводы!$F172:$U172)</f>
        <v>0</v>
      </c>
      <c s="231">
        <f ca="1">SUMIF(Выводы!$F$116:$U$116,tables!F$4,Выводы!$F172:$U172)</f>
        <v>0</v>
      </c>
      <c s="231">
        <f ca="1">SUMIF(Выводы!$F$116:$U$116,tables!G$4,Выводы!$F172:$U172)</f>
        <v>0</v>
      </c>
      <c s="231">
        <f ca="1">SUMIF(Выводы!$F$116:$U$116,tables!H$4,Выводы!$F172:$U172)</f>
        <v>0</v>
      </c>
      <c s="231">
        <f ca="1">SUMIF(Выводы!$F$116:$U$116,tables!I$4,Выводы!$F172:$U172)</f>
        <v>0</v>
      </c>
      <c s="231">
        <f ca="1">SUMIF(Выводы!$F$116:$U$116,tables!J$4,Выводы!$F172:$U172)</f>
        <v>0</v>
      </c>
      <c s="231">
        <f ca="1">SUMIF(Выводы!$F$116:$U$116,tables!K$4,Выводы!$F172:$U172)</f>
        <v>0</v>
      </c>
      <c s="231">
        <f ca="1">SUMIF(Выводы!$F$116:$U$116,tables!L$4,Выводы!$F172:$U172)</f>
        <v>0</v>
      </c>
      <c s="231">
        <f ca="1">SUMIF(Выводы!$F$116:$U$116,tables!M$4,Выводы!$F172:$U172)</f>
        <v>0</v>
      </c>
      <c s="231">
        <f ca="1">SUMIF(Выводы!$F$116:$U$116,tables!N$4,Выводы!$F172:$U172)</f>
        <v>0</v>
      </c>
      <c s="231">
        <f ca="1">SUMIF(Выводы!$F$116:$U$116,tables!O$4,Выводы!$F172:$U172)</f>
        <v>0</v>
      </c>
      <c s="231">
        <f ca="1">SUMIF(Выводы!$F$116:$U$116,tables!P$4,Выводы!$F172:$U172)</f>
        <v>0</v>
      </c>
      <c s="231">
        <f ca="1">SUMIF(Выводы!$F$116:$U$116,tables!Q$4,Выводы!$F172:$U172)</f>
        <v>0</v>
      </c>
      <c s="231">
        <f ca="1">SUMIF(Выводы!$F$116:$U$116,tables!R$4,Выводы!$F172:$U172)</f>
        <v>0</v>
      </c>
    </row>
    <row r="14" spans="2:18" ht="13.9">
      <c r="B14" s="200" t="s">
        <v>1116</v>
      </c>
      <c s="231">
        <f>SUMIF(Выводы!$F$116:$U$116,tables!C$4,Выводы!$F173:$U173)</f>
        <v>0</v>
      </c>
      <c s="231">
        <f>SUMIF(Выводы!$F$116:$U$116,tables!D$4,Выводы!$F173:$U173)</f>
        <v>0</v>
      </c>
      <c s="231">
        <f>SUMIF(Выводы!$F$116:$U$116,tables!E$4,Выводы!$F173:$U173)</f>
        <v>0</v>
      </c>
      <c s="231">
        <f>SUMIF(Выводы!$F$116:$U$116,tables!F$4,Выводы!$F173:$U173)</f>
        <v>0</v>
      </c>
      <c s="231">
        <f>SUMIF(Выводы!$F$116:$U$116,tables!G$4,Выводы!$F173:$U173)</f>
        <v>0</v>
      </c>
      <c s="231">
        <f>SUMIF(Выводы!$F$116:$U$116,tables!H$4,Выводы!$F173:$U173)</f>
        <v>0</v>
      </c>
      <c s="231">
        <f>SUMIF(Выводы!$F$116:$U$116,tables!I$4,Выводы!$F173:$U173)</f>
        <v>0</v>
      </c>
      <c s="231">
        <f>SUMIF(Выводы!$F$116:$U$116,tables!J$4,Выводы!$F173:$U173)</f>
        <v>0</v>
      </c>
      <c s="231">
        <f>SUMIF(Выводы!$F$116:$U$116,tables!K$4,Выводы!$F173:$U173)</f>
        <v>0</v>
      </c>
      <c s="231">
        <f>SUMIF(Выводы!$F$116:$U$116,tables!L$4,Выводы!$F173:$U173)</f>
        <v>0</v>
      </c>
      <c s="231">
        <f>SUMIF(Выводы!$F$116:$U$116,tables!M$4,Выводы!$F173:$U173)</f>
        <v>0</v>
      </c>
      <c s="231">
        <f>SUMIF(Выводы!$F$116:$U$116,tables!N$4,Выводы!$F173:$U173)</f>
        <v>0</v>
      </c>
      <c s="231">
        <f>SUMIF(Выводы!$F$116:$U$116,tables!O$4,Выводы!$F173:$U173)</f>
        <v>0</v>
      </c>
      <c s="231">
        <f>SUMIF(Выводы!$F$116:$U$116,tables!P$4,Выводы!$F173:$U173)</f>
        <v>0</v>
      </c>
      <c s="231">
        <f>SUMIF(Выводы!$F$116:$U$116,tables!Q$4,Выводы!$F173:$U173)</f>
        <v>0</v>
      </c>
      <c s="231">
        <f>SUMIF(Выводы!$F$116:$U$116,tables!R$4,Выводы!$F173:$U173)</f>
        <v>0</v>
      </c>
    </row>
    <row r="15" spans="2:18" ht="13.9">
      <c r="B15" s="200" t="s">
        <v>1140</v>
      </c>
      <c s="231">
        <f ca="1">SUMIF(Выводы!$F$116:$U$116,tables!C$4,Выводы!$F174:$U174)</f>
        <v>0</v>
      </c>
      <c s="231">
        <f ca="1">SUMIF(Выводы!$F$116:$U$116,tables!D$4,Выводы!$F174:$U174)</f>
        <v>0</v>
      </c>
      <c s="231">
        <f ca="1">SUMIF(Выводы!$F$116:$U$116,tables!E$4,Выводы!$F174:$U174)</f>
        <v>0</v>
      </c>
      <c s="231">
        <f ca="1">SUMIF(Выводы!$F$116:$U$116,tables!F$4,Выводы!$F174:$U174)</f>
        <v>0</v>
      </c>
      <c s="231">
        <f ca="1">SUMIF(Выводы!$F$116:$U$116,tables!G$4,Выводы!$F174:$U174)</f>
        <v>0</v>
      </c>
      <c s="231">
        <f ca="1">SUMIF(Выводы!$F$116:$U$116,tables!H$4,Выводы!$F174:$U174)</f>
        <v>0</v>
      </c>
      <c s="231">
        <f ca="1">SUMIF(Выводы!$F$116:$U$116,tables!I$4,Выводы!$F174:$U174)</f>
        <v>0</v>
      </c>
      <c s="231">
        <f ca="1">SUMIF(Выводы!$F$116:$U$116,tables!J$4,Выводы!$F174:$U174)</f>
        <v>0</v>
      </c>
      <c s="231">
        <f ca="1">SUMIF(Выводы!$F$116:$U$116,tables!K$4,Выводы!$F174:$U174)</f>
        <v>0</v>
      </c>
      <c s="231">
        <f ca="1">SUMIF(Выводы!$F$116:$U$116,tables!L$4,Выводы!$F174:$U174)</f>
        <v>0</v>
      </c>
      <c s="231">
        <f ca="1">SUMIF(Выводы!$F$116:$U$116,tables!M$4,Выводы!$F174:$U174)</f>
        <v>0</v>
      </c>
      <c s="231">
        <f ca="1">SUMIF(Выводы!$F$116:$U$116,tables!N$4,Выводы!$F174:$U174)</f>
        <v>0</v>
      </c>
      <c s="231">
        <f ca="1">SUMIF(Выводы!$F$116:$U$116,tables!O$4,Выводы!$F174:$U174)</f>
        <v>0</v>
      </c>
      <c s="231">
        <f ca="1">SUMIF(Выводы!$F$116:$U$116,tables!P$4,Выводы!$F174:$U174)</f>
        <v>0</v>
      </c>
      <c s="231">
        <f ca="1">SUMIF(Выводы!$F$116:$U$116,tables!Q$4,Выводы!$F174:$U174)</f>
        <v>0</v>
      </c>
      <c s="231">
        <f ca="1">SUMIF(Выводы!$F$116:$U$116,tables!R$4,Выводы!$F174:$U174)</f>
        <v>0</v>
      </c>
    </row>
    <row r="16" spans="2:18" ht="13.9">
      <c r="B16" s="200" t="s">
        <v>1252</v>
      </c>
      <c s="231" t="str">
        <f ca="1">IF(C11&lt;=0,"&lt;0",IFERROR(C14/C11,"-"))</f>
        <v>&lt;0</v>
      </c>
      <c s="231" t="str">
        <f ca="1" t="shared" si="4" ref="D16:R16">IF(D11&lt;=0,"&lt;0",IFERROR(D14/D11,"-"))</f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  <c s="231" t="str">
        <f t="shared" ca="1" si="4"/>
        <v>&lt;0</v>
      </c>
    </row>
    <row r="17" spans="2:18" ht="13.9">
      <c r="B17" s="200" t="s">
        <v>1253</v>
      </c>
      <c s="231" t="str">
        <f ca="1">IF(C11&lt;=0,"&lt;0",IFERROR(C15/C11,"-"))</f>
        <v>&lt;0</v>
      </c>
      <c s="231" t="str">
        <f ca="1" t="shared" si="5" ref="D17:R17">IF(D11&lt;=0,"&lt;0",IFERROR(D15/D11,"-"))</f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  <c s="231" t="str">
        <f t="shared" ca="1" si="5"/>
        <v>&lt;0</v>
      </c>
    </row>
    <row r="18" spans="2:18" ht="13.9">
      <c r="B18" s="200" t="s">
        <v>1120</v>
      </c>
      <c s="231">
        <f ca="1">SUMIF(Выводы!$F$116:$U$116,tables!C$4,Выводы!$F177:$U177)</f>
        <v>0</v>
      </c>
      <c s="231">
        <f ca="1">SUMIF(Выводы!$F$116:$U$116,tables!D$4,Выводы!$F177:$U177)</f>
        <v>0</v>
      </c>
      <c s="231">
        <f ca="1">SUMIF(Выводы!$F$116:$U$116,tables!E$4,Выводы!$F177:$U177)</f>
        <v>0</v>
      </c>
      <c s="231">
        <f ca="1">SUMIF(Выводы!$F$116:$U$116,tables!F$4,Выводы!$F177:$U177)</f>
        <v>0</v>
      </c>
      <c s="231">
        <f ca="1">SUMIF(Выводы!$F$116:$U$116,tables!G$4,Выводы!$F177:$U177)</f>
        <v>0</v>
      </c>
      <c s="231">
        <f ca="1">SUMIF(Выводы!$F$116:$U$116,tables!H$4,Выводы!$F177:$U177)</f>
        <v>0</v>
      </c>
      <c s="231">
        <f ca="1">SUMIF(Выводы!$F$116:$U$116,tables!I$4,Выводы!$F177:$U177)</f>
        <v>0</v>
      </c>
      <c s="231">
        <f ca="1">SUMIF(Выводы!$F$116:$U$116,tables!J$4,Выводы!$F177:$U177)</f>
        <v>0</v>
      </c>
      <c s="231">
        <f ca="1">SUMIF(Выводы!$F$116:$U$116,tables!K$4,Выводы!$F177:$U177)</f>
        <v>0</v>
      </c>
      <c s="231">
        <f ca="1">SUMIF(Выводы!$F$116:$U$116,tables!L$4,Выводы!$F177:$U177)</f>
        <v>0</v>
      </c>
      <c s="231">
        <f ca="1">SUMIF(Выводы!$F$116:$U$116,tables!M$4,Выводы!$F177:$U177)</f>
        <v>0</v>
      </c>
      <c s="231">
        <f ca="1">SUMIF(Выводы!$F$116:$U$116,tables!N$4,Выводы!$F177:$U177)</f>
        <v>0</v>
      </c>
      <c s="231">
        <f ca="1">SUMIF(Выводы!$F$116:$U$116,tables!O$4,Выводы!$F177:$U177)</f>
        <v>0</v>
      </c>
      <c s="231">
        <f ca="1">SUMIF(Выводы!$F$116:$U$116,tables!P$4,Выводы!$F177:$U177)</f>
        <v>0</v>
      </c>
      <c s="231">
        <f ca="1">SUMIF(Выводы!$F$116:$U$116,tables!Q$4,Выводы!$F177:$U177)</f>
        <v>0</v>
      </c>
      <c s="231">
        <f ca="1">SUMIF(Выводы!$F$116:$U$116,tables!R$4,Выводы!$F177:$U177)</f>
        <v>0</v>
      </c>
    </row>
    <row r="19" spans="2:18" ht="13.9">
      <c r="B19" s="200" t="s">
        <v>1254</v>
      </c>
      <c s="356">
        <f ca="1">SUMIF(Выводы!$F$116:$U$116,tables!C$4,Выводы!$F181:$U181)</f>
        <v>0</v>
      </c>
      <c s="356">
        <f ca="1">SUMIF(Выводы!$F$116:$U$116,tables!D$4,Выводы!$F181:$U181)</f>
        <v>0</v>
      </c>
      <c s="356">
        <f ca="1">SUMIF(Выводы!$F$116:$U$116,tables!E$4,Выводы!$F181:$U181)</f>
        <v>0</v>
      </c>
      <c s="356">
        <f ca="1">SUMIF(Выводы!$F$116:$U$116,tables!F$4,Выводы!$F181:$U181)</f>
        <v>0</v>
      </c>
      <c s="356">
        <f ca="1">SUMIF(Выводы!$F$116:$U$116,tables!G$4,Выводы!$F181:$U181)</f>
        <v>0</v>
      </c>
      <c s="356">
        <f ca="1">SUMIF(Выводы!$F$116:$U$116,tables!H$4,Выводы!$F181:$U181)</f>
        <v>0</v>
      </c>
      <c s="356">
        <f ca="1">SUMIF(Выводы!$F$116:$U$116,tables!I$4,Выводы!$F181:$U181)</f>
        <v>0</v>
      </c>
      <c s="356">
        <f ca="1">SUMIF(Выводы!$F$116:$U$116,tables!J$4,Выводы!$F181:$U181)</f>
        <v>0</v>
      </c>
      <c s="356">
        <f ca="1">SUMIF(Выводы!$F$116:$U$116,tables!K$4,Выводы!$F181:$U181)</f>
        <v>0</v>
      </c>
      <c s="356">
        <f ca="1">SUMIF(Выводы!$F$116:$U$116,tables!L$4,Выводы!$F181:$U181)</f>
        <v>0</v>
      </c>
      <c s="356">
        <f ca="1">SUMIF(Выводы!$F$116:$U$116,tables!M$4,Выводы!$F181:$U181)</f>
        <v>0</v>
      </c>
      <c s="356">
        <f ca="1">SUMIF(Выводы!$F$116:$U$116,tables!N$4,Выводы!$F181:$U181)</f>
        <v>0</v>
      </c>
      <c s="356">
        <f ca="1">SUMIF(Выводы!$F$116:$U$116,tables!O$4,Выводы!$F181:$U181)</f>
        <v>0</v>
      </c>
      <c s="356">
        <f ca="1">SUMIF(Выводы!$F$116:$U$116,tables!P$4,Выводы!$F181:$U181)</f>
        <v>0</v>
      </c>
      <c s="356">
        <f ca="1">SUMIF(Выводы!$F$116:$U$116,tables!Q$4,Выводы!$F181:$U181)</f>
        <v>0</v>
      </c>
      <c s="356">
        <f ca="1">SUMIF(Выводы!$F$116:$U$116,tables!R$4,Выводы!$F181:$U181)</f>
        <v>0</v>
      </c>
    </row>
    <row r="20" spans="2:18" ht="13.9">
      <c r="B20" s="200" t="s">
        <v>1255</v>
      </c>
      <c s="356">
        <f ca="1">SUMIF(Выводы!$F$116:$U$116,tables!C$4,Выводы!$F182:$U182)</f>
        <v>0</v>
      </c>
      <c s="356">
        <f ca="1">SUMIF(Выводы!$F$116:$U$116,tables!D$4,Выводы!$F182:$U182)</f>
        <v>0</v>
      </c>
      <c s="356">
        <f ca="1">SUMIF(Выводы!$F$116:$U$116,tables!E$4,Выводы!$F182:$U182)</f>
        <v>0</v>
      </c>
      <c s="356">
        <f ca="1">SUMIF(Выводы!$F$116:$U$116,tables!F$4,Выводы!$F182:$U182)</f>
        <v>0</v>
      </c>
      <c s="356">
        <f ca="1">SUMIF(Выводы!$F$116:$U$116,tables!G$4,Выводы!$F182:$U182)</f>
        <v>0</v>
      </c>
      <c s="356">
        <f ca="1">SUMIF(Выводы!$F$116:$U$116,tables!H$4,Выводы!$F182:$U182)</f>
        <v>0</v>
      </c>
      <c s="356">
        <f ca="1">SUMIF(Выводы!$F$116:$U$116,tables!I$4,Выводы!$F182:$U182)</f>
        <v>0</v>
      </c>
      <c s="356">
        <f ca="1">SUMIF(Выводы!$F$116:$U$116,tables!J$4,Выводы!$F182:$U182)</f>
        <v>0</v>
      </c>
      <c s="356">
        <f ca="1">SUMIF(Выводы!$F$116:$U$116,tables!K$4,Выводы!$F182:$U182)</f>
        <v>0</v>
      </c>
      <c s="356">
        <f ca="1">SUMIF(Выводы!$F$116:$U$116,tables!L$4,Выводы!$F182:$U182)</f>
        <v>0</v>
      </c>
      <c s="356">
        <f ca="1">SUMIF(Выводы!$F$116:$U$116,tables!M$4,Выводы!$F182:$U182)</f>
        <v>0</v>
      </c>
      <c s="356">
        <f ca="1">SUMIF(Выводы!$F$116:$U$116,tables!N$4,Выводы!$F182:$U182)</f>
        <v>0</v>
      </c>
      <c s="356">
        <f ca="1">SUMIF(Выводы!$F$116:$U$116,tables!O$4,Выводы!$F182:$U182)</f>
        <v>0</v>
      </c>
      <c s="356">
        <f ca="1">SUMIF(Выводы!$F$116:$U$116,tables!P$4,Выводы!$F182:$U182)</f>
        <v>0</v>
      </c>
      <c s="356">
        <f ca="1">SUMIF(Выводы!$F$116:$U$116,tables!Q$4,Выводы!$F182:$U182)</f>
        <v>0</v>
      </c>
      <c s="356">
        <f ca="1">SUMIF(Выводы!$F$116:$U$116,tables!R$4,Выводы!$F182:$U182)</f>
        <v>0</v>
      </c>
    </row>
    <row r="21" spans="2:18" ht="13.9">
      <c r="B21" s="200" t="s">
        <v>584</v>
      </c>
      <c s="355">
        <f ca="1">SUMIF(Выводы!$F$169:$U$169,tables!C$4,Выводы!$F178:$U178)</f>
        <v>0</v>
      </c>
      <c s="355">
        <f ca="1">SUMIF(Выводы!$F$169:$U$169,tables!D$4,Выводы!$F178:$U178)</f>
        <v>0</v>
      </c>
      <c s="355">
        <f ca="1">SUMIF(Выводы!$F$169:$U$169,tables!E$4,Выводы!$F178:$U178)</f>
        <v>0</v>
      </c>
      <c s="355">
        <f ca="1">SUMIF(Выводы!$F$169:$U$169,tables!F$4,Выводы!$F178:$U178)</f>
        <v>0</v>
      </c>
      <c s="355">
        <f ca="1">SUMIF(Выводы!$F$169:$U$169,tables!G$4,Выводы!$F178:$U178)</f>
        <v>0</v>
      </c>
      <c s="355">
        <f ca="1">SUMIF(Выводы!$F$169:$U$169,tables!H$4,Выводы!$F178:$U178)</f>
        <v>0</v>
      </c>
      <c s="355">
        <f ca="1">SUMIF(Выводы!$F$169:$U$169,tables!I$4,Выводы!$F178:$U178)</f>
        <v>0</v>
      </c>
      <c s="355">
        <f ca="1">SUMIF(Выводы!$F$169:$U$169,tables!J$4,Выводы!$F178:$U178)</f>
        <v>0</v>
      </c>
      <c s="355">
        <f ca="1">SUMIF(Выводы!$F$169:$U$169,tables!K$4,Выводы!$F178:$U178)</f>
        <v>0</v>
      </c>
      <c s="355">
        <f ca="1">SUMIF(Выводы!$F$169:$U$169,tables!L$4,Выводы!$F178:$U178)</f>
        <v>0</v>
      </c>
      <c s="355">
        <f ca="1">SUMIF(Выводы!$F$169:$U$169,tables!M$4,Выводы!$F178:$U178)</f>
        <v>0</v>
      </c>
      <c s="355">
        <f ca="1">SUMIF(Выводы!$F$169:$U$169,tables!N$4,Выводы!$F178:$U178)</f>
        <v>0</v>
      </c>
      <c s="355">
        <f ca="1">SUMIF(Выводы!$F$169:$U$169,tables!O$4,Выводы!$F178:$U178)</f>
        <v>0</v>
      </c>
      <c s="355">
        <f ca="1">SUMIF(Выводы!$F$169:$U$169,tables!P$4,Выводы!$F178:$U178)</f>
        <v>0</v>
      </c>
      <c s="355">
        <f ca="1">SUMIF(Выводы!$F$169:$U$169,tables!Q$4,Выводы!$F178:$U178)</f>
        <v>0</v>
      </c>
      <c s="355">
        <f ca="1">SUMIF(Выводы!$F$169:$U$169,tables!R$4,Выводы!$F178:$U178)</f>
        <v>0</v>
      </c>
    </row>
    <row r="22" spans="2:18" ht="13.9">
      <c r="B22" s="200" t="s">
        <v>1256</v>
      </c>
      <c s="355">
        <f ca="1">SUMIF(Выводы!$F$169:$U$169,tables!C$4,Выводы!$F179:$U179)</f>
        <v>0</v>
      </c>
      <c s="355">
        <f ca="1">SUMIF(Выводы!$F$169:$U$169,tables!D$4,Выводы!$F179:$U179)</f>
        <v>0</v>
      </c>
      <c s="355">
        <f ca="1">SUMIF(Выводы!$F$169:$U$169,tables!E$4,Выводы!$F179:$U179)</f>
        <v>0</v>
      </c>
      <c s="355">
        <f ca="1">SUMIF(Выводы!$F$169:$U$169,tables!F$4,Выводы!$F179:$U179)</f>
        <v>0</v>
      </c>
      <c s="355">
        <f ca="1">SUMIF(Выводы!$F$169:$U$169,tables!G$4,Выводы!$F179:$U179)</f>
        <v>0</v>
      </c>
      <c s="355">
        <f ca="1">SUMIF(Выводы!$F$169:$U$169,tables!H$4,Выводы!$F179:$U179)</f>
        <v>0</v>
      </c>
      <c s="355">
        <f ca="1">SUMIF(Выводы!$F$169:$U$169,tables!I$4,Выводы!$F179:$U179)</f>
        <v>0</v>
      </c>
      <c s="355">
        <f ca="1">SUMIF(Выводы!$F$169:$U$169,tables!J$4,Выводы!$F179:$U179)</f>
        <v>0</v>
      </c>
      <c s="355">
        <f ca="1">SUMIF(Выводы!$F$169:$U$169,tables!K$4,Выводы!$F179:$U179)</f>
        <v>0</v>
      </c>
      <c s="355">
        <f ca="1">SUMIF(Выводы!$F$169:$U$169,tables!L$4,Выводы!$F179:$U179)</f>
        <v>0</v>
      </c>
      <c s="355">
        <f ca="1">SUMIF(Выводы!$F$169:$U$169,tables!M$4,Выводы!$F179:$U179)</f>
        <v>0</v>
      </c>
      <c s="355">
        <f ca="1">SUMIF(Выводы!$F$169:$U$169,tables!N$4,Выводы!$F179:$U179)</f>
        <v>0</v>
      </c>
      <c s="355">
        <f ca="1">SUMIF(Выводы!$F$169:$U$169,tables!O$4,Выводы!$F179:$U179)</f>
        <v>0</v>
      </c>
      <c s="355">
        <f ca="1">SUMIF(Выводы!$F$169:$U$169,tables!P$4,Выводы!$F179:$U179)</f>
        <v>0</v>
      </c>
      <c s="355">
        <f ca="1">SUMIF(Выводы!$F$169:$U$169,tables!Q$4,Выводы!$F179:$U179)</f>
        <v>0</v>
      </c>
      <c s="355">
        <f ca="1">SUMIF(Выводы!$F$169:$U$169,tables!R$4,Выводы!$F179:$U179)</f>
        <v>0</v>
      </c>
    </row>
    <row r="24" spans="2:18" ht="13.9" hidden="1">
      <c r="B24" s="200" t="s">
        <v>1140</v>
      </c>
      <c s="203">
        <f ca="1">SUMIF(Выводы!$F$116:$U$116,tables!C$4,Выводы!$F174:$U174)</f>
        <v>0</v>
      </c>
      <c s="203">
        <f ca="1">SUMIF(Выводы!$F$116:$U$116,tables!D$4,Выводы!$F174:$U174)</f>
        <v>0</v>
      </c>
      <c s="203">
        <f ca="1">SUMIF(Выводы!$F$116:$U$116,tables!E$4,Выводы!$F174:$U174)</f>
        <v>0</v>
      </c>
      <c s="203">
        <f ca="1">SUMIF(Выводы!$F$116:$U$116,tables!F$4,Выводы!$F174:$U174)</f>
        <v>0</v>
      </c>
      <c s="203">
        <f ca="1">SUMIF(Выводы!$F$116:$U$116,tables!G$4,Выводы!$F174:$U174)</f>
        <v>0</v>
      </c>
      <c s="203">
        <f ca="1">SUMIF(Выводы!$F$116:$U$116,tables!H$4,Выводы!$F174:$U174)</f>
        <v>0</v>
      </c>
      <c s="203">
        <f ca="1">SUMIF(Выводы!$F$116:$U$116,tables!I$4,Выводы!$F174:$U174)</f>
        <v>0</v>
      </c>
      <c s="203">
        <f ca="1">SUMIF(Выводы!$F$116:$U$116,tables!J$4,Выводы!$F174:$U174)</f>
        <v>0</v>
      </c>
      <c s="203">
        <f ca="1">SUMIF(Выводы!$F$116:$U$116,tables!K$4,Выводы!$F174:$U174)</f>
        <v>0</v>
      </c>
      <c s="203">
        <f ca="1">SUMIF(Выводы!$F$116:$U$116,tables!L$4,Выводы!$F174:$U174)</f>
        <v>0</v>
      </c>
      <c s="203">
        <f ca="1">SUMIF(Выводы!$F$116:$U$116,tables!M$4,Выводы!$F174:$U174)</f>
        <v>0</v>
      </c>
      <c s="203">
        <f ca="1">SUMIF(Выводы!$F$116:$U$116,tables!N$4,Выводы!$F174:$U174)</f>
        <v>0</v>
      </c>
      <c s="203">
        <f ca="1">SUMIF(Выводы!$F$116:$U$116,tables!O$4,Выводы!$F174:$U174)</f>
        <v>0</v>
      </c>
      <c s="203">
        <f ca="1">SUMIF(Выводы!$F$116:$U$116,tables!P$4,Выводы!$F174:$U174)</f>
        <v>0</v>
      </c>
      <c s="203">
        <f ca="1">SUMIF(Выводы!$F$116:$U$116,tables!Q$4,Выводы!$F174:$U174)</f>
        <v>0</v>
      </c>
      <c s="203">
        <f ca="1">SUMIF(Выводы!$F$116:$U$116,tables!R$4,Выводы!$F174:$U174)</f>
        <v>0</v>
      </c>
    </row>
    <row r="25" spans="7:7" ht="13.9">
      <c r="G25" s="210" t="s">
        <v>1257</v>
      </c>
    </row>
    <row r="26" spans="2:18" ht="13.9">
      <c r="B26" s="199" t="s">
        <v>562</v>
      </c>
      <c s="199">
        <f>Выводы!F9</f>
        <v>2025</v>
      </c>
      <c s="199">
        <f>C26+1</f>
        <v>2026</v>
      </c>
      <c s="199">
        <f t="shared" si="6" ref="E26:R26">D26+1</f>
        <v>2027</v>
      </c>
      <c s="199">
        <f t="shared" si="6"/>
        <v>2028</v>
      </c>
      <c s="199">
        <f t="shared" si="6"/>
        <v>2029</v>
      </c>
      <c s="199">
        <f t="shared" si="6"/>
        <v>2030</v>
      </c>
      <c s="199">
        <f t="shared" si="6"/>
        <v>2031</v>
      </c>
      <c s="199">
        <f t="shared" si="6"/>
        <v>2032</v>
      </c>
      <c s="199">
        <f t="shared" si="6"/>
        <v>2033</v>
      </c>
      <c s="199">
        <f t="shared" si="6"/>
        <v>2034</v>
      </c>
      <c s="199">
        <f t="shared" si="6"/>
        <v>2035</v>
      </c>
      <c s="199">
        <f t="shared" si="6"/>
        <v>2036</v>
      </c>
      <c s="199">
        <f t="shared" si="6"/>
        <v>2037</v>
      </c>
      <c s="199">
        <f t="shared" si="6"/>
        <v>2038</v>
      </c>
      <c s="199">
        <f t="shared" si="6"/>
        <v>2039</v>
      </c>
      <c s="199">
        <f t="shared" si="6"/>
        <v>2040</v>
      </c>
    </row>
    <row r="27" spans="2:18" ht="13.9">
      <c r="B27" s="200" t="s">
        <v>273</v>
      </c>
      <c s="205">
        <f>SUMIF(Выводы!$F$9:$U$9,tables!C$26,Выводы!$F11:$U11)</f>
        <v>0</v>
      </c>
      <c s="205">
        <f>SUMIF(Выводы!$F$9:$U$9,tables!D$26,Выводы!$F11:$U11)</f>
        <v>0</v>
      </c>
      <c s="205">
        <f>SUMIF(Выводы!$F$9:$U$9,tables!E$26,Выводы!$F11:$U11)</f>
        <v>0</v>
      </c>
      <c s="205">
        <f>SUMIF(Выводы!$F$9:$U$9,tables!F$26,Выводы!$F11:$U11)</f>
        <v>0</v>
      </c>
      <c s="205">
        <f>SUMIF(Выводы!$F$9:$U$9,tables!G$26,Выводы!$F11:$U11)</f>
        <v>0</v>
      </c>
      <c s="205">
        <f>SUMIF(Выводы!$F$9:$U$9,tables!H$26,Выводы!$F11:$U11)</f>
        <v>0</v>
      </c>
      <c s="205">
        <f>SUMIF(Выводы!$F$9:$U$9,tables!I$26,Выводы!$F11:$U11)</f>
        <v>0</v>
      </c>
      <c s="205">
        <f>SUMIF(Выводы!$F$9:$U$9,tables!J$26,Выводы!$F11:$U11)</f>
        <v>0</v>
      </c>
      <c s="205">
        <f>SUMIF(Выводы!$F$9:$U$9,tables!K$26,Выводы!$F11:$U11)</f>
        <v>0</v>
      </c>
      <c s="205">
        <f>SUMIF(Выводы!$F$9:$U$9,tables!L$26,Выводы!$F11:$U11)</f>
        <v>0</v>
      </c>
      <c s="205">
        <f>SUMIF(Выводы!$F$9:$U$9,tables!M$26,Выводы!$F11:$U11)</f>
        <v>0</v>
      </c>
      <c s="205">
        <f>SUMIF(Выводы!$F$9:$U$9,tables!N$26,Выводы!$F11:$U11)</f>
        <v>0</v>
      </c>
      <c s="205">
        <f>SUMIF(Выводы!$F$9:$U$9,tables!O$26,Выводы!$F11:$U11)</f>
        <v>0</v>
      </c>
      <c s="205">
        <f>SUMIF(Выводы!$F$9:$U$9,tables!P$26,Выводы!$F11:$U11)</f>
        <v>0</v>
      </c>
      <c s="205">
        <f>SUMIF(Выводы!$F$9:$U$9,tables!Q$26,Выводы!$F11:$U11)</f>
        <v>0</v>
      </c>
      <c s="205">
        <f>SUMIF(Выводы!$F$9:$U$9,tables!R$26,Выводы!$F11:$U11)</f>
        <v>0</v>
      </c>
    </row>
    <row r="28" spans="2:18" ht="13.9">
      <c r="B28" s="200" t="s">
        <v>1185</v>
      </c>
      <c s="205">
        <f ca="1">SUMIF(Выводы!$F$9:$U$9,tables!C$26,Выводы!$F12:$U12)</f>
        <v>0</v>
      </c>
      <c s="205">
        <f ca="1">SUMIF(Выводы!$F$9:$U$9,tables!D$26,Выводы!$F12:$U12)</f>
        <v>0</v>
      </c>
      <c s="205">
        <f ca="1">SUMIF(Выводы!$F$9:$U$9,tables!E$26,Выводы!$F12:$U12)</f>
        <v>0</v>
      </c>
      <c s="205">
        <f ca="1">SUMIF(Выводы!$F$9:$U$9,tables!F$26,Выводы!$F12:$U12)</f>
        <v>0</v>
      </c>
      <c s="205">
        <f ca="1">SUMIF(Выводы!$F$9:$U$9,tables!G$26,Выводы!$F12:$U12)</f>
        <v>0</v>
      </c>
      <c s="205">
        <f ca="1">SUMIF(Выводы!$F$9:$U$9,tables!H$26,Выводы!$F12:$U12)</f>
        <v>0</v>
      </c>
      <c s="205">
        <f ca="1">SUMIF(Выводы!$F$9:$U$9,tables!I$26,Выводы!$F12:$U12)</f>
        <v>0</v>
      </c>
      <c s="205">
        <f ca="1">SUMIF(Выводы!$F$9:$U$9,tables!J$26,Выводы!$F12:$U12)</f>
        <v>0</v>
      </c>
      <c s="205">
        <f ca="1">SUMIF(Выводы!$F$9:$U$9,tables!K$26,Выводы!$F12:$U12)</f>
        <v>0</v>
      </c>
      <c s="205">
        <f ca="1">SUMIF(Выводы!$F$9:$U$9,tables!L$26,Выводы!$F12:$U12)</f>
        <v>0</v>
      </c>
      <c s="205">
        <f ca="1">SUMIF(Выводы!$F$9:$U$9,tables!M$26,Выводы!$F12:$U12)</f>
        <v>0</v>
      </c>
      <c s="205">
        <f ca="1">SUMIF(Выводы!$F$9:$U$9,tables!N$26,Выводы!$F12:$U12)</f>
        <v>0</v>
      </c>
      <c s="205">
        <f ca="1">SUMIF(Выводы!$F$9:$U$9,tables!O$26,Выводы!$F12:$U12)</f>
        <v>0</v>
      </c>
      <c s="205">
        <f ca="1">SUMIF(Выводы!$F$9:$U$9,tables!P$26,Выводы!$F12:$U12)</f>
        <v>0</v>
      </c>
      <c s="205">
        <f ca="1">SUMIF(Выводы!$F$9:$U$9,tables!Q$26,Выводы!$F12:$U12)</f>
        <v>0</v>
      </c>
      <c s="205">
        <f ca="1">SUMIF(Выводы!$F$9:$U$9,tables!R$26,Выводы!$F12:$U12)</f>
        <v>0</v>
      </c>
    </row>
    <row r="29" spans="2:18" ht="13.9">
      <c r="B29" s="200" t="s">
        <v>1020</v>
      </c>
      <c s="206" t="str">
        <f ca="1">IFERROR(C28/C27,"-")</f>
        <v>-</v>
      </c>
      <c s="206" t="str">
        <f ca="1" t="shared" si="7" ref="D29:R29">IFERROR(D28/D27,"-")</f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  <c s="206" t="str">
        <f t="shared" ca="1" si="7"/>
        <v>-</v>
      </c>
    </row>
    <row r="30" spans="2:18" ht="13.9">
      <c r="B30" s="200" t="s">
        <v>577</v>
      </c>
      <c s="205">
        <f ca="1">SUMIF(Выводы!$F$9:$U$9,tables!C$26,Выводы!$F14:$U14)</f>
        <v>0</v>
      </c>
      <c s="205">
        <f ca="1">SUMIF(Выводы!$F$9:$U$9,tables!D$26,Выводы!$F14:$U14)</f>
        <v>0</v>
      </c>
      <c s="205">
        <f ca="1">SUMIF(Выводы!$F$9:$U$9,tables!E$26,Выводы!$F14:$U14)</f>
        <v>0</v>
      </c>
      <c s="205">
        <f ca="1">SUMIF(Выводы!$F$9:$U$9,tables!F$26,Выводы!$F14:$U14)</f>
        <v>0</v>
      </c>
      <c s="205">
        <f ca="1">SUMIF(Выводы!$F$9:$U$9,tables!G$26,Выводы!$F14:$U14)</f>
        <v>0</v>
      </c>
      <c s="205">
        <f ca="1">SUMIF(Выводы!$F$9:$U$9,tables!H$26,Выводы!$F14:$U14)</f>
        <v>0</v>
      </c>
      <c s="205">
        <f ca="1">SUMIF(Выводы!$F$9:$U$9,tables!I$26,Выводы!$F14:$U14)</f>
        <v>0</v>
      </c>
      <c s="205">
        <f ca="1">SUMIF(Выводы!$F$9:$U$9,tables!J$26,Выводы!$F14:$U14)</f>
        <v>0</v>
      </c>
      <c s="205">
        <f ca="1">SUMIF(Выводы!$F$9:$U$9,tables!K$26,Выводы!$F14:$U14)</f>
        <v>0</v>
      </c>
      <c s="205">
        <f ca="1">SUMIF(Выводы!$F$9:$U$9,tables!L$26,Выводы!$F14:$U14)</f>
        <v>0</v>
      </c>
      <c s="205">
        <f ca="1">SUMIF(Выводы!$F$9:$U$9,tables!M$26,Выводы!$F14:$U14)</f>
        <v>0</v>
      </c>
      <c s="205">
        <f ca="1">SUMIF(Выводы!$F$9:$U$9,tables!N$26,Выводы!$F14:$U14)</f>
        <v>0</v>
      </c>
      <c s="205">
        <f ca="1">SUMIF(Выводы!$F$9:$U$9,tables!O$26,Выводы!$F14:$U14)</f>
        <v>0</v>
      </c>
      <c s="205">
        <f ca="1">SUMIF(Выводы!$F$9:$U$9,tables!P$26,Выводы!$F14:$U14)</f>
        <v>0</v>
      </c>
      <c s="205">
        <f ca="1">SUMIF(Выводы!$F$9:$U$9,tables!Q$26,Выводы!$F14:$U14)</f>
        <v>0</v>
      </c>
      <c s="205">
        <f ca="1">SUMIF(Выводы!$F$9:$U$9,tables!R$26,Выводы!$F14:$U14)</f>
        <v>0</v>
      </c>
    </row>
    <row r="31" spans="2:18" ht="13.9">
      <c r="B31" s="200" t="s">
        <v>1025</v>
      </c>
      <c s="206" t="str">
        <f ca="1">IFERROR(C30/C27,"-")</f>
        <v>-</v>
      </c>
      <c s="206" t="str">
        <f ca="1" t="shared" si="8" ref="D31:R31">IFERROR(D30/D27,"-")</f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  <c s="206" t="str">
        <f t="shared" ca="1" si="8"/>
        <v>-</v>
      </c>
    </row>
    <row r="32" spans="2:18" ht="13.9">
      <c r="B32" s="200" t="s">
        <v>1186</v>
      </c>
      <c s="205">
        <f ca="1">SUMIF(Выводы!$F$9:$U$9,tables!C$26,Выводы!$F16:$U16)</f>
        <v>0</v>
      </c>
      <c s="205">
        <f ca="1">SUMIF(Выводы!$F$9:$U$9,tables!D$26,Выводы!$F16:$U16)</f>
        <v>0</v>
      </c>
      <c s="205">
        <f ca="1">SUMIF(Выводы!$F$9:$U$9,tables!E$26,Выводы!$F16:$U16)</f>
        <v>0</v>
      </c>
      <c s="205">
        <f ca="1">SUMIF(Выводы!$F$9:$U$9,tables!F$26,Выводы!$F16:$U16)</f>
        <v>0</v>
      </c>
      <c s="205">
        <f ca="1">SUMIF(Выводы!$F$9:$U$9,tables!G$26,Выводы!$F16:$U16)</f>
        <v>0</v>
      </c>
      <c s="205">
        <f ca="1">SUMIF(Выводы!$F$9:$U$9,tables!H$26,Выводы!$F16:$U16)</f>
        <v>0</v>
      </c>
      <c s="205">
        <f ca="1">SUMIF(Выводы!$F$9:$U$9,tables!I$26,Выводы!$F16:$U16)</f>
        <v>0</v>
      </c>
      <c s="205">
        <f ca="1">SUMIF(Выводы!$F$9:$U$9,tables!J$26,Выводы!$F16:$U16)</f>
        <v>0</v>
      </c>
      <c s="205">
        <f ca="1">SUMIF(Выводы!$F$9:$U$9,tables!K$26,Выводы!$F16:$U16)</f>
        <v>0</v>
      </c>
      <c s="205">
        <f ca="1">SUMIF(Выводы!$F$9:$U$9,tables!L$26,Выводы!$F16:$U16)</f>
        <v>0</v>
      </c>
      <c s="205">
        <f ca="1">SUMIF(Выводы!$F$9:$U$9,tables!M$26,Выводы!$F16:$U16)</f>
        <v>0</v>
      </c>
      <c s="205">
        <f ca="1">SUMIF(Выводы!$F$9:$U$9,tables!N$26,Выводы!$F16:$U16)</f>
        <v>0</v>
      </c>
      <c s="205">
        <f ca="1">SUMIF(Выводы!$F$9:$U$9,tables!O$26,Выводы!$F16:$U16)</f>
        <v>0</v>
      </c>
      <c s="205">
        <f ca="1">SUMIF(Выводы!$F$9:$U$9,tables!P$26,Выводы!$F16:$U16)</f>
        <v>0</v>
      </c>
      <c s="205">
        <f ca="1">SUMIF(Выводы!$F$9:$U$9,tables!Q$26,Выводы!$F16:$U16)</f>
        <v>0</v>
      </c>
      <c s="205">
        <f ca="1">SUMIF(Выводы!$F$9:$U$9,tables!R$26,Выводы!$F16:$U16)</f>
        <v>0</v>
      </c>
    </row>
    <row r="33" spans="2:18" ht="13.9">
      <c r="B33" s="200" t="s">
        <v>1129</v>
      </c>
      <c s="206" t="str">
        <f ca="1">IFERROR(C32/C27,"-")</f>
        <v>-</v>
      </c>
      <c s="206" t="str">
        <f ca="1" t="shared" si="9" ref="D33:R33">IFERROR(D32/D27,"-")</f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  <c s="206" t="str">
        <f t="shared" ca="1" si="9"/>
        <v>-</v>
      </c>
    </row>
    <row r="35" spans="7:7" ht="13.9">
      <c r="G35" s="210" t="s">
        <v>330</v>
      </c>
    </row>
    <row r="36" spans="2:18" ht="13.9">
      <c r="B36" s="199" t="s">
        <v>562</v>
      </c>
      <c s="199">
        <f>Выводы!F9</f>
        <v>2025</v>
      </c>
      <c s="199">
        <f>C36+1</f>
        <v>2026</v>
      </c>
      <c s="199">
        <f t="shared" si="10" ref="E36:R36">D36+1</f>
        <v>2027</v>
      </c>
      <c s="199">
        <f t="shared" si="10"/>
        <v>2028</v>
      </c>
      <c s="199">
        <f t="shared" si="10"/>
        <v>2029</v>
      </c>
      <c s="199">
        <f t="shared" si="10"/>
        <v>2030</v>
      </c>
      <c s="199">
        <f t="shared" si="10"/>
        <v>2031</v>
      </c>
      <c s="199">
        <f t="shared" si="10"/>
        <v>2032</v>
      </c>
      <c s="199">
        <f t="shared" si="10"/>
        <v>2033</v>
      </c>
      <c s="199">
        <f t="shared" si="10"/>
        <v>2034</v>
      </c>
      <c s="199">
        <f t="shared" si="10"/>
        <v>2035</v>
      </c>
      <c s="199">
        <f t="shared" si="10"/>
        <v>2036</v>
      </c>
      <c s="199">
        <f t="shared" si="10"/>
        <v>2037</v>
      </c>
      <c s="199">
        <f t="shared" si="10"/>
        <v>2038</v>
      </c>
      <c s="199">
        <f t="shared" si="10"/>
        <v>2039</v>
      </c>
      <c s="199">
        <f t="shared" si="10"/>
        <v>2040</v>
      </c>
    </row>
    <row r="37" spans="2:18" ht="13.9">
      <c r="B37" s="200" t="s">
        <v>1187</v>
      </c>
      <c s="205">
        <f ca="1">SUMIF(Выводы!$F$9:$U$9,tables!C$36,Выводы!$F22:$U22)</f>
        <v>0</v>
      </c>
      <c s="205">
        <f ca="1">SUMIF(Выводы!$F$9:$U$9,tables!D$36,Выводы!$F22:$U22)</f>
        <v>0</v>
      </c>
      <c s="205">
        <f ca="1">SUMIF(Выводы!$F$9:$U$9,tables!E$36,Выводы!$F22:$U22)</f>
        <v>0</v>
      </c>
      <c s="205">
        <f ca="1">SUMIF(Выводы!$F$9:$U$9,tables!F$36,Выводы!$F22:$U22)</f>
        <v>0</v>
      </c>
      <c s="205">
        <f ca="1">SUMIF(Выводы!$F$9:$U$9,tables!G$36,Выводы!$F22:$U22)</f>
        <v>0</v>
      </c>
      <c s="205">
        <f ca="1">SUMIF(Выводы!$F$9:$U$9,tables!H$36,Выводы!$F22:$U22)</f>
        <v>0</v>
      </c>
      <c s="205">
        <f ca="1">SUMIF(Выводы!$F$9:$U$9,tables!I$36,Выводы!$F22:$U22)</f>
        <v>0</v>
      </c>
      <c s="205">
        <f ca="1">SUMIF(Выводы!$F$9:$U$9,tables!J$36,Выводы!$F22:$U22)</f>
        <v>0</v>
      </c>
      <c s="205">
        <f ca="1">SUMIF(Выводы!$F$9:$U$9,tables!K$36,Выводы!$F22:$U22)</f>
        <v>0</v>
      </c>
      <c s="205">
        <f ca="1">SUMIF(Выводы!$F$9:$U$9,tables!L$36,Выводы!$F22:$U22)</f>
        <v>0</v>
      </c>
      <c s="205">
        <f ca="1">SUMIF(Выводы!$F$9:$U$9,tables!M$36,Выводы!$F22:$U22)</f>
        <v>0</v>
      </c>
      <c s="205">
        <f ca="1">SUMIF(Выводы!$F$9:$U$9,tables!N$36,Выводы!$F22:$U22)</f>
        <v>0</v>
      </c>
      <c s="205">
        <f ca="1">SUMIF(Выводы!$F$9:$U$9,tables!O$36,Выводы!$F22:$U22)</f>
        <v>0</v>
      </c>
      <c s="205">
        <f ca="1">SUMIF(Выводы!$F$9:$U$9,tables!P$36,Выводы!$F22:$U22)</f>
        <v>0</v>
      </c>
      <c s="205">
        <f ca="1">SUMIF(Выводы!$F$9:$U$9,tables!Q$36,Выводы!$F22:$U22)</f>
        <v>0</v>
      </c>
      <c s="205">
        <f ca="1">SUMIF(Выводы!$F$9:$U$9,tables!R$36,Выводы!$F22:$U22)</f>
        <v>0</v>
      </c>
    </row>
    <row r="38" spans="2:18" ht="13.9">
      <c r="B38" s="200" t="s">
        <v>1188</v>
      </c>
      <c s="205">
        <f>SUMIF(Выводы!$F$9:$U$9,tables!C$36,Выводы!$F23:$U23)</f>
        <v>0</v>
      </c>
      <c s="205">
        <f>SUMIF(Выводы!$F$9:$U$9,tables!D$36,Выводы!$F23:$U23)</f>
        <v>0</v>
      </c>
      <c s="205">
        <f>SUMIF(Выводы!$F$9:$U$9,tables!E$36,Выводы!$F23:$U23)</f>
        <v>0</v>
      </c>
      <c s="205">
        <f>SUMIF(Выводы!$F$9:$U$9,tables!F$36,Выводы!$F23:$U23)</f>
        <v>0</v>
      </c>
      <c s="205">
        <f>SUMIF(Выводы!$F$9:$U$9,tables!G$36,Выводы!$F23:$U23)</f>
        <v>0</v>
      </c>
      <c s="205">
        <f>SUMIF(Выводы!$F$9:$U$9,tables!H$36,Выводы!$F23:$U23)</f>
        <v>0</v>
      </c>
      <c s="205">
        <f>SUMIF(Выводы!$F$9:$U$9,tables!I$36,Выводы!$F23:$U23)</f>
        <v>0</v>
      </c>
      <c s="205">
        <f>SUMIF(Выводы!$F$9:$U$9,tables!J$36,Выводы!$F23:$U23)</f>
        <v>0</v>
      </c>
      <c s="205">
        <f>SUMIF(Выводы!$F$9:$U$9,tables!K$36,Выводы!$F23:$U23)</f>
        <v>0</v>
      </c>
      <c s="205">
        <f>SUMIF(Выводы!$F$9:$U$9,tables!L$36,Выводы!$F23:$U23)</f>
        <v>0</v>
      </c>
      <c s="205">
        <f>SUMIF(Выводы!$F$9:$U$9,tables!M$36,Выводы!$F23:$U23)</f>
        <v>0</v>
      </c>
      <c s="205">
        <f>SUMIF(Выводы!$F$9:$U$9,tables!N$36,Выводы!$F23:$U23)</f>
        <v>0</v>
      </c>
      <c s="205">
        <f>SUMIF(Выводы!$F$9:$U$9,tables!O$36,Выводы!$F23:$U23)</f>
        <v>0</v>
      </c>
      <c s="205">
        <f>SUMIF(Выводы!$F$9:$U$9,tables!P$36,Выводы!$F23:$U23)</f>
        <v>0</v>
      </c>
      <c s="205">
        <f>SUMIF(Выводы!$F$9:$U$9,tables!Q$36,Выводы!$F23:$U23)</f>
        <v>0</v>
      </c>
      <c s="205">
        <f>SUMIF(Выводы!$F$9:$U$9,tables!R$36,Выводы!$F23:$U23)</f>
        <v>0</v>
      </c>
    </row>
    <row r="39" spans="2:18" ht="13.9">
      <c r="B39" s="200" t="s">
        <v>1189</v>
      </c>
      <c s="205">
        <f ca="1">SUMIF(Выводы!$F$9:$U$9,tables!C$36,Выводы!$F24:$U24)</f>
        <v>0</v>
      </c>
      <c s="205">
        <f ca="1">SUMIF(Выводы!$F$9:$U$9,tables!D$36,Выводы!$F24:$U24)</f>
        <v>0</v>
      </c>
      <c s="205">
        <f ca="1">SUMIF(Выводы!$F$9:$U$9,tables!E$36,Выводы!$F24:$U24)</f>
        <v>0</v>
      </c>
      <c s="205">
        <f ca="1">SUMIF(Выводы!$F$9:$U$9,tables!F$36,Выводы!$F24:$U24)</f>
        <v>0</v>
      </c>
      <c s="205">
        <f ca="1">SUMIF(Выводы!$F$9:$U$9,tables!G$36,Выводы!$F24:$U24)</f>
        <v>0</v>
      </c>
      <c s="205">
        <f ca="1">SUMIF(Выводы!$F$9:$U$9,tables!H$36,Выводы!$F24:$U24)</f>
        <v>0</v>
      </c>
      <c s="205">
        <f ca="1">SUMIF(Выводы!$F$9:$U$9,tables!I$36,Выводы!$F24:$U24)</f>
        <v>0</v>
      </c>
      <c s="205">
        <f ca="1">SUMIF(Выводы!$F$9:$U$9,tables!J$36,Выводы!$F24:$U24)</f>
        <v>0</v>
      </c>
      <c s="205">
        <f ca="1">SUMIF(Выводы!$F$9:$U$9,tables!K$36,Выводы!$F24:$U24)</f>
        <v>0</v>
      </c>
      <c s="205">
        <f ca="1">SUMIF(Выводы!$F$9:$U$9,tables!L$36,Выводы!$F24:$U24)</f>
        <v>0</v>
      </c>
      <c s="205">
        <f ca="1">SUMIF(Выводы!$F$9:$U$9,tables!M$36,Выводы!$F24:$U24)</f>
        <v>0</v>
      </c>
      <c s="205">
        <f ca="1">SUMIF(Выводы!$F$9:$U$9,tables!N$36,Выводы!$F24:$U24)</f>
        <v>0</v>
      </c>
      <c s="205">
        <f ca="1">SUMIF(Выводы!$F$9:$U$9,tables!O$36,Выводы!$F24:$U24)</f>
        <v>0</v>
      </c>
      <c s="205">
        <f ca="1">SUMIF(Выводы!$F$9:$U$9,tables!P$36,Выводы!$F24:$U24)</f>
        <v>0</v>
      </c>
      <c s="205">
        <f ca="1">SUMIF(Выводы!$F$9:$U$9,tables!Q$36,Выводы!$F24:$U24)</f>
        <v>0</v>
      </c>
      <c s="205">
        <f ca="1">SUMIF(Выводы!$F$9:$U$9,tables!R$36,Выводы!$F24:$U24)</f>
        <v>0</v>
      </c>
    </row>
    <row r="40" spans="2:18" ht="13.9">
      <c r="B40" s="200" t="s">
        <v>1190</v>
      </c>
      <c s="205">
        <f ca="1">SUM(C37:C39)</f>
        <v>0</v>
      </c>
      <c s="205">
        <f ca="1" t="shared" si="11" ref="D40:R40">SUM(D37:D39)</f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  <c s="205">
        <f t="shared" ca="1" si="11"/>
        <v>0</v>
      </c>
    </row>
    <row r="42" spans="7:7" ht="13.9">
      <c r="G42" s="210" t="str">
        <f>CONCATENATE("Инвестиционная оценка (ставка дисконтирования ",VALUE(TEXT(Ставка_Дисконтирования*100,"# ##0"))," % )")</f>
        <v>Инвестиционная оценка (ставка дисконтирования 19 % )</v>
      </c>
    </row>
    <row r="43" spans="2:6" ht="33.75" customHeight="1">
      <c r="B43" s="630" t="s">
        <v>562</v>
      </c>
      <c s="628" t="s">
        <v>1193</v>
      </c>
      <c s="629"/>
      <c s="628" t="s">
        <v>1194</v>
      </c>
      <c s="629"/>
    </row>
    <row r="44" spans="2:6" ht="33.75" customHeight="1">
      <c r="B44" s="631"/>
      <c s="213" t="s">
        <v>454</v>
      </c>
      <c s="213" t="s">
        <v>1184</v>
      </c>
      <c s="213" t="s">
        <v>454</v>
      </c>
      <c s="213" t="s">
        <v>1184</v>
      </c>
    </row>
    <row r="45" spans="2:6" ht="13.9">
      <c r="B45" s="196" t="s">
        <v>1195</v>
      </c>
      <c s="205">
        <f ca="1">Выводы!D35</f>
        <v>-0.00095709700890973413</v>
      </c>
      <c s="205">
        <f ca="1">Выводы!E35</f>
        <v>-0.00095709700890973413</v>
      </c>
      <c s="205">
        <f ca="1">Выводы!F35</f>
        <v>-0.00095709700890973413</v>
      </c>
      <c s="205">
        <f ca="1">Выводы!G35</f>
        <v>-0.00095709700890973413</v>
      </c>
    </row>
    <row r="46" spans="2:6" ht="13.9">
      <c r="B46" s="196" t="s">
        <v>1196</v>
      </c>
      <c s="197">
        <f ca="1">Выводы!D36</f>
        <v>0</v>
      </c>
      <c s="197" t="str">
        <f ca="1">Выводы!E36</f>
        <v>-</v>
      </c>
      <c s="197">
        <f ca="1">Выводы!F36</f>
        <v>0</v>
      </c>
      <c s="197" t="str">
        <f ca="1">Выводы!G36</f>
        <v>-</v>
      </c>
    </row>
    <row r="47" spans="2:6" ht="13.9">
      <c r="B47" s="196" t="s">
        <v>1197</v>
      </c>
      <c s="198" t="str">
        <f ca="1">Выводы!D37</f>
        <v>не окупается</v>
      </c>
      <c s="198" t="str">
        <f ca="1">Выводы!E37</f>
        <v>не окупается</v>
      </c>
      <c s="198" t="str">
        <f ca="1">Выводы!F37</f>
        <v>не окупается</v>
      </c>
      <c s="198" t="str">
        <f ca="1">Выводы!G37</f>
        <v>не окупается</v>
      </c>
    </row>
    <row r="48" spans="2:6" ht="13.9">
      <c r="B48" s="196" t="s">
        <v>1198</v>
      </c>
      <c s="198" t="str">
        <f ca="1">Выводы!D38</f>
        <v>не окупается</v>
      </c>
      <c s="198" t="str">
        <f ca="1">Выводы!E38</f>
        <v>не окупается</v>
      </c>
      <c s="198" t="str">
        <f ca="1">Выводы!F38</f>
        <v>не окупается</v>
      </c>
      <c s="198" t="str">
        <f ca="1">Выводы!G38</f>
        <v>не окупается</v>
      </c>
    </row>
    <row r="50" spans="7:7" ht="13.9">
      <c r="G50" s="210" t="s">
        <v>1199</v>
      </c>
    </row>
    <row r="52" spans="2:16" ht="13.9">
      <c r="B52" s="630" t="s">
        <v>562</v>
      </c>
      <c s="630" t="s">
        <v>482</v>
      </c>
      <c s="630" t="s">
        <v>454</v>
      </c>
      <c s="630" t="s">
        <v>1184</v>
      </c>
      <c s="636">
        <f>Выводы!F41</f>
        <v>2025</v>
      </c>
      <c s="636">
        <f>Выводы!G41</f>
        <v>2026</v>
      </c>
      <c s="636">
        <f>Выводы!H41</f>
        <v>2027</v>
      </c>
      <c s="636">
        <f>Выводы!I41</f>
        <v>2028</v>
      </c>
      <c s="636">
        <f>Выводы!J41</f>
        <v>2029</v>
      </c>
      <c s="636">
        <f>Выводы!K41</f>
        <v>2030</v>
      </c>
      <c s="636">
        <f>Выводы!L41</f>
        <v>2031</v>
      </c>
      <c s="636">
        <f>Выводы!M41</f>
        <v>2032</v>
      </c>
      <c s="636">
        <f>Выводы!N41</f>
        <v>2033</v>
      </c>
      <c s="636">
        <f>Выводы!O41</f>
        <v>2034</v>
      </c>
      <c s="636">
        <f>Выводы!P41</f>
        <v>2035</v>
      </c>
    </row>
    <row r="53" spans="2:16" ht="13.9">
      <c r="B53" s="631"/>
      <c s="631"/>
      <c s="631"/>
      <c s="631"/>
      <c s="637"/>
      <c s="637"/>
      <c s="637"/>
      <c s="637"/>
      <c s="637"/>
      <c s="637"/>
      <c s="637"/>
      <c s="637"/>
      <c s="637"/>
      <c s="637"/>
      <c s="637"/>
    </row>
    <row r="54" spans="2:16" ht="13.9">
      <c r="B54" s="200" t="str">
        <f>Выводы!B43</f>
        <v>Целевой объем продаж новой продукции</v>
      </c>
      <c s="215" t="str">
        <f>Выводы!C43</f>
        <v>тыс. руб.</v>
      </c>
      <c s="215">
        <f>Выводы!D43</f>
        <v>0</v>
      </c>
      <c s="215">
        <f>Выводы!E43</f>
        <v>0</v>
      </c>
      <c s="215">
        <f>Выводы!F43</f>
        <v>0</v>
      </c>
      <c s="215">
        <f>Выводы!G43</f>
        <v>0</v>
      </c>
      <c s="215">
        <f>Выводы!H43</f>
        <v>0</v>
      </c>
      <c s="215">
        <f>Выводы!I43</f>
        <v>0</v>
      </c>
      <c s="215">
        <f>Выводы!J43</f>
        <v>0</v>
      </c>
      <c s="215">
        <f>Выводы!K43</f>
        <v>0</v>
      </c>
      <c s="215">
        <f>Выводы!L43</f>
        <v>0</v>
      </c>
      <c s="215">
        <f>Выводы!M43</f>
        <v>0</v>
      </c>
      <c s="215">
        <f>Выводы!N43</f>
        <v>0</v>
      </c>
      <c s="215">
        <f>Выводы!O43</f>
        <v>0</v>
      </c>
      <c s="215">
        <f>Выводы!P43</f>
        <v>0</v>
      </c>
    </row>
    <row r="55" spans="2:16" ht="13.9">
      <c r="B55" s="200" t="str">
        <f>Выводы!B44</f>
        <v>Объем налоговых поступлений</v>
      </c>
      <c s="215" t="str">
        <f>Выводы!C44</f>
        <v>тыс. руб.</v>
      </c>
      <c s="215">
        <f ca="1">Выводы!D44</f>
        <v>0</v>
      </c>
      <c s="215">
        <f ca="1">Выводы!E44</f>
        <v>0</v>
      </c>
      <c s="215">
        <f ca="1">Выводы!F44</f>
        <v>0</v>
      </c>
      <c s="215">
        <f ca="1">Выводы!G44</f>
        <v>0</v>
      </c>
      <c s="215">
        <f ca="1">Выводы!H44</f>
        <v>0</v>
      </c>
      <c s="215">
        <f ca="1">Выводы!I44</f>
        <v>0</v>
      </c>
      <c s="215">
        <f ca="1">Выводы!J44</f>
        <v>0</v>
      </c>
      <c s="215">
        <f ca="1">Выводы!K44</f>
        <v>0</v>
      </c>
      <c s="215">
        <f ca="1">Выводы!L44</f>
        <v>0</v>
      </c>
      <c s="215">
        <f ca="1">Выводы!M44</f>
        <v>0</v>
      </c>
      <c s="215">
        <f ca="1">Выводы!N44</f>
        <v>0</v>
      </c>
      <c s="215">
        <f ca="1">Выводы!O44</f>
        <v>0</v>
      </c>
      <c s="215">
        <f ca="1">Выводы!P44</f>
        <v>0</v>
      </c>
    </row>
    <row r="56" spans="2:16" ht="13.9">
      <c r="B56" s="200" t="str">
        <f>Выводы!B45</f>
        <v>Объем средств частных инвесторов</v>
      </c>
      <c s="215" t="str">
        <f>Выводы!C45</f>
        <v>тыс. руб.</v>
      </c>
      <c s="215">
        <f>Выводы!D45</f>
        <v>0</v>
      </c>
      <c s="215">
        <f>Выводы!E45</f>
        <v>0</v>
      </c>
      <c s="215">
        <f>Выводы!F45</f>
        <v>0</v>
      </c>
      <c s="215">
        <f>Выводы!G45</f>
        <v>0</v>
      </c>
      <c s="215">
        <f>Выводы!H45</f>
        <v>0</v>
      </c>
      <c s="215">
        <f>Выводы!I45</f>
        <v>0</v>
      </c>
      <c s="215">
        <f>Выводы!J45</f>
        <v>0</v>
      </c>
      <c s="215">
        <f>Выводы!K45</f>
        <v>0</v>
      </c>
      <c s="215">
        <f>Выводы!L45</f>
        <v>0</v>
      </c>
      <c s="215">
        <f>Выводы!M45</f>
        <v>0</v>
      </c>
      <c s="215">
        <f>Выводы!N45</f>
        <v>0</v>
      </c>
      <c s="215">
        <f>Выводы!O45</f>
        <v>0</v>
      </c>
      <c s="215">
        <f>Выводы!P45</f>
        <v>0</v>
      </c>
    </row>
    <row r="57" spans="2:16" ht="13.9">
      <c r="B57" s="200" t="str">
        <f>Выводы!B46</f>
        <v>Количество создаваемых рабочих мест</v>
      </c>
      <c s="215" t="str">
        <f>Выводы!C46</f>
        <v>ед.</v>
      </c>
      <c s="215">
        <f>Выводы!D46</f>
        <v>0</v>
      </c>
      <c s="215">
        <f>Выводы!E46</f>
        <v>0</v>
      </c>
      <c s="215">
        <f>Выводы!F46</f>
        <v>0</v>
      </c>
      <c s="215">
        <f>Выводы!G46</f>
        <v>0</v>
      </c>
      <c s="215">
        <f>Выводы!H46</f>
        <v>0</v>
      </c>
      <c s="215">
        <f>Выводы!I46</f>
        <v>0</v>
      </c>
      <c s="215">
        <f>Выводы!J46</f>
        <v>0</v>
      </c>
      <c s="215">
        <f>Выводы!K46</f>
        <v>0</v>
      </c>
      <c s="215">
        <f>Выводы!L46</f>
        <v>0</v>
      </c>
      <c s="215">
        <f>Выводы!M46</f>
        <v>0</v>
      </c>
      <c s="215">
        <f>Выводы!N46</f>
        <v>0</v>
      </c>
      <c s="215">
        <f>Выводы!O46</f>
        <v>0</v>
      </c>
      <c s="215">
        <f>Выводы!P46</f>
        <v>0</v>
      </c>
    </row>
    <row r="58" spans="2:16" ht="13.9">
      <c r="B58" s="200">
        <f>Выводы!B47</f>
        <v>0</v>
      </c>
      <c s="215">
        <f>Выводы!C47</f>
        <v>0</v>
      </c>
      <c s="215">
        <f>Выводы!D47</f>
        <v>0</v>
      </c>
      <c s="215">
        <f>Выводы!E47</f>
        <v>0</v>
      </c>
      <c s="215">
        <f>Выводы!F47</f>
        <v>0</v>
      </c>
      <c s="215">
        <f>Выводы!G47</f>
        <v>0</v>
      </c>
      <c s="215">
        <f>Выводы!H47</f>
        <v>0</v>
      </c>
      <c s="215">
        <f>Выводы!I47</f>
        <v>0</v>
      </c>
      <c s="215">
        <f>Выводы!J47</f>
        <v>0</v>
      </c>
      <c s="215">
        <f>Выводы!K47</f>
        <v>0</v>
      </c>
      <c s="215">
        <f>Выводы!L47</f>
        <v>0</v>
      </c>
      <c s="215">
        <f>Выводы!M47</f>
        <v>0</v>
      </c>
      <c s="215">
        <f>Выводы!N47</f>
        <v>0</v>
      </c>
      <c s="215">
        <f>Выводы!O47</f>
        <v>0</v>
      </c>
      <c s="215">
        <f>Выводы!P47</f>
        <v>0</v>
      </c>
    </row>
    <row r="61" spans="7:7" ht="13.9">
      <c r="G61" s="210" t="s">
        <v>1258</v>
      </c>
    </row>
    <row r="62" spans="2:2" ht="13.9">
      <c r="B62" s="212" t="s">
        <v>326</v>
      </c>
    </row>
    <row r="63" spans="2:18" ht="13.9">
      <c r="B63" s="199" t="s">
        <v>562</v>
      </c>
      <c s="199">
        <f>Выводы!F9</f>
        <v>2025</v>
      </c>
      <c s="199">
        <f>C63+1</f>
        <v>2026</v>
      </c>
      <c s="199">
        <f t="shared" si="12" ref="E63:R63">D63+1</f>
        <v>2027</v>
      </c>
      <c s="199">
        <f t="shared" si="12"/>
        <v>2028</v>
      </c>
      <c s="199">
        <f t="shared" si="12"/>
        <v>2029</v>
      </c>
      <c s="199">
        <f t="shared" si="12"/>
        <v>2030</v>
      </c>
      <c s="199">
        <f t="shared" si="12"/>
        <v>2031</v>
      </c>
      <c s="199">
        <f t="shared" si="12"/>
        <v>2032</v>
      </c>
      <c s="199">
        <f t="shared" si="12"/>
        <v>2033</v>
      </c>
      <c s="199">
        <f t="shared" si="12"/>
        <v>2034</v>
      </c>
      <c s="199">
        <f t="shared" si="12"/>
        <v>2035</v>
      </c>
      <c s="199">
        <f t="shared" si="12"/>
        <v>2036</v>
      </c>
      <c s="199">
        <f t="shared" si="12"/>
        <v>2037</v>
      </c>
      <c s="199">
        <f t="shared" si="12"/>
        <v>2038</v>
      </c>
      <c s="199">
        <f t="shared" si="12"/>
        <v>2039</v>
      </c>
      <c s="199">
        <f t="shared" si="12"/>
        <v>2040</v>
      </c>
    </row>
    <row r="64" spans="2:18" ht="13.9">
      <c r="B64" s="200" t="s">
        <v>273</v>
      </c>
      <c s="205">
        <f ca="1">SUMIF(Выводы!$F$116:$U$116,tables!C$63,Выводы!$F118:$U118)</f>
        <v>0</v>
      </c>
      <c s="205">
        <f ca="1">SUMIF(Выводы!$F$116:$U$116,tables!D$63,Выводы!$F118:$U118)</f>
        <v>0</v>
      </c>
      <c s="205">
        <f ca="1">SUMIF(Выводы!$F$116:$U$116,tables!E$63,Выводы!$F118:$U118)</f>
        <v>0</v>
      </c>
      <c s="205">
        <f ca="1">SUMIF(Выводы!$F$116:$U$116,tables!F$63,Выводы!$F118:$U118)</f>
        <v>0</v>
      </c>
      <c s="205">
        <f ca="1">SUMIF(Выводы!$F$116:$U$116,tables!G$63,Выводы!$F118:$U118)</f>
        <v>0</v>
      </c>
      <c s="205">
        <f ca="1">SUMIF(Выводы!$F$116:$U$116,tables!H$63,Выводы!$F118:$U118)</f>
        <v>0</v>
      </c>
      <c s="205">
        <f ca="1">SUMIF(Выводы!$F$116:$U$116,tables!I$63,Выводы!$F118:$U118)</f>
        <v>0</v>
      </c>
      <c s="205">
        <f ca="1">SUMIF(Выводы!$F$116:$U$116,tables!J$63,Выводы!$F118:$U118)</f>
        <v>0</v>
      </c>
      <c s="205">
        <f ca="1">SUMIF(Выводы!$F$116:$U$116,tables!K$63,Выводы!$F118:$U118)</f>
        <v>0</v>
      </c>
      <c s="205">
        <f ca="1">SUMIF(Выводы!$F$116:$U$116,tables!L$63,Выводы!$F118:$U118)</f>
        <v>0</v>
      </c>
      <c s="205">
        <f ca="1">SUMIF(Выводы!$F$116:$U$116,tables!M$63,Выводы!$F118:$U118)</f>
        <v>0</v>
      </c>
      <c s="205">
        <f ca="1">SUMIF(Выводы!$F$116:$U$116,tables!N$63,Выводы!$F118:$U118)</f>
        <v>0</v>
      </c>
      <c s="205">
        <f ca="1">SUMIF(Выводы!$F$116:$U$116,tables!O$63,Выводы!$F118:$U118)</f>
        <v>0</v>
      </c>
      <c s="205">
        <f ca="1">SUMIF(Выводы!$F$116:$U$116,tables!P$63,Выводы!$F118:$U118)</f>
        <v>0</v>
      </c>
      <c s="205">
        <f ca="1">SUMIF(Выводы!$F$116:$U$116,tables!Q$63,Выводы!$F118:$U118)</f>
        <v>0</v>
      </c>
      <c s="205">
        <f ca="1">SUMIF(Выводы!$F$116:$U$116,tables!R$63,Выводы!$F118:$U118)</f>
        <v>0</v>
      </c>
    </row>
    <row r="65" spans="2:18" ht="13.9">
      <c r="B65" s="200" t="s">
        <v>1218</v>
      </c>
      <c s="206">
        <f ca="1">SUMIF(Выводы!$F$116:$U$116,tables!C$63,Выводы!$F119:$U119)</f>
        <v>0</v>
      </c>
      <c s="206">
        <f ca="1">SUMIF(Выводы!$F$116:$U$116,tables!D$63,Выводы!$F119:$U119)</f>
        <v>0</v>
      </c>
      <c s="206">
        <f ca="1">SUMIF(Выводы!$F$116:$U$116,tables!E$63,Выводы!$F119:$U119)</f>
        <v>0</v>
      </c>
      <c s="206">
        <f ca="1">SUMIF(Выводы!$F$116:$U$116,tables!F$63,Выводы!$F119:$U119)</f>
        <v>0</v>
      </c>
      <c s="206">
        <f ca="1">SUMIF(Выводы!$F$116:$U$116,tables!G$63,Выводы!$F119:$U119)</f>
        <v>0</v>
      </c>
      <c s="206">
        <f ca="1">SUMIF(Выводы!$F$116:$U$116,tables!H$63,Выводы!$F119:$U119)</f>
        <v>0</v>
      </c>
      <c s="206">
        <f ca="1">SUMIF(Выводы!$F$116:$U$116,tables!I$63,Выводы!$F119:$U119)</f>
        <v>0</v>
      </c>
      <c s="206">
        <f ca="1">SUMIF(Выводы!$F$116:$U$116,tables!J$63,Выводы!$F119:$U119)</f>
        <v>0</v>
      </c>
      <c s="206">
        <f ca="1">SUMIF(Выводы!$F$116:$U$116,tables!K$63,Выводы!$F119:$U119)</f>
        <v>0</v>
      </c>
      <c s="206">
        <f ca="1">SUMIF(Выводы!$F$116:$U$116,tables!L$63,Выводы!$F119:$U119)</f>
        <v>0</v>
      </c>
      <c s="206">
        <f ca="1">SUMIF(Выводы!$F$116:$U$116,tables!M$63,Выводы!$F119:$U119)</f>
        <v>0</v>
      </c>
      <c s="206">
        <f ca="1">SUMIF(Выводы!$F$116:$U$116,tables!N$63,Выводы!$F119:$U119)</f>
        <v>0</v>
      </c>
      <c s="206">
        <f ca="1">SUMIF(Выводы!$F$116:$U$116,tables!O$63,Выводы!$F119:$U119)</f>
        <v>0</v>
      </c>
      <c s="206">
        <f ca="1">SUMIF(Выводы!$F$116:$U$116,tables!P$63,Выводы!$F119:$U119)</f>
        <v>0</v>
      </c>
      <c s="206">
        <f ca="1">SUMIF(Выводы!$F$116:$U$116,tables!Q$63,Выводы!$F119:$U119)</f>
        <v>0</v>
      </c>
      <c s="206">
        <f ca="1">SUMIF(Выводы!$F$116:$U$116,tables!R$63,Выводы!$F119:$U119)</f>
        <v>0</v>
      </c>
    </row>
    <row r="66" spans="2:18" ht="13.9">
      <c r="B66" s="200" t="s">
        <v>1185</v>
      </c>
      <c s="205">
        <f ca="1">SUMIF(Выводы!$F$116:$U$116,tables!C$63,Выводы!$F120:$U120)</f>
        <v>0</v>
      </c>
      <c s="205">
        <f ca="1">SUMIF(Выводы!$F$116:$U$116,tables!D$63,Выводы!$F120:$U120)</f>
        <v>0</v>
      </c>
      <c s="205">
        <f ca="1">SUMIF(Выводы!$F$116:$U$116,tables!E$63,Выводы!$F120:$U120)</f>
        <v>0</v>
      </c>
      <c s="205">
        <f ca="1">SUMIF(Выводы!$F$116:$U$116,tables!F$63,Выводы!$F120:$U120)</f>
        <v>0</v>
      </c>
      <c s="205">
        <f ca="1">SUMIF(Выводы!$F$116:$U$116,tables!G$63,Выводы!$F120:$U120)</f>
        <v>0</v>
      </c>
      <c s="205">
        <f ca="1">SUMIF(Выводы!$F$116:$U$116,tables!H$63,Выводы!$F120:$U120)</f>
        <v>0</v>
      </c>
      <c s="205">
        <f ca="1">SUMIF(Выводы!$F$116:$U$116,tables!I$63,Выводы!$F120:$U120)</f>
        <v>0</v>
      </c>
      <c s="205">
        <f ca="1">SUMIF(Выводы!$F$116:$U$116,tables!J$63,Выводы!$F120:$U120)</f>
        <v>0</v>
      </c>
      <c s="205">
        <f ca="1">SUMIF(Выводы!$F$116:$U$116,tables!K$63,Выводы!$F120:$U120)</f>
        <v>0</v>
      </c>
      <c s="205">
        <f ca="1">SUMIF(Выводы!$F$116:$U$116,tables!L$63,Выводы!$F120:$U120)</f>
        <v>0</v>
      </c>
      <c s="205">
        <f ca="1">SUMIF(Выводы!$F$116:$U$116,tables!M$63,Выводы!$F120:$U120)</f>
        <v>0</v>
      </c>
      <c s="205">
        <f ca="1">SUMIF(Выводы!$F$116:$U$116,tables!N$63,Выводы!$F120:$U120)</f>
        <v>0</v>
      </c>
      <c s="205">
        <f ca="1">SUMIF(Выводы!$F$116:$U$116,tables!O$63,Выводы!$F120:$U120)</f>
        <v>0</v>
      </c>
      <c s="205">
        <f ca="1">SUMIF(Выводы!$F$116:$U$116,tables!P$63,Выводы!$F120:$U120)</f>
        <v>0</v>
      </c>
      <c s="205">
        <f ca="1">SUMIF(Выводы!$F$116:$U$116,tables!Q$63,Выводы!$F120:$U120)</f>
        <v>0</v>
      </c>
      <c s="205">
        <f ca="1">SUMIF(Выводы!$F$116:$U$116,tables!R$63,Выводы!$F120:$U120)</f>
        <v>0</v>
      </c>
    </row>
    <row r="67" spans="2:18" ht="13.9">
      <c r="B67" s="200" t="s">
        <v>1020</v>
      </c>
      <c s="206">
        <f ca="1">SUMIF(Выводы!$F$116:$U$116,tables!C$63,Выводы!$F121:$U121)</f>
        <v>0</v>
      </c>
      <c s="206">
        <f ca="1">SUMIF(Выводы!$F$116:$U$116,tables!D$63,Выводы!$F121:$U121)</f>
        <v>0</v>
      </c>
      <c s="206">
        <f ca="1">SUMIF(Выводы!$F$116:$U$116,tables!E$63,Выводы!$F121:$U121)</f>
        <v>0</v>
      </c>
      <c s="206">
        <f ca="1">SUMIF(Выводы!$F$116:$U$116,tables!F$63,Выводы!$F121:$U121)</f>
        <v>0</v>
      </c>
      <c s="206">
        <f ca="1">SUMIF(Выводы!$F$116:$U$116,tables!G$63,Выводы!$F121:$U121)</f>
        <v>0</v>
      </c>
      <c s="206">
        <f ca="1">SUMIF(Выводы!$F$116:$U$116,tables!H$63,Выводы!$F121:$U121)</f>
        <v>0</v>
      </c>
      <c s="206">
        <f ca="1">SUMIF(Выводы!$F$116:$U$116,tables!I$63,Выводы!$F121:$U121)</f>
        <v>0</v>
      </c>
      <c s="206">
        <f ca="1">SUMIF(Выводы!$F$116:$U$116,tables!J$63,Выводы!$F121:$U121)</f>
        <v>0</v>
      </c>
      <c s="206">
        <f ca="1">SUMIF(Выводы!$F$116:$U$116,tables!K$63,Выводы!$F121:$U121)</f>
        <v>0</v>
      </c>
      <c s="206">
        <f ca="1">SUMIF(Выводы!$F$116:$U$116,tables!L$63,Выводы!$F121:$U121)</f>
        <v>0</v>
      </c>
      <c s="206">
        <f ca="1">SUMIF(Выводы!$F$116:$U$116,tables!M$63,Выводы!$F121:$U121)</f>
        <v>0</v>
      </c>
      <c s="206">
        <f ca="1">SUMIF(Выводы!$F$116:$U$116,tables!N$63,Выводы!$F121:$U121)</f>
        <v>0</v>
      </c>
      <c s="206">
        <f ca="1">SUMIF(Выводы!$F$116:$U$116,tables!O$63,Выводы!$F121:$U121)</f>
        <v>0</v>
      </c>
      <c s="206">
        <f ca="1">SUMIF(Выводы!$F$116:$U$116,tables!P$63,Выводы!$F121:$U121)</f>
        <v>0</v>
      </c>
      <c s="206">
        <f ca="1">SUMIF(Выводы!$F$116:$U$116,tables!Q$63,Выводы!$F121:$U121)</f>
        <v>0</v>
      </c>
      <c s="206">
        <f ca="1">SUMIF(Выводы!$F$116:$U$116,tables!R$63,Выводы!$F121:$U121)</f>
        <v>0</v>
      </c>
    </row>
    <row r="68" spans="2:18" ht="13.9">
      <c r="B68" s="200" t="s">
        <v>577</v>
      </c>
      <c s="205">
        <f ca="1">SUMIF(Выводы!$F$116:$U$116,tables!C$63,Выводы!$F122:$U122)</f>
        <v>0</v>
      </c>
      <c s="205">
        <f ca="1">SUMIF(Выводы!$F$116:$U$116,tables!D$63,Выводы!$F122:$U122)</f>
        <v>0</v>
      </c>
      <c s="205">
        <f ca="1">SUMIF(Выводы!$F$116:$U$116,tables!E$63,Выводы!$F122:$U122)</f>
        <v>0</v>
      </c>
      <c s="205">
        <f ca="1">SUMIF(Выводы!$F$116:$U$116,tables!F$63,Выводы!$F122:$U122)</f>
        <v>0</v>
      </c>
      <c s="205">
        <f ca="1">SUMIF(Выводы!$F$116:$U$116,tables!G$63,Выводы!$F122:$U122)</f>
        <v>0</v>
      </c>
      <c s="205">
        <f ca="1">SUMIF(Выводы!$F$116:$U$116,tables!H$63,Выводы!$F122:$U122)</f>
        <v>0</v>
      </c>
      <c s="205">
        <f ca="1">SUMIF(Выводы!$F$116:$U$116,tables!I$63,Выводы!$F122:$U122)</f>
        <v>0</v>
      </c>
      <c s="205">
        <f ca="1">SUMIF(Выводы!$F$116:$U$116,tables!J$63,Выводы!$F122:$U122)</f>
        <v>0</v>
      </c>
      <c s="205">
        <f ca="1">SUMIF(Выводы!$F$116:$U$116,tables!K$63,Выводы!$F122:$U122)</f>
        <v>0</v>
      </c>
      <c s="205">
        <f ca="1">SUMIF(Выводы!$F$116:$U$116,tables!L$63,Выводы!$F122:$U122)</f>
        <v>0</v>
      </c>
      <c s="205">
        <f ca="1">SUMIF(Выводы!$F$116:$U$116,tables!M$63,Выводы!$F122:$U122)</f>
        <v>0</v>
      </c>
      <c s="205">
        <f ca="1">SUMIF(Выводы!$F$116:$U$116,tables!N$63,Выводы!$F122:$U122)</f>
        <v>0</v>
      </c>
      <c s="205">
        <f ca="1">SUMIF(Выводы!$F$116:$U$116,tables!O$63,Выводы!$F122:$U122)</f>
        <v>0</v>
      </c>
      <c s="205">
        <f ca="1">SUMIF(Выводы!$F$116:$U$116,tables!P$63,Выводы!$F122:$U122)</f>
        <v>0</v>
      </c>
      <c s="205">
        <f ca="1">SUMIF(Выводы!$F$116:$U$116,tables!Q$63,Выводы!$F122:$U122)</f>
        <v>0</v>
      </c>
      <c s="205">
        <f ca="1">SUMIF(Выводы!$F$116:$U$116,tables!R$63,Выводы!$F122:$U122)</f>
        <v>0</v>
      </c>
    </row>
    <row r="69" spans="2:18" ht="13.9">
      <c r="B69" s="200" t="s">
        <v>1025</v>
      </c>
      <c s="206">
        <f ca="1">SUMIF(Выводы!$F$116:$U$116,tables!C$63,Выводы!$F123:$U123)</f>
        <v>0</v>
      </c>
      <c s="206">
        <f ca="1">SUMIF(Выводы!$F$116:$U$116,tables!D$63,Выводы!$F123:$U123)</f>
        <v>0</v>
      </c>
      <c s="206">
        <f ca="1">SUMIF(Выводы!$F$116:$U$116,tables!E$63,Выводы!$F123:$U123)</f>
        <v>0</v>
      </c>
      <c s="206">
        <f ca="1">SUMIF(Выводы!$F$116:$U$116,tables!F$63,Выводы!$F123:$U123)</f>
        <v>0</v>
      </c>
      <c s="206">
        <f ca="1">SUMIF(Выводы!$F$116:$U$116,tables!G$63,Выводы!$F123:$U123)</f>
        <v>0</v>
      </c>
      <c s="206">
        <f ca="1">SUMIF(Выводы!$F$116:$U$116,tables!H$63,Выводы!$F123:$U123)</f>
        <v>0</v>
      </c>
      <c s="206">
        <f ca="1">SUMIF(Выводы!$F$116:$U$116,tables!I$63,Выводы!$F123:$U123)</f>
        <v>0</v>
      </c>
      <c s="206">
        <f ca="1">SUMIF(Выводы!$F$116:$U$116,tables!J$63,Выводы!$F123:$U123)</f>
        <v>0</v>
      </c>
      <c s="206">
        <f ca="1">SUMIF(Выводы!$F$116:$U$116,tables!K$63,Выводы!$F123:$U123)</f>
        <v>0</v>
      </c>
      <c s="206">
        <f ca="1">SUMIF(Выводы!$F$116:$U$116,tables!L$63,Выводы!$F123:$U123)</f>
        <v>0</v>
      </c>
      <c s="206">
        <f ca="1">SUMIF(Выводы!$F$116:$U$116,tables!M$63,Выводы!$F123:$U123)</f>
        <v>0</v>
      </c>
      <c s="206">
        <f ca="1">SUMIF(Выводы!$F$116:$U$116,tables!N$63,Выводы!$F123:$U123)</f>
        <v>0</v>
      </c>
      <c s="206">
        <f ca="1">SUMIF(Выводы!$F$116:$U$116,tables!O$63,Выводы!$F123:$U123)</f>
        <v>0</v>
      </c>
      <c s="206">
        <f ca="1">SUMIF(Выводы!$F$116:$U$116,tables!P$63,Выводы!$F123:$U123)</f>
        <v>0</v>
      </c>
      <c s="206">
        <f ca="1">SUMIF(Выводы!$F$116:$U$116,tables!Q$63,Выводы!$F123:$U123)</f>
        <v>0</v>
      </c>
      <c s="206">
        <f ca="1">SUMIF(Выводы!$F$116:$U$116,tables!R$63,Выводы!$F123:$U123)</f>
        <v>0</v>
      </c>
    </row>
    <row r="70" spans="2:18" ht="13.9">
      <c r="B70" s="200" t="s">
        <v>576</v>
      </c>
      <c s="205">
        <f ca="1">SUMIF(Выводы!$F$116:$U$116,tables!C$63,Выводы!$F124:$U124)</f>
        <v>0</v>
      </c>
      <c s="205">
        <f ca="1">SUMIF(Выводы!$F$116:$U$116,tables!D$63,Выводы!$F124:$U124)</f>
        <v>0</v>
      </c>
      <c s="205">
        <f ca="1">SUMIF(Выводы!$F$116:$U$116,tables!E$63,Выводы!$F124:$U124)</f>
        <v>0</v>
      </c>
      <c s="205">
        <f ca="1">SUMIF(Выводы!$F$116:$U$116,tables!F$63,Выводы!$F124:$U124)</f>
        <v>0</v>
      </c>
      <c s="205">
        <f ca="1">SUMIF(Выводы!$F$116:$U$116,tables!G$63,Выводы!$F124:$U124)</f>
        <v>0</v>
      </c>
      <c s="205">
        <f ca="1">SUMIF(Выводы!$F$116:$U$116,tables!H$63,Выводы!$F124:$U124)</f>
        <v>0</v>
      </c>
      <c s="205">
        <f ca="1">SUMIF(Выводы!$F$116:$U$116,tables!I$63,Выводы!$F124:$U124)</f>
        <v>0</v>
      </c>
      <c s="205">
        <f ca="1">SUMIF(Выводы!$F$116:$U$116,tables!J$63,Выводы!$F124:$U124)</f>
        <v>0</v>
      </c>
      <c s="205">
        <f ca="1">SUMIF(Выводы!$F$116:$U$116,tables!K$63,Выводы!$F124:$U124)</f>
        <v>0</v>
      </c>
      <c s="205">
        <f ca="1">SUMIF(Выводы!$F$116:$U$116,tables!L$63,Выводы!$F124:$U124)</f>
        <v>0</v>
      </c>
      <c s="205">
        <f ca="1">SUMIF(Выводы!$F$116:$U$116,tables!M$63,Выводы!$F124:$U124)</f>
        <v>0</v>
      </c>
      <c s="205">
        <f ca="1">SUMIF(Выводы!$F$116:$U$116,tables!N$63,Выводы!$F124:$U124)</f>
        <v>0</v>
      </c>
      <c s="205">
        <f ca="1">SUMIF(Выводы!$F$116:$U$116,tables!O$63,Выводы!$F124:$U124)</f>
        <v>0</v>
      </c>
      <c s="205">
        <f ca="1">SUMIF(Выводы!$F$116:$U$116,tables!P$63,Выводы!$F124:$U124)</f>
        <v>0</v>
      </c>
      <c s="205">
        <f ca="1">SUMIF(Выводы!$F$116:$U$116,tables!Q$63,Выводы!$F124:$U124)</f>
        <v>0</v>
      </c>
      <c s="205">
        <f ca="1">SUMIF(Выводы!$F$116:$U$116,tables!R$63,Выводы!$F124:$U124)</f>
        <v>0</v>
      </c>
    </row>
    <row r="71" spans="2:18" ht="13.9">
      <c r="B71" s="200" t="s">
        <v>1130</v>
      </c>
      <c s="206">
        <f ca="1">SUMIF(Выводы!$F$116:$U$116,tables!C$63,Выводы!$F125:$U125)</f>
        <v>0</v>
      </c>
      <c s="206">
        <f ca="1">SUMIF(Выводы!$F$116:$U$116,tables!D$63,Выводы!$F125:$U125)</f>
        <v>0</v>
      </c>
      <c s="206">
        <f ca="1">SUMIF(Выводы!$F$116:$U$116,tables!E$63,Выводы!$F125:$U125)</f>
        <v>0</v>
      </c>
      <c s="206">
        <f ca="1">SUMIF(Выводы!$F$116:$U$116,tables!F$63,Выводы!$F125:$U125)</f>
        <v>0</v>
      </c>
      <c s="206">
        <f ca="1">SUMIF(Выводы!$F$116:$U$116,tables!G$63,Выводы!$F125:$U125)</f>
        <v>0</v>
      </c>
      <c s="206">
        <f ca="1">SUMIF(Выводы!$F$116:$U$116,tables!H$63,Выводы!$F125:$U125)</f>
        <v>0</v>
      </c>
      <c s="206">
        <f ca="1">SUMIF(Выводы!$F$116:$U$116,tables!I$63,Выводы!$F125:$U125)</f>
        <v>0</v>
      </c>
      <c s="206">
        <f ca="1">SUMIF(Выводы!$F$116:$U$116,tables!J$63,Выводы!$F125:$U125)</f>
        <v>0</v>
      </c>
      <c s="206">
        <f ca="1">SUMIF(Выводы!$F$116:$U$116,tables!K$63,Выводы!$F125:$U125)</f>
        <v>0</v>
      </c>
      <c s="206">
        <f ca="1">SUMIF(Выводы!$F$116:$U$116,tables!L$63,Выводы!$F125:$U125)</f>
        <v>0</v>
      </c>
      <c s="206">
        <f ca="1">SUMIF(Выводы!$F$116:$U$116,tables!M$63,Выводы!$F125:$U125)</f>
        <v>0</v>
      </c>
      <c s="206">
        <f ca="1">SUMIF(Выводы!$F$116:$U$116,tables!N$63,Выводы!$F125:$U125)</f>
        <v>0</v>
      </c>
      <c s="206">
        <f ca="1">SUMIF(Выводы!$F$116:$U$116,tables!O$63,Выводы!$F125:$U125)</f>
        <v>0</v>
      </c>
      <c s="206">
        <f ca="1">SUMIF(Выводы!$F$116:$U$116,tables!P$63,Выводы!$F125:$U125)</f>
        <v>0</v>
      </c>
      <c s="206">
        <f ca="1">SUMIF(Выводы!$F$116:$U$116,tables!Q$63,Выводы!$F125:$U125)</f>
        <v>0</v>
      </c>
      <c s="206">
        <f ca="1">SUMIF(Выводы!$F$116:$U$116,tables!R$63,Выводы!$F125:$U125)</f>
        <v>0</v>
      </c>
    </row>
    <row r="72" spans="2:18" ht="13.9">
      <c r="B72" s="200" t="s">
        <v>1186</v>
      </c>
      <c s="205">
        <f ca="1">SUMIF(Выводы!$F$116:$U$116,tables!C$63,Выводы!$F126:$U126)</f>
        <v>0</v>
      </c>
      <c s="205">
        <f ca="1">SUMIF(Выводы!$F$116:$U$116,tables!D$63,Выводы!$F126:$U126)</f>
        <v>0</v>
      </c>
      <c s="205">
        <f ca="1">SUMIF(Выводы!$F$116:$U$116,tables!E$63,Выводы!$F126:$U126)</f>
        <v>0</v>
      </c>
      <c s="205">
        <f ca="1">SUMIF(Выводы!$F$116:$U$116,tables!F$63,Выводы!$F126:$U126)</f>
        <v>0</v>
      </c>
      <c s="205">
        <f ca="1">SUMIF(Выводы!$F$116:$U$116,tables!G$63,Выводы!$F126:$U126)</f>
        <v>0</v>
      </c>
      <c s="205">
        <f ca="1">SUMIF(Выводы!$F$116:$U$116,tables!H$63,Выводы!$F126:$U126)</f>
        <v>0</v>
      </c>
      <c s="205">
        <f ca="1">SUMIF(Выводы!$F$116:$U$116,tables!I$63,Выводы!$F126:$U126)</f>
        <v>0</v>
      </c>
      <c s="205">
        <f ca="1">SUMIF(Выводы!$F$116:$U$116,tables!J$63,Выводы!$F126:$U126)</f>
        <v>0</v>
      </c>
      <c s="205">
        <f ca="1">SUMIF(Выводы!$F$116:$U$116,tables!K$63,Выводы!$F126:$U126)</f>
        <v>0</v>
      </c>
      <c s="205">
        <f ca="1">SUMIF(Выводы!$F$116:$U$116,tables!L$63,Выводы!$F126:$U126)</f>
        <v>0</v>
      </c>
      <c s="205">
        <f ca="1">SUMIF(Выводы!$F$116:$U$116,tables!M$63,Выводы!$F126:$U126)</f>
        <v>0</v>
      </c>
      <c s="205">
        <f ca="1">SUMIF(Выводы!$F$116:$U$116,tables!N$63,Выводы!$F126:$U126)</f>
        <v>0</v>
      </c>
      <c s="205">
        <f ca="1">SUMIF(Выводы!$F$116:$U$116,tables!O$63,Выводы!$F126:$U126)</f>
        <v>0</v>
      </c>
      <c s="205">
        <f ca="1">SUMIF(Выводы!$F$116:$U$116,tables!P$63,Выводы!$F126:$U126)</f>
        <v>0</v>
      </c>
      <c s="205">
        <f ca="1">SUMIF(Выводы!$F$116:$U$116,tables!Q$63,Выводы!$F126:$U126)</f>
        <v>0</v>
      </c>
      <c s="205">
        <f ca="1">SUMIF(Выводы!$F$116:$U$116,tables!R$63,Выводы!$F126:$U126)</f>
        <v>0</v>
      </c>
    </row>
    <row r="73" spans="2:18" ht="13.9">
      <c r="B73" s="200" t="s">
        <v>1129</v>
      </c>
      <c s="206">
        <f ca="1">SUMIF(Выводы!$F$116:$U$116,tables!C$63,Выводы!$F127:$U127)</f>
        <v>0</v>
      </c>
      <c s="206">
        <f ca="1">SUMIF(Выводы!$F$116:$U$116,tables!D$63,Выводы!$F127:$U127)</f>
        <v>0</v>
      </c>
      <c s="206">
        <f ca="1">SUMIF(Выводы!$F$116:$U$116,tables!E$63,Выводы!$F127:$U127)</f>
        <v>0</v>
      </c>
      <c s="206">
        <f ca="1">SUMIF(Выводы!$F$116:$U$116,tables!F$63,Выводы!$F127:$U127)</f>
        <v>0</v>
      </c>
      <c s="206">
        <f ca="1">SUMIF(Выводы!$F$116:$U$116,tables!G$63,Выводы!$F127:$U127)</f>
        <v>0</v>
      </c>
      <c s="206">
        <f ca="1">SUMIF(Выводы!$F$116:$U$116,tables!H$63,Выводы!$F127:$U127)</f>
        <v>0</v>
      </c>
      <c s="206">
        <f ca="1">SUMIF(Выводы!$F$116:$U$116,tables!I$63,Выводы!$F127:$U127)</f>
        <v>0</v>
      </c>
      <c s="206">
        <f ca="1">SUMIF(Выводы!$F$116:$U$116,tables!J$63,Выводы!$F127:$U127)</f>
        <v>0</v>
      </c>
      <c s="206">
        <f ca="1">SUMIF(Выводы!$F$116:$U$116,tables!K$63,Выводы!$F127:$U127)</f>
        <v>0</v>
      </c>
      <c s="206">
        <f ca="1">SUMIF(Выводы!$F$116:$U$116,tables!L$63,Выводы!$F127:$U127)</f>
        <v>0</v>
      </c>
      <c s="206">
        <f ca="1">SUMIF(Выводы!$F$116:$U$116,tables!M$63,Выводы!$F127:$U127)</f>
        <v>0</v>
      </c>
      <c s="206">
        <f ca="1">SUMIF(Выводы!$F$116:$U$116,tables!N$63,Выводы!$F127:$U127)</f>
        <v>0</v>
      </c>
      <c s="206">
        <f ca="1">SUMIF(Выводы!$F$116:$U$116,tables!O$63,Выводы!$F127:$U127)</f>
        <v>0</v>
      </c>
      <c s="206">
        <f ca="1">SUMIF(Выводы!$F$116:$U$116,tables!P$63,Выводы!$F127:$U127)</f>
        <v>0</v>
      </c>
      <c s="206">
        <f ca="1">SUMIF(Выводы!$F$116:$U$116,tables!Q$63,Выводы!$F127:$U127)</f>
        <v>0</v>
      </c>
      <c s="206">
        <f ca="1">SUMIF(Выводы!$F$116:$U$116,tables!R$63,Выводы!$F127:$U127)</f>
        <v>0</v>
      </c>
    </row>
    <row r="75" spans="2:2" ht="13.9">
      <c r="B75" s="212" t="s">
        <v>330</v>
      </c>
    </row>
    <row r="76" spans="2:18" ht="13.9">
      <c r="B76" s="199" t="s">
        <v>562</v>
      </c>
      <c s="199">
        <f>Выводы!F9</f>
        <v>2025</v>
      </c>
      <c s="199">
        <f>C76+1</f>
        <v>2026</v>
      </c>
      <c s="199">
        <f t="shared" si="13" ref="E76:R76">D76+1</f>
        <v>2027</v>
      </c>
      <c s="199">
        <f t="shared" si="13"/>
        <v>2028</v>
      </c>
      <c s="199">
        <f t="shared" si="13"/>
        <v>2029</v>
      </c>
      <c s="199">
        <f t="shared" si="13"/>
        <v>2030</v>
      </c>
      <c s="199">
        <f t="shared" si="13"/>
        <v>2031</v>
      </c>
      <c s="199">
        <f t="shared" si="13"/>
        <v>2032</v>
      </c>
      <c s="199">
        <f t="shared" si="13"/>
        <v>2033</v>
      </c>
      <c s="199">
        <f t="shared" si="13"/>
        <v>2034</v>
      </c>
      <c s="199">
        <f t="shared" si="13"/>
        <v>2035</v>
      </c>
      <c s="199">
        <f t="shared" si="13"/>
        <v>2036</v>
      </c>
      <c s="199">
        <f t="shared" si="13"/>
        <v>2037</v>
      </c>
      <c s="199">
        <f t="shared" si="13"/>
        <v>2038</v>
      </c>
      <c s="199">
        <f t="shared" si="13"/>
        <v>2039</v>
      </c>
      <c s="199">
        <f t="shared" si="13"/>
        <v>2040</v>
      </c>
    </row>
    <row r="77" spans="2:18" ht="13.9">
      <c r="B77" s="200" t="s">
        <v>1187</v>
      </c>
      <c s="205">
        <f ca="1">SUMIF(Выводы!$F$116:$U$116,tables!C$63,Выводы!$F132:$U132)</f>
        <v>0</v>
      </c>
      <c s="205">
        <f ca="1">SUMIF(Выводы!$F$116:$U$116,tables!D$63,Выводы!$F132:$U132)</f>
        <v>0</v>
      </c>
      <c s="205">
        <f ca="1">SUMIF(Выводы!$F$116:$U$116,tables!E$63,Выводы!$F132:$U132)</f>
        <v>0</v>
      </c>
      <c s="205">
        <f ca="1">SUMIF(Выводы!$F$116:$U$116,tables!F$63,Выводы!$F132:$U132)</f>
        <v>0</v>
      </c>
      <c s="205">
        <f ca="1">SUMIF(Выводы!$F$116:$U$116,tables!G$63,Выводы!$F132:$U132)</f>
        <v>0</v>
      </c>
      <c s="205">
        <f ca="1">SUMIF(Выводы!$F$116:$U$116,tables!H$63,Выводы!$F132:$U132)</f>
        <v>0</v>
      </c>
      <c s="205">
        <f ca="1">SUMIF(Выводы!$F$116:$U$116,tables!I$63,Выводы!$F132:$U132)</f>
        <v>0</v>
      </c>
      <c s="205">
        <f ca="1">SUMIF(Выводы!$F$116:$U$116,tables!J$63,Выводы!$F132:$U132)</f>
        <v>0</v>
      </c>
      <c s="205">
        <f ca="1">SUMIF(Выводы!$F$116:$U$116,tables!K$63,Выводы!$F132:$U132)</f>
        <v>0</v>
      </c>
      <c s="205">
        <f ca="1">SUMIF(Выводы!$F$116:$U$116,tables!L$63,Выводы!$F132:$U132)</f>
        <v>0</v>
      </c>
      <c s="205">
        <f ca="1">SUMIF(Выводы!$F$116:$U$116,tables!M$63,Выводы!$F132:$U132)</f>
        <v>0</v>
      </c>
      <c s="205">
        <f ca="1">SUMIF(Выводы!$F$116:$U$116,tables!N$63,Выводы!$F132:$U132)</f>
        <v>0</v>
      </c>
      <c s="205">
        <f ca="1">SUMIF(Выводы!$F$116:$U$116,tables!O$63,Выводы!$F132:$U132)</f>
        <v>0</v>
      </c>
      <c s="205">
        <f ca="1">SUMIF(Выводы!$F$116:$U$116,tables!P$63,Выводы!$F132:$U132)</f>
        <v>0</v>
      </c>
      <c s="205">
        <f ca="1">SUMIF(Выводы!$F$116:$U$116,tables!Q$63,Выводы!$F132:$U132)</f>
        <v>0</v>
      </c>
      <c s="205">
        <f ca="1">SUMIF(Выводы!$F$116:$U$116,tables!R$63,Выводы!$F132:$U132)</f>
        <v>0</v>
      </c>
    </row>
    <row r="78" spans="2:18" ht="13.9">
      <c r="B78" s="200" t="s">
        <v>1188</v>
      </c>
      <c s="205">
        <f ca="1">SUMIF(Выводы!$F$116:$U$116,tables!C$63,Выводы!$F133:$U133)</f>
        <v>0</v>
      </c>
      <c s="205">
        <f ca="1">SUMIF(Выводы!$F$116:$U$116,tables!D$63,Выводы!$F133:$U133)</f>
        <v>0</v>
      </c>
      <c s="205">
        <f ca="1">SUMIF(Выводы!$F$116:$U$116,tables!E$63,Выводы!$F133:$U133)</f>
        <v>0</v>
      </c>
      <c s="205">
        <f ca="1">SUMIF(Выводы!$F$116:$U$116,tables!F$63,Выводы!$F133:$U133)</f>
        <v>0</v>
      </c>
      <c s="205">
        <f ca="1">SUMIF(Выводы!$F$116:$U$116,tables!G$63,Выводы!$F133:$U133)</f>
        <v>0</v>
      </c>
      <c s="205">
        <f ca="1">SUMIF(Выводы!$F$116:$U$116,tables!H$63,Выводы!$F133:$U133)</f>
        <v>0</v>
      </c>
      <c s="205">
        <f ca="1">SUMIF(Выводы!$F$116:$U$116,tables!I$63,Выводы!$F133:$U133)</f>
        <v>0</v>
      </c>
      <c s="205">
        <f ca="1">SUMIF(Выводы!$F$116:$U$116,tables!J$63,Выводы!$F133:$U133)</f>
        <v>0</v>
      </c>
      <c s="205">
        <f ca="1">SUMIF(Выводы!$F$116:$U$116,tables!K$63,Выводы!$F133:$U133)</f>
        <v>0</v>
      </c>
      <c s="205">
        <f ca="1">SUMIF(Выводы!$F$116:$U$116,tables!L$63,Выводы!$F133:$U133)</f>
        <v>0</v>
      </c>
      <c s="205">
        <f ca="1">SUMIF(Выводы!$F$116:$U$116,tables!M$63,Выводы!$F133:$U133)</f>
        <v>0</v>
      </c>
      <c s="205">
        <f ca="1">SUMIF(Выводы!$F$116:$U$116,tables!N$63,Выводы!$F133:$U133)</f>
        <v>0</v>
      </c>
      <c s="205">
        <f ca="1">SUMIF(Выводы!$F$116:$U$116,tables!O$63,Выводы!$F133:$U133)</f>
        <v>0</v>
      </c>
      <c s="205">
        <f ca="1">SUMIF(Выводы!$F$116:$U$116,tables!P$63,Выводы!$F133:$U133)</f>
        <v>0</v>
      </c>
      <c s="205">
        <f ca="1">SUMIF(Выводы!$F$116:$U$116,tables!Q$63,Выводы!$F133:$U133)</f>
        <v>0</v>
      </c>
      <c s="205">
        <f ca="1">SUMIF(Выводы!$F$116:$U$116,tables!R$63,Выводы!$F133:$U133)</f>
        <v>0</v>
      </c>
    </row>
    <row r="79" spans="2:18" ht="13.9">
      <c r="B79" s="200" t="s">
        <v>1189</v>
      </c>
      <c s="205">
        <f ca="1">SUMIF(Выводы!$F$116:$U$116,tables!C$63,Выводы!$F134:$U134)</f>
        <v>0</v>
      </c>
      <c s="205">
        <f ca="1">SUMIF(Выводы!$F$116:$U$116,tables!D$63,Выводы!$F134:$U134)</f>
        <v>0</v>
      </c>
      <c s="205">
        <f ca="1">SUMIF(Выводы!$F$116:$U$116,tables!E$63,Выводы!$F134:$U134)</f>
        <v>0</v>
      </c>
      <c s="205">
        <f ca="1">SUMIF(Выводы!$F$116:$U$116,tables!F$63,Выводы!$F134:$U134)</f>
        <v>0</v>
      </c>
      <c s="205">
        <f ca="1">SUMIF(Выводы!$F$116:$U$116,tables!G$63,Выводы!$F134:$U134)</f>
        <v>0</v>
      </c>
      <c s="205">
        <f ca="1">SUMIF(Выводы!$F$116:$U$116,tables!H$63,Выводы!$F134:$U134)</f>
        <v>0</v>
      </c>
      <c s="205">
        <f ca="1">SUMIF(Выводы!$F$116:$U$116,tables!I$63,Выводы!$F134:$U134)</f>
        <v>0</v>
      </c>
      <c s="205">
        <f ca="1">SUMIF(Выводы!$F$116:$U$116,tables!J$63,Выводы!$F134:$U134)</f>
        <v>0</v>
      </c>
      <c s="205">
        <f ca="1">SUMIF(Выводы!$F$116:$U$116,tables!K$63,Выводы!$F134:$U134)</f>
        <v>0</v>
      </c>
      <c s="205">
        <f ca="1">SUMIF(Выводы!$F$116:$U$116,tables!L$63,Выводы!$F134:$U134)</f>
        <v>0</v>
      </c>
      <c s="205">
        <f ca="1">SUMIF(Выводы!$F$116:$U$116,tables!M$63,Выводы!$F134:$U134)</f>
        <v>0</v>
      </c>
      <c s="205">
        <f ca="1">SUMIF(Выводы!$F$116:$U$116,tables!N$63,Выводы!$F134:$U134)</f>
        <v>0</v>
      </c>
      <c s="205">
        <f ca="1">SUMIF(Выводы!$F$116:$U$116,tables!O$63,Выводы!$F134:$U134)</f>
        <v>0</v>
      </c>
      <c s="205">
        <f ca="1">SUMIF(Выводы!$F$116:$U$116,tables!P$63,Выводы!$F134:$U134)</f>
        <v>0</v>
      </c>
      <c s="205">
        <f ca="1">SUMIF(Выводы!$F$116:$U$116,tables!Q$63,Выводы!$F134:$U134)</f>
        <v>0</v>
      </c>
      <c s="205">
        <f ca="1">SUMIF(Выводы!$F$116:$U$116,tables!R$63,Выводы!$F134:$U134)</f>
        <v>0</v>
      </c>
    </row>
    <row r="80" spans="2:18" ht="13.9">
      <c r="B80" s="200" t="s">
        <v>1190</v>
      </c>
      <c s="207">
        <f ca="1">SUM(C77:C79)</f>
        <v>0</v>
      </c>
      <c s="207">
        <f ca="1" t="shared" si="14" ref="D80:R80">SUM(D77:D79)</f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  <c s="207">
        <f t="shared" ca="1" si="14"/>
        <v>0</v>
      </c>
    </row>
    <row r="82" spans="2:2" ht="13.9">
      <c r="B82" s="212" t="s">
        <v>335</v>
      </c>
    </row>
    <row r="83" spans="2:2" ht="13.9">
      <c r="B83" s="212" t="s">
        <v>1220</v>
      </c>
    </row>
    <row r="84" spans="2:18" ht="13.9">
      <c r="B84" s="199" t="s">
        <v>562</v>
      </c>
      <c s="199">
        <f>Выводы!F9</f>
        <v>2025</v>
      </c>
      <c s="199">
        <f t="shared" si="15" ref="D84:R84">C84+1</f>
        <v>2026</v>
      </c>
      <c s="199">
        <f t="shared" si="15"/>
        <v>2027</v>
      </c>
      <c s="199">
        <f t="shared" si="15"/>
        <v>2028</v>
      </c>
      <c s="199">
        <f t="shared" si="15"/>
        <v>2029</v>
      </c>
      <c s="199">
        <f t="shared" si="15"/>
        <v>2030</v>
      </c>
      <c s="199">
        <f t="shared" si="15"/>
        <v>2031</v>
      </c>
      <c s="199">
        <f t="shared" si="15"/>
        <v>2032</v>
      </c>
      <c s="199">
        <f t="shared" si="15"/>
        <v>2033</v>
      </c>
      <c s="199">
        <f t="shared" si="15"/>
        <v>2034</v>
      </c>
      <c s="199">
        <f t="shared" si="15"/>
        <v>2035</v>
      </c>
      <c s="199">
        <f t="shared" si="15"/>
        <v>2036</v>
      </c>
      <c s="199">
        <f t="shared" si="15"/>
        <v>2037</v>
      </c>
      <c s="199">
        <f t="shared" si="15"/>
        <v>2038</v>
      </c>
      <c s="199">
        <f t="shared" si="15"/>
        <v>2039</v>
      </c>
      <c s="199">
        <f t="shared" si="15"/>
        <v>2040</v>
      </c>
    </row>
    <row r="85" spans="2:18" ht="13.9">
      <c r="B85" s="200" t="s">
        <v>1001</v>
      </c>
      <c s="203">
        <f>SUMIF(Выводы!$F$116:$U$116,tables!C$63,Выводы!$F141:$U141)</f>
        <v>0</v>
      </c>
      <c s="203">
        <f>SUMIF(Выводы!$F$116:$U$116,tables!D$63,Выводы!$F141:$U141)</f>
        <v>0</v>
      </c>
      <c s="203">
        <f>SUMIF(Выводы!$F$116:$U$116,tables!E$63,Выводы!$F141:$U141)</f>
        <v>0</v>
      </c>
      <c s="203">
        <f>SUMIF(Выводы!$F$116:$U$116,tables!F$63,Выводы!$F141:$U141)</f>
        <v>0</v>
      </c>
      <c s="203">
        <f>SUMIF(Выводы!$F$116:$U$116,tables!G$63,Выводы!$F141:$U141)</f>
        <v>0</v>
      </c>
      <c s="203">
        <f>SUMIF(Выводы!$F$116:$U$116,tables!H$63,Выводы!$F141:$U141)</f>
        <v>0</v>
      </c>
      <c s="203">
        <f>SUMIF(Выводы!$F$116:$U$116,tables!I$63,Выводы!$F141:$U141)</f>
        <v>0</v>
      </c>
      <c s="203">
        <f>SUMIF(Выводы!$F$116:$U$116,tables!J$63,Выводы!$F141:$U141)</f>
        <v>0</v>
      </c>
      <c s="203">
        <f>SUMIF(Выводы!$F$116:$U$116,tables!K$63,Выводы!$F141:$U141)</f>
        <v>0</v>
      </c>
      <c s="203">
        <f>SUMIF(Выводы!$F$116:$U$116,tables!L$63,Выводы!$F141:$U141)</f>
        <v>0</v>
      </c>
      <c s="203">
        <f>SUMIF(Выводы!$F$116:$U$116,tables!M$63,Выводы!$F141:$U141)</f>
        <v>0</v>
      </c>
      <c s="203">
        <f>SUMIF(Выводы!$F$116:$U$116,tables!N$63,Выводы!$F141:$U141)</f>
        <v>0</v>
      </c>
      <c s="203">
        <f>SUMIF(Выводы!$F$116:$U$116,tables!O$63,Выводы!$F141:$U141)</f>
        <v>0</v>
      </c>
      <c s="203">
        <f>SUMIF(Выводы!$F$116:$U$116,tables!P$63,Выводы!$F141:$U141)</f>
        <v>0</v>
      </c>
      <c s="203">
        <f>SUMIF(Выводы!$F$116:$U$116,tables!Q$63,Выводы!$F141:$U141)</f>
        <v>0</v>
      </c>
      <c s="203">
        <f>SUMIF(Выводы!$F$116:$U$116,tables!R$63,Выводы!$F141:$U141)</f>
        <v>0</v>
      </c>
    </row>
    <row r="86" spans="2:18" ht="13.9">
      <c r="B86" s="200" t="s">
        <v>1058</v>
      </c>
      <c s="203">
        <f>SUMIF(Выводы!$F$116:$U$116,tables!C$63,Выводы!$F142:$U142)</f>
        <v>0</v>
      </c>
      <c s="203">
        <f>SUMIF(Выводы!$F$116:$U$116,tables!D$63,Выводы!$F142:$U142)</f>
        <v>0</v>
      </c>
      <c s="203">
        <f>SUMIF(Выводы!$F$116:$U$116,tables!E$63,Выводы!$F142:$U142)</f>
        <v>0</v>
      </c>
      <c s="203">
        <f>SUMIF(Выводы!$F$116:$U$116,tables!F$63,Выводы!$F142:$U142)</f>
        <v>0</v>
      </c>
      <c s="203">
        <f>SUMIF(Выводы!$F$116:$U$116,tables!G$63,Выводы!$F142:$U142)</f>
        <v>0</v>
      </c>
      <c s="203">
        <f>SUMIF(Выводы!$F$116:$U$116,tables!H$63,Выводы!$F142:$U142)</f>
        <v>0</v>
      </c>
      <c s="203">
        <f>SUMIF(Выводы!$F$116:$U$116,tables!I$63,Выводы!$F142:$U142)</f>
        <v>0</v>
      </c>
      <c s="203">
        <f>SUMIF(Выводы!$F$116:$U$116,tables!J$63,Выводы!$F142:$U142)</f>
        <v>0</v>
      </c>
      <c s="203">
        <f>SUMIF(Выводы!$F$116:$U$116,tables!K$63,Выводы!$F142:$U142)</f>
        <v>0</v>
      </c>
      <c s="203">
        <f>SUMIF(Выводы!$F$116:$U$116,tables!L$63,Выводы!$F142:$U142)</f>
        <v>0</v>
      </c>
      <c s="203">
        <f>SUMIF(Выводы!$F$116:$U$116,tables!M$63,Выводы!$F142:$U142)</f>
        <v>0</v>
      </c>
      <c s="203">
        <f>SUMIF(Выводы!$F$116:$U$116,tables!N$63,Выводы!$F142:$U142)</f>
        <v>0</v>
      </c>
      <c s="203">
        <f>SUMIF(Выводы!$F$116:$U$116,tables!O$63,Выводы!$F142:$U142)</f>
        <v>0</v>
      </c>
      <c s="203">
        <f>SUMIF(Выводы!$F$116:$U$116,tables!P$63,Выводы!$F142:$U142)</f>
        <v>0</v>
      </c>
      <c s="203">
        <f>SUMIF(Выводы!$F$116:$U$116,tables!Q$63,Выводы!$F142:$U142)</f>
        <v>0</v>
      </c>
      <c s="203">
        <f>SUMIF(Выводы!$F$116:$U$116,tables!R$63,Выводы!$F142:$U142)</f>
        <v>0</v>
      </c>
    </row>
    <row r="87" spans="2:18" ht="13.9">
      <c r="B87" s="200" t="s">
        <v>999</v>
      </c>
      <c s="203">
        <f>SUMIF(Выводы!$F$116:$U$116,tables!C$63,Выводы!$F143:$U143)</f>
        <v>0</v>
      </c>
      <c s="203">
        <f>SUMIF(Выводы!$F$116:$U$116,tables!D$63,Выводы!$F143:$U143)</f>
        <v>0</v>
      </c>
      <c s="203">
        <f>SUMIF(Выводы!$F$116:$U$116,tables!E$63,Выводы!$F143:$U143)</f>
        <v>0</v>
      </c>
      <c s="203">
        <f>SUMIF(Выводы!$F$116:$U$116,tables!F$63,Выводы!$F143:$U143)</f>
        <v>0</v>
      </c>
      <c s="203">
        <f>SUMIF(Выводы!$F$116:$U$116,tables!G$63,Выводы!$F143:$U143)</f>
        <v>0</v>
      </c>
      <c s="203">
        <f>SUMIF(Выводы!$F$116:$U$116,tables!H$63,Выводы!$F143:$U143)</f>
        <v>0</v>
      </c>
      <c s="203">
        <f>SUMIF(Выводы!$F$116:$U$116,tables!I$63,Выводы!$F143:$U143)</f>
        <v>0</v>
      </c>
      <c s="203">
        <f>SUMIF(Выводы!$F$116:$U$116,tables!J$63,Выводы!$F143:$U143)</f>
        <v>0</v>
      </c>
      <c s="203">
        <f>SUMIF(Выводы!$F$116:$U$116,tables!K$63,Выводы!$F143:$U143)</f>
        <v>0</v>
      </c>
      <c s="203">
        <f>SUMIF(Выводы!$F$116:$U$116,tables!L$63,Выводы!$F143:$U143)</f>
        <v>0</v>
      </c>
      <c s="203">
        <f>SUMIF(Выводы!$F$116:$U$116,tables!M$63,Выводы!$F143:$U143)</f>
        <v>0</v>
      </c>
      <c s="203">
        <f>SUMIF(Выводы!$F$116:$U$116,tables!N$63,Выводы!$F143:$U143)</f>
        <v>0</v>
      </c>
      <c s="203">
        <f>SUMIF(Выводы!$F$116:$U$116,tables!O$63,Выводы!$F143:$U143)</f>
        <v>0</v>
      </c>
      <c s="203">
        <f>SUMIF(Выводы!$F$116:$U$116,tables!P$63,Выводы!$F143:$U143)</f>
        <v>0</v>
      </c>
      <c s="203">
        <f>SUMIF(Выводы!$F$116:$U$116,tables!Q$63,Выводы!$F143:$U143)</f>
        <v>0</v>
      </c>
      <c s="203">
        <f>SUMIF(Выводы!$F$116:$U$116,tables!R$63,Выводы!$F143:$U143)</f>
        <v>0</v>
      </c>
    </row>
    <row r="88" spans="2:18" ht="13.9">
      <c r="B88" s="200" t="s">
        <v>309</v>
      </c>
      <c s="203">
        <f>SUMIF(Выводы!$F$116:$U$116,tables!C$63,Выводы!$F144:$U144)</f>
        <v>0</v>
      </c>
      <c s="203">
        <f>SUMIF(Выводы!$F$116:$U$116,tables!D$63,Выводы!$F144:$U144)</f>
        <v>0</v>
      </c>
      <c s="203">
        <f>SUMIF(Выводы!$F$116:$U$116,tables!E$63,Выводы!$F144:$U144)</f>
        <v>0</v>
      </c>
      <c s="203">
        <f>SUMIF(Выводы!$F$116:$U$116,tables!F$63,Выводы!$F144:$U144)</f>
        <v>0</v>
      </c>
      <c s="203">
        <f>SUMIF(Выводы!$F$116:$U$116,tables!G$63,Выводы!$F144:$U144)</f>
        <v>0</v>
      </c>
      <c s="203">
        <f>SUMIF(Выводы!$F$116:$U$116,tables!H$63,Выводы!$F144:$U144)</f>
        <v>0</v>
      </c>
      <c s="203">
        <f>SUMIF(Выводы!$F$116:$U$116,tables!I$63,Выводы!$F144:$U144)</f>
        <v>0</v>
      </c>
      <c s="203">
        <f>SUMIF(Выводы!$F$116:$U$116,tables!J$63,Выводы!$F144:$U144)</f>
        <v>0</v>
      </c>
      <c s="203">
        <f>SUMIF(Выводы!$F$116:$U$116,tables!K$63,Выводы!$F144:$U144)</f>
        <v>0</v>
      </c>
      <c s="203">
        <f>SUMIF(Выводы!$F$116:$U$116,tables!L$63,Выводы!$F144:$U144)</f>
        <v>0</v>
      </c>
      <c s="203">
        <f>SUMIF(Выводы!$F$116:$U$116,tables!M$63,Выводы!$F144:$U144)</f>
        <v>0</v>
      </c>
      <c s="203">
        <f>SUMIF(Выводы!$F$116:$U$116,tables!N$63,Выводы!$F144:$U144)</f>
        <v>0</v>
      </c>
      <c s="203">
        <f>SUMIF(Выводы!$F$116:$U$116,tables!O$63,Выводы!$F144:$U144)</f>
        <v>0</v>
      </c>
      <c s="203">
        <f>SUMIF(Выводы!$F$116:$U$116,tables!P$63,Выводы!$F144:$U144)</f>
        <v>0</v>
      </c>
      <c s="203">
        <f>SUMIF(Выводы!$F$116:$U$116,tables!Q$63,Выводы!$F144:$U144)</f>
        <v>0</v>
      </c>
      <c s="203">
        <f>SUMIF(Выводы!$F$116:$U$116,tables!R$63,Выводы!$F144:$U144)</f>
        <v>0</v>
      </c>
    </row>
    <row r="89" spans="2:18" ht="13.9">
      <c r="B89" s="200" t="s">
        <v>311</v>
      </c>
      <c s="203">
        <f ca="1">SUMIF(Выводы!$F$116:$U$116,tables!C$63,Выводы!$F145:$U145)</f>
        <v>0</v>
      </c>
      <c s="203">
        <f ca="1">SUMIF(Выводы!$F$116:$U$116,tables!D$63,Выводы!$F145:$U145)</f>
        <v>0</v>
      </c>
      <c s="203">
        <f ca="1">SUMIF(Выводы!$F$116:$U$116,tables!E$63,Выводы!$F145:$U145)</f>
        <v>0</v>
      </c>
      <c s="203">
        <f ca="1">SUMIF(Выводы!$F$116:$U$116,tables!F$63,Выводы!$F145:$U145)</f>
        <v>0</v>
      </c>
      <c s="203">
        <f ca="1">SUMIF(Выводы!$F$116:$U$116,tables!G$63,Выводы!$F145:$U145)</f>
        <v>0</v>
      </c>
      <c s="203">
        <f ca="1">SUMIF(Выводы!$F$116:$U$116,tables!H$63,Выводы!$F145:$U145)</f>
        <v>0</v>
      </c>
      <c s="203">
        <f ca="1">SUMIF(Выводы!$F$116:$U$116,tables!I$63,Выводы!$F145:$U145)</f>
        <v>0</v>
      </c>
      <c s="203">
        <f ca="1">SUMIF(Выводы!$F$116:$U$116,tables!J$63,Выводы!$F145:$U145)</f>
        <v>0</v>
      </c>
      <c s="203">
        <f ca="1">SUMIF(Выводы!$F$116:$U$116,tables!K$63,Выводы!$F145:$U145)</f>
        <v>0</v>
      </c>
      <c s="203">
        <f ca="1">SUMIF(Выводы!$F$116:$U$116,tables!L$63,Выводы!$F145:$U145)</f>
        <v>0</v>
      </c>
      <c s="203">
        <f ca="1">SUMIF(Выводы!$F$116:$U$116,tables!M$63,Выводы!$F145:$U145)</f>
        <v>0</v>
      </c>
      <c s="203">
        <f ca="1">SUMIF(Выводы!$F$116:$U$116,tables!N$63,Выводы!$F145:$U145)</f>
        <v>0</v>
      </c>
      <c s="203">
        <f ca="1">SUMIF(Выводы!$F$116:$U$116,tables!O$63,Выводы!$F145:$U145)</f>
        <v>0</v>
      </c>
      <c s="203">
        <f ca="1">SUMIF(Выводы!$F$116:$U$116,tables!P$63,Выводы!$F145:$U145)</f>
        <v>0</v>
      </c>
      <c s="203">
        <f ca="1">SUMIF(Выводы!$F$116:$U$116,tables!Q$63,Выводы!$F145:$U145)</f>
        <v>0</v>
      </c>
      <c s="203">
        <f ca="1">SUMIF(Выводы!$F$116:$U$116,tables!R$63,Выводы!$F145:$U145)</f>
        <v>0</v>
      </c>
    </row>
    <row r="90" spans="2:18" ht="13.9">
      <c r="B90" s="200" t="s">
        <v>1005</v>
      </c>
      <c s="203">
        <f ca="1">SUMIF(Выводы!$F$116:$U$116,tables!C$63,Выводы!$F146:$U146)</f>
        <v>0</v>
      </c>
      <c s="203">
        <f ca="1">SUMIF(Выводы!$F$116:$U$116,tables!D$63,Выводы!$F146:$U146)</f>
        <v>0</v>
      </c>
      <c s="203">
        <f ca="1">SUMIF(Выводы!$F$116:$U$116,tables!E$63,Выводы!$F146:$U146)</f>
        <v>0</v>
      </c>
      <c s="203">
        <f ca="1">SUMIF(Выводы!$F$116:$U$116,tables!F$63,Выводы!$F146:$U146)</f>
        <v>0</v>
      </c>
      <c s="203">
        <f ca="1">SUMIF(Выводы!$F$116:$U$116,tables!G$63,Выводы!$F146:$U146)</f>
        <v>0</v>
      </c>
      <c s="203">
        <f ca="1">SUMIF(Выводы!$F$116:$U$116,tables!H$63,Выводы!$F146:$U146)</f>
        <v>0</v>
      </c>
      <c s="203">
        <f ca="1">SUMIF(Выводы!$F$116:$U$116,tables!I$63,Выводы!$F146:$U146)</f>
        <v>0</v>
      </c>
      <c s="203">
        <f ca="1">SUMIF(Выводы!$F$116:$U$116,tables!J$63,Выводы!$F146:$U146)</f>
        <v>0</v>
      </c>
      <c s="203">
        <f ca="1">SUMIF(Выводы!$F$116:$U$116,tables!K$63,Выводы!$F146:$U146)</f>
        <v>0</v>
      </c>
      <c s="203">
        <f ca="1">SUMIF(Выводы!$F$116:$U$116,tables!L$63,Выводы!$F146:$U146)</f>
        <v>0</v>
      </c>
      <c s="203">
        <f ca="1">SUMIF(Выводы!$F$116:$U$116,tables!M$63,Выводы!$F146:$U146)</f>
        <v>0</v>
      </c>
      <c s="203">
        <f ca="1">SUMIF(Выводы!$F$116:$U$116,tables!N$63,Выводы!$F146:$U146)</f>
        <v>0</v>
      </c>
      <c s="203">
        <f ca="1">SUMIF(Выводы!$F$116:$U$116,tables!O$63,Выводы!$F146:$U146)</f>
        <v>0</v>
      </c>
      <c s="203">
        <f ca="1">SUMIF(Выводы!$F$116:$U$116,tables!P$63,Выводы!$F146:$U146)</f>
        <v>0</v>
      </c>
      <c s="203">
        <f ca="1">SUMIF(Выводы!$F$116:$U$116,tables!Q$63,Выводы!$F146:$U146)</f>
        <v>0</v>
      </c>
      <c s="203">
        <f ca="1">SUMIF(Выводы!$F$116:$U$116,tables!R$63,Выводы!$F146:$U146)</f>
        <v>0</v>
      </c>
    </row>
    <row r="91" spans="2:18" ht="13.9">
      <c r="B91" s="200" t="s">
        <v>1061</v>
      </c>
      <c s="203">
        <f ca="1">SUMIF(Выводы!$F$116:$U$116,tables!C$63,Выводы!$F147:$U147)</f>
        <v>0</v>
      </c>
      <c s="203">
        <f ca="1">SUMIF(Выводы!$F$116:$U$116,tables!D$63,Выводы!$F147:$U147)</f>
        <v>0</v>
      </c>
      <c s="203">
        <f ca="1">SUMIF(Выводы!$F$116:$U$116,tables!E$63,Выводы!$F147:$U147)</f>
        <v>0</v>
      </c>
      <c s="203">
        <f ca="1">SUMIF(Выводы!$F$116:$U$116,tables!F$63,Выводы!$F147:$U147)</f>
        <v>0</v>
      </c>
      <c s="203">
        <f ca="1">SUMIF(Выводы!$F$116:$U$116,tables!G$63,Выводы!$F147:$U147)</f>
        <v>0</v>
      </c>
      <c s="203">
        <f ca="1">SUMIF(Выводы!$F$116:$U$116,tables!H$63,Выводы!$F147:$U147)</f>
        <v>0</v>
      </c>
      <c s="203">
        <f ca="1">SUMIF(Выводы!$F$116:$U$116,tables!I$63,Выводы!$F147:$U147)</f>
        <v>0</v>
      </c>
      <c s="203">
        <f ca="1">SUMIF(Выводы!$F$116:$U$116,tables!J$63,Выводы!$F147:$U147)</f>
        <v>0</v>
      </c>
      <c s="203">
        <f ca="1">SUMIF(Выводы!$F$116:$U$116,tables!K$63,Выводы!$F147:$U147)</f>
        <v>0</v>
      </c>
      <c s="203">
        <f ca="1">SUMIF(Выводы!$F$116:$U$116,tables!L$63,Выводы!$F147:$U147)</f>
        <v>0</v>
      </c>
      <c s="203">
        <f ca="1">SUMIF(Выводы!$F$116:$U$116,tables!M$63,Выводы!$F147:$U147)</f>
        <v>0</v>
      </c>
      <c s="203">
        <f ca="1">SUMIF(Выводы!$F$116:$U$116,tables!N$63,Выводы!$F147:$U147)</f>
        <v>0</v>
      </c>
      <c s="203">
        <f ca="1">SUMIF(Выводы!$F$116:$U$116,tables!O$63,Выводы!$F147:$U147)</f>
        <v>0</v>
      </c>
      <c s="203">
        <f ca="1">SUMIF(Выводы!$F$116:$U$116,tables!P$63,Выводы!$F147:$U147)</f>
        <v>0</v>
      </c>
      <c s="203">
        <f ca="1">SUMIF(Выводы!$F$116:$U$116,tables!Q$63,Выводы!$F147:$U147)</f>
        <v>0</v>
      </c>
      <c s="203">
        <f ca="1">SUMIF(Выводы!$F$116:$U$116,tables!R$63,Выводы!$F147:$U147)</f>
        <v>0</v>
      </c>
    </row>
    <row r="92" spans="2:18" ht="13.9">
      <c r="B92" s="200" t="s">
        <v>1003</v>
      </c>
      <c s="203">
        <f ca="1">SUMIF(Выводы!$F$116:$U$116,tables!C$63,Выводы!$F148:$U148)</f>
        <v>0</v>
      </c>
      <c s="203">
        <f ca="1">SUMIF(Выводы!$F$116:$U$116,tables!D$63,Выводы!$F148:$U148)</f>
        <v>0</v>
      </c>
      <c s="203">
        <f ca="1">SUMIF(Выводы!$F$116:$U$116,tables!E$63,Выводы!$F148:$U148)</f>
        <v>0</v>
      </c>
      <c s="203">
        <f ca="1">SUMIF(Выводы!$F$116:$U$116,tables!F$63,Выводы!$F148:$U148)</f>
        <v>0</v>
      </c>
      <c s="203">
        <f ca="1">SUMIF(Выводы!$F$116:$U$116,tables!G$63,Выводы!$F148:$U148)</f>
        <v>0</v>
      </c>
      <c s="203">
        <f ca="1">SUMIF(Выводы!$F$116:$U$116,tables!H$63,Выводы!$F148:$U148)</f>
        <v>0</v>
      </c>
      <c s="203">
        <f ca="1">SUMIF(Выводы!$F$116:$U$116,tables!I$63,Выводы!$F148:$U148)</f>
        <v>0</v>
      </c>
      <c s="203">
        <f ca="1">SUMIF(Выводы!$F$116:$U$116,tables!J$63,Выводы!$F148:$U148)</f>
        <v>0</v>
      </c>
      <c s="203">
        <f ca="1">SUMIF(Выводы!$F$116:$U$116,tables!K$63,Выводы!$F148:$U148)</f>
        <v>0</v>
      </c>
      <c s="203">
        <f ca="1">SUMIF(Выводы!$F$116:$U$116,tables!L$63,Выводы!$F148:$U148)</f>
        <v>0</v>
      </c>
      <c s="203">
        <f ca="1">SUMIF(Выводы!$F$116:$U$116,tables!M$63,Выводы!$F148:$U148)</f>
        <v>0</v>
      </c>
      <c s="203">
        <f ca="1">SUMIF(Выводы!$F$116:$U$116,tables!N$63,Выводы!$F148:$U148)</f>
        <v>0</v>
      </c>
      <c s="203">
        <f ca="1">SUMIF(Выводы!$F$116:$U$116,tables!O$63,Выводы!$F148:$U148)</f>
        <v>0</v>
      </c>
      <c s="203">
        <f ca="1">SUMIF(Выводы!$F$116:$U$116,tables!P$63,Выводы!$F148:$U148)</f>
        <v>0</v>
      </c>
      <c s="203">
        <f ca="1">SUMIF(Выводы!$F$116:$U$116,tables!Q$63,Выводы!$F148:$U148)</f>
        <v>0</v>
      </c>
      <c s="203">
        <f ca="1">SUMIF(Выводы!$F$116:$U$116,tables!R$63,Выводы!$F148:$U148)</f>
        <v>0</v>
      </c>
    </row>
    <row r="93" spans="2:18" ht="13.9">
      <c r="B93" s="200" t="s">
        <v>1007</v>
      </c>
      <c s="203">
        <f ca="1">SUMIF(Выводы!$F$116:$U$116,tables!C$63,Выводы!$F149:$U149)</f>
        <v>0</v>
      </c>
      <c s="203">
        <f ca="1">SUMIF(Выводы!$F$116:$U$116,tables!D$63,Выводы!$F149:$U149)</f>
        <v>0</v>
      </c>
      <c s="203">
        <f ca="1">SUMIF(Выводы!$F$116:$U$116,tables!E$63,Выводы!$F149:$U149)</f>
        <v>0</v>
      </c>
      <c s="203">
        <f ca="1">SUMIF(Выводы!$F$116:$U$116,tables!F$63,Выводы!$F149:$U149)</f>
        <v>0</v>
      </c>
      <c s="203">
        <f ca="1">SUMIF(Выводы!$F$116:$U$116,tables!G$63,Выводы!$F149:$U149)</f>
        <v>0</v>
      </c>
      <c s="203">
        <f ca="1">SUMIF(Выводы!$F$116:$U$116,tables!H$63,Выводы!$F149:$U149)</f>
        <v>0</v>
      </c>
      <c s="203">
        <f ca="1">SUMIF(Выводы!$F$116:$U$116,tables!I$63,Выводы!$F149:$U149)</f>
        <v>0</v>
      </c>
      <c s="203">
        <f ca="1">SUMIF(Выводы!$F$116:$U$116,tables!J$63,Выводы!$F149:$U149)</f>
        <v>0</v>
      </c>
      <c s="203">
        <f ca="1">SUMIF(Выводы!$F$116:$U$116,tables!K$63,Выводы!$F149:$U149)</f>
        <v>0</v>
      </c>
      <c s="203">
        <f ca="1">SUMIF(Выводы!$F$116:$U$116,tables!L$63,Выводы!$F149:$U149)</f>
        <v>0</v>
      </c>
      <c s="203">
        <f ca="1">SUMIF(Выводы!$F$116:$U$116,tables!M$63,Выводы!$F149:$U149)</f>
        <v>0</v>
      </c>
      <c s="203">
        <f ca="1">SUMIF(Выводы!$F$116:$U$116,tables!N$63,Выводы!$F149:$U149)</f>
        <v>0</v>
      </c>
      <c s="203">
        <f ca="1">SUMIF(Выводы!$F$116:$U$116,tables!O$63,Выводы!$F149:$U149)</f>
        <v>0</v>
      </c>
      <c s="203">
        <f ca="1">SUMIF(Выводы!$F$116:$U$116,tables!P$63,Выводы!$F149:$U149)</f>
        <v>0</v>
      </c>
      <c s="203">
        <f ca="1">SUMIF(Выводы!$F$116:$U$116,tables!Q$63,Выводы!$F149:$U149)</f>
        <v>0</v>
      </c>
      <c s="203">
        <f ca="1">SUMIF(Выводы!$F$116:$U$116,tables!R$63,Выводы!$F149:$U149)</f>
        <v>0</v>
      </c>
    </row>
    <row r="95" spans="2:2" ht="13.9">
      <c r="B95" s="212" t="s">
        <v>1221</v>
      </c>
    </row>
    <row r="96" spans="2:18" ht="13.9">
      <c r="B96" s="199" t="s">
        <v>562</v>
      </c>
      <c s="199">
        <f>Выводы!F9</f>
        <v>2025</v>
      </c>
      <c s="199">
        <f t="shared" si="16" ref="D96:R96">C96+1</f>
        <v>2026</v>
      </c>
      <c s="199">
        <f t="shared" si="16"/>
        <v>2027</v>
      </c>
      <c s="199">
        <f t="shared" si="16"/>
        <v>2028</v>
      </c>
      <c s="199">
        <f t="shared" si="16"/>
        <v>2029</v>
      </c>
      <c s="199">
        <f t="shared" si="16"/>
        <v>2030</v>
      </c>
      <c s="199">
        <f t="shared" si="16"/>
        <v>2031</v>
      </c>
      <c s="199">
        <f t="shared" si="16"/>
        <v>2032</v>
      </c>
      <c s="199">
        <f t="shared" si="16"/>
        <v>2033</v>
      </c>
      <c s="199">
        <f t="shared" si="16"/>
        <v>2034</v>
      </c>
      <c s="199">
        <f t="shared" si="16"/>
        <v>2035</v>
      </c>
      <c s="199">
        <f t="shared" si="16"/>
        <v>2036</v>
      </c>
      <c s="199">
        <f t="shared" si="16"/>
        <v>2037</v>
      </c>
      <c s="199">
        <f t="shared" si="16"/>
        <v>2038</v>
      </c>
      <c s="199">
        <f t="shared" si="16"/>
        <v>2039</v>
      </c>
      <c s="199">
        <f t="shared" si="16"/>
        <v>2040</v>
      </c>
    </row>
    <row r="97" spans="2:18" ht="13.9">
      <c r="B97" s="200" t="s">
        <v>1063</v>
      </c>
      <c s="205">
        <f>SUMIF(Выводы!$F$116:$U$116,tables!C$63,Выводы!$F154:$U154)</f>
        <v>0</v>
      </c>
      <c s="205">
        <f>SUMIF(Выводы!$F$116:$U$116,tables!D$63,Выводы!$F154:$U154)</f>
        <v>0</v>
      </c>
      <c s="205">
        <f>SUMIF(Выводы!$F$116:$U$116,tables!E$63,Выводы!$F154:$U154)</f>
        <v>0</v>
      </c>
      <c s="205">
        <f>SUMIF(Выводы!$F$116:$U$116,tables!F$63,Выводы!$F154:$U154)</f>
        <v>0</v>
      </c>
      <c s="205">
        <f>SUMIF(Выводы!$F$116:$U$116,tables!G$63,Выводы!$F154:$U154)</f>
        <v>0</v>
      </c>
      <c s="205">
        <f>SUMIF(Выводы!$F$116:$U$116,tables!H$63,Выводы!$F154:$U154)</f>
        <v>0</v>
      </c>
      <c s="205">
        <f>SUMIF(Выводы!$F$116:$U$116,tables!I$63,Выводы!$F154:$U154)</f>
        <v>0</v>
      </c>
      <c s="205">
        <f>SUMIF(Выводы!$F$116:$U$116,tables!J$63,Выводы!$F154:$U154)</f>
        <v>0</v>
      </c>
      <c s="205">
        <f>SUMIF(Выводы!$F$116:$U$116,tables!K$63,Выводы!$F154:$U154)</f>
        <v>0</v>
      </c>
      <c s="205">
        <f>SUMIF(Выводы!$F$116:$U$116,tables!L$63,Выводы!$F154:$U154)</f>
        <v>0</v>
      </c>
      <c s="205">
        <f>SUMIF(Выводы!$F$116:$U$116,tables!M$63,Выводы!$F154:$U154)</f>
        <v>0</v>
      </c>
      <c s="205">
        <f>SUMIF(Выводы!$F$116:$U$116,tables!N$63,Выводы!$F154:$U154)</f>
        <v>0</v>
      </c>
      <c s="205">
        <f>SUMIF(Выводы!$F$116:$U$116,tables!O$63,Выводы!$F154:$U154)</f>
        <v>0</v>
      </c>
      <c s="205">
        <f>SUMIF(Выводы!$F$116:$U$116,tables!P$63,Выводы!$F154:$U154)</f>
        <v>0</v>
      </c>
      <c s="205">
        <f>SUMIF(Выводы!$F$116:$U$116,tables!Q$63,Выводы!$F154:$U154)</f>
        <v>0</v>
      </c>
      <c s="205">
        <f>SUMIF(Выводы!$F$116:$U$116,tables!R$63,Выводы!$F154:$U154)</f>
        <v>0</v>
      </c>
    </row>
    <row r="98" spans="2:18" ht="13.9">
      <c r="B98" s="200" t="s">
        <v>1222</v>
      </c>
      <c s="205">
        <f ca="1">SUMIF(Выводы!$F$116:$U$116,tables!C$63,Выводы!$F155:$U155)</f>
        <v>0</v>
      </c>
      <c s="205">
        <f ca="1">SUMIF(Выводы!$F$116:$U$116,tables!D$63,Выводы!$F155:$U155)</f>
        <v>0</v>
      </c>
      <c s="205">
        <f ca="1">SUMIF(Выводы!$F$116:$U$116,tables!E$63,Выводы!$F155:$U155)</f>
        <v>0</v>
      </c>
      <c s="205">
        <f ca="1">SUMIF(Выводы!$F$116:$U$116,tables!F$63,Выводы!$F155:$U155)</f>
        <v>0</v>
      </c>
      <c s="205">
        <f ca="1">SUMIF(Выводы!$F$116:$U$116,tables!G$63,Выводы!$F155:$U155)</f>
        <v>0</v>
      </c>
      <c s="205">
        <f ca="1">SUMIF(Выводы!$F$116:$U$116,tables!H$63,Выводы!$F155:$U155)</f>
        <v>0</v>
      </c>
      <c s="205">
        <f ca="1">SUMIF(Выводы!$F$116:$U$116,tables!I$63,Выводы!$F155:$U155)</f>
        <v>0</v>
      </c>
      <c s="205">
        <f ca="1">SUMIF(Выводы!$F$116:$U$116,tables!J$63,Выводы!$F155:$U155)</f>
        <v>0</v>
      </c>
      <c s="205">
        <f ca="1">SUMIF(Выводы!$F$116:$U$116,tables!K$63,Выводы!$F155:$U155)</f>
        <v>0</v>
      </c>
      <c s="205">
        <f ca="1">SUMIF(Выводы!$F$116:$U$116,tables!L$63,Выводы!$F155:$U155)</f>
        <v>0</v>
      </c>
      <c s="205">
        <f ca="1">SUMIF(Выводы!$F$116:$U$116,tables!M$63,Выводы!$F155:$U155)</f>
        <v>0</v>
      </c>
      <c s="205">
        <f ca="1">SUMIF(Выводы!$F$116:$U$116,tables!N$63,Выводы!$F155:$U155)</f>
        <v>0</v>
      </c>
      <c s="205">
        <f ca="1">SUMIF(Выводы!$F$116:$U$116,tables!O$63,Выводы!$F155:$U155)</f>
        <v>0</v>
      </c>
      <c s="205">
        <f ca="1">SUMIF(Выводы!$F$116:$U$116,tables!P$63,Выводы!$F155:$U155)</f>
        <v>0</v>
      </c>
      <c s="205">
        <f ca="1">SUMIF(Выводы!$F$116:$U$116,tables!Q$63,Выводы!$F155:$U155)</f>
        <v>0</v>
      </c>
      <c s="205">
        <f ca="1">SUMIF(Выводы!$F$116:$U$116,tables!R$63,Выводы!$F155:$U155)</f>
        <v>0</v>
      </c>
    </row>
    <row r="99" spans="2:18" ht="13.9">
      <c r="B99" s="200" t="s">
        <v>1223</v>
      </c>
      <c s="203">
        <f>SUMIF(Выводы!$F$116:$U$116,tables!C$63,Выводы!$F156:$U156)</f>
        <v>0</v>
      </c>
      <c s="203">
        <f>SUMIF(Выводы!$F$116:$U$116,tables!D$63,Выводы!$F156:$U156)</f>
        <v>0</v>
      </c>
      <c s="203">
        <f>SUMIF(Выводы!$F$116:$U$116,tables!E$63,Выводы!$F156:$U156)</f>
        <v>0</v>
      </c>
      <c s="203">
        <f>SUMIF(Выводы!$F$116:$U$116,tables!F$63,Выводы!$F156:$U156)</f>
        <v>0</v>
      </c>
      <c s="203">
        <f>SUMIF(Выводы!$F$116:$U$116,tables!G$63,Выводы!$F156:$U156)</f>
        <v>0</v>
      </c>
      <c s="203">
        <f>SUMIF(Выводы!$F$116:$U$116,tables!H$63,Выводы!$F156:$U156)</f>
        <v>0</v>
      </c>
      <c s="203">
        <f>SUMIF(Выводы!$F$116:$U$116,tables!I$63,Выводы!$F156:$U156)</f>
        <v>0</v>
      </c>
      <c s="203">
        <f>SUMIF(Выводы!$F$116:$U$116,tables!J$63,Выводы!$F156:$U156)</f>
        <v>0</v>
      </c>
      <c s="203">
        <f>SUMIF(Выводы!$F$116:$U$116,tables!K$63,Выводы!$F156:$U156)</f>
        <v>0</v>
      </c>
      <c s="203">
        <f>SUMIF(Выводы!$F$116:$U$116,tables!L$63,Выводы!$F156:$U156)</f>
        <v>0</v>
      </c>
      <c s="203">
        <f>SUMIF(Выводы!$F$116:$U$116,tables!M$63,Выводы!$F156:$U156)</f>
        <v>0</v>
      </c>
      <c s="203">
        <f>SUMIF(Выводы!$F$116:$U$116,tables!N$63,Выводы!$F156:$U156)</f>
        <v>0</v>
      </c>
      <c s="203">
        <f>SUMIF(Выводы!$F$116:$U$116,tables!O$63,Выводы!$F156:$U156)</f>
        <v>0</v>
      </c>
      <c s="203">
        <f>SUMIF(Выводы!$F$116:$U$116,tables!P$63,Выводы!$F156:$U156)</f>
        <v>0</v>
      </c>
      <c s="203">
        <f>SUMIF(Выводы!$F$116:$U$116,tables!Q$63,Выводы!$F156:$U156)</f>
        <v>0</v>
      </c>
      <c s="203">
        <f>SUMIF(Выводы!$F$116:$U$116,tables!R$63,Выводы!$F156:$U156)</f>
        <v>0</v>
      </c>
    </row>
    <row r="100" spans="2:18" ht="13.9">
      <c r="B100" s="200" t="s">
        <v>1062</v>
      </c>
      <c s="205">
        <f ca="1">SUMIF(Выводы!$F$116:$U$116,tables!C$63,Выводы!$F157:$U157)</f>
        <v>0</v>
      </c>
      <c s="205">
        <f ca="1">SUMIF(Выводы!$F$116:$U$116,tables!D$63,Выводы!$F157:$U157)</f>
        <v>0</v>
      </c>
      <c s="205">
        <f ca="1">SUMIF(Выводы!$F$116:$U$116,tables!E$63,Выводы!$F157:$U157)</f>
        <v>0</v>
      </c>
      <c s="205">
        <f ca="1">SUMIF(Выводы!$F$116:$U$116,tables!F$63,Выводы!$F157:$U157)</f>
        <v>0</v>
      </c>
      <c s="205">
        <f ca="1">SUMIF(Выводы!$F$116:$U$116,tables!G$63,Выводы!$F157:$U157)</f>
        <v>0</v>
      </c>
      <c s="205">
        <f ca="1">SUMIF(Выводы!$F$116:$U$116,tables!H$63,Выводы!$F157:$U157)</f>
        <v>0</v>
      </c>
      <c s="205">
        <f ca="1">SUMIF(Выводы!$F$116:$U$116,tables!I$63,Выводы!$F157:$U157)</f>
        <v>0</v>
      </c>
      <c s="205">
        <f ca="1">SUMIF(Выводы!$F$116:$U$116,tables!J$63,Выводы!$F157:$U157)</f>
        <v>0</v>
      </c>
      <c s="205">
        <f ca="1">SUMIF(Выводы!$F$116:$U$116,tables!K$63,Выводы!$F157:$U157)</f>
        <v>0</v>
      </c>
      <c s="205">
        <f ca="1">SUMIF(Выводы!$F$116:$U$116,tables!L$63,Выводы!$F157:$U157)</f>
        <v>0</v>
      </c>
      <c s="205">
        <f ca="1">SUMIF(Выводы!$F$116:$U$116,tables!M$63,Выводы!$F157:$U157)</f>
        <v>0</v>
      </c>
      <c s="205">
        <f ca="1">SUMIF(Выводы!$F$116:$U$116,tables!N$63,Выводы!$F157:$U157)</f>
        <v>0</v>
      </c>
      <c s="205">
        <f ca="1">SUMIF(Выводы!$F$116:$U$116,tables!O$63,Выводы!$F157:$U157)</f>
        <v>0</v>
      </c>
      <c s="205">
        <f ca="1">SUMIF(Выводы!$F$116:$U$116,tables!P$63,Выводы!$F157:$U157)</f>
        <v>0</v>
      </c>
      <c s="205">
        <f ca="1">SUMIF(Выводы!$F$116:$U$116,tables!Q$63,Выводы!$F157:$U157)</f>
        <v>0</v>
      </c>
      <c s="205">
        <f ca="1">SUMIF(Выводы!$F$116:$U$116,tables!R$63,Выводы!$F157:$U157)</f>
        <v>0</v>
      </c>
    </row>
    <row r="101" spans="2:18" ht="13.9">
      <c r="B101" s="200" t="s">
        <v>1224</v>
      </c>
      <c s="203">
        <f>SUMIF(Выводы!$F$116:$U$116,tables!C$63,Выводы!$F158:$U158)</f>
        <v>0</v>
      </c>
      <c s="203">
        <f>SUMIF(Выводы!$F$116:$U$116,tables!D$63,Выводы!$F158:$U158)</f>
        <v>0</v>
      </c>
      <c s="203">
        <f>SUMIF(Выводы!$F$116:$U$116,tables!E$63,Выводы!$F158:$U158)</f>
        <v>0</v>
      </c>
      <c s="203">
        <f>SUMIF(Выводы!$F$116:$U$116,tables!F$63,Выводы!$F158:$U158)</f>
        <v>0</v>
      </c>
      <c s="203">
        <f>SUMIF(Выводы!$F$116:$U$116,tables!G$63,Выводы!$F158:$U158)</f>
        <v>0</v>
      </c>
      <c s="203">
        <f>SUMIF(Выводы!$F$116:$U$116,tables!H$63,Выводы!$F158:$U158)</f>
        <v>0</v>
      </c>
      <c s="203">
        <f>SUMIF(Выводы!$F$116:$U$116,tables!I$63,Выводы!$F158:$U158)</f>
        <v>0</v>
      </c>
      <c s="203">
        <f>SUMIF(Выводы!$F$116:$U$116,tables!J$63,Выводы!$F158:$U158)</f>
        <v>0</v>
      </c>
      <c s="203">
        <f>SUMIF(Выводы!$F$116:$U$116,tables!K$63,Выводы!$F158:$U158)</f>
        <v>0</v>
      </c>
      <c s="203">
        <f>SUMIF(Выводы!$F$116:$U$116,tables!L$63,Выводы!$F158:$U158)</f>
        <v>0</v>
      </c>
      <c s="203">
        <f>SUMIF(Выводы!$F$116:$U$116,tables!M$63,Выводы!$F158:$U158)</f>
        <v>0</v>
      </c>
      <c s="203">
        <f>SUMIF(Выводы!$F$116:$U$116,tables!N$63,Выводы!$F158:$U158)</f>
        <v>0</v>
      </c>
      <c s="203">
        <f>SUMIF(Выводы!$F$116:$U$116,tables!O$63,Выводы!$F158:$U158)</f>
        <v>0</v>
      </c>
      <c s="203">
        <f>SUMIF(Выводы!$F$116:$U$116,tables!P$63,Выводы!$F158:$U158)</f>
        <v>0</v>
      </c>
      <c s="203">
        <f>SUMIF(Выводы!$F$116:$U$116,tables!Q$63,Выводы!$F158:$U158)</f>
        <v>0</v>
      </c>
      <c s="203">
        <f>SUMIF(Выводы!$F$116:$U$116,tables!R$63,Выводы!$F158:$U158)</f>
        <v>0</v>
      </c>
    </row>
    <row r="102" spans="2:18" ht="13.9">
      <c r="B102" s="200" t="s">
        <v>1225</v>
      </c>
      <c s="203">
        <f>SUMIF(Выводы!$F$116:$U$116,tables!C$63,Выводы!$F159:$U159)</f>
        <v>0</v>
      </c>
      <c s="203">
        <f>SUMIF(Выводы!$F$116:$U$116,tables!D$63,Выводы!$F159:$U159)</f>
        <v>0</v>
      </c>
      <c s="203">
        <f>SUMIF(Выводы!$F$116:$U$116,tables!E$63,Выводы!$F159:$U159)</f>
        <v>0</v>
      </c>
      <c s="203">
        <f>SUMIF(Выводы!$F$116:$U$116,tables!F$63,Выводы!$F159:$U159)</f>
        <v>0</v>
      </c>
      <c s="203">
        <f>SUMIF(Выводы!$F$116:$U$116,tables!G$63,Выводы!$F159:$U159)</f>
        <v>0</v>
      </c>
      <c s="203">
        <f>SUMIF(Выводы!$F$116:$U$116,tables!H$63,Выводы!$F159:$U159)</f>
        <v>0</v>
      </c>
      <c s="203">
        <f>SUMIF(Выводы!$F$116:$U$116,tables!I$63,Выводы!$F159:$U159)</f>
        <v>0</v>
      </c>
      <c s="203">
        <f>SUMIF(Выводы!$F$116:$U$116,tables!J$63,Выводы!$F159:$U159)</f>
        <v>0</v>
      </c>
      <c s="203">
        <f>SUMIF(Выводы!$F$116:$U$116,tables!K$63,Выводы!$F159:$U159)</f>
        <v>0</v>
      </c>
      <c s="203">
        <f>SUMIF(Выводы!$F$116:$U$116,tables!L$63,Выводы!$F159:$U159)</f>
        <v>0</v>
      </c>
      <c s="203">
        <f>SUMIF(Выводы!$F$116:$U$116,tables!M$63,Выводы!$F159:$U159)</f>
        <v>0</v>
      </c>
      <c s="203">
        <f>SUMIF(Выводы!$F$116:$U$116,tables!N$63,Выводы!$F159:$U159)</f>
        <v>0</v>
      </c>
      <c s="203">
        <f>SUMIF(Выводы!$F$116:$U$116,tables!O$63,Выводы!$F159:$U159)</f>
        <v>0</v>
      </c>
      <c s="203">
        <f>SUMIF(Выводы!$F$116:$U$116,tables!P$63,Выводы!$F159:$U159)</f>
        <v>0</v>
      </c>
      <c s="203">
        <f>SUMIF(Выводы!$F$116:$U$116,tables!Q$63,Выводы!$F159:$U159)</f>
        <v>0</v>
      </c>
      <c s="203">
        <f>SUMIF(Выводы!$F$116:$U$116,tables!R$63,Выводы!$F159:$U159)</f>
        <v>0</v>
      </c>
    </row>
    <row r="103" spans="2:18" ht="13.9">
      <c r="B103" s="200" t="s">
        <v>1069</v>
      </c>
      <c s="203">
        <f>SUMIF(Выводы!$F$116:$U$116,tables!C$63,Выводы!$F160:$U160)</f>
        <v>0</v>
      </c>
      <c s="203">
        <f>SUMIF(Выводы!$F$116:$U$116,tables!D$63,Выводы!$F160:$U160)</f>
        <v>0</v>
      </c>
      <c s="203">
        <f>SUMIF(Выводы!$F$116:$U$116,tables!E$63,Выводы!$F160:$U160)</f>
        <v>0</v>
      </c>
      <c s="203">
        <f>SUMIF(Выводы!$F$116:$U$116,tables!F$63,Выводы!$F160:$U160)</f>
        <v>0</v>
      </c>
      <c s="203">
        <f>SUMIF(Выводы!$F$116:$U$116,tables!G$63,Выводы!$F160:$U160)</f>
        <v>0</v>
      </c>
      <c s="203">
        <f>SUMIF(Выводы!$F$116:$U$116,tables!H$63,Выводы!$F160:$U160)</f>
        <v>0</v>
      </c>
      <c s="203">
        <f>SUMIF(Выводы!$F$116:$U$116,tables!I$63,Выводы!$F160:$U160)</f>
        <v>0</v>
      </c>
      <c s="203">
        <f>SUMIF(Выводы!$F$116:$U$116,tables!J$63,Выводы!$F160:$U160)</f>
        <v>0</v>
      </c>
      <c s="203">
        <f>SUMIF(Выводы!$F$116:$U$116,tables!K$63,Выводы!$F160:$U160)</f>
        <v>0</v>
      </c>
      <c s="203">
        <f>SUMIF(Выводы!$F$116:$U$116,tables!L$63,Выводы!$F160:$U160)</f>
        <v>0</v>
      </c>
      <c s="203">
        <f>SUMIF(Выводы!$F$116:$U$116,tables!M$63,Выводы!$F160:$U160)</f>
        <v>0</v>
      </c>
      <c s="203">
        <f>SUMIF(Выводы!$F$116:$U$116,tables!N$63,Выводы!$F160:$U160)</f>
        <v>0</v>
      </c>
      <c s="203">
        <f>SUMIF(Выводы!$F$116:$U$116,tables!O$63,Выводы!$F160:$U160)</f>
        <v>0</v>
      </c>
      <c s="203">
        <f>SUMIF(Выводы!$F$116:$U$116,tables!P$63,Выводы!$F160:$U160)</f>
        <v>0</v>
      </c>
      <c s="203">
        <f>SUMIF(Выводы!$F$116:$U$116,tables!Q$63,Выводы!$F160:$U160)</f>
        <v>0</v>
      </c>
      <c s="203">
        <f>SUMIF(Выводы!$F$116:$U$116,tables!R$63,Выводы!$F160:$U160)</f>
        <v>0</v>
      </c>
    </row>
    <row r="104" spans="2:18" ht="13.9">
      <c r="B104" s="200" t="s">
        <v>1226</v>
      </c>
      <c s="203">
        <f>SUMIF(Выводы!$F$116:$U$116,tables!C$63,Выводы!$F161:$U161)</f>
        <v>0</v>
      </c>
      <c s="203">
        <f>SUMIF(Выводы!$F$116:$U$116,tables!D$63,Выводы!$F161:$U161)</f>
        <v>0</v>
      </c>
      <c s="203">
        <f>SUMIF(Выводы!$F$116:$U$116,tables!E$63,Выводы!$F161:$U161)</f>
        <v>0</v>
      </c>
      <c s="203">
        <f>SUMIF(Выводы!$F$116:$U$116,tables!F$63,Выводы!$F161:$U161)</f>
        <v>0</v>
      </c>
      <c s="203">
        <f>SUMIF(Выводы!$F$116:$U$116,tables!G$63,Выводы!$F161:$U161)</f>
        <v>0</v>
      </c>
      <c s="203">
        <f>SUMIF(Выводы!$F$116:$U$116,tables!H$63,Выводы!$F161:$U161)</f>
        <v>0</v>
      </c>
      <c s="203">
        <f>SUMIF(Выводы!$F$116:$U$116,tables!I$63,Выводы!$F161:$U161)</f>
        <v>0</v>
      </c>
      <c s="203">
        <f>SUMIF(Выводы!$F$116:$U$116,tables!J$63,Выводы!$F161:$U161)</f>
        <v>0</v>
      </c>
      <c s="203">
        <f>SUMIF(Выводы!$F$116:$U$116,tables!K$63,Выводы!$F161:$U161)</f>
        <v>0</v>
      </c>
      <c s="203">
        <f>SUMIF(Выводы!$F$116:$U$116,tables!L$63,Выводы!$F161:$U161)</f>
        <v>0</v>
      </c>
      <c s="203">
        <f>SUMIF(Выводы!$F$116:$U$116,tables!M$63,Выводы!$F161:$U161)</f>
        <v>0</v>
      </c>
      <c s="203">
        <f>SUMIF(Выводы!$F$116:$U$116,tables!N$63,Выводы!$F161:$U161)</f>
        <v>0</v>
      </c>
      <c s="203">
        <f>SUMIF(Выводы!$F$116:$U$116,tables!O$63,Выводы!$F161:$U161)</f>
        <v>0</v>
      </c>
      <c s="203">
        <f>SUMIF(Выводы!$F$116:$U$116,tables!P$63,Выводы!$F161:$U161)</f>
        <v>0</v>
      </c>
      <c s="203">
        <f>SUMIF(Выводы!$F$116:$U$116,tables!Q$63,Выводы!$F161:$U161)</f>
        <v>0</v>
      </c>
      <c s="203">
        <f>SUMIF(Выводы!$F$116:$U$116,tables!R$63,Выводы!$F161:$U161)</f>
        <v>0</v>
      </c>
    </row>
    <row r="105" spans="2:18" ht="13.9">
      <c r="B105" s="200" t="s">
        <v>313</v>
      </c>
      <c s="203">
        <f ca="1">SUMIF(Выводы!$F$116:$U$116,tables!C$63,Выводы!$F162:$U162)</f>
        <v>0</v>
      </c>
      <c s="203">
        <f ca="1">SUMIF(Выводы!$F$116:$U$116,tables!D$63,Выводы!$F162:$U162)</f>
        <v>0</v>
      </c>
      <c s="203">
        <f ca="1">SUMIF(Выводы!$F$116:$U$116,tables!E$63,Выводы!$F162:$U162)</f>
        <v>0</v>
      </c>
      <c s="203">
        <f ca="1">SUMIF(Выводы!$F$116:$U$116,tables!F$63,Выводы!$F162:$U162)</f>
        <v>0</v>
      </c>
      <c s="203">
        <f ca="1">SUMIF(Выводы!$F$116:$U$116,tables!G$63,Выводы!$F162:$U162)</f>
        <v>0</v>
      </c>
      <c s="203">
        <f ca="1">SUMIF(Выводы!$F$116:$U$116,tables!H$63,Выводы!$F162:$U162)</f>
        <v>0</v>
      </c>
      <c s="203">
        <f ca="1">SUMIF(Выводы!$F$116:$U$116,tables!I$63,Выводы!$F162:$U162)</f>
        <v>0</v>
      </c>
      <c s="203">
        <f ca="1">SUMIF(Выводы!$F$116:$U$116,tables!J$63,Выводы!$F162:$U162)</f>
        <v>0</v>
      </c>
      <c s="203">
        <f ca="1">SUMIF(Выводы!$F$116:$U$116,tables!K$63,Выводы!$F162:$U162)</f>
        <v>0</v>
      </c>
      <c s="203">
        <f ca="1">SUMIF(Выводы!$F$116:$U$116,tables!L$63,Выводы!$F162:$U162)</f>
        <v>0</v>
      </c>
      <c s="203">
        <f ca="1">SUMIF(Выводы!$F$116:$U$116,tables!M$63,Выводы!$F162:$U162)</f>
        <v>0</v>
      </c>
      <c s="203">
        <f ca="1">SUMIF(Выводы!$F$116:$U$116,tables!N$63,Выводы!$F162:$U162)</f>
        <v>0</v>
      </c>
      <c s="203">
        <f ca="1">SUMIF(Выводы!$F$116:$U$116,tables!O$63,Выводы!$F162:$U162)</f>
        <v>0</v>
      </c>
      <c s="203">
        <f ca="1">SUMIF(Выводы!$F$116:$U$116,tables!P$63,Выводы!$F162:$U162)</f>
        <v>0</v>
      </c>
      <c s="203">
        <f ca="1">SUMIF(Выводы!$F$116:$U$116,tables!Q$63,Выводы!$F162:$U162)</f>
        <v>0</v>
      </c>
      <c s="203">
        <f ca="1">SUMIF(Выводы!$F$116:$U$116,tables!R$63,Выводы!$F162:$U162)</f>
        <v>0</v>
      </c>
    </row>
    <row r="106" spans="2:18" ht="13.9">
      <c r="B106" s="200" t="s">
        <v>1227</v>
      </c>
      <c s="203">
        <f>SUMIF(Выводы!$F$116:$U$116,tables!C$63,Выводы!$F163:$U163)</f>
        <v>0</v>
      </c>
      <c s="203">
        <f>SUMIF(Выводы!$F$116:$U$116,tables!D$63,Выводы!$F163:$U163)</f>
        <v>0</v>
      </c>
      <c s="203">
        <f>SUMIF(Выводы!$F$116:$U$116,tables!E$63,Выводы!$F163:$U163)</f>
        <v>0</v>
      </c>
      <c s="203">
        <f>SUMIF(Выводы!$F$116:$U$116,tables!F$63,Выводы!$F163:$U163)</f>
        <v>0</v>
      </c>
      <c s="203">
        <f>SUMIF(Выводы!$F$116:$U$116,tables!G$63,Выводы!$F163:$U163)</f>
        <v>0</v>
      </c>
      <c s="203">
        <f>SUMIF(Выводы!$F$116:$U$116,tables!H$63,Выводы!$F163:$U163)</f>
        <v>0</v>
      </c>
      <c s="203">
        <f>SUMIF(Выводы!$F$116:$U$116,tables!I$63,Выводы!$F163:$U163)</f>
        <v>0</v>
      </c>
      <c s="203">
        <f>SUMIF(Выводы!$F$116:$U$116,tables!J$63,Выводы!$F163:$U163)</f>
        <v>0</v>
      </c>
      <c s="203">
        <f>SUMIF(Выводы!$F$116:$U$116,tables!K$63,Выводы!$F163:$U163)</f>
        <v>0</v>
      </c>
      <c s="203">
        <f>SUMIF(Выводы!$F$116:$U$116,tables!L$63,Выводы!$F163:$U163)</f>
        <v>0</v>
      </c>
      <c s="203">
        <f>SUMIF(Выводы!$F$116:$U$116,tables!M$63,Выводы!$F163:$U163)</f>
        <v>0</v>
      </c>
      <c s="203">
        <f>SUMIF(Выводы!$F$116:$U$116,tables!N$63,Выводы!$F163:$U163)</f>
        <v>0</v>
      </c>
      <c s="203">
        <f>SUMIF(Выводы!$F$116:$U$116,tables!O$63,Выводы!$F163:$U163)</f>
        <v>0</v>
      </c>
      <c s="203">
        <f>SUMIF(Выводы!$F$116:$U$116,tables!P$63,Выводы!$F163:$U163)</f>
        <v>0</v>
      </c>
      <c s="203">
        <f>SUMIF(Выводы!$F$116:$U$116,tables!Q$63,Выводы!$F163:$U163)</f>
        <v>0</v>
      </c>
      <c s="203">
        <f>SUMIF(Выводы!$F$116:$U$116,tables!R$63,Выводы!$F163:$U163)</f>
        <v>0</v>
      </c>
    </row>
    <row r="107" spans="2:18" ht="13.9">
      <c r="B107" s="200" t="s">
        <v>1074</v>
      </c>
      <c s="203">
        <f ca="1">SUMIF(Выводы!$F$116:$U$116,tables!C$63,Выводы!$F164:$U164)</f>
        <v>0</v>
      </c>
      <c s="203">
        <f ca="1">SUMIF(Выводы!$F$116:$U$116,tables!D$63,Выводы!$F164:$U164)</f>
        <v>0</v>
      </c>
      <c s="203">
        <f ca="1">SUMIF(Выводы!$F$116:$U$116,tables!E$63,Выводы!$F164:$U164)</f>
        <v>0</v>
      </c>
      <c s="203">
        <f ca="1">SUMIF(Выводы!$F$116:$U$116,tables!F$63,Выводы!$F164:$U164)</f>
        <v>0</v>
      </c>
      <c s="203">
        <f ca="1">SUMIF(Выводы!$F$116:$U$116,tables!G$63,Выводы!$F164:$U164)</f>
        <v>0</v>
      </c>
      <c s="203">
        <f ca="1">SUMIF(Выводы!$F$116:$U$116,tables!H$63,Выводы!$F164:$U164)</f>
        <v>0</v>
      </c>
      <c s="203">
        <f ca="1">SUMIF(Выводы!$F$116:$U$116,tables!I$63,Выводы!$F164:$U164)</f>
        <v>0</v>
      </c>
      <c s="203">
        <f ca="1">SUMIF(Выводы!$F$116:$U$116,tables!J$63,Выводы!$F164:$U164)</f>
        <v>0</v>
      </c>
      <c s="203">
        <f ca="1">SUMIF(Выводы!$F$116:$U$116,tables!K$63,Выводы!$F164:$U164)</f>
        <v>0</v>
      </c>
      <c s="203">
        <f ca="1">SUMIF(Выводы!$F$116:$U$116,tables!L$63,Выводы!$F164:$U164)</f>
        <v>0</v>
      </c>
      <c s="203">
        <f ca="1">SUMIF(Выводы!$F$116:$U$116,tables!M$63,Выводы!$F164:$U164)</f>
        <v>0</v>
      </c>
      <c s="203">
        <f ca="1">SUMIF(Выводы!$F$116:$U$116,tables!N$63,Выводы!$F164:$U164)</f>
        <v>0</v>
      </c>
      <c s="203">
        <f ca="1">SUMIF(Выводы!$F$116:$U$116,tables!O$63,Выводы!$F164:$U164)</f>
        <v>0</v>
      </c>
      <c s="203">
        <f ca="1">SUMIF(Выводы!$F$116:$U$116,tables!P$63,Выводы!$F164:$U164)</f>
        <v>0</v>
      </c>
      <c s="203">
        <f ca="1">SUMIF(Выводы!$F$116:$U$116,tables!Q$63,Выводы!$F164:$U164)</f>
        <v>0</v>
      </c>
      <c s="203">
        <f ca="1">SUMIF(Выводы!$F$116:$U$116,tables!R$63,Выводы!$F164:$U164)</f>
        <v>0</v>
      </c>
    </row>
    <row r="108" spans="2:18" ht="13.9">
      <c r="B108" s="200" t="s">
        <v>1014</v>
      </c>
      <c s="203">
        <f ca="1">SUMIF(Выводы!$F$116:$U$116,tables!C$63,Выводы!$F165:$U165)</f>
        <v>0</v>
      </c>
      <c s="203">
        <f ca="1">SUMIF(Выводы!$F$116:$U$116,tables!D$63,Выводы!$F165:$U165)</f>
        <v>0</v>
      </c>
      <c s="203">
        <f ca="1">SUMIF(Выводы!$F$116:$U$116,tables!E$63,Выводы!$F165:$U165)</f>
        <v>0</v>
      </c>
      <c s="203">
        <f ca="1">SUMIF(Выводы!$F$116:$U$116,tables!F$63,Выводы!$F165:$U165)</f>
        <v>0</v>
      </c>
      <c s="203">
        <f ca="1">SUMIF(Выводы!$F$116:$U$116,tables!G$63,Выводы!$F165:$U165)</f>
        <v>0</v>
      </c>
      <c s="203">
        <f ca="1">SUMIF(Выводы!$F$116:$U$116,tables!H$63,Выводы!$F165:$U165)</f>
        <v>0</v>
      </c>
      <c s="203">
        <f ca="1">SUMIF(Выводы!$F$116:$U$116,tables!I$63,Выводы!$F165:$U165)</f>
        <v>0</v>
      </c>
      <c s="203">
        <f ca="1">SUMIF(Выводы!$F$116:$U$116,tables!J$63,Выводы!$F165:$U165)</f>
        <v>0</v>
      </c>
      <c s="203">
        <f ca="1">SUMIF(Выводы!$F$116:$U$116,tables!K$63,Выводы!$F165:$U165)</f>
        <v>0</v>
      </c>
      <c s="203">
        <f ca="1">SUMIF(Выводы!$F$116:$U$116,tables!L$63,Выводы!$F165:$U165)</f>
        <v>0</v>
      </c>
      <c s="203">
        <f ca="1">SUMIF(Выводы!$F$116:$U$116,tables!M$63,Выводы!$F165:$U165)</f>
        <v>0</v>
      </c>
      <c s="203">
        <f ca="1">SUMIF(Выводы!$F$116:$U$116,tables!N$63,Выводы!$F165:$U165)</f>
        <v>0</v>
      </c>
      <c s="203">
        <f ca="1">SUMIF(Выводы!$F$116:$U$116,tables!O$63,Выводы!$F165:$U165)</f>
        <v>0</v>
      </c>
      <c s="203">
        <f ca="1">SUMIF(Выводы!$F$116:$U$116,tables!P$63,Выводы!$F165:$U165)</f>
        <v>0</v>
      </c>
      <c s="203">
        <f ca="1">SUMIF(Выводы!$F$116:$U$116,tables!Q$63,Выводы!$F165:$U165)</f>
        <v>0</v>
      </c>
      <c s="203">
        <f ca="1">SUMIF(Выводы!$F$116:$U$116,tables!R$63,Выводы!$F165:$U165)</f>
        <v>0</v>
      </c>
    </row>
    <row r="110" spans="2:2" ht="13.9">
      <c r="B110" s="212" t="s">
        <v>1228</v>
      </c>
    </row>
    <row r="111" spans="2:18" ht="13.9">
      <c r="B111" s="199" t="s">
        <v>562</v>
      </c>
      <c s="199">
        <f>Выводы!F9</f>
        <v>2025</v>
      </c>
      <c s="199">
        <f t="shared" si="17" ref="D111:R111">C111+1</f>
        <v>2026</v>
      </c>
      <c s="199">
        <f t="shared" si="17"/>
        <v>2027</v>
      </c>
      <c s="199">
        <f t="shared" si="17"/>
        <v>2028</v>
      </c>
      <c s="199">
        <f t="shared" si="17"/>
        <v>2029</v>
      </c>
      <c s="199">
        <f t="shared" si="17"/>
        <v>2030</v>
      </c>
      <c s="199">
        <f t="shared" si="17"/>
        <v>2031</v>
      </c>
      <c s="199">
        <f t="shared" si="17"/>
        <v>2032</v>
      </c>
      <c s="199">
        <f t="shared" si="17"/>
        <v>2033</v>
      </c>
      <c s="199">
        <f t="shared" si="17"/>
        <v>2034</v>
      </c>
      <c s="199">
        <f t="shared" si="17"/>
        <v>2035</v>
      </c>
      <c s="199">
        <f t="shared" si="17"/>
        <v>2036</v>
      </c>
      <c s="199">
        <f t="shared" si="17"/>
        <v>2037</v>
      </c>
      <c s="199">
        <f t="shared" si="17"/>
        <v>2038</v>
      </c>
      <c s="199">
        <f t="shared" si="17"/>
        <v>2039</v>
      </c>
      <c s="199">
        <f t="shared" si="17"/>
        <v>2040</v>
      </c>
    </row>
    <row r="112" spans="2:18" ht="13.9">
      <c r="B112" s="200" t="s">
        <v>581</v>
      </c>
      <c s="205">
        <f ca="1">SUMIF(Выводы!$F$116:$U$116,tables!C$63,Выводы!$F171:$U171)</f>
        <v>0</v>
      </c>
      <c s="205">
        <f ca="1">SUMIF(Выводы!$F$116:$U$116,tables!D$63,Выводы!$F171:$U171)</f>
        <v>0</v>
      </c>
      <c s="205">
        <f ca="1">SUMIF(Выводы!$F$116:$U$116,tables!E$63,Выводы!$F171:$U171)</f>
        <v>0</v>
      </c>
      <c s="205">
        <f ca="1">SUMIF(Выводы!$F$116:$U$116,tables!F$63,Выводы!$F171:$U171)</f>
        <v>0</v>
      </c>
      <c s="205">
        <f ca="1">SUMIF(Выводы!$F$116:$U$116,tables!G$63,Выводы!$F171:$U171)</f>
        <v>0</v>
      </c>
      <c s="205">
        <f ca="1">SUMIF(Выводы!$F$116:$U$116,tables!H$63,Выводы!$F171:$U171)</f>
        <v>0</v>
      </c>
      <c s="205">
        <f ca="1">SUMIF(Выводы!$F$116:$U$116,tables!I$63,Выводы!$F171:$U171)</f>
        <v>0</v>
      </c>
      <c s="205">
        <f ca="1">SUMIF(Выводы!$F$116:$U$116,tables!J$63,Выводы!$F171:$U171)</f>
        <v>0</v>
      </c>
      <c s="205">
        <f ca="1">SUMIF(Выводы!$F$116:$U$116,tables!K$63,Выводы!$F171:$U171)</f>
        <v>0</v>
      </c>
      <c s="205">
        <f ca="1">SUMIF(Выводы!$F$116:$U$116,tables!L$63,Выводы!$F171:$U171)</f>
        <v>0</v>
      </c>
      <c s="205">
        <f ca="1">SUMIF(Выводы!$F$116:$U$116,tables!M$63,Выводы!$F171:$U171)</f>
        <v>0</v>
      </c>
      <c s="205">
        <f ca="1">SUMIF(Выводы!$F$116:$U$116,tables!N$63,Выводы!$F171:$U171)</f>
        <v>0</v>
      </c>
      <c s="205">
        <f ca="1">SUMIF(Выводы!$F$116:$U$116,tables!O$63,Выводы!$F171:$U171)</f>
        <v>0</v>
      </c>
      <c s="205">
        <f ca="1">SUMIF(Выводы!$F$116:$U$116,tables!P$63,Выводы!$F171:$U171)</f>
        <v>0</v>
      </c>
      <c s="205">
        <f ca="1">SUMIF(Выводы!$F$116:$U$116,tables!Q$63,Выводы!$F171:$U171)</f>
        <v>0</v>
      </c>
      <c s="205">
        <f ca="1">SUMIF(Выводы!$F$116:$U$116,tables!R$63,Выводы!$F171:$U171)</f>
        <v>0</v>
      </c>
    </row>
    <row r="113" spans="2:18" ht="13.9">
      <c r="B113" s="200" t="s">
        <v>1229</v>
      </c>
      <c s="203">
        <f ca="1">SUMIF(Выводы!$F$116:$U$116,tables!C$63,Выводы!$F172:$U172)</f>
        <v>0</v>
      </c>
      <c s="203">
        <f ca="1">SUMIF(Выводы!$F$116:$U$116,tables!D$63,Выводы!$F172:$U172)</f>
        <v>0</v>
      </c>
      <c s="203">
        <f ca="1">SUMIF(Выводы!$F$116:$U$116,tables!E$63,Выводы!$F172:$U172)</f>
        <v>0</v>
      </c>
      <c s="203">
        <f ca="1">SUMIF(Выводы!$F$116:$U$116,tables!F$63,Выводы!$F172:$U172)</f>
        <v>0</v>
      </c>
      <c s="203">
        <f ca="1">SUMIF(Выводы!$F$116:$U$116,tables!G$63,Выводы!$F172:$U172)</f>
        <v>0</v>
      </c>
      <c s="203">
        <f ca="1">SUMIF(Выводы!$F$116:$U$116,tables!H$63,Выводы!$F172:$U172)</f>
        <v>0</v>
      </c>
      <c s="203">
        <f ca="1">SUMIF(Выводы!$F$116:$U$116,tables!I$63,Выводы!$F172:$U172)</f>
        <v>0</v>
      </c>
      <c s="203">
        <f ca="1">SUMIF(Выводы!$F$116:$U$116,tables!J$63,Выводы!$F172:$U172)</f>
        <v>0</v>
      </c>
      <c s="203">
        <f ca="1">SUMIF(Выводы!$F$116:$U$116,tables!K$63,Выводы!$F172:$U172)</f>
        <v>0</v>
      </c>
      <c s="203">
        <f ca="1">SUMIF(Выводы!$F$116:$U$116,tables!L$63,Выводы!$F172:$U172)</f>
        <v>0</v>
      </c>
      <c s="203">
        <f ca="1">SUMIF(Выводы!$F$116:$U$116,tables!M$63,Выводы!$F172:$U172)</f>
        <v>0</v>
      </c>
      <c s="203">
        <f ca="1">SUMIF(Выводы!$F$116:$U$116,tables!N$63,Выводы!$F172:$U172)</f>
        <v>0</v>
      </c>
      <c s="203">
        <f ca="1">SUMIF(Выводы!$F$116:$U$116,tables!O$63,Выводы!$F172:$U172)</f>
        <v>0</v>
      </c>
      <c s="203">
        <f ca="1">SUMIF(Выводы!$F$116:$U$116,tables!P$63,Выводы!$F172:$U172)</f>
        <v>0</v>
      </c>
      <c s="203">
        <f ca="1">SUMIF(Выводы!$F$116:$U$116,tables!Q$63,Выводы!$F172:$U172)</f>
        <v>0</v>
      </c>
      <c s="203">
        <f ca="1">SUMIF(Выводы!$F$116:$U$116,tables!R$63,Выводы!$F172:$U172)</f>
        <v>0</v>
      </c>
    </row>
    <row r="114" spans="2:18" ht="13.9">
      <c r="B114" s="200" t="s">
        <v>1116</v>
      </c>
      <c s="203">
        <f>SUMIF(Выводы!$F$116:$U$116,tables!C$63,Выводы!$F173:$U173)</f>
        <v>0</v>
      </c>
      <c s="203">
        <f>SUMIF(Выводы!$F$116:$U$116,tables!D$63,Выводы!$F173:$U173)</f>
        <v>0</v>
      </c>
      <c s="203">
        <f>SUMIF(Выводы!$F$116:$U$116,tables!E$63,Выводы!$F173:$U173)</f>
        <v>0</v>
      </c>
      <c s="203">
        <f>SUMIF(Выводы!$F$116:$U$116,tables!F$63,Выводы!$F173:$U173)</f>
        <v>0</v>
      </c>
      <c s="203">
        <f>SUMIF(Выводы!$F$116:$U$116,tables!G$63,Выводы!$F173:$U173)</f>
        <v>0</v>
      </c>
      <c s="203">
        <f>SUMIF(Выводы!$F$116:$U$116,tables!H$63,Выводы!$F173:$U173)</f>
        <v>0</v>
      </c>
      <c s="203">
        <f>SUMIF(Выводы!$F$116:$U$116,tables!I$63,Выводы!$F173:$U173)</f>
        <v>0</v>
      </c>
      <c s="203">
        <f>SUMIF(Выводы!$F$116:$U$116,tables!J$63,Выводы!$F173:$U173)</f>
        <v>0</v>
      </c>
      <c s="203">
        <f>SUMIF(Выводы!$F$116:$U$116,tables!K$63,Выводы!$F173:$U173)</f>
        <v>0</v>
      </c>
      <c s="203">
        <f>SUMIF(Выводы!$F$116:$U$116,tables!L$63,Выводы!$F173:$U173)</f>
        <v>0</v>
      </c>
      <c s="203">
        <f>SUMIF(Выводы!$F$116:$U$116,tables!M$63,Выводы!$F173:$U173)</f>
        <v>0</v>
      </c>
      <c s="203">
        <f>SUMIF(Выводы!$F$116:$U$116,tables!N$63,Выводы!$F173:$U173)</f>
        <v>0</v>
      </c>
      <c s="203">
        <f>SUMIF(Выводы!$F$116:$U$116,tables!O$63,Выводы!$F173:$U173)</f>
        <v>0</v>
      </c>
      <c s="203">
        <f>SUMIF(Выводы!$F$116:$U$116,tables!P$63,Выводы!$F173:$U173)</f>
        <v>0</v>
      </c>
      <c s="203">
        <f>SUMIF(Выводы!$F$116:$U$116,tables!Q$63,Выводы!$F173:$U173)</f>
        <v>0</v>
      </c>
      <c s="203">
        <f>SUMIF(Выводы!$F$116:$U$116,tables!R$63,Выводы!$F173:$U173)</f>
        <v>0</v>
      </c>
    </row>
    <row r="115" spans="2:18" ht="13.9">
      <c r="B115" s="200" t="s">
        <v>1140</v>
      </c>
      <c s="205">
        <f ca="1">SUMIF(Выводы!$F$116:$U$116,tables!C$63,Выводы!$F174:$U174)</f>
        <v>0</v>
      </c>
      <c s="205">
        <f ca="1">SUMIF(Выводы!$F$116:$U$116,tables!D$63,Выводы!$F174:$U174)</f>
        <v>0</v>
      </c>
      <c s="205">
        <f ca="1">SUMIF(Выводы!$F$116:$U$116,tables!E$63,Выводы!$F174:$U174)</f>
        <v>0</v>
      </c>
      <c s="205">
        <f ca="1">SUMIF(Выводы!$F$116:$U$116,tables!F$63,Выводы!$F174:$U174)</f>
        <v>0</v>
      </c>
      <c s="205">
        <f ca="1">SUMIF(Выводы!$F$116:$U$116,tables!G$63,Выводы!$F174:$U174)</f>
        <v>0</v>
      </c>
      <c s="205">
        <f ca="1">SUMIF(Выводы!$F$116:$U$116,tables!H$63,Выводы!$F174:$U174)</f>
        <v>0</v>
      </c>
      <c s="205">
        <f ca="1">SUMIF(Выводы!$F$116:$U$116,tables!I$63,Выводы!$F174:$U174)</f>
        <v>0</v>
      </c>
      <c s="205">
        <f ca="1">SUMIF(Выводы!$F$116:$U$116,tables!J$63,Выводы!$F174:$U174)</f>
        <v>0</v>
      </c>
      <c s="205">
        <f ca="1">SUMIF(Выводы!$F$116:$U$116,tables!K$63,Выводы!$F174:$U174)</f>
        <v>0</v>
      </c>
      <c s="205">
        <f ca="1">SUMIF(Выводы!$F$116:$U$116,tables!L$63,Выводы!$F174:$U174)</f>
        <v>0</v>
      </c>
      <c s="205">
        <f ca="1">SUMIF(Выводы!$F$116:$U$116,tables!M$63,Выводы!$F174:$U174)</f>
        <v>0</v>
      </c>
      <c s="205">
        <f ca="1">SUMIF(Выводы!$F$116:$U$116,tables!N$63,Выводы!$F174:$U174)</f>
        <v>0</v>
      </c>
      <c s="205">
        <f ca="1">SUMIF(Выводы!$F$116:$U$116,tables!O$63,Выводы!$F174:$U174)</f>
        <v>0</v>
      </c>
      <c s="205">
        <f ca="1">SUMIF(Выводы!$F$116:$U$116,tables!P$63,Выводы!$F174:$U174)</f>
        <v>0</v>
      </c>
      <c s="205">
        <f ca="1">SUMIF(Выводы!$F$116:$U$116,tables!Q$63,Выводы!$F174:$U174)</f>
        <v>0</v>
      </c>
      <c s="205">
        <f ca="1">SUMIF(Выводы!$F$116:$U$116,tables!R$63,Выводы!$F174:$U174)</f>
        <v>0</v>
      </c>
    </row>
    <row r="116" spans="2:18" ht="13.9">
      <c r="B116" s="200" t="s">
        <v>1115</v>
      </c>
      <c s="204">
        <f ca="1">SUMIF(Выводы!$F$116:$U$116,tables!C$63,Выводы!$F175:$U175)</f>
        <v>0</v>
      </c>
      <c s="204">
        <f ca="1">SUMIF(Выводы!$F$116:$U$116,tables!D$63,Выводы!$F175:$U175)</f>
        <v>0</v>
      </c>
      <c s="204">
        <f ca="1">SUMIF(Выводы!$F$116:$U$116,tables!E$63,Выводы!$F175:$U175)</f>
        <v>0</v>
      </c>
      <c s="204">
        <f ca="1">SUMIF(Выводы!$F$116:$U$116,tables!F$63,Выводы!$F175:$U175)</f>
        <v>0</v>
      </c>
      <c s="204">
        <f ca="1">SUMIF(Выводы!$F$116:$U$116,tables!G$63,Выводы!$F175:$U175)</f>
        <v>0</v>
      </c>
      <c s="204">
        <f ca="1">SUMIF(Выводы!$F$116:$U$116,tables!H$63,Выводы!$F175:$U175)</f>
        <v>0</v>
      </c>
      <c s="204">
        <f ca="1">SUMIF(Выводы!$F$116:$U$116,tables!I$63,Выводы!$F175:$U175)</f>
        <v>0</v>
      </c>
      <c s="204">
        <f ca="1">SUMIF(Выводы!$F$116:$U$116,tables!J$63,Выводы!$F175:$U175)</f>
        <v>0</v>
      </c>
      <c s="204">
        <f ca="1">SUMIF(Выводы!$F$116:$U$116,tables!K$63,Выводы!$F175:$U175)</f>
        <v>0</v>
      </c>
      <c s="204">
        <f ca="1">SUMIF(Выводы!$F$116:$U$116,tables!L$63,Выводы!$F175:$U175)</f>
        <v>0</v>
      </c>
      <c s="204">
        <f ca="1">SUMIF(Выводы!$F$116:$U$116,tables!M$63,Выводы!$F175:$U175)</f>
        <v>0</v>
      </c>
      <c s="204">
        <f ca="1">SUMIF(Выводы!$F$116:$U$116,tables!N$63,Выводы!$F175:$U175)</f>
        <v>0</v>
      </c>
      <c s="204">
        <f ca="1">SUMIF(Выводы!$F$116:$U$116,tables!O$63,Выводы!$F175:$U175)</f>
        <v>0</v>
      </c>
      <c s="204">
        <f ca="1">SUMIF(Выводы!$F$116:$U$116,tables!P$63,Выводы!$F175:$U175)</f>
        <v>0</v>
      </c>
      <c s="204">
        <f ca="1">SUMIF(Выводы!$F$116:$U$116,tables!Q$63,Выводы!$F175:$U175)</f>
        <v>0</v>
      </c>
      <c s="204">
        <f ca="1">SUMIF(Выводы!$F$116:$U$116,tables!R$63,Выводы!$F175:$U175)</f>
        <v>0</v>
      </c>
    </row>
    <row r="117" spans="2:18" ht="13.9">
      <c r="B117" s="200" t="s">
        <v>1118</v>
      </c>
      <c s="204">
        <f ca="1">SUMIF(Выводы!$F$116:$U$116,tables!C$63,Выводы!$F176:$U176)</f>
        <v>0</v>
      </c>
      <c s="204">
        <f ca="1">SUMIF(Выводы!$F$116:$U$116,tables!D$63,Выводы!$F176:$U176)</f>
        <v>0</v>
      </c>
      <c s="204">
        <f ca="1">SUMIF(Выводы!$F$116:$U$116,tables!E$63,Выводы!$F176:$U176)</f>
        <v>0</v>
      </c>
      <c s="204">
        <f ca="1">SUMIF(Выводы!$F$116:$U$116,tables!F$63,Выводы!$F176:$U176)</f>
        <v>0</v>
      </c>
      <c s="204">
        <f ca="1">SUMIF(Выводы!$F$116:$U$116,tables!G$63,Выводы!$F176:$U176)</f>
        <v>0</v>
      </c>
      <c s="204">
        <f ca="1">SUMIF(Выводы!$F$116:$U$116,tables!H$63,Выводы!$F176:$U176)</f>
        <v>0</v>
      </c>
      <c s="204">
        <f ca="1">SUMIF(Выводы!$F$116:$U$116,tables!I$63,Выводы!$F176:$U176)</f>
        <v>0</v>
      </c>
      <c s="204">
        <f ca="1">SUMIF(Выводы!$F$116:$U$116,tables!J$63,Выводы!$F176:$U176)</f>
        <v>0</v>
      </c>
      <c s="204">
        <f ca="1">SUMIF(Выводы!$F$116:$U$116,tables!K$63,Выводы!$F176:$U176)</f>
        <v>0</v>
      </c>
      <c s="204">
        <f ca="1">SUMIF(Выводы!$F$116:$U$116,tables!L$63,Выводы!$F176:$U176)</f>
        <v>0</v>
      </c>
      <c s="204">
        <f ca="1">SUMIF(Выводы!$F$116:$U$116,tables!M$63,Выводы!$F176:$U176)</f>
        <v>0</v>
      </c>
      <c s="204">
        <f ca="1">SUMIF(Выводы!$F$116:$U$116,tables!N$63,Выводы!$F176:$U176)</f>
        <v>0</v>
      </c>
      <c s="204">
        <f ca="1">SUMIF(Выводы!$F$116:$U$116,tables!O$63,Выводы!$F176:$U176)</f>
        <v>0</v>
      </c>
      <c s="204">
        <f ca="1">SUMIF(Выводы!$F$116:$U$116,tables!P$63,Выводы!$F176:$U176)</f>
        <v>0</v>
      </c>
      <c s="204">
        <f ca="1">SUMIF(Выводы!$F$116:$U$116,tables!Q$63,Выводы!$F176:$U176)</f>
        <v>0</v>
      </c>
      <c s="204">
        <f ca="1">SUMIF(Выводы!$F$116:$U$116,tables!R$63,Выводы!$F176:$U176)</f>
        <v>0</v>
      </c>
    </row>
    <row r="118" spans="2:18" ht="13.9">
      <c r="B118" s="200" t="s">
        <v>1259</v>
      </c>
      <c s="204">
        <f ca="1">SUMIF(Выводы!$F$116:$U$116,tables!C$63,Выводы!$F177:$U177)</f>
        <v>0</v>
      </c>
      <c s="204">
        <f ca="1">SUMIF(Выводы!$F$116:$U$116,tables!D$63,Выводы!$F177:$U177)</f>
        <v>0</v>
      </c>
      <c s="204">
        <f ca="1">SUMIF(Выводы!$F$116:$U$116,tables!E$63,Выводы!$F177:$U177)</f>
        <v>0</v>
      </c>
      <c s="204">
        <f ca="1">SUMIF(Выводы!$F$116:$U$116,tables!F$63,Выводы!$F177:$U177)</f>
        <v>0</v>
      </c>
      <c s="204">
        <f ca="1">SUMIF(Выводы!$F$116:$U$116,tables!G$63,Выводы!$F177:$U177)</f>
        <v>0</v>
      </c>
      <c s="204">
        <f ca="1">SUMIF(Выводы!$F$116:$U$116,tables!H$63,Выводы!$F177:$U177)</f>
        <v>0</v>
      </c>
      <c s="204">
        <f ca="1">SUMIF(Выводы!$F$116:$U$116,tables!I$63,Выводы!$F177:$U177)</f>
        <v>0</v>
      </c>
      <c s="204">
        <f ca="1">SUMIF(Выводы!$F$116:$U$116,tables!J$63,Выводы!$F177:$U177)</f>
        <v>0</v>
      </c>
      <c s="204">
        <f ca="1">SUMIF(Выводы!$F$116:$U$116,tables!K$63,Выводы!$F177:$U177)</f>
        <v>0</v>
      </c>
      <c s="204">
        <f ca="1">SUMIF(Выводы!$F$116:$U$116,tables!L$63,Выводы!$F177:$U177)</f>
        <v>0</v>
      </c>
      <c s="204">
        <f ca="1">SUMIF(Выводы!$F$116:$U$116,tables!M$63,Выводы!$F177:$U177)</f>
        <v>0</v>
      </c>
      <c s="204">
        <f ca="1">SUMIF(Выводы!$F$116:$U$116,tables!N$63,Выводы!$F177:$U177)</f>
        <v>0</v>
      </c>
      <c s="204">
        <f ca="1">SUMIF(Выводы!$F$116:$U$116,tables!O$63,Выводы!$F177:$U177)</f>
        <v>0</v>
      </c>
      <c s="204">
        <f ca="1">SUMIF(Выводы!$F$116:$U$116,tables!P$63,Выводы!$F177:$U177)</f>
        <v>0</v>
      </c>
      <c s="204">
        <f ca="1">SUMIF(Выводы!$F$116:$U$116,tables!Q$63,Выводы!$F177:$U177)</f>
        <v>0</v>
      </c>
      <c s="204">
        <f ca="1">SUMIF(Выводы!$F$116:$U$116,tables!R$63,Выводы!$F177:$U177)</f>
        <v>0</v>
      </c>
    </row>
    <row r="119" spans="2:18" ht="13.9">
      <c r="B119" s="200" t="s">
        <v>584</v>
      </c>
      <c s="204">
        <f ca="1">SUMIF(Выводы!$F$116:$U$116,tables!C$63,Выводы!$F178:$U178)</f>
        <v>0</v>
      </c>
      <c s="204">
        <f ca="1">SUMIF(Выводы!$F$116:$U$116,tables!D$63,Выводы!$F178:$U178)</f>
        <v>0</v>
      </c>
      <c s="204">
        <f ca="1">SUMIF(Выводы!$F$116:$U$116,tables!E$63,Выводы!$F178:$U178)</f>
        <v>0</v>
      </c>
      <c s="204">
        <f ca="1">SUMIF(Выводы!$F$116:$U$116,tables!F$63,Выводы!$F178:$U178)</f>
        <v>0</v>
      </c>
      <c s="204">
        <f ca="1">SUMIF(Выводы!$F$116:$U$116,tables!G$63,Выводы!$F178:$U178)</f>
        <v>0</v>
      </c>
      <c s="204">
        <f ca="1">SUMIF(Выводы!$F$116:$U$116,tables!H$63,Выводы!$F178:$U178)</f>
        <v>0</v>
      </c>
      <c s="204">
        <f ca="1">SUMIF(Выводы!$F$116:$U$116,tables!I$63,Выводы!$F178:$U178)</f>
        <v>0</v>
      </c>
      <c s="204">
        <f ca="1">SUMIF(Выводы!$F$116:$U$116,tables!J$63,Выводы!$F178:$U178)</f>
        <v>0</v>
      </c>
      <c s="204">
        <f ca="1">SUMIF(Выводы!$F$116:$U$116,tables!K$63,Выводы!$F178:$U178)</f>
        <v>0</v>
      </c>
      <c s="204">
        <f ca="1">SUMIF(Выводы!$F$116:$U$116,tables!L$63,Выводы!$F178:$U178)</f>
        <v>0</v>
      </c>
      <c s="204">
        <f ca="1">SUMIF(Выводы!$F$116:$U$116,tables!M$63,Выводы!$F178:$U178)</f>
        <v>0</v>
      </c>
      <c s="204">
        <f ca="1">SUMIF(Выводы!$F$116:$U$116,tables!N$63,Выводы!$F178:$U178)</f>
        <v>0</v>
      </c>
      <c s="204">
        <f ca="1">SUMIF(Выводы!$F$116:$U$116,tables!O$63,Выводы!$F178:$U178)</f>
        <v>0</v>
      </c>
      <c s="204">
        <f ca="1">SUMIF(Выводы!$F$116:$U$116,tables!P$63,Выводы!$F178:$U178)</f>
        <v>0</v>
      </c>
      <c s="204">
        <f ca="1">SUMIF(Выводы!$F$116:$U$116,tables!Q$63,Выводы!$F178:$U178)</f>
        <v>0</v>
      </c>
      <c s="204">
        <f ca="1">SUMIF(Выводы!$F$116:$U$116,tables!R$63,Выводы!$F178:$U178)</f>
        <v>0</v>
      </c>
    </row>
    <row r="120" spans="2:18" ht="13.9">
      <c r="B120" s="200" t="s">
        <v>1124</v>
      </c>
      <c s="204">
        <f ca="1">SUMIF(Выводы!$F$116:$U$116,tables!C$63,Выводы!$F181:$U181)</f>
        <v>0</v>
      </c>
      <c s="204">
        <f ca="1">SUMIF(Выводы!$F$116:$U$116,tables!D$63,Выводы!$F181:$U181)</f>
        <v>0</v>
      </c>
      <c s="204">
        <f ca="1">SUMIF(Выводы!$F$116:$U$116,tables!E$63,Выводы!$F181:$U181)</f>
        <v>0</v>
      </c>
      <c s="204">
        <f ca="1">SUMIF(Выводы!$F$116:$U$116,tables!F$63,Выводы!$F181:$U181)</f>
        <v>0</v>
      </c>
      <c s="204">
        <f ca="1">SUMIF(Выводы!$F$116:$U$116,tables!G$63,Выводы!$F181:$U181)</f>
        <v>0</v>
      </c>
      <c s="204">
        <f ca="1">SUMIF(Выводы!$F$116:$U$116,tables!H$63,Выводы!$F181:$U181)</f>
        <v>0</v>
      </c>
      <c s="204">
        <f ca="1">SUMIF(Выводы!$F$116:$U$116,tables!I$63,Выводы!$F181:$U181)</f>
        <v>0</v>
      </c>
      <c s="204">
        <f ca="1">SUMIF(Выводы!$F$116:$U$116,tables!J$63,Выводы!$F181:$U181)</f>
        <v>0</v>
      </c>
      <c s="204">
        <f ca="1">SUMIF(Выводы!$F$116:$U$116,tables!K$63,Выводы!$F181:$U181)</f>
        <v>0</v>
      </c>
      <c s="204">
        <f ca="1">SUMIF(Выводы!$F$116:$U$116,tables!L$63,Выводы!$F181:$U181)</f>
        <v>0</v>
      </c>
      <c s="204">
        <f ca="1">SUMIF(Выводы!$F$116:$U$116,tables!M$63,Выводы!$F181:$U181)</f>
        <v>0</v>
      </c>
      <c s="204">
        <f ca="1">SUMIF(Выводы!$F$116:$U$116,tables!N$63,Выводы!$F181:$U181)</f>
        <v>0</v>
      </c>
      <c s="204">
        <f ca="1">SUMIF(Выводы!$F$116:$U$116,tables!O$63,Выводы!$F181:$U181)</f>
        <v>0</v>
      </c>
      <c s="204">
        <f ca="1">SUMIF(Выводы!$F$116:$U$116,tables!P$63,Выводы!$F181:$U181)</f>
        <v>0</v>
      </c>
      <c s="204">
        <f ca="1">SUMIF(Выводы!$F$116:$U$116,tables!Q$63,Выводы!$F181:$U181)</f>
        <v>0</v>
      </c>
      <c s="204">
        <f ca="1">SUMIF(Выводы!$F$116:$U$116,tables!R$63,Выводы!$F181:$U181)</f>
        <v>0</v>
      </c>
    </row>
    <row r="121" spans="2:18" ht="13.9">
      <c r="B121" s="200" t="s">
        <v>1125</v>
      </c>
      <c s="204">
        <f ca="1">SUMIF(Выводы!$F$116:$U$116,tables!C$63,Выводы!$F182:$U182)</f>
        <v>0</v>
      </c>
      <c s="204">
        <f ca="1">SUMIF(Выводы!$F$116:$U$116,tables!D$63,Выводы!$F182:$U182)</f>
        <v>0</v>
      </c>
      <c s="204">
        <f ca="1">SUMIF(Выводы!$F$116:$U$116,tables!E$63,Выводы!$F182:$U182)</f>
        <v>0</v>
      </c>
      <c s="204">
        <f ca="1">SUMIF(Выводы!$F$116:$U$116,tables!F$63,Выводы!$F182:$U182)</f>
        <v>0</v>
      </c>
      <c s="204">
        <f ca="1">SUMIF(Выводы!$F$116:$U$116,tables!G$63,Выводы!$F182:$U182)</f>
        <v>0</v>
      </c>
      <c s="204">
        <f ca="1">SUMIF(Выводы!$F$116:$U$116,tables!H$63,Выводы!$F182:$U182)</f>
        <v>0</v>
      </c>
      <c s="204">
        <f ca="1">SUMIF(Выводы!$F$116:$U$116,tables!I$63,Выводы!$F182:$U182)</f>
        <v>0</v>
      </c>
      <c s="204">
        <f ca="1">SUMIF(Выводы!$F$116:$U$116,tables!J$63,Выводы!$F182:$U182)</f>
        <v>0</v>
      </c>
      <c s="204">
        <f ca="1">SUMIF(Выводы!$F$116:$U$116,tables!K$63,Выводы!$F182:$U182)</f>
        <v>0</v>
      </c>
      <c s="204">
        <f ca="1">SUMIF(Выводы!$F$116:$U$116,tables!L$63,Выводы!$F182:$U182)</f>
        <v>0</v>
      </c>
      <c s="204">
        <f ca="1">SUMIF(Выводы!$F$116:$U$116,tables!M$63,Выводы!$F182:$U182)</f>
        <v>0</v>
      </c>
      <c s="204">
        <f ca="1">SUMIF(Выводы!$F$116:$U$116,tables!N$63,Выводы!$F182:$U182)</f>
        <v>0</v>
      </c>
      <c s="204">
        <f ca="1">SUMIF(Выводы!$F$116:$U$116,tables!O$63,Выводы!$F182:$U182)</f>
        <v>0</v>
      </c>
      <c s="204">
        <f ca="1">SUMIF(Выводы!$F$116:$U$116,tables!P$63,Выводы!$F182:$U182)</f>
        <v>0</v>
      </c>
      <c s="204">
        <f ca="1">SUMIF(Выводы!$F$116:$U$116,tables!Q$63,Выводы!$F182:$U182)</f>
        <v>0</v>
      </c>
      <c s="204">
        <f ca="1">SUMIF(Выводы!$F$116:$U$116,tables!R$63,Выводы!$F182:$U182)</f>
        <v>0</v>
      </c>
    </row>
    <row r="123" spans="7:7" ht="13.9">
      <c r="G123" s="210" t="s">
        <v>1260</v>
      </c>
    </row>
    <row r="125" spans="2:14" ht="13.9">
      <c r="B125" s="199" t="s">
        <v>1164</v>
      </c>
      <c s="199" t="s">
        <v>21</v>
      </c>
      <c s="628" t="s">
        <v>1166</v>
      </c>
      <c s="635"/>
      <c s="635"/>
      <c s="635"/>
      <c s="635"/>
      <c s="635"/>
      <c s="635"/>
      <c s="635"/>
      <c s="635"/>
      <c s="635"/>
      <c s="629"/>
    </row>
    <row r="126" spans="2:15" ht="15" customHeight="1">
      <c r="B126" s="632" t="s">
        <v>1167</v>
      </c>
      <c s="208"/>
      <c s="209">
        <f>Чувствительность!E12</f>
        <v>-0.25</v>
      </c>
      <c s="209">
        <f>Чувствительность!F12</f>
        <v>-0.20000000000000001</v>
      </c>
      <c s="209">
        <f>Чувствительность!G12</f>
        <v>-0.14999999999999999</v>
      </c>
      <c s="209">
        <f>Чувствительность!H12</f>
        <v>-0.10000000000000001</v>
      </c>
      <c s="209">
        <f>Чувствительность!I12</f>
        <v>-0.050000000000000003</v>
      </c>
      <c s="209">
        <f>Чувствительность!J12</f>
        <v>0</v>
      </c>
      <c s="209">
        <f>Чувствительность!K12</f>
        <v>0.050000000000000003</v>
      </c>
      <c s="209">
        <f>Чувствительность!L12</f>
        <v>0.10000000000000001</v>
      </c>
      <c s="209">
        <f>Чувствительность!M12</f>
        <v>0.14999999999999999</v>
      </c>
      <c s="209">
        <f>Чувствительность!N12</f>
        <v>0.20000000000000001</v>
      </c>
      <c s="209">
        <f>Чувствительность!O12</f>
        <v>0.25</v>
      </c>
      <c s="216"/>
    </row>
    <row r="127" spans="2:14" ht="13.9">
      <c r="B127" s="633"/>
      <c s="200" t="s">
        <v>1168</v>
      </c>
      <c s="205">
        <f>Чувствительность!E13</f>
        <v>-0.00095709700890973413</v>
      </c>
      <c s="205">
        <f>Чувствительность!F13</f>
        <v>-0.00095709700890973413</v>
      </c>
      <c s="205">
        <f>Чувствительность!G13</f>
        <v>-0.00095709700890973413</v>
      </c>
      <c s="205">
        <f>Чувствительность!H13</f>
        <v>-0.00095709700890973413</v>
      </c>
      <c s="205">
        <f>Чувствительность!I13</f>
        <v>-0.00095709700890973413</v>
      </c>
      <c s="205">
        <f>Чувствительность!J13</f>
        <v>-0.00095709700890973413</v>
      </c>
      <c s="205">
        <f>Чувствительность!K13</f>
        <v>-0.00095709700890973413</v>
      </c>
      <c s="205">
        <f>Чувствительность!L13</f>
        <v>-0.00095709700890973413</v>
      </c>
      <c s="205">
        <f>Чувствительность!M13</f>
        <v>-0.00095709700890973413</v>
      </c>
      <c s="205">
        <f>Чувствительность!N13</f>
        <v>-0.00095709700890973413</v>
      </c>
      <c s="205">
        <f>Чувствительность!O13</f>
        <v>-0.00095709700890973413</v>
      </c>
    </row>
    <row r="128" spans="2:14" ht="27.6">
      <c r="B128" s="633"/>
      <c s="200" t="s">
        <v>1169</v>
      </c>
      <c s="204" t="str">
        <f>Чувствительность!E14</f>
        <v>не окупается</v>
      </c>
      <c s="204" t="str">
        <f>Чувствительность!F14</f>
        <v>не окупается</v>
      </c>
      <c s="204" t="str">
        <f>Чувствительность!G14</f>
        <v>не окупается</v>
      </c>
      <c s="204" t="str">
        <f>Чувствительность!H14</f>
        <v>не окупается</v>
      </c>
      <c s="204" t="str">
        <f>Чувствительность!I14</f>
        <v>не окупается</v>
      </c>
      <c s="204" t="str">
        <f>Чувствительность!J14</f>
        <v>не окупается</v>
      </c>
      <c s="204" t="str">
        <f>Чувствительность!K14</f>
        <v>не окупается</v>
      </c>
      <c s="204" t="str">
        <f>Чувствительность!L14</f>
        <v>не окупается</v>
      </c>
      <c s="204" t="str">
        <f>Чувствительность!M14</f>
        <v>не окупается</v>
      </c>
      <c s="204" t="str">
        <f>Чувствительность!N14</f>
        <v>не окупается</v>
      </c>
      <c s="204" t="str">
        <f>Чувствительность!O14</f>
        <v>не окупается</v>
      </c>
    </row>
    <row r="129" spans="2:14" ht="27.6">
      <c r="B129" s="634"/>
      <c s="200" t="s">
        <v>1170</v>
      </c>
      <c s="205">
        <f>Чувствительность!E15</f>
        <v>0</v>
      </c>
      <c s="205">
        <f>Чувствительность!F15</f>
        <v>0</v>
      </c>
      <c s="205">
        <f>Чувствительность!G15</f>
        <v>0</v>
      </c>
      <c s="205">
        <f>Чувствительность!H15</f>
        <v>0</v>
      </c>
      <c s="205">
        <f>Чувствительность!I15</f>
        <v>0</v>
      </c>
      <c s="205">
        <f>Чувствительность!J15</f>
        <v>0</v>
      </c>
      <c s="205">
        <f>Чувствительность!K15</f>
        <v>0</v>
      </c>
      <c s="205">
        <f>Чувствительность!L15</f>
        <v>0</v>
      </c>
      <c s="205">
        <f>Чувствительность!M15</f>
        <v>0</v>
      </c>
      <c s="205">
        <f>Чувствительность!N15</f>
        <v>0</v>
      </c>
      <c s="205">
        <f>Чувствительность!O15</f>
        <v>0</v>
      </c>
    </row>
    <row r="130" spans="2:14" ht="13.9">
      <c r="B130" s="632" t="s">
        <v>1171</v>
      </c>
      <c s="208"/>
      <c s="209">
        <f>Чувствительность!E16</f>
        <v>-0.25</v>
      </c>
      <c s="209">
        <f>Чувствительность!F16</f>
        <v>-0.20000000000000001</v>
      </c>
      <c s="209">
        <f>Чувствительность!G16</f>
        <v>-0.14999999999999999</v>
      </c>
      <c s="209">
        <f>Чувствительность!H16</f>
        <v>-0.10000000000000001</v>
      </c>
      <c s="209">
        <f>Чувствительность!I16</f>
        <v>-0.050000000000000003</v>
      </c>
      <c s="209">
        <f>Чувствительность!J16</f>
        <v>0</v>
      </c>
      <c s="209">
        <f>Чувствительность!K16</f>
        <v>0.050000000000000003</v>
      </c>
      <c s="209">
        <f>Чувствительность!L16</f>
        <v>0.10000000000000001</v>
      </c>
      <c s="209">
        <f>Чувствительность!M16</f>
        <v>0.14999999999999999</v>
      </c>
      <c s="209">
        <f>Чувствительность!N16</f>
        <v>0.20000000000000001</v>
      </c>
      <c s="209">
        <f>Чувствительность!O16</f>
        <v>0.25</v>
      </c>
    </row>
    <row r="131" spans="2:14" ht="13.9">
      <c r="B131" s="633"/>
      <c s="200" t="s">
        <v>1168</v>
      </c>
      <c s="205">
        <f>Чувствительность!E17</f>
        <v>-0.00095709700890973413</v>
      </c>
      <c s="205">
        <f>Чувствительность!F17</f>
        <v>-0.00095709700890973413</v>
      </c>
      <c s="205">
        <f>Чувствительность!G17</f>
        <v>-0.00095709700890973413</v>
      </c>
      <c s="205">
        <f>Чувствительность!H17</f>
        <v>-0.00095709700890973413</v>
      </c>
      <c s="205">
        <f>Чувствительность!I17</f>
        <v>-0.00095709700890973413</v>
      </c>
      <c s="205">
        <f>Чувствительность!J17</f>
        <v>-0.00095709700890973413</v>
      </c>
      <c s="205">
        <f>Чувствительность!K17</f>
        <v>-0.00095709700890973413</v>
      </c>
      <c s="205">
        <f>Чувствительность!L17</f>
        <v>-0.00095709700890973413</v>
      </c>
      <c s="205">
        <f>Чувствительность!M17</f>
        <v>-0.00095709700890973413</v>
      </c>
      <c s="205">
        <f>Чувствительность!N17</f>
        <v>-0.00095709700890973413</v>
      </c>
      <c s="205">
        <f>Чувствительность!O17</f>
        <v>-0.00095709700890973413</v>
      </c>
    </row>
    <row r="132" spans="2:14" ht="27.6">
      <c r="B132" s="633"/>
      <c s="200" t="s">
        <v>1169</v>
      </c>
      <c s="204" t="str">
        <f>Чувствительность!E18</f>
        <v>не окупается</v>
      </c>
      <c s="204" t="str">
        <f>Чувствительность!F18</f>
        <v>не окупается</v>
      </c>
      <c s="204" t="str">
        <f>Чувствительность!G18</f>
        <v>не окупается</v>
      </c>
      <c s="204" t="str">
        <f>Чувствительность!H18</f>
        <v>не окупается</v>
      </c>
      <c s="204" t="str">
        <f>Чувствительность!I18</f>
        <v>не окупается</v>
      </c>
      <c s="204" t="str">
        <f>Чувствительность!J18</f>
        <v>не окупается</v>
      </c>
      <c s="204" t="str">
        <f>Чувствительность!K18</f>
        <v>не окупается</v>
      </c>
      <c s="204" t="str">
        <f>Чувствительность!L18</f>
        <v>не окупается</v>
      </c>
      <c s="204" t="str">
        <f>Чувствительность!M18</f>
        <v>не окупается</v>
      </c>
      <c s="204" t="str">
        <f>Чувствительность!N18</f>
        <v>не окупается</v>
      </c>
      <c s="204" t="str">
        <f>Чувствительность!O18</f>
        <v>не окупается</v>
      </c>
    </row>
    <row r="133" spans="2:14" ht="27.6">
      <c r="B133" s="634"/>
      <c s="200" t="s">
        <v>1170</v>
      </c>
      <c s="205">
        <f>Чувствительность!E19</f>
        <v>0</v>
      </c>
      <c s="205">
        <f>Чувствительность!F19</f>
        <v>0</v>
      </c>
      <c s="205">
        <f>Чувствительность!G19</f>
        <v>0</v>
      </c>
      <c s="205">
        <f>Чувствительность!H19</f>
        <v>0</v>
      </c>
      <c s="205">
        <f>Чувствительность!I19</f>
        <v>0</v>
      </c>
      <c s="205">
        <f>Чувствительность!J19</f>
        <v>0</v>
      </c>
      <c s="205">
        <f>Чувствительность!K19</f>
        <v>0</v>
      </c>
      <c s="205">
        <f>Чувствительность!L19</f>
        <v>0</v>
      </c>
      <c s="205">
        <f>Чувствительность!M19</f>
        <v>0</v>
      </c>
      <c s="205">
        <f>Чувствительность!N19</f>
        <v>0</v>
      </c>
      <c s="205">
        <f>Чувствительность!O19</f>
        <v>0</v>
      </c>
    </row>
    <row r="134" spans="2:14" ht="13.9">
      <c r="B134" s="632" t="s">
        <v>1172</v>
      </c>
      <c s="208"/>
      <c s="209">
        <f>Чувствительность!E20</f>
        <v>-0.25</v>
      </c>
      <c s="209">
        <f>Чувствительность!F20</f>
        <v>-0.20000000000000001</v>
      </c>
      <c s="209">
        <f>Чувствительность!G20</f>
        <v>-0.14999999999999999</v>
      </c>
      <c s="209">
        <f>Чувствительность!H20</f>
        <v>-0.10000000000000001</v>
      </c>
      <c s="209">
        <f>Чувствительность!I20</f>
        <v>-0.050000000000000003</v>
      </c>
      <c s="209">
        <f>Чувствительность!J20</f>
        <v>0</v>
      </c>
      <c s="209">
        <f>Чувствительность!K20</f>
        <v>0.050000000000000003</v>
      </c>
      <c s="209">
        <f>Чувствительность!L20</f>
        <v>0.10000000000000001</v>
      </c>
      <c s="209">
        <f>Чувствительность!M20</f>
        <v>0.14999999999999999</v>
      </c>
      <c s="209">
        <f>Чувствительность!N20</f>
        <v>0.20000000000000001</v>
      </c>
      <c s="209">
        <f>Чувствительность!O20</f>
        <v>0.25</v>
      </c>
    </row>
    <row r="135" spans="2:14" ht="13.9">
      <c r="B135" s="633"/>
      <c s="200" t="s">
        <v>1168</v>
      </c>
      <c s="205">
        <f>Чувствительность!E21</f>
        <v>-0.00095709700890973413</v>
      </c>
      <c s="205">
        <f>Чувствительность!F21</f>
        <v>-0.00095709700890973413</v>
      </c>
      <c s="205">
        <f>Чувствительность!G21</f>
        <v>-0.00095709700890973413</v>
      </c>
      <c s="205">
        <f>Чувствительность!H21</f>
        <v>-0.00095709700890973413</v>
      </c>
      <c s="205">
        <f>Чувствительность!I21</f>
        <v>-0.00095709700890973413</v>
      </c>
      <c s="205">
        <f>Чувствительность!J21</f>
        <v>-0.00095709700890973413</v>
      </c>
      <c s="205">
        <f>Чувствительность!K21</f>
        <v>-0.00095709700890973413</v>
      </c>
      <c s="205">
        <f>Чувствительность!L21</f>
        <v>-0.00095709700890973413</v>
      </c>
      <c s="205">
        <f>Чувствительность!M21</f>
        <v>-0.00095709700890973413</v>
      </c>
      <c s="205">
        <f>Чувствительность!N21</f>
        <v>-0.00095709700890973413</v>
      </c>
      <c s="205">
        <f>Чувствительность!O21</f>
        <v>-0.00095709700890973413</v>
      </c>
    </row>
    <row r="136" spans="2:14" ht="27.6">
      <c r="B136" s="633"/>
      <c s="200" t="s">
        <v>1169</v>
      </c>
      <c s="204" t="str">
        <f>Чувствительность!E22</f>
        <v>не окупается</v>
      </c>
      <c s="204" t="str">
        <f>Чувствительность!F22</f>
        <v>не окупается</v>
      </c>
      <c s="204" t="str">
        <f>Чувствительность!G22</f>
        <v>не окупается</v>
      </c>
      <c s="204" t="str">
        <f>Чувствительность!H22</f>
        <v>не окупается</v>
      </c>
      <c s="204" t="str">
        <f>Чувствительность!I22</f>
        <v>не окупается</v>
      </c>
      <c s="204" t="str">
        <f>Чувствительность!J22</f>
        <v>не окупается</v>
      </c>
      <c s="204" t="str">
        <f>Чувствительность!K22</f>
        <v>не окупается</v>
      </c>
      <c s="204" t="str">
        <f>Чувствительность!L22</f>
        <v>не окупается</v>
      </c>
      <c s="204" t="str">
        <f>Чувствительность!M22</f>
        <v>не окупается</v>
      </c>
      <c s="204" t="str">
        <f>Чувствительность!N22</f>
        <v>не окупается</v>
      </c>
      <c s="204" t="str">
        <f>Чувствительность!O22</f>
        <v>не окупается</v>
      </c>
    </row>
    <row r="137" spans="2:14" ht="27.6">
      <c r="B137" s="634"/>
      <c s="200" t="s">
        <v>1170</v>
      </c>
      <c s="205">
        <f>Чувствительность!E23</f>
        <v>0</v>
      </c>
      <c s="205">
        <f>Чувствительность!F23</f>
        <v>0</v>
      </c>
      <c s="205">
        <f>Чувствительность!G23</f>
        <v>0</v>
      </c>
      <c s="205">
        <f>Чувствительность!H23</f>
        <v>0</v>
      </c>
      <c s="205">
        <f>Чувствительность!I23</f>
        <v>0</v>
      </c>
      <c s="205">
        <f>Чувствительность!J23</f>
        <v>0</v>
      </c>
      <c s="205">
        <f>Чувствительность!K23</f>
        <v>0</v>
      </c>
      <c s="205">
        <f>Чувствительность!L23</f>
        <v>0</v>
      </c>
      <c s="205">
        <f>Чувствительность!M23</f>
        <v>0</v>
      </c>
      <c s="205">
        <f>Чувствительность!N23</f>
        <v>0</v>
      </c>
      <c s="205">
        <f>Чувствительность!O23</f>
        <v>0</v>
      </c>
    </row>
    <row r="138" spans="2:14" ht="13.9">
      <c r="B138" s="632" t="s">
        <v>1173</v>
      </c>
      <c s="208"/>
      <c s="209">
        <f>Чувствительность!E24</f>
        <v>-0.25</v>
      </c>
      <c s="209">
        <f>Чувствительность!F24</f>
        <v>-0.20000000000000001</v>
      </c>
      <c s="209">
        <f>Чувствительность!G24</f>
        <v>-0.14999999999999999</v>
      </c>
      <c s="209">
        <f>Чувствительность!H24</f>
        <v>-0.10000000000000001</v>
      </c>
      <c s="209">
        <f>Чувствительность!I24</f>
        <v>-0.050000000000000003</v>
      </c>
      <c s="209">
        <f>Чувствительность!J24</f>
        <v>0</v>
      </c>
      <c s="209">
        <f>Чувствительность!K24</f>
        <v>0.050000000000000003</v>
      </c>
      <c s="209">
        <f>Чувствительность!L24</f>
        <v>0.10000000000000001</v>
      </c>
      <c s="209">
        <f>Чувствительность!M24</f>
        <v>0.14999999999999999</v>
      </c>
      <c s="209">
        <f>Чувствительность!N24</f>
        <v>0.20000000000000001</v>
      </c>
      <c s="209">
        <f>Чувствительность!O24</f>
        <v>0.25</v>
      </c>
    </row>
    <row r="139" spans="2:14" ht="13.9">
      <c r="B139" s="633"/>
      <c s="200" t="s">
        <v>1168</v>
      </c>
      <c s="205">
        <f>Чувствительность!E25</f>
        <v>-0.00095709700890973413</v>
      </c>
      <c s="205">
        <f>Чувствительность!F25</f>
        <v>-0.00095709700890973413</v>
      </c>
      <c s="205">
        <f>Чувствительность!G25</f>
        <v>-0.00095709700890973413</v>
      </c>
      <c s="205">
        <f>Чувствительность!H25</f>
        <v>-0.00095709700890973413</v>
      </c>
      <c s="205">
        <f>Чувствительность!I25</f>
        <v>-0.00095709700890973413</v>
      </c>
      <c s="205">
        <f>Чувствительность!J25</f>
        <v>-0.00095709700890973413</v>
      </c>
      <c s="205">
        <f>Чувствительность!K25</f>
        <v>-0.00095709700890973413</v>
      </c>
      <c s="205">
        <f>Чувствительность!L25</f>
        <v>-0.00095709700890973413</v>
      </c>
      <c s="205">
        <f>Чувствительность!M25</f>
        <v>-0.00095709700890973413</v>
      </c>
      <c s="205">
        <f>Чувствительность!N25</f>
        <v>-0.00095709700890973413</v>
      </c>
      <c s="205">
        <f>Чувствительность!O25</f>
        <v>-0.00095709700890973413</v>
      </c>
    </row>
    <row r="140" spans="2:14" ht="27.6">
      <c r="B140" s="633"/>
      <c s="200" t="s">
        <v>1169</v>
      </c>
      <c s="204" t="str">
        <f>Чувствительность!E26</f>
        <v>не окупается</v>
      </c>
      <c s="204" t="str">
        <f>Чувствительность!F26</f>
        <v>не окупается</v>
      </c>
      <c s="204" t="str">
        <f>Чувствительность!G26</f>
        <v>не окупается</v>
      </c>
      <c s="204" t="str">
        <f>Чувствительность!H26</f>
        <v>не окупается</v>
      </c>
      <c s="204" t="str">
        <f>Чувствительность!I26</f>
        <v>не окупается</v>
      </c>
      <c s="204" t="str">
        <f>Чувствительность!J26</f>
        <v>не окупается</v>
      </c>
      <c s="204" t="str">
        <f>Чувствительность!K26</f>
        <v>не окупается</v>
      </c>
      <c s="204" t="str">
        <f>Чувствительность!L26</f>
        <v>не окупается</v>
      </c>
      <c s="204" t="str">
        <f>Чувствительность!M26</f>
        <v>не окупается</v>
      </c>
      <c s="204" t="str">
        <f>Чувствительность!N26</f>
        <v>не окупается</v>
      </c>
      <c s="204" t="str">
        <f>Чувствительность!O26</f>
        <v>не окупается</v>
      </c>
    </row>
    <row r="141" spans="2:14" ht="27.6">
      <c r="B141" s="634"/>
      <c s="200" t="s">
        <v>1170</v>
      </c>
      <c s="205">
        <f>Чувствительность!E27</f>
        <v>0</v>
      </c>
      <c s="205">
        <f>Чувствительность!F27</f>
        <v>0</v>
      </c>
      <c s="205">
        <f>Чувствительность!G27</f>
        <v>0</v>
      </c>
      <c s="205">
        <f>Чувствительность!H27</f>
        <v>0</v>
      </c>
      <c s="205">
        <f>Чувствительность!I27</f>
        <v>0</v>
      </c>
      <c s="205">
        <f>Чувствительность!J27</f>
        <v>0</v>
      </c>
      <c s="205">
        <f>Чувствительность!K27</f>
        <v>0</v>
      </c>
      <c s="205">
        <f>Чувствительность!L27</f>
        <v>0</v>
      </c>
      <c s="205">
        <f>Чувствительность!M27</f>
        <v>0</v>
      </c>
      <c s="205">
        <f>Чувствительность!N27</f>
        <v>0</v>
      </c>
      <c s="205">
        <f>Чувствительность!O27</f>
        <v>0</v>
      </c>
    </row>
    <row r="142" spans="2:14" ht="13.9">
      <c r="B142" s="632" t="s">
        <v>1174</v>
      </c>
      <c s="208"/>
      <c s="209">
        <f>Чувствительность!E28</f>
        <v>-0.25</v>
      </c>
      <c s="209">
        <f>Чувствительность!F28</f>
        <v>-0.20000000000000001</v>
      </c>
      <c s="209">
        <f>Чувствительность!G28</f>
        <v>-0.14999999999999999</v>
      </c>
      <c s="209">
        <f>Чувствительность!H28</f>
        <v>-0.10000000000000001</v>
      </c>
      <c s="209">
        <f>Чувствительность!I28</f>
        <v>-0.050000000000000003</v>
      </c>
      <c s="209">
        <f>Чувствительность!J28</f>
        <v>0</v>
      </c>
      <c s="209">
        <f>Чувствительность!K28</f>
        <v>0.050000000000000003</v>
      </c>
      <c s="209">
        <f>Чувствительность!L28</f>
        <v>0.10000000000000001</v>
      </c>
      <c s="209">
        <f>Чувствительность!M28</f>
        <v>0.14999999999999999</v>
      </c>
      <c s="209">
        <f>Чувствительность!N28</f>
        <v>0.20000000000000001</v>
      </c>
      <c s="209">
        <f>Чувствительность!O28</f>
        <v>0.25</v>
      </c>
    </row>
    <row r="143" spans="2:14" ht="13.9">
      <c r="B143" s="633"/>
      <c s="200" t="s">
        <v>1168</v>
      </c>
      <c s="205">
        <f>Чувствительность!E29</f>
        <v>-0.00095709700890973413</v>
      </c>
      <c s="205">
        <f>Чувствительность!F29</f>
        <v>-0.00095709700890973413</v>
      </c>
      <c s="205">
        <f>Чувствительность!G29</f>
        <v>-0.00095709700890973413</v>
      </c>
      <c s="205">
        <f>Чувствительность!H29</f>
        <v>-0.00095709700890973413</v>
      </c>
      <c s="205">
        <f>Чувствительность!I29</f>
        <v>-0.00095709700890973413</v>
      </c>
      <c s="205">
        <f>Чувствительность!J29</f>
        <v>-0.00095709700890973413</v>
      </c>
      <c s="205">
        <f>Чувствительность!K29</f>
        <v>-0.00095709700890973413</v>
      </c>
      <c s="205">
        <f>Чувствительность!L29</f>
        <v>-0.00095709700890973413</v>
      </c>
      <c s="205">
        <f>Чувствительность!M29</f>
        <v>-0.00095709700890973413</v>
      </c>
      <c s="205">
        <f>Чувствительность!N29</f>
        <v>-0.00095709700890973413</v>
      </c>
      <c s="205">
        <f>Чувствительность!O29</f>
        <v>-0.00095709700890973413</v>
      </c>
    </row>
    <row r="144" spans="2:14" ht="27.6">
      <c r="B144" s="633"/>
      <c s="200" t="s">
        <v>1169</v>
      </c>
      <c s="204" t="str">
        <f>Чувствительность!E30</f>
        <v>не окупается</v>
      </c>
      <c s="204" t="str">
        <f>Чувствительность!F30</f>
        <v>не окупается</v>
      </c>
      <c s="204" t="str">
        <f>Чувствительность!G30</f>
        <v>не окупается</v>
      </c>
      <c s="204" t="str">
        <f>Чувствительность!H30</f>
        <v>не окупается</v>
      </c>
      <c s="204" t="str">
        <f>Чувствительность!I30</f>
        <v>не окупается</v>
      </c>
      <c s="204" t="str">
        <f>Чувствительность!J30</f>
        <v>не окупается</v>
      </c>
      <c s="204" t="str">
        <f>Чувствительность!K30</f>
        <v>не окупается</v>
      </c>
      <c s="204" t="str">
        <f>Чувствительность!L30</f>
        <v>не окупается</v>
      </c>
      <c s="204" t="str">
        <f>Чувствительность!M30</f>
        <v>не окупается</v>
      </c>
      <c s="204" t="str">
        <f>Чувствительность!N30</f>
        <v>не окупается</v>
      </c>
      <c s="204" t="str">
        <f>Чувствительность!O30</f>
        <v>не окупается</v>
      </c>
    </row>
    <row r="145" spans="2:14" ht="27.6">
      <c r="B145" s="634"/>
      <c s="200" t="s">
        <v>1170</v>
      </c>
      <c s="205">
        <f>Чувствительность!E31</f>
        <v>0</v>
      </c>
      <c s="205">
        <f>Чувствительность!F31</f>
        <v>0</v>
      </c>
      <c s="205">
        <f>Чувствительность!G31</f>
        <v>0</v>
      </c>
      <c s="205">
        <f>Чувствительность!H31</f>
        <v>0</v>
      </c>
      <c s="205">
        <f>Чувствительность!I31</f>
        <v>0</v>
      </c>
      <c s="205">
        <f>Чувствительность!J31</f>
        <v>0</v>
      </c>
      <c s="205">
        <f>Чувствительность!K31</f>
        <v>0</v>
      </c>
      <c s="205">
        <f>Чувствительность!L31</f>
        <v>0</v>
      </c>
      <c s="205">
        <f>Чувствительность!M31</f>
        <v>0</v>
      </c>
      <c s="205">
        <f>Чувствительность!N31</f>
        <v>0</v>
      </c>
      <c s="205">
        <f>Чувствительность!O31</f>
        <v>0</v>
      </c>
    </row>
    <row r="146" spans="2:14" ht="13.9">
      <c r="B146" s="632" t="s">
        <v>1175</v>
      </c>
      <c s="208"/>
      <c s="209">
        <f>Чувствительность!E32</f>
        <v>-0.25</v>
      </c>
      <c s="209">
        <f>Чувствительность!F32</f>
        <v>-0.20000000000000001</v>
      </c>
      <c s="209">
        <f>Чувствительность!G32</f>
        <v>-0.14999999999999999</v>
      </c>
      <c s="209">
        <f>Чувствительность!H32</f>
        <v>-0.10000000000000001</v>
      </c>
      <c s="209">
        <f>Чувствительность!I32</f>
        <v>-0.050000000000000003</v>
      </c>
      <c s="209">
        <f>Чувствительность!J32</f>
        <v>0</v>
      </c>
      <c s="209">
        <f>Чувствительность!K32</f>
        <v>0.050000000000000003</v>
      </c>
      <c s="209">
        <f>Чувствительность!L32</f>
        <v>0.10000000000000001</v>
      </c>
      <c s="209">
        <f>Чувствительность!M32</f>
        <v>0.14999999999999999</v>
      </c>
      <c s="209">
        <f>Чувствительность!N32</f>
        <v>0.20000000000000001</v>
      </c>
      <c s="209">
        <f>Чувствительность!O32</f>
        <v>0.25</v>
      </c>
    </row>
    <row r="147" spans="2:14" ht="13.9">
      <c r="B147" s="633"/>
      <c s="200" t="s">
        <v>1168</v>
      </c>
      <c s="205">
        <f>Чувствительность!E33</f>
        <v>-0.00096747388982857936</v>
      </c>
      <c s="205">
        <f>Чувствительность!F33</f>
        <v>-0.00096538055155010816</v>
      </c>
      <c s="205">
        <f>Чувствительность!G33</f>
        <v>-0.00096329625249041658</v>
      </c>
      <c s="205">
        <f>Чувствительность!H33</f>
        <v>-0.00096122093422742777</v>
      </c>
      <c s="205">
        <f>Чувствительность!I33</f>
        <v>-0.00095915453884143928</v>
      </c>
      <c s="205">
        <f>Чувствительность!J33</f>
        <v>-0.00095709700890973413</v>
      </c>
      <c s="205">
        <f>Чувствительность!K33</f>
        <v>-0.00095504828750126206</v>
      </c>
      <c s="205">
        <f>Чувствительность!L33</f>
        <v>-0.00095300831817138852</v>
      </c>
      <c s="205">
        <f>Чувствительность!M33</f>
        <v>-0.00095097704495671032</v>
      </c>
      <c s="205">
        <f>Чувствительность!N33</f>
        <v>-0.00094895441236993909</v>
      </c>
      <c s="205">
        <f>Чувствительность!O33</f>
        <v>-0.00094694036539484715</v>
      </c>
    </row>
    <row r="148" spans="2:14" ht="27.6">
      <c r="B148" s="634"/>
      <c s="200" t="s">
        <v>1169</v>
      </c>
      <c s="204" t="str">
        <f>Чувствительность!E34</f>
        <v>не окупается</v>
      </c>
      <c s="204" t="str">
        <f>Чувствительность!F34</f>
        <v>не окупается</v>
      </c>
      <c s="204" t="str">
        <f>Чувствительность!G34</f>
        <v>не окупается</v>
      </c>
      <c s="204" t="str">
        <f>Чувствительность!H34</f>
        <v>не окупается</v>
      </c>
      <c s="204" t="str">
        <f>Чувствительность!I34</f>
        <v>не окупается</v>
      </c>
      <c s="204" t="str">
        <f>Чувствительность!J34</f>
        <v>не окупается</v>
      </c>
      <c s="204" t="str">
        <f>Чувствительность!K34</f>
        <v>не окупается</v>
      </c>
      <c s="204" t="str">
        <f>Чувствительность!L34</f>
        <v>не окупается</v>
      </c>
      <c s="204" t="str">
        <f>Чувствительность!M34</f>
        <v>не окупается</v>
      </c>
      <c s="204" t="str">
        <f>Чувствительность!N34</f>
        <v>не окупается</v>
      </c>
      <c s="204" t="str">
        <f>Чувствительность!O34</f>
        <v>не окупается</v>
      </c>
    </row>
    <row r="149" spans="2:14" ht="13.9">
      <c r="B149" s="217"/>
      <c s="218"/>
      <c s="219"/>
      <c s="219"/>
      <c s="219"/>
      <c s="219"/>
      <c s="219"/>
      <c s="219"/>
      <c s="219"/>
      <c s="219"/>
      <c s="219"/>
      <c s="219"/>
      <c s="219"/>
    </row>
    <row r="150" spans="2:7" ht="13.9">
      <c r="B150" s="212"/>
      <c r="G150" s="212" t="s">
        <v>1261</v>
      </c>
    </row>
    <row r="151" spans="1:19" ht="13.9">
      <c r="A151" s="199" t="s">
        <v>1262</v>
      </c>
      <c s="199" t="s">
        <v>1263</v>
      </c>
      <c s="199">
        <f t="shared" si="18" ref="C151:R151">C4</f>
        <v>2025</v>
      </c>
      <c s="199">
        <f t="shared" si="18"/>
        <v>2026</v>
      </c>
      <c s="199">
        <f t="shared" si="18"/>
        <v>2027</v>
      </c>
      <c s="199">
        <f t="shared" si="18"/>
        <v>2028</v>
      </c>
      <c s="199">
        <f t="shared" si="18"/>
        <v>2029</v>
      </c>
      <c s="199">
        <f t="shared" si="18"/>
        <v>2030</v>
      </c>
      <c s="199">
        <f t="shared" si="18"/>
        <v>2031</v>
      </c>
      <c s="199">
        <f t="shared" si="18"/>
        <v>2032</v>
      </c>
      <c s="199">
        <f t="shared" si="18"/>
        <v>2033</v>
      </c>
      <c s="199">
        <f t="shared" si="18"/>
        <v>2034</v>
      </c>
      <c s="199">
        <f t="shared" si="18"/>
        <v>2035</v>
      </c>
      <c s="199">
        <f t="shared" si="18"/>
        <v>2036</v>
      </c>
      <c s="199">
        <f t="shared" si="18"/>
        <v>2037</v>
      </c>
      <c s="199">
        <f t="shared" si="18"/>
        <v>2038</v>
      </c>
      <c s="199">
        <f t="shared" si="18"/>
        <v>2039</v>
      </c>
      <c s="199">
        <f t="shared" si="18"/>
        <v>2040</v>
      </c>
      <c s="199" t="s">
        <v>454</v>
      </c>
    </row>
    <row r="152" spans="1:19" ht="13.9">
      <c r="A152" s="208" t="str">
        <f>Продажи!B18</f>
        <v>Продукт 1</v>
      </c>
      <c s="211">
        <f>Предпосылки!D150</f>
        <v>0</v>
      </c>
      <c s="208">
        <f>SUMIF(Продажи!$E$10:$BM$10,C$151,Продажи!$E18:$BM18)</f>
        <v>0</v>
      </c>
      <c s="208">
        <f>SUMIF(Продажи!$E$10:$BM$10,D$151,Продажи!$E18:$BM18)</f>
        <v>0</v>
      </c>
      <c s="208">
        <f>SUMIF(Продажи!$E$10:$BM$10,E$151,Продажи!$E18:$BM18)</f>
        <v>0</v>
      </c>
      <c s="208">
        <f>SUMIF(Продажи!$E$10:$BM$10,F$151,Продажи!$E18:$BM18)</f>
        <v>0</v>
      </c>
      <c s="208">
        <f>SUMIF(Продажи!$E$10:$BM$10,G$151,Продажи!$E18:$BM18)</f>
        <v>0</v>
      </c>
      <c s="208">
        <f>SUMIF(Продажи!$E$10:$BM$10,H$151,Продажи!$E18:$BM18)</f>
        <v>0</v>
      </c>
      <c s="208">
        <f>SUMIF(Продажи!$E$10:$BM$10,I$151,Продажи!$E18:$BM18)</f>
        <v>0</v>
      </c>
      <c s="208">
        <f>SUMIF(Продажи!$E$10:$BM$10,J$151,Продажи!$E18:$BM18)</f>
        <v>0</v>
      </c>
      <c s="208">
        <f>SUMIF(Продажи!$E$10:$BM$10,K$151,Продажи!$E18:$BM18)</f>
        <v>0</v>
      </c>
      <c s="208">
        <f>SUMIF(Продажи!$E$10:$BM$10,L$151,Продажи!$E18:$BM18)</f>
        <v>0</v>
      </c>
      <c s="208">
        <f>SUMIF(Продажи!$E$10:$BM$10,M$151,Продажи!$E18:$BM18)</f>
        <v>0</v>
      </c>
      <c s="208">
        <f>SUMIF(Продажи!$E$10:$BM$10,N$151,Продажи!$E18:$BM18)</f>
        <v>0</v>
      </c>
      <c s="208">
        <f>SUMIF(Продажи!$E$10:$BM$10,O$151,Продажи!$E18:$BM18)</f>
        <v>0</v>
      </c>
      <c s="208">
        <f>SUMIF(Продажи!$E$10:$BM$10,P$151,Продажи!$E18:$BM18)</f>
        <v>0</v>
      </c>
      <c s="208">
        <f>SUMIF(Продажи!$E$10:$BM$10,Q$151,Продажи!$E18:$BM18)</f>
        <v>0</v>
      </c>
      <c s="208">
        <f>SUMIF(Продажи!$E$10:$BM$10,R$151,Продажи!$E18:$BM18)</f>
        <v>0</v>
      </c>
      <c s="208">
        <f>SUM(C152:R152)</f>
        <v>0</v>
      </c>
    </row>
    <row r="153" spans="1:19" ht="13.9">
      <c r="A153" s="208" t="str">
        <f>Продажи!B19</f>
        <v>Продукт 2</v>
      </c>
      <c s="211">
        <f>Предпосылки!D151</f>
        <v>0</v>
      </c>
      <c s="208">
        <f>SUMIF(Продажи!$E$10:$BM$10,C$151,Продажи!$E19:$BM19)</f>
        <v>0</v>
      </c>
      <c s="208">
        <f>SUMIF(Продажи!$E$10:$BM$10,D$151,Продажи!$E19:$BM19)</f>
        <v>0</v>
      </c>
      <c s="208">
        <f>SUMIF(Продажи!$E$10:$BM$10,E$151,Продажи!$E19:$BM19)</f>
        <v>0</v>
      </c>
      <c s="208">
        <f>SUMIF(Продажи!$E$10:$BM$10,F$151,Продажи!$E19:$BM19)</f>
        <v>0</v>
      </c>
      <c s="208">
        <f>SUMIF(Продажи!$E$10:$BM$10,G$151,Продажи!$E19:$BM19)</f>
        <v>0</v>
      </c>
      <c s="208">
        <f>SUMIF(Продажи!$E$10:$BM$10,H$151,Продажи!$E19:$BM19)</f>
        <v>0</v>
      </c>
      <c s="208">
        <f>SUMIF(Продажи!$E$10:$BM$10,I$151,Продажи!$E19:$BM19)</f>
        <v>0</v>
      </c>
      <c s="208">
        <f>SUMIF(Продажи!$E$10:$BM$10,J$151,Продажи!$E19:$BM19)</f>
        <v>0</v>
      </c>
      <c s="208">
        <f>SUMIF(Продажи!$E$10:$BM$10,K$151,Продажи!$E19:$BM19)</f>
        <v>0</v>
      </c>
      <c s="208">
        <f>SUMIF(Продажи!$E$10:$BM$10,L$151,Продажи!$E19:$BM19)</f>
        <v>0</v>
      </c>
      <c s="208">
        <f>SUMIF(Продажи!$E$10:$BM$10,M$151,Продажи!$E19:$BM19)</f>
        <v>0</v>
      </c>
      <c s="208">
        <f>SUMIF(Продажи!$E$10:$BM$10,N$151,Продажи!$E19:$BM19)</f>
        <v>0</v>
      </c>
      <c s="208">
        <f>SUMIF(Продажи!$E$10:$BM$10,O$151,Продажи!$E19:$BM19)</f>
        <v>0</v>
      </c>
      <c s="208">
        <f>SUMIF(Продажи!$E$10:$BM$10,P$151,Продажи!$E19:$BM19)</f>
        <v>0</v>
      </c>
      <c s="208">
        <f>SUMIF(Продажи!$E$10:$BM$10,Q$151,Продажи!$E19:$BM19)</f>
        <v>0</v>
      </c>
      <c s="208">
        <f>SUMIF(Продажи!$E$10:$BM$10,R$151,Продажи!$E19:$BM19)</f>
        <v>0</v>
      </c>
      <c s="208">
        <f t="shared" si="19" ref="S153:S171">SUM(C153:R153)</f>
        <v>0</v>
      </c>
    </row>
    <row r="154" spans="1:19" ht="13.9">
      <c r="A154" s="208" t="str">
        <f>Продажи!B20</f>
        <v>Продукт 3</v>
      </c>
      <c s="211">
        <f>Предпосылки!D152</f>
        <v>0</v>
      </c>
      <c s="208">
        <f>SUMIF(Продажи!$E$10:$BM$10,C$151,Продажи!$E20:$BM20)</f>
        <v>0</v>
      </c>
      <c s="208">
        <f>SUMIF(Продажи!$E$10:$BM$10,D$151,Продажи!$E20:$BM20)</f>
        <v>0</v>
      </c>
      <c s="208">
        <f>SUMIF(Продажи!$E$10:$BM$10,E$151,Продажи!$E20:$BM20)</f>
        <v>0</v>
      </c>
      <c s="208">
        <f>SUMIF(Продажи!$E$10:$BM$10,F$151,Продажи!$E20:$BM20)</f>
        <v>0</v>
      </c>
      <c s="208">
        <f>SUMIF(Продажи!$E$10:$BM$10,G$151,Продажи!$E20:$BM20)</f>
        <v>0</v>
      </c>
      <c s="208">
        <f>SUMIF(Продажи!$E$10:$BM$10,H$151,Продажи!$E20:$BM20)</f>
        <v>0</v>
      </c>
      <c s="208">
        <f>SUMIF(Продажи!$E$10:$BM$10,I$151,Продажи!$E20:$BM20)</f>
        <v>0</v>
      </c>
      <c s="208">
        <f>SUMIF(Продажи!$E$10:$BM$10,J$151,Продажи!$E20:$BM20)</f>
        <v>0</v>
      </c>
      <c s="208">
        <f>SUMIF(Продажи!$E$10:$BM$10,K$151,Продажи!$E20:$BM20)</f>
        <v>0</v>
      </c>
      <c s="208">
        <f>SUMIF(Продажи!$E$10:$BM$10,L$151,Продажи!$E20:$BM20)</f>
        <v>0</v>
      </c>
      <c s="208">
        <f>SUMIF(Продажи!$E$10:$BM$10,M$151,Продажи!$E20:$BM20)</f>
        <v>0</v>
      </c>
      <c s="208">
        <f>SUMIF(Продажи!$E$10:$BM$10,N$151,Продажи!$E20:$BM20)</f>
        <v>0</v>
      </c>
      <c s="208">
        <f>SUMIF(Продажи!$E$10:$BM$10,O$151,Продажи!$E20:$BM20)</f>
        <v>0</v>
      </c>
      <c s="208">
        <f>SUMIF(Продажи!$E$10:$BM$10,P$151,Продажи!$E20:$BM20)</f>
        <v>0</v>
      </c>
      <c s="208">
        <f>SUMIF(Продажи!$E$10:$BM$10,Q$151,Продажи!$E20:$BM20)</f>
        <v>0</v>
      </c>
      <c s="208">
        <f>SUMIF(Продажи!$E$10:$BM$10,R$151,Продажи!$E20:$BM20)</f>
        <v>0</v>
      </c>
      <c s="208">
        <f t="shared" si="19"/>
        <v>0</v>
      </c>
    </row>
    <row r="155" spans="1:19" ht="13.9">
      <c r="A155" s="208" t="str">
        <f>Продажи!B21</f>
        <v>Продукт 4</v>
      </c>
      <c s="211">
        <f>Предпосылки!D153</f>
        <v>0</v>
      </c>
      <c s="208">
        <f>SUMIF(Продажи!$E$10:$BM$10,C$151,Продажи!$E21:$BM21)</f>
        <v>0</v>
      </c>
      <c s="208">
        <f>SUMIF(Продажи!$E$10:$BM$10,D$151,Продажи!$E21:$BM21)</f>
        <v>0</v>
      </c>
      <c s="208">
        <f>SUMIF(Продажи!$E$10:$BM$10,E$151,Продажи!$E21:$BM21)</f>
        <v>0</v>
      </c>
      <c s="208">
        <f>SUMIF(Продажи!$E$10:$BM$10,F$151,Продажи!$E21:$BM21)</f>
        <v>0</v>
      </c>
      <c s="208">
        <f>SUMIF(Продажи!$E$10:$BM$10,G$151,Продажи!$E21:$BM21)</f>
        <v>0</v>
      </c>
      <c s="208">
        <f>SUMIF(Продажи!$E$10:$BM$10,H$151,Продажи!$E21:$BM21)</f>
        <v>0</v>
      </c>
      <c s="208">
        <f>SUMIF(Продажи!$E$10:$BM$10,I$151,Продажи!$E21:$BM21)</f>
        <v>0</v>
      </c>
      <c s="208">
        <f>SUMIF(Продажи!$E$10:$BM$10,J$151,Продажи!$E21:$BM21)</f>
        <v>0</v>
      </c>
      <c s="208">
        <f>SUMIF(Продажи!$E$10:$BM$10,K$151,Продажи!$E21:$BM21)</f>
        <v>0</v>
      </c>
      <c s="208">
        <f>SUMIF(Продажи!$E$10:$BM$10,L$151,Продажи!$E21:$BM21)</f>
        <v>0</v>
      </c>
      <c s="208">
        <f>SUMIF(Продажи!$E$10:$BM$10,M$151,Продажи!$E21:$BM21)</f>
        <v>0</v>
      </c>
      <c s="208">
        <f>SUMIF(Продажи!$E$10:$BM$10,N$151,Продажи!$E21:$BM21)</f>
        <v>0</v>
      </c>
      <c s="208">
        <f>SUMIF(Продажи!$E$10:$BM$10,O$151,Продажи!$E21:$BM21)</f>
        <v>0</v>
      </c>
      <c s="208">
        <f>SUMIF(Продажи!$E$10:$BM$10,P$151,Продажи!$E21:$BM21)</f>
        <v>0</v>
      </c>
      <c s="208">
        <f>SUMIF(Продажи!$E$10:$BM$10,Q$151,Продажи!$E21:$BM21)</f>
        <v>0</v>
      </c>
      <c s="208">
        <f>SUMIF(Продажи!$E$10:$BM$10,R$151,Продажи!$E21:$BM21)</f>
        <v>0</v>
      </c>
      <c s="208">
        <f t="shared" si="19"/>
        <v>0</v>
      </c>
    </row>
    <row r="156" spans="1:19" ht="13.9">
      <c r="A156" s="208" t="str">
        <f>Продажи!B22</f>
        <v>Продукт 5</v>
      </c>
      <c s="211">
        <f>Предпосылки!D154</f>
        <v>0</v>
      </c>
      <c s="208">
        <f>SUMIF(Продажи!$E$10:$BM$10,C$151,Продажи!$E22:$BM22)</f>
        <v>0</v>
      </c>
      <c s="208">
        <f>SUMIF(Продажи!$E$10:$BM$10,D$151,Продажи!$E22:$BM22)</f>
        <v>0</v>
      </c>
      <c s="208">
        <f>SUMIF(Продажи!$E$10:$BM$10,E$151,Продажи!$E22:$BM22)</f>
        <v>0</v>
      </c>
      <c s="208">
        <f>SUMIF(Продажи!$E$10:$BM$10,F$151,Продажи!$E22:$BM22)</f>
        <v>0</v>
      </c>
      <c s="208">
        <f>SUMIF(Продажи!$E$10:$BM$10,G$151,Продажи!$E22:$BM22)</f>
        <v>0</v>
      </c>
      <c s="208">
        <f>SUMIF(Продажи!$E$10:$BM$10,H$151,Продажи!$E22:$BM22)</f>
        <v>0</v>
      </c>
      <c s="208">
        <f>SUMIF(Продажи!$E$10:$BM$10,I$151,Продажи!$E22:$BM22)</f>
        <v>0</v>
      </c>
      <c s="208">
        <f>SUMIF(Продажи!$E$10:$BM$10,J$151,Продажи!$E22:$BM22)</f>
        <v>0</v>
      </c>
      <c s="208">
        <f>SUMIF(Продажи!$E$10:$BM$10,K$151,Продажи!$E22:$BM22)</f>
        <v>0</v>
      </c>
      <c s="208">
        <f>SUMIF(Продажи!$E$10:$BM$10,L$151,Продажи!$E22:$BM22)</f>
        <v>0</v>
      </c>
      <c s="208">
        <f>SUMIF(Продажи!$E$10:$BM$10,M$151,Продажи!$E22:$BM22)</f>
        <v>0</v>
      </c>
      <c s="208">
        <f>SUMIF(Продажи!$E$10:$BM$10,N$151,Продажи!$E22:$BM22)</f>
        <v>0</v>
      </c>
      <c s="208">
        <f>SUMIF(Продажи!$E$10:$BM$10,O$151,Продажи!$E22:$BM22)</f>
        <v>0</v>
      </c>
      <c s="208">
        <f>SUMIF(Продажи!$E$10:$BM$10,P$151,Продажи!$E22:$BM22)</f>
        <v>0</v>
      </c>
      <c s="208">
        <f>SUMIF(Продажи!$E$10:$BM$10,Q$151,Продажи!$E22:$BM22)</f>
        <v>0</v>
      </c>
      <c s="208">
        <f>SUMIF(Продажи!$E$10:$BM$10,R$151,Продажи!$E22:$BM22)</f>
        <v>0</v>
      </c>
      <c s="208">
        <f t="shared" si="19"/>
        <v>0</v>
      </c>
    </row>
    <row r="157" spans="1:19" ht="13.9">
      <c r="A157" s="208" t="str">
        <f>Продажи!B23</f>
        <v>Продукт 6</v>
      </c>
      <c s="211">
        <f>Предпосылки!D155</f>
        <v>0</v>
      </c>
      <c s="208">
        <f>SUMIF(Продажи!$E$10:$BM$10,C$151,Продажи!$E23:$BM23)</f>
        <v>0</v>
      </c>
      <c s="208">
        <f>SUMIF(Продажи!$E$10:$BM$10,D$151,Продажи!$E23:$BM23)</f>
        <v>0</v>
      </c>
      <c s="208">
        <f>SUMIF(Продажи!$E$10:$BM$10,E$151,Продажи!$E23:$BM23)</f>
        <v>0</v>
      </c>
      <c s="208">
        <f>SUMIF(Продажи!$E$10:$BM$10,F$151,Продажи!$E23:$BM23)</f>
        <v>0</v>
      </c>
      <c s="208">
        <f>SUMIF(Продажи!$E$10:$BM$10,G$151,Продажи!$E23:$BM23)</f>
        <v>0</v>
      </c>
      <c s="208">
        <f>SUMIF(Продажи!$E$10:$BM$10,H$151,Продажи!$E23:$BM23)</f>
        <v>0</v>
      </c>
      <c s="208">
        <f>SUMIF(Продажи!$E$10:$BM$10,I$151,Продажи!$E23:$BM23)</f>
        <v>0</v>
      </c>
      <c s="208">
        <f>SUMIF(Продажи!$E$10:$BM$10,J$151,Продажи!$E23:$BM23)</f>
        <v>0</v>
      </c>
      <c s="208">
        <f>SUMIF(Продажи!$E$10:$BM$10,K$151,Продажи!$E23:$BM23)</f>
        <v>0</v>
      </c>
      <c s="208">
        <f>SUMIF(Продажи!$E$10:$BM$10,L$151,Продажи!$E23:$BM23)</f>
        <v>0</v>
      </c>
      <c s="208">
        <f>SUMIF(Продажи!$E$10:$BM$10,M$151,Продажи!$E23:$BM23)</f>
        <v>0</v>
      </c>
      <c s="208">
        <f>SUMIF(Продажи!$E$10:$BM$10,N$151,Продажи!$E23:$BM23)</f>
        <v>0</v>
      </c>
      <c s="208">
        <f>SUMIF(Продажи!$E$10:$BM$10,O$151,Продажи!$E23:$BM23)</f>
        <v>0</v>
      </c>
      <c s="208">
        <f>SUMIF(Продажи!$E$10:$BM$10,P$151,Продажи!$E23:$BM23)</f>
        <v>0</v>
      </c>
      <c s="208">
        <f>SUMIF(Продажи!$E$10:$BM$10,Q$151,Продажи!$E23:$BM23)</f>
        <v>0</v>
      </c>
      <c s="208">
        <f>SUMIF(Продажи!$E$10:$BM$10,R$151,Продажи!$E23:$BM23)</f>
        <v>0</v>
      </c>
      <c s="208">
        <f t="shared" si="19"/>
        <v>0</v>
      </c>
    </row>
    <row r="158" spans="1:19" ht="13.9">
      <c r="A158" s="208" t="str">
        <f>Продажи!B24</f>
        <v>Продукт 7</v>
      </c>
      <c s="211">
        <f>Предпосылки!D156</f>
        <v>0</v>
      </c>
      <c s="208">
        <f>SUMIF(Продажи!$E$10:$BM$10,C$151,Продажи!$E24:$BM24)</f>
        <v>0</v>
      </c>
      <c s="208">
        <f>SUMIF(Продажи!$E$10:$BM$10,D$151,Продажи!$E24:$BM24)</f>
        <v>0</v>
      </c>
      <c s="208">
        <f>SUMIF(Продажи!$E$10:$BM$10,E$151,Продажи!$E24:$BM24)</f>
        <v>0</v>
      </c>
      <c s="208">
        <f>SUMIF(Продажи!$E$10:$BM$10,F$151,Продажи!$E24:$BM24)</f>
        <v>0</v>
      </c>
      <c s="208">
        <f>SUMIF(Продажи!$E$10:$BM$10,G$151,Продажи!$E24:$BM24)</f>
        <v>0</v>
      </c>
      <c s="208">
        <f>SUMIF(Продажи!$E$10:$BM$10,H$151,Продажи!$E24:$BM24)</f>
        <v>0</v>
      </c>
      <c s="208">
        <f>SUMIF(Продажи!$E$10:$BM$10,I$151,Продажи!$E24:$BM24)</f>
        <v>0</v>
      </c>
      <c s="208">
        <f>SUMIF(Продажи!$E$10:$BM$10,J$151,Продажи!$E24:$BM24)</f>
        <v>0</v>
      </c>
      <c s="208">
        <f>SUMIF(Продажи!$E$10:$BM$10,K$151,Продажи!$E24:$BM24)</f>
        <v>0</v>
      </c>
      <c s="208">
        <f>SUMIF(Продажи!$E$10:$BM$10,L$151,Продажи!$E24:$BM24)</f>
        <v>0</v>
      </c>
      <c s="208">
        <f>SUMIF(Продажи!$E$10:$BM$10,M$151,Продажи!$E24:$BM24)</f>
        <v>0</v>
      </c>
      <c s="208">
        <f>SUMIF(Продажи!$E$10:$BM$10,N$151,Продажи!$E24:$BM24)</f>
        <v>0</v>
      </c>
      <c s="208">
        <f>SUMIF(Продажи!$E$10:$BM$10,O$151,Продажи!$E24:$BM24)</f>
        <v>0</v>
      </c>
      <c s="208">
        <f>SUMIF(Продажи!$E$10:$BM$10,P$151,Продажи!$E24:$BM24)</f>
        <v>0</v>
      </c>
      <c s="208">
        <f>SUMIF(Продажи!$E$10:$BM$10,Q$151,Продажи!$E24:$BM24)</f>
        <v>0</v>
      </c>
      <c s="208">
        <f>SUMIF(Продажи!$E$10:$BM$10,R$151,Продажи!$E24:$BM24)</f>
        <v>0</v>
      </c>
      <c s="208">
        <f t="shared" si="19"/>
        <v>0</v>
      </c>
    </row>
    <row r="159" spans="1:19" ht="13.9">
      <c r="A159" s="208" t="str">
        <f>Продажи!B25</f>
        <v>Продукт 8</v>
      </c>
      <c s="211">
        <f>Предпосылки!D157</f>
        <v>0</v>
      </c>
      <c s="208">
        <f>SUMIF(Продажи!$E$10:$BM$10,C$151,Продажи!$E25:$BM25)</f>
        <v>0</v>
      </c>
      <c s="208">
        <f>SUMIF(Продажи!$E$10:$BM$10,D$151,Продажи!$E25:$BM25)</f>
        <v>0</v>
      </c>
      <c s="208">
        <f>SUMIF(Продажи!$E$10:$BM$10,E$151,Продажи!$E25:$BM25)</f>
        <v>0</v>
      </c>
      <c s="208">
        <f>SUMIF(Продажи!$E$10:$BM$10,F$151,Продажи!$E25:$BM25)</f>
        <v>0</v>
      </c>
      <c s="208">
        <f>SUMIF(Продажи!$E$10:$BM$10,G$151,Продажи!$E25:$BM25)</f>
        <v>0</v>
      </c>
      <c s="208">
        <f>SUMIF(Продажи!$E$10:$BM$10,H$151,Продажи!$E25:$BM25)</f>
        <v>0</v>
      </c>
      <c s="208">
        <f>SUMIF(Продажи!$E$10:$BM$10,I$151,Продажи!$E25:$BM25)</f>
        <v>0</v>
      </c>
      <c s="208">
        <f>SUMIF(Продажи!$E$10:$BM$10,J$151,Продажи!$E25:$BM25)</f>
        <v>0</v>
      </c>
      <c s="208">
        <f>SUMIF(Продажи!$E$10:$BM$10,K$151,Продажи!$E25:$BM25)</f>
        <v>0</v>
      </c>
      <c s="208">
        <f>SUMIF(Продажи!$E$10:$BM$10,L$151,Продажи!$E25:$BM25)</f>
        <v>0</v>
      </c>
      <c s="208">
        <f>SUMIF(Продажи!$E$10:$BM$10,M$151,Продажи!$E25:$BM25)</f>
        <v>0</v>
      </c>
      <c s="208">
        <f>SUMIF(Продажи!$E$10:$BM$10,N$151,Продажи!$E25:$BM25)</f>
        <v>0</v>
      </c>
      <c s="208">
        <f>SUMIF(Продажи!$E$10:$BM$10,O$151,Продажи!$E25:$BM25)</f>
        <v>0</v>
      </c>
      <c s="208">
        <f>SUMIF(Продажи!$E$10:$BM$10,P$151,Продажи!$E25:$BM25)</f>
        <v>0</v>
      </c>
      <c s="208">
        <f>SUMIF(Продажи!$E$10:$BM$10,Q$151,Продажи!$E25:$BM25)</f>
        <v>0</v>
      </c>
      <c s="208">
        <f>SUMIF(Продажи!$E$10:$BM$10,R$151,Продажи!$E25:$BM25)</f>
        <v>0</v>
      </c>
      <c s="208">
        <f t="shared" si="19"/>
        <v>0</v>
      </c>
    </row>
    <row r="160" spans="1:19" ht="13.9">
      <c r="A160" s="208" t="str">
        <f>Продажи!B26</f>
        <v>Продукт 9</v>
      </c>
      <c s="211">
        <f>Предпосылки!D158</f>
        <v>0</v>
      </c>
      <c s="208">
        <f>SUMIF(Продажи!$E$10:$BM$10,C$151,Продажи!$E26:$BM26)</f>
        <v>0</v>
      </c>
      <c s="208">
        <f>SUMIF(Продажи!$E$10:$BM$10,D$151,Продажи!$E26:$BM26)</f>
        <v>0</v>
      </c>
      <c s="208">
        <f>SUMIF(Продажи!$E$10:$BM$10,E$151,Продажи!$E26:$BM26)</f>
        <v>0</v>
      </c>
      <c s="208">
        <f>SUMIF(Продажи!$E$10:$BM$10,F$151,Продажи!$E26:$BM26)</f>
        <v>0</v>
      </c>
      <c s="208">
        <f>SUMIF(Продажи!$E$10:$BM$10,G$151,Продажи!$E26:$BM26)</f>
        <v>0</v>
      </c>
      <c s="208">
        <f>SUMIF(Продажи!$E$10:$BM$10,H$151,Продажи!$E26:$BM26)</f>
        <v>0</v>
      </c>
      <c s="208">
        <f>SUMIF(Продажи!$E$10:$BM$10,I$151,Продажи!$E26:$BM26)</f>
        <v>0</v>
      </c>
      <c s="208">
        <f>SUMIF(Продажи!$E$10:$BM$10,J$151,Продажи!$E26:$BM26)</f>
        <v>0</v>
      </c>
      <c s="208">
        <f>SUMIF(Продажи!$E$10:$BM$10,K$151,Продажи!$E26:$BM26)</f>
        <v>0</v>
      </c>
      <c s="208">
        <f>SUMIF(Продажи!$E$10:$BM$10,L$151,Продажи!$E26:$BM26)</f>
        <v>0</v>
      </c>
      <c s="208">
        <f>SUMIF(Продажи!$E$10:$BM$10,M$151,Продажи!$E26:$BM26)</f>
        <v>0</v>
      </c>
      <c s="208">
        <f>SUMIF(Продажи!$E$10:$BM$10,N$151,Продажи!$E26:$BM26)</f>
        <v>0</v>
      </c>
      <c s="208">
        <f>SUMIF(Продажи!$E$10:$BM$10,O$151,Продажи!$E26:$BM26)</f>
        <v>0</v>
      </c>
      <c s="208">
        <f>SUMIF(Продажи!$E$10:$BM$10,P$151,Продажи!$E26:$BM26)</f>
        <v>0</v>
      </c>
      <c s="208">
        <f>SUMIF(Продажи!$E$10:$BM$10,Q$151,Продажи!$E26:$BM26)</f>
        <v>0</v>
      </c>
      <c s="208">
        <f>SUMIF(Продажи!$E$10:$BM$10,R$151,Продажи!$E26:$BM26)</f>
        <v>0</v>
      </c>
      <c s="208">
        <f t="shared" si="19"/>
        <v>0</v>
      </c>
    </row>
    <row r="161" spans="1:19" ht="13.9">
      <c r="A161" s="208" t="str">
        <f>Продажи!B27</f>
        <v>Продукт 10</v>
      </c>
      <c s="211">
        <f>Предпосылки!D159</f>
        <v>0</v>
      </c>
      <c s="208">
        <f>SUMIF(Продажи!$E$10:$BM$10,C$151,Продажи!$E27:$BM27)</f>
        <v>0</v>
      </c>
      <c s="208">
        <f>SUMIF(Продажи!$E$10:$BM$10,D$151,Продажи!$E27:$BM27)</f>
        <v>0</v>
      </c>
      <c s="208">
        <f>SUMIF(Продажи!$E$10:$BM$10,E$151,Продажи!$E27:$BM27)</f>
        <v>0</v>
      </c>
      <c s="208">
        <f>SUMIF(Продажи!$E$10:$BM$10,F$151,Продажи!$E27:$BM27)</f>
        <v>0</v>
      </c>
      <c s="208">
        <f>SUMIF(Продажи!$E$10:$BM$10,G$151,Продажи!$E27:$BM27)</f>
        <v>0</v>
      </c>
      <c s="208">
        <f>SUMIF(Продажи!$E$10:$BM$10,H$151,Продажи!$E27:$BM27)</f>
        <v>0</v>
      </c>
      <c s="208">
        <f>SUMIF(Продажи!$E$10:$BM$10,I$151,Продажи!$E27:$BM27)</f>
        <v>0</v>
      </c>
      <c s="208">
        <f>SUMIF(Продажи!$E$10:$BM$10,J$151,Продажи!$E27:$BM27)</f>
        <v>0</v>
      </c>
      <c s="208">
        <f>SUMIF(Продажи!$E$10:$BM$10,K$151,Продажи!$E27:$BM27)</f>
        <v>0</v>
      </c>
      <c s="208">
        <f>SUMIF(Продажи!$E$10:$BM$10,L$151,Продажи!$E27:$BM27)</f>
        <v>0</v>
      </c>
      <c s="208">
        <f>SUMIF(Продажи!$E$10:$BM$10,M$151,Продажи!$E27:$BM27)</f>
        <v>0</v>
      </c>
      <c s="208">
        <f>SUMIF(Продажи!$E$10:$BM$10,N$151,Продажи!$E27:$BM27)</f>
        <v>0</v>
      </c>
      <c s="208">
        <f>SUMIF(Продажи!$E$10:$BM$10,O$151,Продажи!$E27:$BM27)</f>
        <v>0</v>
      </c>
      <c s="208">
        <f>SUMIF(Продажи!$E$10:$BM$10,P$151,Продажи!$E27:$BM27)</f>
        <v>0</v>
      </c>
      <c s="208">
        <f>SUMIF(Продажи!$E$10:$BM$10,Q$151,Продажи!$E27:$BM27)</f>
        <v>0</v>
      </c>
      <c s="208">
        <f>SUMIF(Продажи!$E$10:$BM$10,R$151,Продажи!$E27:$BM27)</f>
        <v>0</v>
      </c>
      <c s="208">
        <f t="shared" si="19"/>
        <v>0</v>
      </c>
    </row>
    <row r="162" spans="1:19" ht="13.9">
      <c r="A162" s="208" t="str">
        <f>Продажи!B28</f>
        <v>Продукт 11</v>
      </c>
      <c s="211">
        <f>Предпосылки!D160</f>
        <v>0</v>
      </c>
      <c s="208">
        <f>SUMIF(Продажи!$E$10:$BM$10,C$151,Продажи!$E28:$BM28)</f>
        <v>0</v>
      </c>
      <c s="208">
        <f>SUMIF(Продажи!$E$10:$BM$10,D$151,Продажи!$E28:$BM28)</f>
        <v>0</v>
      </c>
      <c s="208">
        <f>SUMIF(Продажи!$E$10:$BM$10,E$151,Продажи!$E28:$BM28)</f>
        <v>0</v>
      </c>
      <c s="208">
        <f>SUMIF(Продажи!$E$10:$BM$10,F$151,Продажи!$E28:$BM28)</f>
        <v>0</v>
      </c>
      <c s="208">
        <f>SUMIF(Продажи!$E$10:$BM$10,G$151,Продажи!$E28:$BM28)</f>
        <v>0</v>
      </c>
      <c s="208">
        <f>SUMIF(Продажи!$E$10:$BM$10,H$151,Продажи!$E28:$BM28)</f>
        <v>0</v>
      </c>
      <c s="208">
        <f>SUMIF(Продажи!$E$10:$BM$10,I$151,Продажи!$E28:$BM28)</f>
        <v>0</v>
      </c>
      <c s="208">
        <f>SUMIF(Продажи!$E$10:$BM$10,J$151,Продажи!$E28:$BM28)</f>
        <v>0</v>
      </c>
      <c s="208">
        <f>SUMIF(Продажи!$E$10:$BM$10,K$151,Продажи!$E28:$BM28)</f>
        <v>0</v>
      </c>
      <c s="208">
        <f>SUMIF(Продажи!$E$10:$BM$10,L$151,Продажи!$E28:$BM28)</f>
        <v>0</v>
      </c>
      <c s="208">
        <f>SUMIF(Продажи!$E$10:$BM$10,M$151,Продажи!$E28:$BM28)</f>
        <v>0</v>
      </c>
      <c s="208">
        <f>SUMIF(Продажи!$E$10:$BM$10,N$151,Продажи!$E28:$BM28)</f>
        <v>0</v>
      </c>
      <c s="208">
        <f>SUMIF(Продажи!$E$10:$BM$10,O$151,Продажи!$E28:$BM28)</f>
        <v>0</v>
      </c>
      <c s="208">
        <f>SUMIF(Продажи!$E$10:$BM$10,P$151,Продажи!$E28:$BM28)</f>
        <v>0</v>
      </c>
      <c s="208">
        <f>SUMIF(Продажи!$E$10:$BM$10,Q$151,Продажи!$E28:$BM28)</f>
        <v>0</v>
      </c>
      <c s="208">
        <f>SUMIF(Продажи!$E$10:$BM$10,R$151,Продажи!$E28:$BM28)</f>
        <v>0</v>
      </c>
      <c s="208">
        <f t="shared" si="19"/>
        <v>0</v>
      </c>
    </row>
    <row r="163" spans="1:19" ht="13.9">
      <c r="A163" s="208" t="str">
        <f>Продажи!B29</f>
        <v>Продукт 12</v>
      </c>
      <c s="211">
        <f>Предпосылки!D161</f>
        <v>0</v>
      </c>
      <c s="208">
        <f>SUMIF(Продажи!$E$10:$BM$10,C$151,Продажи!$E29:$BM29)</f>
        <v>0</v>
      </c>
      <c s="208">
        <f>SUMIF(Продажи!$E$10:$BM$10,D$151,Продажи!$E29:$BM29)</f>
        <v>0</v>
      </c>
      <c s="208">
        <f>SUMIF(Продажи!$E$10:$BM$10,E$151,Продажи!$E29:$BM29)</f>
        <v>0</v>
      </c>
      <c s="208">
        <f>SUMIF(Продажи!$E$10:$BM$10,F$151,Продажи!$E29:$BM29)</f>
        <v>0</v>
      </c>
      <c s="208">
        <f>SUMIF(Продажи!$E$10:$BM$10,G$151,Продажи!$E29:$BM29)</f>
        <v>0</v>
      </c>
      <c s="208">
        <f>SUMIF(Продажи!$E$10:$BM$10,H$151,Продажи!$E29:$BM29)</f>
        <v>0</v>
      </c>
      <c s="208">
        <f>SUMIF(Продажи!$E$10:$BM$10,I$151,Продажи!$E29:$BM29)</f>
        <v>0</v>
      </c>
      <c s="208">
        <f>SUMIF(Продажи!$E$10:$BM$10,J$151,Продажи!$E29:$BM29)</f>
        <v>0</v>
      </c>
      <c s="208">
        <f>SUMIF(Продажи!$E$10:$BM$10,K$151,Продажи!$E29:$BM29)</f>
        <v>0</v>
      </c>
      <c s="208">
        <f>SUMIF(Продажи!$E$10:$BM$10,L$151,Продажи!$E29:$BM29)</f>
        <v>0</v>
      </c>
      <c s="208">
        <f>SUMIF(Продажи!$E$10:$BM$10,M$151,Продажи!$E29:$BM29)</f>
        <v>0</v>
      </c>
      <c s="208">
        <f>SUMIF(Продажи!$E$10:$BM$10,N$151,Продажи!$E29:$BM29)</f>
        <v>0</v>
      </c>
      <c s="208">
        <f>SUMIF(Продажи!$E$10:$BM$10,O$151,Продажи!$E29:$BM29)</f>
        <v>0</v>
      </c>
      <c s="208">
        <f>SUMIF(Продажи!$E$10:$BM$10,P$151,Продажи!$E29:$BM29)</f>
        <v>0</v>
      </c>
      <c s="208">
        <f>SUMIF(Продажи!$E$10:$BM$10,Q$151,Продажи!$E29:$BM29)</f>
        <v>0</v>
      </c>
      <c s="208">
        <f>SUMIF(Продажи!$E$10:$BM$10,R$151,Продажи!$E29:$BM29)</f>
        <v>0</v>
      </c>
      <c s="208">
        <f t="shared" si="19"/>
        <v>0</v>
      </c>
    </row>
    <row r="164" spans="1:19" ht="13.9">
      <c r="A164" s="208" t="str">
        <f>Продажи!B30</f>
        <v>Продукт 13</v>
      </c>
      <c s="211">
        <f>Предпосылки!D162</f>
        <v>0</v>
      </c>
      <c s="208">
        <f>SUMIF(Продажи!$E$10:$BM$10,C$151,Продажи!$E30:$BM30)</f>
        <v>0</v>
      </c>
      <c s="208">
        <f>SUMIF(Продажи!$E$10:$BM$10,D$151,Продажи!$E30:$BM30)</f>
        <v>0</v>
      </c>
      <c s="208">
        <f>SUMIF(Продажи!$E$10:$BM$10,E$151,Продажи!$E30:$BM30)</f>
        <v>0</v>
      </c>
      <c s="208">
        <f>SUMIF(Продажи!$E$10:$BM$10,F$151,Продажи!$E30:$BM30)</f>
        <v>0</v>
      </c>
      <c s="208">
        <f>SUMIF(Продажи!$E$10:$BM$10,G$151,Продажи!$E30:$BM30)</f>
        <v>0</v>
      </c>
      <c s="208">
        <f>SUMIF(Продажи!$E$10:$BM$10,H$151,Продажи!$E30:$BM30)</f>
        <v>0</v>
      </c>
      <c s="208">
        <f>SUMIF(Продажи!$E$10:$BM$10,I$151,Продажи!$E30:$BM30)</f>
        <v>0</v>
      </c>
      <c s="208">
        <f>SUMIF(Продажи!$E$10:$BM$10,J$151,Продажи!$E30:$BM30)</f>
        <v>0</v>
      </c>
      <c s="208">
        <f>SUMIF(Продажи!$E$10:$BM$10,K$151,Продажи!$E30:$BM30)</f>
        <v>0</v>
      </c>
      <c s="208">
        <f>SUMIF(Продажи!$E$10:$BM$10,L$151,Продажи!$E30:$BM30)</f>
        <v>0</v>
      </c>
      <c s="208">
        <f>SUMIF(Продажи!$E$10:$BM$10,M$151,Продажи!$E30:$BM30)</f>
        <v>0</v>
      </c>
      <c s="208">
        <f>SUMIF(Продажи!$E$10:$BM$10,N$151,Продажи!$E30:$BM30)</f>
        <v>0</v>
      </c>
      <c s="208">
        <f>SUMIF(Продажи!$E$10:$BM$10,O$151,Продажи!$E30:$BM30)</f>
        <v>0</v>
      </c>
      <c s="208">
        <f>SUMIF(Продажи!$E$10:$BM$10,P$151,Продажи!$E30:$BM30)</f>
        <v>0</v>
      </c>
      <c s="208">
        <f>SUMIF(Продажи!$E$10:$BM$10,Q$151,Продажи!$E30:$BM30)</f>
        <v>0</v>
      </c>
      <c s="208">
        <f>SUMIF(Продажи!$E$10:$BM$10,R$151,Продажи!$E30:$BM30)</f>
        <v>0</v>
      </c>
      <c s="208">
        <f t="shared" si="19"/>
        <v>0</v>
      </c>
    </row>
    <row r="165" spans="1:19" ht="13.9">
      <c r="A165" s="208" t="str">
        <f>Продажи!B31</f>
        <v>Продукт 14</v>
      </c>
      <c s="211">
        <f>Предпосылки!D163</f>
        <v>0</v>
      </c>
      <c s="208">
        <f>SUMIF(Продажи!$E$10:$BM$10,C$151,Продажи!$E31:$BM31)</f>
        <v>0</v>
      </c>
      <c s="208">
        <f>SUMIF(Продажи!$E$10:$BM$10,D$151,Продажи!$E31:$BM31)</f>
        <v>0</v>
      </c>
      <c s="208">
        <f>SUMIF(Продажи!$E$10:$BM$10,E$151,Продажи!$E31:$BM31)</f>
        <v>0</v>
      </c>
      <c s="208">
        <f>SUMIF(Продажи!$E$10:$BM$10,F$151,Продажи!$E31:$BM31)</f>
        <v>0</v>
      </c>
      <c s="208">
        <f>SUMIF(Продажи!$E$10:$BM$10,G$151,Продажи!$E31:$BM31)</f>
        <v>0</v>
      </c>
      <c s="208">
        <f>SUMIF(Продажи!$E$10:$BM$10,H$151,Продажи!$E31:$BM31)</f>
        <v>0</v>
      </c>
      <c s="208">
        <f>SUMIF(Продажи!$E$10:$BM$10,I$151,Продажи!$E31:$BM31)</f>
        <v>0</v>
      </c>
      <c s="208">
        <f>SUMIF(Продажи!$E$10:$BM$10,J$151,Продажи!$E31:$BM31)</f>
        <v>0</v>
      </c>
      <c s="208">
        <f>SUMIF(Продажи!$E$10:$BM$10,K$151,Продажи!$E31:$BM31)</f>
        <v>0</v>
      </c>
      <c s="208">
        <f>SUMIF(Продажи!$E$10:$BM$10,L$151,Продажи!$E31:$BM31)</f>
        <v>0</v>
      </c>
      <c s="208">
        <f>SUMIF(Продажи!$E$10:$BM$10,M$151,Продажи!$E31:$BM31)</f>
        <v>0</v>
      </c>
      <c s="208">
        <f>SUMIF(Продажи!$E$10:$BM$10,N$151,Продажи!$E31:$BM31)</f>
        <v>0</v>
      </c>
      <c s="208">
        <f>SUMIF(Продажи!$E$10:$BM$10,O$151,Продажи!$E31:$BM31)</f>
        <v>0</v>
      </c>
      <c s="208">
        <f>SUMIF(Продажи!$E$10:$BM$10,P$151,Продажи!$E31:$BM31)</f>
        <v>0</v>
      </c>
      <c s="208">
        <f>SUMIF(Продажи!$E$10:$BM$10,Q$151,Продажи!$E31:$BM31)</f>
        <v>0</v>
      </c>
      <c s="208">
        <f>SUMIF(Продажи!$E$10:$BM$10,R$151,Продажи!$E31:$BM31)</f>
        <v>0</v>
      </c>
      <c s="208">
        <f t="shared" si="19"/>
        <v>0</v>
      </c>
    </row>
    <row r="166" spans="1:19" ht="13.9">
      <c r="A166" s="208" t="str">
        <f>Продажи!B32</f>
        <v>Продукт 15</v>
      </c>
      <c s="211">
        <f>Предпосылки!D164</f>
        <v>0</v>
      </c>
      <c s="208">
        <f>SUMIF(Продажи!$E$10:$BM$10,C$151,Продажи!$E32:$BM32)</f>
        <v>0</v>
      </c>
      <c s="208">
        <f>SUMIF(Продажи!$E$10:$BM$10,D$151,Продажи!$E32:$BM32)</f>
        <v>0</v>
      </c>
      <c s="208">
        <f>SUMIF(Продажи!$E$10:$BM$10,E$151,Продажи!$E32:$BM32)</f>
        <v>0</v>
      </c>
      <c s="208">
        <f>SUMIF(Продажи!$E$10:$BM$10,F$151,Продажи!$E32:$BM32)</f>
        <v>0</v>
      </c>
      <c s="208">
        <f>SUMIF(Продажи!$E$10:$BM$10,G$151,Продажи!$E32:$BM32)</f>
        <v>0</v>
      </c>
      <c s="208">
        <f>SUMIF(Продажи!$E$10:$BM$10,H$151,Продажи!$E32:$BM32)</f>
        <v>0</v>
      </c>
      <c s="208">
        <f>SUMIF(Продажи!$E$10:$BM$10,I$151,Продажи!$E32:$BM32)</f>
        <v>0</v>
      </c>
      <c s="208">
        <f>SUMIF(Продажи!$E$10:$BM$10,J$151,Продажи!$E32:$BM32)</f>
        <v>0</v>
      </c>
      <c s="208">
        <f>SUMIF(Продажи!$E$10:$BM$10,K$151,Продажи!$E32:$BM32)</f>
        <v>0</v>
      </c>
      <c s="208">
        <f>SUMIF(Продажи!$E$10:$BM$10,L$151,Продажи!$E32:$BM32)</f>
        <v>0</v>
      </c>
      <c s="208">
        <f>SUMIF(Продажи!$E$10:$BM$10,M$151,Продажи!$E32:$BM32)</f>
        <v>0</v>
      </c>
      <c s="208">
        <f>SUMIF(Продажи!$E$10:$BM$10,N$151,Продажи!$E32:$BM32)</f>
        <v>0</v>
      </c>
      <c s="208">
        <f>SUMIF(Продажи!$E$10:$BM$10,O$151,Продажи!$E32:$BM32)</f>
        <v>0</v>
      </c>
      <c s="208">
        <f>SUMIF(Продажи!$E$10:$BM$10,P$151,Продажи!$E32:$BM32)</f>
        <v>0</v>
      </c>
      <c s="208">
        <f>SUMIF(Продажи!$E$10:$BM$10,Q$151,Продажи!$E32:$BM32)</f>
        <v>0</v>
      </c>
      <c s="208">
        <f>SUMIF(Продажи!$E$10:$BM$10,R$151,Продажи!$E32:$BM32)</f>
        <v>0</v>
      </c>
      <c s="208">
        <f t="shared" si="19"/>
        <v>0</v>
      </c>
    </row>
    <row r="167" spans="1:19" ht="13.9">
      <c r="A167" s="208" t="str">
        <f>Продажи!B33</f>
        <v>Продукт 16</v>
      </c>
      <c s="211">
        <f>Предпосылки!D165</f>
        <v>0</v>
      </c>
      <c s="208">
        <f>SUMIF(Продажи!$E$10:$BM$10,C$151,Продажи!$E33:$BM33)</f>
        <v>0</v>
      </c>
      <c s="208">
        <f>SUMIF(Продажи!$E$10:$BM$10,D$151,Продажи!$E33:$BM33)</f>
        <v>0</v>
      </c>
      <c s="208">
        <f>SUMIF(Продажи!$E$10:$BM$10,E$151,Продажи!$E33:$BM33)</f>
        <v>0</v>
      </c>
      <c s="208">
        <f>SUMIF(Продажи!$E$10:$BM$10,F$151,Продажи!$E33:$BM33)</f>
        <v>0</v>
      </c>
      <c s="208">
        <f>SUMIF(Продажи!$E$10:$BM$10,G$151,Продажи!$E33:$BM33)</f>
        <v>0</v>
      </c>
      <c s="208">
        <f>SUMIF(Продажи!$E$10:$BM$10,H$151,Продажи!$E33:$BM33)</f>
        <v>0</v>
      </c>
      <c s="208">
        <f>SUMIF(Продажи!$E$10:$BM$10,I$151,Продажи!$E33:$BM33)</f>
        <v>0</v>
      </c>
      <c s="208">
        <f>SUMIF(Продажи!$E$10:$BM$10,J$151,Продажи!$E33:$BM33)</f>
        <v>0</v>
      </c>
      <c s="208">
        <f>SUMIF(Продажи!$E$10:$BM$10,K$151,Продажи!$E33:$BM33)</f>
        <v>0</v>
      </c>
      <c s="208">
        <f>SUMIF(Продажи!$E$10:$BM$10,L$151,Продажи!$E33:$BM33)</f>
        <v>0</v>
      </c>
      <c s="208">
        <f>SUMIF(Продажи!$E$10:$BM$10,M$151,Продажи!$E33:$BM33)</f>
        <v>0</v>
      </c>
      <c s="208">
        <f>SUMIF(Продажи!$E$10:$BM$10,N$151,Продажи!$E33:$BM33)</f>
        <v>0</v>
      </c>
      <c s="208">
        <f>SUMIF(Продажи!$E$10:$BM$10,O$151,Продажи!$E33:$BM33)</f>
        <v>0</v>
      </c>
      <c s="208">
        <f>SUMIF(Продажи!$E$10:$BM$10,P$151,Продажи!$E33:$BM33)</f>
        <v>0</v>
      </c>
      <c s="208">
        <f>SUMIF(Продажи!$E$10:$BM$10,Q$151,Продажи!$E33:$BM33)</f>
        <v>0</v>
      </c>
      <c s="208">
        <f>SUMIF(Продажи!$E$10:$BM$10,R$151,Продажи!$E33:$BM33)</f>
        <v>0</v>
      </c>
      <c s="208">
        <f t="shared" si="19"/>
        <v>0</v>
      </c>
    </row>
    <row r="168" spans="1:19" ht="13.9">
      <c r="A168" s="208" t="str">
        <f>Продажи!B34</f>
        <v>Продукт 17</v>
      </c>
      <c s="211">
        <f>Предпосылки!D166</f>
        <v>0</v>
      </c>
      <c s="208">
        <f>SUMIF(Продажи!$E$10:$BM$10,C$151,Продажи!$E34:$BM34)</f>
        <v>0</v>
      </c>
      <c s="208">
        <f>SUMIF(Продажи!$E$10:$BM$10,D$151,Продажи!$E34:$BM34)</f>
        <v>0</v>
      </c>
      <c s="208">
        <f>SUMIF(Продажи!$E$10:$BM$10,E$151,Продажи!$E34:$BM34)</f>
        <v>0</v>
      </c>
      <c s="208">
        <f>SUMIF(Продажи!$E$10:$BM$10,F$151,Продажи!$E34:$BM34)</f>
        <v>0</v>
      </c>
      <c s="208">
        <f>SUMIF(Продажи!$E$10:$BM$10,G$151,Продажи!$E34:$BM34)</f>
        <v>0</v>
      </c>
      <c s="208">
        <f>SUMIF(Продажи!$E$10:$BM$10,H$151,Продажи!$E34:$BM34)</f>
        <v>0</v>
      </c>
      <c s="208">
        <f>SUMIF(Продажи!$E$10:$BM$10,I$151,Продажи!$E34:$BM34)</f>
        <v>0</v>
      </c>
      <c s="208">
        <f>SUMIF(Продажи!$E$10:$BM$10,J$151,Продажи!$E34:$BM34)</f>
        <v>0</v>
      </c>
      <c s="208">
        <f>SUMIF(Продажи!$E$10:$BM$10,K$151,Продажи!$E34:$BM34)</f>
        <v>0</v>
      </c>
      <c s="208">
        <f>SUMIF(Продажи!$E$10:$BM$10,L$151,Продажи!$E34:$BM34)</f>
        <v>0</v>
      </c>
      <c s="208">
        <f>SUMIF(Продажи!$E$10:$BM$10,M$151,Продажи!$E34:$BM34)</f>
        <v>0</v>
      </c>
      <c s="208">
        <f>SUMIF(Продажи!$E$10:$BM$10,N$151,Продажи!$E34:$BM34)</f>
        <v>0</v>
      </c>
      <c s="208">
        <f>SUMIF(Продажи!$E$10:$BM$10,O$151,Продажи!$E34:$BM34)</f>
        <v>0</v>
      </c>
      <c s="208">
        <f>SUMIF(Продажи!$E$10:$BM$10,P$151,Продажи!$E34:$BM34)</f>
        <v>0</v>
      </c>
      <c s="208">
        <f>SUMIF(Продажи!$E$10:$BM$10,Q$151,Продажи!$E34:$BM34)</f>
        <v>0</v>
      </c>
      <c s="208">
        <f>SUMIF(Продажи!$E$10:$BM$10,R$151,Продажи!$E34:$BM34)</f>
        <v>0</v>
      </c>
      <c s="208">
        <f t="shared" si="19"/>
        <v>0</v>
      </c>
    </row>
    <row r="169" spans="1:19" ht="13.9">
      <c r="A169" s="208" t="str">
        <f>Продажи!B35</f>
        <v>Продукт 18</v>
      </c>
      <c s="211">
        <f>Предпосылки!D167</f>
        <v>0</v>
      </c>
      <c s="208">
        <f>SUMIF(Продажи!$E$10:$BM$10,C$151,Продажи!$E35:$BM35)</f>
        <v>0</v>
      </c>
      <c s="208">
        <f>SUMIF(Продажи!$E$10:$BM$10,D$151,Продажи!$E35:$BM35)</f>
        <v>0</v>
      </c>
      <c s="208">
        <f>SUMIF(Продажи!$E$10:$BM$10,E$151,Продажи!$E35:$BM35)</f>
        <v>0</v>
      </c>
      <c s="208">
        <f>SUMIF(Продажи!$E$10:$BM$10,F$151,Продажи!$E35:$BM35)</f>
        <v>0</v>
      </c>
      <c s="208">
        <f>SUMIF(Продажи!$E$10:$BM$10,G$151,Продажи!$E35:$BM35)</f>
        <v>0</v>
      </c>
      <c s="208">
        <f>SUMIF(Продажи!$E$10:$BM$10,H$151,Продажи!$E35:$BM35)</f>
        <v>0</v>
      </c>
      <c s="208">
        <f>SUMIF(Продажи!$E$10:$BM$10,I$151,Продажи!$E35:$BM35)</f>
        <v>0</v>
      </c>
      <c s="208">
        <f>SUMIF(Продажи!$E$10:$BM$10,J$151,Продажи!$E35:$BM35)</f>
        <v>0</v>
      </c>
      <c s="208">
        <f>SUMIF(Продажи!$E$10:$BM$10,K$151,Продажи!$E35:$BM35)</f>
        <v>0</v>
      </c>
      <c s="208">
        <f>SUMIF(Продажи!$E$10:$BM$10,L$151,Продажи!$E35:$BM35)</f>
        <v>0</v>
      </c>
      <c s="208">
        <f>SUMIF(Продажи!$E$10:$BM$10,M$151,Продажи!$E35:$BM35)</f>
        <v>0</v>
      </c>
      <c s="208">
        <f>SUMIF(Продажи!$E$10:$BM$10,N$151,Продажи!$E35:$BM35)</f>
        <v>0</v>
      </c>
      <c s="208">
        <f>SUMIF(Продажи!$E$10:$BM$10,O$151,Продажи!$E35:$BM35)</f>
        <v>0</v>
      </c>
      <c s="208">
        <f>SUMIF(Продажи!$E$10:$BM$10,P$151,Продажи!$E35:$BM35)</f>
        <v>0</v>
      </c>
      <c s="208">
        <f>SUMIF(Продажи!$E$10:$BM$10,Q$151,Продажи!$E35:$BM35)</f>
        <v>0</v>
      </c>
      <c s="208">
        <f>SUMIF(Продажи!$E$10:$BM$10,R$151,Продажи!$E35:$BM35)</f>
        <v>0</v>
      </c>
      <c s="208">
        <f t="shared" si="19"/>
        <v>0</v>
      </c>
    </row>
    <row r="170" spans="1:19" ht="13.9">
      <c r="A170" s="208" t="str">
        <f>Продажи!B36</f>
        <v>Продукт 19</v>
      </c>
      <c s="211">
        <f>Предпосылки!D168</f>
        <v>0</v>
      </c>
      <c s="208">
        <f>SUMIF(Продажи!$E$10:$BM$10,C$151,Продажи!$E36:$BM36)</f>
        <v>0</v>
      </c>
      <c s="208">
        <f>SUMIF(Продажи!$E$10:$BM$10,D$151,Продажи!$E36:$BM36)</f>
        <v>0</v>
      </c>
      <c s="208">
        <f>SUMIF(Продажи!$E$10:$BM$10,E$151,Продажи!$E36:$BM36)</f>
        <v>0</v>
      </c>
      <c s="208">
        <f>SUMIF(Продажи!$E$10:$BM$10,F$151,Продажи!$E36:$BM36)</f>
        <v>0</v>
      </c>
      <c s="208">
        <f>SUMIF(Продажи!$E$10:$BM$10,G$151,Продажи!$E36:$BM36)</f>
        <v>0</v>
      </c>
      <c s="208">
        <f>SUMIF(Продажи!$E$10:$BM$10,H$151,Продажи!$E36:$BM36)</f>
        <v>0</v>
      </c>
      <c s="208">
        <f>SUMIF(Продажи!$E$10:$BM$10,I$151,Продажи!$E36:$BM36)</f>
        <v>0</v>
      </c>
      <c s="208">
        <f>SUMIF(Продажи!$E$10:$BM$10,J$151,Продажи!$E36:$BM36)</f>
        <v>0</v>
      </c>
      <c s="208">
        <f>SUMIF(Продажи!$E$10:$BM$10,K$151,Продажи!$E36:$BM36)</f>
        <v>0</v>
      </c>
      <c s="208">
        <f>SUMIF(Продажи!$E$10:$BM$10,L$151,Продажи!$E36:$BM36)</f>
        <v>0</v>
      </c>
      <c s="208">
        <f>SUMIF(Продажи!$E$10:$BM$10,M$151,Продажи!$E36:$BM36)</f>
        <v>0</v>
      </c>
      <c s="208">
        <f>SUMIF(Продажи!$E$10:$BM$10,N$151,Продажи!$E36:$BM36)</f>
        <v>0</v>
      </c>
      <c s="208">
        <f>SUMIF(Продажи!$E$10:$BM$10,O$151,Продажи!$E36:$BM36)</f>
        <v>0</v>
      </c>
      <c s="208">
        <f>SUMIF(Продажи!$E$10:$BM$10,P$151,Продажи!$E36:$BM36)</f>
        <v>0</v>
      </c>
      <c s="208">
        <f>SUMIF(Продажи!$E$10:$BM$10,Q$151,Продажи!$E36:$BM36)</f>
        <v>0</v>
      </c>
      <c s="208">
        <f>SUMIF(Продажи!$E$10:$BM$10,R$151,Продажи!$E36:$BM36)</f>
        <v>0</v>
      </c>
      <c s="208">
        <f t="shared" si="19"/>
        <v>0</v>
      </c>
    </row>
    <row r="171" spans="1:19" ht="13.9">
      <c r="A171" s="208" t="str">
        <f>Продажи!B37</f>
        <v>Продукт 20</v>
      </c>
      <c s="211">
        <f>Предпосылки!D169</f>
        <v>0</v>
      </c>
      <c s="208">
        <f>SUMIF(Продажи!$E$10:$BM$10,C$151,Продажи!$E37:$BM37)</f>
        <v>0</v>
      </c>
      <c s="208">
        <f>SUMIF(Продажи!$E$10:$BM$10,D$151,Продажи!$E37:$BM37)</f>
        <v>0</v>
      </c>
      <c s="208">
        <f>SUMIF(Продажи!$E$10:$BM$10,E$151,Продажи!$E37:$BM37)</f>
        <v>0</v>
      </c>
      <c s="208">
        <f>SUMIF(Продажи!$E$10:$BM$10,F$151,Продажи!$E37:$BM37)</f>
        <v>0</v>
      </c>
      <c s="208">
        <f>SUMIF(Продажи!$E$10:$BM$10,G$151,Продажи!$E37:$BM37)</f>
        <v>0</v>
      </c>
      <c s="208">
        <f>SUMIF(Продажи!$E$10:$BM$10,H$151,Продажи!$E37:$BM37)</f>
        <v>0</v>
      </c>
      <c s="208">
        <f>SUMIF(Продажи!$E$10:$BM$10,I$151,Продажи!$E37:$BM37)</f>
        <v>0</v>
      </c>
      <c s="208">
        <f>SUMIF(Продажи!$E$10:$BM$10,J$151,Продажи!$E37:$BM37)</f>
        <v>0</v>
      </c>
      <c s="208">
        <f>SUMIF(Продажи!$E$10:$BM$10,K$151,Продажи!$E37:$BM37)</f>
        <v>0</v>
      </c>
      <c s="208">
        <f>SUMIF(Продажи!$E$10:$BM$10,L$151,Продажи!$E37:$BM37)</f>
        <v>0</v>
      </c>
      <c s="208">
        <f>SUMIF(Продажи!$E$10:$BM$10,M$151,Продажи!$E37:$BM37)</f>
        <v>0</v>
      </c>
      <c s="208">
        <f>SUMIF(Продажи!$E$10:$BM$10,N$151,Продажи!$E37:$BM37)</f>
        <v>0</v>
      </c>
      <c s="208">
        <f>SUMIF(Продажи!$E$10:$BM$10,O$151,Продажи!$E37:$BM37)</f>
        <v>0</v>
      </c>
      <c s="208">
        <f>SUMIF(Продажи!$E$10:$BM$10,P$151,Продажи!$E37:$BM37)</f>
        <v>0</v>
      </c>
      <c s="208">
        <f>SUMIF(Продажи!$E$10:$BM$10,Q$151,Продажи!$E37:$BM37)</f>
        <v>0</v>
      </c>
      <c s="208">
        <f>SUMIF(Продажи!$E$10:$BM$10,R$151,Продажи!$E37:$BM37)</f>
        <v>0</v>
      </c>
      <c s="208">
        <f t="shared" si="19"/>
        <v>0</v>
      </c>
    </row>
    <row r="173" spans="7:7" ht="13.9">
      <c r="G173" s="212" t="s">
        <v>1264</v>
      </c>
    </row>
    <row r="174" spans="1:19" ht="13.9">
      <c r="A174" s="625" t="str">
        <f>A151</f>
        <v>Вид продукции</v>
      </c>
      <c s="625"/>
      <c s="213">
        <f t="shared" si="20" ref="C174:R174">C4</f>
        <v>2025</v>
      </c>
      <c s="213">
        <f t="shared" si="20"/>
        <v>2026</v>
      </c>
      <c s="213">
        <f t="shared" si="20"/>
        <v>2027</v>
      </c>
      <c s="213">
        <f t="shared" si="20"/>
        <v>2028</v>
      </c>
      <c s="213">
        <f t="shared" si="20"/>
        <v>2029</v>
      </c>
      <c s="213">
        <f t="shared" si="20"/>
        <v>2030</v>
      </c>
      <c s="213">
        <f t="shared" si="20"/>
        <v>2031</v>
      </c>
      <c s="213">
        <f t="shared" si="20"/>
        <v>2032</v>
      </c>
      <c s="213">
        <f t="shared" si="20"/>
        <v>2033</v>
      </c>
      <c s="213">
        <f t="shared" si="20"/>
        <v>2034</v>
      </c>
      <c s="213">
        <f t="shared" si="20"/>
        <v>2035</v>
      </c>
      <c s="213">
        <f t="shared" si="20"/>
        <v>2036</v>
      </c>
      <c s="213">
        <f t="shared" si="20"/>
        <v>2037</v>
      </c>
      <c s="213">
        <f t="shared" si="20"/>
        <v>2038</v>
      </c>
      <c s="213">
        <f t="shared" si="20"/>
        <v>2039</v>
      </c>
      <c s="213">
        <f t="shared" si="20"/>
        <v>2040</v>
      </c>
      <c s="213" t="s">
        <v>454</v>
      </c>
    </row>
    <row r="175" spans="1:19" ht="13.9">
      <c r="A175" s="624" t="str">
        <f>Продажи!B18</f>
        <v>Продукт 1</v>
      </c>
      <c s="624"/>
      <c s="231">
        <f>SUMIF(Продажи!$E$10:$BM$10,tables!C$174,Продажи!$E112:$BM112)</f>
        <v>0</v>
      </c>
      <c s="231">
        <f>SUMIF(Продажи!$E$10:$BM$10,tables!D$174,Продажи!$E112:$BM112)</f>
        <v>0</v>
      </c>
      <c s="231">
        <f>SUMIF(Продажи!$E$10:$BM$10,tables!E$174,Продажи!$E112:$BM112)</f>
        <v>0</v>
      </c>
      <c s="231">
        <f>SUMIF(Продажи!$E$10:$BM$10,tables!F$174,Продажи!$E112:$BM112)</f>
        <v>0</v>
      </c>
      <c s="231">
        <f>SUMIF(Продажи!$E$10:$BM$10,tables!G$174,Продажи!$E112:$BM112)</f>
        <v>0</v>
      </c>
      <c s="231">
        <f>SUMIF(Продажи!$E$10:$BM$10,tables!H$174,Продажи!$E112:$BM112)</f>
        <v>0</v>
      </c>
      <c s="231">
        <f>SUMIF(Продажи!$E$10:$BM$10,tables!I$174,Продажи!$E112:$BM112)</f>
        <v>0</v>
      </c>
      <c s="231">
        <f>SUMIF(Продажи!$E$10:$BM$10,tables!J$174,Продажи!$E112:$BM112)</f>
        <v>0</v>
      </c>
      <c s="231">
        <f>SUMIF(Продажи!$E$10:$BM$10,tables!K$174,Продажи!$E112:$BM112)</f>
        <v>0</v>
      </c>
      <c s="231">
        <f>SUMIF(Продажи!$E$10:$BM$10,tables!L$174,Продажи!$E112:$BM112)</f>
        <v>0</v>
      </c>
      <c s="231">
        <f>SUMIF(Продажи!$E$10:$BM$10,tables!M$174,Продажи!$E112:$BM112)</f>
        <v>0</v>
      </c>
      <c s="231">
        <f>SUMIF(Продажи!$E$10:$BM$10,tables!N$174,Продажи!$E112:$BM112)</f>
        <v>0</v>
      </c>
      <c s="231">
        <f>SUMIF(Продажи!$E$10:$BM$10,tables!O$174,Продажи!$E112:$BM112)</f>
        <v>0</v>
      </c>
      <c s="231">
        <f>SUMIF(Продажи!$E$10:$BM$10,tables!P$174,Продажи!$E112:$BM112)</f>
        <v>0</v>
      </c>
      <c s="231">
        <f>SUMIF(Продажи!$E$10:$BM$10,tables!Q$174,Продажи!$E112:$BM112)</f>
        <v>0</v>
      </c>
      <c s="231">
        <f>SUMIF(Продажи!$E$10:$BM$10,tables!R$174,Продажи!$E112:$BM112)</f>
        <v>0</v>
      </c>
      <c s="231">
        <f>SUM(C175:R175)</f>
        <v>0</v>
      </c>
    </row>
    <row r="176" spans="1:19" ht="13.9">
      <c r="A176" s="624" t="str">
        <f>Продажи!B19</f>
        <v>Продукт 2</v>
      </c>
      <c s="624"/>
      <c s="231">
        <f>SUMIF(Продажи!$E$10:$BM$10,tables!C$174,Продажи!$E113:$BM113)</f>
        <v>0</v>
      </c>
      <c s="231">
        <f>SUMIF(Продажи!$E$10:$BM$10,tables!D$174,Продажи!$E113:$BM113)</f>
        <v>0</v>
      </c>
      <c s="231">
        <f>SUMIF(Продажи!$E$10:$BM$10,tables!E$174,Продажи!$E113:$BM113)</f>
        <v>0</v>
      </c>
      <c s="231">
        <f>SUMIF(Продажи!$E$10:$BM$10,tables!F$174,Продажи!$E113:$BM113)</f>
        <v>0</v>
      </c>
      <c s="231">
        <f>SUMIF(Продажи!$E$10:$BM$10,tables!G$174,Продажи!$E113:$BM113)</f>
        <v>0</v>
      </c>
      <c s="231">
        <f>SUMIF(Продажи!$E$10:$BM$10,tables!H$174,Продажи!$E113:$BM113)</f>
        <v>0</v>
      </c>
      <c s="231">
        <f>SUMIF(Продажи!$E$10:$BM$10,tables!I$174,Продажи!$E113:$BM113)</f>
        <v>0</v>
      </c>
      <c s="231">
        <f>SUMIF(Продажи!$E$10:$BM$10,tables!J$174,Продажи!$E113:$BM113)</f>
        <v>0</v>
      </c>
      <c s="231">
        <f>SUMIF(Продажи!$E$10:$BM$10,tables!K$174,Продажи!$E113:$BM113)</f>
        <v>0</v>
      </c>
      <c s="231">
        <f>SUMIF(Продажи!$E$10:$BM$10,tables!L$174,Продажи!$E113:$BM113)</f>
        <v>0</v>
      </c>
      <c s="231">
        <f>SUMIF(Продажи!$E$10:$BM$10,tables!M$174,Продажи!$E113:$BM113)</f>
        <v>0</v>
      </c>
      <c s="231">
        <f>SUMIF(Продажи!$E$10:$BM$10,tables!N$174,Продажи!$E113:$BM113)</f>
        <v>0</v>
      </c>
      <c s="231">
        <f>SUMIF(Продажи!$E$10:$BM$10,tables!O$174,Продажи!$E113:$BM113)</f>
        <v>0</v>
      </c>
      <c s="231">
        <f>SUMIF(Продажи!$E$10:$BM$10,tables!P$174,Продажи!$E113:$BM113)</f>
        <v>0</v>
      </c>
      <c s="231">
        <f>SUMIF(Продажи!$E$10:$BM$10,tables!Q$174,Продажи!$E113:$BM113)</f>
        <v>0</v>
      </c>
      <c s="231">
        <f>SUMIF(Продажи!$E$10:$BM$10,tables!R$174,Продажи!$E113:$BM113)</f>
        <v>0</v>
      </c>
      <c s="231">
        <f t="shared" si="21" ref="S176:S194">SUM(C176:R176)</f>
        <v>0</v>
      </c>
    </row>
    <row r="177" spans="1:19" ht="13.9">
      <c r="A177" s="624" t="str">
        <f>Продажи!B20</f>
        <v>Продукт 3</v>
      </c>
      <c s="624"/>
      <c s="231">
        <f>SUMIF(Продажи!$E$10:$BM$10,tables!C$174,Продажи!$E114:$BM114)</f>
        <v>0</v>
      </c>
      <c s="231">
        <f>SUMIF(Продажи!$E$10:$BM$10,tables!D$174,Продажи!$E114:$BM114)</f>
        <v>0</v>
      </c>
      <c s="231">
        <f>SUMIF(Продажи!$E$10:$BM$10,tables!E$174,Продажи!$E114:$BM114)</f>
        <v>0</v>
      </c>
      <c s="231">
        <f>SUMIF(Продажи!$E$10:$BM$10,tables!F$174,Продажи!$E114:$BM114)</f>
        <v>0</v>
      </c>
      <c s="231">
        <f>SUMIF(Продажи!$E$10:$BM$10,tables!G$174,Продажи!$E114:$BM114)</f>
        <v>0</v>
      </c>
      <c s="231">
        <f>SUMIF(Продажи!$E$10:$BM$10,tables!H$174,Продажи!$E114:$BM114)</f>
        <v>0</v>
      </c>
      <c s="231">
        <f>SUMIF(Продажи!$E$10:$BM$10,tables!I$174,Продажи!$E114:$BM114)</f>
        <v>0</v>
      </c>
      <c s="231">
        <f>SUMIF(Продажи!$E$10:$BM$10,tables!J$174,Продажи!$E114:$BM114)</f>
        <v>0</v>
      </c>
      <c s="231">
        <f>SUMIF(Продажи!$E$10:$BM$10,tables!K$174,Продажи!$E114:$BM114)</f>
        <v>0</v>
      </c>
      <c s="231">
        <f>SUMIF(Продажи!$E$10:$BM$10,tables!L$174,Продажи!$E114:$BM114)</f>
        <v>0</v>
      </c>
      <c s="231">
        <f>SUMIF(Продажи!$E$10:$BM$10,tables!M$174,Продажи!$E114:$BM114)</f>
        <v>0</v>
      </c>
      <c s="231">
        <f>SUMIF(Продажи!$E$10:$BM$10,tables!N$174,Продажи!$E114:$BM114)</f>
        <v>0</v>
      </c>
      <c s="231">
        <f>SUMIF(Продажи!$E$10:$BM$10,tables!O$174,Продажи!$E114:$BM114)</f>
        <v>0</v>
      </c>
      <c s="231">
        <f>SUMIF(Продажи!$E$10:$BM$10,tables!P$174,Продажи!$E114:$BM114)</f>
        <v>0</v>
      </c>
      <c s="231">
        <f>SUMIF(Продажи!$E$10:$BM$10,tables!Q$174,Продажи!$E114:$BM114)</f>
        <v>0</v>
      </c>
      <c s="231">
        <f>SUMIF(Продажи!$E$10:$BM$10,tables!R$174,Продажи!$E114:$BM114)</f>
        <v>0</v>
      </c>
      <c s="231">
        <f t="shared" si="21"/>
        <v>0</v>
      </c>
    </row>
    <row r="178" spans="1:19" ht="13.9">
      <c r="A178" s="624" t="str">
        <f>Продажи!B21</f>
        <v>Продукт 4</v>
      </c>
      <c s="624"/>
      <c s="231">
        <f>SUMIF(Продажи!$E$10:$BM$10,tables!C$174,Продажи!$E115:$BM115)</f>
        <v>0</v>
      </c>
      <c s="231">
        <f>SUMIF(Продажи!$E$10:$BM$10,tables!D$174,Продажи!$E115:$BM115)</f>
        <v>0</v>
      </c>
      <c s="231">
        <f>SUMIF(Продажи!$E$10:$BM$10,tables!E$174,Продажи!$E115:$BM115)</f>
        <v>0</v>
      </c>
      <c s="231">
        <f>SUMIF(Продажи!$E$10:$BM$10,tables!F$174,Продажи!$E115:$BM115)</f>
        <v>0</v>
      </c>
      <c s="231">
        <f>SUMIF(Продажи!$E$10:$BM$10,tables!G$174,Продажи!$E115:$BM115)</f>
        <v>0</v>
      </c>
      <c s="231">
        <f>SUMIF(Продажи!$E$10:$BM$10,tables!H$174,Продажи!$E115:$BM115)</f>
        <v>0</v>
      </c>
      <c s="231">
        <f>SUMIF(Продажи!$E$10:$BM$10,tables!I$174,Продажи!$E115:$BM115)</f>
        <v>0</v>
      </c>
      <c s="231">
        <f>SUMIF(Продажи!$E$10:$BM$10,tables!J$174,Продажи!$E115:$BM115)</f>
        <v>0</v>
      </c>
      <c s="231">
        <f>SUMIF(Продажи!$E$10:$BM$10,tables!K$174,Продажи!$E115:$BM115)</f>
        <v>0</v>
      </c>
      <c s="231">
        <f>SUMIF(Продажи!$E$10:$BM$10,tables!L$174,Продажи!$E115:$BM115)</f>
        <v>0</v>
      </c>
      <c s="231">
        <f>SUMIF(Продажи!$E$10:$BM$10,tables!M$174,Продажи!$E115:$BM115)</f>
        <v>0</v>
      </c>
      <c s="231">
        <f>SUMIF(Продажи!$E$10:$BM$10,tables!N$174,Продажи!$E115:$BM115)</f>
        <v>0</v>
      </c>
      <c s="231">
        <f>SUMIF(Продажи!$E$10:$BM$10,tables!O$174,Продажи!$E115:$BM115)</f>
        <v>0</v>
      </c>
      <c s="231">
        <f>SUMIF(Продажи!$E$10:$BM$10,tables!P$174,Продажи!$E115:$BM115)</f>
        <v>0</v>
      </c>
      <c s="231">
        <f>SUMIF(Продажи!$E$10:$BM$10,tables!Q$174,Продажи!$E115:$BM115)</f>
        <v>0</v>
      </c>
      <c s="231">
        <f>SUMIF(Продажи!$E$10:$BM$10,tables!R$174,Продажи!$E115:$BM115)</f>
        <v>0</v>
      </c>
      <c s="231">
        <f t="shared" si="21"/>
        <v>0</v>
      </c>
    </row>
    <row r="179" spans="1:19" ht="13.9">
      <c r="A179" s="624" t="str">
        <f>Продажи!B22</f>
        <v>Продукт 5</v>
      </c>
      <c s="624"/>
      <c s="231">
        <f>SUMIF(Продажи!$E$10:$BM$10,tables!C$174,Продажи!$E116:$BM116)</f>
        <v>0</v>
      </c>
      <c s="231">
        <f>SUMIF(Продажи!$E$10:$BM$10,tables!D$174,Продажи!$E116:$BM116)</f>
        <v>0</v>
      </c>
      <c s="231">
        <f>SUMIF(Продажи!$E$10:$BM$10,tables!E$174,Продажи!$E116:$BM116)</f>
        <v>0</v>
      </c>
      <c s="231">
        <f>SUMIF(Продажи!$E$10:$BM$10,tables!F$174,Продажи!$E116:$BM116)</f>
        <v>0</v>
      </c>
      <c s="231">
        <f>SUMIF(Продажи!$E$10:$BM$10,tables!G$174,Продажи!$E116:$BM116)</f>
        <v>0</v>
      </c>
      <c s="231">
        <f>SUMIF(Продажи!$E$10:$BM$10,tables!H$174,Продажи!$E116:$BM116)</f>
        <v>0</v>
      </c>
      <c s="231">
        <f>SUMIF(Продажи!$E$10:$BM$10,tables!I$174,Продажи!$E116:$BM116)</f>
        <v>0</v>
      </c>
      <c s="231">
        <f>SUMIF(Продажи!$E$10:$BM$10,tables!J$174,Продажи!$E116:$BM116)</f>
        <v>0</v>
      </c>
      <c s="231">
        <f>SUMIF(Продажи!$E$10:$BM$10,tables!K$174,Продажи!$E116:$BM116)</f>
        <v>0</v>
      </c>
      <c s="231">
        <f>SUMIF(Продажи!$E$10:$BM$10,tables!L$174,Продажи!$E116:$BM116)</f>
        <v>0</v>
      </c>
      <c s="231">
        <f>SUMIF(Продажи!$E$10:$BM$10,tables!M$174,Продажи!$E116:$BM116)</f>
        <v>0</v>
      </c>
      <c s="231">
        <f>SUMIF(Продажи!$E$10:$BM$10,tables!N$174,Продажи!$E116:$BM116)</f>
        <v>0</v>
      </c>
      <c s="231">
        <f>SUMIF(Продажи!$E$10:$BM$10,tables!O$174,Продажи!$E116:$BM116)</f>
        <v>0</v>
      </c>
      <c s="231">
        <f>SUMIF(Продажи!$E$10:$BM$10,tables!P$174,Продажи!$E116:$BM116)</f>
        <v>0</v>
      </c>
      <c s="231">
        <f>SUMIF(Продажи!$E$10:$BM$10,tables!Q$174,Продажи!$E116:$BM116)</f>
        <v>0</v>
      </c>
      <c s="231">
        <f>SUMIF(Продажи!$E$10:$BM$10,tables!R$174,Продажи!$E116:$BM116)</f>
        <v>0</v>
      </c>
      <c s="231">
        <f t="shared" si="21"/>
        <v>0</v>
      </c>
    </row>
    <row r="180" spans="1:19" ht="13.9">
      <c r="A180" s="624" t="str">
        <f>Продажи!B23</f>
        <v>Продукт 6</v>
      </c>
      <c s="624"/>
      <c s="231">
        <f>SUMIF(Продажи!$E$10:$BM$10,tables!C$174,Продажи!$E117:$BM117)</f>
        <v>0</v>
      </c>
      <c s="231">
        <f>SUMIF(Продажи!$E$10:$BM$10,tables!D$174,Продажи!$E117:$BM117)</f>
        <v>0</v>
      </c>
      <c s="231">
        <f>SUMIF(Продажи!$E$10:$BM$10,tables!E$174,Продажи!$E117:$BM117)</f>
        <v>0</v>
      </c>
      <c s="231">
        <f>SUMIF(Продажи!$E$10:$BM$10,tables!F$174,Продажи!$E117:$BM117)</f>
        <v>0</v>
      </c>
      <c s="231">
        <f>SUMIF(Продажи!$E$10:$BM$10,tables!G$174,Продажи!$E117:$BM117)</f>
        <v>0</v>
      </c>
      <c s="231">
        <f>SUMIF(Продажи!$E$10:$BM$10,tables!H$174,Продажи!$E117:$BM117)</f>
        <v>0</v>
      </c>
      <c s="231">
        <f>SUMIF(Продажи!$E$10:$BM$10,tables!I$174,Продажи!$E117:$BM117)</f>
        <v>0</v>
      </c>
      <c s="231">
        <f>SUMIF(Продажи!$E$10:$BM$10,tables!J$174,Продажи!$E117:$BM117)</f>
        <v>0</v>
      </c>
      <c s="231">
        <f>SUMIF(Продажи!$E$10:$BM$10,tables!K$174,Продажи!$E117:$BM117)</f>
        <v>0</v>
      </c>
      <c s="231">
        <f>SUMIF(Продажи!$E$10:$BM$10,tables!L$174,Продажи!$E117:$BM117)</f>
        <v>0</v>
      </c>
      <c s="231">
        <f>SUMIF(Продажи!$E$10:$BM$10,tables!M$174,Продажи!$E117:$BM117)</f>
        <v>0</v>
      </c>
      <c s="231">
        <f>SUMIF(Продажи!$E$10:$BM$10,tables!N$174,Продажи!$E117:$BM117)</f>
        <v>0</v>
      </c>
      <c s="231">
        <f>SUMIF(Продажи!$E$10:$BM$10,tables!O$174,Продажи!$E117:$BM117)</f>
        <v>0</v>
      </c>
      <c s="231">
        <f>SUMIF(Продажи!$E$10:$BM$10,tables!P$174,Продажи!$E117:$BM117)</f>
        <v>0</v>
      </c>
      <c s="231">
        <f>SUMIF(Продажи!$E$10:$BM$10,tables!Q$174,Продажи!$E117:$BM117)</f>
        <v>0</v>
      </c>
      <c s="231">
        <f>SUMIF(Продажи!$E$10:$BM$10,tables!R$174,Продажи!$E117:$BM117)</f>
        <v>0</v>
      </c>
      <c s="231">
        <f t="shared" si="21"/>
        <v>0</v>
      </c>
    </row>
    <row r="181" spans="1:19" ht="13.9">
      <c r="A181" s="624" t="str">
        <f>Продажи!B24</f>
        <v>Продукт 7</v>
      </c>
      <c s="624"/>
      <c s="231">
        <f>SUMIF(Продажи!$E$10:$BM$10,tables!C$174,Продажи!$E118:$BM118)</f>
        <v>0</v>
      </c>
      <c s="231">
        <f>SUMIF(Продажи!$E$10:$BM$10,tables!D$174,Продажи!$E118:$BM118)</f>
        <v>0</v>
      </c>
      <c s="231">
        <f>SUMIF(Продажи!$E$10:$BM$10,tables!E$174,Продажи!$E118:$BM118)</f>
        <v>0</v>
      </c>
      <c s="231">
        <f>SUMIF(Продажи!$E$10:$BM$10,tables!F$174,Продажи!$E118:$BM118)</f>
        <v>0</v>
      </c>
      <c s="231">
        <f>SUMIF(Продажи!$E$10:$BM$10,tables!G$174,Продажи!$E118:$BM118)</f>
        <v>0</v>
      </c>
      <c s="231">
        <f>SUMIF(Продажи!$E$10:$BM$10,tables!H$174,Продажи!$E118:$BM118)</f>
        <v>0</v>
      </c>
      <c s="231">
        <f>SUMIF(Продажи!$E$10:$BM$10,tables!I$174,Продажи!$E118:$BM118)</f>
        <v>0</v>
      </c>
      <c s="231">
        <f>SUMIF(Продажи!$E$10:$BM$10,tables!J$174,Продажи!$E118:$BM118)</f>
        <v>0</v>
      </c>
      <c s="231">
        <f>SUMIF(Продажи!$E$10:$BM$10,tables!K$174,Продажи!$E118:$BM118)</f>
        <v>0</v>
      </c>
      <c s="231">
        <f>SUMIF(Продажи!$E$10:$BM$10,tables!L$174,Продажи!$E118:$BM118)</f>
        <v>0</v>
      </c>
      <c s="231">
        <f>SUMIF(Продажи!$E$10:$BM$10,tables!M$174,Продажи!$E118:$BM118)</f>
        <v>0</v>
      </c>
      <c s="231">
        <f>SUMIF(Продажи!$E$10:$BM$10,tables!N$174,Продажи!$E118:$BM118)</f>
        <v>0</v>
      </c>
      <c s="231">
        <f>SUMIF(Продажи!$E$10:$BM$10,tables!O$174,Продажи!$E118:$BM118)</f>
        <v>0</v>
      </c>
      <c s="231">
        <f>SUMIF(Продажи!$E$10:$BM$10,tables!P$174,Продажи!$E118:$BM118)</f>
        <v>0</v>
      </c>
      <c s="231">
        <f>SUMIF(Продажи!$E$10:$BM$10,tables!Q$174,Продажи!$E118:$BM118)</f>
        <v>0</v>
      </c>
      <c s="231">
        <f>SUMIF(Продажи!$E$10:$BM$10,tables!R$174,Продажи!$E118:$BM118)</f>
        <v>0</v>
      </c>
      <c s="231">
        <f t="shared" si="21"/>
        <v>0</v>
      </c>
    </row>
    <row r="182" spans="1:19" ht="13.9">
      <c r="A182" s="624" t="str">
        <f>Продажи!B25</f>
        <v>Продукт 8</v>
      </c>
      <c s="624"/>
      <c s="231">
        <f>SUMIF(Продажи!$E$10:$BM$10,tables!C$174,Продажи!$E119:$BM119)</f>
        <v>0</v>
      </c>
      <c s="231">
        <f>SUMIF(Продажи!$E$10:$BM$10,tables!D$174,Продажи!$E119:$BM119)</f>
        <v>0</v>
      </c>
      <c s="231">
        <f>SUMIF(Продажи!$E$10:$BM$10,tables!E$174,Продажи!$E119:$BM119)</f>
        <v>0</v>
      </c>
      <c s="231">
        <f>SUMIF(Продажи!$E$10:$BM$10,tables!F$174,Продажи!$E119:$BM119)</f>
        <v>0</v>
      </c>
      <c s="231">
        <f>SUMIF(Продажи!$E$10:$BM$10,tables!G$174,Продажи!$E119:$BM119)</f>
        <v>0</v>
      </c>
      <c s="231">
        <f>SUMIF(Продажи!$E$10:$BM$10,tables!H$174,Продажи!$E119:$BM119)</f>
        <v>0</v>
      </c>
      <c s="231">
        <f>SUMIF(Продажи!$E$10:$BM$10,tables!I$174,Продажи!$E119:$BM119)</f>
        <v>0</v>
      </c>
      <c s="231">
        <f>SUMIF(Продажи!$E$10:$BM$10,tables!J$174,Продажи!$E119:$BM119)</f>
        <v>0</v>
      </c>
      <c s="231">
        <f>SUMIF(Продажи!$E$10:$BM$10,tables!K$174,Продажи!$E119:$BM119)</f>
        <v>0</v>
      </c>
      <c s="231">
        <f>SUMIF(Продажи!$E$10:$BM$10,tables!L$174,Продажи!$E119:$BM119)</f>
        <v>0</v>
      </c>
      <c s="231">
        <f>SUMIF(Продажи!$E$10:$BM$10,tables!M$174,Продажи!$E119:$BM119)</f>
        <v>0</v>
      </c>
      <c s="231">
        <f>SUMIF(Продажи!$E$10:$BM$10,tables!N$174,Продажи!$E119:$BM119)</f>
        <v>0</v>
      </c>
      <c s="231">
        <f>SUMIF(Продажи!$E$10:$BM$10,tables!O$174,Продажи!$E119:$BM119)</f>
        <v>0</v>
      </c>
      <c s="231">
        <f>SUMIF(Продажи!$E$10:$BM$10,tables!P$174,Продажи!$E119:$BM119)</f>
        <v>0</v>
      </c>
      <c s="231">
        <f>SUMIF(Продажи!$E$10:$BM$10,tables!Q$174,Продажи!$E119:$BM119)</f>
        <v>0</v>
      </c>
      <c s="231">
        <f>SUMIF(Продажи!$E$10:$BM$10,tables!R$174,Продажи!$E119:$BM119)</f>
        <v>0</v>
      </c>
      <c s="231">
        <f t="shared" si="21"/>
        <v>0</v>
      </c>
    </row>
    <row r="183" spans="1:19" ht="13.9">
      <c r="A183" s="624" t="str">
        <f>Продажи!B26</f>
        <v>Продукт 9</v>
      </c>
      <c s="624"/>
      <c s="231">
        <f>SUMIF(Продажи!$E$10:$BM$10,tables!C$174,Продажи!$E120:$BM120)</f>
        <v>0</v>
      </c>
      <c s="231">
        <f>SUMIF(Продажи!$E$10:$BM$10,tables!D$174,Продажи!$E120:$BM120)</f>
        <v>0</v>
      </c>
      <c s="231">
        <f>SUMIF(Продажи!$E$10:$BM$10,tables!E$174,Продажи!$E120:$BM120)</f>
        <v>0</v>
      </c>
      <c s="231">
        <f>SUMIF(Продажи!$E$10:$BM$10,tables!F$174,Продажи!$E120:$BM120)</f>
        <v>0</v>
      </c>
      <c s="231">
        <f>SUMIF(Продажи!$E$10:$BM$10,tables!G$174,Продажи!$E120:$BM120)</f>
        <v>0</v>
      </c>
      <c s="231">
        <f>SUMIF(Продажи!$E$10:$BM$10,tables!H$174,Продажи!$E120:$BM120)</f>
        <v>0</v>
      </c>
      <c s="231">
        <f>SUMIF(Продажи!$E$10:$BM$10,tables!I$174,Продажи!$E120:$BM120)</f>
        <v>0</v>
      </c>
      <c s="231">
        <f>SUMIF(Продажи!$E$10:$BM$10,tables!J$174,Продажи!$E120:$BM120)</f>
        <v>0</v>
      </c>
      <c s="231">
        <f>SUMIF(Продажи!$E$10:$BM$10,tables!K$174,Продажи!$E120:$BM120)</f>
        <v>0</v>
      </c>
      <c s="231">
        <f>SUMIF(Продажи!$E$10:$BM$10,tables!L$174,Продажи!$E120:$BM120)</f>
        <v>0</v>
      </c>
      <c s="231">
        <f>SUMIF(Продажи!$E$10:$BM$10,tables!M$174,Продажи!$E120:$BM120)</f>
        <v>0</v>
      </c>
      <c s="231">
        <f>SUMIF(Продажи!$E$10:$BM$10,tables!N$174,Продажи!$E120:$BM120)</f>
        <v>0</v>
      </c>
      <c s="231">
        <f>SUMIF(Продажи!$E$10:$BM$10,tables!O$174,Продажи!$E120:$BM120)</f>
        <v>0</v>
      </c>
      <c s="231">
        <f>SUMIF(Продажи!$E$10:$BM$10,tables!P$174,Продажи!$E120:$BM120)</f>
        <v>0</v>
      </c>
      <c s="231">
        <f>SUMIF(Продажи!$E$10:$BM$10,tables!Q$174,Продажи!$E120:$BM120)</f>
        <v>0</v>
      </c>
      <c s="231">
        <f>SUMIF(Продажи!$E$10:$BM$10,tables!R$174,Продажи!$E120:$BM120)</f>
        <v>0</v>
      </c>
      <c s="231">
        <f t="shared" si="21"/>
        <v>0</v>
      </c>
    </row>
    <row r="184" spans="1:19" ht="13.9">
      <c r="A184" s="624" t="str">
        <f>Продажи!B27</f>
        <v>Продукт 10</v>
      </c>
      <c s="624"/>
      <c s="231">
        <f>SUMIF(Продажи!$E$10:$BM$10,tables!C$174,Продажи!$E121:$BM121)</f>
        <v>0</v>
      </c>
      <c s="231">
        <f>SUMIF(Продажи!$E$10:$BM$10,tables!D$174,Продажи!$E121:$BM121)</f>
        <v>0</v>
      </c>
      <c s="231">
        <f>SUMIF(Продажи!$E$10:$BM$10,tables!E$174,Продажи!$E121:$BM121)</f>
        <v>0</v>
      </c>
      <c s="231">
        <f>SUMIF(Продажи!$E$10:$BM$10,tables!F$174,Продажи!$E121:$BM121)</f>
        <v>0</v>
      </c>
      <c s="231">
        <f>SUMIF(Продажи!$E$10:$BM$10,tables!G$174,Продажи!$E121:$BM121)</f>
        <v>0</v>
      </c>
      <c s="231">
        <f>SUMIF(Продажи!$E$10:$BM$10,tables!H$174,Продажи!$E121:$BM121)</f>
        <v>0</v>
      </c>
      <c s="231">
        <f>SUMIF(Продажи!$E$10:$BM$10,tables!I$174,Продажи!$E121:$BM121)</f>
        <v>0</v>
      </c>
      <c s="231">
        <f>SUMIF(Продажи!$E$10:$BM$10,tables!J$174,Продажи!$E121:$BM121)</f>
        <v>0</v>
      </c>
      <c s="231">
        <f>SUMIF(Продажи!$E$10:$BM$10,tables!K$174,Продажи!$E121:$BM121)</f>
        <v>0</v>
      </c>
      <c s="231">
        <f>SUMIF(Продажи!$E$10:$BM$10,tables!L$174,Продажи!$E121:$BM121)</f>
        <v>0</v>
      </c>
      <c s="231">
        <f>SUMIF(Продажи!$E$10:$BM$10,tables!M$174,Продажи!$E121:$BM121)</f>
        <v>0</v>
      </c>
      <c s="231">
        <f>SUMIF(Продажи!$E$10:$BM$10,tables!N$174,Продажи!$E121:$BM121)</f>
        <v>0</v>
      </c>
      <c s="231">
        <f>SUMIF(Продажи!$E$10:$BM$10,tables!O$174,Продажи!$E121:$BM121)</f>
        <v>0</v>
      </c>
      <c s="231">
        <f>SUMIF(Продажи!$E$10:$BM$10,tables!P$174,Продажи!$E121:$BM121)</f>
        <v>0</v>
      </c>
      <c s="231">
        <f>SUMIF(Продажи!$E$10:$BM$10,tables!Q$174,Продажи!$E121:$BM121)</f>
        <v>0</v>
      </c>
      <c s="231">
        <f>SUMIF(Продажи!$E$10:$BM$10,tables!R$174,Продажи!$E121:$BM121)</f>
        <v>0</v>
      </c>
      <c s="231">
        <f t="shared" si="21"/>
        <v>0</v>
      </c>
    </row>
    <row r="185" spans="1:19" ht="13.9">
      <c r="A185" s="624" t="str">
        <f>Продажи!B28</f>
        <v>Продукт 11</v>
      </c>
      <c s="624"/>
      <c s="231">
        <f>SUMIF(Продажи!$E$10:$BM$10,tables!C$174,Продажи!$E122:$BM122)</f>
        <v>0</v>
      </c>
      <c s="231">
        <f>SUMIF(Продажи!$E$10:$BM$10,tables!D$174,Продажи!$E122:$BM122)</f>
        <v>0</v>
      </c>
      <c s="231">
        <f>SUMIF(Продажи!$E$10:$BM$10,tables!E$174,Продажи!$E122:$BM122)</f>
        <v>0</v>
      </c>
      <c s="231">
        <f>SUMIF(Продажи!$E$10:$BM$10,tables!F$174,Продажи!$E122:$BM122)</f>
        <v>0</v>
      </c>
      <c s="231">
        <f>SUMIF(Продажи!$E$10:$BM$10,tables!G$174,Продажи!$E122:$BM122)</f>
        <v>0</v>
      </c>
      <c s="231">
        <f>SUMIF(Продажи!$E$10:$BM$10,tables!H$174,Продажи!$E122:$BM122)</f>
        <v>0</v>
      </c>
      <c s="231">
        <f>SUMIF(Продажи!$E$10:$BM$10,tables!I$174,Продажи!$E122:$BM122)</f>
        <v>0</v>
      </c>
      <c s="231">
        <f>SUMIF(Продажи!$E$10:$BM$10,tables!J$174,Продажи!$E122:$BM122)</f>
        <v>0</v>
      </c>
      <c s="231">
        <f>SUMIF(Продажи!$E$10:$BM$10,tables!K$174,Продажи!$E122:$BM122)</f>
        <v>0</v>
      </c>
      <c s="231">
        <f>SUMIF(Продажи!$E$10:$BM$10,tables!L$174,Продажи!$E122:$BM122)</f>
        <v>0</v>
      </c>
      <c s="231">
        <f>SUMIF(Продажи!$E$10:$BM$10,tables!M$174,Продажи!$E122:$BM122)</f>
        <v>0</v>
      </c>
      <c s="231">
        <f>SUMIF(Продажи!$E$10:$BM$10,tables!N$174,Продажи!$E122:$BM122)</f>
        <v>0</v>
      </c>
      <c s="231">
        <f>SUMIF(Продажи!$E$10:$BM$10,tables!O$174,Продажи!$E122:$BM122)</f>
        <v>0</v>
      </c>
      <c s="231">
        <f>SUMIF(Продажи!$E$10:$BM$10,tables!P$174,Продажи!$E122:$BM122)</f>
        <v>0</v>
      </c>
      <c s="231">
        <f>SUMIF(Продажи!$E$10:$BM$10,tables!Q$174,Продажи!$E122:$BM122)</f>
        <v>0</v>
      </c>
      <c s="231">
        <f>SUMIF(Продажи!$E$10:$BM$10,tables!R$174,Продажи!$E122:$BM122)</f>
        <v>0</v>
      </c>
      <c s="231">
        <f t="shared" si="21"/>
        <v>0</v>
      </c>
    </row>
    <row r="186" spans="1:19" ht="13.9">
      <c r="A186" s="624" t="str">
        <f>Продажи!B29</f>
        <v>Продукт 12</v>
      </c>
      <c s="624"/>
      <c s="231">
        <f>SUMIF(Продажи!$E$10:$BM$10,tables!C$174,Продажи!$E123:$BM123)</f>
        <v>0</v>
      </c>
      <c s="231">
        <f>SUMIF(Продажи!$E$10:$BM$10,tables!D$174,Продажи!$E123:$BM123)</f>
        <v>0</v>
      </c>
      <c s="231">
        <f>SUMIF(Продажи!$E$10:$BM$10,tables!E$174,Продажи!$E123:$BM123)</f>
        <v>0</v>
      </c>
      <c s="231">
        <f>SUMIF(Продажи!$E$10:$BM$10,tables!F$174,Продажи!$E123:$BM123)</f>
        <v>0</v>
      </c>
      <c s="231">
        <f>SUMIF(Продажи!$E$10:$BM$10,tables!G$174,Продажи!$E123:$BM123)</f>
        <v>0</v>
      </c>
      <c s="231">
        <f>SUMIF(Продажи!$E$10:$BM$10,tables!H$174,Продажи!$E123:$BM123)</f>
        <v>0</v>
      </c>
      <c s="231">
        <f>SUMIF(Продажи!$E$10:$BM$10,tables!I$174,Продажи!$E123:$BM123)</f>
        <v>0</v>
      </c>
      <c s="231">
        <f>SUMIF(Продажи!$E$10:$BM$10,tables!J$174,Продажи!$E123:$BM123)</f>
        <v>0</v>
      </c>
      <c s="231">
        <f>SUMIF(Продажи!$E$10:$BM$10,tables!K$174,Продажи!$E123:$BM123)</f>
        <v>0</v>
      </c>
      <c s="231">
        <f>SUMIF(Продажи!$E$10:$BM$10,tables!L$174,Продажи!$E123:$BM123)</f>
        <v>0</v>
      </c>
      <c s="231">
        <f>SUMIF(Продажи!$E$10:$BM$10,tables!M$174,Продажи!$E123:$BM123)</f>
        <v>0</v>
      </c>
      <c s="231">
        <f>SUMIF(Продажи!$E$10:$BM$10,tables!N$174,Продажи!$E123:$BM123)</f>
        <v>0</v>
      </c>
      <c s="231">
        <f>SUMIF(Продажи!$E$10:$BM$10,tables!O$174,Продажи!$E123:$BM123)</f>
        <v>0</v>
      </c>
      <c s="231">
        <f>SUMIF(Продажи!$E$10:$BM$10,tables!P$174,Продажи!$E123:$BM123)</f>
        <v>0</v>
      </c>
      <c s="231">
        <f>SUMIF(Продажи!$E$10:$BM$10,tables!Q$174,Продажи!$E123:$BM123)</f>
        <v>0</v>
      </c>
      <c s="231">
        <f>SUMIF(Продажи!$E$10:$BM$10,tables!R$174,Продажи!$E123:$BM123)</f>
        <v>0</v>
      </c>
      <c s="231">
        <f t="shared" si="21"/>
        <v>0</v>
      </c>
    </row>
    <row r="187" spans="1:19" ht="13.9">
      <c r="A187" s="624" t="str">
        <f>Продажи!B30</f>
        <v>Продукт 13</v>
      </c>
      <c s="624"/>
      <c s="231">
        <f>SUMIF(Продажи!$E$10:$BM$10,tables!C$174,Продажи!$E124:$BM124)</f>
        <v>0</v>
      </c>
      <c s="231">
        <f>SUMIF(Продажи!$E$10:$BM$10,tables!D$174,Продажи!$E124:$BM124)</f>
        <v>0</v>
      </c>
      <c s="231">
        <f>SUMIF(Продажи!$E$10:$BM$10,tables!E$174,Продажи!$E124:$BM124)</f>
        <v>0</v>
      </c>
      <c s="231">
        <f>SUMIF(Продажи!$E$10:$BM$10,tables!F$174,Продажи!$E124:$BM124)</f>
        <v>0</v>
      </c>
      <c s="231">
        <f>SUMIF(Продажи!$E$10:$BM$10,tables!G$174,Продажи!$E124:$BM124)</f>
        <v>0</v>
      </c>
      <c s="231">
        <f>SUMIF(Продажи!$E$10:$BM$10,tables!H$174,Продажи!$E124:$BM124)</f>
        <v>0</v>
      </c>
      <c s="231">
        <f>SUMIF(Продажи!$E$10:$BM$10,tables!I$174,Продажи!$E124:$BM124)</f>
        <v>0</v>
      </c>
      <c s="231">
        <f>SUMIF(Продажи!$E$10:$BM$10,tables!J$174,Продажи!$E124:$BM124)</f>
        <v>0</v>
      </c>
      <c s="231">
        <f>SUMIF(Продажи!$E$10:$BM$10,tables!K$174,Продажи!$E124:$BM124)</f>
        <v>0</v>
      </c>
      <c s="231">
        <f>SUMIF(Продажи!$E$10:$BM$10,tables!L$174,Продажи!$E124:$BM124)</f>
        <v>0</v>
      </c>
      <c s="231">
        <f>SUMIF(Продажи!$E$10:$BM$10,tables!M$174,Продажи!$E124:$BM124)</f>
        <v>0</v>
      </c>
      <c s="231">
        <f>SUMIF(Продажи!$E$10:$BM$10,tables!N$174,Продажи!$E124:$BM124)</f>
        <v>0</v>
      </c>
      <c s="231">
        <f>SUMIF(Продажи!$E$10:$BM$10,tables!O$174,Продажи!$E124:$BM124)</f>
        <v>0</v>
      </c>
      <c s="231">
        <f>SUMIF(Продажи!$E$10:$BM$10,tables!P$174,Продажи!$E124:$BM124)</f>
        <v>0</v>
      </c>
      <c s="231">
        <f>SUMIF(Продажи!$E$10:$BM$10,tables!Q$174,Продажи!$E124:$BM124)</f>
        <v>0</v>
      </c>
      <c s="231">
        <f>SUMIF(Продажи!$E$10:$BM$10,tables!R$174,Продажи!$E124:$BM124)</f>
        <v>0</v>
      </c>
      <c s="231">
        <f t="shared" si="21"/>
        <v>0</v>
      </c>
    </row>
    <row r="188" spans="1:19" ht="13.9">
      <c r="A188" s="624" t="str">
        <f>Продажи!B31</f>
        <v>Продукт 14</v>
      </c>
      <c s="624"/>
      <c s="231">
        <f>SUMIF(Продажи!$E$10:$BM$10,tables!C$174,Продажи!$E125:$BM125)</f>
        <v>0</v>
      </c>
      <c s="231">
        <f>SUMIF(Продажи!$E$10:$BM$10,tables!D$174,Продажи!$E125:$BM125)</f>
        <v>0</v>
      </c>
      <c s="231">
        <f>SUMIF(Продажи!$E$10:$BM$10,tables!E$174,Продажи!$E125:$BM125)</f>
        <v>0</v>
      </c>
      <c s="231">
        <f>SUMIF(Продажи!$E$10:$BM$10,tables!F$174,Продажи!$E125:$BM125)</f>
        <v>0</v>
      </c>
      <c s="231">
        <f>SUMIF(Продажи!$E$10:$BM$10,tables!G$174,Продажи!$E125:$BM125)</f>
        <v>0</v>
      </c>
      <c s="231">
        <f>SUMIF(Продажи!$E$10:$BM$10,tables!H$174,Продажи!$E125:$BM125)</f>
        <v>0</v>
      </c>
      <c s="231">
        <f>SUMIF(Продажи!$E$10:$BM$10,tables!I$174,Продажи!$E125:$BM125)</f>
        <v>0</v>
      </c>
      <c s="231">
        <f>SUMIF(Продажи!$E$10:$BM$10,tables!J$174,Продажи!$E125:$BM125)</f>
        <v>0</v>
      </c>
      <c s="231">
        <f>SUMIF(Продажи!$E$10:$BM$10,tables!K$174,Продажи!$E125:$BM125)</f>
        <v>0</v>
      </c>
      <c s="231">
        <f>SUMIF(Продажи!$E$10:$BM$10,tables!L$174,Продажи!$E125:$BM125)</f>
        <v>0</v>
      </c>
      <c s="231">
        <f>SUMIF(Продажи!$E$10:$BM$10,tables!M$174,Продажи!$E125:$BM125)</f>
        <v>0</v>
      </c>
      <c s="231">
        <f>SUMIF(Продажи!$E$10:$BM$10,tables!N$174,Продажи!$E125:$BM125)</f>
        <v>0</v>
      </c>
      <c s="231">
        <f>SUMIF(Продажи!$E$10:$BM$10,tables!O$174,Продажи!$E125:$BM125)</f>
        <v>0</v>
      </c>
      <c s="231">
        <f>SUMIF(Продажи!$E$10:$BM$10,tables!P$174,Продажи!$E125:$BM125)</f>
        <v>0</v>
      </c>
      <c s="231">
        <f>SUMIF(Продажи!$E$10:$BM$10,tables!Q$174,Продажи!$E125:$BM125)</f>
        <v>0</v>
      </c>
      <c s="231">
        <f>SUMIF(Продажи!$E$10:$BM$10,tables!R$174,Продажи!$E125:$BM125)</f>
        <v>0</v>
      </c>
      <c s="231">
        <f t="shared" si="21"/>
        <v>0</v>
      </c>
    </row>
    <row r="189" spans="1:19" ht="13.9">
      <c r="A189" s="624" t="str">
        <f>Продажи!B32</f>
        <v>Продукт 15</v>
      </c>
      <c s="624"/>
      <c s="231">
        <f>SUMIF(Продажи!$E$10:$BM$10,tables!C$174,Продажи!$E126:$BM126)</f>
        <v>0</v>
      </c>
      <c s="231">
        <f>SUMIF(Продажи!$E$10:$BM$10,tables!D$174,Продажи!$E126:$BM126)</f>
        <v>0</v>
      </c>
      <c s="231">
        <f>SUMIF(Продажи!$E$10:$BM$10,tables!E$174,Продажи!$E126:$BM126)</f>
        <v>0</v>
      </c>
      <c s="231">
        <f>SUMIF(Продажи!$E$10:$BM$10,tables!F$174,Продажи!$E126:$BM126)</f>
        <v>0</v>
      </c>
      <c s="231">
        <f>SUMIF(Продажи!$E$10:$BM$10,tables!G$174,Продажи!$E126:$BM126)</f>
        <v>0</v>
      </c>
      <c s="231">
        <f>SUMIF(Продажи!$E$10:$BM$10,tables!H$174,Продажи!$E126:$BM126)</f>
        <v>0</v>
      </c>
      <c s="231">
        <f>SUMIF(Продажи!$E$10:$BM$10,tables!I$174,Продажи!$E126:$BM126)</f>
        <v>0</v>
      </c>
      <c s="231">
        <f>SUMIF(Продажи!$E$10:$BM$10,tables!J$174,Продажи!$E126:$BM126)</f>
        <v>0</v>
      </c>
      <c s="231">
        <f>SUMIF(Продажи!$E$10:$BM$10,tables!K$174,Продажи!$E126:$BM126)</f>
        <v>0</v>
      </c>
      <c s="231">
        <f>SUMIF(Продажи!$E$10:$BM$10,tables!L$174,Продажи!$E126:$BM126)</f>
        <v>0</v>
      </c>
      <c s="231">
        <f>SUMIF(Продажи!$E$10:$BM$10,tables!M$174,Продажи!$E126:$BM126)</f>
        <v>0</v>
      </c>
      <c s="231">
        <f>SUMIF(Продажи!$E$10:$BM$10,tables!N$174,Продажи!$E126:$BM126)</f>
        <v>0</v>
      </c>
      <c s="231">
        <f>SUMIF(Продажи!$E$10:$BM$10,tables!O$174,Продажи!$E126:$BM126)</f>
        <v>0</v>
      </c>
      <c s="231">
        <f>SUMIF(Продажи!$E$10:$BM$10,tables!P$174,Продажи!$E126:$BM126)</f>
        <v>0</v>
      </c>
      <c s="231">
        <f>SUMIF(Продажи!$E$10:$BM$10,tables!Q$174,Продажи!$E126:$BM126)</f>
        <v>0</v>
      </c>
      <c s="231">
        <f>SUMIF(Продажи!$E$10:$BM$10,tables!R$174,Продажи!$E126:$BM126)</f>
        <v>0</v>
      </c>
      <c s="231">
        <f t="shared" si="21"/>
        <v>0</v>
      </c>
    </row>
    <row r="190" spans="1:19" ht="13.9">
      <c r="A190" s="624" t="str">
        <f>Продажи!B33</f>
        <v>Продукт 16</v>
      </c>
      <c s="624"/>
      <c s="231">
        <f>SUMIF(Продажи!$E$10:$BM$10,tables!C$174,Продажи!$E127:$BM127)</f>
        <v>0</v>
      </c>
      <c s="231">
        <f>SUMIF(Продажи!$E$10:$BM$10,tables!D$174,Продажи!$E127:$BM127)</f>
        <v>0</v>
      </c>
      <c s="231">
        <f>SUMIF(Продажи!$E$10:$BM$10,tables!E$174,Продажи!$E127:$BM127)</f>
        <v>0</v>
      </c>
      <c s="231">
        <f>SUMIF(Продажи!$E$10:$BM$10,tables!F$174,Продажи!$E127:$BM127)</f>
        <v>0</v>
      </c>
      <c s="231">
        <f>SUMIF(Продажи!$E$10:$BM$10,tables!G$174,Продажи!$E127:$BM127)</f>
        <v>0</v>
      </c>
      <c s="231">
        <f>SUMIF(Продажи!$E$10:$BM$10,tables!H$174,Продажи!$E127:$BM127)</f>
        <v>0</v>
      </c>
      <c s="231">
        <f>SUMIF(Продажи!$E$10:$BM$10,tables!I$174,Продажи!$E127:$BM127)</f>
        <v>0</v>
      </c>
      <c s="231">
        <f>SUMIF(Продажи!$E$10:$BM$10,tables!J$174,Продажи!$E127:$BM127)</f>
        <v>0</v>
      </c>
      <c s="231">
        <f>SUMIF(Продажи!$E$10:$BM$10,tables!K$174,Продажи!$E127:$BM127)</f>
        <v>0</v>
      </c>
      <c s="231">
        <f>SUMIF(Продажи!$E$10:$BM$10,tables!L$174,Продажи!$E127:$BM127)</f>
        <v>0</v>
      </c>
      <c s="231">
        <f>SUMIF(Продажи!$E$10:$BM$10,tables!M$174,Продажи!$E127:$BM127)</f>
        <v>0</v>
      </c>
      <c s="231">
        <f>SUMIF(Продажи!$E$10:$BM$10,tables!N$174,Продажи!$E127:$BM127)</f>
        <v>0</v>
      </c>
      <c s="231">
        <f>SUMIF(Продажи!$E$10:$BM$10,tables!O$174,Продажи!$E127:$BM127)</f>
        <v>0</v>
      </c>
      <c s="231">
        <f>SUMIF(Продажи!$E$10:$BM$10,tables!P$174,Продажи!$E127:$BM127)</f>
        <v>0</v>
      </c>
      <c s="231">
        <f>SUMIF(Продажи!$E$10:$BM$10,tables!Q$174,Продажи!$E127:$BM127)</f>
        <v>0</v>
      </c>
      <c s="231">
        <f>SUMIF(Продажи!$E$10:$BM$10,tables!R$174,Продажи!$E127:$BM127)</f>
        <v>0</v>
      </c>
      <c s="231">
        <f t="shared" si="21"/>
        <v>0</v>
      </c>
    </row>
    <row r="191" spans="1:19" ht="13.9">
      <c r="A191" s="624" t="str">
        <f>Продажи!B34</f>
        <v>Продукт 17</v>
      </c>
      <c s="624"/>
      <c s="231">
        <f>SUMIF(Продажи!$E$10:$BM$10,tables!C$174,Продажи!$E128:$BM128)</f>
        <v>0</v>
      </c>
      <c s="231">
        <f>SUMIF(Продажи!$E$10:$BM$10,tables!D$174,Продажи!$E128:$BM128)</f>
        <v>0</v>
      </c>
      <c s="231">
        <f>SUMIF(Продажи!$E$10:$BM$10,tables!E$174,Продажи!$E128:$BM128)</f>
        <v>0</v>
      </c>
      <c s="231">
        <f>SUMIF(Продажи!$E$10:$BM$10,tables!F$174,Продажи!$E128:$BM128)</f>
        <v>0</v>
      </c>
      <c s="231">
        <f>SUMIF(Продажи!$E$10:$BM$10,tables!G$174,Продажи!$E128:$BM128)</f>
        <v>0</v>
      </c>
      <c s="231">
        <f>SUMIF(Продажи!$E$10:$BM$10,tables!H$174,Продажи!$E128:$BM128)</f>
        <v>0</v>
      </c>
      <c s="231">
        <f>SUMIF(Продажи!$E$10:$BM$10,tables!I$174,Продажи!$E128:$BM128)</f>
        <v>0</v>
      </c>
      <c s="231">
        <f>SUMIF(Продажи!$E$10:$BM$10,tables!J$174,Продажи!$E128:$BM128)</f>
        <v>0</v>
      </c>
      <c s="231">
        <f>SUMIF(Продажи!$E$10:$BM$10,tables!K$174,Продажи!$E128:$BM128)</f>
        <v>0</v>
      </c>
      <c s="231">
        <f>SUMIF(Продажи!$E$10:$BM$10,tables!L$174,Продажи!$E128:$BM128)</f>
        <v>0</v>
      </c>
      <c s="231">
        <f>SUMIF(Продажи!$E$10:$BM$10,tables!M$174,Продажи!$E128:$BM128)</f>
        <v>0</v>
      </c>
      <c s="231">
        <f>SUMIF(Продажи!$E$10:$BM$10,tables!N$174,Продажи!$E128:$BM128)</f>
        <v>0</v>
      </c>
      <c s="231">
        <f>SUMIF(Продажи!$E$10:$BM$10,tables!O$174,Продажи!$E128:$BM128)</f>
        <v>0</v>
      </c>
      <c s="231">
        <f>SUMIF(Продажи!$E$10:$BM$10,tables!P$174,Продажи!$E128:$BM128)</f>
        <v>0</v>
      </c>
      <c s="231">
        <f>SUMIF(Продажи!$E$10:$BM$10,tables!Q$174,Продажи!$E128:$BM128)</f>
        <v>0</v>
      </c>
      <c s="231">
        <f>SUMIF(Продажи!$E$10:$BM$10,tables!R$174,Продажи!$E128:$BM128)</f>
        <v>0</v>
      </c>
      <c s="231">
        <f t="shared" si="21"/>
        <v>0</v>
      </c>
    </row>
    <row r="192" spans="1:19" ht="13.9">
      <c r="A192" s="624" t="str">
        <f>Продажи!B35</f>
        <v>Продукт 18</v>
      </c>
      <c s="624"/>
      <c s="231">
        <f>SUMIF(Продажи!$E$10:$BM$10,tables!C$174,Продажи!$E129:$BM129)</f>
        <v>0</v>
      </c>
      <c s="231">
        <f>SUMIF(Продажи!$E$10:$BM$10,tables!D$174,Продажи!$E129:$BM129)</f>
        <v>0</v>
      </c>
      <c s="231">
        <f>SUMIF(Продажи!$E$10:$BM$10,tables!E$174,Продажи!$E129:$BM129)</f>
        <v>0</v>
      </c>
      <c s="231">
        <f>SUMIF(Продажи!$E$10:$BM$10,tables!F$174,Продажи!$E129:$BM129)</f>
        <v>0</v>
      </c>
      <c s="231">
        <f>SUMIF(Продажи!$E$10:$BM$10,tables!G$174,Продажи!$E129:$BM129)</f>
        <v>0</v>
      </c>
      <c s="231">
        <f>SUMIF(Продажи!$E$10:$BM$10,tables!H$174,Продажи!$E129:$BM129)</f>
        <v>0</v>
      </c>
      <c s="231">
        <f>SUMIF(Продажи!$E$10:$BM$10,tables!I$174,Продажи!$E129:$BM129)</f>
        <v>0</v>
      </c>
      <c s="231">
        <f>SUMIF(Продажи!$E$10:$BM$10,tables!J$174,Продажи!$E129:$BM129)</f>
        <v>0</v>
      </c>
      <c s="231">
        <f>SUMIF(Продажи!$E$10:$BM$10,tables!K$174,Продажи!$E129:$BM129)</f>
        <v>0</v>
      </c>
      <c s="231">
        <f>SUMIF(Продажи!$E$10:$BM$10,tables!L$174,Продажи!$E129:$BM129)</f>
        <v>0</v>
      </c>
      <c s="231">
        <f>SUMIF(Продажи!$E$10:$BM$10,tables!M$174,Продажи!$E129:$BM129)</f>
        <v>0</v>
      </c>
      <c s="231">
        <f>SUMIF(Продажи!$E$10:$BM$10,tables!N$174,Продажи!$E129:$BM129)</f>
        <v>0</v>
      </c>
      <c s="231">
        <f>SUMIF(Продажи!$E$10:$BM$10,tables!O$174,Продажи!$E129:$BM129)</f>
        <v>0</v>
      </c>
      <c s="231">
        <f>SUMIF(Продажи!$E$10:$BM$10,tables!P$174,Продажи!$E129:$BM129)</f>
        <v>0</v>
      </c>
      <c s="231">
        <f>SUMIF(Продажи!$E$10:$BM$10,tables!Q$174,Продажи!$E129:$BM129)</f>
        <v>0</v>
      </c>
      <c s="231">
        <f>SUMIF(Продажи!$E$10:$BM$10,tables!R$174,Продажи!$E129:$BM129)</f>
        <v>0</v>
      </c>
      <c s="231">
        <f t="shared" si="21"/>
        <v>0</v>
      </c>
    </row>
    <row r="193" spans="1:19" ht="13.9">
      <c r="A193" s="624" t="str">
        <f>Продажи!B36</f>
        <v>Продукт 19</v>
      </c>
      <c s="624"/>
      <c s="231">
        <f>SUMIF(Продажи!$E$10:$BM$10,tables!C$174,Продажи!$E130:$BM130)</f>
        <v>0</v>
      </c>
      <c s="231">
        <f>SUMIF(Продажи!$E$10:$BM$10,tables!D$174,Продажи!$E130:$BM130)</f>
        <v>0</v>
      </c>
      <c s="231">
        <f>SUMIF(Продажи!$E$10:$BM$10,tables!E$174,Продажи!$E130:$BM130)</f>
        <v>0</v>
      </c>
      <c s="231">
        <f>SUMIF(Продажи!$E$10:$BM$10,tables!F$174,Продажи!$E130:$BM130)</f>
        <v>0</v>
      </c>
      <c s="231">
        <f>SUMIF(Продажи!$E$10:$BM$10,tables!G$174,Продажи!$E130:$BM130)</f>
        <v>0</v>
      </c>
      <c s="231">
        <f>SUMIF(Продажи!$E$10:$BM$10,tables!H$174,Продажи!$E130:$BM130)</f>
        <v>0</v>
      </c>
      <c s="231">
        <f>SUMIF(Продажи!$E$10:$BM$10,tables!I$174,Продажи!$E130:$BM130)</f>
        <v>0</v>
      </c>
      <c s="231">
        <f>SUMIF(Продажи!$E$10:$BM$10,tables!J$174,Продажи!$E130:$BM130)</f>
        <v>0</v>
      </c>
      <c s="231">
        <f>SUMIF(Продажи!$E$10:$BM$10,tables!K$174,Продажи!$E130:$BM130)</f>
        <v>0</v>
      </c>
      <c s="231">
        <f>SUMIF(Продажи!$E$10:$BM$10,tables!L$174,Продажи!$E130:$BM130)</f>
        <v>0</v>
      </c>
      <c s="231">
        <f>SUMIF(Продажи!$E$10:$BM$10,tables!M$174,Продажи!$E130:$BM130)</f>
        <v>0</v>
      </c>
      <c s="231">
        <f>SUMIF(Продажи!$E$10:$BM$10,tables!N$174,Продажи!$E130:$BM130)</f>
        <v>0</v>
      </c>
      <c s="231">
        <f>SUMIF(Продажи!$E$10:$BM$10,tables!O$174,Продажи!$E130:$BM130)</f>
        <v>0</v>
      </c>
      <c s="231">
        <f>SUMIF(Продажи!$E$10:$BM$10,tables!P$174,Продажи!$E130:$BM130)</f>
        <v>0</v>
      </c>
      <c s="231">
        <f>SUMIF(Продажи!$E$10:$BM$10,tables!Q$174,Продажи!$E130:$BM130)</f>
        <v>0</v>
      </c>
      <c s="231">
        <f>SUMIF(Продажи!$E$10:$BM$10,tables!R$174,Продажи!$E130:$BM130)</f>
        <v>0</v>
      </c>
      <c s="231">
        <f t="shared" si="21"/>
        <v>0</v>
      </c>
    </row>
    <row r="194" spans="1:19" ht="13.9">
      <c r="A194" s="624" t="str">
        <f>Продажи!B37</f>
        <v>Продукт 20</v>
      </c>
      <c s="624"/>
      <c s="231">
        <f>SUMIF(Продажи!$E$10:$BM$10,tables!C$174,Продажи!$E131:$BM131)</f>
        <v>0</v>
      </c>
      <c s="231">
        <f>SUMIF(Продажи!$E$10:$BM$10,tables!D$174,Продажи!$E131:$BM131)</f>
        <v>0</v>
      </c>
      <c s="231">
        <f>SUMIF(Продажи!$E$10:$BM$10,tables!E$174,Продажи!$E131:$BM131)</f>
        <v>0</v>
      </c>
      <c s="231">
        <f>SUMIF(Продажи!$E$10:$BM$10,tables!F$174,Продажи!$E131:$BM131)</f>
        <v>0</v>
      </c>
      <c s="231">
        <f>SUMIF(Продажи!$E$10:$BM$10,tables!G$174,Продажи!$E131:$BM131)</f>
        <v>0</v>
      </c>
      <c s="231">
        <f>SUMIF(Продажи!$E$10:$BM$10,tables!H$174,Продажи!$E131:$BM131)</f>
        <v>0</v>
      </c>
      <c s="231">
        <f>SUMIF(Продажи!$E$10:$BM$10,tables!I$174,Продажи!$E131:$BM131)</f>
        <v>0</v>
      </c>
      <c s="231">
        <f>SUMIF(Продажи!$E$10:$BM$10,tables!J$174,Продажи!$E131:$BM131)</f>
        <v>0</v>
      </c>
      <c s="231">
        <f>SUMIF(Продажи!$E$10:$BM$10,tables!K$174,Продажи!$E131:$BM131)</f>
        <v>0</v>
      </c>
      <c s="231">
        <f>SUMIF(Продажи!$E$10:$BM$10,tables!L$174,Продажи!$E131:$BM131)</f>
        <v>0</v>
      </c>
      <c s="231">
        <f>SUMIF(Продажи!$E$10:$BM$10,tables!M$174,Продажи!$E131:$BM131)</f>
        <v>0</v>
      </c>
      <c s="231">
        <f>SUMIF(Продажи!$E$10:$BM$10,tables!N$174,Продажи!$E131:$BM131)</f>
        <v>0</v>
      </c>
      <c s="231">
        <f>SUMIF(Продажи!$E$10:$BM$10,tables!O$174,Продажи!$E131:$BM131)</f>
        <v>0</v>
      </c>
      <c s="231">
        <f>SUMIF(Продажи!$E$10:$BM$10,tables!P$174,Продажи!$E131:$BM131)</f>
        <v>0</v>
      </c>
      <c s="231">
        <f>SUMIF(Продажи!$E$10:$BM$10,tables!Q$174,Продажи!$E131:$BM131)</f>
        <v>0</v>
      </c>
      <c s="231">
        <f>SUMIF(Продажи!$E$10:$BM$10,tables!R$174,Продажи!$E131:$BM131)</f>
        <v>0</v>
      </c>
      <c s="231">
        <f t="shared" si="21"/>
        <v>0</v>
      </c>
    </row>
    <row r="197" spans="7:7" ht="13.9">
      <c r="G197" s="212" t="s">
        <v>1265</v>
      </c>
    </row>
    <row r="199" spans="2:63" ht="13.9">
      <c r="B199" s="199" t="s">
        <v>562</v>
      </c>
      <c s="220">
        <f>'Капитальные вложения'!E8</f>
        <v>45747</v>
      </c>
      <c s="220">
        <f>'Капитальные вложения'!F8</f>
        <v>45838</v>
      </c>
      <c s="220">
        <f>'Капитальные вложения'!G8</f>
        <v>45930</v>
      </c>
      <c s="220">
        <f>'Капитальные вложения'!H8</f>
        <v>46022</v>
      </c>
      <c s="220">
        <f>'Капитальные вложения'!I8</f>
        <v>46112</v>
      </c>
      <c s="220">
        <f>'Капитальные вложения'!J8</f>
        <v>46203</v>
      </c>
      <c s="220">
        <f>'Капитальные вложения'!K8</f>
        <v>46295</v>
      </c>
      <c s="220">
        <f>'Капитальные вложения'!L8</f>
        <v>46387</v>
      </c>
      <c s="220">
        <f>'Капитальные вложения'!M8</f>
        <v>46477</v>
      </c>
      <c s="220">
        <f>'Капитальные вложения'!N8</f>
        <v>46568</v>
      </c>
      <c s="220">
        <f>'Капитальные вложения'!O8</f>
        <v>46660</v>
      </c>
      <c s="220">
        <f>'Капитальные вложения'!P8</f>
        <v>46752</v>
      </c>
      <c s="220">
        <f>'Капитальные вложения'!Q8</f>
        <v>46843</v>
      </c>
      <c s="220">
        <f>'Капитальные вложения'!R8</f>
        <v>46934</v>
      </c>
      <c s="220">
        <f>'Капитальные вложения'!S8</f>
        <v>47026</v>
      </c>
      <c s="220">
        <f>'Капитальные вложения'!T8</f>
        <v>47118</v>
      </c>
      <c s="220">
        <f>'Капитальные вложения'!U8</f>
        <v>47208</v>
      </c>
      <c s="220">
        <f>'Капитальные вложения'!V8</f>
        <v>47299</v>
      </c>
      <c s="220">
        <f>'Капитальные вложения'!W8</f>
        <v>47391</v>
      </c>
      <c s="220">
        <f>'Капитальные вложения'!X8</f>
        <v>47483</v>
      </c>
      <c s="220">
        <f>'Капитальные вложения'!Y8</f>
        <v>47573</v>
      </c>
      <c s="220">
        <f>'Капитальные вложения'!Z8</f>
        <v>47664</v>
      </c>
      <c s="220">
        <f>'Капитальные вложения'!AA8</f>
        <v>47756</v>
      </c>
      <c s="220">
        <f>'Капитальные вложения'!AB8</f>
        <v>47848</v>
      </c>
      <c s="220">
        <f>'Капитальные вложения'!AC8</f>
        <v>47938</v>
      </c>
      <c s="220">
        <f>'Капитальные вложения'!AD8</f>
        <v>48029</v>
      </c>
      <c s="220">
        <f>'Капитальные вложения'!AE8</f>
        <v>48121</v>
      </c>
      <c s="220">
        <f>'Капитальные вложения'!AF8</f>
        <v>48213</v>
      </c>
      <c s="220">
        <f>'Капитальные вложения'!AG8</f>
        <v>48304</v>
      </c>
      <c s="220">
        <f>'Капитальные вложения'!AH8</f>
        <v>48395</v>
      </c>
      <c s="220">
        <f>'Капитальные вложения'!AI8</f>
        <v>48487</v>
      </c>
      <c s="220">
        <f>'Капитальные вложения'!AJ8</f>
        <v>48579</v>
      </c>
      <c s="220">
        <f>'Капитальные вложения'!AK8</f>
        <v>48669</v>
      </c>
      <c s="220">
        <f>'Капитальные вложения'!AL8</f>
        <v>48760</v>
      </c>
      <c s="220">
        <f>'Капитальные вложения'!AM8</f>
        <v>48852</v>
      </c>
      <c s="220">
        <f>'Капитальные вложения'!AN8</f>
        <v>48944</v>
      </c>
      <c s="220">
        <f>'Капитальные вложения'!AO8</f>
        <v>49034</v>
      </c>
      <c s="220">
        <f>'Капитальные вложения'!AP8</f>
        <v>49125</v>
      </c>
      <c s="220">
        <f>'Капитальные вложения'!AQ8</f>
        <v>49217</v>
      </c>
      <c s="220">
        <f>'Капитальные вложения'!AR8</f>
        <v>49309</v>
      </c>
      <c s="220">
        <f>'Капитальные вложения'!AS8</f>
        <v>49399</v>
      </c>
      <c s="220">
        <f>'Капитальные вложения'!AT8</f>
        <v>49490</v>
      </c>
      <c s="220">
        <f>'Капитальные вложения'!AU8</f>
        <v>49582</v>
      </c>
      <c s="220">
        <f>'Капитальные вложения'!AV8</f>
        <v>49674</v>
      </c>
      <c s="220">
        <f>'Капитальные вложения'!AW8</f>
        <v>49765</v>
      </c>
      <c s="220">
        <f>'Капитальные вложения'!AX8</f>
        <v>49856</v>
      </c>
      <c s="220">
        <f>'Капитальные вложения'!AY8</f>
        <v>49948</v>
      </c>
      <c s="220">
        <f>'Капитальные вложения'!AZ8</f>
        <v>50040</v>
      </c>
      <c s="220">
        <f>'Капитальные вложения'!BA8</f>
        <v>50130</v>
      </c>
      <c s="220">
        <f>'Капитальные вложения'!BB8</f>
        <v>50221</v>
      </c>
      <c s="220">
        <f>'Капитальные вложения'!BC8</f>
        <v>50313</v>
      </c>
      <c s="220">
        <f>'Капитальные вложения'!BD8</f>
        <v>50405</v>
      </c>
      <c s="220">
        <f>'Капитальные вложения'!BE8</f>
        <v>50495</v>
      </c>
      <c s="220">
        <f>'Капитальные вложения'!BF8</f>
        <v>50586</v>
      </c>
      <c s="220">
        <f>'Капитальные вложения'!BG8</f>
        <v>50678</v>
      </c>
      <c s="220">
        <f>'Капитальные вложения'!BH8</f>
        <v>50770</v>
      </c>
      <c s="220">
        <f>'Капитальные вложения'!BI8</f>
        <v>50860</v>
      </c>
      <c s="220">
        <f>'Капитальные вложения'!BJ8</f>
        <v>50951</v>
      </c>
      <c s="220">
        <f>'Капитальные вложения'!BK8</f>
        <v>51043</v>
      </c>
      <c s="220">
        <f>'Капитальные вложения'!BL8</f>
        <v>51135</v>
      </c>
      <c s="220">
        <f>'Капитальные вложения'!BM8</f>
        <v>51226</v>
      </c>
    </row>
    <row r="200" spans="2:63" ht="13.9">
      <c r="B200" s="199" t="s">
        <v>1266</v>
      </c>
      <c s="230">
        <f>'Капитальные вложения'!E101</f>
        <v>0</v>
      </c>
      <c s="230">
        <f>'Капитальные вложения'!F101</f>
        <v>0</v>
      </c>
      <c s="230">
        <f>'Капитальные вложения'!G101</f>
        <v>0</v>
      </c>
      <c s="230">
        <f>'Капитальные вложения'!H101</f>
        <v>0</v>
      </c>
      <c s="230">
        <f>'Капитальные вложения'!I101</f>
        <v>0</v>
      </c>
      <c s="230">
        <f>'Капитальные вложения'!J101</f>
        <v>0</v>
      </c>
      <c s="230">
        <f>'Капитальные вложения'!K101</f>
        <v>0</v>
      </c>
      <c s="230">
        <f>'Капитальные вложения'!L101</f>
        <v>0</v>
      </c>
      <c s="230">
        <f>'Капитальные вложения'!M101</f>
        <v>0</v>
      </c>
      <c s="230">
        <f>'Капитальные вложения'!N101</f>
        <v>0</v>
      </c>
      <c s="230">
        <f>'Капитальные вложения'!O101</f>
        <v>0</v>
      </c>
      <c s="230">
        <f>'Капитальные вложения'!P101</f>
        <v>0</v>
      </c>
      <c s="230">
        <f>'Капитальные вложения'!Q101</f>
        <v>0</v>
      </c>
      <c s="230">
        <f>'Капитальные вложения'!R101</f>
        <v>0</v>
      </c>
      <c s="230">
        <f>'Капитальные вложения'!S101</f>
        <v>0</v>
      </c>
      <c s="230">
        <f>'Капитальные вложения'!T101</f>
        <v>0</v>
      </c>
      <c s="230">
        <f>'Капитальные вложения'!U101</f>
        <v>0</v>
      </c>
      <c s="230">
        <f>'Капитальные вложения'!V101</f>
        <v>0</v>
      </c>
      <c s="230">
        <f>'Капитальные вложения'!W101</f>
        <v>0</v>
      </c>
      <c s="230">
        <f>'Капитальные вложения'!X101</f>
        <v>0</v>
      </c>
      <c s="230">
        <f>'Капитальные вложения'!Y101</f>
        <v>0</v>
      </c>
      <c s="230">
        <f>'Капитальные вложения'!Z101</f>
        <v>0</v>
      </c>
      <c s="230">
        <f>'Капитальные вложения'!AA101</f>
        <v>0</v>
      </c>
      <c s="230">
        <f>'Капитальные вложения'!AB101</f>
        <v>0</v>
      </c>
      <c s="230">
        <f>'Капитальные вложения'!AC101</f>
        <v>0</v>
      </c>
      <c s="230">
        <f>'Капитальные вложения'!AD101</f>
        <v>0</v>
      </c>
      <c s="230">
        <f>'Капитальные вложения'!AE101</f>
        <v>0</v>
      </c>
      <c s="230">
        <f>'Капитальные вложения'!AF101</f>
        <v>0</v>
      </c>
      <c s="230">
        <f>'Капитальные вложения'!AG101</f>
        <v>0</v>
      </c>
      <c s="230">
        <f>'Капитальные вложения'!AH101</f>
        <v>0</v>
      </c>
      <c s="230">
        <f>'Капитальные вложения'!AI101</f>
        <v>0</v>
      </c>
      <c s="230">
        <f>'Капитальные вложения'!AJ101</f>
        <v>0</v>
      </c>
      <c s="230">
        <f>'Капитальные вложения'!AK101</f>
        <v>0</v>
      </c>
      <c s="230">
        <f>'Капитальные вложения'!AL101</f>
        <v>0</v>
      </c>
      <c s="230">
        <f>'Капитальные вложения'!AM101</f>
        <v>0</v>
      </c>
      <c s="230">
        <f>'Капитальные вложения'!AN101</f>
        <v>0</v>
      </c>
      <c s="230">
        <f>'Капитальные вложения'!AO101</f>
        <v>0</v>
      </c>
      <c s="230">
        <f>'Капитальные вложения'!AP101</f>
        <v>0</v>
      </c>
      <c s="230">
        <f>'Капитальные вложения'!AQ101</f>
        <v>0</v>
      </c>
      <c s="230">
        <f>'Капитальные вложения'!AR101</f>
        <v>0</v>
      </c>
      <c s="230">
        <f>'Капитальные вложения'!AS101</f>
        <v>0</v>
      </c>
      <c s="230">
        <f>'Капитальные вложения'!AT101</f>
        <v>0</v>
      </c>
      <c s="230">
        <f>'Капитальные вложения'!AU101</f>
        <v>0</v>
      </c>
      <c s="230">
        <f>'Капитальные вложения'!AV101</f>
        <v>0</v>
      </c>
      <c s="230">
        <f>'Капитальные вложения'!AW101</f>
        <v>0</v>
      </c>
      <c s="230">
        <f>'Капитальные вложения'!AX101</f>
        <v>0</v>
      </c>
      <c s="230">
        <f>'Капитальные вложения'!AY101</f>
        <v>0</v>
      </c>
      <c s="230">
        <f>'Капитальные вложения'!AZ101</f>
        <v>0</v>
      </c>
      <c s="230">
        <f>'Капитальные вложения'!BA101</f>
        <v>0</v>
      </c>
      <c s="230">
        <f>'Капитальные вложения'!BB101</f>
        <v>0</v>
      </c>
      <c s="230">
        <f>'Капитальные вложения'!BC101</f>
        <v>0</v>
      </c>
      <c s="230">
        <f>'Капитальные вложения'!BD101</f>
        <v>0</v>
      </c>
      <c s="230">
        <f>'Капитальные вложения'!BE101</f>
        <v>0</v>
      </c>
      <c s="230">
        <f>'Капитальные вложения'!BF101</f>
        <v>0</v>
      </c>
      <c s="230">
        <f>'Капитальные вложения'!BG101</f>
        <v>0</v>
      </c>
      <c s="230">
        <f>'Капитальные вложения'!BH101</f>
        <v>0</v>
      </c>
      <c s="230">
        <f>'Капитальные вложения'!BI101</f>
        <v>0</v>
      </c>
      <c s="230">
        <f>'Капитальные вложения'!BJ101</f>
        <v>0</v>
      </c>
      <c s="230">
        <f>'Капитальные вложения'!BK101</f>
        <v>0</v>
      </c>
      <c s="230">
        <f>'Капитальные вложения'!BL101</f>
        <v>0</v>
      </c>
      <c s="230">
        <f>'Капитальные вложения'!BM101</f>
        <v>0</v>
      </c>
    </row>
    <row r="201" spans="2:63" ht="27.6">
      <c r="B201" s="199" t="str">
        <f>Предпосылки!B388</f>
        <v>График привлечения собственных средств в проект, тыс. руб.</v>
      </c>
      <c s="230">
        <f>SUMIF(Предпосылки!$D$391:$BL$391,tables!C199,Предпосылки!$D$392:$BL$392)</f>
        <v>0</v>
      </c>
      <c s="230">
        <f>SUMIF(Предпосылки!$D$391:$BL$391,tables!D199,Предпосылки!$D$392:$BL$392)</f>
        <v>0</v>
      </c>
      <c s="230">
        <f>SUMIF(Предпосылки!$D$391:$BL$391,tables!E199,Предпосылки!$D$392:$BL$392)</f>
        <v>0</v>
      </c>
      <c s="230">
        <f>SUMIF(Предпосылки!$D$391:$BL$391,tables!F199,Предпосылки!$D$392:$BL$392)</f>
        <v>0</v>
      </c>
      <c s="230">
        <f>SUMIF(Предпосылки!$D$391:$BL$391,tables!G199,Предпосылки!$D$392:$BL$392)</f>
        <v>0</v>
      </c>
      <c s="230">
        <f>SUMIF(Предпосылки!$D$391:$BL$391,tables!H199,Предпосылки!$D$392:$BL$392)</f>
        <v>0</v>
      </c>
      <c s="230">
        <f>SUMIF(Предпосылки!$D$391:$BL$391,tables!I199,Предпосылки!$D$392:$BL$392)</f>
        <v>0</v>
      </c>
      <c s="230">
        <f>SUMIF(Предпосылки!$D$391:$BL$391,tables!J199,Предпосылки!$D$392:$BL$392)</f>
        <v>0</v>
      </c>
      <c s="230">
        <f>SUMIF(Предпосылки!$D$391:$BL$391,tables!K199,Предпосылки!$D$392:$BL$392)</f>
        <v>0</v>
      </c>
      <c s="230">
        <f>SUMIF(Предпосылки!$D$391:$BL$391,tables!L199,Предпосылки!$D$392:$BL$392)</f>
        <v>0</v>
      </c>
      <c s="230">
        <f>SUMIF(Предпосылки!$D$391:$BL$391,tables!M199,Предпосылки!$D$392:$BL$392)</f>
        <v>0</v>
      </c>
      <c s="230">
        <f>SUMIF(Предпосылки!$D$391:$BL$391,tables!N199,Предпосылки!$D$392:$BL$392)</f>
        <v>0</v>
      </c>
      <c s="230">
        <f>SUMIF(Предпосылки!$D$391:$BL$391,tables!O199,Предпосылки!$D$392:$BL$392)</f>
        <v>0</v>
      </c>
      <c s="230">
        <f>SUMIF(Предпосылки!$D$391:$BL$391,tables!P199,Предпосылки!$D$392:$BL$392)</f>
        <v>0</v>
      </c>
      <c s="230">
        <f>SUMIF(Предпосылки!$D$391:$BL$391,tables!Q199,Предпосылки!$D$392:$BL$392)</f>
        <v>0</v>
      </c>
      <c s="230">
        <f>SUMIF(Предпосылки!$D$391:$BL$391,tables!R199,Предпосылки!$D$392:$BL$392)</f>
        <v>0</v>
      </c>
      <c s="230">
        <f>SUMIF(Предпосылки!$D$391:$BL$391,tables!S199,Предпосылки!$D$392:$BL$392)</f>
        <v>0</v>
      </c>
      <c s="230">
        <f>SUMIF(Предпосылки!$D$391:$BL$391,tables!T199,Предпосылки!$D$392:$BL$392)</f>
        <v>0</v>
      </c>
      <c s="230">
        <f>SUMIF(Предпосылки!$D$391:$BL$391,tables!U199,Предпосылки!$D$392:$BL$392)</f>
        <v>0</v>
      </c>
      <c s="230">
        <f>SUMIF(Предпосылки!$D$391:$BL$391,tables!V199,Предпосылки!$D$392:$BL$392)</f>
        <v>0</v>
      </c>
      <c s="230">
        <f>SUMIF(Предпосылки!$D$391:$BL$391,tables!W199,Предпосылки!$D$392:$BL$392)</f>
        <v>0</v>
      </c>
      <c s="230">
        <f>SUMIF(Предпосылки!$D$391:$BL$391,tables!X199,Предпосылки!$D$392:$BL$392)</f>
        <v>0</v>
      </c>
      <c s="230">
        <f>SUMIF(Предпосылки!$D$391:$BL$391,tables!Y199,Предпосылки!$D$392:$BL$392)</f>
        <v>0</v>
      </c>
      <c s="230">
        <f>SUMIF(Предпосылки!$D$391:$BL$391,tables!Z199,Предпосылки!$D$392:$BL$392)</f>
        <v>0</v>
      </c>
      <c s="230">
        <f>SUMIF(Предпосылки!$D$391:$BL$391,tables!AA199,Предпосылки!$D$392:$BL$392)</f>
        <v>0</v>
      </c>
      <c s="230">
        <f>SUMIF(Предпосылки!$D$391:$BL$391,tables!AB199,Предпосылки!$D$392:$BL$392)</f>
        <v>0</v>
      </c>
      <c s="230">
        <f>SUMIF(Предпосылки!$D$391:$BL$391,tables!AC199,Предпосылки!$D$392:$BL$392)</f>
        <v>0</v>
      </c>
      <c s="230">
        <f>SUMIF(Предпосылки!$D$391:$BL$391,tables!AD199,Предпосылки!$D$392:$BL$392)</f>
        <v>0</v>
      </c>
      <c s="230">
        <f>SUMIF(Предпосылки!$D$391:$BL$391,tables!AE199,Предпосылки!$D$392:$BL$392)</f>
        <v>0</v>
      </c>
      <c s="230">
        <f>SUMIF(Предпосылки!$D$391:$BL$391,tables!AF199,Предпосылки!$D$392:$BL$392)</f>
        <v>0</v>
      </c>
      <c s="230">
        <f>SUMIF(Предпосылки!$D$391:$BL$391,tables!AG199,Предпосылки!$D$392:$BL$392)</f>
        <v>0</v>
      </c>
      <c s="230">
        <f>SUMIF(Предпосылки!$D$391:$BL$391,tables!AH199,Предпосылки!$D$392:$BL$392)</f>
        <v>0</v>
      </c>
      <c s="230">
        <f>SUMIF(Предпосылки!$D$391:$BL$391,tables!AI199,Предпосылки!$D$392:$BL$392)</f>
        <v>0</v>
      </c>
      <c s="230">
        <f>SUMIF(Предпосылки!$D$391:$BL$391,tables!AJ199,Предпосылки!$D$392:$BL$392)</f>
        <v>0</v>
      </c>
      <c s="230">
        <f>SUMIF(Предпосылки!$D$391:$BL$391,tables!AK199,Предпосылки!$D$392:$BL$392)</f>
        <v>0</v>
      </c>
      <c s="230">
        <f>SUMIF(Предпосылки!$D$391:$BL$391,tables!AL199,Предпосылки!$D$392:$BL$392)</f>
        <v>0</v>
      </c>
      <c s="230">
        <f>SUMIF(Предпосылки!$D$391:$BL$391,tables!AM199,Предпосылки!$D$392:$BL$392)</f>
        <v>0</v>
      </c>
      <c s="230">
        <f>SUMIF(Предпосылки!$D$391:$BL$391,tables!AN199,Предпосылки!$D$392:$BL$392)</f>
        <v>0</v>
      </c>
      <c s="230">
        <f>SUMIF(Предпосылки!$D$391:$BL$391,tables!AO199,Предпосылки!$D$392:$BL$392)</f>
        <v>0</v>
      </c>
      <c s="230">
        <f>SUMIF(Предпосылки!$D$391:$BL$391,tables!AP199,Предпосылки!$D$392:$BL$392)</f>
        <v>0</v>
      </c>
      <c s="230">
        <f>SUMIF(Предпосылки!$D$391:$BL$391,tables!AQ199,Предпосылки!$D$392:$BL$392)</f>
        <v>0</v>
      </c>
      <c s="230">
        <f>SUMIF(Предпосылки!$D$391:$BL$391,tables!AR199,Предпосылки!$D$392:$BL$392)</f>
        <v>0</v>
      </c>
      <c s="230">
        <f>SUMIF(Предпосылки!$D$391:$BL$391,tables!AS199,Предпосылки!$D$392:$BL$392)</f>
        <v>0</v>
      </c>
      <c s="230">
        <f>SUMIF(Предпосылки!$D$391:$BL$391,tables!AT199,Предпосылки!$D$392:$BL$392)</f>
        <v>0</v>
      </c>
      <c s="230">
        <f>SUMIF(Предпосылки!$D$391:$BL$391,tables!AU199,Предпосылки!$D$392:$BL$392)</f>
        <v>0</v>
      </c>
      <c s="230">
        <f>SUMIF(Предпосылки!$D$391:$BL$391,tables!AV199,Предпосылки!$D$392:$BL$392)</f>
        <v>0</v>
      </c>
      <c s="230">
        <f>SUMIF(Предпосылки!$D$391:$BL$391,tables!AW199,Предпосылки!$D$392:$BL$392)</f>
        <v>0</v>
      </c>
      <c s="230">
        <f>SUMIF(Предпосылки!$D$391:$BL$391,tables!AX199,Предпосылки!$D$392:$BL$392)</f>
        <v>0</v>
      </c>
      <c s="230">
        <f>SUMIF(Предпосылки!$D$391:$BL$391,tables!AY199,Предпосылки!$D$392:$BL$392)</f>
        <v>0</v>
      </c>
      <c s="230">
        <f>SUMIF(Предпосылки!$D$391:$BL$391,tables!AZ199,Предпосылки!$D$392:$BL$392)</f>
        <v>0</v>
      </c>
      <c s="230">
        <f>SUMIF(Предпосылки!$D$391:$BL$391,tables!BA199,Предпосылки!$D$392:$BL$392)</f>
        <v>0</v>
      </c>
      <c s="230">
        <f>SUMIF(Предпосылки!$D$391:$BL$391,tables!BB199,Предпосылки!$D$392:$BL$392)</f>
        <v>0</v>
      </c>
      <c s="230">
        <f>SUMIF(Предпосылки!$D$391:$BL$391,tables!BC199,Предпосылки!$D$392:$BL$392)</f>
        <v>0</v>
      </c>
      <c s="230">
        <f>SUMIF(Предпосылки!$D$391:$BL$391,tables!BD199,Предпосылки!$D$392:$BL$392)</f>
        <v>0</v>
      </c>
      <c s="230">
        <f>SUMIF(Предпосылки!$D$391:$BL$391,tables!BE199,Предпосылки!$D$392:$BL$392)</f>
        <v>0</v>
      </c>
      <c s="230">
        <f>SUMIF(Предпосылки!$D$391:$BL$391,tables!BF199,Предпосылки!$D$392:$BL$392)</f>
        <v>0</v>
      </c>
      <c s="230">
        <f>SUMIF(Предпосылки!$D$391:$BL$391,tables!BG199,Предпосылки!$D$392:$BL$392)</f>
        <v>0</v>
      </c>
      <c s="230">
        <f>SUMIF(Предпосылки!$D$391:$BL$391,tables!BH199,Предпосылки!$D$392:$BL$392)</f>
        <v>0</v>
      </c>
      <c s="230">
        <f>SUMIF(Предпосылки!$D$391:$BL$391,tables!BI199,Предпосылки!$D$392:$BL$392)</f>
        <v>0</v>
      </c>
      <c s="230">
        <f>SUMIF(Предпосылки!$D$391:$BL$391,tables!BJ199,Предпосылки!$D$392:$BL$392)</f>
        <v>0</v>
      </c>
      <c s="230">
        <f>SUMIF(Предпосылки!$D$391:$BL$391,tables!BK199,Предпосылки!$D$392:$BL$392)</f>
        <v>0</v>
      </c>
    </row>
    <row r="202" spans="2:63" ht="27.6">
      <c r="B202" s="199" t="str">
        <f>Предпосылки!B394</f>
        <v>Заёмное финансирование: заём бенефициара/аффилированных лиц</v>
      </c>
      <c s="230">
        <f>SUMIF(Предпосылки!$D$403:$BL$403,tables!C199,Предпосылки!$D$404:$BL$404)</f>
        <v>0</v>
      </c>
      <c s="230">
        <f>SUMIF(Предпосылки!$D$403:$BL$403,tables!D199,Предпосылки!$D$404:$BL$404)</f>
        <v>0</v>
      </c>
      <c s="230">
        <f>SUMIF(Предпосылки!$D$403:$BL$403,tables!E199,Предпосылки!$D$404:$BL$404)</f>
        <v>0</v>
      </c>
      <c s="230">
        <f>SUMIF(Предпосылки!$D$403:$BL$403,tables!F199,Предпосылки!$D$404:$BL$404)</f>
        <v>0</v>
      </c>
      <c s="230">
        <f>SUMIF(Предпосылки!$D$403:$BL$403,tables!G199,Предпосылки!$D$404:$BL$404)</f>
        <v>0</v>
      </c>
      <c s="230">
        <f>SUMIF(Предпосылки!$D$403:$BL$403,tables!H199,Предпосылки!$D$404:$BL$404)</f>
        <v>0</v>
      </c>
      <c s="230">
        <f>SUMIF(Предпосылки!$D$403:$BL$403,tables!I199,Предпосылки!$D$404:$BL$404)</f>
        <v>0</v>
      </c>
      <c s="230">
        <f>SUMIF(Предпосылки!$D$403:$BL$403,tables!J199,Предпосылки!$D$404:$BL$404)</f>
        <v>0</v>
      </c>
      <c s="230">
        <f>SUMIF(Предпосылки!$D$403:$BL$403,tables!K199,Предпосылки!$D$404:$BL$404)</f>
        <v>0</v>
      </c>
      <c s="230">
        <f>SUMIF(Предпосылки!$D$403:$BL$403,tables!L199,Предпосылки!$D$404:$BL$404)</f>
        <v>0</v>
      </c>
      <c s="230">
        <f>SUMIF(Предпосылки!$D$403:$BL$403,tables!M199,Предпосылки!$D$404:$BL$404)</f>
        <v>0</v>
      </c>
      <c s="230">
        <f>SUMIF(Предпосылки!$D$403:$BL$403,tables!N199,Предпосылки!$D$404:$BL$404)</f>
        <v>0</v>
      </c>
      <c s="230">
        <f>SUMIF(Предпосылки!$D$403:$BL$403,tables!O199,Предпосылки!$D$404:$BL$404)</f>
        <v>0</v>
      </c>
      <c s="230">
        <f>SUMIF(Предпосылки!$D$403:$BL$403,tables!P199,Предпосылки!$D$404:$BL$404)</f>
        <v>0</v>
      </c>
      <c s="230">
        <f>SUMIF(Предпосылки!$D$403:$BL$403,tables!Q199,Предпосылки!$D$404:$BL$404)</f>
        <v>0</v>
      </c>
      <c s="230">
        <f>SUMIF(Предпосылки!$D$403:$BL$403,tables!R199,Предпосылки!$D$404:$BL$404)</f>
        <v>0</v>
      </c>
      <c s="230">
        <f>SUMIF(Предпосылки!$D$403:$BL$403,tables!S199,Предпосылки!$D$404:$BL$404)</f>
        <v>0</v>
      </c>
      <c s="230">
        <f>SUMIF(Предпосылки!$D$403:$BL$403,tables!T199,Предпосылки!$D$404:$BL$404)</f>
        <v>0</v>
      </c>
      <c s="230">
        <f>SUMIF(Предпосылки!$D$403:$BL$403,tables!U199,Предпосылки!$D$404:$BL$404)</f>
        <v>0</v>
      </c>
      <c s="230">
        <f>SUMIF(Предпосылки!$D$403:$BL$403,tables!V199,Предпосылки!$D$404:$BL$404)</f>
        <v>0</v>
      </c>
      <c s="230">
        <f>SUMIF(Предпосылки!$D$403:$BL$403,tables!W199,Предпосылки!$D$404:$BL$404)</f>
        <v>0</v>
      </c>
      <c s="230">
        <f>SUMIF(Предпосылки!$D$403:$BL$403,tables!X199,Предпосылки!$D$404:$BL$404)</f>
        <v>0</v>
      </c>
      <c s="230">
        <f>SUMIF(Предпосылки!$D$403:$BL$403,tables!Y199,Предпосылки!$D$404:$BL$404)</f>
        <v>0</v>
      </c>
      <c s="230">
        <f>SUMIF(Предпосылки!$D$403:$BL$403,tables!Z199,Предпосылки!$D$404:$BL$404)</f>
        <v>0</v>
      </c>
      <c s="230">
        <f>SUMIF(Предпосылки!$D$403:$BL$403,tables!AA199,Предпосылки!$D$404:$BL$404)</f>
        <v>0</v>
      </c>
      <c s="230">
        <f>SUMIF(Предпосылки!$D$403:$BL$403,tables!AB199,Предпосылки!$D$404:$BL$404)</f>
        <v>0</v>
      </c>
      <c s="230">
        <f>SUMIF(Предпосылки!$D$403:$BL$403,tables!AC199,Предпосылки!$D$404:$BL$404)</f>
        <v>0</v>
      </c>
      <c s="230">
        <f>SUMIF(Предпосылки!$D$403:$BL$403,tables!AD199,Предпосылки!$D$404:$BL$404)</f>
        <v>0</v>
      </c>
      <c s="230">
        <f>SUMIF(Предпосылки!$D$403:$BL$403,tables!AE199,Предпосылки!$D$404:$BL$404)</f>
        <v>0</v>
      </c>
      <c s="230">
        <f>SUMIF(Предпосылки!$D$403:$BL$403,tables!AF199,Предпосылки!$D$404:$BL$404)</f>
        <v>0</v>
      </c>
      <c s="230">
        <f>SUMIF(Предпосылки!$D$403:$BL$403,tables!AG199,Предпосылки!$D$404:$BL$404)</f>
        <v>0</v>
      </c>
      <c s="230">
        <f>SUMIF(Предпосылки!$D$403:$BL$403,tables!AH199,Предпосылки!$D$404:$BL$404)</f>
        <v>0</v>
      </c>
      <c s="230">
        <f>SUMIF(Предпосылки!$D$403:$BL$403,tables!AI199,Предпосылки!$D$404:$BL$404)</f>
        <v>0</v>
      </c>
      <c s="230">
        <f>SUMIF(Предпосылки!$D$403:$BL$403,tables!AJ199,Предпосылки!$D$404:$BL$404)</f>
        <v>0</v>
      </c>
      <c s="230">
        <f>SUMIF(Предпосылки!$D$403:$BL$403,tables!AK199,Предпосылки!$D$404:$BL$404)</f>
        <v>0</v>
      </c>
      <c s="230">
        <f>SUMIF(Предпосылки!$D$403:$BL$403,tables!AL199,Предпосылки!$D$404:$BL$404)</f>
        <v>0</v>
      </c>
      <c s="230">
        <f>SUMIF(Предпосылки!$D$403:$BL$403,tables!AM199,Предпосылки!$D$404:$BL$404)</f>
        <v>0</v>
      </c>
      <c s="230">
        <f>SUMIF(Предпосылки!$D$403:$BL$403,tables!AN199,Предпосылки!$D$404:$BL$404)</f>
        <v>0</v>
      </c>
      <c s="230">
        <f>SUMIF(Предпосылки!$D$403:$BL$403,tables!AO199,Предпосылки!$D$404:$BL$404)</f>
        <v>0</v>
      </c>
      <c s="230">
        <f>SUMIF(Предпосылки!$D$403:$BL$403,tables!AP199,Предпосылки!$D$404:$BL$404)</f>
        <v>0</v>
      </c>
      <c s="230">
        <f>SUMIF(Предпосылки!$D$403:$BL$403,tables!AQ199,Предпосылки!$D$404:$BL$404)</f>
        <v>0</v>
      </c>
      <c s="230">
        <f>SUMIF(Предпосылки!$D$403:$BL$403,tables!AR199,Предпосылки!$D$404:$BL$404)</f>
        <v>0</v>
      </c>
      <c s="230">
        <f>SUMIF(Предпосылки!$D$403:$BL$403,tables!AS199,Предпосылки!$D$404:$BL$404)</f>
        <v>0</v>
      </c>
      <c s="230">
        <f>SUMIF(Предпосылки!$D$403:$BL$403,tables!AT199,Предпосылки!$D$404:$BL$404)</f>
        <v>0</v>
      </c>
      <c s="230">
        <f>SUMIF(Предпосылки!$D$403:$BL$403,tables!AU199,Предпосылки!$D$404:$BL$404)</f>
        <v>0</v>
      </c>
      <c s="230">
        <f>SUMIF(Предпосылки!$D$403:$BL$403,tables!AV199,Предпосылки!$D$404:$BL$404)</f>
        <v>0</v>
      </c>
      <c s="230">
        <f>SUMIF(Предпосылки!$D$403:$BL$403,tables!AW199,Предпосылки!$D$404:$BL$404)</f>
        <v>0</v>
      </c>
      <c s="230">
        <f>SUMIF(Предпосылки!$D$403:$BL$403,tables!AX199,Предпосылки!$D$404:$BL$404)</f>
        <v>0</v>
      </c>
      <c s="230">
        <f>SUMIF(Предпосылки!$D$403:$BL$403,tables!AY199,Предпосылки!$D$404:$BL$404)</f>
        <v>0</v>
      </c>
      <c s="230">
        <f>SUMIF(Предпосылки!$D$403:$BL$403,tables!AZ199,Предпосылки!$D$404:$BL$404)</f>
        <v>0</v>
      </c>
      <c s="230">
        <f>SUMIF(Предпосылки!$D$403:$BL$403,tables!BA199,Предпосылки!$D$404:$BL$404)</f>
        <v>0</v>
      </c>
      <c s="230">
        <f>SUMIF(Предпосылки!$D$403:$BL$403,tables!BB199,Предпосылки!$D$404:$BL$404)</f>
        <v>0</v>
      </c>
      <c s="230">
        <f>SUMIF(Предпосылки!$D$403:$BL$403,tables!BC199,Предпосылки!$D$404:$BL$404)</f>
        <v>0</v>
      </c>
      <c s="230">
        <f>SUMIF(Предпосылки!$D$403:$BL$403,tables!BD199,Предпосылки!$D$404:$BL$404)</f>
        <v>0</v>
      </c>
      <c s="230">
        <f>SUMIF(Предпосылки!$D$403:$BL$403,tables!BE199,Предпосылки!$D$404:$BL$404)</f>
        <v>0</v>
      </c>
      <c s="230">
        <f>SUMIF(Предпосылки!$D$403:$BL$403,tables!BF199,Предпосылки!$D$404:$BL$404)</f>
        <v>0</v>
      </c>
      <c s="230">
        <f>SUMIF(Предпосылки!$D$403:$BL$403,tables!BG199,Предпосылки!$D$404:$BL$404)</f>
        <v>0</v>
      </c>
      <c s="230">
        <f>SUMIF(Предпосылки!$D$403:$BL$403,tables!BH199,Предпосылки!$D$404:$BL$404)</f>
        <v>0</v>
      </c>
      <c s="230">
        <f>SUMIF(Предпосылки!$D$403:$BL$403,tables!BI199,Предпосылки!$D$404:$BL$404)</f>
        <v>0</v>
      </c>
      <c s="230">
        <f>SUMIF(Предпосылки!$D$403:$BL$403,tables!BJ199,Предпосылки!$D$404:$BL$404)</f>
        <v>0</v>
      </c>
      <c s="230">
        <f>SUMIF(Предпосылки!$D$403:$BL$403,tables!BK199,Предпосылки!$D$404:$BL$404)</f>
        <v>0</v>
      </c>
    </row>
    <row r="203" spans="2:63" ht="13.9">
      <c r="B203" s="199" t="str">
        <f>Предпосылки!B409</f>
        <v>Заёмное финансирование: кредит/заём</v>
      </c>
      <c s="230">
        <f>SUMIF(Предпосылки!$D$418:$BL$418,tables!C199,Предпосылки!$D$419:$BL$419)</f>
        <v>0</v>
      </c>
      <c s="230">
        <f>SUMIF(Предпосылки!$D$418:$BL$418,tables!D199,Предпосылки!$D$419:$BL$419)</f>
        <v>0</v>
      </c>
      <c s="230">
        <f>SUMIF(Предпосылки!$D$418:$BL$418,tables!E199,Предпосылки!$D$419:$BL$419)</f>
        <v>0</v>
      </c>
      <c s="230">
        <f>SUMIF(Предпосылки!$D$418:$BL$418,tables!F199,Предпосылки!$D$419:$BL$419)</f>
        <v>0</v>
      </c>
      <c s="230">
        <f>SUMIF(Предпосылки!$D$418:$BL$418,tables!G199,Предпосылки!$D$419:$BL$419)</f>
        <v>0</v>
      </c>
      <c s="230">
        <f>SUMIF(Предпосылки!$D$418:$BL$418,tables!H199,Предпосылки!$D$419:$BL$419)</f>
        <v>0</v>
      </c>
      <c s="230">
        <f>SUMIF(Предпосылки!$D$418:$BL$418,tables!I199,Предпосылки!$D$419:$BL$419)</f>
        <v>0</v>
      </c>
      <c s="230">
        <f>SUMIF(Предпосылки!$D$418:$BL$418,tables!J199,Предпосылки!$D$419:$BL$419)</f>
        <v>0</v>
      </c>
      <c s="230">
        <f>SUMIF(Предпосылки!$D$418:$BL$418,tables!K199,Предпосылки!$D$419:$BL$419)</f>
        <v>0</v>
      </c>
      <c s="230">
        <f>SUMIF(Предпосылки!$D$418:$BL$418,tables!L199,Предпосылки!$D$419:$BL$419)</f>
        <v>0</v>
      </c>
      <c s="230">
        <f>SUMIF(Предпосылки!$D$418:$BL$418,tables!M199,Предпосылки!$D$419:$BL$419)</f>
        <v>0</v>
      </c>
      <c s="230">
        <f>SUMIF(Предпосылки!$D$418:$BL$418,tables!N199,Предпосылки!$D$419:$BL$419)</f>
        <v>0</v>
      </c>
      <c s="230">
        <f>SUMIF(Предпосылки!$D$418:$BL$418,tables!O199,Предпосылки!$D$419:$BL$419)</f>
        <v>0</v>
      </c>
      <c s="230">
        <f>SUMIF(Предпосылки!$D$418:$BL$418,tables!P199,Предпосылки!$D$419:$BL$419)</f>
        <v>0</v>
      </c>
      <c s="230">
        <f>SUMIF(Предпосылки!$D$418:$BL$418,tables!Q199,Предпосылки!$D$419:$BL$419)</f>
        <v>0</v>
      </c>
      <c s="230">
        <f>SUMIF(Предпосылки!$D$418:$BL$418,tables!R199,Предпосылки!$D$419:$BL$419)</f>
        <v>0</v>
      </c>
      <c s="230">
        <f>SUMIF(Предпосылки!$D$418:$BL$418,tables!S199,Предпосылки!$D$419:$BL$419)</f>
        <v>0</v>
      </c>
      <c s="230">
        <f>SUMIF(Предпосылки!$D$418:$BL$418,tables!T199,Предпосылки!$D$419:$BL$419)</f>
        <v>0</v>
      </c>
      <c s="230">
        <f>SUMIF(Предпосылки!$D$418:$BL$418,tables!U199,Предпосылки!$D$419:$BL$419)</f>
        <v>0</v>
      </c>
      <c s="230">
        <f>SUMIF(Предпосылки!$D$418:$BL$418,tables!V199,Предпосылки!$D$419:$BL$419)</f>
        <v>0</v>
      </c>
      <c s="230">
        <f>SUMIF(Предпосылки!$D$418:$BL$418,tables!W199,Предпосылки!$D$419:$BL$419)</f>
        <v>0</v>
      </c>
      <c s="230">
        <f>SUMIF(Предпосылки!$D$418:$BL$418,tables!X199,Предпосылки!$D$419:$BL$419)</f>
        <v>0</v>
      </c>
      <c s="230">
        <f>SUMIF(Предпосылки!$D$418:$BL$418,tables!Y199,Предпосылки!$D$419:$BL$419)</f>
        <v>0</v>
      </c>
      <c s="230">
        <f>SUMIF(Предпосылки!$D$418:$BL$418,tables!Z199,Предпосылки!$D$419:$BL$419)</f>
        <v>0</v>
      </c>
      <c s="230">
        <f>SUMIF(Предпосылки!$D$418:$BL$418,tables!AA199,Предпосылки!$D$419:$BL$419)</f>
        <v>0</v>
      </c>
      <c s="230">
        <f>SUMIF(Предпосылки!$D$418:$BL$418,tables!AB199,Предпосылки!$D$419:$BL$419)</f>
        <v>0</v>
      </c>
      <c s="230">
        <f>SUMIF(Предпосылки!$D$418:$BL$418,tables!AC199,Предпосылки!$D$419:$BL$419)</f>
        <v>0</v>
      </c>
      <c s="230">
        <f>SUMIF(Предпосылки!$D$418:$BL$418,tables!AD199,Предпосылки!$D$419:$BL$419)</f>
        <v>0</v>
      </c>
      <c s="230">
        <f>SUMIF(Предпосылки!$D$418:$BL$418,tables!AE199,Предпосылки!$D$419:$BL$419)</f>
        <v>0</v>
      </c>
      <c s="230">
        <f>SUMIF(Предпосылки!$D$418:$BL$418,tables!AF199,Предпосылки!$D$419:$BL$419)</f>
        <v>0</v>
      </c>
      <c s="230">
        <f>SUMIF(Предпосылки!$D$418:$BL$418,tables!AG199,Предпосылки!$D$419:$BL$419)</f>
        <v>0</v>
      </c>
      <c s="230">
        <f>SUMIF(Предпосылки!$D$418:$BL$418,tables!AH199,Предпосылки!$D$419:$BL$419)</f>
        <v>0</v>
      </c>
      <c s="230">
        <f>SUMIF(Предпосылки!$D$418:$BL$418,tables!AI199,Предпосылки!$D$419:$BL$419)</f>
        <v>0</v>
      </c>
      <c s="230">
        <f>SUMIF(Предпосылки!$D$418:$BL$418,tables!AJ199,Предпосылки!$D$419:$BL$419)</f>
        <v>0</v>
      </c>
      <c s="230">
        <f>SUMIF(Предпосылки!$D$418:$BL$418,tables!AK199,Предпосылки!$D$419:$BL$419)</f>
        <v>0</v>
      </c>
      <c s="230">
        <f>SUMIF(Предпосылки!$D$418:$BL$418,tables!AL199,Предпосылки!$D$419:$BL$419)</f>
        <v>0</v>
      </c>
      <c s="230">
        <f>SUMIF(Предпосылки!$D$418:$BL$418,tables!AM199,Предпосылки!$D$419:$BL$419)</f>
        <v>0</v>
      </c>
      <c s="230">
        <f>SUMIF(Предпосылки!$D$418:$BL$418,tables!AN199,Предпосылки!$D$419:$BL$419)</f>
        <v>0</v>
      </c>
      <c s="230">
        <f>SUMIF(Предпосылки!$D$418:$BL$418,tables!AO199,Предпосылки!$D$419:$BL$419)</f>
        <v>0</v>
      </c>
      <c s="230">
        <f>SUMIF(Предпосылки!$D$418:$BL$418,tables!AP199,Предпосылки!$D$419:$BL$419)</f>
        <v>0</v>
      </c>
      <c s="230">
        <f>SUMIF(Предпосылки!$D$418:$BL$418,tables!AQ199,Предпосылки!$D$419:$BL$419)</f>
        <v>0</v>
      </c>
      <c s="230">
        <f>SUMIF(Предпосылки!$D$418:$BL$418,tables!AR199,Предпосылки!$D$419:$BL$419)</f>
        <v>0</v>
      </c>
      <c s="230">
        <f>SUMIF(Предпосылки!$D$418:$BL$418,tables!AS199,Предпосылки!$D$419:$BL$419)</f>
        <v>0</v>
      </c>
      <c s="230">
        <f>SUMIF(Предпосылки!$D$418:$BL$418,tables!AT199,Предпосылки!$D$419:$BL$419)</f>
        <v>0</v>
      </c>
      <c s="230">
        <f>SUMIF(Предпосылки!$D$418:$BL$418,tables!AU199,Предпосылки!$D$419:$BL$419)</f>
        <v>0</v>
      </c>
      <c s="230">
        <f>SUMIF(Предпосылки!$D$418:$BL$418,tables!AV199,Предпосылки!$D$419:$BL$419)</f>
        <v>0</v>
      </c>
      <c s="230">
        <f>SUMIF(Предпосылки!$D$418:$BL$418,tables!AW199,Предпосылки!$D$419:$BL$419)</f>
        <v>0</v>
      </c>
      <c s="230">
        <f>SUMIF(Предпосылки!$D$418:$BL$418,tables!AX199,Предпосылки!$D$419:$BL$419)</f>
        <v>0</v>
      </c>
      <c s="230">
        <f>SUMIF(Предпосылки!$D$418:$BL$418,tables!AY199,Предпосылки!$D$419:$BL$419)</f>
        <v>0</v>
      </c>
      <c s="230">
        <f>SUMIF(Предпосылки!$D$418:$BL$418,tables!AZ199,Предпосылки!$D$419:$BL$419)</f>
        <v>0</v>
      </c>
      <c s="230">
        <f>SUMIF(Предпосылки!$D$418:$BL$418,tables!BA199,Предпосылки!$D$419:$BL$419)</f>
        <v>0</v>
      </c>
      <c s="230">
        <f>SUMIF(Предпосылки!$D$418:$BL$418,tables!BB199,Предпосылки!$D$419:$BL$419)</f>
        <v>0</v>
      </c>
      <c s="230">
        <f>SUMIF(Предпосылки!$D$418:$BL$418,tables!BC199,Предпосылки!$D$419:$BL$419)</f>
        <v>0</v>
      </c>
      <c s="230">
        <f>SUMIF(Предпосылки!$D$418:$BL$418,tables!BD199,Предпосылки!$D$419:$BL$419)</f>
        <v>0</v>
      </c>
      <c s="230">
        <f>SUMIF(Предпосылки!$D$418:$BL$418,tables!BE199,Предпосылки!$D$419:$BL$419)</f>
        <v>0</v>
      </c>
      <c s="230">
        <f>SUMIF(Предпосылки!$D$418:$BL$418,tables!BF199,Предпосылки!$D$419:$BL$419)</f>
        <v>0</v>
      </c>
      <c s="230">
        <f>SUMIF(Предпосылки!$D$418:$BL$418,tables!BG199,Предпосылки!$D$419:$BL$419)</f>
        <v>0</v>
      </c>
      <c s="230">
        <f>SUMIF(Предпосылки!$D$418:$BL$418,tables!BH199,Предпосылки!$D$419:$BL$419)</f>
        <v>0</v>
      </c>
      <c s="230">
        <f>SUMIF(Предпосылки!$D$418:$BL$418,tables!BI199,Предпосылки!$D$419:$BL$419)</f>
        <v>0</v>
      </c>
      <c s="230">
        <f>SUMIF(Предпосылки!$D$418:$BL$418,tables!BJ199,Предпосылки!$D$419:$BL$419)</f>
        <v>0</v>
      </c>
      <c s="230">
        <f>SUMIF(Предпосылки!$D$418:$BL$418,tables!BK199,Предпосылки!$D$419:$BL$419)</f>
        <v>0</v>
      </c>
    </row>
    <row r="204" spans="2:63" ht="13.9">
      <c r="B204" s="199" t="s">
        <v>1267</v>
      </c>
      <c s="230">
        <f>SUMIF(Предпосылки!$D$428:$BL$428,tables!C199,Предпосылки!$D$429:$BL$429)</f>
        <v>0</v>
      </c>
      <c s="230">
        <f>SUMIF(Предпосылки!$D$428:$BL$428,tables!D199,Предпосылки!$D$429:$BL$429)</f>
        <v>0</v>
      </c>
      <c s="230">
        <f>SUMIF(Предпосылки!$D$428:$BL$428,tables!E199,Предпосылки!$D$429:$BL$429)</f>
        <v>0</v>
      </c>
      <c s="230">
        <f>SUMIF(Предпосылки!$D$428:$BL$428,tables!F199,Предпосылки!$D$429:$BL$429)</f>
        <v>0</v>
      </c>
      <c s="230">
        <f>SUMIF(Предпосылки!$D$428:$BL$428,tables!G199,Предпосылки!$D$429:$BL$429)</f>
        <v>0</v>
      </c>
      <c s="230">
        <f>SUMIF(Предпосылки!$D$428:$BL$428,tables!H199,Предпосылки!$D$429:$BL$429)</f>
        <v>0</v>
      </c>
      <c s="230">
        <f>SUMIF(Предпосылки!$D$428:$BL$428,tables!I199,Предпосылки!$D$429:$BL$429)</f>
        <v>0</v>
      </c>
      <c s="230">
        <f>SUMIF(Предпосылки!$D$428:$BL$428,tables!J199,Предпосылки!$D$429:$BL$429)</f>
        <v>0</v>
      </c>
      <c s="230">
        <f>SUMIF(Предпосылки!$D$428:$BL$428,tables!K199,Предпосылки!$D$429:$BL$429)</f>
        <v>0</v>
      </c>
      <c s="230">
        <f>SUMIF(Предпосылки!$D$428:$BL$428,tables!L199,Предпосылки!$D$429:$BL$429)</f>
        <v>0</v>
      </c>
      <c s="230">
        <f>SUMIF(Предпосылки!$D$428:$BL$428,tables!M199,Предпосылки!$D$429:$BL$429)</f>
        <v>0</v>
      </c>
      <c s="230">
        <f>SUMIF(Предпосылки!$D$428:$BL$428,tables!N199,Предпосылки!$D$429:$BL$429)</f>
        <v>0</v>
      </c>
      <c s="230">
        <f>SUMIF(Предпосылки!$D$428:$BL$428,tables!O199,Предпосылки!$D$429:$BL$429)</f>
        <v>0</v>
      </c>
      <c s="230">
        <f>SUMIF(Предпосылки!$D$428:$BL$428,tables!P199,Предпосылки!$D$429:$BL$429)</f>
        <v>0</v>
      </c>
      <c s="230">
        <f>SUMIF(Предпосылки!$D$428:$BL$428,tables!Q199,Предпосылки!$D$429:$BL$429)</f>
        <v>0</v>
      </c>
      <c s="230">
        <f>SUMIF(Предпосылки!$D$428:$BL$428,tables!R199,Предпосылки!$D$429:$BL$429)</f>
        <v>0</v>
      </c>
      <c s="230">
        <f>SUMIF(Предпосылки!$D$428:$BL$428,tables!S199,Предпосылки!$D$429:$BL$429)</f>
        <v>0</v>
      </c>
      <c s="230">
        <f>SUMIF(Предпосылки!$D$428:$BL$428,tables!T199,Предпосылки!$D$429:$BL$429)</f>
        <v>0</v>
      </c>
      <c s="230">
        <f>SUMIF(Предпосылки!$D$428:$BL$428,tables!U199,Предпосылки!$D$429:$BL$429)</f>
        <v>0</v>
      </c>
      <c s="230">
        <f>SUMIF(Предпосылки!$D$428:$BL$428,tables!V199,Предпосылки!$D$429:$BL$429)</f>
        <v>0</v>
      </c>
      <c s="230">
        <f>SUMIF(Предпосылки!$D$428:$BL$428,tables!W199,Предпосылки!$D$429:$BL$429)</f>
        <v>0</v>
      </c>
      <c s="230">
        <f>SUMIF(Предпосылки!$D$428:$BL$428,tables!X199,Предпосылки!$D$429:$BL$429)</f>
        <v>0</v>
      </c>
      <c s="230">
        <f>SUMIF(Предпосылки!$D$428:$BL$428,tables!Y199,Предпосылки!$D$429:$BL$429)</f>
        <v>0</v>
      </c>
      <c s="230">
        <f>SUMIF(Предпосылки!$D$428:$BL$428,tables!Z199,Предпосылки!$D$429:$BL$429)</f>
        <v>0</v>
      </c>
      <c s="230">
        <f>SUMIF(Предпосылки!$D$428:$BL$428,tables!AA199,Предпосылки!$D$429:$BL$429)</f>
        <v>0</v>
      </c>
      <c s="230">
        <f>SUMIF(Предпосылки!$D$428:$BL$428,tables!AB199,Предпосылки!$D$429:$BL$429)</f>
        <v>0</v>
      </c>
      <c s="230">
        <f>SUMIF(Предпосылки!$D$428:$BL$428,tables!AC199,Предпосылки!$D$429:$BL$429)</f>
        <v>0</v>
      </c>
      <c s="230">
        <f>SUMIF(Предпосылки!$D$428:$BL$428,tables!AD199,Предпосылки!$D$429:$BL$429)</f>
        <v>0</v>
      </c>
      <c s="230">
        <f>SUMIF(Предпосылки!$D$428:$BL$428,tables!AE199,Предпосылки!$D$429:$BL$429)</f>
        <v>0</v>
      </c>
      <c s="230">
        <f>SUMIF(Предпосылки!$D$428:$BL$428,tables!AF199,Предпосылки!$D$429:$BL$429)</f>
        <v>0</v>
      </c>
      <c s="230">
        <f>SUMIF(Предпосылки!$D$428:$BL$428,tables!AG199,Предпосылки!$D$429:$BL$429)</f>
        <v>0</v>
      </c>
      <c s="230">
        <f>SUMIF(Предпосылки!$D$428:$BL$428,tables!AH199,Предпосылки!$D$429:$BL$429)</f>
        <v>0</v>
      </c>
      <c s="230">
        <f>SUMIF(Предпосылки!$D$428:$BL$428,tables!AI199,Предпосылки!$D$429:$BL$429)</f>
        <v>0</v>
      </c>
      <c s="230">
        <f>SUMIF(Предпосылки!$D$428:$BL$428,tables!AJ199,Предпосылки!$D$429:$BL$429)</f>
        <v>0</v>
      </c>
      <c s="230">
        <f>SUMIF(Предпосылки!$D$428:$BL$428,tables!AK199,Предпосылки!$D$429:$BL$429)</f>
        <v>0</v>
      </c>
      <c s="230">
        <f>SUMIF(Предпосылки!$D$428:$BL$428,tables!AL199,Предпосылки!$D$429:$BL$429)</f>
        <v>0</v>
      </c>
      <c s="230">
        <f>SUMIF(Предпосылки!$D$428:$BL$428,tables!AM199,Предпосылки!$D$429:$BL$429)</f>
        <v>0</v>
      </c>
      <c s="230">
        <f>SUMIF(Предпосылки!$D$428:$BL$428,tables!AN199,Предпосылки!$D$429:$BL$429)</f>
        <v>0</v>
      </c>
      <c s="230">
        <f>SUMIF(Предпосылки!$D$428:$BL$428,tables!AO199,Предпосылки!$D$429:$BL$429)</f>
        <v>0</v>
      </c>
      <c s="230">
        <f>SUMIF(Предпосылки!$D$428:$BL$428,tables!AP199,Предпосылки!$D$429:$BL$429)</f>
        <v>0</v>
      </c>
      <c s="230">
        <f>SUMIF(Предпосылки!$D$428:$BL$428,tables!AQ199,Предпосылки!$D$429:$BL$429)</f>
        <v>0</v>
      </c>
      <c s="230">
        <f>SUMIF(Предпосылки!$D$428:$BL$428,tables!AR199,Предпосылки!$D$429:$BL$429)</f>
        <v>0</v>
      </c>
      <c s="230">
        <f>SUMIF(Предпосылки!$D$428:$BL$428,tables!AS199,Предпосылки!$D$429:$BL$429)</f>
        <v>0</v>
      </c>
      <c s="230">
        <f>SUMIF(Предпосылки!$D$428:$BL$428,tables!AT199,Предпосылки!$D$429:$BL$429)</f>
        <v>0</v>
      </c>
      <c s="230">
        <f>SUMIF(Предпосылки!$D$428:$BL$428,tables!AU199,Предпосылки!$D$429:$BL$429)</f>
        <v>0</v>
      </c>
      <c s="230">
        <f>SUMIF(Предпосылки!$D$428:$BL$428,tables!AV199,Предпосылки!$D$429:$BL$429)</f>
        <v>0</v>
      </c>
      <c s="230">
        <f>SUMIF(Предпосылки!$D$428:$BL$428,tables!AW199,Предпосылки!$D$429:$BL$429)</f>
        <v>0</v>
      </c>
      <c s="230">
        <f>SUMIF(Предпосылки!$D$428:$BL$428,tables!AX199,Предпосылки!$D$429:$BL$429)</f>
        <v>0</v>
      </c>
      <c s="230">
        <f>SUMIF(Предпосылки!$D$428:$BL$428,tables!AY199,Предпосылки!$D$429:$BL$429)</f>
        <v>0</v>
      </c>
      <c s="230">
        <f>SUMIF(Предпосылки!$D$428:$BL$428,tables!AZ199,Предпосылки!$D$429:$BL$429)</f>
        <v>0</v>
      </c>
      <c s="230">
        <f>SUMIF(Предпосылки!$D$428:$BL$428,tables!BA199,Предпосылки!$D$429:$BL$429)</f>
        <v>0</v>
      </c>
      <c s="230">
        <f>SUMIF(Предпосылки!$D$428:$BL$428,tables!BB199,Предпосылки!$D$429:$BL$429)</f>
        <v>0</v>
      </c>
      <c s="230">
        <f>SUMIF(Предпосылки!$D$428:$BL$428,tables!BC199,Предпосылки!$D$429:$BL$429)</f>
        <v>0</v>
      </c>
      <c s="230">
        <f>SUMIF(Предпосылки!$D$428:$BL$428,tables!BD199,Предпосылки!$D$429:$BL$429)</f>
        <v>0</v>
      </c>
      <c s="230">
        <f>SUMIF(Предпосылки!$D$428:$BL$428,tables!BE199,Предпосылки!$D$429:$BL$429)</f>
        <v>0</v>
      </c>
      <c s="230">
        <f>SUMIF(Предпосылки!$D$428:$BL$428,tables!BF199,Предпосылки!$D$429:$BL$429)</f>
        <v>0</v>
      </c>
      <c s="230">
        <f>SUMIF(Предпосылки!$D$428:$BL$428,tables!BG199,Предпосылки!$D$429:$BL$429)</f>
        <v>0</v>
      </c>
      <c s="230">
        <f>SUMIF(Предпосылки!$D$428:$BL$428,tables!BH199,Предпосылки!$D$429:$BL$429)</f>
        <v>0</v>
      </c>
      <c s="230">
        <f>SUMIF(Предпосылки!$D$428:$BL$428,tables!BI199,Предпосылки!$D$429:$BL$429)</f>
        <v>0</v>
      </c>
      <c s="230">
        <f>SUMIF(Предпосылки!$D$428:$BL$428,tables!BJ199,Предпосылки!$D$429:$BL$429)</f>
        <v>0</v>
      </c>
      <c s="230">
        <f>SUMIF(Предпосылки!$D$428:$BL$428,tables!BK199,Предпосылки!$D$429:$BL$429)</f>
        <v>0</v>
      </c>
    </row>
    <row r="205" spans="2:63" ht="13.9">
      <c r="B205" s="199" t="s">
        <v>1268</v>
      </c>
      <c s="230">
        <f>C204+C203+C202+C201-C200</f>
        <v>0</v>
      </c>
      <c s="230">
        <f>D204+D203+D202+D201-D200+C205</f>
        <v>0</v>
      </c>
      <c s="230">
        <f t="shared" si="22" ref="E205:BK205">E204+E203+E202+E201-E200+D205</f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  <c s="230">
        <f t="shared" si="22"/>
        <v>0</v>
      </c>
    </row>
    <row r="208" spans="7:7" ht="13.9">
      <c r="G208" s="212" t="s">
        <v>1269</v>
      </c>
    </row>
    <row r="209" spans="2:63" ht="13.9">
      <c r="B209" s="199" t="s">
        <v>1270</v>
      </c>
      <c s="220">
        <f>'Капитальные вложения'!E8</f>
        <v>45747</v>
      </c>
      <c s="220">
        <f>'Капитальные вложения'!F8</f>
        <v>45838</v>
      </c>
      <c s="220">
        <f>'Капитальные вложения'!G8</f>
        <v>45930</v>
      </c>
      <c s="220">
        <f>'Капитальные вложения'!H8</f>
        <v>46022</v>
      </c>
      <c s="220">
        <f>'Капитальные вложения'!I8</f>
        <v>46112</v>
      </c>
      <c s="220">
        <f>'Капитальные вложения'!J8</f>
        <v>46203</v>
      </c>
      <c s="220">
        <f>'Капитальные вложения'!K8</f>
        <v>46295</v>
      </c>
      <c s="220">
        <f>'Капитальные вложения'!L8</f>
        <v>46387</v>
      </c>
      <c s="220">
        <f>'Капитальные вложения'!M8</f>
        <v>46477</v>
      </c>
      <c s="220">
        <f>'Капитальные вложения'!N8</f>
        <v>46568</v>
      </c>
      <c s="220">
        <f>'Капитальные вложения'!O8</f>
        <v>46660</v>
      </c>
      <c s="220">
        <f>'Капитальные вложения'!P8</f>
        <v>46752</v>
      </c>
      <c s="220">
        <f>'Капитальные вложения'!Q8</f>
        <v>46843</v>
      </c>
      <c s="220">
        <f>'Капитальные вложения'!R8</f>
        <v>46934</v>
      </c>
      <c s="220">
        <f>'Капитальные вложения'!S8</f>
        <v>47026</v>
      </c>
      <c s="220">
        <f>'Капитальные вложения'!T8</f>
        <v>47118</v>
      </c>
      <c s="220">
        <f>'Капитальные вложения'!U8</f>
        <v>47208</v>
      </c>
      <c s="220">
        <f>'Капитальные вложения'!V8</f>
        <v>47299</v>
      </c>
      <c s="220">
        <f>'Капитальные вложения'!W8</f>
        <v>47391</v>
      </c>
      <c s="220">
        <f>'Капитальные вложения'!X8</f>
        <v>47483</v>
      </c>
      <c s="220">
        <f>'Капитальные вложения'!Y8</f>
        <v>47573</v>
      </c>
      <c s="220">
        <f>'Капитальные вложения'!Z8</f>
        <v>47664</v>
      </c>
      <c s="220">
        <f>'Капитальные вложения'!AA8</f>
        <v>47756</v>
      </c>
      <c s="220">
        <f>'Капитальные вложения'!AB8</f>
        <v>47848</v>
      </c>
      <c s="220">
        <f>'Капитальные вложения'!AC8</f>
        <v>47938</v>
      </c>
      <c s="220">
        <f>'Капитальные вложения'!AD8</f>
        <v>48029</v>
      </c>
      <c s="220">
        <f>'Капитальные вложения'!AE8</f>
        <v>48121</v>
      </c>
      <c s="220">
        <f>'Капитальные вложения'!AF8</f>
        <v>48213</v>
      </c>
      <c s="220">
        <f>'Капитальные вложения'!AG8</f>
        <v>48304</v>
      </c>
      <c s="220">
        <f>'Капитальные вложения'!AH8</f>
        <v>48395</v>
      </c>
      <c s="220">
        <f>'Капитальные вложения'!AI8</f>
        <v>48487</v>
      </c>
      <c s="220">
        <f>'Капитальные вложения'!AJ8</f>
        <v>48579</v>
      </c>
      <c s="220">
        <f>'Капитальные вложения'!AK8</f>
        <v>48669</v>
      </c>
      <c s="220">
        <f>'Капитальные вложения'!AL8</f>
        <v>48760</v>
      </c>
      <c s="220">
        <f>'Капитальные вложения'!AM8</f>
        <v>48852</v>
      </c>
      <c s="220">
        <f>'Капитальные вложения'!AN8</f>
        <v>48944</v>
      </c>
      <c s="220">
        <f>'Капитальные вложения'!AO8</f>
        <v>49034</v>
      </c>
      <c s="220">
        <f>'Капитальные вложения'!AP8</f>
        <v>49125</v>
      </c>
      <c s="220">
        <f>'Капитальные вложения'!AQ8</f>
        <v>49217</v>
      </c>
      <c s="220">
        <f>'Капитальные вложения'!AR8</f>
        <v>49309</v>
      </c>
      <c s="220">
        <f>'Капитальные вложения'!AS8</f>
        <v>49399</v>
      </c>
      <c s="220">
        <f>'Капитальные вложения'!AT8</f>
        <v>49490</v>
      </c>
      <c s="220">
        <f>'Капитальные вложения'!AU8</f>
        <v>49582</v>
      </c>
      <c s="220">
        <f>'Капитальные вложения'!AV8</f>
        <v>49674</v>
      </c>
      <c s="220">
        <f>'Капитальные вложения'!AW8</f>
        <v>49765</v>
      </c>
      <c s="220">
        <f>'Капитальные вложения'!AX8</f>
        <v>49856</v>
      </c>
      <c s="220">
        <f>'Капитальные вложения'!AY8</f>
        <v>49948</v>
      </c>
      <c s="220">
        <f>'Капитальные вложения'!AZ8</f>
        <v>50040</v>
      </c>
      <c s="220">
        <f>'Капитальные вложения'!BA8</f>
        <v>50130</v>
      </c>
      <c s="220">
        <f>'Капитальные вложения'!BB8</f>
        <v>50221</v>
      </c>
      <c s="220">
        <f>'Капитальные вложения'!BC8</f>
        <v>50313</v>
      </c>
      <c s="220">
        <f>'Капитальные вложения'!BD8</f>
        <v>50405</v>
      </c>
      <c s="220">
        <f>'Капитальные вложения'!BE8</f>
        <v>50495</v>
      </c>
      <c s="220">
        <f>'Капитальные вложения'!BF8</f>
        <v>50586</v>
      </c>
      <c s="220">
        <f>'Капитальные вложения'!BG8</f>
        <v>50678</v>
      </c>
      <c s="220">
        <f>'Капитальные вложения'!BH8</f>
        <v>50770</v>
      </c>
      <c s="220">
        <f>'Капитальные вложения'!BI8</f>
        <v>50860</v>
      </c>
      <c s="220">
        <f>'Капитальные вложения'!BJ8</f>
        <v>50951</v>
      </c>
      <c s="220">
        <f>'Капитальные вложения'!BK8</f>
        <v>51043</v>
      </c>
      <c s="220">
        <f>'Капитальные вложения'!BL8</f>
        <v>51135</v>
      </c>
      <c s="220">
        <f>'Капитальные вложения'!BM8</f>
        <v>51226</v>
      </c>
    </row>
    <row r="210" spans="2:63" ht="13.9">
      <c r="B210" s="233" t="str">
        <f>'Квартальная отчетность'!B117</f>
        <v>Выручка</v>
      </c>
      <c s="235">
        <f>'Квартальная отчетность'!E117</f>
        <v>0</v>
      </c>
      <c s="235">
        <f>'Квартальная отчетность'!F117</f>
        <v>0</v>
      </c>
      <c s="235">
        <f>'Квартальная отчетность'!G117</f>
        <v>0</v>
      </c>
      <c s="235">
        <f>'Квартальная отчетность'!H117</f>
        <v>0</v>
      </c>
      <c s="235">
        <f>'Квартальная отчетность'!I117</f>
        <v>0</v>
      </c>
      <c s="235">
        <f>'Квартальная отчетность'!J117</f>
        <v>0</v>
      </c>
      <c s="235">
        <f>'Квартальная отчетность'!K117</f>
        <v>0</v>
      </c>
      <c s="235">
        <f>'Квартальная отчетность'!L117</f>
        <v>0</v>
      </c>
      <c s="235">
        <f>'Квартальная отчетность'!M117</f>
        <v>0</v>
      </c>
      <c s="235">
        <f>'Квартальная отчетность'!N117</f>
        <v>0</v>
      </c>
      <c s="235">
        <f>'Квартальная отчетность'!O117</f>
        <v>0</v>
      </c>
      <c s="235">
        <f>'Квартальная отчетность'!P117</f>
        <v>0</v>
      </c>
      <c s="235">
        <f>'Квартальная отчетность'!Q117</f>
        <v>0</v>
      </c>
      <c s="235">
        <f>'Квартальная отчетность'!R117</f>
        <v>0</v>
      </c>
      <c s="235">
        <f>'Квартальная отчетность'!S117</f>
        <v>0</v>
      </c>
      <c s="235">
        <f>'Квартальная отчетность'!T117</f>
        <v>0</v>
      </c>
      <c s="235">
        <f>'Квартальная отчетность'!U117</f>
        <v>0</v>
      </c>
      <c s="235">
        <f>'Квартальная отчетность'!V117</f>
        <v>0</v>
      </c>
      <c s="235">
        <f>'Квартальная отчетность'!W117</f>
        <v>0</v>
      </c>
      <c s="235">
        <f>'Квартальная отчетность'!X117</f>
        <v>0</v>
      </c>
      <c s="235">
        <f>'Квартальная отчетность'!Y117</f>
        <v>0</v>
      </c>
      <c s="235">
        <f>'Квартальная отчетность'!Z117</f>
        <v>0</v>
      </c>
      <c s="235">
        <f>'Квартальная отчетность'!AA117</f>
        <v>0</v>
      </c>
      <c s="235">
        <f>'Квартальная отчетность'!AB117</f>
        <v>0</v>
      </c>
      <c s="235">
        <f>'Квартальная отчетность'!AC117</f>
        <v>0</v>
      </c>
      <c s="235">
        <f>'Квартальная отчетность'!AD117</f>
        <v>0</v>
      </c>
      <c s="235">
        <f>'Квартальная отчетность'!AE117</f>
        <v>0</v>
      </c>
      <c s="235">
        <f>'Квартальная отчетность'!AF117</f>
        <v>0</v>
      </c>
      <c s="235">
        <f>'Квартальная отчетность'!AG117</f>
        <v>0</v>
      </c>
      <c s="235">
        <f>'Квартальная отчетность'!AH117</f>
        <v>0</v>
      </c>
      <c s="235">
        <f>'Квартальная отчетность'!AI117</f>
        <v>0</v>
      </c>
      <c s="235">
        <f>'Квартальная отчетность'!AJ117</f>
        <v>0</v>
      </c>
      <c s="235">
        <f>'Квартальная отчетность'!AK117</f>
        <v>0</v>
      </c>
      <c s="235">
        <f>'Квартальная отчетность'!AL117</f>
        <v>0</v>
      </c>
      <c s="235">
        <f>'Квартальная отчетность'!AM117</f>
        <v>0</v>
      </c>
      <c s="235">
        <f>'Квартальная отчетность'!AN117</f>
        <v>0</v>
      </c>
      <c s="235">
        <f>'Квартальная отчетность'!AO117</f>
        <v>0</v>
      </c>
      <c s="235">
        <f>'Квартальная отчетность'!AP117</f>
        <v>0</v>
      </c>
      <c s="235">
        <f>'Квартальная отчетность'!AQ117</f>
        <v>0</v>
      </c>
      <c s="235">
        <f>'Квартальная отчетность'!AR117</f>
        <v>0</v>
      </c>
      <c s="235">
        <f>'Квартальная отчетность'!AS117</f>
        <v>0</v>
      </c>
      <c s="235">
        <f>'Квартальная отчетность'!AT117</f>
        <v>0</v>
      </c>
      <c s="235">
        <f>'Квартальная отчетность'!AU117</f>
        <v>0</v>
      </c>
      <c s="235">
        <f>'Квартальная отчетность'!AV117</f>
        <v>0</v>
      </c>
      <c s="235">
        <f>'Квартальная отчетность'!AW117</f>
        <v>0</v>
      </c>
      <c s="235">
        <f>'Квартальная отчетность'!AX117</f>
        <v>0</v>
      </c>
      <c s="235">
        <f>'Квартальная отчетность'!AY117</f>
        <v>0</v>
      </c>
      <c s="235">
        <f>'Квартальная отчетность'!AZ117</f>
        <v>0</v>
      </c>
      <c s="235">
        <f>'Квартальная отчетность'!BA117</f>
        <v>0</v>
      </c>
      <c s="235">
        <f>'Квартальная отчетность'!BB117</f>
        <v>0</v>
      </c>
      <c s="235">
        <f>'Квартальная отчетность'!BC117</f>
        <v>0</v>
      </c>
      <c s="235">
        <f>'Квартальная отчетность'!BD117</f>
        <v>0</v>
      </c>
      <c s="235">
        <f>'Квартальная отчетность'!BE117</f>
        <v>0</v>
      </c>
      <c s="235">
        <f>'Квартальная отчетность'!BF117</f>
        <v>0</v>
      </c>
      <c s="235">
        <f>'Квартальная отчетность'!BG117</f>
        <v>0</v>
      </c>
      <c s="235">
        <f>'Квартальная отчетность'!BH117</f>
        <v>0</v>
      </c>
      <c s="235">
        <f>'Квартальная отчетность'!BI117</f>
        <v>0</v>
      </c>
      <c s="235">
        <f>'Квартальная отчетность'!BJ117</f>
        <v>0</v>
      </c>
      <c s="235">
        <f>'Квартальная отчетность'!BK117</f>
        <v>0</v>
      </c>
      <c s="235">
        <f>'Квартальная отчетность'!BL117</f>
        <v>0</v>
      </c>
      <c s="235">
        <f>'Квартальная отчетность'!BM117</f>
        <v>0</v>
      </c>
    </row>
    <row r="211" spans="2:63" ht="13.9">
      <c r="B211" s="199" t="s">
        <v>1218</v>
      </c>
      <c s="236" t="s">
        <v>1271</v>
      </c>
      <c s="237" t="e">
        <f>D210/C210-1</f>
        <v>#DIV/0!</v>
      </c>
      <c s="237" t="e">
        <f t="shared" si="23" ref="E211:BK211">E210/D210-1</f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  <c s="237" t="e">
        <f t="shared" si="23"/>
        <v>#DIV/0!</v>
      </c>
    </row>
    <row r="212" spans="2:63" ht="13.9">
      <c r="B212" s="233" t="str">
        <f>'Квартальная отчетность'!B118</f>
        <v>Себестоимость продаж (-)</v>
      </c>
      <c s="235">
        <f>'Квартальная отчетность'!E118</f>
        <v>0</v>
      </c>
      <c s="235">
        <f>'Квартальная отчетность'!F118</f>
        <v>0</v>
      </c>
      <c s="235">
        <f>'Квартальная отчетность'!G118</f>
        <v>0</v>
      </c>
      <c s="235">
        <f>'Квартальная отчетность'!H118</f>
        <v>0</v>
      </c>
      <c s="235">
        <f>'Квартальная отчетность'!I118</f>
        <v>0</v>
      </c>
      <c s="235">
        <f>'Квартальная отчетность'!J118</f>
        <v>0</v>
      </c>
      <c s="235">
        <f>'Квартальная отчетность'!K118</f>
        <v>0</v>
      </c>
      <c s="235">
        <f>'Квартальная отчетность'!L118</f>
        <v>0</v>
      </c>
      <c s="235">
        <f>'Квартальная отчетность'!M118</f>
        <v>0</v>
      </c>
      <c s="235">
        <f>'Квартальная отчетность'!N118</f>
        <v>0</v>
      </c>
      <c s="235">
        <f>'Квартальная отчетность'!O118</f>
        <v>0</v>
      </c>
      <c s="235">
        <f>'Квартальная отчетность'!P118</f>
        <v>0</v>
      </c>
      <c s="235">
        <f>'Квартальная отчетность'!Q118</f>
        <v>0</v>
      </c>
      <c s="235">
        <f>'Квартальная отчетность'!R118</f>
        <v>0</v>
      </c>
      <c s="235">
        <f>'Квартальная отчетность'!S118</f>
        <v>0</v>
      </c>
      <c s="235">
        <f>'Квартальная отчетность'!T118</f>
        <v>0</v>
      </c>
      <c s="235">
        <f>'Квартальная отчетность'!U118</f>
        <v>0</v>
      </c>
      <c s="235">
        <f>'Квартальная отчетность'!V118</f>
        <v>0</v>
      </c>
      <c s="235">
        <f>'Квартальная отчетность'!W118</f>
        <v>0</v>
      </c>
      <c s="235">
        <f>'Квартальная отчетность'!X118</f>
        <v>0</v>
      </c>
      <c s="235">
        <f>'Квартальная отчетность'!Y118</f>
        <v>0</v>
      </c>
      <c s="235">
        <f>'Квартальная отчетность'!Z118</f>
        <v>0</v>
      </c>
      <c s="235">
        <f>'Квартальная отчетность'!AA118</f>
        <v>0</v>
      </c>
      <c s="235">
        <f>'Квартальная отчетность'!AB118</f>
        <v>0</v>
      </c>
      <c s="235">
        <f>'Квартальная отчетность'!AC118</f>
        <v>0</v>
      </c>
      <c s="235">
        <f>'Квартальная отчетность'!AD118</f>
        <v>0</v>
      </c>
      <c s="235">
        <f>'Квартальная отчетность'!AE118</f>
        <v>0</v>
      </c>
      <c s="235">
        <f>'Квартальная отчетность'!AF118</f>
        <v>0</v>
      </c>
      <c s="235">
        <f>'Квартальная отчетность'!AG118</f>
        <v>0</v>
      </c>
      <c s="235">
        <f>'Квартальная отчетность'!AH118</f>
        <v>0</v>
      </c>
      <c s="235">
        <f>'Квартальная отчетность'!AI118</f>
        <v>0</v>
      </c>
      <c s="235">
        <f>'Квартальная отчетность'!AJ118</f>
        <v>0</v>
      </c>
      <c s="235">
        <f>'Квартальная отчетность'!AK118</f>
        <v>0</v>
      </c>
      <c s="235">
        <f>'Квартальная отчетность'!AL118</f>
        <v>0</v>
      </c>
      <c s="235">
        <f>'Квартальная отчетность'!AM118</f>
        <v>0</v>
      </c>
      <c s="235">
        <f>'Квартальная отчетность'!AN118</f>
        <v>0</v>
      </c>
      <c s="235">
        <f>'Квартальная отчетность'!AO118</f>
        <v>0</v>
      </c>
      <c s="235">
        <f>'Квартальная отчетность'!AP118</f>
        <v>0</v>
      </c>
      <c s="235">
        <f>'Квартальная отчетность'!AQ118</f>
        <v>0</v>
      </c>
      <c s="235">
        <f>'Квартальная отчетность'!AR118</f>
        <v>0</v>
      </c>
      <c s="235">
        <f>'Квартальная отчетность'!AS118</f>
        <v>0</v>
      </c>
      <c s="235">
        <f>'Квартальная отчетность'!AT118</f>
        <v>0</v>
      </c>
      <c s="235">
        <f>'Квартальная отчетность'!AU118</f>
        <v>0</v>
      </c>
      <c s="235">
        <f>'Квартальная отчетность'!AV118</f>
        <v>0</v>
      </c>
      <c s="235">
        <f>'Квартальная отчетность'!AW118</f>
        <v>0</v>
      </c>
      <c s="235">
        <f>'Квартальная отчетность'!AX118</f>
        <v>0</v>
      </c>
      <c s="235">
        <f>'Квартальная отчетность'!AY118</f>
        <v>0</v>
      </c>
      <c s="235">
        <f>'Квартальная отчетность'!AZ118</f>
        <v>0</v>
      </c>
      <c s="235">
        <f>'Квартальная отчетность'!BA118</f>
        <v>0</v>
      </c>
      <c s="235">
        <f>'Квартальная отчетность'!BB118</f>
        <v>0</v>
      </c>
      <c s="235">
        <f>'Квартальная отчетность'!BC118</f>
        <v>0</v>
      </c>
      <c s="235">
        <f>'Квартальная отчетность'!BD118</f>
        <v>0</v>
      </c>
      <c s="235">
        <f>'Квартальная отчетность'!BE118</f>
        <v>0</v>
      </c>
      <c s="235">
        <f>'Квартальная отчетность'!BF118</f>
        <v>0</v>
      </c>
      <c s="235">
        <f>'Квартальная отчетность'!BG118</f>
        <v>0</v>
      </c>
      <c s="235">
        <f>'Квартальная отчетность'!BH118</f>
        <v>0</v>
      </c>
      <c s="235">
        <f>'Квартальная отчетность'!BI118</f>
        <v>0</v>
      </c>
      <c s="235">
        <f>'Квартальная отчетность'!BJ118</f>
        <v>0</v>
      </c>
      <c s="235">
        <f>'Квартальная отчетность'!BK118</f>
        <v>0</v>
      </c>
      <c s="235">
        <f>'Квартальная отчетность'!BL118</f>
        <v>0</v>
      </c>
      <c s="235">
        <f>'Квартальная отчетность'!BM118</f>
        <v>0</v>
      </c>
    </row>
    <row r="213" spans="2:63" ht="13.9">
      <c r="B213" s="233" t="str">
        <f>'Квартальная отчетность'!B119</f>
        <v>Валовая прибыль (убыток)</v>
      </c>
      <c s="235">
        <f>'Квартальная отчетность'!E119</f>
        <v>0</v>
      </c>
      <c s="235">
        <f>'Квартальная отчетность'!F119</f>
        <v>0</v>
      </c>
      <c s="235">
        <f>'Квартальная отчетность'!G119</f>
        <v>0</v>
      </c>
      <c s="235">
        <f>'Квартальная отчетность'!H119</f>
        <v>0</v>
      </c>
      <c s="235">
        <f>'Квартальная отчетность'!I119</f>
        <v>0</v>
      </c>
      <c s="235">
        <f>'Квартальная отчетность'!J119</f>
        <v>0</v>
      </c>
      <c s="235">
        <f>'Квартальная отчетность'!K119</f>
        <v>0</v>
      </c>
      <c s="235">
        <f>'Квартальная отчетность'!L119</f>
        <v>0</v>
      </c>
      <c s="235">
        <f>'Квартальная отчетность'!M119</f>
        <v>0</v>
      </c>
      <c s="235">
        <f>'Квартальная отчетность'!N119</f>
        <v>0</v>
      </c>
      <c s="235">
        <f>'Квартальная отчетность'!O119</f>
        <v>0</v>
      </c>
      <c s="235">
        <f>'Квартальная отчетность'!P119</f>
        <v>0</v>
      </c>
      <c s="235">
        <f>'Квартальная отчетность'!Q119</f>
        <v>0</v>
      </c>
      <c s="235">
        <f>'Квартальная отчетность'!R119</f>
        <v>0</v>
      </c>
      <c s="235">
        <f>'Квартальная отчетность'!S119</f>
        <v>0</v>
      </c>
      <c s="235">
        <f>'Квартальная отчетность'!T119</f>
        <v>0</v>
      </c>
      <c s="235">
        <f>'Квартальная отчетность'!U119</f>
        <v>0</v>
      </c>
      <c s="235">
        <f>'Квартальная отчетность'!V119</f>
        <v>0</v>
      </c>
      <c s="235">
        <f>'Квартальная отчетность'!W119</f>
        <v>0</v>
      </c>
      <c s="235">
        <f>'Квартальная отчетность'!X119</f>
        <v>0</v>
      </c>
      <c s="235">
        <f>'Квартальная отчетность'!Y119</f>
        <v>0</v>
      </c>
      <c s="235">
        <f>'Квартальная отчетность'!Z119</f>
        <v>0</v>
      </c>
      <c s="235">
        <f>'Квартальная отчетность'!AA119</f>
        <v>0</v>
      </c>
      <c s="235">
        <f>'Квартальная отчетность'!AB119</f>
        <v>0</v>
      </c>
      <c s="235">
        <f>'Квартальная отчетность'!AC119</f>
        <v>0</v>
      </c>
      <c s="235">
        <f>'Квартальная отчетность'!AD119</f>
        <v>0</v>
      </c>
      <c s="235">
        <f>'Квартальная отчетность'!AE119</f>
        <v>0</v>
      </c>
      <c s="235">
        <f>'Квартальная отчетность'!AF119</f>
        <v>0</v>
      </c>
      <c s="235">
        <f>'Квартальная отчетность'!AG119</f>
        <v>0</v>
      </c>
      <c s="235">
        <f>'Квартальная отчетность'!AH119</f>
        <v>0</v>
      </c>
      <c s="235">
        <f>'Квартальная отчетность'!AI119</f>
        <v>0</v>
      </c>
      <c s="235">
        <f>'Квартальная отчетность'!AJ119</f>
        <v>0</v>
      </c>
      <c s="235">
        <f>'Квартальная отчетность'!AK119</f>
        <v>0</v>
      </c>
      <c s="235">
        <f>'Квартальная отчетность'!AL119</f>
        <v>0</v>
      </c>
      <c s="235">
        <f>'Квартальная отчетность'!AM119</f>
        <v>0</v>
      </c>
      <c s="235">
        <f>'Квартальная отчетность'!AN119</f>
        <v>0</v>
      </c>
      <c s="235">
        <f>'Квартальная отчетность'!AO119</f>
        <v>0</v>
      </c>
      <c s="235">
        <f>'Квартальная отчетность'!AP119</f>
        <v>0</v>
      </c>
      <c s="235">
        <f>'Квартальная отчетность'!AQ119</f>
        <v>0</v>
      </c>
      <c s="235">
        <f>'Квартальная отчетность'!AR119</f>
        <v>0</v>
      </c>
      <c s="235">
        <f>'Квартальная отчетность'!AS119</f>
        <v>0</v>
      </c>
      <c s="235">
        <f>'Квартальная отчетность'!AT119</f>
        <v>0</v>
      </c>
      <c s="235">
        <f>'Квартальная отчетность'!AU119</f>
        <v>0</v>
      </c>
      <c s="235">
        <f>'Квартальная отчетность'!AV119</f>
        <v>0</v>
      </c>
      <c s="235">
        <f>'Квартальная отчетность'!AW119</f>
        <v>0</v>
      </c>
      <c s="235">
        <f>'Квартальная отчетность'!AX119</f>
        <v>0</v>
      </c>
      <c s="235">
        <f>'Квартальная отчетность'!AY119</f>
        <v>0</v>
      </c>
      <c s="235">
        <f>'Квартальная отчетность'!AZ119</f>
        <v>0</v>
      </c>
      <c s="235">
        <f>'Квартальная отчетность'!BA119</f>
        <v>0</v>
      </c>
      <c s="235">
        <f>'Квартальная отчетность'!BB119</f>
        <v>0</v>
      </c>
      <c s="235">
        <f>'Квартальная отчетность'!BC119</f>
        <v>0</v>
      </c>
      <c s="235">
        <f>'Квартальная отчетность'!BD119</f>
        <v>0</v>
      </c>
      <c s="235">
        <f>'Квартальная отчетность'!BE119</f>
        <v>0</v>
      </c>
      <c s="235">
        <f>'Квартальная отчетность'!BF119</f>
        <v>0</v>
      </c>
      <c s="235">
        <f>'Квартальная отчетность'!BG119</f>
        <v>0</v>
      </c>
      <c s="235">
        <f>'Квартальная отчетность'!BH119</f>
        <v>0</v>
      </c>
      <c s="235">
        <f>'Квартальная отчетность'!BI119</f>
        <v>0</v>
      </c>
      <c s="235">
        <f>'Квартальная отчетность'!BJ119</f>
        <v>0</v>
      </c>
      <c s="235">
        <f>'Квартальная отчетность'!BK119</f>
        <v>0</v>
      </c>
      <c s="235">
        <f>'Квартальная отчетность'!BL119</f>
        <v>0</v>
      </c>
      <c s="235">
        <f>'Квартальная отчетность'!BM119</f>
        <v>0</v>
      </c>
    </row>
    <row r="214" spans="2:63" ht="13.9">
      <c r="B214" s="199" t="s">
        <v>1020</v>
      </c>
      <c s="237" t="e">
        <f>C213/C210</f>
        <v>#DIV/0!</v>
      </c>
      <c s="237" t="e">
        <f t="shared" si="24" ref="D214:BK214">D213/D210</f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  <c s="237" t="e">
        <f t="shared" si="24"/>
        <v>#DIV/0!</v>
      </c>
    </row>
    <row r="215" spans="2:63" ht="13.9">
      <c r="B215" s="233" t="str">
        <f>'Квартальная отчетность'!B121</f>
        <v>Коммерческие расходы (-)</v>
      </c>
      <c s="235">
        <f>'Квартальная отчетность'!E121</f>
        <v>0</v>
      </c>
      <c s="235">
        <f>'Квартальная отчетность'!F121</f>
        <v>0</v>
      </c>
      <c s="235">
        <f>'Квартальная отчетность'!G121</f>
        <v>0</v>
      </c>
      <c s="235">
        <f>'Квартальная отчетность'!H121</f>
        <v>0</v>
      </c>
      <c s="235">
        <f>'Квартальная отчетность'!I121</f>
        <v>0</v>
      </c>
      <c s="235">
        <f>'Квартальная отчетность'!J121</f>
        <v>0</v>
      </c>
      <c s="235">
        <f>'Квартальная отчетность'!K121</f>
        <v>0</v>
      </c>
      <c s="235">
        <f>'Квартальная отчетность'!L121</f>
        <v>0</v>
      </c>
      <c s="235">
        <f>'Квартальная отчетность'!M121</f>
        <v>0</v>
      </c>
      <c s="235">
        <f>'Квартальная отчетность'!N121</f>
        <v>0</v>
      </c>
      <c s="235">
        <f>'Квартальная отчетность'!O121</f>
        <v>0</v>
      </c>
      <c s="235">
        <f>'Квартальная отчетность'!P121</f>
        <v>0</v>
      </c>
      <c s="235">
        <f>'Квартальная отчетность'!Q121</f>
        <v>0</v>
      </c>
      <c s="235">
        <f>'Квартальная отчетность'!R121</f>
        <v>0</v>
      </c>
      <c s="235">
        <f>'Квартальная отчетность'!S121</f>
        <v>0</v>
      </c>
      <c s="235">
        <f>'Квартальная отчетность'!T121</f>
        <v>0</v>
      </c>
      <c s="235">
        <f>'Квартальная отчетность'!U121</f>
        <v>0</v>
      </c>
      <c s="235">
        <f>'Квартальная отчетность'!V121</f>
        <v>0</v>
      </c>
      <c s="235">
        <f>'Квартальная отчетность'!W121</f>
        <v>0</v>
      </c>
      <c s="235">
        <f>'Квартальная отчетность'!X121</f>
        <v>0</v>
      </c>
      <c s="235">
        <f>'Квартальная отчетность'!Y121</f>
        <v>0</v>
      </c>
      <c s="235">
        <f>'Квартальная отчетность'!Z121</f>
        <v>0</v>
      </c>
      <c s="235">
        <f>'Квартальная отчетность'!AA121</f>
        <v>0</v>
      </c>
      <c s="235">
        <f>'Квартальная отчетность'!AB121</f>
        <v>0</v>
      </c>
      <c s="235">
        <f>'Квартальная отчетность'!AC121</f>
        <v>0</v>
      </c>
      <c s="235">
        <f>'Квартальная отчетность'!AD121</f>
        <v>0</v>
      </c>
      <c s="235">
        <f>'Квартальная отчетность'!AE121</f>
        <v>0</v>
      </c>
      <c s="235">
        <f>'Квартальная отчетность'!AF121</f>
        <v>0</v>
      </c>
      <c s="235">
        <f>'Квартальная отчетность'!AG121</f>
        <v>0</v>
      </c>
      <c s="235">
        <f>'Квартальная отчетность'!AH121</f>
        <v>0</v>
      </c>
      <c s="235">
        <f>'Квартальная отчетность'!AI121</f>
        <v>0</v>
      </c>
      <c s="235">
        <f>'Квартальная отчетность'!AJ121</f>
        <v>0</v>
      </c>
      <c s="235">
        <f>'Квартальная отчетность'!AK121</f>
        <v>0</v>
      </c>
      <c s="235">
        <f>'Квартальная отчетность'!AL121</f>
        <v>0</v>
      </c>
      <c s="235">
        <f>'Квартальная отчетность'!AM121</f>
        <v>0</v>
      </c>
      <c s="235">
        <f>'Квартальная отчетность'!AN121</f>
        <v>0</v>
      </c>
      <c s="235">
        <f>'Квартальная отчетность'!AO121</f>
        <v>0</v>
      </c>
      <c s="235">
        <f>'Квартальная отчетность'!AP121</f>
        <v>0</v>
      </c>
      <c s="235">
        <f>'Квартальная отчетность'!AQ121</f>
        <v>0</v>
      </c>
      <c s="235">
        <f>'Квартальная отчетность'!AR121</f>
        <v>0</v>
      </c>
      <c s="235">
        <f>'Квартальная отчетность'!AS121</f>
        <v>0</v>
      </c>
      <c s="235">
        <f>'Квартальная отчетность'!AT121</f>
        <v>0</v>
      </c>
      <c s="235">
        <f>'Квартальная отчетность'!AU121</f>
        <v>0</v>
      </c>
      <c s="235">
        <f>'Квартальная отчетность'!AV121</f>
        <v>0</v>
      </c>
      <c s="235">
        <f>'Квартальная отчетность'!AW121</f>
        <v>0</v>
      </c>
      <c s="235">
        <f>'Квартальная отчетность'!AX121</f>
        <v>0</v>
      </c>
      <c s="235">
        <f>'Квартальная отчетность'!AY121</f>
        <v>0</v>
      </c>
      <c s="235">
        <f>'Квартальная отчетность'!AZ121</f>
        <v>0</v>
      </c>
      <c s="235">
        <f>'Квартальная отчетность'!BA121</f>
        <v>0</v>
      </c>
      <c s="235">
        <f>'Квартальная отчетность'!BB121</f>
        <v>0</v>
      </c>
      <c s="235">
        <f>'Квартальная отчетность'!BC121</f>
        <v>0</v>
      </c>
      <c s="235">
        <f>'Квартальная отчетность'!BD121</f>
        <v>0</v>
      </c>
      <c s="235">
        <f>'Квартальная отчетность'!BE121</f>
        <v>0</v>
      </c>
      <c s="235">
        <f>'Квартальная отчетность'!BF121</f>
        <v>0</v>
      </c>
      <c s="235">
        <f>'Квартальная отчетность'!BG121</f>
        <v>0</v>
      </c>
      <c s="235">
        <f>'Квартальная отчетность'!BH121</f>
        <v>0</v>
      </c>
      <c s="235">
        <f>'Квартальная отчетность'!BI121</f>
        <v>0</v>
      </c>
      <c s="235">
        <f>'Квартальная отчетность'!BJ121</f>
        <v>0</v>
      </c>
      <c s="235">
        <f>'Квартальная отчетность'!BK121</f>
        <v>0</v>
      </c>
      <c s="235">
        <f>'Квартальная отчетность'!BL121</f>
        <v>0</v>
      </c>
      <c s="235">
        <f>'Квартальная отчетность'!BM121</f>
        <v>0</v>
      </c>
    </row>
    <row r="216" spans="2:63" ht="13.9">
      <c r="B216" s="233" t="str">
        <f>'Квартальная отчетность'!B122</f>
        <v>Управленческие расходы (-)</v>
      </c>
      <c s="235">
        <f>'Квартальная отчетность'!E122</f>
        <v>0</v>
      </c>
      <c s="235">
        <f>'Квартальная отчетность'!F122</f>
        <v>0</v>
      </c>
      <c s="235">
        <f>'Квартальная отчетность'!G122</f>
        <v>0</v>
      </c>
      <c s="235">
        <f>'Квартальная отчетность'!H122</f>
        <v>0</v>
      </c>
      <c s="235">
        <f>'Квартальная отчетность'!I122</f>
        <v>0</v>
      </c>
      <c s="235">
        <f>'Квартальная отчетность'!J122</f>
        <v>0</v>
      </c>
      <c s="235">
        <f>'Квартальная отчетность'!K122</f>
        <v>0</v>
      </c>
      <c s="235">
        <f>'Квартальная отчетность'!L122</f>
        <v>0</v>
      </c>
      <c s="235">
        <f>'Квартальная отчетность'!M122</f>
        <v>0</v>
      </c>
      <c s="235">
        <f>'Квартальная отчетность'!N122</f>
        <v>0</v>
      </c>
      <c s="235">
        <f>'Квартальная отчетность'!O122</f>
        <v>0</v>
      </c>
      <c s="235">
        <f>'Квартальная отчетность'!P122</f>
        <v>0</v>
      </c>
      <c s="235">
        <f>'Квартальная отчетность'!Q122</f>
        <v>0</v>
      </c>
      <c s="235">
        <f>'Квартальная отчетность'!R122</f>
        <v>0</v>
      </c>
      <c s="235">
        <f>'Квартальная отчетность'!S122</f>
        <v>0</v>
      </c>
      <c s="235">
        <f>'Квартальная отчетность'!T122</f>
        <v>0</v>
      </c>
      <c s="235">
        <f>'Квартальная отчетность'!U122</f>
        <v>0</v>
      </c>
      <c s="235">
        <f>'Квартальная отчетность'!V122</f>
        <v>0</v>
      </c>
      <c s="235">
        <f>'Квартальная отчетность'!W122</f>
        <v>0</v>
      </c>
      <c s="235">
        <f>'Квартальная отчетность'!X122</f>
        <v>0</v>
      </c>
      <c s="235">
        <f>'Квартальная отчетность'!Y122</f>
        <v>0</v>
      </c>
      <c s="235">
        <f>'Квартальная отчетность'!Z122</f>
        <v>0</v>
      </c>
      <c s="235">
        <f>'Квартальная отчетность'!AA122</f>
        <v>0</v>
      </c>
      <c s="235">
        <f>'Квартальная отчетность'!AB122</f>
        <v>0</v>
      </c>
      <c s="235">
        <f>'Квартальная отчетность'!AC122</f>
        <v>0</v>
      </c>
      <c s="235">
        <f>'Квартальная отчетность'!AD122</f>
        <v>0</v>
      </c>
      <c s="235">
        <f>'Квартальная отчетность'!AE122</f>
        <v>0</v>
      </c>
      <c s="235">
        <f>'Квартальная отчетность'!AF122</f>
        <v>0</v>
      </c>
      <c s="235">
        <f>'Квартальная отчетность'!AG122</f>
        <v>0</v>
      </c>
      <c s="235">
        <f>'Квартальная отчетность'!AH122</f>
        <v>0</v>
      </c>
      <c s="235">
        <f>'Квартальная отчетность'!AI122</f>
        <v>0</v>
      </c>
      <c s="235">
        <f>'Квартальная отчетность'!AJ122</f>
        <v>0</v>
      </c>
      <c s="235">
        <f>'Квартальная отчетность'!AK122</f>
        <v>0</v>
      </c>
      <c s="235">
        <f>'Квартальная отчетность'!AL122</f>
        <v>0</v>
      </c>
      <c s="235">
        <f>'Квартальная отчетность'!AM122</f>
        <v>0</v>
      </c>
      <c s="235">
        <f>'Квартальная отчетность'!AN122</f>
        <v>0</v>
      </c>
      <c s="235">
        <f>'Квартальная отчетность'!AO122</f>
        <v>0</v>
      </c>
      <c s="235">
        <f>'Квартальная отчетность'!AP122</f>
        <v>0</v>
      </c>
      <c s="235">
        <f>'Квартальная отчетность'!AQ122</f>
        <v>0</v>
      </c>
      <c s="235">
        <f>'Квартальная отчетность'!AR122</f>
        <v>0</v>
      </c>
      <c s="235">
        <f>'Квартальная отчетность'!AS122</f>
        <v>0</v>
      </c>
      <c s="235">
        <f>'Квартальная отчетность'!AT122</f>
        <v>0</v>
      </c>
      <c s="235">
        <f>'Квартальная отчетность'!AU122</f>
        <v>0</v>
      </c>
      <c s="235">
        <f>'Квартальная отчетность'!AV122</f>
        <v>0</v>
      </c>
      <c s="235">
        <f>'Квартальная отчетность'!AW122</f>
        <v>0</v>
      </c>
      <c s="235">
        <f>'Квартальная отчетность'!AX122</f>
        <v>0</v>
      </c>
      <c s="235">
        <f>'Квартальная отчетность'!AY122</f>
        <v>0</v>
      </c>
      <c s="235">
        <f>'Квартальная отчетность'!AZ122</f>
        <v>0</v>
      </c>
      <c s="235">
        <f>'Квартальная отчетность'!BA122</f>
        <v>0</v>
      </c>
      <c s="235">
        <f>'Квартальная отчетность'!BB122</f>
        <v>0</v>
      </c>
      <c s="235">
        <f>'Квартальная отчетность'!BC122</f>
        <v>0</v>
      </c>
      <c s="235">
        <f>'Квартальная отчетность'!BD122</f>
        <v>0</v>
      </c>
      <c s="235">
        <f>'Квартальная отчетность'!BE122</f>
        <v>0</v>
      </c>
      <c s="235">
        <f>'Квартальная отчетность'!BF122</f>
        <v>0</v>
      </c>
      <c s="235">
        <f>'Квартальная отчетность'!BG122</f>
        <v>0</v>
      </c>
      <c s="235">
        <f>'Квартальная отчетность'!BH122</f>
        <v>0</v>
      </c>
      <c s="235">
        <f>'Квартальная отчетность'!BI122</f>
        <v>0</v>
      </c>
      <c s="235">
        <f>'Квартальная отчетность'!BJ122</f>
        <v>0</v>
      </c>
      <c s="235">
        <f>'Квартальная отчетность'!BK122</f>
        <v>0</v>
      </c>
      <c s="235">
        <f>'Квартальная отчетность'!BL122</f>
        <v>0</v>
      </c>
      <c s="235">
        <f>'Квартальная отчетность'!BM122</f>
        <v>0</v>
      </c>
    </row>
    <row r="217" spans="2:63" ht="13.9">
      <c r="B217" s="233" t="str">
        <f>'Квартальная отчетность'!B123</f>
        <v>Прибыль (убыток) от продаж</v>
      </c>
      <c s="235">
        <f>'Квартальная отчетность'!E123</f>
        <v>0</v>
      </c>
      <c s="235">
        <f>'Квартальная отчетность'!F123</f>
        <v>0</v>
      </c>
      <c s="235">
        <f>'Квартальная отчетность'!G123</f>
        <v>0</v>
      </c>
      <c s="235">
        <f>'Квартальная отчетность'!H123</f>
        <v>0</v>
      </c>
      <c s="235">
        <f>'Квартальная отчетность'!I123</f>
        <v>0</v>
      </c>
      <c s="235">
        <f>'Квартальная отчетность'!J123</f>
        <v>0</v>
      </c>
      <c s="235">
        <f>'Квартальная отчетность'!K123</f>
        <v>0</v>
      </c>
      <c s="235">
        <f>'Квартальная отчетность'!L123</f>
        <v>0</v>
      </c>
      <c s="235">
        <f>'Квартальная отчетность'!M123</f>
        <v>0</v>
      </c>
      <c s="235">
        <f>'Квартальная отчетность'!N123</f>
        <v>0</v>
      </c>
      <c s="235">
        <f>'Квартальная отчетность'!O123</f>
        <v>0</v>
      </c>
      <c s="235">
        <f>'Квартальная отчетность'!P123</f>
        <v>0</v>
      </c>
      <c s="235">
        <f>'Квартальная отчетность'!Q123</f>
        <v>0</v>
      </c>
      <c s="235">
        <f>'Квартальная отчетность'!R123</f>
        <v>0</v>
      </c>
      <c s="235">
        <f>'Квартальная отчетность'!S123</f>
        <v>0</v>
      </c>
      <c s="235">
        <f>'Квартальная отчетность'!T123</f>
        <v>0</v>
      </c>
      <c s="235">
        <f>'Квартальная отчетность'!U123</f>
        <v>0</v>
      </c>
      <c s="235">
        <f>'Квартальная отчетность'!V123</f>
        <v>0</v>
      </c>
      <c s="235">
        <f>'Квартальная отчетность'!W123</f>
        <v>0</v>
      </c>
      <c s="235">
        <f>'Квартальная отчетность'!X123</f>
        <v>0</v>
      </c>
      <c s="235">
        <f>'Квартальная отчетность'!Y123</f>
        <v>0</v>
      </c>
      <c s="235">
        <f>'Квартальная отчетность'!Z123</f>
        <v>0</v>
      </c>
      <c s="235">
        <f>'Квартальная отчетность'!AA123</f>
        <v>0</v>
      </c>
      <c s="235">
        <f>'Квартальная отчетность'!AB123</f>
        <v>0</v>
      </c>
      <c s="235">
        <f>'Квартальная отчетность'!AC123</f>
        <v>0</v>
      </c>
      <c s="235">
        <f>'Квартальная отчетность'!AD123</f>
        <v>0</v>
      </c>
      <c s="235">
        <f>'Квартальная отчетность'!AE123</f>
        <v>0</v>
      </c>
      <c s="235">
        <f>'Квартальная отчетность'!AF123</f>
        <v>0</v>
      </c>
      <c s="235">
        <f>'Квартальная отчетность'!AG123</f>
        <v>0</v>
      </c>
      <c s="235">
        <f>'Квартальная отчетность'!AH123</f>
        <v>0</v>
      </c>
      <c s="235">
        <f>'Квартальная отчетность'!AI123</f>
        <v>0</v>
      </c>
      <c s="235">
        <f>'Квартальная отчетность'!AJ123</f>
        <v>0</v>
      </c>
      <c s="235">
        <f>'Квартальная отчетность'!AK123</f>
        <v>0</v>
      </c>
      <c s="235">
        <f>'Квартальная отчетность'!AL123</f>
        <v>0</v>
      </c>
      <c s="235">
        <f>'Квартальная отчетность'!AM123</f>
        <v>0</v>
      </c>
      <c s="235">
        <f>'Квартальная отчетность'!AN123</f>
        <v>0</v>
      </c>
      <c s="235">
        <f>'Квартальная отчетность'!AO123</f>
        <v>0</v>
      </c>
      <c s="235">
        <f>'Квартальная отчетность'!AP123</f>
        <v>0</v>
      </c>
      <c s="235">
        <f>'Квартальная отчетность'!AQ123</f>
        <v>0</v>
      </c>
      <c s="235">
        <f>'Квартальная отчетность'!AR123</f>
        <v>0</v>
      </c>
      <c s="235">
        <f>'Квартальная отчетность'!AS123</f>
        <v>0</v>
      </c>
      <c s="235">
        <f>'Квартальная отчетность'!AT123</f>
        <v>0</v>
      </c>
      <c s="235">
        <f>'Квартальная отчетность'!AU123</f>
        <v>0</v>
      </c>
      <c s="235">
        <f>'Квартальная отчетность'!AV123</f>
        <v>0</v>
      </c>
      <c s="235">
        <f>'Квартальная отчетность'!AW123</f>
        <v>0</v>
      </c>
      <c s="235">
        <f>'Квартальная отчетность'!AX123</f>
        <v>0</v>
      </c>
      <c s="235">
        <f>'Квартальная отчетность'!AY123</f>
        <v>0</v>
      </c>
      <c s="235">
        <f>'Квартальная отчетность'!AZ123</f>
        <v>0</v>
      </c>
      <c s="235">
        <f>'Квартальная отчетность'!BA123</f>
        <v>0</v>
      </c>
      <c s="235">
        <f>'Квартальная отчетность'!BB123</f>
        <v>0</v>
      </c>
      <c s="235">
        <f>'Квартальная отчетность'!BC123</f>
        <v>0</v>
      </c>
      <c s="235">
        <f>'Квартальная отчетность'!BD123</f>
        <v>0</v>
      </c>
      <c s="235">
        <f>'Квартальная отчетность'!BE123</f>
        <v>0</v>
      </c>
      <c s="235">
        <f>'Квартальная отчетность'!BF123</f>
        <v>0</v>
      </c>
      <c s="235">
        <f>'Квартальная отчетность'!BG123</f>
        <v>0</v>
      </c>
      <c s="235">
        <f>'Квартальная отчетность'!BH123</f>
        <v>0</v>
      </c>
      <c s="235">
        <f>'Квартальная отчетность'!BI123</f>
        <v>0</v>
      </c>
      <c s="235">
        <f>'Квартальная отчетность'!BJ123</f>
        <v>0</v>
      </c>
      <c s="235">
        <f>'Квартальная отчетность'!BK123</f>
        <v>0</v>
      </c>
      <c s="235">
        <f>'Квартальная отчетность'!BL123</f>
        <v>0</v>
      </c>
      <c s="235">
        <f>'Квартальная отчетность'!BM123</f>
        <v>0</v>
      </c>
    </row>
    <row r="218" spans="2:63" ht="13.9">
      <c r="B218" s="199" t="s">
        <v>1021</v>
      </c>
      <c s="237" t="e">
        <f>C217/C210</f>
        <v>#DIV/0!</v>
      </c>
      <c s="237" t="e">
        <f t="shared" si="25" ref="D218:BK218">D217/D210</f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  <c s="237" t="e">
        <f t="shared" si="25"/>
        <v>#DIV/0!</v>
      </c>
    </row>
    <row r="219" spans="2:63" ht="13.9">
      <c r="B219" s="233" t="str">
        <f>Показатели!B230</f>
        <v>EBITDA (Текущая деятельность)</v>
      </c>
      <c s="235">
        <f>Показатели!E230</f>
        <v>0</v>
      </c>
      <c s="235">
        <f>Показатели!F230</f>
        <v>0</v>
      </c>
      <c s="235">
        <f>Показатели!G230</f>
        <v>0</v>
      </c>
      <c s="235">
        <f>Показатели!H230</f>
        <v>0</v>
      </c>
      <c s="235">
        <f>Показатели!I230</f>
        <v>0</v>
      </c>
      <c s="235">
        <f>Показатели!J230</f>
        <v>0</v>
      </c>
      <c s="235">
        <f>Показатели!K230</f>
        <v>0</v>
      </c>
      <c s="235">
        <f>Показатели!L230</f>
        <v>0</v>
      </c>
      <c s="235">
        <f>Показатели!M230</f>
        <v>0</v>
      </c>
      <c s="235">
        <f>Показатели!N230</f>
        <v>0</v>
      </c>
      <c s="235">
        <f>Показатели!O230</f>
        <v>0</v>
      </c>
      <c s="235">
        <f>Показатели!P230</f>
        <v>0</v>
      </c>
      <c s="235">
        <f>Показатели!Q230</f>
        <v>0</v>
      </c>
      <c s="235">
        <f>Показатели!R230</f>
        <v>0</v>
      </c>
      <c s="235">
        <f>Показатели!S230</f>
        <v>0</v>
      </c>
      <c s="235">
        <f>Показатели!T230</f>
        <v>0</v>
      </c>
      <c s="235">
        <f>Показатели!U230</f>
        <v>0</v>
      </c>
      <c s="235">
        <f>Показатели!V230</f>
        <v>0</v>
      </c>
      <c s="235">
        <f>Показатели!W230</f>
        <v>0</v>
      </c>
      <c s="235">
        <f>Показатели!X230</f>
        <v>0</v>
      </c>
      <c s="235">
        <f>Показатели!Y230</f>
        <v>0</v>
      </c>
      <c s="235">
        <f>Показатели!Z230</f>
        <v>0</v>
      </c>
      <c s="235">
        <f>Показатели!AA230</f>
        <v>0</v>
      </c>
      <c s="235">
        <f>Показатели!AB230</f>
        <v>0</v>
      </c>
      <c s="235">
        <f>Показатели!AC230</f>
        <v>0</v>
      </c>
      <c s="235">
        <f>Показатели!AD230</f>
        <v>0</v>
      </c>
      <c s="235">
        <f>Показатели!AE230</f>
        <v>0</v>
      </c>
      <c s="235">
        <f>Показатели!AF230</f>
        <v>0</v>
      </c>
      <c s="235">
        <f>Показатели!AG230</f>
        <v>0</v>
      </c>
      <c s="235">
        <f>Показатели!AH230</f>
        <v>0</v>
      </c>
      <c s="235">
        <f>Показатели!AI230</f>
        <v>0</v>
      </c>
      <c s="235">
        <f>Показатели!AJ230</f>
        <v>0</v>
      </c>
      <c s="235">
        <f>Показатели!AK230</f>
        <v>0</v>
      </c>
      <c s="235">
        <f>Показатели!AL230</f>
        <v>0</v>
      </c>
      <c s="235">
        <f>Показатели!AM230</f>
        <v>0</v>
      </c>
      <c s="235">
        <f>Показатели!AN230</f>
        <v>0</v>
      </c>
      <c s="235">
        <f>Показатели!AO230</f>
        <v>0</v>
      </c>
      <c s="235">
        <f>Показатели!AP230</f>
        <v>0</v>
      </c>
      <c s="235">
        <f>Показатели!AQ230</f>
        <v>0</v>
      </c>
      <c s="235">
        <f>Показатели!AR230</f>
        <v>0</v>
      </c>
      <c s="235">
        <f>Показатели!AS230</f>
        <v>0</v>
      </c>
      <c s="235">
        <f>Показатели!AT230</f>
        <v>0</v>
      </c>
      <c s="235">
        <f>Показатели!AU230</f>
        <v>0</v>
      </c>
      <c s="235">
        <f>Показатели!AV230</f>
        <v>0</v>
      </c>
      <c s="235">
        <f>Показатели!AW230</f>
        <v>0</v>
      </c>
      <c s="235">
        <f>Показатели!AX230</f>
        <v>0</v>
      </c>
      <c s="235">
        <f>Показатели!AY230</f>
        <v>0</v>
      </c>
      <c s="235">
        <f>Показатели!AZ230</f>
        <v>0</v>
      </c>
      <c s="235">
        <f>Показатели!BA230</f>
        <v>0</v>
      </c>
      <c s="235">
        <f>Показатели!BB230</f>
        <v>0</v>
      </c>
      <c s="235">
        <f>Показатели!BC230</f>
        <v>0</v>
      </c>
      <c s="235">
        <f>Показатели!BD230</f>
        <v>0</v>
      </c>
      <c s="235">
        <f>Показатели!BE230</f>
        <v>0</v>
      </c>
      <c s="235">
        <f>Показатели!BF230</f>
        <v>0</v>
      </c>
      <c s="235">
        <f>Показатели!BG230</f>
        <v>0</v>
      </c>
      <c s="235">
        <f>Показатели!BH230</f>
        <v>0</v>
      </c>
      <c s="235">
        <f>Показатели!BI230</f>
        <v>0</v>
      </c>
      <c s="235">
        <f>Показатели!BJ230</f>
        <v>0</v>
      </c>
      <c s="235">
        <f>Показатели!BK230</f>
        <v>0</v>
      </c>
      <c s="235">
        <f>Показатели!BL230</f>
        <v>0</v>
      </c>
      <c s="235">
        <f>Показатели!BM230</f>
        <v>0</v>
      </c>
    </row>
    <row r="220" spans="2:63" ht="13.9">
      <c r="B220" s="199" t="s">
        <v>1025</v>
      </c>
      <c s="237" t="e">
        <f>C219/C210</f>
        <v>#DIV/0!</v>
      </c>
      <c s="237" t="e">
        <f t="shared" si="26" ref="D220:BK220">D219/D210</f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  <c s="237" t="e">
        <f t="shared" si="26"/>
        <v>#DIV/0!</v>
      </c>
    </row>
    <row r="221" spans="2:63" ht="13.9">
      <c r="B221" s="233" t="str">
        <f>'Квартальная отчетность'!B125</f>
        <v>Доходы от участия в других организациях</v>
      </c>
      <c s="235">
        <f>'Квартальная отчетность'!E125</f>
        <v>0</v>
      </c>
      <c s="235">
        <f>'Квартальная отчетность'!F125</f>
        <v>0</v>
      </c>
      <c s="235">
        <f>'Квартальная отчетность'!G125</f>
        <v>0</v>
      </c>
      <c s="235">
        <f>'Квартальная отчетность'!H125</f>
        <v>0</v>
      </c>
      <c s="235">
        <f>'Квартальная отчетность'!I125</f>
        <v>0</v>
      </c>
      <c s="235">
        <f>'Квартальная отчетность'!J125</f>
        <v>0</v>
      </c>
      <c s="235">
        <f>'Квартальная отчетность'!K125</f>
        <v>0</v>
      </c>
      <c s="235">
        <f>'Квартальная отчетность'!L125</f>
        <v>0</v>
      </c>
      <c s="235">
        <f>'Квартальная отчетность'!M125</f>
        <v>0</v>
      </c>
      <c s="235">
        <f>'Квартальная отчетность'!N125</f>
        <v>0</v>
      </c>
      <c s="235">
        <f>'Квартальная отчетность'!O125</f>
        <v>0</v>
      </c>
      <c s="235">
        <f>'Квартальная отчетность'!P125</f>
        <v>0</v>
      </c>
      <c s="235">
        <f>'Квартальная отчетность'!Q125</f>
        <v>0</v>
      </c>
      <c s="235">
        <f>'Квартальная отчетность'!R125</f>
        <v>0</v>
      </c>
      <c s="235">
        <f>'Квартальная отчетность'!S125</f>
        <v>0</v>
      </c>
      <c s="235">
        <f>'Квартальная отчетность'!T125</f>
        <v>0</v>
      </c>
      <c s="235">
        <f>'Квартальная отчетность'!U125</f>
        <v>0</v>
      </c>
      <c s="235">
        <f>'Квартальная отчетность'!V125</f>
        <v>0</v>
      </c>
      <c s="235">
        <f>'Квартальная отчетность'!W125</f>
        <v>0</v>
      </c>
      <c s="235">
        <f>'Квартальная отчетность'!X125</f>
        <v>0</v>
      </c>
      <c s="235">
        <f>'Квартальная отчетность'!Y125</f>
        <v>0</v>
      </c>
      <c s="235">
        <f>'Квартальная отчетность'!Z125</f>
        <v>0</v>
      </c>
      <c s="235">
        <f>'Квартальная отчетность'!AA125</f>
        <v>0</v>
      </c>
      <c s="235">
        <f>'Квартальная отчетность'!AB125</f>
        <v>0</v>
      </c>
      <c s="235">
        <f>'Квартальная отчетность'!AC125</f>
        <v>0</v>
      </c>
      <c s="235">
        <f>'Квартальная отчетность'!AD125</f>
        <v>0</v>
      </c>
      <c s="235">
        <f>'Квартальная отчетность'!AE125</f>
        <v>0</v>
      </c>
      <c s="235">
        <f>'Квартальная отчетность'!AF125</f>
        <v>0</v>
      </c>
      <c s="235">
        <f>'Квартальная отчетность'!AG125</f>
        <v>0</v>
      </c>
      <c s="235">
        <f>'Квартальная отчетность'!AH125</f>
        <v>0</v>
      </c>
      <c s="235">
        <f>'Квартальная отчетность'!AI125</f>
        <v>0</v>
      </c>
      <c s="235">
        <f>'Квартальная отчетность'!AJ125</f>
        <v>0</v>
      </c>
      <c s="235">
        <f>'Квартальная отчетность'!AK125</f>
        <v>0</v>
      </c>
      <c s="235">
        <f>'Квартальная отчетность'!AL125</f>
        <v>0</v>
      </c>
      <c s="235">
        <f>'Квартальная отчетность'!AM125</f>
        <v>0</v>
      </c>
      <c s="235">
        <f>'Квартальная отчетность'!AN125</f>
        <v>0</v>
      </c>
      <c s="235">
        <f>'Квартальная отчетность'!AO125</f>
        <v>0</v>
      </c>
      <c s="235">
        <f>'Квартальная отчетность'!AP125</f>
        <v>0</v>
      </c>
      <c s="235">
        <f>'Квартальная отчетность'!AQ125</f>
        <v>0</v>
      </c>
      <c s="235">
        <f>'Квартальная отчетность'!AR125</f>
        <v>0</v>
      </c>
      <c s="235">
        <f>'Квартальная отчетность'!AS125</f>
        <v>0</v>
      </c>
      <c s="235">
        <f>'Квартальная отчетность'!AT125</f>
        <v>0</v>
      </c>
      <c s="235">
        <f>'Квартальная отчетность'!AU125</f>
        <v>0</v>
      </c>
      <c s="235">
        <f>'Квартальная отчетность'!AV125</f>
        <v>0</v>
      </c>
      <c s="235">
        <f>'Квартальная отчетность'!AW125</f>
        <v>0</v>
      </c>
      <c s="235">
        <f>'Квартальная отчетность'!AX125</f>
        <v>0</v>
      </c>
      <c s="235">
        <f>'Квартальная отчетность'!AY125</f>
        <v>0</v>
      </c>
      <c s="235">
        <f>'Квартальная отчетность'!AZ125</f>
        <v>0</v>
      </c>
      <c s="235">
        <f>'Квартальная отчетность'!BA125</f>
        <v>0</v>
      </c>
      <c s="235">
        <f>'Квартальная отчетность'!BB125</f>
        <v>0</v>
      </c>
      <c s="235">
        <f>'Квартальная отчетность'!BC125</f>
        <v>0</v>
      </c>
      <c s="235">
        <f>'Квартальная отчетность'!BD125</f>
        <v>0</v>
      </c>
      <c s="235">
        <f>'Квартальная отчетность'!BE125</f>
        <v>0</v>
      </c>
      <c s="235">
        <f>'Квартальная отчетность'!BF125</f>
        <v>0</v>
      </c>
      <c s="235">
        <f>'Квартальная отчетность'!BG125</f>
        <v>0</v>
      </c>
      <c s="235">
        <f>'Квартальная отчетность'!BH125</f>
        <v>0</v>
      </c>
      <c s="235">
        <f>'Квартальная отчетность'!BI125</f>
        <v>0</v>
      </c>
      <c s="235">
        <f>'Квартальная отчетность'!BJ125</f>
        <v>0</v>
      </c>
      <c s="235">
        <f>'Квартальная отчетность'!BK125</f>
        <v>0</v>
      </c>
      <c s="235">
        <f>'Квартальная отчетность'!BL125</f>
        <v>0</v>
      </c>
      <c s="235">
        <f>'Квартальная отчетность'!BM125</f>
        <v>0</v>
      </c>
    </row>
    <row r="222" spans="2:63" ht="13.9">
      <c r="B222" s="233" t="str">
        <f>'Квартальная отчетность'!B126</f>
        <v>Проценты к получению</v>
      </c>
      <c s="235">
        <f>'Квартальная отчетность'!E126</f>
        <v>0</v>
      </c>
      <c s="235">
        <f>'Квартальная отчетность'!F126</f>
        <v>0</v>
      </c>
      <c s="235">
        <f>'Квартальная отчетность'!G126</f>
        <v>0</v>
      </c>
      <c s="235">
        <f>'Квартальная отчетность'!H126</f>
        <v>0</v>
      </c>
      <c s="235">
        <f>'Квартальная отчетность'!I126</f>
        <v>0</v>
      </c>
      <c s="235">
        <f>'Квартальная отчетность'!J126</f>
        <v>0</v>
      </c>
      <c s="235">
        <f>'Квартальная отчетность'!K126</f>
        <v>0</v>
      </c>
      <c s="235">
        <f>'Квартальная отчетность'!L126</f>
        <v>0</v>
      </c>
      <c s="235">
        <f>'Квартальная отчетность'!M126</f>
        <v>0</v>
      </c>
      <c s="235">
        <f>'Квартальная отчетность'!N126</f>
        <v>0</v>
      </c>
      <c s="235">
        <f>'Квартальная отчетность'!O126</f>
        <v>0</v>
      </c>
      <c s="235">
        <f>'Квартальная отчетность'!P126</f>
        <v>0</v>
      </c>
      <c s="235">
        <f>'Квартальная отчетность'!Q126</f>
        <v>0</v>
      </c>
      <c s="235">
        <f>'Квартальная отчетность'!R126</f>
        <v>0</v>
      </c>
      <c s="235">
        <f>'Квартальная отчетность'!S126</f>
        <v>0</v>
      </c>
      <c s="235">
        <f>'Квартальная отчетность'!T126</f>
        <v>0</v>
      </c>
      <c s="235">
        <f>'Квартальная отчетность'!U126</f>
        <v>0</v>
      </c>
      <c s="235">
        <f>'Квартальная отчетность'!V126</f>
        <v>0</v>
      </c>
      <c s="235">
        <f>'Квартальная отчетность'!W126</f>
        <v>0</v>
      </c>
      <c s="235">
        <f>'Квартальная отчетность'!X126</f>
        <v>0</v>
      </c>
      <c s="235">
        <f>'Квартальная отчетность'!Y126</f>
        <v>0</v>
      </c>
      <c s="235">
        <f>'Квартальная отчетность'!Z126</f>
        <v>0</v>
      </c>
      <c s="235">
        <f>'Квартальная отчетность'!AA126</f>
        <v>0</v>
      </c>
      <c s="235">
        <f>'Квартальная отчетность'!AB126</f>
        <v>0</v>
      </c>
      <c s="235">
        <f>'Квартальная отчетность'!AC126</f>
        <v>0</v>
      </c>
      <c s="235">
        <f>'Квартальная отчетность'!AD126</f>
        <v>0</v>
      </c>
      <c s="235">
        <f>'Квартальная отчетность'!AE126</f>
        <v>0</v>
      </c>
      <c s="235">
        <f>'Квартальная отчетность'!AF126</f>
        <v>0</v>
      </c>
      <c s="235">
        <f>'Квартальная отчетность'!AG126</f>
        <v>0</v>
      </c>
      <c s="235">
        <f>'Квартальная отчетность'!AH126</f>
        <v>0</v>
      </c>
      <c s="235">
        <f>'Квартальная отчетность'!AI126</f>
        <v>0</v>
      </c>
      <c s="235">
        <f>'Квартальная отчетность'!AJ126</f>
        <v>0</v>
      </c>
      <c s="235">
        <f>'Квартальная отчетность'!AK126</f>
        <v>0</v>
      </c>
      <c s="235">
        <f>'Квартальная отчетность'!AL126</f>
        <v>0</v>
      </c>
      <c s="235">
        <f>'Квартальная отчетность'!AM126</f>
        <v>0</v>
      </c>
      <c s="235">
        <f>'Квартальная отчетность'!AN126</f>
        <v>0</v>
      </c>
      <c s="235">
        <f>'Квартальная отчетность'!AO126</f>
        <v>0</v>
      </c>
      <c s="235">
        <f>'Квартальная отчетность'!AP126</f>
        <v>0</v>
      </c>
      <c s="235">
        <f>'Квартальная отчетность'!AQ126</f>
        <v>0</v>
      </c>
      <c s="235">
        <f>'Квартальная отчетность'!AR126</f>
        <v>0</v>
      </c>
      <c s="235">
        <f>'Квартальная отчетность'!AS126</f>
        <v>0</v>
      </c>
      <c s="235">
        <f>'Квартальная отчетность'!AT126</f>
        <v>0</v>
      </c>
      <c s="235">
        <f>'Квартальная отчетность'!AU126</f>
        <v>0</v>
      </c>
      <c s="235">
        <f>'Квартальная отчетность'!AV126</f>
        <v>0</v>
      </c>
      <c s="235">
        <f>'Квартальная отчетность'!AW126</f>
        <v>0</v>
      </c>
      <c s="235">
        <f>'Квартальная отчетность'!AX126</f>
        <v>0</v>
      </c>
      <c s="235">
        <f>'Квартальная отчетность'!AY126</f>
        <v>0</v>
      </c>
      <c s="235">
        <f>'Квартальная отчетность'!AZ126</f>
        <v>0</v>
      </c>
      <c s="235">
        <f>'Квартальная отчетность'!BA126</f>
        <v>0</v>
      </c>
      <c s="235">
        <f>'Квартальная отчетность'!BB126</f>
        <v>0</v>
      </c>
      <c s="235">
        <f>'Квартальная отчетность'!BC126</f>
        <v>0</v>
      </c>
      <c s="235">
        <f>'Квартальная отчетность'!BD126</f>
        <v>0</v>
      </c>
      <c s="235">
        <f>'Квартальная отчетность'!BE126</f>
        <v>0</v>
      </c>
      <c s="235">
        <f>'Квартальная отчетность'!BF126</f>
        <v>0</v>
      </c>
      <c s="235">
        <f>'Квартальная отчетность'!BG126</f>
        <v>0</v>
      </c>
      <c s="235">
        <f>'Квартальная отчетность'!BH126</f>
        <v>0</v>
      </c>
      <c s="235">
        <f>'Квартальная отчетность'!BI126</f>
        <v>0</v>
      </c>
      <c s="235">
        <f>'Квартальная отчетность'!BJ126</f>
        <v>0</v>
      </c>
      <c s="235">
        <f>'Квартальная отчетность'!BK126</f>
        <v>0</v>
      </c>
      <c s="235">
        <f>'Квартальная отчетность'!BL126</f>
        <v>0</v>
      </c>
      <c s="235">
        <f>'Квартальная отчетность'!BM126</f>
        <v>0</v>
      </c>
    </row>
    <row r="223" spans="2:63" ht="13.9">
      <c r="B223" s="233" t="str">
        <f>'Квартальная отчетность'!B127</f>
        <v>Проценты к уплате (-)</v>
      </c>
      <c s="235">
        <f>'Квартальная отчетность'!E127</f>
        <v>0</v>
      </c>
      <c s="235">
        <f>'Квартальная отчетность'!F127</f>
        <v>0</v>
      </c>
      <c s="235">
        <f>'Квартальная отчетность'!G127</f>
        <v>0</v>
      </c>
      <c s="235">
        <f>'Квартальная отчетность'!H127</f>
        <v>0</v>
      </c>
      <c s="235">
        <f>'Квартальная отчетность'!I127</f>
        <v>0</v>
      </c>
      <c s="235">
        <f>'Квартальная отчетность'!J127</f>
        <v>0</v>
      </c>
      <c s="235">
        <f>'Квартальная отчетность'!K127</f>
        <v>0</v>
      </c>
      <c s="235">
        <f>'Квартальная отчетность'!L127</f>
        <v>0</v>
      </c>
      <c s="235">
        <f>'Квартальная отчетность'!M127</f>
        <v>0</v>
      </c>
      <c s="235">
        <f>'Квартальная отчетность'!N127</f>
        <v>0</v>
      </c>
      <c s="235">
        <f>'Квартальная отчетность'!O127</f>
        <v>0</v>
      </c>
      <c s="235">
        <f>'Квартальная отчетность'!P127</f>
        <v>0</v>
      </c>
      <c s="235">
        <f>'Квартальная отчетность'!Q127</f>
        <v>0</v>
      </c>
      <c s="235">
        <f>'Квартальная отчетность'!R127</f>
        <v>0</v>
      </c>
      <c s="235">
        <f>'Квартальная отчетность'!S127</f>
        <v>0</v>
      </c>
      <c s="235">
        <f>'Квартальная отчетность'!T127</f>
        <v>0</v>
      </c>
      <c s="235">
        <f>'Квартальная отчетность'!U127</f>
        <v>0</v>
      </c>
      <c s="235">
        <f>'Квартальная отчетность'!V127</f>
        <v>0</v>
      </c>
      <c s="235">
        <f>'Квартальная отчетность'!W127</f>
        <v>0</v>
      </c>
      <c s="235">
        <f>'Квартальная отчетность'!X127</f>
        <v>0</v>
      </c>
      <c s="235">
        <f>'Квартальная отчетность'!Y127</f>
        <v>0</v>
      </c>
      <c s="235">
        <f>'Квартальная отчетность'!Z127</f>
        <v>0</v>
      </c>
      <c s="235">
        <f>'Квартальная отчетность'!AA127</f>
        <v>0</v>
      </c>
      <c s="235">
        <f>'Квартальная отчетность'!AB127</f>
        <v>0</v>
      </c>
      <c s="235">
        <f>'Квартальная отчетность'!AC127</f>
        <v>0</v>
      </c>
      <c s="235">
        <f>'Квартальная отчетность'!AD127</f>
        <v>0</v>
      </c>
      <c s="235">
        <f>'Квартальная отчетность'!AE127</f>
        <v>0</v>
      </c>
      <c s="235">
        <f>'Квартальная отчетность'!AF127</f>
        <v>0</v>
      </c>
      <c s="235">
        <f>'Квартальная отчетность'!AG127</f>
        <v>0</v>
      </c>
      <c s="235">
        <f>'Квартальная отчетность'!AH127</f>
        <v>0</v>
      </c>
      <c s="235">
        <f>'Квартальная отчетность'!AI127</f>
        <v>0</v>
      </c>
      <c s="235">
        <f>'Квартальная отчетность'!AJ127</f>
        <v>0</v>
      </c>
      <c s="235">
        <f>'Квартальная отчетность'!AK127</f>
        <v>0</v>
      </c>
      <c s="235">
        <f>'Квартальная отчетность'!AL127</f>
        <v>0</v>
      </c>
      <c s="235">
        <f>'Квартальная отчетность'!AM127</f>
        <v>0</v>
      </c>
      <c s="235">
        <f>'Квартальная отчетность'!AN127</f>
        <v>0</v>
      </c>
      <c s="235">
        <f>'Квартальная отчетность'!AO127</f>
        <v>0</v>
      </c>
      <c s="235">
        <f>'Квартальная отчетность'!AP127</f>
        <v>0</v>
      </c>
      <c s="235">
        <f>'Квартальная отчетность'!AQ127</f>
        <v>0</v>
      </c>
      <c s="235">
        <f>'Квартальная отчетность'!AR127</f>
        <v>0</v>
      </c>
      <c s="235">
        <f>'Квартальная отчетность'!AS127</f>
        <v>0</v>
      </c>
      <c s="235">
        <f>'Квартальная отчетность'!AT127</f>
        <v>0</v>
      </c>
      <c s="235">
        <f>'Квартальная отчетность'!AU127</f>
        <v>0</v>
      </c>
      <c s="235">
        <f>'Квартальная отчетность'!AV127</f>
        <v>0</v>
      </c>
      <c s="235">
        <f>'Квартальная отчетность'!AW127</f>
        <v>0</v>
      </c>
      <c s="235">
        <f>'Квартальная отчетность'!AX127</f>
        <v>0</v>
      </c>
      <c s="235">
        <f>'Квартальная отчетность'!AY127</f>
        <v>0</v>
      </c>
      <c s="235">
        <f>'Квартальная отчетность'!AZ127</f>
        <v>0</v>
      </c>
      <c s="235">
        <f>'Квартальная отчетность'!BA127</f>
        <v>0</v>
      </c>
      <c s="235">
        <f>'Квартальная отчетность'!BB127</f>
        <v>0</v>
      </c>
      <c s="235">
        <f>'Квартальная отчетность'!BC127</f>
        <v>0</v>
      </c>
      <c s="235">
        <f>'Квартальная отчетность'!BD127</f>
        <v>0</v>
      </c>
      <c s="235">
        <f>'Квартальная отчетность'!BE127</f>
        <v>0</v>
      </c>
      <c s="235">
        <f>'Квартальная отчетность'!BF127</f>
        <v>0</v>
      </c>
      <c s="235">
        <f>'Квартальная отчетность'!BG127</f>
        <v>0</v>
      </c>
      <c s="235">
        <f>'Квартальная отчетность'!BH127</f>
        <v>0</v>
      </c>
      <c s="235">
        <f>'Квартальная отчетность'!BI127</f>
        <v>0</v>
      </c>
      <c s="235">
        <f>'Квартальная отчетность'!BJ127</f>
        <v>0</v>
      </c>
      <c s="235">
        <f>'Квартальная отчетность'!BK127</f>
        <v>0</v>
      </c>
      <c s="235">
        <f>'Квартальная отчетность'!BL127</f>
        <v>0</v>
      </c>
      <c s="235">
        <f>'Квартальная отчетность'!BM127</f>
        <v>0</v>
      </c>
    </row>
    <row r="224" spans="2:63" ht="13.9">
      <c r="B224" s="233" t="str">
        <f>'Квартальная отчетность'!B128</f>
        <v>Прочие доходы</v>
      </c>
      <c s="235">
        <f>'Квартальная отчетность'!E128</f>
        <v>0</v>
      </c>
      <c s="235">
        <f>'Квартальная отчетность'!F128</f>
        <v>0</v>
      </c>
      <c s="235">
        <f>'Квартальная отчетность'!G128</f>
        <v>0</v>
      </c>
      <c s="235">
        <f>'Квартальная отчетность'!H128</f>
        <v>0</v>
      </c>
      <c s="235">
        <f>'Квартальная отчетность'!I128</f>
        <v>0</v>
      </c>
      <c s="235">
        <f>'Квартальная отчетность'!J128</f>
        <v>0</v>
      </c>
      <c s="235">
        <f>'Квартальная отчетность'!K128</f>
        <v>0</v>
      </c>
      <c s="235">
        <f>'Квартальная отчетность'!L128</f>
        <v>0</v>
      </c>
      <c s="235">
        <f>'Квартальная отчетность'!M128</f>
        <v>0</v>
      </c>
      <c s="235">
        <f>'Квартальная отчетность'!N128</f>
        <v>0</v>
      </c>
      <c s="235">
        <f>'Квартальная отчетность'!O128</f>
        <v>0</v>
      </c>
      <c s="235">
        <f>'Квартальная отчетность'!P128</f>
        <v>0</v>
      </c>
      <c s="235">
        <f>'Квартальная отчетность'!Q128</f>
        <v>0</v>
      </c>
      <c s="235">
        <f>'Квартальная отчетность'!R128</f>
        <v>0</v>
      </c>
      <c s="235">
        <f>'Квартальная отчетность'!S128</f>
        <v>0</v>
      </c>
      <c s="235">
        <f>'Квартальная отчетность'!T128</f>
        <v>0</v>
      </c>
      <c s="235">
        <f>'Квартальная отчетность'!U128</f>
        <v>0</v>
      </c>
      <c s="235">
        <f>'Квартальная отчетность'!V128</f>
        <v>0</v>
      </c>
      <c s="235">
        <f>'Квартальная отчетность'!W128</f>
        <v>0</v>
      </c>
      <c s="235">
        <f>'Квартальная отчетность'!X128</f>
        <v>0</v>
      </c>
      <c s="235">
        <f>'Квартальная отчетность'!Y128</f>
        <v>0</v>
      </c>
      <c s="235">
        <f>'Квартальная отчетность'!Z128</f>
        <v>0</v>
      </c>
      <c s="235">
        <f>'Квартальная отчетность'!AA128</f>
        <v>0</v>
      </c>
      <c s="235">
        <f>'Квартальная отчетность'!AB128</f>
        <v>0</v>
      </c>
      <c s="235">
        <f>'Квартальная отчетность'!AC128</f>
        <v>0</v>
      </c>
      <c s="235">
        <f>'Квартальная отчетность'!AD128</f>
        <v>0</v>
      </c>
      <c s="235">
        <f>'Квартальная отчетность'!AE128</f>
        <v>0</v>
      </c>
      <c s="235">
        <f>'Квартальная отчетность'!AF128</f>
        <v>0</v>
      </c>
      <c s="235">
        <f>'Квартальная отчетность'!AG128</f>
        <v>0</v>
      </c>
      <c s="235">
        <f>'Квартальная отчетность'!AH128</f>
        <v>0</v>
      </c>
      <c s="235">
        <f>'Квартальная отчетность'!AI128</f>
        <v>0</v>
      </c>
      <c s="235">
        <f>'Квартальная отчетность'!AJ128</f>
        <v>0</v>
      </c>
      <c s="235">
        <f>'Квартальная отчетность'!AK128</f>
        <v>0</v>
      </c>
      <c s="235">
        <f>'Квартальная отчетность'!AL128</f>
        <v>0</v>
      </c>
      <c s="235">
        <f>'Квартальная отчетность'!AM128</f>
        <v>0</v>
      </c>
      <c s="235">
        <f>'Квартальная отчетность'!AN128</f>
        <v>0</v>
      </c>
      <c s="235">
        <f>'Квартальная отчетность'!AO128</f>
        <v>0</v>
      </c>
      <c s="235">
        <f>'Квартальная отчетность'!AP128</f>
        <v>0</v>
      </c>
      <c s="235">
        <f>'Квартальная отчетность'!AQ128</f>
        <v>0</v>
      </c>
      <c s="235">
        <f>'Квартальная отчетность'!AR128</f>
        <v>0</v>
      </c>
      <c s="235">
        <f>'Квартальная отчетность'!AS128</f>
        <v>0</v>
      </c>
      <c s="235">
        <f>'Квартальная отчетность'!AT128</f>
        <v>0</v>
      </c>
      <c s="235">
        <f>'Квартальная отчетность'!AU128</f>
        <v>0</v>
      </c>
      <c s="235">
        <f>'Квартальная отчетность'!AV128</f>
        <v>0</v>
      </c>
      <c s="235">
        <f>'Квартальная отчетность'!AW128</f>
        <v>0</v>
      </c>
      <c s="235">
        <f>'Квартальная отчетность'!AX128</f>
        <v>0</v>
      </c>
      <c s="235">
        <f>'Квартальная отчетность'!AY128</f>
        <v>0</v>
      </c>
      <c s="235">
        <f>'Квартальная отчетность'!AZ128</f>
        <v>0</v>
      </c>
      <c s="235">
        <f>'Квартальная отчетность'!BA128</f>
        <v>0</v>
      </c>
      <c s="235">
        <f>'Квартальная отчетность'!BB128</f>
        <v>0</v>
      </c>
      <c s="235">
        <f>'Квартальная отчетность'!BC128</f>
        <v>0</v>
      </c>
      <c s="235">
        <f>'Квартальная отчетность'!BD128</f>
        <v>0</v>
      </c>
      <c s="235">
        <f>'Квартальная отчетность'!BE128</f>
        <v>0</v>
      </c>
      <c s="235">
        <f>'Квартальная отчетность'!BF128</f>
        <v>0</v>
      </c>
      <c s="235">
        <f>'Квартальная отчетность'!BG128</f>
        <v>0</v>
      </c>
      <c s="235">
        <f>'Квартальная отчетность'!BH128</f>
        <v>0</v>
      </c>
      <c s="235">
        <f>'Квартальная отчетность'!BI128</f>
        <v>0</v>
      </c>
      <c s="235">
        <f>'Квартальная отчетность'!BJ128</f>
        <v>0</v>
      </c>
      <c s="235">
        <f>'Квартальная отчетность'!BK128</f>
        <v>0</v>
      </c>
      <c s="235">
        <f>'Квартальная отчетность'!BL128</f>
        <v>0</v>
      </c>
      <c s="235">
        <f>'Квартальная отчетность'!BM128</f>
        <v>0</v>
      </c>
    </row>
    <row r="225" spans="2:63" ht="13.9">
      <c r="B225" s="233" t="str">
        <f>'Квартальная отчетность'!B129</f>
        <v>Прочие расходы (-)</v>
      </c>
      <c s="235">
        <f>'Квартальная отчетность'!E129</f>
        <v>0</v>
      </c>
      <c s="235">
        <f>'Квартальная отчетность'!F129</f>
        <v>0</v>
      </c>
      <c s="235">
        <f>'Квартальная отчетность'!G129</f>
        <v>0</v>
      </c>
      <c s="235">
        <f>'Квартальная отчетность'!H129</f>
        <v>0</v>
      </c>
      <c s="235">
        <f>'Квартальная отчетность'!I129</f>
        <v>0</v>
      </c>
      <c s="235">
        <f>'Квартальная отчетность'!J129</f>
        <v>0</v>
      </c>
      <c s="235">
        <f>'Квартальная отчетность'!K129</f>
        <v>0</v>
      </c>
      <c s="235">
        <f>'Квартальная отчетность'!L129</f>
        <v>0</v>
      </c>
      <c s="235">
        <f>'Квартальная отчетность'!M129</f>
        <v>0</v>
      </c>
      <c s="235">
        <f>'Квартальная отчетность'!N129</f>
        <v>0</v>
      </c>
      <c s="235">
        <f>'Квартальная отчетность'!O129</f>
        <v>0</v>
      </c>
      <c s="235">
        <f>'Квартальная отчетность'!P129</f>
        <v>0</v>
      </c>
      <c s="235">
        <f>'Квартальная отчетность'!Q129</f>
        <v>0</v>
      </c>
      <c s="235">
        <f>'Квартальная отчетность'!R129</f>
        <v>0</v>
      </c>
      <c s="235">
        <f>'Квартальная отчетность'!S129</f>
        <v>0</v>
      </c>
      <c s="235">
        <f>'Квартальная отчетность'!T129</f>
        <v>0</v>
      </c>
      <c s="235">
        <f>'Квартальная отчетность'!U129</f>
        <v>0</v>
      </c>
      <c s="235">
        <f>'Квартальная отчетность'!V129</f>
        <v>0</v>
      </c>
      <c s="235">
        <f>'Квартальная отчетность'!W129</f>
        <v>0</v>
      </c>
      <c s="235">
        <f>'Квартальная отчетность'!X129</f>
        <v>0</v>
      </c>
      <c s="235">
        <f>'Квартальная отчетность'!Y129</f>
        <v>0</v>
      </c>
      <c s="235">
        <f>'Квартальная отчетность'!Z129</f>
        <v>0</v>
      </c>
      <c s="235">
        <f>'Квартальная отчетность'!AA129</f>
        <v>0</v>
      </c>
      <c s="235">
        <f>'Квартальная отчетность'!AB129</f>
        <v>0</v>
      </c>
      <c s="235">
        <f>'Квартальная отчетность'!AC129</f>
        <v>0</v>
      </c>
      <c s="235">
        <f>'Квартальная отчетность'!AD129</f>
        <v>0</v>
      </c>
      <c s="235">
        <f>'Квартальная отчетность'!AE129</f>
        <v>0</v>
      </c>
      <c s="235">
        <f>'Квартальная отчетность'!AF129</f>
        <v>0</v>
      </c>
      <c s="235">
        <f>'Квартальная отчетность'!AG129</f>
        <v>0</v>
      </c>
      <c s="235">
        <f>'Квартальная отчетность'!AH129</f>
        <v>0</v>
      </c>
      <c s="235">
        <f>'Квартальная отчетность'!AI129</f>
        <v>0</v>
      </c>
      <c s="235">
        <f>'Квартальная отчетность'!AJ129</f>
        <v>0</v>
      </c>
      <c s="235">
        <f>'Квартальная отчетность'!AK129</f>
        <v>0</v>
      </c>
      <c s="235">
        <f>'Квартальная отчетность'!AL129</f>
        <v>0</v>
      </c>
      <c s="235">
        <f>'Квартальная отчетность'!AM129</f>
        <v>0</v>
      </c>
      <c s="235">
        <f>'Квартальная отчетность'!AN129</f>
        <v>0</v>
      </c>
      <c s="235">
        <f>'Квартальная отчетность'!AO129</f>
        <v>0</v>
      </c>
      <c s="235">
        <f>'Квартальная отчетность'!AP129</f>
        <v>0</v>
      </c>
      <c s="235">
        <f>'Квартальная отчетность'!AQ129</f>
        <v>0</v>
      </c>
      <c s="235">
        <f>'Квартальная отчетность'!AR129</f>
        <v>0</v>
      </c>
      <c s="235">
        <f>'Квартальная отчетность'!AS129</f>
        <v>0</v>
      </c>
      <c s="235">
        <f>'Квартальная отчетность'!AT129</f>
        <v>0</v>
      </c>
      <c s="235">
        <f>'Квартальная отчетность'!AU129</f>
        <v>0</v>
      </c>
      <c s="235">
        <f>'Квартальная отчетность'!AV129</f>
        <v>0</v>
      </c>
      <c s="235">
        <f>'Квартальная отчетность'!AW129</f>
        <v>0</v>
      </c>
      <c s="235">
        <f>'Квартальная отчетность'!AX129</f>
        <v>0</v>
      </c>
      <c s="235">
        <f>'Квартальная отчетность'!AY129</f>
        <v>0</v>
      </c>
      <c s="235">
        <f>'Квартальная отчетность'!AZ129</f>
        <v>0</v>
      </c>
      <c s="235">
        <f>'Квартальная отчетность'!BA129</f>
        <v>0</v>
      </c>
      <c s="235">
        <f>'Квартальная отчетность'!BB129</f>
        <v>0</v>
      </c>
      <c s="235">
        <f>'Квартальная отчетность'!BC129</f>
        <v>0</v>
      </c>
      <c s="235">
        <f>'Квартальная отчетность'!BD129</f>
        <v>0</v>
      </c>
      <c s="235">
        <f>'Квартальная отчетность'!BE129</f>
        <v>0</v>
      </c>
      <c s="235">
        <f>'Квартальная отчетность'!BF129</f>
        <v>0</v>
      </c>
      <c s="235">
        <f>'Квартальная отчетность'!BG129</f>
        <v>0</v>
      </c>
      <c s="235">
        <f>'Квартальная отчетность'!BH129</f>
        <v>0</v>
      </c>
      <c s="235">
        <f>'Квартальная отчетность'!BI129</f>
        <v>0</v>
      </c>
      <c s="235">
        <f>'Квартальная отчетность'!BJ129</f>
        <v>0</v>
      </c>
      <c s="235">
        <f>'Квартальная отчетность'!BK129</f>
        <v>0</v>
      </c>
      <c s="235">
        <f>'Квартальная отчетность'!BL129</f>
        <v>0</v>
      </c>
      <c s="235">
        <f>'Квартальная отчетность'!BM129</f>
        <v>0</v>
      </c>
    </row>
    <row r="226" spans="2:63" ht="13.9">
      <c r="B226" s="233" t="str">
        <f>'Квартальная отчетность'!B130</f>
        <v>Прибыль (убыток) до налогообложения</v>
      </c>
      <c s="235">
        <f>'Квартальная отчетность'!E130</f>
        <v>0</v>
      </c>
      <c s="235">
        <f>'Квартальная отчетность'!F130</f>
        <v>0</v>
      </c>
      <c s="235">
        <f>'Квартальная отчетность'!G130</f>
        <v>0</v>
      </c>
      <c s="235">
        <f>'Квартальная отчетность'!H130</f>
        <v>0</v>
      </c>
      <c s="235">
        <f>'Квартальная отчетность'!I130</f>
        <v>0</v>
      </c>
      <c s="235">
        <f>'Квартальная отчетность'!J130</f>
        <v>0</v>
      </c>
      <c s="235">
        <f>'Квартальная отчетность'!K130</f>
        <v>0</v>
      </c>
      <c s="235">
        <f>'Квартальная отчетность'!L130</f>
        <v>0</v>
      </c>
      <c s="235">
        <f>'Квартальная отчетность'!M130</f>
        <v>0</v>
      </c>
      <c s="235">
        <f>'Квартальная отчетность'!N130</f>
        <v>0</v>
      </c>
      <c s="235">
        <f>'Квартальная отчетность'!O130</f>
        <v>0</v>
      </c>
      <c s="235">
        <f>'Квартальная отчетность'!P130</f>
        <v>0</v>
      </c>
      <c s="235">
        <f>'Квартальная отчетность'!Q130</f>
        <v>0</v>
      </c>
      <c s="235">
        <f>'Квартальная отчетность'!R130</f>
        <v>0</v>
      </c>
      <c s="235">
        <f>'Квартальная отчетность'!S130</f>
        <v>0</v>
      </c>
      <c s="235">
        <f>'Квартальная отчетность'!T130</f>
        <v>0</v>
      </c>
      <c s="235">
        <f>'Квартальная отчетность'!U130</f>
        <v>0</v>
      </c>
      <c s="235">
        <f>'Квартальная отчетность'!V130</f>
        <v>0</v>
      </c>
      <c s="235">
        <f>'Квартальная отчетность'!W130</f>
        <v>0</v>
      </c>
      <c s="235">
        <f>'Квартальная отчетность'!X130</f>
        <v>0</v>
      </c>
      <c s="235">
        <f>'Квартальная отчетность'!Y130</f>
        <v>0</v>
      </c>
      <c s="235">
        <f>'Квартальная отчетность'!Z130</f>
        <v>0</v>
      </c>
      <c s="235">
        <f>'Квартальная отчетность'!AA130</f>
        <v>0</v>
      </c>
      <c s="235">
        <f>'Квартальная отчетность'!AB130</f>
        <v>0</v>
      </c>
      <c s="235">
        <f>'Квартальная отчетность'!AC130</f>
        <v>0</v>
      </c>
      <c s="235">
        <f>'Квартальная отчетность'!AD130</f>
        <v>0</v>
      </c>
      <c s="235">
        <f>'Квартальная отчетность'!AE130</f>
        <v>0</v>
      </c>
      <c s="235">
        <f>'Квартальная отчетность'!AF130</f>
        <v>0</v>
      </c>
      <c s="235">
        <f>'Квартальная отчетность'!AG130</f>
        <v>0</v>
      </c>
      <c s="235">
        <f>'Квартальная отчетность'!AH130</f>
        <v>0</v>
      </c>
      <c s="235">
        <f>'Квартальная отчетность'!AI130</f>
        <v>0</v>
      </c>
      <c s="235">
        <f>'Квартальная отчетность'!AJ130</f>
        <v>0</v>
      </c>
      <c s="235">
        <f>'Квартальная отчетность'!AK130</f>
        <v>0</v>
      </c>
      <c s="235">
        <f>'Квартальная отчетность'!AL130</f>
        <v>0</v>
      </c>
      <c s="235">
        <f>'Квартальная отчетность'!AM130</f>
        <v>0</v>
      </c>
      <c s="235">
        <f>'Квартальная отчетность'!AN130</f>
        <v>0</v>
      </c>
      <c s="235">
        <f>'Квартальная отчетность'!AO130</f>
        <v>0</v>
      </c>
      <c s="235">
        <f>'Квартальная отчетность'!AP130</f>
        <v>0</v>
      </c>
      <c s="235">
        <f>'Квартальная отчетность'!AQ130</f>
        <v>0</v>
      </c>
      <c s="235">
        <f>'Квартальная отчетность'!AR130</f>
        <v>0</v>
      </c>
      <c s="235">
        <f>'Квартальная отчетность'!AS130</f>
        <v>0</v>
      </c>
      <c s="235">
        <f>'Квартальная отчетность'!AT130</f>
        <v>0</v>
      </c>
      <c s="235">
        <f>'Квартальная отчетность'!AU130</f>
        <v>0</v>
      </c>
      <c s="235">
        <f>'Квартальная отчетность'!AV130</f>
        <v>0</v>
      </c>
      <c s="235">
        <f>'Квартальная отчетность'!AW130</f>
        <v>0</v>
      </c>
      <c s="235">
        <f>'Квартальная отчетность'!AX130</f>
        <v>0</v>
      </c>
      <c s="235">
        <f>'Квартальная отчетность'!AY130</f>
        <v>0</v>
      </c>
      <c s="235">
        <f>'Квартальная отчетность'!AZ130</f>
        <v>0</v>
      </c>
      <c s="235">
        <f>'Квартальная отчетность'!BA130</f>
        <v>0</v>
      </c>
      <c s="235">
        <f>'Квартальная отчетность'!BB130</f>
        <v>0</v>
      </c>
      <c s="235">
        <f>'Квартальная отчетность'!BC130</f>
        <v>0</v>
      </c>
      <c s="235">
        <f>'Квартальная отчетность'!BD130</f>
        <v>0</v>
      </c>
      <c s="235">
        <f>'Квартальная отчетность'!BE130</f>
        <v>0</v>
      </c>
      <c s="235">
        <f>'Квартальная отчетность'!BF130</f>
        <v>0</v>
      </c>
      <c s="235">
        <f>'Квартальная отчетность'!BG130</f>
        <v>0</v>
      </c>
      <c s="235">
        <f>'Квартальная отчетность'!BH130</f>
        <v>0</v>
      </c>
      <c s="235">
        <f>'Квартальная отчетность'!BI130</f>
        <v>0</v>
      </c>
      <c s="235">
        <f>'Квартальная отчетность'!BJ130</f>
        <v>0</v>
      </c>
      <c s="235">
        <f>'Квартальная отчетность'!BK130</f>
        <v>0</v>
      </c>
      <c s="235">
        <f>'Квартальная отчетность'!BL130</f>
        <v>0</v>
      </c>
      <c s="235">
        <f>'Квартальная отчетность'!BM130</f>
        <v>0</v>
      </c>
    </row>
    <row r="227" spans="2:63" ht="13.9">
      <c r="B227" s="233" t="str">
        <f>'Квартальная отчетность'!B131</f>
        <v>Налог на прибыль (-)</v>
      </c>
      <c s="235">
        <f>'Квартальная отчетность'!E131</f>
        <v>0</v>
      </c>
      <c s="235">
        <f>'Квартальная отчетность'!F131</f>
        <v>0</v>
      </c>
      <c s="235">
        <f>'Квартальная отчетность'!G131</f>
        <v>0</v>
      </c>
      <c s="235">
        <f>'Квартальная отчетность'!H131</f>
        <v>0</v>
      </c>
      <c s="235">
        <f>'Квартальная отчетность'!I131</f>
        <v>0</v>
      </c>
      <c s="235">
        <f>'Квартальная отчетность'!J131</f>
        <v>0</v>
      </c>
      <c s="235">
        <f>'Квартальная отчетность'!K131</f>
        <v>0</v>
      </c>
      <c s="235">
        <f>'Квартальная отчетность'!L131</f>
        <v>0</v>
      </c>
      <c s="235">
        <f>'Квартальная отчетность'!M131</f>
        <v>0</v>
      </c>
      <c s="235">
        <f>'Квартальная отчетность'!N131</f>
        <v>0</v>
      </c>
      <c s="235">
        <f>'Квартальная отчетность'!O131</f>
        <v>0</v>
      </c>
      <c s="235">
        <f>'Квартальная отчетность'!P131</f>
        <v>0</v>
      </c>
      <c s="235">
        <f>'Квартальная отчетность'!Q131</f>
        <v>0</v>
      </c>
      <c s="235">
        <f>'Квартальная отчетность'!R131</f>
        <v>0</v>
      </c>
      <c s="235">
        <f>'Квартальная отчетность'!S131</f>
        <v>0</v>
      </c>
      <c s="235">
        <f>'Квартальная отчетность'!T131</f>
        <v>0</v>
      </c>
      <c s="235">
        <f>'Квартальная отчетность'!U131</f>
        <v>0</v>
      </c>
      <c s="235">
        <f>'Квартальная отчетность'!V131</f>
        <v>0</v>
      </c>
      <c s="235">
        <f>'Квартальная отчетность'!W131</f>
        <v>0</v>
      </c>
      <c s="235">
        <f>'Квартальная отчетность'!X131</f>
        <v>0</v>
      </c>
      <c s="235">
        <f>'Квартальная отчетность'!Y131</f>
        <v>0</v>
      </c>
      <c s="235">
        <f>'Квартальная отчетность'!Z131</f>
        <v>0</v>
      </c>
      <c s="235">
        <f>'Квартальная отчетность'!AA131</f>
        <v>0</v>
      </c>
      <c s="235">
        <f>'Квартальная отчетность'!AB131</f>
        <v>0</v>
      </c>
      <c s="235">
        <f>'Квартальная отчетность'!AC131</f>
        <v>0</v>
      </c>
      <c s="235">
        <f>'Квартальная отчетность'!AD131</f>
        <v>0</v>
      </c>
      <c s="235">
        <f>'Квартальная отчетность'!AE131</f>
        <v>0</v>
      </c>
      <c s="235">
        <f>'Квартальная отчетность'!AF131</f>
        <v>0</v>
      </c>
      <c s="235">
        <f>'Квартальная отчетность'!AG131</f>
        <v>0</v>
      </c>
      <c s="235">
        <f>'Квартальная отчетность'!AH131</f>
        <v>0</v>
      </c>
      <c s="235">
        <f>'Квартальная отчетность'!AI131</f>
        <v>0</v>
      </c>
      <c s="235">
        <f>'Квартальная отчетность'!AJ131</f>
        <v>0</v>
      </c>
      <c s="235">
        <f>'Квартальная отчетность'!AK131</f>
        <v>0</v>
      </c>
      <c s="235">
        <f>'Квартальная отчетность'!AL131</f>
        <v>0</v>
      </c>
      <c s="235">
        <f>'Квартальная отчетность'!AM131</f>
        <v>0</v>
      </c>
      <c s="235">
        <f>'Квартальная отчетность'!AN131</f>
        <v>0</v>
      </c>
      <c s="235">
        <f>'Квартальная отчетность'!AO131</f>
        <v>0</v>
      </c>
      <c s="235">
        <f>'Квартальная отчетность'!AP131</f>
        <v>0</v>
      </c>
      <c s="235">
        <f>'Квартальная отчетность'!AQ131</f>
        <v>0</v>
      </c>
      <c s="235">
        <f>'Квартальная отчетность'!AR131</f>
        <v>0</v>
      </c>
      <c s="235">
        <f>'Квартальная отчетность'!AS131</f>
        <v>0</v>
      </c>
      <c s="235">
        <f>'Квартальная отчетность'!AT131</f>
        <v>0</v>
      </c>
      <c s="235">
        <f>'Квартальная отчетность'!AU131</f>
        <v>0</v>
      </c>
      <c s="235">
        <f>'Квартальная отчетность'!AV131</f>
        <v>0</v>
      </c>
      <c s="235">
        <f>'Квартальная отчетность'!AW131</f>
        <v>0</v>
      </c>
      <c s="235">
        <f>'Квартальная отчетность'!AX131</f>
        <v>0</v>
      </c>
      <c s="235">
        <f>'Квартальная отчетность'!AY131</f>
        <v>0</v>
      </c>
      <c s="235">
        <f>'Квартальная отчетность'!AZ131</f>
        <v>0</v>
      </c>
      <c s="235">
        <f>'Квартальная отчетность'!BA131</f>
        <v>0</v>
      </c>
      <c s="235">
        <f>'Квартальная отчетность'!BB131</f>
        <v>0</v>
      </c>
      <c s="235">
        <f>'Квартальная отчетность'!BC131</f>
        <v>0</v>
      </c>
      <c s="235">
        <f>'Квартальная отчетность'!BD131</f>
        <v>0</v>
      </c>
      <c s="235">
        <f>'Квартальная отчетность'!BE131</f>
        <v>0</v>
      </c>
      <c s="235">
        <f>'Квартальная отчетность'!BF131</f>
        <v>0</v>
      </c>
      <c s="235">
        <f>'Квартальная отчетность'!BG131</f>
        <v>0</v>
      </c>
      <c s="235">
        <f>'Квартальная отчетность'!BH131</f>
        <v>0</v>
      </c>
      <c s="235">
        <f>'Квартальная отчетность'!BI131</f>
        <v>0</v>
      </c>
      <c s="235">
        <f>'Квартальная отчетность'!BJ131</f>
        <v>0</v>
      </c>
      <c s="235">
        <f>'Квартальная отчетность'!BK131</f>
        <v>0</v>
      </c>
      <c s="235">
        <f>'Квартальная отчетность'!BL131</f>
        <v>0</v>
      </c>
      <c s="235">
        <f>'Квартальная отчетность'!BM131</f>
        <v>0</v>
      </c>
    </row>
    <row r="228" spans="2:63" s="232" customFormat="1" ht="13.9">
      <c r="B228" s="233" t="str">
        <f>'Квартальная отчетность'!B132</f>
        <v>Чистая прибыль (убыток)</v>
      </c>
      <c s="231">
        <f>'Квартальная отчетность'!E132</f>
        <v>0</v>
      </c>
      <c s="231">
        <f>'Квартальная отчетность'!F132</f>
        <v>0</v>
      </c>
      <c s="231">
        <f>'Квартальная отчетность'!G132</f>
        <v>0</v>
      </c>
      <c s="231">
        <f>'Квартальная отчетность'!H132</f>
        <v>0</v>
      </c>
      <c s="231">
        <f>'Квартальная отчетность'!I132</f>
        <v>0</v>
      </c>
      <c s="231">
        <f>'Квартальная отчетность'!J132</f>
        <v>0</v>
      </c>
      <c s="231">
        <f>'Квартальная отчетность'!K132</f>
        <v>0</v>
      </c>
      <c s="231">
        <f>'Квартальная отчетность'!L132</f>
        <v>0</v>
      </c>
      <c s="231">
        <f>'Квартальная отчетность'!M132</f>
        <v>0</v>
      </c>
      <c s="231">
        <f>'Квартальная отчетность'!N132</f>
        <v>0</v>
      </c>
      <c s="231">
        <f>'Квартальная отчетность'!O132</f>
        <v>0</v>
      </c>
      <c s="231">
        <f>'Квартальная отчетность'!P132</f>
        <v>0</v>
      </c>
      <c s="231">
        <f>'Квартальная отчетность'!Q132</f>
        <v>0</v>
      </c>
      <c s="231">
        <f>'Квартальная отчетность'!R132</f>
        <v>0</v>
      </c>
      <c s="231">
        <f>'Квартальная отчетность'!S132</f>
        <v>0</v>
      </c>
      <c s="231">
        <f>'Квартальная отчетность'!T132</f>
        <v>0</v>
      </c>
      <c s="231">
        <f>'Квартальная отчетность'!U132</f>
        <v>0</v>
      </c>
      <c s="231">
        <f>'Квартальная отчетность'!V132</f>
        <v>0</v>
      </c>
      <c s="231">
        <f>'Квартальная отчетность'!W132</f>
        <v>0</v>
      </c>
      <c s="231">
        <f>'Квартальная отчетность'!X132</f>
        <v>0</v>
      </c>
      <c s="231">
        <f>'Квартальная отчетность'!Y132</f>
        <v>0</v>
      </c>
      <c s="231">
        <f>'Квартальная отчетность'!Z132</f>
        <v>0</v>
      </c>
      <c s="231">
        <f>'Квартальная отчетность'!AA132</f>
        <v>0</v>
      </c>
      <c s="231">
        <f>'Квартальная отчетность'!AB132</f>
        <v>0</v>
      </c>
      <c s="231">
        <f>'Квартальная отчетность'!AC132</f>
        <v>0</v>
      </c>
      <c s="231">
        <f>'Квартальная отчетность'!AD132</f>
        <v>0</v>
      </c>
      <c s="231">
        <f>'Квартальная отчетность'!AE132</f>
        <v>0</v>
      </c>
      <c s="231">
        <f>'Квартальная отчетность'!AF132</f>
        <v>0</v>
      </c>
      <c s="231">
        <f>'Квартальная отчетность'!AG132</f>
        <v>0</v>
      </c>
      <c s="231">
        <f>'Квартальная отчетность'!AH132</f>
        <v>0</v>
      </c>
      <c s="231">
        <f>'Квартальная отчетность'!AI132</f>
        <v>0</v>
      </c>
      <c s="231">
        <f>'Квартальная отчетность'!AJ132</f>
        <v>0</v>
      </c>
      <c s="231">
        <f>'Квартальная отчетность'!AK132</f>
        <v>0</v>
      </c>
      <c s="231">
        <f>'Квартальная отчетность'!AL132</f>
        <v>0</v>
      </c>
      <c s="231">
        <f>'Квартальная отчетность'!AM132</f>
        <v>0</v>
      </c>
      <c s="231">
        <f>'Квартальная отчетность'!AN132</f>
        <v>0</v>
      </c>
      <c s="231">
        <f>'Квартальная отчетность'!AO132</f>
        <v>0</v>
      </c>
      <c s="231">
        <f>'Квартальная отчетность'!AP132</f>
        <v>0</v>
      </c>
      <c s="231">
        <f>'Квартальная отчетность'!AQ132</f>
        <v>0</v>
      </c>
      <c s="231">
        <f>'Квартальная отчетность'!AR132</f>
        <v>0</v>
      </c>
      <c s="231">
        <f>'Квартальная отчетность'!AS132</f>
        <v>0</v>
      </c>
      <c s="231">
        <f>'Квартальная отчетность'!AT132</f>
        <v>0</v>
      </c>
      <c s="231">
        <f>'Квартальная отчетность'!AU132</f>
        <v>0</v>
      </c>
      <c s="231">
        <f>'Квартальная отчетность'!AV132</f>
        <v>0</v>
      </c>
      <c s="231">
        <f>'Квартальная отчетность'!AW132</f>
        <v>0</v>
      </c>
      <c s="231">
        <f>'Квартальная отчетность'!AX132</f>
        <v>0</v>
      </c>
      <c s="231">
        <f>'Квартальная отчетность'!AY132</f>
        <v>0</v>
      </c>
      <c s="231">
        <f>'Квартальная отчетность'!AZ132</f>
        <v>0</v>
      </c>
      <c s="231">
        <f>'Квартальная отчетность'!BA132</f>
        <v>0</v>
      </c>
      <c s="231">
        <f>'Квартальная отчетность'!BB132</f>
        <v>0</v>
      </c>
      <c s="231">
        <f>'Квартальная отчетность'!BC132</f>
        <v>0</v>
      </c>
      <c s="231">
        <f>'Квартальная отчетность'!BD132</f>
        <v>0</v>
      </c>
      <c s="231">
        <f>'Квартальная отчетность'!BE132</f>
        <v>0</v>
      </c>
      <c s="231">
        <f>'Квартальная отчетность'!BF132</f>
        <v>0</v>
      </c>
      <c s="231">
        <f>'Квартальная отчетность'!BG132</f>
        <v>0</v>
      </c>
      <c s="231">
        <f>'Квартальная отчетность'!BH132</f>
        <v>0</v>
      </c>
      <c s="231">
        <f>'Квартальная отчетность'!BI132</f>
        <v>0</v>
      </c>
      <c s="231">
        <f>'Квартальная отчетность'!BJ132</f>
        <v>0</v>
      </c>
      <c s="231">
        <f>'Квартальная отчетность'!BK132</f>
        <v>0</v>
      </c>
      <c s="231">
        <f>'Квартальная отчетность'!BL132</f>
        <v>0</v>
      </c>
      <c s="231">
        <f>'Квартальная отчетность'!BM132</f>
        <v>0</v>
      </c>
    </row>
    <row r="229" spans="2:63" ht="13.9">
      <c r="B229" s="199" t="s">
        <v>1022</v>
      </c>
      <c s="238" t="e">
        <f>C228/C210</f>
        <v>#DIV/0!</v>
      </c>
      <c s="238" t="e">
        <f t="shared" si="27" ref="D229:BK229">D228/D210</f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  <c s="238" t="e">
        <f t="shared" si="27"/>
        <v>#DIV/0!</v>
      </c>
    </row>
    <row r="232" spans="7:7" ht="13.9">
      <c r="G232" s="212" t="s">
        <v>1272</v>
      </c>
    </row>
    <row r="233" spans="2:63" ht="13.9">
      <c r="B233" s="199" t="str">
        <f>B209</f>
        <v>Период</v>
      </c>
      <c s="220">
        <f>'Годовая отчетность'!E8</f>
        <v>46022</v>
      </c>
      <c s="220">
        <f>'Годовая отчетность'!F8</f>
        <v>46387</v>
      </c>
      <c s="220">
        <f>'Годовая отчетность'!G8</f>
        <v>46752</v>
      </c>
      <c s="220">
        <f>'Годовая отчетность'!H8</f>
        <v>47118</v>
      </c>
      <c s="220">
        <f>'Годовая отчетность'!I8</f>
        <v>47483</v>
      </c>
      <c s="220">
        <f>'Годовая отчетность'!J8</f>
        <v>47848</v>
      </c>
      <c s="220">
        <f>'Годовая отчетность'!K8</f>
        <v>48213</v>
      </c>
      <c s="220">
        <f>'Годовая отчетность'!L8</f>
        <v>48579</v>
      </c>
      <c s="220">
        <f>'Годовая отчетность'!M8</f>
        <v>48944</v>
      </c>
      <c s="220">
        <f>'Годовая отчетность'!N8</f>
        <v>49309</v>
      </c>
      <c s="220">
        <f>'Годовая отчетность'!O8</f>
        <v>49674</v>
      </c>
      <c s="220">
        <f>'Годовая отчетность'!P8</f>
        <v>50040</v>
      </c>
      <c s="220">
        <f>'Годовая отчетность'!Q8</f>
        <v>50405</v>
      </c>
      <c s="220">
        <f>'Годовая отчетность'!R8</f>
        <v>50770</v>
      </c>
      <c s="220">
        <f>'Годовая отчетность'!S8</f>
        <v>51135</v>
      </c>
      <c s="220">
        <f>'Годовая отчетность'!T8</f>
        <v>51501</v>
      </c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  <c s="234"/>
    </row>
    <row r="234" spans="2:18" ht="13.9">
      <c r="B234" s="239" t="str">
        <f>'Годовая отчетность'!B111</f>
        <v>Выручка</v>
      </c>
      <c s="235">
        <f ca="1">SUM('Годовая отчетность'!E111,OFFSET(Предпосылки!$G$538,,,,-ROUNDUP(MONTH(Предпосылки!$C$13)/Месяцев_в_квартале,0)),0)</f>
        <v>0</v>
      </c>
      <c s="235">
        <f>SUMIF('Годовая отчетность'!8:8,tables!D233,'Годовая отчетность'!111:111)</f>
        <v>0</v>
      </c>
      <c s="235">
        <f>SUMIF('Годовая отчетность'!8:8,tables!E233,'Годовая отчетность'!111:111)</f>
        <v>0</v>
      </c>
      <c s="235">
        <f>SUMIF('Годовая отчетность'!8:8,tables!F233,'Годовая отчетность'!111:111)</f>
        <v>0</v>
      </c>
      <c s="235">
        <f>SUMIF('Годовая отчетность'!8:8,tables!G233,'Годовая отчетность'!111:111)</f>
        <v>0</v>
      </c>
      <c s="235">
        <f>SUMIF('Годовая отчетность'!8:8,tables!H233,'Годовая отчетность'!111:111)</f>
        <v>0</v>
      </c>
      <c s="235">
        <f>SUMIF('Годовая отчетность'!8:8,tables!I233,'Годовая отчетность'!111:111)</f>
        <v>0</v>
      </c>
      <c s="235">
        <f>SUMIF('Годовая отчетность'!8:8,tables!J233,'Годовая отчетность'!111:111)</f>
        <v>0</v>
      </c>
      <c s="235">
        <f>SUMIF('Годовая отчетность'!8:8,tables!K233,'Годовая отчетность'!111:111)</f>
        <v>0</v>
      </c>
      <c s="235">
        <f>SUMIF('Годовая отчетность'!8:8,tables!L233,'Годовая отчетность'!111:111)</f>
        <v>0</v>
      </c>
      <c s="235">
        <f>SUMIF('Годовая отчетность'!8:8,tables!M233,'Годовая отчетность'!111:111)</f>
        <v>0</v>
      </c>
      <c s="235">
        <f>SUMIF('Годовая отчетность'!8:8,tables!N233,'Годовая отчетность'!111:111)</f>
        <v>0</v>
      </c>
      <c s="235">
        <f>SUMIF('Годовая отчетность'!8:8,tables!O233,'Годовая отчетность'!111:111)</f>
        <v>0</v>
      </c>
      <c s="235">
        <f>SUMIF('Годовая отчетность'!8:8,tables!P233,'Годовая отчетность'!111:111)</f>
        <v>0</v>
      </c>
      <c s="235">
        <f>SUMIF('Годовая отчетность'!8:8,tables!Q233,'Годовая отчетность'!111:111)</f>
        <v>0</v>
      </c>
      <c s="235">
        <f>SUMIF('Годовая отчетность'!8:8,tables!R233,'Годовая отчетность'!111:111)</f>
        <v>0</v>
      </c>
    </row>
    <row r="235" spans="2:18" ht="13.9">
      <c r="B235" s="199" t="s">
        <v>1218</v>
      </c>
      <c s="240" t="s">
        <v>1271</v>
      </c>
      <c s="240" t="e">
        <f ca="1">D234/C234-1</f>
        <v>#DIV/0!</v>
      </c>
      <c s="240" t="e">
        <f t="shared" si="28" ref="E235:R235">E234/D234-1</f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  <c s="240" t="e">
        <f t="shared" si="28"/>
        <v>#DIV/0!</v>
      </c>
    </row>
    <row r="236" spans="2:18" ht="13.9">
      <c r="B236" s="239" t="str">
        <f>'Годовая отчетность'!B112</f>
        <v>Себестоимость продаж (-)</v>
      </c>
      <c s="235"/>
      <c s="235">
        <f>SUMIF('Годовая отчетность'!8:8,tables!D233,'Годовая отчетность'!112:112)</f>
        <v>0</v>
      </c>
      <c s="235">
        <f>SUMIF('Годовая отчетность'!8:8,tables!E233,'Годовая отчетность'!112:112)</f>
        <v>0</v>
      </c>
      <c s="235">
        <f>SUMIF('Годовая отчетность'!8:8,tables!F233,'Годовая отчетность'!112:112)</f>
        <v>0</v>
      </c>
      <c s="235">
        <f>SUMIF('Годовая отчетность'!8:8,tables!G233,'Годовая отчетность'!112:112)</f>
        <v>0</v>
      </c>
      <c s="235">
        <f>SUMIF('Годовая отчетность'!8:8,tables!H233,'Годовая отчетность'!112:112)</f>
        <v>0</v>
      </c>
      <c s="235">
        <f>SUMIF('Годовая отчетность'!8:8,tables!I233,'Годовая отчетность'!112:112)</f>
        <v>0</v>
      </c>
      <c s="235">
        <f>SUMIF('Годовая отчетность'!8:8,tables!J233,'Годовая отчетность'!112:112)</f>
        <v>0</v>
      </c>
      <c s="235">
        <f>SUMIF('Годовая отчетность'!8:8,tables!K233,'Годовая отчетность'!112:112)</f>
        <v>0</v>
      </c>
      <c s="235">
        <f>SUMIF('Годовая отчетность'!8:8,tables!L233,'Годовая отчетность'!112:112)</f>
        <v>0</v>
      </c>
      <c s="235">
        <f>SUMIF('Годовая отчетность'!8:8,tables!M233,'Годовая отчетность'!112:112)</f>
        <v>0</v>
      </c>
      <c s="235">
        <f>SUMIF('Годовая отчетность'!8:8,tables!N233,'Годовая отчетность'!112:112)</f>
        <v>0</v>
      </c>
      <c s="235">
        <f>SUMIF('Годовая отчетность'!8:8,tables!O233,'Годовая отчетность'!112:112)</f>
        <v>0</v>
      </c>
      <c s="235">
        <f>SUMIF('Годовая отчетность'!8:8,tables!P233,'Годовая отчетность'!112:112)</f>
        <v>0</v>
      </c>
      <c s="235">
        <f>SUMIF('Годовая отчетность'!8:8,tables!Q233,'Годовая отчетность'!112:112)</f>
        <v>0</v>
      </c>
      <c s="235">
        <f>SUMIF('Годовая отчетность'!8:8,tables!R233,'Годовая отчетность'!112:112)</f>
        <v>0</v>
      </c>
    </row>
    <row r="237" spans="2:18" ht="13.9">
      <c r="B237" s="239" t="str">
        <f>'Годовая отчетность'!B113</f>
        <v>Валовая прибыль (убыток)</v>
      </c>
      <c s="235">
        <f ca="1">SUM('Годовая отчетность'!E113,OFFSET(Предпосылки!$G$540,,,,-ROUNDUP(MONTH(Предпосылки!$C$13)/Месяцев_в_квартале,0)),0)</f>
        <v>0</v>
      </c>
      <c s="235">
        <f>SUMIF('Годовая отчетность'!8:8,tables!D233,'Годовая отчетность'!113:113)</f>
        <v>0</v>
      </c>
      <c s="235">
        <f>SUMIF('Годовая отчетность'!8:8,tables!E233,'Годовая отчетность'!113:113)</f>
        <v>0</v>
      </c>
      <c s="235">
        <f>SUMIF('Годовая отчетность'!8:8,tables!F233,'Годовая отчетность'!113:113)</f>
        <v>0</v>
      </c>
      <c s="235">
        <f>SUMIF('Годовая отчетность'!8:8,tables!G233,'Годовая отчетность'!113:113)</f>
        <v>0</v>
      </c>
      <c s="235">
        <f>SUMIF('Годовая отчетность'!8:8,tables!H233,'Годовая отчетность'!113:113)</f>
        <v>0</v>
      </c>
      <c s="235">
        <f>SUMIF('Годовая отчетность'!8:8,tables!I233,'Годовая отчетность'!113:113)</f>
        <v>0</v>
      </c>
      <c s="235">
        <f>SUMIF('Годовая отчетность'!8:8,tables!J233,'Годовая отчетность'!113:113)</f>
        <v>0</v>
      </c>
      <c s="235">
        <f>SUMIF('Годовая отчетность'!8:8,tables!K233,'Годовая отчетность'!113:113)</f>
        <v>0</v>
      </c>
      <c s="235">
        <f>SUMIF('Годовая отчетность'!8:8,tables!L233,'Годовая отчетность'!113:113)</f>
        <v>0</v>
      </c>
      <c s="235">
        <f>SUMIF('Годовая отчетность'!8:8,tables!M233,'Годовая отчетность'!113:113)</f>
        <v>0</v>
      </c>
      <c s="235">
        <f>SUMIF('Годовая отчетность'!8:8,tables!N233,'Годовая отчетность'!113:113)</f>
        <v>0</v>
      </c>
      <c s="235">
        <f>SUMIF('Годовая отчетность'!8:8,tables!O233,'Годовая отчетность'!113:113)</f>
        <v>0</v>
      </c>
      <c s="235">
        <f>SUMIF('Годовая отчетность'!8:8,tables!P233,'Годовая отчетность'!113:113)</f>
        <v>0</v>
      </c>
      <c s="235">
        <f>SUMIF('Годовая отчетность'!8:8,tables!Q233,'Годовая отчетность'!113:113)</f>
        <v>0</v>
      </c>
      <c s="235">
        <f>SUMIF('Годовая отчетность'!8:8,tables!R233,'Годовая отчетность'!113:113)</f>
        <v>0</v>
      </c>
    </row>
    <row r="238" spans="2:18" ht="13.9">
      <c r="B238" s="199" t="s">
        <v>1020</v>
      </c>
      <c s="240" t="e">
        <f ca="1">C237/C234</f>
        <v>#DIV/0!</v>
      </c>
      <c s="240" t="e">
        <f t="shared" si="29" ref="D238:R238">D237/D234</f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  <c s="240" t="e">
        <f t="shared" si="29"/>
        <v>#DIV/0!</v>
      </c>
    </row>
    <row r="239" spans="2:18" ht="13.9">
      <c r="B239" s="239" t="str">
        <f>'Годовая отчетность'!B115</f>
        <v>Коммерческие расходы (-)</v>
      </c>
      <c s="235"/>
      <c s="235">
        <f>SUMIF('Годовая отчетность'!8:8,tables!D233,'Годовая отчетность'!115:115)</f>
        <v>0</v>
      </c>
      <c s="235">
        <f>SUMIF('Годовая отчетность'!8:8,tables!E233,'Годовая отчетность'!115:115)</f>
        <v>0</v>
      </c>
      <c s="235">
        <f>SUMIF('Годовая отчетность'!8:8,tables!F233,'Годовая отчетность'!115:115)</f>
        <v>0</v>
      </c>
      <c s="235">
        <f>SUMIF('Годовая отчетность'!8:8,tables!G233,'Годовая отчетность'!115:115)</f>
        <v>0</v>
      </c>
      <c s="235">
        <f>SUMIF('Годовая отчетность'!8:8,tables!H233,'Годовая отчетность'!115:115)</f>
        <v>0</v>
      </c>
      <c s="235">
        <f>SUMIF('Годовая отчетность'!8:8,tables!I233,'Годовая отчетность'!115:115)</f>
        <v>0</v>
      </c>
      <c s="235">
        <f>SUMIF('Годовая отчетность'!8:8,tables!J233,'Годовая отчетность'!115:115)</f>
        <v>0</v>
      </c>
      <c s="235">
        <f>SUMIF('Годовая отчетность'!8:8,tables!K233,'Годовая отчетность'!115:115)</f>
        <v>0</v>
      </c>
      <c s="235">
        <f>SUMIF('Годовая отчетность'!8:8,tables!L233,'Годовая отчетность'!115:115)</f>
        <v>0</v>
      </c>
      <c s="235">
        <f>SUMIF('Годовая отчетность'!8:8,tables!M233,'Годовая отчетность'!115:115)</f>
        <v>0</v>
      </c>
      <c s="235">
        <f>SUMIF('Годовая отчетность'!8:8,tables!N233,'Годовая отчетность'!115:115)</f>
        <v>0</v>
      </c>
      <c s="235">
        <f>SUMIF('Годовая отчетность'!8:8,tables!O233,'Годовая отчетность'!115:115)</f>
        <v>0</v>
      </c>
      <c s="235">
        <f>SUMIF('Годовая отчетность'!8:8,tables!P233,'Годовая отчетность'!115:115)</f>
        <v>0</v>
      </c>
      <c s="235">
        <f>SUMIF('Годовая отчетность'!8:8,tables!Q233,'Годовая отчетность'!115:115)</f>
        <v>0</v>
      </c>
      <c s="235">
        <f>SUMIF('Годовая отчетность'!8:8,tables!R233,'Годовая отчетность'!115:115)</f>
        <v>0</v>
      </c>
    </row>
    <row r="240" spans="2:18" ht="13.9">
      <c r="B240" s="239" t="str">
        <f>'Годовая отчетность'!B116</f>
        <v>Управленческие расходы (-)</v>
      </c>
      <c s="235"/>
      <c s="235">
        <f>SUMIF('Годовая отчетность'!8:8,tables!D233,'Годовая отчетность'!116:116)</f>
        <v>0</v>
      </c>
      <c s="235">
        <f>SUMIF('Годовая отчетность'!8:8,tables!E233,'Годовая отчетность'!116:116)</f>
        <v>0</v>
      </c>
      <c s="235">
        <f>SUMIF('Годовая отчетность'!8:8,tables!F233,'Годовая отчетность'!116:116)</f>
        <v>0</v>
      </c>
      <c s="235">
        <f>SUMIF('Годовая отчетность'!8:8,tables!G233,'Годовая отчетность'!116:116)</f>
        <v>0</v>
      </c>
      <c s="235">
        <f>SUMIF('Годовая отчетность'!8:8,tables!H233,'Годовая отчетность'!116:116)</f>
        <v>0</v>
      </c>
      <c s="235">
        <f>SUMIF('Годовая отчетность'!8:8,tables!I233,'Годовая отчетность'!116:116)</f>
        <v>0</v>
      </c>
      <c s="235">
        <f>SUMIF('Годовая отчетность'!8:8,tables!J233,'Годовая отчетность'!116:116)</f>
        <v>0</v>
      </c>
      <c s="235">
        <f>SUMIF('Годовая отчетность'!8:8,tables!K233,'Годовая отчетность'!116:116)</f>
        <v>0</v>
      </c>
      <c s="235">
        <f>SUMIF('Годовая отчетность'!8:8,tables!L233,'Годовая отчетность'!116:116)</f>
        <v>0</v>
      </c>
      <c s="235">
        <f>SUMIF('Годовая отчетность'!8:8,tables!M233,'Годовая отчетность'!116:116)</f>
        <v>0</v>
      </c>
      <c s="235">
        <f>SUMIF('Годовая отчетность'!8:8,tables!N233,'Годовая отчетность'!116:116)</f>
        <v>0</v>
      </c>
      <c s="235">
        <f>SUMIF('Годовая отчетность'!8:8,tables!O233,'Годовая отчетность'!116:116)</f>
        <v>0</v>
      </c>
      <c s="235">
        <f>SUMIF('Годовая отчетность'!8:8,tables!P233,'Годовая отчетность'!116:116)</f>
        <v>0</v>
      </c>
      <c s="235">
        <f>SUMIF('Годовая отчетность'!8:8,tables!Q233,'Годовая отчетность'!116:116)</f>
        <v>0</v>
      </c>
      <c s="235">
        <f>SUMIF('Годовая отчетность'!8:8,tables!R233,'Годовая отчетность'!116:116)</f>
        <v>0</v>
      </c>
    </row>
    <row r="241" spans="2:18" ht="13.9">
      <c r="B241" s="239" t="str">
        <f>'Годовая отчетность'!B117</f>
        <v>Прибыль (убыток) от продаж</v>
      </c>
      <c s="235"/>
      <c s="235">
        <f>SUMIF('Годовая отчетность'!8:8,tables!D233,'Годовая отчетность'!117:117)</f>
        <v>0</v>
      </c>
      <c s="235">
        <f>SUMIF('Годовая отчетность'!8:8,tables!E233,'Годовая отчетность'!117:117)</f>
        <v>0</v>
      </c>
      <c s="235">
        <f>SUMIF('Годовая отчетность'!8:8,tables!F233,'Годовая отчетность'!117:117)</f>
        <v>0</v>
      </c>
      <c s="235">
        <f>SUMIF('Годовая отчетность'!8:8,tables!G233,'Годовая отчетность'!117:117)</f>
        <v>0</v>
      </c>
      <c s="235">
        <f>SUMIF('Годовая отчетность'!8:8,tables!H233,'Годовая отчетность'!117:117)</f>
        <v>0</v>
      </c>
      <c s="235">
        <f>SUMIF('Годовая отчетность'!8:8,tables!I233,'Годовая отчетность'!117:117)</f>
        <v>0</v>
      </c>
      <c s="235">
        <f>SUMIF('Годовая отчетность'!8:8,tables!J233,'Годовая отчетность'!117:117)</f>
        <v>0</v>
      </c>
      <c s="235">
        <f>SUMIF('Годовая отчетность'!8:8,tables!K233,'Годовая отчетность'!117:117)</f>
        <v>0</v>
      </c>
      <c s="235">
        <f>SUMIF('Годовая отчетность'!8:8,tables!L233,'Годовая отчетность'!117:117)</f>
        <v>0</v>
      </c>
      <c s="235">
        <f>SUMIF('Годовая отчетность'!8:8,tables!M233,'Годовая отчетность'!117:117)</f>
        <v>0</v>
      </c>
      <c s="235">
        <f>SUMIF('Годовая отчетность'!8:8,tables!N233,'Годовая отчетность'!117:117)</f>
        <v>0</v>
      </c>
      <c s="235">
        <f>SUMIF('Годовая отчетность'!8:8,tables!O233,'Годовая отчетность'!117:117)</f>
        <v>0</v>
      </c>
      <c s="235">
        <f>SUMIF('Годовая отчетность'!8:8,tables!P233,'Годовая отчетность'!117:117)</f>
        <v>0</v>
      </c>
      <c s="235">
        <f>SUMIF('Годовая отчетность'!8:8,tables!Q233,'Годовая отчетность'!117:117)</f>
        <v>0</v>
      </c>
      <c s="235">
        <f>SUMIF('Годовая отчетность'!8:8,tables!R233,'Годовая отчетность'!117:117)</f>
        <v>0</v>
      </c>
    </row>
    <row r="242" spans="2:18" ht="13.9">
      <c r="B242" s="199" t="s">
        <v>1021</v>
      </c>
      <c s="240" t="e">
        <f ca="1">C241/C234</f>
        <v>#DIV/0!</v>
      </c>
      <c s="240" t="e">
        <f t="shared" si="30" ref="D242:R242">D241/D234</f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  <c s="240" t="e">
        <f t="shared" si="30"/>
        <v>#DIV/0!</v>
      </c>
    </row>
    <row r="243" spans="2:18" ht="13.9">
      <c r="B243" s="239" t="str">
        <f>'Годовая отчетность'!B119</f>
        <v>Доходы от участия в других организациях</v>
      </c>
      <c s="235"/>
      <c s="235">
        <f>SUMIF('Годовая отчетность'!8:8,tables!D233,'Годовая отчетность'!119:119)</f>
        <v>0</v>
      </c>
      <c s="235">
        <f>SUMIF('Годовая отчетность'!8:8,tables!E233,'Годовая отчетность'!119:119)</f>
        <v>0</v>
      </c>
      <c s="235">
        <f>SUMIF('Годовая отчетность'!8:8,tables!F233,'Годовая отчетность'!119:119)</f>
        <v>0</v>
      </c>
      <c s="235">
        <f>SUMIF('Годовая отчетность'!8:8,tables!G233,'Годовая отчетность'!119:119)</f>
        <v>0</v>
      </c>
      <c s="235">
        <f>SUMIF('Годовая отчетность'!8:8,tables!H233,'Годовая отчетность'!119:119)</f>
        <v>0</v>
      </c>
      <c s="235">
        <f>SUMIF('Годовая отчетность'!8:8,tables!I233,'Годовая отчетность'!119:119)</f>
        <v>0</v>
      </c>
      <c s="235">
        <f>SUMIF('Годовая отчетность'!8:8,tables!J233,'Годовая отчетность'!119:119)</f>
        <v>0</v>
      </c>
      <c s="235">
        <f>SUMIF('Годовая отчетность'!8:8,tables!K233,'Годовая отчетность'!119:119)</f>
        <v>0</v>
      </c>
      <c s="235">
        <f>SUMIF('Годовая отчетность'!8:8,tables!L233,'Годовая отчетность'!119:119)</f>
        <v>0</v>
      </c>
      <c s="235">
        <f>SUMIF('Годовая отчетность'!8:8,tables!M233,'Годовая отчетность'!119:119)</f>
        <v>0</v>
      </c>
      <c s="235">
        <f>SUMIF('Годовая отчетность'!8:8,tables!N233,'Годовая отчетность'!119:119)</f>
        <v>0</v>
      </c>
      <c s="235">
        <f>SUMIF('Годовая отчетность'!8:8,tables!O233,'Годовая отчетность'!119:119)</f>
        <v>0</v>
      </c>
      <c s="235">
        <f>SUMIF('Годовая отчетность'!8:8,tables!P233,'Годовая отчетность'!119:119)</f>
        <v>0</v>
      </c>
      <c s="235">
        <f>SUMIF('Годовая отчетность'!8:8,tables!Q233,'Годовая отчетность'!119:119)</f>
        <v>0</v>
      </c>
      <c s="235">
        <f>SUMIF('Годовая отчетность'!8:8,tables!R233,'Годовая отчетность'!119:119)</f>
        <v>0</v>
      </c>
    </row>
    <row r="244" spans="2:18" ht="13.9">
      <c r="B244" s="239" t="str">
        <f>'Годовая отчетность'!B120</f>
        <v>Проценты к получению</v>
      </c>
      <c s="235"/>
      <c s="235">
        <f>SUMIF('Годовая отчетность'!8:8,tables!D233,'Годовая отчетность'!120:120)</f>
        <v>0</v>
      </c>
      <c s="235">
        <f>SUMIF('Годовая отчетность'!8:8,tables!E233,'Годовая отчетность'!120:120)</f>
        <v>0</v>
      </c>
      <c s="235">
        <f>SUMIF('Годовая отчетность'!8:8,tables!F233,'Годовая отчетность'!120:120)</f>
        <v>0</v>
      </c>
      <c s="235">
        <f>SUMIF('Годовая отчетность'!8:8,tables!G233,'Годовая отчетность'!120:120)</f>
        <v>0</v>
      </c>
      <c s="235">
        <f>SUMIF('Годовая отчетность'!8:8,tables!H233,'Годовая отчетность'!120:120)</f>
        <v>0</v>
      </c>
      <c s="235">
        <f>SUMIF('Годовая отчетность'!8:8,tables!I233,'Годовая отчетность'!120:120)</f>
        <v>0</v>
      </c>
      <c s="235">
        <f>SUMIF('Годовая отчетность'!8:8,tables!J233,'Годовая отчетность'!120:120)</f>
        <v>0</v>
      </c>
      <c s="235">
        <f>SUMIF('Годовая отчетность'!8:8,tables!K233,'Годовая отчетность'!120:120)</f>
        <v>0</v>
      </c>
      <c s="235">
        <f>SUMIF('Годовая отчетность'!8:8,tables!L233,'Годовая отчетность'!120:120)</f>
        <v>0</v>
      </c>
      <c s="235">
        <f>SUMIF('Годовая отчетность'!8:8,tables!M233,'Годовая отчетность'!120:120)</f>
        <v>0</v>
      </c>
      <c s="235">
        <f>SUMIF('Годовая отчетность'!8:8,tables!N233,'Годовая отчетность'!120:120)</f>
        <v>0</v>
      </c>
      <c s="235">
        <f>SUMIF('Годовая отчетность'!8:8,tables!O233,'Годовая отчетность'!120:120)</f>
        <v>0</v>
      </c>
      <c s="235">
        <f>SUMIF('Годовая отчетность'!8:8,tables!P233,'Годовая отчетность'!120:120)</f>
        <v>0</v>
      </c>
      <c s="235">
        <f>SUMIF('Годовая отчетность'!8:8,tables!Q233,'Годовая отчетность'!120:120)</f>
        <v>0</v>
      </c>
      <c s="235">
        <f>SUMIF('Годовая отчетность'!8:8,tables!R233,'Годовая отчетность'!120:120)</f>
        <v>0</v>
      </c>
    </row>
    <row r="245" spans="2:18" ht="13.9">
      <c r="B245" s="239" t="str">
        <f>'Годовая отчетность'!B121</f>
        <v>Проценты к уплате (-)</v>
      </c>
      <c s="235"/>
      <c s="235">
        <f>SUMIF('Годовая отчетность'!8:8,tables!D233,'Годовая отчетность'!121:121)</f>
        <v>0</v>
      </c>
      <c s="235">
        <f>SUMIF('Годовая отчетность'!8:8,tables!E233,'Годовая отчетность'!121:121)</f>
        <v>0</v>
      </c>
      <c s="235">
        <f>SUMIF('Годовая отчетность'!8:8,tables!F233,'Годовая отчетность'!121:121)</f>
        <v>0</v>
      </c>
      <c s="235">
        <f>SUMIF('Годовая отчетность'!8:8,tables!G233,'Годовая отчетность'!121:121)</f>
        <v>0</v>
      </c>
      <c s="235">
        <f>SUMIF('Годовая отчетность'!8:8,tables!H233,'Годовая отчетность'!121:121)</f>
        <v>0</v>
      </c>
      <c s="235">
        <f>SUMIF('Годовая отчетность'!8:8,tables!I233,'Годовая отчетность'!121:121)</f>
        <v>0</v>
      </c>
      <c s="235">
        <f>SUMIF('Годовая отчетность'!8:8,tables!J233,'Годовая отчетность'!121:121)</f>
        <v>0</v>
      </c>
      <c s="235">
        <f>SUMIF('Годовая отчетность'!8:8,tables!K233,'Годовая отчетность'!121:121)</f>
        <v>0</v>
      </c>
      <c s="235">
        <f>SUMIF('Годовая отчетность'!8:8,tables!L233,'Годовая отчетность'!121:121)</f>
        <v>0</v>
      </c>
      <c s="235">
        <f>SUMIF('Годовая отчетность'!8:8,tables!M233,'Годовая отчетность'!121:121)</f>
        <v>0</v>
      </c>
      <c s="235">
        <f>SUMIF('Годовая отчетность'!8:8,tables!N233,'Годовая отчетность'!121:121)</f>
        <v>0</v>
      </c>
      <c s="235">
        <f>SUMIF('Годовая отчетность'!8:8,tables!O233,'Годовая отчетность'!121:121)</f>
        <v>0</v>
      </c>
      <c s="235">
        <f>SUMIF('Годовая отчетность'!8:8,tables!P233,'Годовая отчетность'!121:121)</f>
        <v>0</v>
      </c>
      <c s="235">
        <f>SUMIF('Годовая отчетность'!8:8,tables!Q233,'Годовая отчетность'!121:121)</f>
        <v>0</v>
      </c>
      <c s="235">
        <f>SUMIF('Годовая отчетность'!8:8,tables!R233,'Годовая отчетность'!121:121)</f>
        <v>0</v>
      </c>
    </row>
    <row r="246" spans="2:18" ht="13.9">
      <c r="B246" s="239" t="str">
        <f>'Годовая отчетность'!B122</f>
        <v>Прочие доходы</v>
      </c>
      <c s="235"/>
      <c s="235">
        <f>SUMIF('Годовая отчетность'!8:8,tables!D233,'Годовая отчетность'!122:122)</f>
        <v>0</v>
      </c>
      <c s="235">
        <f>SUMIF('Годовая отчетность'!8:8,tables!E233,'Годовая отчетность'!122:122)</f>
        <v>0</v>
      </c>
      <c s="235">
        <f>SUMIF('Годовая отчетность'!8:8,tables!F233,'Годовая отчетность'!122:122)</f>
        <v>0</v>
      </c>
      <c s="235">
        <f>SUMIF('Годовая отчетность'!8:8,tables!G233,'Годовая отчетность'!122:122)</f>
        <v>0</v>
      </c>
      <c s="235">
        <f>SUMIF('Годовая отчетность'!8:8,tables!H233,'Годовая отчетность'!122:122)</f>
        <v>0</v>
      </c>
      <c s="235">
        <f>SUMIF('Годовая отчетность'!8:8,tables!I233,'Годовая отчетность'!122:122)</f>
        <v>0</v>
      </c>
      <c s="235">
        <f>SUMIF('Годовая отчетность'!8:8,tables!J233,'Годовая отчетность'!122:122)</f>
        <v>0</v>
      </c>
      <c s="235">
        <f>SUMIF('Годовая отчетность'!8:8,tables!K233,'Годовая отчетность'!122:122)</f>
        <v>0</v>
      </c>
      <c s="235">
        <f>SUMIF('Годовая отчетность'!8:8,tables!L233,'Годовая отчетность'!122:122)</f>
        <v>0</v>
      </c>
      <c s="235">
        <f>SUMIF('Годовая отчетность'!8:8,tables!M233,'Годовая отчетность'!122:122)</f>
        <v>0</v>
      </c>
      <c s="235">
        <f>SUMIF('Годовая отчетность'!8:8,tables!N233,'Годовая отчетность'!122:122)</f>
        <v>0</v>
      </c>
      <c s="235">
        <f>SUMIF('Годовая отчетность'!8:8,tables!O233,'Годовая отчетность'!122:122)</f>
        <v>0</v>
      </c>
      <c s="235">
        <f>SUMIF('Годовая отчетность'!8:8,tables!P233,'Годовая отчетность'!122:122)</f>
        <v>0</v>
      </c>
      <c s="235">
        <f>SUMIF('Годовая отчетность'!8:8,tables!Q233,'Годовая отчетность'!122:122)</f>
        <v>0</v>
      </c>
      <c s="235">
        <f>SUMIF('Годовая отчетность'!8:8,tables!R233,'Годовая отчетность'!122:122)</f>
        <v>0</v>
      </c>
    </row>
    <row r="247" spans="2:18" ht="13.9">
      <c r="B247" s="239" t="str">
        <f>'Годовая отчетность'!B123</f>
        <v>Прочие расходы (-)</v>
      </c>
      <c s="235"/>
      <c s="235">
        <f>SUMIF('Годовая отчетность'!8:8,tables!D233,'Годовая отчетность'!123:123)</f>
        <v>0</v>
      </c>
      <c s="235">
        <f>SUMIF('Годовая отчетность'!8:8,tables!E233,'Годовая отчетность'!123:123)</f>
        <v>0</v>
      </c>
      <c s="235">
        <f>SUMIF('Годовая отчетность'!8:8,tables!F233,'Годовая отчетность'!123:123)</f>
        <v>0</v>
      </c>
      <c s="235">
        <f>SUMIF('Годовая отчетность'!8:8,tables!G233,'Годовая отчетность'!123:123)</f>
        <v>0</v>
      </c>
      <c s="235">
        <f>SUMIF('Годовая отчетность'!8:8,tables!H233,'Годовая отчетность'!123:123)</f>
        <v>0</v>
      </c>
      <c s="235">
        <f>SUMIF('Годовая отчетность'!8:8,tables!I233,'Годовая отчетность'!123:123)</f>
        <v>0</v>
      </c>
      <c s="235">
        <f>SUMIF('Годовая отчетность'!8:8,tables!J233,'Годовая отчетность'!123:123)</f>
        <v>0</v>
      </c>
      <c s="235">
        <f>SUMIF('Годовая отчетность'!8:8,tables!K233,'Годовая отчетность'!123:123)</f>
        <v>0</v>
      </c>
      <c s="235">
        <f>SUMIF('Годовая отчетность'!8:8,tables!L233,'Годовая отчетность'!123:123)</f>
        <v>0</v>
      </c>
      <c s="235">
        <f>SUMIF('Годовая отчетность'!8:8,tables!M233,'Годовая отчетность'!123:123)</f>
        <v>0</v>
      </c>
      <c s="235">
        <f>SUMIF('Годовая отчетность'!8:8,tables!N233,'Годовая отчетность'!123:123)</f>
        <v>0</v>
      </c>
      <c s="235">
        <f>SUMIF('Годовая отчетность'!8:8,tables!O233,'Годовая отчетность'!123:123)</f>
        <v>0</v>
      </c>
      <c s="235">
        <f>SUMIF('Годовая отчетность'!8:8,tables!P233,'Годовая отчетность'!123:123)</f>
        <v>0</v>
      </c>
      <c s="235">
        <f>SUMIF('Годовая отчетность'!8:8,tables!Q233,'Годовая отчетность'!123:123)</f>
        <v>0</v>
      </c>
      <c s="235">
        <f>SUMIF('Годовая отчетность'!8:8,tables!R233,'Годовая отчетность'!123:123)</f>
        <v>0</v>
      </c>
    </row>
    <row r="248" spans="2:18" ht="13.9">
      <c r="B248" s="239" t="str">
        <f>'Годовая отчетность'!B124</f>
        <v>Прибыль (убыток) до налогообложения</v>
      </c>
      <c s="235">
        <f ca="1">SUM('Годовая отчетность'!E124,OFFSET(Предпосылки!$G$549,,,,-ROUNDUP(MONTH(Предпосылки!$C$13)/Месяцев_в_квартале,0)),0)</f>
        <v>0</v>
      </c>
      <c s="235">
        <f>SUMIF('Годовая отчетность'!8:8,tables!D233,'Годовая отчетность'!124:124)</f>
        <v>0</v>
      </c>
      <c s="235">
        <f>SUMIF('Годовая отчетность'!8:8,tables!E233,'Годовая отчетность'!124:124)</f>
        <v>0</v>
      </c>
      <c s="235">
        <f>SUMIF('Годовая отчетность'!8:8,tables!F233,'Годовая отчетность'!124:124)</f>
        <v>0</v>
      </c>
      <c s="235">
        <f>SUMIF('Годовая отчетность'!8:8,tables!G233,'Годовая отчетность'!124:124)</f>
        <v>0</v>
      </c>
      <c s="235">
        <f>SUMIF('Годовая отчетность'!8:8,tables!H233,'Годовая отчетность'!124:124)</f>
        <v>0</v>
      </c>
      <c s="235">
        <f>SUMIF('Годовая отчетность'!8:8,tables!I233,'Годовая отчетность'!124:124)</f>
        <v>0</v>
      </c>
      <c s="235">
        <f>SUMIF('Годовая отчетность'!8:8,tables!J233,'Годовая отчетность'!124:124)</f>
        <v>0</v>
      </c>
      <c s="235">
        <f>SUMIF('Годовая отчетность'!8:8,tables!K233,'Годовая отчетность'!124:124)</f>
        <v>0</v>
      </c>
      <c s="235">
        <f>SUMIF('Годовая отчетность'!8:8,tables!L233,'Годовая отчетность'!124:124)</f>
        <v>0</v>
      </c>
      <c s="235">
        <f>SUMIF('Годовая отчетность'!8:8,tables!M233,'Годовая отчетность'!124:124)</f>
        <v>0</v>
      </c>
      <c s="235">
        <f>SUMIF('Годовая отчетность'!8:8,tables!N233,'Годовая отчетность'!124:124)</f>
        <v>0</v>
      </c>
      <c s="235">
        <f>SUMIF('Годовая отчетность'!8:8,tables!O233,'Годовая отчетность'!124:124)</f>
        <v>0</v>
      </c>
      <c s="235">
        <f>SUMIF('Годовая отчетность'!8:8,tables!P233,'Годовая отчетность'!124:124)</f>
        <v>0</v>
      </c>
      <c s="235">
        <f>SUMIF('Годовая отчетность'!8:8,tables!Q233,'Годовая отчетность'!124:124)</f>
        <v>0</v>
      </c>
      <c s="235">
        <f>SUMIF('Годовая отчетность'!8:8,tables!R233,'Годовая отчетность'!124:124)</f>
        <v>0</v>
      </c>
    </row>
    <row r="249" spans="2:18" ht="13.9">
      <c r="B249" s="239" t="str">
        <f>'Годовая отчетность'!B125</f>
        <v>Налог на прибыль (-)</v>
      </c>
      <c s="235"/>
      <c s="235">
        <f>SUMIF('Годовая отчетность'!8:8,tables!D233,'Годовая отчетность'!125:125)</f>
        <v>0</v>
      </c>
      <c s="235">
        <f>SUMIF('Годовая отчетность'!8:8,tables!E233,'Годовая отчетность'!125:125)</f>
        <v>0</v>
      </c>
      <c s="235">
        <f>SUMIF('Годовая отчетность'!8:8,tables!F233,'Годовая отчетность'!125:125)</f>
        <v>0</v>
      </c>
      <c s="235">
        <f>SUMIF('Годовая отчетность'!8:8,tables!G233,'Годовая отчетность'!125:125)</f>
        <v>0</v>
      </c>
      <c s="235">
        <f>SUMIF('Годовая отчетность'!8:8,tables!H233,'Годовая отчетность'!125:125)</f>
        <v>0</v>
      </c>
      <c s="235">
        <f>SUMIF('Годовая отчетность'!8:8,tables!I233,'Годовая отчетность'!125:125)</f>
        <v>0</v>
      </c>
      <c s="235">
        <f>SUMIF('Годовая отчетность'!8:8,tables!J233,'Годовая отчетность'!125:125)</f>
        <v>0</v>
      </c>
      <c s="235">
        <f>SUMIF('Годовая отчетность'!8:8,tables!K233,'Годовая отчетность'!125:125)</f>
        <v>0</v>
      </c>
      <c s="235">
        <f>SUMIF('Годовая отчетность'!8:8,tables!L233,'Годовая отчетность'!125:125)</f>
        <v>0</v>
      </c>
      <c s="235">
        <f>SUMIF('Годовая отчетность'!8:8,tables!M233,'Годовая отчетность'!125:125)</f>
        <v>0</v>
      </c>
      <c s="235">
        <f>SUMIF('Годовая отчетность'!8:8,tables!N233,'Годовая отчетность'!125:125)</f>
        <v>0</v>
      </c>
      <c s="235">
        <f>SUMIF('Годовая отчетность'!8:8,tables!O233,'Годовая отчетность'!125:125)</f>
        <v>0</v>
      </c>
      <c s="235">
        <f>SUMIF('Годовая отчетность'!8:8,tables!P233,'Годовая отчетность'!125:125)</f>
        <v>0</v>
      </c>
      <c s="235">
        <f>SUMIF('Годовая отчетность'!8:8,tables!Q233,'Годовая отчетность'!125:125)</f>
        <v>0</v>
      </c>
      <c s="235">
        <f>SUMIF('Годовая отчетность'!8:8,tables!R233,'Годовая отчетность'!125:125)</f>
        <v>0</v>
      </c>
    </row>
    <row r="250" spans="2:18" ht="13.9">
      <c r="B250" s="239" t="str">
        <f>'Годовая отчетность'!B126</f>
        <v>Чистая прибыль (убыток)</v>
      </c>
      <c s="235">
        <f ca="1">SUM('Годовая отчетность'!E126,OFFSET(Предпосылки!$G$551,,,,-ROUNDUP(MONTH(Предпосылки!$C$13)/Месяцев_в_квартале,0)),0)</f>
        <v>0</v>
      </c>
      <c s="235">
        <f>SUMIF('Годовая отчетность'!8:8,tables!D233,'Годовая отчетность'!126:126)</f>
        <v>0</v>
      </c>
      <c s="235">
        <f>SUMIF('Годовая отчетность'!8:8,tables!E233,'Годовая отчетность'!126:126)</f>
        <v>0</v>
      </c>
      <c s="235">
        <f>SUMIF('Годовая отчетность'!8:8,tables!F233,'Годовая отчетность'!126:126)</f>
        <v>0</v>
      </c>
      <c s="235">
        <f>SUMIF('Годовая отчетность'!8:8,tables!G233,'Годовая отчетность'!126:126)</f>
        <v>0</v>
      </c>
      <c s="235">
        <f>SUMIF('Годовая отчетность'!8:8,tables!H233,'Годовая отчетность'!126:126)</f>
        <v>0</v>
      </c>
      <c s="235">
        <f>SUMIF('Годовая отчетность'!8:8,tables!I233,'Годовая отчетность'!126:126)</f>
        <v>0</v>
      </c>
      <c s="235">
        <f>SUMIF('Годовая отчетность'!8:8,tables!J233,'Годовая отчетность'!126:126)</f>
        <v>0</v>
      </c>
      <c s="235">
        <f>SUMIF('Годовая отчетность'!8:8,tables!K233,'Годовая отчетность'!126:126)</f>
        <v>0</v>
      </c>
      <c s="235">
        <f>SUMIF('Годовая отчетность'!8:8,tables!L233,'Годовая отчетность'!126:126)</f>
        <v>0</v>
      </c>
      <c s="235">
        <f>SUMIF('Годовая отчетность'!8:8,tables!M233,'Годовая отчетность'!126:126)</f>
        <v>0</v>
      </c>
      <c s="235">
        <f>SUMIF('Годовая отчетность'!8:8,tables!N233,'Годовая отчетность'!126:126)</f>
        <v>0</v>
      </c>
      <c s="235">
        <f>SUMIF('Годовая отчетность'!8:8,tables!O233,'Годовая отчетность'!126:126)</f>
        <v>0</v>
      </c>
      <c s="235">
        <f>SUMIF('Годовая отчетность'!8:8,tables!P233,'Годовая отчетность'!126:126)</f>
        <v>0</v>
      </c>
      <c s="235">
        <f>SUMIF('Годовая отчетность'!8:8,tables!Q233,'Годовая отчетность'!126:126)</f>
        <v>0</v>
      </c>
      <c s="235">
        <f>SUMIF('Годовая отчетность'!8:8,tables!R233,'Годовая отчетность'!126:126)</f>
        <v>0</v>
      </c>
    </row>
    <row r="251" spans="2:18" ht="13.9">
      <c r="B251" s="199" t="s">
        <v>1022</v>
      </c>
      <c s="240" t="e">
        <f ca="1" t="shared" si="31" ref="C251:R251">C250/C234</f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  <c s="240" t="e">
        <f t="shared" ca="1" si="31"/>
        <v>#DIV/0!</v>
      </c>
    </row>
  </sheetData>
  <mergeCells count="47">
    <mergeCell ref="L52:L53"/>
    <mergeCell ref="M52:M53"/>
    <mergeCell ref="N52:N53"/>
    <mergeCell ref="O52:O53"/>
    <mergeCell ref="P52:P53"/>
    <mergeCell ref="B130:B133"/>
    <mergeCell ref="B134:B137"/>
    <mergeCell ref="B138:B141"/>
    <mergeCell ref="B142:B145"/>
    <mergeCell ref="B146:B148"/>
    <mergeCell ref="B3:R3"/>
    <mergeCell ref="C43:D43"/>
    <mergeCell ref="E43:F43"/>
    <mergeCell ref="B43:B44"/>
    <mergeCell ref="B126:B129"/>
    <mergeCell ref="D125:N125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K52:K53"/>
    <mergeCell ref="A174:B174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94:B194"/>
    <mergeCell ref="A189:B189"/>
    <mergeCell ref="A190:B190"/>
    <mergeCell ref="A191:B191"/>
    <mergeCell ref="A192:B192"/>
    <mergeCell ref="A193:B193"/>
  </mergeCells>
  <conditionalFormatting sqref="C45:F45">
    <cfRule type="cellIs" priority="47" dxfId="0" operator="lessThan">
      <formula>0</formula>
    </cfRule>
  </conditionalFormatting>
  <conditionalFormatting sqref="C6:R11">
    <cfRule type="cellIs" priority="60" dxfId="0" operator="lessThan">
      <formula>0</formula>
    </cfRule>
  </conditionalFormatting>
  <conditionalFormatting sqref="C13:R22">
    <cfRule type="cellIs" priority="1" dxfId="0" operator="lessThan">
      <formula>0</formula>
    </cfRule>
  </conditionalFormatting>
  <conditionalFormatting sqref="C27:R33">
    <cfRule type="cellIs" priority="49" dxfId="0" operator="lessThan">
      <formula>0</formula>
    </cfRule>
  </conditionalFormatting>
  <conditionalFormatting sqref="C37:R40">
    <cfRule type="cellIs" priority="48" dxfId="0" operator="lessThan">
      <formula>0</formula>
    </cfRule>
  </conditionalFormatting>
  <conditionalFormatting sqref="C64:R73">
    <cfRule type="cellIs" priority="35" dxfId="0" operator="lessThan">
      <formula>0</formula>
    </cfRule>
  </conditionalFormatting>
  <conditionalFormatting sqref="C77:R80">
    <cfRule type="cellIs" priority="33" dxfId="0" operator="lessThan">
      <formula>0</formula>
    </cfRule>
  </conditionalFormatting>
  <conditionalFormatting sqref="C97:R98">
    <cfRule type="cellIs" priority="30" dxfId="0" operator="lessThan">
      <formula>0</formula>
    </cfRule>
  </conditionalFormatting>
  <conditionalFormatting sqref="C100:R100">
    <cfRule type="cellIs" priority="29" dxfId="0" operator="lessThan">
      <formula>0</formula>
    </cfRule>
  </conditionalFormatting>
  <conditionalFormatting sqref="C112:R112">
    <cfRule type="cellIs" priority="28" dxfId="0" operator="lessThan">
      <formula>0</formula>
    </cfRule>
  </conditionalFormatting>
  <conditionalFormatting sqref="C115:R115">
    <cfRule type="cellIs" priority="27" dxfId="0" operator="lessThan">
      <formula>0</formula>
    </cfRule>
  </conditionalFormatting>
  <conditionalFormatting sqref="D126:N127">
    <cfRule type="cellIs" priority="14" dxfId="0" operator="lessThan">
      <formula>0</formula>
    </cfRule>
  </conditionalFormatting>
  <conditionalFormatting sqref="D128:N128">
    <cfRule type="cellIs" priority="20" dxfId="0" operator="equal">
      <formula>"не окупается"</formula>
    </cfRule>
  </conditionalFormatting>
  <conditionalFormatting sqref="D129:N131">
    <cfRule type="cellIs" priority="8" dxfId="0" operator="lessThan">
      <formula>0</formula>
    </cfRule>
  </conditionalFormatting>
  <conditionalFormatting sqref="D132:N132">
    <cfRule type="cellIs" priority="19" dxfId="0" operator="equal">
      <formula>"не окупается"</formula>
    </cfRule>
  </conditionalFormatting>
  <conditionalFormatting sqref="D133:N135">
    <cfRule type="cellIs" priority="7" dxfId="0" operator="lessThan">
      <formula>0</formula>
    </cfRule>
  </conditionalFormatting>
  <conditionalFormatting sqref="D136:N136">
    <cfRule type="cellIs" priority="18" dxfId="0" operator="equal">
      <formula>"не окупается"</formula>
    </cfRule>
  </conditionalFormatting>
  <conditionalFormatting sqref="D137:N139">
    <cfRule type="cellIs" priority="6" dxfId="0" operator="lessThan">
      <formula>0</formula>
    </cfRule>
  </conditionalFormatting>
  <conditionalFormatting sqref="D140:N140">
    <cfRule type="cellIs" priority="17" dxfId="0" operator="equal">
      <formula>"не окупается"</formula>
    </cfRule>
  </conditionalFormatting>
  <conditionalFormatting sqref="D141:N143">
    <cfRule type="cellIs" priority="5" dxfId="0" operator="lessThan">
      <formula>0</formula>
    </cfRule>
  </conditionalFormatting>
  <conditionalFormatting sqref="D144:N144">
    <cfRule type="cellIs" priority="16" dxfId="0" operator="equal">
      <formula>"не окупается"</formula>
    </cfRule>
  </conditionalFormatting>
  <conditionalFormatting sqref="D145:N147">
    <cfRule type="cellIs" priority="4" dxfId="0" operator="lessThan">
      <formula>0</formula>
    </cfRule>
  </conditionalFormatting>
  <conditionalFormatting sqref="D148:N148">
    <cfRule type="cellIs" priority="15" dxfId="0" operator="equal">
      <formula>"не окупается"</formula>
    </cfRule>
  </conditionalFormatting>
  <pageMargins left="0.7" right="0.7" top="0.75" bottom="0.75" header="0.3" footer="0.3"/>
  <pageSetup orientation="portrait" paperSize="9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>
    <tabColor rgb="FF2A2D4F"/>
  </sheetPr>
  <dimension ref="B5:H5"/>
  <sheetViews>
    <sheetView showGridLines="0" showRowColHeaders="0" workbookViewId="0" topLeftCell="A1">
      <selection pane="topLeft" activeCell="H3" sqref="H3"/>
    </sheetView>
  </sheetViews>
  <sheetFormatPr defaultColWidth="0" defaultRowHeight="14.45" zeroHeight="1"/>
  <cols>
    <col min="1" max="1" width="2.85714285714286" customWidth="1"/>
    <col min="2" max="8" width="9.14285714285714" customWidth="1"/>
    <col min="9" max="9" width="2.85714285714286" customWidth="1"/>
    <col min="10" max="16384" width="9.14285714285714" hidden="1"/>
  </cols>
  <sheetData>
    <row r="1" ht="14.45"/>
    <row r="2" ht="14.45"/>
    <row r="3" ht="14.45"/>
    <row r="4" ht="14.45"/>
    <row r="5" spans="2:8" ht="14.45">
      <c r="B5" s="438" t="s">
        <v>26</v>
      </c>
      <c s="438"/>
      <c s="438"/>
      <c s="438"/>
      <c s="438"/>
      <c s="438"/>
      <c s="438"/>
    </row>
  </sheetData>
  <sheetProtection algorithmName="SHA-512" hashValue="AZtR3BDsPB6gPmlgFaLE/S0WvtgQEoW18kOJK9IXNBb9in5u6pr8tzgXiHTIODS/2R37LLbBg+Hjpt/X07j5Ew==" saltValue="SeXz8CfirnusO00nLeSgcw==" spinCount="100000" sheet="1" objects="1" scenarios="1"/>
  <mergeCells count="2">
    <mergeCell ref="B7:H35"/>
    <mergeCell ref="B5:H5"/>
  </mergeCells>
  <pageMargins left="0.7" right="0.7" top="0.75" bottom="0.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2A2D4F"/>
    <pageSetUpPr fitToPage="1"/>
  </sheetPr>
  <dimension ref="B5:AC131"/>
  <sheetViews>
    <sheetView showGridLines="0" workbookViewId="0" topLeftCell="A1">
      <pane xSplit="2" ySplit="5" topLeftCell="C6" activePane="bottomRight" state="frozen"/>
      <selection pane="topLeft" activeCell="A1" sqref="A1"/>
      <selection pane="bottomLeft" activeCell="B7" sqref="B7"/>
      <selection pane="topRight" activeCell="B7" sqref="B7"/>
      <selection pane="bottomRight" activeCell="F77" sqref="F77"/>
    </sheetView>
  </sheetViews>
  <sheetFormatPr defaultColWidth="0" defaultRowHeight="15" customHeight="1" zeroHeight="1"/>
  <cols>
    <col min="1" max="1" width="2.85714285714286" customWidth="1"/>
    <col min="2" max="2" width="44.2857142857143" customWidth="1"/>
    <col min="3" max="3" width="18.7142857142857" customWidth="1"/>
    <col min="4" max="14" width="17.7142857142857" customWidth="1"/>
    <col min="15" max="15" width="2.85714285714286" customWidth="1"/>
    <col min="16" max="28" width="15.7142857142857" hidden="1" customWidth="1"/>
    <col min="29" max="29" width="2.85714285714286" hidden="1" customWidth="1"/>
    <col min="30" max="16384" width="9.14285714285714" hidden="1"/>
  </cols>
  <sheetData>
    <row r="1" ht="15" customHeight="1"/>
    <row r="2" ht="14.45"/>
    <row r="3" ht="14.45"/>
    <row r="4" ht="14.45"/>
    <row r="5" spans="2:28" ht="31.15">
      <c r="B5" s="7" t="s">
        <v>7</v>
      </c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28" ht="14.45">
      <c r="B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" spans="2:28" ht="21">
      <c r="B7" s="88" t="s">
        <v>27</v>
      </c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</row>
    <row r="8" spans="2:27" ht="15" customHeight="1">
      <c r="B8" s="445" t="s">
        <v>28</v>
      </c>
      <c s="445" t="s">
        <v>29</v>
      </c>
      <c s="445" t="s">
        <v>30</v>
      </c>
      <c s="445" t="s">
        <v>31</v>
      </c>
      <c s="447" t="s">
        <v>32</v>
      </c>
      <c s="450" t="s">
        <v>33</v>
      </c>
      <c s="451"/>
      <c s="451"/>
      <c s="451"/>
      <c s="451"/>
      <c s="451"/>
      <c s="451"/>
      <c s="452"/>
      <c s="459"/>
      <c s="5"/>
      <c s="5"/>
      <c s="5"/>
      <c s="5"/>
      <c s="5"/>
      <c s="5"/>
      <c s="5"/>
      <c s="5"/>
      <c s="5"/>
      <c s="5"/>
      <c s="5"/>
      <c s="5"/>
    </row>
    <row r="9" spans="2:27" ht="15" customHeight="1">
      <c r="B9" s="445"/>
      <c s="445"/>
      <c s="445"/>
      <c s="445"/>
      <c s="448"/>
      <c s="453"/>
      <c s="454"/>
      <c s="454"/>
      <c s="454"/>
      <c s="454"/>
      <c s="454"/>
      <c s="454"/>
      <c s="455"/>
      <c s="460"/>
      <c s="5"/>
      <c s="5"/>
      <c s="5"/>
      <c s="5"/>
      <c s="5"/>
      <c s="5"/>
      <c s="5"/>
      <c s="5"/>
      <c s="5"/>
      <c s="5"/>
      <c s="5"/>
      <c s="5"/>
    </row>
    <row r="10" spans="2:27" ht="14.45">
      <c r="B10" s="445"/>
      <c s="445"/>
      <c s="445"/>
      <c s="445"/>
      <c s="449"/>
      <c s="456"/>
      <c s="457"/>
      <c s="457"/>
      <c s="457"/>
      <c s="457"/>
      <c s="457"/>
      <c s="457"/>
      <c s="458"/>
      <c s="461"/>
      <c s="5"/>
      <c s="5"/>
      <c s="5"/>
      <c s="5"/>
      <c s="5"/>
      <c s="5"/>
      <c s="5"/>
      <c s="5"/>
      <c s="5"/>
      <c s="5"/>
      <c s="5"/>
      <c s="5"/>
    </row>
    <row r="11" spans="2:27" ht="49.15" customHeight="1">
      <c r="B11" s="229" t="s">
        <v>34</v>
      </c>
      <c s="244">
        <v>5000</v>
      </c>
      <c s="244">
        <v>20000</v>
      </c>
      <c s="245">
        <v>60</v>
      </c>
      <c s="246">
        <v>0.050000000000000003</v>
      </c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2" spans="2:27" ht="51" customHeight="1">
      <c r="B12" s="229" t="s">
        <v>35</v>
      </c>
      <c s="244">
        <v>5000</v>
      </c>
      <c s="244">
        <v>20000</v>
      </c>
      <c s="245">
        <v>60</v>
      </c>
      <c s="246">
        <v>0.070000000000000007</v>
      </c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3" spans="2:27" ht="405.75" customHeight="1">
      <c r="B13" s="229"/>
      <c s="244"/>
      <c s="244"/>
      <c s="245"/>
      <c s="246"/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4" spans="2:27" ht="142.5" customHeight="1">
      <c r="B14" s="229"/>
      <c s="244"/>
      <c s="244"/>
      <c s="245"/>
      <c s="246"/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5" spans="2:27" ht="102.75" customHeight="1">
      <c r="B15" s="229"/>
      <c s="244"/>
      <c s="244"/>
      <c s="245"/>
      <c s="246"/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6" spans="2:27" ht="299.25" customHeight="1">
      <c r="B16" s="229"/>
      <c s="244"/>
      <c s="244"/>
      <c s="245"/>
      <c s="246"/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7" spans="2:27" ht="150.75" customHeight="1">
      <c r="B17" s="229"/>
      <c s="244"/>
      <c s="244"/>
      <c s="245"/>
      <c s="246"/>
      <c s="642"/>
      <c s="643"/>
      <c s="643"/>
      <c s="643"/>
      <c s="643"/>
      <c s="643"/>
      <c s="643"/>
      <c s="644"/>
      <c s="5"/>
      <c s="5"/>
      <c s="5"/>
      <c s="5"/>
      <c s="5"/>
      <c s="5"/>
      <c s="5"/>
      <c s="5"/>
      <c s="5"/>
      <c s="5"/>
      <c s="5"/>
      <c s="5"/>
      <c s="5"/>
    </row>
    <row r="18" spans="2:27" ht="402" customHeight="1">
      <c r="B18" s="229"/>
      <c s="244"/>
      <c s="244"/>
      <c s="245"/>
      <c s="246"/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19" spans="2:27" ht="167.25" customHeight="1">
      <c r="B19" s="229"/>
      <c s="244"/>
      <c s="244"/>
      <c s="245"/>
      <c s="246"/>
      <c s="642"/>
      <c s="462"/>
      <c s="462"/>
      <c s="462"/>
      <c s="462"/>
      <c s="462"/>
      <c s="462"/>
      <c s="463"/>
      <c s="5"/>
      <c s="5"/>
      <c s="5"/>
      <c s="5"/>
      <c s="5"/>
      <c s="5"/>
      <c s="5"/>
      <c s="5"/>
      <c s="5"/>
      <c s="5"/>
      <c s="5"/>
      <c s="5"/>
      <c s="5"/>
    </row>
    <row r="20" spans="2:27" ht="257.25" customHeight="1">
      <c r="B20" s="229"/>
      <c s="244"/>
      <c s="244"/>
      <c s="245"/>
      <c s="246"/>
      <c s="639"/>
      <c s="640"/>
      <c s="640"/>
      <c s="640"/>
      <c s="640"/>
      <c s="640"/>
      <c s="640"/>
      <c s="641"/>
      <c s="5"/>
      <c s="5"/>
      <c s="5"/>
      <c s="5"/>
      <c s="5"/>
      <c s="5"/>
      <c s="5"/>
      <c s="5"/>
      <c s="5"/>
      <c s="5"/>
      <c s="5"/>
      <c s="5"/>
      <c s="5"/>
    </row>
    <row r="21" spans="15:27" ht="21.6" customHeight="1">
      <c r="O21" s="5"/>
      <c s="5"/>
      <c s="5"/>
      <c s="5"/>
      <c s="5"/>
      <c s="5"/>
      <c s="5"/>
      <c s="5"/>
      <c s="5"/>
      <c s="5"/>
      <c s="5"/>
      <c s="5"/>
      <c s="5"/>
    </row>
    <row r="22" spans="2:29" ht="14.45">
      <c r="B22" s="99"/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" spans="2:28" ht="21">
      <c r="B23" s="88" t="s">
        <v>36</v>
      </c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</row>
    <row r="24" spans="2:16" ht="15" customHeight="1">
      <c r="B24" s="447" t="s">
        <v>28</v>
      </c>
      <c s="447" t="s">
        <v>37</v>
      </c>
      <c s="447" t="s">
        <v>38</v>
      </c>
      <c s="450" t="s">
        <v>33</v>
      </c>
      <c s="451"/>
      <c s="451"/>
      <c s="451"/>
      <c s="451"/>
      <c s="452"/>
      <c s="86"/>
      <c s="86"/>
      <c s="86"/>
      <c s="86"/>
      <c r="P24" t="s">
        <v>39</v>
      </c>
    </row>
    <row r="25" spans="2:14" ht="15" customHeight="1">
      <c r="B25" s="448"/>
      <c s="448"/>
      <c s="448"/>
      <c s="453"/>
      <c s="454"/>
      <c s="454"/>
      <c s="454"/>
      <c s="454"/>
      <c s="455"/>
      <c s="86"/>
      <c s="86"/>
      <c s="86"/>
      <c s="86"/>
    </row>
    <row r="26" spans="2:18" ht="29.45" customHeight="1">
      <c r="B26" s="449"/>
      <c s="449"/>
      <c s="449"/>
      <c s="456"/>
      <c s="457"/>
      <c s="457"/>
      <c s="457"/>
      <c s="457"/>
      <c s="458"/>
      <c s="86"/>
      <c s="86"/>
      <c s="86"/>
      <c s="86"/>
      <c r="P26" s="425" t="s">
        <v>40</v>
      </c>
      <c s="425" t="s">
        <v>41</v>
      </c>
      <c s="426" t="s">
        <v>42</v>
      </c>
    </row>
    <row r="27" spans="2:18" ht="19.15" customHeight="1">
      <c r="B27" s="247" t="str">
        <f>B11</f>
        <v>Развитие промышленного производства №1</v>
      </c>
      <c s="423">
        <v>0.01</v>
      </c>
      <c s="247">
        <v>60</v>
      </c>
      <c s="247"/>
      <c s="247"/>
      <c s="247"/>
      <c s="247"/>
      <c s="247"/>
      <c s="247"/>
      <c s="86"/>
      <c s="86"/>
      <c s="86"/>
      <c s="86"/>
      <c r="P27" s="426">
        <f>C27</f>
        <v>0.01</v>
      </c>
      <c s="426">
        <f>C29</f>
        <v>0.050000000000000003</v>
      </c>
      <c s="426">
        <f>IF(Программа='Программы финансирования'!$B$11,'Программы финансирования'!P27,'Программы финансирования'!Q27)</f>
        <v>0.01</v>
      </c>
    </row>
    <row r="28" spans="2:18" ht="15" customHeight="1">
      <c r="B28" s="247" t="str">
        <f>B27</f>
        <v>Развитие промышленного производства №1</v>
      </c>
      <c s="423">
        <v>0.029999999999999999</v>
      </c>
      <c s="247">
        <v>60</v>
      </c>
      <c s="247"/>
      <c s="247"/>
      <c s="247"/>
      <c s="247"/>
      <c s="247"/>
      <c s="247"/>
      <c s="86"/>
      <c s="86"/>
      <c s="86"/>
      <c s="86"/>
      <c r="P28" s="426">
        <f t="shared" si="0" ref="P28:P29">C28</f>
        <v>0.029999999999999999</v>
      </c>
      <c s="426">
        <f>C31</f>
        <v>0.070000000000000007</v>
      </c>
      <c s="426">
        <f>IF(Программа='Программы финансирования'!$B$11,'Программы финансирования'!P28,'Программы финансирования'!Q28)</f>
        <v>0.029999999999999999</v>
      </c>
    </row>
    <row r="29" spans="2:18" ht="15" customHeight="1">
      <c r="B29" s="247" t="str">
        <f>B27</f>
        <v>Развитие промышленного производства №1</v>
      </c>
      <c s="423">
        <v>0.050000000000000003</v>
      </c>
      <c s="247">
        <v>60</v>
      </c>
      <c s="247"/>
      <c s="247"/>
      <c s="247"/>
      <c s="247"/>
      <c s="247"/>
      <c s="247"/>
      <c s="86"/>
      <c s="86"/>
      <c s="86"/>
      <c s="86"/>
      <c r="P29" s="426">
        <f t="shared" si="0"/>
        <v>0.050000000000000003</v>
      </c>
      <c s="426">
        <v>0.070000000000000007</v>
      </c>
      <c s="426">
        <f>IF(Программа='Программы финансирования'!$B$11,'Программы финансирования'!P29,'Программы финансирования'!Q29)</f>
        <v>0.050000000000000003</v>
      </c>
    </row>
    <row r="30" spans="2:18" ht="13.15" customHeight="1">
      <c r="B30" s="247" t="str">
        <f>B12</f>
        <v>Развитие промышленного производства №2</v>
      </c>
      <c s="423">
        <v>0.050000000000000003</v>
      </c>
      <c s="247">
        <v>60</v>
      </c>
      <c s="247"/>
      <c s="247"/>
      <c s="247"/>
      <c s="247"/>
      <c s="247"/>
      <c s="247"/>
      <c s="86"/>
      <c s="86"/>
      <c s="86"/>
      <c s="86"/>
      <c r="P30" s="425"/>
      <c s="425"/>
      <c s="426"/>
    </row>
    <row r="31" spans="2:18" ht="17.45" customHeight="1">
      <c r="B31" s="247" t="str">
        <f>B30</f>
        <v>Развитие промышленного производства №2</v>
      </c>
      <c s="423">
        <v>0.070000000000000007</v>
      </c>
      <c s="247">
        <v>60</v>
      </c>
      <c s="247"/>
      <c s="247"/>
      <c s="247"/>
      <c s="247"/>
      <c s="247"/>
      <c s="247"/>
      <c s="86"/>
      <c s="86"/>
      <c s="86"/>
      <c s="86"/>
      <c r="R31" s="424"/>
    </row>
    <row r="32" spans="2:14" ht="17.45" customHeight="1" hidden="1">
      <c r="B32" s="247"/>
      <c s="423"/>
      <c s="247"/>
      <c s="247"/>
      <c s="247"/>
      <c s="247"/>
      <c s="247"/>
      <c s="247"/>
      <c s="247"/>
      <c s="86"/>
      <c s="86"/>
      <c s="86"/>
      <c s="86"/>
    </row>
    <row r="33" spans="2:14" ht="17.45" customHeight="1" hidden="1">
      <c r="B33" s="247"/>
      <c s="423"/>
      <c s="247"/>
      <c s="247"/>
      <c s="247"/>
      <c s="247"/>
      <c s="247"/>
      <c s="247"/>
      <c s="247"/>
      <c s="86"/>
      <c s="86"/>
      <c s="86"/>
      <c s="86"/>
    </row>
    <row r="34" spans="2:14" ht="17.45" customHeight="1" hidden="1">
      <c r="B34" s="247"/>
      <c s="423"/>
      <c s="247"/>
      <c s="247"/>
      <c s="247"/>
      <c s="247"/>
      <c s="247"/>
      <c s="247"/>
      <c s="247"/>
      <c s="86"/>
      <c s="86"/>
      <c s="86"/>
      <c s="86"/>
    </row>
    <row r="35" spans="2:14" ht="17.45" customHeight="1" hidden="1">
      <c r="B35" s="247"/>
      <c s="423"/>
      <c s="247"/>
      <c s="247"/>
      <c s="247"/>
      <c s="247"/>
      <c s="247"/>
      <c s="247"/>
      <c s="247"/>
      <c s="86"/>
      <c s="86"/>
      <c s="86"/>
      <c s="86"/>
    </row>
    <row r="36" spans="2:14" ht="17.45" customHeight="1" hidden="1">
      <c r="B36" s="247"/>
      <c s="423"/>
      <c s="247"/>
      <c s="247"/>
      <c s="247"/>
      <c s="247"/>
      <c s="247"/>
      <c s="247"/>
      <c s="247"/>
      <c s="86"/>
      <c s="86"/>
      <c s="86"/>
      <c s="86"/>
    </row>
    <row r="37" spans="2:14" ht="17.45" customHeight="1" hidden="1">
      <c r="B37" s="247"/>
      <c s="423"/>
      <c s="247"/>
      <c s="247"/>
      <c s="247"/>
      <c s="247"/>
      <c s="247"/>
      <c s="247"/>
      <c s="247"/>
      <c s="86"/>
      <c s="86"/>
      <c s="86"/>
      <c s="86"/>
    </row>
    <row r="38" spans="2:14" ht="17.45" customHeight="1" hidden="1">
      <c r="B38" s="247"/>
      <c s="423"/>
      <c s="247"/>
      <c s="247"/>
      <c s="247"/>
      <c s="247"/>
      <c s="247"/>
      <c s="247"/>
      <c s="247"/>
      <c s="86"/>
      <c s="86"/>
      <c s="86"/>
      <c s="86"/>
    </row>
    <row r="39" spans="2:14" ht="17.45" customHeight="1" hidden="1">
      <c r="B39" s="247"/>
      <c s="423"/>
      <c s="247"/>
      <c s="247"/>
      <c s="247"/>
      <c s="247"/>
      <c s="247"/>
      <c s="247"/>
      <c s="247"/>
      <c s="86"/>
      <c s="86"/>
      <c s="86"/>
      <c s="86"/>
    </row>
    <row r="40" spans="2:14" ht="17.45" customHeight="1" hidden="1">
      <c r="B40" s="247"/>
      <c s="423"/>
      <c s="247"/>
      <c s="247"/>
      <c s="247"/>
      <c s="247"/>
      <c s="247"/>
      <c s="247"/>
      <c s="247"/>
      <c s="86"/>
      <c s="86"/>
      <c s="86"/>
      <c s="86"/>
    </row>
    <row r="41" spans="2:14" ht="17.45" customHeight="1" hidden="1">
      <c r="B41" s="247"/>
      <c s="423"/>
      <c s="247"/>
      <c s="247"/>
      <c s="247"/>
      <c s="247"/>
      <c s="247"/>
      <c s="247"/>
      <c s="247"/>
      <c s="86"/>
      <c s="86"/>
      <c s="86"/>
      <c s="86"/>
    </row>
    <row r="42" spans="2:14" ht="17.45" customHeight="1" hidden="1">
      <c r="B42" s="247"/>
      <c s="423"/>
      <c s="247"/>
      <c s="247"/>
      <c s="247"/>
      <c s="247"/>
      <c s="247"/>
      <c s="247"/>
      <c s="247"/>
      <c s="86"/>
      <c s="86"/>
      <c s="86"/>
      <c s="86"/>
    </row>
    <row r="43" spans="2:14" ht="17.45" customHeight="1" hidden="1">
      <c r="B43" s="247"/>
      <c s="423"/>
      <c s="247"/>
      <c s="247"/>
      <c s="247"/>
      <c s="247"/>
      <c s="247"/>
      <c s="247"/>
      <c s="247"/>
      <c s="86"/>
      <c s="86"/>
      <c s="86"/>
      <c s="86"/>
    </row>
    <row r="44" spans="2:14" ht="17.45" customHeight="1" hidden="1">
      <c r="B44" s="247"/>
      <c s="423"/>
      <c s="247"/>
      <c s="247"/>
      <c s="247"/>
      <c s="247"/>
      <c s="247"/>
      <c s="247"/>
      <c s="247"/>
      <c s="86"/>
      <c s="86"/>
      <c s="86"/>
      <c s="86"/>
    </row>
    <row r="45" spans="2:14" ht="15" customHeight="1">
      <c r="B45" s="86"/>
      <c s="86"/>
      <c s="86"/>
      <c s="86"/>
      <c s="86"/>
      <c s="86"/>
      <c s="86"/>
      <c s="86"/>
      <c s="86"/>
      <c s="86"/>
      <c s="86"/>
      <c s="86"/>
      <c s="86"/>
    </row>
    <row r="46" spans="2:28" ht="21" hidden="1">
      <c r="B46" s="88"/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</row>
    <row r="47" spans="2:14" ht="15" customHeight="1" hidden="1">
      <c r="B47" s="439"/>
      <c s="439"/>
      <c s="439"/>
      <c s="439"/>
      <c s="439"/>
      <c s="86"/>
      <c s="86"/>
      <c s="86"/>
      <c s="86"/>
      <c s="86"/>
      <c s="86"/>
      <c s="86"/>
      <c s="86"/>
    </row>
    <row r="48" spans="2:14" ht="15" customHeight="1" hidden="1">
      <c r="B48" s="439"/>
      <c s="439"/>
      <c s="439"/>
      <c s="439"/>
      <c s="439"/>
      <c s="86"/>
      <c s="86"/>
      <c s="86"/>
      <c s="86"/>
      <c s="86"/>
      <c s="86"/>
      <c s="86"/>
      <c s="86"/>
    </row>
    <row r="49" spans="2:14" ht="46.5" customHeight="1" hidden="1">
      <c r="B49" s="439"/>
      <c s="439"/>
      <c s="439"/>
      <c s="439"/>
      <c s="439"/>
      <c s="86"/>
      <c s="86"/>
      <c s="86"/>
      <c s="86"/>
      <c s="86"/>
      <c s="86"/>
      <c s="86"/>
      <c s="86"/>
    </row>
    <row r="50" spans="2:14" ht="15" customHeight="1" hidden="1">
      <c r="B50" s="389"/>
      <c s="393"/>
      <c s="393"/>
      <c s="394"/>
      <c s="394"/>
      <c s="86"/>
      <c s="86"/>
      <c s="86"/>
      <c s="86"/>
      <c s="86"/>
      <c s="86"/>
      <c s="86"/>
      <c s="86"/>
    </row>
    <row r="51" spans="2:14" ht="15" customHeight="1" hidden="1">
      <c r="B51" s="389"/>
      <c s="393"/>
      <c s="393"/>
      <c s="394"/>
      <c s="394"/>
      <c s="86"/>
      <c s="86"/>
      <c s="86"/>
      <c s="86"/>
      <c s="86"/>
      <c s="86"/>
      <c s="86"/>
      <c s="86"/>
    </row>
    <row r="52" spans="2:14" ht="15" customHeight="1" hidden="1">
      <c r="B52" s="389"/>
      <c s="393"/>
      <c s="393"/>
      <c s="394"/>
      <c s="394"/>
      <c s="86"/>
      <c s="86"/>
      <c s="86"/>
      <c s="86"/>
      <c s="86"/>
      <c s="86"/>
      <c s="86"/>
      <c s="86"/>
    </row>
    <row r="53" spans="2:14" ht="15" customHeight="1" hidden="1">
      <c r="B53" s="389"/>
      <c s="393"/>
      <c s="393"/>
      <c s="394"/>
      <c s="394"/>
      <c s="86"/>
      <c s="86"/>
      <c s="86"/>
      <c s="86"/>
      <c s="86"/>
      <c s="86"/>
      <c s="86"/>
      <c s="86"/>
    </row>
    <row r="54" spans="2:14" ht="15" customHeight="1" hidden="1">
      <c r="B54" s="389"/>
      <c s="393"/>
      <c s="393"/>
      <c s="394"/>
      <c s="394"/>
      <c s="86"/>
      <c s="86"/>
      <c s="86"/>
      <c s="86"/>
      <c s="86"/>
      <c s="86"/>
      <c s="86"/>
      <c s="86"/>
    </row>
    <row r="55" spans="2:14" ht="15" customHeight="1" hidden="1">
      <c r="B55" s="389"/>
      <c s="393"/>
      <c s="393"/>
      <c s="394"/>
      <c s="394"/>
      <c s="86"/>
      <c s="86"/>
      <c s="86"/>
      <c s="86"/>
      <c s="86"/>
      <c s="86"/>
      <c s="86"/>
      <c s="86"/>
    </row>
    <row r="56" spans="2:14" ht="15" customHeight="1" hidden="1">
      <c r="B56" s="389"/>
      <c s="393"/>
      <c s="393"/>
      <c s="394"/>
      <c s="394"/>
      <c s="86"/>
      <c s="86"/>
      <c s="86"/>
      <c s="86"/>
      <c s="86"/>
      <c s="86"/>
      <c s="86"/>
      <c s="86"/>
    </row>
    <row r="57" spans="2:14" ht="15" customHeight="1" hidden="1">
      <c r="B57" s="389"/>
      <c s="393"/>
      <c s="393"/>
      <c s="394"/>
      <c s="394"/>
      <c s="86"/>
      <c s="86"/>
      <c s="86"/>
      <c s="86"/>
      <c s="86"/>
      <c s="86"/>
      <c s="86"/>
      <c s="86"/>
    </row>
    <row r="58" spans="2:14" ht="15" customHeight="1" hidden="1">
      <c r="B58" s="389"/>
      <c s="393"/>
      <c s="393"/>
      <c s="394"/>
      <c s="394"/>
      <c s="86"/>
      <c s="86"/>
      <c s="86"/>
      <c s="86"/>
      <c s="86"/>
      <c s="86"/>
      <c s="86"/>
      <c s="86"/>
    </row>
    <row r="59" spans="2:14" ht="15" customHeight="1" hidden="1">
      <c r="B59" s="389"/>
      <c s="393"/>
      <c s="393"/>
      <c s="394"/>
      <c s="394"/>
      <c s="86"/>
      <c s="86"/>
      <c s="86"/>
      <c s="86"/>
      <c s="86"/>
      <c s="86"/>
      <c s="86"/>
      <c s="86"/>
    </row>
    <row r="60" spans="2:14" ht="15" customHeight="1" hidden="1">
      <c r="B60" s="389"/>
      <c s="393"/>
      <c s="393"/>
      <c s="394"/>
      <c s="394"/>
      <c s="86"/>
      <c s="86"/>
      <c s="86"/>
      <c s="86"/>
      <c s="86"/>
      <c s="86"/>
      <c s="86"/>
      <c s="86"/>
    </row>
    <row r="61" spans="2:14" ht="15" customHeight="1" hidden="1">
      <c r="B61" s="86"/>
      <c s="86"/>
      <c s="86"/>
      <c s="86"/>
      <c s="86"/>
      <c s="86"/>
      <c s="86"/>
      <c s="86"/>
      <c s="86"/>
      <c s="86"/>
      <c s="86"/>
      <c s="86"/>
      <c s="86"/>
    </row>
    <row r="62" spans="2:28" ht="21" hidden="1">
      <c r="B62" s="88"/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</row>
    <row r="63" spans="2:14" ht="15" customHeight="1" hidden="1">
      <c r="B63" s="439"/>
      <c s="439"/>
      <c s="86"/>
      <c s="86"/>
      <c s="86"/>
      <c s="86"/>
      <c s="86"/>
      <c s="86"/>
      <c s="86"/>
      <c s="86"/>
      <c s="86"/>
      <c s="86"/>
      <c s="86"/>
    </row>
    <row r="64" spans="2:14" ht="15" customHeight="1" hidden="1">
      <c r="B64" s="439"/>
      <c s="439"/>
      <c s="86"/>
      <c s="86"/>
      <c s="86"/>
      <c s="86"/>
      <c s="86"/>
      <c s="86"/>
      <c s="86"/>
      <c s="86"/>
      <c s="86"/>
      <c s="86"/>
      <c s="86"/>
    </row>
    <row r="65" spans="2:14" ht="15" customHeight="1" hidden="1">
      <c r="B65" s="439"/>
      <c s="439"/>
      <c s="86"/>
      <c s="86"/>
      <c s="86"/>
      <c s="86"/>
      <c s="86"/>
      <c s="86"/>
      <c s="86"/>
      <c s="86"/>
      <c s="86"/>
      <c s="86"/>
      <c s="86"/>
    </row>
    <row r="66" spans="2:14" ht="15" customHeight="1" hidden="1">
      <c r="B66" s="389"/>
      <c s="393"/>
      <c s="86"/>
      <c s="86"/>
      <c s="86"/>
      <c s="86"/>
      <c s="86"/>
      <c s="86"/>
      <c s="86"/>
      <c s="86"/>
      <c s="86"/>
      <c s="86"/>
      <c s="86"/>
    </row>
    <row r="67" spans="2:14" ht="15" customHeight="1" hidden="1">
      <c r="B67" s="389"/>
      <c s="393"/>
      <c s="86"/>
      <c s="86"/>
      <c s="86"/>
      <c s="86"/>
      <c s="86"/>
      <c s="86"/>
      <c s="86"/>
      <c s="86"/>
      <c s="86"/>
      <c s="86"/>
      <c s="86"/>
    </row>
    <row r="68" spans="2:14" ht="15" customHeight="1" hidden="1">
      <c r="B68" s="392"/>
      <c s="395"/>
      <c s="86"/>
      <c s="86"/>
      <c s="86"/>
      <c s="86"/>
      <c s="86"/>
      <c s="86"/>
      <c s="86"/>
      <c s="86"/>
      <c s="86"/>
      <c s="86"/>
      <c s="86"/>
    </row>
    <row r="69" spans="2:14" ht="15" customHeight="1">
      <c r="B69" s="86"/>
      <c s="86"/>
      <c s="86"/>
      <c s="86"/>
      <c s="86"/>
      <c s="86"/>
      <c s="86"/>
      <c s="86"/>
      <c s="86"/>
      <c s="86"/>
      <c s="86"/>
      <c s="86"/>
      <c s="86"/>
    </row>
    <row r="70" spans="2:28" ht="21">
      <c r="B70" s="88" t="s">
        <v>43</v>
      </c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</row>
    <row r="71" spans="2:14" ht="15" customHeight="1">
      <c r="B71" s="447" t="s">
        <v>28</v>
      </c>
      <c s="447" t="s">
        <v>44</v>
      </c>
      <c s="86"/>
      <c s="86"/>
      <c s="86"/>
      <c s="86"/>
      <c s="86"/>
      <c s="86"/>
      <c s="86"/>
      <c s="86"/>
      <c s="86"/>
      <c s="86"/>
      <c s="86"/>
    </row>
    <row r="72" spans="2:14" ht="15" customHeight="1">
      <c r="B72" s="448"/>
      <c s="448"/>
      <c s="86"/>
      <c s="86"/>
      <c s="86"/>
      <c s="86"/>
      <c s="86"/>
      <c s="86"/>
      <c s="86"/>
      <c s="86"/>
      <c s="86"/>
      <c s="86"/>
      <c s="86"/>
    </row>
    <row r="73" spans="2:14" ht="33" customHeight="1">
      <c r="B73" s="449"/>
      <c s="449"/>
      <c s="86"/>
      <c s="86"/>
      <c s="86"/>
      <c s="86"/>
      <c s="86"/>
      <c s="86"/>
      <c s="86"/>
      <c s="86"/>
      <c s="86"/>
      <c s="86"/>
      <c s="86"/>
    </row>
    <row r="74" spans="2:14" ht="15" customHeight="1">
      <c r="B74" s="72" t="str">
        <f>B27</f>
        <v>Развитие промышленного производства №1</v>
      </c>
      <c s="80">
        <v>0.5</v>
      </c>
      <c s="86"/>
      <c s="86"/>
      <c s="86"/>
      <c s="86"/>
      <c s="86"/>
      <c s="86"/>
      <c s="86"/>
      <c s="86"/>
      <c s="86"/>
      <c s="86"/>
      <c s="86"/>
    </row>
    <row r="75" spans="2:14" ht="15" customHeight="1">
      <c r="B75" s="72" t="str">
        <f>B29</f>
        <v>Развитие промышленного производства №1</v>
      </c>
      <c s="80">
        <v>0.5</v>
      </c>
      <c s="86"/>
      <c s="86"/>
      <c s="86"/>
      <c s="86"/>
      <c s="86"/>
      <c s="86"/>
      <c s="86"/>
      <c s="86"/>
      <c s="86"/>
      <c s="86"/>
      <c s="86"/>
    </row>
    <row r="76" spans="2:14" ht="15" customHeight="1">
      <c r="B76" s="72"/>
      <c s="80"/>
      <c s="86"/>
      <c s="86"/>
      <c s="86"/>
      <c s="86"/>
      <c s="86"/>
      <c s="86"/>
      <c s="86"/>
      <c s="86"/>
      <c s="86"/>
      <c s="86"/>
      <c s="86"/>
    </row>
    <row r="77" spans="2:14" ht="15" customHeight="1">
      <c r="B77" s="72"/>
      <c s="80"/>
      <c s="86"/>
      <c s="86"/>
      <c s="86"/>
      <c s="86"/>
      <c s="86"/>
      <c s="86"/>
      <c s="86"/>
      <c s="86"/>
      <c s="86"/>
      <c s="86"/>
      <c s="86"/>
    </row>
    <row r="78" spans="2:14" ht="15" customHeight="1">
      <c r="B78" s="72"/>
      <c s="80"/>
      <c s="86"/>
      <c s="86"/>
      <c s="86"/>
      <c s="86"/>
      <c s="86"/>
      <c s="86"/>
      <c s="86"/>
      <c s="86"/>
      <c s="86"/>
      <c s="86"/>
      <c s="86"/>
    </row>
    <row r="79" spans="2:14" ht="15" customHeight="1">
      <c r="B79" s="86"/>
      <c s="86"/>
      <c s="86"/>
      <c s="86"/>
      <c s="86"/>
      <c s="86"/>
      <c s="86"/>
      <c s="86"/>
      <c s="86"/>
      <c s="86"/>
      <c s="86"/>
      <c s="86"/>
      <c s="86"/>
    </row>
    <row r="80" spans="2:28" ht="21" hidden="1">
      <c r="B80" s="88"/>
      <c s="89"/>
      <c s="89"/>
      <c s="89"/>
      <c s="89"/>
      <c s="89"/>
      <c s="89"/>
      <c s="89"/>
      <c s="89"/>
      <c s="89"/>
      <c s="89"/>
      <c s="89"/>
      <c s="89"/>
      <c s="5"/>
      <c s="5"/>
      <c s="5"/>
      <c s="5"/>
      <c s="5"/>
      <c s="5"/>
      <c s="5"/>
      <c s="5"/>
      <c s="5"/>
      <c s="5"/>
      <c s="5"/>
      <c s="5"/>
      <c s="5"/>
      <c s="5"/>
    </row>
    <row r="81" spans="2:14" ht="15" customHeight="1" hidden="1">
      <c r="B81" s="24"/>
      <c s="86"/>
      <c s="86"/>
      <c s="86"/>
      <c s="86"/>
      <c s="86"/>
      <c s="86"/>
      <c s="86"/>
      <c s="86"/>
      <c s="86"/>
      <c s="86"/>
      <c s="86"/>
      <c s="86"/>
    </row>
    <row r="82" spans="2:14" ht="15" customHeight="1" hidden="1">
      <c r="B82" s="439"/>
      <c s="439"/>
      <c s="439"/>
      <c s="439"/>
      <c s="439"/>
      <c s="439"/>
      <c s="86"/>
      <c s="86"/>
      <c s="86"/>
      <c s="86"/>
      <c s="86"/>
      <c s="86"/>
      <c s="86"/>
    </row>
    <row r="83" spans="2:14" ht="15" customHeight="1" hidden="1">
      <c r="B83" s="439"/>
      <c s="439"/>
      <c s="439"/>
      <c s="439"/>
      <c s="439"/>
      <c s="439"/>
      <c s="86"/>
      <c s="86"/>
      <c s="86"/>
      <c s="86"/>
      <c s="86"/>
      <c s="86"/>
      <c s="86"/>
    </row>
    <row r="84" spans="2:14" ht="40.9" customHeight="1" hidden="1">
      <c r="B84" s="439"/>
      <c s="439"/>
      <c s="439"/>
      <c s="439"/>
      <c s="439"/>
      <c s="439"/>
      <c s="86"/>
      <c s="86"/>
      <c s="86"/>
      <c s="86"/>
      <c s="86"/>
      <c s="86"/>
      <c s="86"/>
    </row>
    <row r="85" spans="2:14" ht="15" customHeight="1" hidden="1">
      <c r="B85" s="389"/>
      <c s="390"/>
      <c s="391"/>
      <c s="390"/>
      <c s="390"/>
      <c s="390"/>
      <c s="86"/>
      <c s="86"/>
      <c s="86"/>
      <c s="86"/>
      <c s="86"/>
      <c s="86"/>
      <c s="86"/>
    </row>
    <row r="86" spans="2:14" ht="15" customHeight="1" hidden="1">
      <c r="B86" s="389"/>
      <c s="390"/>
      <c s="391"/>
      <c s="390"/>
      <c s="390"/>
      <c s="390"/>
      <c s="86"/>
      <c s="86"/>
      <c s="86"/>
      <c s="86"/>
      <c s="86"/>
      <c s="86"/>
      <c s="86"/>
    </row>
    <row r="87" spans="2:14" ht="15" customHeight="1" hidden="1">
      <c r="B87" s="389"/>
      <c s="390"/>
      <c s="391"/>
      <c s="390"/>
      <c s="390"/>
      <c s="390"/>
      <c s="86"/>
      <c s="86"/>
      <c s="86"/>
      <c s="86"/>
      <c s="86"/>
      <c s="86"/>
      <c s="86"/>
    </row>
    <row r="88" spans="2:14" ht="15" customHeight="1" hidden="1">
      <c r="B88" s="389"/>
      <c s="390"/>
      <c s="391"/>
      <c s="390"/>
      <c s="390"/>
      <c s="390"/>
      <c s="86"/>
      <c s="86"/>
      <c s="86"/>
      <c s="86"/>
      <c s="86"/>
      <c s="86"/>
      <c s="86"/>
    </row>
    <row r="89" spans="2:14" ht="15" customHeight="1" hidden="1">
      <c r="B89" s="389"/>
      <c s="390"/>
      <c s="391"/>
      <c s="390"/>
      <c s="390"/>
      <c s="390"/>
      <c s="86"/>
      <c s="86"/>
      <c s="86"/>
      <c s="86"/>
      <c s="86"/>
      <c s="86"/>
      <c s="86"/>
    </row>
    <row r="90" spans="2:14" ht="15" customHeight="1" hidden="1">
      <c r="B90" s="389"/>
      <c s="390"/>
      <c s="391"/>
      <c s="390"/>
      <c s="390"/>
      <c s="390"/>
      <c s="86"/>
      <c s="86"/>
      <c s="86"/>
      <c s="86"/>
      <c s="86"/>
      <c s="86"/>
      <c s="86"/>
    </row>
    <row r="91" spans="2:14" ht="15" customHeight="1" hidden="1">
      <c r="B91" s="389"/>
      <c s="390"/>
      <c s="391"/>
      <c s="390"/>
      <c s="390"/>
      <c s="390"/>
      <c s="86"/>
      <c s="86"/>
      <c s="86"/>
      <c s="86"/>
      <c s="86"/>
      <c s="86"/>
      <c s="86"/>
    </row>
    <row r="92" spans="2:14" ht="15" customHeight="1" hidden="1">
      <c r="B92" s="389"/>
      <c s="390"/>
      <c s="391"/>
      <c s="390"/>
      <c s="390"/>
      <c s="390"/>
      <c s="86"/>
      <c s="86"/>
      <c s="86"/>
      <c s="86"/>
      <c s="86"/>
      <c s="86"/>
      <c s="86"/>
    </row>
    <row r="93" spans="2:14" ht="15" customHeight="1" hidden="1">
      <c r="B93" s="389"/>
      <c s="390"/>
      <c s="391"/>
      <c s="390"/>
      <c s="390"/>
      <c s="390"/>
      <c s="86"/>
      <c s="86"/>
      <c s="86"/>
      <c s="86"/>
      <c s="86"/>
      <c s="86"/>
      <c s="86"/>
    </row>
    <row r="94" spans="2:14" ht="15" customHeight="1" hidden="1">
      <c r="B94" s="389"/>
      <c s="390"/>
      <c s="391"/>
      <c s="390"/>
      <c s="390"/>
      <c s="391"/>
      <c s="86"/>
      <c s="86"/>
      <c s="86"/>
      <c s="86"/>
      <c s="86"/>
      <c s="86"/>
      <c s="86"/>
    </row>
    <row r="95" spans="2:14" ht="15" customHeight="1" hidden="1">
      <c r="B95" s="389"/>
      <c s="390"/>
      <c s="391"/>
      <c s="390"/>
      <c s="390"/>
      <c s="391"/>
      <c s="86"/>
      <c s="86"/>
      <c s="86"/>
      <c s="86"/>
      <c s="86"/>
      <c s="86"/>
      <c s="86"/>
    </row>
    <row r="96" spans="2:14" ht="15" customHeight="1" hidden="1">
      <c r="B96" s="389"/>
      <c s="390"/>
      <c s="391"/>
      <c s="390"/>
      <c s="390"/>
      <c s="391"/>
      <c s="86"/>
      <c s="86"/>
      <c s="86"/>
      <c s="86"/>
      <c s="86"/>
      <c s="86"/>
      <c s="86"/>
    </row>
    <row r="97" spans="2:14" ht="15" customHeight="1" hidden="1">
      <c r="B97" s="389"/>
      <c s="390"/>
      <c s="391"/>
      <c s="390"/>
      <c s="390"/>
      <c s="391"/>
      <c s="86"/>
      <c s="86"/>
      <c s="86"/>
      <c s="86"/>
      <c s="86"/>
      <c s="86"/>
      <c s="86"/>
    </row>
    <row r="98" spans="2:14" ht="15" customHeight="1" hidden="1">
      <c r="B98" s="389"/>
      <c s="390"/>
      <c s="391"/>
      <c s="390"/>
      <c s="390"/>
      <c s="391"/>
      <c s="86"/>
      <c s="86"/>
      <c s="86"/>
      <c s="86"/>
      <c s="86"/>
      <c s="86"/>
      <c s="86"/>
    </row>
    <row r="99" spans="2:14" ht="15" customHeight="1" hidden="1">
      <c r="B99" s="389"/>
      <c s="390"/>
      <c s="391"/>
      <c s="390"/>
      <c s="390"/>
      <c s="391"/>
      <c s="86"/>
      <c s="86"/>
      <c s="86"/>
      <c s="86"/>
      <c s="86"/>
      <c s="86"/>
      <c s="86"/>
    </row>
    <row r="100" spans="2:14" ht="15" customHeight="1" hidden="1">
      <c r="B100" s="389"/>
      <c s="390"/>
      <c s="391"/>
      <c s="390"/>
      <c s="390"/>
      <c s="391"/>
      <c s="86"/>
      <c s="86"/>
      <c s="86"/>
      <c s="86"/>
      <c s="86"/>
      <c s="86"/>
      <c s="86"/>
    </row>
    <row r="101" spans="2:14" ht="15" customHeight="1" hidden="1">
      <c r="B101" s="389"/>
      <c s="390"/>
      <c s="391"/>
      <c s="390"/>
      <c s="390"/>
      <c s="391"/>
      <c s="86"/>
      <c s="86"/>
      <c s="86"/>
      <c s="86"/>
      <c s="86"/>
      <c s="86"/>
      <c s="86"/>
    </row>
    <row r="102" spans="2:14" ht="15" customHeight="1" hidden="1">
      <c r="B102" s="389"/>
      <c s="390"/>
      <c s="391"/>
      <c s="390"/>
      <c s="390"/>
      <c s="391"/>
      <c s="86"/>
      <c s="86"/>
      <c s="86"/>
      <c s="86"/>
      <c s="86"/>
      <c s="86"/>
      <c s="86"/>
    </row>
    <row r="103" spans="2:14" ht="15" customHeight="1" hidden="1">
      <c r="B103" s="389"/>
      <c s="390"/>
      <c s="391"/>
      <c s="390"/>
      <c s="390"/>
      <c s="391"/>
      <c s="86"/>
      <c s="86"/>
      <c s="86"/>
      <c s="86"/>
      <c s="86"/>
      <c s="86"/>
      <c s="86"/>
    </row>
    <row r="104" spans="2:14" ht="15" customHeight="1" hidden="1">
      <c r="B104" s="389"/>
      <c s="390"/>
      <c s="391"/>
      <c s="390"/>
      <c s="390"/>
      <c s="391"/>
      <c s="86"/>
      <c s="86"/>
      <c s="86"/>
      <c s="86"/>
      <c s="86"/>
      <c s="86"/>
      <c s="86"/>
    </row>
    <row r="105" spans="2:14" ht="15" customHeight="1" hidden="1">
      <c r="B105" s="389"/>
      <c s="390"/>
      <c s="391"/>
      <c s="390"/>
      <c s="390"/>
      <c s="391"/>
      <c s="86"/>
      <c s="86"/>
      <c s="86"/>
      <c s="86"/>
      <c s="86"/>
      <c s="86"/>
      <c s="86"/>
    </row>
    <row r="106" spans="2:14" ht="15" customHeight="1" hidden="1">
      <c r="B106" s="389"/>
      <c s="391"/>
      <c s="391"/>
      <c s="390"/>
      <c s="390"/>
      <c s="391"/>
      <c s="86"/>
      <c s="86"/>
      <c s="86"/>
      <c s="86"/>
      <c s="86"/>
      <c s="86"/>
      <c s="86"/>
    </row>
    <row r="107" spans="2:14" ht="15" customHeight="1" hidden="1">
      <c r="B107" s="389"/>
      <c s="391"/>
      <c s="391"/>
      <c s="390"/>
      <c s="390"/>
      <c s="391"/>
      <c s="86"/>
      <c s="86"/>
      <c s="86"/>
      <c s="86"/>
      <c s="86"/>
      <c s="86"/>
      <c s="86"/>
    </row>
    <row r="108" spans="2:14" ht="15" customHeight="1" hidden="1">
      <c r="B108" s="389"/>
      <c s="390"/>
      <c s="391"/>
      <c s="391"/>
      <c s="390"/>
      <c s="390"/>
      <c s="86"/>
      <c s="86"/>
      <c s="86"/>
      <c s="86"/>
      <c s="86"/>
      <c s="86"/>
      <c s="86"/>
    </row>
    <row r="109" spans="2:14" ht="15" customHeight="1" hidden="1">
      <c r="B109" s="389"/>
      <c s="390"/>
      <c s="391"/>
      <c s="391"/>
      <c s="390"/>
      <c s="390"/>
      <c s="86"/>
      <c s="86"/>
      <c s="86"/>
      <c s="86"/>
      <c s="86"/>
      <c s="86"/>
      <c s="86"/>
    </row>
    <row r="110" spans="2:14" ht="15" customHeight="1" hidden="1">
      <c r="B110" s="389"/>
      <c s="390"/>
      <c s="391"/>
      <c s="391"/>
      <c s="390"/>
      <c s="390"/>
      <c s="86"/>
      <c s="86"/>
      <c s="86"/>
      <c s="86"/>
      <c s="86"/>
      <c s="86"/>
      <c s="86"/>
    </row>
    <row r="111" spans="2:14" ht="15" customHeight="1" hidden="1">
      <c r="B111" s="389"/>
      <c s="390"/>
      <c s="391"/>
      <c s="391"/>
      <c s="390"/>
      <c s="390"/>
      <c s="86"/>
      <c s="86"/>
      <c s="86"/>
      <c s="86"/>
      <c s="86"/>
      <c s="86"/>
      <c s="86"/>
    </row>
    <row r="112" spans="2:14" ht="15" customHeight="1" hidden="1">
      <c r="B112" s="389"/>
      <c s="390"/>
      <c s="391"/>
      <c s="391"/>
      <c s="390"/>
      <c s="390"/>
      <c s="86"/>
      <c s="86"/>
      <c s="86"/>
      <c s="86"/>
      <c s="86"/>
      <c s="86"/>
      <c s="86"/>
    </row>
    <row r="113" spans="2:14" ht="15" customHeight="1" hidden="1">
      <c r="B113" s="389"/>
      <c s="390"/>
      <c s="391"/>
      <c s="391"/>
      <c s="390"/>
      <c s="390"/>
      <c s="86"/>
      <c s="86"/>
      <c s="86"/>
      <c s="86"/>
      <c s="86"/>
      <c s="86"/>
      <c s="86"/>
    </row>
    <row r="114" spans="2:14" ht="15" customHeight="1" hidden="1">
      <c r="B114" s="389"/>
      <c s="390"/>
      <c s="391"/>
      <c s="391"/>
      <c s="390"/>
      <c s="390"/>
      <c s="86"/>
      <c s="86"/>
      <c s="86"/>
      <c s="86"/>
      <c s="86"/>
      <c s="86"/>
      <c s="86"/>
    </row>
    <row r="115" spans="2:14" ht="15" customHeight="1" hidden="1">
      <c r="B115" s="389"/>
      <c s="390"/>
      <c s="391"/>
      <c s="390"/>
      <c s="391"/>
      <c s="390"/>
      <c s="86"/>
      <c s="86"/>
      <c s="86"/>
      <c s="86"/>
      <c s="86"/>
      <c s="86"/>
      <c s="86"/>
    </row>
    <row r="116" spans="2:14" ht="15" customHeight="1" hidden="1">
      <c r="B116" s="389"/>
      <c s="390"/>
      <c s="391"/>
      <c s="390"/>
      <c s="391"/>
      <c s="390"/>
      <c s="86"/>
      <c s="86"/>
      <c s="86"/>
      <c s="86"/>
      <c s="86"/>
      <c s="86"/>
      <c s="86"/>
    </row>
    <row r="117" spans="2:14" ht="15" customHeight="1" hidden="1">
      <c r="B117" s="389"/>
      <c s="390"/>
      <c s="391"/>
      <c s="390"/>
      <c s="391"/>
      <c s="390"/>
      <c s="86"/>
      <c s="86"/>
      <c s="86"/>
      <c s="86"/>
      <c s="86"/>
      <c s="86"/>
      <c s="86"/>
    </row>
    <row r="118" spans="2:14" ht="15" customHeight="1" hidden="1">
      <c r="B118" s="389"/>
      <c s="391"/>
      <c s="391"/>
      <c s="390"/>
      <c s="391"/>
      <c s="390"/>
      <c s="86"/>
      <c s="86"/>
      <c s="86"/>
      <c s="86"/>
      <c s="86"/>
      <c s="86"/>
      <c s="86"/>
    </row>
    <row r="119" spans="2:14" ht="15" customHeight="1" hidden="1">
      <c r="B119" s="440"/>
      <c s="440"/>
      <c s="440"/>
      <c s="441"/>
      <c s="441"/>
      <c s="441"/>
      <c s="86"/>
      <c s="86"/>
      <c s="86"/>
      <c s="86"/>
      <c s="86"/>
      <c s="86"/>
      <c s="86"/>
    </row>
    <row r="120" spans="2:14" ht="15" customHeight="1" hidden="1">
      <c r="B120" s="440"/>
      <c s="440"/>
      <c s="440"/>
      <c s="441"/>
      <c s="441"/>
      <c s="441"/>
      <c s="86"/>
      <c s="86"/>
      <c s="86"/>
      <c s="86"/>
      <c s="86"/>
      <c s="86"/>
      <c s="86"/>
    </row>
    <row r="121" spans="2:14" ht="15" customHeight="1" hidden="1">
      <c r="B121" s="440"/>
      <c s="440"/>
      <c s="440"/>
      <c s="441"/>
      <c s="441"/>
      <c s="441"/>
      <c s="86"/>
      <c s="86"/>
      <c s="86"/>
      <c s="86"/>
      <c s="86"/>
      <c s="86"/>
      <c s="86"/>
    </row>
    <row r="122" spans="2:14" ht="15" customHeight="1" hidden="1">
      <c r="B122" s="440"/>
      <c s="440"/>
      <c s="440"/>
      <c s="441"/>
      <c s="441"/>
      <c s="441"/>
      <c s="86"/>
      <c s="86"/>
      <c s="86"/>
      <c s="86"/>
      <c s="86"/>
      <c s="86"/>
      <c s="86"/>
    </row>
    <row r="123" spans="2:14" ht="15" customHeight="1" hidden="1">
      <c r="B123" s="440"/>
      <c s="440"/>
      <c s="440"/>
      <c s="441"/>
      <c s="441"/>
      <c s="441"/>
      <c s="86"/>
      <c s="86"/>
      <c s="86"/>
      <c s="86"/>
      <c s="86"/>
      <c s="86"/>
      <c s="86"/>
    </row>
    <row r="124" spans="2:14" ht="15" customHeight="1">
      <c r="B124" s="86"/>
      <c s="86"/>
      <c s="86"/>
      <c s="86"/>
      <c s="86"/>
      <c s="86"/>
      <c s="86"/>
      <c s="86"/>
      <c s="86"/>
      <c s="86"/>
      <c s="86"/>
      <c s="86"/>
      <c s="86"/>
    </row>
    <row r="125" spans="2:14" ht="15" customHeight="1">
      <c r="B125" s="24" t="s">
        <v>45</v>
      </c>
      <c s="86"/>
      <c s="86"/>
      <c s="86"/>
      <c s="86"/>
      <c s="86"/>
      <c s="86"/>
      <c s="86"/>
      <c s="86"/>
      <c s="86"/>
      <c s="86"/>
      <c s="86"/>
      <c s="86"/>
    </row>
    <row r="126" spans="2:28" ht="15" customHeight="1">
      <c r="B126" s="445" t="s">
        <v>28</v>
      </c>
      <c s="446" t="s">
        <v>29</v>
      </c>
      <c s="442" t="s">
        <v>46</v>
      </c>
      <c s="442" t="s">
        <v>47</v>
      </c>
      <c s="442" t="s">
        <v>48</v>
      </c>
      <c s="442" t="s">
        <v>49</v>
      </c>
      <c r="P126" s="5"/>
      <c s="5"/>
      <c s="5"/>
      <c s="5"/>
      <c s="5"/>
      <c s="5"/>
      <c s="5"/>
      <c s="5"/>
      <c s="5"/>
      <c s="5"/>
      <c s="5"/>
      <c s="5"/>
      <c s="5"/>
    </row>
    <row r="127" spans="2:28" ht="15" customHeight="1">
      <c r="B127" s="445"/>
      <c s="446"/>
      <c s="443"/>
      <c s="443"/>
      <c s="443"/>
      <c s="443"/>
      <c r="P127" s="5"/>
      <c s="5"/>
      <c s="5"/>
      <c s="5"/>
      <c s="5"/>
      <c s="5"/>
      <c s="5"/>
      <c s="5"/>
      <c s="5"/>
      <c s="5"/>
      <c s="5"/>
      <c s="5"/>
      <c s="5"/>
    </row>
    <row r="128" spans="2:28" ht="14.45">
      <c r="B128" s="445"/>
      <c s="446"/>
      <c s="444"/>
      <c s="444"/>
      <c s="444"/>
      <c s="444"/>
      <c r="P128" s="5"/>
      <c s="5"/>
      <c s="5"/>
      <c s="5"/>
      <c s="5"/>
      <c s="5"/>
      <c s="5"/>
      <c s="5"/>
      <c s="5"/>
      <c s="5"/>
      <c s="5"/>
      <c s="5"/>
      <c s="5"/>
    </row>
    <row r="129" spans="2:28" ht="14.45">
      <c r="B129" t="str">
        <f>B74</f>
        <v>Развитие промышленного производства №1</v>
      </c>
      <c s="79">
        <v>5000</v>
      </c>
      <c s="80">
        <v>0.20000000000000001</v>
      </c>
      <c s="80">
        <v>0</v>
      </c>
      <c s="79">
        <f>C129/(1-D129)</f>
        <v>6250</v>
      </c>
      <c s="79">
        <f>C129*E129</f>
        <v>0</v>
      </c>
      <c r="P129" s="5"/>
      <c s="5"/>
      <c s="5"/>
      <c s="5"/>
      <c s="5"/>
      <c s="5"/>
      <c s="5"/>
      <c s="5"/>
      <c s="5"/>
      <c s="5"/>
      <c s="5"/>
      <c s="5"/>
      <c s="5"/>
    </row>
    <row r="130" spans="2:28" ht="14.45">
      <c r="B130" s="70" t="str">
        <f>B75</f>
        <v>Развитие промышленного производства №1</v>
      </c>
      <c s="79">
        <v>5000</v>
      </c>
      <c s="80">
        <v>0.20000000000000001</v>
      </c>
      <c s="80">
        <v>0</v>
      </c>
      <c s="79">
        <f>C130/(1-D130)</f>
        <v>6250</v>
      </c>
      <c s="79">
        <f>C130*E130</f>
        <v>0</v>
      </c>
      <c r="P130" s="5"/>
      <c s="5"/>
      <c s="5"/>
      <c s="5"/>
      <c s="5"/>
      <c s="5"/>
      <c s="5"/>
      <c s="5"/>
      <c s="5"/>
      <c s="5"/>
      <c s="5"/>
      <c s="5"/>
      <c s="5"/>
    </row>
    <row r="131" spans="2:14" ht="15" customHeight="1">
      <c r="B131" s="70"/>
      <c s="79"/>
      <c s="80"/>
      <c s="80">
        <v>0</v>
      </c>
      <c s="79">
        <f>C131/(1-D131)</f>
        <v>0</v>
      </c>
      <c s="79">
        <f>C131*E131</f>
        <v>0</v>
      </c>
      <c s="86"/>
      <c s="86"/>
      <c s="86"/>
      <c s="86"/>
      <c s="86"/>
      <c s="86"/>
      <c s="86"/>
    </row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</sheetData>
  <sheetProtection algorithmName="SHA-512" hashValue="CaCyDBVEDziGyRHcNPNZPwLINouVsyDRYyALhUl+EH/9tMFNganDtfuI/6UoIA4lLUoH2v0rAvIN+/T1Zal6gQ==" saltValue="aEq5/ALAAOTPphpWzXymLg==" spinCount="100000" sheet="1" objects="1" scenarios="1"/>
  <mergeCells count="43">
    <mergeCell ref="G20:N20"/>
    <mergeCell ref="E24:J26"/>
    <mergeCell ref="O8:O10"/>
    <mergeCell ref="G16:N16"/>
    <mergeCell ref="G17:N17"/>
    <mergeCell ref="G18:N18"/>
    <mergeCell ref="G19:N19"/>
    <mergeCell ref="G14:N14"/>
    <mergeCell ref="E8:E10"/>
    <mergeCell ref="G15:N15"/>
    <mergeCell ref="G8:N10"/>
    <mergeCell ref="G11:N11"/>
    <mergeCell ref="G12:N12"/>
    <mergeCell ref="G13:N13"/>
    <mergeCell ref="F8:F10"/>
    <mergeCell ref="B8:B10"/>
    <mergeCell ref="C8:C10"/>
    <mergeCell ref="D8:D10"/>
    <mergeCell ref="B24:B26"/>
    <mergeCell ref="C24:C26"/>
    <mergeCell ref="D24:D26"/>
    <mergeCell ref="F47:F49"/>
    <mergeCell ref="B82:B84"/>
    <mergeCell ref="C82:C84"/>
    <mergeCell ref="D82:D84"/>
    <mergeCell ref="B71:B73"/>
    <mergeCell ref="C71:C73"/>
    <mergeCell ref="C63:C65"/>
    <mergeCell ref="B47:B49"/>
    <mergeCell ref="C47:C49"/>
    <mergeCell ref="E47:E49"/>
    <mergeCell ref="D47:D49"/>
    <mergeCell ref="F82:F84"/>
    <mergeCell ref="B63:B65"/>
    <mergeCell ref="G82:G84"/>
    <mergeCell ref="B119:G123"/>
    <mergeCell ref="E126:E128"/>
    <mergeCell ref="F126:F128"/>
    <mergeCell ref="G126:G128"/>
    <mergeCell ref="B126:B128"/>
    <mergeCell ref="C126:C128"/>
    <mergeCell ref="D126:D128"/>
    <mergeCell ref="E82:E84"/>
  </mergeCells>
  <conditionalFormatting sqref="C106:C107">
    <cfRule type="cellIs" priority="7" dxfId="24" operator="equal">
      <formula>"Q"</formula>
    </cfRule>
    <cfRule type="cellIs" priority="8" dxfId="23" operator="equal">
      <formula>"R"</formula>
    </cfRule>
  </conditionalFormatting>
  <conditionalFormatting sqref="C118">
    <cfRule type="cellIs" priority="43" dxfId="24" operator="equal">
      <formula>"Q"</formula>
    </cfRule>
    <cfRule type="cellIs" priority="44" dxfId="23" operator="equal">
      <formula>"R"</formula>
    </cfRule>
  </conditionalFormatting>
  <conditionalFormatting sqref="D85:D118">
    <cfRule type="cellIs" priority="3" dxfId="24" operator="equal">
      <formula>"Q"</formula>
    </cfRule>
    <cfRule type="cellIs" priority="4" dxfId="23" operator="equal">
      <formula>"R"</formula>
    </cfRule>
  </conditionalFormatting>
  <conditionalFormatting sqref="E108:E114">
    <cfRule type="cellIs" priority="11" dxfId="24" operator="equal">
      <formula>"Q"</formula>
    </cfRule>
    <cfRule type="cellIs" priority="12" dxfId="23" operator="equal">
      <formula>"R"</formula>
    </cfRule>
  </conditionalFormatting>
  <conditionalFormatting sqref="F115:F118">
    <cfRule type="cellIs" priority="27" dxfId="24" operator="equal">
      <formula>"Q"</formula>
    </cfRule>
    <cfRule type="cellIs" priority="28" dxfId="23" operator="equal">
      <formula>"R"</formula>
    </cfRule>
  </conditionalFormatting>
  <conditionalFormatting sqref="G94:G107">
    <cfRule type="cellIs" priority="1" dxfId="24" operator="equal">
      <formula>"Q"</formula>
    </cfRule>
    <cfRule type="cellIs" priority="2" dxfId="23" operator="equal">
      <formula>"R"</formula>
    </cfRule>
  </conditionalFormatting>
  <pageMargins left="0.7" right="0.7" top="0.75" bottom="0.75" header="0.3" footer="0.3"/>
  <pageSetup orientation="portrait" paperSize="9" scale="25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11">
    <tabColor rgb="FF2A2D4F"/>
    <pageSetUpPr fitToPage="1"/>
  </sheetPr>
  <dimension ref="B2:O425"/>
  <sheetViews>
    <sheetView showGridLines="0" workbookViewId="0" topLeftCell="A1">
      <pane xSplit="2" ySplit="5" topLeftCell="C6" activePane="bottomRight" state="frozen"/>
      <selection pane="topLeft" activeCell="A1" sqref="A1"/>
      <selection pane="bottomLeft" activeCell="B7" sqref="B7"/>
      <selection pane="topRight" activeCell="B7" sqref="B7"/>
      <selection pane="bottomRight" activeCell="C10" sqref="C10:O10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15" width="15.7142857142857" customWidth="1"/>
    <col min="16" max="16" width="2.71428571428571" customWidth="1"/>
    <col min="17" max="18" width="30" hidden="1" customWidth="1"/>
    <col min="19" max="19" width="45.7142857142857" hidden="1" customWidth="1"/>
    <col min="20" max="20" width="30" hidden="1" customWidth="1"/>
    <col min="21" max="21" width="2.85714285714286" hidden="1" customWidth="1"/>
    <col min="22" max="22" width="20" hidden="1" customWidth="1"/>
    <col min="23" max="42" width="15.7142857142857" hidden="1" customWidth="1"/>
    <col min="43" max="43" width="2.85714285714286" hidden="1" customWidth="1"/>
    <col min="44" max="51" width="0" hidden="1" customWidth="1"/>
    <col min="52" max="16384" width="9.14285714285714" hidden="1"/>
  </cols>
  <sheetData>
    <row r="1" ht="15" customHeight="1"/>
    <row r="2" spans="15:15" ht="14.45">
      <c r="O2" s="104"/>
    </row>
    <row r="3" spans="15:15" ht="14.45">
      <c r="O3" s="103"/>
    </row>
    <row r="4" ht="14.45"/>
    <row r="5" spans="2:15" ht="31.15">
      <c r="B5" s="7" t="s">
        <v>50</v>
      </c>
      <c s="7"/>
      <c s="7"/>
      <c s="7"/>
      <c s="7"/>
      <c s="7"/>
      <c s="7"/>
      <c s="7"/>
      <c s="7"/>
      <c s="7"/>
      <c s="7"/>
      <c s="7"/>
      <c s="7"/>
      <c s="7"/>
    </row>
    <row r="6" ht="15" customHeight="1"/>
    <row r="7" spans="2:15" ht="31.15">
      <c r="B7" s="95" t="s">
        <v>51</v>
      </c>
      <c s="95"/>
      <c s="95"/>
      <c s="95"/>
      <c s="95"/>
      <c s="95"/>
      <c s="95"/>
      <c s="95"/>
      <c s="95"/>
      <c s="95"/>
      <c s="95"/>
      <c s="95"/>
      <c s="95"/>
      <c s="95"/>
    </row>
    <row r="8" spans="2:15" ht="23.45">
      <c r="B8" s="88" t="s">
        <v>52</v>
      </c>
      <c s="89"/>
      <c s="89"/>
      <c s="89"/>
      <c s="89"/>
      <c s="89"/>
      <c s="89"/>
      <c s="89"/>
      <c s="89"/>
      <c s="89"/>
      <c s="89"/>
      <c s="89"/>
      <c s="89"/>
      <c s="89"/>
    </row>
    <row r="9" spans="2:15" ht="15" customHeight="1">
      <c r="B9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0" spans="2:15" ht="14.45" customHeight="1">
      <c r="B10" s="92" t="s">
        <v>55</v>
      </c>
      <c s="464" t="s">
        <v>56</v>
      </c>
      <c s="465"/>
      <c s="465"/>
      <c s="465"/>
      <c s="465"/>
      <c s="465"/>
      <c s="465"/>
      <c s="465"/>
      <c s="465"/>
      <c s="465"/>
      <c s="465"/>
      <c s="465"/>
      <c s="466"/>
    </row>
    <row r="11" spans="2:15" ht="14.45">
      <c r="B11" s="93" t="s">
        <v>57</v>
      </c>
      <c s="467" t="s">
        <v>58</v>
      </c>
      <c s="468"/>
      <c s="468"/>
      <c s="468"/>
      <c s="468"/>
      <c s="468"/>
      <c s="468"/>
      <c s="468"/>
      <c s="468"/>
      <c s="468"/>
      <c s="468"/>
      <c s="468"/>
      <c s="469"/>
    </row>
    <row r="12" spans="2:15" ht="14.45">
      <c r="B12" s="93" t="s">
        <v>59</v>
      </c>
      <c s="467" t="s">
        <v>60</v>
      </c>
      <c s="468"/>
      <c s="468"/>
      <c s="468"/>
      <c s="468"/>
      <c s="468"/>
      <c s="468"/>
      <c s="468"/>
      <c s="468"/>
      <c s="468"/>
      <c s="468"/>
      <c s="468"/>
      <c s="469"/>
    </row>
    <row r="13" spans="2:15" ht="14.45">
      <c r="B13" s="93" t="s">
        <v>61</v>
      </c>
      <c s="467" t="s">
        <v>62</v>
      </c>
      <c s="468"/>
      <c s="468"/>
      <c s="468"/>
      <c s="468"/>
      <c s="468"/>
      <c s="468"/>
      <c s="468"/>
      <c s="468"/>
      <c s="468"/>
      <c s="468"/>
      <c s="468"/>
      <c s="469"/>
    </row>
    <row r="14" spans="2:15" ht="14.45">
      <c r="B14" s="93" t="s">
        <v>63</v>
      </c>
      <c s="467" t="s">
        <v>64</v>
      </c>
      <c s="468"/>
      <c s="468"/>
      <c s="468"/>
      <c s="468"/>
      <c s="468"/>
      <c s="468"/>
      <c s="468"/>
      <c s="468"/>
      <c s="468"/>
      <c s="468"/>
      <c s="468"/>
      <c s="469"/>
    </row>
    <row r="15" spans="2:15" ht="14.45">
      <c r="B15" s="93" t="s">
        <v>65</v>
      </c>
      <c s="467" t="s">
        <v>66</v>
      </c>
      <c s="468"/>
      <c s="468"/>
      <c s="468"/>
      <c s="468"/>
      <c s="468"/>
      <c s="468"/>
      <c s="468"/>
      <c s="468"/>
      <c s="468"/>
      <c s="468"/>
      <c s="468"/>
      <c s="469"/>
    </row>
    <row r="16" spans="2:15" ht="14.45">
      <c r="B16" s="93" t="s">
        <v>32</v>
      </c>
      <c s="467" t="s">
        <v>67</v>
      </c>
      <c s="468"/>
      <c s="468"/>
      <c s="468"/>
      <c s="468"/>
      <c s="468"/>
      <c s="468"/>
      <c s="468"/>
      <c s="468"/>
      <c s="468"/>
      <c s="468"/>
      <c s="468"/>
      <c s="469"/>
    </row>
    <row r="17" spans="2:15" ht="14.45">
      <c r="B17" s="96" t="s">
        <v>68</v>
      </c>
      <c s="467" t="s">
        <v>69</v>
      </c>
      <c s="468"/>
      <c s="468"/>
      <c s="468"/>
      <c s="468"/>
      <c s="468"/>
      <c s="468"/>
      <c s="468"/>
      <c s="468"/>
      <c s="468"/>
      <c s="468"/>
      <c s="468"/>
      <c s="469"/>
    </row>
    <row r="18" spans="2:15" ht="28.9">
      <c r="B18" s="228" t="s">
        <v>70</v>
      </c>
      <c s="478" t="s">
        <v>71</v>
      </c>
      <c s="479"/>
      <c s="479"/>
      <c s="479"/>
      <c s="479"/>
      <c s="479"/>
      <c s="479"/>
      <c s="479"/>
      <c s="479"/>
      <c s="479"/>
      <c s="479"/>
      <c s="479"/>
      <c s="480"/>
    </row>
    <row r="19" spans="2:15" ht="14.45">
      <c r="B19" s="96" t="s">
        <v>72</v>
      </c>
      <c s="467" t="s">
        <v>73</v>
      </c>
      <c s="468"/>
      <c s="468"/>
      <c s="468"/>
      <c s="468"/>
      <c s="468"/>
      <c s="468"/>
      <c s="468"/>
      <c s="468"/>
      <c s="468"/>
      <c s="468"/>
      <c s="468"/>
      <c s="469"/>
    </row>
    <row r="20" spans="2:15" ht="16.5" customHeight="1">
      <c r="B20" s="485" t="s">
        <v>74</v>
      </c>
      <c s="496" t="s">
        <v>75</v>
      </c>
      <c s="497"/>
      <c s="497"/>
      <c s="497"/>
      <c s="497"/>
      <c s="497"/>
      <c s="497"/>
      <c s="497"/>
      <c s="497"/>
      <c s="497"/>
      <c s="497"/>
      <c s="497"/>
      <c s="498"/>
    </row>
    <row r="21" spans="2:15" ht="16.5" customHeight="1">
      <c r="B21" s="486"/>
      <c s="499"/>
      <c s="500"/>
      <c s="500"/>
      <c s="500"/>
      <c s="500"/>
      <c s="500"/>
      <c s="500"/>
      <c s="500"/>
      <c s="500"/>
      <c s="500"/>
      <c s="500"/>
      <c s="500"/>
      <c s="501"/>
    </row>
    <row r="22" spans="2:15" ht="15" customHeight="1">
      <c r="B22" s="86"/>
      <c s="86"/>
      <c s="86"/>
      <c s="86"/>
      <c s="86"/>
      <c s="86"/>
      <c s="86"/>
      <c s="86"/>
      <c s="86"/>
      <c s="86"/>
      <c s="86"/>
      <c s="86"/>
      <c s="86"/>
      <c s="86"/>
    </row>
    <row r="23" spans="2:15" ht="31.15">
      <c r="B23" s="95" t="s">
        <v>76</v>
      </c>
      <c s="95"/>
      <c s="95"/>
      <c s="95"/>
      <c s="95"/>
      <c s="95"/>
      <c s="95"/>
      <c s="95"/>
      <c s="95"/>
      <c s="95"/>
      <c s="95"/>
      <c s="95"/>
      <c s="95"/>
      <c s="95"/>
    </row>
    <row r="24" spans="2:15" ht="21">
      <c r="B24" s="88" t="s">
        <v>77</v>
      </c>
      <c s="89"/>
      <c s="89"/>
      <c s="89"/>
      <c s="89"/>
      <c s="89"/>
      <c s="89"/>
      <c s="89"/>
      <c s="89"/>
      <c s="89"/>
      <c s="89"/>
      <c s="89"/>
      <c s="89"/>
      <c s="89"/>
    </row>
    <row r="25" spans="2:15" ht="15" customHeight="1">
      <c r="B25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6" spans="2:15" ht="14.45" customHeight="1">
      <c r="B26" s="70" t="s">
        <v>78</v>
      </c>
      <c s="464" t="s">
        <v>79</v>
      </c>
      <c s="465"/>
      <c s="465"/>
      <c s="465"/>
      <c s="465"/>
      <c s="465"/>
      <c s="465"/>
      <c s="465"/>
      <c s="465"/>
      <c s="465"/>
      <c s="465"/>
      <c s="465"/>
      <c s="466"/>
    </row>
    <row r="27" spans="2:15" ht="14.45" customHeight="1">
      <c r="B27" s="70" t="s">
        <v>80</v>
      </c>
      <c s="467" t="s">
        <v>81</v>
      </c>
      <c s="468"/>
      <c s="468"/>
      <c s="468"/>
      <c s="468"/>
      <c s="468"/>
      <c s="468"/>
      <c s="468"/>
      <c s="468"/>
      <c s="468"/>
      <c s="468"/>
      <c s="468"/>
      <c s="469"/>
    </row>
    <row r="28" spans="2:15" ht="14.45">
      <c r="B28" s="81" t="s">
        <v>82</v>
      </c>
      <c s="467" t="s">
        <v>83</v>
      </c>
      <c s="468"/>
      <c s="468"/>
      <c s="468"/>
      <c s="468"/>
      <c s="468"/>
      <c s="468"/>
      <c s="468"/>
      <c s="468"/>
      <c s="468"/>
      <c s="468"/>
      <c s="468"/>
      <c s="469"/>
    </row>
    <row r="29" spans="2:15" ht="14.45">
      <c r="B29" s="81" t="s">
        <v>84</v>
      </c>
      <c s="467" t="s">
        <v>85</v>
      </c>
      <c s="468"/>
      <c s="468"/>
      <c s="468"/>
      <c s="468"/>
      <c s="468"/>
      <c s="468"/>
      <c s="468"/>
      <c s="468"/>
      <c s="468"/>
      <c s="468"/>
      <c s="468"/>
      <c s="469"/>
    </row>
    <row r="30" spans="2:15" ht="14.45">
      <c r="B30" s="81" t="s">
        <v>86</v>
      </c>
      <c s="467" t="s">
        <v>87</v>
      </c>
      <c s="468"/>
      <c s="468"/>
      <c s="468"/>
      <c s="468"/>
      <c s="468"/>
      <c s="468"/>
      <c s="468"/>
      <c s="468"/>
      <c s="468"/>
      <c s="468"/>
      <c s="468"/>
      <c s="469"/>
    </row>
    <row r="31" spans="2:15" ht="14.45">
      <c r="B31" s="81" t="s">
        <v>88</v>
      </c>
      <c s="467" t="s">
        <v>89</v>
      </c>
      <c s="468"/>
      <c s="468"/>
      <c s="468"/>
      <c s="468"/>
      <c s="468"/>
      <c s="468"/>
      <c s="468"/>
      <c s="468"/>
      <c s="468"/>
      <c s="468"/>
      <c s="468"/>
      <c s="469"/>
    </row>
    <row r="32" spans="2:15" ht="14.45">
      <c r="B32" s="225"/>
      <c s="227"/>
      <c s="227"/>
      <c s="227"/>
      <c s="227"/>
      <c s="227"/>
      <c s="227"/>
      <c s="227"/>
      <c s="227"/>
      <c s="227"/>
      <c s="227"/>
      <c s="227"/>
      <c s="227"/>
      <c s="227"/>
    </row>
    <row r="33" spans="2:15" ht="15" customHeight="1">
      <c r="B33" s="86"/>
      <c s="86"/>
      <c s="86"/>
      <c s="86"/>
      <c s="86"/>
      <c s="86"/>
      <c s="86"/>
      <c s="86"/>
      <c s="86"/>
      <c s="86"/>
      <c s="86"/>
      <c s="86"/>
      <c s="86"/>
      <c s="86"/>
    </row>
    <row r="34" spans="2:15" ht="21">
      <c r="B34" s="88" t="s">
        <v>12</v>
      </c>
      <c s="89"/>
      <c s="89"/>
      <c s="89"/>
      <c s="89"/>
      <c s="89"/>
      <c s="89"/>
      <c s="89"/>
      <c s="89"/>
      <c s="89"/>
      <c s="89"/>
      <c s="89"/>
      <c s="89"/>
      <c s="89"/>
    </row>
    <row r="35" spans="2:15" ht="15" customHeight="1">
      <c r="B35" s="90" t="s">
        <v>90</v>
      </c>
      <c s="86"/>
      <c s="86"/>
      <c s="86"/>
      <c s="86"/>
      <c s="86"/>
      <c s="86"/>
      <c s="86"/>
      <c s="86"/>
      <c s="86"/>
      <c s="86"/>
      <c s="86"/>
      <c s="86"/>
      <c s="86"/>
    </row>
    <row r="36" spans="2:15" ht="15" customHeight="1">
      <c r="B36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7" spans="2:15" ht="14.45" customHeight="1">
      <c r="B37" s="70" t="s">
        <v>91</v>
      </c>
      <c s="464" t="s">
        <v>92</v>
      </c>
      <c s="465"/>
      <c s="465"/>
      <c s="465"/>
      <c s="465"/>
      <c s="465"/>
      <c s="465"/>
      <c s="465"/>
      <c s="465"/>
      <c s="465"/>
      <c s="465"/>
      <c s="465"/>
      <c s="466"/>
    </row>
    <row r="38" spans="2:15" ht="16.15">
      <c r="B38" s="512" t="s">
        <v>93</v>
      </c>
      <c s="467" t="s">
        <v>94</v>
      </c>
      <c s="468"/>
      <c s="468"/>
      <c s="468"/>
      <c s="468"/>
      <c s="468"/>
      <c s="468"/>
      <c s="468"/>
      <c s="468"/>
      <c s="468"/>
      <c s="468"/>
      <c s="468"/>
      <c s="469"/>
    </row>
    <row r="39" spans="2:15" ht="31.5" customHeight="1">
      <c r="B39" s="513"/>
      <c s="514" t="s">
        <v>95</v>
      </c>
      <c s="515"/>
      <c s="515"/>
      <c s="515"/>
      <c s="515"/>
      <c s="515"/>
      <c s="515"/>
      <c s="515"/>
      <c s="515"/>
      <c s="515"/>
      <c s="515"/>
      <c s="515"/>
      <c s="516"/>
    </row>
    <row r="40" spans="2:15" ht="16.15">
      <c r="B40" s="81" t="s">
        <v>96</v>
      </c>
      <c s="467" t="s">
        <v>97</v>
      </c>
      <c s="468"/>
      <c s="468"/>
      <c s="468"/>
      <c s="468"/>
      <c s="468"/>
      <c s="468"/>
      <c s="468"/>
      <c s="468"/>
      <c s="468"/>
      <c s="468"/>
      <c s="468"/>
      <c s="469"/>
    </row>
    <row r="41" spans="2:15" ht="16.15">
      <c r="B41" s="81" t="s">
        <v>98</v>
      </c>
      <c s="467" t="s">
        <v>99</v>
      </c>
      <c s="468"/>
      <c s="468"/>
      <c s="468"/>
      <c s="468"/>
      <c s="468"/>
      <c s="468"/>
      <c s="468"/>
      <c s="468"/>
      <c s="468"/>
      <c s="468"/>
      <c s="468"/>
      <c s="469"/>
    </row>
    <row r="42" spans="2:15" ht="15" customHeight="1">
      <c r="B42" s="81" t="s">
        <v>100</v>
      </c>
      <c s="467" t="s">
        <v>101</v>
      </c>
      <c s="468"/>
      <c s="468"/>
      <c s="468"/>
      <c s="468"/>
      <c s="468"/>
      <c s="468"/>
      <c s="468"/>
      <c s="468"/>
      <c s="468"/>
      <c s="468"/>
      <c s="468"/>
      <c s="469"/>
    </row>
    <row r="43" spans="2:15" ht="14.45">
      <c r="B43" s="113" t="s">
        <v>102</v>
      </c>
      <c s="509" t="s">
        <v>103</v>
      </c>
      <c s="510"/>
      <c s="510"/>
      <c s="510"/>
      <c s="510"/>
      <c s="510"/>
      <c s="510"/>
      <c s="510"/>
      <c s="510"/>
      <c s="510"/>
      <c s="510"/>
      <c s="510"/>
      <c s="511"/>
    </row>
    <row r="44" spans="2:15" ht="16.5" customHeight="1">
      <c r="B44" s="485" t="s">
        <v>74</v>
      </c>
      <c s="490" t="s">
        <v>104</v>
      </c>
      <c s="491"/>
      <c s="491"/>
      <c s="491"/>
      <c s="491"/>
      <c s="491"/>
      <c s="491"/>
      <c s="491"/>
      <c s="491"/>
      <c s="491"/>
      <c s="491"/>
      <c s="491"/>
      <c s="492"/>
    </row>
    <row r="45" spans="2:15" ht="16.5" customHeight="1">
      <c r="B45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46" spans="2:15" ht="15" customHeight="1">
      <c r="B46" s="86"/>
      <c s="86"/>
      <c s="86"/>
      <c s="86"/>
      <c s="86"/>
      <c s="86"/>
      <c s="86"/>
      <c s="86"/>
      <c s="86"/>
      <c s="86"/>
      <c s="86"/>
      <c s="86"/>
      <c s="86"/>
      <c s="86"/>
    </row>
    <row r="47" spans="2:15" ht="15" customHeight="1">
      <c r="B47" s="90" t="s">
        <v>105</v>
      </c>
      <c s="86"/>
      <c s="86"/>
      <c s="86"/>
      <c s="86"/>
      <c s="86"/>
      <c s="86"/>
      <c s="86"/>
      <c s="86"/>
      <c s="86"/>
      <c s="86"/>
      <c s="86"/>
      <c s="86"/>
      <c s="86"/>
    </row>
    <row r="48" spans="2:15" ht="15" customHeight="1">
      <c r="B48" s="78" t="s">
        <v>106</v>
      </c>
      <c s="86"/>
      <c s="86"/>
      <c s="86"/>
      <c s="86"/>
      <c s="86"/>
      <c s="86"/>
      <c s="86"/>
      <c s="86"/>
      <c s="86"/>
      <c s="86"/>
      <c s="86"/>
      <c s="86"/>
      <c s="86"/>
    </row>
    <row r="49" spans="2:15" ht="15" customHeight="1">
      <c r="B49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50" spans="2:15" ht="14.45" customHeight="1">
      <c r="B50" s="70" t="s">
        <v>107</v>
      </c>
      <c s="464" t="s">
        <v>108</v>
      </c>
      <c s="465"/>
      <c s="465"/>
      <c s="465"/>
      <c s="465"/>
      <c s="465"/>
      <c s="465"/>
      <c s="465"/>
      <c s="465"/>
      <c s="465"/>
      <c s="465"/>
      <c s="465"/>
      <c s="466"/>
    </row>
    <row r="51" spans="2:15" ht="16.5" customHeight="1">
      <c r="B51" s="265" t="s">
        <v>74</v>
      </c>
      <c s="474" t="s">
        <v>109</v>
      </c>
      <c s="475"/>
      <c s="475"/>
      <c s="475"/>
      <c s="475"/>
      <c s="475"/>
      <c s="475"/>
      <c s="475"/>
      <c s="475"/>
      <c s="475"/>
      <c s="475"/>
      <c s="475"/>
      <c s="476"/>
    </row>
    <row r="52" spans="2:15" ht="15" customHeight="1">
      <c r="B52" s="86"/>
      <c s="86"/>
      <c s="86"/>
      <c s="86"/>
      <c s="86"/>
      <c s="86"/>
      <c s="86"/>
      <c s="86"/>
      <c s="86"/>
      <c s="86"/>
      <c s="86"/>
      <c s="86"/>
      <c s="86"/>
      <c s="86"/>
    </row>
    <row r="53" spans="2:15" ht="15" customHeight="1">
      <c r="B53" s="78" t="s">
        <v>110</v>
      </c>
      <c s="86"/>
      <c s="86"/>
      <c s="86"/>
      <c s="86"/>
      <c s="86"/>
      <c s="86"/>
      <c s="86"/>
      <c s="86"/>
      <c s="86"/>
      <c s="86"/>
      <c s="86"/>
      <c s="86"/>
      <c s="86"/>
    </row>
    <row r="54" spans="2:15" ht="15" customHeight="1">
      <c r="B54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55" spans="2:15" ht="14.45" customHeight="1">
      <c r="B55" s="70" t="s">
        <v>111</v>
      </c>
      <c s="464" t="s">
        <v>112</v>
      </c>
      <c s="465"/>
      <c s="465"/>
      <c s="465"/>
      <c s="465"/>
      <c s="465"/>
      <c s="465"/>
      <c s="465"/>
      <c s="465"/>
      <c s="465"/>
      <c s="465"/>
      <c s="465"/>
      <c s="466"/>
    </row>
    <row r="56" spans="2:15" ht="48.6" customHeight="1">
      <c r="B56" s="81" t="s">
        <v>107</v>
      </c>
      <c s="481" t="s">
        <v>113</v>
      </c>
      <c s="468"/>
      <c s="468"/>
      <c s="468"/>
      <c s="468"/>
      <c s="468"/>
      <c s="468"/>
      <c s="468"/>
      <c s="468"/>
      <c s="468"/>
      <c s="468"/>
      <c s="468"/>
      <c s="469"/>
    </row>
    <row r="57" spans="2:15" ht="16.5" customHeight="1">
      <c r="B57" s="265" t="s">
        <v>74</v>
      </c>
      <c s="474" t="s">
        <v>114</v>
      </c>
      <c s="475"/>
      <c s="475"/>
      <c s="475"/>
      <c s="475"/>
      <c s="475"/>
      <c s="475"/>
      <c s="475"/>
      <c s="475"/>
      <c s="475"/>
      <c s="475"/>
      <c s="475"/>
      <c s="476"/>
    </row>
    <row r="58" spans="2:15" ht="15" customHeight="1">
      <c r="B58" s="86"/>
      <c s="86"/>
      <c s="86"/>
      <c s="86"/>
      <c s="86"/>
      <c s="86"/>
      <c s="86"/>
      <c s="86"/>
      <c s="86"/>
      <c s="86"/>
      <c s="86"/>
      <c s="86"/>
      <c s="86"/>
      <c s="86"/>
    </row>
    <row r="59" spans="2:15" ht="15" customHeight="1">
      <c r="B59" s="78" t="s">
        <v>115</v>
      </c>
      <c s="86"/>
      <c s="86"/>
      <c s="86"/>
      <c s="86"/>
      <c s="86"/>
      <c s="86"/>
      <c s="86"/>
      <c s="86"/>
      <c s="86"/>
      <c s="86"/>
      <c s="86"/>
      <c s="86"/>
      <c s="86"/>
    </row>
    <row r="60" spans="2:15" ht="15" customHeight="1">
      <c r="B6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61" spans="2:15" ht="14.45" customHeight="1">
      <c r="B61" s="70" t="s">
        <v>116</v>
      </c>
      <c s="464" t="s">
        <v>117</v>
      </c>
      <c s="465"/>
      <c s="465"/>
      <c s="465"/>
      <c s="465"/>
      <c s="465"/>
      <c s="465"/>
      <c s="465"/>
      <c s="465"/>
      <c s="465"/>
      <c s="465"/>
      <c s="465"/>
      <c s="466"/>
    </row>
    <row r="62" spans="2:15" ht="15" customHeight="1">
      <c r="B62" s="86"/>
      <c s="86"/>
      <c s="86"/>
      <c s="86"/>
      <c s="86"/>
      <c s="86"/>
      <c s="86"/>
      <c s="86"/>
      <c s="86"/>
      <c s="86"/>
      <c s="86"/>
      <c s="86"/>
      <c s="86"/>
      <c s="86"/>
    </row>
    <row r="63" spans="2:15" ht="21">
      <c r="B63" s="88" t="s">
        <v>13</v>
      </c>
      <c s="89"/>
      <c s="89"/>
      <c s="89"/>
      <c s="89"/>
      <c s="89"/>
      <c s="89"/>
      <c s="89"/>
      <c s="89"/>
      <c s="89"/>
      <c s="89"/>
      <c s="89"/>
      <c s="89"/>
      <c s="89"/>
    </row>
    <row r="64" spans="2:15" ht="15" customHeight="1">
      <c r="B64" s="90" t="s">
        <v>118</v>
      </c>
      <c s="86"/>
      <c s="86"/>
      <c s="86"/>
      <c s="86"/>
      <c s="86"/>
      <c s="86"/>
      <c s="86"/>
      <c s="86"/>
      <c s="86"/>
      <c s="86"/>
      <c s="86"/>
      <c s="86"/>
      <c s="86"/>
    </row>
    <row r="65" spans="2:15" ht="15" customHeight="1">
      <c r="B65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66" spans="2:15" ht="14.45" customHeight="1">
      <c r="B66" s="70" t="s">
        <v>91</v>
      </c>
      <c s="464" t="s">
        <v>119</v>
      </c>
      <c s="465"/>
      <c s="465"/>
      <c s="465"/>
      <c s="465"/>
      <c s="465"/>
      <c s="465"/>
      <c s="465"/>
      <c s="465"/>
      <c s="465"/>
      <c s="465"/>
      <c s="465"/>
      <c s="466"/>
    </row>
    <row r="67" spans="2:15" ht="14.45">
      <c r="B67" s="81" t="s">
        <v>120</v>
      </c>
      <c s="467" t="s">
        <v>121</v>
      </c>
      <c s="468"/>
      <c s="468"/>
      <c s="468"/>
      <c s="468"/>
      <c s="468"/>
      <c s="468"/>
      <c s="468"/>
      <c s="468"/>
      <c s="468"/>
      <c s="468"/>
      <c s="468"/>
      <c s="469"/>
    </row>
    <row r="68" spans="2:15" ht="16.15">
      <c r="B68" s="81" t="s">
        <v>122</v>
      </c>
      <c s="467" t="s">
        <v>123</v>
      </c>
      <c s="468"/>
      <c s="468"/>
      <c s="468"/>
      <c s="468"/>
      <c s="468"/>
      <c s="468"/>
      <c s="468"/>
      <c s="468"/>
      <c s="468"/>
      <c s="468"/>
      <c s="468"/>
      <c s="469"/>
    </row>
    <row r="69" spans="2:15" ht="16.15">
      <c r="B69" s="81" t="s">
        <v>93</v>
      </c>
      <c s="467" t="s">
        <v>124</v>
      </c>
      <c s="468"/>
      <c s="468"/>
      <c s="468"/>
      <c s="468"/>
      <c s="468"/>
      <c s="468"/>
      <c s="468"/>
      <c s="468"/>
      <c s="468"/>
      <c s="468"/>
      <c s="468"/>
      <c s="469"/>
    </row>
    <row r="70" spans="2:15" ht="16.15">
      <c r="B70" s="81" t="s">
        <v>125</v>
      </c>
      <c s="478" t="s">
        <v>126</v>
      </c>
      <c s="479"/>
      <c s="479"/>
      <c s="479"/>
      <c s="479"/>
      <c s="479"/>
      <c s="479"/>
      <c s="479"/>
      <c s="479"/>
      <c s="479"/>
      <c s="479"/>
      <c s="479"/>
      <c s="480"/>
    </row>
    <row r="71" spans="2:15" ht="15" customHeight="1">
      <c r="B71" s="81" t="s">
        <v>127</v>
      </c>
      <c s="467" t="s">
        <v>128</v>
      </c>
      <c s="468"/>
      <c s="468"/>
      <c s="468"/>
      <c s="468"/>
      <c s="468"/>
      <c s="468"/>
      <c s="468"/>
      <c s="468"/>
      <c s="468"/>
      <c s="468"/>
      <c s="468"/>
      <c s="469"/>
    </row>
    <row r="72" spans="2:15" ht="15" customHeight="1">
      <c r="B72" s="81" t="s">
        <v>129</v>
      </c>
      <c s="467" t="s">
        <v>130</v>
      </c>
      <c s="468"/>
      <c s="468"/>
      <c s="468"/>
      <c s="468"/>
      <c s="468"/>
      <c s="468"/>
      <c s="468"/>
      <c s="468"/>
      <c s="468"/>
      <c s="468"/>
      <c s="468"/>
      <c s="469"/>
    </row>
    <row r="73" spans="2:15" ht="30.6" customHeight="1">
      <c r="B73" s="81" t="s">
        <v>131</v>
      </c>
      <c s="481" t="s">
        <v>132</v>
      </c>
      <c s="482"/>
      <c s="482"/>
      <c s="482"/>
      <c s="482"/>
      <c s="482"/>
      <c s="482"/>
      <c s="482"/>
      <c s="482"/>
      <c s="482"/>
      <c s="482"/>
      <c s="482"/>
      <c s="483"/>
    </row>
    <row r="74" spans="2:15" ht="16.5" customHeight="1">
      <c r="B74" s="485" t="s">
        <v>74</v>
      </c>
      <c s="490" t="s">
        <v>133</v>
      </c>
      <c s="491"/>
      <c s="491"/>
      <c s="491"/>
      <c s="491"/>
      <c s="491"/>
      <c s="491"/>
      <c s="491"/>
      <c s="491"/>
      <c s="491"/>
      <c s="491"/>
      <c s="491"/>
      <c s="492"/>
    </row>
    <row r="75" spans="2:15" ht="16.5" customHeight="1">
      <c r="B75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76" spans="2:15" ht="16.5" customHeight="1">
      <c r="B76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77" spans="2:15" ht="16.5" customHeight="1">
      <c r="B77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78" spans="2:15" ht="16.5" customHeight="1">
      <c r="B78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79" spans="2:15" ht="16.5" customHeight="1">
      <c r="B79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80" spans="2:15" ht="16.5" customHeight="1">
      <c r="B80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81" spans="2:15" ht="16.5" customHeight="1">
      <c r="B81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82" spans="2:15" ht="15" customHeight="1">
      <c r="B82" s="86"/>
      <c s="86"/>
      <c s="86"/>
      <c s="86"/>
      <c s="86"/>
      <c s="86"/>
      <c s="86"/>
      <c s="86"/>
      <c s="86"/>
      <c s="86"/>
      <c s="86"/>
      <c s="86"/>
      <c s="86"/>
      <c s="86"/>
    </row>
    <row r="83" spans="2:15" ht="15" customHeight="1">
      <c r="B83" s="90" t="s">
        <v>134</v>
      </c>
      <c s="86"/>
      <c s="86"/>
      <c s="86"/>
      <c s="86"/>
      <c s="86"/>
      <c s="86"/>
      <c s="86"/>
      <c s="86"/>
      <c s="86"/>
      <c s="86"/>
      <c s="86"/>
      <c s="86"/>
      <c s="86"/>
    </row>
    <row r="84" spans="2:15" ht="15" customHeight="1">
      <c r="B84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85" spans="2:15" ht="14.45" customHeight="1">
      <c r="B85" s="70" t="s">
        <v>134</v>
      </c>
      <c s="506" t="s">
        <v>135</v>
      </c>
      <c s="507"/>
      <c s="507"/>
      <c s="507"/>
      <c s="507"/>
      <c s="507"/>
      <c s="507"/>
      <c s="507"/>
      <c s="507"/>
      <c s="507"/>
      <c s="507"/>
      <c s="507"/>
      <c s="508"/>
    </row>
    <row r="86" spans="2:15" ht="15" customHeight="1">
      <c r="B86" s="86"/>
      <c s="86"/>
      <c s="86"/>
      <c s="86"/>
      <c s="86"/>
      <c s="86"/>
      <c s="86"/>
      <c s="86"/>
      <c s="86"/>
      <c s="86"/>
      <c s="86"/>
      <c s="86"/>
      <c s="86"/>
      <c s="86"/>
    </row>
    <row r="87" spans="2:15" ht="15" customHeight="1">
      <c r="B87" s="90" t="s">
        <v>136</v>
      </c>
      <c s="86"/>
      <c s="86"/>
      <c s="86"/>
      <c s="86"/>
      <c s="86"/>
      <c s="86"/>
      <c s="86"/>
      <c s="86"/>
      <c s="86"/>
      <c s="86"/>
      <c s="86"/>
      <c s="86"/>
      <c s="86"/>
    </row>
    <row r="88" spans="2:15" ht="15" customHeight="1">
      <c r="B88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89" spans="2:15" ht="14.45" customHeight="1">
      <c r="B89" s="70" t="s">
        <v>137</v>
      </c>
      <c s="506" t="s">
        <v>138</v>
      </c>
      <c s="507"/>
      <c s="507"/>
      <c s="507"/>
      <c s="507"/>
      <c s="507"/>
      <c s="507"/>
      <c s="507"/>
      <c s="507"/>
      <c s="507"/>
      <c s="507"/>
      <c s="507"/>
      <c s="508"/>
    </row>
    <row r="90" spans="2:15" ht="15" customHeight="1">
      <c r="B90" s="86"/>
      <c s="86"/>
      <c s="86"/>
      <c s="86"/>
      <c s="86"/>
      <c s="86"/>
      <c s="86"/>
      <c s="86"/>
      <c s="86"/>
      <c s="86"/>
      <c s="86"/>
      <c s="86"/>
      <c s="86"/>
      <c s="86"/>
    </row>
    <row r="91" spans="2:15" ht="21">
      <c r="B91" s="88" t="s">
        <v>14</v>
      </c>
      <c s="89"/>
      <c s="89"/>
      <c s="89"/>
      <c s="89"/>
      <c s="89"/>
      <c s="89"/>
      <c s="89"/>
      <c s="89"/>
      <c s="89"/>
      <c s="89"/>
      <c s="89"/>
      <c s="89"/>
      <c s="89"/>
    </row>
    <row r="92" spans="2:15" ht="15" customHeight="1">
      <c r="B92" s="90" t="s">
        <v>139</v>
      </c>
      <c s="86"/>
      <c s="86"/>
      <c s="86"/>
      <c s="86"/>
      <c s="86"/>
      <c s="86"/>
      <c s="86"/>
      <c s="86"/>
      <c s="86"/>
      <c s="86"/>
      <c s="86"/>
      <c s="86"/>
      <c s="86"/>
    </row>
    <row r="93" spans="2:15" ht="15" customHeight="1">
      <c r="B93" s="261" t="s">
        <v>53</v>
      </c>
      <c s="450" t="s">
        <v>54</v>
      </c>
      <c s="451"/>
      <c s="451"/>
      <c s="451"/>
      <c s="451"/>
      <c s="451"/>
      <c s="451"/>
      <c s="451"/>
      <c s="451"/>
      <c s="451"/>
      <c s="451"/>
      <c s="451"/>
      <c s="452"/>
    </row>
    <row r="94" spans="2:15" ht="14.45" customHeight="1">
      <c r="B94" s="70" t="s">
        <v>91</v>
      </c>
      <c s="506" t="s">
        <v>140</v>
      </c>
      <c s="507"/>
      <c s="507"/>
      <c s="507"/>
      <c s="507"/>
      <c s="507"/>
      <c s="507"/>
      <c s="507"/>
      <c s="507"/>
      <c s="507"/>
      <c s="507"/>
      <c s="507"/>
      <c s="508"/>
    </row>
    <row r="95" spans="2:15" ht="14.45">
      <c r="B95" s="70" t="s">
        <v>120</v>
      </c>
      <c s="506" t="s">
        <v>141</v>
      </c>
      <c s="507"/>
      <c s="507"/>
      <c s="507"/>
      <c s="507"/>
      <c s="507"/>
      <c s="507"/>
      <c s="507"/>
      <c s="507"/>
      <c s="507"/>
      <c s="507"/>
      <c s="507"/>
      <c s="508"/>
    </row>
    <row r="96" spans="2:15" ht="16.15">
      <c r="B96" s="81" t="s">
        <v>111</v>
      </c>
      <c s="478" t="s">
        <v>142</v>
      </c>
      <c s="479"/>
      <c s="479"/>
      <c s="479"/>
      <c s="479"/>
      <c s="479"/>
      <c s="479"/>
      <c s="479"/>
      <c s="479"/>
      <c s="479"/>
      <c s="479"/>
      <c s="479"/>
      <c s="480"/>
    </row>
    <row r="97" spans="2:15" ht="16.15">
      <c r="B97" s="81" t="s">
        <v>93</v>
      </c>
      <c s="478" t="s">
        <v>143</v>
      </c>
      <c s="479"/>
      <c s="479"/>
      <c s="479"/>
      <c s="479"/>
      <c s="479"/>
      <c s="479"/>
      <c s="479"/>
      <c s="479"/>
      <c s="479"/>
      <c s="479"/>
      <c s="479"/>
      <c s="480"/>
    </row>
    <row r="98" spans="2:15" ht="16.15">
      <c r="B98" s="81" t="s">
        <v>125</v>
      </c>
      <c s="478" t="s">
        <v>144</v>
      </c>
      <c s="479"/>
      <c s="479"/>
      <c s="479"/>
      <c s="479"/>
      <c s="479"/>
      <c s="479"/>
      <c s="479"/>
      <c s="479"/>
      <c s="479"/>
      <c s="479"/>
      <c s="479"/>
      <c s="480"/>
    </row>
    <row r="99" spans="2:15" ht="15" customHeight="1">
      <c r="B99" s="81" t="s">
        <v>145</v>
      </c>
      <c s="478" t="s">
        <v>146</v>
      </c>
      <c s="479"/>
      <c s="479"/>
      <c s="479"/>
      <c s="479"/>
      <c s="479"/>
      <c s="479"/>
      <c s="479"/>
      <c s="479"/>
      <c s="479"/>
      <c s="479"/>
      <c s="479"/>
      <c s="480"/>
    </row>
    <row r="100" spans="2:15" ht="16.5" customHeight="1">
      <c r="B100" s="485" t="s">
        <v>74</v>
      </c>
      <c s="490" t="s">
        <v>147</v>
      </c>
      <c s="491"/>
      <c s="491"/>
      <c s="491"/>
      <c s="491"/>
      <c s="491"/>
      <c s="491"/>
      <c s="491"/>
      <c s="491"/>
      <c s="491"/>
      <c s="491"/>
      <c s="491"/>
      <c s="492"/>
    </row>
    <row r="101" spans="2:15" ht="16.5" customHeight="1">
      <c r="B101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102" spans="2:15" ht="16.5" customHeight="1">
      <c r="B102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103" spans="2:15" ht="16.5" customHeight="1">
      <c r="B103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104" spans="2:15" ht="15" customHeight="1">
      <c r="B104" s="86"/>
      <c s="86"/>
      <c s="86"/>
      <c s="86"/>
      <c s="86"/>
      <c s="86"/>
      <c s="86"/>
      <c s="86"/>
      <c s="86"/>
      <c s="86"/>
      <c s="86"/>
      <c s="86"/>
      <c s="86"/>
      <c s="86"/>
    </row>
    <row r="105" spans="2:15" ht="15" customHeight="1">
      <c r="B105" s="90" t="s">
        <v>148</v>
      </c>
      <c s="86"/>
      <c s="86"/>
      <c s="86"/>
      <c s="86"/>
      <c s="86"/>
      <c s="86"/>
      <c s="86"/>
      <c s="86"/>
      <c s="86"/>
      <c s="86"/>
      <c s="86"/>
      <c s="86"/>
      <c s="86"/>
    </row>
    <row r="106" spans="2:15" ht="15" customHeight="1">
      <c r="B106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07" spans="2:15" ht="14.45" customHeight="1">
      <c r="B107" s="70" t="s">
        <v>148</v>
      </c>
      <c s="464" t="s">
        <v>149</v>
      </c>
      <c s="465"/>
      <c s="465"/>
      <c s="465"/>
      <c s="465"/>
      <c s="465"/>
      <c s="465"/>
      <c s="465"/>
      <c s="465"/>
      <c s="465"/>
      <c s="465"/>
      <c s="465"/>
      <c s="466"/>
    </row>
    <row r="108" spans="2:15" ht="15" customHeight="1">
      <c r="B108" s="86"/>
      <c s="86"/>
      <c s="86"/>
      <c s="86"/>
      <c s="86"/>
      <c s="86"/>
      <c s="86"/>
      <c s="86"/>
      <c s="86"/>
      <c s="86"/>
      <c s="86"/>
      <c s="86"/>
      <c s="86"/>
      <c s="86"/>
    </row>
    <row r="109" spans="2:15" ht="15" customHeight="1">
      <c r="B109" s="90" t="s">
        <v>150</v>
      </c>
      <c s="86"/>
      <c s="86"/>
      <c s="86"/>
      <c s="86"/>
      <c s="86"/>
      <c s="86"/>
      <c s="86"/>
      <c s="86"/>
      <c s="86"/>
      <c s="86"/>
      <c s="86"/>
      <c s="86"/>
      <c s="86"/>
    </row>
    <row r="110" spans="2:15" ht="15" customHeight="1">
      <c r="B11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11" spans="2:15" ht="14.45" customHeight="1">
      <c r="B111" s="70" t="s">
        <v>151</v>
      </c>
      <c s="464" t="s">
        <v>152</v>
      </c>
      <c s="465"/>
      <c s="465"/>
      <c s="465"/>
      <c s="465"/>
      <c s="465"/>
      <c s="465"/>
      <c s="465"/>
      <c s="465"/>
      <c s="465"/>
      <c s="465"/>
      <c s="465"/>
      <c s="466"/>
    </row>
    <row r="112" spans="2:15" ht="15" customHeight="1">
      <c r="B112" s="86"/>
      <c s="86"/>
      <c s="86"/>
      <c s="86"/>
      <c s="86"/>
      <c s="86"/>
      <c s="86"/>
      <c s="86"/>
      <c s="86"/>
      <c s="86"/>
      <c s="86"/>
      <c s="86"/>
      <c s="86"/>
      <c s="86"/>
    </row>
    <row r="113" spans="2:15" ht="15" customHeight="1">
      <c r="B113" s="90" t="s">
        <v>153</v>
      </c>
      <c s="86"/>
      <c s="86"/>
      <c s="86"/>
      <c s="86"/>
      <c s="86"/>
      <c s="86"/>
      <c s="86"/>
      <c s="86"/>
      <c s="86"/>
      <c s="86"/>
      <c s="86"/>
      <c s="86"/>
      <c s="86"/>
    </row>
    <row r="114" spans="2:15" ht="15" customHeight="1">
      <c r="B114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15" spans="2:15" ht="14.45" customHeight="1">
      <c r="B115" s="70" t="s">
        <v>91</v>
      </c>
      <c s="464" t="s">
        <v>154</v>
      </c>
      <c s="465"/>
      <c s="465"/>
      <c s="465"/>
      <c s="465"/>
      <c s="465"/>
      <c s="465"/>
      <c s="465"/>
      <c s="465"/>
      <c s="465"/>
      <c s="465"/>
      <c s="465"/>
      <c s="466"/>
    </row>
    <row r="116" spans="2:15" ht="16.15">
      <c r="B116" s="81" t="s">
        <v>155</v>
      </c>
      <c s="467" t="s">
        <v>156</v>
      </c>
      <c s="468"/>
      <c s="468"/>
      <c s="468"/>
      <c s="468"/>
      <c s="468"/>
      <c s="468"/>
      <c s="468"/>
      <c s="468"/>
      <c s="468"/>
      <c s="468"/>
      <c s="468"/>
      <c s="469"/>
    </row>
    <row r="117" spans="2:15" ht="16.15">
      <c r="B117" s="81" t="s">
        <v>111</v>
      </c>
      <c s="467" t="s">
        <v>157</v>
      </c>
      <c s="468"/>
      <c s="468"/>
      <c s="468"/>
      <c s="468"/>
      <c s="468"/>
      <c s="468"/>
      <c s="468"/>
      <c s="468"/>
      <c s="468"/>
      <c s="468"/>
      <c s="468"/>
      <c s="469"/>
    </row>
    <row r="118" spans="2:15" ht="16.15">
      <c r="B118" s="81" t="s">
        <v>93</v>
      </c>
      <c s="467" t="s">
        <v>158</v>
      </c>
      <c s="468"/>
      <c s="468"/>
      <c s="468"/>
      <c s="468"/>
      <c s="468"/>
      <c s="468"/>
      <c s="468"/>
      <c s="468"/>
      <c s="468"/>
      <c s="468"/>
      <c s="468"/>
      <c s="469"/>
    </row>
    <row r="119" spans="2:15" ht="16.15">
      <c r="B119" s="81" t="s">
        <v>125</v>
      </c>
      <c s="467" t="s">
        <v>159</v>
      </c>
      <c s="468"/>
      <c s="468"/>
      <c s="468"/>
      <c s="468"/>
      <c s="468"/>
      <c s="468"/>
      <c s="468"/>
      <c s="468"/>
      <c s="468"/>
      <c s="468"/>
      <c s="468"/>
      <c s="469"/>
    </row>
    <row r="120" spans="2:15" ht="16.15">
      <c r="B120" s="81" t="s">
        <v>160</v>
      </c>
      <c s="467" t="s">
        <v>161</v>
      </c>
      <c s="468"/>
      <c s="468"/>
      <c s="468"/>
      <c s="468"/>
      <c s="468"/>
      <c s="468"/>
      <c s="468"/>
      <c s="468"/>
      <c s="468"/>
      <c s="468"/>
      <c s="468"/>
      <c s="469"/>
    </row>
    <row r="121" spans="2:15" ht="15" customHeight="1">
      <c r="B121" s="81" t="s">
        <v>145</v>
      </c>
      <c s="467" t="s">
        <v>162</v>
      </c>
      <c s="468"/>
      <c s="468"/>
      <c s="468"/>
      <c s="468"/>
      <c s="468"/>
      <c s="468"/>
      <c s="468"/>
      <c s="468"/>
      <c s="468"/>
      <c s="468"/>
      <c s="468"/>
      <c s="469"/>
    </row>
    <row r="122" spans="2:15" ht="16.5" customHeight="1">
      <c r="B122" s="485" t="s">
        <v>74</v>
      </c>
      <c s="490" t="s">
        <v>163</v>
      </c>
      <c s="491"/>
      <c s="491"/>
      <c s="491"/>
      <c s="491"/>
      <c s="491"/>
      <c s="491"/>
      <c s="491"/>
      <c s="491"/>
      <c s="491"/>
      <c s="491"/>
      <c s="491"/>
      <c s="492"/>
    </row>
    <row r="123" spans="2:15" ht="16.5" customHeight="1">
      <c r="B123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124" spans="2:15" ht="16.5" customHeight="1">
      <c r="B124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125" spans="2:15" ht="16.5" customHeight="1">
      <c r="B125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126" spans="2:15" ht="16.5" customHeight="1">
      <c r="B126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127" spans="2:15" ht="16.5" customHeight="1">
      <c r="B127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128" spans="2:15" ht="15" customHeight="1">
      <c r="B128" s="86"/>
      <c s="86"/>
      <c s="86"/>
      <c s="86"/>
      <c s="86"/>
      <c s="86"/>
      <c s="86"/>
      <c s="86"/>
      <c s="86"/>
      <c s="86"/>
      <c s="86"/>
      <c s="86"/>
      <c s="86"/>
      <c s="86"/>
    </row>
    <row r="129" spans="2:15" ht="15" customHeight="1">
      <c r="B129" s="90" t="s">
        <v>164</v>
      </c>
      <c s="86"/>
      <c s="86"/>
      <c s="86"/>
      <c s="86"/>
      <c s="86"/>
      <c s="86"/>
      <c s="86"/>
      <c s="86"/>
      <c s="86"/>
      <c s="86"/>
      <c s="86"/>
      <c s="86"/>
      <c s="86"/>
    </row>
    <row r="130" spans="2:15" ht="15" customHeight="1">
      <c r="B13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31" spans="2:15" ht="14.45" customHeight="1">
      <c r="B131" s="70" t="s">
        <v>107</v>
      </c>
      <c s="464" t="s">
        <v>165</v>
      </c>
      <c s="465"/>
      <c s="465"/>
      <c s="465"/>
      <c s="465"/>
      <c s="465"/>
      <c s="465"/>
      <c s="465"/>
      <c s="465"/>
      <c s="465"/>
      <c s="465"/>
      <c s="465"/>
      <c s="466"/>
    </row>
    <row r="132" spans="2:15" ht="15" customHeight="1">
      <c r="B132" s="86"/>
      <c s="86"/>
      <c s="86"/>
      <c s="86"/>
      <c s="86"/>
      <c s="86"/>
      <c s="86"/>
      <c s="86"/>
      <c s="86"/>
      <c s="86"/>
      <c s="86"/>
      <c s="86"/>
      <c s="86"/>
      <c s="86"/>
    </row>
    <row r="133" spans="2:15" ht="15" customHeight="1">
      <c r="B133" s="90" t="s">
        <v>166</v>
      </c>
      <c s="86"/>
      <c s="86"/>
      <c s="86"/>
      <c s="86"/>
      <c s="86"/>
      <c s="86"/>
      <c s="86"/>
      <c s="86"/>
      <c s="86"/>
      <c s="86"/>
      <c s="86"/>
      <c s="86"/>
      <c s="86"/>
    </row>
    <row r="134" spans="2:15" ht="15" customHeight="1">
      <c r="B134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35" spans="2:15" ht="14.45" customHeight="1">
      <c r="B135" s="70" t="s">
        <v>91</v>
      </c>
      <c s="464" t="s">
        <v>167</v>
      </c>
      <c s="465"/>
      <c s="465"/>
      <c s="465"/>
      <c s="465"/>
      <c s="465"/>
      <c s="465"/>
      <c s="465"/>
      <c s="465"/>
      <c s="465"/>
      <c s="465"/>
      <c s="465"/>
      <c s="466"/>
    </row>
    <row r="136" spans="2:15" ht="16.15">
      <c r="B136" s="81" t="s">
        <v>155</v>
      </c>
      <c s="478" t="s">
        <v>168</v>
      </c>
      <c s="479"/>
      <c s="479"/>
      <c s="479"/>
      <c s="479"/>
      <c s="479"/>
      <c s="479"/>
      <c s="479"/>
      <c s="479"/>
      <c s="479"/>
      <c s="479"/>
      <c s="479"/>
      <c s="480"/>
    </row>
    <row r="137" spans="2:15" ht="14.45">
      <c r="B137" s="81" t="s">
        <v>169</v>
      </c>
      <c s="467" t="s">
        <v>170</v>
      </c>
      <c s="468"/>
      <c s="468"/>
      <c s="468"/>
      <c s="468"/>
      <c s="468"/>
      <c s="468"/>
      <c s="468"/>
      <c s="468"/>
      <c s="468"/>
      <c s="468"/>
      <c s="468"/>
      <c s="469"/>
    </row>
    <row r="138" spans="2:15" ht="14.45">
      <c r="B138" s="81" t="s">
        <v>171</v>
      </c>
      <c s="467" t="s">
        <v>172</v>
      </c>
      <c s="468"/>
      <c s="468"/>
      <c s="468"/>
      <c s="468"/>
      <c s="468"/>
      <c s="468"/>
      <c s="468"/>
      <c s="468"/>
      <c s="468"/>
      <c s="468"/>
      <c s="468"/>
      <c s="469"/>
    </row>
    <row r="139" spans="2:15" ht="16.5" customHeight="1">
      <c r="B139" s="265" t="s">
        <v>74</v>
      </c>
      <c s="474" t="s">
        <v>173</v>
      </c>
      <c s="475"/>
      <c s="475"/>
      <c s="475"/>
      <c s="475"/>
      <c s="475"/>
      <c s="475"/>
      <c s="475"/>
      <c s="475"/>
      <c s="475"/>
      <c s="475"/>
      <c s="475"/>
      <c s="476"/>
    </row>
    <row r="140" spans="2:15" ht="15" customHeight="1">
      <c r="B140" s="86"/>
      <c s="86"/>
      <c s="86"/>
      <c s="86"/>
      <c s="86"/>
      <c s="86"/>
      <c s="86"/>
      <c s="86"/>
      <c s="86"/>
      <c s="86"/>
      <c s="86"/>
      <c s="86"/>
      <c s="86"/>
      <c s="86"/>
    </row>
    <row r="141" spans="2:15" ht="15" customHeight="1">
      <c r="B141" s="90" t="s">
        <v>174</v>
      </c>
      <c s="86"/>
      <c s="86"/>
      <c s="86"/>
      <c s="86"/>
      <c s="86"/>
      <c s="86"/>
      <c s="86"/>
      <c s="86"/>
      <c s="86"/>
      <c s="86"/>
      <c s="86"/>
      <c s="86"/>
      <c s="86"/>
    </row>
    <row r="142" spans="2:15" ht="15" customHeight="1">
      <c r="B142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43" spans="2:15" ht="14.45" customHeight="1">
      <c r="B143" s="70" t="s">
        <v>175</v>
      </c>
      <c s="464" t="s">
        <v>176</v>
      </c>
      <c s="465"/>
      <c s="465"/>
      <c s="465"/>
      <c s="465"/>
      <c s="465"/>
      <c s="465"/>
      <c s="465"/>
      <c s="465"/>
      <c s="465"/>
      <c s="465"/>
      <c s="465"/>
      <c s="466"/>
    </row>
    <row r="144" spans="2:15" ht="15" customHeight="1">
      <c r="B144" s="86"/>
      <c s="86"/>
      <c s="86"/>
      <c s="86"/>
      <c s="86"/>
      <c s="86"/>
      <c s="86"/>
      <c s="86"/>
      <c s="86"/>
      <c s="86"/>
      <c s="86"/>
      <c s="86"/>
      <c s="86"/>
      <c s="86"/>
    </row>
    <row r="145" spans="2:15" ht="21">
      <c r="B145" s="88" t="s">
        <v>18</v>
      </c>
      <c s="89"/>
      <c s="89"/>
      <c s="89"/>
      <c s="89"/>
      <c s="89"/>
      <c s="89"/>
      <c s="89"/>
      <c s="89"/>
      <c s="89"/>
      <c s="89"/>
      <c s="89"/>
      <c s="89"/>
      <c s="89"/>
    </row>
    <row r="146" spans="2:15" ht="15" customHeight="1">
      <c r="B146" s="90" t="s">
        <v>177</v>
      </c>
      <c s="86"/>
      <c s="86"/>
      <c s="86"/>
      <c s="86"/>
      <c s="86"/>
      <c s="86"/>
      <c s="86"/>
      <c s="86"/>
      <c s="86"/>
      <c s="86"/>
      <c s="86"/>
      <c s="86"/>
      <c s="86"/>
    </row>
    <row r="147" spans="2:15" ht="15" customHeight="1">
      <c r="B147" s="78" t="s">
        <v>178</v>
      </c>
      <c s="86"/>
      <c s="86"/>
      <c s="86"/>
      <c s="86"/>
      <c s="86"/>
      <c s="86"/>
      <c s="86"/>
      <c s="86"/>
      <c s="86"/>
      <c s="86"/>
      <c s="86"/>
      <c s="86"/>
      <c s="86"/>
    </row>
    <row r="148" spans="2:15" ht="15" customHeight="1">
      <c r="B148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49" spans="2:15" ht="14.45" customHeight="1">
      <c r="B149" s="70" t="s">
        <v>107</v>
      </c>
      <c s="464" t="s">
        <v>179</v>
      </c>
      <c s="465"/>
      <c s="465"/>
      <c s="465"/>
      <c s="465"/>
      <c s="465"/>
      <c s="465"/>
      <c s="465"/>
      <c s="465"/>
      <c s="465"/>
      <c s="465"/>
      <c s="465"/>
      <c s="466"/>
    </row>
    <row r="150" spans="2:15" ht="15" customHeight="1">
      <c r="B150" s="86"/>
      <c s="86"/>
      <c s="86"/>
      <c s="86"/>
      <c s="86"/>
      <c s="86"/>
      <c s="86"/>
      <c s="86"/>
      <c s="86"/>
      <c s="86"/>
      <c s="86"/>
      <c s="86"/>
      <c s="86"/>
      <c s="86"/>
    </row>
    <row r="151" spans="2:15" ht="15" customHeight="1">
      <c r="B151" s="78" t="s">
        <v>180</v>
      </c>
      <c s="86"/>
      <c s="86"/>
      <c s="86"/>
      <c s="86"/>
      <c s="86"/>
      <c s="86"/>
      <c s="86"/>
      <c s="86"/>
      <c s="86"/>
      <c s="86"/>
      <c s="86"/>
      <c s="86"/>
      <c s="86"/>
    </row>
    <row r="152" spans="2:15" ht="15" customHeight="1">
      <c r="B152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53" spans="2:15" ht="14.45" customHeight="1">
      <c r="B153" s="70" t="s">
        <v>107</v>
      </c>
      <c s="464" t="s">
        <v>181</v>
      </c>
      <c s="465"/>
      <c s="465"/>
      <c s="465"/>
      <c s="465"/>
      <c s="465"/>
      <c s="465"/>
      <c s="465"/>
      <c s="465"/>
      <c s="465"/>
      <c s="465"/>
      <c s="465"/>
      <c s="466"/>
    </row>
    <row r="154" spans="2:15" ht="15" customHeight="1">
      <c r="B154" s="86"/>
      <c s="86"/>
      <c s="86"/>
      <c s="86"/>
      <c s="86"/>
      <c s="86"/>
      <c s="86"/>
      <c s="86"/>
      <c s="86"/>
      <c s="86"/>
      <c s="86"/>
      <c s="86"/>
      <c s="86"/>
      <c s="86"/>
    </row>
    <row r="155" spans="2:15" ht="15.6">
      <c r="B155" s="90" t="s">
        <v>182</v>
      </c>
      <c s="89"/>
      <c s="89"/>
      <c s="89"/>
      <c s="89"/>
      <c s="89"/>
      <c s="89"/>
      <c s="89"/>
      <c s="89"/>
      <c s="89"/>
      <c s="89"/>
      <c s="89"/>
      <c s="89"/>
      <c s="89"/>
    </row>
    <row r="156" spans="2:15" ht="15" customHeight="1">
      <c r="B156" s="78" t="s">
        <v>183</v>
      </c>
      <c s="86"/>
      <c s="86"/>
      <c s="86"/>
      <c s="86"/>
      <c s="86"/>
      <c s="86"/>
      <c s="86"/>
      <c s="86"/>
      <c s="86"/>
      <c s="86"/>
      <c s="86"/>
      <c s="86"/>
      <c s="86"/>
    </row>
    <row r="157" spans="2:15" ht="15" customHeight="1">
      <c r="B157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58" spans="2:15" ht="14.45" customHeight="1">
      <c r="B158" s="70" t="s">
        <v>91</v>
      </c>
      <c s="464" t="s">
        <v>184</v>
      </c>
      <c s="465"/>
      <c s="465"/>
      <c s="465"/>
      <c s="465"/>
      <c s="465"/>
      <c s="465"/>
      <c s="465"/>
      <c s="465"/>
      <c s="465"/>
      <c s="465"/>
      <c s="465"/>
      <c s="466"/>
    </row>
    <row r="159" spans="2:15" ht="14.45">
      <c r="B159" s="81" t="s">
        <v>185</v>
      </c>
      <c s="467" t="s">
        <v>186</v>
      </c>
      <c s="468"/>
      <c s="468"/>
      <c s="468"/>
      <c s="468"/>
      <c s="468"/>
      <c s="468"/>
      <c s="468"/>
      <c s="468"/>
      <c s="468"/>
      <c s="468"/>
      <c s="468"/>
      <c s="469"/>
    </row>
    <row r="160" spans="2:15" ht="14.45">
      <c r="B160" s="81" t="s">
        <v>178</v>
      </c>
      <c s="467" t="s">
        <v>187</v>
      </c>
      <c s="468"/>
      <c s="468"/>
      <c s="468"/>
      <c s="468"/>
      <c s="468"/>
      <c s="468"/>
      <c s="468"/>
      <c s="468"/>
      <c s="468"/>
      <c s="468"/>
      <c s="468"/>
      <c s="469"/>
    </row>
    <row r="161" spans="2:15" ht="15" customHeight="1">
      <c r="B161" s="86"/>
      <c s="86"/>
      <c s="86"/>
      <c s="86"/>
      <c s="86"/>
      <c s="86"/>
      <c s="86"/>
      <c s="86"/>
      <c s="86"/>
      <c s="86"/>
      <c s="86"/>
      <c s="86"/>
      <c s="86"/>
      <c s="86"/>
    </row>
    <row r="162" spans="2:15" ht="15" customHeight="1">
      <c r="B162" s="78" t="s">
        <v>188</v>
      </c>
      <c s="86"/>
      <c s="86"/>
      <c s="86"/>
      <c s="86"/>
      <c s="86"/>
      <c s="86"/>
      <c s="86"/>
      <c s="86"/>
      <c s="86"/>
      <c s="86"/>
      <c s="86"/>
      <c s="86"/>
      <c s="86"/>
    </row>
    <row r="163" spans="2:15" ht="15" customHeight="1">
      <c r="B163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64" spans="2:15" ht="14.45" customHeight="1">
      <c r="B164" s="70" t="s">
        <v>189</v>
      </c>
      <c s="464" t="s">
        <v>190</v>
      </c>
      <c s="465"/>
      <c s="465"/>
      <c s="465"/>
      <c s="465"/>
      <c s="465"/>
      <c s="465"/>
      <c s="465"/>
      <c s="465"/>
      <c s="465"/>
      <c s="465"/>
      <c s="465"/>
      <c s="466"/>
    </row>
    <row r="165" spans="2:15" ht="14.45" customHeight="1">
      <c r="B165" s="81" t="s">
        <v>191</v>
      </c>
      <c s="467" t="s">
        <v>192</v>
      </c>
      <c s="468"/>
      <c s="468"/>
      <c s="468"/>
      <c s="468"/>
      <c s="468"/>
      <c s="468"/>
      <c s="468"/>
      <c s="468"/>
      <c s="468"/>
      <c s="468"/>
      <c s="468"/>
      <c s="469"/>
    </row>
    <row r="166" spans="2:15" ht="16.5" customHeight="1">
      <c r="B166" s="265" t="s">
        <v>74</v>
      </c>
      <c s="474" t="s">
        <v>193</v>
      </c>
      <c s="475"/>
      <c s="475"/>
      <c s="475"/>
      <c s="475"/>
      <c s="475"/>
      <c s="475"/>
      <c s="475"/>
      <c s="475"/>
      <c s="475"/>
      <c s="475"/>
      <c s="475"/>
      <c s="476"/>
    </row>
    <row r="167" spans="2:15" ht="15" customHeight="1">
      <c r="B167" s="86"/>
      <c s="86"/>
      <c s="86"/>
      <c s="86"/>
      <c s="86"/>
      <c s="86"/>
      <c s="86"/>
      <c s="86"/>
      <c s="86"/>
      <c s="86"/>
      <c s="86"/>
      <c s="86"/>
      <c s="86"/>
      <c s="86"/>
    </row>
    <row r="168" spans="2:15" ht="15" customHeight="1">
      <c r="B168" s="90" t="s">
        <v>194</v>
      </c>
      <c s="86"/>
      <c s="86"/>
      <c s="86"/>
      <c s="86"/>
      <c s="86"/>
      <c s="86"/>
      <c s="86"/>
      <c s="86"/>
      <c s="86"/>
      <c s="86"/>
      <c s="86"/>
      <c s="86"/>
      <c s="86"/>
    </row>
    <row r="169" spans="2:15" ht="15" customHeight="1">
      <c r="B169" s="78" t="s">
        <v>183</v>
      </c>
      <c s="86"/>
      <c s="86"/>
      <c s="86"/>
      <c s="86"/>
      <c s="86"/>
      <c s="86"/>
      <c s="86"/>
      <c s="86"/>
      <c s="86"/>
      <c s="86"/>
      <c s="86"/>
      <c s="86"/>
      <c s="86"/>
    </row>
    <row r="170" spans="2:15" ht="15" customHeight="1">
      <c r="B17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71" spans="2:15" ht="14.45" customHeight="1">
      <c r="B171" s="70" t="s">
        <v>91</v>
      </c>
      <c s="464" t="s">
        <v>195</v>
      </c>
      <c s="465"/>
      <c s="465"/>
      <c s="465"/>
      <c s="465"/>
      <c s="465"/>
      <c s="465"/>
      <c s="465"/>
      <c s="465"/>
      <c s="465"/>
      <c s="465"/>
      <c s="465"/>
      <c s="466"/>
    </row>
    <row r="172" spans="2:15" ht="14.45">
      <c r="B172" s="81" t="s">
        <v>185</v>
      </c>
      <c s="467" t="s">
        <v>196</v>
      </c>
      <c s="468"/>
      <c s="468"/>
      <c s="468"/>
      <c s="468"/>
      <c s="468"/>
      <c s="468"/>
      <c s="468"/>
      <c s="468"/>
      <c s="468"/>
      <c s="468"/>
      <c s="468"/>
      <c s="469"/>
    </row>
    <row r="173" spans="2:15" ht="14.45">
      <c r="B173" s="81" t="s">
        <v>178</v>
      </c>
      <c s="467" t="s">
        <v>187</v>
      </c>
      <c s="468"/>
      <c s="468"/>
      <c s="468"/>
      <c s="468"/>
      <c s="468"/>
      <c s="468"/>
      <c s="468"/>
      <c s="468"/>
      <c s="468"/>
      <c s="468"/>
      <c s="468"/>
      <c s="469"/>
    </row>
    <row r="174" spans="2:15" ht="15" customHeight="1">
      <c r="B174" s="86"/>
      <c s="86"/>
      <c s="86"/>
      <c s="86"/>
      <c s="86"/>
      <c s="86"/>
      <c s="86"/>
      <c s="86"/>
      <c s="86"/>
      <c s="86"/>
      <c s="86"/>
      <c s="86"/>
      <c s="86"/>
      <c s="86"/>
    </row>
    <row r="175" spans="2:15" ht="15" customHeight="1">
      <c r="B175" s="78" t="s">
        <v>188</v>
      </c>
      <c s="86"/>
      <c s="86"/>
      <c s="86"/>
      <c s="86"/>
      <c s="86"/>
      <c s="86"/>
      <c s="86"/>
      <c s="86"/>
      <c s="86"/>
      <c s="86"/>
      <c s="86"/>
      <c s="86"/>
      <c s="86"/>
    </row>
    <row r="176" spans="2:15" ht="15" customHeight="1">
      <c r="B176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77" spans="2:15" ht="14.45" customHeight="1">
      <c r="B177" s="70" t="s">
        <v>197</v>
      </c>
      <c s="464" t="s">
        <v>190</v>
      </c>
      <c s="465"/>
      <c s="465"/>
      <c s="465"/>
      <c s="465"/>
      <c s="465"/>
      <c s="465"/>
      <c s="465"/>
      <c s="465"/>
      <c s="465"/>
      <c s="465"/>
      <c s="465"/>
      <c s="466"/>
    </row>
    <row r="178" spans="2:15" ht="14.45" customHeight="1">
      <c r="B178" s="81" t="s">
        <v>198</v>
      </c>
      <c s="467" t="s">
        <v>192</v>
      </c>
      <c s="468"/>
      <c s="468"/>
      <c s="468"/>
      <c s="468"/>
      <c s="468"/>
      <c s="468"/>
      <c s="468"/>
      <c s="468"/>
      <c s="468"/>
      <c s="468"/>
      <c s="468"/>
      <c s="469"/>
    </row>
    <row r="179" spans="2:15" ht="16.5" customHeight="1">
      <c r="B179" s="265" t="s">
        <v>74</v>
      </c>
      <c s="474" t="s">
        <v>193</v>
      </c>
      <c s="475"/>
      <c s="475"/>
      <c s="475"/>
      <c s="475"/>
      <c s="475"/>
      <c s="475"/>
      <c s="475"/>
      <c s="475"/>
      <c s="475"/>
      <c s="475"/>
      <c s="475"/>
      <c s="476"/>
    </row>
    <row r="180" spans="2:15" ht="15" customHeight="1">
      <c r="B180" s="86"/>
      <c s="86"/>
      <c s="86"/>
      <c s="86"/>
      <c s="86"/>
      <c s="86"/>
      <c s="86"/>
      <c s="86"/>
      <c s="86"/>
      <c s="86"/>
      <c s="86"/>
      <c s="86"/>
      <c s="86"/>
      <c s="86"/>
    </row>
    <row r="181" spans="2:15" ht="15" customHeight="1">
      <c r="B181" s="90" t="str">
        <f>"Заёмное финансирование: заём "&amp;IF(ISNUMBER(SEARCH("РФРП",Программа)),"ФРП и РФРП","ФРП")</f>
        <v>Заёмное финансирование: заём ФРП</v>
      </c>
      <c s="86"/>
      <c s="86"/>
      <c s="86"/>
      <c s="86"/>
      <c s="86"/>
      <c s="86"/>
      <c s="86"/>
      <c s="86"/>
      <c s="86"/>
      <c s="86"/>
      <c s="86"/>
      <c s="86"/>
      <c s="86"/>
    </row>
    <row r="182" spans="2:15" ht="15" customHeight="1">
      <c r="B182" s="78" t="str">
        <f>"График привлечения и погашения средств "&amp;IF(ISNUMBER(SEARCH("РФРП",Программа)),"ФРП и РФРП","ФРП")&amp;" в проект"</f>
        <v>График привлечения и погашения средств ФРП в проект</v>
      </c>
      <c s="86"/>
      <c s="86"/>
      <c s="86"/>
      <c s="86"/>
      <c s="86"/>
      <c s="86"/>
      <c s="86"/>
      <c s="86"/>
      <c s="86"/>
      <c s="86"/>
      <c s="86"/>
      <c s="86"/>
      <c s="86"/>
    </row>
    <row r="183" spans="2:15" ht="15" customHeight="1">
      <c r="B183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84" spans="2:15" ht="14.45" customHeight="1">
      <c r="B184" s="70" t="s">
        <v>199</v>
      </c>
      <c s="464" t="s">
        <v>200</v>
      </c>
      <c s="465"/>
      <c s="465"/>
      <c s="465"/>
      <c s="465"/>
      <c s="465"/>
      <c s="465"/>
      <c s="465"/>
      <c s="465"/>
      <c s="465"/>
      <c s="465"/>
      <c s="465"/>
      <c s="466"/>
    </row>
    <row r="185" spans="2:15" ht="15" customHeight="1">
      <c r="B185" s="86"/>
      <c s="86"/>
      <c s="86"/>
      <c s="86"/>
      <c s="86"/>
      <c s="86"/>
      <c s="86"/>
      <c s="86"/>
      <c s="86"/>
      <c s="86"/>
      <c s="86"/>
      <c s="86"/>
      <c s="86"/>
      <c s="86"/>
    </row>
    <row r="186" spans="2:15" ht="21">
      <c r="B186" s="88" t="s">
        <v>201</v>
      </c>
      <c s="89"/>
      <c s="89"/>
      <c s="89"/>
      <c s="89"/>
      <c s="89"/>
      <c s="89"/>
      <c s="89"/>
      <c s="89"/>
      <c s="89"/>
      <c s="89"/>
      <c s="89"/>
      <c s="89"/>
      <c s="89"/>
    </row>
    <row r="187" spans="2:15" ht="15" customHeight="1">
      <c r="B187" s="90" t="s">
        <v>202</v>
      </c>
      <c s="86"/>
      <c s="86"/>
      <c s="86"/>
      <c s="86"/>
      <c s="86"/>
      <c s="86"/>
      <c s="86"/>
      <c s="86"/>
      <c s="86"/>
      <c s="86"/>
      <c s="86"/>
      <c s="86"/>
      <c s="86"/>
    </row>
    <row r="188" spans="2:15" ht="15" customHeight="1">
      <c r="B188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89" spans="2:15" ht="14.45" customHeight="1">
      <c r="B189" s="70" t="s">
        <v>203</v>
      </c>
      <c s="464" t="s">
        <v>204</v>
      </c>
      <c s="465"/>
      <c s="465"/>
      <c s="465"/>
      <c s="465"/>
      <c s="465"/>
      <c s="465"/>
      <c s="465"/>
      <c s="465"/>
      <c s="465"/>
      <c s="465"/>
      <c s="465"/>
      <c s="466"/>
    </row>
    <row r="190" spans="2:15" ht="14.45" customHeight="1">
      <c r="B190" s="81" t="s">
        <v>205</v>
      </c>
      <c s="467" t="s">
        <v>206</v>
      </c>
      <c s="468"/>
      <c s="468"/>
      <c s="468"/>
      <c s="468"/>
      <c s="468"/>
      <c s="468"/>
      <c s="468"/>
      <c s="468"/>
      <c s="468"/>
      <c s="468"/>
      <c s="468"/>
      <c s="469"/>
    </row>
    <row r="191" spans="2:15" ht="14.45" customHeight="1">
      <c r="B191" s="81" t="s">
        <v>207</v>
      </c>
      <c s="467" t="s">
        <v>208</v>
      </c>
      <c s="468"/>
      <c s="468"/>
      <c s="468"/>
      <c s="468"/>
      <c s="468"/>
      <c s="468"/>
      <c s="468"/>
      <c s="468"/>
      <c s="468"/>
      <c s="468"/>
      <c s="468"/>
      <c s="469"/>
    </row>
    <row r="192" spans="2:15" ht="14.45" customHeight="1">
      <c r="B192" s="81" t="s">
        <v>209</v>
      </c>
      <c s="467" t="s">
        <v>210</v>
      </c>
      <c s="468"/>
      <c s="468"/>
      <c s="468"/>
      <c s="468"/>
      <c s="468"/>
      <c s="468"/>
      <c s="468"/>
      <c s="468"/>
      <c s="468"/>
      <c s="468"/>
      <c s="468"/>
      <c s="469"/>
    </row>
    <row r="193" spans="2:15" ht="14.45">
      <c r="B193" s="81" t="s">
        <v>211</v>
      </c>
      <c s="467" t="s">
        <v>212</v>
      </c>
      <c s="468"/>
      <c s="468"/>
      <c s="468"/>
      <c s="468"/>
      <c s="468"/>
      <c s="468"/>
      <c s="468"/>
      <c s="468"/>
      <c s="468"/>
      <c s="468"/>
      <c s="468"/>
      <c s="469"/>
    </row>
    <row r="194" spans="2:15" ht="16.5" customHeight="1">
      <c r="B194" s="265" t="s">
        <v>74</v>
      </c>
      <c s="474" t="s">
        <v>213</v>
      </c>
      <c s="475"/>
      <c s="475"/>
      <c s="475"/>
      <c s="475"/>
      <c s="475"/>
      <c s="475"/>
      <c s="475"/>
      <c s="475"/>
      <c s="475"/>
      <c s="475"/>
      <c s="475"/>
      <c s="476"/>
    </row>
    <row r="195" spans="2:15" ht="15" customHeight="1">
      <c r="B195" s="86"/>
      <c s="86"/>
      <c s="86"/>
      <c s="86"/>
      <c s="86"/>
      <c s="86"/>
      <c s="86"/>
      <c s="86"/>
      <c s="86"/>
      <c s="86"/>
      <c s="86"/>
      <c s="86"/>
      <c s="86"/>
      <c s="86"/>
    </row>
    <row r="196" spans="2:15" ht="15" customHeight="1">
      <c r="B196" s="90" t="s">
        <v>214</v>
      </c>
      <c s="86"/>
      <c s="86"/>
      <c s="86"/>
      <c s="86"/>
      <c s="86"/>
      <c s="86"/>
      <c s="86"/>
      <c s="86"/>
      <c s="86"/>
      <c s="86"/>
      <c s="86"/>
      <c s="86"/>
      <c s="86"/>
    </row>
    <row r="197" spans="2:15" ht="15" customHeight="1">
      <c r="B197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198" spans="2:15" ht="14.45" customHeight="1">
      <c r="B198" s="70" t="s">
        <v>215</v>
      </c>
      <c s="464" t="s">
        <v>216</v>
      </c>
      <c s="465"/>
      <c s="465"/>
      <c s="465"/>
      <c s="465"/>
      <c s="465"/>
      <c s="465"/>
      <c s="465"/>
      <c s="465"/>
      <c s="465"/>
      <c s="465"/>
      <c s="465"/>
      <c s="466"/>
    </row>
    <row r="199" spans="2:15" ht="14.45" customHeight="1">
      <c r="B199" s="81" t="s">
        <v>217</v>
      </c>
      <c s="467" t="s">
        <v>216</v>
      </c>
      <c s="468"/>
      <c s="468"/>
      <c s="468"/>
      <c s="468"/>
      <c s="468"/>
      <c s="468"/>
      <c s="468"/>
      <c s="468"/>
      <c s="468"/>
      <c s="468"/>
      <c s="468"/>
      <c s="469"/>
    </row>
    <row r="200" spans="2:15" ht="14.45" customHeight="1">
      <c r="B200" s="81" t="s">
        <v>218</v>
      </c>
      <c s="467" t="s">
        <v>216</v>
      </c>
      <c s="468"/>
      <c s="468"/>
      <c s="468"/>
      <c s="468"/>
      <c s="468"/>
      <c s="468"/>
      <c s="468"/>
      <c s="468"/>
      <c s="468"/>
      <c s="468"/>
      <c s="468"/>
      <c s="469"/>
    </row>
    <row r="201" spans="2:15" ht="14.45" customHeight="1">
      <c r="B201" s="81" t="s">
        <v>219</v>
      </c>
      <c s="467" t="s">
        <v>216</v>
      </c>
      <c s="468"/>
      <c s="468"/>
      <c s="468"/>
      <c s="468"/>
      <c s="468"/>
      <c s="468"/>
      <c s="468"/>
      <c s="468"/>
      <c s="468"/>
      <c s="468"/>
      <c s="468"/>
      <c s="469"/>
    </row>
    <row r="202" spans="2:15" ht="14.45" customHeight="1">
      <c r="B202" s="81" t="s">
        <v>220</v>
      </c>
      <c s="467" t="s">
        <v>216</v>
      </c>
      <c s="468"/>
      <c s="468"/>
      <c s="468"/>
      <c s="468"/>
      <c s="468"/>
      <c s="468"/>
      <c s="468"/>
      <c s="468"/>
      <c s="468"/>
      <c s="468"/>
      <c s="468"/>
      <c s="469"/>
    </row>
    <row r="203" spans="2:15" ht="14.45">
      <c r="B203" s="81" t="s">
        <v>221</v>
      </c>
      <c s="467" t="s">
        <v>216</v>
      </c>
      <c s="468"/>
      <c s="468"/>
      <c s="468"/>
      <c s="468"/>
      <c s="468"/>
      <c s="468"/>
      <c s="468"/>
      <c s="468"/>
      <c s="468"/>
      <c s="468"/>
      <c s="468"/>
      <c s="469"/>
    </row>
    <row r="204" spans="2:15" ht="14.45">
      <c r="B204" s="81" t="s">
        <v>222</v>
      </c>
      <c s="467" t="s">
        <v>216</v>
      </c>
      <c s="468"/>
      <c s="468"/>
      <c s="468"/>
      <c s="468"/>
      <c s="468"/>
      <c s="468"/>
      <c s="468"/>
      <c s="468"/>
      <c s="468"/>
      <c s="468"/>
      <c s="468"/>
      <c s="469"/>
    </row>
    <row r="205" spans="2:15" ht="15" customHeight="1">
      <c r="B205" s="86"/>
      <c s="86"/>
      <c s="86"/>
      <c s="86"/>
      <c s="86"/>
      <c s="86"/>
      <c s="86"/>
      <c s="86"/>
      <c s="86"/>
      <c s="86"/>
      <c s="86"/>
      <c s="86"/>
      <c s="86"/>
      <c s="86"/>
    </row>
    <row r="206" spans="2:15" ht="15" customHeight="1">
      <c r="B206" s="90" t="s">
        <v>223</v>
      </c>
      <c s="86"/>
      <c s="86"/>
      <c s="86"/>
      <c s="86"/>
      <c s="86"/>
      <c s="86"/>
      <c s="86"/>
      <c s="86"/>
      <c s="86"/>
      <c s="86"/>
      <c s="86"/>
      <c s="86"/>
      <c s="86"/>
    </row>
    <row r="207" spans="2:15" ht="15" customHeight="1">
      <c r="B207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08" spans="2:15" ht="14.45" customHeight="1">
      <c r="B208" s="70" t="s">
        <v>224</v>
      </c>
      <c s="464" t="s">
        <v>225</v>
      </c>
      <c s="465"/>
      <c s="465"/>
      <c s="465"/>
      <c s="465"/>
      <c s="465"/>
      <c s="465"/>
      <c s="465"/>
      <c s="465"/>
      <c s="465"/>
      <c s="465"/>
      <c s="465"/>
      <c s="466"/>
    </row>
    <row r="209" spans="2:15" ht="14.45" customHeight="1">
      <c r="B209" s="81" t="s">
        <v>226</v>
      </c>
      <c s="467" t="s">
        <v>227</v>
      </c>
      <c s="468"/>
      <c s="468"/>
      <c s="468"/>
      <c s="468"/>
      <c s="468"/>
      <c s="468"/>
      <c s="468"/>
      <c s="468"/>
      <c s="468"/>
      <c s="468"/>
      <c s="468"/>
      <c s="469"/>
    </row>
    <row r="210" spans="2:15" ht="15" customHeight="1">
      <c r="B210" s="86"/>
      <c s="86"/>
      <c s="86"/>
      <c s="86"/>
      <c s="86"/>
      <c s="86"/>
      <c s="86"/>
      <c s="86"/>
      <c s="86"/>
      <c s="86"/>
      <c s="86"/>
      <c s="86"/>
      <c s="86"/>
      <c s="86"/>
    </row>
    <row r="211" spans="2:15" ht="21">
      <c r="B211" s="88" t="s">
        <v>228</v>
      </c>
      <c s="89"/>
      <c s="89"/>
      <c s="89"/>
      <c s="89"/>
      <c s="89"/>
      <c s="89"/>
      <c s="89"/>
      <c s="89"/>
      <c s="89"/>
      <c s="89"/>
      <c s="89"/>
      <c s="89"/>
      <c s="89"/>
    </row>
    <row r="212" spans="2:15" ht="15" customHeight="1">
      <c r="B212" s="90" t="s">
        <v>229</v>
      </c>
      <c s="86"/>
      <c s="86"/>
      <c s="86"/>
      <c s="86"/>
      <c s="86"/>
      <c s="86"/>
      <c s="86"/>
      <c s="86"/>
      <c s="86"/>
      <c s="86"/>
      <c s="86"/>
      <c s="86"/>
      <c s="86"/>
    </row>
    <row r="213" spans="2:15" ht="15" customHeight="1">
      <c r="B213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14" spans="2:15" ht="14.45" customHeight="1">
      <c r="B214" s="70" t="s">
        <v>230</v>
      </c>
      <c s="464" t="s">
        <v>231</v>
      </c>
      <c s="465"/>
      <c s="465"/>
      <c s="465"/>
      <c s="465"/>
      <c s="465"/>
      <c s="465"/>
      <c s="465"/>
      <c s="465"/>
      <c s="465"/>
      <c s="465"/>
      <c s="465"/>
      <c s="466"/>
    </row>
    <row r="215" spans="2:15" ht="14.45" customHeight="1">
      <c r="B215" s="81" t="s">
        <v>139</v>
      </c>
      <c s="467" t="s">
        <v>232</v>
      </c>
      <c s="468"/>
      <c s="468"/>
      <c s="468"/>
      <c s="468"/>
      <c s="468"/>
      <c s="468"/>
      <c s="468"/>
      <c s="468"/>
      <c s="468"/>
      <c s="468"/>
      <c s="468"/>
      <c s="469"/>
    </row>
    <row r="216" spans="2:15" ht="14.45" customHeight="1">
      <c r="B216" s="81" t="s">
        <v>164</v>
      </c>
      <c s="467" t="s">
        <v>233</v>
      </c>
      <c s="468"/>
      <c s="468"/>
      <c s="468"/>
      <c s="468"/>
      <c s="468"/>
      <c s="468"/>
      <c s="468"/>
      <c s="468"/>
      <c s="468"/>
      <c s="468"/>
      <c s="468"/>
      <c s="469"/>
    </row>
    <row r="217" spans="2:15" ht="14.45" customHeight="1">
      <c r="B217" s="81" t="s">
        <v>234</v>
      </c>
      <c s="467" t="s">
        <v>235</v>
      </c>
      <c s="468"/>
      <c s="468"/>
      <c s="468"/>
      <c s="468"/>
      <c s="468"/>
      <c s="468"/>
      <c s="468"/>
      <c s="468"/>
      <c s="468"/>
      <c s="468"/>
      <c s="468"/>
      <c s="469"/>
    </row>
    <row r="218" spans="2:15" ht="15" customHeight="1">
      <c r="B218" s="86"/>
      <c s="86"/>
      <c s="86"/>
      <c s="86"/>
      <c s="86"/>
      <c s="86"/>
      <c s="86"/>
      <c s="86"/>
      <c s="86"/>
      <c s="86"/>
      <c s="86"/>
      <c s="86"/>
      <c s="86"/>
      <c s="86"/>
    </row>
    <row r="219" spans="2:15" ht="15" customHeight="1">
      <c r="B219" s="90" t="s">
        <v>236</v>
      </c>
      <c s="86"/>
      <c s="86"/>
      <c s="86"/>
      <c s="86"/>
      <c s="86"/>
      <c s="86"/>
      <c s="86"/>
      <c s="86"/>
      <c s="86"/>
      <c s="86"/>
      <c s="86"/>
      <c s="86"/>
      <c s="86"/>
    </row>
    <row r="220" spans="2:15" ht="15" customHeight="1">
      <c r="B22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21" spans="2:15" ht="14.45" customHeight="1">
      <c r="B221" s="70" t="s">
        <v>237</v>
      </c>
      <c s="464" t="s">
        <v>238</v>
      </c>
      <c s="465"/>
      <c s="465"/>
      <c s="465"/>
      <c s="465"/>
      <c s="465"/>
      <c s="465"/>
      <c s="465"/>
      <c s="465"/>
      <c s="465"/>
      <c s="465"/>
      <c s="465"/>
      <c s="466"/>
    </row>
    <row r="222" spans="2:15" ht="16.5" customHeight="1">
      <c r="B222" s="265" t="s">
        <v>74</v>
      </c>
      <c s="474" t="s">
        <v>239</v>
      </c>
      <c s="475"/>
      <c s="475"/>
      <c s="475"/>
      <c s="475"/>
      <c s="475"/>
      <c s="475"/>
      <c s="475"/>
      <c s="475"/>
      <c s="475"/>
      <c s="475"/>
      <c s="475"/>
      <c s="476"/>
    </row>
    <row r="223" spans="2:15" ht="15" customHeight="1">
      <c r="B223" s="86"/>
      <c s="86"/>
      <c s="86"/>
      <c s="86"/>
      <c s="86"/>
      <c s="86"/>
      <c s="86"/>
      <c s="86"/>
      <c s="86"/>
      <c s="86"/>
      <c s="86"/>
      <c s="86"/>
      <c s="86"/>
      <c s="86"/>
    </row>
    <row r="224" spans="2:15" ht="15" customHeight="1">
      <c r="B224" s="90" t="s">
        <v>17</v>
      </c>
      <c s="86"/>
      <c s="86"/>
      <c s="86"/>
      <c s="86"/>
      <c s="86"/>
      <c s="86"/>
      <c s="86"/>
      <c s="86"/>
      <c s="86"/>
      <c s="86"/>
      <c s="86"/>
      <c s="86"/>
      <c s="86"/>
    </row>
    <row r="225" spans="2:15" ht="15" customHeight="1">
      <c r="B225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26" spans="2:15" ht="14.45" customHeight="1">
      <c r="B226" s="70" t="s">
        <v>240</v>
      </c>
      <c s="464" t="s">
        <v>241</v>
      </c>
      <c s="465"/>
      <c s="465"/>
      <c s="465"/>
      <c s="465"/>
      <c s="465"/>
      <c s="465"/>
      <c s="465"/>
      <c s="465"/>
      <c s="465"/>
      <c s="465"/>
      <c s="465"/>
      <c s="466"/>
    </row>
    <row r="227" spans="2:15" ht="14.45" customHeight="1">
      <c r="B227" s="70" t="s">
        <v>242</v>
      </c>
      <c s="464" t="s">
        <v>243</v>
      </c>
      <c s="465"/>
      <c s="465"/>
      <c s="465"/>
      <c s="465"/>
      <c s="465"/>
      <c s="465"/>
      <c s="465"/>
      <c s="465"/>
      <c s="465"/>
      <c s="465"/>
      <c s="465"/>
      <c s="466"/>
    </row>
    <row r="228" spans="2:15" ht="14.45" customHeight="1">
      <c r="B228" s="81" t="s">
        <v>244</v>
      </c>
      <c s="467" t="s">
        <v>245</v>
      </c>
      <c s="468"/>
      <c s="468"/>
      <c s="468"/>
      <c s="468"/>
      <c s="468"/>
      <c s="468"/>
      <c s="468"/>
      <c s="468"/>
      <c s="468"/>
      <c s="468"/>
      <c s="468"/>
      <c s="469"/>
    </row>
    <row r="229" spans="2:15" ht="14.45" customHeight="1">
      <c r="B229" s="81" t="s">
        <v>246</v>
      </c>
      <c s="467" t="s">
        <v>247</v>
      </c>
      <c s="468"/>
      <c s="468"/>
      <c s="468"/>
      <c s="468"/>
      <c s="468"/>
      <c s="468"/>
      <c s="468"/>
      <c s="468"/>
      <c s="468"/>
      <c s="468"/>
      <c s="468"/>
      <c s="469"/>
    </row>
    <row r="230" spans="2:15" ht="14.45" customHeight="1">
      <c r="B230" s="81" t="s">
        <v>248</v>
      </c>
      <c s="467" t="s">
        <v>249</v>
      </c>
      <c s="468"/>
      <c s="468"/>
      <c s="468"/>
      <c s="468"/>
      <c s="468"/>
      <c s="468"/>
      <c s="468"/>
      <c s="468"/>
      <c s="468"/>
      <c s="468"/>
      <c s="468"/>
      <c s="469"/>
    </row>
    <row r="231" spans="2:15" ht="15" customHeight="1">
      <c r="B231" s="123" t="s">
        <v>250</v>
      </c>
      <c s="467" t="s">
        <v>251</v>
      </c>
      <c s="468"/>
      <c s="468"/>
      <c s="468"/>
      <c s="468"/>
      <c s="468"/>
      <c s="468"/>
      <c s="468"/>
      <c s="468"/>
      <c s="468"/>
      <c s="468"/>
      <c s="468"/>
      <c s="469"/>
    </row>
    <row r="232" spans="2:15" ht="15" customHeight="1">
      <c r="B232" s="81" t="s">
        <v>252</v>
      </c>
      <c s="467" t="s">
        <v>253</v>
      </c>
      <c s="468"/>
      <c s="468"/>
      <c s="468"/>
      <c s="468"/>
      <c s="468"/>
      <c s="468"/>
      <c s="468"/>
      <c s="468"/>
      <c s="468"/>
      <c s="468"/>
      <c s="468"/>
      <c s="469"/>
    </row>
    <row r="233" spans="2:15" ht="15" customHeight="1">
      <c r="B233" s="86"/>
      <c s="86"/>
      <c s="86"/>
      <c s="86"/>
      <c s="86"/>
      <c s="86"/>
      <c s="86"/>
      <c s="86"/>
      <c s="86"/>
      <c s="86"/>
      <c s="86"/>
      <c s="86"/>
      <c s="86"/>
      <c s="86"/>
    </row>
    <row r="234" spans="2:15" ht="15" customHeight="1">
      <c r="B234" s="90" t="s">
        <v>254</v>
      </c>
      <c s="86"/>
      <c s="86"/>
      <c s="86"/>
      <c s="86"/>
      <c s="86"/>
      <c s="86"/>
      <c s="86"/>
      <c s="86"/>
      <c s="86"/>
      <c s="86"/>
      <c s="86"/>
      <c s="86"/>
      <c s="86"/>
    </row>
    <row r="235" spans="2:15" ht="15" customHeight="1">
      <c r="B235" s="78" t="s">
        <v>255</v>
      </c>
      <c s="86"/>
      <c s="86"/>
      <c s="86"/>
      <c s="86"/>
      <c s="86"/>
      <c s="86"/>
      <c s="86"/>
      <c s="86"/>
      <c s="86"/>
      <c s="86"/>
      <c s="86"/>
      <c s="86"/>
      <c s="86"/>
    </row>
    <row r="236" spans="2:15" ht="15" customHeight="1">
      <c r="B236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37" spans="2:15" ht="15" customHeight="1">
      <c r="B237" s="70" t="s">
        <v>256</v>
      </c>
      <c s="464" t="s">
        <v>257</v>
      </c>
      <c s="465"/>
      <c s="465"/>
      <c s="465"/>
      <c s="465"/>
      <c s="465"/>
      <c s="465"/>
      <c s="465"/>
      <c s="465"/>
      <c s="465"/>
      <c s="465"/>
      <c s="465"/>
      <c s="466"/>
    </row>
    <row r="238" spans="2:15" ht="15" customHeight="1">
      <c r="B238" s="81" t="s">
        <v>258</v>
      </c>
      <c s="467" t="s">
        <v>259</v>
      </c>
      <c s="468"/>
      <c s="468"/>
      <c s="468"/>
      <c s="468"/>
      <c s="468"/>
      <c s="468"/>
      <c s="468"/>
      <c s="468"/>
      <c s="468"/>
      <c s="468"/>
      <c s="468"/>
      <c s="469"/>
    </row>
    <row r="239" spans="2:15" ht="15" customHeight="1">
      <c r="B239" s="81" t="s">
        <v>260</v>
      </c>
      <c s="467" t="s">
        <v>261</v>
      </c>
      <c s="468"/>
      <c s="468"/>
      <c s="468"/>
      <c s="468"/>
      <c s="468"/>
      <c s="468"/>
      <c s="468"/>
      <c s="468"/>
      <c s="468"/>
      <c s="468"/>
      <c s="468"/>
      <c s="469"/>
    </row>
    <row r="240" spans="2:15" ht="15" customHeight="1">
      <c r="B240" s="81" t="s">
        <v>262</v>
      </c>
      <c s="467" t="s">
        <v>263</v>
      </c>
      <c s="468"/>
      <c s="468"/>
      <c s="468"/>
      <c s="468"/>
      <c s="468"/>
      <c s="468"/>
      <c s="468"/>
      <c s="468"/>
      <c s="468"/>
      <c s="468"/>
      <c s="468"/>
      <c s="469"/>
    </row>
    <row r="241" spans="2:15" ht="15" customHeight="1">
      <c r="B241" s="86"/>
      <c s="86"/>
      <c s="86"/>
      <c s="86"/>
      <c s="86"/>
      <c s="86"/>
      <c s="86"/>
      <c s="86"/>
      <c s="86"/>
      <c s="86"/>
      <c s="86"/>
      <c s="86"/>
      <c s="86"/>
      <c s="86"/>
    </row>
    <row r="242" spans="2:15" ht="15" customHeight="1">
      <c r="B242" s="78" t="s">
        <v>264</v>
      </c>
      <c s="86"/>
      <c s="86"/>
      <c s="86"/>
      <c s="86"/>
      <c s="86"/>
      <c s="86"/>
      <c s="86"/>
      <c s="86"/>
      <c s="86"/>
      <c s="86"/>
      <c s="86"/>
      <c s="86"/>
      <c s="86"/>
    </row>
    <row r="243" spans="2:15" ht="15" customHeight="1">
      <c r="B243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44" spans="2:15" ht="15" customHeight="1">
      <c r="B244" s="70" t="s">
        <v>256</v>
      </c>
      <c s="464" t="s">
        <v>265</v>
      </c>
      <c s="465"/>
      <c s="465"/>
      <c s="465"/>
      <c s="465"/>
      <c s="465"/>
      <c s="465"/>
      <c s="465"/>
      <c s="465"/>
      <c s="465"/>
      <c s="465"/>
      <c s="465"/>
      <c s="466"/>
    </row>
    <row r="245" spans="2:15" ht="15" customHeight="1">
      <c r="B245" s="81" t="s">
        <v>258</v>
      </c>
      <c s="467" t="s">
        <v>265</v>
      </c>
      <c s="468"/>
      <c s="468"/>
      <c s="468"/>
      <c s="468"/>
      <c s="468"/>
      <c s="468"/>
      <c s="468"/>
      <c s="468"/>
      <c s="468"/>
      <c s="468"/>
      <c s="468"/>
      <c s="469"/>
    </row>
    <row r="246" spans="2:15" ht="15" customHeight="1">
      <c r="B246" s="81" t="s">
        <v>260</v>
      </c>
      <c s="467" t="s">
        <v>266</v>
      </c>
      <c s="468"/>
      <c s="468"/>
      <c s="468"/>
      <c s="468"/>
      <c s="468"/>
      <c s="468"/>
      <c s="468"/>
      <c s="468"/>
      <c s="468"/>
      <c s="468"/>
      <c s="468"/>
      <c s="469"/>
    </row>
    <row r="247" spans="2:15" ht="15" customHeight="1">
      <c r="B247" s="81" t="s">
        <v>262</v>
      </c>
      <c s="467" t="s">
        <v>266</v>
      </c>
      <c s="468"/>
      <c s="468"/>
      <c s="468"/>
      <c s="468"/>
      <c s="468"/>
      <c s="468"/>
      <c s="468"/>
      <c s="468"/>
      <c s="468"/>
      <c s="468"/>
      <c s="468"/>
      <c s="469"/>
    </row>
    <row r="248" spans="2:15" ht="15" customHeight="1">
      <c r="B248" s="86"/>
      <c s="86"/>
      <c s="86"/>
      <c s="86"/>
      <c s="86"/>
      <c s="86"/>
      <c s="86"/>
      <c s="86"/>
      <c s="86"/>
      <c s="86"/>
      <c s="86"/>
      <c s="86"/>
      <c s="86"/>
      <c s="86"/>
    </row>
    <row r="249" spans="2:15" ht="15" customHeight="1">
      <c r="B249" s="78" t="s">
        <v>267</v>
      </c>
      <c s="86"/>
      <c s="86"/>
      <c s="86"/>
      <c s="86"/>
      <c s="86"/>
      <c s="86"/>
      <c s="86"/>
      <c s="86"/>
      <c s="86"/>
      <c s="86"/>
      <c s="86"/>
      <c s="86"/>
      <c s="86"/>
    </row>
    <row r="250" spans="2:15" ht="15" customHeight="1">
      <c r="B25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51" spans="2:15" ht="15" customHeight="1">
      <c r="B251" s="70" t="s">
        <v>256</v>
      </c>
      <c s="464" t="s">
        <v>268</v>
      </c>
      <c s="465"/>
      <c s="465"/>
      <c s="465"/>
      <c s="465"/>
      <c s="465"/>
      <c s="465"/>
      <c s="465"/>
      <c s="465"/>
      <c s="465"/>
      <c s="465"/>
      <c s="465"/>
      <c s="466"/>
    </row>
    <row r="252" spans="2:15" ht="15" customHeight="1">
      <c r="B252" s="81" t="s">
        <v>258</v>
      </c>
      <c s="467" t="s">
        <v>269</v>
      </c>
      <c s="468"/>
      <c s="468"/>
      <c s="468"/>
      <c s="468"/>
      <c s="468"/>
      <c s="468"/>
      <c s="468"/>
      <c s="468"/>
      <c s="468"/>
      <c s="468"/>
      <c s="468"/>
      <c s="469"/>
    </row>
    <row r="253" spans="2:15" ht="15" customHeight="1">
      <c r="B253" s="81" t="s">
        <v>260</v>
      </c>
      <c s="467" t="s">
        <v>270</v>
      </c>
      <c s="468"/>
      <c s="468"/>
      <c s="468"/>
      <c s="468"/>
      <c s="468"/>
      <c s="468"/>
      <c s="468"/>
      <c s="468"/>
      <c s="468"/>
      <c s="468"/>
      <c s="468"/>
      <c s="469"/>
    </row>
    <row r="254" spans="2:15" ht="15" customHeight="1">
      <c r="B254" s="81" t="s">
        <v>262</v>
      </c>
      <c s="467" t="s">
        <v>270</v>
      </c>
      <c s="468"/>
      <c s="468"/>
      <c s="468"/>
      <c s="468"/>
      <c s="468"/>
      <c s="468"/>
      <c s="468"/>
      <c s="468"/>
      <c s="468"/>
      <c s="468"/>
      <c s="468"/>
      <c s="469"/>
    </row>
    <row r="255" spans="2:15" ht="15" customHeight="1">
      <c r="B255" s="86"/>
      <c s="86"/>
      <c s="86"/>
      <c s="86"/>
      <c s="86"/>
      <c s="86"/>
      <c s="86"/>
      <c s="86"/>
      <c s="86"/>
      <c s="86"/>
      <c s="86"/>
      <c s="86"/>
      <c s="86"/>
      <c s="86"/>
    </row>
    <row r="256" spans="2:15" ht="21">
      <c r="B256" s="88" t="s">
        <v>271</v>
      </c>
      <c s="86"/>
      <c s="86"/>
      <c s="86"/>
      <c s="86"/>
      <c s="86"/>
      <c s="86"/>
      <c s="86"/>
      <c s="86"/>
      <c s="86"/>
      <c s="86"/>
      <c s="86"/>
      <c s="86"/>
      <c s="86"/>
    </row>
    <row r="257" spans="2:15" ht="15" customHeight="1">
      <c r="B257" s="78" t="s">
        <v>272</v>
      </c>
      <c s="86"/>
      <c s="86"/>
      <c s="86"/>
      <c s="86"/>
      <c s="86"/>
      <c s="86"/>
      <c s="86"/>
      <c s="86"/>
      <c s="86"/>
      <c s="86"/>
      <c s="86"/>
      <c s="86"/>
      <c s="86"/>
    </row>
    <row r="258" spans="2:15" ht="15" customHeight="1">
      <c r="B258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59" spans="2:15" ht="15" customHeight="1">
      <c r="B259" s="72" t="s">
        <v>273</v>
      </c>
      <c s="464" t="s">
        <v>274</v>
      </c>
      <c s="465"/>
      <c s="465"/>
      <c s="465"/>
      <c s="465"/>
      <c s="465"/>
      <c s="465"/>
      <c s="465"/>
      <c s="465"/>
      <c s="465"/>
      <c s="465"/>
      <c s="465"/>
      <c s="466"/>
    </row>
    <row r="260" spans="2:15" ht="15" customHeight="1">
      <c r="B260" s="76" t="s">
        <v>275</v>
      </c>
      <c s="467" t="s">
        <v>276</v>
      </c>
      <c s="468"/>
      <c s="468"/>
      <c s="468"/>
      <c s="468"/>
      <c s="468"/>
      <c s="468"/>
      <c s="468"/>
      <c s="468"/>
      <c s="468"/>
      <c s="468"/>
      <c s="468"/>
      <c s="469"/>
    </row>
    <row r="261" spans="2:15" ht="15" customHeight="1">
      <c r="B261" s="98" t="s">
        <v>277</v>
      </c>
      <c s="467" t="s">
        <v>278</v>
      </c>
      <c s="468"/>
      <c s="468"/>
      <c s="468"/>
      <c s="468"/>
      <c s="468"/>
      <c s="468"/>
      <c s="468"/>
      <c s="468"/>
      <c s="468"/>
      <c s="468"/>
      <c s="468"/>
      <c s="469"/>
    </row>
    <row r="262" spans="2:15" ht="15" customHeight="1">
      <c r="B262" s="98" t="s">
        <v>279</v>
      </c>
      <c s="467" t="s">
        <v>280</v>
      </c>
      <c s="468"/>
      <c s="468"/>
      <c s="468"/>
      <c s="468"/>
      <c s="468"/>
      <c s="468"/>
      <c s="468"/>
      <c s="468"/>
      <c s="468"/>
      <c s="468"/>
      <c s="468"/>
      <c s="469"/>
    </row>
    <row r="263" spans="2:15" ht="15" customHeight="1">
      <c r="B263" s="98" t="s">
        <v>281</v>
      </c>
      <c s="467" t="s">
        <v>282</v>
      </c>
      <c s="468"/>
      <c s="468"/>
      <c s="468"/>
      <c s="468"/>
      <c s="468"/>
      <c s="468"/>
      <c s="468"/>
      <c s="468"/>
      <c s="468"/>
      <c s="468"/>
      <c s="468"/>
      <c s="469"/>
    </row>
    <row r="264" spans="2:15" ht="15" customHeight="1">
      <c r="B264" s="98" t="s">
        <v>283</v>
      </c>
      <c s="467" t="s">
        <v>284</v>
      </c>
      <c s="468"/>
      <c s="468"/>
      <c s="468"/>
      <c s="468"/>
      <c s="468"/>
      <c s="468"/>
      <c s="468"/>
      <c s="468"/>
      <c s="468"/>
      <c s="468"/>
      <c s="468"/>
      <c s="469"/>
    </row>
    <row r="265" spans="2:15" ht="15" customHeight="1">
      <c r="B265" s="98" t="s">
        <v>285</v>
      </c>
      <c s="467" t="s">
        <v>286</v>
      </c>
      <c s="468"/>
      <c s="468"/>
      <c s="468"/>
      <c s="468"/>
      <c s="468"/>
      <c s="468"/>
      <c s="468"/>
      <c s="468"/>
      <c s="468"/>
      <c s="468"/>
      <c s="468"/>
      <c s="469"/>
    </row>
    <row r="266" spans="2:15" ht="16.5" customHeight="1">
      <c r="B266" s="485" t="s">
        <v>74</v>
      </c>
      <c s="490" t="s">
        <v>287</v>
      </c>
      <c s="491"/>
      <c s="491"/>
      <c s="491"/>
      <c s="491"/>
      <c s="491"/>
      <c s="491"/>
      <c s="491"/>
      <c s="491"/>
      <c s="491"/>
      <c s="491"/>
      <c s="491"/>
      <c s="492"/>
    </row>
    <row r="267" spans="2:15" ht="16.5" customHeight="1">
      <c r="B267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268" spans="2:15" ht="16.5" customHeight="1">
      <c r="B268" s="502"/>
      <c s="503"/>
      <c s="504"/>
      <c s="504"/>
      <c s="504"/>
      <c s="504"/>
      <c s="504"/>
      <c s="504"/>
      <c s="504"/>
      <c s="504"/>
      <c s="504"/>
      <c s="504"/>
      <c s="504"/>
      <c s="505"/>
    </row>
    <row r="269" spans="2:15" ht="16.5" customHeight="1">
      <c r="B269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270" spans="2:15" ht="15" customHeight="1">
      <c r="B270" s="86"/>
      <c s="86"/>
      <c s="86"/>
      <c s="86"/>
      <c s="86"/>
      <c s="86"/>
      <c s="86"/>
      <c s="86"/>
      <c s="86"/>
      <c s="86"/>
      <c s="86"/>
      <c s="86"/>
      <c s="86"/>
      <c s="86"/>
    </row>
    <row r="271" spans="2:15" ht="15" customHeight="1">
      <c r="B271" s="78" t="s">
        <v>288</v>
      </c>
      <c s="86"/>
      <c s="86"/>
      <c s="86"/>
      <c s="86"/>
      <c s="86"/>
      <c s="86"/>
      <c s="86"/>
      <c s="86"/>
      <c s="86"/>
      <c s="86"/>
      <c s="86"/>
      <c s="86"/>
      <c s="86"/>
    </row>
    <row r="272" spans="2:15" ht="15" customHeight="1">
      <c r="B272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73" spans="2:15" ht="15" customHeight="1">
      <c r="B273" s="75" t="s">
        <v>289</v>
      </c>
      <c s="464" t="s">
        <v>290</v>
      </c>
      <c s="465"/>
      <c s="465"/>
      <c s="465"/>
      <c s="465"/>
      <c s="465"/>
      <c s="465"/>
      <c s="465"/>
      <c s="465"/>
      <c s="465"/>
      <c s="465"/>
      <c s="465"/>
      <c s="466"/>
    </row>
    <row r="274" spans="2:15" ht="15" customHeight="1">
      <c r="B274" s="76" t="s">
        <v>291</v>
      </c>
      <c s="467" t="s">
        <v>292</v>
      </c>
      <c s="468"/>
      <c s="468"/>
      <c s="468"/>
      <c s="468"/>
      <c s="468"/>
      <c s="468"/>
      <c s="468"/>
      <c s="468"/>
      <c s="468"/>
      <c s="468"/>
      <c s="468"/>
      <c s="469"/>
    </row>
    <row r="275" spans="2:15" ht="15" customHeight="1">
      <c r="B275" s="76" t="s">
        <v>293</v>
      </c>
      <c s="467" t="s">
        <v>294</v>
      </c>
      <c s="468"/>
      <c s="468"/>
      <c s="468"/>
      <c s="468"/>
      <c s="468"/>
      <c s="468"/>
      <c s="468"/>
      <c s="468"/>
      <c s="468"/>
      <c s="468"/>
      <c s="468"/>
      <c s="469"/>
    </row>
    <row r="276" spans="2:15" ht="16.15" customHeight="1">
      <c r="B276" s="485" t="s">
        <v>74</v>
      </c>
      <c s="490" t="s">
        <v>295</v>
      </c>
      <c s="491"/>
      <c s="491"/>
      <c s="491"/>
      <c s="491"/>
      <c s="491"/>
      <c s="491"/>
      <c s="491"/>
      <c s="491"/>
      <c s="491"/>
      <c s="491"/>
      <c s="491"/>
      <c s="492"/>
    </row>
    <row r="277" spans="2:15" ht="16.5" customHeight="1">
      <c r="B277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278" spans="2:15" ht="15" customHeight="1">
      <c r="B278" s="86"/>
      <c s="86"/>
      <c s="86"/>
      <c s="86"/>
      <c s="86"/>
      <c s="86"/>
      <c s="86"/>
      <c s="86"/>
      <c s="86"/>
      <c s="86"/>
      <c s="86"/>
      <c s="86"/>
      <c s="86"/>
      <c s="86"/>
    </row>
    <row r="279" spans="2:15" ht="15" customHeight="1">
      <c r="B279" s="78" t="s">
        <v>296</v>
      </c>
      <c s="86"/>
      <c s="86"/>
      <c s="86"/>
      <c s="86"/>
      <c s="86"/>
      <c s="86"/>
      <c s="86"/>
      <c s="86"/>
      <c s="86"/>
      <c s="86"/>
      <c s="86"/>
      <c s="86"/>
      <c s="86"/>
    </row>
    <row r="280" spans="2:15" ht="15" customHeight="1">
      <c r="B280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81" spans="2:15" ht="15" customHeight="1">
      <c r="B281" s="76" t="s">
        <v>297</v>
      </c>
      <c s="464" t="s">
        <v>298</v>
      </c>
      <c s="465"/>
      <c s="465"/>
      <c s="465"/>
      <c s="465"/>
      <c s="465"/>
      <c s="465"/>
      <c s="465"/>
      <c s="465"/>
      <c s="465"/>
      <c s="465"/>
      <c s="465"/>
      <c s="466"/>
    </row>
    <row r="282" spans="2:15" ht="15" customHeight="1">
      <c r="B282" s="75" t="s">
        <v>299</v>
      </c>
      <c s="464" t="s">
        <v>300</v>
      </c>
      <c s="465"/>
      <c s="465"/>
      <c s="465"/>
      <c s="465"/>
      <c s="465"/>
      <c s="465"/>
      <c s="465"/>
      <c s="465"/>
      <c s="465"/>
      <c s="465"/>
      <c s="465"/>
      <c s="466"/>
    </row>
    <row r="283" spans="2:15" ht="15" customHeight="1">
      <c r="B283" s="75" t="s">
        <v>301</v>
      </c>
      <c s="464" t="s">
        <v>302</v>
      </c>
      <c s="465"/>
      <c s="465"/>
      <c s="465"/>
      <c s="465"/>
      <c s="465"/>
      <c s="465"/>
      <c s="465"/>
      <c s="465"/>
      <c s="465"/>
      <c s="465"/>
      <c s="465"/>
      <c s="466"/>
    </row>
    <row r="284" spans="2:15" ht="15" customHeight="1">
      <c r="B284" s="76" t="s">
        <v>303</v>
      </c>
      <c s="464" t="s">
        <v>304</v>
      </c>
      <c s="465"/>
      <c s="465"/>
      <c s="465"/>
      <c s="465"/>
      <c s="465"/>
      <c s="465"/>
      <c s="465"/>
      <c s="465"/>
      <c s="465"/>
      <c s="465"/>
      <c s="465"/>
      <c s="466"/>
    </row>
    <row r="285" spans="2:15" ht="16.15" customHeight="1">
      <c r="B285" s="485" t="s">
        <v>74</v>
      </c>
      <c s="496" t="s">
        <v>305</v>
      </c>
      <c s="497"/>
      <c s="497"/>
      <c s="497"/>
      <c s="497"/>
      <c s="497"/>
      <c s="497"/>
      <c s="497"/>
      <c s="497"/>
      <c s="497"/>
      <c s="497"/>
      <c s="497"/>
      <c s="498"/>
    </row>
    <row r="286" spans="2:15" ht="16.5" customHeight="1">
      <c r="B286" s="486"/>
      <c s="499"/>
      <c s="500"/>
      <c s="500"/>
      <c s="500"/>
      <c s="500"/>
      <c s="500"/>
      <c s="500"/>
      <c s="500"/>
      <c s="500"/>
      <c s="500"/>
      <c s="500"/>
      <c s="500"/>
      <c s="501"/>
    </row>
    <row r="287" spans="2:15" ht="15" customHeight="1">
      <c r="B287" s="86"/>
      <c s="86"/>
      <c s="86"/>
      <c s="86"/>
      <c s="86"/>
      <c s="86"/>
      <c s="86"/>
      <c s="86"/>
      <c s="86"/>
      <c s="86"/>
      <c s="86"/>
      <c s="86"/>
      <c s="86"/>
      <c s="86"/>
    </row>
    <row r="288" spans="2:15" ht="15" customHeight="1">
      <c r="B288" s="78" t="s">
        <v>306</v>
      </c>
      <c s="86"/>
      <c s="86"/>
      <c s="86"/>
      <c s="86"/>
      <c s="86"/>
      <c s="86"/>
      <c s="86"/>
      <c s="86"/>
      <c s="86"/>
      <c s="86"/>
      <c s="86"/>
      <c s="86"/>
      <c s="86"/>
    </row>
    <row r="289" spans="2:15" ht="15" customHeight="1">
      <c r="B289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90" spans="2:15" ht="15" customHeight="1">
      <c r="B290" s="72" t="s">
        <v>273</v>
      </c>
      <c s="464" t="s">
        <v>307</v>
      </c>
      <c s="465"/>
      <c s="465"/>
      <c s="465"/>
      <c s="465"/>
      <c s="465"/>
      <c s="465"/>
      <c s="465"/>
      <c s="465"/>
      <c s="465"/>
      <c s="465"/>
      <c s="465"/>
      <c s="466"/>
    </row>
    <row r="291" spans="2:15" ht="15" customHeight="1">
      <c r="B291" s="86"/>
      <c s="86"/>
      <c s="86"/>
      <c s="86"/>
      <c s="86"/>
      <c s="86"/>
      <c s="86"/>
      <c s="86"/>
      <c s="86"/>
      <c s="86"/>
      <c s="86"/>
      <c s="86"/>
      <c s="86"/>
      <c s="86"/>
    </row>
    <row r="292" spans="2:15" ht="15" customHeight="1">
      <c r="B292" s="78" t="s">
        <v>308</v>
      </c>
      <c s="86"/>
      <c s="86"/>
      <c s="86"/>
      <c s="86"/>
      <c s="86"/>
      <c s="86"/>
      <c s="86"/>
      <c s="86"/>
      <c s="86"/>
      <c s="86"/>
      <c s="86"/>
      <c s="86"/>
      <c s="86"/>
    </row>
    <row r="293" spans="2:15" ht="15" customHeight="1">
      <c r="B293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294" spans="2:15" ht="15" customHeight="1">
      <c r="B294" s="75" t="s">
        <v>309</v>
      </c>
      <c s="464" t="s">
        <v>310</v>
      </c>
      <c s="465"/>
      <c s="465"/>
      <c s="465"/>
      <c s="465"/>
      <c s="465"/>
      <c s="465"/>
      <c s="465"/>
      <c s="465"/>
      <c s="465"/>
      <c s="465"/>
      <c s="465"/>
      <c s="466"/>
    </row>
    <row r="295" spans="2:15" ht="15" customHeight="1">
      <c r="B295" s="76" t="s">
        <v>311</v>
      </c>
      <c s="464" t="s">
        <v>312</v>
      </c>
      <c s="465"/>
      <c s="465"/>
      <c s="465"/>
      <c s="465"/>
      <c s="465"/>
      <c s="465"/>
      <c s="465"/>
      <c s="465"/>
      <c s="465"/>
      <c s="465"/>
      <c s="465"/>
      <c s="466"/>
    </row>
    <row r="296" spans="2:15" ht="15" customHeight="1">
      <c r="B296" s="76" t="s">
        <v>313</v>
      </c>
      <c s="464" t="s">
        <v>314</v>
      </c>
      <c s="465"/>
      <c s="465"/>
      <c s="465"/>
      <c s="465"/>
      <c s="465"/>
      <c s="465"/>
      <c s="465"/>
      <c s="465"/>
      <c s="465"/>
      <c s="465"/>
      <c s="465"/>
      <c s="466"/>
    </row>
    <row r="297" spans="2:15" ht="15" customHeight="1">
      <c r="B297" s="86"/>
      <c s="86"/>
      <c s="86"/>
      <c s="86"/>
      <c s="86"/>
      <c s="86"/>
      <c s="86"/>
      <c s="86"/>
      <c s="86"/>
      <c s="86"/>
      <c s="86"/>
      <c s="86"/>
      <c s="86"/>
      <c s="86"/>
    </row>
    <row r="298" spans="2:15" ht="15" customHeight="1">
      <c r="B298" s="78" t="s">
        <v>315</v>
      </c>
      <c s="86"/>
      <c s="86"/>
      <c s="86"/>
      <c s="86"/>
      <c s="86"/>
      <c s="86"/>
      <c s="86"/>
      <c s="86"/>
      <c s="86"/>
      <c s="86"/>
      <c s="86"/>
      <c s="86"/>
      <c s="86"/>
    </row>
    <row r="299" spans="2:15" ht="15" customHeight="1">
      <c r="B299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00" spans="2:15" ht="15" customHeight="1">
      <c r="B300" s="72" t="s">
        <v>316</v>
      </c>
      <c s="464" t="s">
        <v>317</v>
      </c>
      <c s="465"/>
      <c s="465"/>
      <c s="465"/>
      <c s="465"/>
      <c s="465"/>
      <c s="465"/>
      <c s="465"/>
      <c s="465"/>
      <c s="465"/>
      <c s="465"/>
      <c s="465"/>
      <c s="466"/>
    </row>
    <row r="301" spans="2:15" ht="15" customHeight="1">
      <c r="B301" s="86"/>
      <c s="86"/>
      <c s="86"/>
      <c s="86"/>
      <c s="86"/>
      <c s="86"/>
      <c s="86"/>
      <c s="86"/>
      <c s="86"/>
      <c s="86"/>
      <c s="86"/>
      <c s="86"/>
      <c s="86"/>
      <c s="86"/>
    </row>
    <row r="302" spans="2:15" ht="23.45">
      <c r="B302" s="88" t="s">
        <v>318</v>
      </c>
      <c s="86"/>
      <c s="86"/>
      <c s="86"/>
      <c s="86"/>
      <c s="86"/>
      <c s="86"/>
      <c s="86"/>
      <c s="86"/>
      <c s="86"/>
      <c s="86"/>
      <c s="86"/>
      <c s="86"/>
      <c s="86"/>
    </row>
    <row r="303" spans="2:15" ht="15" customHeight="1">
      <c r="B303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04" spans="2:15" ht="15" customHeight="1">
      <c r="B304" s="72" t="s">
        <v>319</v>
      </c>
      <c s="464" t="s">
        <v>320</v>
      </c>
      <c s="465"/>
      <c s="465"/>
      <c s="465"/>
      <c s="465"/>
      <c s="465"/>
      <c s="465"/>
      <c s="465"/>
      <c s="465"/>
      <c s="465"/>
      <c s="465"/>
      <c s="465"/>
      <c s="466"/>
    </row>
    <row r="305" spans="2:15" ht="16.5" customHeight="1">
      <c r="B305" s="265" t="s">
        <v>74</v>
      </c>
      <c s="474" t="s">
        <v>321</v>
      </c>
      <c s="475"/>
      <c s="475"/>
      <c s="475"/>
      <c s="475"/>
      <c s="475"/>
      <c s="475"/>
      <c s="475"/>
      <c s="475"/>
      <c s="475"/>
      <c s="475"/>
      <c s="475"/>
      <c s="476"/>
    </row>
    <row r="306" spans="2:15" ht="15" customHeight="1">
      <c r="B306" s="86"/>
      <c s="86"/>
      <c s="86"/>
      <c s="86"/>
      <c s="86"/>
      <c s="86"/>
      <c s="86"/>
      <c s="86"/>
      <c s="86"/>
      <c s="86"/>
      <c s="86"/>
      <c s="86"/>
      <c s="86"/>
      <c s="86"/>
    </row>
    <row r="307" spans="2:15" ht="21" hidden="1">
      <c r="B307" s="88"/>
      <c s="86"/>
      <c s="86"/>
      <c s="86"/>
      <c s="86"/>
      <c s="86"/>
      <c s="86"/>
      <c s="86"/>
      <c s="86"/>
      <c s="86"/>
      <c s="86"/>
      <c s="86"/>
      <c s="86"/>
      <c s="86"/>
    </row>
    <row r="308" spans="2:15" ht="15" customHeight="1" hidden="1">
      <c r="B308" s="90"/>
      <c s="86"/>
      <c s="86"/>
      <c s="86"/>
      <c s="86"/>
      <c s="86"/>
      <c s="86"/>
      <c s="86"/>
      <c s="86"/>
      <c s="86"/>
      <c s="86"/>
      <c s="86"/>
      <c s="86"/>
      <c s="86"/>
    </row>
    <row r="309" spans="2:15" ht="15" customHeight="1" hidden="1">
      <c r="B309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10" spans="2:15" ht="33" customHeight="1" hidden="1">
      <c r="B310" s="389"/>
      <c s="484"/>
      <c s="484"/>
      <c s="484"/>
      <c s="484"/>
      <c s="484"/>
      <c s="484"/>
      <c s="484"/>
      <c s="484"/>
      <c s="484"/>
      <c s="484"/>
      <c s="484"/>
      <c s="484"/>
      <c s="484"/>
    </row>
    <row r="311" spans="2:15" ht="16.15" customHeight="1" hidden="1">
      <c r="B311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12" spans="2:15" ht="16.15" customHeight="1" hidden="1">
      <c r="B312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13" spans="2:15" ht="16.5" customHeight="1" hidden="1">
      <c r="B313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14" spans="2:15" ht="15" customHeight="1" hidden="1">
      <c r="B314" s="86"/>
      <c s="86"/>
      <c s="86"/>
      <c s="86"/>
      <c s="86"/>
      <c s="86"/>
      <c s="86"/>
      <c s="86"/>
      <c s="86"/>
      <c s="86"/>
      <c s="86"/>
      <c s="86"/>
      <c s="86"/>
      <c s="86"/>
    </row>
    <row r="315" spans="2:15" ht="15" customHeight="1" hidden="1">
      <c r="B315" s="90"/>
      <c s="86"/>
      <c s="86"/>
      <c s="86"/>
      <c s="86"/>
      <c s="86"/>
      <c s="86"/>
      <c s="86"/>
      <c s="86"/>
      <c s="86"/>
      <c s="86"/>
      <c s="86"/>
      <c s="86"/>
      <c s="86"/>
    </row>
    <row r="316" spans="2:15" ht="15" customHeight="1" hidden="1">
      <c r="B316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17" spans="2:15" ht="15" customHeight="1" hidden="1">
      <c r="B317" s="389"/>
      <c s="470"/>
      <c s="470"/>
      <c s="470"/>
      <c s="470"/>
      <c s="470"/>
      <c s="470"/>
      <c s="470"/>
      <c s="470"/>
      <c s="470"/>
      <c s="470"/>
      <c s="470"/>
      <c s="470"/>
      <c s="470"/>
    </row>
    <row r="318" spans="2:15" ht="15" customHeight="1" hidden="1">
      <c r="B318" s="389"/>
      <c s="470"/>
      <c s="470"/>
      <c s="470"/>
      <c s="470"/>
      <c s="470"/>
      <c s="470"/>
      <c s="470"/>
      <c s="470"/>
      <c s="470"/>
      <c s="470"/>
      <c s="470"/>
      <c s="470"/>
      <c s="470"/>
    </row>
    <row r="319" spans="2:15" ht="16.15" customHeight="1" hidden="1">
      <c r="B319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20" spans="2:15" ht="16.5" customHeight="1" hidden="1">
      <c r="B320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21" spans="2:15" ht="15" customHeight="1" hidden="1">
      <c r="B321" s="86"/>
      <c s="86"/>
      <c s="86"/>
      <c s="86"/>
      <c s="86"/>
      <c s="86"/>
      <c s="86"/>
      <c s="86"/>
      <c s="86"/>
      <c s="86"/>
      <c s="86"/>
      <c s="86"/>
      <c s="86"/>
      <c s="86"/>
    </row>
    <row r="322" spans="2:15" ht="21" hidden="1">
      <c r="B322" s="88"/>
      <c s="86"/>
      <c s="86"/>
      <c s="86"/>
      <c s="86"/>
      <c s="86"/>
      <c s="86"/>
      <c s="86"/>
      <c s="86"/>
      <c s="86"/>
      <c s="86"/>
      <c s="86"/>
      <c s="86"/>
      <c s="86"/>
    </row>
    <row r="323" spans="2:15" ht="15" customHeight="1" hidden="1">
      <c r="B323" s="90"/>
      <c s="86"/>
      <c s="86"/>
      <c s="86"/>
      <c s="86"/>
      <c s="86"/>
      <c s="86"/>
      <c s="86"/>
      <c s="86"/>
      <c s="86"/>
      <c s="86"/>
      <c s="86"/>
      <c s="86"/>
      <c s="86"/>
    </row>
    <row r="324" spans="2:15" ht="15" customHeight="1" hidden="1">
      <c r="B324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25" spans="2:15" ht="15" customHeight="1" hidden="1">
      <c r="B325" s="5"/>
      <c s="484"/>
      <c s="470"/>
      <c s="470"/>
      <c s="470"/>
      <c s="470"/>
      <c s="470"/>
      <c s="470"/>
      <c s="470"/>
      <c s="470"/>
      <c s="470"/>
      <c s="470"/>
      <c s="470"/>
      <c s="470"/>
    </row>
    <row r="326" spans="2:15" ht="16.15" customHeight="1" hidden="1">
      <c r="B326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27" spans="2:15" ht="16.5" customHeight="1" hidden="1">
      <c r="B327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28" spans="2:15" ht="15" customHeight="1" hidden="1">
      <c r="B328" s="86"/>
      <c s="86"/>
      <c s="86"/>
      <c s="86"/>
      <c s="86"/>
      <c s="86"/>
      <c s="86"/>
      <c s="86"/>
      <c s="86"/>
      <c s="86"/>
      <c s="86"/>
      <c s="86"/>
      <c s="86"/>
      <c s="86"/>
    </row>
    <row r="329" spans="2:15" ht="15" customHeight="1" hidden="1">
      <c r="B329" s="90"/>
      <c s="86"/>
      <c s="86"/>
      <c s="86"/>
      <c s="86"/>
      <c s="86"/>
      <c s="86"/>
      <c s="86"/>
      <c s="86"/>
      <c s="86"/>
      <c s="86"/>
      <c s="86"/>
      <c s="86"/>
      <c s="86"/>
    </row>
    <row r="330" spans="2:15" ht="15" customHeight="1" hidden="1">
      <c r="B330" s="25"/>
      <c s="86"/>
      <c s="86"/>
      <c s="86"/>
      <c s="86"/>
      <c s="86"/>
      <c s="86"/>
      <c s="86"/>
      <c s="86"/>
      <c s="86"/>
      <c s="86"/>
      <c s="86"/>
      <c s="86"/>
      <c s="86"/>
    </row>
    <row r="331" spans="2:15" ht="15" customHeight="1" hidden="1">
      <c r="B331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32" spans="2:15" ht="15" customHeight="1" hidden="1">
      <c r="B332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3" spans="2:15" ht="15" customHeight="1" hidden="1">
      <c r="B333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4" spans="2:15" ht="15" customHeight="1" hidden="1">
      <c r="B334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5" spans="2:15" ht="15" customHeight="1" hidden="1">
      <c r="B335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6" spans="2:15" ht="15" customHeight="1" hidden="1">
      <c r="B336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7" spans="2:15" ht="15" customHeight="1" hidden="1">
      <c r="B337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8" spans="2:15" ht="15" customHeight="1" hidden="1">
      <c r="B338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39" spans="2:15" ht="15" customHeight="1" hidden="1">
      <c r="B339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40" spans="2:15" ht="16.15" customHeight="1" hidden="1">
      <c r="B340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41" spans="2:15" ht="16.15" customHeight="1" hidden="1">
      <c r="B341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42" spans="2:15" ht="16.15" customHeight="1" hidden="1">
      <c r="B342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43" spans="2:15" ht="27.75" customHeight="1" hidden="1">
      <c r="B343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44" spans="2:15" ht="15" customHeight="1" hidden="1">
      <c r="B344" s="86"/>
      <c s="86"/>
      <c s="86"/>
      <c s="86"/>
      <c s="86"/>
      <c s="86"/>
      <c s="86"/>
      <c s="86"/>
      <c s="86"/>
      <c s="86"/>
      <c s="86"/>
      <c s="86"/>
      <c s="86"/>
      <c s="86"/>
    </row>
    <row r="345" spans="2:15" ht="15" customHeight="1" hidden="1">
      <c r="B345" s="25"/>
      <c s="86"/>
      <c s="86"/>
      <c s="86"/>
      <c s="86"/>
      <c s="86"/>
      <c s="86"/>
      <c s="86"/>
      <c s="86"/>
      <c s="86"/>
      <c s="86"/>
      <c s="86"/>
      <c s="86"/>
      <c s="86"/>
    </row>
    <row r="346" spans="2:15" ht="15" customHeight="1" hidden="1">
      <c r="B346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47" spans="2:15" ht="15" customHeight="1" hidden="1">
      <c r="B347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48" spans="2:15" ht="15" customHeight="1" hidden="1">
      <c r="B348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49" spans="2:15" ht="15" customHeight="1" hidden="1">
      <c r="B349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50" spans="2:15" ht="15" customHeight="1" hidden="1">
      <c r="B350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51" spans="2:15" ht="15" customHeight="1" hidden="1">
      <c r="B351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52" spans="2:15" ht="15" customHeight="1" hidden="1">
      <c r="B352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53" spans="2:15" ht="16.15" customHeight="1" hidden="1">
      <c r="B353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54" spans="2:15" ht="16.15" customHeight="1" hidden="1">
      <c r="B354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55" spans="2:15" ht="16.15" customHeight="1" hidden="1">
      <c r="B355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56" spans="2:15" ht="26.25" customHeight="1" hidden="1">
      <c r="B356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57" spans="2:15" ht="15" customHeight="1" hidden="1">
      <c r="B357" s="86"/>
      <c s="86"/>
      <c s="86"/>
      <c s="86"/>
      <c s="86"/>
      <c s="86"/>
      <c s="86"/>
      <c s="86"/>
      <c s="86"/>
      <c s="86"/>
      <c s="86"/>
      <c s="86"/>
      <c s="86"/>
      <c s="86"/>
    </row>
    <row r="358" spans="2:15" ht="15" customHeight="1" hidden="1">
      <c r="B358" s="24"/>
      <c s="86"/>
      <c s="86"/>
      <c s="86"/>
      <c s="86"/>
      <c s="86"/>
      <c s="86"/>
      <c s="86"/>
      <c s="86"/>
      <c s="86"/>
      <c s="86"/>
      <c s="86"/>
      <c s="86"/>
      <c s="86"/>
    </row>
    <row r="359" spans="2:15" ht="15" customHeight="1" hidden="1">
      <c r="B359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60" spans="2:15" ht="15" customHeight="1" hidden="1">
      <c r="B360" s="397"/>
      <c s="470"/>
      <c s="470"/>
      <c s="470"/>
      <c s="470"/>
      <c s="470"/>
      <c s="470"/>
      <c s="470"/>
      <c s="470"/>
      <c s="470"/>
      <c s="470"/>
      <c s="470"/>
      <c s="470"/>
      <c s="470"/>
    </row>
    <row r="361" spans="2:15" ht="15" customHeight="1" hidden="1">
      <c r="B361" s="86"/>
      <c s="86"/>
      <c s="86"/>
      <c s="86"/>
      <c s="86"/>
      <c s="86"/>
      <c s="86"/>
      <c s="86"/>
      <c s="86"/>
      <c s="86"/>
      <c s="86"/>
      <c s="86"/>
      <c s="86"/>
      <c s="86"/>
    </row>
    <row r="362" spans="2:15" ht="21" hidden="1">
      <c r="B362" s="88"/>
      <c s="86"/>
      <c s="86"/>
      <c s="86"/>
      <c s="86"/>
      <c s="86"/>
      <c s="86"/>
      <c s="86"/>
      <c s="86"/>
      <c s="86"/>
      <c s="86"/>
      <c s="86"/>
      <c s="86"/>
      <c s="86"/>
    </row>
    <row r="363" spans="2:15" ht="15" customHeight="1" hidden="1">
      <c r="B363" s="90"/>
      <c s="86"/>
      <c s="86"/>
      <c s="86"/>
      <c s="86"/>
      <c s="86"/>
      <c s="86"/>
      <c s="86"/>
      <c s="86"/>
      <c s="86"/>
      <c s="86"/>
      <c s="86"/>
      <c s="86"/>
      <c s="86"/>
    </row>
    <row r="364" spans="2:15" ht="15" customHeight="1" hidden="1">
      <c r="B364" s="396"/>
      <c s="439"/>
      <c s="439"/>
      <c s="439"/>
      <c s="439"/>
      <c s="439"/>
      <c s="439"/>
      <c s="439"/>
      <c s="439"/>
      <c s="439"/>
      <c s="439"/>
      <c s="439"/>
      <c s="439"/>
      <c s="439"/>
    </row>
    <row r="365" spans="2:15" ht="15" customHeight="1" hidden="1">
      <c r="B365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66" spans="2:15" ht="15" customHeight="1" hidden="1">
      <c r="B366" s="89"/>
      <c s="470"/>
      <c s="470"/>
      <c s="470"/>
      <c s="470"/>
      <c s="470"/>
      <c s="470"/>
      <c s="470"/>
      <c s="470"/>
      <c s="470"/>
      <c s="470"/>
      <c s="470"/>
      <c s="470"/>
      <c s="470"/>
    </row>
    <row r="367" spans="2:15" ht="16.15" customHeight="1" hidden="1">
      <c r="B367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68" spans="2:15" ht="16.15" customHeight="1" hidden="1">
      <c r="B368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69" spans="2:15" ht="31.5" customHeight="1" hidden="1">
      <c r="B369" s="477"/>
      <c s="477"/>
      <c s="477"/>
      <c s="477"/>
      <c s="477"/>
      <c s="477"/>
      <c s="477"/>
      <c s="477"/>
      <c s="477"/>
      <c s="477"/>
      <c s="477"/>
      <c s="477"/>
      <c s="477"/>
      <c s="477"/>
    </row>
    <row r="370" spans="2:15" ht="15" customHeight="1" hidden="1">
      <c r="B370" s="86"/>
      <c s="86"/>
      <c s="86"/>
      <c s="86"/>
      <c s="86"/>
      <c s="86"/>
      <c s="86"/>
      <c s="86"/>
      <c s="86"/>
      <c s="86"/>
      <c s="86"/>
      <c s="86"/>
      <c s="86"/>
      <c s="86"/>
    </row>
    <row r="371" spans="2:15" ht="31.15">
      <c r="B371" s="95" t="s">
        <v>322</v>
      </c>
      <c s="95"/>
      <c s="95"/>
      <c s="95"/>
      <c s="95"/>
      <c s="95"/>
      <c s="95"/>
      <c s="95"/>
      <c s="95"/>
      <c s="95"/>
      <c s="95"/>
      <c s="95"/>
      <c s="95"/>
      <c s="95"/>
    </row>
    <row r="372" spans="2:15" ht="21">
      <c r="B372" s="88" t="s">
        <v>271</v>
      </c>
      <c s="89"/>
      <c s="89"/>
      <c s="89"/>
      <c s="89"/>
      <c s="89"/>
      <c s="89"/>
      <c s="89"/>
      <c s="89"/>
      <c s="89"/>
      <c s="89"/>
      <c s="89"/>
      <c s="89"/>
      <c s="89"/>
    </row>
    <row r="373" spans="2:15" ht="14.45">
      <c r="B373" s="78" t="s">
        <v>323</v>
      </c>
      <c s="89"/>
      <c s="89"/>
      <c s="89"/>
      <c s="89"/>
      <c s="89"/>
      <c s="89"/>
      <c s="89"/>
      <c s="89"/>
      <c s="89"/>
      <c s="89"/>
      <c s="89"/>
      <c s="89"/>
      <c s="89"/>
    </row>
    <row r="374" spans="2:15" ht="14.45">
      <c r="B374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75" spans="2:15" ht="14.45">
      <c r="B375" s="81" t="s">
        <v>324</v>
      </c>
      <c s="467" t="s">
        <v>325</v>
      </c>
      <c s="468"/>
      <c s="468"/>
      <c s="468"/>
      <c s="468"/>
      <c s="468"/>
      <c s="468"/>
      <c s="468"/>
      <c s="468"/>
      <c s="468"/>
      <c s="468"/>
      <c s="468"/>
      <c s="469"/>
    </row>
    <row r="376" spans="2:15" ht="14.45">
      <c r="B376" s="225"/>
      <c s="226"/>
      <c s="226"/>
      <c s="226"/>
      <c s="226"/>
      <c s="226"/>
      <c s="226"/>
      <c s="226"/>
      <c s="226"/>
      <c s="226"/>
      <c s="226"/>
      <c s="226"/>
      <c s="226"/>
      <c s="226"/>
    </row>
    <row r="377" spans="2:15" ht="15" customHeight="1">
      <c r="B377" s="78" t="s">
        <v>326</v>
      </c>
      <c s="86"/>
      <c s="86"/>
      <c s="86"/>
      <c s="86"/>
      <c s="86"/>
      <c s="86"/>
      <c s="86"/>
      <c s="86"/>
      <c s="86"/>
      <c s="86"/>
      <c s="86"/>
      <c s="86"/>
      <c s="86"/>
    </row>
    <row r="378" spans="2:15" ht="15" customHeight="1">
      <c r="B378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79" spans="2:15" ht="14.45" customHeight="1">
      <c r="B379" s="70" t="s">
        <v>326</v>
      </c>
      <c s="464" t="s">
        <v>327</v>
      </c>
      <c s="465"/>
      <c s="465"/>
      <c s="465"/>
      <c s="465"/>
      <c s="465"/>
      <c s="465"/>
      <c s="465"/>
      <c s="465"/>
      <c s="465"/>
      <c s="465"/>
      <c s="465"/>
      <c s="466"/>
    </row>
    <row r="380" spans="2:15" ht="14.45" customHeight="1">
      <c r="B380" s="81" t="s">
        <v>285</v>
      </c>
      <c s="467" t="s">
        <v>328</v>
      </c>
      <c s="468"/>
      <c s="468"/>
      <c s="468"/>
      <c s="468"/>
      <c s="468"/>
      <c s="468"/>
      <c s="468"/>
      <c s="468"/>
      <c s="468"/>
      <c s="468"/>
      <c s="468"/>
      <c s="469"/>
    </row>
    <row r="381" spans="2:15" ht="16.5" customHeight="1">
      <c r="B381" s="485" t="s">
        <v>74</v>
      </c>
      <c s="490" t="s">
        <v>329</v>
      </c>
      <c s="491"/>
      <c s="491"/>
      <c s="491"/>
      <c s="491"/>
      <c s="491"/>
      <c s="491"/>
      <c s="491"/>
      <c s="491"/>
      <c s="491"/>
      <c s="491"/>
      <c s="491"/>
      <c s="492"/>
    </row>
    <row r="382" spans="2:15" ht="16.5" customHeight="1">
      <c r="B382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383" spans="2:15" ht="15" customHeight="1">
      <c r="B383" s="86"/>
      <c s="86"/>
      <c s="86"/>
      <c s="86"/>
      <c s="86"/>
      <c s="86"/>
      <c s="86"/>
      <c s="86"/>
      <c s="86"/>
      <c s="86"/>
      <c s="86"/>
      <c s="86"/>
      <c s="86"/>
      <c s="86"/>
    </row>
    <row r="384" spans="2:15" ht="15" customHeight="1">
      <c r="B384" s="78" t="s">
        <v>330</v>
      </c>
      <c s="86"/>
      <c s="86"/>
      <c s="86"/>
      <c s="86"/>
      <c s="86"/>
      <c s="86"/>
      <c s="86"/>
      <c s="86"/>
      <c s="86"/>
      <c s="86"/>
      <c s="86"/>
      <c s="86"/>
      <c s="86"/>
    </row>
    <row r="385" spans="2:15" ht="15" customHeight="1">
      <c r="B385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86" spans="2:15" ht="14.45" customHeight="1">
      <c r="B386" s="70" t="s">
        <v>330</v>
      </c>
      <c s="464" t="s">
        <v>331</v>
      </c>
      <c s="465"/>
      <c s="465"/>
      <c s="465"/>
      <c s="465"/>
      <c s="465"/>
      <c s="465"/>
      <c s="465"/>
      <c s="465"/>
      <c s="465"/>
      <c s="465"/>
      <c s="465"/>
      <c s="466"/>
    </row>
    <row r="387" spans="2:15" ht="30.75" customHeight="1">
      <c r="B387" s="113" t="s">
        <v>332</v>
      </c>
      <c s="493" t="s">
        <v>333</v>
      </c>
      <c s="494"/>
      <c s="494"/>
      <c s="494"/>
      <c s="494"/>
      <c s="494"/>
      <c s="494"/>
      <c s="494"/>
      <c s="494"/>
      <c s="494"/>
      <c s="494"/>
      <c s="494"/>
      <c s="495"/>
    </row>
    <row r="388" spans="2:15" ht="16.5" customHeight="1">
      <c r="B388" s="485" t="s">
        <v>74</v>
      </c>
      <c s="490" t="s">
        <v>334</v>
      </c>
      <c s="491"/>
      <c s="491"/>
      <c s="491"/>
      <c s="491"/>
      <c s="491"/>
      <c s="491"/>
      <c s="491"/>
      <c s="491"/>
      <c s="491"/>
      <c s="491"/>
      <c s="491"/>
      <c s="492"/>
    </row>
    <row r="389" spans="2:15" ht="16.5" customHeight="1">
      <c r="B389" s="486"/>
      <c s="474"/>
      <c s="475"/>
      <c s="475"/>
      <c s="475"/>
      <c s="475"/>
      <c s="475"/>
      <c s="475"/>
      <c s="475"/>
      <c s="475"/>
      <c s="475"/>
      <c s="475"/>
      <c s="475"/>
      <c s="476"/>
    </row>
    <row r="390" spans="2:15" ht="15" customHeight="1">
      <c r="B390" s="115"/>
      <c s="86"/>
      <c s="86"/>
      <c s="86"/>
      <c s="86"/>
      <c s="86"/>
      <c s="86"/>
      <c s="86"/>
      <c s="86"/>
      <c s="86"/>
      <c s="86"/>
      <c s="86"/>
      <c s="86"/>
      <c s="116"/>
    </row>
    <row r="391" spans="2:15" ht="15" customHeight="1">
      <c r="B391" s="117" t="s">
        <v>335</v>
      </c>
      <c s="86"/>
      <c s="86"/>
      <c s="86"/>
      <c s="86"/>
      <c s="86"/>
      <c s="86"/>
      <c s="86"/>
      <c s="86"/>
      <c s="86"/>
      <c s="86"/>
      <c s="86"/>
      <c s="86"/>
      <c s="116"/>
    </row>
    <row r="392" spans="2:15" ht="15" customHeight="1">
      <c r="B392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93" spans="2:15" ht="14.45" customHeight="1">
      <c r="B393" s="70" t="s">
        <v>335</v>
      </c>
      <c s="464" t="s">
        <v>336</v>
      </c>
      <c s="465"/>
      <c s="465"/>
      <c s="465"/>
      <c s="465"/>
      <c s="465"/>
      <c s="465"/>
      <c s="465"/>
      <c s="465"/>
      <c s="465"/>
      <c s="465"/>
      <c s="465"/>
      <c s="466"/>
    </row>
    <row r="394" spans="2:15" ht="14.45" customHeight="1">
      <c r="B394" s="225"/>
      <c s="226"/>
      <c s="226"/>
      <c s="226"/>
      <c s="226"/>
      <c s="226"/>
      <c s="226"/>
      <c s="226"/>
      <c s="226"/>
      <c s="226"/>
      <c s="226"/>
      <c s="226"/>
      <c s="226"/>
      <c s="226"/>
    </row>
    <row r="395" spans="2:15" ht="31.15">
      <c r="B395" s="95" t="s">
        <v>337</v>
      </c>
      <c s="226"/>
      <c s="226"/>
      <c s="226"/>
      <c s="226"/>
      <c s="226"/>
      <c s="226"/>
      <c s="226"/>
      <c s="226"/>
      <c s="226"/>
      <c s="226"/>
      <c s="226"/>
      <c s="226"/>
      <c s="226"/>
    </row>
    <row r="396" spans="2:15" ht="14.45">
      <c r="B396" s="25" t="s">
        <v>338</v>
      </c>
      <c s="226"/>
      <c s="226"/>
      <c s="226"/>
      <c s="226"/>
      <c s="226"/>
      <c s="226"/>
      <c s="226"/>
      <c s="226"/>
      <c s="226"/>
      <c s="226"/>
      <c s="226"/>
      <c s="226"/>
      <c s="226"/>
    </row>
    <row r="397" spans="2:15" ht="15" customHeight="1">
      <c r="B397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398" spans="2:15" ht="15" customHeight="1">
      <c r="B398" s="229" t="s">
        <v>339</v>
      </c>
      <c s="467" t="s">
        <v>340</v>
      </c>
      <c s="468"/>
      <c s="468"/>
      <c s="468"/>
      <c s="468"/>
      <c s="468"/>
      <c s="468"/>
      <c s="468"/>
      <c s="468"/>
      <c s="468"/>
      <c s="468"/>
      <c s="468"/>
      <c s="469"/>
    </row>
    <row r="399" spans="2:15" ht="15" customHeight="1">
      <c r="B399" s="225"/>
      <c s="226"/>
      <c s="226"/>
      <c s="226"/>
      <c s="226"/>
      <c s="226"/>
      <c s="226"/>
      <c s="226"/>
      <c s="226"/>
      <c s="226"/>
      <c s="226"/>
      <c s="226"/>
      <c s="226"/>
      <c s="226"/>
    </row>
    <row r="400" spans="2:15" ht="31.15">
      <c r="B400" s="95" t="s">
        <v>341</v>
      </c>
      <c s="95"/>
      <c s="95"/>
      <c s="95"/>
      <c s="95"/>
      <c s="95"/>
      <c s="95"/>
      <c s="95"/>
      <c s="95"/>
      <c s="95"/>
      <c s="95"/>
      <c s="95"/>
      <c s="95"/>
      <c s="95"/>
    </row>
    <row r="401" spans="2:15" ht="15" customHeight="1">
      <c r="B401" s="249" t="s">
        <v>53</v>
      </c>
      <c s="471" t="s">
        <v>342</v>
      </c>
      <c s="472"/>
      <c s="472"/>
      <c s="472"/>
      <c s="472"/>
      <c s="472"/>
      <c s="472"/>
      <c s="472"/>
      <c s="472"/>
      <c s="472"/>
      <c s="472"/>
      <c s="472"/>
      <c s="473"/>
    </row>
    <row r="402" spans="2:15" ht="14.45" customHeight="1">
      <c r="B402" s="70" t="s">
        <v>343</v>
      </c>
      <c s="464" t="s">
        <v>344</v>
      </c>
      <c s="465"/>
      <c s="465"/>
      <c s="465"/>
      <c s="465"/>
      <c s="465"/>
      <c s="465"/>
      <c s="465"/>
      <c s="465"/>
      <c s="465"/>
      <c s="465"/>
      <c s="465"/>
      <c s="466"/>
    </row>
    <row r="403" spans="2:15" ht="14.45">
      <c r="B403" s="81" t="s">
        <v>345</v>
      </c>
      <c s="467" t="s">
        <v>346</v>
      </c>
      <c s="468"/>
      <c s="468"/>
      <c s="468"/>
      <c s="468"/>
      <c s="468"/>
      <c s="468"/>
      <c s="468"/>
      <c s="468"/>
      <c s="468"/>
      <c s="468"/>
      <c s="468"/>
      <c s="469"/>
    </row>
    <row r="404" spans="2:15" ht="28.9">
      <c r="B404" s="81" t="s">
        <v>347</v>
      </c>
      <c s="481" t="s">
        <v>348</v>
      </c>
      <c s="482"/>
      <c s="482"/>
      <c s="482"/>
      <c s="482"/>
      <c s="482"/>
      <c s="482"/>
      <c s="482"/>
      <c s="482"/>
      <c s="482"/>
      <c s="482"/>
      <c s="482"/>
      <c s="483"/>
    </row>
    <row r="405" spans="2:15" ht="28.9">
      <c r="B405" s="81" t="s">
        <v>349</v>
      </c>
      <c s="481" t="s">
        <v>350</v>
      </c>
      <c s="482"/>
      <c s="482"/>
      <c s="482"/>
      <c s="482"/>
      <c s="482"/>
      <c s="482"/>
      <c s="482"/>
      <c s="482"/>
      <c s="482"/>
      <c s="482"/>
      <c s="482"/>
      <c s="483"/>
    </row>
    <row r="406" spans="2:15" ht="28.9">
      <c r="B406" s="81" t="s">
        <v>351</v>
      </c>
      <c s="487" t="s">
        <v>352</v>
      </c>
      <c s="488"/>
      <c s="488"/>
      <c s="488"/>
      <c s="488"/>
      <c s="488"/>
      <c s="488"/>
      <c s="488"/>
      <c s="488"/>
      <c s="488"/>
      <c s="488"/>
      <c s="488"/>
      <c s="489"/>
    </row>
    <row r="407" spans="2:15" ht="14.45">
      <c r="B407" s="97" t="s">
        <v>129</v>
      </c>
      <c s="467" t="s">
        <v>353</v>
      </c>
      <c s="468"/>
      <c s="468"/>
      <c s="468"/>
      <c s="468"/>
      <c s="468"/>
      <c s="468"/>
      <c s="468"/>
      <c s="468"/>
      <c s="468"/>
      <c s="468"/>
      <c s="468"/>
      <c s="469"/>
    </row>
    <row r="408" spans="2:15" ht="14.45">
      <c r="B408" s="97" t="s">
        <v>354</v>
      </c>
      <c s="467" t="s">
        <v>355</v>
      </c>
      <c s="468"/>
      <c s="468"/>
      <c s="468"/>
      <c s="468"/>
      <c s="468"/>
      <c s="468"/>
      <c s="468"/>
      <c s="468"/>
      <c s="468"/>
      <c s="468"/>
      <c s="468"/>
      <c s="469"/>
    </row>
    <row r="409" spans="2:15" ht="14.45">
      <c r="B409" s="97" t="s">
        <v>356</v>
      </c>
      <c s="467" t="s">
        <v>357</v>
      </c>
      <c s="468"/>
      <c s="468"/>
      <c s="468"/>
      <c s="468"/>
      <c s="468"/>
      <c s="468"/>
      <c s="468"/>
      <c s="468"/>
      <c s="468"/>
      <c s="468"/>
      <c s="468"/>
      <c s="469"/>
    </row>
    <row r="410" spans="2:15" ht="14.45">
      <c r="B410" s="97" t="s">
        <v>358</v>
      </c>
      <c s="467" t="s">
        <v>359</v>
      </c>
      <c s="468"/>
      <c s="468"/>
      <c s="468"/>
      <c s="468"/>
      <c s="468"/>
      <c s="468"/>
      <c s="468"/>
      <c s="468"/>
      <c s="468"/>
      <c s="468"/>
      <c s="468"/>
      <c s="469"/>
    </row>
    <row r="411" spans="2:15" ht="14.45">
      <c r="B411" s="97" t="s">
        <v>360</v>
      </c>
      <c s="467" t="s">
        <v>361</v>
      </c>
      <c s="468"/>
      <c s="468"/>
      <c s="468"/>
      <c s="468"/>
      <c s="468"/>
      <c s="468"/>
      <c s="468"/>
      <c s="468"/>
      <c s="468"/>
      <c s="468"/>
      <c s="468"/>
      <c s="469"/>
    </row>
    <row r="412" spans="2:15" ht="14.45">
      <c r="B412" s="97" t="s">
        <v>362</v>
      </c>
      <c s="467" t="s">
        <v>363</v>
      </c>
      <c s="468"/>
      <c s="468"/>
      <c s="468"/>
      <c s="468"/>
      <c s="468"/>
      <c s="468"/>
      <c s="468"/>
      <c s="468"/>
      <c s="468"/>
      <c s="468"/>
      <c s="468"/>
      <c s="469"/>
    </row>
    <row r="413" spans="2:15" ht="14.45">
      <c r="B413" s="97" t="s">
        <v>364</v>
      </c>
      <c s="467" t="s">
        <v>365</v>
      </c>
      <c s="468"/>
      <c s="468"/>
      <c s="468"/>
      <c s="468"/>
      <c s="468"/>
      <c s="468"/>
      <c s="468"/>
      <c s="468"/>
      <c s="468"/>
      <c s="468"/>
      <c s="468"/>
      <c s="469"/>
    </row>
    <row r="414" spans="2:15" ht="14.45">
      <c r="B414" s="97" t="s">
        <v>366</v>
      </c>
      <c s="467" t="s">
        <v>367</v>
      </c>
      <c s="468"/>
      <c s="468"/>
      <c s="468"/>
      <c s="468"/>
      <c s="468"/>
      <c s="468"/>
      <c s="468"/>
      <c s="468"/>
      <c s="468"/>
      <c s="468"/>
      <c s="468"/>
      <c s="469"/>
    </row>
    <row r="415" spans="2:15" ht="14.45">
      <c r="B415" s="97" t="s">
        <v>368</v>
      </c>
      <c s="467" t="s">
        <v>369</v>
      </c>
      <c s="468"/>
      <c s="468"/>
      <c s="468"/>
      <c s="468"/>
      <c s="468"/>
      <c s="468"/>
      <c s="468"/>
      <c s="468"/>
      <c s="468"/>
      <c s="468"/>
      <c s="468"/>
      <c s="469"/>
    </row>
    <row r="416" spans="2:15" ht="14.45">
      <c r="B416" s="98" t="s">
        <v>370</v>
      </c>
      <c s="467" t="s">
        <v>371</v>
      </c>
      <c s="468"/>
      <c s="468"/>
      <c s="468"/>
      <c s="468"/>
      <c s="468"/>
      <c s="468"/>
      <c s="468"/>
      <c s="468"/>
      <c s="468"/>
      <c s="468"/>
      <c s="468"/>
      <c s="469"/>
    </row>
    <row r="417" spans="2:15" ht="14.45">
      <c r="B417" s="97" t="s">
        <v>372</v>
      </c>
      <c s="467" t="s">
        <v>373</v>
      </c>
      <c s="468"/>
      <c s="468"/>
      <c s="468"/>
      <c s="468"/>
      <c s="468"/>
      <c s="468"/>
      <c s="468"/>
      <c s="468"/>
      <c s="468"/>
      <c s="468"/>
      <c s="468"/>
      <c s="469"/>
    </row>
    <row r="418" spans="2:15" ht="14.45">
      <c r="B418" s="97" t="s">
        <v>374</v>
      </c>
      <c s="467" t="s">
        <v>375</v>
      </c>
      <c s="468"/>
      <c s="468"/>
      <c s="468"/>
      <c s="468"/>
      <c s="468"/>
      <c s="468"/>
      <c s="468"/>
      <c s="468"/>
      <c s="468"/>
      <c s="468"/>
      <c s="468"/>
      <c s="469"/>
    </row>
    <row r="419" spans="2:15" ht="16.5" customHeight="1">
      <c r="B419" s="265" t="s">
        <v>74</v>
      </c>
      <c s="474" t="s">
        <v>376</v>
      </c>
      <c s="475"/>
      <c s="475"/>
      <c s="475"/>
      <c s="475"/>
      <c s="475"/>
      <c s="475"/>
      <c s="475"/>
      <c s="475"/>
      <c s="475"/>
      <c s="475"/>
      <c s="475"/>
      <c s="476"/>
    </row>
    <row r="420" spans="2:15" ht="15" customHeight="1">
      <c r="B420" s="86"/>
      <c s="86"/>
      <c s="86"/>
      <c s="86"/>
      <c s="86"/>
      <c s="86"/>
      <c s="86"/>
      <c s="86"/>
      <c s="86"/>
      <c s="86"/>
      <c s="86"/>
      <c s="86"/>
      <c s="86"/>
      <c s="86"/>
    </row>
    <row r="421" spans="2:15" ht="31.15">
      <c r="B421" s="95" t="s">
        <v>377</v>
      </c>
      <c s="95"/>
      <c s="95"/>
      <c s="95"/>
      <c s="95"/>
      <c s="95"/>
      <c s="95"/>
      <c s="95"/>
      <c s="95"/>
      <c s="95"/>
      <c s="95"/>
      <c s="95"/>
      <c s="95"/>
      <c s="95"/>
    </row>
    <row r="422" spans="2:15" ht="15" customHeight="1">
      <c r="B422" s="249" t="s">
        <v>53</v>
      </c>
      <c s="471" t="s">
        <v>54</v>
      </c>
      <c s="472"/>
      <c s="472"/>
      <c s="472"/>
      <c s="472"/>
      <c s="472"/>
      <c s="472"/>
      <c s="472"/>
      <c s="472"/>
      <c s="472"/>
      <c s="472"/>
      <c s="472"/>
      <c s="473"/>
    </row>
    <row r="423" spans="2:15" ht="15" customHeight="1">
      <c r="B423" s="114" t="s">
        <v>378</v>
      </c>
      <c s="464" t="s">
        <v>379</v>
      </c>
      <c s="465"/>
      <c s="465"/>
      <c s="465"/>
      <c s="465"/>
      <c s="465"/>
      <c s="465"/>
      <c s="465"/>
      <c s="465"/>
      <c s="465"/>
      <c s="465"/>
      <c s="465"/>
      <c s="466"/>
    </row>
    <row r="424" spans="2:15" ht="14.45">
      <c r="B424" s="114" t="s">
        <v>380</v>
      </c>
      <c s="464" t="s">
        <v>381</v>
      </c>
      <c s="465"/>
      <c s="465"/>
      <c s="465"/>
      <c s="465"/>
      <c s="465"/>
      <c s="465"/>
      <c s="465"/>
      <c s="465"/>
      <c s="465"/>
      <c s="465"/>
      <c s="465"/>
      <c s="466"/>
    </row>
    <row r="425" spans="2:15" ht="30.75" customHeight="1">
      <c r="B425" s="97" t="s">
        <v>382</v>
      </c>
      <c s="481" t="s">
        <v>383</v>
      </c>
      <c s="482"/>
      <c s="482"/>
      <c s="482"/>
      <c s="482"/>
      <c s="482"/>
      <c s="482"/>
      <c s="482"/>
      <c s="482"/>
      <c s="482"/>
      <c s="482"/>
      <c s="482"/>
      <c s="483"/>
    </row>
  </sheetData>
  <sheetProtection algorithmName="SHA-512" hashValue="woWrZPjCT0YdSKNgU7lLt8sNlvqc9lPVKGfYMR8MI8Q3p4CWO9falgjZfaCOOUgFg6oceHHGssQ8IoIYhKVljw==" saltValue="lMEKgDV3kLTYH3dfA7dxyA==" spinCount="100000" sheet="1" objects="1" scenarios="1"/>
  <mergeCells count="273">
    <mergeCell ref="B122:B127"/>
    <mergeCell ref="C122:O127"/>
    <mergeCell ref="C114:O114"/>
    <mergeCell ref="C115:O115"/>
    <mergeCell ref="C116:O116"/>
    <mergeCell ref="C135:O135"/>
    <mergeCell ref="C183:O183"/>
    <mergeCell ref="C179:O179"/>
    <mergeCell ref="C119:O119"/>
    <mergeCell ref="C120:O120"/>
    <mergeCell ref="C159:O159"/>
    <mergeCell ref="C142:O142"/>
    <mergeCell ref="C130:O130"/>
    <mergeCell ref="C190:O190"/>
    <mergeCell ref="C191:O191"/>
    <mergeCell ref="C192:O192"/>
    <mergeCell ref="C239:O239"/>
    <mergeCell ref="C215:O215"/>
    <mergeCell ref="C216:O216"/>
    <mergeCell ref="C220:O220"/>
    <mergeCell ref="C221:O221"/>
    <mergeCell ref="C230:O230"/>
    <mergeCell ref="C231:O231"/>
    <mergeCell ref="C232:O232"/>
    <mergeCell ref="C214:O214"/>
    <mergeCell ref="C236:O236"/>
    <mergeCell ref="C237:O237"/>
    <mergeCell ref="C238:O238"/>
    <mergeCell ref="C227:O227"/>
    <mergeCell ref="C228:O228"/>
    <mergeCell ref="C229:O229"/>
    <mergeCell ref="C107:O107"/>
    <mergeCell ref="C110:O110"/>
    <mergeCell ref="C111:O111"/>
    <mergeCell ref="C171:O171"/>
    <mergeCell ref="C172:O172"/>
    <mergeCell ref="C173:O173"/>
    <mergeCell ref="C176:O176"/>
    <mergeCell ref="C177:O177"/>
    <mergeCell ref="C178:O178"/>
    <mergeCell ref="C165:O165"/>
    <mergeCell ref="C148:O148"/>
    <mergeCell ref="C149:O149"/>
    <mergeCell ref="C152:O152"/>
    <mergeCell ref="C153:O153"/>
    <mergeCell ref="C131:O131"/>
    <mergeCell ref="C121:O121"/>
    <mergeCell ref="C139:O139"/>
    <mergeCell ref="C163:O163"/>
    <mergeCell ref="C117:O117"/>
    <mergeCell ref="C118:O118"/>
    <mergeCell ref="C164:O164"/>
    <mergeCell ref="C160:O160"/>
    <mergeCell ref="C157:O157"/>
    <mergeCell ref="C134:O134"/>
    <mergeCell ref="B285:B286"/>
    <mergeCell ref="C285:O286"/>
    <mergeCell ref="B266:B269"/>
    <mergeCell ref="C266:O269"/>
    <mergeCell ref="C260:O260"/>
    <mergeCell ref="C143:O143"/>
    <mergeCell ref="C136:O136"/>
    <mergeCell ref="C137:O137"/>
    <mergeCell ref="C138:O138"/>
    <mergeCell ref="C158:O158"/>
    <mergeCell ref="C207:O207"/>
    <mergeCell ref="C208:O208"/>
    <mergeCell ref="C209:O209"/>
    <mergeCell ref="C213:O213"/>
    <mergeCell ref="C259:O259"/>
    <mergeCell ref="C243:O243"/>
    <mergeCell ref="C188:O188"/>
    <mergeCell ref="C189:O189"/>
    <mergeCell ref="C193:O193"/>
    <mergeCell ref="B276:B277"/>
    <mergeCell ref="C281:O281"/>
    <mergeCell ref="C282:O282"/>
    <mergeCell ref="C283:O283"/>
    <mergeCell ref="C284:O284"/>
    <mergeCell ref="B100:B103"/>
    <mergeCell ref="C100:O103"/>
    <mergeCell ref="C106:O106"/>
    <mergeCell ref="C27:O27"/>
    <mergeCell ref="C70:O70"/>
    <mergeCell ref="C25:O25"/>
    <mergeCell ref="C26:O26"/>
    <mergeCell ref="C41:O41"/>
    <mergeCell ref="C43:O43"/>
    <mergeCell ref="C31:O31"/>
    <mergeCell ref="C36:O36"/>
    <mergeCell ref="C99:O99"/>
    <mergeCell ref="C30:O30"/>
    <mergeCell ref="B38:B39"/>
    <mergeCell ref="C39:O39"/>
    <mergeCell ref="B20:B21"/>
    <mergeCell ref="C20:O21"/>
    <mergeCell ref="C98:O98"/>
    <mergeCell ref="C37:O37"/>
    <mergeCell ref="C55:O55"/>
    <mergeCell ref="C54:O54"/>
    <mergeCell ref="C60:O60"/>
    <mergeCell ref="C61:O61"/>
    <mergeCell ref="C38:O38"/>
    <mergeCell ref="B44:B45"/>
    <mergeCell ref="C44:O45"/>
    <mergeCell ref="C51:O51"/>
    <mergeCell ref="C57:O57"/>
    <mergeCell ref="B74:B81"/>
    <mergeCell ref="C74:O81"/>
    <mergeCell ref="C84:O84"/>
    <mergeCell ref="C85:O85"/>
    <mergeCell ref="C88:O88"/>
    <mergeCell ref="C97:O97"/>
    <mergeCell ref="C89:O89"/>
    <mergeCell ref="C93:O93"/>
    <mergeCell ref="C94:O94"/>
    <mergeCell ref="C95:O95"/>
    <mergeCell ref="C96:O96"/>
    <mergeCell ref="C422:O422"/>
    <mergeCell ref="C425:O425"/>
    <mergeCell ref="C424:O424"/>
    <mergeCell ref="C426:O426"/>
    <mergeCell ref="C166:O166"/>
    <mergeCell ref="C170:O170"/>
    <mergeCell ref="C184:O184"/>
    <mergeCell ref="C194:O194"/>
    <mergeCell ref="C197:O197"/>
    <mergeCell ref="C198:O198"/>
    <mergeCell ref="C203:O203"/>
    <mergeCell ref="C204:O204"/>
    <mergeCell ref="C199:O199"/>
    <mergeCell ref="C200:O200"/>
    <mergeCell ref="C201:O201"/>
    <mergeCell ref="C202:O202"/>
    <mergeCell ref="C222:O222"/>
    <mergeCell ref="C225:O225"/>
    <mergeCell ref="C226:O226"/>
    <mergeCell ref="C217:O217"/>
    <mergeCell ref="C244:O244"/>
    <mergeCell ref="C245:O245"/>
    <mergeCell ref="C246:O246"/>
    <mergeCell ref="C247:O247"/>
    <mergeCell ref="C9:O9"/>
    <mergeCell ref="C10:O10"/>
    <mergeCell ref="C11:O11"/>
    <mergeCell ref="C14:O14"/>
    <mergeCell ref="C12:O12"/>
    <mergeCell ref="C13:O13"/>
    <mergeCell ref="C73:O73"/>
    <mergeCell ref="C71:O71"/>
    <mergeCell ref="C72:O72"/>
    <mergeCell ref="C65:O65"/>
    <mergeCell ref="C66:O66"/>
    <mergeCell ref="C67:O67"/>
    <mergeCell ref="C68:O68"/>
    <mergeCell ref="C69:O69"/>
    <mergeCell ref="C42:O42"/>
    <mergeCell ref="C49:O49"/>
    <mergeCell ref="C50:O50"/>
    <mergeCell ref="C15:O15"/>
    <mergeCell ref="C16:O16"/>
    <mergeCell ref="C56:O56"/>
    <mergeCell ref="C17:O17"/>
    <mergeCell ref="C28:O28"/>
    <mergeCell ref="C29:O29"/>
    <mergeCell ref="C40:O40"/>
    <mergeCell ref="C265:O265"/>
    <mergeCell ref="C264:O264"/>
    <mergeCell ref="C280:O280"/>
    <mergeCell ref="C272:O272"/>
    <mergeCell ref="C273:O273"/>
    <mergeCell ref="C409:O409"/>
    <mergeCell ref="C385:O385"/>
    <mergeCell ref="C364:O364"/>
    <mergeCell ref="C365:O365"/>
    <mergeCell ref="C366:O366"/>
    <mergeCell ref="C367:O369"/>
    <mergeCell ref="C290:O290"/>
    <mergeCell ref="C274:O274"/>
    <mergeCell ref="C311:O313"/>
    <mergeCell ref="C317:O317"/>
    <mergeCell ref="C319:O320"/>
    <mergeCell ref="C318:O318"/>
    <mergeCell ref="C316:O316"/>
    <mergeCell ref="C324:O324"/>
    <mergeCell ref="C325:O325"/>
    <mergeCell ref="C276:O277"/>
    <mergeCell ref="C300:O300"/>
    <mergeCell ref="C303:O303"/>
    <mergeCell ref="C347:O347"/>
    <mergeCell ref="C418:O418"/>
    <mergeCell ref="C381:O382"/>
    <mergeCell ref="C386:O386"/>
    <mergeCell ref="C387:O387"/>
    <mergeCell ref="C388:O389"/>
    <mergeCell ref="C392:O392"/>
    <mergeCell ref="C393:O393"/>
    <mergeCell ref="C410:O410"/>
    <mergeCell ref="C411:O411"/>
    <mergeCell ref="C412:O412"/>
    <mergeCell ref="C413:O413"/>
    <mergeCell ref="B311:B313"/>
    <mergeCell ref="B319:B320"/>
    <mergeCell ref="B340:B343"/>
    <mergeCell ref="C310:O310"/>
    <mergeCell ref="B326:B327"/>
    <mergeCell ref="C326:O327"/>
    <mergeCell ref="C416:O416"/>
    <mergeCell ref="C417:O417"/>
    <mergeCell ref="C415:O415"/>
    <mergeCell ref="C414:O414"/>
    <mergeCell ref="C402:O402"/>
    <mergeCell ref="B381:B382"/>
    <mergeCell ref="B388:B389"/>
    <mergeCell ref="B367:B369"/>
    <mergeCell ref="B353:B356"/>
    <mergeCell ref="C353:O356"/>
    <mergeCell ref="C359:O359"/>
    <mergeCell ref="C360:O360"/>
    <mergeCell ref="C403:O403"/>
    <mergeCell ref="C407:O407"/>
    <mergeCell ref="C401:O401"/>
    <mergeCell ref="C378:O378"/>
    <mergeCell ref="C405:O405"/>
    <mergeCell ref="C406:O406"/>
    <mergeCell ref="C18:O18"/>
    <mergeCell ref="C380:O380"/>
    <mergeCell ref="C397:O397"/>
    <mergeCell ref="C398:O398"/>
    <mergeCell ref="C374:O374"/>
    <mergeCell ref="C375:O375"/>
    <mergeCell ref="C404:O404"/>
    <mergeCell ref="C19:O19"/>
    <mergeCell ref="C240:O240"/>
    <mergeCell ref="C293:O293"/>
    <mergeCell ref="C294:O294"/>
    <mergeCell ref="C295:O295"/>
    <mergeCell ref="C296:O296"/>
    <mergeCell ref="C334:O334"/>
    <mergeCell ref="C335:O335"/>
    <mergeCell ref="C331:O331"/>
    <mergeCell ref="C332:O332"/>
    <mergeCell ref="C289:O289"/>
    <mergeCell ref="C309:O309"/>
    <mergeCell ref="C250:O250"/>
    <mergeCell ref="C251:O251"/>
    <mergeCell ref="C252:O252"/>
    <mergeCell ref="C253:O253"/>
    <mergeCell ref="C254:O254"/>
    <mergeCell ref="C423:O423"/>
    <mergeCell ref="C275:O275"/>
    <mergeCell ref="C348:O348"/>
    <mergeCell ref="C349:O349"/>
    <mergeCell ref="C350:O350"/>
    <mergeCell ref="C351:O351"/>
    <mergeCell ref="C258:O258"/>
    <mergeCell ref="C263:O263"/>
    <mergeCell ref="C261:O261"/>
    <mergeCell ref="C262:O262"/>
    <mergeCell ref="C333:O333"/>
    <mergeCell ref="C408:O408"/>
    <mergeCell ref="C379:O379"/>
    <mergeCell ref="C336:O336"/>
    <mergeCell ref="C337:O337"/>
    <mergeCell ref="C338:O338"/>
    <mergeCell ref="C339:O339"/>
    <mergeCell ref="C419:O419"/>
    <mergeCell ref="C299:O299"/>
    <mergeCell ref="C340:O343"/>
    <mergeCell ref="C352:O352"/>
    <mergeCell ref="C346:O346"/>
    <mergeCell ref="C304:O304"/>
    <mergeCell ref="C305:O305"/>
  </mergeCells>
  <pageMargins left="0.708661417322835" right="0.708661417322835" top="0.748031496062992" bottom="0.748031496062992" header="0.31496062992126" footer="0.31496062992126"/>
  <pageSetup fitToHeight="0" orientation="landscape" paperSize="9" scale="50" r:id="rId2"/>
  <rowBreaks count="7" manualBreakCount="7">
    <brk id="61" min="1" max="14" man="1"/>
    <brk id="111" min="1" max="14" man="1"/>
    <brk id="166" min="1" max="14" man="1"/>
    <brk id="222" min="1" max="14" man="1"/>
    <brk id="277" min="1" max="14" man="1"/>
    <brk id="320" min="1" max="14" man="1"/>
    <brk id="369" min="1" max="14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8"/>
  <dimension ref="B3:NC7"/>
  <sheetViews>
    <sheetView zoomScale="120" zoomScaleNormal="120" workbookViewId="0" topLeftCell="A1">
      <selection pane="topLeft" activeCell="F7" sqref="F7"/>
    </sheetView>
  </sheetViews>
  <sheetFormatPr defaultRowHeight="14.45"/>
  <cols>
    <col min="2" max="2" width="24.1428571428571" bestFit="1" customWidth="1"/>
    <col min="3" max="3" width="10.1428571428571" bestFit="1" customWidth="1"/>
  </cols>
  <sheetData>
    <row r="3" spans="2:367" ht="14.45">
      <c r="B3">
        <v>0</v>
      </c>
      <c>
        <v>1</v>
      </c>
      <c>
        <v>2</v>
      </c>
      <c>
        <v>3</v>
      </c>
      <c>
        <v>4</v>
      </c>
      <c>
        <v>5</v>
      </c>
      <c>
        <v>6</v>
      </c>
      <c>
        <v>7</v>
      </c>
      <c>
        <v>8</v>
      </c>
      <c>
        <v>9</v>
      </c>
      <c>
        <v>10</v>
      </c>
      <c>
        <v>11</v>
      </c>
      <c>
        <v>12</v>
      </c>
      <c>
        <v>13</v>
      </c>
      <c>
        <v>14</v>
      </c>
      <c>
        <v>15</v>
      </c>
      <c>
        <v>16</v>
      </c>
      <c>
        <v>17</v>
      </c>
      <c>
        <v>18</v>
      </c>
      <c>
        <v>19</v>
      </c>
      <c>
        <v>20</v>
      </c>
      <c>
        <v>21</v>
      </c>
      <c>
        <v>22</v>
      </c>
      <c>
        <v>23</v>
      </c>
      <c>
        <v>24</v>
      </c>
      <c>
        <v>25</v>
      </c>
      <c>
        <v>26</v>
      </c>
      <c>
        <v>27</v>
      </c>
      <c>
        <v>28</v>
      </c>
      <c>
        <v>29</v>
      </c>
      <c>
        <v>30</v>
      </c>
      <c>
        <v>31</v>
      </c>
      <c>
        <v>32</v>
      </c>
      <c>
        <v>33</v>
      </c>
      <c>
        <v>34</v>
      </c>
      <c>
        <v>35</v>
      </c>
      <c>
        <v>36</v>
      </c>
      <c>
        <v>37</v>
      </c>
      <c>
        <v>38</v>
      </c>
      <c>
        <v>39</v>
      </c>
      <c>
        <v>40</v>
      </c>
      <c>
        <v>41</v>
      </c>
      <c>
        <v>42</v>
      </c>
      <c>
        <v>43</v>
      </c>
      <c>
        <v>44</v>
      </c>
      <c>
        <v>45</v>
      </c>
      <c>
        <v>46</v>
      </c>
      <c>
        <v>47</v>
      </c>
      <c>
        <v>48</v>
      </c>
      <c>
        <v>49</v>
      </c>
      <c>
        <v>50</v>
      </c>
      <c>
        <v>51</v>
      </c>
      <c>
        <v>52</v>
      </c>
      <c>
        <v>53</v>
      </c>
      <c>
        <v>54</v>
      </c>
      <c>
        <v>55</v>
      </c>
      <c>
        <v>56</v>
      </c>
      <c>
        <v>57</v>
      </c>
      <c>
        <v>58</v>
      </c>
      <c>
        <v>59</v>
      </c>
      <c>
        <v>60</v>
      </c>
      <c>
        <v>61</v>
      </c>
      <c>
        <v>62</v>
      </c>
      <c>
        <v>63</v>
      </c>
      <c>
        <v>64</v>
      </c>
      <c>
        <v>65</v>
      </c>
      <c>
        <v>66</v>
      </c>
      <c>
        <v>67</v>
      </c>
      <c>
        <v>68</v>
      </c>
      <c>
        <v>69</v>
      </c>
      <c>
        <v>70</v>
      </c>
      <c>
        <v>71</v>
      </c>
      <c>
        <v>72</v>
      </c>
      <c>
        <v>73</v>
      </c>
      <c>
        <v>74</v>
      </c>
      <c>
        <v>75</v>
      </c>
      <c>
        <v>76</v>
      </c>
      <c>
        <v>77</v>
      </c>
      <c>
        <v>78</v>
      </c>
      <c>
        <v>79</v>
      </c>
      <c>
        <v>80</v>
      </c>
      <c>
        <v>81</v>
      </c>
      <c>
        <v>82</v>
      </c>
      <c>
        <v>83</v>
      </c>
      <c>
        <v>84</v>
      </c>
      <c>
        <v>85</v>
      </c>
      <c>
        <v>86</v>
      </c>
      <c>
        <v>87</v>
      </c>
      <c>
        <v>88</v>
      </c>
      <c>
        <v>89</v>
      </c>
      <c>
        <v>90</v>
      </c>
      <c>
        <v>91</v>
      </c>
      <c>
        <v>92</v>
      </c>
      <c>
        <v>93</v>
      </c>
      <c>
        <v>94</v>
      </c>
      <c>
        <v>95</v>
      </c>
      <c>
        <v>96</v>
      </c>
      <c>
        <v>97</v>
      </c>
      <c>
        <v>98</v>
      </c>
      <c>
        <v>99</v>
      </c>
      <c>
        <v>100</v>
      </c>
      <c>
        <v>101</v>
      </c>
      <c>
        <v>102</v>
      </c>
      <c>
        <v>103</v>
      </c>
      <c>
        <v>104</v>
      </c>
      <c>
        <v>105</v>
      </c>
      <c>
        <v>106</v>
      </c>
      <c>
        <v>107</v>
      </c>
      <c>
        <v>108</v>
      </c>
      <c>
        <v>109</v>
      </c>
      <c>
        <v>110</v>
      </c>
      <c>
        <v>111</v>
      </c>
      <c>
        <v>112</v>
      </c>
      <c>
        <v>113</v>
      </c>
      <c>
        <v>114</v>
      </c>
      <c>
        <v>115</v>
      </c>
      <c>
        <v>116</v>
      </c>
      <c>
        <v>117</v>
      </c>
      <c>
        <v>118</v>
      </c>
      <c>
        <v>119</v>
      </c>
      <c>
        <v>120</v>
      </c>
      <c>
        <v>121</v>
      </c>
      <c>
        <v>122</v>
      </c>
      <c>
        <v>123</v>
      </c>
      <c>
        <v>124</v>
      </c>
      <c>
        <v>125</v>
      </c>
      <c>
        <v>126</v>
      </c>
      <c>
        <v>127</v>
      </c>
      <c>
        <v>128</v>
      </c>
      <c>
        <v>129</v>
      </c>
      <c>
        <v>130</v>
      </c>
      <c>
        <v>131</v>
      </c>
      <c>
        <v>132</v>
      </c>
      <c>
        <v>133</v>
      </c>
      <c>
        <v>134</v>
      </c>
      <c>
        <v>135</v>
      </c>
      <c>
        <v>136</v>
      </c>
      <c>
        <v>137</v>
      </c>
      <c>
        <v>138</v>
      </c>
      <c>
        <v>139</v>
      </c>
      <c>
        <v>140</v>
      </c>
      <c>
        <v>141</v>
      </c>
      <c>
        <v>142</v>
      </c>
      <c>
        <v>143</v>
      </c>
      <c>
        <v>144</v>
      </c>
      <c>
        <v>145</v>
      </c>
      <c>
        <v>146</v>
      </c>
      <c>
        <v>147</v>
      </c>
      <c>
        <v>148</v>
      </c>
      <c>
        <v>149</v>
      </c>
      <c>
        <v>150</v>
      </c>
      <c>
        <v>151</v>
      </c>
      <c>
        <v>152</v>
      </c>
      <c>
        <v>153</v>
      </c>
      <c>
        <v>154</v>
      </c>
      <c>
        <v>155</v>
      </c>
      <c>
        <v>156</v>
      </c>
      <c>
        <v>157</v>
      </c>
      <c>
        <v>158</v>
      </c>
      <c>
        <v>159</v>
      </c>
      <c>
        <v>160</v>
      </c>
      <c>
        <v>161</v>
      </c>
      <c>
        <v>162</v>
      </c>
      <c>
        <v>163</v>
      </c>
      <c>
        <v>164</v>
      </c>
      <c>
        <v>165</v>
      </c>
      <c>
        <v>166</v>
      </c>
      <c>
        <v>167</v>
      </c>
      <c>
        <v>168</v>
      </c>
      <c>
        <v>169</v>
      </c>
      <c>
        <v>170</v>
      </c>
      <c>
        <v>171</v>
      </c>
      <c>
        <v>172</v>
      </c>
      <c>
        <v>173</v>
      </c>
      <c>
        <v>174</v>
      </c>
      <c>
        <v>175</v>
      </c>
      <c>
        <v>176</v>
      </c>
      <c>
        <v>177</v>
      </c>
      <c>
        <v>178</v>
      </c>
      <c>
        <v>179</v>
      </c>
      <c>
        <v>180</v>
      </c>
      <c>
        <v>181</v>
      </c>
      <c>
        <v>182</v>
      </c>
      <c>
        <v>183</v>
      </c>
      <c>
        <v>184</v>
      </c>
      <c>
        <v>185</v>
      </c>
      <c>
        <v>186</v>
      </c>
      <c>
        <v>187</v>
      </c>
      <c>
        <v>188</v>
      </c>
      <c>
        <v>189</v>
      </c>
      <c>
        <v>190</v>
      </c>
      <c>
        <v>191</v>
      </c>
      <c>
        <v>192</v>
      </c>
      <c>
        <v>193</v>
      </c>
      <c>
        <v>194</v>
      </c>
      <c>
        <v>195</v>
      </c>
      <c>
        <v>196</v>
      </c>
      <c>
        <v>197</v>
      </c>
      <c>
        <v>198</v>
      </c>
      <c>
        <v>199</v>
      </c>
      <c>
        <v>200</v>
      </c>
      <c>
        <v>201</v>
      </c>
      <c>
        <v>202</v>
      </c>
      <c>
        <v>203</v>
      </c>
      <c>
        <v>204</v>
      </c>
      <c>
        <v>205</v>
      </c>
      <c>
        <v>206</v>
      </c>
      <c>
        <v>207</v>
      </c>
      <c>
        <v>208</v>
      </c>
      <c>
        <v>209</v>
      </c>
      <c>
        <v>210</v>
      </c>
      <c>
        <v>211</v>
      </c>
      <c>
        <v>212</v>
      </c>
      <c>
        <v>213</v>
      </c>
      <c>
        <v>214</v>
      </c>
      <c>
        <v>215</v>
      </c>
      <c>
        <v>216</v>
      </c>
      <c>
        <v>217</v>
      </c>
      <c>
        <v>218</v>
      </c>
      <c>
        <v>219</v>
      </c>
      <c>
        <v>220</v>
      </c>
      <c>
        <v>221</v>
      </c>
      <c>
        <v>222</v>
      </c>
      <c>
        <v>223</v>
      </c>
      <c>
        <v>224</v>
      </c>
      <c>
        <v>225</v>
      </c>
      <c>
        <v>226</v>
      </c>
      <c>
        <v>227</v>
      </c>
      <c>
        <v>228</v>
      </c>
      <c>
        <v>229</v>
      </c>
      <c>
        <v>230</v>
      </c>
      <c>
        <v>231</v>
      </c>
      <c>
        <v>232</v>
      </c>
      <c>
        <v>233</v>
      </c>
      <c>
        <v>234</v>
      </c>
      <c>
        <v>235</v>
      </c>
      <c>
        <v>236</v>
      </c>
      <c>
        <v>237</v>
      </c>
      <c>
        <v>238</v>
      </c>
      <c>
        <v>239</v>
      </c>
      <c>
        <v>240</v>
      </c>
      <c>
        <v>241</v>
      </c>
      <c>
        <v>242</v>
      </c>
      <c>
        <v>243</v>
      </c>
      <c>
        <v>244</v>
      </c>
      <c>
        <v>245</v>
      </c>
      <c>
        <v>246</v>
      </c>
      <c>
        <v>247</v>
      </c>
      <c>
        <v>248</v>
      </c>
      <c>
        <v>249</v>
      </c>
      <c>
        <v>250</v>
      </c>
      <c>
        <v>251</v>
      </c>
      <c>
        <v>252</v>
      </c>
      <c>
        <v>253</v>
      </c>
      <c>
        <v>254</v>
      </c>
      <c>
        <v>255</v>
      </c>
      <c>
        <v>256</v>
      </c>
      <c>
        <v>257</v>
      </c>
      <c>
        <v>258</v>
      </c>
      <c>
        <v>259</v>
      </c>
      <c>
        <v>260</v>
      </c>
      <c>
        <v>261</v>
      </c>
      <c>
        <v>262</v>
      </c>
      <c>
        <v>263</v>
      </c>
      <c>
        <v>264</v>
      </c>
      <c>
        <v>265</v>
      </c>
      <c>
        <v>266</v>
      </c>
      <c>
        <v>267</v>
      </c>
      <c>
        <v>268</v>
      </c>
      <c>
        <v>269</v>
      </c>
      <c>
        <v>270</v>
      </c>
      <c>
        <v>271</v>
      </c>
      <c>
        <v>272</v>
      </c>
      <c>
        <v>273</v>
      </c>
      <c>
        <v>274</v>
      </c>
      <c>
        <v>275</v>
      </c>
      <c>
        <v>276</v>
      </c>
      <c>
        <v>277</v>
      </c>
      <c>
        <v>278</v>
      </c>
      <c>
        <v>279</v>
      </c>
      <c>
        <v>280</v>
      </c>
      <c>
        <v>281</v>
      </c>
      <c>
        <v>282</v>
      </c>
      <c>
        <v>283</v>
      </c>
      <c>
        <v>284</v>
      </c>
      <c>
        <v>285</v>
      </c>
      <c>
        <v>286</v>
      </c>
      <c>
        <v>287</v>
      </c>
      <c>
        <v>288</v>
      </c>
      <c>
        <v>289</v>
      </c>
      <c>
        <v>290</v>
      </c>
      <c>
        <v>291</v>
      </c>
      <c>
        <v>292</v>
      </c>
      <c>
        <v>293</v>
      </c>
      <c>
        <v>294</v>
      </c>
      <c>
        <v>295</v>
      </c>
      <c>
        <v>296</v>
      </c>
      <c>
        <v>297</v>
      </c>
      <c>
        <v>298</v>
      </c>
      <c>
        <v>299</v>
      </c>
      <c>
        <v>300</v>
      </c>
      <c>
        <v>301</v>
      </c>
      <c>
        <v>302</v>
      </c>
      <c>
        <v>303</v>
      </c>
      <c>
        <v>304</v>
      </c>
      <c>
        <v>305</v>
      </c>
      <c>
        <v>306</v>
      </c>
      <c>
        <v>307</v>
      </c>
      <c>
        <v>308</v>
      </c>
      <c>
        <v>309</v>
      </c>
      <c>
        <v>310</v>
      </c>
      <c>
        <v>311</v>
      </c>
      <c>
        <v>312</v>
      </c>
      <c>
        <v>313</v>
      </c>
      <c>
        <v>314</v>
      </c>
      <c>
        <v>315</v>
      </c>
      <c>
        <v>316</v>
      </c>
      <c>
        <v>317</v>
      </c>
      <c>
        <v>318</v>
      </c>
      <c>
        <v>319</v>
      </c>
      <c>
        <v>320</v>
      </c>
      <c>
        <v>321</v>
      </c>
      <c>
        <v>322</v>
      </c>
      <c>
        <v>323</v>
      </c>
      <c>
        <v>324</v>
      </c>
      <c>
        <v>325</v>
      </c>
      <c>
        <v>326</v>
      </c>
      <c>
        <v>327</v>
      </c>
      <c>
        <v>328</v>
      </c>
      <c>
        <v>329</v>
      </c>
      <c>
        <v>330</v>
      </c>
      <c>
        <v>331</v>
      </c>
      <c>
        <v>332</v>
      </c>
      <c>
        <v>333</v>
      </c>
      <c>
        <v>334</v>
      </c>
      <c>
        <v>335</v>
      </c>
      <c>
        <v>336</v>
      </c>
      <c>
        <v>337</v>
      </c>
      <c>
        <v>338</v>
      </c>
      <c>
        <v>339</v>
      </c>
      <c>
        <v>340</v>
      </c>
      <c>
        <v>341</v>
      </c>
      <c>
        <v>342</v>
      </c>
      <c>
        <v>343</v>
      </c>
      <c>
        <v>344</v>
      </c>
      <c>
        <v>345</v>
      </c>
      <c>
        <v>346</v>
      </c>
      <c>
        <v>347</v>
      </c>
      <c>
        <v>348</v>
      </c>
      <c>
        <v>349</v>
      </c>
      <c>
        <v>350</v>
      </c>
      <c>
        <v>351</v>
      </c>
      <c>
        <v>352</v>
      </c>
      <c>
        <v>353</v>
      </c>
      <c>
        <v>354</v>
      </c>
      <c>
        <v>355</v>
      </c>
      <c>
        <v>356</v>
      </c>
      <c>
        <v>357</v>
      </c>
      <c>
        <v>358</v>
      </c>
      <c>
        <v>359</v>
      </c>
      <c>
        <v>360</v>
      </c>
      <c>
        <v>361</v>
      </c>
      <c>
        <v>362</v>
      </c>
      <c>
        <v>363</v>
      </c>
      <c>
        <v>364</v>
      </c>
      <c>
        <v>365</v>
      </c>
    </row>
    <row r="4" spans="2:367" ht="14.45">
      <c r="B4" s="175">
        <f>'Параметры займа'!J13</f>
        <v>0</v>
      </c>
      <c>
        <f t="dataTable" ref="C4:NC4" dt2D="0" dtr="0" r1="B3"/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  <c>
        <v>0</v>
      </c>
    </row>
    <row r="5" spans="3:367" ht="14.45">
      <c r="C5">
        <f>IF(C4&lt;$C$6,0,1)</f>
        <v>1</v>
      </c>
      <c>
        <f t="shared" si="0" ref="D5:BO5">IF(D4&lt;$C$6,0,1)</f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0"/>
        <v>1</v>
      </c>
      <c>
        <f t="shared" si="1" ref="BP5:EA5">IF(BP4&lt;$C$6,0,1)</f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1"/>
        <v>1</v>
      </c>
      <c>
        <f t="shared" si="2" ref="EB5:GM5">IF(EB4&lt;$C$6,0,1)</f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2"/>
        <v>1</v>
      </c>
      <c>
        <f t="shared" si="3" ref="GN5:IY5">IF(GN4&lt;$C$6,0,1)</f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3"/>
        <v>1</v>
      </c>
      <c>
        <f t="shared" si="4" ref="IZ5:LK5">IF(IZ4&lt;$C$6,0,1)</f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4"/>
        <v>1</v>
      </c>
      <c>
        <f t="shared" si="5" ref="LL5:NC5">IF(LL4&lt;$C$6,0,1)</f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  <c>
        <f t="shared" si="5"/>
        <v>1</v>
      </c>
    </row>
    <row r="6" spans="2:3" ht="14.45">
      <c r="B6" t="s">
        <v>384</v>
      </c>
      <c>
        <f>MAX(C4:NC4)</f>
        <v>0</v>
      </c>
    </row>
    <row r="7" spans="2:3" ht="14.45">
      <c r="B7" t="s">
        <v>385</v>
      </c>
      <c s="176">
        <f>'Параметры займа'!F5+MATCH(1,C5:NC5,0)</f>
        <v>45689</v>
      </c>
    </row>
  </sheetData>
  <pageMargins left="0.7" right="0.7" top="0.75" bottom="0.75" header="0.3" footer="0.3"/>
  <pageSetup orientation="portrait" paperSize="9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rgb="FFFFF6DD"/>
    <pageSetUpPr fitToPage="1"/>
  </sheetPr>
  <dimension ref="B2:AE5498"/>
  <sheetViews>
    <sheetView showGridLines="0" zoomScale="90" zoomScaleNormal="90" workbookViewId="0" topLeftCell="A1">
      <selection pane="topLeft" activeCell="E9" sqref="E9"/>
    </sheetView>
  </sheetViews>
  <sheetFormatPr defaultColWidth="0" defaultRowHeight="15" customHeight="1" zeroHeight="1"/>
  <cols>
    <col min="1" max="1" width="2.85714285714286" customWidth="1"/>
    <col min="2" max="2" width="49.2857142857143" customWidth="1"/>
    <col min="3" max="5" width="44.4285714285714" customWidth="1"/>
    <col min="6" max="6" width="45.7142857142857" customWidth="1"/>
    <col min="7" max="7" width="45" customWidth="1"/>
    <col min="8" max="9" width="44.4285714285714" hidden="1" customWidth="1"/>
    <col min="10" max="10" width="45" customWidth="1"/>
    <col min="11" max="11" width="3.71428571428571" style="175" customWidth="1"/>
    <col min="12" max="16" width="33.2857142857143" hidden="1" customWidth="1"/>
    <col min="17" max="31" width="15.7142857142857" hidden="1" customWidth="1"/>
    <col min="32" max="32" width="2.85714285714286" hidden="1" customWidth="1"/>
    <col min="33" max="16384" width="9.14285714285714" hidden="1"/>
  </cols>
  <sheetData>
    <row r="1" ht="17.25" customHeight="1"/>
    <row r="2" spans="3:10" ht="15" customHeight="1">
      <c r="C2" s="176"/>
      <c r="F2" s="176"/>
      <c r="J2" s="175"/>
    </row>
    <row r="3" spans="3:7" ht="15" customHeight="1">
      <c r="C3" s="176"/>
      <c r="F3" s="176"/>
      <c s="175"/>
    </row>
    <row r="4" spans="6:7" ht="15" customHeight="1">
      <c r="F4" s="176"/>
      <c s="176"/>
    </row>
    <row r="5" spans="2:31" ht="31.15">
      <c r="B5" s="7" t="s">
        <v>9</v>
      </c>
      <c s="7"/>
      <c s="7"/>
      <c s="6"/>
      <c s="177">
        <f>Дата_получения_Займа+support!B3</f>
        <v>45688</v>
      </c>
      <c s="6"/>
      <c s="7"/>
      <c s="7"/>
      <c s="517" t="s">
        <v>386</v>
      </c>
      <c s="190"/>
      <c s="7" t="s">
        <v>387</v>
      </c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31" ht="21">
      <c r="B6" s="23" t="s">
        <v>388</v>
      </c>
      <c s="23" t="s">
        <v>389</v>
      </c>
      <c s="23"/>
      <c s="5"/>
      <c s="5"/>
      <c s="23" t="s">
        <v>390</v>
      </c>
      <c r="J6" s="518"/>
      <c s="191"/>
      <c s="2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" spans="2:12" ht="15" customHeight="1">
      <c r="B7" s="58" t="s">
        <v>55</v>
      </c>
      <c s="62" t="s">
        <v>391</v>
      </c>
      <c s="43">
        <f>DATE(YEAR($J$10),ROUNDUP(MONTH($J$10)/Месяцев_в_квартале,0)*Месяцев_в_квартале-1,15)</f>
        <v>47529</v>
      </c>
      <c s="297" t="s">
        <v>34</v>
      </c>
      <c s="84" t="str">
        <f>IF(ISBLANK(Программа),"выберите программу","")</f>
        <v/>
      </c>
      <c s="66" t="s">
        <v>392</v>
      </c>
      <c r="J7" s="266">
        <f>IF(ISBLANK(Программа),"-",IF(F5&gt;=DATE(D11,12,20),DATE(D11+1,3,20),DATE(D11,D9,20)))</f>
        <v>45736</v>
      </c>
      <c r="L7" s="422"/>
    </row>
    <row r="8" spans="2:12" ht="15" customHeight="1">
      <c r="B8" s="59" t="s">
        <v>393</v>
      </c>
      <c s="10" t="s">
        <v>394</v>
      </c>
      <c s="9">
        <f>MONTH(Дата_погашения_Займа)</f>
        <v>1</v>
      </c>
      <c s="316"/>
      <c s="85" t="str">
        <f>IFERROR(IF(ISBLANK(E8),"установите значение",IF(OR(E8&lt;IF(AND(ISNUMBER(MATCH(Регион,'Программы финансирования'!$B$85:$B$107,0)),ISNUMBER(MATCH(Программа,'Программы финансирования'!$B$129:$B$131,0))),VLOOKUP(Программа,'Программы финансирования'!$B$126:$C$131,2,FALSE),IF(AND(ISNUMBER(MATCH(Регион,'Программы финансирования'!$B$108:$B$118,0)),ISNUMBER(MATCH(Программа,'Программы финансирования'!$B$129:$B$129,0))),VLOOKUP(Программа,'Программы финансирования'!$B$126:$C$129,2,0),VLOOKUP(Программа,'Программы финансирования'!$B$8:$F$20,2,FALSE))),E8&gt;VLOOKUP(Программа,'Программы финансирования'!$B$8:$F$20,3,FALSE)),"не соответствует требованиям","")),"")</f>
        <v>установите значение</v>
      </c>
      <c s="66" t="s">
        <v>395</v>
      </c>
      <c r="J8" s="266">
        <f>IF(ISBLANK(Программа),"-",EDATE(F5,Месяцев_в_году*3)+1)</f>
        <v>46784</v>
      </c>
      <c r="L8" s="422"/>
    </row>
    <row r="9" spans="2:12" ht="15" customHeight="1">
      <c r="B9" s="59" t="s">
        <v>396</v>
      </c>
      <c s="10" t="s">
        <v>397</v>
      </c>
      <c s="9">
        <f>ROUNDUP(MONTH(F5)/Месяцев_в_квартале,0)*Месяцев_в_квартале</f>
        <v>3</v>
      </c>
      <c s="317">
        <v>60</v>
      </c>
      <c s="84" t="str">
        <f>IFERROR(IF(ISBLANK(E9),"установите значение",IF(D14="Q","не соответствует требованиям","")),"")</f>
        <v/>
      </c>
      <c s="66" t="s">
        <v>398</v>
      </c>
      <c r="I9" s="189"/>
      <c s="267">
        <f>IF(OR(ISBLANK(Программа),ISBLANK(E11)),"-",EOMONTH(EDATE(DATE(YEAR($J$10)-IF(D8&gt;D10,0,1),D10,15),SUM(-E11,Месяцев_в_квартале*IF($J$10&lt;=D7,1,2))),0))</f>
        <v>46843</v>
      </c>
      <c r="L9" s="422"/>
    </row>
    <row r="10" spans="2:12" ht="15" customHeight="1">
      <c r="B10" s="59" t="s">
        <v>61</v>
      </c>
      <c s="10" t="s">
        <v>399</v>
      </c>
      <c s="9">
        <f>IF(ROUNDUP(D8/3,0)=1,4,ROUNDUP(D8/3,0)-1)*Месяцев_в_квартале</f>
        <v>12</v>
      </c>
      <c s="318">
        <v>45688</v>
      </c>
      <c s="84" t="str">
        <f>IF(ISBLANK(E10),"установите значение","")</f>
        <v/>
      </c>
      <c s="66" t="s">
        <v>400</v>
      </c>
      <c r="J10" s="267">
        <f>IF(ISBLANK(Программа),"-",EDATE(F5,E9))</f>
        <v>47514</v>
      </c>
      <c r="L10" s="422"/>
    </row>
    <row r="11" spans="2:12" ht="15" customHeight="1">
      <c r="B11" s="58" t="s">
        <v>401</v>
      </c>
      <c s="10" t="s">
        <v>402</v>
      </c>
      <c s="9">
        <f>YEAR(F5)</f>
        <v>2025</v>
      </c>
      <c s="317">
        <v>24</v>
      </c>
      <c s="84" t="str">
        <f>IF(D14="Q","установите корректный срок займа и его возврата ","")</f>
        <v/>
      </c>
      <c s="66" t="s">
        <v>403</v>
      </c>
      <c r="J11" s="268">
        <f>IFERROR(MIN(E8/IF(E11&lt;Месяцев_в_квартале,1,ROUNDDOWN((E11/Месяцев_в_квартале),0)),E8),0)</f>
        <v>0</v>
      </c>
      <c r="L11" s="422"/>
    </row>
    <row r="12" spans="2:12" ht="15" customHeight="1">
      <c r="B12" s="520" t="s">
        <v>404</v>
      </c>
      <c s="645" t="s">
        <v>405</v>
      </c>
      <c s="47" t="str">
        <f>IFERROR(IF(COUNTBLANK($E$7:$E$12)=0,"R","Q"),"Q")</f>
        <v>Q</v>
      </c>
      <c s="522">
        <v>0.050000000000000003</v>
      </c>
      <c s="85"/>
      <c s="66" t="s">
        <v>406</v>
      </c>
      <c r="J12" s="268">
        <f>SUM(E81,J81)</f>
        <v>0</v>
      </c>
      <c r="L12" s="422"/>
    </row>
    <row r="13" spans="2:12" ht="18.75" customHeight="1">
      <c r="B13" s="521"/>
      <c s="645" t="s">
        <v>407</v>
      </c>
      <c s="47" t="str">
        <f>IFERROR(IF(COUNTIF(F7:F13,"не соответствует требованиям")&gt;0,"Q","R"),"Q")</f>
        <v>R</v>
      </c>
      <c s="523"/>
      <c s="84"/>
      <c s="66" t="s">
        <v>408</v>
      </c>
      <c r="J13" s="269">
        <f>CEILING(J12/1000,0.5)*1000</f>
        <v>0</v>
      </c>
      <c r="L13" s="422"/>
    </row>
    <row r="14" spans="2:12" ht="17.45">
      <c r="B14" s="58" t="s">
        <v>68</v>
      </c>
      <c s="645" t="s">
        <v>409</v>
      </c>
      <c s="47" t="str">
        <f>IF(OR(E9&gt;VLOOKUP(Программа,'Программы финансирования'!$B$8:$F$20,4,FALSE),E11&gt;E9),"Q","R")</f>
        <v>R</v>
      </c>
      <c s="344" t="s">
        <v>410</v>
      </c>
      <c s="84" t="str">
        <f>IF(ISBLANK(E14),"установите значение","")</f>
        <v/>
      </c>
      <c s="66" t="s">
        <v>411</v>
      </c>
      <c r="J14" s="288">
        <f>support!C6</f>
        <v>0</v>
      </c>
      <c r="L14" s="422"/>
    </row>
    <row r="15" spans="2:10" ht="28.9">
      <c r="B15" s="58" t="s">
        <v>70</v>
      </c>
      <c s="15"/>
      <c s="15"/>
      <c s="319">
        <v>0.01</v>
      </c>
      <c r="G15" s="66" t="s">
        <v>412</v>
      </c>
      <c s="15"/>
      <c s="15"/>
      <c s="270">
        <f>support!C7</f>
        <v>45689</v>
      </c>
    </row>
    <row r="16" spans="2:31" ht="21">
      <c r="B16" s="519" t="s">
        <v>413</v>
      </c>
      <c s="519"/>
      <c s="519"/>
      <c s="519"/>
      <c s="519"/>
      <c s="519" t="s">
        <v>414</v>
      </c>
      <c s="519"/>
      <c s="519"/>
      <c s="519"/>
      <c s="191"/>
      <c s="23" t="s">
        <v>415</v>
      </c>
      <c s="5"/>
      <c s="5"/>
      <c s="5"/>
      <c s="6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" spans="2:16" ht="15" customHeight="1">
      <c r="B17" s="517" t="s">
        <v>416</v>
      </c>
      <c s="517" t="s">
        <v>417</v>
      </c>
      <c s="517" t="s">
        <v>418</v>
      </c>
      <c s="517" t="s">
        <v>419</v>
      </c>
      <c s="517" t="s">
        <v>420</v>
      </c>
      <c s="517" t="s">
        <v>421</v>
      </c>
      <c s="517" t="s">
        <v>417</v>
      </c>
      <c s="517" t="s">
        <v>418</v>
      </c>
      <c s="517" t="s">
        <v>422</v>
      </c>
      <c r="L17" s="517" t="s">
        <v>385</v>
      </c>
      <c s="517" t="s">
        <v>419</v>
      </c>
      <c s="517" t="s">
        <v>420</v>
      </c>
      <c s="517" t="s">
        <v>423</v>
      </c>
      <c s="517"/>
    </row>
    <row r="18" spans="2:18" ht="15" customHeight="1">
      <c r="B18" s="518"/>
      <c s="518"/>
      <c s="518"/>
      <c s="518"/>
      <c s="518"/>
      <c s="518"/>
      <c s="518"/>
      <c s="518"/>
      <c s="518"/>
      <c r="L18" s="518"/>
      <c s="518"/>
      <c s="518"/>
      <c s="518"/>
      <c s="518"/>
      <c r="R18">
        <f>N18</f>
        <v>0</v>
      </c>
    </row>
    <row r="19" spans="2:30" ht="14.45">
      <c r="B19" s="82" t="str">
        <f t="shared" si="0" ref="B19:B61">IFERROR(IF(OR(COUNTIF($D$12:$D$13,"Q")&gt;0,B18=Дата_погашения_Займа),"-",MIN(EOMONTH(G19,0)+IF(MONTH(G19)=12,15,0),$J$10)),"-")</f>
        <v>-</v>
      </c>
      <c s="83" t="str">
        <f t="shared" si="1" ref="C19">IFERROR(YEAR(B19),"-")</f>
        <v>-</v>
      </c>
      <c s="83" t="str">
        <f t="shared" si="2" ref="D19">IFERROR(ROUNDUP(MONTH(B19)/Месяцев_в_квартале,0),"-")</f>
        <v>-</v>
      </c>
      <c s="77">
        <f t="shared" si="3" ref="E19:E80">IFERROR(IF(B19=$J$10,$J$11,IF(OR(AND(B20=$J$10,B20&gt;=DATE(YEAR(B20),1,15),B20&lt;=$D$7)),0,IF(AND(B19&gt;=$J$9,B19&lt;=$J$10),$J$11,0))),0)</f>
        <v>0</v>
      </c>
      <c s="77" t="str">
        <f t="shared" si="4" ref="F19:F61">IF(COUNTIF($D$12:$D$13,"Q")&gt;0,"-",IF(ISNUMBER(F18),F18-E19,$E$8))</f>
        <v>-</v>
      </c>
      <c s="82" t="str">
        <f t="shared" si="5" ref="G19:G80">IF(OR(COUNTIF($D$12:$D$13,"Q")&gt;0,G18=$J$10,G18="-"),"-",IF(ISNUMBER(G18),MIN(EDATE(G18,3),$J$10),$J$7))</f>
        <v>-</v>
      </c>
      <c s="83" t="str">
        <f t="shared" si="6" ref="H19:H80">IFERROR(YEAR(G19),"-")</f>
        <v>-</v>
      </c>
      <c s="83" t="str">
        <f t="shared" si="7" ref="I19">IFERROR(ROUNDUP(MONTH(G19)/Месяцев_в_квартале,0),"-")</f>
        <v>-</v>
      </c>
      <c s="77">
        <f t="shared" si="8" ref="J19:J61">SUMIFS($O$19:$O$5498,$L$19:$L$5498,"&gt;"&amp;IF(ISNUMBER(G18),G18,$F$5),$L$19:$L$5498,"&lt;="&amp;G19)</f>
        <v>0</v>
      </c>
      <c s="191"/>
      <c s="60">
        <f t="shared" si="9" ref="L19:L97">IFERROR(IF(MAX(L18+1,$F$5+1)&gt;Дата_погашения_Займа,"-",MAX(L18+1,$F$5+1)),"-")</f>
        <v>45689</v>
      </c>
      <c s="28">
        <f t="shared" si="10" ref="M19:M82">IFERROR(VLOOKUP(L19,$B$19:$E$80,4,FALSE),0)</f>
        <v>0</v>
      </c>
      <c s="28">
        <f>IF(ISNUMBER(N18),N18-M19,$E$8)</f>
        <v>0</v>
      </c>
      <c s="28">
        <f t="shared" si="11" ref="O19:O82">IFERROR(IF(ISNUMBER(N18),N18,$E$8)*IF(L19&gt;=$J$8,$E$12,$E$12)/IF(MOD(YEAR(L19),4),365,366)*IF(ISBLANK(L18),L19-$F$5,L19-L18),0)</f>
        <v>0</v>
      </c>
      <c s="28"/>
      <c s="5"/>
      <c s="5"/>
      <c s="5"/>
      <c s="5"/>
      <c s="5"/>
      <c s="5"/>
      <c s="5"/>
      <c s="5"/>
      <c s="5"/>
      <c s="5"/>
      <c s="5"/>
      <c s="5"/>
      <c s="5"/>
      <c s="5"/>
    </row>
    <row r="20" spans="2:16" ht="15" customHeight="1">
      <c r="B20" s="82" t="str">
        <f t="shared" si="0"/>
        <v>-</v>
      </c>
      <c s="83" t="str">
        <f t="shared" si="12" ref="C20:C59">IFERROR(YEAR(B20),"-")</f>
        <v>-</v>
      </c>
      <c s="83" t="str">
        <f t="shared" si="13" ref="D20:D59">IFERROR(ROUNDUP(MONTH(B20)/Месяцев_в_квартале,0),"-")</f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 ref="I20:I59">IFERROR(ROUNDUP(MONTH(G20)/Месяцев_в_квартале,0),"-")</f>
        <v>-</v>
      </c>
      <c s="77">
        <f t="shared" si="8"/>
        <v>0</v>
      </c>
      <c s="191"/>
      <c s="60">
        <f t="shared" si="9"/>
        <v>45690</v>
      </c>
      <c s="28">
        <f t="shared" si="10"/>
        <v>0</v>
      </c>
      <c s="28">
        <f t="shared" si="15" ref="N20:N47">IF(ISNUMBER(N19),N19-M20,$E$8)</f>
        <v>0</v>
      </c>
      <c s="28">
        <f t="shared" si="11"/>
        <v>0</v>
      </c>
      <c s="28"/>
    </row>
    <row r="21" spans="2:16" ht="15" customHeight="1">
      <c r="B21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45691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2" spans="2:16" ht="15" customHeight="1">
      <c r="B22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45692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3" spans="2:16" ht="15" customHeight="1">
      <c r="B23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45693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4" spans="2:16" ht="15" customHeight="1">
      <c r="B24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45694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5" spans="2:16" ht="15" customHeight="1">
      <c r="B25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45695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6" spans="2:16" ht="15" customHeight="1">
      <c r="B26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45696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7" spans="2:16" ht="15" customHeight="1">
      <c r="B27" s="82" t="str">
        <f t="shared" si="0"/>
        <v>-</v>
      </c>
      <c s="83" t="str">
        <f t="shared" si="12"/>
        <v>-</v>
      </c>
      <c s="83" t="str">
        <f t="shared" si="13"/>
        <v>-</v>
      </c>
      <c s="77">
        <f>IFERROR(IF(B27=$J$10,$J$11,IF(OR(AND(B28=$J$10,B28&gt;=DATE(YEAR(B28),1,15),B28&lt;=$D$7)),0,IF(AND(B27&gt;=$J$9,B27&lt;=$J$10),$J$11,0))),0)</f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45697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8" spans="2:16" ht="15" customHeight="1">
      <c r="B28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45698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29" spans="2:16" ht="15" customHeight="1">
      <c r="B29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45699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0" spans="2:16" ht="15" customHeight="1">
      <c r="B30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45700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1" spans="2:16" ht="15" customHeight="1">
      <c r="B31" s="82" t="str">
        <f t="shared" si="0"/>
        <v>-</v>
      </c>
      <c s="83" t="str">
        <f t="shared" si="12"/>
        <v>-</v>
      </c>
      <c s="83" t="str">
        <f t="shared" si="13"/>
        <v>-</v>
      </c>
      <c s="77">
        <f>IFERROR(IF(B31=$J$10,$J$11,IF(OR(AND(B32=$J$10,B32&gt;=DATE(YEAR(B32),1,15),B32&lt;=$D$7)),0,IF(AND(B31&gt;=$J$9,B31&lt;=$J$10),$J$11,0))),0)</f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45701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2" spans="2:16" ht="15" customHeight="1">
      <c r="B32" s="82" t="str">
        <f t="shared" si="0"/>
        <v>-</v>
      </c>
      <c s="83" t="str">
        <f t="shared" si="12"/>
        <v>-</v>
      </c>
      <c s="83" t="str">
        <f t="shared" si="13"/>
        <v>-</v>
      </c>
      <c s="248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45702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3" spans="2:16" ht="15" customHeight="1">
      <c r="B33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45703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4" spans="2:16" ht="15" customHeight="1">
      <c r="B34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45704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5" spans="2:16" ht="15" customHeight="1">
      <c r="B35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45705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6" spans="2:16" ht="15" customHeight="1">
      <c r="B36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45706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7" spans="2:16" ht="15" customHeight="1">
      <c r="B37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45707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8" spans="2:16" ht="15" customHeight="1">
      <c r="B38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45708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39" spans="2:16" ht="15" customHeight="1">
      <c r="B39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45709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0" spans="2:16" ht="15" customHeight="1">
      <c r="B40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45710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1" spans="2:16" ht="15" customHeight="1">
      <c r="B41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45711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2" spans="2:16" ht="15" customHeight="1">
      <c r="B42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45712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3" spans="2:16" ht="15" customHeight="1">
      <c r="B43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45713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4" spans="2:16" ht="15" customHeight="1">
      <c r="B44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45714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5" spans="2:16" ht="15" customHeight="1">
      <c r="B45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45715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6" spans="2:16" ht="15" customHeight="1">
      <c r="B46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45716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7" spans="2:16" ht="15" customHeight="1">
      <c r="B47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45717</v>
      </c>
      <c s="28">
        <f t="shared" si="10"/>
        <v>0</v>
      </c>
      <c s="28">
        <f t="shared" si="15"/>
        <v>0</v>
      </c>
      <c s="28">
        <f t="shared" si="11"/>
        <v>0</v>
      </c>
      <c s="28"/>
    </row>
    <row r="48" spans="2:16" ht="15" customHeight="1">
      <c r="B48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45718</v>
      </c>
      <c s="28">
        <f t="shared" si="10"/>
        <v>0</v>
      </c>
      <c s="28">
        <f t="shared" si="16" ref="N48:N111">IF(ISNUMBER(N47),N47-M48,$E$8)</f>
        <v>0</v>
      </c>
      <c s="28">
        <f t="shared" si="11"/>
        <v>0</v>
      </c>
      <c s="28"/>
    </row>
    <row r="49" spans="2:16" ht="15" customHeight="1">
      <c r="B49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45719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0" spans="2:16" ht="15" customHeight="1">
      <c r="B50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45720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1" spans="2:16" ht="15" customHeight="1">
      <c r="B51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45721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2" spans="2:16" ht="15" customHeight="1">
      <c r="B52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45722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3" spans="2:16" ht="15" customHeight="1">
      <c r="B53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45723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4" spans="2:16" ht="15" customHeight="1">
      <c r="B54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45724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5" spans="2:16" ht="15" customHeight="1">
      <c r="B55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45725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6" spans="2:16" ht="15" customHeight="1">
      <c r="B56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45726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7" spans="2:16" ht="15" customHeight="1">
      <c r="B57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45727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8" spans="2:16" ht="15" customHeight="1">
      <c r="B58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45728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59" spans="2:16" ht="15" customHeight="1">
      <c r="B59" s="82" t="str">
        <f t="shared" si="0"/>
        <v>-</v>
      </c>
      <c s="83" t="str">
        <f t="shared" si="12"/>
        <v>-</v>
      </c>
      <c s="83" t="str">
        <f t="shared" si="13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4"/>
        <v>-</v>
      </c>
      <c s="77">
        <f t="shared" si="8"/>
        <v>0</v>
      </c>
      <c s="191"/>
      <c s="60">
        <f t="shared" si="9"/>
        <v>45729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0" spans="2:16" ht="15" customHeight="1">
      <c r="B60" s="82" t="str">
        <f t="shared" si="0"/>
        <v>-</v>
      </c>
      <c s="83" t="str">
        <f t="shared" si="17" ref="C60:C80">IFERROR(YEAR(B60),"-")</f>
        <v>-</v>
      </c>
      <c s="83" t="str">
        <f t="shared" si="18" ref="D60:D80">IFERROR(ROUNDUP(MONTH(B60)/Месяцев_в_квартале,0),"-")</f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9" ref="I60:I80">IFERROR(ROUNDUP(MONTH(G60)/Месяцев_в_квартале,0),"-")</f>
        <v>-</v>
      </c>
      <c s="77">
        <f t="shared" si="8"/>
        <v>0</v>
      </c>
      <c s="191"/>
      <c s="60">
        <f t="shared" si="9"/>
        <v>45730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1" spans="2:16" ht="15" customHeight="1">
      <c r="B61" s="82" t="str">
        <f t="shared" si="0"/>
        <v>-</v>
      </c>
      <c s="83" t="str">
        <f t="shared" si="17"/>
        <v>-</v>
      </c>
      <c s="83" t="str">
        <f t="shared" si="18"/>
        <v>-</v>
      </c>
      <c s="77">
        <f t="shared" si="3"/>
        <v>0</v>
      </c>
      <c s="77" t="str">
        <f t="shared" si="4"/>
        <v>-</v>
      </c>
      <c s="82" t="str">
        <f t="shared" si="5"/>
        <v>-</v>
      </c>
      <c s="83" t="str">
        <f t="shared" si="6"/>
        <v>-</v>
      </c>
      <c s="83" t="str">
        <f t="shared" si="19"/>
        <v>-</v>
      </c>
      <c s="77">
        <f t="shared" si="8"/>
        <v>0</v>
      </c>
      <c s="191"/>
      <c s="60">
        <f t="shared" si="9"/>
        <v>45731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2" spans="2:16" ht="15" customHeight="1">
      <c r="B62" s="82" t="str">
        <f t="shared" si="20" ref="B62:B73">IFERROR(IF(OR(COUNTIF($D$12:$D$13,"Q")&gt;0,B61=Дата_погашения_Займа),"-",MIN(EOMONTH(G62,0)+IF(MONTH(G62)=12,15,0),$J$10)),"-")</f>
        <v>-</v>
      </c>
      <c s="83" t="str">
        <f t="shared" si="21" ref="C62:C73">IFERROR(YEAR(B62),"-")</f>
        <v>-</v>
      </c>
      <c s="83" t="str">
        <f t="shared" si="22" ref="D62:D73">IFERROR(ROUNDUP(MONTH(B62)/Месяцев_в_квартале,0),"-")</f>
        <v>-</v>
      </c>
      <c s="77">
        <f t="shared" si="3"/>
        <v>0</v>
      </c>
      <c s="77" t="str">
        <f t="shared" si="23" ref="F62:F73">IF(COUNTIF($D$12:$D$13,"Q")&gt;0,"-",IF(ISNUMBER(F61),F61-E62,$E$8))</f>
        <v>-</v>
      </c>
      <c s="82" t="str">
        <f t="shared" si="5"/>
        <v>-</v>
      </c>
      <c s="83" t="str">
        <f t="shared" si="24" ref="H62:H73">IFERROR(YEAR(G62),"-")</f>
        <v>-</v>
      </c>
      <c s="83" t="str">
        <f t="shared" si="25" ref="I62:I73">IFERROR(ROUNDUP(MONTH(G62)/Месяцев_в_квартале,0),"-")</f>
        <v>-</v>
      </c>
      <c s="77">
        <f t="shared" si="26" ref="J62:J72">SUMIFS($O$19:$O$5498,$L$19:$L$5498,"&gt;"&amp;IF(ISNUMBER(G61),G61,$F$5),$L$19:$L$5498,"&lt;="&amp;G62)</f>
        <v>0</v>
      </c>
      <c s="191"/>
      <c s="60">
        <f>IFERROR(IF(MAX(L61+1,$F$5+1)&gt;Дата_погашения_Займа,"-",MAX(L61+1,$F$5+1)),"-")</f>
        <v>45732</v>
      </c>
      <c s="28">
        <f t="shared" si="10"/>
        <v>0</v>
      </c>
      <c s="28">
        <f>IF(ISNUMBER(N61),N61-M62,$E$8)</f>
        <v>0</v>
      </c>
      <c s="28">
        <f t="shared" si="11"/>
        <v>0</v>
      </c>
      <c s="28"/>
    </row>
    <row r="63" spans="2:16" ht="15" customHeight="1">
      <c r="B63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3" s="60">
        <f t="shared" si="9"/>
        <v>45733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4" spans="2:16" ht="15" customHeight="1">
      <c r="B64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4" s="60">
        <f t="shared" si="9"/>
        <v>45734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5" spans="2:16" ht="15" customHeight="1">
      <c r="B65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5" s="60">
        <f t="shared" si="9"/>
        <v>45735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6" spans="2:16" ht="15" customHeight="1">
      <c r="B66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6" s="60">
        <f t="shared" si="9"/>
        <v>45736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7" spans="2:16" ht="15" customHeight="1">
      <c r="B67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7" s="60">
        <f t="shared" si="9"/>
        <v>45737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8" spans="2:16" ht="15" customHeight="1">
      <c r="B68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8" s="60">
        <f t="shared" si="9"/>
        <v>45738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69" spans="2:16" ht="15" customHeight="1">
      <c r="B69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69" s="60">
        <f t="shared" si="9"/>
        <v>45739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0" spans="2:16" ht="15" customHeight="1">
      <c r="B70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70" s="60">
        <f t="shared" si="9"/>
        <v>45740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1" spans="2:16" ht="15" customHeight="1">
      <c r="B71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71" s="60">
        <f t="shared" si="9"/>
        <v>45741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2" spans="2:16" ht="15" customHeight="1">
      <c r="B72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 t="shared" si="26"/>
        <v>0</v>
      </c>
      <c r="L72" s="60">
        <f t="shared" si="9"/>
        <v>45742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3" spans="2:16" ht="15" customHeight="1">
      <c r="B73" s="82" t="str">
        <f t="shared" si="20"/>
        <v>-</v>
      </c>
      <c s="83" t="str">
        <f t="shared" si="21"/>
        <v>-</v>
      </c>
      <c s="83" t="str">
        <f t="shared" si="22"/>
        <v>-</v>
      </c>
      <c s="77">
        <f t="shared" si="3"/>
        <v>0</v>
      </c>
      <c s="77" t="str">
        <f t="shared" si="23"/>
        <v>-</v>
      </c>
      <c s="82" t="str">
        <f t="shared" si="5"/>
        <v>-</v>
      </c>
      <c s="83" t="str">
        <f t="shared" si="24"/>
        <v>-</v>
      </c>
      <c s="83" t="str">
        <f t="shared" si="25"/>
        <v>-</v>
      </c>
      <c s="77">
        <f>SUMIFS($O$19:$O$5498,$L$19:$L$5498,"&gt;"&amp;IF(ISNUMBER(G72),G72,$F$5),$L$19:$L$5498,"&lt;="&amp;G73)</f>
        <v>0</v>
      </c>
      <c r="L73" s="60">
        <f t="shared" si="9"/>
        <v>45743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4" spans="2:16" ht="15" customHeight="1">
      <c r="B74" s="82" t="str">
        <f t="shared" si="27" ref="B74:B80">IFERROR(IF(OR(COUNTIF($D$12:$D$13,"Q")&gt;0,B73=Дата_погашения_Займа),"-",MIN(EOMONTH(G74,0)+IF(MONTH(G74)=12,15,0),$J$10)),"-")</f>
        <v>-</v>
      </c>
      <c s="83" t="str">
        <f t="shared" si="28" ref="C74:C79">IFERROR(YEAR(B74),"-")</f>
        <v>-</v>
      </c>
      <c s="83" t="str">
        <f t="shared" si="29" ref="D74:D79">IFERROR(ROUNDUP(MONTH(B74)/Месяцев_в_квартале,0),"-")</f>
        <v>-</v>
      </c>
      <c s="77">
        <f t="shared" si="3"/>
        <v>0</v>
      </c>
      <c s="77" t="str">
        <f t="shared" si="30" ref="F74:F80">IF(COUNTIF($D$12:$D$13,"Q")&gt;0,"-",IF(ISNUMBER(F73),F73-E74,$E$8))</f>
        <v>-</v>
      </c>
      <c s="82" t="str">
        <f t="shared" si="5"/>
        <v>-</v>
      </c>
      <c s="83" t="str">
        <f t="shared" si="31" ref="H74:H79">IFERROR(YEAR(G74),"-")</f>
        <v>-</v>
      </c>
      <c s="83" t="str">
        <f t="shared" si="32" ref="I74:I79">IFERROR(ROUNDUP(MONTH(G74)/Месяцев_в_квартале,0),"-")</f>
        <v>-</v>
      </c>
      <c s="77">
        <f t="shared" si="33" ref="J74:J80">SUMIFS($O$19:$O$5498,$L$19:$L$5498,"&gt;"&amp;IF(ISNUMBER(G73),G73,$F$5),$L$19:$L$5498,"&lt;="&amp;G74)</f>
        <v>0</v>
      </c>
      <c r="L74" s="60">
        <f t="shared" si="9"/>
        <v>45744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5" spans="2:16" ht="15" customHeight="1">
      <c r="B75" s="82" t="str">
        <f t="shared" si="27"/>
        <v>-</v>
      </c>
      <c s="83" t="str">
        <f t="shared" si="28"/>
        <v>-</v>
      </c>
      <c s="83" t="str">
        <f t="shared" si="29"/>
        <v>-</v>
      </c>
      <c s="77">
        <f t="shared" si="3"/>
        <v>0</v>
      </c>
      <c s="77" t="str">
        <f t="shared" si="30"/>
        <v>-</v>
      </c>
      <c s="82" t="str">
        <f t="shared" si="5"/>
        <v>-</v>
      </c>
      <c s="83" t="str">
        <f t="shared" si="31"/>
        <v>-</v>
      </c>
      <c s="83" t="str">
        <f t="shared" si="32"/>
        <v>-</v>
      </c>
      <c s="77">
        <f t="shared" si="33"/>
        <v>0</v>
      </c>
      <c r="L75" s="60">
        <f t="shared" si="9"/>
        <v>45745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6" spans="2:16" ht="15" customHeight="1">
      <c r="B76" s="82" t="str">
        <f t="shared" si="27"/>
        <v>-</v>
      </c>
      <c s="83" t="str">
        <f t="shared" si="28"/>
        <v>-</v>
      </c>
      <c s="83" t="str">
        <f t="shared" si="29"/>
        <v>-</v>
      </c>
      <c s="77">
        <f t="shared" si="3"/>
        <v>0</v>
      </c>
      <c s="77" t="str">
        <f t="shared" si="30"/>
        <v>-</v>
      </c>
      <c s="82" t="str">
        <f t="shared" si="5"/>
        <v>-</v>
      </c>
      <c s="83" t="str">
        <f t="shared" si="31"/>
        <v>-</v>
      </c>
      <c s="83" t="str">
        <f t="shared" si="32"/>
        <v>-</v>
      </c>
      <c s="77">
        <f t="shared" si="33"/>
        <v>0</v>
      </c>
      <c r="L76" s="60">
        <f t="shared" si="9"/>
        <v>45746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7" spans="2:16" ht="15" customHeight="1">
      <c r="B77" s="82" t="str">
        <f t="shared" si="27"/>
        <v>-</v>
      </c>
      <c s="83" t="str">
        <f t="shared" si="28"/>
        <v>-</v>
      </c>
      <c s="83" t="str">
        <f t="shared" si="29"/>
        <v>-</v>
      </c>
      <c s="77">
        <f t="shared" si="3"/>
        <v>0</v>
      </c>
      <c s="77" t="str">
        <f t="shared" si="30"/>
        <v>-</v>
      </c>
      <c s="82" t="str">
        <f t="shared" si="5"/>
        <v>-</v>
      </c>
      <c s="83" t="str">
        <f t="shared" si="31"/>
        <v>-</v>
      </c>
      <c s="83" t="str">
        <f t="shared" si="32"/>
        <v>-</v>
      </c>
      <c s="77">
        <f t="shared" si="33"/>
        <v>0</v>
      </c>
      <c r="L77" s="60">
        <f t="shared" si="9"/>
        <v>45747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78" spans="2:16" ht="15" customHeight="1">
      <c r="B78" s="82" t="str">
        <f t="shared" si="27"/>
        <v>-</v>
      </c>
      <c s="83" t="str">
        <f t="shared" si="28"/>
        <v>-</v>
      </c>
      <c s="83" t="str">
        <f t="shared" si="29"/>
        <v>-</v>
      </c>
      <c s="77">
        <f t="shared" si="3"/>
        <v>0</v>
      </c>
      <c s="77" t="str">
        <f t="shared" si="30"/>
        <v>-</v>
      </c>
      <c s="82" t="str">
        <f t="shared" si="5"/>
        <v>-</v>
      </c>
      <c s="83" t="str">
        <f t="shared" si="31"/>
        <v>-</v>
      </c>
      <c s="83" t="str">
        <f t="shared" si="32"/>
        <v>-</v>
      </c>
      <c s="77">
        <f t="shared" si="33"/>
        <v>0</v>
      </c>
      <c r="L78" s="60">
        <f>IFERROR(IF(MAX(L77+1,$F$5+1)&gt;Дата_погашения_Займа,"-",MAX(L77+1,$F$5+1)),"-")</f>
        <v>45748</v>
      </c>
      <c s="28">
        <f t="shared" si="10"/>
        <v>0</v>
      </c>
      <c s="28">
        <f>IF(ISNUMBER(N77),N77-M78,$E$8)</f>
        <v>0</v>
      </c>
      <c s="28">
        <f t="shared" si="11"/>
        <v>0</v>
      </c>
      <c s="28"/>
    </row>
    <row r="79" spans="2:16" ht="15" customHeight="1">
      <c r="B79" s="82" t="str">
        <f t="shared" si="27"/>
        <v>-</v>
      </c>
      <c s="83" t="str">
        <f t="shared" si="28"/>
        <v>-</v>
      </c>
      <c s="83" t="str">
        <f t="shared" si="29"/>
        <v>-</v>
      </c>
      <c s="77">
        <f t="shared" si="3"/>
        <v>0</v>
      </c>
      <c s="77" t="str">
        <f t="shared" si="30"/>
        <v>-</v>
      </c>
      <c s="82" t="str">
        <f t="shared" si="5"/>
        <v>-</v>
      </c>
      <c s="83" t="str">
        <f t="shared" si="31"/>
        <v>-</v>
      </c>
      <c s="83" t="str">
        <f t="shared" si="32"/>
        <v>-</v>
      </c>
      <c s="77">
        <f t="shared" si="33"/>
        <v>0</v>
      </c>
      <c r="L79" s="60">
        <f t="shared" si="9"/>
        <v>45749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80" spans="2:16" ht="15" customHeight="1">
      <c r="B80" s="82" t="str">
        <f t="shared" si="27"/>
        <v>-</v>
      </c>
      <c s="83" t="str">
        <f t="shared" si="17"/>
        <v>-</v>
      </c>
      <c s="83" t="str">
        <f t="shared" si="18"/>
        <v>-</v>
      </c>
      <c s="77">
        <f t="shared" si="3"/>
        <v>0</v>
      </c>
      <c s="77" t="str">
        <f t="shared" si="30"/>
        <v>-</v>
      </c>
      <c s="82" t="str">
        <f t="shared" si="5"/>
        <v>-</v>
      </c>
      <c s="83" t="str">
        <f t="shared" si="6"/>
        <v>-</v>
      </c>
      <c s="83" t="str">
        <f t="shared" si="19"/>
        <v>-</v>
      </c>
      <c s="77">
        <f t="shared" si="33"/>
        <v>0</v>
      </c>
      <c r="L80" s="60">
        <f t="shared" si="9"/>
        <v>45750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81" spans="5:16" ht="15" customHeight="1">
      <c r="E81" s="271">
        <f>SUM(E19:E80)</f>
        <v>0</v>
      </c>
      <c r="J81" s="271">
        <f>SUM(J19:J80)</f>
        <v>0</v>
      </c>
      <c r="L81" s="60">
        <f t="shared" si="9"/>
        <v>45751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82" spans="12:16" ht="16.9" customHeight="1">
      <c r="L82" s="60">
        <f t="shared" si="9"/>
        <v>45752</v>
      </c>
      <c s="28">
        <f t="shared" si="10"/>
        <v>0</v>
      </c>
      <c s="28">
        <f t="shared" si="16"/>
        <v>0</v>
      </c>
      <c s="28">
        <f t="shared" si="11"/>
        <v>0</v>
      </c>
      <c s="28"/>
    </row>
    <row r="83" spans="12:16" ht="15" customHeight="1" hidden="1">
      <c r="L83" s="60">
        <f t="shared" si="9"/>
        <v>45753</v>
      </c>
      <c s="28">
        <f t="shared" si="34" ref="M83:M146">IFERROR(VLOOKUP(L83,$B$19:$E$80,4,FALSE),0)</f>
        <v>0</v>
      </c>
      <c s="28">
        <f t="shared" si="16"/>
        <v>0</v>
      </c>
      <c s="28">
        <f t="shared" si="35" ref="O83:O146">IFERROR(IF(ISNUMBER(N82),N82,$E$8)*IF(L83&gt;=$J$8,$E$12,$E$12)/IF(MOD(YEAR(L83),4),365,366)*IF(ISBLANK(L82),L83-$F$5,L83-L82),0)</f>
        <v>0</v>
      </c>
      <c s="28"/>
    </row>
    <row r="84" spans="12:16" ht="15" customHeight="1" hidden="1">
      <c r="L84" s="60">
        <f t="shared" si="9"/>
        <v>45754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85" spans="12:16" ht="15" customHeight="1" hidden="1">
      <c r="L85" s="60">
        <f t="shared" si="9"/>
        <v>45755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86" spans="12:16" ht="15" customHeight="1" hidden="1">
      <c r="L86" s="60">
        <f t="shared" si="9"/>
        <v>45756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87" spans="12:16" ht="15" customHeight="1" hidden="1">
      <c r="L87" s="60">
        <f t="shared" si="9"/>
        <v>45757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88" spans="12:16" ht="15" customHeight="1" hidden="1">
      <c r="L88" s="60">
        <f t="shared" si="9"/>
        <v>45758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89" spans="12:16" ht="15" customHeight="1" hidden="1">
      <c r="L89" s="60">
        <f t="shared" si="9"/>
        <v>45759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0" spans="12:16" ht="15" customHeight="1" hidden="1">
      <c r="L90" s="60">
        <f t="shared" si="9"/>
        <v>45760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1" spans="12:16" ht="15" customHeight="1" hidden="1">
      <c r="L91" s="60">
        <f t="shared" si="9"/>
        <v>45761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2" spans="12:16" ht="15" customHeight="1" hidden="1">
      <c r="L92" s="60">
        <f t="shared" si="9"/>
        <v>45762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3" spans="12:16" ht="15" customHeight="1" hidden="1">
      <c r="L93" s="60">
        <f t="shared" si="9"/>
        <v>45763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4" spans="12:16" ht="15" customHeight="1" hidden="1">
      <c r="L94" s="60">
        <f t="shared" si="9"/>
        <v>45764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5" spans="12:16" ht="15" customHeight="1" hidden="1">
      <c r="L95" s="60">
        <f t="shared" si="9"/>
        <v>45765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6" spans="12:16" ht="15" customHeight="1" hidden="1">
      <c r="L96" s="60">
        <f t="shared" si="9"/>
        <v>45766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7" spans="12:16" ht="15" customHeight="1" hidden="1">
      <c r="L97" s="60">
        <f t="shared" si="9"/>
        <v>45767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8" spans="12:16" ht="15" customHeight="1" hidden="1">
      <c r="L98" s="60">
        <f t="shared" si="36" ref="L98:L161">IFERROR(IF(MAX(L97+1,$F$5+1)&gt;Дата_погашения_Займа,"-",MAX(L97+1,$F$5+1)),"-")</f>
        <v>45768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99" spans="12:16" ht="15" customHeight="1" hidden="1">
      <c r="L99" s="60">
        <f t="shared" si="36"/>
        <v>45769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0" spans="12:16" ht="15" customHeight="1" hidden="1">
      <c r="L100" s="60">
        <f t="shared" si="36"/>
        <v>45770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1" spans="12:16" ht="15" customHeight="1" hidden="1">
      <c r="L101" s="60">
        <f t="shared" si="36"/>
        <v>45771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2" spans="12:16" ht="15" customHeight="1" hidden="1">
      <c r="L102" s="60">
        <f t="shared" si="36"/>
        <v>45772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3" spans="12:16" ht="15" customHeight="1" hidden="1">
      <c r="L103" s="60">
        <f t="shared" si="36"/>
        <v>45773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4" spans="12:16" ht="15" customHeight="1" hidden="1">
      <c r="L104" s="60">
        <f t="shared" si="36"/>
        <v>45774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5" spans="12:16" ht="15" customHeight="1" hidden="1">
      <c r="L105" s="60">
        <f t="shared" si="36"/>
        <v>45775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6" spans="12:16" ht="15" customHeight="1" hidden="1">
      <c r="L106" s="60">
        <f t="shared" si="36"/>
        <v>45776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7" spans="12:16" ht="15" customHeight="1" hidden="1">
      <c r="L107" s="60">
        <f t="shared" si="36"/>
        <v>45777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8" spans="12:16" ht="15" customHeight="1" hidden="1">
      <c r="L108" s="60">
        <f t="shared" si="36"/>
        <v>45778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09" spans="12:16" ht="15" customHeight="1" hidden="1">
      <c r="L109" s="60">
        <f t="shared" si="36"/>
        <v>45779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10" spans="12:16" ht="15" customHeight="1" hidden="1">
      <c r="L110" s="60">
        <f t="shared" si="36"/>
        <v>45780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11" spans="12:16" ht="15" customHeight="1" hidden="1">
      <c r="L111" s="60">
        <f t="shared" si="36"/>
        <v>45781</v>
      </c>
      <c s="28">
        <f t="shared" si="34"/>
        <v>0</v>
      </c>
      <c s="28">
        <f t="shared" si="16"/>
        <v>0</v>
      </c>
      <c s="28">
        <f t="shared" si="35"/>
        <v>0</v>
      </c>
      <c s="28"/>
    </row>
    <row r="112" spans="12:16" ht="15" customHeight="1" hidden="1">
      <c r="L112" s="60">
        <f t="shared" si="36"/>
        <v>45782</v>
      </c>
      <c s="28">
        <f t="shared" si="34"/>
        <v>0</v>
      </c>
      <c s="28">
        <f t="shared" si="37" ref="N112:N175">IF(ISNUMBER(N111),N111-M112,$E$8)</f>
        <v>0</v>
      </c>
      <c s="28">
        <f t="shared" si="35"/>
        <v>0</v>
      </c>
      <c s="28"/>
    </row>
    <row r="113" spans="12:16" ht="15" customHeight="1" hidden="1">
      <c r="L113" s="60">
        <f t="shared" si="36"/>
        <v>45783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14" spans="12:16" ht="15" customHeight="1" hidden="1">
      <c r="L114" s="60">
        <f t="shared" si="36"/>
        <v>45784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15" spans="12:16" ht="15" customHeight="1" hidden="1">
      <c r="L115" s="60">
        <f t="shared" si="36"/>
        <v>45785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16" spans="12:16" ht="15" customHeight="1" hidden="1">
      <c r="L116" s="60">
        <f t="shared" si="36"/>
        <v>45786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17" spans="12:16" ht="15" customHeight="1" hidden="1">
      <c r="L117" s="60">
        <f t="shared" si="36"/>
        <v>45787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18" spans="12:16" ht="15" customHeight="1" hidden="1">
      <c r="L118" s="60">
        <f t="shared" si="36"/>
        <v>45788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19" spans="12:16" ht="15" customHeight="1" hidden="1">
      <c r="L119" s="60">
        <f t="shared" si="36"/>
        <v>45789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0" spans="12:16" ht="15" customHeight="1" hidden="1">
      <c r="L120" s="60">
        <f t="shared" si="36"/>
        <v>45790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1" spans="12:16" ht="15" customHeight="1" hidden="1">
      <c r="L121" s="60">
        <f t="shared" si="36"/>
        <v>45791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2" spans="12:16" ht="15" customHeight="1" hidden="1">
      <c r="L122" s="60">
        <f t="shared" si="36"/>
        <v>45792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3" spans="12:16" ht="15" customHeight="1" hidden="1">
      <c r="L123" s="60">
        <f t="shared" si="36"/>
        <v>45793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4" spans="12:16" ht="15" customHeight="1" hidden="1">
      <c r="L124" s="60">
        <f t="shared" si="36"/>
        <v>45794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5" spans="12:16" ht="15" customHeight="1" hidden="1">
      <c r="L125" s="60">
        <f t="shared" si="36"/>
        <v>45795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6" spans="12:16" ht="15" customHeight="1" hidden="1">
      <c r="L126" s="60">
        <f t="shared" si="36"/>
        <v>45796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7" spans="12:16" ht="15" customHeight="1" hidden="1">
      <c r="L127" s="60">
        <f t="shared" si="36"/>
        <v>45797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8" spans="12:16" ht="15" customHeight="1" hidden="1">
      <c r="L128" s="60">
        <f t="shared" si="36"/>
        <v>45798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29" spans="12:16" ht="15" customHeight="1" hidden="1">
      <c r="L129" s="60">
        <f t="shared" si="36"/>
        <v>45799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0" spans="12:16" ht="15" customHeight="1" hidden="1">
      <c r="L130" s="60">
        <f t="shared" si="36"/>
        <v>45800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1" spans="12:16" ht="15" customHeight="1" hidden="1">
      <c r="L131" s="60">
        <f t="shared" si="36"/>
        <v>45801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2" spans="12:16" ht="15" customHeight="1" hidden="1">
      <c r="L132" s="60">
        <f t="shared" si="36"/>
        <v>45802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3" spans="12:16" ht="15" customHeight="1" hidden="1">
      <c r="L133" s="60">
        <f t="shared" si="36"/>
        <v>45803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4" spans="12:16" ht="15" customHeight="1" hidden="1">
      <c r="L134" s="60">
        <f t="shared" si="36"/>
        <v>45804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5" spans="12:16" ht="15" customHeight="1" hidden="1">
      <c r="L135" s="60">
        <f t="shared" si="36"/>
        <v>45805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6" spans="12:16" ht="15" customHeight="1" hidden="1">
      <c r="L136" s="60">
        <f t="shared" si="36"/>
        <v>45806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7" spans="12:16" ht="15" customHeight="1" hidden="1">
      <c r="L137" s="60">
        <f t="shared" si="36"/>
        <v>45807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8" spans="12:16" ht="15" customHeight="1" hidden="1">
      <c r="L138" s="60">
        <f t="shared" si="36"/>
        <v>45808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39" spans="12:16" ht="15" customHeight="1" hidden="1">
      <c r="L139" s="60">
        <f t="shared" si="36"/>
        <v>45809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0" spans="12:16" ht="15" customHeight="1" hidden="1">
      <c r="L140" s="60">
        <f t="shared" si="36"/>
        <v>45810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1" spans="12:16" ht="15" customHeight="1" hidden="1">
      <c r="L141" s="60">
        <f t="shared" si="36"/>
        <v>45811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2" spans="12:16" ht="15" customHeight="1" hidden="1">
      <c r="L142" s="60">
        <f t="shared" si="36"/>
        <v>45812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3" spans="12:16" ht="15" customHeight="1" hidden="1">
      <c r="L143" s="60">
        <f t="shared" si="36"/>
        <v>45813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4" spans="12:16" ht="15" customHeight="1" hidden="1">
      <c r="L144" s="60">
        <f t="shared" si="36"/>
        <v>45814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5" spans="12:16" ht="15" customHeight="1" hidden="1">
      <c r="L145" s="60">
        <f t="shared" si="36"/>
        <v>45815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6" spans="12:16" ht="15" customHeight="1" hidden="1">
      <c r="L146" s="60">
        <f t="shared" si="36"/>
        <v>45816</v>
      </c>
      <c s="28">
        <f t="shared" si="34"/>
        <v>0</v>
      </c>
      <c s="28">
        <f t="shared" si="37"/>
        <v>0</v>
      </c>
      <c s="28">
        <f t="shared" si="35"/>
        <v>0</v>
      </c>
      <c s="28"/>
    </row>
    <row r="147" spans="12:16" ht="15" customHeight="1" hidden="1">
      <c r="L147" s="60">
        <f t="shared" si="36"/>
        <v>45817</v>
      </c>
      <c s="28">
        <f t="shared" si="38" ref="M147:M210">IFERROR(VLOOKUP(L147,$B$19:$E$80,4,FALSE),0)</f>
        <v>0</v>
      </c>
      <c s="28">
        <f t="shared" si="37"/>
        <v>0</v>
      </c>
      <c s="28">
        <f t="shared" si="39" ref="O147:O210">IFERROR(IF(ISNUMBER(N146),N146,$E$8)*IF(L147&gt;=$J$8,$E$12,$E$12)/IF(MOD(YEAR(L147),4),365,366)*IF(ISBLANK(L146),L147-$F$5,L147-L146),0)</f>
        <v>0</v>
      </c>
      <c s="28"/>
    </row>
    <row r="148" spans="12:16" ht="15" customHeight="1" hidden="1">
      <c r="L148" s="60">
        <f t="shared" si="36"/>
        <v>45818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49" spans="12:16" ht="15" customHeight="1" hidden="1">
      <c r="L149" s="60">
        <f t="shared" si="36"/>
        <v>45819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0" spans="12:16" ht="15" customHeight="1" hidden="1">
      <c r="L150" s="60">
        <f t="shared" si="36"/>
        <v>45820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1" spans="12:16" ht="15" customHeight="1" hidden="1">
      <c r="L151" s="60">
        <f t="shared" si="36"/>
        <v>45821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2" spans="12:16" ht="15" customHeight="1" hidden="1">
      <c r="L152" s="60">
        <f t="shared" si="36"/>
        <v>45822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3" spans="12:16" ht="15" customHeight="1" hidden="1">
      <c r="L153" s="60">
        <f t="shared" si="36"/>
        <v>45823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4" spans="12:16" ht="15" customHeight="1" hidden="1">
      <c r="L154" s="60">
        <f t="shared" si="36"/>
        <v>45824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5" spans="12:16" ht="15" customHeight="1" hidden="1">
      <c r="L155" s="60">
        <f t="shared" si="36"/>
        <v>45825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6" spans="12:16" ht="15" customHeight="1" hidden="1">
      <c r="L156" s="60">
        <f t="shared" si="36"/>
        <v>45826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7" spans="12:16" ht="15" customHeight="1" hidden="1">
      <c r="L157" s="60">
        <f t="shared" si="36"/>
        <v>45827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8" spans="12:16" ht="15" customHeight="1" hidden="1">
      <c r="L158" s="60">
        <f t="shared" si="36"/>
        <v>45828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59" spans="12:16" ht="15" customHeight="1" hidden="1">
      <c r="L159" s="60">
        <f t="shared" si="36"/>
        <v>45829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0" spans="12:16" ht="15" customHeight="1" hidden="1">
      <c r="L160" s="60">
        <f t="shared" si="36"/>
        <v>45830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1" spans="12:16" ht="15" customHeight="1" hidden="1">
      <c r="L161" s="60">
        <f t="shared" si="36"/>
        <v>45831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2" spans="12:16" ht="15" customHeight="1" hidden="1">
      <c r="L162" s="60">
        <f t="shared" si="40" ref="L162:L225">IFERROR(IF(MAX(L161+1,$F$5+1)&gt;Дата_погашения_Займа,"-",MAX(L161+1,$F$5+1)),"-")</f>
        <v>45832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3" spans="12:16" ht="15" customHeight="1" hidden="1">
      <c r="L163" s="60">
        <f t="shared" si="40"/>
        <v>45833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4" spans="12:16" ht="15" customHeight="1" hidden="1">
      <c r="L164" s="60">
        <f t="shared" si="40"/>
        <v>45834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5" spans="12:16" ht="15" customHeight="1" hidden="1">
      <c r="L165" s="60">
        <f t="shared" si="40"/>
        <v>45835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6" spans="12:16" ht="15" customHeight="1" hidden="1">
      <c r="L166" s="60">
        <f t="shared" si="40"/>
        <v>45836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7" spans="12:16" ht="15" customHeight="1" hidden="1">
      <c r="L167" s="60">
        <f t="shared" si="40"/>
        <v>45837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8" spans="12:16" ht="15" customHeight="1" hidden="1">
      <c r="L168" s="60">
        <f t="shared" si="40"/>
        <v>45838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69" spans="12:16" ht="15" customHeight="1" hidden="1">
      <c r="L169" s="60">
        <f t="shared" si="40"/>
        <v>45839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0" spans="12:16" ht="15" customHeight="1" hidden="1">
      <c r="L170" s="60">
        <f t="shared" si="40"/>
        <v>45840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1" spans="12:16" ht="15" customHeight="1" hidden="1">
      <c r="L171" s="60">
        <f t="shared" si="40"/>
        <v>45841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2" spans="12:16" ht="15" customHeight="1" hidden="1">
      <c r="L172" s="60">
        <f t="shared" si="40"/>
        <v>45842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3" spans="12:16" ht="15" customHeight="1" hidden="1">
      <c r="L173" s="60">
        <f t="shared" si="40"/>
        <v>45843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4" spans="12:16" ht="15" customHeight="1" hidden="1">
      <c r="L174" s="60">
        <f t="shared" si="40"/>
        <v>45844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5" spans="12:16" ht="15" customHeight="1" hidden="1">
      <c r="L175" s="60">
        <f t="shared" si="40"/>
        <v>45845</v>
      </c>
      <c s="28">
        <f t="shared" si="38"/>
        <v>0</v>
      </c>
      <c s="28">
        <f t="shared" si="37"/>
        <v>0</v>
      </c>
      <c s="28">
        <f t="shared" si="39"/>
        <v>0</v>
      </c>
      <c s="28"/>
    </row>
    <row r="176" spans="12:16" ht="15" customHeight="1" hidden="1">
      <c r="L176" s="60">
        <f t="shared" si="40"/>
        <v>45846</v>
      </c>
      <c s="28">
        <f t="shared" si="38"/>
        <v>0</v>
      </c>
      <c s="28">
        <f t="shared" si="41" ref="N176:N239">IF(ISNUMBER(N175),N175-M176,$E$8)</f>
        <v>0</v>
      </c>
      <c s="28">
        <f t="shared" si="39"/>
        <v>0</v>
      </c>
      <c s="28"/>
    </row>
    <row r="177" spans="12:16" ht="15" customHeight="1" hidden="1">
      <c r="L177" s="60">
        <f t="shared" si="40"/>
        <v>45847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78" spans="12:16" ht="15" customHeight="1" hidden="1">
      <c r="L178" s="60">
        <f t="shared" si="40"/>
        <v>45848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79" spans="12:16" ht="15" customHeight="1" hidden="1">
      <c r="L179" s="60">
        <f t="shared" si="40"/>
        <v>45849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0" spans="12:16" ht="15" customHeight="1" hidden="1">
      <c r="L180" s="60">
        <f t="shared" si="40"/>
        <v>45850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1" spans="12:16" ht="15" customHeight="1" hidden="1">
      <c r="L181" s="60">
        <f t="shared" si="40"/>
        <v>45851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2" spans="12:16" ht="15" customHeight="1" hidden="1">
      <c r="L182" s="60">
        <f t="shared" si="40"/>
        <v>45852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3" spans="12:16" ht="15" customHeight="1" hidden="1">
      <c r="L183" s="60">
        <f t="shared" si="40"/>
        <v>45853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4" spans="12:16" ht="15" customHeight="1" hidden="1">
      <c r="L184" s="60">
        <f t="shared" si="40"/>
        <v>45854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5" spans="12:16" ht="15" customHeight="1" hidden="1">
      <c r="L185" s="60">
        <f t="shared" si="40"/>
        <v>45855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6" spans="12:16" ht="15" customHeight="1" hidden="1">
      <c r="L186" s="60">
        <f t="shared" si="40"/>
        <v>45856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7" spans="12:16" ht="15" customHeight="1" hidden="1">
      <c r="L187" s="60">
        <f t="shared" si="40"/>
        <v>45857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8" spans="12:16" ht="15" customHeight="1" hidden="1">
      <c r="L188" s="60">
        <f t="shared" si="40"/>
        <v>45858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89" spans="12:16" ht="15" customHeight="1" hidden="1">
      <c r="L189" s="60">
        <f t="shared" si="40"/>
        <v>45859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0" spans="12:16" ht="15" customHeight="1" hidden="1">
      <c r="L190" s="60">
        <f t="shared" si="40"/>
        <v>45860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1" spans="12:16" ht="15" customHeight="1" hidden="1">
      <c r="L191" s="60">
        <f t="shared" si="40"/>
        <v>45861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2" spans="12:16" ht="15" customHeight="1" hidden="1">
      <c r="L192" s="60">
        <f t="shared" si="40"/>
        <v>45862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3" spans="12:16" ht="15" customHeight="1" hidden="1">
      <c r="L193" s="60">
        <f t="shared" si="40"/>
        <v>45863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4" spans="12:16" ht="15" customHeight="1" hidden="1">
      <c r="L194" s="60">
        <f t="shared" si="40"/>
        <v>45864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5" spans="12:16" ht="15" customHeight="1" hidden="1">
      <c r="L195" s="60">
        <f t="shared" si="40"/>
        <v>45865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6" spans="12:16" ht="15" customHeight="1" hidden="1">
      <c r="L196" s="60">
        <f t="shared" si="40"/>
        <v>45866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7" spans="12:16" ht="15" customHeight="1" hidden="1">
      <c r="L197" s="60">
        <f t="shared" si="40"/>
        <v>45867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8" spans="12:16" ht="15" customHeight="1" hidden="1">
      <c r="L198" s="60">
        <f t="shared" si="40"/>
        <v>45868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199" spans="12:16" ht="15" customHeight="1" hidden="1">
      <c r="L199" s="60">
        <f t="shared" si="40"/>
        <v>45869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0" spans="12:16" ht="15" customHeight="1" hidden="1">
      <c r="L200" s="60">
        <f t="shared" si="40"/>
        <v>45870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1" spans="12:16" ht="15" customHeight="1" hidden="1">
      <c r="L201" s="60">
        <f t="shared" si="40"/>
        <v>45871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2" spans="12:16" ht="15" customHeight="1" hidden="1">
      <c r="L202" s="60">
        <f t="shared" si="40"/>
        <v>45872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3" spans="12:16" ht="15" customHeight="1" hidden="1">
      <c r="L203" s="60">
        <f t="shared" si="40"/>
        <v>45873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4" spans="12:16" ht="15" customHeight="1" hidden="1">
      <c r="L204" s="60">
        <f t="shared" si="40"/>
        <v>45874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5" spans="12:16" ht="15" customHeight="1" hidden="1">
      <c r="L205" s="60">
        <f t="shared" si="40"/>
        <v>45875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6" spans="12:16" ht="15" customHeight="1" hidden="1">
      <c r="L206" s="60">
        <f t="shared" si="40"/>
        <v>45876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7" spans="12:16" ht="15" customHeight="1" hidden="1">
      <c r="L207" s="60">
        <f t="shared" si="40"/>
        <v>45877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8" spans="12:16" ht="15" customHeight="1" hidden="1">
      <c r="L208" s="60">
        <f t="shared" si="40"/>
        <v>45878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09" spans="12:16" ht="15" customHeight="1" hidden="1">
      <c r="L209" s="60">
        <f t="shared" si="40"/>
        <v>45879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10" spans="12:16" ht="15" customHeight="1" hidden="1">
      <c r="L210" s="60">
        <f t="shared" si="40"/>
        <v>45880</v>
      </c>
      <c s="28">
        <f t="shared" si="38"/>
        <v>0</v>
      </c>
      <c s="28">
        <f t="shared" si="41"/>
        <v>0</v>
      </c>
      <c s="28">
        <f t="shared" si="39"/>
        <v>0</v>
      </c>
      <c s="28"/>
    </row>
    <row r="211" spans="12:16" ht="15" customHeight="1" hidden="1">
      <c r="L211" s="60">
        <f t="shared" si="40"/>
        <v>45881</v>
      </c>
      <c s="28">
        <f t="shared" si="42" ref="M211:M274">IFERROR(VLOOKUP(L211,$B$19:$E$80,4,FALSE),0)</f>
        <v>0</v>
      </c>
      <c s="28">
        <f t="shared" si="41"/>
        <v>0</v>
      </c>
      <c s="28">
        <f t="shared" si="43" ref="O211:O274">IFERROR(IF(ISNUMBER(N210),N210,$E$8)*IF(L211&gt;=$J$8,$E$12,$E$12)/IF(MOD(YEAR(L211),4),365,366)*IF(ISBLANK(L210),L211-$F$5,L211-L210),0)</f>
        <v>0</v>
      </c>
      <c s="28"/>
    </row>
    <row r="212" spans="12:16" ht="15" customHeight="1" hidden="1">
      <c r="L212" s="60">
        <f t="shared" si="40"/>
        <v>45882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3" spans="12:16" ht="15" customHeight="1" hidden="1">
      <c r="L213" s="60">
        <f t="shared" si="40"/>
        <v>45883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4" spans="12:16" ht="15" customHeight="1" hidden="1">
      <c r="L214" s="60">
        <f t="shared" si="40"/>
        <v>45884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5" spans="12:16" ht="15" customHeight="1" hidden="1">
      <c r="L215" s="60">
        <f t="shared" si="40"/>
        <v>45885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6" spans="12:16" ht="15" customHeight="1" hidden="1">
      <c r="L216" s="60">
        <f t="shared" si="40"/>
        <v>45886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7" spans="12:16" ht="15" customHeight="1" hidden="1">
      <c r="L217" s="60">
        <f t="shared" si="40"/>
        <v>45887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8" spans="12:16" ht="15" customHeight="1" hidden="1">
      <c r="L218" s="60">
        <f t="shared" si="40"/>
        <v>45888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19" spans="12:16" ht="15" customHeight="1" hidden="1">
      <c r="L219" s="60">
        <f t="shared" si="40"/>
        <v>45889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0" spans="12:16" ht="15" customHeight="1" hidden="1">
      <c r="L220" s="60">
        <f t="shared" si="40"/>
        <v>45890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1" spans="12:16" ht="15" customHeight="1" hidden="1">
      <c r="L221" s="60">
        <f t="shared" si="40"/>
        <v>45891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2" spans="12:16" ht="15" customHeight="1" hidden="1">
      <c r="L222" s="60">
        <f t="shared" si="40"/>
        <v>45892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3" spans="12:16" ht="15" customHeight="1" hidden="1">
      <c r="L223" s="60">
        <f t="shared" si="40"/>
        <v>45893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4" spans="12:16" ht="15" customHeight="1" hidden="1">
      <c r="L224" s="60">
        <f t="shared" si="40"/>
        <v>45894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5" spans="12:16" ht="15" customHeight="1" hidden="1">
      <c r="L225" s="60">
        <f t="shared" si="40"/>
        <v>45895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6" spans="12:16" ht="15" customHeight="1" hidden="1">
      <c r="L226" s="60">
        <f t="shared" si="44" ref="L226:L289">IFERROR(IF(MAX(L225+1,$F$5+1)&gt;Дата_погашения_Займа,"-",MAX(L225+1,$F$5+1)),"-")</f>
        <v>45896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7" spans="12:16" ht="15" customHeight="1" hidden="1">
      <c r="L227" s="60">
        <f t="shared" si="44"/>
        <v>45897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8" spans="12:16" ht="15" customHeight="1" hidden="1">
      <c r="L228" s="60">
        <f t="shared" si="44"/>
        <v>45898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29" spans="12:16" ht="15" customHeight="1" hidden="1">
      <c r="L229" s="60">
        <f t="shared" si="44"/>
        <v>45899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0" spans="12:16" ht="15" customHeight="1" hidden="1">
      <c r="L230" s="60">
        <f t="shared" si="44"/>
        <v>45900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1" spans="12:16" ht="15" customHeight="1" hidden="1">
      <c r="L231" s="60">
        <f t="shared" si="44"/>
        <v>45901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2" spans="12:16" ht="15" customHeight="1" hidden="1">
      <c r="L232" s="60">
        <f t="shared" si="44"/>
        <v>45902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3" spans="12:16" ht="15" customHeight="1" hidden="1">
      <c r="L233" s="60">
        <f t="shared" si="44"/>
        <v>45903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4" spans="12:16" ht="15" customHeight="1" hidden="1">
      <c r="L234" s="60">
        <f t="shared" si="44"/>
        <v>45904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5" spans="12:16" ht="15" customHeight="1" hidden="1">
      <c r="L235" s="60">
        <f t="shared" si="44"/>
        <v>45905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6" spans="12:16" ht="15" customHeight="1" hidden="1">
      <c r="L236" s="60">
        <f t="shared" si="44"/>
        <v>45906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7" spans="12:16" ht="15" customHeight="1" hidden="1">
      <c r="L237" s="60">
        <f t="shared" si="44"/>
        <v>45907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8" spans="12:16" ht="15" customHeight="1" hidden="1">
      <c r="L238" s="60">
        <f t="shared" si="44"/>
        <v>45908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39" spans="12:16" ht="15" customHeight="1" hidden="1">
      <c r="L239" s="60">
        <f t="shared" si="44"/>
        <v>45909</v>
      </c>
      <c s="28">
        <f t="shared" si="42"/>
        <v>0</v>
      </c>
      <c s="28">
        <f t="shared" si="41"/>
        <v>0</v>
      </c>
      <c s="28">
        <f t="shared" si="43"/>
        <v>0</v>
      </c>
      <c s="28"/>
    </row>
    <row r="240" spans="12:16" ht="15" customHeight="1" hidden="1">
      <c r="L240" s="60">
        <f t="shared" si="44"/>
        <v>45910</v>
      </c>
      <c s="28">
        <f t="shared" si="42"/>
        <v>0</v>
      </c>
      <c s="28">
        <f t="shared" si="45" ref="N240:N303">IF(ISNUMBER(N239),N239-M240,$E$8)</f>
        <v>0</v>
      </c>
      <c s="28">
        <f t="shared" si="43"/>
        <v>0</v>
      </c>
      <c s="28"/>
    </row>
    <row r="241" spans="12:16" ht="15" customHeight="1" hidden="1">
      <c r="L241" s="60">
        <f t="shared" si="44"/>
        <v>45911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2" spans="12:16" ht="15" customHeight="1" hidden="1">
      <c r="L242" s="60">
        <f t="shared" si="44"/>
        <v>45912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3" spans="12:16" ht="15" customHeight="1" hidden="1">
      <c r="L243" s="60">
        <f t="shared" si="44"/>
        <v>45913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4" spans="12:16" ht="15" customHeight="1" hidden="1">
      <c r="L244" s="60">
        <f t="shared" si="44"/>
        <v>45914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5" spans="12:16" ht="15" customHeight="1" hidden="1">
      <c r="L245" s="60">
        <f t="shared" si="44"/>
        <v>45915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6" spans="12:16" ht="15" customHeight="1" hidden="1">
      <c r="L246" s="60">
        <f t="shared" si="44"/>
        <v>45916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7" spans="12:16" ht="15" customHeight="1" hidden="1">
      <c r="L247" s="60">
        <f t="shared" si="44"/>
        <v>45917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8" spans="12:16" ht="15" customHeight="1" hidden="1">
      <c r="L248" s="60">
        <f t="shared" si="44"/>
        <v>45918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49" spans="12:16" ht="15" customHeight="1" hidden="1">
      <c r="L249" s="60">
        <f t="shared" si="44"/>
        <v>45919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0" spans="12:16" ht="15" customHeight="1" hidden="1">
      <c r="L250" s="60">
        <f t="shared" si="44"/>
        <v>45920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1" spans="12:16" ht="15" customHeight="1" hidden="1">
      <c r="L251" s="60">
        <f t="shared" si="44"/>
        <v>45921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2" spans="12:16" ht="15" customHeight="1" hidden="1">
      <c r="L252" s="60">
        <f t="shared" si="44"/>
        <v>45922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3" spans="12:16" ht="15" customHeight="1" hidden="1">
      <c r="L253" s="60">
        <f t="shared" si="44"/>
        <v>45923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4" spans="12:16" ht="15" customHeight="1" hidden="1">
      <c r="L254" s="60">
        <f t="shared" si="44"/>
        <v>45924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5" spans="12:16" ht="15" customHeight="1" hidden="1">
      <c r="L255" s="60">
        <f t="shared" si="44"/>
        <v>45925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6" spans="12:16" ht="15" customHeight="1" hidden="1">
      <c r="L256" s="60">
        <f t="shared" si="44"/>
        <v>45926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7" spans="12:16" ht="15" customHeight="1" hidden="1">
      <c r="L257" s="60">
        <f t="shared" si="44"/>
        <v>45927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8" spans="12:16" ht="15" customHeight="1" hidden="1">
      <c r="L258" s="60">
        <f t="shared" si="44"/>
        <v>45928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59" spans="12:16" ht="15" customHeight="1" hidden="1">
      <c r="L259" s="60">
        <f t="shared" si="44"/>
        <v>45929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0" spans="12:16" ht="15" customHeight="1" hidden="1">
      <c r="L260" s="60">
        <f t="shared" si="44"/>
        <v>45930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1" spans="12:16" ht="15" customHeight="1" hidden="1">
      <c r="L261" s="60">
        <f t="shared" si="44"/>
        <v>45931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2" spans="12:16" ht="15" customHeight="1" hidden="1">
      <c r="L262" s="60">
        <f t="shared" si="44"/>
        <v>45932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3" spans="12:16" ht="15" customHeight="1" hidden="1">
      <c r="L263" s="60">
        <f t="shared" si="44"/>
        <v>45933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4" spans="12:16" ht="15" customHeight="1" hidden="1">
      <c r="L264" s="60">
        <f t="shared" si="44"/>
        <v>45934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5" spans="12:16" ht="15" customHeight="1" hidden="1">
      <c r="L265" s="60">
        <f t="shared" si="44"/>
        <v>45935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6" spans="12:16" ht="15" customHeight="1" hidden="1">
      <c r="L266" s="60">
        <f t="shared" si="44"/>
        <v>45936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7" spans="12:16" ht="15" customHeight="1" hidden="1">
      <c r="L267" s="60">
        <f t="shared" si="44"/>
        <v>45937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8" spans="12:16" ht="15" customHeight="1" hidden="1">
      <c r="L268" s="60">
        <f t="shared" si="44"/>
        <v>45938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69" spans="12:16" ht="15" customHeight="1" hidden="1">
      <c r="L269" s="60">
        <f t="shared" si="44"/>
        <v>45939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70" spans="12:16" ht="15" customHeight="1" hidden="1">
      <c r="L270" s="60">
        <f t="shared" si="44"/>
        <v>45940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71" spans="12:16" ht="15" customHeight="1" hidden="1">
      <c r="L271" s="60">
        <f t="shared" si="44"/>
        <v>45941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72" spans="12:16" ht="15" customHeight="1" hidden="1">
      <c r="L272" s="60">
        <f t="shared" si="44"/>
        <v>45942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73" spans="12:16" ht="15" customHeight="1" hidden="1">
      <c r="L273" s="60">
        <f t="shared" si="44"/>
        <v>45943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74" spans="12:16" ht="15" customHeight="1" hidden="1">
      <c r="L274" s="60">
        <f t="shared" si="44"/>
        <v>45944</v>
      </c>
      <c s="28">
        <f t="shared" si="42"/>
        <v>0</v>
      </c>
      <c s="28">
        <f t="shared" si="45"/>
        <v>0</v>
      </c>
      <c s="28">
        <f t="shared" si="43"/>
        <v>0</v>
      </c>
      <c s="28"/>
    </row>
    <row r="275" spans="12:16" ht="15" customHeight="1" hidden="1">
      <c r="L275" s="60">
        <f t="shared" si="44"/>
        <v>45945</v>
      </c>
      <c s="28">
        <f t="shared" si="46" ref="M275:M338">IFERROR(VLOOKUP(L275,$B$19:$E$80,4,FALSE),0)</f>
        <v>0</v>
      </c>
      <c s="28">
        <f t="shared" si="45"/>
        <v>0</v>
      </c>
      <c s="28">
        <f t="shared" si="47" ref="O275:O338">IFERROR(IF(ISNUMBER(N274),N274,$E$8)*IF(L275&gt;=$J$8,$E$12,$E$12)/IF(MOD(YEAR(L275),4),365,366)*IF(ISBLANK(L274),L275-$F$5,L275-L274),0)</f>
        <v>0</v>
      </c>
      <c s="28"/>
    </row>
    <row r="276" spans="12:16" ht="15" customHeight="1" hidden="1">
      <c r="L276" s="60">
        <f t="shared" si="44"/>
        <v>45946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77" spans="12:16" ht="15" customHeight="1" hidden="1">
      <c r="L277" s="60">
        <f t="shared" si="44"/>
        <v>45947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78" spans="12:16" ht="15" customHeight="1" hidden="1">
      <c r="L278" s="60">
        <f t="shared" si="44"/>
        <v>45948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79" spans="12:16" ht="15" customHeight="1" hidden="1">
      <c r="L279" s="60">
        <f t="shared" si="44"/>
        <v>45949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0" spans="12:16" ht="15" customHeight="1" hidden="1">
      <c r="L280" s="60">
        <f t="shared" si="44"/>
        <v>45950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1" spans="12:16" ht="15" customHeight="1" hidden="1">
      <c r="L281" s="60">
        <f t="shared" si="44"/>
        <v>45951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2" spans="12:16" ht="15" customHeight="1" hidden="1">
      <c r="L282" s="60">
        <f t="shared" si="44"/>
        <v>45952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3" spans="12:16" ht="15" customHeight="1" hidden="1">
      <c r="L283" s="60">
        <f t="shared" si="44"/>
        <v>45953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4" spans="12:16" ht="15" customHeight="1" hidden="1">
      <c r="L284" s="60">
        <f t="shared" si="44"/>
        <v>45954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5" spans="12:16" ht="15" customHeight="1" hidden="1">
      <c r="L285" s="60">
        <f t="shared" si="44"/>
        <v>45955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6" spans="12:16" ht="15" customHeight="1" hidden="1">
      <c r="L286" s="60">
        <f t="shared" si="44"/>
        <v>45956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7" spans="12:16" ht="15" customHeight="1" hidden="1">
      <c r="L287" s="60">
        <f t="shared" si="44"/>
        <v>45957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8" spans="12:16" ht="15" customHeight="1" hidden="1">
      <c r="L288" s="60">
        <f t="shared" si="44"/>
        <v>45958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89" spans="12:16" ht="15" customHeight="1" hidden="1">
      <c r="L289" s="60">
        <f t="shared" si="44"/>
        <v>45959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0" spans="12:16" ht="15" customHeight="1" hidden="1">
      <c r="L290" s="60">
        <f t="shared" si="48" ref="L290:L353">IFERROR(IF(MAX(L289+1,$F$5+1)&gt;Дата_погашения_Займа,"-",MAX(L289+1,$F$5+1)),"-")</f>
        <v>45960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1" spans="12:16" ht="15" customHeight="1" hidden="1">
      <c r="L291" s="60">
        <f t="shared" si="48"/>
        <v>45961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2" spans="12:16" ht="15" customHeight="1" hidden="1">
      <c r="L292" s="60">
        <f t="shared" si="48"/>
        <v>45962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3" spans="12:16" ht="15" customHeight="1" hidden="1">
      <c r="L293" s="60">
        <f t="shared" si="48"/>
        <v>45963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4" spans="12:16" ht="15" customHeight="1" hidden="1">
      <c r="L294" s="60">
        <f t="shared" si="48"/>
        <v>45964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5" spans="12:16" ht="15" customHeight="1" hidden="1">
      <c r="L295" s="60">
        <f t="shared" si="48"/>
        <v>45965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6" spans="12:16" ht="15" customHeight="1" hidden="1">
      <c r="L296" s="60">
        <f t="shared" si="48"/>
        <v>45966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7" spans="12:16" ht="15" customHeight="1" hidden="1">
      <c r="L297" s="60">
        <f t="shared" si="48"/>
        <v>45967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8" spans="12:16" ht="15" customHeight="1" hidden="1">
      <c r="L298" s="60">
        <f t="shared" si="48"/>
        <v>45968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299" spans="12:16" ht="15" customHeight="1" hidden="1">
      <c r="L299" s="60">
        <f t="shared" si="48"/>
        <v>45969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300" spans="12:16" ht="15" customHeight="1" hidden="1">
      <c r="L300" s="60">
        <f t="shared" si="48"/>
        <v>45970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301" spans="12:16" ht="15" customHeight="1" hidden="1">
      <c r="L301" s="60">
        <f t="shared" si="48"/>
        <v>45971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302" spans="12:16" ht="15" customHeight="1" hidden="1">
      <c r="L302" s="60">
        <f t="shared" si="48"/>
        <v>45972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303" spans="12:16" ht="15" customHeight="1" hidden="1">
      <c r="L303" s="60">
        <f t="shared" si="48"/>
        <v>45973</v>
      </c>
      <c s="28">
        <f t="shared" si="46"/>
        <v>0</v>
      </c>
      <c s="28">
        <f t="shared" si="45"/>
        <v>0</v>
      </c>
      <c s="28">
        <f t="shared" si="47"/>
        <v>0</v>
      </c>
      <c s="28"/>
    </row>
    <row r="304" spans="12:16" ht="15" customHeight="1" hidden="1">
      <c r="L304" s="60">
        <f t="shared" si="48"/>
        <v>45974</v>
      </c>
      <c s="28">
        <f t="shared" si="46"/>
        <v>0</v>
      </c>
      <c s="28">
        <f t="shared" si="49" ref="N304:N367">IF(ISNUMBER(N303),N303-M304,$E$8)</f>
        <v>0</v>
      </c>
      <c s="28">
        <f t="shared" si="47"/>
        <v>0</v>
      </c>
      <c s="28"/>
    </row>
    <row r="305" spans="12:16" ht="15" customHeight="1" hidden="1">
      <c r="L305" s="60">
        <f t="shared" si="48"/>
        <v>45975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06" spans="12:16" ht="15" customHeight="1" hidden="1">
      <c r="L306" s="60">
        <f t="shared" si="48"/>
        <v>45976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07" spans="12:16" ht="15" customHeight="1" hidden="1">
      <c r="L307" s="60">
        <f t="shared" si="48"/>
        <v>45977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08" spans="12:16" ht="15" customHeight="1" hidden="1">
      <c r="L308" s="60">
        <f t="shared" si="48"/>
        <v>45978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09" spans="12:16" ht="15" customHeight="1" hidden="1">
      <c r="L309" s="60">
        <f t="shared" si="48"/>
        <v>45979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0" spans="12:16" ht="15" customHeight="1" hidden="1">
      <c r="L310" s="60">
        <f t="shared" si="48"/>
        <v>45980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1" spans="12:16" ht="15" customHeight="1" hidden="1">
      <c r="L311" s="60">
        <f t="shared" si="48"/>
        <v>45981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2" spans="12:16" ht="15" customHeight="1" hidden="1">
      <c r="L312" s="60">
        <f t="shared" si="48"/>
        <v>45982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3" spans="12:16" ht="15" customHeight="1" hidden="1">
      <c r="L313" s="60">
        <f t="shared" si="48"/>
        <v>45983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4" spans="12:16" ht="15" customHeight="1" hidden="1">
      <c r="L314" s="60">
        <f t="shared" si="48"/>
        <v>45984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5" spans="12:16" ht="15" customHeight="1" hidden="1">
      <c r="L315" s="60">
        <f t="shared" si="48"/>
        <v>45985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6" spans="12:16" ht="15" customHeight="1" hidden="1">
      <c r="L316" s="60">
        <f t="shared" si="48"/>
        <v>45986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7" spans="12:16" ht="15" customHeight="1" hidden="1">
      <c r="L317" s="60">
        <f t="shared" si="48"/>
        <v>45987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8" spans="12:16" ht="15" customHeight="1" hidden="1">
      <c r="L318" s="60">
        <f t="shared" si="48"/>
        <v>45988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19" spans="12:16" ht="15" customHeight="1" hidden="1">
      <c r="L319" s="60">
        <f t="shared" si="48"/>
        <v>45989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0" spans="12:16" ht="15" customHeight="1" hidden="1">
      <c r="L320" s="60">
        <f t="shared" si="48"/>
        <v>45990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1" spans="12:16" ht="15" customHeight="1" hidden="1">
      <c r="L321" s="60">
        <f t="shared" si="48"/>
        <v>45991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2" spans="12:16" ht="15" customHeight="1" hidden="1">
      <c r="L322" s="60">
        <f t="shared" si="48"/>
        <v>45992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3" spans="12:16" ht="15" customHeight="1" hidden="1">
      <c r="L323" s="60">
        <f t="shared" si="48"/>
        <v>45993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4" spans="12:16" ht="15" customHeight="1" hidden="1">
      <c r="L324" s="60">
        <f t="shared" si="48"/>
        <v>45994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5" spans="12:16" ht="15" customHeight="1" hidden="1">
      <c r="L325" s="60">
        <f t="shared" si="48"/>
        <v>45995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6" spans="12:16" ht="15" customHeight="1" hidden="1">
      <c r="L326" s="60">
        <f t="shared" si="48"/>
        <v>45996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7" spans="12:16" ht="15" customHeight="1" hidden="1">
      <c r="L327" s="60">
        <f t="shared" si="48"/>
        <v>45997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8" spans="12:16" ht="15" customHeight="1" hidden="1">
      <c r="L328" s="60">
        <f t="shared" si="48"/>
        <v>45998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29" spans="12:16" ht="15" customHeight="1" hidden="1">
      <c r="L329" s="60">
        <f t="shared" si="48"/>
        <v>45999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0" spans="12:16" ht="15" customHeight="1" hidden="1">
      <c r="L330" s="60">
        <f t="shared" si="48"/>
        <v>46000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1" spans="12:16" ht="15" customHeight="1" hidden="1">
      <c r="L331" s="60">
        <f t="shared" si="48"/>
        <v>46001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2" spans="12:16" ht="15" customHeight="1" hidden="1">
      <c r="L332" s="60">
        <f t="shared" si="48"/>
        <v>46002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3" spans="12:16" ht="15" customHeight="1" hidden="1">
      <c r="L333" s="60">
        <f t="shared" si="48"/>
        <v>46003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4" spans="12:16" ht="15" customHeight="1" hidden="1">
      <c r="L334" s="60">
        <f t="shared" si="48"/>
        <v>46004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5" spans="12:16" ht="15" customHeight="1" hidden="1">
      <c r="L335" s="60">
        <f t="shared" si="48"/>
        <v>46005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6" spans="12:16" ht="15" customHeight="1" hidden="1">
      <c r="L336" s="60">
        <f t="shared" si="48"/>
        <v>46006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7" spans="12:16" ht="15" customHeight="1" hidden="1">
      <c r="L337" s="60">
        <f t="shared" si="48"/>
        <v>46007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8" spans="12:16" ht="15" customHeight="1" hidden="1">
      <c r="L338" s="60">
        <f t="shared" si="48"/>
        <v>46008</v>
      </c>
      <c s="28">
        <f t="shared" si="46"/>
        <v>0</v>
      </c>
      <c s="28">
        <f t="shared" si="49"/>
        <v>0</v>
      </c>
      <c s="28">
        <f t="shared" si="47"/>
        <v>0</v>
      </c>
      <c s="28"/>
    </row>
    <row r="339" spans="12:16" ht="15" customHeight="1" hidden="1">
      <c r="L339" s="60">
        <f t="shared" si="48"/>
        <v>46009</v>
      </c>
      <c s="28">
        <f t="shared" si="50" ref="M339:M402">IFERROR(VLOOKUP(L339,$B$19:$E$80,4,FALSE),0)</f>
        <v>0</v>
      </c>
      <c s="28">
        <f t="shared" si="49"/>
        <v>0</v>
      </c>
      <c s="28">
        <f t="shared" si="51" ref="O339:O402">IFERROR(IF(ISNUMBER(N338),N338,$E$8)*IF(L339&gt;=$J$8,$E$12,$E$12)/IF(MOD(YEAR(L339),4),365,366)*IF(ISBLANK(L338),L339-$F$5,L339-L338),0)</f>
        <v>0</v>
      </c>
      <c s="28"/>
    </row>
    <row r="340" spans="12:16" ht="15" customHeight="1" hidden="1">
      <c r="L340" s="60">
        <f t="shared" si="48"/>
        <v>46010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1" spans="12:16" ht="15" customHeight="1" hidden="1">
      <c r="L341" s="60">
        <f t="shared" si="48"/>
        <v>46011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2" spans="12:16" ht="15" customHeight="1" hidden="1">
      <c r="L342" s="60">
        <f t="shared" si="48"/>
        <v>46012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3" spans="12:16" ht="15" customHeight="1" hidden="1">
      <c r="L343" s="60">
        <f t="shared" si="48"/>
        <v>46013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4" spans="12:16" ht="15" customHeight="1" hidden="1">
      <c r="L344" s="60">
        <f t="shared" si="48"/>
        <v>46014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5" spans="12:16" ht="15" customHeight="1" hidden="1">
      <c r="L345" s="60">
        <f t="shared" si="48"/>
        <v>46015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6" spans="12:16" ht="15" customHeight="1" hidden="1">
      <c r="L346" s="60">
        <f t="shared" si="48"/>
        <v>46016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7" spans="12:16" ht="15" customHeight="1" hidden="1">
      <c r="L347" s="60">
        <f t="shared" si="48"/>
        <v>46017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8" spans="12:16" ht="15" customHeight="1" hidden="1">
      <c r="L348" s="60">
        <f t="shared" si="48"/>
        <v>46018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49" spans="12:16" ht="15" customHeight="1" hidden="1">
      <c r="L349" s="60">
        <f t="shared" si="48"/>
        <v>46019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0" spans="12:16" ht="15" customHeight="1" hidden="1">
      <c r="L350" s="60">
        <f t="shared" si="48"/>
        <v>46020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1" spans="12:16" ht="15" customHeight="1" hidden="1">
      <c r="L351" s="60">
        <f t="shared" si="48"/>
        <v>46021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2" spans="12:16" ht="15" customHeight="1" hidden="1">
      <c r="L352" s="60">
        <f t="shared" si="48"/>
        <v>46022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3" spans="12:16" ht="15" customHeight="1" hidden="1">
      <c r="L353" s="60">
        <f t="shared" si="48"/>
        <v>46023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4" spans="12:16" ht="15" customHeight="1" hidden="1">
      <c r="L354" s="60">
        <f t="shared" si="52" ref="L354:L417">IFERROR(IF(MAX(L353+1,$F$5+1)&gt;Дата_погашения_Займа,"-",MAX(L353+1,$F$5+1)),"-")</f>
        <v>46024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5" spans="12:16" ht="15" customHeight="1" hidden="1">
      <c r="L355" s="60">
        <f t="shared" si="52"/>
        <v>46025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6" spans="12:16" ht="15" customHeight="1" hidden="1">
      <c r="L356" s="60">
        <f t="shared" si="52"/>
        <v>46026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7" spans="12:16" ht="15" customHeight="1" hidden="1">
      <c r="L357" s="60">
        <f t="shared" si="52"/>
        <v>46027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8" spans="12:16" ht="15" customHeight="1" hidden="1">
      <c r="L358" s="60">
        <f t="shared" si="52"/>
        <v>46028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59" spans="12:16" ht="15" customHeight="1" hidden="1">
      <c r="L359" s="60">
        <f t="shared" si="52"/>
        <v>46029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0" spans="12:16" ht="15" customHeight="1" hidden="1">
      <c r="L360" s="60">
        <f t="shared" si="52"/>
        <v>46030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1" spans="12:16" ht="15" customHeight="1" hidden="1">
      <c r="L361" s="60">
        <f t="shared" si="52"/>
        <v>46031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2" spans="12:16" ht="15" customHeight="1" hidden="1">
      <c r="L362" s="60">
        <f t="shared" si="52"/>
        <v>46032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3" spans="12:16" ht="15" customHeight="1" hidden="1">
      <c r="L363" s="60">
        <f t="shared" si="52"/>
        <v>46033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4" spans="12:16" ht="15" customHeight="1" hidden="1">
      <c r="L364" s="60">
        <f t="shared" si="52"/>
        <v>46034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5" spans="12:16" ht="15" customHeight="1" hidden="1">
      <c r="L365" s="60">
        <f t="shared" si="52"/>
        <v>46035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6" spans="12:16" ht="15" customHeight="1" hidden="1">
      <c r="L366" s="60">
        <f t="shared" si="52"/>
        <v>46036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7" spans="12:16" ht="15" customHeight="1" hidden="1">
      <c r="L367" s="60">
        <f t="shared" si="52"/>
        <v>46037</v>
      </c>
      <c s="28">
        <f t="shared" si="50"/>
        <v>0</v>
      </c>
      <c s="28">
        <f t="shared" si="49"/>
        <v>0</v>
      </c>
      <c s="28">
        <f t="shared" si="51"/>
        <v>0</v>
      </c>
      <c s="28"/>
    </row>
    <row r="368" spans="12:16" ht="15" customHeight="1" hidden="1">
      <c r="L368" s="60">
        <f t="shared" si="52"/>
        <v>46038</v>
      </c>
      <c s="28">
        <f t="shared" si="50"/>
        <v>0</v>
      </c>
      <c s="28">
        <f t="shared" si="53" ref="N368:N431">IF(ISNUMBER(N367),N367-M368,$E$8)</f>
        <v>0</v>
      </c>
      <c s="28">
        <f t="shared" si="51"/>
        <v>0</v>
      </c>
      <c s="28"/>
    </row>
    <row r="369" spans="12:16" ht="15" customHeight="1" hidden="1">
      <c r="L369" s="60">
        <f t="shared" si="52"/>
        <v>46039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0" spans="12:16" ht="15" customHeight="1" hidden="1">
      <c r="L370" s="60">
        <f t="shared" si="52"/>
        <v>46040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1" spans="12:16" ht="15" customHeight="1" hidden="1">
      <c r="L371" s="60">
        <f t="shared" si="52"/>
        <v>46041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2" spans="12:16" ht="15" customHeight="1" hidden="1">
      <c r="L372" s="60">
        <f t="shared" si="52"/>
        <v>46042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3" spans="12:16" ht="15" customHeight="1" hidden="1">
      <c r="L373" s="60">
        <f t="shared" si="52"/>
        <v>46043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4" spans="12:16" ht="15" customHeight="1" hidden="1">
      <c r="L374" s="60">
        <f t="shared" si="52"/>
        <v>46044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5" spans="12:16" ht="15" customHeight="1" hidden="1">
      <c r="L375" s="60">
        <f t="shared" si="52"/>
        <v>46045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6" spans="12:16" ht="15" customHeight="1" hidden="1">
      <c r="L376" s="60">
        <f t="shared" si="52"/>
        <v>46046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7" spans="12:16" ht="15" customHeight="1" hidden="1">
      <c r="L377" s="60">
        <f t="shared" si="52"/>
        <v>46047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8" spans="12:16" ht="15" customHeight="1" hidden="1">
      <c r="L378" s="60">
        <f t="shared" si="52"/>
        <v>46048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79" spans="12:16" ht="15" customHeight="1" hidden="1">
      <c r="L379" s="60">
        <f t="shared" si="52"/>
        <v>46049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0" spans="12:16" ht="15" customHeight="1" hidden="1">
      <c r="L380" s="60">
        <f t="shared" si="52"/>
        <v>46050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1" spans="12:16" ht="15" customHeight="1" hidden="1">
      <c r="L381" s="60">
        <f t="shared" si="52"/>
        <v>46051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2" spans="12:16" ht="15" customHeight="1" hidden="1">
      <c r="L382" s="60">
        <f t="shared" si="52"/>
        <v>46052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3" spans="12:16" ht="15" customHeight="1" hidden="1">
      <c r="L383" s="60">
        <f t="shared" si="52"/>
        <v>46053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4" spans="12:16" ht="15" customHeight="1" hidden="1">
      <c r="L384" s="60">
        <f t="shared" si="52"/>
        <v>46054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5" spans="12:16" ht="15" customHeight="1" hidden="1">
      <c r="L385" s="60">
        <f t="shared" si="52"/>
        <v>46055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6" spans="12:16" ht="15" customHeight="1" hidden="1">
      <c r="L386" s="60">
        <f t="shared" si="52"/>
        <v>46056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7" spans="12:16" ht="15" customHeight="1" hidden="1">
      <c r="L387" s="60">
        <f t="shared" si="52"/>
        <v>46057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8" spans="12:16" ht="15" customHeight="1" hidden="1">
      <c r="L388" s="60">
        <f t="shared" si="52"/>
        <v>46058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89" spans="12:16" ht="15" customHeight="1" hidden="1">
      <c r="L389" s="60">
        <f t="shared" si="52"/>
        <v>46059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0" spans="12:16" ht="15" customHeight="1" hidden="1">
      <c r="L390" s="60">
        <f t="shared" si="52"/>
        <v>46060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1" spans="12:16" ht="15" customHeight="1" hidden="1">
      <c r="L391" s="60">
        <f t="shared" si="52"/>
        <v>46061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2" spans="12:16" ht="15" customHeight="1" hidden="1">
      <c r="L392" s="60">
        <f t="shared" si="52"/>
        <v>46062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3" spans="12:16" ht="15" customHeight="1" hidden="1">
      <c r="L393" s="60">
        <f t="shared" si="52"/>
        <v>46063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4" spans="12:16" ht="15" customHeight="1" hidden="1">
      <c r="L394" s="60">
        <f t="shared" si="52"/>
        <v>46064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5" spans="12:16" ht="15" customHeight="1" hidden="1">
      <c r="L395" s="60">
        <f t="shared" si="52"/>
        <v>46065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6" spans="12:16" ht="15" customHeight="1" hidden="1">
      <c r="L396" s="60">
        <f t="shared" si="52"/>
        <v>46066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7" spans="12:16" ht="15" customHeight="1" hidden="1">
      <c r="L397" s="60">
        <f t="shared" si="52"/>
        <v>46067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8" spans="12:16" ht="15" customHeight="1" hidden="1">
      <c r="L398" s="60">
        <f t="shared" si="52"/>
        <v>46068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399" spans="12:16" ht="15" customHeight="1" hidden="1">
      <c r="L399" s="60">
        <f t="shared" si="52"/>
        <v>46069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400" spans="12:16" ht="15" customHeight="1" hidden="1">
      <c r="L400" s="60">
        <f t="shared" si="52"/>
        <v>46070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401" spans="12:16" ht="15" customHeight="1" hidden="1">
      <c r="L401" s="60">
        <f t="shared" si="52"/>
        <v>46071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402" spans="12:16" ht="15" customHeight="1" hidden="1">
      <c r="L402" s="60">
        <f t="shared" si="52"/>
        <v>46072</v>
      </c>
      <c s="28">
        <f t="shared" si="50"/>
        <v>0</v>
      </c>
      <c s="28">
        <f t="shared" si="53"/>
        <v>0</v>
      </c>
      <c s="28">
        <f t="shared" si="51"/>
        <v>0</v>
      </c>
      <c s="28"/>
    </row>
    <row r="403" spans="12:16" ht="15" customHeight="1" hidden="1">
      <c r="L403" s="60">
        <f t="shared" si="52"/>
        <v>46073</v>
      </c>
      <c s="28">
        <f t="shared" si="54" ref="M403:M466">IFERROR(VLOOKUP(L403,$B$19:$E$80,4,FALSE),0)</f>
        <v>0</v>
      </c>
      <c s="28">
        <f t="shared" si="53"/>
        <v>0</v>
      </c>
      <c s="28">
        <f t="shared" si="55" ref="O403:O466">IFERROR(IF(ISNUMBER(N402),N402,$E$8)*IF(L403&gt;=$J$8,$E$12,$E$12)/IF(MOD(YEAR(L403),4),365,366)*IF(ISBLANK(L402),L403-$F$5,L403-L402),0)</f>
        <v>0</v>
      </c>
      <c s="28"/>
    </row>
    <row r="404" spans="12:16" ht="15" customHeight="1" hidden="1">
      <c r="L404" s="60">
        <f t="shared" si="52"/>
        <v>46074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05" spans="12:16" ht="15" customHeight="1" hidden="1">
      <c r="L405" s="60">
        <f t="shared" si="52"/>
        <v>46075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06" spans="12:16" ht="15" customHeight="1" hidden="1">
      <c r="L406" s="60">
        <f t="shared" si="52"/>
        <v>46076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07" spans="12:16" ht="15" customHeight="1" hidden="1">
      <c r="L407" s="60">
        <f t="shared" si="52"/>
        <v>46077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08" spans="12:16" ht="15" customHeight="1" hidden="1">
      <c r="L408" s="60">
        <f t="shared" si="52"/>
        <v>46078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09" spans="12:16" ht="15" customHeight="1" hidden="1">
      <c r="L409" s="60">
        <f t="shared" si="52"/>
        <v>46079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0" spans="12:16" ht="15" customHeight="1" hidden="1">
      <c r="L410" s="60">
        <f t="shared" si="52"/>
        <v>46080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1" spans="12:16" ht="15" customHeight="1" hidden="1">
      <c r="L411" s="60">
        <f t="shared" si="52"/>
        <v>46081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2" spans="12:16" ht="15" customHeight="1" hidden="1">
      <c r="L412" s="60">
        <f t="shared" si="52"/>
        <v>46082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3" spans="12:16" ht="15" customHeight="1" hidden="1">
      <c r="L413" s="60">
        <f t="shared" si="52"/>
        <v>46083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4" spans="12:16" ht="15" customHeight="1" hidden="1">
      <c r="L414" s="60">
        <f t="shared" si="52"/>
        <v>46084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5" spans="12:16" ht="15" customHeight="1" hidden="1">
      <c r="L415" s="60">
        <f t="shared" si="52"/>
        <v>46085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6" spans="12:16" ht="15" customHeight="1" hidden="1">
      <c r="L416" s="60">
        <f t="shared" si="52"/>
        <v>46086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7" spans="12:16" ht="15" customHeight="1" hidden="1">
      <c r="L417" s="60">
        <f t="shared" si="52"/>
        <v>46087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8" spans="12:16" ht="15" customHeight="1" hidden="1">
      <c r="L418" s="60">
        <f t="shared" si="56" ref="L418:L481">IFERROR(IF(MAX(L417+1,$F$5+1)&gt;Дата_погашения_Займа,"-",MAX(L417+1,$F$5+1)),"-")</f>
        <v>46088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19" spans="12:16" ht="15" customHeight="1" hidden="1">
      <c r="L419" s="60">
        <f t="shared" si="56"/>
        <v>46089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0" spans="12:16" ht="15" customHeight="1" hidden="1">
      <c r="L420" s="60">
        <f t="shared" si="56"/>
        <v>46090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1" spans="12:16" ht="15" customHeight="1" hidden="1">
      <c r="L421" s="60">
        <f t="shared" si="56"/>
        <v>46091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2" spans="12:16" ht="15" customHeight="1" hidden="1">
      <c r="L422" s="60">
        <f t="shared" si="56"/>
        <v>46092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3" spans="12:16" ht="15" customHeight="1" hidden="1">
      <c r="L423" s="60">
        <f t="shared" si="56"/>
        <v>46093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4" spans="12:16" ht="15" customHeight="1" hidden="1">
      <c r="L424" s="60">
        <f t="shared" si="56"/>
        <v>46094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5" spans="12:16" ht="15" customHeight="1" hidden="1">
      <c r="L425" s="60">
        <f t="shared" si="56"/>
        <v>46095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6" spans="12:16" ht="15" customHeight="1" hidden="1">
      <c r="L426" s="60">
        <f t="shared" si="56"/>
        <v>46096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7" spans="12:16" ht="15" customHeight="1" hidden="1">
      <c r="L427" s="60">
        <f t="shared" si="56"/>
        <v>46097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8" spans="12:16" ht="15" customHeight="1" hidden="1">
      <c r="L428" s="60">
        <f t="shared" si="56"/>
        <v>46098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29" spans="12:16" ht="15" customHeight="1" hidden="1">
      <c r="L429" s="60">
        <f t="shared" si="56"/>
        <v>46099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30" spans="12:16" ht="15" customHeight="1" hidden="1">
      <c r="L430" s="60">
        <f t="shared" si="56"/>
        <v>46100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31" spans="12:16" ht="15" customHeight="1" hidden="1">
      <c r="L431" s="60">
        <f t="shared" si="56"/>
        <v>46101</v>
      </c>
      <c s="28">
        <f t="shared" si="54"/>
        <v>0</v>
      </c>
      <c s="28">
        <f t="shared" si="53"/>
        <v>0</v>
      </c>
      <c s="28">
        <f t="shared" si="55"/>
        <v>0</v>
      </c>
      <c s="28"/>
    </row>
    <row r="432" spans="12:16" ht="15" customHeight="1" hidden="1">
      <c r="L432" s="60">
        <f t="shared" si="56"/>
        <v>46102</v>
      </c>
      <c s="28">
        <f t="shared" si="54"/>
        <v>0</v>
      </c>
      <c s="28">
        <f t="shared" si="57" ref="N432:N495">IF(ISNUMBER(N431),N431-M432,$E$8)</f>
        <v>0</v>
      </c>
      <c s="28">
        <f t="shared" si="55"/>
        <v>0</v>
      </c>
      <c s="28"/>
    </row>
    <row r="433" spans="12:16" ht="15" customHeight="1" hidden="1">
      <c r="L433" s="60">
        <f t="shared" si="56"/>
        <v>46103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34" spans="12:16" ht="15" customHeight="1" hidden="1">
      <c r="L434" s="60">
        <f t="shared" si="56"/>
        <v>46104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35" spans="12:16" ht="15" customHeight="1" hidden="1">
      <c r="L435" s="60">
        <f t="shared" si="56"/>
        <v>46105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36" spans="12:16" ht="15" customHeight="1" hidden="1">
      <c r="L436" s="60">
        <f t="shared" si="56"/>
        <v>46106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37" spans="12:16" ht="15" customHeight="1" hidden="1">
      <c r="L437" s="60">
        <f t="shared" si="56"/>
        <v>46107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38" spans="12:16" ht="15" customHeight="1" hidden="1">
      <c r="L438" s="60">
        <f t="shared" si="56"/>
        <v>46108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39" spans="12:16" ht="15" customHeight="1" hidden="1">
      <c r="L439" s="60">
        <f t="shared" si="56"/>
        <v>46109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0" spans="12:16" ht="15" customHeight="1" hidden="1">
      <c r="L440" s="60">
        <f t="shared" si="56"/>
        <v>46110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1" spans="12:16" ht="15" customHeight="1" hidden="1">
      <c r="L441" s="60">
        <f t="shared" si="56"/>
        <v>46111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2" spans="12:16" ht="15" customHeight="1" hidden="1">
      <c r="L442" s="60">
        <f t="shared" si="56"/>
        <v>46112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3" spans="12:16" ht="15" customHeight="1" hidden="1">
      <c r="L443" s="60">
        <f t="shared" si="56"/>
        <v>46113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4" spans="12:16" ht="15" customHeight="1" hidden="1">
      <c r="L444" s="60">
        <f t="shared" si="56"/>
        <v>46114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5" spans="12:16" ht="15" customHeight="1" hidden="1">
      <c r="L445" s="60">
        <f t="shared" si="56"/>
        <v>46115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6" spans="12:16" ht="15" customHeight="1" hidden="1">
      <c r="L446" s="60">
        <f t="shared" si="56"/>
        <v>46116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7" spans="12:16" ht="15" customHeight="1" hidden="1">
      <c r="L447" s="60">
        <f t="shared" si="56"/>
        <v>46117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8" spans="12:16" ht="15" customHeight="1" hidden="1">
      <c r="L448" s="60">
        <f t="shared" si="56"/>
        <v>46118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49" spans="12:16" ht="15" customHeight="1" hidden="1">
      <c r="L449" s="60">
        <f t="shared" si="56"/>
        <v>46119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0" spans="12:16" ht="15" customHeight="1" hidden="1">
      <c r="L450" s="60">
        <f t="shared" si="56"/>
        <v>46120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1" spans="12:16" ht="15" customHeight="1" hidden="1">
      <c r="L451" s="60">
        <f t="shared" si="56"/>
        <v>46121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2" spans="12:16" ht="15" customHeight="1" hidden="1">
      <c r="L452" s="60">
        <f t="shared" si="56"/>
        <v>46122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3" spans="12:16" ht="15" customHeight="1" hidden="1">
      <c r="L453" s="60">
        <f t="shared" si="56"/>
        <v>46123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4" spans="12:16" ht="15" customHeight="1" hidden="1">
      <c r="L454" s="60">
        <f t="shared" si="56"/>
        <v>46124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5" spans="12:16" ht="15" customHeight="1" hidden="1">
      <c r="L455" s="60">
        <f t="shared" si="56"/>
        <v>46125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6" spans="12:16" ht="15" customHeight="1" hidden="1">
      <c r="L456" s="60">
        <f t="shared" si="56"/>
        <v>46126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7" spans="12:16" ht="15" customHeight="1" hidden="1">
      <c r="L457" s="60">
        <f t="shared" si="56"/>
        <v>46127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8" spans="12:16" ht="15" customHeight="1" hidden="1">
      <c r="L458" s="60">
        <f t="shared" si="56"/>
        <v>46128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59" spans="12:16" ht="15" customHeight="1" hidden="1">
      <c r="L459" s="60">
        <f t="shared" si="56"/>
        <v>46129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0" spans="12:16" ht="15" customHeight="1" hidden="1">
      <c r="L460" s="60">
        <f t="shared" si="56"/>
        <v>46130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1" spans="12:16" ht="15" customHeight="1" hidden="1">
      <c r="L461" s="60">
        <f t="shared" si="56"/>
        <v>46131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2" spans="12:16" ht="15" customHeight="1" hidden="1">
      <c r="L462" s="60">
        <f t="shared" si="56"/>
        <v>46132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3" spans="12:16" ht="15" customHeight="1" hidden="1">
      <c r="L463" s="60">
        <f t="shared" si="56"/>
        <v>46133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4" spans="12:16" ht="15" customHeight="1" hidden="1">
      <c r="L464" s="60">
        <f t="shared" si="56"/>
        <v>46134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5" spans="12:16" ht="15" customHeight="1" hidden="1">
      <c r="L465" s="60">
        <f t="shared" si="56"/>
        <v>46135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6" spans="12:16" ht="15" customHeight="1" hidden="1">
      <c r="L466" s="60">
        <f t="shared" si="56"/>
        <v>46136</v>
      </c>
      <c s="28">
        <f t="shared" si="54"/>
        <v>0</v>
      </c>
      <c s="28">
        <f t="shared" si="57"/>
        <v>0</v>
      </c>
      <c s="28">
        <f t="shared" si="55"/>
        <v>0</v>
      </c>
      <c s="28"/>
    </row>
    <row r="467" spans="12:16" ht="15" customHeight="1" hidden="1">
      <c r="L467" s="60">
        <f t="shared" si="56"/>
        <v>46137</v>
      </c>
      <c s="28">
        <f t="shared" si="58" ref="M467:M530">IFERROR(VLOOKUP(L467,$B$19:$E$80,4,FALSE),0)</f>
        <v>0</v>
      </c>
      <c s="28">
        <f t="shared" si="57"/>
        <v>0</v>
      </c>
      <c s="28">
        <f t="shared" si="59" ref="O467:O530">IFERROR(IF(ISNUMBER(N466),N466,$E$8)*IF(L467&gt;=$J$8,$E$12,$E$12)/IF(MOD(YEAR(L467),4),365,366)*IF(ISBLANK(L466),L467-$F$5,L467-L466),0)</f>
        <v>0</v>
      </c>
      <c s="28"/>
    </row>
    <row r="468" spans="12:16" ht="15" customHeight="1" hidden="1">
      <c r="L468" s="60">
        <f t="shared" si="56"/>
        <v>46138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69" spans="12:16" ht="15" customHeight="1" hidden="1">
      <c r="L469" s="60">
        <f t="shared" si="56"/>
        <v>46139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0" spans="12:16" ht="15" customHeight="1" hidden="1">
      <c r="L470" s="60">
        <f t="shared" si="56"/>
        <v>46140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1" spans="12:16" ht="15" customHeight="1" hidden="1">
      <c r="L471" s="60">
        <f t="shared" si="56"/>
        <v>46141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2" spans="12:16" ht="15" customHeight="1" hidden="1">
      <c r="L472" s="60">
        <f t="shared" si="56"/>
        <v>46142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3" spans="12:16" ht="15" customHeight="1" hidden="1">
      <c r="L473" s="60">
        <f t="shared" si="56"/>
        <v>46143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4" spans="12:16" ht="15" customHeight="1" hidden="1">
      <c r="L474" s="60">
        <f t="shared" si="56"/>
        <v>46144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5" spans="12:16" ht="15" customHeight="1" hidden="1">
      <c r="L475" s="60">
        <f t="shared" si="56"/>
        <v>46145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6" spans="12:16" ht="15" customHeight="1" hidden="1">
      <c r="L476" s="60">
        <f t="shared" si="56"/>
        <v>46146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7" spans="12:16" ht="15" customHeight="1" hidden="1">
      <c r="L477" s="60">
        <f t="shared" si="56"/>
        <v>46147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8" spans="12:16" ht="15" customHeight="1" hidden="1">
      <c r="L478" s="60">
        <f t="shared" si="56"/>
        <v>46148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79" spans="12:16" ht="15" customHeight="1" hidden="1">
      <c r="L479" s="60">
        <f t="shared" si="56"/>
        <v>46149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0" spans="12:16" ht="15" customHeight="1" hidden="1">
      <c r="L480" s="60">
        <f t="shared" si="56"/>
        <v>46150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1" spans="12:16" ht="15" customHeight="1" hidden="1">
      <c r="L481" s="60">
        <f t="shared" si="56"/>
        <v>46151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2" spans="12:16" ht="15" customHeight="1" hidden="1">
      <c r="L482" s="60">
        <f t="shared" si="60" ref="L482:L545">IFERROR(IF(MAX(L481+1,$F$5+1)&gt;Дата_погашения_Займа,"-",MAX(L481+1,$F$5+1)),"-")</f>
        <v>46152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3" spans="12:16" ht="15" customHeight="1" hidden="1">
      <c r="L483" s="60">
        <f t="shared" si="60"/>
        <v>46153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4" spans="12:16" ht="15" customHeight="1" hidden="1">
      <c r="L484" s="60">
        <f t="shared" si="60"/>
        <v>46154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5" spans="12:16" ht="15" customHeight="1" hidden="1">
      <c r="L485" s="60">
        <f t="shared" si="60"/>
        <v>46155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6" spans="12:16" ht="15" customHeight="1" hidden="1">
      <c r="L486" s="60">
        <f t="shared" si="60"/>
        <v>46156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7" spans="12:16" ht="15" customHeight="1" hidden="1">
      <c r="L487" s="60">
        <f t="shared" si="60"/>
        <v>46157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8" spans="12:16" ht="15" customHeight="1" hidden="1">
      <c r="L488" s="60">
        <f t="shared" si="60"/>
        <v>46158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89" spans="12:16" ht="15" customHeight="1" hidden="1">
      <c r="L489" s="60">
        <f t="shared" si="60"/>
        <v>46159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0" spans="12:16" ht="15" customHeight="1" hidden="1">
      <c r="L490" s="60">
        <f t="shared" si="60"/>
        <v>46160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1" spans="12:16" ht="15" customHeight="1" hidden="1">
      <c r="L491" s="60">
        <f t="shared" si="60"/>
        <v>46161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2" spans="12:16" ht="15" customHeight="1" hidden="1">
      <c r="L492" s="60">
        <f t="shared" si="60"/>
        <v>46162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3" spans="12:16" ht="15" customHeight="1" hidden="1">
      <c r="L493" s="60">
        <f t="shared" si="60"/>
        <v>46163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4" spans="12:16" ht="15" customHeight="1" hidden="1">
      <c r="L494" s="60">
        <f t="shared" si="60"/>
        <v>46164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5" spans="12:16" ht="15" customHeight="1" hidden="1">
      <c r="L495" s="60">
        <f t="shared" si="60"/>
        <v>46165</v>
      </c>
      <c s="28">
        <f t="shared" si="58"/>
        <v>0</v>
      </c>
      <c s="28">
        <f t="shared" si="57"/>
        <v>0</v>
      </c>
      <c s="28">
        <f t="shared" si="59"/>
        <v>0</v>
      </c>
      <c s="28"/>
    </row>
    <row r="496" spans="12:16" ht="15" customHeight="1" hidden="1">
      <c r="L496" s="60">
        <f t="shared" si="60"/>
        <v>46166</v>
      </c>
      <c s="28">
        <f t="shared" si="58"/>
        <v>0</v>
      </c>
      <c s="28">
        <f t="shared" si="61" ref="N496:N559">IF(ISNUMBER(N495),N495-M496,$E$8)</f>
        <v>0</v>
      </c>
      <c s="28">
        <f t="shared" si="59"/>
        <v>0</v>
      </c>
      <c s="28"/>
    </row>
    <row r="497" spans="12:16" ht="15" customHeight="1" hidden="1">
      <c r="L497" s="60">
        <f t="shared" si="60"/>
        <v>46167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498" spans="12:16" ht="15" customHeight="1" hidden="1">
      <c r="L498" s="60">
        <f t="shared" si="60"/>
        <v>46168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499" spans="12:16" ht="15" customHeight="1" hidden="1">
      <c r="L499" s="60">
        <f t="shared" si="60"/>
        <v>46169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0" spans="12:16" ht="15" customHeight="1" hidden="1">
      <c r="L500" s="60">
        <f t="shared" si="60"/>
        <v>46170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1" spans="12:16" ht="15" customHeight="1" hidden="1">
      <c r="L501" s="60">
        <f t="shared" si="60"/>
        <v>46171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2" spans="12:16" ht="15" customHeight="1" hidden="1">
      <c r="L502" s="60">
        <f t="shared" si="60"/>
        <v>46172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3" spans="12:16" ht="15" customHeight="1" hidden="1">
      <c r="L503" s="60">
        <f t="shared" si="60"/>
        <v>46173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4" spans="12:16" ht="15" customHeight="1" hidden="1">
      <c r="L504" s="60">
        <f t="shared" si="60"/>
        <v>46174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5" spans="12:16" ht="15" customHeight="1" hidden="1">
      <c r="L505" s="60">
        <f t="shared" si="60"/>
        <v>46175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6" spans="12:16" ht="15" customHeight="1" hidden="1">
      <c r="L506" s="60">
        <f t="shared" si="60"/>
        <v>46176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7" spans="12:16" ht="15" customHeight="1" hidden="1">
      <c r="L507" s="60">
        <f t="shared" si="60"/>
        <v>46177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8" spans="12:16" ht="15" customHeight="1" hidden="1">
      <c r="L508" s="60">
        <f t="shared" si="60"/>
        <v>46178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09" spans="12:16" ht="15" customHeight="1" hidden="1">
      <c r="L509" s="60">
        <f t="shared" si="60"/>
        <v>46179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0" spans="12:16" ht="15" customHeight="1" hidden="1">
      <c r="L510" s="60">
        <f t="shared" si="60"/>
        <v>46180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1" spans="12:16" ht="15" customHeight="1" hidden="1">
      <c r="L511" s="60">
        <f t="shared" si="60"/>
        <v>46181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2" spans="12:16" ht="15" customHeight="1" hidden="1">
      <c r="L512" s="60">
        <f t="shared" si="60"/>
        <v>46182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3" spans="12:16" ht="15" customHeight="1" hidden="1">
      <c r="L513" s="60">
        <f t="shared" si="60"/>
        <v>46183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4" spans="12:16" ht="15" customHeight="1" hidden="1">
      <c r="L514" s="60">
        <f t="shared" si="60"/>
        <v>46184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5" spans="12:16" ht="15" customHeight="1" hidden="1">
      <c r="L515" s="60">
        <f t="shared" si="60"/>
        <v>46185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6" spans="12:16" ht="15" customHeight="1" hidden="1">
      <c r="L516" s="60">
        <f t="shared" si="60"/>
        <v>46186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7" spans="12:16" ht="15" customHeight="1" hidden="1">
      <c r="L517" s="60">
        <f t="shared" si="60"/>
        <v>46187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8" spans="12:16" ht="15" customHeight="1" hidden="1">
      <c r="L518" s="60">
        <f t="shared" si="60"/>
        <v>46188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19" spans="12:16" ht="15" customHeight="1" hidden="1">
      <c r="L519" s="60">
        <f t="shared" si="60"/>
        <v>46189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0" spans="12:16" ht="15" customHeight="1" hidden="1">
      <c r="L520" s="60">
        <f t="shared" si="60"/>
        <v>46190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1" spans="12:16" ht="15" customHeight="1" hidden="1">
      <c r="L521" s="60">
        <f t="shared" si="60"/>
        <v>46191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2" spans="12:16" ht="15" customHeight="1" hidden="1">
      <c r="L522" s="60">
        <f t="shared" si="60"/>
        <v>46192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3" spans="12:16" ht="15" customHeight="1" hidden="1">
      <c r="L523" s="60">
        <f t="shared" si="60"/>
        <v>46193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4" spans="12:16" ht="15" customHeight="1" hidden="1">
      <c r="L524" s="60">
        <f t="shared" si="60"/>
        <v>46194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5" spans="12:16" ht="15" customHeight="1" hidden="1">
      <c r="L525" s="60">
        <f t="shared" si="60"/>
        <v>46195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6" spans="12:16" ht="15" customHeight="1" hidden="1">
      <c r="L526" s="60">
        <f t="shared" si="60"/>
        <v>46196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7" spans="12:16" ht="15" customHeight="1" hidden="1">
      <c r="L527" s="60">
        <f t="shared" si="60"/>
        <v>46197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8" spans="12:16" ht="15" customHeight="1" hidden="1">
      <c r="L528" s="60">
        <f t="shared" si="60"/>
        <v>46198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29" spans="12:16" ht="15" customHeight="1" hidden="1">
      <c r="L529" s="60">
        <f t="shared" si="60"/>
        <v>46199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30" spans="12:16" ht="15" customHeight="1" hidden="1">
      <c r="L530" s="60">
        <f t="shared" si="60"/>
        <v>46200</v>
      </c>
      <c s="28">
        <f t="shared" si="58"/>
        <v>0</v>
      </c>
      <c s="28">
        <f t="shared" si="61"/>
        <v>0</v>
      </c>
      <c s="28">
        <f t="shared" si="59"/>
        <v>0</v>
      </c>
      <c s="28"/>
    </row>
    <row r="531" spans="12:16" ht="15" customHeight="1" hidden="1">
      <c r="L531" s="60">
        <f t="shared" si="60"/>
        <v>46201</v>
      </c>
      <c s="28">
        <f t="shared" si="62" ref="M531:M594">IFERROR(VLOOKUP(L531,$B$19:$E$80,4,FALSE),0)</f>
        <v>0</v>
      </c>
      <c s="28">
        <f t="shared" si="61"/>
        <v>0</v>
      </c>
      <c s="28">
        <f t="shared" si="63" ref="O531:O594">IFERROR(IF(ISNUMBER(N530),N530,$E$8)*IF(L531&gt;=$J$8,$E$12,$E$12)/IF(MOD(YEAR(L531),4),365,366)*IF(ISBLANK(L530),L531-$F$5,L531-L530),0)</f>
        <v>0</v>
      </c>
      <c s="28"/>
    </row>
    <row r="532" spans="12:16" ht="15" customHeight="1" hidden="1">
      <c r="L532" s="60">
        <f t="shared" si="60"/>
        <v>46202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3" spans="12:16" ht="15" customHeight="1" hidden="1">
      <c r="L533" s="60">
        <f t="shared" si="60"/>
        <v>46203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4" spans="12:16" ht="15" customHeight="1" hidden="1">
      <c r="L534" s="60">
        <f t="shared" si="60"/>
        <v>46204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5" spans="12:16" ht="15" customHeight="1" hidden="1">
      <c r="L535" s="60">
        <f t="shared" si="60"/>
        <v>46205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6" spans="12:16" ht="15" customHeight="1" hidden="1">
      <c r="L536" s="60">
        <f t="shared" si="60"/>
        <v>46206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7" spans="12:16" ht="15" customHeight="1" hidden="1">
      <c r="L537" s="60">
        <f t="shared" si="60"/>
        <v>46207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8" spans="12:16" ht="15" customHeight="1" hidden="1">
      <c r="L538" s="60">
        <f t="shared" si="60"/>
        <v>46208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39" spans="12:16" ht="15" customHeight="1" hidden="1">
      <c r="L539" s="60">
        <f t="shared" si="60"/>
        <v>46209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0" spans="12:16" ht="15" customHeight="1" hidden="1">
      <c r="L540" s="60">
        <f t="shared" si="60"/>
        <v>46210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1" spans="12:16" ht="15" customHeight="1" hidden="1">
      <c r="L541" s="60">
        <f t="shared" si="60"/>
        <v>46211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2" spans="12:16" ht="15" customHeight="1" hidden="1">
      <c r="L542" s="60">
        <f t="shared" si="60"/>
        <v>46212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3" spans="12:16" ht="15" customHeight="1" hidden="1">
      <c r="L543" s="60">
        <f t="shared" si="60"/>
        <v>46213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4" spans="12:16" ht="15" customHeight="1" hidden="1">
      <c r="L544" s="60">
        <f t="shared" si="60"/>
        <v>46214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5" spans="12:16" ht="15" customHeight="1" hidden="1">
      <c r="L545" s="60">
        <f t="shared" si="60"/>
        <v>46215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6" spans="12:16" ht="15" customHeight="1" hidden="1">
      <c r="L546" s="60">
        <f t="shared" si="64" ref="L546:L609">IFERROR(IF(MAX(L545+1,$F$5+1)&gt;Дата_погашения_Займа,"-",MAX(L545+1,$F$5+1)),"-")</f>
        <v>46216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7" spans="12:16" ht="15" customHeight="1" hidden="1">
      <c r="L547" s="60">
        <f t="shared" si="64"/>
        <v>46217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8" spans="12:16" ht="15" customHeight="1" hidden="1">
      <c r="L548" s="60">
        <f t="shared" si="64"/>
        <v>46218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49" spans="12:16" ht="15" customHeight="1" hidden="1">
      <c r="L549" s="60">
        <f t="shared" si="64"/>
        <v>46219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0" spans="12:16" ht="15" customHeight="1" hidden="1">
      <c r="L550" s="60">
        <f t="shared" si="64"/>
        <v>46220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1" spans="12:16" ht="15" customHeight="1" hidden="1">
      <c r="L551" s="60">
        <f t="shared" si="64"/>
        <v>46221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2" spans="12:16" ht="15" customHeight="1" hidden="1">
      <c r="L552" s="60">
        <f t="shared" si="64"/>
        <v>46222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3" spans="12:16" ht="15" customHeight="1" hidden="1">
      <c r="L553" s="60">
        <f t="shared" si="64"/>
        <v>46223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4" spans="12:16" ht="15" customHeight="1" hidden="1">
      <c r="L554" s="60">
        <f t="shared" si="64"/>
        <v>46224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5" spans="12:16" ht="15" customHeight="1" hidden="1">
      <c r="L555" s="60">
        <f t="shared" si="64"/>
        <v>46225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6" spans="12:16" ht="15" customHeight="1" hidden="1">
      <c r="L556" s="60">
        <f t="shared" si="64"/>
        <v>46226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7" spans="12:16" ht="15" customHeight="1" hidden="1">
      <c r="L557" s="60">
        <f t="shared" si="64"/>
        <v>46227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8" spans="12:16" ht="15" customHeight="1" hidden="1">
      <c r="L558" s="60">
        <f t="shared" si="64"/>
        <v>46228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59" spans="12:16" ht="15" customHeight="1" hidden="1">
      <c r="L559" s="60">
        <f t="shared" si="64"/>
        <v>46229</v>
      </c>
      <c s="28">
        <f t="shared" si="62"/>
        <v>0</v>
      </c>
      <c s="28">
        <f t="shared" si="61"/>
        <v>0</v>
      </c>
      <c s="28">
        <f t="shared" si="63"/>
        <v>0</v>
      </c>
      <c s="28"/>
    </row>
    <row r="560" spans="12:16" ht="15" customHeight="1" hidden="1">
      <c r="L560" s="60">
        <f t="shared" si="64"/>
        <v>46230</v>
      </c>
      <c s="28">
        <f t="shared" si="62"/>
        <v>0</v>
      </c>
      <c s="28">
        <f t="shared" si="65" ref="N560:N623">IF(ISNUMBER(N559),N559-M560,$E$8)</f>
        <v>0</v>
      </c>
      <c s="28">
        <f t="shared" si="63"/>
        <v>0</v>
      </c>
      <c s="28"/>
    </row>
    <row r="561" spans="12:16" ht="15" customHeight="1" hidden="1">
      <c r="L561" s="60">
        <f t="shared" si="64"/>
        <v>46231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2" spans="12:16" ht="15" customHeight="1" hidden="1">
      <c r="L562" s="60">
        <f t="shared" si="64"/>
        <v>46232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3" spans="12:16" ht="15" customHeight="1" hidden="1">
      <c r="L563" s="60">
        <f t="shared" si="64"/>
        <v>46233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4" spans="12:16" ht="15" customHeight="1" hidden="1">
      <c r="L564" s="60">
        <f t="shared" si="64"/>
        <v>46234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5" spans="12:16" ht="15" customHeight="1" hidden="1">
      <c r="L565" s="60">
        <f t="shared" si="64"/>
        <v>46235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6" spans="12:16" ht="15" customHeight="1" hidden="1">
      <c r="L566" s="60">
        <f t="shared" si="64"/>
        <v>46236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7" spans="12:16" ht="15" customHeight="1" hidden="1">
      <c r="L567" s="60">
        <f t="shared" si="64"/>
        <v>46237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8" spans="12:16" ht="15" customHeight="1" hidden="1">
      <c r="L568" s="60">
        <f t="shared" si="64"/>
        <v>46238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69" spans="12:16" ht="15" customHeight="1" hidden="1">
      <c r="L569" s="60">
        <f t="shared" si="64"/>
        <v>46239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0" spans="12:16" ht="15" customHeight="1" hidden="1">
      <c r="L570" s="60">
        <f t="shared" si="64"/>
        <v>46240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1" spans="12:16" ht="15" customHeight="1" hidden="1">
      <c r="L571" s="60">
        <f t="shared" si="64"/>
        <v>46241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2" spans="12:16" ht="15" customHeight="1" hidden="1">
      <c r="L572" s="60">
        <f t="shared" si="64"/>
        <v>46242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3" spans="12:16" ht="15" customHeight="1" hidden="1">
      <c r="L573" s="60">
        <f t="shared" si="64"/>
        <v>46243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4" spans="12:16" ht="15" customHeight="1" hidden="1">
      <c r="L574" s="60">
        <f t="shared" si="64"/>
        <v>46244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5" spans="12:16" ht="15" customHeight="1" hidden="1">
      <c r="L575" s="60">
        <f t="shared" si="64"/>
        <v>46245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6" spans="12:16" ht="15" customHeight="1" hidden="1">
      <c r="L576" s="60">
        <f t="shared" si="64"/>
        <v>46246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7" spans="12:16" ht="15" customHeight="1" hidden="1">
      <c r="L577" s="60">
        <f t="shared" si="64"/>
        <v>46247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8" spans="12:16" ht="15" customHeight="1" hidden="1">
      <c r="L578" s="60">
        <f t="shared" si="64"/>
        <v>46248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79" spans="12:16" ht="15" customHeight="1" hidden="1">
      <c r="L579" s="60">
        <f t="shared" si="64"/>
        <v>46249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0" spans="12:16" ht="15" customHeight="1" hidden="1">
      <c r="L580" s="60">
        <f t="shared" si="64"/>
        <v>46250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1" spans="12:16" ht="15" customHeight="1" hidden="1">
      <c r="L581" s="60">
        <f t="shared" si="64"/>
        <v>46251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2" spans="12:16" ht="15" customHeight="1" hidden="1">
      <c r="L582" s="60">
        <f t="shared" si="64"/>
        <v>46252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3" spans="12:16" ht="15" customHeight="1" hidden="1">
      <c r="L583" s="60">
        <f t="shared" si="64"/>
        <v>46253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4" spans="12:16" ht="15" customHeight="1" hidden="1">
      <c r="L584" s="60">
        <f t="shared" si="64"/>
        <v>46254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5" spans="12:16" ht="15" customHeight="1" hidden="1">
      <c r="L585" s="60">
        <f t="shared" si="64"/>
        <v>46255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6" spans="12:16" ht="15" customHeight="1" hidden="1">
      <c r="L586" s="60">
        <f t="shared" si="64"/>
        <v>46256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7" spans="12:16" ht="15" customHeight="1" hidden="1">
      <c r="L587" s="60">
        <f t="shared" si="64"/>
        <v>46257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8" spans="12:16" ht="15" customHeight="1" hidden="1">
      <c r="L588" s="60">
        <f t="shared" si="64"/>
        <v>46258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89" spans="12:16" ht="15" customHeight="1" hidden="1">
      <c r="L589" s="60">
        <f t="shared" si="64"/>
        <v>46259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90" spans="12:16" ht="15" customHeight="1" hidden="1">
      <c r="L590" s="60">
        <f t="shared" si="64"/>
        <v>46260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91" spans="12:16" ht="15" customHeight="1" hidden="1">
      <c r="L591" s="60">
        <f t="shared" si="64"/>
        <v>46261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92" spans="12:16" ht="15" customHeight="1" hidden="1">
      <c r="L592" s="60">
        <f t="shared" si="64"/>
        <v>46262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93" spans="12:16" ht="15" customHeight="1" hidden="1">
      <c r="L593" s="60">
        <f t="shared" si="64"/>
        <v>46263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94" spans="12:16" ht="15" customHeight="1" hidden="1">
      <c r="L594" s="60">
        <f t="shared" si="64"/>
        <v>46264</v>
      </c>
      <c s="28">
        <f t="shared" si="62"/>
        <v>0</v>
      </c>
      <c s="28">
        <f t="shared" si="65"/>
        <v>0</v>
      </c>
      <c s="28">
        <f t="shared" si="63"/>
        <v>0</v>
      </c>
      <c s="28"/>
    </row>
    <row r="595" spans="12:16" ht="15" customHeight="1" hidden="1">
      <c r="L595" s="60">
        <f t="shared" si="64"/>
        <v>46265</v>
      </c>
      <c s="28">
        <f t="shared" si="66" ref="M595:M658">IFERROR(VLOOKUP(L595,$B$19:$E$80,4,FALSE),0)</f>
        <v>0</v>
      </c>
      <c s="28">
        <f t="shared" si="65"/>
        <v>0</v>
      </c>
      <c s="28">
        <f t="shared" si="67" ref="O595:O658">IFERROR(IF(ISNUMBER(N594),N594,$E$8)*IF(L595&gt;=$J$8,$E$12,$E$12)/IF(MOD(YEAR(L595),4),365,366)*IF(ISBLANK(L594),L595-$F$5,L595-L594),0)</f>
        <v>0</v>
      </c>
      <c s="28"/>
    </row>
    <row r="596" spans="12:16" ht="15" customHeight="1" hidden="1">
      <c r="L596" s="60">
        <f t="shared" si="64"/>
        <v>46266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597" spans="12:16" ht="15" customHeight="1" hidden="1">
      <c r="L597" s="60">
        <f t="shared" si="64"/>
        <v>46267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598" spans="12:16" ht="15" customHeight="1" hidden="1">
      <c r="L598" s="60">
        <f t="shared" si="64"/>
        <v>46268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599" spans="12:16" ht="15" customHeight="1" hidden="1">
      <c r="L599" s="60">
        <f t="shared" si="64"/>
        <v>46269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0" spans="12:16" ht="15" customHeight="1" hidden="1">
      <c r="L600" s="60">
        <f t="shared" si="64"/>
        <v>46270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1" spans="12:16" ht="15" customHeight="1" hidden="1">
      <c r="L601" s="60">
        <f t="shared" si="64"/>
        <v>46271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2" spans="12:16" ht="15" customHeight="1" hidden="1">
      <c r="L602" s="60">
        <f t="shared" si="64"/>
        <v>46272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3" spans="12:16" ht="15" customHeight="1" hidden="1">
      <c r="L603" s="60">
        <f t="shared" si="64"/>
        <v>46273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4" spans="12:16" ht="15" customHeight="1" hidden="1">
      <c r="L604" s="60">
        <f t="shared" si="64"/>
        <v>46274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5" spans="12:16" ht="15" customHeight="1" hidden="1">
      <c r="L605" s="60">
        <f t="shared" si="64"/>
        <v>46275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6" spans="12:16" ht="15" customHeight="1" hidden="1">
      <c r="L606" s="60">
        <f t="shared" si="64"/>
        <v>46276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7" spans="12:16" ht="15" customHeight="1" hidden="1">
      <c r="L607" s="60">
        <f t="shared" si="64"/>
        <v>46277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8" spans="12:16" ht="15" customHeight="1" hidden="1">
      <c r="L608" s="60">
        <f t="shared" si="64"/>
        <v>46278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09" spans="12:16" ht="15" customHeight="1" hidden="1">
      <c r="L609" s="60">
        <f t="shared" si="64"/>
        <v>46279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0" spans="12:16" ht="15" customHeight="1" hidden="1">
      <c r="L610" s="60">
        <f t="shared" si="68" ref="L610:L673">IFERROR(IF(MAX(L609+1,$F$5+1)&gt;Дата_погашения_Займа,"-",MAX(L609+1,$F$5+1)),"-")</f>
        <v>46280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1" spans="12:16" ht="15" customHeight="1" hidden="1">
      <c r="L611" s="60">
        <f t="shared" si="68"/>
        <v>46281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2" spans="12:16" ht="15" customHeight="1" hidden="1">
      <c r="L612" s="60">
        <f t="shared" si="68"/>
        <v>46282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3" spans="12:16" ht="15" customHeight="1" hidden="1">
      <c r="L613" s="60">
        <f t="shared" si="68"/>
        <v>46283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4" spans="12:16" ht="15" customHeight="1" hidden="1">
      <c r="L614" s="60">
        <f t="shared" si="68"/>
        <v>46284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5" spans="12:16" ht="15" customHeight="1" hidden="1">
      <c r="L615" s="60">
        <f t="shared" si="68"/>
        <v>46285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6" spans="12:16" ht="15" customHeight="1" hidden="1">
      <c r="L616" s="60">
        <f t="shared" si="68"/>
        <v>46286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7" spans="12:16" ht="15" customHeight="1" hidden="1">
      <c r="L617" s="60">
        <f t="shared" si="68"/>
        <v>46287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8" spans="12:16" ht="15" customHeight="1" hidden="1">
      <c r="L618" s="60">
        <f t="shared" si="68"/>
        <v>46288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19" spans="12:16" ht="15" customHeight="1" hidden="1">
      <c r="L619" s="60">
        <f t="shared" si="68"/>
        <v>46289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20" spans="12:16" ht="15" customHeight="1" hidden="1">
      <c r="L620" s="60">
        <f t="shared" si="68"/>
        <v>46290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21" spans="12:16" ht="15" customHeight="1" hidden="1">
      <c r="L621" s="60">
        <f t="shared" si="68"/>
        <v>46291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22" spans="12:16" ht="15" customHeight="1" hidden="1">
      <c r="L622" s="60">
        <f t="shared" si="68"/>
        <v>46292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23" spans="12:16" ht="15" customHeight="1" hidden="1">
      <c r="L623" s="60">
        <f t="shared" si="68"/>
        <v>46293</v>
      </c>
      <c s="28">
        <f t="shared" si="66"/>
        <v>0</v>
      </c>
      <c s="28">
        <f t="shared" si="65"/>
        <v>0</v>
      </c>
      <c s="28">
        <f t="shared" si="67"/>
        <v>0</v>
      </c>
      <c s="28"/>
    </row>
    <row r="624" spans="12:16" ht="15" customHeight="1" hidden="1">
      <c r="L624" s="60">
        <f t="shared" si="68"/>
        <v>46294</v>
      </c>
      <c s="28">
        <f t="shared" si="66"/>
        <v>0</v>
      </c>
      <c s="28">
        <f t="shared" si="69" ref="N624:N687">IF(ISNUMBER(N623),N623-M624,$E$8)</f>
        <v>0</v>
      </c>
      <c s="28">
        <f t="shared" si="67"/>
        <v>0</v>
      </c>
      <c s="28"/>
    </row>
    <row r="625" spans="12:16" ht="15" customHeight="1" hidden="1">
      <c r="L625" s="60">
        <f t="shared" si="68"/>
        <v>46295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26" spans="12:16" ht="15" customHeight="1" hidden="1">
      <c r="L626" s="60">
        <f t="shared" si="68"/>
        <v>46296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27" spans="12:16" ht="15" customHeight="1" hidden="1">
      <c r="L627" s="60">
        <f t="shared" si="68"/>
        <v>46297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28" spans="12:16" ht="15" customHeight="1" hidden="1">
      <c r="L628" s="60">
        <f t="shared" si="68"/>
        <v>46298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29" spans="12:16" ht="15" customHeight="1" hidden="1">
      <c r="L629" s="60">
        <f t="shared" si="68"/>
        <v>46299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0" spans="12:16" ht="15" customHeight="1" hidden="1">
      <c r="L630" s="60">
        <f t="shared" si="68"/>
        <v>46300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1" spans="12:16" ht="15" customHeight="1" hidden="1">
      <c r="L631" s="60">
        <f t="shared" si="68"/>
        <v>46301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2" spans="12:16" ht="15" customHeight="1" hidden="1">
      <c r="L632" s="60">
        <f t="shared" si="68"/>
        <v>46302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3" spans="12:16" ht="15" customHeight="1" hidden="1">
      <c r="L633" s="60">
        <f t="shared" si="68"/>
        <v>46303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4" spans="12:16" ht="15" customHeight="1" hidden="1">
      <c r="L634" s="60">
        <f t="shared" si="68"/>
        <v>46304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5" spans="12:16" ht="15" customHeight="1" hidden="1">
      <c r="L635" s="60">
        <f t="shared" si="68"/>
        <v>46305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6" spans="12:16" ht="15" customHeight="1" hidden="1">
      <c r="L636" s="60">
        <f t="shared" si="68"/>
        <v>46306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7" spans="12:16" ht="15" customHeight="1" hidden="1">
      <c r="L637" s="60">
        <f t="shared" si="68"/>
        <v>46307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8" spans="12:16" ht="15" customHeight="1" hidden="1">
      <c r="L638" s="60">
        <f t="shared" si="68"/>
        <v>46308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39" spans="12:16" ht="15" customHeight="1" hidden="1">
      <c r="L639" s="60">
        <f t="shared" si="68"/>
        <v>46309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0" spans="12:16" ht="15" customHeight="1" hidden="1">
      <c r="L640" s="60">
        <f t="shared" si="68"/>
        <v>46310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1" spans="12:16" ht="15" customHeight="1" hidden="1">
      <c r="L641" s="60">
        <f t="shared" si="68"/>
        <v>46311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2" spans="12:16" ht="15" customHeight="1" hidden="1">
      <c r="L642" s="60">
        <f t="shared" si="68"/>
        <v>46312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3" spans="12:16" ht="15" customHeight="1" hidden="1">
      <c r="L643" s="60">
        <f t="shared" si="68"/>
        <v>46313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4" spans="12:16" ht="15" customHeight="1" hidden="1">
      <c r="L644" s="60">
        <f t="shared" si="68"/>
        <v>46314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5" spans="12:16" ht="15" customHeight="1" hidden="1">
      <c r="L645" s="60">
        <f t="shared" si="68"/>
        <v>46315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6" spans="12:16" ht="15" customHeight="1" hidden="1">
      <c r="L646" s="60">
        <f t="shared" si="68"/>
        <v>46316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7" spans="12:16" ht="15" customHeight="1" hidden="1">
      <c r="L647" s="60">
        <f t="shared" si="68"/>
        <v>46317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8" spans="12:16" ht="15" customHeight="1" hidden="1">
      <c r="L648" s="60">
        <f t="shared" si="68"/>
        <v>46318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49" spans="12:16" ht="15" customHeight="1" hidden="1">
      <c r="L649" s="60">
        <f t="shared" si="68"/>
        <v>46319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0" spans="12:16" ht="15" customHeight="1" hidden="1">
      <c r="L650" s="60">
        <f t="shared" si="68"/>
        <v>46320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1" spans="12:16" ht="15" customHeight="1" hidden="1">
      <c r="L651" s="60">
        <f t="shared" si="68"/>
        <v>46321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2" spans="12:16" ht="15" customHeight="1" hidden="1">
      <c r="L652" s="60">
        <f t="shared" si="68"/>
        <v>46322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3" spans="12:16" ht="15" customHeight="1" hidden="1">
      <c r="L653" s="60">
        <f t="shared" si="68"/>
        <v>46323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4" spans="12:16" ht="15" customHeight="1" hidden="1">
      <c r="L654" s="60">
        <f t="shared" si="68"/>
        <v>46324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5" spans="12:16" ht="15" customHeight="1" hidden="1">
      <c r="L655" s="60">
        <f t="shared" si="68"/>
        <v>46325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6" spans="12:16" ht="15" customHeight="1" hidden="1">
      <c r="L656" s="60">
        <f t="shared" si="68"/>
        <v>46326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7" spans="12:16" ht="15" customHeight="1" hidden="1">
      <c r="L657" s="60">
        <f t="shared" si="68"/>
        <v>46327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8" spans="12:16" ht="15" customHeight="1" hidden="1">
      <c r="L658" s="60">
        <f t="shared" si="68"/>
        <v>46328</v>
      </c>
      <c s="28">
        <f t="shared" si="66"/>
        <v>0</v>
      </c>
      <c s="28">
        <f t="shared" si="69"/>
        <v>0</v>
      </c>
      <c s="28">
        <f t="shared" si="67"/>
        <v>0</v>
      </c>
      <c s="28"/>
    </row>
    <row r="659" spans="12:16" ht="15" customHeight="1" hidden="1">
      <c r="L659" s="60">
        <f t="shared" si="68"/>
        <v>46329</v>
      </c>
      <c s="28">
        <f t="shared" si="70" ref="M659:M722">IFERROR(VLOOKUP(L659,$B$19:$E$80,4,FALSE),0)</f>
        <v>0</v>
      </c>
      <c s="28">
        <f t="shared" si="69"/>
        <v>0</v>
      </c>
      <c s="28">
        <f t="shared" si="71" ref="O659:O722">IFERROR(IF(ISNUMBER(N658),N658,$E$8)*IF(L659&gt;=$J$8,$E$12,$E$12)/IF(MOD(YEAR(L659),4),365,366)*IF(ISBLANK(L658),L659-$F$5,L659-L658),0)</f>
        <v>0</v>
      </c>
      <c s="28"/>
    </row>
    <row r="660" spans="12:16" ht="15" customHeight="1" hidden="1">
      <c r="L660" s="60">
        <f t="shared" si="68"/>
        <v>46330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1" spans="12:16" ht="15" customHeight="1" hidden="1">
      <c r="L661" s="60">
        <f t="shared" si="68"/>
        <v>46331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2" spans="12:16" ht="15" customHeight="1" hidden="1">
      <c r="L662" s="60">
        <f t="shared" si="68"/>
        <v>46332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3" spans="12:16" ht="15" customHeight="1" hidden="1">
      <c r="L663" s="60">
        <f t="shared" si="68"/>
        <v>46333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4" spans="12:16" ht="15" customHeight="1" hidden="1">
      <c r="L664" s="60">
        <f t="shared" si="68"/>
        <v>46334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5" spans="12:16" ht="15" customHeight="1" hidden="1">
      <c r="L665" s="60">
        <f t="shared" si="68"/>
        <v>46335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6" spans="12:16" ht="15" customHeight="1" hidden="1">
      <c r="L666" s="60">
        <f t="shared" si="68"/>
        <v>46336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7" spans="12:16" ht="15" customHeight="1" hidden="1">
      <c r="L667" s="60">
        <f t="shared" si="68"/>
        <v>46337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8" spans="12:16" ht="15" customHeight="1" hidden="1">
      <c r="L668" s="60">
        <f t="shared" si="68"/>
        <v>46338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69" spans="12:16" ht="15" customHeight="1" hidden="1">
      <c r="L669" s="60">
        <f t="shared" si="68"/>
        <v>46339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0" spans="12:16" ht="15" customHeight="1" hidden="1">
      <c r="L670" s="60">
        <f t="shared" si="68"/>
        <v>46340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1" spans="12:16" ht="15" customHeight="1" hidden="1">
      <c r="L671" s="60">
        <f t="shared" si="68"/>
        <v>46341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2" spans="12:16" ht="15" customHeight="1" hidden="1">
      <c r="L672" s="60">
        <f t="shared" si="68"/>
        <v>46342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3" spans="12:16" ht="15" customHeight="1" hidden="1">
      <c r="L673" s="60">
        <f t="shared" si="68"/>
        <v>46343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4" spans="12:16" ht="15" customHeight="1" hidden="1">
      <c r="L674" s="60">
        <f t="shared" si="72" ref="L674:L737">IFERROR(IF(MAX(L673+1,$F$5+1)&gt;Дата_погашения_Займа,"-",MAX(L673+1,$F$5+1)),"-")</f>
        <v>46344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5" spans="12:16" ht="15" customHeight="1" hidden="1">
      <c r="L675" s="60">
        <f t="shared" si="72"/>
        <v>46345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6" spans="12:16" ht="15" customHeight="1" hidden="1">
      <c r="L676" s="60">
        <f t="shared" si="72"/>
        <v>46346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7" spans="12:16" ht="15" customHeight="1" hidden="1">
      <c r="L677" s="60">
        <f t="shared" si="72"/>
        <v>46347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8" spans="12:16" ht="15" customHeight="1" hidden="1">
      <c r="L678" s="60">
        <f t="shared" si="72"/>
        <v>46348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79" spans="12:16" ht="15" customHeight="1" hidden="1">
      <c r="L679" s="60">
        <f t="shared" si="72"/>
        <v>46349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0" spans="12:16" ht="15" customHeight="1" hidden="1">
      <c r="L680" s="60">
        <f t="shared" si="72"/>
        <v>46350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1" spans="12:16" ht="15" customHeight="1" hidden="1">
      <c r="L681" s="60">
        <f t="shared" si="72"/>
        <v>46351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2" spans="12:16" ht="15" customHeight="1" hidden="1">
      <c r="L682" s="60">
        <f t="shared" si="72"/>
        <v>46352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3" spans="12:16" ht="15" customHeight="1" hidden="1">
      <c r="L683" s="60">
        <f t="shared" si="72"/>
        <v>46353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4" spans="12:16" ht="15" customHeight="1" hidden="1">
      <c r="L684" s="60">
        <f t="shared" si="72"/>
        <v>46354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5" spans="12:16" ht="15" customHeight="1" hidden="1">
      <c r="L685" s="60">
        <f t="shared" si="72"/>
        <v>46355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6" spans="12:16" ht="15" customHeight="1" hidden="1">
      <c r="L686" s="60">
        <f t="shared" si="72"/>
        <v>46356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7" spans="12:16" ht="15" customHeight="1" hidden="1">
      <c r="L687" s="60">
        <f t="shared" si="72"/>
        <v>46357</v>
      </c>
      <c s="28">
        <f t="shared" si="70"/>
        <v>0</v>
      </c>
      <c s="28">
        <f t="shared" si="69"/>
        <v>0</v>
      </c>
      <c s="28">
        <f t="shared" si="71"/>
        <v>0</v>
      </c>
      <c s="28"/>
    </row>
    <row r="688" spans="12:16" ht="15" customHeight="1" hidden="1">
      <c r="L688" s="60">
        <f t="shared" si="72"/>
        <v>46358</v>
      </c>
      <c s="28">
        <f t="shared" si="70"/>
        <v>0</v>
      </c>
      <c s="28">
        <f t="shared" si="73" ref="N688:N751">IF(ISNUMBER(N687),N687-M688,$E$8)</f>
        <v>0</v>
      </c>
      <c s="28">
        <f t="shared" si="71"/>
        <v>0</v>
      </c>
      <c s="28"/>
    </row>
    <row r="689" spans="12:16" ht="15" customHeight="1" hidden="1">
      <c r="L689" s="60">
        <f t="shared" si="72"/>
        <v>46359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0" spans="12:16" ht="15" customHeight="1" hidden="1">
      <c r="L690" s="60">
        <f t="shared" si="72"/>
        <v>46360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1" spans="12:16" ht="15" customHeight="1" hidden="1">
      <c r="L691" s="60">
        <f t="shared" si="72"/>
        <v>46361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2" spans="12:16" ht="15" customHeight="1" hidden="1">
      <c r="L692" s="60">
        <f t="shared" si="72"/>
        <v>46362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3" spans="12:16" ht="15" customHeight="1" hidden="1">
      <c r="L693" s="60">
        <f t="shared" si="72"/>
        <v>46363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4" spans="12:16" ht="15" customHeight="1" hidden="1">
      <c r="L694" s="60">
        <f t="shared" si="72"/>
        <v>46364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5" spans="12:16" ht="15" customHeight="1" hidden="1">
      <c r="L695" s="60">
        <f t="shared" si="72"/>
        <v>46365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6" spans="12:16" ht="15" customHeight="1" hidden="1">
      <c r="L696" s="60">
        <f t="shared" si="72"/>
        <v>46366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7" spans="12:16" ht="15" customHeight="1" hidden="1">
      <c r="L697" s="60">
        <f t="shared" si="72"/>
        <v>46367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8" spans="12:16" ht="15" customHeight="1" hidden="1">
      <c r="L698" s="60">
        <f t="shared" si="72"/>
        <v>46368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699" spans="12:16" ht="15" customHeight="1" hidden="1">
      <c r="L699" s="60">
        <f t="shared" si="72"/>
        <v>46369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0" spans="12:16" ht="15" customHeight="1" hidden="1">
      <c r="L700" s="60">
        <f t="shared" si="72"/>
        <v>46370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1" spans="12:16" ht="15" customHeight="1" hidden="1">
      <c r="L701" s="60">
        <f t="shared" si="72"/>
        <v>46371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2" spans="12:16" ht="15" customHeight="1" hidden="1">
      <c r="L702" s="60">
        <f t="shared" si="72"/>
        <v>46372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3" spans="12:16" ht="15" customHeight="1" hidden="1">
      <c r="L703" s="60">
        <f t="shared" si="72"/>
        <v>46373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4" spans="12:16" ht="15" customHeight="1" hidden="1">
      <c r="L704" s="60">
        <f t="shared" si="72"/>
        <v>46374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5" spans="12:16" ht="15" customHeight="1" hidden="1">
      <c r="L705" s="60">
        <f t="shared" si="72"/>
        <v>46375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6" spans="12:16" ht="15" customHeight="1" hidden="1">
      <c r="L706" s="60">
        <f t="shared" si="72"/>
        <v>46376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7" spans="12:16" ht="15" customHeight="1" hidden="1">
      <c r="L707" s="60">
        <f t="shared" si="72"/>
        <v>46377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8" spans="12:16" ht="15" customHeight="1" hidden="1">
      <c r="L708" s="60">
        <f t="shared" si="72"/>
        <v>46378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09" spans="12:16" ht="15" customHeight="1" hidden="1">
      <c r="L709" s="60">
        <f t="shared" si="72"/>
        <v>46379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0" spans="12:16" ht="15" customHeight="1" hidden="1">
      <c r="L710" s="60">
        <f t="shared" si="72"/>
        <v>46380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1" spans="12:16" ht="15" customHeight="1" hidden="1">
      <c r="L711" s="60">
        <f t="shared" si="72"/>
        <v>46381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2" spans="12:16" ht="15" customHeight="1" hidden="1">
      <c r="L712" s="60">
        <f t="shared" si="72"/>
        <v>46382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3" spans="12:16" ht="15" customHeight="1" hidden="1">
      <c r="L713" s="60">
        <f t="shared" si="72"/>
        <v>46383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4" spans="12:16" ht="15" customHeight="1" hidden="1">
      <c r="L714" s="60">
        <f t="shared" si="72"/>
        <v>46384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5" spans="12:16" ht="15" customHeight="1" hidden="1">
      <c r="L715" s="60">
        <f t="shared" si="72"/>
        <v>46385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6" spans="12:16" ht="15" customHeight="1" hidden="1">
      <c r="L716" s="60">
        <f t="shared" si="72"/>
        <v>46386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7" spans="12:16" ht="15" customHeight="1" hidden="1">
      <c r="L717" s="60">
        <f t="shared" si="72"/>
        <v>46387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8" spans="12:16" ht="15" customHeight="1" hidden="1">
      <c r="L718" s="60">
        <f t="shared" si="72"/>
        <v>46388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19" spans="12:16" ht="15" customHeight="1" hidden="1">
      <c r="L719" s="60">
        <f t="shared" si="72"/>
        <v>46389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20" spans="12:16" ht="15" customHeight="1" hidden="1">
      <c r="L720" s="60">
        <f t="shared" si="72"/>
        <v>46390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21" spans="12:16" ht="15" customHeight="1" hidden="1">
      <c r="L721" s="60">
        <f t="shared" si="72"/>
        <v>46391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22" spans="12:16" ht="15" customHeight="1" hidden="1">
      <c r="L722" s="60">
        <f t="shared" si="72"/>
        <v>46392</v>
      </c>
      <c s="28">
        <f t="shared" si="70"/>
        <v>0</v>
      </c>
      <c s="28">
        <f t="shared" si="73"/>
        <v>0</v>
      </c>
      <c s="28">
        <f t="shared" si="71"/>
        <v>0</v>
      </c>
      <c s="28"/>
    </row>
    <row r="723" spans="12:16" ht="15" customHeight="1" hidden="1">
      <c r="L723" s="60">
        <f t="shared" si="72"/>
        <v>46393</v>
      </c>
      <c s="28">
        <f t="shared" si="74" ref="M723:M786">IFERROR(VLOOKUP(L723,$B$19:$E$80,4,FALSE),0)</f>
        <v>0</v>
      </c>
      <c s="28">
        <f t="shared" si="73"/>
        <v>0</v>
      </c>
      <c s="28">
        <f t="shared" si="75" ref="O723:O786">IFERROR(IF(ISNUMBER(N722),N722,$E$8)*IF(L723&gt;=$J$8,$E$12,$E$12)/IF(MOD(YEAR(L723),4),365,366)*IF(ISBLANK(L722),L723-$F$5,L723-L722),0)</f>
        <v>0</v>
      </c>
      <c s="28"/>
    </row>
    <row r="724" spans="12:16" ht="15" customHeight="1" hidden="1">
      <c r="L724" s="60">
        <f t="shared" si="72"/>
        <v>46394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25" spans="12:16" ht="15" customHeight="1" hidden="1">
      <c r="L725" s="60">
        <f t="shared" si="72"/>
        <v>46395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26" spans="12:16" ht="15" customHeight="1" hidden="1">
      <c r="L726" s="60">
        <f t="shared" si="72"/>
        <v>46396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27" spans="12:16" ht="15" customHeight="1" hidden="1">
      <c r="L727" s="60">
        <f t="shared" si="72"/>
        <v>46397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28" spans="12:16" ht="15" customHeight="1" hidden="1">
      <c r="L728" s="60">
        <f t="shared" si="72"/>
        <v>46398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29" spans="12:16" ht="15" customHeight="1" hidden="1">
      <c r="L729" s="60">
        <f t="shared" si="72"/>
        <v>46399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0" spans="12:16" ht="15" customHeight="1" hidden="1">
      <c r="L730" s="60">
        <f t="shared" si="72"/>
        <v>46400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1" spans="12:16" ht="15" customHeight="1" hidden="1">
      <c r="L731" s="60">
        <f t="shared" si="72"/>
        <v>46401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2" spans="12:16" ht="15" customHeight="1" hidden="1">
      <c r="L732" s="60">
        <f t="shared" si="72"/>
        <v>46402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3" spans="12:16" ht="15" customHeight="1" hidden="1">
      <c r="L733" s="60">
        <f t="shared" si="72"/>
        <v>46403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4" spans="12:16" ht="15" customHeight="1" hidden="1">
      <c r="L734" s="60">
        <f t="shared" si="72"/>
        <v>46404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5" spans="12:16" ht="15" customHeight="1" hidden="1">
      <c r="L735" s="60">
        <f t="shared" si="72"/>
        <v>46405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6" spans="12:16" ht="15" customHeight="1" hidden="1">
      <c r="L736" s="60">
        <f t="shared" si="72"/>
        <v>46406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7" spans="12:16" ht="15" customHeight="1" hidden="1">
      <c r="L737" s="60">
        <f t="shared" si="72"/>
        <v>46407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8" spans="12:16" ht="15" customHeight="1" hidden="1">
      <c r="L738" s="60">
        <f t="shared" si="76" ref="L738:L801">IFERROR(IF(MAX(L737+1,$F$5+1)&gt;Дата_погашения_Займа,"-",MAX(L737+1,$F$5+1)),"-")</f>
        <v>46408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39" spans="12:16" ht="15" customHeight="1" hidden="1">
      <c r="L739" s="60">
        <f t="shared" si="76"/>
        <v>46409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0" spans="12:16" ht="15" customHeight="1" hidden="1">
      <c r="L740" s="60">
        <f t="shared" si="76"/>
        <v>46410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1" spans="12:16" ht="15" customHeight="1" hidden="1">
      <c r="L741" s="60">
        <f t="shared" si="76"/>
        <v>46411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2" spans="12:16" ht="15" customHeight="1" hidden="1">
      <c r="L742" s="60">
        <f t="shared" si="76"/>
        <v>46412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3" spans="12:16" ht="15" customHeight="1" hidden="1">
      <c r="L743" s="60">
        <f t="shared" si="76"/>
        <v>46413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4" spans="12:16" ht="15" customHeight="1" hidden="1">
      <c r="L744" s="60">
        <f t="shared" si="76"/>
        <v>46414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5" spans="12:16" ht="15" customHeight="1" hidden="1">
      <c r="L745" s="60">
        <f t="shared" si="76"/>
        <v>46415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6" spans="12:16" ht="15" customHeight="1" hidden="1">
      <c r="L746" s="60">
        <f t="shared" si="76"/>
        <v>46416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7" spans="12:16" ht="15" customHeight="1" hidden="1">
      <c r="L747" s="60">
        <f t="shared" si="76"/>
        <v>46417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8" spans="12:16" ht="15" customHeight="1" hidden="1">
      <c r="L748" s="60">
        <f t="shared" si="76"/>
        <v>46418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49" spans="12:16" ht="15" customHeight="1" hidden="1">
      <c r="L749" s="60">
        <f t="shared" si="76"/>
        <v>46419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50" spans="12:16" ht="15" customHeight="1" hidden="1">
      <c r="L750" s="60">
        <f t="shared" si="76"/>
        <v>46420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51" spans="12:16" ht="15" customHeight="1" hidden="1">
      <c r="L751" s="60">
        <f t="shared" si="76"/>
        <v>46421</v>
      </c>
      <c s="28">
        <f t="shared" si="74"/>
        <v>0</v>
      </c>
      <c s="28">
        <f t="shared" si="73"/>
        <v>0</v>
      </c>
      <c s="28">
        <f t="shared" si="75"/>
        <v>0</v>
      </c>
      <c s="28"/>
    </row>
    <row r="752" spans="12:16" ht="15" customHeight="1" hidden="1">
      <c r="L752" s="60">
        <f t="shared" si="76"/>
        <v>46422</v>
      </c>
      <c s="28">
        <f t="shared" si="74"/>
        <v>0</v>
      </c>
      <c s="28">
        <f t="shared" si="77" ref="N752:N815">IF(ISNUMBER(N751),N751-M752,$E$8)</f>
        <v>0</v>
      </c>
      <c s="28">
        <f t="shared" si="75"/>
        <v>0</v>
      </c>
      <c s="28"/>
    </row>
    <row r="753" spans="12:16" ht="15" customHeight="1" hidden="1">
      <c r="L753" s="60">
        <f t="shared" si="76"/>
        <v>46423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54" spans="12:16" ht="15" customHeight="1" hidden="1">
      <c r="L754" s="60">
        <f t="shared" si="76"/>
        <v>46424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55" spans="12:16" ht="15" customHeight="1" hidden="1">
      <c r="L755" s="60">
        <f t="shared" si="76"/>
        <v>46425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56" spans="12:16" ht="15" customHeight="1" hidden="1">
      <c r="L756" s="60">
        <f t="shared" si="76"/>
        <v>46426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57" spans="12:16" ht="15" customHeight="1" hidden="1">
      <c r="L757" s="60">
        <f t="shared" si="76"/>
        <v>46427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58" spans="12:16" ht="15" customHeight="1" hidden="1">
      <c r="L758" s="60">
        <f t="shared" si="76"/>
        <v>46428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59" spans="12:16" ht="15" customHeight="1" hidden="1">
      <c r="L759" s="60">
        <f t="shared" si="76"/>
        <v>46429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0" spans="12:16" ht="15" customHeight="1" hidden="1">
      <c r="L760" s="60">
        <f t="shared" si="76"/>
        <v>46430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1" spans="12:16" ht="15" customHeight="1" hidden="1">
      <c r="L761" s="60">
        <f t="shared" si="76"/>
        <v>46431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2" spans="12:16" ht="15" customHeight="1" hidden="1">
      <c r="L762" s="60">
        <f t="shared" si="76"/>
        <v>46432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3" spans="12:16" ht="15" customHeight="1" hidden="1">
      <c r="L763" s="60">
        <f t="shared" si="76"/>
        <v>46433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4" spans="12:16" ht="15" customHeight="1" hidden="1">
      <c r="L764" s="60">
        <f t="shared" si="76"/>
        <v>46434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5" spans="12:16" ht="15" customHeight="1" hidden="1">
      <c r="L765" s="60">
        <f t="shared" si="76"/>
        <v>46435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6" spans="12:16" ht="15" customHeight="1" hidden="1">
      <c r="L766" s="60">
        <f t="shared" si="76"/>
        <v>46436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7" spans="12:16" ht="15" customHeight="1" hidden="1">
      <c r="L767" s="60">
        <f t="shared" si="76"/>
        <v>46437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8" spans="12:16" ht="15" customHeight="1" hidden="1">
      <c r="L768" s="60">
        <f t="shared" si="76"/>
        <v>46438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69" spans="12:16" ht="15" customHeight="1" hidden="1">
      <c r="L769" s="60">
        <f t="shared" si="76"/>
        <v>46439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0" spans="12:16" ht="15" customHeight="1" hidden="1">
      <c r="L770" s="60">
        <f t="shared" si="76"/>
        <v>46440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1" spans="12:16" ht="15" customHeight="1" hidden="1">
      <c r="L771" s="60">
        <f t="shared" si="76"/>
        <v>46441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2" spans="12:16" ht="15" customHeight="1" hidden="1">
      <c r="L772" s="60">
        <f t="shared" si="76"/>
        <v>46442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3" spans="12:16" ht="15" customHeight="1" hidden="1">
      <c r="L773" s="60">
        <f t="shared" si="76"/>
        <v>46443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4" spans="12:16" ht="15" customHeight="1" hidden="1">
      <c r="L774" s="60">
        <f t="shared" si="76"/>
        <v>46444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5" spans="12:16" ht="15" customHeight="1" hidden="1">
      <c r="L775" s="60">
        <f t="shared" si="76"/>
        <v>46445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6" spans="12:16" ht="15" customHeight="1" hidden="1">
      <c r="L776" s="60">
        <f t="shared" si="76"/>
        <v>46446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7" spans="12:16" ht="15" customHeight="1" hidden="1">
      <c r="L777" s="60">
        <f t="shared" si="76"/>
        <v>46447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8" spans="12:16" ht="15" customHeight="1" hidden="1">
      <c r="L778" s="60">
        <f t="shared" si="76"/>
        <v>46448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79" spans="12:16" ht="15" customHeight="1" hidden="1">
      <c r="L779" s="60">
        <f t="shared" si="76"/>
        <v>46449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0" spans="12:16" ht="15" customHeight="1" hidden="1">
      <c r="L780" s="60">
        <f t="shared" si="76"/>
        <v>46450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1" spans="12:16" ht="15" customHeight="1" hidden="1">
      <c r="L781" s="60">
        <f t="shared" si="76"/>
        <v>46451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2" spans="12:16" ht="15" customHeight="1" hidden="1">
      <c r="L782" s="60">
        <f t="shared" si="76"/>
        <v>46452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3" spans="12:16" ht="15" customHeight="1" hidden="1">
      <c r="L783" s="60">
        <f t="shared" si="76"/>
        <v>46453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4" spans="12:16" ht="15" customHeight="1" hidden="1">
      <c r="L784" s="60">
        <f t="shared" si="76"/>
        <v>46454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5" spans="12:16" ht="15" customHeight="1" hidden="1">
      <c r="L785" s="60">
        <f t="shared" si="76"/>
        <v>46455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6" spans="12:16" ht="15" customHeight="1" hidden="1">
      <c r="L786" s="60">
        <f t="shared" si="76"/>
        <v>46456</v>
      </c>
      <c s="28">
        <f t="shared" si="74"/>
        <v>0</v>
      </c>
      <c s="28">
        <f t="shared" si="77"/>
        <v>0</v>
      </c>
      <c s="28">
        <f t="shared" si="75"/>
        <v>0</v>
      </c>
      <c s="28"/>
    </row>
    <row r="787" spans="12:16" ht="15" customHeight="1" hidden="1">
      <c r="L787" s="60">
        <f t="shared" si="76"/>
        <v>46457</v>
      </c>
      <c s="28">
        <f t="shared" si="78" ref="M787:M850">IFERROR(VLOOKUP(L787,$B$19:$E$80,4,FALSE),0)</f>
        <v>0</v>
      </c>
      <c s="28">
        <f t="shared" si="77"/>
        <v>0</v>
      </c>
      <c s="28">
        <f t="shared" si="79" ref="O787:O850">IFERROR(IF(ISNUMBER(N786),N786,$E$8)*IF(L787&gt;=$J$8,$E$12,$E$12)/IF(MOD(YEAR(L787),4),365,366)*IF(ISBLANK(L786),L787-$F$5,L787-L786),0)</f>
        <v>0</v>
      </c>
      <c s="28"/>
    </row>
    <row r="788" spans="12:16" ht="15" customHeight="1" hidden="1">
      <c r="L788" s="60">
        <f t="shared" si="76"/>
        <v>46458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89" spans="12:16" ht="15" customHeight="1" hidden="1">
      <c r="L789" s="60">
        <f t="shared" si="76"/>
        <v>46459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0" spans="12:16" ht="15" customHeight="1" hidden="1">
      <c r="L790" s="60">
        <f t="shared" si="76"/>
        <v>46460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1" spans="12:16" ht="15" customHeight="1" hidden="1">
      <c r="L791" s="60">
        <f t="shared" si="76"/>
        <v>46461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2" spans="12:16" ht="15" customHeight="1" hidden="1">
      <c r="L792" s="60">
        <f t="shared" si="76"/>
        <v>46462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3" spans="12:16" ht="15" customHeight="1" hidden="1">
      <c r="L793" s="60">
        <f t="shared" si="76"/>
        <v>46463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4" spans="12:16" ht="15" customHeight="1" hidden="1">
      <c r="L794" s="60">
        <f t="shared" si="76"/>
        <v>46464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5" spans="12:16" ht="15" customHeight="1" hidden="1">
      <c r="L795" s="60">
        <f t="shared" si="76"/>
        <v>46465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6" spans="12:16" ht="15" customHeight="1" hidden="1">
      <c r="L796" s="60">
        <f t="shared" si="76"/>
        <v>46466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7" spans="12:16" ht="15" customHeight="1" hidden="1">
      <c r="L797" s="60">
        <f t="shared" si="76"/>
        <v>46467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8" spans="12:16" ht="15" customHeight="1" hidden="1">
      <c r="L798" s="60">
        <f t="shared" si="76"/>
        <v>46468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799" spans="12:16" ht="15" customHeight="1" hidden="1">
      <c r="L799" s="60">
        <f t="shared" si="76"/>
        <v>46469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0" spans="12:16" ht="15" customHeight="1" hidden="1">
      <c r="L800" s="60">
        <f t="shared" si="76"/>
        <v>46470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1" spans="12:16" ht="15" customHeight="1" hidden="1">
      <c r="L801" s="60">
        <f t="shared" si="76"/>
        <v>46471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2" spans="12:16" ht="15" customHeight="1" hidden="1">
      <c r="L802" s="60">
        <f t="shared" si="80" ref="L802:L865">IFERROR(IF(MAX(L801+1,$F$5+1)&gt;Дата_погашения_Займа,"-",MAX(L801+1,$F$5+1)),"-")</f>
        <v>46472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3" spans="12:16" ht="15" customHeight="1" hidden="1">
      <c r="L803" s="60">
        <f t="shared" si="80"/>
        <v>46473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4" spans="12:16" ht="15" customHeight="1" hidden="1">
      <c r="L804" s="60">
        <f t="shared" si="80"/>
        <v>46474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5" spans="12:16" ht="15" customHeight="1" hidden="1">
      <c r="L805" s="60">
        <f t="shared" si="80"/>
        <v>46475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6" spans="12:16" ht="15" customHeight="1" hidden="1">
      <c r="L806" s="60">
        <f t="shared" si="80"/>
        <v>46476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7" spans="12:16" ht="15" customHeight="1" hidden="1">
      <c r="L807" s="60">
        <f t="shared" si="80"/>
        <v>46477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8" spans="12:16" ht="15" customHeight="1" hidden="1">
      <c r="L808" s="60">
        <f t="shared" si="80"/>
        <v>46478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09" spans="12:16" ht="15" customHeight="1" hidden="1">
      <c r="L809" s="60">
        <f t="shared" si="80"/>
        <v>46479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0" spans="12:16" ht="15" customHeight="1" hidden="1">
      <c r="L810" s="60">
        <f t="shared" si="80"/>
        <v>46480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1" spans="12:16" ht="15" customHeight="1" hidden="1">
      <c r="L811" s="60">
        <f t="shared" si="80"/>
        <v>46481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2" spans="12:16" ht="15" customHeight="1" hidden="1">
      <c r="L812" s="60">
        <f t="shared" si="80"/>
        <v>46482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3" spans="12:16" ht="15" customHeight="1" hidden="1">
      <c r="L813" s="60">
        <f t="shared" si="80"/>
        <v>46483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4" spans="12:16" ht="15" customHeight="1" hidden="1">
      <c r="L814" s="60">
        <f t="shared" si="80"/>
        <v>46484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5" spans="12:16" ht="15" customHeight="1" hidden="1">
      <c r="L815" s="60">
        <f t="shared" si="80"/>
        <v>46485</v>
      </c>
      <c s="28">
        <f t="shared" si="78"/>
        <v>0</v>
      </c>
      <c s="28">
        <f t="shared" si="77"/>
        <v>0</v>
      </c>
      <c s="28">
        <f t="shared" si="79"/>
        <v>0</v>
      </c>
      <c s="28"/>
    </row>
    <row r="816" spans="12:16" ht="15" customHeight="1" hidden="1">
      <c r="L816" s="60">
        <f t="shared" si="80"/>
        <v>46486</v>
      </c>
      <c s="28">
        <f t="shared" si="78"/>
        <v>0</v>
      </c>
      <c s="28">
        <f t="shared" si="81" ref="N816:N879">IF(ISNUMBER(N815),N815-M816,$E$8)</f>
        <v>0</v>
      </c>
      <c s="28">
        <f t="shared" si="79"/>
        <v>0</v>
      </c>
      <c s="28"/>
    </row>
    <row r="817" spans="12:16" ht="15" customHeight="1" hidden="1">
      <c r="L817" s="60">
        <f t="shared" si="80"/>
        <v>46487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18" spans="12:16" ht="15" customHeight="1" hidden="1">
      <c r="L818" s="60">
        <f t="shared" si="80"/>
        <v>46488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19" spans="12:16" ht="15" customHeight="1" hidden="1">
      <c r="L819" s="60">
        <f t="shared" si="80"/>
        <v>46489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0" spans="12:16" ht="15" customHeight="1" hidden="1">
      <c r="L820" s="60">
        <f t="shared" si="80"/>
        <v>46490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1" spans="12:16" ht="15" customHeight="1" hidden="1">
      <c r="L821" s="60">
        <f t="shared" si="80"/>
        <v>46491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2" spans="12:16" ht="15" customHeight="1" hidden="1">
      <c r="L822" s="60">
        <f t="shared" si="80"/>
        <v>46492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3" spans="12:16" ht="15" customHeight="1" hidden="1">
      <c r="L823" s="60">
        <f t="shared" si="80"/>
        <v>46493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4" spans="12:16" ht="15" customHeight="1" hidden="1">
      <c r="L824" s="60">
        <f t="shared" si="80"/>
        <v>46494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5" spans="12:16" ht="15" customHeight="1" hidden="1">
      <c r="L825" s="60">
        <f t="shared" si="80"/>
        <v>46495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6" spans="12:16" ht="15" customHeight="1" hidden="1">
      <c r="L826" s="60">
        <f t="shared" si="80"/>
        <v>46496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7" spans="12:16" ht="15" customHeight="1" hidden="1">
      <c r="L827" s="60">
        <f t="shared" si="80"/>
        <v>46497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8" spans="12:16" ht="15" customHeight="1" hidden="1">
      <c r="L828" s="60">
        <f t="shared" si="80"/>
        <v>46498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29" spans="12:16" ht="15" customHeight="1" hidden="1">
      <c r="L829" s="60">
        <f t="shared" si="80"/>
        <v>46499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0" spans="12:16" ht="15" customHeight="1" hidden="1">
      <c r="L830" s="60">
        <f t="shared" si="80"/>
        <v>46500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1" spans="12:16" ht="15" customHeight="1" hidden="1">
      <c r="L831" s="60">
        <f t="shared" si="80"/>
        <v>46501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2" spans="12:16" ht="15" customHeight="1" hidden="1">
      <c r="L832" s="60">
        <f t="shared" si="80"/>
        <v>46502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3" spans="12:16" ht="15" customHeight="1" hidden="1">
      <c r="L833" s="60">
        <f t="shared" si="80"/>
        <v>46503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4" spans="12:16" ht="15" customHeight="1" hidden="1">
      <c r="L834" s="60">
        <f t="shared" si="80"/>
        <v>46504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5" spans="12:16" ht="15" customHeight="1" hidden="1">
      <c r="L835" s="60">
        <f t="shared" si="80"/>
        <v>46505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6" spans="12:16" ht="15" customHeight="1" hidden="1">
      <c r="L836" s="60">
        <f t="shared" si="80"/>
        <v>46506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7" spans="12:16" ht="15" customHeight="1" hidden="1">
      <c r="L837" s="60">
        <f t="shared" si="80"/>
        <v>46507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8" spans="12:16" ht="15" customHeight="1" hidden="1">
      <c r="L838" s="60">
        <f t="shared" si="80"/>
        <v>46508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39" spans="12:16" ht="15" customHeight="1" hidden="1">
      <c r="L839" s="60">
        <f t="shared" si="80"/>
        <v>46509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0" spans="12:16" ht="15" customHeight="1" hidden="1">
      <c r="L840" s="60">
        <f t="shared" si="80"/>
        <v>46510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1" spans="12:16" ht="15" customHeight="1" hidden="1">
      <c r="L841" s="60">
        <f t="shared" si="80"/>
        <v>46511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2" spans="12:16" ht="15" customHeight="1" hidden="1">
      <c r="L842" s="60">
        <f t="shared" si="80"/>
        <v>46512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3" spans="12:16" ht="15" customHeight="1" hidden="1">
      <c r="L843" s="60">
        <f t="shared" si="80"/>
        <v>46513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4" spans="12:16" ht="15" customHeight="1" hidden="1">
      <c r="L844" s="60">
        <f t="shared" si="80"/>
        <v>46514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5" spans="12:16" ht="15" customHeight="1" hidden="1">
      <c r="L845" s="60">
        <f t="shared" si="80"/>
        <v>46515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6" spans="12:16" ht="15" customHeight="1" hidden="1">
      <c r="L846" s="60">
        <f t="shared" si="80"/>
        <v>46516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7" spans="12:16" ht="15" customHeight="1" hidden="1">
      <c r="L847" s="60">
        <f t="shared" si="80"/>
        <v>46517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8" spans="12:16" ht="15" customHeight="1" hidden="1">
      <c r="L848" s="60">
        <f t="shared" si="80"/>
        <v>46518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49" spans="12:16" ht="15" customHeight="1" hidden="1">
      <c r="L849" s="60">
        <f t="shared" si="80"/>
        <v>46519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50" spans="12:16" ht="15" customHeight="1" hidden="1">
      <c r="L850" s="60">
        <f t="shared" si="80"/>
        <v>46520</v>
      </c>
      <c s="28">
        <f t="shared" si="78"/>
        <v>0</v>
      </c>
      <c s="28">
        <f t="shared" si="81"/>
        <v>0</v>
      </c>
      <c s="28">
        <f t="shared" si="79"/>
        <v>0</v>
      </c>
      <c s="28"/>
    </row>
    <row r="851" spans="12:16" ht="15" customHeight="1" hidden="1">
      <c r="L851" s="60">
        <f t="shared" si="80"/>
        <v>46521</v>
      </c>
      <c s="28">
        <f t="shared" si="82" ref="M851:M914">IFERROR(VLOOKUP(L851,$B$19:$E$80,4,FALSE),0)</f>
        <v>0</v>
      </c>
      <c s="28">
        <f t="shared" si="81"/>
        <v>0</v>
      </c>
      <c s="28">
        <f t="shared" si="83" ref="O851:O914">IFERROR(IF(ISNUMBER(N850),N850,$E$8)*IF(L851&gt;=$J$8,$E$12,$E$12)/IF(MOD(YEAR(L851),4),365,366)*IF(ISBLANK(L850),L851-$F$5,L851-L850),0)</f>
        <v>0</v>
      </c>
      <c s="28"/>
    </row>
    <row r="852" spans="12:16" ht="15" customHeight="1" hidden="1">
      <c r="L852" s="60">
        <f t="shared" si="80"/>
        <v>46522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3" spans="12:16" ht="15" customHeight="1" hidden="1">
      <c r="L853" s="60">
        <f t="shared" si="80"/>
        <v>46523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4" spans="12:16" ht="15" customHeight="1" hidden="1">
      <c r="L854" s="60">
        <f t="shared" si="80"/>
        <v>46524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5" spans="12:16" ht="15" customHeight="1" hidden="1">
      <c r="L855" s="60">
        <f t="shared" si="80"/>
        <v>46525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6" spans="12:16" ht="15" customHeight="1" hidden="1">
      <c r="L856" s="60">
        <f t="shared" si="80"/>
        <v>46526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7" spans="12:16" ht="15" customHeight="1" hidden="1">
      <c r="L857" s="60">
        <f t="shared" si="80"/>
        <v>46527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8" spans="12:16" ht="15" customHeight="1" hidden="1">
      <c r="L858" s="60">
        <f t="shared" si="80"/>
        <v>46528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59" spans="12:16" ht="15" customHeight="1" hidden="1">
      <c r="L859" s="60">
        <f t="shared" si="80"/>
        <v>46529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0" spans="12:16" ht="15" customHeight="1" hidden="1">
      <c r="L860" s="60">
        <f t="shared" si="80"/>
        <v>46530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1" spans="12:16" ht="15" customHeight="1" hidden="1">
      <c r="L861" s="60">
        <f t="shared" si="80"/>
        <v>46531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2" spans="12:16" ht="15" customHeight="1" hidden="1">
      <c r="L862" s="60">
        <f t="shared" si="80"/>
        <v>46532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3" spans="12:16" ht="15" customHeight="1" hidden="1">
      <c r="L863" s="60">
        <f t="shared" si="80"/>
        <v>46533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4" spans="12:16" ht="15" customHeight="1" hidden="1">
      <c r="L864" s="60">
        <f t="shared" si="80"/>
        <v>46534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5" spans="12:16" ht="15" customHeight="1" hidden="1">
      <c r="L865" s="60">
        <f t="shared" si="80"/>
        <v>46535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6" spans="12:16" ht="15" customHeight="1" hidden="1">
      <c r="L866" s="60">
        <f t="shared" si="84" ref="L866:L929">IFERROR(IF(MAX(L865+1,$F$5+1)&gt;Дата_погашения_Займа,"-",MAX(L865+1,$F$5+1)),"-")</f>
        <v>46536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7" spans="12:16" ht="15" customHeight="1" hidden="1">
      <c r="L867" s="60">
        <f t="shared" si="84"/>
        <v>46537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8" spans="12:16" ht="15" customHeight="1" hidden="1">
      <c r="L868" s="60">
        <f t="shared" si="84"/>
        <v>46538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69" spans="12:16" ht="15" customHeight="1" hidden="1">
      <c r="L869" s="60">
        <f t="shared" si="84"/>
        <v>46539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0" spans="12:16" ht="15" customHeight="1" hidden="1">
      <c r="L870" s="60">
        <f t="shared" si="84"/>
        <v>46540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1" spans="12:16" ht="15" customHeight="1" hidden="1">
      <c r="L871" s="60">
        <f t="shared" si="84"/>
        <v>46541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2" spans="12:16" ht="15" customHeight="1" hidden="1">
      <c r="L872" s="60">
        <f t="shared" si="84"/>
        <v>46542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3" spans="12:16" ht="15" customHeight="1" hidden="1">
      <c r="L873" s="60">
        <f t="shared" si="84"/>
        <v>46543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4" spans="12:16" ht="15" customHeight="1" hidden="1">
      <c r="L874" s="60">
        <f t="shared" si="84"/>
        <v>46544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5" spans="12:16" ht="15" customHeight="1" hidden="1">
      <c r="L875" s="60">
        <f t="shared" si="84"/>
        <v>46545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6" spans="12:16" ht="15" customHeight="1" hidden="1">
      <c r="L876" s="60">
        <f t="shared" si="84"/>
        <v>46546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7" spans="12:16" ht="15" customHeight="1" hidden="1">
      <c r="L877" s="60">
        <f t="shared" si="84"/>
        <v>46547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8" spans="12:16" ht="15" customHeight="1" hidden="1">
      <c r="L878" s="60">
        <f t="shared" si="84"/>
        <v>46548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79" spans="12:16" ht="15" customHeight="1" hidden="1">
      <c r="L879" s="60">
        <f t="shared" si="84"/>
        <v>46549</v>
      </c>
      <c s="28">
        <f t="shared" si="82"/>
        <v>0</v>
      </c>
      <c s="28">
        <f t="shared" si="81"/>
        <v>0</v>
      </c>
      <c s="28">
        <f t="shared" si="83"/>
        <v>0</v>
      </c>
      <c s="28"/>
    </row>
    <row r="880" spans="12:16" ht="15" customHeight="1" hidden="1">
      <c r="L880" s="60">
        <f t="shared" si="84"/>
        <v>46550</v>
      </c>
      <c s="28">
        <f t="shared" si="82"/>
        <v>0</v>
      </c>
      <c s="28">
        <f t="shared" si="85" ref="N880:N943">IF(ISNUMBER(N879),N879-M880,$E$8)</f>
        <v>0</v>
      </c>
      <c s="28">
        <f t="shared" si="83"/>
        <v>0</v>
      </c>
      <c s="28"/>
    </row>
    <row r="881" spans="12:16" ht="15" customHeight="1" hidden="1">
      <c r="L881" s="60">
        <f t="shared" si="84"/>
        <v>46551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2" spans="12:16" ht="15" customHeight="1" hidden="1">
      <c r="L882" s="60">
        <f t="shared" si="84"/>
        <v>46552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3" spans="12:16" ht="15" customHeight="1" hidden="1">
      <c r="L883" s="60">
        <f t="shared" si="84"/>
        <v>46553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4" spans="12:16" ht="15" customHeight="1" hidden="1">
      <c r="L884" s="60">
        <f t="shared" si="84"/>
        <v>46554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5" spans="12:16" ht="15" customHeight="1" hidden="1">
      <c r="L885" s="60">
        <f t="shared" si="84"/>
        <v>46555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6" spans="12:16" ht="15" customHeight="1" hidden="1">
      <c r="L886" s="60">
        <f t="shared" si="84"/>
        <v>46556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7" spans="12:16" ht="15" customHeight="1" hidden="1">
      <c r="L887" s="60">
        <f t="shared" si="84"/>
        <v>46557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8" spans="12:16" ht="15" customHeight="1" hidden="1">
      <c r="L888" s="60">
        <f t="shared" si="84"/>
        <v>46558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89" spans="12:16" ht="15" customHeight="1" hidden="1">
      <c r="L889" s="60">
        <f t="shared" si="84"/>
        <v>46559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0" spans="12:16" ht="15" customHeight="1" hidden="1">
      <c r="L890" s="60">
        <f t="shared" si="84"/>
        <v>46560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1" spans="12:16" ht="15" customHeight="1" hidden="1">
      <c r="L891" s="60">
        <f t="shared" si="84"/>
        <v>46561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2" spans="12:16" ht="15" customHeight="1" hidden="1">
      <c r="L892" s="60">
        <f t="shared" si="84"/>
        <v>46562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3" spans="12:16" ht="15" customHeight="1" hidden="1">
      <c r="L893" s="60">
        <f t="shared" si="84"/>
        <v>46563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4" spans="12:16" ht="15" customHeight="1" hidden="1">
      <c r="L894" s="60">
        <f t="shared" si="84"/>
        <v>46564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5" spans="12:16" ht="15" customHeight="1" hidden="1">
      <c r="L895" s="60">
        <f t="shared" si="84"/>
        <v>46565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6" spans="12:16" ht="15" customHeight="1" hidden="1">
      <c r="L896" s="60">
        <f t="shared" si="84"/>
        <v>46566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7" spans="12:16" ht="15" customHeight="1" hidden="1">
      <c r="L897" s="60">
        <f t="shared" si="84"/>
        <v>46567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8" spans="12:16" ht="15" customHeight="1" hidden="1">
      <c r="L898" s="60">
        <f t="shared" si="84"/>
        <v>46568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899" spans="12:16" ht="15" customHeight="1" hidden="1">
      <c r="L899" s="60">
        <f t="shared" si="84"/>
        <v>46569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0" spans="12:16" ht="15" customHeight="1" hidden="1">
      <c r="L900" s="60">
        <f t="shared" si="84"/>
        <v>46570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1" spans="12:16" ht="15" customHeight="1" hidden="1">
      <c r="L901" s="60">
        <f t="shared" si="84"/>
        <v>46571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2" spans="12:16" ht="15" customHeight="1" hidden="1">
      <c r="L902" s="60">
        <f t="shared" si="84"/>
        <v>46572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3" spans="12:16" ht="15" customHeight="1" hidden="1">
      <c r="L903" s="60">
        <f t="shared" si="84"/>
        <v>46573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4" spans="12:16" ht="15" customHeight="1" hidden="1">
      <c r="L904" s="60">
        <f t="shared" si="84"/>
        <v>46574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5" spans="12:16" ht="15" customHeight="1" hidden="1">
      <c r="L905" s="60">
        <f t="shared" si="84"/>
        <v>46575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6" spans="12:16" ht="15" customHeight="1" hidden="1">
      <c r="L906" s="60">
        <f t="shared" si="84"/>
        <v>46576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7" spans="12:16" ht="15" customHeight="1" hidden="1">
      <c r="L907" s="60">
        <f t="shared" si="84"/>
        <v>46577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8" spans="12:16" ht="15" customHeight="1" hidden="1">
      <c r="L908" s="60">
        <f t="shared" si="84"/>
        <v>46578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09" spans="12:16" ht="15" customHeight="1" hidden="1">
      <c r="L909" s="60">
        <f t="shared" si="84"/>
        <v>46579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10" spans="12:16" ht="15" customHeight="1" hidden="1">
      <c r="L910" s="60">
        <f t="shared" si="84"/>
        <v>46580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11" spans="12:16" ht="15" customHeight="1" hidden="1">
      <c r="L911" s="60">
        <f t="shared" si="84"/>
        <v>46581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12" spans="12:16" ht="15" customHeight="1" hidden="1">
      <c r="L912" s="60">
        <f t="shared" si="84"/>
        <v>46582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13" spans="12:16" ht="15" customHeight="1" hidden="1">
      <c r="L913" s="60">
        <f t="shared" si="84"/>
        <v>46583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14" spans="12:16" ht="15" customHeight="1" hidden="1">
      <c r="L914" s="60">
        <f t="shared" si="84"/>
        <v>46584</v>
      </c>
      <c s="28">
        <f t="shared" si="82"/>
        <v>0</v>
      </c>
      <c s="28">
        <f t="shared" si="85"/>
        <v>0</v>
      </c>
      <c s="28">
        <f t="shared" si="83"/>
        <v>0</v>
      </c>
      <c s="28"/>
    </row>
    <row r="915" spans="12:16" ht="15" customHeight="1" hidden="1">
      <c r="L915" s="60">
        <f t="shared" si="84"/>
        <v>46585</v>
      </c>
      <c s="28">
        <f t="shared" si="86" ref="M915:M978">IFERROR(VLOOKUP(L915,$B$19:$E$80,4,FALSE),0)</f>
        <v>0</v>
      </c>
      <c s="28">
        <f t="shared" si="85"/>
        <v>0</v>
      </c>
      <c s="28">
        <f t="shared" si="87" ref="O915:O978">IFERROR(IF(ISNUMBER(N914),N914,$E$8)*IF(L915&gt;=$J$8,$E$12,$E$12)/IF(MOD(YEAR(L915),4),365,366)*IF(ISBLANK(L914),L915-$F$5,L915-L914),0)</f>
        <v>0</v>
      </c>
      <c s="28"/>
    </row>
    <row r="916" spans="12:16" ht="15" customHeight="1" hidden="1">
      <c r="L916" s="60">
        <f t="shared" si="84"/>
        <v>46586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17" spans="12:16" ht="15" customHeight="1" hidden="1">
      <c r="L917" s="60">
        <f t="shared" si="84"/>
        <v>46587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18" spans="12:16" ht="15" customHeight="1" hidden="1">
      <c r="L918" s="60">
        <f t="shared" si="84"/>
        <v>46588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19" spans="12:16" ht="15" customHeight="1" hidden="1">
      <c r="L919" s="60">
        <f t="shared" si="84"/>
        <v>46589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0" spans="12:16" ht="15" customHeight="1" hidden="1">
      <c r="L920" s="60">
        <f t="shared" si="84"/>
        <v>46590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1" spans="12:16" ht="15" customHeight="1" hidden="1">
      <c r="L921" s="60">
        <f t="shared" si="84"/>
        <v>46591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2" spans="12:16" ht="15" customHeight="1" hidden="1">
      <c r="L922" s="60">
        <f t="shared" si="84"/>
        <v>46592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3" spans="12:16" ht="15" customHeight="1" hidden="1">
      <c r="L923" s="60">
        <f t="shared" si="84"/>
        <v>46593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4" spans="12:16" ht="15" customHeight="1" hidden="1">
      <c r="L924" s="60">
        <f t="shared" si="84"/>
        <v>46594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5" spans="12:16" ht="15" customHeight="1" hidden="1">
      <c r="L925" s="60">
        <f t="shared" si="84"/>
        <v>46595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6" spans="12:16" ht="15" customHeight="1" hidden="1">
      <c r="L926" s="60">
        <f t="shared" si="84"/>
        <v>46596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7" spans="12:16" ht="15" customHeight="1" hidden="1">
      <c r="L927" s="60">
        <f t="shared" si="84"/>
        <v>46597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8" spans="12:16" ht="15" customHeight="1" hidden="1">
      <c r="L928" s="60">
        <f t="shared" si="84"/>
        <v>46598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29" spans="12:16" ht="15" customHeight="1" hidden="1">
      <c r="L929" s="60">
        <f t="shared" si="84"/>
        <v>46599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0" spans="12:16" ht="15" customHeight="1" hidden="1">
      <c r="L930" s="60">
        <f t="shared" si="88" ref="L930:L993">IFERROR(IF(MAX(L929+1,$F$5+1)&gt;Дата_погашения_Займа,"-",MAX(L929+1,$F$5+1)),"-")</f>
        <v>46600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1" spans="12:16" ht="15" customHeight="1" hidden="1">
      <c r="L931" s="60">
        <f t="shared" si="88"/>
        <v>46601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2" spans="12:16" ht="15" customHeight="1" hidden="1">
      <c r="L932" s="60">
        <f t="shared" si="88"/>
        <v>46602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3" spans="12:16" ht="15" customHeight="1" hidden="1">
      <c r="L933" s="60">
        <f t="shared" si="88"/>
        <v>46603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4" spans="12:16" ht="15" customHeight="1" hidden="1">
      <c r="L934" s="60">
        <f t="shared" si="88"/>
        <v>46604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5" spans="12:16" ht="15" customHeight="1" hidden="1">
      <c r="L935" s="60">
        <f t="shared" si="88"/>
        <v>46605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6" spans="12:16" ht="15" customHeight="1" hidden="1">
      <c r="L936" s="60">
        <f t="shared" si="88"/>
        <v>46606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7" spans="12:16" ht="15" customHeight="1" hidden="1">
      <c r="L937" s="60">
        <f t="shared" si="88"/>
        <v>46607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8" spans="12:16" ht="15" customHeight="1" hidden="1">
      <c r="L938" s="60">
        <f t="shared" si="88"/>
        <v>46608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39" spans="12:16" ht="15" customHeight="1" hidden="1">
      <c r="L939" s="60">
        <f t="shared" si="88"/>
        <v>46609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40" spans="12:16" ht="15" customHeight="1" hidden="1">
      <c r="L940" s="60">
        <f t="shared" si="88"/>
        <v>46610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41" spans="12:16" ht="15" customHeight="1" hidden="1">
      <c r="L941" s="60">
        <f t="shared" si="88"/>
        <v>46611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42" spans="12:16" ht="15" customHeight="1" hidden="1">
      <c r="L942" s="60">
        <f t="shared" si="88"/>
        <v>46612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43" spans="12:16" ht="15" customHeight="1" hidden="1">
      <c r="L943" s="60">
        <f t="shared" si="88"/>
        <v>46613</v>
      </c>
      <c s="28">
        <f t="shared" si="86"/>
        <v>0</v>
      </c>
      <c s="28">
        <f t="shared" si="85"/>
        <v>0</v>
      </c>
      <c s="28">
        <f t="shared" si="87"/>
        <v>0</v>
      </c>
      <c s="28"/>
    </row>
    <row r="944" spans="12:16" ht="15" customHeight="1" hidden="1">
      <c r="L944" s="60">
        <f t="shared" si="88"/>
        <v>46614</v>
      </c>
      <c s="28">
        <f t="shared" si="86"/>
        <v>0</v>
      </c>
      <c s="28">
        <f t="shared" si="89" ref="N944:N1007">IF(ISNUMBER(N943),N943-M944,$E$8)</f>
        <v>0</v>
      </c>
      <c s="28">
        <f t="shared" si="87"/>
        <v>0</v>
      </c>
      <c s="28"/>
    </row>
    <row r="945" spans="12:16" ht="15" customHeight="1" hidden="1">
      <c r="L945" s="60">
        <f t="shared" si="88"/>
        <v>46615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46" spans="12:16" ht="15" customHeight="1" hidden="1">
      <c r="L946" s="60">
        <f t="shared" si="88"/>
        <v>46616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47" spans="12:16" ht="15" customHeight="1" hidden="1">
      <c r="L947" s="60">
        <f t="shared" si="88"/>
        <v>46617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48" spans="12:16" ht="15" customHeight="1" hidden="1">
      <c r="L948" s="60">
        <f t="shared" si="88"/>
        <v>46618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49" spans="12:16" ht="15" customHeight="1" hidden="1">
      <c r="L949" s="60">
        <f t="shared" si="88"/>
        <v>46619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0" spans="12:16" ht="15" customHeight="1" hidden="1">
      <c r="L950" s="60">
        <f t="shared" si="88"/>
        <v>46620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1" spans="12:16" ht="15" customHeight="1" hidden="1">
      <c r="L951" s="60">
        <f t="shared" si="88"/>
        <v>46621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2" spans="12:16" ht="15" customHeight="1" hidden="1">
      <c r="L952" s="60">
        <f t="shared" si="88"/>
        <v>46622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3" spans="12:16" ht="15" customHeight="1" hidden="1">
      <c r="L953" s="60">
        <f t="shared" si="88"/>
        <v>46623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4" spans="12:16" ht="15" customHeight="1" hidden="1">
      <c r="L954" s="60">
        <f t="shared" si="88"/>
        <v>46624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5" spans="12:16" ht="15" customHeight="1" hidden="1">
      <c r="L955" s="60">
        <f t="shared" si="88"/>
        <v>46625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6" spans="12:16" ht="15" customHeight="1" hidden="1">
      <c r="L956" s="60">
        <f t="shared" si="88"/>
        <v>46626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7" spans="12:16" ht="15" customHeight="1" hidden="1">
      <c r="L957" s="60">
        <f t="shared" si="88"/>
        <v>46627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8" spans="12:16" ht="15" customHeight="1" hidden="1">
      <c r="L958" s="60">
        <f t="shared" si="88"/>
        <v>46628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59" spans="12:16" ht="15" customHeight="1" hidden="1">
      <c r="L959" s="60">
        <f t="shared" si="88"/>
        <v>46629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0" spans="12:16" ht="15" customHeight="1" hidden="1">
      <c r="L960" s="60">
        <f t="shared" si="88"/>
        <v>46630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1" spans="12:16" ht="15" customHeight="1" hidden="1">
      <c r="L961" s="60">
        <f t="shared" si="88"/>
        <v>46631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2" spans="12:16" ht="15" customHeight="1" hidden="1">
      <c r="L962" s="60">
        <f t="shared" si="88"/>
        <v>46632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3" spans="12:16" ht="15" customHeight="1" hidden="1">
      <c r="L963" s="60">
        <f t="shared" si="88"/>
        <v>46633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4" spans="12:16" ht="15" customHeight="1" hidden="1">
      <c r="L964" s="60">
        <f t="shared" si="88"/>
        <v>46634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5" spans="12:16" ht="15" customHeight="1" hidden="1">
      <c r="L965" s="60">
        <f t="shared" si="88"/>
        <v>46635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6" spans="12:16" ht="15" customHeight="1" hidden="1">
      <c r="L966" s="60">
        <f t="shared" si="88"/>
        <v>46636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7" spans="12:16" ht="15" customHeight="1" hidden="1">
      <c r="L967" s="60">
        <f t="shared" si="88"/>
        <v>46637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8" spans="12:16" ht="15" customHeight="1" hidden="1">
      <c r="L968" s="60">
        <f t="shared" si="88"/>
        <v>46638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69" spans="12:16" ht="15" customHeight="1" hidden="1">
      <c r="L969" s="60">
        <f t="shared" si="88"/>
        <v>46639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0" spans="12:16" ht="15" customHeight="1" hidden="1">
      <c r="L970" s="60">
        <f t="shared" si="88"/>
        <v>46640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1" spans="12:16" ht="15" customHeight="1" hidden="1">
      <c r="L971" s="60">
        <f t="shared" si="88"/>
        <v>46641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2" spans="12:16" ht="15" customHeight="1" hidden="1">
      <c r="L972" s="60">
        <f t="shared" si="88"/>
        <v>46642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3" spans="12:16" ht="15" customHeight="1" hidden="1">
      <c r="L973" s="60">
        <f t="shared" si="88"/>
        <v>46643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4" spans="12:16" ht="15" customHeight="1" hidden="1">
      <c r="L974" s="60">
        <f t="shared" si="88"/>
        <v>46644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5" spans="12:16" ht="15" customHeight="1" hidden="1">
      <c r="L975" s="60">
        <f t="shared" si="88"/>
        <v>46645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6" spans="12:16" ht="15" customHeight="1" hidden="1">
      <c r="L976" s="60">
        <f t="shared" si="88"/>
        <v>46646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7" spans="12:16" ht="15" customHeight="1" hidden="1">
      <c r="L977" s="60">
        <f t="shared" si="88"/>
        <v>46647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8" spans="12:16" ht="15" customHeight="1" hidden="1">
      <c r="L978" s="60">
        <f t="shared" si="88"/>
        <v>46648</v>
      </c>
      <c s="28">
        <f t="shared" si="86"/>
        <v>0</v>
      </c>
      <c s="28">
        <f t="shared" si="89"/>
        <v>0</v>
      </c>
      <c s="28">
        <f t="shared" si="87"/>
        <v>0</v>
      </c>
      <c s="28"/>
    </row>
    <row r="979" spans="12:16" ht="15" customHeight="1" hidden="1">
      <c r="L979" s="60">
        <f t="shared" si="88"/>
        <v>46649</v>
      </c>
      <c s="28">
        <f t="shared" si="90" ref="M979:M1042">IFERROR(VLOOKUP(L979,$B$19:$E$80,4,FALSE),0)</f>
        <v>0</v>
      </c>
      <c s="28">
        <f t="shared" si="89"/>
        <v>0</v>
      </c>
      <c s="28">
        <f t="shared" si="91" ref="O979:O1042">IFERROR(IF(ISNUMBER(N978),N978,$E$8)*IF(L979&gt;=$J$8,$E$12,$E$12)/IF(MOD(YEAR(L979),4),365,366)*IF(ISBLANK(L978),L979-$F$5,L979-L978),0)</f>
        <v>0</v>
      </c>
      <c s="28"/>
    </row>
    <row r="980" spans="12:16" ht="15" customHeight="1" hidden="1">
      <c r="L980" s="60">
        <f t="shared" si="88"/>
        <v>46650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1" spans="12:16" ht="15" customHeight="1" hidden="1">
      <c r="L981" s="60">
        <f t="shared" si="88"/>
        <v>46651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2" spans="12:16" ht="15" customHeight="1" hidden="1">
      <c r="L982" s="60">
        <f t="shared" si="88"/>
        <v>46652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3" spans="12:16" ht="15" customHeight="1" hidden="1">
      <c r="L983" s="60">
        <f t="shared" si="88"/>
        <v>46653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4" spans="12:16" ht="15" customHeight="1" hidden="1">
      <c r="L984" s="60">
        <f t="shared" si="88"/>
        <v>46654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5" spans="12:16" ht="15" customHeight="1" hidden="1">
      <c r="L985" s="60">
        <f t="shared" si="88"/>
        <v>46655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6" spans="12:16" ht="15" customHeight="1" hidden="1">
      <c r="L986" s="60">
        <f t="shared" si="88"/>
        <v>46656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7" spans="12:16" ht="15" customHeight="1" hidden="1">
      <c r="L987" s="60">
        <f t="shared" si="88"/>
        <v>46657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8" spans="12:16" ht="15" customHeight="1" hidden="1">
      <c r="L988" s="60">
        <f t="shared" si="88"/>
        <v>46658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89" spans="12:16" ht="15" customHeight="1" hidden="1">
      <c r="L989" s="60">
        <f t="shared" si="88"/>
        <v>46659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0" spans="12:16" ht="15" customHeight="1" hidden="1">
      <c r="L990" s="60">
        <f t="shared" si="88"/>
        <v>46660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1" spans="12:16" ht="15" customHeight="1" hidden="1">
      <c r="L991" s="60">
        <f t="shared" si="88"/>
        <v>46661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2" spans="12:16" ht="15" customHeight="1" hidden="1">
      <c r="L992" s="60">
        <f t="shared" si="88"/>
        <v>46662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3" spans="12:16" ht="15" customHeight="1" hidden="1">
      <c r="L993" s="60">
        <f t="shared" si="88"/>
        <v>46663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4" spans="12:16" ht="15" customHeight="1" hidden="1">
      <c r="L994" s="60">
        <f t="shared" si="92" ref="L994:L1057">IFERROR(IF(MAX(L993+1,$F$5+1)&gt;Дата_погашения_Займа,"-",MAX(L993+1,$F$5+1)),"-")</f>
        <v>46664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5" spans="12:16" ht="15" customHeight="1" hidden="1">
      <c r="L995" s="60">
        <f t="shared" si="92"/>
        <v>46665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6" spans="12:16" ht="15" customHeight="1" hidden="1">
      <c r="L996" s="60">
        <f t="shared" si="92"/>
        <v>46666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7" spans="12:16" ht="15" customHeight="1" hidden="1">
      <c r="L997" s="60">
        <f t="shared" si="92"/>
        <v>46667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8" spans="12:16" ht="15" customHeight="1" hidden="1">
      <c r="L998" s="60">
        <f t="shared" si="92"/>
        <v>46668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999" spans="12:16" ht="15" customHeight="1" hidden="1">
      <c r="L999" s="60">
        <f t="shared" si="92"/>
        <v>46669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0" spans="12:16" ht="15" customHeight="1" hidden="1">
      <c r="L1000" s="60">
        <f t="shared" si="92"/>
        <v>46670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1" spans="12:16" ht="15" customHeight="1" hidden="1">
      <c r="L1001" s="60">
        <f t="shared" si="92"/>
        <v>46671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2" spans="12:16" ht="15" customHeight="1" hidden="1">
      <c r="L1002" s="60">
        <f t="shared" si="92"/>
        <v>46672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3" spans="12:16" ht="15" customHeight="1" hidden="1">
      <c r="L1003" s="60">
        <f t="shared" si="92"/>
        <v>46673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4" spans="12:16" ht="15" customHeight="1" hidden="1">
      <c r="L1004" s="60">
        <f t="shared" si="92"/>
        <v>46674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5" spans="12:16" ht="15" customHeight="1" hidden="1">
      <c r="L1005" s="60">
        <f t="shared" si="92"/>
        <v>46675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6" spans="12:16" ht="15" customHeight="1" hidden="1">
      <c r="L1006" s="60">
        <f t="shared" si="92"/>
        <v>46676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7" spans="12:16" ht="15" customHeight="1" hidden="1">
      <c r="L1007" s="60">
        <f t="shared" si="92"/>
        <v>46677</v>
      </c>
      <c s="28">
        <f t="shared" si="90"/>
        <v>0</v>
      </c>
      <c s="28">
        <f t="shared" si="89"/>
        <v>0</v>
      </c>
      <c s="28">
        <f t="shared" si="91"/>
        <v>0</v>
      </c>
      <c s="28"/>
    </row>
    <row r="1008" spans="12:16" ht="15" customHeight="1" hidden="1">
      <c r="L1008" s="60">
        <f t="shared" si="92"/>
        <v>46678</v>
      </c>
      <c s="28">
        <f t="shared" si="90"/>
        <v>0</v>
      </c>
      <c s="28">
        <f t="shared" si="93" ref="N1008:N1071">IF(ISNUMBER(N1007),N1007-M1008,$E$8)</f>
        <v>0</v>
      </c>
      <c s="28">
        <f t="shared" si="91"/>
        <v>0</v>
      </c>
      <c s="28"/>
    </row>
    <row r="1009" spans="12:16" ht="15" customHeight="1" hidden="1">
      <c r="L1009" s="60">
        <f t="shared" si="92"/>
        <v>46679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0" spans="12:16" ht="15" customHeight="1" hidden="1">
      <c r="L1010" s="60">
        <f t="shared" si="92"/>
        <v>46680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1" spans="12:16" ht="15" customHeight="1" hidden="1">
      <c r="L1011" s="60">
        <f t="shared" si="92"/>
        <v>46681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2" spans="12:16" ht="15" customHeight="1" hidden="1">
      <c r="L1012" s="60">
        <f t="shared" si="92"/>
        <v>46682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3" spans="12:16" ht="15" customHeight="1" hidden="1">
      <c r="L1013" s="60">
        <f t="shared" si="92"/>
        <v>46683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4" spans="12:16" ht="15" customHeight="1" hidden="1">
      <c r="L1014" s="60">
        <f t="shared" si="92"/>
        <v>46684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5" spans="12:16" ht="15" customHeight="1" hidden="1">
      <c r="L1015" s="60">
        <f t="shared" si="92"/>
        <v>46685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6" spans="12:16" ht="15" customHeight="1" hidden="1">
      <c r="L1016" s="60">
        <f t="shared" si="92"/>
        <v>46686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7" spans="12:16" ht="15" customHeight="1" hidden="1">
      <c r="L1017" s="60">
        <f t="shared" si="92"/>
        <v>46687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8" spans="12:16" ht="15" customHeight="1" hidden="1">
      <c r="L1018" s="60">
        <f t="shared" si="92"/>
        <v>46688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19" spans="12:16" ht="15" customHeight="1" hidden="1">
      <c r="L1019" s="60">
        <f t="shared" si="92"/>
        <v>46689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0" spans="12:16" ht="15" customHeight="1" hidden="1">
      <c r="L1020" s="60">
        <f t="shared" si="92"/>
        <v>46690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1" spans="12:16" ht="15" customHeight="1" hidden="1">
      <c r="L1021" s="60">
        <f t="shared" si="92"/>
        <v>46691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2" spans="12:16" ht="15" customHeight="1" hidden="1">
      <c r="L1022" s="60">
        <f t="shared" si="92"/>
        <v>46692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3" spans="12:16" ht="15" customHeight="1" hidden="1">
      <c r="L1023" s="60">
        <f t="shared" si="92"/>
        <v>46693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4" spans="12:16" ht="15" customHeight="1" hidden="1">
      <c r="L1024" s="60">
        <f t="shared" si="92"/>
        <v>46694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5" spans="12:16" ht="15" customHeight="1" hidden="1">
      <c r="L1025" s="60">
        <f t="shared" si="92"/>
        <v>46695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6" spans="12:16" ht="15" customHeight="1" hidden="1">
      <c r="L1026" s="60">
        <f t="shared" si="92"/>
        <v>46696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7" spans="12:16" ht="15" customHeight="1" hidden="1">
      <c r="L1027" s="60">
        <f t="shared" si="92"/>
        <v>46697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8" spans="12:16" ht="15" customHeight="1" hidden="1">
      <c r="L1028" s="60">
        <f t="shared" si="92"/>
        <v>46698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29" spans="12:16" ht="15" customHeight="1" hidden="1">
      <c r="L1029" s="60">
        <f t="shared" si="92"/>
        <v>46699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0" spans="12:16" ht="15" customHeight="1" hidden="1">
      <c r="L1030" s="60">
        <f t="shared" si="92"/>
        <v>46700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1" spans="12:16" ht="15" customHeight="1" hidden="1">
      <c r="L1031" s="60">
        <f t="shared" si="92"/>
        <v>46701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2" spans="12:16" ht="15" customHeight="1" hidden="1">
      <c r="L1032" s="60">
        <f t="shared" si="92"/>
        <v>46702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3" spans="12:16" ht="15" customHeight="1" hidden="1">
      <c r="L1033" s="60">
        <f t="shared" si="92"/>
        <v>46703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4" spans="12:16" ht="15" customHeight="1" hidden="1">
      <c r="L1034" s="60">
        <f t="shared" si="92"/>
        <v>46704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5" spans="12:16" ht="15" customHeight="1" hidden="1">
      <c r="L1035" s="60">
        <f t="shared" si="92"/>
        <v>46705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6" spans="12:16" ht="15" customHeight="1" hidden="1">
      <c r="L1036" s="60">
        <f t="shared" si="92"/>
        <v>46706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7" spans="12:16" ht="15" customHeight="1" hidden="1">
      <c r="L1037" s="60">
        <f t="shared" si="92"/>
        <v>46707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8" spans="12:16" ht="15" customHeight="1" hidden="1">
      <c r="L1038" s="60">
        <f t="shared" si="92"/>
        <v>46708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39" spans="12:16" ht="15" customHeight="1" hidden="1">
      <c r="L1039" s="60">
        <f t="shared" si="92"/>
        <v>46709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40" spans="12:16" ht="15" customHeight="1" hidden="1">
      <c r="L1040" s="60">
        <f t="shared" si="92"/>
        <v>46710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41" spans="12:16" ht="15" customHeight="1" hidden="1">
      <c r="L1041" s="60">
        <f t="shared" si="92"/>
        <v>46711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42" spans="12:16" ht="15" customHeight="1" hidden="1">
      <c r="L1042" s="60">
        <f t="shared" si="92"/>
        <v>46712</v>
      </c>
      <c s="28">
        <f t="shared" si="90"/>
        <v>0</v>
      </c>
      <c s="28">
        <f t="shared" si="93"/>
        <v>0</v>
      </c>
      <c s="28">
        <f t="shared" si="91"/>
        <v>0</v>
      </c>
      <c s="28"/>
    </row>
    <row r="1043" spans="12:16" ht="15" customHeight="1" hidden="1">
      <c r="L1043" s="60">
        <f t="shared" si="92"/>
        <v>46713</v>
      </c>
      <c s="28">
        <f t="shared" si="94" ref="M1043:M1106">IFERROR(VLOOKUP(L1043,$B$19:$E$80,4,FALSE),0)</f>
        <v>0</v>
      </c>
      <c s="28">
        <f t="shared" si="93"/>
        <v>0</v>
      </c>
      <c s="28">
        <f t="shared" si="95" ref="O1043:O1106">IFERROR(IF(ISNUMBER(N1042),N1042,$E$8)*IF(L1043&gt;=$J$8,$E$12,$E$12)/IF(MOD(YEAR(L1043),4),365,366)*IF(ISBLANK(L1042),L1043-$F$5,L1043-L1042),0)</f>
        <v>0</v>
      </c>
      <c s="28"/>
    </row>
    <row r="1044" spans="12:16" ht="15" customHeight="1" hidden="1">
      <c r="L1044" s="60">
        <f t="shared" si="92"/>
        <v>46714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45" spans="12:16" ht="15" customHeight="1" hidden="1">
      <c r="L1045" s="60">
        <f t="shared" si="92"/>
        <v>46715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46" spans="12:16" ht="15" customHeight="1" hidden="1">
      <c r="L1046" s="60">
        <f t="shared" si="92"/>
        <v>46716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47" spans="12:16" ht="15" customHeight="1" hidden="1">
      <c r="L1047" s="60">
        <f t="shared" si="92"/>
        <v>46717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48" spans="12:16" ht="15" customHeight="1" hidden="1">
      <c r="L1048" s="60">
        <f t="shared" si="92"/>
        <v>46718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49" spans="12:16" ht="15" customHeight="1" hidden="1">
      <c r="L1049" s="60">
        <f t="shared" si="92"/>
        <v>46719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0" spans="12:16" ht="15" customHeight="1" hidden="1">
      <c r="L1050" s="60">
        <f t="shared" si="92"/>
        <v>46720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1" spans="12:16" ht="15" customHeight="1" hidden="1">
      <c r="L1051" s="60">
        <f t="shared" si="92"/>
        <v>46721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2" spans="12:16" ht="15" customHeight="1" hidden="1">
      <c r="L1052" s="60">
        <f t="shared" si="92"/>
        <v>46722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3" spans="12:16" ht="15" customHeight="1" hidden="1">
      <c r="L1053" s="60">
        <f t="shared" si="92"/>
        <v>46723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4" spans="12:16" ht="15" customHeight="1" hidden="1">
      <c r="L1054" s="60">
        <f t="shared" si="92"/>
        <v>46724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5" spans="12:16" ht="15" customHeight="1" hidden="1">
      <c r="L1055" s="60">
        <f t="shared" si="92"/>
        <v>46725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6" spans="12:16" ht="15" customHeight="1" hidden="1">
      <c r="L1056" s="60">
        <f t="shared" si="92"/>
        <v>46726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7" spans="12:16" ht="15" customHeight="1" hidden="1">
      <c r="L1057" s="60">
        <f t="shared" si="92"/>
        <v>46727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8" spans="12:16" ht="15" customHeight="1" hidden="1">
      <c r="L1058" s="60">
        <f t="shared" si="96" ref="L1058:L1121">IFERROR(IF(MAX(L1057+1,$F$5+1)&gt;Дата_погашения_Займа,"-",MAX(L1057+1,$F$5+1)),"-")</f>
        <v>46728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59" spans="12:16" ht="15" customHeight="1" hidden="1">
      <c r="L1059" s="60">
        <f t="shared" si="96"/>
        <v>46729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0" spans="12:16" ht="15" customHeight="1" hidden="1">
      <c r="L1060" s="60">
        <f t="shared" si="96"/>
        <v>46730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1" spans="12:16" ht="15" customHeight="1" hidden="1">
      <c r="L1061" s="60">
        <f t="shared" si="96"/>
        <v>46731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2" spans="12:16" ht="15" customHeight="1" hidden="1">
      <c r="L1062" s="60">
        <f t="shared" si="96"/>
        <v>46732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3" spans="12:16" ht="15" customHeight="1" hidden="1">
      <c r="L1063" s="60">
        <f t="shared" si="96"/>
        <v>46733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4" spans="12:16" ht="15" customHeight="1" hidden="1">
      <c r="L1064" s="60">
        <f t="shared" si="96"/>
        <v>46734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5" spans="12:16" ht="15" customHeight="1" hidden="1">
      <c r="L1065" s="60">
        <f t="shared" si="96"/>
        <v>46735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6" spans="12:16" ht="15" customHeight="1" hidden="1">
      <c r="L1066" s="60">
        <f t="shared" si="96"/>
        <v>46736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7" spans="12:16" ht="15" customHeight="1" hidden="1">
      <c r="L1067" s="60">
        <f t="shared" si="96"/>
        <v>46737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8" spans="12:16" ht="15" customHeight="1" hidden="1">
      <c r="L1068" s="60">
        <f t="shared" si="96"/>
        <v>46738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69" spans="12:16" ht="15" customHeight="1" hidden="1">
      <c r="L1069" s="60">
        <f t="shared" si="96"/>
        <v>46739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70" spans="12:16" ht="15" customHeight="1" hidden="1">
      <c r="L1070" s="60">
        <f t="shared" si="96"/>
        <v>46740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71" spans="12:16" ht="15" customHeight="1" hidden="1">
      <c r="L1071" s="60">
        <f t="shared" si="96"/>
        <v>46741</v>
      </c>
      <c s="28">
        <f t="shared" si="94"/>
        <v>0</v>
      </c>
      <c s="28">
        <f t="shared" si="93"/>
        <v>0</v>
      </c>
      <c s="28">
        <f t="shared" si="95"/>
        <v>0</v>
      </c>
      <c s="28"/>
    </row>
    <row r="1072" spans="12:16" ht="15" customHeight="1" hidden="1">
      <c r="L1072" s="60">
        <f t="shared" si="96"/>
        <v>46742</v>
      </c>
      <c s="28">
        <f t="shared" si="94"/>
        <v>0</v>
      </c>
      <c s="28">
        <f t="shared" si="97" ref="N1072:N1135">IF(ISNUMBER(N1071),N1071-M1072,$E$8)</f>
        <v>0</v>
      </c>
      <c s="28">
        <f t="shared" si="95"/>
        <v>0</v>
      </c>
      <c s="28"/>
    </row>
    <row r="1073" spans="12:16" ht="15" customHeight="1" hidden="1">
      <c r="L1073" s="60">
        <f t="shared" si="96"/>
        <v>46743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74" spans="12:16" ht="15" customHeight="1" hidden="1">
      <c r="L1074" s="60">
        <f t="shared" si="96"/>
        <v>46744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75" spans="12:16" ht="15" customHeight="1" hidden="1">
      <c r="L1075" s="60">
        <f t="shared" si="96"/>
        <v>46745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76" spans="12:16" ht="15" customHeight="1" hidden="1">
      <c r="L1076" s="60">
        <f t="shared" si="96"/>
        <v>46746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77" spans="12:16" ht="15" customHeight="1" hidden="1">
      <c r="L1077" s="60">
        <f t="shared" si="96"/>
        <v>46747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78" spans="12:16" ht="15" customHeight="1" hidden="1">
      <c r="L1078" s="60">
        <f t="shared" si="96"/>
        <v>46748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79" spans="12:16" ht="15" customHeight="1" hidden="1">
      <c r="L1079" s="60">
        <f t="shared" si="96"/>
        <v>46749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0" spans="12:16" ht="15" customHeight="1" hidden="1">
      <c r="L1080" s="60">
        <f t="shared" si="96"/>
        <v>46750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1" spans="12:16" ht="15" customHeight="1" hidden="1">
      <c r="L1081" s="60">
        <f t="shared" si="96"/>
        <v>46751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2" spans="12:16" ht="15" customHeight="1" hidden="1">
      <c r="L1082" s="60">
        <f t="shared" si="96"/>
        <v>46752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3" spans="12:16" ht="15" customHeight="1" hidden="1">
      <c r="L1083" s="60">
        <f t="shared" si="96"/>
        <v>46753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4" spans="12:16" ht="15" customHeight="1" hidden="1">
      <c r="L1084" s="60">
        <f t="shared" si="96"/>
        <v>46754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5" spans="12:16" ht="15" customHeight="1" hidden="1">
      <c r="L1085" s="60">
        <f t="shared" si="96"/>
        <v>46755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6" spans="12:16" ht="15" customHeight="1" hidden="1">
      <c r="L1086" s="60">
        <f t="shared" si="96"/>
        <v>46756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7" spans="12:16" ht="15" customHeight="1" hidden="1">
      <c r="L1087" s="60">
        <f t="shared" si="96"/>
        <v>46757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8" spans="12:16" ht="15" customHeight="1" hidden="1">
      <c r="L1088" s="60">
        <f t="shared" si="96"/>
        <v>46758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89" spans="12:16" ht="15" customHeight="1" hidden="1">
      <c r="L1089" s="60">
        <f t="shared" si="96"/>
        <v>46759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0" spans="12:16" ht="15" customHeight="1" hidden="1">
      <c r="L1090" s="60">
        <f t="shared" si="96"/>
        <v>46760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1" spans="12:16" ht="15" customHeight="1" hidden="1">
      <c r="L1091" s="60">
        <f t="shared" si="96"/>
        <v>46761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2" spans="12:16" ht="15" customHeight="1" hidden="1">
      <c r="L1092" s="60">
        <f t="shared" si="96"/>
        <v>46762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3" spans="12:16" ht="15" customHeight="1" hidden="1">
      <c r="L1093" s="60">
        <f t="shared" si="96"/>
        <v>46763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4" spans="12:16" ht="15" customHeight="1" hidden="1">
      <c r="L1094" s="60">
        <f t="shared" si="96"/>
        <v>46764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5" spans="12:16" ht="15" customHeight="1" hidden="1">
      <c r="L1095" s="60">
        <f t="shared" si="96"/>
        <v>46765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6" spans="12:16" ht="15" customHeight="1" hidden="1">
      <c r="L1096" s="60">
        <f t="shared" si="96"/>
        <v>46766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7" spans="12:16" ht="15" customHeight="1" hidden="1">
      <c r="L1097" s="60">
        <f t="shared" si="96"/>
        <v>46767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8" spans="12:16" ht="15" customHeight="1" hidden="1">
      <c r="L1098" s="60">
        <f t="shared" si="96"/>
        <v>46768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099" spans="12:16" ht="15" customHeight="1" hidden="1">
      <c r="L1099" s="60">
        <f t="shared" si="96"/>
        <v>46769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0" spans="12:16" ht="15" customHeight="1" hidden="1">
      <c r="L1100" s="60">
        <f t="shared" si="96"/>
        <v>46770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1" spans="12:16" ht="15" customHeight="1" hidden="1">
      <c r="L1101" s="60">
        <f t="shared" si="96"/>
        <v>46771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2" spans="12:16" ht="15" customHeight="1" hidden="1">
      <c r="L1102" s="60">
        <f t="shared" si="96"/>
        <v>46772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3" spans="12:16" ht="15" customHeight="1" hidden="1">
      <c r="L1103" s="60">
        <f t="shared" si="96"/>
        <v>46773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4" spans="12:16" ht="15" customHeight="1" hidden="1">
      <c r="L1104" s="60">
        <f t="shared" si="96"/>
        <v>46774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5" spans="12:16" ht="15" customHeight="1" hidden="1">
      <c r="L1105" s="60">
        <f t="shared" si="96"/>
        <v>46775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6" spans="12:16" ht="15" customHeight="1" hidden="1">
      <c r="L1106" s="60">
        <f t="shared" si="96"/>
        <v>46776</v>
      </c>
      <c s="28">
        <f t="shared" si="94"/>
        <v>0</v>
      </c>
      <c s="28">
        <f t="shared" si="97"/>
        <v>0</v>
      </c>
      <c s="28">
        <f t="shared" si="95"/>
        <v>0</v>
      </c>
      <c s="28"/>
    </row>
    <row r="1107" spans="12:16" ht="15" customHeight="1" hidden="1">
      <c r="L1107" s="60">
        <f t="shared" si="96"/>
        <v>46777</v>
      </c>
      <c s="28">
        <f t="shared" si="98" ref="M1107:M1170">IFERROR(VLOOKUP(L1107,$B$19:$E$80,4,FALSE),0)</f>
        <v>0</v>
      </c>
      <c s="28">
        <f t="shared" si="97"/>
        <v>0</v>
      </c>
      <c s="28">
        <f t="shared" si="99" ref="O1107:O1170">IFERROR(IF(ISNUMBER(N1106),N1106,$E$8)*IF(L1107&gt;=$J$8,$E$12,$E$12)/IF(MOD(YEAR(L1107),4),365,366)*IF(ISBLANK(L1106),L1107-$F$5,L1107-L1106),0)</f>
        <v>0</v>
      </c>
      <c s="28"/>
    </row>
    <row r="1108" spans="12:16" ht="15" customHeight="1" hidden="1">
      <c r="L1108" s="60">
        <f t="shared" si="96"/>
        <v>46778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09" spans="12:16" ht="15" customHeight="1" hidden="1">
      <c r="L1109" s="60">
        <f t="shared" si="96"/>
        <v>46779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0" spans="12:16" ht="15" customHeight="1" hidden="1">
      <c r="L1110" s="60">
        <f t="shared" si="96"/>
        <v>46780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1" spans="12:16" ht="15" customHeight="1" hidden="1">
      <c r="L1111" s="60">
        <f t="shared" si="96"/>
        <v>46781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2" spans="12:16" ht="15" customHeight="1" hidden="1">
      <c r="L1112" s="60">
        <f t="shared" si="96"/>
        <v>46782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3" spans="12:16" ht="15" customHeight="1" hidden="1">
      <c r="L1113" s="60">
        <f t="shared" si="96"/>
        <v>46783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4" spans="12:16" ht="15" customHeight="1" hidden="1">
      <c r="L1114" s="60">
        <f t="shared" si="96"/>
        <v>46784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5" spans="12:16" ht="15" customHeight="1" hidden="1">
      <c r="L1115" s="60">
        <f t="shared" si="96"/>
        <v>46785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6" spans="12:16" ht="15" customHeight="1" hidden="1">
      <c r="L1116" s="60">
        <f t="shared" si="96"/>
        <v>46786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7" spans="12:16" ht="15" customHeight="1" hidden="1">
      <c r="L1117" s="60">
        <f t="shared" si="96"/>
        <v>46787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8" spans="12:16" ht="15" customHeight="1" hidden="1">
      <c r="L1118" s="60">
        <f t="shared" si="96"/>
        <v>46788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19" spans="12:16" ht="15" customHeight="1" hidden="1">
      <c r="L1119" s="60">
        <f t="shared" si="96"/>
        <v>46789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0" spans="12:16" ht="15" customHeight="1" hidden="1">
      <c r="L1120" s="60">
        <f t="shared" si="96"/>
        <v>46790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1" spans="12:16" ht="15" customHeight="1" hidden="1">
      <c r="L1121" s="60">
        <f t="shared" si="96"/>
        <v>46791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2" spans="12:16" ht="15" customHeight="1" hidden="1">
      <c r="L1122" s="60">
        <f t="shared" si="100" ref="L1122:L1185">IFERROR(IF(MAX(L1121+1,$F$5+1)&gt;Дата_погашения_Займа,"-",MAX(L1121+1,$F$5+1)),"-")</f>
        <v>46792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3" spans="12:16" ht="15" customHeight="1" hidden="1">
      <c r="L1123" s="60">
        <f t="shared" si="100"/>
        <v>46793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4" spans="12:16" ht="15" customHeight="1" hidden="1">
      <c r="L1124" s="60">
        <f t="shared" si="100"/>
        <v>46794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5" spans="12:16" ht="15" customHeight="1" hidden="1">
      <c r="L1125" s="60">
        <f t="shared" si="100"/>
        <v>46795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6" spans="12:16" ht="15" customHeight="1" hidden="1">
      <c r="L1126" s="60">
        <f t="shared" si="100"/>
        <v>46796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7" spans="12:16" ht="15" customHeight="1" hidden="1">
      <c r="L1127" s="60">
        <f t="shared" si="100"/>
        <v>46797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8" spans="12:16" ht="15" customHeight="1" hidden="1">
      <c r="L1128" s="60">
        <f t="shared" si="100"/>
        <v>46798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29" spans="12:16" ht="15" customHeight="1" hidden="1">
      <c r="L1129" s="60">
        <f t="shared" si="100"/>
        <v>46799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0" spans="12:16" ht="15" customHeight="1" hidden="1">
      <c r="L1130" s="60">
        <f t="shared" si="100"/>
        <v>46800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1" spans="12:16" ht="15" customHeight="1" hidden="1">
      <c r="L1131" s="60">
        <f t="shared" si="100"/>
        <v>46801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2" spans="12:16" ht="15" customHeight="1" hidden="1">
      <c r="L1132" s="60">
        <f t="shared" si="100"/>
        <v>46802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3" spans="12:16" ht="15" customHeight="1" hidden="1">
      <c r="L1133" s="60">
        <f t="shared" si="100"/>
        <v>46803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4" spans="12:16" ht="15" customHeight="1" hidden="1">
      <c r="L1134" s="60">
        <f t="shared" si="100"/>
        <v>46804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5" spans="12:16" ht="15" customHeight="1" hidden="1">
      <c r="L1135" s="60">
        <f t="shared" si="100"/>
        <v>46805</v>
      </c>
      <c s="28">
        <f t="shared" si="98"/>
        <v>0</v>
      </c>
      <c s="28">
        <f t="shared" si="97"/>
        <v>0</v>
      </c>
      <c s="28">
        <f t="shared" si="99"/>
        <v>0</v>
      </c>
      <c s="28"/>
    </row>
    <row r="1136" spans="12:16" ht="15" customHeight="1" hidden="1">
      <c r="L1136" s="60">
        <f t="shared" si="100"/>
        <v>46806</v>
      </c>
      <c s="28">
        <f t="shared" si="98"/>
        <v>0</v>
      </c>
      <c s="28">
        <f t="shared" si="101" ref="N1136:N1199">IF(ISNUMBER(N1135),N1135-M1136,$E$8)</f>
        <v>0</v>
      </c>
      <c s="28">
        <f t="shared" si="99"/>
        <v>0</v>
      </c>
      <c s="28"/>
    </row>
    <row r="1137" spans="12:16" ht="15" customHeight="1" hidden="1">
      <c r="L1137" s="60">
        <f t="shared" si="100"/>
        <v>46807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38" spans="12:16" ht="15" customHeight="1" hidden="1">
      <c r="L1138" s="60">
        <f t="shared" si="100"/>
        <v>46808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39" spans="12:16" ht="15" customHeight="1" hidden="1">
      <c r="L1139" s="60">
        <f t="shared" si="100"/>
        <v>46809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0" spans="12:16" ht="15" customHeight="1" hidden="1">
      <c r="L1140" s="60">
        <f t="shared" si="100"/>
        <v>46810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1" spans="12:16" ht="15" customHeight="1" hidden="1">
      <c r="L1141" s="60">
        <f t="shared" si="100"/>
        <v>46811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2" spans="12:16" ht="15" customHeight="1" hidden="1">
      <c r="L1142" s="60">
        <f t="shared" si="100"/>
        <v>46812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3" spans="12:16" ht="15" customHeight="1" hidden="1">
      <c r="L1143" s="60">
        <f t="shared" si="100"/>
        <v>46813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4" spans="12:16" ht="15" customHeight="1" hidden="1">
      <c r="L1144" s="60">
        <f t="shared" si="100"/>
        <v>46814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5" spans="12:16" ht="15" customHeight="1" hidden="1">
      <c r="L1145" s="60">
        <f t="shared" si="100"/>
        <v>46815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6" spans="12:16" ht="15" customHeight="1" hidden="1">
      <c r="L1146" s="60">
        <f t="shared" si="100"/>
        <v>46816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7" spans="12:16" ht="15" customHeight="1" hidden="1">
      <c r="L1147" s="60">
        <f t="shared" si="100"/>
        <v>46817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8" spans="12:16" ht="15" customHeight="1" hidden="1">
      <c r="L1148" s="60">
        <f t="shared" si="100"/>
        <v>46818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49" spans="12:16" ht="15" customHeight="1" hidden="1">
      <c r="L1149" s="60">
        <f t="shared" si="100"/>
        <v>46819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0" spans="12:16" ht="15" customHeight="1" hidden="1">
      <c r="L1150" s="60">
        <f t="shared" si="100"/>
        <v>46820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1" spans="12:16" ht="15" customHeight="1" hidden="1">
      <c r="L1151" s="60">
        <f t="shared" si="100"/>
        <v>46821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2" spans="12:16" ht="15" customHeight="1" hidden="1">
      <c r="L1152" s="60">
        <f t="shared" si="100"/>
        <v>46822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3" spans="12:16" ht="15" customHeight="1" hidden="1">
      <c r="L1153" s="60">
        <f t="shared" si="100"/>
        <v>46823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4" spans="12:16" ht="15" customHeight="1" hidden="1">
      <c r="L1154" s="60">
        <f t="shared" si="100"/>
        <v>46824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5" spans="12:16" ht="15" customHeight="1" hidden="1">
      <c r="L1155" s="60">
        <f t="shared" si="100"/>
        <v>46825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6" spans="12:16" ht="15" customHeight="1" hidden="1">
      <c r="L1156" s="60">
        <f t="shared" si="100"/>
        <v>46826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7" spans="12:16" ht="15" customHeight="1" hidden="1">
      <c r="L1157" s="60">
        <f t="shared" si="100"/>
        <v>46827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8" spans="12:16" ht="15" customHeight="1" hidden="1">
      <c r="L1158" s="60">
        <f t="shared" si="100"/>
        <v>46828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59" spans="12:16" ht="15" customHeight="1" hidden="1">
      <c r="L1159" s="60">
        <f t="shared" si="100"/>
        <v>46829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0" spans="12:16" ht="15" customHeight="1" hidden="1">
      <c r="L1160" s="60">
        <f t="shared" si="100"/>
        <v>46830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1" spans="12:16" ht="15" customHeight="1" hidden="1">
      <c r="L1161" s="60">
        <f t="shared" si="100"/>
        <v>46831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2" spans="12:16" ht="15" customHeight="1" hidden="1">
      <c r="L1162" s="60">
        <f t="shared" si="100"/>
        <v>46832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3" spans="12:16" ht="15" customHeight="1" hidden="1">
      <c r="L1163" s="60">
        <f t="shared" si="100"/>
        <v>46833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4" spans="12:16" ht="15" customHeight="1" hidden="1">
      <c r="L1164" s="60">
        <f t="shared" si="100"/>
        <v>46834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5" spans="12:16" ht="15" customHeight="1" hidden="1">
      <c r="L1165" s="60">
        <f t="shared" si="100"/>
        <v>46835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6" spans="12:16" ht="15" customHeight="1" hidden="1">
      <c r="L1166" s="60">
        <f t="shared" si="100"/>
        <v>46836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7" spans="12:16" ht="15" customHeight="1" hidden="1">
      <c r="L1167" s="60">
        <f t="shared" si="100"/>
        <v>46837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8" spans="12:16" ht="15" customHeight="1" hidden="1">
      <c r="L1168" s="60">
        <f t="shared" si="100"/>
        <v>46838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69" spans="12:16" ht="15" customHeight="1" hidden="1">
      <c r="L1169" s="60">
        <f t="shared" si="100"/>
        <v>46839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70" spans="12:16" ht="15" customHeight="1" hidden="1">
      <c r="L1170" s="60">
        <f t="shared" si="100"/>
        <v>46840</v>
      </c>
      <c s="28">
        <f t="shared" si="98"/>
        <v>0</v>
      </c>
      <c s="28">
        <f t="shared" si="101"/>
        <v>0</v>
      </c>
      <c s="28">
        <f t="shared" si="99"/>
        <v>0</v>
      </c>
      <c s="28"/>
    </row>
    <row r="1171" spans="12:16" ht="15" customHeight="1" hidden="1">
      <c r="L1171" s="60">
        <f t="shared" si="100"/>
        <v>46841</v>
      </c>
      <c s="28">
        <f t="shared" si="102" ref="M1171:M1234">IFERROR(VLOOKUP(L1171,$B$19:$E$80,4,FALSE),0)</f>
        <v>0</v>
      </c>
      <c s="28">
        <f t="shared" si="101"/>
        <v>0</v>
      </c>
      <c s="28">
        <f t="shared" si="103" ref="O1171:O1234">IFERROR(IF(ISNUMBER(N1170),N1170,$E$8)*IF(L1171&gt;=$J$8,$E$12,$E$12)/IF(MOD(YEAR(L1171),4),365,366)*IF(ISBLANK(L1170),L1171-$F$5,L1171-L1170),0)</f>
        <v>0</v>
      </c>
      <c s="28"/>
    </row>
    <row r="1172" spans="12:16" ht="15" customHeight="1" hidden="1">
      <c r="L1172" s="60">
        <f t="shared" si="100"/>
        <v>46842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3" spans="12:16" ht="15" customHeight="1" hidden="1">
      <c r="L1173" s="60">
        <f t="shared" si="100"/>
        <v>46843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4" spans="12:16" ht="15" customHeight="1" hidden="1">
      <c r="L1174" s="60">
        <f t="shared" si="100"/>
        <v>46844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5" spans="12:16" ht="15" customHeight="1" hidden="1">
      <c r="L1175" s="60">
        <f t="shared" si="100"/>
        <v>46845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6" spans="12:16" ht="15" customHeight="1" hidden="1">
      <c r="L1176" s="60">
        <f t="shared" si="100"/>
        <v>46846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7" spans="12:16" ht="15" customHeight="1" hidden="1">
      <c r="L1177" s="60">
        <f t="shared" si="100"/>
        <v>46847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8" spans="12:16" ht="15" customHeight="1" hidden="1">
      <c r="L1178" s="60">
        <f t="shared" si="100"/>
        <v>46848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79" spans="12:16" ht="15" customHeight="1" hidden="1">
      <c r="L1179" s="60">
        <f t="shared" si="100"/>
        <v>46849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0" spans="12:16" ht="15" customHeight="1" hidden="1">
      <c r="L1180" s="60">
        <f t="shared" si="100"/>
        <v>46850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1" spans="12:16" ht="15" customHeight="1" hidden="1">
      <c r="L1181" s="60">
        <f t="shared" si="100"/>
        <v>46851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2" spans="12:16" ht="15" customHeight="1" hidden="1">
      <c r="L1182" s="60">
        <f t="shared" si="100"/>
        <v>46852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3" spans="12:16" ht="15" customHeight="1" hidden="1">
      <c r="L1183" s="60">
        <f t="shared" si="100"/>
        <v>46853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4" spans="12:16" ht="15" customHeight="1" hidden="1">
      <c r="L1184" s="60">
        <f t="shared" si="100"/>
        <v>46854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5" spans="12:16" ht="15" customHeight="1" hidden="1">
      <c r="L1185" s="60">
        <f t="shared" si="100"/>
        <v>46855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6" spans="12:16" ht="15" customHeight="1" hidden="1">
      <c r="L1186" s="60">
        <f t="shared" si="104" ref="L1186:L1249">IFERROR(IF(MAX(L1185+1,$F$5+1)&gt;Дата_погашения_Займа,"-",MAX(L1185+1,$F$5+1)),"-")</f>
        <v>46856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7" spans="12:16" ht="15" customHeight="1" hidden="1">
      <c r="L1187" s="60">
        <f t="shared" si="104"/>
        <v>46857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8" spans="12:16" ht="15" customHeight="1" hidden="1">
      <c r="L1188" s="60">
        <f t="shared" si="104"/>
        <v>46858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89" spans="12:16" ht="15" customHeight="1" hidden="1">
      <c r="L1189" s="60">
        <f t="shared" si="104"/>
        <v>46859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0" spans="12:16" ht="15" customHeight="1" hidden="1">
      <c r="L1190" s="60">
        <f t="shared" si="104"/>
        <v>46860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1" spans="12:16" ht="15" customHeight="1" hidden="1">
      <c r="L1191" s="60">
        <f t="shared" si="104"/>
        <v>46861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2" spans="12:16" ht="15" customHeight="1" hidden="1">
      <c r="L1192" s="60">
        <f t="shared" si="104"/>
        <v>46862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3" spans="12:16" ht="15" customHeight="1" hidden="1">
      <c r="L1193" s="60">
        <f t="shared" si="104"/>
        <v>46863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4" spans="12:16" ht="15" customHeight="1" hidden="1">
      <c r="L1194" s="60">
        <f t="shared" si="104"/>
        <v>46864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5" spans="12:16" ht="15" customHeight="1" hidden="1">
      <c r="L1195" s="60">
        <f t="shared" si="104"/>
        <v>46865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6" spans="12:16" ht="15" customHeight="1" hidden="1">
      <c r="L1196" s="60">
        <f t="shared" si="104"/>
        <v>46866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7" spans="12:16" ht="15" customHeight="1" hidden="1">
      <c r="L1197" s="60">
        <f t="shared" si="104"/>
        <v>46867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8" spans="12:16" ht="15" customHeight="1" hidden="1">
      <c r="L1198" s="60">
        <f t="shared" si="104"/>
        <v>46868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199" spans="12:16" ht="15" customHeight="1" hidden="1">
      <c r="L1199" s="60">
        <f t="shared" si="104"/>
        <v>46869</v>
      </c>
      <c s="28">
        <f t="shared" si="102"/>
        <v>0</v>
      </c>
      <c s="28">
        <f t="shared" si="101"/>
        <v>0</v>
      </c>
      <c s="28">
        <f t="shared" si="103"/>
        <v>0</v>
      </c>
      <c s="28"/>
    </row>
    <row r="1200" spans="12:16" ht="15" customHeight="1" hidden="1">
      <c r="L1200" s="60">
        <f t="shared" si="104"/>
        <v>46870</v>
      </c>
      <c s="28">
        <f t="shared" si="102"/>
        <v>0</v>
      </c>
      <c s="28">
        <f t="shared" si="105" ref="N1200:N1263">IF(ISNUMBER(N1199),N1199-M1200,$E$8)</f>
        <v>0</v>
      </c>
      <c s="28">
        <f t="shared" si="103"/>
        <v>0</v>
      </c>
      <c s="28"/>
    </row>
    <row r="1201" spans="12:16" ht="15" customHeight="1" hidden="1">
      <c r="L1201" s="60">
        <f t="shared" si="104"/>
        <v>46871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2" spans="12:16" ht="15" customHeight="1" hidden="1">
      <c r="L1202" s="60">
        <f t="shared" si="104"/>
        <v>46872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3" spans="12:16" ht="15" customHeight="1" hidden="1">
      <c r="L1203" s="60">
        <f t="shared" si="104"/>
        <v>46873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4" spans="12:16" ht="15" customHeight="1" hidden="1">
      <c r="L1204" s="60">
        <f t="shared" si="104"/>
        <v>46874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5" spans="12:16" ht="15" customHeight="1" hidden="1">
      <c r="L1205" s="60">
        <f t="shared" si="104"/>
        <v>46875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6" spans="12:16" ht="15" customHeight="1" hidden="1">
      <c r="L1206" s="60">
        <f t="shared" si="104"/>
        <v>46876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7" spans="12:16" ht="15" customHeight="1" hidden="1">
      <c r="L1207" s="60">
        <f t="shared" si="104"/>
        <v>46877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8" spans="12:16" ht="15" customHeight="1" hidden="1">
      <c r="L1208" s="60">
        <f t="shared" si="104"/>
        <v>46878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09" spans="12:16" ht="15" customHeight="1" hidden="1">
      <c r="L1209" s="60">
        <f t="shared" si="104"/>
        <v>46879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0" spans="12:16" ht="15" customHeight="1" hidden="1">
      <c r="L1210" s="60">
        <f t="shared" si="104"/>
        <v>46880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1" spans="12:16" ht="15" customHeight="1" hidden="1">
      <c r="L1211" s="60">
        <f t="shared" si="104"/>
        <v>46881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2" spans="12:16" ht="15" customHeight="1" hidden="1">
      <c r="L1212" s="60">
        <f t="shared" si="104"/>
        <v>46882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3" spans="12:16" ht="15" customHeight="1" hidden="1">
      <c r="L1213" s="60">
        <f t="shared" si="104"/>
        <v>46883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4" spans="12:16" ht="15" customHeight="1" hidden="1">
      <c r="L1214" s="60">
        <f t="shared" si="104"/>
        <v>46884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5" spans="12:16" ht="15" customHeight="1" hidden="1">
      <c r="L1215" s="60">
        <f t="shared" si="104"/>
        <v>46885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6" spans="12:16" ht="15" customHeight="1" hidden="1">
      <c r="L1216" s="60">
        <f t="shared" si="104"/>
        <v>46886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7" spans="12:16" ht="15" customHeight="1" hidden="1">
      <c r="L1217" s="60">
        <f t="shared" si="104"/>
        <v>46887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8" spans="12:16" ht="15" customHeight="1" hidden="1">
      <c r="L1218" s="60">
        <f t="shared" si="104"/>
        <v>46888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19" spans="12:16" ht="15" customHeight="1" hidden="1">
      <c r="L1219" s="60">
        <f t="shared" si="104"/>
        <v>46889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0" spans="12:16" ht="15" customHeight="1" hidden="1">
      <c r="L1220" s="60">
        <f t="shared" si="104"/>
        <v>46890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1" spans="12:16" ht="15" customHeight="1" hidden="1">
      <c r="L1221" s="60">
        <f t="shared" si="104"/>
        <v>46891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2" spans="12:16" ht="15" customHeight="1" hidden="1">
      <c r="L1222" s="60">
        <f t="shared" si="104"/>
        <v>46892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3" spans="12:16" ht="15" customHeight="1" hidden="1">
      <c r="L1223" s="60">
        <f t="shared" si="104"/>
        <v>46893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4" spans="12:16" ht="15" customHeight="1" hidden="1">
      <c r="L1224" s="60">
        <f t="shared" si="104"/>
        <v>46894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5" spans="12:16" ht="15" customHeight="1" hidden="1">
      <c r="L1225" s="60">
        <f t="shared" si="104"/>
        <v>46895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6" spans="12:16" ht="15" customHeight="1" hidden="1">
      <c r="L1226" s="60">
        <f t="shared" si="104"/>
        <v>46896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7" spans="12:16" ht="15" customHeight="1" hidden="1">
      <c r="L1227" s="60">
        <f t="shared" si="104"/>
        <v>46897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8" spans="12:16" ht="15" customHeight="1" hidden="1">
      <c r="L1228" s="60">
        <f t="shared" si="104"/>
        <v>46898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29" spans="12:16" ht="15" customHeight="1" hidden="1">
      <c r="L1229" s="60">
        <f t="shared" si="104"/>
        <v>46899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30" spans="12:16" ht="15" customHeight="1" hidden="1">
      <c r="L1230" s="60">
        <f t="shared" si="104"/>
        <v>46900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31" spans="12:16" ht="15" customHeight="1" hidden="1">
      <c r="L1231" s="60">
        <f t="shared" si="104"/>
        <v>46901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32" spans="12:16" ht="15" customHeight="1" hidden="1">
      <c r="L1232" s="60">
        <f t="shared" si="104"/>
        <v>46902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33" spans="12:16" ht="15" customHeight="1" hidden="1">
      <c r="L1233" s="60">
        <f t="shared" si="104"/>
        <v>46903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34" spans="12:16" ht="15" customHeight="1" hidden="1">
      <c r="L1234" s="60">
        <f t="shared" si="104"/>
        <v>46904</v>
      </c>
      <c s="28">
        <f t="shared" si="102"/>
        <v>0</v>
      </c>
      <c s="28">
        <f t="shared" si="105"/>
        <v>0</v>
      </c>
      <c s="28">
        <f t="shared" si="103"/>
        <v>0</v>
      </c>
      <c s="28"/>
    </row>
    <row r="1235" spans="12:16" ht="15" customHeight="1" hidden="1">
      <c r="L1235" s="60">
        <f t="shared" si="104"/>
        <v>46905</v>
      </c>
      <c s="28">
        <f t="shared" si="106" ref="M1235:M1298">IFERROR(VLOOKUP(L1235,$B$19:$E$80,4,FALSE),0)</f>
        <v>0</v>
      </c>
      <c s="28">
        <f t="shared" si="105"/>
        <v>0</v>
      </c>
      <c s="28">
        <f t="shared" si="107" ref="O1235:O1298">IFERROR(IF(ISNUMBER(N1234),N1234,$E$8)*IF(L1235&gt;=$J$8,$E$12,$E$12)/IF(MOD(YEAR(L1235),4),365,366)*IF(ISBLANK(L1234),L1235-$F$5,L1235-L1234),0)</f>
        <v>0</v>
      </c>
      <c s="28"/>
    </row>
    <row r="1236" spans="12:16" ht="15" customHeight="1" hidden="1">
      <c r="L1236" s="60">
        <f t="shared" si="104"/>
        <v>46906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37" spans="12:16" ht="15" customHeight="1" hidden="1">
      <c r="L1237" s="60">
        <f t="shared" si="104"/>
        <v>46907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38" spans="12:16" ht="15" customHeight="1" hidden="1">
      <c r="L1238" s="60">
        <f t="shared" si="104"/>
        <v>46908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39" spans="12:16" ht="15" customHeight="1" hidden="1">
      <c r="L1239" s="60">
        <f t="shared" si="104"/>
        <v>46909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0" spans="12:16" ht="15" customHeight="1" hidden="1">
      <c r="L1240" s="60">
        <f t="shared" si="104"/>
        <v>46910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1" spans="12:16" ht="15" customHeight="1" hidden="1">
      <c r="L1241" s="60">
        <f t="shared" si="104"/>
        <v>46911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2" spans="12:16" ht="15" customHeight="1" hidden="1">
      <c r="L1242" s="60">
        <f t="shared" si="104"/>
        <v>46912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3" spans="12:16" ht="15" customHeight="1" hidden="1">
      <c r="L1243" s="60">
        <f t="shared" si="104"/>
        <v>46913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4" spans="12:16" ht="15" customHeight="1" hidden="1">
      <c r="L1244" s="60">
        <f t="shared" si="104"/>
        <v>46914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5" spans="12:16" ht="15" customHeight="1" hidden="1">
      <c r="L1245" s="60">
        <f t="shared" si="104"/>
        <v>46915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6" spans="12:16" ht="15" customHeight="1" hidden="1">
      <c r="L1246" s="60">
        <f t="shared" si="104"/>
        <v>46916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7" spans="12:16" ht="15" customHeight="1" hidden="1">
      <c r="L1247" s="60">
        <f t="shared" si="104"/>
        <v>46917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8" spans="12:16" ht="15" customHeight="1" hidden="1">
      <c r="L1248" s="60">
        <f t="shared" si="104"/>
        <v>46918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49" spans="12:16" ht="15" customHeight="1" hidden="1">
      <c r="L1249" s="60">
        <f t="shared" si="104"/>
        <v>46919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0" spans="12:16" ht="15" customHeight="1" hidden="1">
      <c r="L1250" s="60">
        <f t="shared" si="108" ref="L1250:L1313">IFERROR(IF(MAX(L1249+1,$F$5+1)&gt;Дата_погашения_Займа,"-",MAX(L1249+1,$F$5+1)),"-")</f>
        <v>46920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1" spans="12:16" ht="15" customHeight="1" hidden="1">
      <c r="L1251" s="60">
        <f t="shared" si="108"/>
        <v>46921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2" spans="12:16" ht="15" customHeight="1" hidden="1">
      <c r="L1252" s="60">
        <f t="shared" si="108"/>
        <v>46922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3" spans="12:16" ht="15" customHeight="1" hidden="1">
      <c r="L1253" s="60">
        <f t="shared" si="108"/>
        <v>46923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4" spans="12:16" ht="15" customHeight="1" hidden="1">
      <c r="L1254" s="60">
        <f t="shared" si="108"/>
        <v>46924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5" spans="12:16" ht="15" customHeight="1" hidden="1">
      <c r="L1255" s="60">
        <f t="shared" si="108"/>
        <v>46925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6" spans="12:16" ht="15" customHeight="1" hidden="1">
      <c r="L1256" s="60">
        <f t="shared" si="108"/>
        <v>46926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7" spans="12:16" ht="15" customHeight="1" hidden="1">
      <c r="L1257" s="60">
        <f t="shared" si="108"/>
        <v>46927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8" spans="12:16" ht="15" customHeight="1" hidden="1">
      <c r="L1258" s="60">
        <f t="shared" si="108"/>
        <v>46928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59" spans="12:16" ht="15" customHeight="1" hidden="1">
      <c r="L1259" s="60">
        <f t="shared" si="108"/>
        <v>46929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60" spans="12:16" ht="15" customHeight="1" hidden="1">
      <c r="L1260" s="60">
        <f t="shared" si="108"/>
        <v>46930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61" spans="12:16" ht="15" customHeight="1" hidden="1">
      <c r="L1261" s="60">
        <f t="shared" si="108"/>
        <v>46931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62" spans="12:16" ht="15" customHeight="1" hidden="1">
      <c r="L1262" s="60">
        <f t="shared" si="108"/>
        <v>46932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63" spans="12:16" ht="15" customHeight="1" hidden="1">
      <c r="L1263" s="60">
        <f t="shared" si="108"/>
        <v>46933</v>
      </c>
      <c s="28">
        <f t="shared" si="106"/>
        <v>0</v>
      </c>
      <c s="28">
        <f t="shared" si="105"/>
        <v>0</v>
      </c>
      <c s="28">
        <f t="shared" si="107"/>
        <v>0</v>
      </c>
      <c s="28"/>
    </row>
    <row r="1264" spans="12:16" ht="15" customHeight="1" hidden="1">
      <c r="L1264" s="60">
        <f t="shared" si="108"/>
        <v>46934</v>
      </c>
      <c s="28">
        <f t="shared" si="106"/>
        <v>0</v>
      </c>
      <c s="28">
        <f t="shared" si="109" ref="N1264:N1327">IF(ISNUMBER(N1263),N1263-M1264,$E$8)</f>
        <v>0</v>
      </c>
      <c s="28">
        <f t="shared" si="107"/>
        <v>0</v>
      </c>
      <c s="28"/>
    </row>
    <row r="1265" spans="12:16" ht="15" customHeight="1" hidden="1">
      <c r="L1265" s="60">
        <f t="shared" si="108"/>
        <v>46935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66" spans="12:16" ht="15" customHeight="1" hidden="1">
      <c r="L1266" s="60">
        <f t="shared" si="108"/>
        <v>46936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67" spans="12:16" ht="15" customHeight="1" hidden="1">
      <c r="L1267" s="60">
        <f t="shared" si="108"/>
        <v>46937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68" spans="12:16" ht="15" customHeight="1" hidden="1">
      <c r="L1268" s="60">
        <f t="shared" si="108"/>
        <v>46938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69" spans="12:16" ht="15" customHeight="1" hidden="1">
      <c r="L1269" s="60">
        <f t="shared" si="108"/>
        <v>46939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0" spans="12:16" ht="15" customHeight="1" hidden="1">
      <c r="L1270" s="60">
        <f t="shared" si="108"/>
        <v>46940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1" spans="12:16" ht="15" customHeight="1" hidden="1">
      <c r="L1271" s="60">
        <f t="shared" si="108"/>
        <v>46941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2" spans="12:16" ht="15" customHeight="1" hidden="1">
      <c r="L1272" s="60">
        <f t="shared" si="108"/>
        <v>46942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3" spans="12:16" ht="15" customHeight="1" hidden="1">
      <c r="L1273" s="60">
        <f t="shared" si="108"/>
        <v>46943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4" spans="12:16" ht="15" customHeight="1" hidden="1">
      <c r="L1274" s="60">
        <f t="shared" si="108"/>
        <v>46944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5" spans="12:16" ht="15" customHeight="1" hidden="1">
      <c r="L1275" s="60">
        <f t="shared" si="108"/>
        <v>46945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6" spans="12:16" ht="15" customHeight="1" hidden="1">
      <c r="L1276" s="60">
        <f t="shared" si="108"/>
        <v>46946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7" spans="12:16" ht="15" customHeight="1" hidden="1">
      <c r="L1277" s="60">
        <f t="shared" si="108"/>
        <v>46947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8" spans="12:16" ht="15" customHeight="1" hidden="1">
      <c r="L1278" s="60">
        <f t="shared" si="108"/>
        <v>46948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79" spans="12:16" ht="15" customHeight="1" hidden="1">
      <c r="L1279" s="60">
        <f t="shared" si="108"/>
        <v>46949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0" spans="12:16" ht="15" customHeight="1" hidden="1">
      <c r="L1280" s="60">
        <f t="shared" si="108"/>
        <v>46950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1" spans="12:16" ht="15" customHeight="1" hidden="1">
      <c r="L1281" s="60">
        <f t="shared" si="108"/>
        <v>46951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2" spans="12:16" ht="15" customHeight="1" hidden="1">
      <c r="L1282" s="60">
        <f t="shared" si="108"/>
        <v>46952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3" spans="12:16" ht="15" customHeight="1" hidden="1">
      <c r="L1283" s="60">
        <f t="shared" si="108"/>
        <v>46953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4" spans="12:16" ht="15" customHeight="1" hidden="1">
      <c r="L1284" s="60">
        <f t="shared" si="108"/>
        <v>46954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5" spans="12:16" ht="15" customHeight="1" hidden="1">
      <c r="L1285" s="60">
        <f t="shared" si="108"/>
        <v>46955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6" spans="12:16" ht="15" customHeight="1" hidden="1">
      <c r="L1286" s="60">
        <f t="shared" si="108"/>
        <v>46956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7" spans="12:16" ht="15" customHeight="1" hidden="1">
      <c r="L1287" s="60">
        <f t="shared" si="108"/>
        <v>46957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8" spans="12:16" ht="15" customHeight="1" hidden="1">
      <c r="L1288" s="60">
        <f t="shared" si="108"/>
        <v>46958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89" spans="12:16" ht="15" customHeight="1" hidden="1">
      <c r="L1289" s="60">
        <f t="shared" si="108"/>
        <v>46959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0" spans="12:16" ht="15" customHeight="1" hidden="1">
      <c r="L1290" s="60">
        <f t="shared" si="108"/>
        <v>46960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1" spans="12:16" ht="15" customHeight="1" hidden="1">
      <c r="L1291" s="60">
        <f t="shared" si="108"/>
        <v>46961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2" spans="12:16" ht="15" customHeight="1" hidden="1">
      <c r="L1292" s="60">
        <f t="shared" si="108"/>
        <v>46962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3" spans="12:16" ht="15" customHeight="1" hidden="1">
      <c r="L1293" s="60">
        <f t="shared" si="108"/>
        <v>46963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4" spans="12:16" ht="15" customHeight="1" hidden="1">
      <c r="L1294" s="60">
        <f t="shared" si="108"/>
        <v>46964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5" spans="12:16" ht="15" customHeight="1" hidden="1">
      <c r="L1295" s="60">
        <f t="shared" si="108"/>
        <v>46965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6" spans="12:16" ht="15" customHeight="1" hidden="1">
      <c r="L1296" s="60">
        <f t="shared" si="108"/>
        <v>46966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7" spans="12:16" ht="15" customHeight="1" hidden="1">
      <c r="L1297" s="60">
        <f t="shared" si="108"/>
        <v>46967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8" spans="12:16" ht="15" customHeight="1" hidden="1">
      <c r="L1298" s="60">
        <f t="shared" si="108"/>
        <v>46968</v>
      </c>
      <c s="28">
        <f t="shared" si="106"/>
        <v>0</v>
      </c>
      <c s="28">
        <f t="shared" si="109"/>
        <v>0</v>
      </c>
      <c s="28">
        <f t="shared" si="107"/>
        <v>0</v>
      </c>
      <c s="28"/>
    </row>
    <row r="1299" spans="12:16" ht="15" customHeight="1" hidden="1">
      <c r="L1299" s="60">
        <f t="shared" si="108"/>
        <v>46969</v>
      </c>
      <c s="28">
        <f t="shared" si="110" ref="M1299:M1362">IFERROR(VLOOKUP(L1299,$B$19:$E$80,4,FALSE),0)</f>
        <v>0</v>
      </c>
      <c s="28">
        <f t="shared" si="109"/>
        <v>0</v>
      </c>
      <c s="28">
        <f t="shared" si="111" ref="O1299:O1362">IFERROR(IF(ISNUMBER(N1298),N1298,$E$8)*IF(L1299&gt;=$J$8,$E$12,$E$12)/IF(MOD(YEAR(L1299),4),365,366)*IF(ISBLANK(L1298),L1299-$F$5,L1299-L1298),0)</f>
        <v>0</v>
      </c>
      <c s="28"/>
    </row>
    <row r="1300" spans="12:16" ht="15" customHeight="1" hidden="1">
      <c r="L1300" s="60">
        <f t="shared" si="108"/>
        <v>46970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1" spans="12:16" ht="15" customHeight="1" hidden="1">
      <c r="L1301" s="60">
        <f t="shared" si="108"/>
        <v>46971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2" spans="12:16" ht="15" customHeight="1" hidden="1">
      <c r="L1302" s="60">
        <f t="shared" si="108"/>
        <v>46972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3" spans="12:16" ht="15" customHeight="1" hidden="1">
      <c r="L1303" s="60">
        <f t="shared" si="108"/>
        <v>46973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4" spans="12:16" ht="15" customHeight="1" hidden="1">
      <c r="L1304" s="60">
        <f t="shared" si="108"/>
        <v>46974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5" spans="12:16" ht="15" customHeight="1" hidden="1">
      <c r="L1305" s="60">
        <f t="shared" si="108"/>
        <v>46975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6" spans="12:16" ht="15" customHeight="1" hidden="1">
      <c r="L1306" s="60">
        <f t="shared" si="108"/>
        <v>46976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7" spans="12:16" ht="15" customHeight="1" hidden="1">
      <c r="L1307" s="60">
        <f t="shared" si="108"/>
        <v>46977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8" spans="12:16" ht="15" customHeight="1" hidden="1">
      <c r="L1308" s="60">
        <f t="shared" si="108"/>
        <v>46978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09" spans="12:16" ht="15" customHeight="1" hidden="1">
      <c r="L1309" s="60">
        <f t="shared" si="108"/>
        <v>46979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0" spans="12:16" ht="15" customHeight="1" hidden="1">
      <c r="L1310" s="60">
        <f t="shared" si="108"/>
        <v>46980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1" spans="12:16" ht="15" customHeight="1" hidden="1">
      <c r="L1311" s="60">
        <f t="shared" si="108"/>
        <v>46981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2" spans="12:16" ht="15" customHeight="1" hidden="1">
      <c r="L1312" s="60">
        <f t="shared" si="108"/>
        <v>46982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3" spans="12:16" ht="15" customHeight="1" hidden="1">
      <c r="L1313" s="60">
        <f t="shared" si="108"/>
        <v>46983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4" spans="12:16" ht="15" customHeight="1" hidden="1">
      <c r="L1314" s="60">
        <f t="shared" si="112" ref="L1314:L1377">IFERROR(IF(MAX(L1313+1,$F$5+1)&gt;Дата_погашения_Займа,"-",MAX(L1313+1,$F$5+1)),"-")</f>
        <v>46984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5" spans="12:16" ht="15" customHeight="1" hidden="1">
      <c r="L1315" s="60">
        <f t="shared" si="112"/>
        <v>46985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6" spans="12:16" ht="15" customHeight="1" hidden="1">
      <c r="L1316" s="60">
        <f t="shared" si="112"/>
        <v>46986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7" spans="12:16" ht="15" customHeight="1" hidden="1">
      <c r="L1317" s="60">
        <f t="shared" si="112"/>
        <v>46987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8" spans="12:16" ht="15" customHeight="1" hidden="1">
      <c r="L1318" s="60">
        <f t="shared" si="112"/>
        <v>46988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19" spans="12:16" ht="15" customHeight="1" hidden="1">
      <c r="L1319" s="60">
        <f t="shared" si="112"/>
        <v>46989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0" spans="12:16" ht="15" customHeight="1" hidden="1">
      <c r="L1320" s="60">
        <f t="shared" si="112"/>
        <v>46990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1" spans="12:16" ht="15" customHeight="1" hidden="1">
      <c r="L1321" s="60">
        <f t="shared" si="112"/>
        <v>46991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2" spans="12:16" ht="15" customHeight="1" hidden="1">
      <c r="L1322" s="60">
        <f t="shared" si="112"/>
        <v>46992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3" spans="12:16" ht="15" customHeight="1" hidden="1">
      <c r="L1323" s="60">
        <f t="shared" si="112"/>
        <v>46993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4" spans="12:16" ht="15" customHeight="1" hidden="1">
      <c r="L1324" s="60">
        <f t="shared" si="112"/>
        <v>46994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5" spans="12:16" ht="15" customHeight="1" hidden="1">
      <c r="L1325" s="60">
        <f t="shared" si="112"/>
        <v>46995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6" spans="12:16" ht="15" customHeight="1" hidden="1">
      <c r="L1326" s="60">
        <f t="shared" si="112"/>
        <v>46996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7" spans="12:16" ht="15" customHeight="1" hidden="1">
      <c r="L1327" s="60">
        <f t="shared" si="112"/>
        <v>46997</v>
      </c>
      <c s="28">
        <f t="shared" si="110"/>
        <v>0</v>
      </c>
      <c s="28">
        <f t="shared" si="109"/>
        <v>0</v>
      </c>
      <c s="28">
        <f t="shared" si="111"/>
        <v>0</v>
      </c>
      <c s="28"/>
    </row>
    <row r="1328" spans="12:16" ht="15" customHeight="1" hidden="1">
      <c r="L1328" s="60">
        <f t="shared" si="112"/>
        <v>46998</v>
      </c>
      <c s="28">
        <f t="shared" si="110"/>
        <v>0</v>
      </c>
      <c s="28">
        <f t="shared" si="113" ref="N1328:N1391">IF(ISNUMBER(N1327),N1327-M1328,$E$8)</f>
        <v>0</v>
      </c>
      <c s="28">
        <f t="shared" si="111"/>
        <v>0</v>
      </c>
      <c s="28"/>
    </row>
    <row r="1329" spans="12:16" ht="15" customHeight="1" hidden="1">
      <c r="L1329" s="60">
        <f t="shared" si="112"/>
        <v>46999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0" spans="12:16" ht="15" customHeight="1" hidden="1">
      <c r="L1330" s="60">
        <f t="shared" si="112"/>
        <v>47000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1" spans="12:16" ht="15" customHeight="1" hidden="1">
      <c r="L1331" s="60">
        <f t="shared" si="112"/>
        <v>47001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2" spans="12:16" ht="15" customHeight="1" hidden="1">
      <c r="L1332" s="60">
        <f t="shared" si="112"/>
        <v>47002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3" spans="12:16" ht="15" customHeight="1" hidden="1">
      <c r="L1333" s="60">
        <f t="shared" si="112"/>
        <v>47003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4" spans="12:16" ht="15" customHeight="1" hidden="1">
      <c r="L1334" s="60">
        <f t="shared" si="112"/>
        <v>47004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5" spans="12:16" ht="15" customHeight="1" hidden="1">
      <c r="L1335" s="60">
        <f t="shared" si="112"/>
        <v>47005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6" spans="12:16" ht="15" customHeight="1" hidden="1">
      <c r="L1336" s="60">
        <f t="shared" si="112"/>
        <v>47006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7" spans="12:16" ht="15" customHeight="1" hidden="1">
      <c r="L1337" s="60">
        <f t="shared" si="112"/>
        <v>47007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8" spans="12:16" ht="15" customHeight="1" hidden="1">
      <c r="L1338" s="60">
        <f t="shared" si="112"/>
        <v>47008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39" spans="12:16" ht="15" customHeight="1" hidden="1">
      <c r="L1339" s="60">
        <f t="shared" si="112"/>
        <v>47009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0" spans="12:16" ht="15" customHeight="1" hidden="1">
      <c r="L1340" s="60">
        <f t="shared" si="112"/>
        <v>47010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1" spans="12:16" ht="15" customHeight="1" hidden="1">
      <c r="L1341" s="60">
        <f t="shared" si="112"/>
        <v>47011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2" spans="12:16" ht="15" customHeight="1" hidden="1">
      <c r="L1342" s="60">
        <f t="shared" si="112"/>
        <v>47012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3" spans="12:16" ht="15" customHeight="1" hidden="1">
      <c r="L1343" s="60">
        <f t="shared" si="112"/>
        <v>47013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4" spans="12:16" ht="15" customHeight="1" hidden="1">
      <c r="L1344" s="60">
        <f t="shared" si="112"/>
        <v>47014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5" spans="12:16" ht="15" customHeight="1" hidden="1">
      <c r="L1345" s="60">
        <f t="shared" si="112"/>
        <v>47015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6" spans="12:16" ht="15" customHeight="1" hidden="1">
      <c r="L1346" s="60">
        <f t="shared" si="112"/>
        <v>47016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7" spans="12:16" ht="15" customHeight="1" hidden="1">
      <c r="L1347" s="60">
        <f t="shared" si="112"/>
        <v>47017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8" spans="12:16" ht="15" customHeight="1" hidden="1">
      <c r="L1348" s="60">
        <f t="shared" si="112"/>
        <v>47018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49" spans="12:16" ht="15" customHeight="1" hidden="1">
      <c r="L1349" s="60">
        <f t="shared" si="112"/>
        <v>47019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0" spans="12:16" ht="15" customHeight="1" hidden="1">
      <c r="L1350" s="60">
        <f t="shared" si="112"/>
        <v>47020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1" spans="12:16" ht="15" customHeight="1" hidden="1">
      <c r="L1351" s="60">
        <f t="shared" si="112"/>
        <v>47021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2" spans="12:16" ht="15" customHeight="1" hidden="1">
      <c r="L1352" s="60">
        <f t="shared" si="112"/>
        <v>47022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3" spans="12:16" ht="15" customHeight="1" hidden="1">
      <c r="L1353" s="60">
        <f t="shared" si="112"/>
        <v>47023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4" spans="12:16" ht="15" customHeight="1" hidden="1">
      <c r="L1354" s="60">
        <f t="shared" si="112"/>
        <v>47024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5" spans="12:16" ht="15" customHeight="1" hidden="1">
      <c r="L1355" s="60">
        <f t="shared" si="112"/>
        <v>47025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6" spans="12:16" ht="15" customHeight="1" hidden="1">
      <c r="L1356" s="60">
        <f t="shared" si="112"/>
        <v>47026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7" spans="12:16" ht="15" customHeight="1" hidden="1">
      <c r="L1357" s="60">
        <f t="shared" si="112"/>
        <v>47027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8" spans="12:16" ht="15" customHeight="1" hidden="1">
      <c r="L1358" s="60">
        <f t="shared" si="112"/>
        <v>47028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59" spans="12:16" ht="15" customHeight="1" hidden="1">
      <c r="L1359" s="60">
        <f t="shared" si="112"/>
        <v>47029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60" spans="12:16" ht="15" customHeight="1" hidden="1">
      <c r="L1360" s="60">
        <f t="shared" si="112"/>
        <v>47030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61" spans="12:16" ht="15" customHeight="1" hidden="1">
      <c r="L1361" s="60">
        <f t="shared" si="112"/>
        <v>47031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62" spans="12:16" ht="15" customHeight="1" hidden="1">
      <c r="L1362" s="60">
        <f t="shared" si="112"/>
        <v>47032</v>
      </c>
      <c s="28">
        <f t="shared" si="110"/>
        <v>0</v>
      </c>
      <c s="28">
        <f t="shared" si="113"/>
        <v>0</v>
      </c>
      <c s="28">
        <f t="shared" si="111"/>
        <v>0</v>
      </c>
      <c s="28"/>
    </row>
    <row r="1363" spans="12:16" ht="15" customHeight="1" hidden="1">
      <c r="L1363" s="60">
        <f t="shared" si="112"/>
        <v>47033</v>
      </c>
      <c s="28">
        <f t="shared" si="114" ref="M1363:M1426">IFERROR(VLOOKUP(L1363,$B$19:$E$80,4,FALSE),0)</f>
        <v>0</v>
      </c>
      <c s="28">
        <f t="shared" si="113"/>
        <v>0</v>
      </c>
      <c s="28">
        <f t="shared" si="115" ref="O1363:O1426">IFERROR(IF(ISNUMBER(N1362),N1362,$E$8)*IF(L1363&gt;=$J$8,$E$12,$E$12)/IF(MOD(YEAR(L1363),4),365,366)*IF(ISBLANK(L1362),L1363-$F$5,L1363-L1362),0)</f>
        <v>0</v>
      </c>
      <c s="28"/>
    </row>
    <row r="1364" spans="12:16" ht="15" customHeight="1" hidden="1">
      <c r="L1364" s="60">
        <f t="shared" si="112"/>
        <v>47034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65" spans="12:16" ht="15" customHeight="1" hidden="1">
      <c r="L1365" s="60">
        <f t="shared" si="112"/>
        <v>47035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66" spans="12:16" ht="15" customHeight="1" hidden="1">
      <c r="L1366" s="60">
        <f t="shared" si="112"/>
        <v>47036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67" spans="12:16" ht="15" customHeight="1" hidden="1">
      <c r="L1367" s="60">
        <f t="shared" si="112"/>
        <v>47037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68" spans="12:16" ht="15" customHeight="1" hidden="1">
      <c r="L1368" s="60">
        <f t="shared" si="112"/>
        <v>47038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69" spans="12:16" ht="15" customHeight="1" hidden="1">
      <c r="L1369" s="60">
        <f t="shared" si="112"/>
        <v>47039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0" spans="12:16" ht="15" customHeight="1" hidden="1">
      <c r="L1370" s="60">
        <f t="shared" si="112"/>
        <v>47040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1" spans="12:16" ht="15" customHeight="1" hidden="1">
      <c r="L1371" s="60">
        <f t="shared" si="112"/>
        <v>47041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2" spans="12:16" ht="15" customHeight="1" hidden="1">
      <c r="L1372" s="60">
        <f t="shared" si="112"/>
        <v>47042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3" spans="12:16" ht="15" customHeight="1" hidden="1">
      <c r="L1373" s="60">
        <f t="shared" si="112"/>
        <v>47043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4" spans="12:16" ht="15" customHeight="1" hidden="1">
      <c r="L1374" s="60">
        <f t="shared" si="112"/>
        <v>47044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5" spans="12:16" ht="15" customHeight="1" hidden="1">
      <c r="L1375" s="60">
        <f t="shared" si="112"/>
        <v>47045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6" spans="12:16" ht="15" customHeight="1" hidden="1">
      <c r="L1376" s="60">
        <f t="shared" si="112"/>
        <v>47046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7" spans="12:16" ht="15" customHeight="1" hidden="1">
      <c r="L1377" s="60">
        <f t="shared" si="112"/>
        <v>47047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8" spans="12:16" ht="15" customHeight="1" hidden="1">
      <c r="L1378" s="60">
        <f t="shared" si="116" ref="L1378:L1441">IFERROR(IF(MAX(L1377+1,$F$5+1)&gt;Дата_погашения_Займа,"-",MAX(L1377+1,$F$5+1)),"-")</f>
        <v>47048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79" spans="12:16" ht="15" customHeight="1" hidden="1">
      <c r="L1379" s="60">
        <f t="shared" si="116"/>
        <v>47049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0" spans="12:16" ht="15" customHeight="1" hidden="1">
      <c r="L1380" s="60">
        <f t="shared" si="116"/>
        <v>47050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1" spans="12:16" ht="15" customHeight="1" hidden="1">
      <c r="L1381" s="60">
        <f t="shared" si="116"/>
        <v>47051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2" spans="12:16" ht="15" customHeight="1" hidden="1">
      <c r="L1382" s="60">
        <f t="shared" si="116"/>
        <v>47052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3" spans="12:16" ht="15" customHeight="1" hidden="1">
      <c r="L1383" s="60">
        <f t="shared" si="116"/>
        <v>47053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4" spans="12:16" ht="15" customHeight="1" hidden="1">
      <c r="L1384" s="60">
        <f t="shared" si="116"/>
        <v>47054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5" spans="12:16" ht="15" customHeight="1" hidden="1">
      <c r="L1385" s="60">
        <f t="shared" si="116"/>
        <v>47055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6" spans="12:16" ht="15" customHeight="1" hidden="1">
      <c r="L1386" s="60">
        <f t="shared" si="116"/>
        <v>47056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7" spans="12:16" ht="15" customHeight="1" hidden="1">
      <c r="L1387" s="60">
        <f t="shared" si="116"/>
        <v>47057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8" spans="12:16" ht="15" customHeight="1" hidden="1">
      <c r="L1388" s="60">
        <f t="shared" si="116"/>
        <v>47058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89" spans="12:16" ht="15" customHeight="1" hidden="1">
      <c r="L1389" s="60">
        <f t="shared" si="116"/>
        <v>47059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90" spans="12:16" ht="15" customHeight="1" hidden="1">
      <c r="L1390" s="60">
        <f t="shared" si="116"/>
        <v>47060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91" spans="12:16" ht="15" customHeight="1" hidden="1">
      <c r="L1391" s="60">
        <f t="shared" si="116"/>
        <v>47061</v>
      </c>
      <c s="28">
        <f t="shared" si="114"/>
        <v>0</v>
      </c>
      <c s="28">
        <f t="shared" si="113"/>
        <v>0</v>
      </c>
      <c s="28">
        <f t="shared" si="115"/>
        <v>0</v>
      </c>
      <c s="28"/>
    </row>
    <row r="1392" spans="12:16" ht="15" customHeight="1" hidden="1">
      <c r="L1392" s="60">
        <f t="shared" si="116"/>
        <v>47062</v>
      </c>
      <c s="28">
        <f t="shared" si="114"/>
        <v>0</v>
      </c>
      <c s="28">
        <f t="shared" si="117" ref="N1392:N1455">IF(ISNUMBER(N1391),N1391-M1392,$E$8)</f>
        <v>0</v>
      </c>
      <c s="28">
        <f t="shared" si="115"/>
        <v>0</v>
      </c>
      <c s="28"/>
    </row>
    <row r="1393" spans="12:16" ht="15" customHeight="1" hidden="1">
      <c r="L1393" s="60">
        <f t="shared" si="116"/>
        <v>47063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394" spans="12:16" ht="15" customHeight="1" hidden="1">
      <c r="L1394" s="60">
        <f t="shared" si="116"/>
        <v>47064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395" spans="12:16" ht="15" customHeight="1" hidden="1">
      <c r="L1395" s="60">
        <f t="shared" si="116"/>
        <v>47065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396" spans="12:16" ht="15" customHeight="1" hidden="1">
      <c r="L1396" s="60">
        <f t="shared" si="116"/>
        <v>47066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397" spans="12:16" ht="15" customHeight="1" hidden="1">
      <c r="L1397" s="60">
        <f t="shared" si="116"/>
        <v>47067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398" spans="12:16" ht="15" customHeight="1" hidden="1">
      <c r="L1398" s="60">
        <f t="shared" si="116"/>
        <v>47068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399" spans="12:16" ht="15" customHeight="1" hidden="1">
      <c r="L1399" s="60">
        <f t="shared" si="116"/>
        <v>47069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0" spans="12:16" ht="15" customHeight="1" hidden="1">
      <c r="L1400" s="60">
        <f t="shared" si="116"/>
        <v>47070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1" spans="12:16" ht="15" customHeight="1" hidden="1">
      <c r="L1401" s="60">
        <f t="shared" si="116"/>
        <v>47071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2" spans="12:16" ht="15" customHeight="1" hidden="1">
      <c r="L1402" s="60">
        <f t="shared" si="116"/>
        <v>47072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3" spans="12:16" ht="15" customHeight="1" hidden="1">
      <c r="L1403" s="60">
        <f t="shared" si="116"/>
        <v>47073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4" spans="12:16" ht="15" customHeight="1" hidden="1">
      <c r="L1404" s="60">
        <f t="shared" si="116"/>
        <v>47074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5" spans="12:16" ht="15" customHeight="1" hidden="1">
      <c r="L1405" s="60">
        <f t="shared" si="116"/>
        <v>47075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6" spans="12:16" ht="15" customHeight="1" hidden="1">
      <c r="L1406" s="60">
        <f t="shared" si="116"/>
        <v>47076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7" spans="12:16" ht="15" customHeight="1" hidden="1">
      <c r="L1407" s="60">
        <f t="shared" si="116"/>
        <v>47077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8" spans="12:16" ht="15" customHeight="1" hidden="1">
      <c r="L1408" s="60">
        <f t="shared" si="116"/>
        <v>47078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09" spans="12:16" ht="15" customHeight="1" hidden="1">
      <c r="L1409" s="60">
        <f t="shared" si="116"/>
        <v>47079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0" spans="12:16" ht="15" customHeight="1" hidden="1">
      <c r="L1410" s="60">
        <f t="shared" si="116"/>
        <v>47080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1" spans="12:16" ht="15" customHeight="1" hidden="1">
      <c r="L1411" s="60">
        <f t="shared" si="116"/>
        <v>47081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2" spans="12:16" ht="15" customHeight="1" hidden="1">
      <c r="L1412" s="60">
        <f t="shared" si="116"/>
        <v>47082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3" spans="12:16" ht="15" customHeight="1" hidden="1">
      <c r="L1413" s="60">
        <f t="shared" si="116"/>
        <v>47083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4" spans="12:16" ht="15" customHeight="1" hidden="1">
      <c r="L1414" s="60">
        <f t="shared" si="116"/>
        <v>47084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5" spans="12:16" ht="15" customHeight="1" hidden="1">
      <c r="L1415" s="60">
        <f t="shared" si="116"/>
        <v>47085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6" spans="12:16" ht="15" customHeight="1" hidden="1">
      <c r="L1416" s="60">
        <f t="shared" si="116"/>
        <v>47086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7" spans="12:16" ht="15" customHeight="1" hidden="1">
      <c r="L1417" s="60">
        <f t="shared" si="116"/>
        <v>47087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8" spans="12:16" ht="15" customHeight="1" hidden="1">
      <c r="L1418" s="60">
        <f t="shared" si="116"/>
        <v>47088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19" spans="12:16" ht="15" customHeight="1" hidden="1">
      <c r="L1419" s="60">
        <f t="shared" si="116"/>
        <v>47089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0" spans="12:16" ht="15" customHeight="1" hidden="1">
      <c r="L1420" s="60">
        <f t="shared" si="116"/>
        <v>47090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1" spans="12:16" ht="15" customHeight="1" hidden="1">
      <c r="L1421" s="60">
        <f t="shared" si="116"/>
        <v>47091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2" spans="12:16" ht="15" customHeight="1" hidden="1">
      <c r="L1422" s="60">
        <f t="shared" si="116"/>
        <v>47092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3" spans="12:16" ht="15" customHeight="1" hidden="1">
      <c r="L1423" s="60">
        <f t="shared" si="116"/>
        <v>47093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4" spans="12:16" ht="15" customHeight="1" hidden="1">
      <c r="L1424" s="60">
        <f t="shared" si="116"/>
        <v>47094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5" spans="12:16" ht="15" customHeight="1" hidden="1">
      <c r="L1425" s="60">
        <f t="shared" si="116"/>
        <v>47095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6" spans="12:16" ht="15" customHeight="1" hidden="1">
      <c r="L1426" s="60">
        <f t="shared" si="116"/>
        <v>47096</v>
      </c>
      <c s="28">
        <f t="shared" si="114"/>
        <v>0</v>
      </c>
      <c s="28">
        <f t="shared" si="117"/>
        <v>0</v>
      </c>
      <c s="28">
        <f t="shared" si="115"/>
        <v>0</v>
      </c>
      <c s="28"/>
    </row>
    <row r="1427" spans="12:16" ht="15" customHeight="1" hidden="1">
      <c r="L1427" s="60">
        <f t="shared" si="116"/>
        <v>47097</v>
      </c>
      <c s="28">
        <f t="shared" si="118" ref="M1427:M1490">IFERROR(VLOOKUP(L1427,$B$19:$E$80,4,FALSE),0)</f>
        <v>0</v>
      </c>
      <c s="28">
        <f t="shared" si="117"/>
        <v>0</v>
      </c>
      <c s="28">
        <f t="shared" si="119" ref="O1427:O1490">IFERROR(IF(ISNUMBER(N1426),N1426,$E$8)*IF(L1427&gt;=$J$8,$E$12,$E$12)/IF(MOD(YEAR(L1427),4),365,366)*IF(ISBLANK(L1426),L1427-$F$5,L1427-L1426),0)</f>
        <v>0</v>
      </c>
      <c s="28"/>
    </row>
    <row r="1428" spans="12:16" ht="15" customHeight="1" hidden="1">
      <c r="L1428" s="60">
        <f t="shared" si="116"/>
        <v>47098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29" spans="12:16" ht="15" customHeight="1" hidden="1">
      <c r="L1429" s="60">
        <f t="shared" si="116"/>
        <v>47099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0" spans="12:16" ht="15" customHeight="1" hidden="1">
      <c r="L1430" s="60">
        <f t="shared" si="116"/>
        <v>47100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1" spans="12:16" ht="15" customHeight="1" hidden="1">
      <c r="L1431" s="60">
        <f t="shared" si="116"/>
        <v>47101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2" spans="12:16" ht="15" customHeight="1" hidden="1">
      <c r="L1432" s="60">
        <f t="shared" si="116"/>
        <v>47102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3" spans="12:16" ht="15" customHeight="1" hidden="1">
      <c r="L1433" s="60">
        <f t="shared" si="116"/>
        <v>47103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4" spans="12:16" ht="15" customHeight="1" hidden="1">
      <c r="L1434" s="60">
        <f t="shared" si="116"/>
        <v>47104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5" spans="12:16" ht="15" customHeight="1" hidden="1">
      <c r="L1435" s="60">
        <f t="shared" si="116"/>
        <v>47105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6" spans="12:16" ht="15" customHeight="1" hidden="1">
      <c r="L1436" s="60">
        <f t="shared" si="116"/>
        <v>47106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7" spans="12:16" ht="15" customHeight="1" hidden="1">
      <c r="L1437" s="60">
        <f t="shared" si="116"/>
        <v>47107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8" spans="12:16" ht="15" customHeight="1" hidden="1">
      <c r="L1438" s="60">
        <f t="shared" si="116"/>
        <v>47108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39" spans="12:16" ht="15" customHeight="1" hidden="1">
      <c r="L1439" s="60">
        <f t="shared" si="116"/>
        <v>47109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0" spans="12:16" ht="15" customHeight="1" hidden="1">
      <c r="L1440" s="60">
        <f t="shared" si="116"/>
        <v>47110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1" spans="12:16" ht="15" customHeight="1" hidden="1">
      <c r="L1441" s="60">
        <f t="shared" si="116"/>
        <v>47111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2" spans="12:16" ht="15" customHeight="1" hidden="1">
      <c r="L1442" s="60">
        <f t="shared" si="120" ref="L1442:L1505">IFERROR(IF(MAX(L1441+1,$F$5+1)&gt;Дата_погашения_Займа,"-",MAX(L1441+1,$F$5+1)),"-")</f>
        <v>47112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3" spans="12:16" ht="15" customHeight="1" hidden="1">
      <c r="L1443" s="60">
        <f t="shared" si="120"/>
        <v>47113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4" spans="12:16" ht="15" customHeight="1" hidden="1">
      <c r="L1444" s="60">
        <f t="shared" si="120"/>
        <v>47114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5" spans="12:16" ht="15" customHeight="1" hidden="1">
      <c r="L1445" s="60">
        <f t="shared" si="120"/>
        <v>47115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6" spans="12:16" ht="15" customHeight="1" hidden="1">
      <c r="L1446" s="60">
        <f t="shared" si="120"/>
        <v>47116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7" spans="12:16" ht="15" customHeight="1" hidden="1">
      <c r="L1447" s="60">
        <f t="shared" si="120"/>
        <v>47117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8" spans="12:16" ht="15" customHeight="1" hidden="1">
      <c r="L1448" s="60">
        <f t="shared" si="120"/>
        <v>47118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49" spans="12:16" ht="15" customHeight="1" hidden="1">
      <c r="L1449" s="60">
        <f t="shared" si="120"/>
        <v>47119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0" spans="12:16" ht="15" customHeight="1" hidden="1">
      <c r="L1450" s="60">
        <f t="shared" si="120"/>
        <v>47120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1" spans="12:16" ht="15" customHeight="1" hidden="1">
      <c r="L1451" s="60">
        <f t="shared" si="120"/>
        <v>47121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2" spans="12:16" ht="15" customHeight="1" hidden="1">
      <c r="L1452" s="60">
        <f t="shared" si="120"/>
        <v>47122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3" spans="12:16" ht="15" customHeight="1" hidden="1">
      <c r="L1453" s="60">
        <f t="shared" si="120"/>
        <v>47123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4" spans="12:16" ht="15" customHeight="1" hidden="1">
      <c r="L1454" s="60">
        <f t="shared" si="120"/>
        <v>47124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5" spans="12:16" ht="15" customHeight="1" hidden="1">
      <c r="L1455" s="60">
        <f t="shared" si="120"/>
        <v>47125</v>
      </c>
      <c s="28">
        <f t="shared" si="118"/>
        <v>0</v>
      </c>
      <c s="28">
        <f t="shared" si="117"/>
        <v>0</v>
      </c>
      <c s="28">
        <f t="shared" si="119"/>
        <v>0</v>
      </c>
      <c s="28"/>
    </row>
    <row r="1456" spans="12:16" ht="15" customHeight="1" hidden="1">
      <c r="L1456" s="60">
        <f t="shared" si="120"/>
        <v>47126</v>
      </c>
      <c s="28">
        <f t="shared" si="118"/>
        <v>0</v>
      </c>
      <c s="28">
        <f t="shared" si="121" ref="N1456:N1519">IF(ISNUMBER(N1455),N1455-M1456,$E$8)</f>
        <v>0</v>
      </c>
      <c s="28">
        <f t="shared" si="119"/>
        <v>0</v>
      </c>
      <c s="28"/>
    </row>
    <row r="1457" spans="12:16" ht="15" customHeight="1" hidden="1">
      <c r="L1457" s="60">
        <f t="shared" si="120"/>
        <v>47127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58" spans="12:16" ht="15" customHeight="1" hidden="1">
      <c r="L1458" s="60">
        <f t="shared" si="120"/>
        <v>47128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59" spans="12:16" ht="15" customHeight="1" hidden="1">
      <c r="L1459" s="60">
        <f t="shared" si="120"/>
        <v>47129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0" spans="12:16" ht="15" customHeight="1" hidden="1">
      <c r="L1460" s="60">
        <f t="shared" si="120"/>
        <v>47130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1" spans="12:16" ht="15" customHeight="1" hidden="1">
      <c r="L1461" s="60">
        <f t="shared" si="120"/>
        <v>47131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2" spans="12:16" ht="15" customHeight="1" hidden="1">
      <c r="L1462" s="60">
        <f t="shared" si="120"/>
        <v>47132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3" spans="12:16" ht="15" customHeight="1" hidden="1">
      <c r="L1463" s="60">
        <f t="shared" si="120"/>
        <v>47133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4" spans="12:16" ht="15" customHeight="1" hidden="1">
      <c r="L1464" s="60">
        <f t="shared" si="120"/>
        <v>47134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5" spans="12:16" ht="15" customHeight="1" hidden="1">
      <c r="L1465" s="60">
        <f t="shared" si="120"/>
        <v>47135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6" spans="12:16" ht="15" customHeight="1" hidden="1">
      <c r="L1466" s="60">
        <f t="shared" si="120"/>
        <v>47136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7" spans="12:16" ht="15" customHeight="1" hidden="1">
      <c r="L1467" s="60">
        <f t="shared" si="120"/>
        <v>47137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8" spans="12:16" ht="15" customHeight="1" hidden="1">
      <c r="L1468" s="60">
        <f t="shared" si="120"/>
        <v>47138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69" spans="12:16" ht="15" customHeight="1" hidden="1">
      <c r="L1469" s="60">
        <f t="shared" si="120"/>
        <v>47139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0" spans="12:16" ht="15" customHeight="1" hidden="1">
      <c r="L1470" s="60">
        <f t="shared" si="120"/>
        <v>47140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1" spans="12:16" ht="15" customHeight="1" hidden="1">
      <c r="L1471" s="60">
        <f t="shared" si="120"/>
        <v>47141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2" spans="12:16" ht="15" customHeight="1" hidden="1">
      <c r="L1472" s="60">
        <f t="shared" si="120"/>
        <v>47142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3" spans="12:16" ht="15" customHeight="1" hidden="1">
      <c r="L1473" s="60">
        <f t="shared" si="120"/>
        <v>47143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4" spans="12:16" ht="15" customHeight="1" hidden="1">
      <c r="L1474" s="60">
        <f t="shared" si="120"/>
        <v>47144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5" spans="12:16" ht="15" customHeight="1" hidden="1">
      <c r="L1475" s="60">
        <f t="shared" si="120"/>
        <v>47145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6" spans="12:16" ht="15" customHeight="1" hidden="1">
      <c r="L1476" s="60">
        <f t="shared" si="120"/>
        <v>47146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7" spans="12:16" ht="15" customHeight="1" hidden="1">
      <c r="L1477" s="60">
        <f t="shared" si="120"/>
        <v>47147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8" spans="12:16" ht="15" customHeight="1" hidden="1">
      <c r="L1478" s="60">
        <f t="shared" si="120"/>
        <v>47148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79" spans="12:16" ht="15" customHeight="1" hidden="1">
      <c r="L1479" s="60">
        <f t="shared" si="120"/>
        <v>47149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0" spans="12:16" ht="15" customHeight="1" hidden="1">
      <c r="L1480" s="60">
        <f t="shared" si="120"/>
        <v>47150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1" spans="12:16" ht="15" customHeight="1" hidden="1">
      <c r="L1481" s="60">
        <f t="shared" si="120"/>
        <v>47151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2" spans="12:16" ht="15" customHeight="1" hidden="1">
      <c r="L1482" s="60">
        <f t="shared" si="120"/>
        <v>47152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3" spans="12:16" ht="15" customHeight="1" hidden="1">
      <c r="L1483" s="60">
        <f t="shared" si="120"/>
        <v>47153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4" spans="12:16" ht="15" customHeight="1" hidden="1">
      <c r="L1484" s="60">
        <f t="shared" si="120"/>
        <v>47154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5" spans="12:16" ht="15" customHeight="1" hidden="1">
      <c r="L1485" s="60">
        <f t="shared" si="120"/>
        <v>47155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6" spans="12:16" ht="15" customHeight="1" hidden="1">
      <c r="L1486" s="60">
        <f t="shared" si="120"/>
        <v>47156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7" spans="12:16" ht="15" customHeight="1" hidden="1">
      <c r="L1487" s="60">
        <f t="shared" si="120"/>
        <v>47157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8" spans="12:16" ht="15" customHeight="1" hidden="1">
      <c r="L1488" s="60">
        <f t="shared" si="120"/>
        <v>47158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89" spans="12:16" ht="15" customHeight="1" hidden="1">
      <c r="L1489" s="60">
        <f t="shared" si="120"/>
        <v>47159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90" spans="12:16" ht="15" customHeight="1" hidden="1">
      <c r="L1490" s="60">
        <f t="shared" si="120"/>
        <v>47160</v>
      </c>
      <c s="28">
        <f t="shared" si="118"/>
        <v>0</v>
      </c>
      <c s="28">
        <f t="shared" si="121"/>
        <v>0</v>
      </c>
      <c s="28">
        <f t="shared" si="119"/>
        <v>0</v>
      </c>
      <c s="28"/>
    </row>
    <row r="1491" spans="12:16" ht="15" customHeight="1" hidden="1">
      <c r="L1491" s="60">
        <f t="shared" si="120"/>
        <v>47161</v>
      </c>
      <c s="28">
        <f t="shared" si="122" ref="M1491:M1554">IFERROR(VLOOKUP(L1491,$B$19:$E$80,4,FALSE),0)</f>
        <v>0</v>
      </c>
      <c s="28">
        <f t="shared" si="121"/>
        <v>0</v>
      </c>
      <c s="28">
        <f t="shared" si="123" ref="O1491:O1554">IFERROR(IF(ISNUMBER(N1490),N1490,$E$8)*IF(L1491&gt;=$J$8,$E$12,$E$12)/IF(MOD(YEAR(L1491),4),365,366)*IF(ISBLANK(L1490),L1491-$F$5,L1491-L1490),0)</f>
        <v>0</v>
      </c>
      <c s="28"/>
    </row>
    <row r="1492" spans="12:16" ht="15" customHeight="1" hidden="1">
      <c r="L1492" s="60">
        <f t="shared" si="120"/>
        <v>47162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3" spans="12:16" ht="15" customHeight="1" hidden="1">
      <c r="L1493" s="60">
        <f t="shared" si="120"/>
        <v>47163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4" spans="12:16" ht="15" customHeight="1" hidden="1">
      <c r="L1494" s="60">
        <f t="shared" si="120"/>
        <v>47164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5" spans="12:16" ht="15" customHeight="1" hidden="1">
      <c r="L1495" s="60">
        <f t="shared" si="120"/>
        <v>47165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6" spans="12:16" ht="15" customHeight="1" hidden="1">
      <c r="L1496" s="60">
        <f t="shared" si="120"/>
        <v>47166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7" spans="12:16" ht="15" customHeight="1" hidden="1">
      <c r="L1497" s="60">
        <f t="shared" si="120"/>
        <v>47167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8" spans="12:16" ht="15" customHeight="1" hidden="1">
      <c r="L1498" s="60">
        <f t="shared" si="120"/>
        <v>47168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499" spans="12:16" ht="15" customHeight="1" hidden="1">
      <c r="L1499" s="60">
        <f t="shared" si="120"/>
        <v>47169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0" spans="12:16" ht="15" customHeight="1" hidden="1">
      <c r="L1500" s="60">
        <f t="shared" si="120"/>
        <v>47170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1" spans="12:16" ht="15" customHeight="1" hidden="1">
      <c r="L1501" s="60">
        <f t="shared" si="120"/>
        <v>47171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2" spans="12:16" ht="15" customHeight="1" hidden="1">
      <c r="L1502" s="60">
        <f t="shared" si="120"/>
        <v>47172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3" spans="12:16" ht="15" customHeight="1" hidden="1">
      <c r="L1503" s="60">
        <f t="shared" si="120"/>
        <v>47173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4" spans="12:16" ht="15" customHeight="1" hidden="1">
      <c r="L1504" s="60">
        <f t="shared" si="120"/>
        <v>47174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5" spans="12:16" ht="15" customHeight="1" hidden="1">
      <c r="L1505" s="60">
        <f t="shared" si="120"/>
        <v>47175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6" spans="12:16" ht="15" customHeight="1" hidden="1">
      <c r="L1506" s="60">
        <f t="shared" si="124" ref="L1506:L1569">IFERROR(IF(MAX(L1505+1,$F$5+1)&gt;Дата_погашения_Займа,"-",MAX(L1505+1,$F$5+1)),"-")</f>
        <v>47176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7" spans="12:16" ht="15" customHeight="1" hidden="1">
      <c r="L1507" s="60">
        <f t="shared" si="124"/>
        <v>47177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8" spans="12:16" ht="15" customHeight="1" hidden="1">
      <c r="L1508" s="60">
        <f t="shared" si="124"/>
        <v>47178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09" spans="12:16" ht="15" customHeight="1" hidden="1">
      <c r="L1509" s="60">
        <f t="shared" si="124"/>
        <v>47179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0" spans="12:16" ht="15" customHeight="1" hidden="1">
      <c r="L1510" s="60">
        <f t="shared" si="124"/>
        <v>47180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1" spans="12:16" ht="15" customHeight="1" hidden="1">
      <c r="L1511" s="60">
        <f t="shared" si="124"/>
        <v>47181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2" spans="12:16" ht="15" customHeight="1" hidden="1">
      <c r="L1512" s="60">
        <f t="shared" si="124"/>
        <v>47182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3" spans="12:16" ht="15" customHeight="1" hidden="1">
      <c r="L1513" s="60">
        <f t="shared" si="124"/>
        <v>47183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4" spans="12:16" ht="15" customHeight="1" hidden="1">
      <c r="L1514" s="60">
        <f t="shared" si="124"/>
        <v>47184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5" spans="12:16" ht="15" customHeight="1" hidden="1">
      <c r="L1515" s="60">
        <f t="shared" si="124"/>
        <v>47185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6" spans="12:16" ht="15" customHeight="1" hidden="1">
      <c r="L1516" s="60">
        <f t="shared" si="124"/>
        <v>47186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7" spans="12:16" ht="15" customHeight="1" hidden="1">
      <c r="L1517" s="60">
        <f t="shared" si="124"/>
        <v>47187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8" spans="12:16" ht="15" customHeight="1" hidden="1">
      <c r="L1518" s="60">
        <f t="shared" si="124"/>
        <v>47188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19" spans="12:16" ht="15" customHeight="1" hidden="1">
      <c r="L1519" s="60">
        <f t="shared" si="124"/>
        <v>47189</v>
      </c>
      <c s="28">
        <f t="shared" si="122"/>
        <v>0</v>
      </c>
      <c s="28">
        <f t="shared" si="121"/>
        <v>0</v>
      </c>
      <c s="28">
        <f t="shared" si="123"/>
        <v>0</v>
      </c>
      <c s="28"/>
    </row>
    <row r="1520" spans="12:16" ht="15" customHeight="1" hidden="1">
      <c r="L1520" s="60">
        <f t="shared" si="124"/>
        <v>47190</v>
      </c>
      <c s="28">
        <f t="shared" si="122"/>
        <v>0</v>
      </c>
      <c s="28">
        <f t="shared" si="125" ref="N1520:N1583">IF(ISNUMBER(N1519),N1519-M1520,$E$8)</f>
        <v>0</v>
      </c>
      <c s="28">
        <f t="shared" si="123"/>
        <v>0</v>
      </c>
      <c s="28"/>
    </row>
    <row r="1521" spans="12:16" ht="15" customHeight="1" hidden="1">
      <c r="L1521" s="60">
        <f t="shared" si="124"/>
        <v>47191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2" spans="12:16" ht="15" customHeight="1" hidden="1">
      <c r="L1522" s="60">
        <f t="shared" si="124"/>
        <v>47192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3" spans="12:16" ht="15" customHeight="1" hidden="1">
      <c r="L1523" s="60">
        <f t="shared" si="124"/>
        <v>47193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4" spans="12:16" ht="15" customHeight="1" hidden="1">
      <c r="L1524" s="60">
        <f t="shared" si="124"/>
        <v>47194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5" spans="12:16" ht="15" customHeight="1" hidden="1">
      <c r="L1525" s="60">
        <f t="shared" si="124"/>
        <v>47195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6" spans="12:16" ht="15" customHeight="1" hidden="1">
      <c r="L1526" s="60">
        <f t="shared" si="124"/>
        <v>47196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7" spans="12:16" ht="15" customHeight="1" hidden="1">
      <c r="L1527" s="60">
        <f t="shared" si="124"/>
        <v>47197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8" spans="12:16" ht="15" customHeight="1" hidden="1">
      <c r="L1528" s="60">
        <f t="shared" si="124"/>
        <v>47198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29" spans="12:16" ht="15" customHeight="1" hidden="1">
      <c r="L1529" s="60">
        <f t="shared" si="124"/>
        <v>47199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0" spans="12:16" ht="15" customHeight="1" hidden="1">
      <c r="L1530" s="60">
        <f t="shared" si="124"/>
        <v>47200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1" spans="12:16" ht="15" customHeight="1" hidden="1">
      <c r="L1531" s="60">
        <f t="shared" si="124"/>
        <v>47201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2" spans="12:16" ht="15" customHeight="1" hidden="1">
      <c r="L1532" s="60">
        <f t="shared" si="124"/>
        <v>47202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3" spans="12:16" ht="15" customHeight="1" hidden="1">
      <c r="L1533" s="60">
        <f t="shared" si="124"/>
        <v>47203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4" spans="12:16" ht="15" customHeight="1" hidden="1">
      <c r="L1534" s="60">
        <f t="shared" si="124"/>
        <v>47204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5" spans="12:16" ht="15" customHeight="1" hidden="1">
      <c r="L1535" s="60">
        <f t="shared" si="124"/>
        <v>47205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6" spans="12:16" ht="15" customHeight="1" hidden="1">
      <c r="L1536" s="60">
        <f t="shared" si="124"/>
        <v>47206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7" spans="12:16" ht="15" customHeight="1" hidden="1">
      <c r="L1537" s="60">
        <f t="shared" si="124"/>
        <v>47207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8" spans="12:16" ht="15" customHeight="1" hidden="1">
      <c r="L1538" s="60">
        <f t="shared" si="124"/>
        <v>47208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39" spans="12:16" ht="15" customHeight="1" hidden="1">
      <c r="L1539" s="60">
        <f t="shared" si="124"/>
        <v>47209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0" spans="12:16" ht="15" customHeight="1" hidden="1">
      <c r="L1540" s="60">
        <f t="shared" si="124"/>
        <v>47210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1" spans="12:16" ht="15" customHeight="1" hidden="1">
      <c r="L1541" s="60">
        <f t="shared" si="124"/>
        <v>47211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2" spans="12:16" ht="15" customHeight="1" hidden="1">
      <c r="L1542" s="60">
        <f t="shared" si="124"/>
        <v>47212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3" spans="12:16" ht="15" customHeight="1" hidden="1">
      <c r="L1543" s="60">
        <f t="shared" si="124"/>
        <v>47213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4" spans="12:16" ht="15" customHeight="1" hidden="1">
      <c r="L1544" s="60">
        <f t="shared" si="124"/>
        <v>47214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5" spans="12:16" ht="15" customHeight="1" hidden="1">
      <c r="L1545" s="60">
        <f t="shared" si="124"/>
        <v>47215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6" spans="12:16" ht="15" customHeight="1" hidden="1">
      <c r="L1546" s="60">
        <f t="shared" si="124"/>
        <v>47216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7" spans="12:16" ht="15" customHeight="1" hidden="1">
      <c r="L1547" s="60">
        <f t="shared" si="124"/>
        <v>47217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8" spans="12:16" ht="15" customHeight="1" hidden="1">
      <c r="L1548" s="60">
        <f t="shared" si="124"/>
        <v>47218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49" spans="12:16" ht="15" customHeight="1" hidden="1">
      <c r="L1549" s="60">
        <f t="shared" si="124"/>
        <v>47219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50" spans="12:16" ht="15" customHeight="1" hidden="1">
      <c r="L1550" s="60">
        <f t="shared" si="124"/>
        <v>47220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51" spans="12:16" ht="15" customHeight="1" hidden="1">
      <c r="L1551" s="60">
        <f t="shared" si="124"/>
        <v>47221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52" spans="12:16" ht="15" customHeight="1" hidden="1">
      <c r="L1552" s="60">
        <f t="shared" si="124"/>
        <v>47222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53" spans="12:16" ht="15" customHeight="1" hidden="1">
      <c r="L1553" s="60">
        <f t="shared" si="124"/>
        <v>47223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54" spans="12:16" ht="15" customHeight="1" hidden="1">
      <c r="L1554" s="60">
        <f t="shared" si="124"/>
        <v>47224</v>
      </c>
      <c s="28">
        <f t="shared" si="122"/>
        <v>0</v>
      </c>
      <c s="28">
        <f t="shared" si="125"/>
        <v>0</v>
      </c>
      <c s="28">
        <f t="shared" si="123"/>
        <v>0</v>
      </c>
      <c s="28"/>
    </row>
    <row r="1555" spans="12:16" ht="15" customHeight="1" hidden="1">
      <c r="L1555" s="60">
        <f t="shared" si="124"/>
        <v>47225</v>
      </c>
      <c s="28">
        <f t="shared" si="126" ref="M1555:M1618">IFERROR(VLOOKUP(L1555,$B$19:$E$80,4,FALSE),0)</f>
        <v>0</v>
      </c>
      <c s="28">
        <f t="shared" si="125"/>
        <v>0</v>
      </c>
      <c s="28">
        <f t="shared" si="127" ref="O1555:O1618">IFERROR(IF(ISNUMBER(N1554),N1554,$E$8)*IF(L1555&gt;=$J$8,$E$12,$E$12)/IF(MOD(YEAR(L1555),4),365,366)*IF(ISBLANK(L1554),L1555-$F$5,L1555-L1554),0)</f>
        <v>0</v>
      </c>
      <c s="28"/>
    </row>
    <row r="1556" spans="12:16" ht="15" customHeight="1" hidden="1">
      <c r="L1556" s="60">
        <f t="shared" si="124"/>
        <v>47226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57" spans="12:16" ht="15" customHeight="1" hidden="1">
      <c r="L1557" s="60">
        <f t="shared" si="124"/>
        <v>47227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58" spans="12:16" ht="15" customHeight="1" hidden="1">
      <c r="L1558" s="60">
        <f t="shared" si="124"/>
        <v>47228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59" spans="12:16" ht="15" customHeight="1" hidden="1">
      <c r="L1559" s="60">
        <f t="shared" si="124"/>
        <v>47229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0" spans="12:16" ht="15" customHeight="1" hidden="1">
      <c r="L1560" s="60">
        <f t="shared" si="124"/>
        <v>47230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1" spans="12:16" ht="15" customHeight="1" hidden="1">
      <c r="L1561" s="60">
        <f t="shared" si="124"/>
        <v>47231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2" spans="12:16" ht="15" customHeight="1" hidden="1">
      <c r="L1562" s="60">
        <f t="shared" si="124"/>
        <v>47232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3" spans="12:16" ht="15" customHeight="1" hidden="1">
      <c r="L1563" s="60">
        <f t="shared" si="124"/>
        <v>47233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4" spans="12:16" ht="15" customHeight="1" hidden="1">
      <c r="L1564" s="60">
        <f t="shared" si="124"/>
        <v>47234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5" spans="12:16" ht="15" customHeight="1" hidden="1">
      <c r="L1565" s="60">
        <f t="shared" si="124"/>
        <v>47235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6" spans="12:16" ht="15" customHeight="1" hidden="1">
      <c r="L1566" s="60">
        <f t="shared" si="124"/>
        <v>47236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7" spans="12:16" ht="15" customHeight="1" hidden="1">
      <c r="L1567" s="60">
        <f t="shared" si="124"/>
        <v>47237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8" spans="12:16" ht="15" customHeight="1" hidden="1">
      <c r="L1568" s="60">
        <f t="shared" si="124"/>
        <v>47238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69" spans="12:16" ht="15" customHeight="1" hidden="1">
      <c r="L1569" s="60">
        <f t="shared" si="124"/>
        <v>47239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0" spans="12:16" ht="15" customHeight="1" hidden="1">
      <c r="L1570" s="60">
        <f t="shared" si="128" ref="L1570:L1633">IFERROR(IF(MAX(L1569+1,$F$5+1)&gt;Дата_погашения_Займа,"-",MAX(L1569+1,$F$5+1)),"-")</f>
        <v>47240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1" spans="12:16" ht="15" customHeight="1" hidden="1">
      <c r="L1571" s="60">
        <f t="shared" si="128"/>
        <v>47241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2" spans="12:16" ht="15" customHeight="1" hidden="1">
      <c r="L1572" s="60">
        <f t="shared" si="128"/>
        <v>47242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3" spans="12:16" ht="15" customHeight="1" hidden="1">
      <c r="L1573" s="60">
        <f t="shared" si="128"/>
        <v>47243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4" spans="12:16" ht="15" customHeight="1" hidden="1">
      <c r="L1574" s="60">
        <f t="shared" si="128"/>
        <v>47244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5" spans="12:16" ht="15" customHeight="1" hidden="1">
      <c r="L1575" s="60">
        <f t="shared" si="128"/>
        <v>47245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6" spans="12:16" ht="15" customHeight="1" hidden="1">
      <c r="L1576" s="60">
        <f t="shared" si="128"/>
        <v>47246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7" spans="12:16" ht="15" customHeight="1" hidden="1">
      <c r="L1577" s="60">
        <f t="shared" si="128"/>
        <v>47247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8" spans="12:16" ht="15" customHeight="1" hidden="1">
      <c r="L1578" s="60">
        <f t="shared" si="128"/>
        <v>47248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79" spans="12:16" ht="15" customHeight="1" hidden="1">
      <c r="L1579" s="60">
        <f t="shared" si="128"/>
        <v>47249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80" spans="12:16" ht="15" customHeight="1" hidden="1">
      <c r="L1580" s="60">
        <f t="shared" si="128"/>
        <v>47250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81" spans="12:16" ht="15" customHeight="1" hidden="1">
      <c r="L1581" s="60">
        <f t="shared" si="128"/>
        <v>47251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82" spans="12:16" ht="15" customHeight="1" hidden="1">
      <c r="L1582" s="60">
        <f t="shared" si="128"/>
        <v>47252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83" spans="12:16" ht="15" customHeight="1" hidden="1">
      <c r="L1583" s="60">
        <f t="shared" si="128"/>
        <v>47253</v>
      </c>
      <c s="28">
        <f t="shared" si="126"/>
        <v>0</v>
      </c>
      <c s="28">
        <f t="shared" si="125"/>
        <v>0</v>
      </c>
      <c s="28">
        <f t="shared" si="127"/>
        <v>0</v>
      </c>
      <c s="28"/>
    </row>
    <row r="1584" spans="12:16" ht="15" customHeight="1" hidden="1">
      <c r="L1584" s="60">
        <f t="shared" si="128"/>
        <v>47254</v>
      </c>
      <c s="28">
        <f t="shared" si="126"/>
        <v>0</v>
      </c>
      <c s="28">
        <f t="shared" si="129" ref="N1584:N1647">IF(ISNUMBER(N1583),N1583-M1584,$E$8)</f>
        <v>0</v>
      </c>
      <c s="28">
        <f t="shared" si="127"/>
        <v>0</v>
      </c>
      <c s="28"/>
    </row>
    <row r="1585" spans="12:16" ht="15" customHeight="1" hidden="1">
      <c r="L1585" s="60">
        <f t="shared" si="128"/>
        <v>47255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86" spans="12:16" ht="15" customHeight="1" hidden="1">
      <c r="L1586" s="60">
        <f t="shared" si="128"/>
        <v>47256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87" spans="12:16" ht="15" customHeight="1" hidden="1">
      <c r="L1587" s="60">
        <f t="shared" si="128"/>
        <v>47257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88" spans="12:16" ht="15" customHeight="1" hidden="1">
      <c r="L1588" s="60">
        <f t="shared" si="128"/>
        <v>47258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89" spans="12:16" ht="15" customHeight="1" hidden="1">
      <c r="L1589" s="60">
        <f t="shared" si="128"/>
        <v>47259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0" spans="12:16" ht="15" customHeight="1" hidden="1">
      <c r="L1590" s="60">
        <f t="shared" si="128"/>
        <v>47260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1" spans="12:16" ht="15" customHeight="1" hidden="1">
      <c r="L1591" s="60">
        <f t="shared" si="128"/>
        <v>47261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2" spans="12:16" ht="15" customHeight="1" hidden="1">
      <c r="L1592" s="60">
        <f t="shared" si="128"/>
        <v>47262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3" spans="12:16" ht="15" customHeight="1" hidden="1">
      <c r="L1593" s="60">
        <f t="shared" si="128"/>
        <v>47263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4" spans="12:16" ht="15" customHeight="1" hidden="1">
      <c r="L1594" s="60">
        <f t="shared" si="128"/>
        <v>47264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5" spans="12:16" ht="15" customHeight="1" hidden="1">
      <c r="L1595" s="60">
        <f t="shared" si="128"/>
        <v>47265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6" spans="12:16" ht="15" customHeight="1" hidden="1">
      <c r="L1596" s="60">
        <f t="shared" si="128"/>
        <v>47266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7" spans="12:16" ht="15" customHeight="1" hidden="1">
      <c r="L1597" s="60">
        <f t="shared" si="128"/>
        <v>47267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8" spans="12:16" ht="15" customHeight="1" hidden="1">
      <c r="L1598" s="60">
        <f t="shared" si="128"/>
        <v>47268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599" spans="12:16" ht="15" customHeight="1" hidden="1">
      <c r="L1599" s="60">
        <f t="shared" si="128"/>
        <v>47269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0" spans="12:16" ht="15" customHeight="1" hidden="1">
      <c r="L1600" s="60">
        <f t="shared" si="128"/>
        <v>47270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1" spans="12:16" ht="15" customHeight="1" hidden="1">
      <c r="L1601" s="60">
        <f t="shared" si="128"/>
        <v>47271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2" spans="12:16" ht="15" customHeight="1" hidden="1">
      <c r="L1602" s="60">
        <f t="shared" si="128"/>
        <v>47272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3" spans="12:16" ht="15" customHeight="1" hidden="1">
      <c r="L1603" s="60">
        <f t="shared" si="128"/>
        <v>47273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4" spans="12:16" ht="15" customHeight="1" hidden="1">
      <c r="L1604" s="60">
        <f t="shared" si="128"/>
        <v>47274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5" spans="12:16" ht="15" customHeight="1" hidden="1">
      <c r="L1605" s="60">
        <f t="shared" si="128"/>
        <v>47275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6" spans="12:16" ht="15" customHeight="1" hidden="1">
      <c r="L1606" s="60">
        <f t="shared" si="128"/>
        <v>47276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7" spans="12:16" ht="15" customHeight="1" hidden="1">
      <c r="L1607" s="60">
        <f t="shared" si="128"/>
        <v>47277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8" spans="12:16" ht="15" customHeight="1" hidden="1">
      <c r="L1608" s="60">
        <f t="shared" si="128"/>
        <v>47278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09" spans="12:16" ht="15" customHeight="1" hidden="1">
      <c r="L1609" s="60">
        <f t="shared" si="128"/>
        <v>47279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0" spans="12:16" ht="15" customHeight="1" hidden="1">
      <c r="L1610" s="60">
        <f t="shared" si="128"/>
        <v>47280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1" spans="12:16" ht="15" customHeight="1" hidden="1">
      <c r="L1611" s="60">
        <f t="shared" si="128"/>
        <v>47281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2" spans="12:16" ht="15" customHeight="1" hidden="1">
      <c r="L1612" s="60">
        <f t="shared" si="128"/>
        <v>47282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3" spans="12:16" ht="15" customHeight="1" hidden="1">
      <c r="L1613" s="60">
        <f t="shared" si="128"/>
        <v>47283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4" spans="12:16" ht="15" customHeight="1" hidden="1">
      <c r="L1614" s="60">
        <f t="shared" si="128"/>
        <v>47284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5" spans="12:16" ht="15" customHeight="1" hidden="1">
      <c r="L1615" s="60">
        <f t="shared" si="128"/>
        <v>47285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6" spans="12:16" ht="15" customHeight="1" hidden="1">
      <c r="L1616" s="60">
        <f t="shared" si="128"/>
        <v>47286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7" spans="12:16" ht="15" customHeight="1" hidden="1">
      <c r="L1617" s="60">
        <f t="shared" si="128"/>
        <v>47287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8" spans="12:16" ht="15" customHeight="1" hidden="1">
      <c r="L1618" s="60">
        <f t="shared" si="128"/>
        <v>47288</v>
      </c>
      <c s="28">
        <f t="shared" si="126"/>
        <v>0</v>
      </c>
      <c s="28">
        <f t="shared" si="129"/>
        <v>0</v>
      </c>
      <c s="28">
        <f t="shared" si="127"/>
        <v>0</v>
      </c>
      <c s="28"/>
    </row>
    <row r="1619" spans="12:16" ht="15" customHeight="1" hidden="1">
      <c r="L1619" s="60">
        <f t="shared" si="128"/>
        <v>47289</v>
      </c>
      <c s="28">
        <f t="shared" si="130" ref="M1619:M1682">IFERROR(VLOOKUP(L1619,$B$19:$E$80,4,FALSE),0)</f>
        <v>0</v>
      </c>
      <c s="28">
        <f t="shared" si="129"/>
        <v>0</v>
      </c>
      <c s="28">
        <f t="shared" si="131" ref="O1619:O1682">IFERROR(IF(ISNUMBER(N1618),N1618,$E$8)*IF(L1619&gt;=$J$8,$E$12,$E$12)/IF(MOD(YEAR(L1619),4),365,366)*IF(ISBLANK(L1618),L1619-$F$5,L1619-L1618),0)</f>
        <v>0</v>
      </c>
      <c s="28"/>
    </row>
    <row r="1620" spans="12:16" ht="15" customHeight="1" hidden="1">
      <c r="L1620" s="60">
        <f t="shared" si="128"/>
        <v>47290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1" spans="12:16" ht="15" customHeight="1" hidden="1">
      <c r="L1621" s="60">
        <f t="shared" si="128"/>
        <v>47291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2" spans="12:16" ht="15" customHeight="1" hidden="1">
      <c r="L1622" s="60">
        <f t="shared" si="128"/>
        <v>47292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3" spans="12:16" ht="15" customHeight="1" hidden="1">
      <c r="L1623" s="60">
        <f t="shared" si="128"/>
        <v>47293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4" spans="12:16" ht="15" customHeight="1" hidden="1">
      <c r="L1624" s="60">
        <f t="shared" si="128"/>
        <v>47294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5" spans="12:16" ht="15" customHeight="1" hidden="1">
      <c r="L1625" s="60">
        <f t="shared" si="128"/>
        <v>47295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6" spans="12:16" ht="15" customHeight="1" hidden="1">
      <c r="L1626" s="60">
        <f t="shared" si="128"/>
        <v>47296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7" spans="12:16" ht="15" customHeight="1" hidden="1">
      <c r="L1627" s="60">
        <f t="shared" si="128"/>
        <v>47297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8" spans="12:16" ht="15" customHeight="1" hidden="1">
      <c r="L1628" s="60">
        <f t="shared" si="128"/>
        <v>47298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29" spans="12:16" ht="15" customHeight="1" hidden="1">
      <c r="L1629" s="60">
        <f t="shared" si="128"/>
        <v>47299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0" spans="12:16" ht="15" customHeight="1" hidden="1">
      <c r="L1630" s="60">
        <f t="shared" si="128"/>
        <v>47300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1" spans="12:16" ht="15" customHeight="1" hidden="1">
      <c r="L1631" s="60">
        <f t="shared" si="128"/>
        <v>47301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2" spans="12:16" ht="15" customHeight="1" hidden="1">
      <c r="L1632" s="60">
        <f t="shared" si="128"/>
        <v>47302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3" spans="12:16" ht="15" customHeight="1" hidden="1">
      <c r="L1633" s="60">
        <f t="shared" si="128"/>
        <v>47303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4" spans="12:16" ht="15" customHeight="1" hidden="1">
      <c r="L1634" s="60">
        <f t="shared" si="132" ref="L1634:L1697">IFERROR(IF(MAX(L1633+1,$F$5+1)&gt;Дата_погашения_Займа,"-",MAX(L1633+1,$F$5+1)),"-")</f>
        <v>47304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5" spans="12:16" ht="15" customHeight="1" hidden="1">
      <c r="L1635" s="60">
        <f t="shared" si="132"/>
        <v>47305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6" spans="12:16" ht="15" customHeight="1" hidden="1">
      <c r="L1636" s="60">
        <f t="shared" si="132"/>
        <v>47306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7" spans="12:16" ht="15" customHeight="1" hidden="1">
      <c r="L1637" s="60">
        <f t="shared" si="132"/>
        <v>47307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8" spans="12:16" ht="15" customHeight="1" hidden="1">
      <c r="L1638" s="60">
        <f t="shared" si="132"/>
        <v>47308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39" spans="12:16" ht="15" customHeight="1" hidden="1">
      <c r="L1639" s="60">
        <f t="shared" si="132"/>
        <v>47309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0" spans="12:16" ht="15" customHeight="1" hidden="1">
      <c r="L1640" s="60">
        <f t="shared" si="132"/>
        <v>47310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1" spans="12:16" ht="15" customHeight="1" hidden="1">
      <c r="L1641" s="60">
        <f t="shared" si="132"/>
        <v>47311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2" spans="12:16" ht="15" customHeight="1" hidden="1">
      <c r="L1642" s="60">
        <f t="shared" si="132"/>
        <v>47312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3" spans="12:16" ht="15" customHeight="1" hidden="1">
      <c r="L1643" s="60">
        <f t="shared" si="132"/>
        <v>47313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4" spans="12:16" ht="15" customHeight="1" hidden="1">
      <c r="L1644" s="60">
        <f t="shared" si="132"/>
        <v>47314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5" spans="12:16" ht="15" customHeight="1" hidden="1">
      <c r="L1645" s="60">
        <f t="shared" si="132"/>
        <v>47315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6" spans="12:16" ht="15" customHeight="1" hidden="1">
      <c r="L1646" s="60">
        <f t="shared" si="132"/>
        <v>47316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7" spans="12:16" ht="15" customHeight="1" hidden="1">
      <c r="L1647" s="60">
        <f t="shared" si="132"/>
        <v>47317</v>
      </c>
      <c s="28">
        <f t="shared" si="130"/>
        <v>0</v>
      </c>
      <c s="28">
        <f t="shared" si="129"/>
        <v>0</v>
      </c>
      <c s="28">
        <f t="shared" si="131"/>
        <v>0</v>
      </c>
      <c s="28"/>
    </row>
    <row r="1648" spans="12:16" ht="15" customHeight="1" hidden="1">
      <c r="L1648" s="60">
        <f t="shared" si="132"/>
        <v>47318</v>
      </c>
      <c s="28">
        <f t="shared" si="130"/>
        <v>0</v>
      </c>
      <c s="28">
        <f t="shared" si="133" ref="N1648:N1711">IF(ISNUMBER(N1647),N1647-M1648,$E$8)</f>
        <v>0</v>
      </c>
      <c s="28">
        <f t="shared" si="131"/>
        <v>0</v>
      </c>
      <c s="28"/>
    </row>
    <row r="1649" spans="12:16" ht="15" customHeight="1" hidden="1">
      <c r="L1649" s="60">
        <f t="shared" si="132"/>
        <v>47319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0" spans="12:16" ht="15" customHeight="1" hidden="1">
      <c r="L1650" s="60">
        <f t="shared" si="132"/>
        <v>47320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1" spans="12:16" ht="15" customHeight="1" hidden="1">
      <c r="L1651" s="60">
        <f t="shared" si="132"/>
        <v>47321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2" spans="12:16" ht="15" customHeight="1" hidden="1">
      <c r="L1652" s="60">
        <f t="shared" si="132"/>
        <v>47322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3" spans="12:16" ht="15" customHeight="1" hidden="1">
      <c r="L1653" s="60">
        <f t="shared" si="132"/>
        <v>47323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4" spans="12:16" ht="15" customHeight="1" hidden="1">
      <c r="L1654" s="60">
        <f t="shared" si="132"/>
        <v>47324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5" spans="12:16" ht="15" customHeight="1" hidden="1">
      <c r="L1655" s="60">
        <f t="shared" si="132"/>
        <v>47325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6" spans="12:16" ht="15" customHeight="1" hidden="1">
      <c r="L1656" s="60">
        <f t="shared" si="132"/>
        <v>47326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7" spans="12:16" ht="15" customHeight="1" hidden="1">
      <c r="L1657" s="60">
        <f t="shared" si="132"/>
        <v>47327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8" spans="12:16" ht="15" customHeight="1" hidden="1">
      <c r="L1658" s="60">
        <f t="shared" si="132"/>
        <v>47328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59" spans="12:16" ht="15" customHeight="1" hidden="1">
      <c r="L1659" s="60">
        <f t="shared" si="132"/>
        <v>47329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0" spans="12:16" ht="15" customHeight="1" hidden="1">
      <c r="L1660" s="60">
        <f t="shared" si="132"/>
        <v>47330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1" spans="12:16" ht="15" customHeight="1" hidden="1">
      <c r="L1661" s="60">
        <f t="shared" si="132"/>
        <v>47331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2" spans="12:16" ht="15" customHeight="1" hidden="1">
      <c r="L1662" s="60">
        <f t="shared" si="132"/>
        <v>47332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3" spans="12:16" ht="15" customHeight="1" hidden="1">
      <c r="L1663" s="60">
        <f t="shared" si="132"/>
        <v>47333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4" spans="12:16" ht="15" customHeight="1" hidden="1">
      <c r="L1664" s="60">
        <f t="shared" si="132"/>
        <v>47334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5" spans="12:16" ht="15" customHeight="1" hidden="1">
      <c r="L1665" s="60">
        <f t="shared" si="132"/>
        <v>47335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6" spans="12:16" ht="15" customHeight="1" hidden="1">
      <c r="L1666" s="60">
        <f t="shared" si="132"/>
        <v>47336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7" spans="12:16" ht="15" customHeight="1" hidden="1">
      <c r="L1667" s="60">
        <f t="shared" si="132"/>
        <v>47337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8" spans="12:16" ht="15" customHeight="1" hidden="1">
      <c r="L1668" s="60">
        <f t="shared" si="132"/>
        <v>47338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69" spans="12:16" ht="15" customHeight="1" hidden="1">
      <c r="L1669" s="60">
        <f t="shared" si="132"/>
        <v>47339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0" spans="12:16" ht="15" customHeight="1" hidden="1">
      <c r="L1670" s="60">
        <f t="shared" si="132"/>
        <v>47340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1" spans="12:16" ht="15" customHeight="1" hidden="1">
      <c r="L1671" s="60">
        <f t="shared" si="132"/>
        <v>47341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2" spans="12:16" ht="15" customHeight="1" hidden="1">
      <c r="L1672" s="60">
        <f t="shared" si="132"/>
        <v>47342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3" spans="12:16" ht="15" customHeight="1" hidden="1">
      <c r="L1673" s="60">
        <f t="shared" si="132"/>
        <v>47343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4" spans="12:16" ht="15" customHeight="1" hidden="1">
      <c r="L1674" s="60">
        <f t="shared" si="132"/>
        <v>47344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5" spans="12:16" ht="15" customHeight="1" hidden="1">
      <c r="L1675" s="60">
        <f t="shared" si="132"/>
        <v>47345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6" spans="12:16" ht="15" customHeight="1" hidden="1">
      <c r="L1676" s="60">
        <f t="shared" si="132"/>
        <v>47346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7" spans="12:16" ht="15" customHeight="1" hidden="1">
      <c r="L1677" s="60">
        <f t="shared" si="132"/>
        <v>47347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8" spans="12:16" ht="15" customHeight="1" hidden="1">
      <c r="L1678" s="60">
        <f t="shared" si="132"/>
        <v>47348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79" spans="12:16" ht="15" customHeight="1" hidden="1">
      <c r="L1679" s="60">
        <f t="shared" si="132"/>
        <v>47349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80" spans="12:16" ht="15" customHeight="1" hidden="1">
      <c r="L1680" s="60">
        <f t="shared" si="132"/>
        <v>47350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81" spans="12:16" ht="15" customHeight="1" hidden="1">
      <c r="L1681" s="60">
        <f t="shared" si="132"/>
        <v>47351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82" spans="12:16" ht="15" customHeight="1" hidden="1">
      <c r="L1682" s="60">
        <f t="shared" si="132"/>
        <v>47352</v>
      </c>
      <c s="28">
        <f t="shared" si="130"/>
        <v>0</v>
      </c>
      <c s="28">
        <f t="shared" si="133"/>
        <v>0</v>
      </c>
      <c s="28">
        <f t="shared" si="131"/>
        <v>0</v>
      </c>
      <c s="28"/>
    </row>
    <row r="1683" spans="12:16" ht="15" customHeight="1" hidden="1">
      <c r="L1683" s="60">
        <f t="shared" si="132"/>
        <v>47353</v>
      </c>
      <c s="28">
        <f t="shared" si="134" ref="M1683:M1746">IFERROR(VLOOKUP(L1683,$B$19:$E$80,4,FALSE),0)</f>
        <v>0</v>
      </c>
      <c s="28">
        <f t="shared" si="133"/>
        <v>0</v>
      </c>
      <c s="28">
        <f t="shared" si="135" ref="O1683:O1746">IFERROR(IF(ISNUMBER(N1682),N1682,$E$8)*IF(L1683&gt;=$J$8,$E$12,$E$12)/IF(MOD(YEAR(L1683),4),365,366)*IF(ISBLANK(L1682),L1683-$F$5,L1683-L1682),0)</f>
        <v>0</v>
      </c>
      <c s="28"/>
    </row>
    <row r="1684" spans="12:16" ht="15" customHeight="1" hidden="1">
      <c r="L1684" s="60">
        <f t="shared" si="132"/>
        <v>47354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85" spans="12:16" ht="15" customHeight="1" hidden="1">
      <c r="L1685" s="60">
        <f t="shared" si="132"/>
        <v>47355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86" spans="12:16" ht="15" customHeight="1" hidden="1">
      <c r="L1686" s="60">
        <f t="shared" si="132"/>
        <v>47356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87" spans="12:16" ht="15" customHeight="1" hidden="1">
      <c r="L1687" s="60">
        <f t="shared" si="132"/>
        <v>47357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88" spans="12:16" ht="15" customHeight="1" hidden="1">
      <c r="L1688" s="60">
        <f t="shared" si="132"/>
        <v>47358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89" spans="12:16" ht="15" customHeight="1" hidden="1">
      <c r="L1689" s="60">
        <f t="shared" si="132"/>
        <v>47359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0" spans="12:16" ht="15" customHeight="1" hidden="1">
      <c r="L1690" s="60">
        <f t="shared" si="132"/>
        <v>47360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1" spans="12:16" ht="15" customHeight="1" hidden="1">
      <c r="L1691" s="60">
        <f t="shared" si="132"/>
        <v>47361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2" spans="12:16" ht="15" customHeight="1" hidden="1">
      <c r="L1692" s="60">
        <f t="shared" si="132"/>
        <v>47362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3" spans="12:16" ht="15" customHeight="1" hidden="1">
      <c r="L1693" s="60">
        <f t="shared" si="132"/>
        <v>47363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4" spans="12:16" ht="15" customHeight="1" hidden="1">
      <c r="L1694" s="60">
        <f t="shared" si="132"/>
        <v>47364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5" spans="12:16" ht="15" customHeight="1" hidden="1">
      <c r="L1695" s="60">
        <f t="shared" si="132"/>
        <v>47365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6" spans="12:16" ht="15" customHeight="1" hidden="1">
      <c r="L1696" s="60">
        <f t="shared" si="132"/>
        <v>47366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7" spans="12:16" ht="15" customHeight="1" hidden="1">
      <c r="L1697" s="60">
        <f t="shared" si="132"/>
        <v>47367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8" spans="12:16" ht="15" customHeight="1" hidden="1">
      <c r="L1698" s="60">
        <f t="shared" si="136" ref="L1698:L1761">IFERROR(IF(MAX(L1697+1,$F$5+1)&gt;Дата_погашения_Займа,"-",MAX(L1697+1,$F$5+1)),"-")</f>
        <v>47368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699" spans="12:16" ht="15" customHeight="1" hidden="1">
      <c r="L1699" s="60">
        <f t="shared" si="136"/>
        <v>47369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0" spans="12:16" ht="15" customHeight="1" hidden="1">
      <c r="L1700" s="60">
        <f t="shared" si="136"/>
        <v>47370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1" spans="12:16" ht="15" customHeight="1" hidden="1">
      <c r="L1701" s="60">
        <f t="shared" si="136"/>
        <v>47371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2" spans="12:16" ht="15" customHeight="1" hidden="1">
      <c r="L1702" s="60">
        <f t="shared" si="136"/>
        <v>47372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3" spans="12:16" ht="15" customHeight="1" hidden="1">
      <c r="L1703" s="60">
        <f t="shared" si="136"/>
        <v>47373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4" spans="12:16" ht="15" customHeight="1" hidden="1">
      <c r="L1704" s="60">
        <f t="shared" si="136"/>
        <v>47374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5" spans="12:16" ht="15" customHeight="1" hidden="1">
      <c r="L1705" s="60">
        <f t="shared" si="136"/>
        <v>47375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6" spans="12:16" ht="15" customHeight="1" hidden="1">
      <c r="L1706" s="60">
        <f t="shared" si="136"/>
        <v>47376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7" spans="12:16" ht="15" customHeight="1" hidden="1">
      <c r="L1707" s="60">
        <f t="shared" si="136"/>
        <v>47377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8" spans="12:16" ht="15" customHeight="1" hidden="1">
      <c r="L1708" s="60">
        <f t="shared" si="136"/>
        <v>47378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09" spans="12:16" ht="15" customHeight="1" hidden="1">
      <c r="L1709" s="60">
        <f t="shared" si="136"/>
        <v>47379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10" spans="12:16" ht="15" customHeight="1" hidden="1">
      <c r="L1710" s="60">
        <f t="shared" si="136"/>
        <v>47380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11" spans="12:16" ht="15" customHeight="1" hidden="1">
      <c r="L1711" s="60">
        <f t="shared" si="136"/>
        <v>47381</v>
      </c>
      <c s="28">
        <f t="shared" si="134"/>
        <v>0</v>
      </c>
      <c s="28">
        <f t="shared" si="133"/>
        <v>0</v>
      </c>
      <c s="28">
        <f t="shared" si="135"/>
        <v>0</v>
      </c>
      <c s="28"/>
    </row>
    <row r="1712" spans="12:16" ht="15" customHeight="1" hidden="1">
      <c r="L1712" s="60">
        <f t="shared" si="136"/>
        <v>47382</v>
      </c>
      <c s="28">
        <f t="shared" si="134"/>
        <v>0</v>
      </c>
      <c s="28">
        <f t="shared" si="137" ref="N1712:N1775">IF(ISNUMBER(N1711),N1711-M1712,$E$8)</f>
        <v>0</v>
      </c>
      <c s="28">
        <f t="shared" si="135"/>
        <v>0</v>
      </c>
      <c s="28"/>
    </row>
    <row r="1713" spans="12:16" ht="15" customHeight="1" hidden="1">
      <c r="L1713" s="60">
        <f t="shared" si="136"/>
        <v>47383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14" spans="12:16" ht="15" customHeight="1" hidden="1">
      <c r="L1714" s="60">
        <f t="shared" si="136"/>
        <v>47384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15" spans="12:16" ht="15" customHeight="1" hidden="1">
      <c r="L1715" s="60">
        <f t="shared" si="136"/>
        <v>47385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16" spans="12:16" ht="15" customHeight="1" hidden="1">
      <c r="L1716" s="60">
        <f t="shared" si="136"/>
        <v>47386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17" spans="12:16" ht="15" customHeight="1" hidden="1">
      <c r="L1717" s="60">
        <f t="shared" si="136"/>
        <v>47387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18" spans="12:16" ht="15" customHeight="1" hidden="1">
      <c r="L1718" s="60">
        <f t="shared" si="136"/>
        <v>47388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19" spans="12:16" ht="15" customHeight="1" hidden="1">
      <c r="L1719" s="60">
        <f t="shared" si="136"/>
        <v>47389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0" spans="12:16" ht="15" customHeight="1" hidden="1">
      <c r="L1720" s="60">
        <f t="shared" si="136"/>
        <v>47390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1" spans="12:16" ht="15" customHeight="1" hidden="1">
      <c r="L1721" s="60">
        <f t="shared" si="136"/>
        <v>47391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2" spans="12:16" ht="15" customHeight="1" hidden="1">
      <c r="L1722" s="60">
        <f t="shared" si="136"/>
        <v>47392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3" spans="12:16" ht="15" customHeight="1" hidden="1">
      <c r="L1723" s="60">
        <f t="shared" si="136"/>
        <v>47393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4" spans="12:16" ht="15" customHeight="1" hidden="1">
      <c r="L1724" s="60">
        <f t="shared" si="136"/>
        <v>47394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5" spans="12:16" ht="15" customHeight="1" hidden="1">
      <c r="L1725" s="60">
        <f t="shared" si="136"/>
        <v>47395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6" spans="12:16" ht="15" customHeight="1" hidden="1">
      <c r="L1726" s="60">
        <f t="shared" si="136"/>
        <v>47396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7" spans="12:16" ht="15" customHeight="1" hidden="1">
      <c r="L1727" s="60">
        <f t="shared" si="136"/>
        <v>47397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8" spans="12:16" ht="15" customHeight="1" hidden="1">
      <c r="L1728" s="60">
        <f t="shared" si="136"/>
        <v>47398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29" spans="12:16" ht="15" customHeight="1" hidden="1">
      <c r="L1729" s="60">
        <f t="shared" si="136"/>
        <v>47399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0" spans="12:16" ht="15" customHeight="1" hidden="1">
      <c r="L1730" s="60">
        <f t="shared" si="136"/>
        <v>47400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1" spans="12:16" ht="15" customHeight="1" hidden="1">
      <c r="L1731" s="60">
        <f t="shared" si="136"/>
        <v>47401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2" spans="12:16" ht="15" customHeight="1" hidden="1">
      <c r="L1732" s="60">
        <f t="shared" si="136"/>
        <v>47402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3" spans="12:16" ht="15" customHeight="1" hidden="1">
      <c r="L1733" s="60">
        <f t="shared" si="136"/>
        <v>47403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4" spans="12:16" ht="15" customHeight="1" hidden="1">
      <c r="L1734" s="60">
        <f t="shared" si="136"/>
        <v>47404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5" spans="12:16" ht="15" customHeight="1" hidden="1">
      <c r="L1735" s="60">
        <f t="shared" si="136"/>
        <v>47405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6" spans="12:16" ht="15" customHeight="1" hidden="1">
      <c r="L1736" s="60">
        <f t="shared" si="136"/>
        <v>47406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7" spans="12:16" ht="15" customHeight="1" hidden="1">
      <c r="L1737" s="60">
        <f t="shared" si="136"/>
        <v>47407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8" spans="12:16" ht="15" customHeight="1" hidden="1">
      <c r="L1738" s="60">
        <f t="shared" si="136"/>
        <v>47408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39" spans="12:16" ht="15" customHeight="1" hidden="1">
      <c r="L1739" s="60">
        <f t="shared" si="136"/>
        <v>47409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0" spans="12:16" ht="15" customHeight="1" hidden="1">
      <c r="L1740" s="60">
        <f t="shared" si="136"/>
        <v>47410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1" spans="12:16" ht="15" customHeight="1" hidden="1">
      <c r="L1741" s="60">
        <f t="shared" si="136"/>
        <v>47411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2" spans="12:16" ht="15" customHeight="1" hidden="1">
      <c r="L1742" s="60">
        <f t="shared" si="136"/>
        <v>47412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3" spans="12:16" ht="15" customHeight="1" hidden="1">
      <c r="L1743" s="60">
        <f t="shared" si="136"/>
        <v>47413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4" spans="12:16" ht="15" customHeight="1" hidden="1">
      <c r="L1744" s="60">
        <f t="shared" si="136"/>
        <v>47414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5" spans="12:16" ht="15" customHeight="1" hidden="1">
      <c r="L1745" s="60">
        <f t="shared" si="136"/>
        <v>47415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6" spans="12:16" ht="15" customHeight="1" hidden="1">
      <c r="L1746" s="60">
        <f t="shared" si="136"/>
        <v>47416</v>
      </c>
      <c s="28">
        <f t="shared" si="134"/>
        <v>0</v>
      </c>
      <c s="28">
        <f t="shared" si="137"/>
        <v>0</v>
      </c>
      <c s="28">
        <f t="shared" si="135"/>
        <v>0</v>
      </c>
      <c s="28"/>
    </row>
    <row r="1747" spans="12:16" ht="15" customHeight="1" hidden="1">
      <c r="L1747" s="60">
        <f t="shared" si="136"/>
        <v>47417</v>
      </c>
      <c s="28">
        <f t="shared" si="138" ref="M1747:M1810">IFERROR(VLOOKUP(L1747,$B$19:$E$80,4,FALSE),0)</f>
        <v>0</v>
      </c>
      <c s="28">
        <f t="shared" si="137"/>
        <v>0</v>
      </c>
      <c s="28">
        <f t="shared" si="139" ref="O1747:O1810">IFERROR(IF(ISNUMBER(N1746),N1746,$E$8)*IF(L1747&gt;=$J$8,$E$12,$E$12)/IF(MOD(YEAR(L1747),4),365,366)*IF(ISBLANK(L1746),L1747-$F$5,L1747-L1746),0)</f>
        <v>0</v>
      </c>
      <c s="28"/>
    </row>
    <row r="1748" spans="12:16" ht="15" customHeight="1" hidden="1">
      <c r="L1748" s="60">
        <f t="shared" si="136"/>
        <v>47418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49" spans="12:16" ht="15" customHeight="1" hidden="1">
      <c r="L1749" s="60">
        <f t="shared" si="136"/>
        <v>47419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0" spans="12:16" ht="15" customHeight="1" hidden="1">
      <c r="L1750" s="60">
        <f t="shared" si="136"/>
        <v>47420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1" spans="12:16" ht="15" customHeight="1" hidden="1">
      <c r="L1751" s="60">
        <f t="shared" si="136"/>
        <v>47421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2" spans="12:16" ht="15" customHeight="1" hidden="1">
      <c r="L1752" s="60">
        <f t="shared" si="136"/>
        <v>47422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3" spans="12:16" ht="15" customHeight="1" hidden="1">
      <c r="L1753" s="60">
        <f t="shared" si="136"/>
        <v>47423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4" spans="12:16" ht="15" customHeight="1" hidden="1">
      <c r="L1754" s="60">
        <f t="shared" si="136"/>
        <v>47424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5" spans="12:16" ht="15" customHeight="1" hidden="1">
      <c r="L1755" s="60">
        <f t="shared" si="136"/>
        <v>47425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6" spans="12:16" ht="15" customHeight="1" hidden="1">
      <c r="L1756" s="60">
        <f t="shared" si="136"/>
        <v>47426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7" spans="12:16" ht="15" customHeight="1" hidden="1">
      <c r="L1757" s="60">
        <f t="shared" si="136"/>
        <v>47427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8" spans="12:16" ht="15" customHeight="1" hidden="1">
      <c r="L1758" s="60">
        <f t="shared" si="136"/>
        <v>47428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59" spans="12:16" ht="15" customHeight="1" hidden="1">
      <c r="L1759" s="60">
        <f t="shared" si="136"/>
        <v>47429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0" spans="12:16" ht="15" customHeight="1" hidden="1">
      <c r="L1760" s="60">
        <f t="shared" si="136"/>
        <v>47430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1" spans="12:16" ht="15" customHeight="1" hidden="1">
      <c r="L1761" s="60">
        <f t="shared" si="136"/>
        <v>47431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2" spans="12:16" ht="15" customHeight="1" hidden="1">
      <c r="L1762" s="60">
        <f t="shared" si="140" ref="L1762:L1825">IFERROR(IF(MAX(L1761+1,$F$5+1)&gt;Дата_погашения_Займа,"-",MAX(L1761+1,$F$5+1)),"-")</f>
        <v>47432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3" spans="12:16" ht="15" customHeight="1" hidden="1">
      <c r="L1763" s="60">
        <f t="shared" si="140"/>
        <v>47433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4" spans="12:16" ht="15" customHeight="1" hidden="1">
      <c r="L1764" s="60">
        <f t="shared" si="140"/>
        <v>47434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5" spans="12:16" ht="15" customHeight="1" hidden="1">
      <c r="L1765" s="60">
        <f t="shared" si="140"/>
        <v>47435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6" spans="12:16" ht="15" customHeight="1" hidden="1">
      <c r="L1766" s="60">
        <f t="shared" si="140"/>
        <v>47436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7" spans="12:16" ht="15" customHeight="1" hidden="1">
      <c r="L1767" s="60">
        <f t="shared" si="140"/>
        <v>47437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8" spans="12:16" ht="15" customHeight="1" hidden="1">
      <c r="L1768" s="60">
        <f t="shared" si="140"/>
        <v>47438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69" spans="12:16" ht="15" customHeight="1" hidden="1">
      <c r="L1769" s="60">
        <f t="shared" si="140"/>
        <v>47439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0" spans="12:16" ht="15" customHeight="1" hidden="1">
      <c r="L1770" s="60">
        <f t="shared" si="140"/>
        <v>47440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1" spans="12:16" ht="15" customHeight="1" hidden="1">
      <c r="L1771" s="60">
        <f t="shared" si="140"/>
        <v>47441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2" spans="12:16" ht="15" customHeight="1" hidden="1">
      <c r="L1772" s="60">
        <f t="shared" si="140"/>
        <v>47442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3" spans="12:16" ht="15" customHeight="1" hidden="1">
      <c r="L1773" s="60">
        <f t="shared" si="140"/>
        <v>47443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4" spans="12:16" ht="15" customHeight="1" hidden="1">
      <c r="L1774" s="60">
        <f t="shared" si="140"/>
        <v>47444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5" spans="12:16" ht="15" customHeight="1" hidden="1">
      <c r="L1775" s="60">
        <f t="shared" si="140"/>
        <v>47445</v>
      </c>
      <c s="28">
        <f t="shared" si="138"/>
        <v>0</v>
      </c>
      <c s="28">
        <f t="shared" si="137"/>
        <v>0</v>
      </c>
      <c s="28">
        <f t="shared" si="139"/>
        <v>0</v>
      </c>
      <c s="28"/>
    </row>
    <row r="1776" spans="12:16" ht="15" customHeight="1" hidden="1">
      <c r="L1776" s="60">
        <f t="shared" si="140"/>
        <v>47446</v>
      </c>
      <c s="28">
        <f t="shared" si="138"/>
        <v>0</v>
      </c>
      <c s="28">
        <f t="shared" si="141" ref="N1776:N1839">IF(ISNUMBER(N1775),N1775-M1776,$E$8)</f>
        <v>0</v>
      </c>
      <c s="28">
        <f t="shared" si="139"/>
        <v>0</v>
      </c>
      <c s="28"/>
    </row>
    <row r="1777" spans="12:16" ht="15" customHeight="1" hidden="1">
      <c r="L1777" s="60">
        <f t="shared" si="140"/>
        <v>47447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78" spans="12:16" ht="15" customHeight="1" hidden="1">
      <c r="L1778" s="60">
        <f t="shared" si="140"/>
        <v>47448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79" spans="12:16" ht="15" customHeight="1" hidden="1">
      <c r="L1779" s="60">
        <f t="shared" si="140"/>
        <v>47449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0" spans="12:16" ht="15" customHeight="1" hidden="1">
      <c r="L1780" s="60">
        <f t="shared" si="140"/>
        <v>47450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1" spans="12:16" ht="15" customHeight="1" hidden="1">
      <c r="L1781" s="60">
        <f t="shared" si="140"/>
        <v>47451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2" spans="12:16" ht="15" customHeight="1" hidden="1">
      <c r="L1782" s="60">
        <f t="shared" si="140"/>
        <v>47452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3" spans="12:16" ht="15" customHeight="1" hidden="1">
      <c r="L1783" s="60">
        <f t="shared" si="140"/>
        <v>47453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4" spans="12:16" ht="15" customHeight="1" hidden="1">
      <c r="L1784" s="60">
        <f t="shared" si="140"/>
        <v>47454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5" spans="12:16" ht="15" customHeight="1" hidden="1">
      <c r="L1785" s="60">
        <f t="shared" si="140"/>
        <v>47455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6" spans="12:16" ht="15" customHeight="1" hidden="1">
      <c r="L1786" s="60">
        <f t="shared" si="140"/>
        <v>47456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7" spans="12:16" ht="15" customHeight="1" hidden="1">
      <c r="L1787" s="60">
        <f t="shared" si="140"/>
        <v>47457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8" spans="12:16" ht="15" customHeight="1" hidden="1">
      <c r="L1788" s="60">
        <f t="shared" si="140"/>
        <v>47458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89" spans="12:16" ht="15" customHeight="1" hidden="1">
      <c r="L1789" s="60">
        <f t="shared" si="140"/>
        <v>47459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0" spans="12:16" ht="15" customHeight="1" hidden="1">
      <c r="L1790" s="60">
        <f t="shared" si="140"/>
        <v>47460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1" spans="12:16" ht="15" customHeight="1" hidden="1">
      <c r="L1791" s="60">
        <f t="shared" si="140"/>
        <v>47461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2" spans="12:16" ht="15" customHeight="1" hidden="1">
      <c r="L1792" s="60">
        <f t="shared" si="140"/>
        <v>47462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3" spans="12:16" ht="15" customHeight="1" hidden="1">
      <c r="L1793" s="60">
        <f t="shared" si="140"/>
        <v>47463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4" spans="12:16" ht="15" customHeight="1" hidden="1">
      <c r="L1794" s="60">
        <f t="shared" si="140"/>
        <v>47464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5" spans="12:16" ht="15" customHeight="1" hidden="1">
      <c r="L1795" s="60">
        <f t="shared" si="140"/>
        <v>47465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6" spans="12:16" ht="15" customHeight="1" hidden="1">
      <c r="L1796" s="60">
        <f t="shared" si="140"/>
        <v>47466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7" spans="12:16" ht="15" customHeight="1" hidden="1">
      <c r="L1797" s="60">
        <f t="shared" si="140"/>
        <v>47467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8" spans="12:16" ht="15" customHeight="1" hidden="1">
      <c r="L1798" s="60">
        <f t="shared" si="140"/>
        <v>47468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799" spans="12:16" ht="15" customHeight="1" hidden="1">
      <c r="L1799" s="60">
        <f t="shared" si="140"/>
        <v>47469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0" spans="12:16" ht="15" customHeight="1" hidden="1">
      <c r="L1800" s="60">
        <f t="shared" si="140"/>
        <v>47470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1" spans="12:16" ht="15" customHeight="1" hidden="1">
      <c r="L1801" s="60">
        <f t="shared" si="140"/>
        <v>47471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2" spans="12:16" ht="15" customHeight="1" hidden="1">
      <c r="L1802" s="60">
        <f t="shared" si="140"/>
        <v>47472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3" spans="12:16" ht="15" customHeight="1" hidden="1">
      <c r="L1803" s="60">
        <f t="shared" si="140"/>
        <v>47473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4" spans="12:16" ht="15" customHeight="1" hidden="1">
      <c r="L1804" s="60">
        <f t="shared" si="140"/>
        <v>47474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5" spans="12:16" ht="15" customHeight="1" hidden="1">
      <c r="L1805" s="60">
        <f t="shared" si="140"/>
        <v>47475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6" spans="12:16" ht="15" customHeight="1" hidden="1">
      <c r="L1806" s="60">
        <f t="shared" si="140"/>
        <v>47476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7" spans="12:16" ht="15" customHeight="1" hidden="1">
      <c r="L1807" s="60">
        <f t="shared" si="140"/>
        <v>47477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8" spans="12:16" ht="15" customHeight="1" hidden="1">
      <c r="L1808" s="60">
        <f t="shared" si="140"/>
        <v>47478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09" spans="12:16" ht="15" customHeight="1" hidden="1">
      <c r="L1809" s="60">
        <f t="shared" si="140"/>
        <v>47479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10" spans="12:16" ht="15" customHeight="1" hidden="1">
      <c r="L1810" s="60">
        <f t="shared" si="140"/>
        <v>47480</v>
      </c>
      <c s="28">
        <f t="shared" si="138"/>
        <v>0</v>
      </c>
      <c s="28">
        <f t="shared" si="141"/>
        <v>0</v>
      </c>
      <c s="28">
        <f t="shared" si="139"/>
        <v>0</v>
      </c>
      <c s="28"/>
    </row>
    <row r="1811" spans="12:16" ht="15" customHeight="1" hidden="1">
      <c r="L1811" s="60">
        <f t="shared" si="140"/>
        <v>47481</v>
      </c>
      <c s="28">
        <f t="shared" si="142" ref="M1811:M1874">IFERROR(VLOOKUP(L1811,$B$19:$E$80,4,FALSE),0)</f>
        <v>0</v>
      </c>
      <c s="28">
        <f t="shared" si="141"/>
        <v>0</v>
      </c>
      <c s="28">
        <f t="shared" si="143" ref="O1811:O1874">IFERROR(IF(ISNUMBER(N1810),N1810,$E$8)*IF(L1811&gt;=$J$8,$E$12,$E$12)/IF(MOD(YEAR(L1811),4),365,366)*IF(ISBLANK(L1810),L1811-$F$5,L1811-L1810),0)</f>
        <v>0</v>
      </c>
      <c s="28"/>
    </row>
    <row r="1812" spans="12:16" ht="15" customHeight="1" hidden="1">
      <c r="L1812" s="60">
        <f t="shared" si="140"/>
        <v>47482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3" spans="12:16" ht="15" customHeight="1" hidden="1">
      <c r="L1813" s="60">
        <f t="shared" si="140"/>
        <v>47483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4" spans="12:16" ht="15" customHeight="1" hidden="1">
      <c r="L1814" s="60">
        <f t="shared" si="140"/>
        <v>47484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5" spans="12:16" ht="15" customHeight="1" hidden="1">
      <c r="L1815" s="60">
        <f t="shared" si="140"/>
        <v>47485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6" spans="12:16" ht="15" customHeight="1" hidden="1">
      <c r="L1816" s="60">
        <f t="shared" si="140"/>
        <v>47486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7" spans="12:16" ht="15" customHeight="1" hidden="1">
      <c r="L1817" s="60">
        <f t="shared" si="140"/>
        <v>47487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8" spans="12:16" ht="15" customHeight="1" hidden="1">
      <c r="L1818" s="60">
        <f t="shared" si="140"/>
        <v>47488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19" spans="12:16" ht="15" customHeight="1" hidden="1">
      <c r="L1819" s="60">
        <f t="shared" si="140"/>
        <v>47489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0" spans="12:16" ht="15" customHeight="1" hidden="1">
      <c r="L1820" s="60">
        <f t="shared" si="140"/>
        <v>47490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1" spans="12:16" ht="15" customHeight="1" hidden="1">
      <c r="L1821" s="60">
        <f t="shared" si="140"/>
        <v>47491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2" spans="12:16" ht="15" customHeight="1" hidden="1">
      <c r="L1822" s="60">
        <f t="shared" si="140"/>
        <v>47492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3" spans="12:16" ht="15" customHeight="1" hidden="1">
      <c r="L1823" s="60">
        <f t="shared" si="140"/>
        <v>47493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4" spans="12:16" ht="15" customHeight="1" hidden="1">
      <c r="L1824" s="60">
        <f t="shared" si="140"/>
        <v>47494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5" spans="12:16" ht="15" customHeight="1" hidden="1">
      <c r="L1825" s="60">
        <f t="shared" si="140"/>
        <v>47495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6" spans="12:16" ht="15" customHeight="1" hidden="1">
      <c r="L1826" s="60">
        <f t="shared" si="144" ref="L1826:L1889">IFERROR(IF(MAX(L1825+1,$F$5+1)&gt;Дата_погашения_Займа,"-",MAX(L1825+1,$F$5+1)),"-")</f>
        <v>47496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7" spans="12:16" ht="15" customHeight="1" hidden="1">
      <c r="L1827" s="60">
        <f t="shared" si="144"/>
        <v>47497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8" spans="12:16" ht="15" customHeight="1" hidden="1">
      <c r="L1828" s="60">
        <f t="shared" si="144"/>
        <v>47498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29" spans="12:16" ht="15" customHeight="1" hidden="1">
      <c r="L1829" s="60">
        <f t="shared" si="144"/>
        <v>47499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0" spans="12:16" ht="15" customHeight="1" hidden="1">
      <c r="L1830" s="60">
        <f t="shared" si="144"/>
        <v>47500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1" spans="12:16" ht="15" customHeight="1" hidden="1">
      <c r="L1831" s="60">
        <f t="shared" si="144"/>
        <v>47501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2" spans="12:16" ht="15" customHeight="1" hidden="1">
      <c r="L1832" s="60">
        <f t="shared" si="144"/>
        <v>47502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3" spans="12:16" ht="15" customHeight="1" hidden="1">
      <c r="L1833" s="60">
        <f t="shared" si="144"/>
        <v>47503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4" spans="12:16" ht="15" customHeight="1" hidden="1">
      <c r="L1834" s="60">
        <f t="shared" si="144"/>
        <v>47504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5" spans="12:16" ht="15" customHeight="1" hidden="1">
      <c r="L1835" s="60">
        <f t="shared" si="144"/>
        <v>47505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6" spans="12:16" ht="15" customHeight="1" hidden="1">
      <c r="L1836" s="60">
        <f t="shared" si="144"/>
        <v>47506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7" spans="12:16" ht="15" customHeight="1" hidden="1">
      <c r="L1837" s="60">
        <f t="shared" si="144"/>
        <v>47507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8" spans="12:16" ht="15" customHeight="1" hidden="1">
      <c r="L1838" s="60">
        <f t="shared" si="144"/>
        <v>47508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39" spans="12:16" ht="15" customHeight="1" hidden="1">
      <c r="L1839" s="60">
        <f t="shared" si="144"/>
        <v>47509</v>
      </c>
      <c s="28">
        <f t="shared" si="142"/>
        <v>0</v>
      </c>
      <c s="28">
        <f t="shared" si="141"/>
        <v>0</v>
      </c>
      <c s="28">
        <f t="shared" si="143"/>
        <v>0</v>
      </c>
      <c s="28"/>
    </row>
    <row r="1840" spans="12:16" ht="15" customHeight="1" hidden="1">
      <c r="L1840" s="60">
        <f t="shared" si="144"/>
        <v>47510</v>
      </c>
      <c s="28">
        <f t="shared" si="142"/>
        <v>0</v>
      </c>
      <c s="28">
        <f t="shared" si="145" ref="N1840:N1903">IF(ISNUMBER(N1839),N1839-M1840,$E$8)</f>
        <v>0</v>
      </c>
      <c s="28">
        <f t="shared" si="143"/>
        <v>0</v>
      </c>
      <c s="28"/>
    </row>
    <row r="1841" spans="12:16" ht="15" customHeight="1" hidden="1">
      <c r="L1841" s="60">
        <f t="shared" si="144"/>
        <v>47511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2" spans="12:16" ht="15" customHeight="1" hidden="1">
      <c r="L1842" s="60">
        <f t="shared" si="144"/>
        <v>47512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3" spans="12:16" ht="15" customHeight="1" hidden="1">
      <c r="L1843" s="60">
        <f t="shared" si="144"/>
        <v>47513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4" spans="12:16" ht="15" customHeight="1" hidden="1">
      <c r="L1844" s="60">
        <f t="shared" si="144"/>
        <v>47514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5" spans="12:16" ht="15" customHeight="1" hidden="1">
      <c r="L1845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6" spans="12:16" ht="15" customHeight="1" hidden="1">
      <c r="L1846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7" spans="12:16" ht="15" customHeight="1" hidden="1">
      <c r="L1847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8" spans="12:16" ht="15" customHeight="1" hidden="1">
      <c r="L1848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49" spans="12:16" ht="15" customHeight="1" hidden="1">
      <c r="L1849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0" spans="12:16" ht="15" customHeight="1" hidden="1">
      <c r="L1850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1" spans="12:16" ht="15" customHeight="1" hidden="1">
      <c r="L1851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2" spans="12:16" ht="15" customHeight="1" hidden="1">
      <c r="L1852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3" spans="12:16" ht="15" customHeight="1" hidden="1">
      <c r="L1853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4" spans="12:16" ht="15" customHeight="1" hidden="1">
      <c r="L1854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5" spans="12:16" ht="15" customHeight="1" hidden="1">
      <c r="L1855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6" spans="12:16" ht="15" customHeight="1" hidden="1">
      <c r="L1856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7" spans="12:16" ht="15" customHeight="1" hidden="1">
      <c r="L1857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8" spans="12:16" ht="15" customHeight="1" hidden="1">
      <c r="L1858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59" spans="12:16" ht="15" customHeight="1" hidden="1">
      <c r="L1859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0" spans="12:16" ht="15" customHeight="1" hidden="1">
      <c r="L1860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1" spans="12:16" ht="15" customHeight="1" hidden="1">
      <c r="L1861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2" spans="12:16" ht="15" customHeight="1" hidden="1">
      <c r="L1862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3" spans="12:16" ht="15" customHeight="1" hidden="1">
      <c r="L1863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4" spans="12:16" ht="15" customHeight="1" hidden="1">
      <c r="L1864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5" spans="12:16" ht="15" customHeight="1" hidden="1">
      <c r="L1865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6" spans="12:16" ht="15" customHeight="1" hidden="1">
      <c r="L1866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7" spans="12:16" ht="15" customHeight="1" hidden="1">
      <c r="L1867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8" spans="12:16" ht="15" customHeight="1" hidden="1">
      <c r="L1868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69" spans="12:16" ht="15" customHeight="1" hidden="1">
      <c r="L1869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70" spans="12:16" ht="15" customHeight="1" hidden="1">
      <c r="L1870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71" spans="12:16" ht="15" customHeight="1" hidden="1">
      <c r="L1871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72" spans="12:16" ht="15" customHeight="1" hidden="1">
      <c r="L1872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73" spans="12:16" ht="15" customHeight="1" hidden="1">
      <c r="L1873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74" spans="12:16" ht="15" customHeight="1" hidden="1">
      <c r="L1874" s="60" t="str">
        <f t="shared" si="144"/>
        <v>-</v>
      </c>
      <c s="28">
        <f t="shared" si="142"/>
        <v>0</v>
      </c>
      <c s="28">
        <f t="shared" si="145"/>
        <v>0</v>
      </c>
      <c s="28">
        <f t="shared" si="143"/>
        <v>0</v>
      </c>
      <c s="28"/>
    </row>
    <row r="1875" spans="12:16" ht="15" customHeight="1" hidden="1">
      <c r="L1875" s="60" t="str">
        <f t="shared" si="144"/>
        <v>-</v>
      </c>
      <c s="28">
        <f t="shared" si="146" ref="M1875:M1938">IFERROR(VLOOKUP(L1875,$B$19:$E$80,4,FALSE),0)</f>
        <v>0</v>
      </c>
      <c s="28">
        <f t="shared" si="145"/>
        <v>0</v>
      </c>
      <c s="28">
        <f t="shared" si="147" ref="O1875:O1938">IFERROR(IF(ISNUMBER(N1874),N1874,$E$8)*IF(L1875&gt;=$J$8,$E$12,$E$12)/IF(MOD(YEAR(L1875),4),365,366)*IF(ISBLANK(L1874),L1875-$F$5,L1875-L1874),0)</f>
        <v>0</v>
      </c>
      <c s="28"/>
    </row>
    <row r="1876" spans="12:16" ht="15" customHeight="1" hidden="1">
      <c r="L1876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77" spans="12:16" ht="15" customHeight="1" hidden="1">
      <c r="L1877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78" spans="12:16" ht="15" customHeight="1" hidden="1">
      <c r="L1878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79" spans="12:16" ht="15" customHeight="1" hidden="1">
      <c r="L1879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0" spans="12:16" ht="15" customHeight="1" hidden="1">
      <c r="L1880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1" spans="12:16" ht="15" customHeight="1" hidden="1">
      <c r="L1881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2" spans="12:16" ht="15" customHeight="1" hidden="1">
      <c r="L1882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3" spans="12:16" ht="15" customHeight="1" hidden="1">
      <c r="L1883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4" spans="12:16" ht="15" customHeight="1" hidden="1">
      <c r="L1884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5" spans="12:16" ht="15" customHeight="1" hidden="1">
      <c r="L1885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6" spans="12:16" ht="15" customHeight="1" hidden="1">
      <c r="L1886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7" spans="12:16" ht="15" customHeight="1" hidden="1">
      <c r="L1887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8" spans="12:16" ht="15" customHeight="1" hidden="1">
      <c r="L1888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89" spans="12:16" ht="15" customHeight="1" hidden="1">
      <c r="L1889" s="60" t="str">
        <f t="shared" si="144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0" spans="12:16" ht="15" customHeight="1" hidden="1">
      <c r="L1890" s="60" t="str">
        <f t="shared" si="148" ref="L1890:L1953">IFERROR(IF(MAX(L1889+1,$F$5+1)&gt;Дата_погашения_Займа,"-",MAX(L1889+1,$F$5+1)),"-")</f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1" spans="12:16" ht="15" customHeight="1" hidden="1">
      <c r="L1891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2" spans="12:16" ht="15" customHeight="1" hidden="1">
      <c r="L1892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3" spans="12:16" ht="15" customHeight="1" hidden="1">
      <c r="L1893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4" spans="12:16" ht="15" customHeight="1" hidden="1">
      <c r="L1894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5" spans="12:16" ht="15" customHeight="1" hidden="1">
      <c r="L1895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6" spans="12:16" ht="15" customHeight="1" hidden="1">
      <c r="L1896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7" spans="12:16" ht="15" customHeight="1" hidden="1">
      <c r="L1897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8" spans="12:16" ht="15" customHeight="1" hidden="1">
      <c r="L1898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899" spans="12:16" ht="15" customHeight="1" hidden="1">
      <c r="L1899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900" spans="12:16" ht="15" customHeight="1" hidden="1">
      <c r="L1900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901" spans="12:16" ht="15" customHeight="1" hidden="1">
      <c r="L1901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902" spans="12:16" ht="15" customHeight="1" hidden="1">
      <c r="L1902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903" spans="12:16" ht="15" customHeight="1" hidden="1">
      <c r="L1903" s="60" t="str">
        <f t="shared" si="148"/>
        <v>-</v>
      </c>
      <c s="28">
        <f t="shared" si="146"/>
        <v>0</v>
      </c>
      <c s="28">
        <f t="shared" si="145"/>
        <v>0</v>
      </c>
      <c s="28">
        <f t="shared" si="147"/>
        <v>0</v>
      </c>
      <c s="28"/>
    </row>
    <row r="1904" spans="12:16" ht="15" customHeight="1" hidden="1">
      <c r="L1904" s="60" t="str">
        <f t="shared" si="148"/>
        <v>-</v>
      </c>
      <c s="28">
        <f t="shared" si="146"/>
        <v>0</v>
      </c>
      <c s="28">
        <f t="shared" si="149" ref="N1904:N1967">IF(ISNUMBER(N1903),N1903-M1904,$E$8)</f>
        <v>0</v>
      </c>
      <c s="28">
        <f t="shared" si="147"/>
        <v>0</v>
      </c>
      <c s="28"/>
    </row>
    <row r="1905" spans="12:16" ht="15" customHeight="1" hidden="1">
      <c r="L1905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06" spans="12:16" ht="15" customHeight="1" hidden="1">
      <c r="L1906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07" spans="12:16" ht="15" customHeight="1" hidden="1">
      <c r="L1907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08" spans="12:16" ht="15" customHeight="1" hidden="1">
      <c r="L1908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09" spans="12:16" ht="15" customHeight="1" hidden="1">
      <c r="L1909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0" spans="12:16" ht="15" customHeight="1" hidden="1">
      <c r="L1910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1" spans="12:16" ht="15" customHeight="1" hidden="1">
      <c r="L1911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2" spans="12:16" ht="15" customHeight="1" hidden="1">
      <c r="L1912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3" spans="12:16" ht="15" customHeight="1" hidden="1">
      <c r="L1913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4" spans="12:16" ht="15" customHeight="1" hidden="1">
      <c r="L1914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5" spans="12:16" ht="15" customHeight="1" hidden="1">
      <c r="L1915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6" spans="12:16" ht="15" customHeight="1" hidden="1">
      <c r="L1916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7" spans="12:16" ht="15" customHeight="1" hidden="1">
      <c r="L1917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8" spans="12:16" ht="15" customHeight="1" hidden="1">
      <c r="L1918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19" spans="12:16" ht="15" customHeight="1" hidden="1">
      <c r="L1919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0" spans="12:16" ht="15" customHeight="1" hidden="1">
      <c r="L1920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1" spans="12:16" ht="15" customHeight="1" hidden="1">
      <c r="L1921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2" spans="12:16" ht="15" customHeight="1" hidden="1">
      <c r="L1922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3" spans="12:16" ht="15" customHeight="1" hidden="1">
      <c r="L1923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4" spans="12:16" ht="15" customHeight="1" hidden="1">
      <c r="L1924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5" spans="12:16" ht="15" customHeight="1" hidden="1">
      <c r="L1925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6" spans="12:16" ht="15" customHeight="1" hidden="1">
      <c r="L1926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7" spans="12:16" ht="15" customHeight="1" hidden="1">
      <c r="L1927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8" spans="12:16" ht="15" customHeight="1" hidden="1">
      <c r="L1928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29" spans="12:16" ht="15" customHeight="1" hidden="1">
      <c r="L1929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0" spans="12:16" ht="15" customHeight="1" hidden="1">
      <c r="L1930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1" spans="12:16" ht="15" customHeight="1" hidden="1">
      <c r="L1931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2" spans="12:16" ht="15" customHeight="1" hidden="1">
      <c r="L1932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3" spans="12:16" ht="15" customHeight="1" hidden="1">
      <c r="L1933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4" spans="12:16" ht="15" customHeight="1" hidden="1">
      <c r="L1934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5" spans="12:16" ht="15" customHeight="1" hidden="1">
      <c r="L1935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6" spans="12:16" ht="15" customHeight="1" hidden="1">
      <c r="L1936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7" spans="12:16" ht="15" customHeight="1" hidden="1">
      <c r="L1937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8" spans="12:16" ht="15" customHeight="1" hidden="1">
      <c r="L1938" s="60" t="str">
        <f t="shared" si="148"/>
        <v>-</v>
      </c>
      <c s="28">
        <f t="shared" si="146"/>
        <v>0</v>
      </c>
      <c s="28">
        <f t="shared" si="149"/>
        <v>0</v>
      </c>
      <c s="28">
        <f t="shared" si="147"/>
        <v>0</v>
      </c>
      <c s="28"/>
    </row>
    <row r="1939" spans="12:16" ht="15" customHeight="1" hidden="1">
      <c r="L1939" s="60" t="str">
        <f t="shared" si="148"/>
        <v>-</v>
      </c>
      <c s="28">
        <f t="shared" si="150" ref="M1939:M2002">IFERROR(VLOOKUP(L1939,$B$19:$E$80,4,FALSE),0)</f>
        <v>0</v>
      </c>
      <c s="28">
        <f t="shared" si="149"/>
        <v>0</v>
      </c>
      <c s="28">
        <f t="shared" si="151" ref="O1939:O2002">IFERROR(IF(ISNUMBER(N1938),N1938,$E$8)*IF(L1939&gt;=$J$8,$E$12,$E$12)/IF(MOD(YEAR(L1939),4),365,366)*IF(ISBLANK(L1938),L1939-$F$5,L1939-L1938),0)</f>
        <v>0</v>
      </c>
      <c s="28"/>
    </row>
    <row r="1940" spans="12:16" ht="15" customHeight="1" hidden="1">
      <c r="L1940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1" spans="12:16" ht="15" customHeight="1" hidden="1">
      <c r="L1941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2" spans="12:16" ht="15" customHeight="1" hidden="1">
      <c r="L1942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3" spans="12:16" ht="15" customHeight="1" hidden="1">
      <c r="L1943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4" spans="12:16" ht="15" customHeight="1" hidden="1">
      <c r="L1944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5" spans="12:16" ht="15" customHeight="1" hidden="1">
      <c r="L1945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6" spans="12:16" ht="15" customHeight="1" hidden="1">
      <c r="L1946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7" spans="12:16" ht="15" customHeight="1" hidden="1">
      <c r="L1947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8" spans="12:16" ht="15" customHeight="1" hidden="1">
      <c r="L1948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49" spans="12:16" ht="15" customHeight="1" hidden="1">
      <c r="L1949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0" spans="12:16" ht="15" customHeight="1" hidden="1">
      <c r="L1950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1" spans="12:16" ht="15" customHeight="1" hidden="1">
      <c r="L1951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2" spans="12:16" ht="15" customHeight="1" hidden="1">
      <c r="L1952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3" spans="12:16" ht="15" customHeight="1" hidden="1">
      <c r="L1953" s="60" t="str">
        <f t="shared" si="148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4" spans="12:16" ht="15" customHeight="1" hidden="1">
      <c r="L1954" s="60" t="str">
        <f t="shared" si="152" ref="L1954:L2017">IFERROR(IF(MAX(L1953+1,$F$5+1)&gt;Дата_погашения_Займа,"-",MAX(L1953+1,$F$5+1)),"-")</f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5" spans="12:16" ht="15" customHeight="1" hidden="1">
      <c r="L1955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6" spans="12:16" ht="15" customHeight="1" hidden="1">
      <c r="L1956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7" spans="12:16" ht="15" customHeight="1" hidden="1">
      <c r="L1957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8" spans="12:16" ht="15" customHeight="1" hidden="1">
      <c r="L1958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59" spans="12:16" ht="15" customHeight="1" hidden="1">
      <c r="L1959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0" spans="12:16" ht="15" customHeight="1" hidden="1">
      <c r="L1960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1" spans="12:16" ht="15" customHeight="1" hidden="1">
      <c r="L1961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2" spans="12:16" ht="15" customHeight="1" hidden="1">
      <c r="L1962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3" spans="12:16" ht="15" customHeight="1" hidden="1">
      <c r="L1963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4" spans="12:16" ht="15" customHeight="1" hidden="1">
      <c r="L1964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5" spans="12:16" ht="15" customHeight="1" hidden="1">
      <c r="L1965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6" spans="12:16" ht="15" customHeight="1" hidden="1">
      <c r="L1966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7" spans="12:16" ht="15" customHeight="1" hidden="1">
      <c r="L1967" s="60" t="str">
        <f t="shared" si="152"/>
        <v>-</v>
      </c>
      <c s="28">
        <f t="shared" si="150"/>
        <v>0</v>
      </c>
      <c s="28">
        <f t="shared" si="149"/>
        <v>0</v>
      </c>
      <c s="28">
        <f t="shared" si="151"/>
        <v>0</v>
      </c>
      <c s="28"/>
    </row>
    <row r="1968" spans="12:16" ht="15" customHeight="1" hidden="1">
      <c r="L1968" s="60" t="str">
        <f t="shared" si="152"/>
        <v>-</v>
      </c>
      <c s="28">
        <f t="shared" si="150"/>
        <v>0</v>
      </c>
      <c s="28">
        <f t="shared" si="153" ref="N1968:N2031">IF(ISNUMBER(N1967),N1967-M1968,$E$8)</f>
        <v>0</v>
      </c>
      <c s="28">
        <f t="shared" si="151"/>
        <v>0</v>
      </c>
      <c s="28"/>
    </row>
    <row r="1969" spans="12:16" ht="15" customHeight="1" hidden="1">
      <c r="L1969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0" spans="12:16" ht="15" customHeight="1" hidden="1">
      <c r="L1970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1" spans="12:16" ht="15" customHeight="1" hidden="1">
      <c r="L1971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2" spans="12:16" ht="15" customHeight="1" hidden="1">
      <c r="L1972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3" spans="12:16" ht="15" customHeight="1" hidden="1">
      <c r="L1973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4" spans="12:16" ht="15" customHeight="1" hidden="1">
      <c r="L1974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5" spans="12:16" ht="15" customHeight="1" hidden="1">
      <c r="L1975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6" spans="12:16" ht="15" customHeight="1" hidden="1">
      <c r="L1976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7" spans="12:16" ht="15" customHeight="1" hidden="1">
      <c r="L1977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8" spans="12:16" ht="15" customHeight="1" hidden="1">
      <c r="L1978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79" spans="12:16" ht="15" customHeight="1" hidden="1">
      <c r="L1979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0" spans="12:16" ht="15" customHeight="1" hidden="1">
      <c r="L1980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1" spans="12:16" ht="15" customHeight="1" hidden="1">
      <c r="L1981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2" spans="12:16" ht="15" customHeight="1" hidden="1">
      <c r="L1982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3" spans="12:16" ht="15" customHeight="1" hidden="1">
      <c r="L1983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4" spans="12:16" ht="15" customHeight="1" hidden="1">
      <c r="L1984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5" spans="12:16" ht="15" customHeight="1" hidden="1">
      <c r="L1985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6" spans="12:16" ht="15" customHeight="1" hidden="1">
      <c r="L1986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7" spans="12:16" ht="15" customHeight="1" hidden="1">
      <c r="L1987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8" spans="12:16" ht="15" customHeight="1" hidden="1">
      <c r="L1988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89" spans="12:16" ht="15" customHeight="1" hidden="1">
      <c r="L1989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0" spans="12:16" ht="15" customHeight="1" hidden="1">
      <c r="L1990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1" spans="12:16" ht="15" customHeight="1" hidden="1">
      <c r="L1991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2" spans="12:16" ht="15" customHeight="1" hidden="1">
      <c r="L1992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3" spans="12:16" ht="15" customHeight="1" hidden="1">
      <c r="L1993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4" spans="12:16" ht="15" customHeight="1" hidden="1">
      <c r="L1994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5" spans="12:16" ht="15" customHeight="1" hidden="1">
      <c r="L1995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6" spans="12:16" ht="15" customHeight="1" hidden="1">
      <c r="L1996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7" spans="12:16" ht="15" customHeight="1" hidden="1">
      <c r="L1997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8" spans="12:16" ht="15" customHeight="1" hidden="1">
      <c r="L1998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1999" spans="12:16" ht="15" customHeight="1" hidden="1">
      <c r="L1999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2000" spans="12:16" ht="15" customHeight="1" hidden="1">
      <c r="L2000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2001" spans="12:16" ht="15" customHeight="1" hidden="1">
      <c r="L2001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2002" spans="12:16" ht="15" customHeight="1" hidden="1">
      <c r="L2002" s="60" t="str">
        <f t="shared" si="152"/>
        <v>-</v>
      </c>
      <c s="28">
        <f t="shared" si="150"/>
        <v>0</v>
      </c>
      <c s="28">
        <f t="shared" si="153"/>
        <v>0</v>
      </c>
      <c s="28">
        <f t="shared" si="151"/>
        <v>0</v>
      </c>
      <c s="28"/>
    </row>
    <row r="2003" spans="12:16" ht="15" customHeight="1" hidden="1">
      <c r="L2003" s="60" t="str">
        <f t="shared" si="152"/>
        <v>-</v>
      </c>
      <c s="28">
        <f t="shared" si="154" ref="M2003:M2066">IFERROR(VLOOKUP(L2003,$B$19:$E$80,4,FALSE),0)</f>
        <v>0</v>
      </c>
      <c s="28">
        <f t="shared" si="153"/>
        <v>0</v>
      </c>
      <c s="28">
        <f t="shared" si="155" ref="O2003:O2066">IFERROR(IF(ISNUMBER(N2002),N2002,$E$8)*IF(L2003&gt;=$J$8,$E$12,$E$12)/IF(MOD(YEAR(L2003),4),365,366)*IF(ISBLANK(L2002),L2003-$F$5,L2003-L2002),0)</f>
        <v>0</v>
      </c>
      <c s="28"/>
    </row>
    <row r="2004" spans="12:16" ht="15" customHeight="1" hidden="1">
      <c r="L2004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05" spans="12:16" ht="15" customHeight="1" hidden="1">
      <c r="L2005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06" spans="12:16" ht="15" customHeight="1" hidden="1">
      <c r="L2006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07" spans="12:16" ht="15" customHeight="1" hidden="1">
      <c r="L2007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08" spans="12:16" ht="15" customHeight="1" hidden="1">
      <c r="L2008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09" spans="12:16" ht="15" customHeight="1" hidden="1">
      <c r="L2009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0" spans="12:16" ht="15" customHeight="1" hidden="1">
      <c r="L2010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1" spans="12:16" ht="15" customHeight="1" hidden="1">
      <c r="L2011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2" spans="12:16" ht="15" customHeight="1" hidden="1">
      <c r="L2012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3" spans="12:16" ht="15" customHeight="1" hidden="1">
      <c r="L2013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4" spans="12:16" ht="15" customHeight="1" hidden="1">
      <c r="L2014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5" spans="12:16" ht="15" customHeight="1" hidden="1">
      <c r="L2015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6" spans="12:16" ht="15" customHeight="1" hidden="1">
      <c r="L2016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7" spans="12:16" ht="15" customHeight="1" hidden="1">
      <c r="L2017" s="60" t="str">
        <f t="shared" si="152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8" spans="12:16" ht="15" customHeight="1" hidden="1">
      <c r="L2018" s="60" t="str">
        <f t="shared" si="156" ref="L2018:L2081">IFERROR(IF(MAX(L2017+1,$F$5+1)&gt;Дата_погашения_Займа,"-",MAX(L2017+1,$F$5+1)),"-")</f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19" spans="12:16" ht="15" customHeight="1" hidden="1">
      <c r="L2019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0" spans="12:16" ht="15" customHeight="1" hidden="1">
      <c r="L2020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1" spans="12:16" ht="15" customHeight="1" hidden="1">
      <c r="L2021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2" spans="12:16" ht="15" customHeight="1" hidden="1">
      <c r="L2022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3" spans="12:16" ht="15" customHeight="1" hidden="1">
      <c r="L2023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4" spans="12:16" ht="15" customHeight="1" hidden="1">
      <c r="L2024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5" spans="12:16" ht="15" customHeight="1" hidden="1">
      <c r="L2025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6" spans="12:16" ht="15" customHeight="1" hidden="1">
      <c r="L2026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7" spans="12:16" ht="15" customHeight="1" hidden="1">
      <c r="L2027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8" spans="12:16" ht="15" customHeight="1" hidden="1">
      <c r="L2028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29" spans="12:16" ht="15" customHeight="1" hidden="1">
      <c r="L2029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30" spans="12:16" ht="15" customHeight="1" hidden="1">
      <c r="L2030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31" spans="12:16" ht="15" customHeight="1" hidden="1">
      <c r="L2031" s="60" t="str">
        <f t="shared" si="156"/>
        <v>-</v>
      </c>
      <c s="28">
        <f t="shared" si="154"/>
        <v>0</v>
      </c>
      <c s="28">
        <f t="shared" si="153"/>
        <v>0</v>
      </c>
      <c s="28">
        <f t="shared" si="155"/>
        <v>0</v>
      </c>
      <c s="28"/>
    </row>
    <row r="2032" spans="12:16" ht="15" customHeight="1" hidden="1">
      <c r="L2032" s="60" t="str">
        <f t="shared" si="156"/>
        <v>-</v>
      </c>
      <c s="28">
        <f t="shared" si="154"/>
        <v>0</v>
      </c>
      <c s="28">
        <f t="shared" si="157" ref="N2032:N2095">IF(ISNUMBER(N2031),N2031-M2032,$E$8)</f>
        <v>0</v>
      </c>
      <c s="28">
        <f t="shared" si="155"/>
        <v>0</v>
      </c>
      <c s="28"/>
    </row>
    <row r="2033" spans="12:16" ht="15" customHeight="1" hidden="1">
      <c r="L2033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34" spans="12:16" ht="15" customHeight="1" hidden="1">
      <c r="L2034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35" spans="12:16" ht="15" customHeight="1" hidden="1">
      <c r="L2035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36" spans="12:16" ht="15" customHeight="1" hidden="1">
      <c r="L2036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37" spans="12:16" ht="15" customHeight="1" hidden="1">
      <c r="L2037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38" spans="12:16" ht="15" customHeight="1" hidden="1">
      <c r="L2038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39" spans="12:16" ht="15" customHeight="1" hidden="1">
      <c r="L2039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0" spans="12:16" ht="15" customHeight="1" hidden="1">
      <c r="L2040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1" spans="12:16" ht="15" customHeight="1" hidden="1">
      <c r="L2041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2" spans="12:16" ht="15" customHeight="1" hidden="1">
      <c r="L2042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3" spans="12:16" ht="15" customHeight="1" hidden="1">
      <c r="L2043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4" spans="12:16" ht="15" customHeight="1" hidden="1">
      <c r="L2044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5" spans="12:16" ht="15" customHeight="1" hidden="1">
      <c r="L2045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6" spans="12:16" ht="15" customHeight="1" hidden="1">
      <c r="L2046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7" spans="12:16" ht="15" customHeight="1" hidden="1">
      <c r="L2047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8" spans="12:16" ht="15" customHeight="1" hidden="1">
      <c r="L2048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49" spans="12:16" ht="15" customHeight="1" hidden="1">
      <c r="L2049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0" spans="12:16" ht="15" customHeight="1" hidden="1">
      <c r="L2050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1" spans="12:16" ht="15" customHeight="1" hidden="1">
      <c r="L2051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2" spans="12:16" ht="15" customHeight="1" hidden="1">
      <c r="L2052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3" spans="12:16" ht="15" customHeight="1" hidden="1">
      <c r="L2053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4" spans="12:16" ht="15" customHeight="1" hidden="1">
      <c r="L2054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5" spans="12:16" ht="15" customHeight="1" hidden="1">
      <c r="L2055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6" spans="12:16" ht="15" customHeight="1" hidden="1">
      <c r="L2056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7" spans="12:16" ht="15" customHeight="1" hidden="1">
      <c r="L2057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8" spans="12:16" ht="15" customHeight="1" hidden="1">
      <c r="L2058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59" spans="12:16" ht="15" customHeight="1" hidden="1">
      <c r="L2059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0" spans="12:16" ht="15" customHeight="1" hidden="1">
      <c r="L2060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1" spans="12:16" ht="15" customHeight="1" hidden="1">
      <c r="L2061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2" spans="12:16" ht="15" customHeight="1" hidden="1">
      <c r="L2062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3" spans="12:16" ht="15" customHeight="1" hidden="1">
      <c r="L2063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4" spans="12:16" ht="15" customHeight="1" hidden="1">
      <c r="L2064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5" spans="12:16" ht="15" customHeight="1" hidden="1">
      <c r="L2065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6" spans="12:16" ht="15" customHeight="1" hidden="1">
      <c r="L2066" s="60" t="str">
        <f t="shared" si="156"/>
        <v>-</v>
      </c>
      <c s="28">
        <f t="shared" si="154"/>
        <v>0</v>
      </c>
      <c s="28">
        <f t="shared" si="157"/>
        <v>0</v>
      </c>
      <c s="28">
        <f t="shared" si="155"/>
        <v>0</v>
      </c>
      <c s="28"/>
    </row>
    <row r="2067" spans="12:16" ht="15" customHeight="1" hidden="1">
      <c r="L2067" s="60" t="str">
        <f t="shared" si="156"/>
        <v>-</v>
      </c>
      <c s="28">
        <f t="shared" si="158" ref="M2067:M2130">IFERROR(VLOOKUP(L2067,$B$19:$E$80,4,FALSE),0)</f>
        <v>0</v>
      </c>
      <c s="28">
        <f t="shared" si="157"/>
        <v>0</v>
      </c>
      <c s="28">
        <f t="shared" si="159" ref="O2067:O2130">IFERROR(IF(ISNUMBER(N2066),N2066,$E$8)*IF(L2067&gt;=$J$8,$E$12,$E$12)/IF(MOD(YEAR(L2067),4),365,366)*IF(ISBLANK(L2066),L2067-$F$5,L2067-L2066),0)</f>
        <v>0</v>
      </c>
      <c s="28"/>
    </row>
    <row r="2068" spans="12:16" ht="15" customHeight="1" hidden="1">
      <c r="L2068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69" spans="12:16" ht="15" customHeight="1" hidden="1">
      <c r="L2069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0" spans="12:16" ht="15" customHeight="1" hidden="1">
      <c r="L2070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1" spans="12:16" ht="15" customHeight="1" hidden="1">
      <c r="L2071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2" spans="12:16" ht="15" customHeight="1" hidden="1">
      <c r="L2072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3" spans="12:16" ht="15" customHeight="1" hidden="1">
      <c r="L2073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4" spans="12:16" ht="15" customHeight="1" hidden="1">
      <c r="L2074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5" spans="12:16" ht="15" customHeight="1" hidden="1">
      <c r="L2075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6" spans="12:16" ht="15" customHeight="1" hidden="1">
      <c r="L2076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7" spans="12:16" ht="15" customHeight="1" hidden="1">
      <c r="L2077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8" spans="12:16" ht="15" customHeight="1" hidden="1">
      <c r="L2078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79" spans="12:16" ht="15" customHeight="1" hidden="1">
      <c r="L2079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0" spans="12:16" ht="15" customHeight="1" hidden="1">
      <c r="L2080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1" spans="12:16" ht="15" customHeight="1" hidden="1">
      <c r="L2081" s="60" t="str">
        <f t="shared" si="156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2" spans="12:16" ht="15" customHeight="1" hidden="1">
      <c r="L2082" s="60" t="str">
        <f t="shared" si="160" ref="L2082:L2145">IFERROR(IF(MAX(L2081+1,$F$5+1)&gt;Дата_погашения_Займа,"-",MAX(L2081+1,$F$5+1)),"-")</f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3" spans="12:16" ht="15" customHeight="1" hidden="1">
      <c r="L2083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4" spans="12:16" ht="15" customHeight="1" hidden="1">
      <c r="L2084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5" spans="12:16" ht="15" customHeight="1" hidden="1">
      <c r="L2085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6" spans="12:16" ht="15" customHeight="1" hidden="1">
      <c r="L2086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7" spans="12:16" ht="15" customHeight="1" hidden="1">
      <c r="L2087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8" spans="12:16" ht="15" customHeight="1" hidden="1">
      <c r="L2088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89" spans="12:16" ht="15" customHeight="1" hidden="1">
      <c r="L2089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0" spans="12:16" ht="15" customHeight="1" hidden="1">
      <c r="L2090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1" spans="12:16" ht="15" customHeight="1" hidden="1">
      <c r="L2091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2" spans="12:16" ht="15" customHeight="1" hidden="1">
      <c r="L2092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3" spans="12:16" ht="15" customHeight="1" hidden="1">
      <c r="L2093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4" spans="12:16" ht="15" customHeight="1" hidden="1">
      <c r="L2094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5" spans="12:16" ht="15" customHeight="1" hidden="1">
      <c r="L2095" s="60" t="str">
        <f t="shared" si="160"/>
        <v>-</v>
      </c>
      <c s="28">
        <f t="shared" si="158"/>
        <v>0</v>
      </c>
      <c s="28">
        <f t="shared" si="157"/>
        <v>0</v>
      </c>
      <c s="28">
        <f t="shared" si="159"/>
        <v>0</v>
      </c>
      <c s="28"/>
    </row>
    <row r="2096" spans="12:16" ht="15" customHeight="1" hidden="1">
      <c r="L2096" s="60" t="str">
        <f t="shared" si="160"/>
        <v>-</v>
      </c>
      <c s="28">
        <f t="shared" si="158"/>
        <v>0</v>
      </c>
      <c s="28">
        <f t="shared" si="161" ref="N2096:N2159">IF(ISNUMBER(N2095),N2095-M2096,$E$8)</f>
        <v>0</v>
      </c>
      <c s="28">
        <f t="shared" si="159"/>
        <v>0</v>
      </c>
      <c s="28"/>
    </row>
    <row r="2097" spans="12:16" ht="15" customHeight="1" hidden="1">
      <c r="L2097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098" spans="12:16" ht="15" customHeight="1" hidden="1">
      <c r="L2098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099" spans="12:16" ht="15" customHeight="1" hidden="1">
      <c r="L2099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0" spans="12:16" ht="15" customHeight="1" hidden="1">
      <c r="L2100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1" spans="12:16" ht="15" customHeight="1" hidden="1">
      <c r="L2101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2" spans="12:16" ht="15" customHeight="1" hidden="1">
      <c r="L2102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3" spans="12:16" ht="15" customHeight="1" hidden="1">
      <c r="L2103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4" spans="12:16" ht="15" customHeight="1" hidden="1">
      <c r="L2104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5" spans="12:16" ht="15" customHeight="1" hidden="1">
      <c r="L2105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6" spans="12:16" ht="15" customHeight="1" hidden="1">
      <c r="L2106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7" spans="12:16" ht="15" customHeight="1" hidden="1">
      <c r="L2107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8" spans="12:16" ht="15" customHeight="1" hidden="1">
      <c r="L2108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09" spans="12:16" ht="15" customHeight="1" hidden="1">
      <c r="L2109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0" spans="12:16" ht="15" customHeight="1" hidden="1">
      <c r="L2110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1" spans="12:16" ht="15" customHeight="1" hidden="1">
      <c r="L2111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2" spans="12:16" ht="15" customHeight="1" hidden="1">
      <c r="L2112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3" spans="12:16" ht="15" customHeight="1" hidden="1">
      <c r="L2113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4" spans="12:16" ht="15" customHeight="1" hidden="1">
      <c r="L2114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5" spans="12:16" ht="15" customHeight="1" hidden="1">
      <c r="L2115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6" spans="12:16" ht="15" customHeight="1" hidden="1">
      <c r="L2116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7" spans="12:16" ht="15" customHeight="1" hidden="1">
      <c r="L2117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8" spans="12:16" ht="15" customHeight="1" hidden="1">
      <c r="L2118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19" spans="12:16" ht="15" customHeight="1" hidden="1">
      <c r="L2119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0" spans="12:16" ht="15" customHeight="1" hidden="1">
      <c r="L2120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1" spans="12:16" ht="15" customHeight="1" hidden="1">
      <c r="L2121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2" spans="12:16" ht="15" customHeight="1" hidden="1">
      <c r="L2122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3" spans="12:16" ht="15" customHeight="1" hidden="1">
      <c r="L2123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4" spans="12:16" ht="15" customHeight="1" hidden="1">
      <c r="L2124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5" spans="12:16" ht="15" customHeight="1" hidden="1">
      <c r="L2125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6" spans="12:16" ht="15" customHeight="1" hidden="1">
      <c r="L2126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7" spans="12:16" ht="15" customHeight="1" hidden="1">
      <c r="L2127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8" spans="12:16" ht="15" customHeight="1" hidden="1">
      <c r="L2128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29" spans="12:16" ht="15" customHeight="1" hidden="1">
      <c r="L2129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30" spans="12:16" ht="15" customHeight="1" hidden="1">
      <c r="L2130" s="60" t="str">
        <f t="shared" si="160"/>
        <v>-</v>
      </c>
      <c s="28">
        <f t="shared" si="158"/>
        <v>0</v>
      </c>
      <c s="28">
        <f t="shared" si="161"/>
        <v>0</v>
      </c>
      <c s="28">
        <f t="shared" si="159"/>
        <v>0</v>
      </c>
      <c s="28"/>
    </row>
    <row r="2131" spans="12:16" ht="15" customHeight="1" hidden="1">
      <c r="L2131" s="60" t="str">
        <f t="shared" si="160"/>
        <v>-</v>
      </c>
      <c s="28">
        <f t="shared" si="162" ref="M2131:M2194">IFERROR(VLOOKUP(L2131,$B$19:$E$80,4,FALSE),0)</f>
        <v>0</v>
      </c>
      <c s="28">
        <f t="shared" si="161"/>
        <v>0</v>
      </c>
      <c s="28">
        <f t="shared" si="163" ref="O2131:O2194">IFERROR(IF(ISNUMBER(N2130),N2130,$E$8)*IF(L2131&gt;=$J$8,$E$12,$E$12)/IF(MOD(YEAR(L2131),4),365,366)*IF(ISBLANK(L2130),L2131-$F$5,L2131-L2130),0)</f>
        <v>0</v>
      </c>
      <c s="28"/>
    </row>
    <row r="2132" spans="12:16" ht="15" customHeight="1" hidden="1">
      <c r="L2132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3" spans="12:16" ht="15" customHeight="1" hidden="1">
      <c r="L2133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4" spans="12:16" ht="15" customHeight="1" hidden="1">
      <c r="L2134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5" spans="12:16" ht="15" customHeight="1" hidden="1">
      <c r="L2135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6" spans="12:16" ht="15" customHeight="1" hidden="1">
      <c r="L2136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7" spans="12:16" ht="15" customHeight="1" hidden="1">
      <c r="L2137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8" spans="12:16" ht="15" customHeight="1" hidden="1">
      <c r="L2138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39" spans="12:16" ht="15" customHeight="1" hidden="1">
      <c r="L2139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0" spans="12:16" ht="15" customHeight="1" hidden="1">
      <c r="L2140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1" spans="12:16" ht="15" customHeight="1" hidden="1">
      <c r="L2141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2" spans="12:16" ht="15" customHeight="1" hidden="1">
      <c r="L2142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3" spans="12:16" ht="15" customHeight="1" hidden="1">
      <c r="L2143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4" spans="12:16" ht="15" customHeight="1" hidden="1">
      <c r="L2144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5" spans="12:16" ht="15" customHeight="1" hidden="1">
      <c r="L2145" s="60" t="str">
        <f t="shared" si="160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6" spans="12:16" ht="15" customHeight="1" hidden="1">
      <c r="L2146" s="60" t="str">
        <f t="shared" si="164" ref="L2146:L2209">IFERROR(IF(MAX(L2145+1,$F$5+1)&gt;Дата_погашения_Займа,"-",MAX(L2145+1,$F$5+1)),"-")</f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7" spans="12:16" ht="15" customHeight="1" hidden="1">
      <c r="L2147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8" spans="12:16" ht="15" customHeight="1" hidden="1">
      <c r="L2148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49" spans="12:16" ht="15" customHeight="1" hidden="1">
      <c r="L2149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0" spans="12:16" ht="15" customHeight="1" hidden="1">
      <c r="L2150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1" spans="12:16" ht="15" customHeight="1" hidden="1">
      <c r="L2151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2" spans="12:16" ht="15" customHeight="1" hidden="1">
      <c r="L2152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3" spans="12:16" ht="15" customHeight="1" hidden="1">
      <c r="L2153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4" spans="12:16" ht="15" customHeight="1" hidden="1">
      <c r="L2154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5" spans="12:16" ht="15" customHeight="1" hidden="1">
      <c r="L2155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6" spans="12:16" ht="15" customHeight="1" hidden="1">
      <c r="L2156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7" spans="12:16" ht="15" customHeight="1" hidden="1">
      <c r="L2157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8" spans="12:16" ht="15" customHeight="1" hidden="1">
      <c r="L2158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59" spans="12:16" ht="15" customHeight="1" hidden="1">
      <c r="L2159" s="60" t="str">
        <f t="shared" si="164"/>
        <v>-</v>
      </c>
      <c s="28">
        <f t="shared" si="162"/>
        <v>0</v>
      </c>
      <c s="28">
        <f t="shared" si="161"/>
        <v>0</v>
      </c>
      <c s="28">
        <f t="shared" si="163"/>
        <v>0</v>
      </c>
      <c s="28"/>
    </row>
    <row r="2160" spans="12:16" ht="15" customHeight="1" hidden="1">
      <c r="L2160" s="60" t="str">
        <f t="shared" si="164"/>
        <v>-</v>
      </c>
      <c s="28">
        <f t="shared" si="162"/>
        <v>0</v>
      </c>
      <c s="28">
        <f t="shared" si="165" ref="N2160:N2223">IF(ISNUMBER(N2159),N2159-M2160,$E$8)</f>
        <v>0</v>
      </c>
      <c s="28">
        <f t="shared" si="163"/>
        <v>0</v>
      </c>
      <c s="28"/>
    </row>
    <row r="2161" spans="12:16" ht="15" customHeight="1" hidden="1">
      <c r="L2161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2" spans="12:16" ht="15" customHeight="1" hidden="1">
      <c r="L2162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3" spans="12:16" ht="15" customHeight="1" hidden="1">
      <c r="L2163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4" spans="12:16" ht="15" customHeight="1" hidden="1">
      <c r="L2164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5" spans="12:16" ht="15" customHeight="1" hidden="1">
      <c r="L2165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6" spans="12:16" ht="15" customHeight="1" hidden="1">
      <c r="L2166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7" spans="12:16" ht="15" customHeight="1" hidden="1">
      <c r="L2167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8" spans="12:16" ht="15" customHeight="1" hidden="1">
      <c r="L2168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69" spans="12:16" ht="15" customHeight="1" hidden="1">
      <c r="L2169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0" spans="12:16" ht="15" customHeight="1" hidden="1">
      <c r="L2170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1" spans="12:16" ht="15" customHeight="1" hidden="1">
      <c r="L2171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2" spans="12:16" ht="15" customHeight="1" hidden="1">
      <c r="L2172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3" spans="12:16" ht="15" customHeight="1" hidden="1">
      <c r="L2173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4" spans="12:16" ht="15" customHeight="1" hidden="1">
      <c r="L2174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5" spans="12:16" ht="15" customHeight="1" hidden="1">
      <c r="L2175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6" spans="12:16" ht="15" customHeight="1" hidden="1">
      <c r="L2176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7" spans="12:16" ht="15" customHeight="1" hidden="1">
      <c r="L2177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8" spans="12:16" ht="15" customHeight="1" hidden="1">
      <c r="L2178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79" spans="12:16" ht="15" customHeight="1" hidden="1">
      <c r="L2179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0" spans="12:16" ht="15" customHeight="1" hidden="1">
      <c r="L2180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1" spans="12:16" ht="15" customHeight="1" hidden="1">
      <c r="L2181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2" spans="12:16" ht="15" customHeight="1" hidden="1">
      <c r="L2182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3" spans="12:16" ht="15" customHeight="1" hidden="1">
      <c r="L2183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4" spans="12:16" ht="15" customHeight="1" hidden="1">
      <c r="L2184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5" spans="12:16" ht="15" customHeight="1" hidden="1">
      <c r="L2185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6" spans="12:16" ht="15" customHeight="1" hidden="1">
      <c r="L2186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7" spans="12:16" ht="15" customHeight="1" hidden="1">
      <c r="L2187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8" spans="12:16" ht="15" customHeight="1" hidden="1">
      <c r="L2188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89" spans="12:16" ht="15" customHeight="1" hidden="1">
      <c r="L2189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90" spans="12:16" ht="15" customHeight="1" hidden="1">
      <c r="L2190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91" spans="12:16" ht="15" customHeight="1" hidden="1">
      <c r="L2191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92" spans="12:16" ht="15" customHeight="1" hidden="1">
      <c r="L2192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93" spans="12:16" ht="15" customHeight="1" hidden="1">
      <c r="L2193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94" spans="12:16" ht="15" customHeight="1" hidden="1">
      <c r="L2194" s="60" t="str">
        <f t="shared" si="164"/>
        <v>-</v>
      </c>
      <c s="28">
        <f t="shared" si="162"/>
        <v>0</v>
      </c>
      <c s="28">
        <f t="shared" si="165"/>
        <v>0</v>
      </c>
      <c s="28">
        <f t="shared" si="163"/>
        <v>0</v>
      </c>
      <c s="28"/>
    </row>
    <row r="2195" spans="12:16" ht="15" customHeight="1" hidden="1">
      <c r="L2195" s="60" t="str">
        <f t="shared" si="164"/>
        <v>-</v>
      </c>
      <c s="28">
        <f t="shared" si="166" ref="M2195:M2258">IFERROR(VLOOKUP(L2195,$B$19:$E$80,4,FALSE),0)</f>
        <v>0</v>
      </c>
      <c s="28">
        <f t="shared" si="165"/>
        <v>0</v>
      </c>
      <c s="28">
        <f t="shared" si="167" ref="O2195:O2258">IFERROR(IF(ISNUMBER(N2194),N2194,$E$8)*IF(L2195&gt;=$J$8,$E$12,$E$12)/IF(MOD(YEAR(L2195),4),365,366)*IF(ISBLANK(L2194),L2195-$F$5,L2195-L2194),0)</f>
        <v>0</v>
      </c>
      <c s="28"/>
    </row>
    <row r="2196" spans="12:16" ht="15" customHeight="1" hidden="1">
      <c r="L2196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197" spans="12:16" ht="15" customHeight="1" hidden="1">
      <c r="L2197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198" spans="12:16" ht="15" customHeight="1" hidden="1">
      <c r="L2198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199" spans="12:16" ht="15" customHeight="1" hidden="1">
      <c r="L2199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0" spans="12:16" ht="15" customHeight="1" hidden="1">
      <c r="L2200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1" spans="12:16" ht="15" customHeight="1" hidden="1">
      <c r="L2201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2" spans="12:16" ht="15" customHeight="1" hidden="1">
      <c r="L2202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3" spans="12:16" ht="15" customHeight="1" hidden="1">
      <c r="L2203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4" spans="12:16" ht="15" customHeight="1" hidden="1">
      <c r="L2204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5" spans="12:16" ht="15" customHeight="1" hidden="1">
      <c r="L2205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6" spans="12:16" ht="15" customHeight="1" hidden="1">
      <c r="L2206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7" spans="12:16" ht="15" customHeight="1" hidden="1">
      <c r="L2207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8" spans="12:16" ht="15" customHeight="1" hidden="1">
      <c r="L2208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09" spans="12:16" ht="15" customHeight="1" hidden="1">
      <c r="L2209" s="60" t="str">
        <f t="shared" si="164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0" spans="12:16" ht="15" customHeight="1" hidden="1">
      <c r="L2210" s="60" t="str">
        <f t="shared" si="168" ref="L2210:L2273">IFERROR(IF(MAX(L2209+1,$F$5+1)&gt;Дата_погашения_Займа,"-",MAX(L2209+1,$F$5+1)),"-")</f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1" spans="12:16" ht="15" customHeight="1" hidden="1">
      <c r="L2211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2" spans="12:16" ht="15" customHeight="1" hidden="1">
      <c r="L2212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3" spans="12:16" ht="15" customHeight="1" hidden="1">
      <c r="L2213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4" spans="12:16" ht="15" customHeight="1" hidden="1">
      <c r="L2214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5" spans="12:16" ht="15" customHeight="1" hidden="1">
      <c r="L2215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6" spans="12:16" ht="15" customHeight="1" hidden="1">
      <c r="L2216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7" spans="12:16" ht="15" customHeight="1" hidden="1">
      <c r="L2217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8" spans="12:16" ht="15" customHeight="1" hidden="1">
      <c r="L2218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19" spans="12:16" ht="15" customHeight="1" hidden="1">
      <c r="L2219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20" spans="12:16" ht="15" customHeight="1" hidden="1">
      <c r="L2220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21" spans="12:16" ht="15" customHeight="1" hidden="1">
      <c r="L2221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22" spans="12:16" ht="15" customHeight="1" hidden="1">
      <c r="L2222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23" spans="12:16" ht="15" customHeight="1" hidden="1">
      <c r="L2223" s="60" t="str">
        <f t="shared" si="168"/>
        <v>-</v>
      </c>
      <c s="28">
        <f t="shared" si="166"/>
        <v>0</v>
      </c>
      <c s="28">
        <f t="shared" si="165"/>
        <v>0</v>
      </c>
      <c s="28">
        <f t="shared" si="167"/>
        <v>0</v>
      </c>
      <c s="28"/>
    </row>
    <row r="2224" spans="12:16" ht="15" customHeight="1" hidden="1">
      <c r="L2224" s="60" t="str">
        <f t="shared" si="168"/>
        <v>-</v>
      </c>
      <c s="28">
        <f t="shared" si="166"/>
        <v>0</v>
      </c>
      <c s="28">
        <f t="shared" si="169" ref="N2224:N2287">IF(ISNUMBER(N2223),N2223-M2224,$E$8)</f>
        <v>0</v>
      </c>
      <c s="28">
        <f t="shared" si="167"/>
        <v>0</v>
      </c>
      <c s="28"/>
    </row>
    <row r="2225" spans="12:16" ht="15" customHeight="1" hidden="1">
      <c r="L2225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26" spans="12:16" ht="15" customHeight="1" hidden="1">
      <c r="L2226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27" spans="12:16" ht="15" customHeight="1" hidden="1">
      <c r="L2227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28" spans="12:16" ht="15" customHeight="1" hidden="1">
      <c r="L2228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29" spans="12:16" ht="15" customHeight="1" hidden="1">
      <c r="L2229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0" spans="12:16" ht="15" customHeight="1" hidden="1">
      <c r="L2230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1" spans="12:16" ht="15" customHeight="1" hidden="1">
      <c r="L2231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2" spans="12:16" ht="15" customHeight="1" hidden="1">
      <c r="L2232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3" spans="12:16" ht="15" customHeight="1" hidden="1">
      <c r="L2233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4" spans="12:16" ht="15" customHeight="1" hidden="1">
      <c r="L2234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5" spans="12:16" ht="15" customHeight="1" hidden="1">
      <c r="L2235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6" spans="12:16" ht="15" customHeight="1" hidden="1">
      <c r="L2236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7" spans="12:16" ht="15" customHeight="1" hidden="1">
      <c r="L2237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8" spans="12:16" ht="15" customHeight="1" hidden="1">
      <c r="L2238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39" spans="12:16" ht="15" customHeight="1" hidden="1">
      <c r="L2239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0" spans="12:16" ht="15" customHeight="1" hidden="1">
      <c r="L2240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1" spans="12:16" ht="15" customHeight="1" hidden="1">
      <c r="L2241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2" spans="12:16" ht="15" customHeight="1" hidden="1">
      <c r="L2242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3" spans="12:16" ht="15" customHeight="1" hidden="1">
      <c r="L2243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4" spans="12:16" ht="15" customHeight="1" hidden="1">
      <c r="L2244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5" spans="12:16" ht="15" customHeight="1" hidden="1">
      <c r="L2245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6" spans="12:16" ht="15" customHeight="1" hidden="1">
      <c r="L2246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7" spans="12:16" ht="15" customHeight="1" hidden="1">
      <c r="L2247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8" spans="12:16" ht="15" customHeight="1" hidden="1">
      <c r="L2248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49" spans="12:16" ht="15" customHeight="1" hidden="1">
      <c r="L2249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0" spans="12:16" ht="15" customHeight="1" hidden="1">
      <c r="L2250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1" spans="12:16" ht="15" customHeight="1" hidden="1">
      <c r="L2251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2" spans="12:16" ht="15" customHeight="1" hidden="1">
      <c r="L2252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3" spans="12:16" ht="15" customHeight="1" hidden="1">
      <c r="L2253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4" spans="12:16" ht="15" customHeight="1" hidden="1">
      <c r="L2254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5" spans="12:16" ht="15" customHeight="1" hidden="1">
      <c r="L2255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6" spans="12:16" ht="15" customHeight="1" hidden="1">
      <c r="L2256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7" spans="12:16" ht="15" customHeight="1" hidden="1">
      <c r="L2257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8" spans="12:16" ht="15" customHeight="1" hidden="1">
      <c r="L2258" s="60" t="str">
        <f t="shared" si="168"/>
        <v>-</v>
      </c>
      <c s="28">
        <f t="shared" si="166"/>
        <v>0</v>
      </c>
      <c s="28">
        <f t="shared" si="169"/>
        <v>0</v>
      </c>
      <c s="28">
        <f t="shared" si="167"/>
        <v>0</v>
      </c>
      <c s="28"/>
    </row>
    <row r="2259" spans="12:16" ht="15" customHeight="1" hidden="1">
      <c r="L2259" s="60" t="str">
        <f t="shared" si="168"/>
        <v>-</v>
      </c>
      <c s="28">
        <f t="shared" si="170" ref="M2259:M2322">IFERROR(VLOOKUP(L2259,$B$19:$E$80,4,FALSE),0)</f>
        <v>0</v>
      </c>
      <c s="28">
        <f t="shared" si="169"/>
        <v>0</v>
      </c>
      <c s="28">
        <f t="shared" si="171" ref="O2259:O2322">IFERROR(IF(ISNUMBER(N2258),N2258,$E$8)*IF(L2259&gt;=$J$8,$E$12,$E$12)/IF(MOD(YEAR(L2259),4),365,366)*IF(ISBLANK(L2258),L2259-$F$5,L2259-L2258),0)</f>
        <v>0</v>
      </c>
      <c s="28"/>
    </row>
    <row r="2260" spans="12:16" ht="15" customHeight="1" hidden="1">
      <c r="L2260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1" spans="12:16" ht="15" customHeight="1" hidden="1">
      <c r="L2261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2" spans="12:16" ht="15" customHeight="1" hidden="1">
      <c r="L2262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3" spans="12:16" ht="15" customHeight="1" hidden="1">
      <c r="L2263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4" spans="12:16" ht="15" customHeight="1" hidden="1">
      <c r="L2264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5" spans="12:16" ht="15" customHeight="1" hidden="1">
      <c r="L2265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6" spans="12:16" ht="15" customHeight="1" hidden="1">
      <c r="L2266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7" spans="12:16" ht="15" customHeight="1" hidden="1">
      <c r="L2267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8" spans="12:16" ht="15" customHeight="1" hidden="1">
      <c r="L2268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69" spans="12:16" ht="15" customHeight="1" hidden="1">
      <c r="L2269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0" spans="12:16" ht="15" customHeight="1" hidden="1">
      <c r="L2270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1" spans="12:16" ht="15" customHeight="1" hidden="1">
      <c r="L2271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2" spans="12:16" ht="15" customHeight="1" hidden="1">
      <c r="L2272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3" spans="12:16" ht="15" customHeight="1" hidden="1">
      <c r="L2273" s="60" t="str">
        <f t="shared" si="168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4" spans="12:16" ht="15" customHeight="1" hidden="1">
      <c r="L2274" s="60" t="str">
        <f t="shared" si="172" ref="L2274:L2337">IFERROR(IF(MAX(L2273+1,$F$5+1)&gt;Дата_погашения_Займа,"-",MAX(L2273+1,$F$5+1)),"-")</f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5" spans="12:16" ht="15" customHeight="1" hidden="1">
      <c r="L2275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6" spans="12:16" ht="15" customHeight="1" hidden="1">
      <c r="L2276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7" spans="12:16" ht="15" customHeight="1" hidden="1">
      <c r="L2277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8" spans="12:16" ht="15" customHeight="1" hidden="1">
      <c r="L2278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79" spans="12:16" ht="15" customHeight="1" hidden="1">
      <c r="L2279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0" spans="12:16" ht="15" customHeight="1" hidden="1">
      <c r="L2280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1" spans="12:16" ht="15" customHeight="1" hidden="1">
      <c r="L2281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2" spans="12:16" ht="15" customHeight="1" hidden="1">
      <c r="L2282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3" spans="12:16" ht="15" customHeight="1" hidden="1">
      <c r="L2283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4" spans="12:16" ht="15" customHeight="1" hidden="1">
      <c r="L2284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5" spans="12:16" ht="15" customHeight="1" hidden="1">
      <c r="L2285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6" spans="12:16" ht="15" customHeight="1" hidden="1">
      <c r="L2286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7" spans="12:16" ht="15" customHeight="1" hidden="1">
      <c r="L2287" s="60" t="str">
        <f t="shared" si="172"/>
        <v>-</v>
      </c>
      <c s="28">
        <f t="shared" si="170"/>
        <v>0</v>
      </c>
      <c s="28">
        <f t="shared" si="169"/>
        <v>0</v>
      </c>
      <c s="28">
        <f t="shared" si="171"/>
        <v>0</v>
      </c>
      <c s="28"/>
    </row>
    <row r="2288" spans="12:16" ht="15" customHeight="1" hidden="1">
      <c r="L2288" s="60" t="str">
        <f t="shared" si="172"/>
        <v>-</v>
      </c>
      <c s="28">
        <f t="shared" si="170"/>
        <v>0</v>
      </c>
      <c s="28">
        <f t="shared" si="173" ref="N2288:N2351">IF(ISNUMBER(N2287),N2287-M2288,$E$8)</f>
        <v>0</v>
      </c>
      <c s="28">
        <f t="shared" si="171"/>
        <v>0</v>
      </c>
      <c s="28"/>
    </row>
    <row r="2289" spans="12:16" ht="15" customHeight="1" hidden="1">
      <c r="L2289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0" spans="12:16" ht="15" customHeight="1" hidden="1">
      <c r="L2290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1" spans="12:16" ht="15" customHeight="1" hidden="1">
      <c r="L2291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2" spans="12:16" ht="15" customHeight="1" hidden="1">
      <c r="L2292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3" spans="12:16" ht="15" customHeight="1" hidden="1">
      <c r="L2293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4" spans="12:16" ht="15" customHeight="1" hidden="1">
      <c r="L2294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5" spans="12:16" ht="15" customHeight="1" hidden="1">
      <c r="L2295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6" spans="12:16" ht="15" customHeight="1" hidden="1">
      <c r="L2296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7" spans="12:16" ht="15" customHeight="1" hidden="1">
      <c r="L2297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8" spans="12:16" ht="15" customHeight="1" hidden="1">
      <c r="L2298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299" spans="12:16" ht="15" customHeight="1" hidden="1">
      <c r="L2299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0" spans="12:16" ht="15" customHeight="1" hidden="1">
      <c r="L2300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1" spans="12:16" ht="15" customHeight="1" hidden="1">
      <c r="L2301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2" spans="12:16" ht="15" customHeight="1" hidden="1">
      <c r="L2302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3" spans="12:16" ht="15" customHeight="1" hidden="1">
      <c r="L2303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4" spans="12:16" ht="15" customHeight="1" hidden="1">
      <c r="L2304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5" spans="12:16" ht="15" customHeight="1" hidden="1">
      <c r="L2305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6" spans="12:16" ht="15" customHeight="1" hidden="1">
      <c r="L2306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7" spans="12:16" ht="15" customHeight="1" hidden="1">
      <c r="L2307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8" spans="12:16" ht="15" customHeight="1" hidden="1">
      <c r="L2308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09" spans="12:16" ht="15" customHeight="1" hidden="1">
      <c r="L2309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0" spans="12:16" ht="15" customHeight="1" hidden="1">
      <c r="L2310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1" spans="12:16" ht="15" customHeight="1" hidden="1">
      <c r="L2311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2" spans="12:16" ht="15" customHeight="1" hidden="1">
      <c r="L2312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3" spans="12:16" ht="15" customHeight="1" hidden="1">
      <c r="L2313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4" spans="12:16" ht="15" customHeight="1" hidden="1">
      <c r="L2314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5" spans="12:16" ht="15" customHeight="1" hidden="1">
      <c r="L2315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6" spans="12:16" ht="15" customHeight="1" hidden="1">
      <c r="L2316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7" spans="12:16" ht="15" customHeight="1" hidden="1">
      <c r="L2317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8" spans="12:16" ht="15" customHeight="1" hidden="1">
      <c r="L2318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19" spans="12:16" ht="15" customHeight="1" hidden="1">
      <c r="L2319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20" spans="12:16" ht="15" customHeight="1" hidden="1">
      <c r="L2320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21" spans="12:16" ht="15" customHeight="1" hidden="1">
      <c r="L2321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22" spans="12:16" ht="15" customHeight="1" hidden="1">
      <c r="L2322" s="60" t="str">
        <f t="shared" si="172"/>
        <v>-</v>
      </c>
      <c s="28">
        <f t="shared" si="170"/>
        <v>0</v>
      </c>
      <c s="28">
        <f t="shared" si="173"/>
        <v>0</v>
      </c>
      <c s="28">
        <f t="shared" si="171"/>
        <v>0</v>
      </c>
      <c s="28"/>
    </row>
    <row r="2323" spans="12:16" ht="15" customHeight="1" hidden="1">
      <c r="L2323" s="60" t="str">
        <f t="shared" si="172"/>
        <v>-</v>
      </c>
      <c s="28">
        <f t="shared" si="174" ref="M2323:M2386">IFERROR(VLOOKUP(L2323,$B$19:$E$80,4,FALSE),0)</f>
        <v>0</v>
      </c>
      <c s="28">
        <f t="shared" si="173"/>
        <v>0</v>
      </c>
      <c s="28">
        <f t="shared" si="175" ref="O2323:O2386">IFERROR(IF(ISNUMBER(N2322),N2322,$E$8)*IF(L2323&gt;=$J$8,$E$12,$E$12)/IF(MOD(YEAR(L2323),4),365,366)*IF(ISBLANK(L2322),L2323-$F$5,L2323-L2322),0)</f>
        <v>0</v>
      </c>
      <c s="28"/>
    </row>
    <row r="2324" spans="12:16" ht="15" customHeight="1" hidden="1">
      <c r="L2324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25" spans="12:16" ht="15" customHeight="1" hidden="1">
      <c r="L2325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26" spans="12:16" ht="15" customHeight="1" hidden="1">
      <c r="L2326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27" spans="12:16" ht="15" customHeight="1" hidden="1">
      <c r="L2327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28" spans="12:16" ht="15" customHeight="1" hidden="1">
      <c r="L2328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29" spans="12:16" ht="15" customHeight="1" hidden="1">
      <c r="L2329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0" spans="12:16" ht="15" customHeight="1" hidden="1">
      <c r="L2330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1" spans="12:16" ht="15" customHeight="1" hidden="1">
      <c r="L2331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2" spans="12:16" ht="15" customHeight="1" hidden="1">
      <c r="L2332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3" spans="12:16" ht="15" customHeight="1" hidden="1">
      <c r="L2333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4" spans="12:16" ht="15" customHeight="1" hidden="1">
      <c r="L2334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5" spans="12:16" ht="15" customHeight="1" hidden="1">
      <c r="L2335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6" spans="12:16" ht="15" customHeight="1" hidden="1">
      <c r="L2336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7" spans="12:16" ht="15" customHeight="1" hidden="1">
      <c r="L2337" s="60" t="str">
        <f t="shared" si="172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8" spans="12:16" ht="15" customHeight="1" hidden="1">
      <c r="L2338" s="60" t="str">
        <f t="shared" si="176" ref="L2338:L2401">IFERROR(IF(MAX(L2337+1,$F$5+1)&gt;Дата_погашения_Займа,"-",MAX(L2337+1,$F$5+1)),"-")</f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39" spans="12:16" ht="15" customHeight="1" hidden="1">
      <c r="L2339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0" spans="12:16" ht="15" customHeight="1" hidden="1">
      <c r="L2340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1" spans="12:16" ht="15" customHeight="1" hidden="1">
      <c r="L2341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2" spans="12:16" ht="15" customHeight="1" hidden="1">
      <c r="L2342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3" spans="12:16" ht="15" customHeight="1" hidden="1">
      <c r="L2343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4" spans="12:16" ht="15" customHeight="1" hidden="1">
      <c r="L2344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5" spans="12:16" ht="15" customHeight="1" hidden="1">
      <c r="L2345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6" spans="12:16" ht="15" customHeight="1" hidden="1">
      <c r="L2346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7" spans="12:16" ht="15" customHeight="1" hidden="1">
      <c r="L2347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8" spans="12:16" ht="15" customHeight="1" hidden="1">
      <c r="L2348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49" spans="12:16" ht="15" customHeight="1" hidden="1">
      <c r="L2349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50" spans="12:16" ht="15" customHeight="1" hidden="1">
      <c r="L2350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51" spans="12:16" ht="15" customHeight="1" hidden="1">
      <c r="L2351" s="60" t="str">
        <f t="shared" si="176"/>
        <v>-</v>
      </c>
      <c s="28">
        <f t="shared" si="174"/>
        <v>0</v>
      </c>
      <c s="28">
        <f t="shared" si="173"/>
        <v>0</v>
      </c>
      <c s="28">
        <f t="shared" si="175"/>
        <v>0</v>
      </c>
      <c s="28"/>
    </row>
    <row r="2352" spans="12:16" ht="15" customHeight="1" hidden="1">
      <c r="L2352" s="60" t="str">
        <f t="shared" si="176"/>
        <v>-</v>
      </c>
      <c s="28">
        <f t="shared" si="174"/>
        <v>0</v>
      </c>
      <c s="28">
        <f t="shared" si="177" ref="N2352:N2415">IF(ISNUMBER(N2351),N2351-M2352,$E$8)</f>
        <v>0</v>
      </c>
      <c s="28">
        <f t="shared" si="175"/>
        <v>0</v>
      </c>
      <c s="28"/>
    </row>
    <row r="2353" spans="12:16" ht="15" customHeight="1" hidden="1">
      <c r="L2353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54" spans="12:16" ht="15" customHeight="1" hidden="1">
      <c r="L2354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55" spans="12:16" ht="15" customHeight="1" hidden="1">
      <c r="L2355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56" spans="12:16" ht="15" customHeight="1" hidden="1">
      <c r="L2356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57" spans="12:16" ht="15" customHeight="1" hidden="1">
      <c r="L2357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58" spans="12:16" ht="15" customHeight="1" hidden="1">
      <c r="L2358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59" spans="12:16" ht="15" customHeight="1" hidden="1">
      <c r="L2359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0" spans="12:16" ht="15" customHeight="1" hidden="1">
      <c r="L2360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1" spans="12:16" ht="15" customHeight="1" hidden="1">
      <c r="L2361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2" spans="12:16" ht="15" customHeight="1" hidden="1">
      <c r="L2362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3" spans="12:16" ht="15" customHeight="1" hidden="1">
      <c r="L2363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4" spans="12:16" ht="15" customHeight="1" hidden="1">
      <c r="L2364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5" spans="12:16" ht="15" customHeight="1" hidden="1">
      <c r="L2365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6" spans="12:16" ht="15" customHeight="1" hidden="1">
      <c r="L2366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7" spans="12:16" ht="15" customHeight="1" hidden="1">
      <c r="L2367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8" spans="12:16" ht="15" customHeight="1" hidden="1">
      <c r="L2368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69" spans="12:16" ht="15" customHeight="1" hidden="1">
      <c r="L2369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0" spans="12:16" ht="15" customHeight="1" hidden="1">
      <c r="L2370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1" spans="12:16" ht="15" customHeight="1" hidden="1">
      <c r="L2371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2" spans="12:16" ht="15" customHeight="1" hidden="1">
      <c r="L2372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3" spans="12:16" ht="15" customHeight="1" hidden="1">
      <c r="L2373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4" spans="12:16" ht="15" customHeight="1" hidden="1">
      <c r="L2374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5" spans="12:16" ht="15" customHeight="1" hidden="1">
      <c r="L2375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6" spans="12:16" ht="15" customHeight="1" hidden="1">
      <c r="L2376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7" spans="12:16" ht="15" customHeight="1" hidden="1">
      <c r="L2377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8" spans="12:16" ht="15" customHeight="1" hidden="1">
      <c r="L2378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79" spans="12:16" ht="15" customHeight="1" hidden="1">
      <c r="L2379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0" spans="12:16" ht="15" customHeight="1" hidden="1">
      <c r="L2380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1" spans="12:16" ht="15" customHeight="1" hidden="1">
      <c r="L2381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2" spans="12:16" ht="15" customHeight="1" hidden="1">
      <c r="L2382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3" spans="12:16" ht="15" customHeight="1" hidden="1">
      <c r="L2383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4" spans="12:16" ht="15" customHeight="1" hidden="1">
      <c r="L2384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5" spans="12:16" ht="15" customHeight="1" hidden="1">
      <c r="L2385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6" spans="12:16" ht="15" customHeight="1" hidden="1">
      <c r="L2386" s="60" t="str">
        <f t="shared" si="176"/>
        <v>-</v>
      </c>
      <c s="28">
        <f t="shared" si="174"/>
        <v>0</v>
      </c>
      <c s="28">
        <f t="shared" si="177"/>
        <v>0</v>
      </c>
      <c s="28">
        <f t="shared" si="175"/>
        <v>0</v>
      </c>
      <c s="28"/>
    </row>
    <row r="2387" spans="12:16" ht="15" customHeight="1" hidden="1">
      <c r="L2387" s="60" t="str">
        <f t="shared" si="176"/>
        <v>-</v>
      </c>
      <c s="28">
        <f t="shared" si="178" ref="M2387:M2450">IFERROR(VLOOKUP(L2387,$B$19:$E$80,4,FALSE),0)</f>
        <v>0</v>
      </c>
      <c s="28">
        <f t="shared" si="177"/>
        <v>0</v>
      </c>
      <c s="28">
        <f t="shared" si="179" ref="O2387:O2450">IFERROR(IF(ISNUMBER(N2386),N2386,$E$8)*IF(L2387&gt;=$J$8,$E$12,$E$12)/IF(MOD(YEAR(L2387),4),365,366)*IF(ISBLANK(L2386),L2387-$F$5,L2387-L2386),0)</f>
        <v>0</v>
      </c>
      <c s="28"/>
    </row>
    <row r="2388" spans="12:16" ht="15" customHeight="1" hidden="1">
      <c r="L2388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89" spans="12:16" ht="15" customHeight="1" hidden="1">
      <c r="L2389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0" spans="12:16" ht="15" customHeight="1" hidden="1">
      <c r="L2390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1" spans="12:16" ht="15" customHeight="1" hidden="1">
      <c r="L2391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2" spans="12:16" ht="15" customHeight="1" hidden="1">
      <c r="L2392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3" spans="12:16" ht="15" customHeight="1" hidden="1">
      <c r="L2393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4" spans="12:16" ht="15" customHeight="1" hidden="1">
      <c r="L2394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5" spans="12:16" ht="15" customHeight="1" hidden="1">
      <c r="L2395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6" spans="12:16" ht="15" customHeight="1" hidden="1">
      <c r="L2396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7" spans="12:16" ht="15" customHeight="1" hidden="1">
      <c r="L2397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8" spans="12:16" ht="15" customHeight="1" hidden="1">
      <c r="L2398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399" spans="12:16" ht="15" customHeight="1" hidden="1">
      <c r="L2399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0" spans="12:16" ht="15" customHeight="1" hidden="1">
      <c r="L2400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1" spans="12:16" ht="15" customHeight="1" hidden="1">
      <c r="L2401" s="60" t="str">
        <f t="shared" si="176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2" spans="12:16" ht="15" customHeight="1" hidden="1">
      <c r="L2402" s="60" t="str">
        <f t="shared" si="180" ref="L2402:L2465">IFERROR(IF(MAX(L2401+1,$F$5+1)&gt;Дата_погашения_Займа,"-",MAX(L2401+1,$F$5+1)),"-")</f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3" spans="12:16" ht="15" customHeight="1" hidden="1">
      <c r="L2403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4" spans="12:16" ht="15" customHeight="1" hidden="1">
      <c r="L2404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5" spans="12:16" ht="15" customHeight="1" hidden="1">
      <c r="L2405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6" spans="12:16" ht="15" customHeight="1" hidden="1">
      <c r="L2406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7" spans="12:16" ht="15" customHeight="1" hidden="1">
      <c r="L2407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8" spans="12:16" ht="15" customHeight="1" hidden="1">
      <c r="L2408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09" spans="12:16" ht="15" customHeight="1" hidden="1">
      <c r="L2409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0" spans="12:16" ht="15" customHeight="1" hidden="1">
      <c r="L2410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1" spans="12:16" ht="15" customHeight="1" hidden="1">
      <c r="L2411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2" spans="12:16" ht="15" customHeight="1" hidden="1">
      <c r="L2412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3" spans="12:16" ht="15" customHeight="1" hidden="1">
      <c r="L2413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4" spans="12:16" ht="15" customHeight="1" hidden="1">
      <c r="L2414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5" spans="12:16" ht="15" customHeight="1" hidden="1">
      <c r="L2415" s="60" t="str">
        <f t="shared" si="180"/>
        <v>-</v>
      </c>
      <c s="28">
        <f t="shared" si="178"/>
        <v>0</v>
      </c>
      <c s="28">
        <f t="shared" si="177"/>
        <v>0</v>
      </c>
      <c s="28">
        <f t="shared" si="179"/>
        <v>0</v>
      </c>
      <c s="28"/>
    </row>
    <row r="2416" spans="12:16" ht="15" customHeight="1" hidden="1">
      <c r="L2416" s="60" t="str">
        <f t="shared" si="180"/>
        <v>-</v>
      </c>
      <c s="28">
        <f t="shared" si="178"/>
        <v>0</v>
      </c>
      <c s="28">
        <f t="shared" si="181" ref="N2416:N2479">IF(ISNUMBER(N2415),N2415-M2416,$E$8)</f>
        <v>0</v>
      </c>
      <c s="28">
        <f t="shared" si="179"/>
        <v>0</v>
      </c>
      <c s="28"/>
    </row>
    <row r="2417" spans="12:16" ht="15" customHeight="1" hidden="1">
      <c r="L2417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18" spans="12:16" ht="15" customHeight="1" hidden="1">
      <c r="L2418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19" spans="12:16" ht="15" customHeight="1" hidden="1">
      <c r="L2419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0" spans="12:16" ht="15" customHeight="1" hidden="1">
      <c r="L2420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1" spans="12:16" ht="15" customHeight="1" hidden="1">
      <c r="L2421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2" spans="12:16" ht="15" customHeight="1" hidden="1">
      <c r="L2422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3" spans="12:16" ht="15" customHeight="1" hidden="1">
      <c r="L2423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4" spans="12:16" ht="15" customHeight="1" hidden="1">
      <c r="L2424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5" spans="12:16" ht="15" customHeight="1" hidden="1">
      <c r="L2425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6" spans="12:16" ht="15" customHeight="1" hidden="1">
      <c r="L2426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7" spans="12:16" ht="15" customHeight="1" hidden="1">
      <c r="L2427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8" spans="12:16" ht="15" customHeight="1" hidden="1">
      <c r="L2428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29" spans="12:16" ht="15" customHeight="1" hidden="1">
      <c r="L2429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0" spans="12:16" ht="15" customHeight="1" hidden="1">
      <c r="L2430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1" spans="12:16" ht="15" customHeight="1" hidden="1">
      <c r="L2431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2" spans="12:16" ht="15" customHeight="1" hidden="1">
      <c r="L2432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3" spans="12:16" ht="15" customHeight="1" hidden="1">
      <c r="L2433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4" spans="12:16" ht="15" customHeight="1" hidden="1">
      <c r="L2434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5" spans="12:16" ht="15" customHeight="1" hidden="1">
      <c r="L2435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6" spans="12:16" ht="15" customHeight="1" hidden="1">
      <c r="L2436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7" spans="12:16" ht="15" customHeight="1" hidden="1">
      <c r="L2437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8" spans="12:16" ht="15" customHeight="1" hidden="1">
      <c r="L2438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39" spans="12:16" ht="15" customHeight="1" hidden="1">
      <c r="L2439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0" spans="12:16" ht="15" customHeight="1" hidden="1">
      <c r="L2440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1" spans="12:16" ht="15" customHeight="1" hidden="1">
      <c r="L2441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2" spans="12:16" ht="15" customHeight="1" hidden="1">
      <c r="L2442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3" spans="12:16" ht="15" customHeight="1" hidden="1">
      <c r="L2443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4" spans="12:16" ht="15" customHeight="1" hidden="1">
      <c r="L2444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5" spans="12:16" ht="15" customHeight="1" hidden="1">
      <c r="L2445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6" spans="12:16" ht="15" customHeight="1" hidden="1">
      <c r="L2446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7" spans="12:16" ht="15" customHeight="1" hidden="1">
      <c r="L2447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8" spans="12:16" ht="15" customHeight="1" hidden="1">
      <c r="L2448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49" spans="12:16" ht="15" customHeight="1" hidden="1">
      <c r="L2449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50" spans="12:16" ht="15" customHeight="1" hidden="1">
      <c r="L2450" s="60" t="str">
        <f t="shared" si="180"/>
        <v>-</v>
      </c>
      <c s="28">
        <f t="shared" si="178"/>
        <v>0</v>
      </c>
      <c s="28">
        <f t="shared" si="181"/>
        <v>0</v>
      </c>
      <c s="28">
        <f t="shared" si="179"/>
        <v>0</v>
      </c>
      <c s="28"/>
    </row>
    <row r="2451" spans="12:16" ht="15" customHeight="1" hidden="1">
      <c r="L2451" s="60" t="str">
        <f t="shared" si="180"/>
        <v>-</v>
      </c>
      <c s="28">
        <f t="shared" si="182" ref="M2451:M2514">IFERROR(VLOOKUP(L2451,$B$19:$E$80,4,FALSE),0)</f>
        <v>0</v>
      </c>
      <c s="28">
        <f t="shared" si="181"/>
        <v>0</v>
      </c>
      <c s="28">
        <f t="shared" si="183" ref="O2451:O2514">IFERROR(IF(ISNUMBER(N2450),N2450,$E$8)*IF(L2451&gt;=$J$8,$E$12,$E$12)/IF(MOD(YEAR(L2451),4),365,366)*IF(ISBLANK(L2450),L2451-$F$5,L2451-L2450),0)</f>
        <v>0</v>
      </c>
      <c s="28"/>
    </row>
    <row r="2452" spans="12:16" ht="15" customHeight="1" hidden="1">
      <c r="L2452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3" spans="12:16" ht="15" customHeight="1" hidden="1">
      <c r="L2453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4" spans="12:16" ht="15" customHeight="1" hidden="1">
      <c r="L2454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5" spans="12:16" ht="15" customHeight="1" hidden="1">
      <c r="L2455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6" spans="12:16" ht="15" customHeight="1" hidden="1">
      <c r="L2456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7" spans="12:16" ht="15" customHeight="1" hidden="1">
      <c r="L2457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8" spans="12:16" ht="15" customHeight="1" hidden="1">
      <c r="L2458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59" spans="12:16" ht="15" customHeight="1" hidden="1">
      <c r="L2459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0" spans="12:16" ht="15" customHeight="1" hidden="1">
      <c r="L2460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1" spans="12:16" ht="15" customHeight="1" hidden="1">
      <c r="L2461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2" spans="12:16" ht="15" customHeight="1" hidden="1">
      <c r="L2462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3" spans="12:16" ht="15" customHeight="1" hidden="1">
      <c r="L2463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4" spans="12:16" ht="15" customHeight="1" hidden="1">
      <c r="L2464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5" spans="12:16" ht="15" customHeight="1" hidden="1">
      <c r="L2465" s="60" t="str">
        <f t="shared" si="180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6" spans="12:16" ht="15" customHeight="1" hidden="1">
      <c r="L2466" s="60" t="str">
        <f t="shared" si="184" ref="L2466:L2529">IFERROR(IF(MAX(L2465+1,$F$5+1)&gt;Дата_погашения_Займа,"-",MAX(L2465+1,$F$5+1)),"-")</f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7" spans="12:16" ht="15" customHeight="1" hidden="1">
      <c r="L2467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8" spans="12:16" ht="15" customHeight="1" hidden="1">
      <c r="L2468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69" spans="12:16" ht="15" customHeight="1" hidden="1">
      <c r="L2469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0" spans="12:16" ht="15" customHeight="1" hidden="1">
      <c r="L2470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1" spans="12:16" ht="15" customHeight="1" hidden="1">
      <c r="L2471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2" spans="12:16" ht="15" customHeight="1" hidden="1">
      <c r="L2472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3" spans="12:16" ht="15" customHeight="1" hidden="1">
      <c r="L2473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4" spans="12:16" ht="15" customHeight="1" hidden="1">
      <c r="L2474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5" spans="12:16" ht="15" customHeight="1" hidden="1">
      <c r="L2475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6" spans="12:16" ht="15" customHeight="1" hidden="1">
      <c r="L2476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7" spans="12:16" ht="15" customHeight="1" hidden="1">
      <c r="L2477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8" spans="12:16" ht="15" customHeight="1" hidden="1">
      <c r="L2478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79" spans="12:16" ht="15" customHeight="1" hidden="1">
      <c r="L2479" s="60" t="str">
        <f t="shared" si="184"/>
        <v>-</v>
      </c>
      <c s="28">
        <f t="shared" si="182"/>
        <v>0</v>
      </c>
      <c s="28">
        <f t="shared" si="181"/>
        <v>0</v>
      </c>
      <c s="28">
        <f t="shared" si="183"/>
        <v>0</v>
      </c>
      <c s="28"/>
    </row>
    <row r="2480" spans="12:16" ht="15" customHeight="1" hidden="1">
      <c r="L2480" s="60" t="str">
        <f t="shared" si="184"/>
        <v>-</v>
      </c>
      <c s="28">
        <f t="shared" si="182"/>
        <v>0</v>
      </c>
      <c s="28">
        <f t="shared" si="185" ref="N2480:N2543">IF(ISNUMBER(N2479),N2479-M2480,$E$8)</f>
        <v>0</v>
      </c>
      <c s="28">
        <f t="shared" si="183"/>
        <v>0</v>
      </c>
      <c s="28"/>
    </row>
    <row r="2481" spans="12:16" ht="15" customHeight="1" hidden="1">
      <c r="L2481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2" spans="12:16" ht="15" customHeight="1" hidden="1">
      <c r="L2482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3" spans="12:16" ht="15" customHeight="1" hidden="1">
      <c r="L2483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4" spans="12:16" ht="15" customHeight="1" hidden="1">
      <c r="L2484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5" spans="12:16" ht="15" customHeight="1" hidden="1">
      <c r="L2485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6" spans="12:16" ht="15" customHeight="1" hidden="1">
      <c r="L2486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7" spans="12:16" ht="15" customHeight="1" hidden="1">
      <c r="L2487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8" spans="12:16" ht="15" customHeight="1" hidden="1">
      <c r="L2488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89" spans="12:16" ht="15" customHeight="1" hidden="1">
      <c r="L2489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0" spans="12:16" ht="15" customHeight="1" hidden="1">
      <c r="L2490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1" spans="12:16" ht="15" customHeight="1" hidden="1">
      <c r="L2491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2" spans="12:16" ht="15" customHeight="1" hidden="1">
      <c r="L2492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3" spans="12:16" ht="15" customHeight="1" hidden="1">
      <c r="L2493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4" spans="12:16" ht="15" customHeight="1" hidden="1">
      <c r="L2494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5" spans="12:16" ht="15" customHeight="1" hidden="1">
      <c r="L2495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6" spans="12:16" ht="15" customHeight="1" hidden="1">
      <c r="L2496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7" spans="12:16" ht="15" customHeight="1" hidden="1">
      <c r="L2497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8" spans="12:16" ht="15" customHeight="1" hidden="1">
      <c r="L2498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499" spans="12:16" ht="15" customHeight="1" hidden="1">
      <c r="L2499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0" spans="12:16" ht="15" customHeight="1" hidden="1">
      <c r="L2500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1" spans="12:16" ht="15" customHeight="1" hidden="1">
      <c r="L2501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2" spans="12:16" ht="15" customHeight="1" hidden="1">
      <c r="L2502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3" spans="12:16" ht="15" customHeight="1" hidden="1">
      <c r="L2503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4" spans="12:16" ht="15" customHeight="1" hidden="1">
      <c r="L2504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5" spans="12:16" ht="15" customHeight="1" hidden="1">
      <c r="L2505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6" spans="12:16" ht="15" customHeight="1" hidden="1">
      <c r="L2506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7" spans="12:16" ht="15" customHeight="1" hidden="1">
      <c r="L2507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8" spans="12:16" ht="15" customHeight="1" hidden="1">
      <c r="L2508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09" spans="12:16" ht="15" customHeight="1" hidden="1">
      <c r="L2509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10" spans="12:16" ht="15" customHeight="1" hidden="1">
      <c r="L2510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11" spans="12:16" ht="15" customHeight="1" hidden="1">
      <c r="L2511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12" spans="12:16" ht="15" customHeight="1" hidden="1">
      <c r="L2512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13" spans="12:16" ht="15" customHeight="1" hidden="1">
      <c r="L2513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14" spans="12:16" ht="15" customHeight="1" hidden="1">
      <c r="L2514" s="60" t="str">
        <f t="shared" si="184"/>
        <v>-</v>
      </c>
      <c s="28">
        <f t="shared" si="182"/>
        <v>0</v>
      </c>
      <c s="28">
        <f t="shared" si="185"/>
        <v>0</v>
      </c>
      <c s="28">
        <f t="shared" si="183"/>
        <v>0</v>
      </c>
      <c s="28"/>
    </row>
    <row r="2515" spans="12:16" ht="15" customHeight="1" hidden="1">
      <c r="L2515" s="60" t="str">
        <f t="shared" si="184"/>
        <v>-</v>
      </c>
      <c s="28">
        <f t="shared" si="186" ref="M2515:M2578">IFERROR(VLOOKUP(L2515,$B$19:$E$80,4,FALSE),0)</f>
        <v>0</v>
      </c>
      <c s="28">
        <f t="shared" si="185"/>
        <v>0</v>
      </c>
      <c s="28">
        <f t="shared" si="187" ref="O2515:O2578">IFERROR(IF(ISNUMBER(N2514),N2514,$E$8)*IF(L2515&gt;=$J$8,$E$12,$E$12)/IF(MOD(YEAR(L2515),4),365,366)*IF(ISBLANK(L2514),L2515-$F$5,L2515-L2514),0)</f>
        <v>0</v>
      </c>
      <c s="28"/>
    </row>
    <row r="2516" spans="12:16" ht="15" customHeight="1" hidden="1">
      <c r="L2516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17" spans="12:16" ht="15" customHeight="1" hidden="1">
      <c r="L2517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18" spans="12:16" ht="15" customHeight="1" hidden="1">
      <c r="L2518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19" spans="12:16" ht="15" customHeight="1" hidden="1">
      <c r="L2519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0" spans="12:16" ht="15" customHeight="1" hidden="1">
      <c r="L2520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1" spans="12:16" ht="15" customHeight="1" hidden="1">
      <c r="L2521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2" spans="12:16" ht="15" customHeight="1" hidden="1">
      <c r="L2522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3" spans="12:16" ht="15" customHeight="1" hidden="1">
      <c r="L2523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4" spans="12:16" ht="15" customHeight="1" hidden="1">
      <c r="L2524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5" spans="12:16" ht="15" customHeight="1" hidden="1">
      <c r="L2525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6" spans="12:16" ht="15" customHeight="1" hidden="1">
      <c r="L2526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7" spans="12:16" ht="15" customHeight="1" hidden="1">
      <c r="L2527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8" spans="12:16" ht="15" customHeight="1" hidden="1">
      <c r="L2528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29" spans="12:16" ht="15" customHeight="1" hidden="1">
      <c r="L2529" s="60" t="str">
        <f t="shared" si="184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0" spans="12:16" ht="15" customHeight="1" hidden="1">
      <c r="L2530" s="60" t="str">
        <f t="shared" si="188" ref="L2530:L2593">IFERROR(IF(MAX(L2529+1,$F$5+1)&gt;Дата_погашения_Займа,"-",MAX(L2529+1,$F$5+1)),"-")</f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1" spans="12:16" ht="15" customHeight="1" hidden="1">
      <c r="L2531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2" spans="12:16" ht="15" customHeight="1" hidden="1">
      <c r="L2532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3" spans="12:16" ht="15" customHeight="1" hidden="1">
      <c r="L2533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4" spans="12:16" ht="15" customHeight="1" hidden="1">
      <c r="L2534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5" spans="12:16" ht="15" customHeight="1" hidden="1">
      <c r="L2535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6" spans="12:16" ht="15" customHeight="1" hidden="1">
      <c r="L2536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7" spans="12:16" ht="15" customHeight="1" hidden="1">
      <c r="L2537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8" spans="12:16" ht="15" customHeight="1" hidden="1">
      <c r="L2538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39" spans="12:16" ht="15" customHeight="1" hidden="1">
      <c r="L2539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40" spans="12:16" ht="15" customHeight="1" hidden="1">
      <c r="L2540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41" spans="12:16" ht="15" customHeight="1" hidden="1">
      <c r="L2541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42" spans="12:16" ht="15" customHeight="1" hidden="1">
      <c r="L2542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43" spans="12:16" ht="15" customHeight="1" hidden="1">
      <c r="L2543" s="60" t="str">
        <f t="shared" si="188"/>
        <v>-</v>
      </c>
      <c s="28">
        <f t="shared" si="186"/>
        <v>0</v>
      </c>
      <c s="28">
        <f t="shared" si="185"/>
        <v>0</v>
      </c>
      <c s="28">
        <f t="shared" si="187"/>
        <v>0</v>
      </c>
      <c s="28"/>
    </row>
    <row r="2544" spans="12:16" ht="15" customHeight="1" hidden="1">
      <c r="L2544" s="60" t="str">
        <f t="shared" si="188"/>
        <v>-</v>
      </c>
      <c s="28">
        <f t="shared" si="186"/>
        <v>0</v>
      </c>
      <c s="28">
        <f t="shared" si="189" ref="N2544:N2587">IF(ISNUMBER(N2543),N2543-M2544,$E$8)</f>
        <v>0</v>
      </c>
      <c s="28">
        <f t="shared" si="187"/>
        <v>0</v>
      </c>
      <c s="28"/>
    </row>
    <row r="2545" spans="12:16" ht="15" customHeight="1" hidden="1">
      <c r="L2545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46" spans="12:16" ht="15" customHeight="1" hidden="1">
      <c r="L2546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47" spans="12:16" ht="15" customHeight="1" hidden="1">
      <c r="L2547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48" spans="12:16" ht="15" customHeight="1" hidden="1">
      <c r="L2548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49" spans="12:16" ht="15" customHeight="1" hidden="1">
      <c r="L2549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0" spans="12:16" ht="15" customHeight="1" hidden="1">
      <c r="L2550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1" spans="12:16" ht="15" customHeight="1" hidden="1">
      <c r="L2551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2" spans="12:16" ht="15" customHeight="1" hidden="1">
      <c r="L2552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3" spans="12:16" ht="15" customHeight="1" hidden="1">
      <c r="L2553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4" spans="12:16" ht="15" customHeight="1" hidden="1">
      <c r="L2554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5" spans="12:16" ht="15" customHeight="1" hidden="1">
      <c r="L2555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6" spans="12:16" ht="15" customHeight="1" hidden="1">
      <c r="L2556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7" spans="12:16" ht="15" customHeight="1" hidden="1">
      <c r="L2557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8" spans="12:16" ht="15" customHeight="1" hidden="1">
      <c r="L2558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59" spans="12:16" ht="15" customHeight="1" hidden="1">
      <c r="L2559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0" spans="12:16" ht="15" customHeight="1" hidden="1">
      <c r="L2560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1" spans="12:16" ht="15" customHeight="1" hidden="1">
      <c r="L2561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2" spans="12:16" ht="15" customHeight="1" hidden="1">
      <c r="L2562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3" spans="12:16" ht="15" customHeight="1" hidden="1">
      <c r="L2563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4" spans="12:16" ht="15" customHeight="1" hidden="1">
      <c r="L2564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5" spans="12:16" ht="15" customHeight="1" hidden="1">
      <c r="L2565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6" spans="12:16" ht="15" customHeight="1" hidden="1">
      <c r="L2566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7" spans="12:16" ht="15" customHeight="1" hidden="1">
      <c r="L2567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8" spans="12:16" ht="15" customHeight="1" hidden="1">
      <c r="L2568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69" spans="12:16" ht="15" customHeight="1" hidden="1">
      <c r="L2569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0" spans="12:16" ht="15" customHeight="1" hidden="1">
      <c r="L2570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1" spans="12:16" ht="15" customHeight="1" hidden="1">
      <c r="L2571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2" spans="12:16" ht="15" customHeight="1" hidden="1">
      <c r="L2572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3" spans="12:16" ht="15" customHeight="1" hidden="1">
      <c r="L2573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4" spans="12:16" ht="15" customHeight="1" hidden="1">
      <c r="L2574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5" spans="12:16" ht="15" customHeight="1" hidden="1">
      <c r="L2575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6" spans="12:16" ht="15" customHeight="1" hidden="1">
      <c r="L2576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7" spans="12:16" ht="15" customHeight="1" hidden="1">
      <c r="L2577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8" spans="12:16" ht="15" customHeight="1" hidden="1">
      <c r="L2578" s="60" t="str">
        <f t="shared" si="188"/>
        <v>-</v>
      </c>
      <c s="28">
        <f t="shared" si="186"/>
        <v>0</v>
      </c>
      <c s="28">
        <f t="shared" si="189"/>
        <v>0</v>
      </c>
      <c s="28">
        <f t="shared" si="187"/>
        <v>0</v>
      </c>
      <c s="28"/>
    </row>
    <row r="2579" spans="12:16" ht="15" customHeight="1" hidden="1">
      <c r="L2579" s="60" t="str">
        <f t="shared" si="188"/>
        <v>-</v>
      </c>
      <c s="28">
        <f t="shared" si="190" ref="M2579:M2642">IFERROR(VLOOKUP(L2579,$B$19:$E$80,4,FALSE),0)</f>
        <v>0</v>
      </c>
      <c s="28">
        <f t="shared" si="189"/>
        <v>0</v>
      </c>
      <c s="28">
        <f t="shared" si="191" ref="O2579:O2642">IFERROR(IF(ISNUMBER(N2578),N2578,$E$8)*IF(L2579&gt;=$J$8,$E$12,$E$12)/IF(MOD(YEAR(L2579),4),365,366)*IF(ISBLANK(L2578),L2579-$F$5,L2579-L2578),0)</f>
        <v>0</v>
      </c>
      <c s="28"/>
    </row>
    <row r="2580" spans="12:16" ht="15" customHeight="1" hidden="1">
      <c r="L2580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1" spans="12:16" ht="15" customHeight="1" hidden="1">
      <c r="L2581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2" spans="12:16" ht="15" customHeight="1" hidden="1">
      <c r="L2582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3" spans="12:16" ht="15" customHeight="1" hidden="1">
      <c r="L2583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4" spans="12:16" ht="15" customHeight="1" hidden="1">
      <c r="L2584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5" spans="12:16" ht="15" customHeight="1" hidden="1">
      <c r="L2585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6" spans="12:16" ht="15" customHeight="1" hidden="1">
      <c r="L2586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7" spans="12:16" ht="15" customHeight="1" hidden="1">
      <c r="L2587" s="60" t="str">
        <f t="shared" si="188"/>
        <v>-</v>
      </c>
      <c s="28">
        <f t="shared" si="190"/>
        <v>0</v>
      </c>
      <c s="28">
        <f t="shared" si="189"/>
        <v>0</v>
      </c>
      <c s="28">
        <f t="shared" si="191"/>
        <v>0</v>
      </c>
      <c s="28"/>
    </row>
    <row r="2588" spans="12:16" ht="15" customHeight="1" hidden="1">
      <c r="L2588" s="60" t="str">
        <f t="shared" si="188"/>
        <v>-</v>
      </c>
      <c s="28">
        <f t="shared" si="190"/>
        <v>0</v>
      </c>
      <c s="28">
        <f t="shared" si="192" ref="N2588:N2651">IF(ISNUMBER(N2587),N2587-M2588,$E$8)</f>
        <v>0</v>
      </c>
      <c s="28">
        <f t="shared" si="191"/>
        <v>0</v>
      </c>
      <c s="28"/>
    </row>
    <row r="2589" spans="12:16" ht="15" customHeight="1" hidden="1">
      <c r="L2589" s="60" t="str">
        <f t="shared" si="188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0" spans="12:16" ht="15" customHeight="1" hidden="1">
      <c r="L2590" s="60" t="str">
        <f t="shared" si="188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1" spans="12:16" ht="15" customHeight="1" hidden="1">
      <c r="L2591" s="60" t="str">
        <f t="shared" si="188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2" spans="12:16" ht="15" customHeight="1" hidden="1">
      <c r="L2592" s="60" t="str">
        <f t="shared" si="188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3" spans="12:16" ht="15" customHeight="1" hidden="1">
      <c r="L2593" s="60" t="str">
        <f t="shared" si="188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4" spans="12:16" ht="15" customHeight="1" hidden="1">
      <c r="L2594" s="60" t="str">
        <f t="shared" si="193" ref="L2594:L2657">IFERROR(IF(MAX(L2593+1,$F$5+1)&gt;Дата_погашения_Займа,"-",MAX(L2593+1,$F$5+1)),"-")</f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5" spans="12:16" ht="15" customHeight="1" hidden="1">
      <c r="L2595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6" spans="12:16" ht="15" customHeight="1" hidden="1">
      <c r="L2596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7" spans="12:16" ht="15" customHeight="1" hidden="1">
      <c r="L2597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8" spans="12:16" ht="15" customHeight="1" hidden="1">
      <c r="L2598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599" spans="12:16" ht="15" customHeight="1" hidden="1">
      <c r="L2599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0" spans="12:16" ht="15" customHeight="1" hidden="1">
      <c r="L2600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1" spans="12:16" ht="15" customHeight="1" hidden="1">
      <c r="L2601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2" spans="12:16" ht="15" customHeight="1" hidden="1">
      <c r="L2602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3" spans="12:16" ht="15" customHeight="1" hidden="1">
      <c r="L2603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4" spans="12:16" ht="15" customHeight="1" hidden="1">
      <c r="L2604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5" spans="12:16" ht="15" customHeight="1" hidden="1">
      <c r="L2605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6" spans="12:16" ht="15" customHeight="1" hidden="1">
      <c r="L2606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7" spans="12:16" ht="15" customHeight="1" hidden="1">
      <c r="L2607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8" spans="12:16" ht="15" customHeight="1" hidden="1">
      <c r="L2608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09" spans="12:16" ht="15" customHeight="1" hidden="1">
      <c r="L2609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0" spans="12:16" ht="15" customHeight="1" hidden="1">
      <c r="L2610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1" spans="12:16" ht="15" customHeight="1" hidden="1">
      <c r="L2611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2" spans="12:16" ht="15" customHeight="1" hidden="1">
      <c r="L2612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3" spans="12:16" ht="15" customHeight="1" hidden="1">
      <c r="L2613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4" spans="12:16" ht="15" customHeight="1" hidden="1">
      <c r="L2614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5" spans="12:16" ht="15" customHeight="1" hidden="1">
      <c r="L2615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6" spans="12:16" ht="15" customHeight="1" hidden="1">
      <c r="L2616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7" spans="12:16" ht="15" customHeight="1" hidden="1">
      <c r="L2617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8" spans="12:16" ht="15" customHeight="1" hidden="1">
      <c r="L2618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19" spans="12:16" ht="15" customHeight="1" hidden="1">
      <c r="L2619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0" spans="12:16" ht="15" customHeight="1" hidden="1">
      <c r="L2620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1" spans="12:16" ht="15" customHeight="1" hidden="1">
      <c r="L2621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2" spans="12:16" ht="15" customHeight="1" hidden="1">
      <c r="L2622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3" spans="12:16" ht="15" customHeight="1" hidden="1">
      <c r="L2623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4" spans="12:16" ht="15" customHeight="1" hidden="1">
      <c r="L2624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5" spans="12:16" ht="15" customHeight="1" hidden="1">
      <c r="L2625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6" spans="12:16" ht="15" customHeight="1" hidden="1">
      <c r="L2626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7" spans="12:16" ht="15" customHeight="1" hidden="1">
      <c r="L2627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8" spans="12:16" ht="15" customHeight="1" hidden="1">
      <c r="L2628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29" spans="12:16" ht="15" customHeight="1" hidden="1">
      <c r="L2629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0" spans="12:16" ht="15" customHeight="1" hidden="1">
      <c r="L2630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1" spans="12:16" ht="15" customHeight="1" hidden="1">
      <c r="L2631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2" spans="12:16" ht="15" customHeight="1" hidden="1">
      <c r="L2632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3" spans="12:16" ht="15" customHeight="1" hidden="1">
      <c r="L2633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4" spans="12:16" ht="15" customHeight="1" hidden="1">
      <c r="L2634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5" spans="12:16" ht="15" customHeight="1" hidden="1">
      <c r="L2635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6" spans="12:16" ht="15" customHeight="1" hidden="1">
      <c r="L2636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7" spans="12:16" ht="15" customHeight="1" hidden="1">
      <c r="L2637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8" spans="12:16" ht="15" customHeight="1" hidden="1">
      <c r="L2638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39" spans="12:16" ht="15" customHeight="1" hidden="1">
      <c r="L2639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40" spans="12:16" ht="15" customHeight="1" hidden="1">
      <c r="L2640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41" spans="12:16" ht="15" customHeight="1" hidden="1">
      <c r="L2641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42" spans="12:16" ht="15" customHeight="1" hidden="1">
      <c r="L2642" s="60" t="str">
        <f t="shared" si="193"/>
        <v>-</v>
      </c>
      <c s="28">
        <f t="shared" si="190"/>
        <v>0</v>
      </c>
      <c s="28">
        <f t="shared" si="192"/>
        <v>0</v>
      </c>
      <c s="28">
        <f t="shared" si="191"/>
        <v>0</v>
      </c>
      <c s="28"/>
    </row>
    <row r="2643" spans="12:16" ht="15" customHeight="1" hidden="1">
      <c r="L2643" s="60" t="str">
        <f t="shared" si="193"/>
        <v>-</v>
      </c>
      <c s="28">
        <f t="shared" si="194" ref="M2643:M2706">IFERROR(VLOOKUP(L2643,$B$19:$E$80,4,FALSE),0)</f>
        <v>0</v>
      </c>
      <c s="28">
        <f t="shared" si="192"/>
        <v>0</v>
      </c>
      <c s="28">
        <f t="shared" si="195" ref="O2643:O2706">IFERROR(IF(ISNUMBER(N2642),N2642,$E$8)*IF(L2643&gt;=$J$8,$E$12,$E$12)/IF(MOD(YEAR(L2643),4),365,366)*IF(ISBLANK(L2642),L2643-$F$5,L2643-L2642),0)</f>
        <v>0</v>
      </c>
      <c s="28"/>
    </row>
    <row r="2644" spans="12:16" ht="15" customHeight="1" hidden="1">
      <c r="L2644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45" spans="12:16" ht="15" customHeight="1" hidden="1">
      <c r="L2645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46" spans="12:16" ht="15" customHeight="1" hidden="1">
      <c r="L2646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47" spans="12:16" ht="15" customHeight="1" hidden="1">
      <c r="L2647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48" spans="12:16" ht="15" customHeight="1" hidden="1">
      <c r="L2648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49" spans="12:16" ht="15" customHeight="1" hidden="1">
      <c r="L2649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50" spans="12:16" ht="15" customHeight="1" hidden="1">
      <c r="L2650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51" spans="12:16" ht="15" customHeight="1" hidden="1">
      <c r="L2651" s="60" t="str">
        <f t="shared" si="193"/>
        <v>-</v>
      </c>
      <c s="28">
        <f t="shared" si="194"/>
        <v>0</v>
      </c>
      <c s="28">
        <f t="shared" si="192"/>
        <v>0</v>
      </c>
      <c s="28">
        <f t="shared" si="195"/>
        <v>0</v>
      </c>
      <c s="28"/>
    </row>
    <row r="2652" spans="12:16" ht="15" customHeight="1" hidden="1">
      <c r="L2652" s="60" t="str">
        <f t="shared" si="193"/>
        <v>-</v>
      </c>
      <c s="28">
        <f t="shared" si="194"/>
        <v>0</v>
      </c>
      <c s="28">
        <f t="shared" si="196" ref="N2652:N2715">IF(ISNUMBER(N2651),N2651-M2652,$E$8)</f>
        <v>0</v>
      </c>
      <c s="28">
        <f t="shared" si="195"/>
        <v>0</v>
      </c>
      <c s="28"/>
    </row>
    <row r="2653" spans="12:16" ht="15" customHeight="1" hidden="1">
      <c r="L2653" s="60" t="str">
        <f t="shared" si="193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54" spans="12:16" ht="15" customHeight="1" hidden="1">
      <c r="L2654" s="60" t="str">
        <f t="shared" si="193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55" spans="12:16" ht="15" customHeight="1" hidden="1">
      <c r="L2655" s="60" t="str">
        <f t="shared" si="193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56" spans="12:16" ht="15" customHeight="1" hidden="1">
      <c r="L2656" s="60" t="str">
        <f t="shared" si="193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57" spans="12:16" ht="15" customHeight="1" hidden="1">
      <c r="L2657" s="60" t="str">
        <f t="shared" si="193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58" spans="12:16" ht="15" customHeight="1" hidden="1">
      <c r="L2658" s="60" t="str">
        <f t="shared" si="197" ref="L2658:L2721">IFERROR(IF(MAX(L2657+1,$F$5+1)&gt;Дата_погашения_Займа,"-",MAX(L2657+1,$F$5+1)),"-")</f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59" spans="12:16" ht="15" customHeight="1" hidden="1">
      <c r="L2659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0" spans="12:16" ht="15" customHeight="1" hidden="1">
      <c r="L2660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1" spans="12:16" ht="15" customHeight="1" hidden="1">
      <c r="L2661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2" spans="12:16" ht="15" customHeight="1" hidden="1">
      <c r="L2662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3" spans="12:16" ht="15" customHeight="1" hidden="1">
      <c r="L2663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4" spans="12:16" ht="15" customHeight="1" hidden="1">
      <c r="L2664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5" spans="12:16" ht="15" customHeight="1" hidden="1">
      <c r="L2665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6" spans="12:16" ht="15" customHeight="1" hidden="1">
      <c r="L2666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7" spans="12:16" ht="15" customHeight="1" hidden="1">
      <c r="L2667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8" spans="12:16" ht="15" customHeight="1" hidden="1">
      <c r="L2668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69" spans="12:16" ht="15" customHeight="1" hidden="1">
      <c r="L2669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0" spans="12:16" ht="15" customHeight="1" hidden="1">
      <c r="L2670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1" spans="12:16" ht="15" customHeight="1" hidden="1">
      <c r="L2671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2" spans="12:16" ht="15" customHeight="1" hidden="1">
      <c r="L2672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3" spans="12:16" ht="15" customHeight="1" hidden="1">
      <c r="L2673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4" spans="12:16" ht="15" customHeight="1" hidden="1">
      <c r="L2674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5" spans="12:16" ht="15" customHeight="1" hidden="1">
      <c r="L2675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6" spans="12:16" ht="15" customHeight="1" hidden="1">
      <c r="L2676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7" spans="12:16" ht="15" customHeight="1" hidden="1">
      <c r="L2677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8" spans="12:16" ht="15" customHeight="1" hidden="1">
      <c r="L2678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79" spans="12:16" ht="15" customHeight="1" hidden="1">
      <c r="L2679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0" spans="12:16" ht="15" customHeight="1" hidden="1">
      <c r="L2680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1" spans="12:16" ht="15" customHeight="1" hidden="1">
      <c r="L2681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2" spans="12:16" ht="15" customHeight="1" hidden="1">
      <c r="L2682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3" spans="12:16" ht="15" customHeight="1" hidden="1">
      <c r="L2683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4" spans="12:16" ht="15" customHeight="1" hidden="1">
      <c r="L2684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5" spans="12:16" ht="15" customHeight="1" hidden="1">
      <c r="L2685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6" spans="12:16" ht="15" customHeight="1" hidden="1">
      <c r="L2686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7" spans="12:16" ht="15" customHeight="1" hidden="1">
      <c r="L2687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8" spans="12:16" ht="15" customHeight="1" hidden="1">
      <c r="L2688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89" spans="12:16" ht="15" customHeight="1" hidden="1">
      <c r="L2689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0" spans="12:16" ht="15" customHeight="1" hidden="1">
      <c r="L2690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1" spans="12:16" ht="15" customHeight="1" hidden="1">
      <c r="L2691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2" spans="12:16" ht="15" customHeight="1" hidden="1">
      <c r="L2692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3" spans="12:16" ht="15" customHeight="1" hidden="1">
      <c r="L2693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4" spans="12:16" ht="15" customHeight="1" hidden="1">
      <c r="L2694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5" spans="12:16" ht="15" customHeight="1" hidden="1">
      <c r="L2695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6" spans="12:16" ht="15" customHeight="1" hidden="1">
      <c r="L2696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7" spans="12:16" ht="15" customHeight="1" hidden="1">
      <c r="L2697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8" spans="12:16" ht="15" customHeight="1" hidden="1">
      <c r="L2698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699" spans="12:16" ht="15" customHeight="1" hidden="1">
      <c r="L2699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0" spans="12:16" ht="15" customHeight="1" hidden="1">
      <c r="L2700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1" spans="12:16" ht="15" customHeight="1" hidden="1">
      <c r="L2701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2" spans="12:16" ht="15" customHeight="1" hidden="1">
      <c r="L2702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3" spans="12:16" ht="15" customHeight="1" hidden="1">
      <c r="L2703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4" spans="12:16" ht="15" customHeight="1" hidden="1">
      <c r="L2704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5" spans="12:16" ht="15" customHeight="1" hidden="1">
      <c r="L2705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6" spans="12:16" ht="15" customHeight="1" hidden="1">
      <c r="L2706" s="60" t="str">
        <f t="shared" si="197"/>
        <v>-</v>
      </c>
      <c s="28">
        <f t="shared" si="194"/>
        <v>0</v>
      </c>
      <c s="28">
        <f t="shared" si="196"/>
        <v>0</v>
      </c>
      <c s="28">
        <f t="shared" si="195"/>
        <v>0</v>
      </c>
      <c s="28"/>
    </row>
    <row r="2707" spans="12:16" ht="15" customHeight="1" hidden="1">
      <c r="L2707" s="60" t="str">
        <f t="shared" si="197"/>
        <v>-</v>
      </c>
      <c s="28">
        <f t="shared" si="198" ref="M2707:M2770">IFERROR(VLOOKUP(L2707,$B$19:$E$80,4,FALSE),0)</f>
        <v>0</v>
      </c>
      <c s="28">
        <f t="shared" si="196"/>
        <v>0</v>
      </c>
      <c s="28">
        <f t="shared" si="199" ref="O2707:O2770">IFERROR(IF(ISNUMBER(N2706),N2706,$E$8)*IF(L2707&gt;=$J$8,$E$12,$E$12)/IF(MOD(YEAR(L2707),4),365,366)*IF(ISBLANK(L2706),L2707-$F$5,L2707-L2706),0)</f>
        <v>0</v>
      </c>
      <c s="28"/>
    </row>
    <row r="2708" spans="12:16" ht="15" customHeight="1" hidden="1">
      <c r="L2708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09" spans="12:16" ht="15" customHeight="1" hidden="1">
      <c r="L2709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0" spans="12:16" ht="15" customHeight="1" hidden="1">
      <c r="L2710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1" spans="12:16" ht="15" customHeight="1" hidden="1">
      <c r="L2711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2" spans="12:16" ht="15" customHeight="1" hidden="1">
      <c r="L2712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3" spans="12:16" ht="15" customHeight="1" hidden="1">
      <c r="L2713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4" spans="12:16" ht="15" customHeight="1" hidden="1">
      <c r="L2714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5" spans="12:16" ht="15" customHeight="1" hidden="1">
      <c r="L2715" s="60" t="str">
        <f t="shared" si="197"/>
        <v>-</v>
      </c>
      <c s="28">
        <f t="shared" si="198"/>
        <v>0</v>
      </c>
      <c s="28">
        <f t="shared" si="196"/>
        <v>0</v>
      </c>
      <c s="28">
        <f t="shared" si="199"/>
        <v>0</v>
      </c>
      <c s="28"/>
    </row>
    <row r="2716" spans="12:16" ht="15" customHeight="1" hidden="1">
      <c r="L2716" s="60" t="str">
        <f t="shared" si="197"/>
        <v>-</v>
      </c>
      <c s="28">
        <f t="shared" si="198"/>
        <v>0</v>
      </c>
      <c s="28">
        <f t="shared" si="200" ref="N2716:N2779">IF(ISNUMBER(N2715),N2715-M2716,$E$8)</f>
        <v>0</v>
      </c>
      <c s="28">
        <f t="shared" si="199"/>
        <v>0</v>
      </c>
      <c s="28"/>
    </row>
    <row r="2717" spans="12:16" ht="15" customHeight="1" hidden="1">
      <c r="L2717" s="60" t="str">
        <f t="shared" si="197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18" spans="12:16" ht="15" customHeight="1" hidden="1">
      <c r="L2718" s="60" t="str">
        <f t="shared" si="197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19" spans="12:16" ht="15" customHeight="1" hidden="1">
      <c r="L2719" s="60" t="str">
        <f t="shared" si="197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0" spans="12:16" ht="15" customHeight="1" hidden="1">
      <c r="L2720" s="60" t="str">
        <f t="shared" si="197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1" spans="12:16" ht="15" customHeight="1" hidden="1">
      <c r="L2721" s="60" t="str">
        <f t="shared" si="197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2" spans="12:16" ht="15" customHeight="1" hidden="1">
      <c r="L2722" s="60" t="str">
        <f t="shared" si="201" ref="L2722:L2785">IFERROR(IF(MAX(L2721+1,$F$5+1)&gt;Дата_погашения_Займа,"-",MAX(L2721+1,$F$5+1)),"-")</f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3" spans="12:16" ht="15" customHeight="1" hidden="1">
      <c r="L2723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4" spans="12:16" ht="15" customHeight="1" hidden="1">
      <c r="L2724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5" spans="12:16" ht="15" customHeight="1" hidden="1">
      <c r="L2725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6" spans="12:16" ht="15" customHeight="1" hidden="1">
      <c r="L2726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7" spans="12:16" ht="15" customHeight="1" hidden="1">
      <c r="L2727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8" spans="12:16" ht="15" customHeight="1" hidden="1">
      <c r="L2728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29" spans="12:16" ht="15" customHeight="1" hidden="1">
      <c r="L2729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0" spans="12:16" ht="15" customHeight="1" hidden="1">
      <c r="L2730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1" spans="12:16" ht="15" customHeight="1" hidden="1">
      <c r="L2731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2" spans="12:16" ht="15" customHeight="1" hidden="1">
      <c r="L2732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3" spans="12:16" ht="15" customHeight="1" hidden="1">
      <c r="L2733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4" spans="12:16" ht="15" customHeight="1" hidden="1">
      <c r="L2734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5" spans="12:16" ht="15" customHeight="1" hidden="1">
      <c r="L2735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6" spans="12:16" ht="15" customHeight="1" hidden="1">
      <c r="L2736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7" spans="12:16" ht="15" customHeight="1" hidden="1">
      <c r="L2737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8" spans="12:16" ht="15" customHeight="1" hidden="1">
      <c r="L2738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39" spans="12:16" ht="15" customHeight="1" hidden="1">
      <c r="L2739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0" spans="12:16" ht="15" customHeight="1" hidden="1">
      <c r="L2740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1" spans="12:16" ht="15" customHeight="1" hidden="1">
      <c r="L2741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2" spans="12:16" ht="15" customHeight="1" hidden="1">
      <c r="L2742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3" spans="12:16" ht="15" customHeight="1" hidden="1">
      <c r="L2743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4" spans="12:16" ht="15" customHeight="1" hidden="1">
      <c r="L2744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5" spans="12:16" ht="15" customHeight="1" hidden="1">
      <c r="L2745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6" spans="12:16" ht="15" customHeight="1" hidden="1">
      <c r="L2746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7" spans="12:16" ht="15" customHeight="1" hidden="1">
      <c r="L2747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8" spans="12:16" ht="15" customHeight="1" hidden="1">
      <c r="L2748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49" spans="12:16" ht="15" customHeight="1" hidden="1">
      <c r="L2749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0" spans="12:16" ht="15" customHeight="1" hidden="1">
      <c r="L2750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1" spans="12:16" ht="15" customHeight="1" hidden="1">
      <c r="L2751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2" spans="12:16" ht="15" customHeight="1" hidden="1">
      <c r="L2752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3" spans="12:16" ht="15" customHeight="1" hidden="1">
      <c r="L2753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4" spans="12:16" ht="15" customHeight="1" hidden="1">
      <c r="L2754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5" spans="12:16" ht="15" customHeight="1" hidden="1">
      <c r="L2755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6" spans="12:16" ht="15" customHeight="1" hidden="1">
      <c r="L2756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7" spans="12:16" ht="15" customHeight="1" hidden="1">
      <c r="L2757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8" spans="12:16" ht="15" customHeight="1" hidden="1">
      <c r="L2758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59" spans="12:16" ht="15" customHeight="1" hidden="1">
      <c r="L2759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0" spans="12:16" ht="15" customHeight="1" hidden="1">
      <c r="L2760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1" spans="12:16" ht="15" customHeight="1" hidden="1">
      <c r="L2761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2" spans="12:16" ht="15" customHeight="1" hidden="1">
      <c r="L2762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3" spans="12:16" ht="15" customHeight="1" hidden="1">
      <c r="L2763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4" spans="12:16" ht="15" customHeight="1" hidden="1">
      <c r="L2764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5" spans="12:16" ht="15" customHeight="1" hidden="1">
      <c r="L2765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6" spans="12:16" ht="15" customHeight="1" hidden="1">
      <c r="L2766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7" spans="12:16" ht="15" customHeight="1" hidden="1">
      <c r="L2767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8" spans="12:16" ht="15" customHeight="1" hidden="1">
      <c r="L2768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69" spans="12:16" ht="15" customHeight="1" hidden="1">
      <c r="L2769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70" spans="12:16" ht="15" customHeight="1" hidden="1">
      <c r="L2770" s="60" t="str">
        <f t="shared" si="201"/>
        <v>-</v>
      </c>
      <c s="28">
        <f t="shared" si="198"/>
        <v>0</v>
      </c>
      <c s="28">
        <f t="shared" si="200"/>
        <v>0</v>
      </c>
      <c s="28">
        <f t="shared" si="199"/>
        <v>0</v>
      </c>
      <c s="28"/>
    </row>
    <row r="2771" spans="12:16" ht="15" customHeight="1" hidden="1">
      <c r="L2771" s="60" t="str">
        <f t="shared" si="201"/>
        <v>-</v>
      </c>
      <c s="28">
        <f t="shared" si="202" ref="M2771:M2834">IFERROR(VLOOKUP(L2771,$B$19:$E$80,4,FALSE),0)</f>
        <v>0</v>
      </c>
      <c s="28">
        <f t="shared" si="200"/>
        <v>0</v>
      </c>
      <c s="28">
        <f t="shared" si="203" ref="O2771:O2834">IFERROR(IF(ISNUMBER(N2770),N2770,$E$8)*IF(L2771&gt;=$J$8,$E$12,$E$12)/IF(MOD(YEAR(L2771),4),365,366)*IF(ISBLANK(L2770),L2771-$F$5,L2771-L2770),0)</f>
        <v>0</v>
      </c>
      <c s="28"/>
    </row>
    <row r="2772" spans="12:16" ht="15" customHeight="1" hidden="1">
      <c r="L2772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3" spans="12:16" ht="15" customHeight="1" hidden="1">
      <c r="L2773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4" spans="12:16" ht="15" customHeight="1" hidden="1">
      <c r="L2774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5" spans="12:16" ht="15" customHeight="1" hidden="1">
      <c r="L2775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6" spans="12:16" ht="15" customHeight="1" hidden="1">
      <c r="L2776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7" spans="12:16" ht="15" customHeight="1" hidden="1">
      <c r="L2777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8" spans="12:16" ht="15" customHeight="1" hidden="1">
      <c r="L2778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79" spans="12:16" ht="15" customHeight="1" hidden="1">
      <c r="L2779" s="60" t="str">
        <f t="shared" si="201"/>
        <v>-</v>
      </c>
      <c s="28">
        <f t="shared" si="202"/>
        <v>0</v>
      </c>
      <c s="28">
        <f t="shared" si="200"/>
        <v>0</v>
      </c>
      <c s="28">
        <f t="shared" si="203"/>
        <v>0</v>
      </c>
      <c s="28"/>
    </row>
    <row r="2780" spans="12:16" ht="15" customHeight="1" hidden="1">
      <c r="L2780" s="60" t="str">
        <f t="shared" si="201"/>
        <v>-</v>
      </c>
      <c s="28">
        <f t="shared" si="202"/>
        <v>0</v>
      </c>
      <c s="28">
        <f t="shared" si="204" ref="N2780:N2843">IF(ISNUMBER(N2779),N2779-M2780,$E$8)</f>
        <v>0</v>
      </c>
      <c s="28">
        <f t="shared" si="203"/>
        <v>0</v>
      </c>
      <c s="28"/>
    </row>
    <row r="2781" spans="12:16" ht="15" customHeight="1" hidden="1">
      <c r="L2781" s="60" t="str">
        <f t="shared" si="201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2" spans="12:16" ht="15" customHeight="1" hidden="1">
      <c r="L2782" s="60" t="str">
        <f t="shared" si="201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3" spans="12:16" ht="15" customHeight="1" hidden="1">
      <c r="L2783" s="60" t="str">
        <f t="shared" si="201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4" spans="12:16" ht="15" customHeight="1" hidden="1">
      <c r="L2784" s="60" t="str">
        <f t="shared" si="201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5" spans="12:16" ht="15" customHeight="1" hidden="1">
      <c r="L2785" s="60" t="str">
        <f t="shared" si="201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6" spans="12:16" ht="15" customHeight="1" hidden="1">
      <c r="L2786" s="60" t="str">
        <f t="shared" si="205" ref="L2786:L2849">IFERROR(IF(MAX(L2785+1,$F$5+1)&gt;Дата_погашения_Займа,"-",MAX(L2785+1,$F$5+1)),"-")</f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7" spans="12:16" ht="15" customHeight="1" hidden="1">
      <c r="L2787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8" spans="12:16" ht="15" customHeight="1" hidden="1">
      <c r="L2788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89" spans="12:16" ht="15" customHeight="1" hidden="1">
      <c r="L2789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0" spans="12:16" ht="15" customHeight="1" hidden="1">
      <c r="L2790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1" spans="12:16" ht="15" customHeight="1" hidden="1">
      <c r="L2791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2" spans="12:16" ht="15" customHeight="1" hidden="1">
      <c r="L2792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3" spans="12:16" ht="15" customHeight="1" hidden="1">
      <c r="L2793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4" spans="12:16" ht="15" customHeight="1" hidden="1">
      <c r="L2794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5" spans="12:16" ht="15" customHeight="1" hidden="1">
      <c r="L2795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6" spans="12:16" ht="15" customHeight="1" hidden="1">
      <c r="L2796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7" spans="12:16" ht="15" customHeight="1" hidden="1">
      <c r="L2797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8" spans="12:16" ht="15" customHeight="1" hidden="1">
      <c r="L2798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799" spans="12:16" ht="15" customHeight="1" hidden="1">
      <c r="L2799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0" spans="12:16" ht="15" customHeight="1" hidden="1">
      <c r="L2800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1" spans="12:16" ht="15" customHeight="1" hidden="1">
      <c r="L2801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2" spans="12:16" ht="15" customHeight="1" hidden="1">
      <c r="L2802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3" spans="12:16" ht="15" customHeight="1" hidden="1">
      <c r="L2803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4" spans="12:16" ht="15" customHeight="1" hidden="1">
      <c r="L2804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5" spans="12:16" ht="15" customHeight="1" hidden="1">
      <c r="L2805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6" spans="12:16" ht="15" customHeight="1" hidden="1">
      <c r="L2806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7" spans="12:16" ht="15" customHeight="1" hidden="1">
      <c r="L2807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8" spans="12:16" ht="15" customHeight="1" hidden="1">
      <c r="L2808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09" spans="12:16" ht="15" customHeight="1" hidden="1">
      <c r="L2809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0" spans="12:16" ht="15" customHeight="1" hidden="1">
      <c r="L2810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1" spans="12:16" ht="15" customHeight="1" hidden="1">
      <c r="L2811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2" spans="12:16" ht="15" customHeight="1" hidden="1">
      <c r="L2812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3" spans="12:16" ht="15" customHeight="1" hidden="1">
      <c r="L2813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4" spans="12:16" ht="15" customHeight="1" hidden="1">
      <c r="L2814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5" spans="12:16" ht="15" customHeight="1" hidden="1">
      <c r="L2815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6" spans="12:16" ht="15" customHeight="1" hidden="1">
      <c r="L2816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7" spans="12:16" ht="15" customHeight="1" hidden="1">
      <c r="L2817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8" spans="12:16" ht="15" customHeight="1" hidden="1">
      <c r="L2818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19" spans="12:16" ht="15" customHeight="1" hidden="1">
      <c r="L2819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0" spans="12:16" ht="15" customHeight="1" hidden="1">
      <c r="L2820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1" spans="12:16" ht="15" customHeight="1" hidden="1">
      <c r="L2821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2" spans="12:16" ht="15" customHeight="1" hidden="1">
      <c r="L2822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3" spans="12:16" ht="15" customHeight="1" hidden="1">
      <c r="L2823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4" spans="12:16" ht="15" customHeight="1" hidden="1">
      <c r="L2824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5" spans="12:16" ht="15" customHeight="1" hidden="1">
      <c r="L2825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6" spans="12:16" ht="15" customHeight="1" hidden="1">
      <c r="L2826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7" spans="12:16" ht="15" customHeight="1" hidden="1">
      <c r="L2827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8" spans="12:16" ht="15" customHeight="1" hidden="1">
      <c r="L2828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29" spans="12:16" ht="15" customHeight="1" hidden="1">
      <c r="L2829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30" spans="12:16" ht="15" customHeight="1" hidden="1">
      <c r="L2830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31" spans="12:16" ht="15" customHeight="1" hidden="1">
      <c r="L2831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32" spans="12:16" ht="15" customHeight="1" hidden="1">
      <c r="L2832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33" spans="12:16" ht="15" customHeight="1" hidden="1">
      <c r="L2833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34" spans="12:16" ht="15" customHeight="1" hidden="1">
      <c r="L2834" s="60" t="str">
        <f t="shared" si="205"/>
        <v>-</v>
      </c>
      <c s="28">
        <f t="shared" si="202"/>
        <v>0</v>
      </c>
      <c s="28">
        <f t="shared" si="204"/>
        <v>0</v>
      </c>
      <c s="28">
        <f t="shared" si="203"/>
        <v>0</v>
      </c>
      <c s="28"/>
    </row>
    <row r="2835" spans="12:16" ht="15" customHeight="1" hidden="1">
      <c r="L2835" s="60" t="str">
        <f t="shared" si="205"/>
        <v>-</v>
      </c>
      <c s="28">
        <f t="shared" si="206" ref="M2835:M2898">IFERROR(VLOOKUP(L2835,$B$19:$E$80,4,FALSE),0)</f>
        <v>0</v>
      </c>
      <c s="28">
        <f t="shared" si="204"/>
        <v>0</v>
      </c>
      <c s="28">
        <f t="shared" si="207" ref="O2835:O2898">IFERROR(IF(ISNUMBER(N2834),N2834,$E$8)*IF(L2835&gt;=$J$8,$E$12,$E$12)/IF(MOD(YEAR(L2835),4),365,366)*IF(ISBLANK(L2834),L2835-$F$5,L2835-L2834),0)</f>
        <v>0</v>
      </c>
      <c s="28"/>
    </row>
    <row r="2836" spans="12:16" ht="15" customHeight="1" hidden="1">
      <c r="L2836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37" spans="12:16" ht="15" customHeight="1" hidden="1">
      <c r="L2837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38" spans="12:16" ht="15" customHeight="1" hidden="1">
      <c r="L2838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39" spans="12:16" ht="15" customHeight="1" hidden="1">
      <c r="L2839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40" spans="12:16" ht="15" customHeight="1" hidden="1">
      <c r="L2840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41" spans="12:16" ht="15" customHeight="1" hidden="1">
      <c r="L2841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42" spans="12:16" ht="15" customHeight="1" hidden="1">
      <c r="L2842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43" spans="12:16" ht="15" customHeight="1" hidden="1">
      <c r="L2843" s="60" t="str">
        <f t="shared" si="205"/>
        <v>-</v>
      </c>
      <c s="28">
        <f t="shared" si="206"/>
        <v>0</v>
      </c>
      <c s="28">
        <f t="shared" si="204"/>
        <v>0</v>
      </c>
      <c s="28">
        <f t="shared" si="207"/>
        <v>0</v>
      </c>
      <c s="28"/>
    </row>
    <row r="2844" spans="12:16" ht="15" customHeight="1" hidden="1">
      <c r="L2844" s="60" t="str">
        <f t="shared" si="205"/>
        <v>-</v>
      </c>
      <c s="28">
        <f t="shared" si="206"/>
        <v>0</v>
      </c>
      <c s="28">
        <f t="shared" si="208" ref="N2844:N2867">IF(ISNUMBER(N2843),N2843-M2844,$E$8)</f>
        <v>0</v>
      </c>
      <c s="28">
        <f t="shared" si="207"/>
        <v>0</v>
      </c>
      <c s="28"/>
    </row>
    <row r="2845" spans="12:16" ht="15" customHeight="1" hidden="1">
      <c r="L2845" s="60" t="str">
        <f t="shared" si="205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46" spans="12:16" ht="15" customHeight="1" hidden="1">
      <c r="L2846" s="60" t="str">
        <f t="shared" si="205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47" spans="12:16" ht="15" customHeight="1" hidden="1">
      <c r="L2847" s="60" t="str">
        <f t="shared" si="205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48" spans="12:16" ht="15" customHeight="1" hidden="1">
      <c r="L2848" s="60" t="str">
        <f t="shared" si="205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49" spans="12:16" ht="15" customHeight="1" hidden="1">
      <c r="L2849" s="60" t="str">
        <f t="shared" si="205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0" spans="12:16" ht="15" customHeight="1" hidden="1">
      <c r="L2850" s="60" t="str">
        <f t="shared" si="209" ref="L2850:L2913">IFERROR(IF(MAX(L2849+1,$F$5+1)&gt;Дата_погашения_Займа,"-",MAX(L2849+1,$F$5+1)),"-")</f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1" spans="12:16" ht="15" customHeight="1" hidden="1">
      <c r="L2851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2" spans="12:16" ht="15" customHeight="1" hidden="1">
      <c r="L2852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3" spans="12:16" ht="15" customHeight="1" hidden="1">
      <c r="L2853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4" spans="12:16" ht="15" customHeight="1" hidden="1">
      <c r="L2854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5" spans="12:16" ht="15" customHeight="1" hidden="1">
      <c r="L2855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6" spans="12:16" ht="15" customHeight="1" hidden="1">
      <c r="L2856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7" spans="12:16" ht="15" customHeight="1" hidden="1">
      <c r="L2857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8" spans="12:16" ht="15" customHeight="1" hidden="1">
      <c r="L2858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59" spans="12:16" ht="15" customHeight="1" hidden="1">
      <c r="L2859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0" spans="12:16" ht="15" customHeight="1" hidden="1">
      <c r="L2860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1" spans="12:16" ht="15" customHeight="1" hidden="1">
      <c r="L2861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2" spans="12:16" ht="15" customHeight="1" hidden="1">
      <c r="L2862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3" spans="12:16" ht="15" customHeight="1" hidden="1">
      <c r="L2863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4" spans="12:16" ht="15" customHeight="1" hidden="1">
      <c r="L2864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5" spans="12:16" ht="15" customHeight="1" hidden="1">
      <c r="L2865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6" spans="12:16" ht="15" customHeight="1" hidden="1">
      <c r="L2866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7" spans="12:16" ht="15" customHeight="1" hidden="1">
      <c r="L2867" s="60" t="str">
        <f t="shared" si="209"/>
        <v>-</v>
      </c>
      <c s="28">
        <f t="shared" si="206"/>
        <v>0</v>
      </c>
      <c s="28">
        <f t="shared" si="208"/>
        <v>0</v>
      </c>
      <c s="28">
        <f t="shared" si="207"/>
        <v>0</v>
      </c>
      <c s="28"/>
    </row>
    <row r="2868" spans="12:16" ht="15" customHeight="1" hidden="1">
      <c r="L2868" s="60" t="str">
        <f t="shared" si="209"/>
        <v>-</v>
      </c>
      <c s="28">
        <f t="shared" si="206"/>
        <v>0</v>
      </c>
      <c s="28">
        <f t="shared" si="210" ref="N2868:N2931">IF(ISNUMBER(N2867),N2867-M2868,$E$8)</f>
        <v>0</v>
      </c>
      <c s="28">
        <f t="shared" si="207"/>
        <v>0</v>
      </c>
      <c s="28"/>
    </row>
    <row r="2869" spans="12:16" ht="15" customHeight="1" hidden="1">
      <c r="L2869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0" spans="12:16" ht="15" customHeight="1" hidden="1">
      <c r="L2870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1" spans="12:16" ht="15" customHeight="1" hidden="1">
      <c r="L2871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2" spans="12:16" ht="15" customHeight="1" hidden="1">
      <c r="L2872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3" spans="12:16" ht="15" customHeight="1" hidden="1">
      <c r="L2873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4" spans="12:16" ht="15" customHeight="1" hidden="1">
      <c r="L2874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5" spans="12:16" ht="15" customHeight="1" hidden="1">
      <c r="L2875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6" spans="12:16" ht="15" customHeight="1" hidden="1">
      <c r="L2876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7" spans="12:16" ht="15" customHeight="1" hidden="1">
      <c r="L2877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8" spans="12:16" ht="15" customHeight="1" hidden="1">
      <c r="L2878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79" spans="12:16" ht="15" customHeight="1" hidden="1">
      <c r="L2879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0" spans="12:16" ht="15" customHeight="1" hidden="1">
      <c r="L2880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1" spans="12:16" ht="15" customHeight="1" hidden="1">
      <c r="L2881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2" spans="12:16" ht="15" customHeight="1" hidden="1">
      <c r="L2882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3" spans="12:16" ht="15" customHeight="1" hidden="1">
      <c r="L2883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4" spans="12:16" ht="15" customHeight="1" hidden="1">
      <c r="L2884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5" spans="12:16" ht="15" customHeight="1" hidden="1">
      <c r="L2885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6" spans="12:16" ht="15" customHeight="1" hidden="1">
      <c r="L2886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7" spans="12:16" ht="15" customHeight="1" hidden="1">
      <c r="L2887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8" spans="12:16" ht="15" customHeight="1" hidden="1">
      <c r="L2888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89" spans="12:16" ht="15" customHeight="1" hidden="1">
      <c r="L2889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0" spans="12:16" ht="15" customHeight="1" hidden="1">
      <c r="L2890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1" spans="12:16" ht="15" customHeight="1" hidden="1">
      <c r="L2891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2" spans="12:16" ht="15" customHeight="1" hidden="1">
      <c r="L2892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3" spans="12:16" ht="15" customHeight="1" hidden="1">
      <c r="L2893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4" spans="12:16" ht="15" customHeight="1" hidden="1">
      <c r="L2894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5" spans="12:16" ht="15" customHeight="1" hidden="1">
      <c r="L2895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6" spans="12:16" ht="15" customHeight="1" hidden="1">
      <c r="L2896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7" spans="12:16" ht="15" customHeight="1" hidden="1">
      <c r="L2897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8" spans="12:16" ht="15" customHeight="1" hidden="1">
      <c r="L2898" s="60" t="str">
        <f t="shared" si="209"/>
        <v>-</v>
      </c>
      <c s="28">
        <f t="shared" si="206"/>
        <v>0</v>
      </c>
      <c s="28">
        <f t="shared" si="210"/>
        <v>0</v>
      </c>
      <c s="28">
        <f t="shared" si="207"/>
        <v>0</v>
      </c>
      <c s="28"/>
    </row>
    <row r="2899" spans="12:16" ht="15" customHeight="1" hidden="1">
      <c r="L2899" s="60" t="str">
        <f t="shared" si="209"/>
        <v>-</v>
      </c>
      <c s="28">
        <f t="shared" si="211" ref="M2899:M2962">IFERROR(VLOOKUP(L2899,$B$19:$E$80,4,FALSE),0)</f>
        <v>0</v>
      </c>
      <c s="28">
        <f t="shared" si="210"/>
        <v>0</v>
      </c>
      <c s="28">
        <f t="shared" si="212" ref="O2899:O2962">IFERROR(IF(ISNUMBER(N2898),N2898,$E$8)*IF(L2899&gt;=$J$8,$E$12,$E$12)/IF(MOD(YEAR(L2899),4),365,366)*IF(ISBLANK(L2898),L2899-$F$5,L2899-L2898),0)</f>
        <v>0</v>
      </c>
      <c s="28"/>
    </row>
    <row r="2900" spans="12:16" ht="15" customHeight="1" hidden="1">
      <c r="L2900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1" spans="12:16" ht="15" customHeight="1" hidden="1">
      <c r="L2901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2" spans="12:16" ht="15" customHeight="1" hidden="1">
      <c r="L2902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3" spans="12:16" ht="15" customHeight="1" hidden="1">
      <c r="L2903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4" spans="12:16" ht="15" customHeight="1" hidden="1">
      <c r="L2904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5" spans="12:16" ht="15" customHeight="1" hidden="1">
      <c r="L2905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6" spans="12:16" ht="15" customHeight="1" hidden="1">
      <c r="L2906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7" spans="12:16" ht="15" customHeight="1" hidden="1">
      <c r="L2907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8" spans="12:16" ht="15" customHeight="1" hidden="1">
      <c r="L2908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09" spans="12:16" ht="15" customHeight="1" hidden="1">
      <c r="L2909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0" spans="12:16" ht="15" customHeight="1" hidden="1">
      <c r="L2910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1" spans="12:16" ht="15" customHeight="1" hidden="1">
      <c r="L2911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2" spans="12:16" ht="15" customHeight="1" hidden="1">
      <c r="L2912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3" spans="12:16" ht="15" customHeight="1" hidden="1">
      <c r="L2913" s="60" t="str">
        <f t="shared" si="209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4" spans="12:16" ht="15" customHeight="1" hidden="1">
      <c r="L2914" s="60" t="str">
        <f t="shared" si="213" ref="L2914:L2977">IFERROR(IF(MAX(L2913+1,$F$5+1)&gt;Дата_погашения_Займа,"-",MAX(L2913+1,$F$5+1)),"-")</f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5" spans="12:16" ht="15" customHeight="1" hidden="1">
      <c r="L2915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6" spans="12:16" ht="15" customHeight="1" hidden="1">
      <c r="L2916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7" spans="12:16" ht="15" customHeight="1" hidden="1">
      <c r="L2917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8" spans="12:16" ht="15" customHeight="1" hidden="1">
      <c r="L2918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19" spans="12:16" ht="15" customHeight="1" hidden="1">
      <c r="L2919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0" spans="12:16" ht="15" customHeight="1" hidden="1">
      <c r="L2920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1" spans="12:16" ht="15" customHeight="1" hidden="1">
      <c r="L2921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2" spans="12:16" ht="15" customHeight="1" hidden="1">
      <c r="L2922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3" spans="12:16" ht="15" customHeight="1" hidden="1">
      <c r="L2923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4" spans="12:16" ht="15" customHeight="1" hidden="1">
      <c r="L2924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5" spans="12:16" ht="15" customHeight="1" hidden="1">
      <c r="L2925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6" spans="12:16" ht="15" customHeight="1" hidden="1">
      <c r="L2926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7" spans="12:16" ht="15" customHeight="1" hidden="1">
      <c r="L2927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8" spans="12:16" ht="15" customHeight="1" hidden="1">
      <c r="L2928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29" spans="12:16" ht="15" customHeight="1" hidden="1">
      <c r="L2929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30" spans="12:16" ht="15" customHeight="1" hidden="1">
      <c r="L2930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31" spans="12:16" ht="15" customHeight="1" hidden="1">
      <c r="L2931" s="60" t="str">
        <f t="shared" si="213"/>
        <v>-</v>
      </c>
      <c s="28">
        <f t="shared" si="211"/>
        <v>0</v>
      </c>
      <c s="28">
        <f t="shared" si="210"/>
        <v>0</v>
      </c>
      <c s="28">
        <f t="shared" si="212"/>
        <v>0</v>
      </c>
      <c s="28"/>
    </row>
    <row r="2932" spans="12:16" ht="15" customHeight="1" hidden="1">
      <c r="L2932" s="60" t="str">
        <f t="shared" si="213"/>
        <v>-</v>
      </c>
      <c s="28">
        <f t="shared" si="211"/>
        <v>0</v>
      </c>
      <c s="28">
        <f t="shared" si="214" ref="N2932:N2995">IF(ISNUMBER(N2931),N2931-M2932,$E$8)</f>
        <v>0</v>
      </c>
      <c s="28">
        <f t="shared" si="212"/>
        <v>0</v>
      </c>
      <c s="28"/>
    </row>
    <row r="2933" spans="12:16" ht="15" customHeight="1" hidden="1">
      <c r="L2933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34" spans="12:16" ht="15" customHeight="1" hidden="1">
      <c r="L2934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35" spans="12:16" ht="15" customHeight="1" hidden="1">
      <c r="L2935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36" spans="12:16" ht="15" customHeight="1" hidden="1">
      <c r="L2936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37" spans="12:16" ht="15" customHeight="1" hidden="1">
      <c r="L2937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38" spans="12:16" ht="15" customHeight="1" hidden="1">
      <c r="L2938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39" spans="12:16" ht="15" customHeight="1" hidden="1">
      <c r="L2939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0" spans="12:16" ht="15" customHeight="1" hidden="1">
      <c r="L2940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1" spans="12:16" ht="15" customHeight="1" hidden="1">
      <c r="L2941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2" spans="12:16" ht="15" customHeight="1" hidden="1">
      <c r="L2942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3" spans="12:16" ht="15" customHeight="1" hidden="1">
      <c r="L2943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4" spans="12:16" ht="15" customHeight="1" hidden="1">
      <c r="L2944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5" spans="12:16" ht="15" customHeight="1" hidden="1">
      <c r="L2945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6" spans="12:16" ht="15" customHeight="1" hidden="1">
      <c r="L2946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7" spans="12:16" ht="15" customHeight="1" hidden="1">
      <c r="L2947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8" spans="12:16" ht="15" customHeight="1" hidden="1">
      <c r="L2948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49" spans="12:16" ht="15" customHeight="1" hidden="1">
      <c r="L2949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0" spans="12:16" ht="15" customHeight="1" hidden="1">
      <c r="L2950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1" spans="12:16" ht="15" customHeight="1" hidden="1">
      <c r="L2951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2" spans="12:16" ht="15" customHeight="1" hidden="1">
      <c r="L2952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3" spans="12:16" ht="15" customHeight="1" hidden="1">
      <c r="L2953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4" spans="12:16" ht="15" customHeight="1" hidden="1">
      <c r="L2954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5" spans="12:16" ht="15" customHeight="1" hidden="1">
      <c r="L2955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6" spans="12:16" ht="15" customHeight="1" hidden="1">
      <c r="L2956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7" spans="12:16" ht="15" customHeight="1" hidden="1">
      <c r="L2957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8" spans="12:16" ht="15" customHeight="1" hidden="1">
      <c r="L2958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59" spans="12:16" ht="15" customHeight="1" hidden="1">
      <c r="L2959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60" spans="12:16" ht="15" customHeight="1" hidden="1">
      <c r="L2960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61" spans="12:16" ht="15" customHeight="1" hidden="1">
      <c r="L2961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62" spans="12:16" ht="15" customHeight="1" hidden="1">
      <c r="L2962" s="60" t="str">
        <f t="shared" si="213"/>
        <v>-</v>
      </c>
      <c s="28">
        <f t="shared" si="211"/>
        <v>0</v>
      </c>
      <c s="28">
        <f t="shared" si="214"/>
        <v>0</v>
      </c>
      <c s="28">
        <f t="shared" si="212"/>
        <v>0</v>
      </c>
      <c s="28"/>
    </row>
    <row r="2963" spans="12:16" ht="15" customHeight="1" hidden="1">
      <c r="L2963" s="60" t="str">
        <f t="shared" si="213"/>
        <v>-</v>
      </c>
      <c s="28">
        <f t="shared" si="215" ref="M2963:M3026">IFERROR(VLOOKUP(L2963,$B$19:$E$80,4,FALSE),0)</f>
        <v>0</v>
      </c>
      <c s="28">
        <f t="shared" si="214"/>
        <v>0</v>
      </c>
      <c s="28">
        <f t="shared" si="216" ref="O2963:O3026">IFERROR(IF(ISNUMBER(N2962),N2962,$E$8)*IF(L2963&gt;=$J$8,$E$12,$E$12)/IF(MOD(YEAR(L2963),4),365,366)*IF(ISBLANK(L2962),L2963-$F$5,L2963-L2962),0)</f>
        <v>0</v>
      </c>
      <c s="28"/>
    </row>
    <row r="2964" spans="12:16" ht="15" customHeight="1" hidden="1">
      <c r="L2964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65" spans="12:16" ht="15" customHeight="1" hidden="1">
      <c r="L2965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66" spans="12:16" ht="15" customHeight="1" hidden="1">
      <c r="L2966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67" spans="12:16" ht="15" customHeight="1" hidden="1">
      <c r="L2967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68" spans="12:16" ht="15" customHeight="1" hidden="1">
      <c r="L2968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69" spans="12:16" ht="15" customHeight="1" hidden="1">
      <c r="L2969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0" spans="12:16" ht="15" customHeight="1" hidden="1">
      <c r="L2970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1" spans="12:16" ht="15" customHeight="1" hidden="1">
      <c r="L2971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2" spans="12:16" ht="15" customHeight="1" hidden="1">
      <c r="L2972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3" spans="12:16" ht="15" customHeight="1" hidden="1">
      <c r="L2973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4" spans="12:16" ht="15" customHeight="1" hidden="1">
      <c r="L2974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5" spans="12:16" ht="15" customHeight="1" hidden="1">
      <c r="L2975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6" spans="12:16" ht="15" customHeight="1" hidden="1">
      <c r="L2976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7" spans="12:16" ht="15" customHeight="1" hidden="1">
      <c r="L2977" s="60" t="str">
        <f t="shared" si="213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8" spans="12:16" ht="15" customHeight="1" hidden="1">
      <c r="L2978" s="60" t="str">
        <f t="shared" si="217" ref="L2978:L3041">IFERROR(IF(MAX(L2977+1,$F$5+1)&gt;Дата_погашения_Займа,"-",MAX(L2977+1,$F$5+1)),"-")</f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79" spans="12:16" ht="15" customHeight="1" hidden="1">
      <c r="L2979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0" spans="12:16" ht="15" customHeight="1" hidden="1">
      <c r="L2980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1" spans="12:16" ht="15" customHeight="1" hidden="1">
      <c r="L2981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2" spans="12:16" ht="15" customHeight="1" hidden="1">
      <c r="L2982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3" spans="12:16" ht="15" customHeight="1" hidden="1">
      <c r="L2983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4" spans="12:16" ht="15" customHeight="1" hidden="1">
      <c r="L2984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5" spans="12:16" ht="15" customHeight="1" hidden="1">
      <c r="L2985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6" spans="12:16" ht="15" customHeight="1" hidden="1">
      <c r="L2986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7" spans="12:16" ht="15" customHeight="1" hidden="1">
      <c r="L2987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8" spans="12:16" ht="15" customHeight="1" hidden="1">
      <c r="L2988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89" spans="12:16" ht="15" customHeight="1" hidden="1">
      <c r="L2989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0" spans="12:16" ht="15" customHeight="1" hidden="1">
      <c r="L2990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1" spans="12:16" ht="15" customHeight="1" hidden="1">
      <c r="L2991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2" spans="12:16" ht="15" customHeight="1" hidden="1">
      <c r="L2992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3" spans="12:16" ht="15" customHeight="1" hidden="1">
      <c r="L2993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4" spans="12:16" ht="15" customHeight="1" hidden="1">
      <c r="L2994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5" spans="12:16" ht="15" customHeight="1" hidden="1">
      <c r="L2995" s="60" t="str">
        <f t="shared" si="217"/>
        <v>-</v>
      </c>
      <c s="28">
        <f t="shared" si="215"/>
        <v>0</v>
      </c>
      <c s="28">
        <f t="shared" si="214"/>
        <v>0</v>
      </c>
      <c s="28">
        <f t="shared" si="216"/>
        <v>0</v>
      </c>
      <c s="28"/>
    </row>
    <row r="2996" spans="12:16" ht="15" customHeight="1" hidden="1">
      <c r="L2996" s="60" t="str">
        <f t="shared" si="217"/>
        <v>-</v>
      </c>
      <c s="28">
        <f t="shared" si="215"/>
        <v>0</v>
      </c>
      <c s="28">
        <f t="shared" si="218" ref="N2996:N3008">IF(ISNUMBER(N2995),N2995-M2996,$E$8)</f>
        <v>0</v>
      </c>
      <c s="28">
        <f t="shared" si="216"/>
        <v>0</v>
      </c>
      <c s="28"/>
    </row>
    <row r="2997" spans="12:16" ht="15" customHeight="1" hidden="1">
      <c r="L2997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2998" spans="12:16" ht="15" customHeight="1" hidden="1">
      <c r="L2998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2999" spans="12:16" ht="15" customHeight="1" hidden="1">
      <c r="L2999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0" spans="12:16" ht="15" customHeight="1" hidden="1">
      <c r="L3000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1" spans="12:16" ht="15" customHeight="1" hidden="1">
      <c r="L3001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2" spans="12:16" ht="15" customHeight="1" hidden="1">
      <c r="L3002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3" spans="12:16" ht="15" customHeight="1" hidden="1">
      <c r="L3003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4" spans="12:16" ht="15" customHeight="1" hidden="1">
      <c r="L3004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5" spans="12:16" ht="15" customHeight="1" hidden="1">
      <c r="L3005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6" spans="12:16" ht="15" customHeight="1" hidden="1">
      <c r="L3006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7" spans="12:16" ht="15" customHeight="1" hidden="1">
      <c r="L3007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8" spans="12:16" ht="15" customHeight="1" hidden="1">
      <c r="L3008" s="60" t="str">
        <f t="shared" si="217"/>
        <v>-</v>
      </c>
      <c s="28">
        <f t="shared" si="215"/>
        <v>0</v>
      </c>
      <c s="28">
        <f t="shared" si="218"/>
        <v>0</v>
      </c>
      <c s="28">
        <f t="shared" si="216"/>
        <v>0</v>
      </c>
      <c s="28"/>
    </row>
    <row r="3009" spans="12:16" ht="15" customHeight="1" hidden="1">
      <c r="L3009" s="60" t="str">
        <f t="shared" si="217"/>
        <v>-</v>
      </c>
      <c s="28">
        <f t="shared" si="215"/>
        <v>0</v>
      </c>
      <c s="28">
        <f t="shared" si="219" ref="N3009:N3072">IF(ISNUMBER(N3008),N3008-M3009,$E$8)</f>
        <v>0</v>
      </c>
      <c s="28">
        <f t="shared" si="216"/>
        <v>0</v>
      </c>
      <c s="28"/>
    </row>
    <row r="3010" spans="12:16" ht="15" customHeight="1" hidden="1">
      <c r="L3010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1" spans="12:16" ht="15" customHeight="1" hidden="1">
      <c r="L3011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2" spans="12:16" ht="15" customHeight="1" hidden="1">
      <c r="L3012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3" spans="12:16" ht="15" customHeight="1" hidden="1">
      <c r="L3013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4" spans="12:16" ht="15" customHeight="1" hidden="1">
      <c r="L3014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5" spans="12:16" ht="15" customHeight="1" hidden="1">
      <c r="L3015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6" spans="12:16" ht="15" customHeight="1" hidden="1">
      <c r="L3016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7" spans="12:16" ht="15" customHeight="1" hidden="1">
      <c r="L3017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8" spans="12:16" ht="15" customHeight="1" hidden="1">
      <c r="L3018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19" spans="12:16" ht="15" customHeight="1" hidden="1">
      <c r="L3019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0" spans="12:16" ht="15" customHeight="1" hidden="1">
      <c r="L3020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1" spans="12:16" ht="15" customHeight="1" hidden="1">
      <c r="L3021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2" spans="12:16" ht="15" customHeight="1" hidden="1">
      <c r="L3022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3" spans="12:16" ht="15" customHeight="1" hidden="1">
      <c r="L3023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4" spans="12:16" ht="15" customHeight="1" hidden="1">
      <c r="L3024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5" spans="12:16" ht="15" customHeight="1" hidden="1">
      <c r="L3025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6" spans="12:16" ht="15" customHeight="1" hidden="1">
      <c r="L3026" s="60" t="str">
        <f t="shared" si="217"/>
        <v>-</v>
      </c>
      <c s="28">
        <f t="shared" si="215"/>
        <v>0</v>
      </c>
      <c s="28">
        <f t="shared" si="219"/>
        <v>0</v>
      </c>
      <c s="28">
        <f t="shared" si="216"/>
        <v>0</v>
      </c>
      <c s="28"/>
    </row>
    <row r="3027" spans="12:16" ht="15" customHeight="1" hidden="1">
      <c r="L3027" s="60" t="str">
        <f t="shared" si="217"/>
        <v>-</v>
      </c>
      <c s="28">
        <f t="shared" si="220" ref="M3027:M3090">IFERROR(VLOOKUP(L3027,$B$19:$E$80,4,FALSE),0)</f>
        <v>0</v>
      </c>
      <c s="28">
        <f t="shared" si="219"/>
        <v>0</v>
      </c>
      <c s="28">
        <f t="shared" si="221" ref="O3027:O3090">IFERROR(IF(ISNUMBER(N3026),N3026,$E$8)*IF(L3027&gt;=$J$8,$E$12,$E$12)/IF(MOD(YEAR(L3027),4),365,366)*IF(ISBLANK(L3026),L3027-$F$5,L3027-L3026),0)</f>
        <v>0</v>
      </c>
      <c s="28"/>
    </row>
    <row r="3028" spans="12:16" ht="15" customHeight="1" hidden="1">
      <c r="L3028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29" spans="12:16" ht="15" customHeight="1" hidden="1">
      <c r="L3029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0" spans="12:16" ht="15" customHeight="1" hidden="1">
      <c r="L3030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1" spans="12:16" ht="15" customHeight="1" hidden="1">
      <c r="L3031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2" spans="12:16" ht="15" customHeight="1" hidden="1">
      <c r="L3032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3" spans="12:16" ht="15" customHeight="1" hidden="1">
      <c r="L3033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4" spans="12:16" ht="15" customHeight="1" hidden="1">
      <c r="L3034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5" spans="12:16" ht="15" customHeight="1" hidden="1">
      <c r="L3035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6" spans="12:16" ht="15" customHeight="1" hidden="1">
      <c r="L3036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7" spans="12:16" ht="15" customHeight="1" hidden="1">
      <c r="L3037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8" spans="12:16" ht="15" customHeight="1" hidden="1">
      <c r="L3038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39" spans="12:16" ht="15" customHeight="1" hidden="1">
      <c r="L3039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0" spans="12:16" ht="15" customHeight="1" hidden="1">
      <c r="L3040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1" spans="12:16" ht="15" customHeight="1" hidden="1">
      <c r="L3041" s="60" t="str">
        <f t="shared" si="217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2" spans="12:16" ht="15" customHeight="1" hidden="1">
      <c r="L3042" s="60" t="str">
        <f t="shared" si="222" ref="L3042:L3105">IFERROR(IF(MAX(L3041+1,$F$5+1)&gt;Дата_погашения_Займа,"-",MAX(L3041+1,$F$5+1)),"-")</f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3" spans="12:16" ht="15" customHeight="1" hidden="1">
      <c r="L3043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4" spans="12:16" ht="15" customHeight="1" hidden="1">
      <c r="L3044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5" spans="12:16" ht="15" customHeight="1" hidden="1">
      <c r="L3045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6" spans="12:16" ht="15" customHeight="1" hidden="1">
      <c r="L3046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7" spans="12:16" ht="15" customHeight="1" hidden="1">
      <c r="L3047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8" spans="12:16" ht="15" customHeight="1" hidden="1">
      <c r="L3048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49" spans="12:16" ht="15" customHeight="1" hidden="1">
      <c r="L3049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0" spans="12:16" ht="15" customHeight="1" hidden="1">
      <c r="L3050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1" spans="12:16" ht="15" customHeight="1" hidden="1">
      <c r="L3051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2" spans="12:16" ht="15" customHeight="1" hidden="1">
      <c r="L3052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3" spans="12:16" ht="15" customHeight="1" hidden="1">
      <c r="L3053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4" spans="12:16" ht="15" customHeight="1" hidden="1">
      <c r="L3054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5" spans="12:16" ht="15" customHeight="1" hidden="1">
      <c r="L3055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6" spans="12:16" ht="15" customHeight="1" hidden="1">
      <c r="L3056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7" spans="12:16" ht="15" customHeight="1" hidden="1">
      <c r="L3057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8" spans="12:16" ht="15" customHeight="1" hidden="1">
      <c r="L3058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59" spans="12:16" ht="15" customHeight="1" hidden="1">
      <c r="L3059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0" spans="12:16" ht="15" customHeight="1" hidden="1">
      <c r="L3060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1" spans="12:16" ht="15" customHeight="1" hidden="1">
      <c r="L3061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2" spans="12:16" ht="15" customHeight="1" hidden="1">
      <c r="L3062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3" spans="12:16" ht="15" customHeight="1" hidden="1">
      <c r="L3063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4" spans="12:16" ht="15" customHeight="1" hidden="1">
      <c r="L3064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5" spans="12:16" ht="15" customHeight="1" hidden="1">
      <c r="L3065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6" spans="12:16" ht="15" customHeight="1" hidden="1">
      <c r="L3066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7" spans="12:16" ht="15" customHeight="1" hidden="1">
      <c r="L3067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8" spans="12:16" ht="15" customHeight="1" hidden="1">
      <c r="L3068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69" spans="12:16" ht="15" customHeight="1" hidden="1">
      <c r="L3069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70" spans="12:16" ht="15" customHeight="1" hidden="1">
      <c r="L3070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71" spans="12:16" ht="15" customHeight="1" hidden="1">
      <c r="L3071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72" spans="12:16" ht="15" customHeight="1" hidden="1">
      <c r="L3072" s="60" t="str">
        <f t="shared" si="222"/>
        <v>-</v>
      </c>
      <c s="28">
        <f t="shared" si="220"/>
        <v>0</v>
      </c>
      <c s="28">
        <f t="shared" si="219"/>
        <v>0</v>
      </c>
      <c s="28">
        <f t="shared" si="221"/>
        <v>0</v>
      </c>
      <c s="28"/>
    </row>
    <row r="3073" spans="12:16" ht="15" customHeight="1" hidden="1">
      <c r="L3073" s="60" t="str">
        <f t="shared" si="222"/>
        <v>-</v>
      </c>
      <c s="28">
        <f t="shared" si="220"/>
        <v>0</v>
      </c>
      <c s="28">
        <f t="shared" si="223" ref="N3073:N3136">IF(ISNUMBER(N3072),N3072-M3073,$E$8)</f>
        <v>0</v>
      </c>
      <c s="28">
        <f t="shared" si="221"/>
        <v>0</v>
      </c>
      <c s="28"/>
    </row>
    <row r="3074" spans="12:16" ht="15" customHeight="1" hidden="1">
      <c r="L3074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75" spans="12:16" ht="15" customHeight="1" hidden="1">
      <c r="L3075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76" spans="12:16" ht="15" customHeight="1" hidden="1">
      <c r="L3076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77" spans="12:16" ht="15" customHeight="1" hidden="1">
      <c r="L3077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78" spans="12:16" ht="15" customHeight="1" hidden="1">
      <c r="L3078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79" spans="12:16" ht="15" customHeight="1" hidden="1">
      <c r="L3079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0" spans="12:16" ht="15" customHeight="1" hidden="1">
      <c r="L3080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1" spans="12:16" ht="15" customHeight="1" hidden="1">
      <c r="L3081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2" spans="12:16" ht="15" customHeight="1" hidden="1">
      <c r="L3082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3" spans="12:16" ht="15" customHeight="1" hidden="1">
      <c r="L3083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4" spans="12:16" ht="15" customHeight="1" hidden="1">
      <c r="L3084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5" spans="12:16" ht="15" customHeight="1" hidden="1">
      <c r="L3085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6" spans="12:16" ht="15" customHeight="1" hidden="1">
      <c r="L3086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7" spans="12:16" ht="15" customHeight="1" hidden="1">
      <c r="L3087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8" spans="12:16" ht="15" customHeight="1" hidden="1">
      <c r="L3088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89" spans="12:16" ht="15" customHeight="1" hidden="1">
      <c r="L3089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90" spans="12:16" ht="15" customHeight="1" hidden="1">
      <c r="L3090" s="60" t="str">
        <f t="shared" si="222"/>
        <v>-</v>
      </c>
      <c s="28">
        <f t="shared" si="220"/>
        <v>0</v>
      </c>
      <c s="28">
        <f t="shared" si="223"/>
        <v>0</v>
      </c>
      <c s="28">
        <f t="shared" si="221"/>
        <v>0</v>
      </c>
      <c s="28"/>
    </row>
    <row r="3091" spans="12:16" ht="15" customHeight="1" hidden="1">
      <c r="L3091" s="60" t="str">
        <f t="shared" si="222"/>
        <v>-</v>
      </c>
      <c s="28">
        <f t="shared" si="224" ref="M3091:M3154">IFERROR(VLOOKUP(L3091,$B$19:$E$80,4,FALSE),0)</f>
        <v>0</v>
      </c>
      <c s="28">
        <f t="shared" si="223"/>
        <v>0</v>
      </c>
      <c s="28">
        <f t="shared" si="225" ref="O3091:O3154">IFERROR(IF(ISNUMBER(N3090),N3090,$E$8)*IF(L3091&gt;=$J$8,$E$12,$E$12)/IF(MOD(YEAR(L3091),4),365,366)*IF(ISBLANK(L3090),L3091-$F$5,L3091-L3090),0)</f>
        <v>0</v>
      </c>
      <c s="28"/>
    </row>
    <row r="3092" spans="12:16" ht="15" customHeight="1" hidden="1">
      <c r="L3092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3" spans="12:16" ht="15" customHeight="1" hidden="1">
      <c r="L3093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4" spans="12:16" ht="15" customHeight="1" hidden="1">
      <c r="L3094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5" spans="12:16" ht="15" customHeight="1" hidden="1">
      <c r="L3095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6" spans="12:16" ht="15" customHeight="1" hidden="1">
      <c r="L3096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7" spans="12:16" ht="15" customHeight="1" hidden="1">
      <c r="L3097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8" spans="12:16" ht="15" customHeight="1" hidden="1">
      <c r="L3098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099" spans="12:16" ht="15" customHeight="1" hidden="1">
      <c r="L3099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0" spans="12:16" ht="15" customHeight="1" hidden="1">
      <c r="L3100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1" spans="12:16" ht="15" customHeight="1" hidden="1">
      <c r="L3101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2" spans="12:16" ht="15" customHeight="1" hidden="1">
      <c r="L3102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3" spans="12:16" ht="15" customHeight="1" hidden="1">
      <c r="L3103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4" spans="12:16" ht="15" customHeight="1" hidden="1">
      <c r="L3104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5" spans="12:16" ht="15" customHeight="1" hidden="1">
      <c r="L3105" s="60" t="str">
        <f t="shared" si="222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6" spans="12:16" ht="15" customHeight="1" hidden="1">
      <c r="L3106" s="60" t="str">
        <f t="shared" si="226" ref="L3106:L3169">IFERROR(IF(MAX(L3105+1,$F$5+1)&gt;Дата_погашения_Займа,"-",MAX(L3105+1,$F$5+1)),"-")</f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7" spans="12:16" ht="15" customHeight="1" hidden="1">
      <c r="L3107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8" spans="12:16" ht="15" customHeight="1" hidden="1">
      <c r="L3108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09" spans="12:16" ht="15" customHeight="1" hidden="1">
      <c r="L3109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0" spans="12:16" ht="15" customHeight="1" hidden="1">
      <c r="L3110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1" spans="12:16" ht="15" customHeight="1" hidden="1">
      <c r="L3111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2" spans="12:16" ht="15" customHeight="1" hidden="1">
      <c r="L3112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3" spans="12:16" ht="15" customHeight="1" hidden="1">
      <c r="L3113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4" spans="12:16" ht="15" customHeight="1" hidden="1">
      <c r="L3114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5" spans="12:16" ht="15" customHeight="1" hidden="1">
      <c r="L3115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6" spans="12:16" ht="15" customHeight="1" hidden="1">
      <c r="L3116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7" spans="12:16" ht="15" customHeight="1" hidden="1">
      <c r="L3117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8" spans="12:16" ht="15" customHeight="1" hidden="1">
      <c r="L3118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19" spans="12:16" ht="15" customHeight="1" hidden="1">
      <c r="L3119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0" spans="12:16" ht="15" customHeight="1" hidden="1">
      <c r="L3120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1" spans="12:16" ht="15" customHeight="1" hidden="1">
      <c r="L3121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2" spans="12:16" ht="15" customHeight="1" hidden="1">
      <c r="L3122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3" spans="12:16" ht="15" customHeight="1" hidden="1">
      <c r="L3123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4" spans="12:16" ht="15" customHeight="1" hidden="1">
      <c r="L3124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5" spans="12:16" ht="15" customHeight="1" hidden="1">
      <c r="L3125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6" spans="12:16" ht="15" customHeight="1" hidden="1">
      <c r="L3126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7" spans="12:16" ht="15" customHeight="1" hidden="1">
      <c r="L3127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8" spans="12:16" ht="15" customHeight="1" hidden="1">
      <c r="L3128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29" spans="12:16" ht="15" customHeight="1" hidden="1">
      <c r="L3129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0" spans="12:16" ht="15" customHeight="1" hidden="1">
      <c r="L3130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1" spans="12:16" ht="15" customHeight="1" hidden="1">
      <c r="L3131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2" spans="12:16" ht="15" customHeight="1" hidden="1">
      <c r="L3132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3" spans="12:16" ht="15" customHeight="1" hidden="1">
      <c r="L3133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4" spans="12:16" ht="15" customHeight="1" hidden="1">
      <c r="L3134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5" spans="12:16" ht="15" customHeight="1" hidden="1">
      <c r="L3135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6" spans="12:16" ht="15" customHeight="1" hidden="1">
      <c r="L3136" s="60" t="str">
        <f t="shared" si="226"/>
        <v>-</v>
      </c>
      <c s="28">
        <f t="shared" si="224"/>
        <v>0</v>
      </c>
      <c s="28">
        <f t="shared" si="223"/>
        <v>0</v>
      </c>
      <c s="28">
        <f t="shared" si="225"/>
        <v>0</v>
      </c>
      <c s="28"/>
    </row>
    <row r="3137" spans="12:16" ht="15" customHeight="1" hidden="1">
      <c r="L3137" s="60" t="str">
        <f t="shared" si="226"/>
        <v>-</v>
      </c>
      <c s="28">
        <f t="shared" si="224"/>
        <v>0</v>
      </c>
      <c s="28">
        <f t="shared" si="227" ref="N3137:N3200">IF(ISNUMBER(N3136),N3136-M3137,$E$8)</f>
        <v>0</v>
      </c>
      <c s="28">
        <f t="shared" si="225"/>
        <v>0</v>
      </c>
      <c s="28"/>
    </row>
    <row r="3138" spans="12:16" ht="15" customHeight="1" hidden="1">
      <c r="L3138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39" spans="12:16" ht="15" customHeight="1" hidden="1">
      <c r="L3139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0" spans="12:16" ht="15" customHeight="1" hidden="1">
      <c r="L3140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1" spans="12:16" ht="15" customHeight="1" hidden="1">
      <c r="L3141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2" spans="12:16" ht="15" customHeight="1" hidden="1">
      <c r="L3142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3" spans="12:16" ht="15" customHeight="1" hidden="1">
      <c r="L3143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4" spans="12:16" ht="15" customHeight="1" hidden="1">
      <c r="L3144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5" spans="12:16" ht="15" customHeight="1" hidden="1">
      <c r="L3145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6" spans="12:16" ht="15" customHeight="1" hidden="1">
      <c r="L3146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7" spans="12:16" ht="15" customHeight="1" hidden="1">
      <c r="L3147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8" spans="12:16" ht="15" customHeight="1" hidden="1">
      <c r="L3148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49" spans="12:16" ht="15" customHeight="1" hidden="1">
      <c r="L3149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50" spans="12:16" ht="15" customHeight="1" hidden="1">
      <c r="L3150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51" spans="12:16" ht="15" customHeight="1" hidden="1">
      <c r="L3151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52" spans="12:16" ht="15" customHeight="1" hidden="1">
      <c r="L3152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53" spans="12:16" ht="15" customHeight="1" hidden="1">
      <c r="L3153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54" spans="12:16" ht="15" customHeight="1" hidden="1">
      <c r="L3154" s="60" t="str">
        <f t="shared" si="226"/>
        <v>-</v>
      </c>
      <c s="28">
        <f t="shared" si="224"/>
        <v>0</v>
      </c>
      <c s="28">
        <f t="shared" si="227"/>
        <v>0</v>
      </c>
      <c s="28">
        <f t="shared" si="225"/>
        <v>0</v>
      </c>
      <c s="28"/>
    </row>
    <row r="3155" spans="12:16" ht="15" customHeight="1" hidden="1">
      <c r="L3155" s="60" t="str">
        <f t="shared" si="226"/>
        <v>-</v>
      </c>
      <c s="28">
        <f t="shared" si="228" ref="M3155:M3218">IFERROR(VLOOKUP(L3155,$B$19:$E$80,4,FALSE),0)</f>
        <v>0</v>
      </c>
      <c s="28">
        <f t="shared" si="227"/>
        <v>0</v>
      </c>
      <c s="28">
        <f t="shared" si="229" ref="O3155:O3218">IFERROR(IF(ISNUMBER(N3154),N3154,$E$8)*IF(L3155&gt;=$J$8,$E$12,$E$12)/IF(MOD(YEAR(L3155),4),365,366)*IF(ISBLANK(L3154),L3155-$F$5,L3155-L3154),0)</f>
        <v>0</v>
      </c>
      <c s="28"/>
    </row>
    <row r="3156" spans="12:16" ht="15" customHeight="1" hidden="1">
      <c r="L3156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57" spans="12:16" ht="15" customHeight="1" hidden="1">
      <c r="L3157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58" spans="12:16" ht="15" customHeight="1" hidden="1">
      <c r="L3158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59" spans="12:16" ht="15" customHeight="1" hidden="1">
      <c r="L3159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0" spans="12:16" ht="15" customHeight="1" hidden="1">
      <c r="L3160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1" spans="12:16" ht="15" customHeight="1" hidden="1">
      <c r="L3161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2" spans="12:16" ht="15" customHeight="1" hidden="1">
      <c r="L3162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3" spans="12:16" ht="15" customHeight="1" hidden="1">
      <c r="L3163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4" spans="12:16" ht="15" customHeight="1" hidden="1">
      <c r="L3164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5" spans="12:16" ht="15" customHeight="1" hidden="1">
      <c r="L3165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6" spans="12:16" ht="15" customHeight="1" hidden="1">
      <c r="L3166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7" spans="12:16" ht="15" customHeight="1" hidden="1">
      <c r="L3167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8" spans="12:16" ht="15" customHeight="1" hidden="1">
      <c r="L3168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69" spans="12:16" ht="15" customHeight="1" hidden="1">
      <c r="L3169" s="60" t="str">
        <f t="shared" si="226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0" spans="12:16" ht="15" customHeight="1" hidden="1">
      <c r="L3170" s="60" t="str">
        <f t="shared" si="230" ref="L3170:L3233">IFERROR(IF(MAX(L3169+1,$F$5+1)&gt;Дата_погашения_Займа,"-",MAX(L3169+1,$F$5+1)),"-")</f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1" spans="12:16" ht="15" customHeight="1" hidden="1">
      <c r="L3171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2" spans="12:16" ht="15" customHeight="1" hidden="1">
      <c r="L3172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3" spans="12:16" ht="15" customHeight="1" hidden="1">
      <c r="L3173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4" spans="12:16" ht="15" customHeight="1" hidden="1">
      <c r="L3174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5" spans="12:16" ht="15" customHeight="1" hidden="1">
      <c r="L3175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6" spans="12:16" ht="15" customHeight="1" hidden="1">
      <c r="L3176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7" spans="12:16" ht="15" customHeight="1" hidden="1">
      <c r="L3177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8" spans="12:16" ht="15" customHeight="1" hidden="1">
      <c r="L3178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79" spans="12:16" ht="15" customHeight="1" hidden="1">
      <c r="L3179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0" spans="12:16" ht="15" customHeight="1" hidden="1">
      <c r="L3180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1" spans="12:16" ht="15" customHeight="1" hidden="1">
      <c r="L3181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2" spans="12:16" ht="15" customHeight="1" hidden="1">
      <c r="L3182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3" spans="12:16" ht="15" customHeight="1" hidden="1">
      <c r="L3183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4" spans="12:16" ht="15" customHeight="1" hidden="1">
      <c r="L3184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5" spans="12:16" ht="15" customHeight="1" hidden="1">
      <c r="L3185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6" spans="12:16" ht="15" customHeight="1" hidden="1">
      <c r="L3186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7" spans="12:16" ht="15" customHeight="1" hidden="1">
      <c r="L3187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8" spans="12:16" ht="15" customHeight="1" hidden="1">
      <c r="L3188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89" spans="12:16" ht="15" customHeight="1" hidden="1">
      <c r="L3189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0" spans="12:16" ht="15" customHeight="1" hidden="1">
      <c r="L3190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1" spans="12:16" ht="15" customHeight="1" hidden="1">
      <c r="L3191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2" spans="12:16" ht="15" customHeight="1" hidden="1">
      <c r="L3192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3" spans="12:16" ht="15" customHeight="1" hidden="1">
      <c r="L3193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4" spans="12:16" ht="15" customHeight="1" hidden="1">
      <c r="L3194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5" spans="12:16" ht="15" customHeight="1" hidden="1">
      <c r="L3195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6" spans="12:16" ht="15" customHeight="1" hidden="1">
      <c r="L3196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7" spans="12:16" ht="15" customHeight="1" hidden="1">
      <c r="L3197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8" spans="12:16" ht="15" customHeight="1" hidden="1">
      <c r="L3198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199" spans="12:16" ht="15" customHeight="1" hidden="1">
      <c r="L3199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200" spans="12:16" ht="15" customHeight="1" hidden="1">
      <c r="L3200" s="60" t="str">
        <f t="shared" si="230"/>
        <v>-</v>
      </c>
      <c s="28">
        <f t="shared" si="228"/>
        <v>0</v>
      </c>
      <c s="28">
        <f t="shared" si="227"/>
        <v>0</v>
      </c>
      <c s="28">
        <f t="shared" si="229"/>
        <v>0</v>
      </c>
      <c s="28"/>
    </row>
    <row r="3201" spans="12:16" ht="15" customHeight="1" hidden="1">
      <c r="L3201" s="60" t="str">
        <f t="shared" si="230"/>
        <v>-</v>
      </c>
      <c s="28">
        <f t="shared" si="228"/>
        <v>0</v>
      </c>
      <c s="28">
        <f t="shared" si="231" ref="N3201:N3264">IF(ISNUMBER(N3200),N3200-M3201,$E$8)</f>
        <v>0</v>
      </c>
      <c s="28">
        <f t="shared" si="229"/>
        <v>0</v>
      </c>
      <c s="28"/>
    </row>
    <row r="3202" spans="12:16" ht="15" customHeight="1" hidden="1">
      <c r="L3202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3" spans="12:16" ht="15" customHeight="1" hidden="1">
      <c r="L3203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4" spans="12:16" ht="15" customHeight="1" hidden="1">
      <c r="L3204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5" spans="12:16" ht="15" customHeight="1" hidden="1">
      <c r="L3205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6" spans="12:16" ht="15" customHeight="1" hidden="1">
      <c r="L3206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7" spans="12:16" ht="15" customHeight="1" hidden="1">
      <c r="L3207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8" spans="12:16" ht="15" customHeight="1" hidden="1">
      <c r="L3208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09" spans="12:16" ht="15" customHeight="1" hidden="1">
      <c r="L3209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0" spans="12:16" ht="15" customHeight="1" hidden="1">
      <c r="L3210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1" spans="12:16" ht="15" customHeight="1" hidden="1">
      <c r="L3211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2" spans="12:16" ht="15" customHeight="1" hidden="1">
      <c r="L3212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3" spans="12:16" ht="15" customHeight="1" hidden="1">
      <c r="L3213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4" spans="12:16" ht="15" customHeight="1" hidden="1">
      <c r="L3214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5" spans="12:16" ht="15" customHeight="1" hidden="1">
      <c r="L3215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6" spans="12:16" ht="15" customHeight="1" hidden="1">
      <c r="L3216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7" spans="12:16" ht="15" customHeight="1" hidden="1">
      <c r="L3217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8" spans="12:16" ht="15" customHeight="1" hidden="1">
      <c r="L3218" s="60" t="str">
        <f t="shared" si="230"/>
        <v>-</v>
      </c>
      <c s="28">
        <f t="shared" si="228"/>
        <v>0</v>
      </c>
      <c s="28">
        <f t="shared" si="231"/>
        <v>0</v>
      </c>
      <c s="28">
        <f t="shared" si="229"/>
        <v>0</v>
      </c>
      <c s="28"/>
    </row>
    <row r="3219" spans="12:16" ht="15" customHeight="1" hidden="1">
      <c r="L3219" s="60" t="str">
        <f t="shared" si="230"/>
        <v>-</v>
      </c>
      <c s="28">
        <f t="shared" si="232" ref="M3219:M3282">IFERROR(VLOOKUP(L3219,$B$19:$E$80,4,FALSE),0)</f>
        <v>0</v>
      </c>
      <c s="28">
        <f t="shared" si="231"/>
        <v>0</v>
      </c>
      <c s="28">
        <f t="shared" si="233" ref="O3219:O3282">IFERROR(IF(ISNUMBER(N3218),N3218,$E$8)*IF(L3219&gt;=$J$8,$E$12,$E$12)/IF(MOD(YEAR(L3219),4),365,366)*IF(ISBLANK(L3218),L3219-$F$5,L3219-L3218),0)</f>
        <v>0</v>
      </c>
      <c s="28"/>
    </row>
    <row r="3220" spans="12:16" ht="15" customHeight="1" hidden="1">
      <c r="L3220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1" spans="12:16" ht="15" customHeight="1" hidden="1">
      <c r="L3221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2" spans="12:16" ht="15" customHeight="1" hidden="1">
      <c r="L3222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3" spans="12:16" ht="15" customHeight="1" hidden="1">
      <c r="L3223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4" spans="12:16" ht="15" customHeight="1" hidden="1">
      <c r="L3224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5" spans="12:16" ht="15" customHeight="1" hidden="1">
      <c r="L3225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6" spans="12:16" ht="15" customHeight="1" hidden="1">
      <c r="L3226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7" spans="12:16" ht="15" customHeight="1" hidden="1">
      <c r="L3227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8" spans="12:16" ht="15" customHeight="1" hidden="1">
      <c r="L3228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29" spans="12:16" ht="15" customHeight="1" hidden="1">
      <c r="L3229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0" spans="12:16" ht="15" customHeight="1" hidden="1">
      <c r="L3230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1" spans="12:16" ht="15" customHeight="1" hidden="1">
      <c r="L3231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2" spans="12:16" ht="15" customHeight="1" hidden="1">
      <c r="L3232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3" spans="12:16" ht="15" customHeight="1" hidden="1">
      <c r="L3233" s="60" t="str">
        <f t="shared" si="230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4" spans="12:16" ht="15" customHeight="1" hidden="1">
      <c r="L3234" s="60" t="str">
        <f t="shared" si="234" ref="L3234:L3297">IFERROR(IF(MAX(L3233+1,$F$5+1)&gt;Дата_погашения_Займа,"-",MAX(L3233+1,$F$5+1)),"-")</f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5" spans="12:16" ht="15" customHeight="1" hidden="1">
      <c r="L3235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6" spans="12:16" ht="15" customHeight="1" hidden="1">
      <c r="L3236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7" spans="12:16" ht="15" customHeight="1" hidden="1">
      <c r="L3237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8" spans="12:16" ht="15" customHeight="1" hidden="1">
      <c r="L3238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39" spans="12:16" ht="15" customHeight="1" hidden="1">
      <c r="L3239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0" spans="12:16" ht="15" customHeight="1" hidden="1">
      <c r="L3240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1" spans="12:16" ht="15" customHeight="1" hidden="1">
      <c r="L3241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2" spans="12:16" ht="15" customHeight="1" hidden="1">
      <c r="L3242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3" spans="12:16" ht="15" customHeight="1" hidden="1">
      <c r="L3243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4" spans="12:16" ht="15" customHeight="1" hidden="1">
      <c r="L3244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5" spans="12:16" ht="15" customHeight="1" hidden="1">
      <c r="L3245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6" spans="12:16" ht="15" customHeight="1" hidden="1">
      <c r="L3246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7" spans="12:16" ht="15" customHeight="1" hidden="1">
      <c r="L3247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8" spans="12:16" ht="15" customHeight="1" hidden="1">
      <c r="L3248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49" spans="12:16" ht="15" customHeight="1" hidden="1">
      <c r="L3249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0" spans="12:16" ht="15" customHeight="1" hidden="1">
      <c r="L3250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1" spans="12:16" ht="15" customHeight="1" hidden="1">
      <c r="L3251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2" spans="12:16" ht="15" customHeight="1" hidden="1">
      <c r="L3252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3" spans="12:16" ht="15" customHeight="1" hidden="1">
      <c r="L3253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4" spans="12:16" ht="15" customHeight="1" hidden="1">
      <c r="L3254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5" spans="12:16" ht="15" customHeight="1" hidden="1">
      <c r="L3255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6" spans="12:16" ht="15" customHeight="1" hidden="1">
      <c r="L3256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7" spans="12:16" ht="15" customHeight="1" hidden="1">
      <c r="L3257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8" spans="12:16" ht="15" customHeight="1" hidden="1">
      <c r="L3258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59" spans="12:16" ht="15" customHeight="1" hidden="1">
      <c r="L3259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60" spans="12:16" ht="15" customHeight="1" hidden="1">
      <c r="L3260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61" spans="12:16" ht="15" customHeight="1" hidden="1">
      <c r="L3261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62" spans="12:16" ht="15" customHeight="1" hidden="1">
      <c r="L3262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63" spans="12:16" ht="15" customHeight="1" hidden="1">
      <c r="L3263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64" spans="12:16" ht="15" customHeight="1" hidden="1">
      <c r="L3264" s="60" t="str">
        <f t="shared" si="234"/>
        <v>-</v>
      </c>
      <c s="28">
        <f t="shared" si="232"/>
        <v>0</v>
      </c>
      <c s="28">
        <f t="shared" si="231"/>
        <v>0</v>
      </c>
      <c s="28">
        <f t="shared" si="233"/>
        <v>0</v>
      </c>
      <c s="28"/>
    </row>
    <row r="3265" spans="12:16" ht="15" customHeight="1" hidden="1">
      <c r="L3265" s="60" t="str">
        <f t="shared" si="234"/>
        <v>-</v>
      </c>
      <c s="28">
        <f t="shared" si="232"/>
        <v>0</v>
      </c>
      <c s="28">
        <f t="shared" si="235" ref="N3265:N3328">IF(ISNUMBER(N3264),N3264-M3265,$E$8)</f>
        <v>0</v>
      </c>
      <c s="28">
        <f t="shared" si="233"/>
        <v>0</v>
      </c>
      <c s="28"/>
    </row>
    <row r="3266" spans="12:16" ht="15" customHeight="1" hidden="1">
      <c r="L3266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67" spans="12:16" ht="15" customHeight="1" hidden="1">
      <c r="L3267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68" spans="12:16" ht="15" customHeight="1" hidden="1">
      <c r="L3268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69" spans="12:16" ht="15" customHeight="1" hidden="1">
      <c r="L3269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0" spans="12:16" ht="15" customHeight="1" hidden="1">
      <c r="L3270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1" spans="12:16" ht="15" customHeight="1" hidden="1">
      <c r="L3271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2" spans="12:16" ht="15" customHeight="1" hidden="1">
      <c r="L3272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3" spans="12:16" ht="15" customHeight="1" hidden="1">
      <c r="L3273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4" spans="12:16" ht="15" customHeight="1" hidden="1">
      <c r="L3274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5" spans="12:16" ht="15" customHeight="1" hidden="1">
      <c r="L3275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6" spans="12:16" ht="15" customHeight="1" hidden="1">
      <c r="L3276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7" spans="12:16" ht="15" customHeight="1" hidden="1">
      <c r="L3277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8" spans="12:16" ht="15" customHeight="1" hidden="1">
      <c r="L3278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79" spans="12:16" ht="15" customHeight="1" hidden="1">
      <c r="L3279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80" spans="12:16" ht="15" customHeight="1" hidden="1">
      <c r="L3280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81" spans="12:16" ht="15" customHeight="1" hidden="1">
      <c r="L3281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82" spans="12:16" ht="15" customHeight="1" hidden="1">
      <c r="L3282" s="60" t="str">
        <f t="shared" si="234"/>
        <v>-</v>
      </c>
      <c s="28">
        <f t="shared" si="232"/>
        <v>0</v>
      </c>
      <c s="28">
        <f t="shared" si="235"/>
        <v>0</v>
      </c>
      <c s="28">
        <f t="shared" si="233"/>
        <v>0</v>
      </c>
      <c s="28"/>
    </row>
    <row r="3283" spans="12:16" ht="15" customHeight="1" hidden="1">
      <c r="L3283" s="60" t="str">
        <f t="shared" si="234"/>
        <v>-</v>
      </c>
      <c s="28">
        <f t="shared" si="236" ref="M3283:M3346">IFERROR(VLOOKUP(L3283,$B$19:$E$80,4,FALSE),0)</f>
        <v>0</v>
      </c>
      <c s="28">
        <f t="shared" si="235"/>
        <v>0</v>
      </c>
      <c s="28">
        <f t="shared" si="237" ref="O3283:O3346">IFERROR(IF(ISNUMBER(N3282),N3282,$E$8)*IF(L3283&gt;=$J$8,$E$12,$E$12)/IF(MOD(YEAR(L3283),4),365,366)*IF(ISBLANK(L3282),L3283-$F$5,L3283-L3282),0)</f>
        <v>0</v>
      </c>
      <c s="28"/>
    </row>
    <row r="3284" spans="12:16" ht="15" customHeight="1" hidden="1">
      <c r="L3284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85" spans="12:16" ht="15" customHeight="1" hidden="1">
      <c r="L3285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86" spans="12:16" ht="15" customHeight="1" hidden="1">
      <c r="L3286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87" spans="12:16" ht="15" customHeight="1" hidden="1">
      <c r="L3287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88" spans="12:16" ht="15" customHeight="1" hidden="1">
      <c r="L3288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89" spans="12:16" ht="15" customHeight="1" hidden="1">
      <c r="L3289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0" spans="12:16" ht="15" customHeight="1" hidden="1">
      <c r="L3290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1" spans="12:16" ht="15" customHeight="1" hidden="1">
      <c r="L3291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2" spans="12:16" ht="15" customHeight="1" hidden="1">
      <c r="L3292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3" spans="12:16" ht="15" customHeight="1" hidden="1">
      <c r="L3293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4" spans="12:16" ht="15" customHeight="1" hidden="1">
      <c r="L3294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5" spans="12:16" ht="15" customHeight="1" hidden="1">
      <c r="L3295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6" spans="12:16" ht="15" customHeight="1" hidden="1">
      <c r="L3296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7" spans="12:16" ht="15" customHeight="1" hidden="1">
      <c r="L3297" s="60" t="str">
        <f t="shared" si="234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8" spans="12:16" ht="15" customHeight="1" hidden="1">
      <c r="L3298" s="60" t="str">
        <f t="shared" si="238" ref="L3298:L3363">IFERROR(IF(MAX(L3297+1,$F$5+1)&gt;Дата_погашения_Займа,"-",MAX(L3297+1,$F$5+1)),"-")</f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299" spans="12:16" ht="15" customHeight="1" hidden="1">
      <c r="L3299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0" spans="12:16" ht="15" customHeight="1" hidden="1">
      <c r="L3300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1" spans="12:16" ht="15" customHeight="1" hidden="1">
      <c r="L3301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2" spans="12:16" ht="15" customHeight="1" hidden="1">
      <c r="L3302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3" spans="12:16" ht="15" customHeight="1" hidden="1">
      <c r="L3303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4" spans="12:16" ht="15" customHeight="1" hidden="1">
      <c r="L3304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5" spans="12:16" ht="15" customHeight="1" hidden="1">
      <c r="L3305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6" spans="12:16" ht="15" customHeight="1" hidden="1">
      <c r="L3306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7" spans="12:16" ht="15" customHeight="1" hidden="1">
      <c r="L3307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8" spans="12:16" ht="15" customHeight="1" hidden="1">
      <c r="L3308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09" spans="12:16" ht="15" customHeight="1" hidden="1">
      <c r="L3309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0" spans="12:16" ht="15" customHeight="1" hidden="1">
      <c r="L3310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1" spans="12:16" ht="15" customHeight="1" hidden="1">
      <c r="L3311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2" spans="12:16" ht="15" customHeight="1" hidden="1">
      <c r="L3312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3" spans="12:16" ht="15" customHeight="1" hidden="1">
      <c r="L3313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4" spans="12:16" ht="15" customHeight="1" hidden="1">
      <c r="L3314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5" spans="12:16" ht="15" customHeight="1" hidden="1">
      <c r="L3315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6" spans="12:16" ht="15" customHeight="1" hidden="1">
      <c r="L3316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7" spans="12:16" ht="15" customHeight="1" hidden="1">
      <c r="L3317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8" spans="12:16" ht="15" customHeight="1" hidden="1">
      <c r="L3318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19" spans="12:16" ht="15" customHeight="1" hidden="1">
      <c r="L3319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0" spans="12:16" ht="15" customHeight="1" hidden="1">
      <c r="L3320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1" spans="12:16" ht="15" customHeight="1" hidden="1">
      <c r="L3321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2" spans="12:16" ht="15" customHeight="1" hidden="1">
      <c r="L3322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3" spans="12:16" ht="15" customHeight="1" hidden="1">
      <c r="L3323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4" spans="12:16" ht="15" customHeight="1" hidden="1">
      <c r="L3324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5" spans="12:16" ht="15" customHeight="1" hidden="1">
      <c r="L3325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6" spans="12:16" ht="15" customHeight="1" hidden="1">
      <c r="L3326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7" spans="12:16" ht="15" customHeight="1" hidden="1">
      <c r="L3327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8" spans="12:16" ht="15" customHeight="1" hidden="1">
      <c r="L3328" s="60" t="str">
        <f t="shared" si="238"/>
        <v>-</v>
      </c>
      <c s="28">
        <f t="shared" si="236"/>
        <v>0</v>
      </c>
      <c s="28">
        <f t="shared" si="235"/>
        <v>0</v>
      </c>
      <c s="28">
        <f t="shared" si="237"/>
        <v>0</v>
      </c>
      <c s="28"/>
    </row>
    <row r="3329" spans="12:16" ht="15" customHeight="1" hidden="1">
      <c r="L3329" s="60" t="str">
        <f t="shared" si="238"/>
        <v>-</v>
      </c>
      <c s="28">
        <f t="shared" si="236"/>
        <v>0</v>
      </c>
      <c s="28">
        <f t="shared" si="239" ref="N3329:N3362">IF(ISNUMBER(N3328),N3328-M3329,$E$8)</f>
        <v>0</v>
      </c>
      <c s="28">
        <f t="shared" si="237"/>
        <v>0</v>
      </c>
      <c s="28"/>
    </row>
    <row r="3330" spans="12:16" ht="15" customHeight="1" hidden="1">
      <c r="L3330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1" spans="12:16" ht="15" customHeight="1" hidden="1">
      <c r="L3331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2" spans="12:16" ht="15" customHeight="1" hidden="1">
      <c r="L3332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3" spans="12:16" ht="15" customHeight="1" hidden="1">
      <c r="L3333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4" spans="12:16" ht="15" customHeight="1" hidden="1">
      <c r="L3334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5" spans="12:16" ht="15" customHeight="1" hidden="1">
      <c r="L3335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6" spans="12:16" ht="15" customHeight="1" hidden="1">
      <c r="L3336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7" spans="12:16" ht="15" customHeight="1" hidden="1">
      <c r="L3337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8" spans="12:16" ht="15" customHeight="1" hidden="1">
      <c r="L3338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39" spans="12:16" ht="15" customHeight="1" hidden="1">
      <c r="L3339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0" spans="12:16" ht="15" customHeight="1" hidden="1">
      <c r="L3340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1" spans="12:16" ht="15" customHeight="1" hidden="1">
      <c r="L3341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2" spans="12:16" ht="15" customHeight="1" hidden="1">
      <c r="L3342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3" spans="12:16" ht="15" customHeight="1" hidden="1">
      <c r="L3343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4" spans="12:16" ht="15" customHeight="1" hidden="1">
      <c r="L3344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5" spans="12:16" ht="15" customHeight="1" hidden="1">
      <c r="L3345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6" spans="12:16" ht="15" customHeight="1" hidden="1">
      <c r="L3346" s="60" t="str">
        <f t="shared" si="238"/>
        <v>-</v>
      </c>
      <c s="28">
        <f t="shared" si="236"/>
        <v>0</v>
      </c>
      <c s="28">
        <f t="shared" si="239"/>
        <v>0</v>
      </c>
      <c s="28">
        <f t="shared" si="237"/>
        <v>0</v>
      </c>
      <c s="28"/>
    </row>
    <row r="3347" spans="12:16" ht="15" customHeight="1" hidden="1">
      <c r="L3347" s="60" t="str">
        <f t="shared" si="238"/>
        <v>-</v>
      </c>
      <c s="28">
        <f t="shared" si="240" ref="M3347:M3410">IFERROR(VLOOKUP(L3347,$B$19:$E$80,4,FALSE),0)</f>
        <v>0</v>
      </c>
      <c s="28">
        <f t="shared" si="239"/>
        <v>0</v>
      </c>
      <c s="28">
        <f t="shared" si="241" ref="O3347:O3410">IFERROR(IF(ISNUMBER(N3346),N3346,$E$8)*IF(L3347&gt;=$J$8,$E$12,$E$12)/IF(MOD(YEAR(L3347),4),365,366)*IF(ISBLANK(L3346),L3347-$F$5,L3347-L3346),0)</f>
        <v>0</v>
      </c>
      <c s="28"/>
    </row>
    <row r="3348" spans="12:16" ht="15" customHeight="1" hidden="1">
      <c r="L3348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49" spans="12:16" ht="15" customHeight="1" hidden="1">
      <c r="L3349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0" spans="12:16" ht="15" customHeight="1" hidden="1">
      <c r="L3350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1" spans="12:16" ht="15" customHeight="1" hidden="1">
      <c r="L3351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2" spans="12:16" ht="15" customHeight="1" hidden="1">
      <c r="L3352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3" spans="12:16" ht="15" customHeight="1" hidden="1">
      <c r="L3353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4" spans="12:16" ht="15" customHeight="1" hidden="1">
      <c r="L3354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5" spans="12:16" ht="15" customHeight="1" hidden="1">
      <c r="L3355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6" spans="12:16" ht="15" customHeight="1" hidden="1">
      <c r="L3356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7" spans="12:16" ht="15" customHeight="1" hidden="1">
      <c r="L3357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8" spans="12:16" ht="15" customHeight="1" hidden="1">
      <c r="L3358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59" spans="12:16" ht="15" customHeight="1" hidden="1">
      <c r="L3359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60" spans="12:16" ht="15" customHeight="1" hidden="1">
      <c r="L3360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61" spans="12:16" ht="15" customHeight="1" hidden="1">
      <c r="L3361" s="60" t="str">
        <f t="shared" si="238"/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62" spans="12:16" ht="15" customHeight="1" hidden="1">
      <c r="L3362" s="60" t="str">
        <f t="shared" si="242" ref="L3362">IFERROR(IF(MAX(L3361+1,$F$5+1)&gt;Дата_погашения_Займа,"-",MAX(L3361+1,$F$5+1)),"-")</f>
        <v>-</v>
      </c>
      <c s="28">
        <f t="shared" si="240"/>
        <v>0</v>
      </c>
      <c s="28">
        <f t="shared" si="239"/>
        <v>0</v>
      </c>
      <c s="28">
        <f t="shared" si="241"/>
        <v>0</v>
      </c>
      <c s="28"/>
    </row>
    <row r="3363" spans="12:16" ht="15" customHeight="1" hidden="1">
      <c r="L3363" s="60" t="str">
        <f t="shared" si="238"/>
        <v>-</v>
      </c>
      <c s="28">
        <f t="shared" si="240"/>
        <v>0</v>
      </c>
      <c s="28">
        <f t="shared" si="243" ref="N3363:N3393">IF(ISNUMBER(N3362),N3362-M3363,$E$8)</f>
        <v>0</v>
      </c>
      <c s="28">
        <f t="shared" si="241"/>
        <v>0</v>
      </c>
      <c s="28"/>
    </row>
    <row r="3364" spans="12:16" ht="15" customHeight="1" hidden="1">
      <c r="L3364" s="60" t="str">
        <f t="shared" si="244" ref="L3364:L3427">IFERROR(IF(MAX(L3363+1,$F$5+1)&gt;Дата_погашения_Займа,"-",MAX(L3363+1,$F$5+1)),"-")</f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65" spans="12:16" ht="15" customHeight="1" hidden="1">
      <c r="L3365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66" spans="12:16" ht="15" customHeight="1" hidden="1">
      <c r="L3366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67" spans="12:16" ht="15" customHeight="1" hidden="1">
      <c r="L3367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68" spans="12:16" ht="15" customHeight="1" hidden="1">
      <c r="L3368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69" spans="12:16" ht="15" customHeight="1" hidden="1">
      <c r="L3369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0" spans="12:16" ht="15" customHeight="1" hidden="1">
      <c r="L3370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1" spans="12:16" ht="15" customHeight="1" hidden="1">
      <c r="L3371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2" spans="12:16" ht="15" customHeight="1" hidden="1">
      <c r="L3372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3" spans="12:16" ht="15" customHeight="1" hidden="1">
      <c r="L3373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4" spans="12:16" ht="15" customHeight="1" hidden="1">
      <c r="L3374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5" spans="12:16" ht="15" customHeight="1" hidden="1">
      <c r="L3375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6" spans="12:16" ht="15" customHeight="1" hidden="1">
      <c r="L3376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7" spans="12:16" ht="15" customHeight="1" hidden="1">
      <c r="L3377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8" spans="12:16" ht="15" customHeight="1" hidden="1">
      <c r="L3378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79" spans="12:16" ht="15" customHeight="1" hidden="1">
      <c r="L3379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0" spans="12:16" ht="15" customHeight="1" hidden="1">
      <c r="L3380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1" spans="12:16" ht="15" customHeight="1" hidden="1">
      <c r="L3381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2" spans="12:16" ht="15" customHeight="1" hidden="1">
      <c r="L3382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3" spans="12:16" ht="15" customHeight="1" hidden="1">
      <c r="L3383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4" spans="12:16" ht="15" customHeight="1" hidden="1">
      <c r="L3384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5" spans="12:16" ht="15" customHeight="1" hidden="1">
      <c r="L3385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6" spans="12:16" ht="15" customHeight="1" hidden="1">
      <c r="L3386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7" spans="12:16" ht="15" customHeight="1" hidden="1">
      <c r="L3387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8" spans="12:16" ht="15" customHeight="1" hidden="1">
      <c r="L3388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89" spans="12:16" ht="15" customHeight="1" hidden="1">
      <c r="L3389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90" spans="12:16" ht="15" customHeight="1" hidden="1">
      <c r="L3390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91" spans="12:16" ht="15" customHeight="1" hidden="1">
      <c r="L3391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92" spans="12:16" ht="15" customHeight="1" hidden="1">
      <c r="L3392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93" spans="12:16" ht="15" customHeight="1" hidden="1">
      <c r="L3393" s="60" t="str">
        <f t="shared" si="244"/>
        <v>-</v>
      </c>
      <c s="28">
        <f t="shared" si="240"/>
        <v>0</v>
      </c>
      <c s="28">
        <f t="shared" si="243"/>
        <v>0</v>
      </c>
      <c s="28">
        <f t="shared" si="241"/>
        <v>0</v>
      </c>
      <c s="28"/>
    </row>
    <row r="3394" spans="12:16" ht="15" customHeight="1" hidden="1">
      <c r="L3394" s="60" t="str">
        <f t="shared" si="244"/>
        <v>-</v>
      </c>
      <c s="28">
        <f t="shared" si="240"/>
        <v>0</v>
      </c>
      <c s="28">
        <f t="shared" si="245" ref="N3394:N3451">IF(ISNUMBER(N3393),N3393-M3394,$E$8)</f>
        <v>0</v>
      </c>
      <c s="28">
        <f t="shared" si="241"/>
        <v>0</v>
      </c>
      <c s="28"/>
    </row>
    <row r="3395" spans="12:16" ht="15" customHeight="1" hidden="1">
      <c r="L3395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396" spans="12:16" ht="15" customHeight="1" hidden="1">
      <c r="L3396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397" spans="12:16" ht="15" customHeight="1" hidden="1">
      <c r="L3397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398" spans="12:16" ht="15" customHeight="1" hidden="1">
      <c r="L3398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399" spans="12:16" ht="15" customHeight="1" hidden="1">
      <c r="L3399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0" spans="12:16" ht="15" customHeight="1" hidden="1">
      <c r="L3400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1" spans="12:16" ht="15" customHeight="1" hidden="1">
      <c r="L3401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2" spans="12:16" ht="15" customHeight="1" hidden="1">
      <c r="L3402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3" spans="12:16" ht="15" customHeight="1" hidden="1">
      <c r="L3403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4" spans="12:16" ht="15" customHeight="1" hidden="1">
      <c r="L3404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5" spans="12:16" ht="15" customHeight="1" hidden="1">
      <c r="L3405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6" spans="12:16" ht="15" customHeight="1" hidden="1">
      <c r="L3406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7" spans="12:16" ht="15" customHeight="1" hidden="1">
      <c r="L3407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8" spans="12:16" ht="15" customHeight="1" hidden="1">
      <c r="L3408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09" spans="12:16" ht="15" customHeight="1" hidden="1">
      <c r="L3409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10" spans="12:16" ht="15" customHeight="1" hidden="1">
      <c r="L3410" s="60" t="str">
        <f t="shared" si="244"/>
        <v>-</v>
      </c>
      <c s="28">
        <f t="shared" si="240"/>
        <v>0</v>
      </c>
      <c s="28">
        <f t="shared" si="245"/>
        <v>0</v>
      </c>
      <c s="28">
        <f t="shared" si="241"/>
        <v>0</v>
      </c>
      <c s="28"/>
    </row>
    <row r="3411" spans="12:16" ht="15" customHeight="1" hidden="1">
      <c r="L3411" s="60" t="str">
        <f t="shared" si="244"/>
        <v>-</v>
      </c>
      <c s="28">
        <f t="shared" si="246" ref="M3411:M3474">IFERROR(VLOOKUP(L3411,$B$19:$E$80,4,FALSE),0)</f>
        <v>0</v>
      </c>
      <c s="28">
        <f t="shared" si="245"/>
        <v>0</v>
      </c>
      <c s="28">
        <f t="shared" si="247" ref="O3411:O3474">IFERROR(IF(ISNUMBER(N3410),N3410,$E$8)*IF(L3411&gt;=$J$8,$E$12,$E$12)/IF(MOD(YEAR(L3411),4),365,366)*IF(ISBLANK(L3410),L3411-$F$5,L3411-L3410),0)</f>
        <v>0</v>
      </c>
      <c s="28"/>
    </row>
    <row r="3412" spans="12:16" ht="15" customHeight="1" hidden="1">
      <c r="L3412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3" spans="12:16" ht="15" customHeight="1" hidden="1">
      <c r="L3413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4" spans="12:16" ht="15" customHeight="1" hidden="1">
      <c r="L3414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5" spans="12:16" ht="15" customHeight="1" hidden="1">
      <c r="L3415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6" spans="12:16" ht="15" customHeight="1" hidden="1">
      <c r="L3416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7" spans="12:16" ht="15" customHeight="1" hidden="1">
      <c r="L3417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8" spans="12:16" ht="15" customHeight="1" hidden="1">
      <c r="L3418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19" spans="12:16" ht="15" customHeight="1" hidden="1">
      <c r="L3419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0" spans="12:16" ht="15" customHeight="1" hidden="1">
      <c r="L3420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1" spans="12:16" ht="15" customHeight="1" hidden="1">
      <c r="L3421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2" spans="12:16" ht="15" customHeight="1" hidden="1">
      <c r="L3422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3" spans="12:16" ht="15" customHeight="1" hidden="1">
      <c r="L3423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4" spans="12:16" ht="15" customHeight="1" hidden="1">
      <c r="L3424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5" spans="12:16" ht="15" customHeight="1" hidden="1">
      <c r="L3425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6" spans="12:16" ht="15" customHeight="1" hidden="1">
      <c r="L3426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7" spans="12:16" ht="15" customHeight="1" hidden="1">
      <c r="L3427" s="60" t="str">
        <f t="shared" si="244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8" spans="12:16" ht="15" customHeight="1" hidden="1">
      <c r="L3428" s="60" t="str">
        <f t="shared" si="248" ref="L3428:L3491">IFERROR(IF(MAX(L3427+1,$F$5+1)&gt;Дата_погашения_Займа,"-",MAX(L3427+1,$F$5+1)),"-")</f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29" spans="12:16" ht="15" customHeight="1" hidden="1">
      <c r="L3429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0" spans="12:16" ht="15" customHeight="1" hidden="1">
      <c r="L3430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1" spans="12:16" ht="15" customHeight="1" hidden="1">
      <c r="L3431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2" spans="12:16" ht="15" customHeight="1" hidden="1">
      <c r="L3432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3" spans="12:16" ht="15" customHeight="1" hidden="1">
      <c r="L3433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4" spans="12:16" ht="15" customHeight="1" hidden="1">
      <c r="L3434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5" spans="12:16" ht="15" customHeight="1" hidden="1">
      <c r="L3435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6" spans="12:16" ht="15" customHeight="1" hidden="1">
      <c r="L3436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7" spans="12:16" ht="15" customHeight="1" hidden="1">
      <c r="L3437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8" spans="12:16" ht="15" customHeight="1" hidden="1">
      <c r="L3438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39" spans="12:16" ht="15" customHeight="1" hidden="1">
      <c r="L3439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0" spans="12:16" ht="15" customHeight="1" hidden="1">
      <c r="L3440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1" spans="12:16" ht="15" customHeight="1" hidden="1">
      <c r="L3441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2" spans="12:16" ht="15" customHeight="1" hidden="1">
      <c r="L3442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3" spans="12:16" ht="15" customHeight="1" hidden="1">
      <c r="L3443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4" spans="12:16" ht="15" customHeight="1" hidden="1">
      <c r="L3444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5" spans="12:16" ht="15" customHeight="1" hidden="1">
      <c r="L3445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6" spans="12:16" ht="15" customHeight="1" hidden="1">
      <c r="L3446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7" spans="12:16" ht="15" customHeight="1" hidden="1">
      <c r="L3447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8" spans="12:16" ht="15" customHeight="1" hidden="1">
      <c r="L3448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49" spans="12:16" ht="15" customHeight="1" hidden="1">
      <c r="L3449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50" spans="12:16" ht="15" customHeight="1" hidden="1">
      <c r="L3450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51" spans="12:16" ht="15" customHeight="1" hidden="1">
      <c r="L3451" s="60" t="str">
        <f t="shared" si="248"/>
        <v>-</v>
      </c>
      <c s="28">
        <f t="shared" si="246"/>
        <v>0</v>
      </c>
      <c s="28">
        <f t="shared" si="245"/>
        <v>0</v>
      </c>
      <c s="28">
        <f t="shared" si="247"/>
        <v>0</v>
      </c>
      <c s="28"/>
    </row>
    <row r="3452" spans="12:16" ht="15" customHeight="1" hidden="1">
      <c r="L3452" s="60" t="str">
        <f t="shared" si="248"/>
        <v>-</v>
      </c>
      <c s="28">
        <f t="shared" si="246"/>
        <v>0</v>
      </c>
      <c s="28">
        <f t="shared" si="249" ref="N3452:N3515">IF(ISNUMBER(N3451),N3451-M3452,$E$8)</f>
        <v>0</v>
      </c>
      <c s="28">
        <f t="shared" si="247"/>
        <v>0</v>
      </c>
      <c s="28"/>
    </row>
    <row r="3453" spans="12:16" ht="15" customHeight="1" hidden="1">
      <c r="L3453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54" spans="12:16" ht="15" customHeight="1" hidden="1">
      <c r="L3454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55" spans="12:16" ht="15" customHeight="1" hidden="1">
      <c r="L3455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56" spans="12:16" ht="15" customHeight="1" hidden="1">
      <c r="L3456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57" spans="12:16" ht="15" customHeight="1" hidden="1">
      <c r="L3457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58" spans="12:16" ht="15" customHeight="1" hidden="1">
      <c r="L3458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59" spans="12:16" ht="15" customHeight="1" hidden="1">
      <c r="L3459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0" spans="12:16" ht="15" customHeight="1" hidden="1">
      <c r="L3460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1" spans="12:16" ht="15" customHeight="1" hidden="1">
      <c r="L3461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2" spans="12:16" ht="15" customHeight="1" hidden="1">
      <c r="L3462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3" spans="12:16" ht="15" customHeight="1" hidden="1">
      <c r="L3463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4" spans="12:16" ht="15" customHeight="1" hidden="1">
      <c r="L3464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5" spans="12:16" ht="15" customHeight="1" hidden="1">
      <c r="L3465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6" spans="12:16" ht="15" customHeight="1" hidden="1">
      <c r="L3466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7" spans="12:16" ht="15" customHeight="1" hidden="1">
      <c r="L3467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8" spans="12:16" ht="15" customHeight="1" hidden="1">
      <c r="L3468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69" spans="12:16" ht="15" customHeight="1" hidden="1">
      <c r="L3469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70" spans="12:16" ht="15" customHeight="1" hidden="1">
      <c r="L3470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71" spans="12:16" ht="15" customHeight="1" hidden="1">
      <c r="L3471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72" spans="12:16" ht="15" customHeight="1" hidden="1">
      <c r="L3472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73" spans="12:16" ht="15" customHeight="1" hidden="1">
      <c r="L3473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74" spans="12:16" ht="15" customHeight="1" hidden="1">
      <c r="L3474" s="60" t="str">
        <f t="shared" si="248"/>
        <v>-</v>
      </c>
      <c s="28">
        <f t="shared" si="246"/>
        <v>0</v>
      </c>
      <c s="28">
        <f t="shared" si="249"/>
        <v>0</v>
      </c>
      <c s="28">
        <f t="shared" si="247"/>
        <v>0</v>
      </c>
      <c s="28"/>
    </row>
    <row r="3475" spans="12:16" ht="15" customHeight="1" hidden="1">
      <c r="L3475" s="60" t="str">
        <f t="shared" si="248"/>
        <v>-</v>
      </c>
      <c s="28">
        <f t="shared" si="250" ref="M3475:M3538">IFERROR(VLOOKUP(L3475,$B$19:$E$80,4,FALSE),0)</f>
        <v>0</v>
      </c>
      <c s="28">
        <f t="shared" si="249"/>
        <v>0</v>
      </c>
      <c s="28">
        <f t="shared" si="251" ref="O3475:O3538">IFERROR(IF(ISNUMBER(N3474),N3474,$E$8)*IF(L3475&gt;=$J$8,$E$12,$E$12)/IF(MOD(YEAR(L3475),4),365,366)*IF(ISBLANK(L3474),L3475-$F$5,L3475-L3474),0)</f>
        <v>0</v>
      </c>
      <c s="28"/>
    </row>
    <row r="3476" spans="12:16" ht="15" customHeight="1" hidden="1">
      <c r="L3476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77" spans="12:16" ht="15" customHeight="1" hidden="1">
      <c r="L3477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78" spans="12:16" ht="15" customHeight="1" hidden="1">
      <c r="L3478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79" spans="12:16" ht="15" customHeight="1" hidden="1">
      <c r="L3479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0" spans="12:16" ht="15" customHeight="1" hidden="1">
      <c r="L3480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1" spans="12:16" ht="15" customHeight="1" hidden="1">
      <c r="L3481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2" spans="12:16" ht="15" customHeight="1" hidden="1">
      <c r="L3482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3" spans="12:16" ht="15" customHeight="1" hidden="1">
      <c r="L3483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4" spans="12:16" ht="15" customHeight="1" hidden="1">
      <c r="L3484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5" spans="12:16" ht="15" customHeight="1" hidden="1">
      <c r="L3485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6" spans="12:16" ht="15" customHeight="1" hidden="1">
      <c r="L3486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7" spans="12:16" ht="15" customHeight="1" hidden="1">
      <c r="L3487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8" spans="12:16" ht="15" customHeight="1" hidden="1">
      <c r="L3488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89" spans="12:16" ht="15" customHeight="1" hidden="1">
      <c r="L3489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0" spans="12:16" ht="15" customHeight="1" hidden="1">
      <c r="L3490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1" spans="12:16" ht="15" customHeight="1" hidden="1">
      <c r="L3491" s="60" t="str">
        <f t="shared" si="248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2" spans="12:16" ht="15" customHeight="1" hidden="1">
      <c r="L3492" s="60" t="str">
        <f t="shared" si="252" ref="L3492:L3555">IFERROR(IF(MAX(L3491+1,$F$5+1)&gt;Дата_погашения_Займа,"-",MAX(L3491+1,$F$5+1)),"-")</f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3" spans="12:16" ht="15" customHeight="1" hidden="1">
      <c r="L3493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4" spans="12:16" ht="15" customHeight="1" hidden="1">
      <c r="L3494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5" spans="12:16" ht="15" customHeight="1" hidden="1">
      <c r="L3495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6" spans="12:16" ht="15" customHeight="1" hidden="1">
      <c r="L3496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7" spans="12:16" ht="15" customHeight="1" hidden="1">
      <c r="L3497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8" spans="12:16" ht="15" customHeight="1" hidden="1">
      <c r="L3498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499" spans="12:16" ht="15" customHeight="1" hidden="1">
      <c r="L3499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0" spans="12:16" ht="15" customHeight="1" hidden="1">
      <c r="L3500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1" spans="12:16" ht="15" customHeight="1" hidden="1">
      <c r="L3501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2" spans="12:16" ht="15" customHeight="1" hidden="1">
      <c r="L3502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3" spans="12:16" ht="15" customHeight="1" hidden="1">
      <c r="L3503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4" spans="12:16" ht="15" customHeight="1" hidden="1">
      <c r="L3504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5" spans="12:16" ht="15" customHeight="1" hidden="1">
      <c r="L3505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6" spans="12:16" ht="15" customHeight="1" hidden="1">
      <c r="L3506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7" spans="12:16" ht="15" customHeight="1" hidden="1">
      <c r="L3507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8" spans="12:16" ht="15" customHeight="1" hidden="1">
      <c r="L3508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09" spans="12:16" ht="15" customHeight="1" hidden="1">
      <c r="L3509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0" spans="12:16" ht="15" customHeight="1" hidden="1">
      <c r="L3510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1" spans="12:16" ht="15" customHeight="1" hidden="1">
      <c r="L3511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2" spans="12:16" ht="15" customHeight="1" hidden="1">
      <c r="L3512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3" spans="12:16" ht="15" customHeight="1" hidden="1">
      <c r="L3513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4" spans="12:16" ht="15" customHeight="1" hidden="1">
      <c r="L3514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5" spans="12:16" ht="15" customHeight="1" hidden="1">
      <c r="L3515" s="60" t="str">
        <f t="shared" si="252"/>
        <v>-</v>
      </c>
      <c s="28">
        <f t="shared" si="250"/>
        <v>0</v>
      </c>
      <c s="28">
        <f t="shared" si="249"/>
        <v>0</v>
      </c>
      <c s="28">
        <f t="shared" si="251"/>
        <v>0</v>
      </c>
      <c s="28"/>
    </row>
    <row r="3516" spans="12:16" ht="15" customHeight="1" hidden="1">
      <c r="L3516" s="60" t="str">
        <f t="shared" si="252"/>
        <v>-</v>
      </c>
      <c s="28">
        <f t="shared" si="250"/>
        <v>0</v>
      </c>
      <c s="28">
        <f t="shared" si="253" ref="N3516:N3579">IF(ISNUMBER(N3515),N3515-M3516,$E$8)</f>
        <v>0</v>
      </c>
      <c s="28">
        <f t="shared" si="251"/>
        <v>0</v>
      </c>
      <c s="28"/>
    </row>
    <row r="3517" spans="12:16" ht="15" customHeight="1" hidden="1">
      <c r="L3517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18" spans="12:16" ht="15" customHeight="1" hidden="1">
      <c r="L3518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19" spans="12:16" ht="15" customHeight="1" hidden="1">
      <c r="L3519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0" spans="12:16" ht="15" customHeight="1" hidden="1">
      <c r="L3520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1" spans="12:16" ht="15" customHeight="1" hidden="1">
      <c r="L3521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2" spans="12:16" ht="15" customHeight="1" hidden="1">
      <c r="L3522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3" spans="12:16" ht="15" customHeight="1" hidden="1">
      <c r="L3523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4" spans="12:16" ht="15" customHeight="1" hidden="1">
      <c r="L3524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5" spans="12:16" ht="15" customHeight="1" hidden="1">
      <c r="L3525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6" spans="12:16" ht="15" customHeight="1" hidden="1">
      <c r="L3526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7" spans="12:16" ht="15" customHeight="1" hidden="1">
      <c r="L3527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8" spans="12:16" ht="15" customHeight="1" hidden="1">
      <c r="L3528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29" spans="12:16" ht="15" customHeight="1" hidden="1">
      <c r="L3529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0" spans="12:16" ht="15" customHeight="1" hidden="1">
      <c r="L3530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1" spans="12:16" ht="15" customHeight="1" hidden="1">
      <c r="L3531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2" spans="12:16" ht="15" customHeight="1" hidden="1">
      <c r="L3532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3" spans="12:16" ht="15" customHeight="1" hidden="1">
      <c r="L3533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4" spans="12:16" ht="15" customHeight="1" hidden="1">
      <c r="L3534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5" spans="12:16" ht="15" customHeight="1" hidden="1">
      <c r="L3535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6" spans="12:16" ht="15" customHeight="1" hidden="1">
      <c r="L3536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7" spans="12:16" ht="15" customHeight="1" hidden="1">
      <c r="L3537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8" spans="12:16" ht="15" customHeight="1" hidden="1">
      <c r="L3538" s="60" t="str">
        <f t="shared" si="252"/>
        <v>-</v>
      </c>
      <c s="28">
        <f t="shared" si="250"/>
        <v>0</v>
      </c>
      <c s="28">
        <f t="shared" si="253"/>
        <v>0</v>
      </c>
      <c s="28">
        <f t="shared" si="251"/>
        <v>0</v>
      </c>
      <c s="28"/>
    </row>
    <row r="3539" spans="12:16" ht="15" customHeight="1" hidden="1">
      <c r="L3539" s="60" t="str">
        <f t="shared" si="252"/>
        <v>-</v>
      </c>
      <c s="28">
        <f t="shared" si="254" ref="M3539:M3602">IFERROR(VLOOKUP(L3539,$B$19:$E$80,4,FALSE),0)</f>
        <v>0</v>
      </c>
      <c s="28">
        <f t="shared" si="253"/>
        <v>0</v>
      </c>
      <c s="28">
        <f t="shared" si="255" ref="O3539:O3602">IFERROR(IF(ISNUMBER(N3538),N3538,$E$8)*IF(L3539&gt;=$J$8,$E$12,$E$12)/IF(MOD(YEAR(L3539),4),365,366)*IF(ISBLANK(L3538),L3539-$F$5,L3539-L3538),0)</f>
        <v>0</v>
      </c>
      <c s="28"/>
    </row>
    <row r="3540" spans="12:16" ht="15" customHeight="1" hidden="1">
      <c r="L3540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1" spans="12:16" ht="15" customHeight="1" hidden="1">
      <c r="L3541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2" spans="12:16" ht="15" customHeight="1" hidden="1">
      <c r="L3542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3" spans="12:16" ht="15" customHeight="1" hidden="1">
      <c r="L3543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4" spans="12:16" ht="15" customHeight="1" hidden="1">
      <c r="L3544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5" spans="12:16" ht="15" customHeight="1" hidden="1">
      <c r="L3545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6" spans="12:16" ht="15" customHeight="1" hidden="1">
      <c r="L3546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7" spans="12:16" ht="15" customHeight="1" hidden="1">
      <c r="L3547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8" spans="12:16" ht="15" customHeight="1" hidden="1">
      <c r="L3548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49" spans="12:16" ht="15" customHeight="1" hidden="1">
      <c r="L3549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0" spans="12:16" ht="15" customHeight="1" hidden="1">
      <c r="L3550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1" spans="12:16" ht="15" customHeight="1" hidden="1">
      <c r="L3551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2" spans="12:16" ht="15" customHeight="1" hidden="1">
      <c r="L3552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3" spans="12:16" ht="15" customHeight="1" hidden="1">
      <c r="L3553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4" spans="12:16" ht="15" customHeight="1" hidden="1">
      <c r="L3554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5" spans="12:16" ht="15" customHeight="1" hidden="1">
      <c r="L3555" s="60" t="str">
        <f t="shared" si="252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6" spans="12:16" ht="15" customHeight="1" hidden="1">
      <c r="L3556" s="60" t="str">
        <f t="shared" si="256" ref="L3556:L3619">IFERROR(IF(MAX(L3555+1,$F$5+1)&gt;Дата_погашения_Займа,"-",MAX(L3555+1,$F$5+1)),"-")</f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7" spans="12:16" ht="15" customHeight="1" hidden="1">
      <c r="L3557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8" spans="12:16" ht="15" customHeight="1" hidden="1">
      <c r="L3558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59" spans="12:16" ht="15" customHeight="1" hidden="1">
      <c r="L3559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0" spans="12:16" ht="15" customHeight="1" hidden="1">
      <c r="L3560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1" spans="12:16" ht="15" customHeight="1" hidden="1">
      <c r="L3561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2" spans="12:16" ht="15" customHeight="1" hidden="1">
      <c r="L3562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3" spans="12:16" ht="15" customHeight="1" hidden="1">
      <c r="L3563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4" spans="12:16" ht="15" customHeight="1" hidden="1">
      <c r="L3564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5" spans="12:16" ht="15" customHeight="1" hidden="1">
      <c r="L3565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6" spans="12:16" ht="15" customHeight="1" hidden="1">
      <c r="L3566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7" spans="12:16" ht="15" customHeight="1" hidden="1">
      <c r="L3567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8" spans="12:16" ht="15" customHeight="1" hidden="1">
      <c r="L3568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69" spans="12:16" ht="15" customHeight="1" hidden="1">
      <c r="L3569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0" spans="12:16" ht="15" customHeight="1" hidden="1">
      <c r="L3570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1" spans="12:16" ht="15" customHeight="1" hidden="1">
      <c r="L3571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2" spans="12:16" ht="15" customHeight="1" hidden="1">
      <c r="L3572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3" spans="12:16" ht="15" customHeight="1" hidden="1">
      <c r="L3573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4" spans="12:16" ht="15" customHeight="1" hidden="1">
      <c r="L3574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5" spans="12:16" ht="15" customHeight="1" hidden="1">
      <c r="L3575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6" spans="12:16" ht="15" customHeight="1" hidden="1">
      <c r="L3576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7" spans="12:16" ht="15" customHeight="1" hidden="1">
      <c r="L3577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8" spans="12:16" ht="15" customHeight="1" hidden="1">
      <c r="L3578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79" spans="12:16" ht="15" customHeight="1" hidden="1">
      <c r="L3579" s="60" t="str">
        <f t="shared" si="256"/>
        <v>-</v>
      </c>
      <c s="28">
        <f t="shared" si="254"/>
        <v>0</v>
      </c>
      <c s="28">
        <f t="shared" si="253"/>
        <v>0</v>
      </c>
      <c s="28">
        <f t="shared" si="255"/>
        <v>0</v>
      </c>
      <c s="28"/>
    </row>
    <row r="3580" spans="12:16" ht="15" customHeight="1" hidden="1">
      <c r="L3580" s="60" t="str">
        <f t="shared" si="256"/>
        <v>-</v>
      </c>
      <c s="28">
        <f t="shared" si="254"/>
        <v>0</v>
      </c>
      <c s="28">
        <f t="shared" si="257" ref="N3580:N3643">IF(ISNUMBER(N3579),N3579-M3580,$E$8)</f>
        <v>0</v>
      </c>
      <c s="28">
        <f t="shared" si="255"/>
        <v>0</v>
      </c>
      <c s="28"/>
    </row>
    <row r="3581" spans="12:16" ht="15" customHeight="1" hidden="1">
      <c r="L3581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2" spans="12:16" ht="15" customHeight="1" hidden="1">
      <c r="L3582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3" spans="12:16" ht="15" customHeight="1" hidden="1">
      <c r="L3583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4" spans="12:16" ht="15" customHeight="1" hidden="1">
      <c r="L3584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5" spans="12:16" ht="15" customHeight="1" hidden="1">
      <c r="L3585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6" spans="12:16" ht="15" customHeight="1" hidden="1">
      <c r="L3586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7" spans="12:16" ht="15" customHeight="1" hidden="1">
      <c r="L3587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8" spans="12:16" ht="15" customHeight="1" hidden="1">
      <c r="L3588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89" spans="12:16" ht="15" customHeight="1" hidden="1">
      <c r="L3589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0" spans="12:16" ht="15" customHeight="1" hidden="1">
      <c r="L3590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1" spans="12:16" ht="15" customHeight="1" hidden="1">
      <c r="L3591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2" spans="12:16" ht="15" customHeight="1" hidden="1">
      <c r="L3592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3" spans="12:16" ht="15" customHeight="1" hidden="1">
      <c r="L3593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4" spans="12:16" ht="15" customHeight="1" hidden="1">
      <c r="L3594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5" spans="12:16" ht="15" customHeight="1" hidden="1">
      <c r="L3595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6" spans="12:16" ht="15" customHeight="1" hidden="1">
      <c r="L3596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7" spans="12:16" ht="15" customHeight="1" hidden="1">
      <c r="L3597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8" spans="12:16" ht="15" customHeight="1" hidden="1">
      <c r="L3598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599" spans="12:16" ht="15" customHeight="1" hidden="1">
      <c r="L3599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600" spans="12:16" ht="15" customHeight="1" hidden="1">
      <c r="L3600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601" spans="12:16" ht="15" customHeight="1" hidden="1">
      <c r="L3601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602" spans="12:16" ht="15" customHeight="1" hidden="1">
      <c r="L3602" s="60" t="str">
        <f t="shared" si="256"/>
        <v>-</v>
      </c>
      <c s="28">
        <f t="shared" si="254"/>
        <v>0</v>
      </c>
      <c s="28">
        <f t="shared" si="257"/>
        <v>0</v>
      </c>
      <c s="28">
        <f t="shared" si="255"/>
        <v>0</v>
      </c>
      <c s="28"/>
    </row>
    <row r="3603" spans="12:16" ht="15" customHeight="1" hidden="1">
      <c r="L3603" s="60" t="str">
        <f t="shared" si="256"/>
        <v>-</v>
      </c>
      <c s="28">
        <f t="shared" si="258" ref="M3603:M3666">IFERROR(VLOOKUP(L3603,$B$19:$E$80,4,FALSE),0)</f>
        <v>0</v>
      </c>
      <c s="28">
        <f t="shared" si="257"/>
        <v>0</v>
      </c>
      <c s="28">
        <f t="shared" si="259" ref="O3603:O3666">IFERROR(IF(ISNUMBER(N3602),N3602,$E$8)*IF(L3603&gt;=$J$8,$E$12,$E$12)/IF(MOD(YEAR(L3603),4),365,366)*IF(ISBLANK(L3602),L3603-$F$5,L3603-L3602),0)</f>
        <v>0</v>
      </c>
      <c s="28"/>
    </row>
    <row r="3604" spans="12:16" ht="15" customHeight="1" hidden="1">
      <c r="L3604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05" spans="12:16" ht="15" customHeight="1" hidden="1">
      <c r="L3605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06" spans="12:16" ht="15" customHeight="1" hidden="1">
      <c r="L3606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07" spans="12:16" ht="15" customHeight="1" hidden="1">
      <c r="L3607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08" spans="12:16" ht="15" customHeight="1" hidden="1">
      <c r="L3608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09" spans="12:16" ht="15" customHeight="1" hidden="1">
      <c r="L3609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0" spans="12:16" ht="15" customHeight="1" hidden="1">
      <c r="L3610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1" spans="12:16" ht="15" customHeight="1" hidden="1">
      <c r="L3611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2" spans="12:16" ht="15" customHeight="1" hidden="1">
      <c r="L3612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3" spans="12:16" ht="15" customHeight="1" hidden="1">
      <c r="L3613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4" spans="12:16" ht="15" customHeight="1" hidden="1">
      <c r="L3614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5" spans="12:16" ht="15" customHeight="1" hidden="1">
      <c r="L3615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6" spans="12:16" ht="15" customHeight="1" hidden="1">
      <c r="L3616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7" spans="12:16" ht="15" customHeight="1" hidden="1">
      <c r="L3617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8" spans="12:16" ht="15" customHeight="1" hidden="1">
      <c r="L3618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19" spans="12:16" ht="15" customHeight="1" hidden="1">
      <c r="L3619" s="60" t="str">
        <f t="shared" si="256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0" spans="12:16" ht="15" customHeight="1" hidden="1">
      <c r="L3620" s="60" t="str">
        <f t="shared" si="260" ref="L3620:L3683">IFERROR(IF(MAX(L3619+1,$F$5+1)&gt;Дата_погашения_Займа,"-",MAX(L3619+1,$F$5+1)),"-")</f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1" spans="12:16" ht="15" customHeight="1" hidden="1">
      <c r="L3621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2" spans="12:16" ht="15" customHeight="1" hidden="1">
      <c r="L3622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3" spans="12:16" ht="15" customHeight="1" hidden="1">
      <c r="L3623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4" spans="12:16" ht="15" customHeight="1" hidden="1">
      <c r="L3624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5" spans="12:16" ht="15" customHeight="1" hidden="1">
      <c r="L3625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6" spans="12:16" ht="15" customHeight="1" hidden="1">
      <c r="L3626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7" spans="12:16" ht="15" customHeight="1" hidden="1">
      <c r="L3627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8" spans="12:16" ht="15" customHeight="1" hidden="1">
      <c r="L3628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29" spans="12:16" ht="15" customHeight="1" hidden="1">
      <c r="L3629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0" spans="12:16" ht="15" customHeight="1" hidden="1">
      <c r="L3630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1" spans="12:16" ht="15" customHeight="1" hidden="1">
      <c r="L3631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2" spans="12:16" ht="15" customHeight="1" hidden="1">
      <c r="L3632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3" spans="12:16" ht="15" customHeight="1" hidden="1">
      <c r="L3633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4" spans="12:16" ht="15" customHeight="1" hidden="1">
      <c r="L3634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5" spans="12:16" ht="15" customHeight="1" hidden="1">
      <c r="L3635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6" spans="12:16" ht="15" customHeight="1" hidden="1">
      <c r="L3636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7" spans="12:16" ht="15" customHeight="1" hidden="1">
      <c r="L3637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8" spans="12:16" ht="15" customHeight="1" hidden="1">
      <c r="L3638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39" spans="12:16" ht="15" customHeight="1" hidden="1">
      <c r="L3639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40" spans="12:16" ht="15" customHeight="1" hidden="1">
      <c r="L3640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41" spans="12:16" ht="15" customHeight="1" hidden="1">
      <c r="L3641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42" spans="12:16" ht="15" customHeight="1" hidden="1">
      <c r="L3642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43" spans="12:16" ht="15" customHeight="1" hidden="1">
      <c r="L3643" s="60" t="str">
        <f t="shared" si="260"/>
        <v>-</v>
      </c>
      <c s="28">
        <f t="shared" si="258"/>
        <v>0</v>
      </c>
      <c s="28">
        <f t="shared" si="257"/>
        <v>0</v>
      </c>
      <c s="28">
        <f t="shared" si="259"/>
        <v>0</v>
      </c>
      <c s="28"/>
    </row>
    <row r="3644" spans="12:16" ht="15" customHeight="1" hidden="1">
      <c r="L3644" s="60" t="str">
        <f t="shared" si="260"/>
        <v>-</v>
      </c>
      <c s="28">
        <f t="shared" si="258"/>
        <v>0</v>
      </c>
      <c s="28">
        <f t="shared" si="261" ref="N3644:N3688">IF(ISNUMBER(N3643),N3643-M3644,$E$8)</f>
        <v>0</v>
      </c>
      <c s="28">
        <f t="shared" si="259"/>
        <v>0</v>
      </c>
      <c s="28"/>
    </row>
    <row r="3645" spans="12:16" ht="15" customHeight="1" hidden="1">
      <c r="L3645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46" spans="12:16" ht="15" customHeight="1" hidden="1">
      <c r="L3646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47" spans="12:16" ht="15" customHeight="1" hidden="1">
      <c r="L3647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48" spans="12:16" ht="15" customHeight="1" hidden="1">
      <c r="L3648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49" spans="12:16" ht="15" customHeight="1" hidden="1">
      <c r="L3649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0" spans="12:16" ht="15" customHeight="1" hidden="1">
      <c r="L3650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1" spans="12:16" ht="15" customHeight="1" hidden="1">
      <c r="L3651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2" spans="12:16" ht="15" customHeight="1" hidden="1">
      <c r="L3652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3" spans="12:16" ht="15" customHeight="1" hidden="1">
      <c r="L3653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4" spans="12:16" ht="15" customHeight="1" hidden="1">
      <c r="L3654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5" spans="12:16" ht="15" customHeight="1" hidden="1">
      <c r="L3655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6" spans="12:16" ht="15" customHeight="1" hidden="1">
      <c r="L3656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7" spans="12:16" ht="15" customHeight="1" hidden="1">
      <c r="L3657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8" spans="12:16" ht="15" customHeight="1" hidden="1">
      <c r="L3658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59" spans="12:16" ht="15" customHeight="1" hidden="1">
      <c r="L3659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0" spans="12:16" ht="15" customHeight="1" hidden="1">
      <c r="L3660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1" spans="12:16" ht="15" customHeight="1" hidden="1">
      <c r="L3661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2" spans="12:16" ht="15" customHeight="1" hidden="1">
      <c r="L3662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3" spans="12:16" ht="15" customHeight="1" hidden="1">
      <c r="L3663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4" spans="12:16" ht="15" customHeight="1" hidden="1">
      <c r="L3664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5" spans="12:16" ht="15" customHeight="1" hidden="1">
      <c r="L3665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6" spans="12:16" ht="15" customHeight="1" hidden="1">
      <c r="L3666" s="60" t="str">
        <f t="shared" si="260"/>
        <v>-</v>
      </c>
      <c s="28">
        <f t="shared" si="258"/>
        <v>0</v>
      </c>
      <c s="28">
        <f t="shared" si="261"/>
        <v>0</v>
      </c>
      <c s="28">
        <f t="shared" si="259"/>
        <v>0</v>
      </c>
      <c s="28"/>
    </row>
    <row r="3667" spans="12:16" ht="15" customHeight="1" hidden="1">
      <c r="L3667" s="60" t="str">
        <f t="shared" si="260"/>
        <v>-</v>
      </c>
      <c s="28">
        <f t="shared" si="262" ref="M3667:M3730">IFERROR(VLOOKUP(L3667,$B$19:$E$80,4,FALSE),0)</f>
        <v>0</v>
      </c>
      <c s="28">
        <f t="shared" si="261"/>
        <v>0</v>
      </c>
      <c s="28">
        <f t="shared" si="263" ref="O3667:O3730">IFERROR(IF(ISNUMBER(N3666),N3666,$E$8)*IF(L3667&gt;=$J$8,$E$12,$E$12)/IF(MOD(YEAR(L3667),4),365,366)*IF(ISBLANK(L3666),L3667-$F$5,L3667-L3666),0)</f>
        <v>0</v>
      </c>
      <c s="28"/>
    </row>
    <row r="3668" spans="12:16" ht="15" customHeight="1" hidden="1">
      <c r="L3668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69" spans="12:16" ht="15" customHeight="1" hidden="1">
      <c r="L3669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0" spans="12:16" ht="15" customHeight="1" hidden="1">
      <c r="L3670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1" spans="12:16" ht="15" customHeight="1" hidden="1">
      <c r="L3671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2" spans="12:16" ht="15" customHeight="1" hidden="1">
      <c r="L3672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3" spans="12:16" ht="15" customHeight="1" hidden="1">
      <c r="L3673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4" spans="12:16" ht="15" customHeight="1" hidden="1">
      <c r="L3674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5" spans="12:16" ht="15" customHeight="1" hidden="1">
      <c r="L3675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6" spans="12:16" ht="15" customHeight="1" hidden="1">
      <c r="L3676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7" spans="12:16" ht="15" customHeight="1" hidden="1">
      <c r="L3677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8" spans="12:16" ht="15" customHeight="1" hidden="1">
      <c r="L3678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79" spans="12:16" ht="15" customHeight="1" hidden="1">
      <c r="L3679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0" spans="12:16" ht="15" customHeight="1" hidden="1">
      <c r="L3680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1" spans="12:16" ht="15" customHeight="1" hidden="1">
      <c r="L3681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2" spans="12:16" ht="15" customHeight="1" hidden="1">
      <c r="L3682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3" spans="12:16" ht="15" customHeight="1" hidden="1">
      <c r="L3683" s="60" t="str">
        <f t="shared" si="260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4" spans="12:16" ht="15" customHeight="1" hidden="1">
      <c r="L3684" s="60" t="str">
        <f t="shared" si="264" ref="L3684:L3936">IFERROR(IF(MAX(L3683+1,$F$5+1)&gt;Дата_погашения_Займа,"-",MAX(L3683+1,$F$5+1)),"-")</f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5" spans="12:16" ht="15" customHeight="1" hidden="1">
      <c r="L3685" s="60" t="str">
        <f t="shared" si="264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6" spans="12:16" ht="15" customHeight="1" hidden="1">
      <c r="L3686" s="60" t="str">
        <f t="shared" si="264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7" spans="12:16" ht="15" customHeight="1" hidden="1">
      <c r="L3687" s="60" t="str">
        <f t="shared" si="264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8" spans="12:16" ht="15" customHeight="1" hidden="1">
      <c r="L3688" s="60" t="str">
        <f t="shared" si="264"/>
        <v>-</v>
      </c>
      <c s="28">
        <f t="shared" si="262"/>
        <v>0</v>
      </c>
      <c s="28">
        <f t="shared" si="261"/>
        <v>0</v>
      </c>
      <c s="28">
        <f t="shared" si="263"/>
        <v>0</v>
      </c>
      <c s="28"/>
    </row>
    <row r="3689" spans="12:16" ht="15" customHeight="1" hidden="1">
      <c r="L3689" s="60" t="str">
        <f t="shared" si="264"/>
        <v>-</v>
      </c>
      <c s="28">
        <f t="shared" si="262"/>
        <v>0</v>
      </c>
      <c s="28">
        <f t="shared" si="265" ref="N3689:N3752">IF(ISNUMBER(N3688),N3688-M3689,$E$8)</f>
        <v>0</v>
      </c>
      <c s="28">
        <f t="shared" si="263"/>
        <v>0</v>
      </c>
      <c s="28"/>
    </row>
    <row r="3690" spans="12:16" ht="15" customHeight="1" hidden="1">
      <c r="L3690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1" spans="12:16" ht="15" customHeight="1" hidden="1">
      <c r="L3691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2" spans="12:16" ht="15" customHeight="1" hidden="1">
      <c r="L3692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3" spans="12:16" ht="15" customHeight="1" hidden="1">
      <c r="L3693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4" spans="12:16" ht="15" customHeight="1" hidden="1">
      <c r="L3694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5" spans="12:16" ht="15" customHeight="1" hidden="1">
      <c r="L3695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6" spans="12:16" ht="15" customHeight="1" hidden="1">
      <c r="L3696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7" spans="12:16" ht="15" customHeight="1" hidden="1">
      <c r="L3697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8" spans="12:16" ht="15" customHeight="1" hidden="1">
      <c r="L3698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699" spans="12:16" ht="15" customHeight="1" hidden="1">
      <c r="L3699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0" spans="12:16" ht="15" customHeight="1" hidden="1">
      <c r="L3700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1" spans="12:16" ht="15" customHeight="1" hidden="1">
      <c r="L3701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2" spans="12:16" ht="15" customHeight="1" hidden="1">
      <c r="L3702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3" spans="12:16" ht="15" customHeight="1" hidden="1">
      <c r="L3703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4" spans="12:16" ht="15" customHeight="1" hidden="1">
      <c r="L3704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5" spans="12:16" ht="15" customHeight="1" hidden="1">
      <c r="L3705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6" spans="12:16" ht="15" customHeight="1" hidden="1">
      <c r="L3706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7" spans="12:16" ht="15" customHeight="1" hidden="1">
      <c r="L3707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8" spans="12:16" ht="15" customHeight="1" hidden="1">
      <c r="L3708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09" spans="12:16" ht="15" customHeight="1" hidden="1">
      <c r="L3709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0" spans="12:16" ht="15" customHeight="1" hidden="1">
      <c r="L3710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1" spans="12:16" ht="15" customHeight="1" hidden="1">
      <c r="L3711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2" spans="12:16" ht="15" customHeight="1" hidden="1">
      <c r="L3712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3" spans="12:16" ht="15" customHeight="1" hidden="1">
      <c r="L3713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4" spans="12:16" ht="15" customHeight="1" hidden="1">
      <c r="L3714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5" spans="12:16" ht="15" customHeight="1" hidden="1">
      <c r="L3715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6" spans="12:16" ht="15" customHeight="1" hidden="1">
      <c r="L3716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7" spans="12:16" ht="15" customHeight="1" hidden="1">
      <c r="L3717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8" spans="12:16" ht="15" customHeight="1" hidden="1">
      <c r="L3718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19" spans="12:16" ht="15" customHeight="1" hidden="1">
      <c r="L3719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0" spans="12:16" ht="15" customHeight="1" hidden="1">
      <c r="L3720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1" spans="12:16" ht="15" customHeight="1" hidden="1">
      <c r="L3721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2" spans="12:16" ht="15" customHeight="1" hidden="1">
      <c r="L3722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3" spans="12:16" ht="15" customHeight="1" hidden="1">
      <c r="L3723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4" spans="12:16" ht="15" customHeight="1" hidden="1">
      <c r="L3724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5" spans="12:16" ht="15" customHeight="1" hidden="1">
      <c r="L3725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6" spans="12:16" ht="15" customHeight="1" hidden="1">
      <c r="L3726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7" spans="12:16" ht="15" customHeight="1" hidden="1">
      <c r="L3727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8" spans="12:16" ht="15" customHeight="1" hidden="1">
      <c r="L3728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29" spans="12:16" ht="15" customHeight="1" hidden="1">
      <c r="L3729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30" spans="12:16" ht="15" customHeight="1" hidden="1">
      <c r="L3730" s="60" t="str">
        <f t="shared" si="264"/>
        <v>-</v>
      </c>
      <c s="28">
        <f t="shared" si="262"/>
        <v>0</v>
      </c>
      <c s="28">
        <f t="shared" si="265"/>
        <v>0</v>
      </c>
      <c s="28">
        <f t="shared" si="263"/>
        <v>0</v>
      </c>
      <c s="28"/>
    </row>
    <row r="3731" spans="12:16" ht="15" customHeight="1" hidden="1">
      <c r="L3731" s="60" t="str">
        <f t="shared" si="264"/>
        <v>-</v>
      </c>
      <c s="28">
        <f t="shared" si="266" ref="M3731:M3794">IFERROR(VLOOKUP(L3731,$B$19:$E$80,4,FALSE),0)</f>
        <v>0</v>
      </c>
      <c s="28">
        <f t="shared" si="265"/>
        <v>0</v>
      </c>
      <c s="28">
        <f t="shared" si="267" ref="O3731:O3794">IFERROR(IF(ISNUMBER(N3730),N3730,$E$8)*IF(L3731&gt;=$J$8,$E$12,$E$12)/IF(MOD(YEAR(L3731),4),365,366)*IF(ISBLANK(L3730),L3731-$F$5,L3731-L3730),0)</f>
        <v>0</v>
      </c>
      <c s="28"/>
    </row>
    <row r="3732" spans="12:16" ht="15" customHeight="1" hidden="1">
      <c r="L3732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3" spans="12:16" ht="15" customHeight="1" hidden="1">
      <c r="L3733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4" spans="12:16" ht="15" customHeight="1" hidden="1">
      <c r="L3734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5" spans="12:16" ht="15" customHeight="1" hidden="1">
      <c r="L3735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6" spans="12:16" ht="15" customHeight="1" hidden="1">
      <c r="L3736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7" spans="12:16" ht="15" customHeight="1" hidden="1">
      <c r="L3737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8" spans="12:16" ht="15" customHeight="1" hidden="1">
      <c r="L3738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39" spans="12:16" ht="15" customHeight="1" hidden="1">
      <c r="L3739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0" spans="12:16" ht="15" customHeight="1" hidden="1">
      <c r="L3740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1" spans="12:16" ht="15" customHeight="1" hidden="1">
      <c r="L3741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2" spans="12:16" ht="15" customHeight="1" hidden="1">
      <c r="L3742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3" spans="12:16" ht="15" customHeight="1" hidden="1">
      <c r="L3743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4" spans="12:16" ht="15" customHeight="1" hidden="1">
      <c r="L3744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5" spans="12:16" ht="15" customHeight="1" hidden="1">
      <c r="L3745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6" spans="12:16" ht="15" customHeight="1" hidden="1">
      <c r="L3746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7" spans="12:16" ht="15" customHeight="1" hidden="1">
      <c r="L3747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8" spans="12:16" ht="15" customHeight="1" hidden="1">
      <c r="L3748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49" spans="12:16" ht="15" customHeight="1" hidden="1">
      <c r="L3749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50" spans="12:16" ht="15" customHeight="1" hidden="1">
      <c r="L3750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51" spans="12:16" ht="15" customHeight="1" hidden="1">
      <c r="L3751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52" spans="12:16" ht="15" customHeight="1" hidden="1">
      <c r="L3752" s="60" t="str">
        <f t="shared" si="264"/>
        <v>-</v>
      </c>
      <c s="28">
        <f t="shared" si="266"/>
        <v>0</v>
      </c>
      <c s="28">
        <f t="shared" si="265"/>
        <v>0</v>
      </c>
      <c s="28">
        <f t="shared" si="267"/>
        <v>0</v>
      </c>
      <c s="28"/>
    </row>
    <row r="3753" spans="12:16" ht="15" customHeight="1" hidden="1">
      <c r="L3753" s="60" t="str">
        <f t="shared" si="264"/>
        <v>-</v>
      </c>
      <c s="28">
        <f t="shared" si="266"/>
        <v>0</v>
      </c>
      <c s="28">
        <f t="shared" si="268" ref="N3753:N3816">IF(ISNUMBER(N3752),N3752-M3753,$E$8)</f>
        <v>0</v>
      </c>
      <c s="28">
        <f t="shared" si="267"/>
        <v>0</v>
      </c>
      <c s="28"/>
    </row>
    <row r="3754" spans="12:16" ht="15" customHeight="1" hidden="1">
      <c r="L3754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55" spans="12:16" ht="15" customHeight="1" hidden="1">
      <c r="L3755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56" spans="12:16" ht="15" customHeight="1" hidden="1">
      <c r="L3756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57" spans="12:16" ht="15" customHeight="1" hidden="1">
      <c r="L3757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58" spans="12:16" ht="15" customHeight="1" hidden="1">
      <c r="L3758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59" spans="12:16" ht="15" customHeight="1" hidden="1">
      <c r="L3759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0" spans="12:16" ht="15" customHeight="1" hidden="1">
      <c r="L3760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1" spans="12:16" ht="15" customHeight="1" hidden="1">
      <c r="L3761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2" spans="12:16" ht="15" customHeight="1" hidden="1">
      <c r="L3762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3" spans="12:16" ht="15" customHeight="1" hidden="1">
      <c r="L3763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4" spans="12:16" ht="15" customHeight="1" hidden="1">
      <c r="L3764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5" spans="12:16" ht="15" customHeight="1" hidden="1">
      <c r="L3765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6" spans="12:16" ht="15" customHeight="1" hidden="1">
      <c r="L3766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7" spans="12:16" ht="15" customHeight="1" hidden="1">
      <c r="L3767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8" spans="12:16" ht="15" customHeight="1" hidden="1">
      <c r="L3768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69" spans="12:16" ht="15" customHeight="1" hidden="1">
      <c r="L3769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0" spans="12:16" ht="15" customHeight="1" hidden="1">
      <c r="L3770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1" spans="12:16" ht="15" customHeight="1" hidden="1">
      <c r="L3771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2" spans="12:16" ht="15" customHeight="1" hidden="1">
      <c r="L3772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3" spans="12:16" ht="15" customHeight="1" hidden="1">
      <c r="L3773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4" spans="12:16" ht="15" customHeight="1" hidden="1">
      <c r="L3774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5" spans="12:16" ht="15" customHeight="1" hidden="1">
      <c r="L3775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6" spans="12:16" ht="15" customHeight="1" hidden="1">
      <c r="L3776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7" spans="12:16" ht="15" customHeight="1" hidden="1">
      <c r="L3777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8" spans="12:16" ht="15" customHeight="1" hidden="1">
      <c r="L3778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79" spans="12:16" ht="15" customHeight="1" hidden="1">
      <c r="L3779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0" spans="12:16" ht="15" customHeight="1" hidden="1">
      <c r="L3780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1" spans="12:16" ht="15" customHeight="1" hidden="1">
      <c r="L3781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2" spans="12:16" ht="15" customHeight="1" hidden="1">
      <c r="L3782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3" spans="12:16" ht="15" customHeight="1" hidden="1">
      <c r="L3783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4" spans="12:16" ht="15" customHeight="1" hidden="1">
      <c r="L3784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5" spans="12:16" ht="15" customHeight="1" hidden="1">
      <c r="L3785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6" spans="12:16" ht="15" customHeight="1" hidden="1">
      <c r="L3786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7" spans="12:16" ht="15" customHeight="1" hidden="1">
      <c r="L3787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8" spans="12:16" ht="15" customHeight="1" hidden="1">
      <c r="L3788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89" spans="12:16" ht="15" customHeight="1" hidden="1">
      <c r="L3789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90" spans="12:16" ht="15" customHeight="1" hidden="1">
      <c r="L3790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91" spans="12:16" ht="15" customHeight="1" hidden="1">
      <c r="L3791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92" spans="12:16" ht="15" customHeight="1" hidden="1">
      <c r="L3792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93" spans="12:16" ht="15" customHeight="1" hidden="1">
      <c r="L3793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94" spans="12:16" ht="15" customHeight="1" hidden="1">
      <c r="L3794" s="60" t="str">
        <f t="shared" si="264"/>
        <v>-</v>
      </c>
      <c s="28">
        <f t="shared" si="266"/>
        <v>0</v>
      </c>
      <c s="28">
        <f t="shared" si="268"/>
        <v>0</v>
      </c>
      <c s="28">
        <f t="shared" si="267"/>
        <v>0</v>
      </c>
      <c s="28"/>
    </row>
    <row r="3795" spans="12:16" ht="15" customHeight="1" hidden="1">
      <c r="L3795" s="60" t="str">
        <f t="shared" si="264"/>
        <v>-</v>
      </c>
      <c s="28">
        <f t="shared" si="269" ref="M3795:M3858">IFERROR(VLOOKUP(L3795,$B$19:$E$80,4,FALSE),0)</f>
        <v>0</v>
      </c>
      <c s="28">
        <f t="shared" si="268"/>
        <v>0</v>
      </c>
      <c s="28">
        <f t="shared" si="270" ref="O3795:O3858">IFERROR(IF(ISNUMBER(N3794),N3794,$E$8)*IF(L3795&gt;=$J$8,$E$12,$E$12)/IF(MOD(YEAR(L3795),4),365,366)*IF(ISBLANK(L3794),L3795-$F$5,L3795-L3794),0)</f>
        <v>0</v>
      </c>
      <c s="28"/>
    </row>
    <row r="3796" spans="12:16" ht="15" customHeight="1" hidden="1">
      <c r="L3796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797" spans="12:16" ht="15" customHeight="1" hidden="1">
      <c r="L3797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798" spans="12:16" ht="15" customHeight="1" hidden="1">
      <c r="L3798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799" spans="12:16" ht="15" customHeight="1" hidden="1">
      <c r="L3799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0" spans="12:16" ht="15" customHeight="1" hidden="1">
      <c r="L3800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1" spans="12:16" ht="15" customHeight="1" hidden="1">
      <c r="L3801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2" spans="12:16" ht="15" customHeight="1" hidden="1">
      <c r="L3802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3" spans="12:16" ht="15" customHeight="1" hidden="1">
      <c r="L3803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4" spans="12:16" ht="15" customHeight="1" hidden="1">
      <c r="L3804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5" spans="12:16" ht="15" customHeight="1" hidden="1">
      <c r="L3805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6" spans="12:16" ht="15" customHeight="1" hidden="1">
      <c r="L3806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7" spans="12:16" ht="15" customHeight="1" hidden="1">
      <c r="L3807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8" spans="12:16" ht="15" customHeight="1" hidden="1">
      <c r="L3808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09" spans="12:16" ht="15" customHeight="1" hidden="1">
      <c r="L3809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0" spans="12:16" ht="15" customHeight="1" hidden="1">
      <c r="L3810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1" spans="12:16" ht="15" customHeight="1" hidden="1">
      <c r="L3811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2" spans="12:16" ht="15" customHeight="1" hidden="1">
      <c r="L3812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3" spans="12:16" ht="15" customHeight="1" hidden="1">
      <c r="L3813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4" spans="12:16" ht="15" customHeight="1" hidden="1">
      <c r="L3814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5" spans="12:16" ht="15" customHeight="1" hidden="1">
      <c r="L3815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6" spans="12:16" ht="15" customHeight="1" hidden="1">
      <c r="L3816" s="60" t="str">
        <f t="shared" si="264"/>
        <v>-</v>
      </c>
      <c s="28">
        <f t="shared" si="269"/>
        <v>0</v>
      </c>
      <c s="28">
        <f t="shared" si="268"/>
        <v>0</v>
      </c>
      <c s="28">
        <f t="shared" si="270"/>
        <v>0</v>
      </c>
      <c s="28"/>
    </row>
    <row r="3817" spans="12:16" ht="15" customHeight="1" hidden="1">
      <c r="L3817" s="60" t="str">
        <f t="shared" si="264"/>
        <v>-</v>
      </c>
      <c s="28">
        <f t="shared" si="269"/>
        <v>0</v>
      </c>
      <c s="28">
        <f t="shared" si="271" ref="N3817:N3880">IF(ISNUMBER(N3816),N3816-M3817,$E$8)</f>
        <v>0</v>
      </c>
      <c s="28">
        <f t="shared" si="270"/>
        <v>0</v>
      </c>
      <c s="28"/>
    </row>
    <row r="3818" spans="12:16" ht="15" customHeight="1" hidden="1">
      <c r="L3818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19" spans="12:16" ht="15" customHeight="1" hidden="1">
      <c r="L3819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0" spans="12:16" ht="15" customHeight="1" hidden="1">
      <c r="L3820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1" spans="12:16" ht="15" customHeight="1" hidden="1">
      <c r="L3821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2" spans="12:16" ht="15" customHeight="1" hidden="1">
      <c r="L3822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3" spans="12:16" ht="15" customHeight="1" hidden="1">
      <c r="L3823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4" spans="12:16" ht="15" customHeight="1" hidden="1">
      <c r="L3824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5" spans="12:16" ht="15" customHeight="1" hidden="1">
      <c r="L3825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6" spans="12:16" ht="15" customHeight="1" hidden="1">
      <c r="L3826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7" spans="12:16" ht="15" customHeight="1" hidden="1">
      <c r="L3827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8" spans="12:16" ht="15" customHeight="1" hidden="1">
      <c r="L3828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29" spans="12:16" ht="15" customHeight="1" hidden="1">
      <c r="L3829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0" spans="12:16" ht="15" customHeight="1" hidden="1">
      <c r="L3830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1" spans="12:16" ht="15" customHeight="1" hidden="1">
      <c r="L3831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2" spans="12:16" ht="15" customHeight="1" hidden="1">
      <c r="L3832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3" spans="12:16" ht="15" customHeight="1" hidden="1">
      <c r="L3833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4" spans="12:16" ht="15" customHeight="1" hidden="1">
      <c r="L3834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5" spans="12:16" ht="15" customHeight="1" hidden="1">
      <c r="L3835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6" spans="12:16" ht="15" customHeight="1" hidden="1">
      <c r="L3836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7" spans="12:16" ht="15" customHeight="1" hidden="1">
      <c r="L3837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8" spans="12:16" ht="15" customHeight="1" hidden="1">
      <c r="L3838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39" spans="12:16" ht="15" customHeight="1" hidden="1">
      <c r="L3839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0" spans="12:16" ht="15" customHeight="1" hidden="1">
      <c r="L3840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1" spans="12:16" ht="15" customHeight="1" hidden="1">
      <c r="L3841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2" spans="12:16" ht="15" customHeight="1" hidden="1">
      <c r="L3842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3" spans="12:16" ht="15" customHeight="1" hidden="1">
      <c r="L3843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4" spans="12:16" ht="15" customHeight="1" hidden="1">
      <c r="L3844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5" spans="12:16" ht="15" customHeight="1" hidden="1">
      <c r="L3845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6" spans="12:16" ht="15" customHeight="1" hidden="1">
      <c r="L3846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7" spans="12:16" ht="15" customHeight="1" hidden="1">
      <c r="L3847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8" spans="12:16" ht="15" customHeight="1" hidden="1">
      <c r="L3848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49" spans="12:16" ht="15" customHeight="1" hidden="1">
      <c r="L3849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0" spans="12:16" ht="15" customHeight="1" hidden="1">
      <c r="L3850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1" spans="12:16" ht="15" customHeight="1" hidden="1">
      <c r="L3851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2" spans="12:16" ht="15" customHeight="1" hidden="1">
      <c r="L3852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3" spans="12:16" ht="15" customHeight="1" hidden="1">
      <c r="L3853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4" spans="12:16" ht="15" customHeight="1" hidden="1">
      <c r="L3854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5" spans="12:16" ht="15" customHeight="1" hidden="1">
      <c r="L3855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6" spans="12:16" ht="15" customHeight="1" hidden="1">
      <c r="L3856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7" spans="12:16" ht="15" customHeight="1" hidden="1">
      <c r="L3857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8" spans="12:16" ht="15" customHeight="1" hidden="1">
      <c r="L3858" s="60" t="str">
        <f t="shared" si="264"/>
        <v>-</v>
      </c>
      <c s="28">
        <f t="shared" si="269"/>
        <v>0</v>
      </c>
      <c s="28">
        <f t="shared" si="271"/>
        <v>0</v>
      </c>
      <c s="28">
        <f t="shared" si="270"/>
        <v>0</v>
      </c>
      <c s="28"/>
    </row>
    <row r="3859" spans="12:16" ht="15" customHeight="1" hidden="1">
      <c r="L3859" s="60" t="str">
        <f t="shared" si="264"/>
        <v>-</v>
      </c>
      <c s="28">
        <f t="shared" si="272" ref="M3859:M3922">IFERROR(VLOOKUP(L3859,$B$19:$E$80,4,FALSE),0)</f>
        <v>0</v>
      </c>
      <c s="28">
        <f t="shared" si="271"/>
        <v>0</v>
      </c>
      <c s="28">
        <f t="shared" si="273" ref="O3859:O3922">IFERROR(IF(ISNUMBER(N3858),N3858,$E$8)*IF(L3859&gt;=$J$8,$E$12,$E$12)/IF(MOD(YEAR(L3859),4),365,366)*IF(ISBLANK(L3858),L3859-$F$5,L3859-L3858),0)</f>
        <v>0</v>
      </c>
      <c s="28"/>
    </row>
    <row r="3860" spans="12:16" ht="15" customHeight="1" hidden="1">
      <c r="L3860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1" spans="12:16" ht="15" customHeight="1" hidden="1">
      <c r="L3861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2" spans="12:16" ht="15" customHeight="1" hidden="1">
      <c r="L3862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3" spans="12:16" ht="15" customHeight="1" hidden="1">
      <c r="L3863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4" spans="12:16" ht="15" customHeight="1" hidden="1">
      <c r="L3864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5" spans="12:16" ht="15" customHeight="1" hidden="1">
      <c r="L3865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6" spans="12:16" ht="15" customHeight="1" hidden="1">
      <c r="L3866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7" spans="12:16" ht="15" customHeight="1" hidden="1">
      <c r="L3867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8" spans="12:16" ht="15" customHeight="1" hidden="1">
      <c r="L3868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69" spans="12:16" ht="15" customHeight="1" hidden="1">
      <c r="L3869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0" spans="12:16" ht="15" customHeight="1" hidden="1">
      <c r="L3870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1" spans="12:16" ht="15" customHeight="1" hidden="1">
      <c r="L3871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2" spans="12:16" ht="15" customHeight="1" hidden="1">
      <c r="L3872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3" spans="12:16" ht="15" customHeight="1" hidden="1">
      <c r="L3873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4" spans="12:16" ht="15" customHeight="1" hidden="1">
      <c r="L3874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5" spans="12:16" ht="15" customHeight="1" hidden="1">
      <c r="L3875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6" spans="12:16" ht="15" customHeight="1" hidden="1">
      <c r="L3876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7" spans="12:16" ht="15" customHeight="1" hidden="1">
      <c r="L3877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8" spans="12:16" ht="15" customHeight="1" hidden="1">
      <c r="L3878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79" spans="12:16" ht="15" customHeight="1" hidden="1">
      <c r="L3879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80" spans="12:16" ht="15" customHeight="1" hidden="1">
      <c r="L3880" s="60" t="str">
        <f t="shared" si="264"/>
        <v>-</v>
      </c>
      <c s="28">
        <f t="shared" si="272"/>
        <v>0</v>
      </c>
      <c s="28">
        <f t="shared" si="271"/>
        <v>0</v>
      </c>
      <c s="28">
        <f t="shared" si="273"/>
        <v>0</v>
      </c>
      <c s="28"/>
    </row>
    <row r="3881" spans="12:16" ht="15" customHeight="1" hidden="1">
      <c r="L3881" s="60" t="str">
        <f t="shared" si="264"/>
        <v>-</v>
      </c>
      <c s="28">
        <f t="shared" si="272"/>
        <v>0</v>
      </c>
      <c s="28">
        <f t="shared" si="274" ref="N3881:N3944">IF(ISNUMBER(N3880),N3880-M3881,$E$8)</f>
        <v>0</v>
      </c>
      <c s="28">
        <f t="shared" si="273"/>
        <v>0</v>
      </c>
      <c s="28"/>
    </row>
    <row r="3882" spans="12:16" ht="15" customHeight="1" hidden="1">
      <c r="L3882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3" spans="12:16" ht="15" customHeight="1" hidden="1">
      <c r="L3883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4" spans="12:16" ht="15" customHeight="1" hidden="1">
      <c r="L3884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5" spans="12:16" ht="15" customHeight="1" hidden="1">
      <c r="L3885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6" spans="12:16" ht="15" customHeight="1" hidden="1">
      <c r="L3886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7" spans="12:16" ht="15" customHeight="1" hidden="1">
      <c r="L3887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8" spans="12:16" ht="15" customHeight="1" hidden="1">
      <c r="L3888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89" spans="12:16" ht="15" customHeight="1" hidden="1">
      <c r="L3889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0" spans="12:16" ht="15" customHeight="1" hidden="1">
      <c r="L3890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1" spans="12:16" ht="15" customHeight="1" hidden="1">
      <c r="L3891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2" spans="12:16" ht="15" customHeight="1" hidden="1">
      <c r="L3892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3" spans="12:16" ht="15" customHeight="1" hidden="1">
      <c r="L3893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4" spans="12:16" ht="15" customHeight="1" hidden="1">
      <c r="L3894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5" spans="12:16" ht="15" customHeight="1" hidden="1">
      <c r="L3895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6" spans="12:16" ht="15" customHeight="1" hidden="1">
      <c r="L3896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7" spans="12:16" ht="15" customHeight="1" hidden="1">
      <c r="L3897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8" spans="12:16" ht="15" customHeight="1" hidden="1">
      <c r="L3898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899" spans="12:16" ht="15" customHeight="1" hidden="1">
      <c r="L3899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0" spans="12:16" ht="15" customHeight="1" hidden="1">
      <c r="L3900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1" spans="12:16" ht="15" customHeight="1" hidden="1">
      <c r="L3901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2" spans="12:16" ht="15" customHeight="1" hidden="1">
      <c r="L3902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3" spans="12:16" ht="15" customHeight="1" hidden="1">
      <c r="L3903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4" spans="12:16" ht="15" customHeight="1" hidden="1">
      <c r="L3904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5" spans="12:16" ht="15" customHeight="1" hidden="1">
      <c r="L3905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6" spans="12:16" ht="15" customHeight="1" hidden="1">
      <c r="L3906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7" spans="12:16" ht="15" customHeight="1" hidden="1">
      <c r="L3907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8" spans="12:16" ht="15" customHeight="1" hidden="1">
      <c r="L3908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09" spans="12:16" ht="15" customHeight="1" hidden="1">
      <c r="L3909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0" spans="12:16" ht="15" customHeight="1" hidden="1">
      <c r="L3910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1" spans="12:16" ht="15" customHeight="1" hidden="1">
      <c r="L3911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2" spans="12:16" ht="15" customHeight="1" hidden="1">
      <c r="L3912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3" spans="12:16" ht="15" customHeight="1" hidden="1">
      <c r="L3913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4" spans="12:16" ht="15" customHeight="1" hidden="1">
      <c r="L3914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5" spans="12:16" ht="15" customHeight="1" hidden="1">
      <c r="L3915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6" spans="12:16" ht="15" customHeight="1" hidden="1">
      <c r="L3916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7" spans="12:16" ht="15" customHeight="1" hidden="1">
      <c r="L3917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8" spans="12:16" ht="15" customHeight="1" hidden="1">
      <c r="L3918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19" spans="12:16" ht="15" customHeight="1" hidden="1">
      <c r="L3919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20" spans="12:16" ht="15" customHeight="1" hidden="1">
      <c r="L3920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21" spans="12:16" ht="15" customHeight="1" hidden="1">
      <c r="L3921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22" spans="12:16" ht="15" customHeight="1" hidden="1">
      <c r="L3922" s="60" t="str">
        <f t="shared" si="264"/>
        <v>-</v>
      </c>
      <c s="28">
        <f t="shared" si="272"/>
        <v>0</v>
      </c>
      <c s="28">
        <f t="shared" si="274"/>
        <v>0</v>
      </c>
      <c s="28">
        <f t="shared" si="273"/>
        <v>0</v>
      </c>
      <c s="28"/>
    </row>
    <row r="3923" spans="12:16" ht="15" customHeight="1" hidden="1">
      <c r="L3923" s="60" t="str">
        <f t="shared" si="264"/>
        <v>-</v>
      </c>
      <c s="28">
        <f t="shared" si="275" ref="M3923:M3986">IFERROR(VLOOKUP(L3923,$B$19:$E$80,4,FALSE),0)</f>
        <v>0</v>
      </c>
      <c s="28">
        <f t="shared" si="274"/>
        <v>0</v>
      </c>
      <c s="28">
        <f t="shared" si="276" ref="O3923:O3986">IFERROR(IF(ISNUMBER(N3922),N3922,$E$8)*IF(L3923&gt;=$J$8,$E$12,$E$12)/IF(MOD(YEAR(L3923),4),365,366)*IF(ISBLANK(L3922),L3923-$F$5,L3923-L3922),0)</f>
        <v>0</v>
      </c>
      <c s="28"/>
    </row>
    <row r="3924" spans="12:16" ht="15" customHeight="1" hidden="1">
      <c r="L3924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25" spans="12:16" ht="15" customHeight="1" hidden="1">
      <c r="L3925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26" spans="12:16" ht="15" customHeight="1" hidden="1">
      <c r="L3926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27" spans="12:16" ht="15" customHeight="1" hidden="1">
      <c r="L3927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28" spans="12:16" ht="15" customHeight="1" hidden="1">
      <c r="L3928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29" spans="12:16" ht="15" customHeight="1" hidden="1">
      <c r="L3929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0" spans="12:16" ht="15" customHeight="1" hidden="1">
      <c r="L3930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1" spans="12:16" ht="15" customHeight="1" hidden="1">
      <c r="L3931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2" spans="12:16" ht="15" customHeight="1" hidden="1">
      <c r="L3932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3" spans="12:16" ht="15" customHeight="1" hidden="1">
      <c r="L3933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4" spans="12:16" ht="15" customHeight="1" hidden="1">
      <c r="L3934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5" spans="12:16" ht="15" customHeight="1" hidden="1">
      <c r="L3935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6" spans="12:16" ht="15" customHeight="1" hidden="1">
      <c r="L3936" s="60" t="str">
        <f t="shared" si="264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7" spans="12:16" ht="15" customHeight="1" hidden="1">
      <c r="L3937" s="60" t="str">
        <f t="shared" si="277" ref="L3937:L4000">IFERROR(IF(MAX(L3936+1,$F$5+1)&gt;Дата_погашения_Займа,"-",MAX(L3936+1,$F$5+1)),"-")</f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8" spans="12:16" ht="15" customHeight="1" hidden="1">
      <c r="L3938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39" spans="12:16" ht="15" customHeight="1" hidden="1">
      <c r="L3939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40" spans="12:16" ht="15" customHeight="1" hidden="1">
      <c r="L3940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41" spans="12:16" ht="15" customHeight="1" hidden="1">
      <c r="L3941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42" spans="12:16" ht="15" customHeight="1" hidden="1">
      <c r="L3942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43" spans="12:16" ht="15" customHeight="1" hidden="1">
      <c r="L3943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44" spans="12:16" ht="15" customHeight="1" hidden="1">
      <c r="L3944" s="60" t="str">
        <f t="shared" si="277"/>
        <v>-</v>
      </c>
      <c s="28">
        <f t="shared" si="275"/>
        <v>0</v>
      </c>
      <c s="28">
        <f t="shared" si="274"/>
        <v>0</v>
      </c>
      <c s="28">
        <f t="shared" si="276"/>
        <v>0</v>
      </c>
      <c s="28"/>
    </row>
    <row r="3945" spans="12:16" ht="15" customHeight="1" hidden="1">
      <c r="L3945" s="60" t="str">
        <f t="shared" si="277"/>
        <v>-</v>
      </c>
      <c s="28">
        <f t="shared" si="275"/>
        <v>0</v>
      </c>
      <c s="28">
        <f t="shared" si="278" ref="N3945:N4008">IF(ISNUMBER(N3944),N3944-M3945,$E$8)</f>
        <v>0</v>
      </c>
      <c s="28">
        <f t="shared" si="276"/>
        <v>0</v>
      </c>
      <c s="28"/>
    </row>
    <row r="3946" spans="12:16" ht="15" customHeight="1" hidden="1">
      <c r="L3946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47" spans="12:16" ht="15" customHeight="1" hidden="1">
      <c r="L3947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48" spans="12:16" ht="15" customHeight="1" hidden="1">
      <c r="L3948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49" spans="12:16" ht="15" customHeight="1" hidden="1">
      <c r="L3949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0" spans="12:16" ht="15" customHeight="1" hidden="1">
      <c r="L3950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1" spans="12:16" ht="15" customHeight="1" hidden="1">
      <c r="L3951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2" spans="12:16" ht="15" customHeight="1" hidden="1">
      <c r="L3952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3" spans="12:16" ht="15" customHeight="1" hidden="1">
      <c r="L3953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4" spans="12:16" ht="15" customHeight="1" hidden="1">
      <c r="L3954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5" spans="12:16" ht="15" customHeight="1" hidden="1">
      <c r="L3955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6" spans="12:16" ht="15" customHeight="1" hidden="1">
      <c r="L3956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7" spans="12:16" ht="15" customHeight="1" hidden="1">
      <c r="L3957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8" spans="12:16" ht="15" customHeight="1" hidden="1">
      <c r="L3958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59" spans="12:16" ht="15" customHeight="1" hidden="1">
      <c r="L3959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0" spans="12:16" ht="15" customHeight="1" hidden="1">
      <c r="L3960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1" spans="12:16" ht="15" customHeight="1" hidden="1">
      <c r="L3961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2" spans="12:16" ht="15" customHeight="1" hidden="1">
      <c r="L3962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3" spans="12:16" ht="15" customHeight="1" hidden="1">
      <c r="L3963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4" spans="12:16" ht="15" customHeight="1" hidden="1">
      <c r="L3964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5" spans="12:16" ht="15" customHeight="1" hidden="1">
      <c r="L3965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6" spans="12:16" ht="15" customHeight="1" hidden="1">
      <c r="L3966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7" spans="12:16" ht="15" customHeight="1" hidden="1">
      <c r="L3967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8" spans="12:16" ht="15" customHeight="1" hidden="1">
      <c r="L3968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69" spans="12:16" ht="15" customHeight="1" hidden="1">
      <c r="L3969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0" spans="12:16" ht="15" customHeight="1" hidden="1">
      <c r="L3970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1" spans="12:16" ht="15" customHeight="1" hidden="1">
      <c r="L3971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2" spans="12:16" ht="15" customHeight="1" hidden="1">
      <c r="L3972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3" spans="12:16" ht="15" customHeight="1" hidden="1">
      <c r="L3973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4" spans="12:16" ht="15" customHeight="1" hidden="1">
      <c r="L3974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5" spans="12:16" ht="15" customHeight="1" hidden="1">
      <c r="L3975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6" spans="12:16" ht="15" customHeight="1" hidden="1">
      <c r="L3976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7" spans="12:16" ht="15" customHeight="1" hidden="1">
      <c r="L3977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8" spans="12:16" ht="15" customHeight="1" hidden="1">
      <c r="L3978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79" spans="12:16" ht="15" customHeight="1" hidden="1">
      <c r="L3979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0" spans="12:16" ht="15" customHeight="1" hidden="1">
      <c r="L3980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1" spans="12:16" ht="15" customHeight="1" hidden="1">
      <c r="L3981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2" spans="12:16" ht="15" customHeight="1" hidden="1">
      <c r="L3982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3" spans="12:16" ht="15" customHeight="1" hidden="1">
      <c r="L3983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4" spans="12:16" ht="15" customHeight="1" hidden="1">
      <c r="L3984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5" spans="12:16" ht="15" customHeight="1" hidden="1">
      <c r="L3985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6" spans="12:16" ht="15" customHeight="1" hidden="1">
      <c r="L3986" s="60" t="str">
        <f t="shared" si="277"/>
        <v>-</v>
      </c>
      <c s="28">
        <f t="shared" si="275"/>
        <v>0</v>
      </c>
      <c s="28">
        <f t="shared" si="278"/>
        <v>0</v>
      </c>
      <c s="28">
        <f t="shared" si="276"/>
        <v>0</v>
      </c>
      <c s="28"/>
    </row>
    <row r="3987" spans="12:16" ht="15" customHeight="1" hidden="1">
      <c r="L3987" s="60" t="str">
        <f t="shared" si="277"/>
        <v>-</v>
      </c>
      <c s="28">
        <f t="shared" si="279" ref="M3987:M4050">IFERROR(VLOOKUP(L3987,$B$19:$E$80,4,FALSE),0)</f>
        <v>0</v>
      </c>
      <c s="28">
        <f t="shared" si="278"/>
        <v>0</v>
      </c>
      <c s="28">
        <f t="shared" si="280" ref="O3987:O4050">IFERROR(IF(ISNUMBER(N3986),N3986,$E$8)*IF(L3987&gt;=$J$8,$E$12,$E$12)/IF(MOD(YEAR(L3987),4),365,366)*IF(ISBLANK(L3986),L3987-$F$5,L3987-L3986),0)</f>
        <v>0</v>
      </c>
      <c s="28"/>
    </row>
    <row r="3988" spans="12:16" ht="15" customHeight="1" hidden="1">
      <c r="L3988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89" spans="12:16" ht="15" customHeight="1" hidden="1">
      <c r="L3989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0" spans="12:16" ht="15" customHeight="1" hidden="1">
      <c r="L3990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1" spans="12:16" ht="15" customHeight="1" hidden="1">
      <c r="L3991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2" spans="12:16" ht="15" customHeight="1" hidden="1">
      <c r="L3992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3" spans="12:16" ht="15" customHeight="1" hidden="1">
      <c r="L3993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4" spans="12:16" ht="15" customHeight="1" hidden="1">
      <c r="L3994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5" spans="12:16" ht="15" customHeight="1" hidden="1">
      <c r="L3995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6" spans="12:16" ht="15" customHeight="1" hidden="1">
      <c r="L3996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7" spans="12:16" ht="15" customHeight="1" hidden="1">
      <c r="L3997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8" spans="12:16" ht="15" customHeight="1" hidden="1">
      <c r="L3998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3999" spans="12:16" ht="15" customHeight="1" hidden="1">
      <c r="L3999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0" spans="12:16" ht="15" customHeight="1" hidden="1">
      <c r="L4000" s="60" t="str">
        <f t="shared" si="277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1" spans="12:16" ht="15" customHeight="1" hidden="1">
      <c r="L4001" s="60" t="str">
        <f t="shared" si="281" ref="L4001:L4064">IFERROR(IF(MAX(L4000+1,$F$5+1)&gt;Дата_погашения_Займа,"-",MAX(L4000+1,$F$5+1)),"-")</f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2" spans="12:16" ht="15" customHeight="1" hidden="1">
      <c r="L4002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3" spans="12:16" ht="15" customHeight="1" hidden="1">
      <c r="L4003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4" spans="12:16" ht="15" customHeight="1" hidden="1">
      <c r="L4004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5" spans="12:16" ht="15" customHeight="1" hidden="1">
      <c r="L4005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6" spans="12:16" ht="15" customHeight="1" hidden="1">
      <c r="L4006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7" spans="12:16" ht="15" customHeight="1" hidden="1">
      <c r="L4007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8" spans="12:16" ht="15" customHeight="1" hidden="1">
      <c r="L4008" s="60" t="str">
        <f t="shared" si="281"/>
        <v>-</v>
      </c>
      <c s="28">
        <f t="shared" si="279"/>
        <v>0</v>
      </c>
      <c s="28">
        <f t="shared" si="278"/>
        <v>0</v>
      </c>
      <c s="28">
        <f t="shared" si="280"/>
        <v>0</v>
      </c>
      <c s="28"/>
    </row>
    <row r="4009" spans="12:16" ht="15" customHeight="1" hidden="1">
      <c r="L4009" s="60" t="str">
        <f t="shared" si="281"/>
        <v>-</v>
      </c>
      <c s="28">
        <f t="shared" si="279"/>
        <v>0</v>
      </c>
      <c s="28">
        <f t="shared" si="282" ref="N4009:N4072">IF(ISNUMBER(N4008),N4008-M4009,$E$8)</f>
        <v>0</v>
      </c>
      <c s="28">
        <f t="shared" si="280"/>
        <v>0</v>
      </c>
      <c s="28"/>
    </row>
    <row r="4010" spans="12:16" ht="15" customHeight="1" hidden="1">
      <c r="L4010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1" spans="12:16" ht="15" customHeight="1" hidden="1">
      <c r="L4011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2" spans="12:16" ht="15" customHeight="1" hidden="1">
      <c r="L4012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3" spans="12:16" ht="15" customHeight="1" hidden="1">
      <c r="L4013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4" spans="12:16" ht="15" customHeight="1" hidden="1">
      <c r="L4014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5" spans="12:16" ht="15" customHeight="1" hidden="1">
      <c r="L4015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6" spans="12:16" ht="15" customHeight="1" hidden="1">
      <c r="L4016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7" spans="12:16" ht="15" customHeight="1" hidden="1">
      <c r="L4017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8" spans="12:16" ht="15" customHeight="1" hidden="1">
      <c r="L4018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19" spans="12:16" ht="15" customHeight="1" hidden="1">
      <c r="L4019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0" spans="12:16" ht="15" customHeight="1" hidden="1">
      <c r="L4020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1" spans="12:16" ht="15" customHeight="1" hidden="1">
      <c r="L4021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2" spans="12:16" ht="15" customHeight="1" hidden="1">
      <c r="L4022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3" spans="12:16" ht="15" customHeight="1" hidden="1">
      <c r="L4023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4" spans="12:16" ht="15" customHeight="1" hidden="1">
      <c r="L4024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5" spans="12:16" ht="15" customHeight="1" hidden="1">
      <c r="L4025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6" spans="12:16" ht="15" customHeight="1" hidden="1">
      <c r="L4026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7" spans="12:16" ht="15" customHeight="1" hidden="1">
      <c r="L4027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8" spans="12:16" ht="15" customHeight="1" hidden="1">
      <c r="L4028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29" spans="12:16" ht="15" customHeight="1" hidden="1">
      <c r="L4029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0" spans="12:16" ht="15" customHeight="1" hidden="1">
      <c r="L4030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1" spans="12:16" ht="15" customHeight="1" hidden="1">
      <c r="L4031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2" spans="12:16" ht="15" customHeight="1" hidden="1">
      <c r="L4032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3" spans="12:16" ht="15" customHeight="1" hidden="1">
      <c r="L4033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4" spans="12:16" ht="15" customHeight="1" hidden="1">
      <c r="L4034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5" spans="12:16" ht="15" customHeight="1" hidden="1">
      <c r="L4035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6" spans="12:16" ht="15" customHeight="1" hidden="1">
      <c r="L4036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7" spans="12:16" ht="15" customHeight="1" hidden="1">
      <c r="L4037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8" spans="12:16" ht="15" customHeight="1" hidden="1">
      <c r="L4038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39" spans="12:16" ht="15" customHeight="1" hidden="1">
      <c r="L4039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0" spans="12:16" ht="15" customHeight="1" hidden="1">
      <c r="L4040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1" spans="12:16" ht="15" customHeight="1" hidden="1">
      <c r="L4041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2" spans="12:16" ht="15" customHeight="1" hidden="1">
      <c r="L4042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3" spans="12:16" ht="15" customHeight="1" hidden="1">
      <c r="L4043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4" spans="12:16" ht="15" customHeight="1" hidden="1">
      <c r="L4044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5" spans="12:16" ht="15" customHeight="1" hidden="1">
      <c r="L4045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6" spans="12:16" ht="15" customHeight="1" hidden="1">
      <c r="L4046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7" spans="12:16" ht="15" customHeight="1" hidden="1">
      <c r="L4047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8" spans="12:16" ht="15" customHeight="1" hidden="1">
      <c r="L4048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49" spans="12:16" ht="15" customHeight="1" hidden="1">
      <c r="L4049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50" spans="12:16" ht="15" customHeight="1" hidden="1">
      <c r="L4050" s="60" t="str">
        <f t="shared" si="281"/>
        <v>-</v>
      </c>
      <c s="28">
        <f t="shared" si="279"/>
        <v>0</v>
      </c>
      <c s="28">
        <f t="shared" si="282"/>
        <v>0</v>
      </c>
      <c s="28">
        <f t="shared" si="280"/>
        <v>0</v>
      </c>
      <c s="28"/>
    </row>
    <row r="4051" spans="12:16" ht="15" customHeight="1" hidden="1">
      <c r="L4051" s="60" t="str">
        <f t="shared" si="281"/>
        <v>-</v>
      </c>
      <c s="28">
        <f t="shared" si="283" ref="M4051:M4114">IFERROR(VLOOKUP(L4051,$B$19:$E$80,4,FALSE),0)</f>
        <v>0</v>
      </c>
      <c s="28">
        <f t="shared" si="282"/>
        <v>0</v>
      </c>
      <c s="28">
        <f t="shared" si="284" ref="O4051:O4114">IFERROR(IF(ISNUMBER(N4050),N4050,$E$8)*IF(L4051&gt;=$J$8,$E$12,$E$12)/IF(MOD(YEAR(L4051),4),365,366)*IF(ISBLANK(L4050),L4051-$F$5,L4051-L4050),0)</f>
        <v>0</v>
      </c>
      <c s="28"/>
    </row>
    <row r="4052" spans="12:16" ht="15" customHeight="1" hidden="1">
      <c r="L4052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3" spans="12:16" ht="15" customHeight="1" hidden="1">
      <c r="L4053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4" spans="12:16" ht="15" customHeight="1" hidden="1">
      <c r="L4054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5" spans="12:16" ht="15" customHeight="1" hidden="1">
      <c r="L4055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6" spans="12:16" ht="15" customHeight="1" hidden="1">
      <c r="L4056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7" spans="12:16" ht="15" customHeight="1" hidden="1">
      <c r="L4057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8" spans="12:16" ht="15" customHeight="1" hidden="1">
      <c r="L4058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59" spans="12:16" ht="15" customHeight="1" hidden="1">
      <c r="L4059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0" spans="12:16" ht="15" customHeight="1" hidden="1">
      <c r="L4060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1" spans="12:16" ht="15" customHeight="1" hidden="1">
      <c r="L4061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2" spans="12:16" ht="15" customHeight="1" hidden="1">
      <c r="L4062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3" spans="12:16" ht="15" customHeight="1" hidden="1">
      <c r="L4063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4" spans="12:16" ht="15" customHeight="1" hidden="1">
      <c r="L4064" s="60" t="str">
        <f t="shared" si="281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5" spans="12:16" ht="15" customHeight="1" hidden="1">
      <c r="L4065" s="60" t="str">
        <f t="shared" si="285" ref="L4065:L4128">IFERROR(IF(MAX(L4064+1,$F$5+1)&gt;Дата_погашения_Займа,"-",MAX(L4064+1,$F$5+1)),"-")</f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6" spans="12:16" ht="15" customHeight="1" hidden="1">
      <c r="L4066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7" spans="12:16" ht="15" customHeight="1" hidden="1">
      <c r="L4067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8" spans="12:16" ht="15" customHeight="1" hidden="1">
      <c r="L4068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69" spans="12:16" ht="15" customHeight="1" hidden="1">
      <c r="L4069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70" spans="12:16" ht="15" customHeight="1" hidden="1">
      <c r="L4070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71" spans="12:16" ht="15" customHeight="1" hidden="1">
      <c r="L4071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72" spans="12:16" ht="15" customHeight="1" hidden="1">
      <c r="L4072" s="60" t="str">
        <f t="shared" si="285"/>
        <v>-</v>
      </c>
      <c s="28">
        <f t="shared" si="283"/>
        <v>0</v>
      </c>
      <c s="28">
        <f t="shared" si="282"/>
        <v>0</v>
      </c>
      <c s="28">
        <f t="shared" si="284"/>
        <v>0</v>
      </c>
      <c s="28"/>
    </row>
    <row r="4073" spans="12:16" ht="15" customHeight="1" hidden="1">
      <c r="L4073" s="60" t="str">
        <f t="shared" si="285"/>
        <v>-</v>
      </c>
      <c s="28">
        <f t="shared" si="283"/>
        <v>0</v>
      </c>
      <c s="28">
        <f t="shared" si="286" ref="N4073:N4136">IF(ISNUMBER(N4072),N4072-M4073,$E$8)</f>
        <v>0</v>
      </c>
      <c s="28">
        <f t="shared" si="284"/>
        <v>0</v>
      </c>
      <c s="28"/>
    </row>
    <row r="4074" spans="12:16" ht="15" customHeight="1" hidden="1">
      <c r="L4074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75" spans="12:16" ht="15" customHeight="1" hidden="1">
      <c r="L4075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76" spans="12:16" ht="15" customHeight="1" hidden="1">
      <c r="L4076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77" spans="12:16" ht="15" customHeight="1" hidden="1">
      <c r="L4077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78" spans="12:16" ht="15" customHeight="1" hidden="1">
      <c r="L4078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79" spans="12:16" ht="15" customHeight="1" hidden="1">
      <c r="L4079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0" spans="12:16" ht="15" customHeight="1" hidden="1">
      <c r="L4080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1" spans="12:16" ht="15" customHeight="1" hidden="1">
      <c r="L4081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2" spans="12:16" ht="15" customHeight="1" hidden="1">
      <c r="L4082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3" spans="12:16" ht="15" customHeight="1" hidden="1">
      <c r="L4083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4" spans="12:16" ht="15" customHeight="1" hidden="1">
      <c r="L4084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5" spans="12:16" ht="15" customHeight="1" hidden="1">
      <c r="L4085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6" spans="12:16" ht="15" customHeight="1" hidden="1">
      <c r="L4086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7" spans="12:16" ht="15" customHeight="1" hidden="1">
      <c r="L4087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8" spans="12:16" ht="15" customHeight="1" hidden="1">
      <c r="L4088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89" spans="12:16" ht="15" customHeight="1" hidden="1">
      <c r="L4089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0" spans="12:16" ht="15" customHeight="1" hidden="1">
      <c r="L4090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1" spans="12:16" ht="15" customHeight="1" hidden="1">
      <c r="L4091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2" spans="12:16" ht="15" customHeight="1" hidden="1">
      <c r="L4092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3" spans="12:16" ht="15" customHeight="1" hidden="1">
      <c r="L4093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4" spans="12:16" ht="15" customHeight="1" hidden="1">
      <c r="L4094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5" spans="12:16" ht="15" customHeight="1" hidden="1">
      <c r="L4095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6" spans="12:16" ht="15" customHeight="1" hidden="1">
      <c r="L4096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7" spans="12:16" ht="15" customHeight="1" hidden="1">
      <c r="L4097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8" spans="12:16" ht="15" customHeight="1" hidden="1">
      <c r="L4098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099" spans="12:16" ht="15" customHeight="1" hidden="1">
      <c r="L4099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0" spans="12:16" ht="15" customHeight="1" hidden="1">
      <c r="L4100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1" spans="12:16" ht="15" customHeight="1" hidden="1">
      <c r="L4101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2" spans="12:16" ht="15" customHeight="1" hidden="1">
      <c r="L4102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3" spans="12:16" ht="15" customHeight="1" hidden="1">
      <c r="L4103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4" spans="12:16" ht="15" customHeight="1" hidden="1">
      <c r="L4104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5" spans="12:16" ht="15" customHeight="1" hidden="1">
      <c r="L4105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6" spans="12:16" ht="15" customHeight="1" hidden="1">
      <c r="L4106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7" spans="12:16" ht="15" customHeight="1" hidden="1">
      <c r="L4107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8" spans="12:16" ht="15" customHeight="1" hidden="1">
      <c r="L4108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09" spans="12:16" ht="15" customHeight="1" hidden="1">
      <c r="L4109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10" spans="12:16" ht="15" customHeight="1" hidden="1">
      <c r="L4110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11" spans="12:16" ht="15" customHeight="1" hidden="1">
      <c r="L4111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12" spans="12:16" ht="15" customHeight="1" hidden="1">
      <c r="L4112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13" spans="12:16" ht="15" customHeight="1" hidden="1">
      <c r="L4113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14" spans="12:16" ht="15" customHeight="1" hidden="1">
      <c r="L4114" s="60" t="str">
        <f t="shared" si="285"/>
        <v>-</v>
      </c>
      <c s="28">
        <f t="shared" si="283"/>
        <v>0</v>
      </c>
      <c s="28">
        <f t="shared" si="286"/>
        <v>0</v>
      </c>
      <c s="28">
        <f t="shared" si="284"/>
        <v>0</v>
      </c>
      <c s="28"/>
    </row>
    <row r="4115" spans="12:16" ht="15" customHeight="1" hidden="1">
      <c r="L4115" s="60" t="str">
        <f t="shared" si="285"/>
        <v>-</v>
      </c>
      <c s="28">
        <f t="shared" si="287" ref="M4115:M4178">IFERROR(VLOOKUP(L4115,$B$19:$E$80,4,FALSE),0)</f>
        <v>0</v>
      </c>
      <c s="28">
        <f t="shared" si="286"/>
        <v>0</v>
      </c>
      <c s="28">
        <f t="shared" si="288" ref="O4115:O4178">IFERROR(IF(ISNUMBER(N4114),N4114,$E$8)*IF(L4115&gt;=$J$8,$E$12,$E$12)/IF(MOD(YEAR(L4115),4),365,366)*IF(ISBLANK(L4114),L4115-$F$5,L4115-L4114),0)</f>
        <v>0</v>
      </c>
      <c s="28"/>
    </row>
    <row r="4116" spans="12:16" ht="15" customHeight="1" hidden="1">
      <c r="L4116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17" spans="12:16" ht="15" customHeight="1" hidden="1">
      <c r="L4117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18" spans="12:16" ht="15" customHeight="1" hidden="1">
      <c r="L4118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19" spans="12:16" ht="15" customHeight="1" hidden="1">
      <c r="L4119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0" spans="12:16" ht="15" customHeight="1" hidden="1">
      <c r="L4120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1" spans="12:16" ht="15" customHeight="1" hidden="1">
      <c r="L4121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2" spans="12:16" ht="15" customHeight="1" hidden="1">
      <c r="L4122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3" spans="12:16" ht="15" customHeight="1" hidden="1">
      <c r="L4123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4" spans="12:16" ht="15" customHeight="1" hidden="1">
      <c r="L4124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5" spans="12:16" ht="15" customHeight="1" hidden="1">
      <c r="L4125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6" spans="12:16" ht="15" customHeight="1" hidden="1">
      <c r="L4126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7" spans="12:16" ht="15" customHeight="1" hidden="1">
      <c r="L4127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8" spans="12:16" ht="15" customHeight="1" hidden="1">
      <c r="L4128" s="60" t="str">
        <f t="shared" si="285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29" spans="12:16" ht="15" customHeight="1" hidden="1">
      <c r="L4129" s="60" t="str">
        <f t="shared" si="289" ref="L4129:L4192">IFERROR(IF(MAX(L4128+1,$F$5+1)&gt;Дата_погашения_Займа,"-",MAX(L4128+1,$F$5+1)),"-")</f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0" spans="12:16" ht="15" customHeight="1" hidden="1">
      <c r="L4130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1" spans="12:16" ht="15" customHeight="1" hidden="1">
      <c r="L4131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2" spans="12:16" ht="15" customHeight="1" hidden="1">
      <c r="L4132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3" spans="12:16" ht="15" customHeight="1" hidden="1">
      <c r="L4133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4" spans="12:16" ht="15" customHeight="1" hidden="1">
      <c r="L4134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5" spans="12:16" ht="15" customHeight="1" hidden="1">
      <c r="L4135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6" spans="12:16" ht="15" customHeight="1" hidden="1">
      <c r="L4136" s="60" t="str">
        <f t="shared" si="289"/>
        <v>-</v>
      </c>
      <c s="28">
        <f t="shared" si="287"/>
        <v>0</v>
      </c>
      <c s="28">
        <f t="shared" si="286"/>
        <v>0</v>
      </c>
      <c s="28">
        <f t="shared" si="288"/>
        <v>0</v>
      </c>
      <c s="28"/>
    </row>
    <row r="4137" spans="12:16" ht="15" customHeight="1" hidden="1">
      <c r="L4137" s="60" t="str">
        <f t="shared" si="289"/>
        <v>-</v>
      </c>
      <c s="28">
        <f t="shared" si="287"/>
        <v>0</v>
      </c>
      <c s="28">
        <f t="shared" si="290" ref="N4137:N4200">IF(ISNUMBER(N4136),N4136-M4137,$E$8)</f>
        <v>0</v>
      </c>
      <c s="28">
        <f t="shared" si="288"/>
        <v>0</v>
      </c>
      <c s="28"/>
    </row>
    <row r="4138" spans="12:16" ht="15" customHeight="1" hidden="1">
      <c r="L4138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39" spans="12:16" ht="15" customHeight="1" hidden="1">
      <c r="L4139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0" spans="12:16" ht="15" customHeight="1" hidden="1">
      <c r="L4140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1" spans="12:16" ht="15" customHeight="1" hidden="1">
      <c r="L4141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2" spans="12:16" ht="15" customHeight="1" hidden="1">
      <c r="L4142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3" spans="12:16" ht="15" customHeight="1" hidden="1">
      <c r="L4143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4" spans="12:16" ht="15" customHeight="1" hidden="1">
      <c r="L4144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5" spans="12:16" ht="15" customHeight="1" hidden="1">
      <c r="L4145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6" spans="12:16" ht="15" customHeight="1" hidden="1">
      <c r="L4146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7" spans="12:16" ht="15" customHeight="1" hidden="1">
      <c r="L4147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8" spans="12:16" ht="15" customHeight="1" hidden="1">
      <c r="L4148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49" spans="12:16" ht="15" customHeight="1" hidden="1">
      <c r="L4149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0" spans="12:16" ht="15" customHeight="1" hidden="1">
      <c r="L4150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1" spans="12:16" ht="15" customHeight="1" hidden="1">
      <c r="L4151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2" spans="12:16" ht="15" customHeight="1" hidden="1">
      <c r="L4152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3" spans="12:16" ht="15" customHeight="1" hidden="1">
      <c r="L4153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4" spans="12:16" ht="15" customHeight="1" hidden="1">
      <c r="L4154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5" spans="12:16" ht="15" customHeight="1" hidden="1">
      <c r="L4155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6" spans="12:16" ht="15" customHeight="1" hidden="1">
      <c r="L4156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7" spans="12:16" ht="15" customHeight="1" hidden="1">
      <c r="L4157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8" spans="12:16" ht="15" customHeight="1" hidden="1">
      <c r="L4158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59" spans="12:16" ht="15" customHeight="1" hidden="1">
      <c r="L4159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0" spans="12:16" ht="15" customHeight="1" hidden="1">
      <c r="L4160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1" spans="12:16" ht="15" customHeight="1" hidden="1">
      <c r="L4161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2" spans="12:16" ht="15" customHeight="1" hidden="1">
      <c r="L4162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3" spans="12:16" ht="15" customHeight="1" hidden="1">
      <c r="L4163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4" spans="12:16" ht="15" customHeight="1" hidden="1">
      <c r="L4164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5" spans="12:16" ht="15" customHeight="1" hidden="1">
      <c r="L4165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6" spans="12:16" ht="15" customHeight="1" hidden="1">
      <c r="L4166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7" spans="12:16" ht="15" customHeight="1" hidden="1">
      <c r="L4167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8" spans="12:16" ht="15" customHeight="1" hidden="1">
      <c r="L4168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69" spans="12:16" ht="15" customHeight="1" hidden="1">
      <c r="L4169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0" spans="12:16" ht="15" customHeight="1" hidden="1">
      <c r="L4170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1" spans="12:16" ht="15" customHeight="1" hidden="1">
      <c r="L4171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2" spans="12:16" ht="15" customHeight="1" hidden="1">
      <c r="L4172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3" spans="12:16" ht="15" customHeight="1" hidden="1">
      <c r="L4173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4" spans="12:16" ht="15" customHeight="1" hidden="1">
      <c r="L4174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5" spans="12:16" ht="15" customHeight="1" hidden="1">
      <c r="L4175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6" spans="12:16" ht="15" customHeight="1" hidden="1">
      <c r="L4176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7" spans="12:16" ht="15" customHeight="1" hidden="1">
      <c r="L4177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8" spans="12:16" ht="15" customHeight="1" hidden="1">
      <c r="L4178" s="60" t="str">
        <f t="shared" si="289"/>
        <v>-</v>
      </c>
      <c s="28">
        <f t="shared" si="287"/>
        <v>0</v>
      </c>
      <c s="28">
        <f t="shared" si="290"/>
        <v>0</v>
      </c>
      <c s="28">
        <f t="shared" si="288"/>
        <v>0</v>
      </c>
      <c s="28"/>
    </row>
    <row r="4179" spans="12:16" ht="15" customHeight="1" hidden="1">
      <c r="L4179" s="60" t="str">
        <f t="shared" si="289"/>
        <v>-</v>
      </c>
      <c s="28">
        <f t="shared" si="291" ref="M4179:M4242">IFERROR(VLOOKUP(L4179,$B$19:$E$80,4,FALSE),0)</f>
        <v>0</v>
      </c>
      <c s="28">
        <f t="shared" si="290"/>
        <v>0</v>
      </c>
      <c s="28">
        <f t="shared" si="292" ref="O4179:O4242">IFERROR(IF(ISNUMBER(N4178),N4178,$E$8)*IF(L4179&gt;=$J$8,$E$12,$E$12)/IF(MOD(YEAR(L4179),4),365,366)*IF(ISBLANK(L4178),L4179-$F$5,L4179-L4178),0)</f>
        <v>0</v>
      </c>
      <c s="28"/>
    </row>
    <row r="4180" spans="12:16" ht="15" customHeight="1" hidden="1">
      <c r="L4180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1" spans="12:16" ht="15" customHeight="1" hidden="1">
      <c r="L4181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2" spans="12:16" ht="15" customHeight="1" hidden="1">
      <c r="L4182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3" spans="12:16" ht="15" customHeight="1" hidden="1">
      <c r="L4183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4" spans="12:16" ht="15" customHeight="1" hidden="1">
      <c r="L4184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5" spans="12:16" ht="15" customHeight="1" hidden="1">
      <c r="L4185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6" spans="12:16" ht="15" customHeight="1" hidden="1">
      <c r="L4186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7" spans="12:16" ht="15" customHeight="1" hidden="1">
      <c r="L4187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8" spans="12:16" ht="15" customHeight="1" hidden="1">
      <c r="L4188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89" spans="12:16" ht="15" customHeight="1" hidden="1">
      <c r="L4189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0" spans="12:16" ht="15" customHeight="1" hidden="1">
      <c r="L4190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1" spans="12:16" ht="15" customHeight="1" hidden="1">
      <c r="L4191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2" spans="12:16" ht="15" customHeight="1" hidden="1">
      <c r="L4192" s="60" t="str">
        <f t="shared" si="289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3" spans="12:16" ht="15" customHeight="1" hidden="1">
      <c r="L4193" s="60" t="str">
        <f t="shared" si="293" ref="L4193:L4256">IFERROR(IF(MAX(L4192+1,$F$5+1)&gt;Дата_погашения_Займа,"-",MAX(L4192+1,$F$5+1)),"-")</f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4" spans="12:16" ht="15" customHeight="1" hidden="1">
      <c r="L4194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5" spans="12:16" ht="15" customHeight="1" hidden="1">
      <c r="L4195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6" spans="12:16" ht="15" customHeight="1" hidden="1">
      <c r="L4196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7" spans="12:16" ht="15" customHeight="1" hidden="1">
      <c r="L4197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8" spans="12:16" ht="15" customHeight="1" hidden="1">
      <c r="L4198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199" spans="12:16" ht="15" customHeight="1" hidden="1">
      <c r="L4199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200" spans="12:16" ht="15" customHeight="1" hidden="1">
      <c r="L4200" s="60" t="str">
        <f t="shared" si="293"/>
        <v>-</v>
      </c>
      <c s="28">
        <f t="shared" si="291"/>
        <v>0</v>
      </c>
      <c s="28">
        <f t="shared" si="290"/>
        <v>0</v>
      </c>
      <c s="28">
        <f t="shared" si="292"/>
        <v>0</v>
      </c>
      <c s="28"/>
    </row>
    <row r="4201" spans="12:16" ht="15" customHeight="1" hidden="1">
      <c r="L4201" s="60" t="str">
        <f t="shared" si="293"/>
        <v>-</v>
      </c>
      <c s="28">
        <f t="shared" si="291"/>
        <v>0</v>
      </c>
      <c s="28">
        <f t="shared" si="294" ref="N4201:N4264">IF(ISNUMBER(N4200),N4200-M4201,$E$8)</f>
        <v>0</v>
      </c>
      <c s="28">
        <f t="shared" si="292"/>
        <v>0</v>
      </c>
      <c s="28"/>
    </row>
    <row r="4202" spans="12:16" ht="15" customHeight="1" hidden="1">
      <c r="L4202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3" spans="12:16" ht="15" customHeight="1" hidden="1">
      <c r="L4203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4" spans="12:16" ht="15" customHeight="1" hidden="1">
      <c r="L4204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5" spans="12:16" ht="15" customHeight="1" hidden="1">
      <c r="L4205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6" spans="12:16" ht="15" customHeight="1" hidden="1">
      <c r="L4206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7" spans="12:16" ht="15" customHeight="1" hidden="1">
      <c r="L4207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8" spans="12:16" ht="15" customHeight="1" hidden="1">
      <c r="L4208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09" spans="12:16" ht="15" customHeight="1" hidden="1">
      <c r="L4209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0" spans="12:16" ht="15" customHeight="1" hidden="1">
      <c r="L4210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1" spans="12:16" ht="15" customHeight="1" hidden="1">
      <c r="L4211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2" spans="12:16" ht="15" customHeight="1" hidden="1">
      <c r="L4212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3" spans="12:16" ht="15" customHeight="1" hidden="1">
      <c r="L4213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4" spans="12:16" ht="15" customHeight="1" hidden="1">
      <c r="L4214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5" spans="12:16" ht="15" customHeight="1" hidden="1">
      <c r="L4215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6" spans="12:16" ht="15" customHeight="1" hidden="1">
      <c r="L4216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7" spans="12:16" ht="15" customHeight="1" hidden="1">
      <c r="L4217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8" spans="12:16" ht="15" customHeight="1" hidden="1">
      <c r="L4218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19" spans="12:16" ht="15" customHeight="1" hidden="1">
      <c r="L4219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0" spans="12:16" ht="15" customHeight="1" hidden="1">
      <c r="L4220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1" spans="12:16" ht="15" customHeight="1" hidden="1">
      <c r="L4221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2" spans="12:16" ht="15" customHeight="1" hidden="1">
      <c r="L4222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3" spans="12:16" ht="15" customHeight="1" hidden="1">
      <c r="L4223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4" spans="12:16" ht="15" customHeight="1" hidden="1">
      <c r="L4224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5" spans="12:16" ht="15" customHeight="1" hidden="1">
      <c r="L4225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6" spans="12:16" ht="15" customHeight="1" hidden="1">
      <c r="L4226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7" spans="12:16" ht="15" customHeight="1" hidden="1">
      <c r="L4227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8" spans="12:16" ht="15" customHeight="1" hidden="1">
      <c r="L4228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29" spans="12:16" ht="15" customHeight="1" hidden="1">
      <c r="L4229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0" spans="12:16" ht="15" customHeight="1" hidden="1">
      <c r="L4230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1" spans="12:16" ht="15" customHeight="1" hidden="1">
      <c r="L4231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2" spans="12:16" ht="15" customHeight="1" hidden="1">
      <c r="L4232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3" spans="12:16" ht="15" customHeight="1" hidden="1">
      <c r="L4233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4" spans="12:16" ht="15" customHeight="1" hidden="1">
      <c r="L4234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5" spans="12:16" ht="15" customHeight="1" hidden="1">
      <c r="L4235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6" spans="12:16" ht="15" customHeight="1" hidden="1">
      <c r="L4236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7" spans="12:16" ht="15" customHeight="1" hidden="1">
      <c r="L4237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8" spans="12:16" ht="15" customHeight="1" hidden="1">
      <c r="L4238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39" spans="12:16" ht="15" customHeight="1" hidden="1">
      <c r="L4239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40" spans="12:16" ht="15" customHeight="1" hidden="1">
      <c r="L4240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41" spans="12:16" ht="15" customHeight="1" hidden="1">
      <c r="L4241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42" spans="12:16" ht="15" customHeight="1" hidden="1">
      <c r="L4242" s="60" t="str">
        <f t="shared" si="293"/>
        <v>-</v>
      </c>
      <c s="28">
        <f t="shared" si="291"/>
        <v>0</v>
      </c>
      <c s="28">
        <f t="shared" si="294"/>
        <v>0</v>
      </c>
      <c s="28">
        <f t="shared" si="292"/>
        <v>0</v>
      </c>
      <c s="28"/>
    </row>
    <row r="4243" spans="12:16" ht="15" customHeight="1" hidden="1">
      <c r="L4243" s="60" t="str">
        <f t="shared" si="293"/>
        <v>-</v>
      </c>
      <c s="28">
        <f t="shared" si="295" ref="M4243:M4306">IFERROR(VLOOKUP(L4243,$B$19:$E$80,4,FALSE),0)</f>
        <v>0</v>
      </c>
      <c s="28">
        <f t="shared" si="294"/>
        <v>0</v>
      </c>
      <c s="28">
        <f t="shared" si="296" ref="O4243:O4306">IFERROR(IF(ISNUMBER(N4242),N4242,$E$8)*IF(L4243&gt;=$J$8,$E$12,$E$12)/IF(MOD(YEAR(L4243),4),365,366)*IF(ISBLANK(L4242),L4243-$F$5,L4243-L4242),0)</f>
        <v>0</v>
      </c>
      <c s="28"/>
    </row>
    <row r="4244" spans="12:16" ht="15" customHeight="1" hidden="1">
      <c r="L4244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45" spans="12:16" ht="15" customHeight="1" hidden="1">
      <c r="L4245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46" spans="12:16" ht="15" customHeight="1" hidden="1">
      <c r="L4246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47" spans="12:16" ht="15" customHeight="1" hidden="1">
      <c r="L4247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48" spans="12:16" ht="15" customHeight="1" hidden="1">
      <c r="L4248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49" spans="12:16" ht="15" customHeight="1" hidden="1">
      <c r="L4249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0" spans="12:16" ht="15" customHeight="1" hidden="1">
      <c r="L4250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1" spans="12:16" ht="15" customHeight="1" hidden="1">
      <c r="L4251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2" spans="12:16" ht="15" customHeight="1" hidden="1">
      <c r="L4252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3" spans="12:16" ht="15" customHeight="1" hidden="1">
      <c r="L4253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4" spans="12:16" ht="15" customHeight="1" hidden="1">
      <c r="L4254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5" spans="12:16" ht="15" customHeight="1" hidden="1">
      <c r="L4255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6" spans="12:16" ht="15" customHeight="1" hidden="1">
      <c r="L4256" s="60" t="str">
        <f t="shared" si="293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7" spans="12:16" ht="15" customHeight="1" hidden="1">
      <c r="L4257" s="60" t="str">
        <f t="shared" si="297" ref="L4257:L4320">IFERROR(IF(MAX(L4256+1,$F$5+1)&gt;Дата_погашения_Займа,"-",MAX(L4256+1,$F$5+1)),"-")</f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8" spans="12:16" ht="15" customHeight="1" hidden="1">
      <c r="L4258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59" spans="12:16" ht="15" customHeight="1" hidden="1">
      <c r="L4259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60" spans="12:16" ht="15" customHeight="1" hidden="1">
      <c r="L4260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61" spans="12:16" ht="15" customHeight="1" hidden="1">
      <c r="L4261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62" spans="12:16" ht="15" customHeight="1" hidden="1">
      <c r="L4262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63" spans="12:16" ht="15" customHeight="1" hidden="1">
      <c r="L4263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64" spans="12:16" ht="15" customHeight="1" hidden="1">
      <c r="L4264" s="60" t="str">
        <f t="shared" si="297"/>
        <v>-</v>
      </c>
      <c s="28">
        <f t="shared" si="295"/>
        <v>0</v>
      </c>
      <c s="28">
        <f t="shared" si="294"/>
        <v>0</v>
      </c>
      <c s="28">
        <f t="shared" si="296"/>
        <v>0</v>
      </c>
      <c s="28"/>
    </row>
    <row r="4265" spans="12:16" ht="15" customHeight="1" hidden="1">
      <c r="L4265" s="60" t="str">
        <f t="shared" si="297"/>
        <v>-</v>
      </c>
      <c s="28">
        <f t="shared" si="295"/>
        <v>0</v>
      </c>
      <c s="28">
        <f t="shared" si="298" ref="N4265:N4328">IF(ISNUMBER(N4264),N4264-M4265,$E$8)</f>
        <v>0</v>
      </c>
      <c s="28">
        <f t="shared" si="296"/>
        <v>0</v>
      </c>
      <c s="28"/>
    </row>
    <row r="4266" spans="12:16" ht="15" customHeight="1" hidden="1">
      <c r="L4266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67" spans="12:16" ht="15" customHeight="1" hidden="1">
      <c r="L4267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68" spans="12:16" ht="15" customHeight="1" hidden="1">
      <c r="L4268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69" spans="12:16" ht="15" customHeight="1" hidden="1">
      <c r="L4269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0" spans="12:16" ht="15" customHeight="1" hidden="1">
      <c r="L4270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1" spans="12:16" ht="15" customHeight="1" hidden="1">
      <c r="L4271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2" spans="12:16" ht="15" customHeight="1" hidden="1">
      <c r="L4272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3" spans="12:16" ht="15" customHeight="1" hidden="1">
      <c r="L4273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4" spans="12:16" ht="15" customHeight="1" hidden="1">
      <c r="L4274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5" spans="12:16" ht="15" customHeight="1" hidden="1">
      <c r="L4275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6" spans="12:16" ht="15" customHeight="1" hidden="1">
      <c r="L4276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7" spans="12:16" ht="15" customHeight="1" hidden="1">
      <c r="L4277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8" spans="12:16" ht="15" customHeight="1" hidden="1">
      <c r="L4278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79" spans="12:16" ht="15" customHeight="1" hidden="1">
      <c r="L4279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0" spans="12:16" ht="15" customHeight="1" hidden="1">
      <c r="L4280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1" spans="12:16" ht="15" customHeight="1" hidden="1">
      <c r="L4281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2" spans="12:16" ht="15" customHeight="1" hidden="1">
      <c r="L4282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3" spans="12:16" ht="15" customHeight="1" hidden="1">
      <c r="L4283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4" spans="12:16" ht="15" customHeight="1" hidden="1">
      <c r="L4284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5" spans="12:16" ht="15" customHeight="1" hidden="1">
      <c r="L4285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6" spans="12:16" ht="15" customHeight="1" hidden="1">
      <c r="L4286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7" spans="12:16" ht="15" customHeight="1" hidden="1">
      <c r="L4287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8" spans="12:16" ht="15" customHeight="1" hidden="1">
      <c r="L4288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89" spans="12:16" ht="15" customHeight="1" hidden="1">
      <c r="L4289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0" spans="12:16" ht="15" customHeight="1" hidden="1">
      <c r="L4290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1" spans="12:16" ht="15" customHeight="1" hidden="1">
      <c r="L4291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2" spans="12:16" ht="15" customHeight="1" hidden="1">
      <c r="L4292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3" spans="12:16" ht="15" customHeight="1" hidden="1">
      <c r="L4293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4" spans="12:16" ht="15" customHeight="1" hidden="1">
      <c r="L4294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5" spans="12:16" ht="15" customHeight="1" hidden="1">
      <c r="L4295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6" spans="12:16" ht="15" customHeight="1" hidden="1">
      <c r="L4296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7" spans="12:16" ht="15" customHeight="1" hidden="1">
      <c r="L4297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8" spans="12:16" ht="15" customHeight="1" hidden="1">
      <c r="L4298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299" spans="12:16" ht="15" customHeight="1" hidden="1">
      <c r="L4299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0" spans="12:16" ht="15" customHeight="1" hidden="1">
      <c r="L4300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1" spans="12:16" ht="15" customHeight="1" hidden="1">
      <c r="L4301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2" spans="12:16" ht="15" customHeight="1" hidden="1">
      <c r="L4302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3" spans="12:16" ht="15" customHeight="1" hidden="1">
      <c r="L4303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4" spans="12:16" ht="15" customHeight="1" hidden="1">
      <c r="L4304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5" spans="12:16" ht="15" customHeight="1" hidden="1">
      <c r="L4305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6" spans="12:16" ht="15" customHeight="1" hidden="1">
      <c r="L4306" s="60" t="str">
        <f t="shared" si="297"/>
        <v>-</v>
      </c>
      <c s="28">
        <f t="shared" si="295"/>
        <v>0</v>
      </c>
      <c s="28">
        <f t="shared" si="298"/>
        <v>0</v>
      </c>
      <c s="28">
        <f t="shared" si="296"/>
        <v>0</v>
      </c>
      <c s="28"/>
    </row>
    <row r="4307" spans="12:16" ht="15" customHeight="1" hidden="1">
      <c r="L4307" s="60" t="str">
        <f t="shared" si="297"/>
        <v>-</v>
      </c>
      <c s="28">
        <f t="shared" si="299" ref="M4307:M4370">IFERROR(VLOOKUP(L4307,$B$19:$E$80,4,FALSE),0)</f>
        <v>0</v>
      </c>
      <c s="28">
        <f t="shared" si="298"/>
        <v>0</v>
      </c>
      <c s="28">
        <f t="shared" si="300" ref="O4307:O4370">IFERROR(IF(ISNUMBER(N4306),N4306,$E$8)*IF(L4307&gt;=$J$8,$E$12,$E$12)/IF(MOD(YEAR(L4307),4),365,366)*IF(ISBLANK(L4306),L4307-$F$5,L4307-L4306),0)</f>
        <v>0</v>
      </c>
      <c s="28"/>
    </row>
    <row r="4308" spans="12:16" ht="15" customHeight="1" hidden="1">
      <c r="L4308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09" spans="12:16" ht="15" customHeight="1" hidden="1">
      <c r="L4309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0" spans="12:16" ht="15" customHeight="1" hidden="1">
      <c r="L4310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1" spans="12:16" ht="15" customHeight="1" hidden="1">
      <c r="L4311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2" spans="12:16" ht="15" customHeight="1" hidden="1">
      <c r="L4312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3" spans="12:16" ht="15" customHeight="1" hidden="1">
      <c r="L4313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4" spans="12:16" ht="15" customHeight="1" hidden="1">
      <c r="L4314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5" spans="12:16" ht="15" customHeight="1" hidden="1">
      <c r="L4315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6" spans="12:16" ht="15" customHeight="1" hidden="1">
      <c r="L4316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7" spans="12:16" ht="15" customHeight="1" hidden="1">
      <c r="L4317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8" spans="12:16" ht="15" customHeight="1" hidden="1">
      <c r="L4318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19" spans="12:16" ht="15" customHeight="1" hidden="1">
      <c r="L4319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0" spans="12:16" ht="15" customHeight="1" hidden="1">
      <c r="L4320" s="60" t="str">
        <f t="shared" si="297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1" spans="12:16" ht="15" customHeight="1" hidden="1">
      <c r="L4321" s="60" t="str">
        <f t="shared" si="301" ref="L4321:L4384">IFERROR(IF(MAX(L4320+1,$F$5+1)&gt;Дата_погашения_Займа,"-",MAX(L4320+1,$F$5+1)),"-")</f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2" spans="12:16" ht="15" customHeight="1" hidden="1">
      <c r="L4322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3" spans="12:16" ht="15" customHeight="1" hidden="1">
      <c r="L4323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4" spans="12:16" ht="15" customHeight="1" hidden="1">
      <c r="L4324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5" spans="12:16" ht="15" customHeight="1" hidden="1">
      <c r="L4325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6" spans="12:16" ht="15" customHeight="1" hidden="1">
      <c r="L4326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7" spans="12:16" ht="15" customHeight="1" hidden="1">
      <c r="L4327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8" spans="12:16" ht="15" customHeight="1" hidden="1">
      <c r="L4328" s="60" t="str">
        <f t="shared" si="301"/>
        <v>-</v>
      </c>
      <c s="28">
        <f t="shared" si="299"/>
        <v>0</v>
      </c>
      <c s="28">
        <f t="shared" si="298"/>
        <v>0</v>
      </c>
      <c s="28">
        <f t="shared" si="300"/>
        <v>0</v>
      </c>
      <c s="28"/>
    </row>
    <row r="4329" spans="12:16" ht="15" customHeight="1" hidden="1">
      <c r="L4329" s="60" t="str">
        <f t="shared" si="301"/>
        <v>-</v>
      </c>
      <c s="28">
        <f t="shared" si="299"/>
        <v>0</v>
      </c>
      <c s="28">
        <f t="shared" si="302" ref="N4329:N4392">IF(ISNUMBER(N4328),N4328-M4329,$E$8)</f>
        <v>0</v>
      </c>
      <c s="28">
        <f t="shared" si="300"/>
        <v>0</v>
      </c>
      <c s="28"/>
    </row>
    <row r="4330" spans="12:16" ht="15" customHeight="1" hidden="1">
      <c r="L4330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1" spans="12:16" ht="15" customHeight="1" hidden="1">
      <c r="L4331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2" spans="12:16" ht="15" customHeight="1" hidden="1">
      <c r="L4332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3" spans="12:16" ht="15" customHeight="1" hidden="1">
      <c r="L4333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4" spans="12:16" ht="15" customHeight="1" hidden="1">
      <c r="L4334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5" spans="12:16" ht="15" customHeight="1" hidden="1">
      <c r="L4335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6" spans="12:16" ht="15" customHeight="1" hidden="1">
      <c r="L4336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7" spans="12:16" ht="15" customHeight="1" hidden="1">
      <c r="L4337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8" spans="12:16" ht="15" customHeight="1" hidden="1">
      <c r="L4338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39" spans="12:16" ht="15" customHeight="1" hidden="1">
      <c r="L4339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0" spans="12:16" ht="15" customHeight="1" hidden="1">
      <c r="L4340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1" spans="12:16" ht="15" customHeight="1" hidden="1">
      <c r="L4341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2" spans="12:16" ht="15" customHeight="1" hidden="1">
      <c r="L4342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3" spans="12:16" ht="15" customHeight="1" hidden="1">
      <c r="L4343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4" spans="12:16" ht="15" customHeight="1" hidden="1">
      <c r="L4344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5" spans="12:16" ht="15" customHeight="1" hidden="1">
      <c r="L4345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6" spans="12:16" ht="15" customHeight="1" hidden="1">
      <c r="L4346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7" spans="12:16" ht="15" customHeight="1" hidden="1">
      <c r="L4347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8" spans="12:16" ht="15" customHeight="1" hidden="1">
      <c r="L4348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49" spans="12:16" ht="15" customHeight="1" hidden="1">
      <c r="L4349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0" spans="12:16" ht="15" customHeight="1" hidden="1">
      <c r="L4350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1" spans="12:16" ht="15" customHeight="1" hidden="1">
      <c r="L4351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2" spans="12:16" ht="15" customHeight="1" hidden="1">
      <c r="L4352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3" spans="12:16" ht="15" customHeight="1" hidden="1">
      <c r="L4353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4" spans="12:16" ht="15" customHeight="1" hidden="1">
      <c r="L4354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5" spans="12:16" ht="15" customHeight="1" hidden="1">
      <c r="L4355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6" spans="12:16" ht="15" customHeight="1" hidden="1">
      <c r="L4356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7" spans="12:16" ht="15" customHeight="1" hidden="1">
      <c r="L4357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8" spans="12:16" ht="15" customHeight="1" hidden="1">
      <c r="L4358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59" spans="12:16" ht="15" customHeight="1" hidden="1">
      <c r="L4359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0" spans="12:16" ht="15" customHeight="1" hidden="1">
      <c r="L4360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1" spans="12:16" ht="15" customHeight="1" hidden="1">
      <c r="L4361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2" spans="12:16" ht="15" customHeight="1" hidden="1">
      <c r="L4362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3" spans="12:16" ht="15" customHeight="1" hidden="1">
      <c r="L4363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4" spans="12:16" ht="15" customHeight="1" hidden="1">
      <c r="L4364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5" spans="12:16" ht="15" customHeight="1" hidden="1">
      <c r="L4365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6" spans="12:16" ht="15" customHeight="1" hidden="1">
      <c r="L4366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7" spans="12:16" ht="15" customHeight="1" hidden="1">
      <c r="L4367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8" spans="12:16" ht="15" customHeight="1" hidden="1">
      <c r="L4368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69" spans="12:16" ht="15" customHeight="1" hidden="1">
      <c r="L4369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70" spans="12:16" ht="15" customHeight="1" hidden="1">
      <c r="L4370" s="60" t="str">
        <f t="shared" si="301"/>
        <v>-</v>
      </c>
      <c s="28">
        <f t="shared" si="299"/>
        <v>0</v>
      </c>
      <c s="28">
        <f t="shared" si="302"/>
        <v>0</v>
      </c>
      <c s="28">
        <f t="shared" si="300"/>
        <v>0</v>
      </c>
      <c s="28"/>
    </row>
    <row r="4371" spans="12:16" ht="15" customHeight="1" hidden="1">
      <c r="L4371" s="60" t="str">
        <f t="shared" si="301"/>
        <v>-</v>
      </c>
      <c s="28">
        <f t="shared" si="303" ref="M4371:M4434">IFERROR(VLOOKUP(L4371,$B$19:$E$80,4,FALSE),0)</f>
        <v>0</v>
      </c>
      <c s="28">
        <f t="shared" si="302"/>
        <v>0</v>
      </c>
      <c s="28">
        <f t="shared" si="304" ref="O4371:O4434">IFERROR(IF(ISNUMBER(N4370),N4370,$E$8)*IF(L4371&gt;=$J$8,$E$12,$E$12)/IF(MOD(YEAR(L4371),4),365,366)*IF(ISBLANK(L4370),L4371-$F$5,L4371-L4370),0)</f>
        <v>0</v>
      </c>
      <c s="28"/>
    </row>
    <row r="4372" spans="12:16" ht="15" customHeight="1" hidden="1">
      <c r="L4372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3" spans="12:16" ht="15" customHeight="1" hidden="1">
      <c r="L4373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4" spans="12:16" ht="15" customHeight="1" hidden="1">
      <c r="L4374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5" spans="12:16" ht="15" customHeight="1" hidden="1">
      <c r="L4375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6" spans="12:16" ht="15" customHeight="1" hidden="1">
      <c r="L4376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7" spans="12:16" ht="15" customHeight="1" hidden="1">
      <c r="L4377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8" spans="12:16" ht="15" customHeight="1" hidden="1">
      <c r="L4378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79" spans="12:16" ht="15" customHeight="1" hidden="1">
      <c r="L4379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0" spans="12:16" ht="15" customHeight="1" hidden="1">
      <c r="L4380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1" spans="12:16" ht="15" customHeight="1" hidden="1">
      <c r="L4381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2" spans="12:16" ht="15" customHeight="1" hidden="1">
      <c r="L4382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3" spans="12:16" ht="15" customHeight="1" hidden="1">
      <c r="L4383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4" spans="12:16" ht="15" customHeight="1" hidden="1">
      <c r="L4384" s="60" t="str">
        <f t="shared" si="301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5" spans="12:16" ht="15" customHeight="1" hidden="1">
      <c r="L4385" s="60" t="str">
        <f t="shared" si="305" ref="L4385:L4448">IFERROR(IF(MAX(L4384+1,$F$5+1)&gt;Дата_погашения_Займа,"-",MAX(L4384+1,$F$5+1)),"-")</f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6" spans="12:16" ht="15" customHeight="1" hidden="1">
      <c r="L4386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7" spans="12:16" ht="15" customHeight="1" hidden="1">
      <c r="L4387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8" spans="12:16" ht="15" customHeight="1" hidden="1">
      <c r="L4388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89" spans="12:16" ht="15" customHeight="1" hidden="1">
      <c r="L4389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90" spans="12:16" ht="15" customHeight="1" hidden="1">
      <c r="L4390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91" spans="12:16" ht="15" customHeight="1" hidden="1">
      <c r="L4391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92" spans="12:16" ht="15" customHeight="1" hidden="1">
      <c r="L4392" s="60" t="str">
        <f t="shared" si="305"/>
        <v>-</v>
      </c>
      <c s="28">
        <f t="shared" si="303"/>
        <v>0</v>
      </c>
      <c s="28">
        <f t="shared" si="302"/>
        <v>0</v>
      </c>
      <c s="28">
        <f t="shared" si="304"/>
        <v>0</v>
      </c>
      <c s="28"/>
    </row>
    <row r="4393" spans="12:16" ht="15" customHeight="1" hidden="1">
      <c r="L4393" s="60" t="str">
        <f t="shared" si="305"/>
        <v>-</v>
      </c>
      <c s="28">
        <f t="shared" si="303"/>
        <v>0</v>
      </c>
      <c s="28">
        <f t="shared" si="306" ref="N4393:N4456">IF(ISNUMBER(N4392),N4392-M4393,$E$8)</f>
        <v>0</v>
      </c>
      <c s="28">
        <f t="shared" si="304"/>
        <v>0</v>
      </c>
      <c s="28"/>
    </row>
    <row r="4394" spans="12:16" ht="15" customHeight="1" hidden="1">
      <c r="L4394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395" spans="12:16" ht="15" customHeight="1" hidden="1">
      <c r="L4395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396" spans="12:16" ht="15" customHeight="1" hidden="1">
      <c r="L4396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397" spans="12:16" ht="15" customHeight="1" hidden="1">
      <c r="L4397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398" spans="12:16" ht="15" customHeight="1" hidden="1">
      <c r="L4398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399" spans="12:16" ht="15" customHeight="1" hidden="1">
      <c r="L4399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0" spans="12:16" ht="15" customHeight="1" hidden="1">
      <c r="L4400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1" spans="12:16" ht="15" customHeight="1" hidden="1">
      <c r="L4401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2" spans="12:16" ht="15" customHeight="1" hidden="1">
      <c r="L4402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3" spans="12:16" ht="15" customHeight="1" hidden="1">
      <c r="L4403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4" spans="12:16" ht="15" customHeight="1" hidden="1">
      <c r="L4404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5" spans="12:16" ht="15" customHeight="1" hidden="1">
      <c r="L4405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6" spans="12:16" ht="15" customHeight="1" hidden="1">
      <c r="L4406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7" spans="12:16" ht="15" customHeight="1" hidden="1">
      <c r="L4407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8" spans="12:16" ht="15" customHeight="1" hidden="1">
      <c r="L4408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09" spans="12:16" ht="15" customHeight="1" hidden="1">
      <c r="L4409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0" spans="12:16" ht="15" customHeight="1" hidden="1">
      <c r="L4410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1" spans="12:16" ht="15" customHeight="1" hidden="1">
      <c r="L4411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2" spans="12:16" ht="15" customHeight="1" hidden="1">
      <c r="L4412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3" spans="12:16" ht="15" customHeight="1" hidden="1">
      <c r="L4413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4" spans="12:16" ht="15" customHeight="1" hidden="1">
      <c r="L4414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5" spans="12:16" ht="15" customHeight="1" hidden="1">
      <c r="L4415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6" spans="12:16" ht="15" customHeight="1" hidden="1">
      <c r="L4416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7" spans="12:16" ht="15" customHeight="1" hidden="1">
      <c r="L4417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8" spans="12:16" ht="15" customHeight="1" hidden="1">
      <c r="L4418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19" spans="12:16" ht="15" customHeight="1" hidden="1">
      <c r="L4419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0" spans="12:16" ht="15" customHeight="1" hidden="1">
      <c r="L4420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1" spans="12:16" ht="15" customHeight="1" hidden="1">
      <c r="L4421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2" spans="12:16" ht="15" customHeight="1" hidden="1">
      <c r="L4422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3" spans="12:16" ht="15" customHeight="1" hidden="1">
      <c r="L4423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4" spans="12:16" ht="15" customHeight="1" hidden="1">
      <c r="L4424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5" spans="12:16" ht="15" customHeight="1" hidden="1">
      <c r="L4425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6" spans="12:16" ht="15" customHeight="1" hidden="1">
      <c r="L4426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7" spans="12:16" ht="15" customHeight="1" hidden="1">
      <c r="L4427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8" spans="12:16" ht="15" customHeight="1" hidden="1">
      <c r="L4428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29" spans="12:16" ht="15" customHeight="1" hidden="1">
      <c r="L4429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30" spans="12:16" ht="15" customHeight="1" hidden="1">
      <c r="L4430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31" spans="12:16" ht="15" customHeight="1" hidden="1">
      <c r="L4431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32" spans="12:16" ht="15" customHeight="1" hidden="1">
      <c r="L4432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33" spans="12:16" ht="15" customHeight="1" hidden="1">
      <c r="L4433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34" spans="12:16" ht="15" customHeight="1" hidden="1">
      <c r="L4434" s="60" t="str">
        <f t="shared" si="305"/>
        <v>-</v>
      </c>
      <c s="28">
        <f t="shared" si="303"/>
        <v>0</v>
      </c>
      <c s="28">
        <f t="shared" si="306"/>
        <v>0</v>
      </c>
      <c s="28">
        <f t="shared" si="304"/>
        <v>0</v>
      </c>
      <c s="28"/>
    </row>
    <row r="4435" spans="12:16" ht="15" customHeight="1" hidden="1">
      <c r="L4435" s="60" t="str">
        <f t="shared" si="305"/>
        <v>-</v>
      </c>
      <c s="28">
        <f t="shared" si="307" ref="M4435:M4498">IFERROR(VLOOKUP(L4435,$B$19:$E$80,4,FALSE),0)</f>
        <v>0</v>
      </c>
      <c s="28">
        <f t="shared" si="306"/>
        <v>0</v>
      </c>
      <c s="28">
        <f t="shared" si="308" ref="O4435:O4498">IFERROR(IF(ISNUMBER(N4434),N4434,$E$8)*IF(L4435&gt;=$J$8,$E$12,$E$12)/IF(MOD(YEAR(L4435),4),365,366)*IF(ISBLANK(L4434),L4435-$F$5,L4435-L4434),0)</f>
        <v>0</v>
      </c>
      <c s="28"/>
    </row>
    <row r="4436" spans="12:16" ht="15" customHeight="1" hidden="1">
      <c r="L4436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37" spans="12:16" ht="15" customHeight="1" hidden="1">
      <c r="L4437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38" spans="12:16" ht="15" customHeight="1" hidden="1">
      <c r="L4438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39" spans="12:16" ht="15" customHeight="1" hidden="1">
      <c r="L4439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0" spans="12:16" ht="15" customHeight="1" hidden="1">
      <c r="L4440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1" spans="12:16" ht="15" customHeight="1" hidden="1">
      <c r="L4441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2" spans="12:16" ht="15" customHeight="1" hidden="1">
      <c r="L4442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3" spans="12:16" ht="15" customHeight="1" hidden="1">
      <c r="L4443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4" spans="12:16" ht="15" customHeight="1" hidden="1">
      <c r="L4444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5" spans="12:16" ht="15" customHeight="1" hidden="1">
      <c r="L4445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6" spans="12:16" ht="15" customHeight="1" hidden="1">
      <c r="L4446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7" spans="12:16" ht="15" customHeight="1" hidden="1">
      <c r="L4447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8" spans="12:16" ht="15" customHeight="1" hidden="1">
      <c r="L4448" s="60" t="str">
        <f t="shared" si="305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49" spans="12:16" ht="15" customHeight="1" hidden="1">
      <c r="L4449" s="60" t="str">
        <f t="shared" si="309" ref="L4449:L4512">IFERROR(IF(MAX(L4448+1,$F$5+1)&gt;Дата_погашения_Займа,"-",MAX(L4448+1,$F$5+1)),"-")</f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0" spans="12:16" ht="15" customHeight="1" hidden="1">
      <c r="L4450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1" spans="12:16" ht="15" customHeight="1" hidden="1">
      <c r="L4451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2" spans="12:16" ht="15" customHeight="1" hidden="1">
      <c r="L4452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3" spans="12:16" ht="15" customHeight="1" hidden="1">
      <c r="L4453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4" spans="12:16" ht="15" customHeight="1" hidden="1">
      <c r="L4454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5" spans="12:16" ht="15" customHeight="1" hidden="1">
      <c r="L4455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6" spans="12:16" ht="15" customHeight="1" hidden="1">
      <c r="L4456" s="60" t="str">
        <f t="shared" si="309"/>
        <v>-</v>
      </c>
      <c s="28">
        <f t="shared" si="307"/>
        <v>0</v>
      </c>
      <c s="28">
        <f t="shared" si="306"/>
        <v>0</v>
      </c>
      <c s="28">
        <f t="shared" si="308"/>
        <v>0</v>
      </c>
      <c s="28"/>
    </row>
    <row r="4457" spans="12:16" ht="15" customHeight="1" hidden="1">
      <c r="L4457" s="60" t="str">
        <f t="shared" si="309"/>
        <v>-</v>
      </c>
      <c s="28">
        <f t="shared" si="307"/>
        <v>0</v>
      </c>
      <c s="28">
        <f t="shared" si="310" ref="N4457:N4520">IF(ISNUMBER(N4456),N4456-M4457,$E$8)</f>
        <v>0</v>
      </c>
      <c s="28">
        <f t="shared" si="308"/>
        <v>0</v>
      </c>
      <c s="28"/>
    </row>
    <row r="4458" spans="12:16" ht="15" customHeight="1" hidden="1">
      <c r="L4458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59" spans="12:16" ht="15" customHeight="1" hidden="1">
      <c r="L4459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0" spans="12:16" ht="15" customHeight="1" hidden="1">
      <c r="L4460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1" spans="12:16" ht="15" customHeight="1" hidden="1">
      <c r="L4461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2" spans="12:16" ht="15" customHeight="1" hidden="1">
      <c r="L4462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3" spans="12:16" ht="15" customHeight="1" hidden="1">
      <c r="L4463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4" spans="12:16" ht="15" customHeight="1" hidden="1">
      <c r="L4464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5" spans="12:16" ht="15" customHeight="1" hidden="1">
      <c r="L4465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6" spans="12:16" ht="15" customHeight="1" hidden="1">
      <c r="L4466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7" spans="12:16" ht="15" customHeight="1" hidden="1">
      <c r="L4467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8" spans="12:16" ht="15" customHeight="1" hidden="1">
      <c r="L4468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69" spans="12:16" ht="15" customHeight="1" hidden="1">
      <c r="L4469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0" spans="12:16" ht="15" customHeight="1" hidden="1">
      <c r="L4470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1" spans="12:16" ht="15" customHeight="1" hidden="1">
      <c r="L4471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2" spans="12:16" ht="15" customHeight="1" hidden="1">
      <c r="L4472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3" spans="12:16" ht="15" customHeight="1" hidden="1">
      <c r="L4473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4" spans="12:16" ht="15" customHeight="1" hidden="1">
      <c r="L4474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5" spans="12:16" ht="15" customHeight="1" hidden="1">
      <c r="L4475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6" spans="12:16" ht="15" customHeight="1" hidden="1">
      <c r="L4476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7" spans="12:16" ht="15" customHeight="1" hidden="1">
      <c r="L4477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8" spans="12:16" ht="15" customHeight="1" hidden="1">
      <c r="L4478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79" spans="12:16" ht="15" customHeight="1" hidden="1">
      <c r="L4479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0" spans="12:16" ht="15" customHeight="1" hidden="1">
      <c r="L4480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1" spans="12:16" ht="15" customHeight="1" hidden="1">
      <c r="L4481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2" spans="12:16" ht="15" customHeight="1" hidden="1">
      <c r="L4482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3" spans="12:16" ht="15" customHeight="1" hidden="1">
      <c r="L4483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4" spans="12:16" ht="15" customHeight="1" hidden="1">
      <c r="L4484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5" spans="12:16" ht="15" customHeight="1" hidden="1">
      <c r="L4485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6" spans="12:16" ht="15" customHeight="1" hidden="1">
      <c r="L4486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7" spans="12:16" ht="15" customHeight="1" hidden="1">
      <c r="L4487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8" spans="12:16" ht="15" customHeight="1" hidden="1">
      <c r="L4488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89" spans="12:16" ht="15" customHeight="1" hidden="1">
      <c r="L4489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0" spans="12:16" ht="15" customHeight="1" hidden="1">
      <c r="L4490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1" spans="12:16" ht="15" customHeight="1" hidden="1">
      <c r="L4491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2" spans="12:16" ht="15" customHeight="1" hidden="1">
      <c r="L4492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3" spans="12:16" ht="15" customHeight="1" hidden="1">
      <c r="L4493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4" spans="12:16" ht="15" customHeight="1" hidden="1">
      <c r="L4494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5" spans="12:16" ht="15" customHeight="1" hidden="1">
      <c r="L4495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6" spans="12:16" ht="15" customHeight="1" hidden="1">
      <c r="L4496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7" spans="12:16" ht="15" customHeight="1" hidden="1">
      <c r="L4497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8" spans="12:16" ht="15" customHeight="1" hidden="1">
      <c r="L4498" s="60" t="str">
        <f t="shared" si="309"/>
        <v>-</v>
      </c>
      <c s="28">
        <f t="shared" si="307"/>
        <v>0</v>
      </c>
      <c s="28">
        <f t="shared" si="310"/>
        <v>0</v>
      </c>
      <c s="28">
        <f t="shared" si="308"/>
        <v>0</v>
      </c>
      <c s="28"/>
    </row>
    <row r="4499" spans="12:16" ht="15" customHeight="1" hidden="1">
      <c r="L4499" s="60" t="str">
        <f t="shared" si="309"/>
        <v>-</v>
      </c>
      <c s="28">
        <f t="shared" si="311" ref="M4499:M4562">IFERROR(VLOOKUP(L4499,$B$19:$E$80,4,FALSE),0)</f>
        <v>0</v>
      </c>
      <c s="28">
        <f t="shared" si="310"/>
        <v>0</v>
      </c>
      <c s="28">
        <f t="shared" si="312" ref="O4499:O4562">IFERROR(IF(ISNUMBER(N4498),N4498,$E$8)*IF(L4499&gt;=$J$8,$E$12,$E$12)/IF(MOD(YEAR(L4499),4),365,366)*IF(ISBLANK(L4498),L4499-$F$5,L4499-L4498),0)</f>
        <v>0</v>
      </c>
      <c s="28"/>
    </row>
    <row r="4500" spans="12:16" ht="15" customHeight="1" hidden="1">
      <c r="L4500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1" spans="12:16" ht="15" customHeight="1" hidden="1">
      <c r="L4501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2" spans="12:16" ht="15" customHeight="1" hidden="1">
      <c r="L4502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3" spans="12:16" ht="15" customHeight="1" hidden="1">
      <c r="L4503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4" spans="12:16" ht="15" customHeight="1" hidden="1">
      <c r="L4504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5" spans="12:16" ht="15" customHeight="1" hidden="1">
      <c r="L4505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6" spans="12:16" ht="15" customHeight="1" hidden="1">
      <c r="L4506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7" spans="12:16" ht="15" customHeight="1" hidden="1">
      <c r="L4507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8" spans="12:16" ht="15" customHeight="1" hidden="1">
      <c r="L4508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09" spans="12:16" ht="15" customHeight="1" hidden="1">
      <c r="L4509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0" spans="12:16" ht="15" customHeight="1" hidden="1">
      <c r="L4510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1" spans="12:16" ht="15" customHeight="1" hidden="1">
      <c r="L4511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2" spans="12:16" ht="15" customHeight="1" hidden="1">
      <c r="L4512" s="60" t="str">
        <f t="shared" si="309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3" spans="12:16" ht="15" customHeight="1" hidden="1">
      <c r="L4513" s="60" t="str">
        <f t="shared" si="313" ref="L4513:L4576">IFERROR(IF(MAX(L4512+1,$F$5+1)&gt;Дата_погашения_Займа,"-",MAX(L4512+1,$F$5+1)),"-")</f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4" spans="12:16" ht="15" customHeight="1" hidden="1">
      <c r="L4514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5" spans="12:16" ht="15" customHeight="1" hidden="1">
      <c r="L4515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6" spans="12:16" ht="15" customHeight="1" hidden="1">
      <c r="L4516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7" spans="12:16" ht="15" customHeight="1" hidden="1">
      <c r="L4517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8" spans="12:16" ht="15" customHeight="1" hidden="1">
      <c r="L4518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19" spans="12:16" ht="15" customHeight="1" hidden="1">
      <c r="L4519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20" spans="12:16" ht="15" customHeight="1" hidden="1">
      <c r="L4520" s="60" t="str">
        <f t="shared" si="313"/>
        <v>-</v>
      </c>
      <c s="28">
        <f t="shared" si="311"/>
        <v>0</v>
      </c>
      <c s="28">
        <f t="shared" si="310"/>
        <v>0</v>
      </c>
      <c s="28">
        <f t="shared" si="312"/>
        <v>0</v>
      </c>
      <c s="28"/>
    </row>
    <row r="4521" spans="12:16" ht="15" customHeight="1" hidden="1">
      <c r="L4521" s="60" t="str">
        <f t="shared" si="313"/>
        <v>-</v>
      </c>
      <c s="28">
        <f t="shared" si="311"/>
        <v>0</v>
      </c>
      <c s="28">
        <f t="shared" si="314" ref="N4521:N4584">IF(ISNUMBER(N4520),N4520-M4521,$E$8)</f>
        <v>0</v>
      </c>
      <c s="28">
        <f t="shared" si="312"/>
        <v>0</v>
      </c>
      <c s="28"/>
    </row>
    <row r="4522" spans="12:16" ht="15" customHeight="1" hidden="1">
      <c r="L4522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3" spans="12:16" ht="15" customHeight="1" hidden="1">
      <c r="L4523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4" spans="12:16" ht="15" customHeight="1" hidden="1">
      <c r="L4524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5" spans="12:16" ht="15" customHeight="1" hidden="1">
      <c r="L4525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6" spans="12:16" ht="15" customHeight="1" hidden="1">
      <c r="L4526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7" spans="12:16" ht="15" customHeight="1" hidden="1">
      <c r="L4527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8" spans="12:16" ht="15" customHeight="1" hidden="1">
      <c r="L4528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29" spans="12:16" ht="15" customHeight="1" hidden="1">
      <c r="L4529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0" spans="12:16" ht="15" customHeight="1" hidden="1">
      <c r="L4530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1" spans="12:16" ht="15" customHeight="1" hidden="1">
      <c r="L4531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2" spans="12:16" ht="15" customHeight="1" hidden="1">
      <c r="L4532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3" spans="12:16" ht="15" customHeight="1" hidden="1">
      <c r="L4533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4" spans="12:16" ht="15" customHeight="1" hidden="1">
      <c r="L4534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5" spans="12:16" ht="15" customHeight="1" hidden="1">
      <c r="L4535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6" spans="12:16" ht="15" customHeight="1" hidden="1">
      <c r="L4536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7" spans="12:16" ht="15" customHeight="1" hidden="1">
      <c r="L4537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8" spans="12:16" ht="15" customHeight="1" hidden="1">
      <c r="L4538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39" spans="12:16" ht="15" customHeight="1" hidden="1">
      <c r="L4539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0" spans="12:16" ht="15" customHeight="1" hidden="1">
      <c r="L4540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1" spans="12:16" ht="15" customHeight="1" hidden="1">
      <c r="L4541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2" spans="12:16" ht="15" customHeight="1" hidden="1">
      <c r="L4542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3" spans="12:16" ht="15" customHeight="1" hidden="1">
      <c r="L4543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4" spans="12:16" ht="15" customHeight="1" hidden="1">
      <c r="L4544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5" spans="12:16" ht="15" customHeight="1" hidden="1">
      <c r="L4545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6" spans="12:16" ht="15" customHeight="1" hidden="1">
      <c r="L4546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7" spans="12:16" ht="15" customHeight="1" hidden="1">
      <c r="L4547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8" spans="12:16" ht="15" customHeight="1" hidden="1">
      <c r="L4548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49" spans="12:16" ht="15" customHeight="1" hidden="1">
      <c r="L4549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0" spans="12:16" ht="15" customHeight="1" hidden="1">
      <c r="L4550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1" spans="12:16" ht="15" customHeight="1" hidden="1">
      <c r="L4551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2" spans="12:16" ht="15" customHeight="1" hidden="1">
      <c r="L4552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3" spans="12:16" ht="15" customHeight="1" hidden="1">
      <c r="L4553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4" spans="12:16" ht="15" customHeight="1" hidden="1">
      <c r="L4554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5" spans="12:16" ht="15" customHeight="1" hidden="1">
      <c r="L4555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6" spans="12:16" ht="15" customHeight="1" hidden="1">
      <c r="L4556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7" spans="12:16" ht="15" customHeight="1" hidden="1">
      <c r="L4557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8" spans="12:16" ht="15" customHeight="1" hidden="1">
      <c r="L4558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59" spans="12:16" ht="15" customHeight="1" hidden="1">
      <c r="L4559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60" spans="12:16" ht="15" customHeight="1" hidden="1">
      <c r="L4560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61" spans="12:16" ht="15" customHeight="1" hidden="1">
      <c r="L4561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62" spans="12:16" ht="15" customHeight="1" hidden="1">
      <c r="L4562" s="60" t="str">
        <f t="shared" si="313"/>
        <v>-</v>
      </c>
      <c s="28">
        <f t="shared" si="311"/>
        <v>0</v>
      </c>
      <c s="28">
        <f t="shared" si="314"/>
        <v>0</v>
      </c>
      <c s="28">
        <f t="shared" si="312"/>
        <v>0</v>
      </c>
      <c s="28"/>
    </row>
    <row r="4563" spans="12:16" ht="15" customHeight="1" hidden="1">
      <c r="L4563" s="60" t="str">
        <f t="shared" si="313"/>
        <v>-</v>
      </c>
      <c s="28">
        <f t="shared" si="315" ref="M4563:M4626">IFERROR(VLOOKUP(L4563,$B$19:$E$80,4,FALSE),0)</f>
        <v>0</v>
      </c>
      <c s="28">
        <f t="shared" si="314"/>
        <v>0</v>
      </c>
      <c s="28">
        <f t="shared" si="316" ref="O4563:O4626">IFERROR(IF(ISNUMBER(N4562),N4562,$E$8)*IF(L4563&gt;=$J$8,$E$12,$E$12)/IF(MOD(YEAR(L4563),4),365,366)*IF(ISBLANK(L4562),L4563-$F$5,L4563-L4562),0)</f>
        <v>0</v>
      </c>
      <c s="28"/>
    </row>
    <row r="4564" spans="12:16" ht="15" customHeight="1" hidden="1">
      <c r="L4564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65" spans="12:16" ht="15" customHeight="1" hidden="1">
      <c r="L4565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66" spans="12:16" ht="15" customHeight="1" hidden="1">
      <c r="L4566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67" spans="12:16" ht="15" customHeight="1" hidden="1">
      <c r="L4567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68" spans="12:16" ht="15" customHeight="1" hidden="1">
      <c r="L4568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69" spans="12:16" ht="15" customHeight="1" hidden="1">
      <c r="L4569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0" spans="12:16" ht="15" customHeight="1" hidden="1">
      <c r="L4570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1" spans="12:16" ht="15" customHeight="1" hidden="1">
      <c r="L4571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2" spans="12:16" ht="15" customHeight="1" hidden="1">
      <c r="L4572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3" spans="12:16" ht="15" customHeight="1" hidden="1">
      <c r="L4573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4" spans="12:16" ht="15" customHeight="1" hidden="1">
      <c r="L4574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5" spans="12:16" ht="15" customHeight="1" hidden="1">
      <c r="L4575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6" spans="12:16" ht="15" customHeight="1" hidden="1">
      <c r="L4576" s="60" t="str">
        <f t="shared" si="313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7" spans="12:16" ht="15" customHeight="1" hidden="1">
      <c r="L4577" s="60" t="str">
        <f t="shared" si="317" ref="L4577:L4640">IFERROR(IF(MAX(L4576+1,$F$5+1)&gt;Дата_погашения_Займа,"-",MAX(L4576+1,$F$5+1)),"-")</f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8" spans="12:16" ht="15" customHeight="1" hidden="1">
      <c r="L4578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79" spans="12:16" ht="15" customHeight="1" hidden="1">
      <c r="L4579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80" spans="12:16" ht="15" customHeight="1" hidden="1">
      <c r="L4580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81" spans="12:16" ht="15" customHeight="1" hidden="1">
      <c r="L4581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82" spans="12:16" ht="15" customHeight="1" hidden="1">
      <c r="L4582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83" spans="12:16" ht="15" customHeight="1" hidden="1">
      <c r="L4583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84" spans="12:16" ht="15" customHeight="1" hidden="1">
      <c r="L4584" s="60" t="str">
        <f t="shared" si="317"/>
        <v>-</v>
      </c>
      <c s="28">
        <f t="shared" si="315"/>
        <v>0</v>
      </c>
      <c s="28">
        <f t="shared" si="314"/>
        <v>0</v>
      </c>
      <c s="28">
        <f t="shared" si="316"/>
        <v>0</v>
      </c>
      <c s="28"/>
    </row>
    <row r="4585" spans="12:16" ht="15" customHeight="1" hidden="1">
      <c r="L4585" s="60" t="str">
        <f t="shared" si="317"/>
        <v>-</v>
      </c>
      <c s="28">
        <f t="shared" si="315"/>
        <v>0</v>
      </c>
      <c s="28">
        <f t="shared" si="318" ref="N4585:N4648">IF(ISNUMBER(N4584),N4584-M4585,$E$8)</f>
        <v>0</v>
      </c>
      <c s="28">
        <f t="shared" si="316"/>
        <v>0</v>
      </c>
      <c s="28"/>
    </row>
    <row r="4586" spans="12:16" ht="15" customHeight="1" hidden="1">
      <c r="L4586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87" spans="12:16" ht="15" customHeight="1" hidden="1">
      <c r="L4587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88" spans="12:16" ht="15" customHeight="1" hidden="1">
      <c r="L4588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89" spans="12:16" ht="15" customHeight="1" hidden="1">
      <c r="L4589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0" spans="12:16" ht="15" customHeight="1" hidden="1">
      <c r="L4590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1" spans="12:16" ht="15" customHeight="1" hidden="1">
      <c r="L4591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2" spans="12:16" ht="15" customHeight="1" hidden="1">
      <c r="L4592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3" spans="12:16" ht="15" customHeight="1" hidden="1">
      <c r="L4593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4" spans="12:16" ht="15" customHeight="1" hidden="1">
      <c r="L4594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5" spans="12:16" ht="15" customHeight="1" hidden="1">
      <c r="L4595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6" spans="12:16" ht="15" customHeight="1" hidden="1">
      <c r="L4596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7" spans="12:16" ht="15" customHeight="1" hidden="1">
      <c r="L4597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8" spans="12:16" ht="15" customHeight="1" hidden="1">
      <c r="L4598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599" spans="12:16" ht="15" customHeight="1" hidden="1">
      <c r="L4599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0" spans="12:16" ht="15" customHeight="1" hidden="1">
      <c r="L4600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1" spans="12:16" ht="15" customHeight="1" hidden="1">
      <c r="L4601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2" spans="12:16" ht="15" customHeight="1" hidden="1">
      <c r="L4602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3" spans="12:16" ht="15" customHeight="1" hidden="1">
      <c r="L4603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4" spans="12:16" ht="15" customHeight="1" hidden="1">
      <c r="L4604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5" spans="12:16" ht="15" customHeight="1" hidden="1">
      <c r="L4605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6" spans="12:16" ht="15" customHeight="1" hidden="1">
      <c r="L4606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7" spans="12:16" ht="15" customHeight="1" hidden="1">
      <c r="L4607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8" spans="12:16" ht="15" customHeight="1" hidden="1">
      <c r="L4608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09" spans="12:16" ht="15" customHeight="1" hidden="1">
      <c r="L4609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0" spans="12:16" ht="15" customHeight="1" hidden="1">
      <c r="L4610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1" spans="12:16" ht="15" customHeight="1" hidden="1">
      <c r="L4611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2" spans="12:16" ht="15" customHeight="1" hidden="1">
      <c r="L4612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3" spans="12:16" ht="15" customHeight="1" hidden="1">
      <c r="L4613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4" spans="12:16" ht="15" customHeight="1" hidden="1">
      <c r="L4614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5" spans="12:16" ht="15" customHeight="1" hidden="1">
      <c r="L4615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6" spans="12:16" ht="15" customHeight="1" hidden="1">
      <c r="L4616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7" spans="12:16" ht="15" customHeight="1" hidden="1">
      <c r="L4617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8" spans="12:16" ht="15" customHeight="1" hidden="1">
      <c r="L4618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19" spans="12:16" ht="15" customHeight="1" hidden="1">
      <c r="L4619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0" spans="12:16" ht="15" customHeight="1" hidden="1">
      <c r="L4620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1" spans="12:16" ht="15" customHeight="1" hidden="1">
      <c r="L4621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2" spans="12:16" ht="15" customHeight="1" hidden="1">
      <c r="L4622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3" spans="12:16" ht="15" customHeight="1" hidden="1">
      <c r="L4623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4" spans="12:16" ht="15" customHeight="1" hidden="1">
      <c r="L4624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5" spans="12:16" ht="15" customHeight="1" hidden="1">
      <c r="L4625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6" spans="12:16" ht="15" customHeight="1" hidden="1">
      <c r="L4626" s="60" t="str">
        <f t="shared" si="317"/>
        <v>-</v>
      </c>
      <c s="28">
        <f t="shared" si="315"/>
        <v>0</v>
      </c>
      <c s="28">
        <f t="shared" si="318"/>
        <v>0</v>
      </c>
      <c s="28">
        <f t="shared" si="316"/>
        <v>0</v>
      </c>
      <c s="28"/>
    </row>
    <row r="4627" spans="12:16" ht="15" customHeight="1" hidden="1">
      <c r="L4627" s="60" t="str">
        <f t="shared" si="317"/>
        <v>-</v>
      </c>
      <c s="28">
        <f t="shared" si="319" ref="M4627:M4690">IFERROR(VLOOKUP(L4627,$B$19:$E$80,4,FALSE),0)</f>
        <v>0</v>
      </c>
      <c s="28">
        <f t="shared" si="318"/>
        <v>0</v>
      </c>
      <c s="28">
        <f t="shared" si="320" ref="O4627:O4690">IFERROR(IF(ISNUMBER(N4626),N4626,$E$8)*IF(L4627&gt;=$J$8,$E$12,$E$12)/IF(MOD(YEAR(L4627),4),365,366)*IF(ISBLANK(L4626),L4627-$F$5,L4627-L4626),0)</f>
        <v>0</v>
      </c>
      <c s="28"/>
    </row>
    <row r="4628" spans="12:16" ht="15" customHeight="1" hidden="1">
      <c r="L4628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29" spans="12:16" ht="15" customHeight="1" hidden="1">
      <c r="L4629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0" spans="12:16" ht="15" customHeight="1" hidden="1">
      <c r="L4630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1" spans="12:16" ht="15" customHeight="1" hidden="1">
      <c r="L4631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2" spans="12:16" ht="15" customHeight="1" hidden="1">
      <c r="L4632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3" spans="12:16" ht="15" customHeight="1" hidden="1">
      <c r="L4633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4" spans="12:16" ht="15" customHeight="1" hidden="1">
      <c r="L4634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5" spans="12:16" ht="15" customHeight="1" hidden="1">
      <c r="L4635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6" spans="12:16" ht="15" customHeight="1" hidden="1">
      <c r="L4636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7" spans="12:16" ht="15" customHeight="1" hidden="1">
      <c r="L4637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8" spans="12:16" ht="15" customHeight="1" hidden="1">
      <c r="L4638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39" spans="12:16" ht="15" customHeight="1" hidden="1">
      <c r="L4639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0" spans="12:16" ht="15" customHeight="1" hidden="1">
      <c r="L4640" s="60" t="str">
        <f t="shared" si="317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1" spans="12:16" ht="15" customHeight="1" hidden="1">
      <c r="L4641" s="60" t="str">
        <f t="shared" si="321" ref="L4641:L4704">IFERROR(IF(MAX(L4640+1,$F$5+1)&gt;Дата_погашения_Займа,"-",MAX(L4640+1,$F$5+1)),"-")</f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2" spans="12:16" ht="15" customHeight="1" hidden="1">
      <c r="L4642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3" spans="12:16" ht="15" customHeight="1" hidden="1">
      <c r="L4643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4" spans="12:16" ht="15" customHeight="1" hidden="1">
      <c r="L4644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5" spans="12:16" ht="15" customHeight="1" hidden="1">
      <c r="L4645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6" spans="12:16" ht="15" customHeight="1" hidden="1">
      <c r="L4646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7" spans="12:16" ht="15" customHeight="1" hidden="1">
      <c r="L4647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8" spans="12:16" ht="15" customHeight="1" hidden="1">
      <c r="L4648" s="60" t="str">
        <f t="shared" si="321"/>
        <v>-</v>
      </c>
      <c s="28">
        <f t="shared" si="319"/>
        <v>0</v>
      </c>
      <c s="28">
        <f t="shared" si="318"/>
        <v>0</v>
      </c>
      <c s="28">
        <f t="shared" si="320"/>
        <v>0</v>
      </c>
      <c s="28"/>
    </row>
    <row r="4649" spans="12:16" ht="15" customHeight="1" hidden="1">
      <c r="L4649" s="60" t="str">
        <f t="shared" si="321"/>
        <v>-</v>
      </c>
      <c s="28">
        <f t="shared" si="319"/>
        <v>0</v>
      </c>
      <c s="28">
        <f t="shared" si="322" ref="N4649:N4712">IF(ISNUMBER(N4648),N4648-M4649,$E$8)</f>
        <v>0</v>
      </c>
      <c s="28">
        <f t="shared" si="320"/>
        <v>0</v>
      </c>
      <c s="28"/>
    </row>
    <row r="4650" spans="12:16" ht="15" customHeight="1" hidden="1">
      <c r="L4650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1" spans="12:16" ht="15" customHeight="1" hidden="1">
      <c r="L4651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2" spans="12:16" ht="15" customHeight="1" hidden="1">
      <c r="L4652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3" spans="12:16" ht="15" customHeight="1" hidden="1">
      <c r="L4653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4" spans="12:16" ht="15" customHeight="1" hidden="1">
      <c r="L4654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5" spans="12:16" ht="15" customHeight="1" hidden="1">
      <c r="L4655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6" spans="12:16" ht="15" customHeight="1" hidden="1">
      <c r="L4656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7" spans="12:16" ht="15" customHeight="1" hidden="1">
      <c r="L4657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8" spans="12:16" ht="15" customHeight="1" hidden="1">
      <c r="L4658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59" spans="12:16" ht="15" customHeight="1" hidden="1">
      <c r="L4659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0" spans="12:16" ht="15" customHeight="1" hidden="1">
      <c r="L4660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1" spans="12:16" ht="15" customHeight="1" hidden="1">
      <c r="L4661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2" spans="12:16" ht="15" customHeight="1" hidden="1">
      <c r="L4662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3" spans="12:16" ht="15" customHeight="1" hidden="1">
      <c r="L4663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4" spans="12:16" ht="15" customHeight="1" hidden="1">
      <c r="L4664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5" spans="12:16" ht="15" customHeight="1" hidden="1">
      <c r="L4665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6" spans="12:16" ht="15" customHeight="1" hidden="1">
      <c r="L4666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7" spans="12:16" ht="15" customHeight="1" hidden="1">
      <c r="L4667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8" spans="12:16" ht="15" customHeight="1" hidden="1">
      <c r="L4668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69" spans="12:16" ht="15" customHeight="1" hidden="1">
      <c r="L4669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0" spans="12:16" ht="15" customHeight="1" hidden="1">
      <c r="L4670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1" spans="12:16" ht="15" customHeight="1" hidden="1">
      <c r="L4671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2" spans="12:16" ht="15" customHeight="1" hidden="1">
      <c r="L4672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3" spans="12:16" ht="15" customHeight="1" hidden="1">
      <c r="L4673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4" spans="12:16" ht="15" customHeight="1" hidden="1">
      <c r="L4674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5" spans="12:16" ht="15" customHeight="1" hidden="1">
      <c r="L4675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6" spans="12:16" ht="15" customHeight="1" hidden="1">
      <c r="L4676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7" spans="12:16" ht="15" customHeight="1" hidden="1">
      <c r="L4677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8" spans="12:16" ht="15" customHeight="1" hidden="1">
      <c r="L4678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79" spans="12:16" ht="15" customHeight="1" hidden="1">
      <c r="L4679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0" spans="12:16" ht="15" customHeight="1" hidden="1">
      <c r="L4680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1" spans="12:16" ht="15" customHeight="1" hidden="1">
      <c r="L4681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2" spans="12:16" ht="15" customHeight="1" hidden="1">
      <c r="L4682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3" spans="12:16" ht="15" customHeight="1" hidden="1">
      <c r="L4683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4" spans="12:16" ht="15" customHeight="1" hidden="1">
      <c r="L4684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5" spans="12:16" ht="15" customHeight="1" hidden="1">
      <c r="L4685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6" spans="12:16" ht="15" customHeight="1" hidden="1">
      <c r="L4686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7" spans="12:16" ht="15" customHeight="1" hidden="1">
      <c r="L4687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8" spans="12:16" ht="15" customHeight="1" hidden="1">
      <c r="L4688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89" spans="12:16" ht="15" customHeight="1" hidden="1">
      <c r="L4689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90" spans="12:16" ht="15" customHeight="1" hidden="1">
      <c r="L4690" s="60" t="str">
        <f t="shared" si="321"/>
        <v>-</v>
      </c>
      <c s="28">
        <f t="shared" si="319"/>
        <v>0</v>
      </c>
      <c s="28">
        <f t="shared" si="322"/>
        <v>0</v>
      </c>
      <c s="28">
        <f t="shared" si="320"/>
        <v>0</v>
      </c>
      <c s="28"/>
    </row>
    <row r="4691" spans="12:16" ht="15" customHeight="1" hidden="1">
      <c r="L4691" s="60" t="str">
        <f t="shared" si="321"/>
        <v>-</v>
      </c>
      <c s="28">
        <f t="shared" si="323" ref="M4691:M4754">IFERROR(VLOOKUP(L4691,$B$19:$E$80,4,FALSE),0)</f>
        <v>0</v>
      </c>
      <c s="28">
        <f t="shared" si="322"/>
        <v>0</v>
      </c>
      <c s="28">
        <f t="shared" si="324" ref="O4691:O4754">IFERROR(IF(ISNUMBER(N4690),N4690,$E$8)*IF(L4691&gt;=$J$8,$E$12,$E$12)/IF(MOD(YEAR(L4691),4),365,366)*IF(ISBLANK(L4690),L4691-$F$5,L4691-L4690),0)</f>
        <v>0</v>
      </c>
      <c s="28"/>
    </row>
    <row r="4692" spans="12:16" ht="15" customHeight="1" hidden="1">
      <c r="L4692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3" spans="12:16" ht="15" customHeight="1" hidden="1">
      <c r="L4693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4" spans="12:16" ht="15" customHeight="1" hidden="1">
      <c r="L4694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5" spans="12:16" ht="15" customHeight="1" hidden="1">
      <c r="L4695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6" spans="12:16" ht="15" customHeight="1" hidden="1">
      <c r="L4696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7" spans="12:16" ht="15" customHeight="1" hidden="1">
      <c r="L4697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8" spans="12:16" ht="15" customHeight="1" hidden="1">
      <c r="L4698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699" spans="12:16" ht="15" customHeight="1" hidden="1">
      <c r="L4699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0" spans="12:16" ht="15" customHeight="1" hidden="1">
      <c r="L4700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1" spans="12:16" ht="15" customHeight="1" hidden="1">
      <c r="L4701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2" spans="12:16" ht="15" customHeight="1" hidden="1">
      <c r="L4702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3" spans="12:16" ht="15" customHeight="1" hidden="1">
      <c r="L4703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4" spans="12:16" ht="15" customHeight="1" hidden="1">
      <c r="L4704" s="60" t="str">
        <f t="shared" si="321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5" spans="12:16" ht="15" customHeight="1" hidden="1">
      <c r="L4705" s="60" t="str">
        <f t="shared" si="325" ref="L4705:L4768">IFERROR(IF(MAX(L4704+1,$F$5+1)&gt;Дата_погашения_Займа,"-",MAX(L4704+1,$F$5+1)),"-")</f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6" spans="12:16" ht="15" customHeight="1" hidden="1">
      <c r="L4706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7" spans="12:16" ht="15" customHeight="1" hidden="1">
      <c r="L4707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8" spans="12:16" ht="15" customHeight="1" hidden="1">
      <c r="L4708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09" spans="12:16" ht="15" customHeight="1" hidden="1">
      <c r="L4709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10" spans="12:16" ht="15" customHeight="1" hidden="1">
      <c r="L4710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11" spans="12:16" ht="15" customHeight="1" hidden="1">
      <c r="L4711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12" spans="12:16" ht="15" customHeight="1" hidden="1">
      <c r="L4712" s="60" t="str">
        <f t="shared" si="325"/>
        <v>-</v>
      </c>
      <c s="28">
        <f t="shared" si="323"/>
        <v>0</v>
      </c>
      <c s="28">
        <f t="shared" si="322"/>
        <v>0</v>
      </c>
      <c s="28">
        <f t="shared" si="324"/>
        <v>0</v>
      </c>
      <c s="28"/>
    </row>
    <row r="4713" spans="12:16" ht="15" customHeight="1" hidden="1">
      <c r="L4713" s="60" t="str">
        <f t="shared" si="325"/>
        <v>-</v>
      </c>
      <c s="28">
        <f t="shared" si="323"/>
        <v>0</v>
      </c>
      <c s="28">
        <f t="shared" si="326" ref="N4713:N4776">IF(ISNUMBER(N4712),N4712-M4713,$E$8)</f>
        <v>0</v>
      </c>
      <c s="28">
        <f t="shared" si="324"/>
        <v>0</v>
      </c>
      <c s="28"/>
    </row>
    <row r="4714" spans="12:16" ht="15" customHeight="1" hidden="1">
      <c r="L4714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15" spans="12:16" ht="15" customHeight="1" hidden="1">
      <c r="L4715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16" spans="12:16" ht="15" customHeight="1" hidden="1">
      <c r="L4716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17" spans="12:16" ht="15" customHeight="1" hidden="1">
      <c r="L4717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18" spans="12:16" ht="15" customHeight="1" hidden="1">
      <c r="L4718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19" spans="12:16" ht="15" customHeight="1" hidden="1">
      <c r="L4719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0" spans="12:16" ht="15" customHeight="1" hidden="1">
      <c r="L4720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1" spans="12:16" ht="15" customHeight="1" hidden="1">
      <c r="L4721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2" spans="12:16" ht="15" customHeight="1" hidden="1">
      <c r="L4722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3" spans="12:16" ht="15" customHeight="1" hidden="1">
      <c r="L4723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4" spans="12:16" ht="15" customHeight="1" hidden="1">
      <c r="L4724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5" spans="12:16" ht="15" customHeight="1" hidden="1">
      <c r="L4725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6" spans="12:16" ht="15" customHeight="1" hidden="1">
      <c r="L4726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7" spans="12:16" ht="15" customHeight="1" hidden="1">
      <c r="L4727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8" spans="12:16" ht="15" customHeight="1" hidden="1">
      <c r="L4728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29" spans="12:16" ht="15" customHeight="1" hidden="1">
      <c r="L4729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0" spans="12:16" ht="15" customHeight="1" hidden="1">
      <c r="L4730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1" spans="12:16" ht="15" customHeight="1" hidden="1">
      <c r="L4731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2" spans="12:16" ht="15" customHeight="1" hidden="1">
      <c r="L4732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3" spans="12:16" ht="15" customHeight="1" hidden="1">
      <c r="L4733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4" spans="12:16" ht="15" customHeight="1" hidden="1">
      <c r="L4734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5" spans="12:16" ht="15" customHeight="1" hidden="1">
      <c r="L4735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6" spans="12:16" ht="15" customHeight="1" hidden="1">
      <c r="L4736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7" spans="12:16" ht="15" customHeight="1" hidden="1">
      <c r="L4737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8" spans="12:16" ht="15" customHeight="1" hidden="1">
      <c r="L4738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39" spans="12:16" ht="15" customHeight="1" hidden="1">
      <c r="L4739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0" spans="12:16" ht="15" customHeight="1" hidden="1">
      <c r="L4740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1" spans="12:16" ht="15" customHeight="1" hidden="1">
      <c r="L4741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2" spans="12:16" ht="15" customHeight="1" hidden="1">
      <c r="L4742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3" spans="12:16" ht="15" customHeight="1" hidden="1">
      <c r="L4743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4" spans="12:16" ht="15" customHeight="1" hidden="1">
      <c r="L4744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5" spans="12:16" ht="15" customHeight="1" hidden="1">
      <c r="L4745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6" spans="12:16" ht="15" customHeight="1" hidden="1">
      <c r="L4746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7" spans="12:16" ht="15" customHeight="1" hidden="1">
      <c r="L4747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8" spans="12:16" ht="15" customHeight="1" hidden="1">
      <c r="L4748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49" spans="12:16" ht="15" customHeight="1" hidden="1">
      <c r="L4749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50" spans="12:16" ht="15" customHeight="1" hidden="1">
      <c r="L4750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51" spans="12:16" ht="15" customHeight="1" hidden="1">
      <c r="L4751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52" spans="12:16" ht="15" customHeight="1" hidden="1">
      <c r="L4752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53" spans="12:16" ht="15" customHeight="1" hidden="1">
      <c r="L4753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54" spans="12:16" ht="15" customHeight="1" hidden="1">
      <c r="L4754" s="60" t="str">
        <f t="shared" si="325"/>
        <v>-</v>
      </c>
      <c s="28">
        <f t="shared" si="323"/>
        <v>0</v>
      </c>
      <c s="28">
        <f t="shared" si="326"/>
        <v>0</v>
      </c>
      <c s="28">
        <f t="shared" si="324"/>
        <v>0</v>
      </c>
      <c s="28"/>
    </row>
    <row r="4755" spans="12:16" ht="15" customHeight="1" hidden="1">
      <c r="L4755" s="60" t="str">
        <f t="shared" si="325"/>
        <v>-</v>
      </c>
      <c s="28">
        <f t="shared" si="327" ref="M4755:M4818">IFERROR(VLOOKUP(L4755,$B$19:$E$80,4,FALSE),0)</f>
        <v>0</v>
      </c>
      <c s="28">
        <f t="shared" si="326"/>
        <v>0</v>
      </c>
      <c s="28">
        <f t="shared" si="328" ref="O4755:O4818">IFERROR(IF(ISNUMBER(N4754),N4754,$E$8)*IF(L4755&gt;=$J$8,$E$12,$E$12)/IF(MOD(YEAR(L4755),4),365,366)*IF(ISBLANK(L4754),L4755-$F$5,L4755-L4754),0)</f>
        <v>0</v>
      </c>
      <c s="28"/>
    </row>
    <row r="4756" spans="12:16" ht="15" customHeight="1" hidden="1">
      <c r="L4756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57" spans="12:16" ht="15" customHeight="1" hidden="1">
      <c r="L4757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58" spans="12:16" ht="15" customHeight="1" hidden="1">
      <c r="L4758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59" spans="12:16" ht="15" customHeight="1" hidden="1">
      <c r="L4759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0" spans="12:16" ht="15" customHeight="1" hidden="1">
      <c r="L4760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1" spans="12:16" ht="15" customHeight="1" hidden="1">
      <c r="L4761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2" spans="12:16" ht="15" customHeight="1" hidden="1">
      <c r="L4762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3" spans="12:16" ht="15" customHeight="1" hidden="1">
      <c r="L4763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4" spans="12:16" ht="15" customHeight="1" hidden="1">
      <c r="L4764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5" spans="12:16" ht="15" customHeight="1" hidden="1">
      <c r="L4765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6" spans="12:16" ht="15" customHeight="1" hidden="1">
      <c r="L4766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7" spans="12:16" ht="15" customHeight="1" hidden="1">
      <c r="L4767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8" spans="12:16" ht="15" customHeight="1" hidden="1">
      <c r="L4768" s="60" t="str">
        <f t="shared" si="325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69" spans="12:16" ht="15" customHeight="1" hidden="1">
      <c r="L4769" s="60" t="str">
        <f t="shared" si="329" ref="L4769:L4832">IFERROR(IF(MAX(L4768+1,$F$5+1)&gt;Дата_погашения_Займа,"-",MAX(L4768+1,$F$5+1)),"-")</f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0" spans="12:16" ht="15" customHeight="1" hidden="1">
      <c r="L4770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1" spans="12:16" ht="15" customHeight="1" hidden="1">
      <c r="L4771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2" spans="12:16" ht="15" customHeight="1" hidden="1">
      <c r="L4772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3" spans="12:16" ht="15" customHeight="1" hidden="1">
      <c r="L4773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4" spans="12:16" ht="15" customHeight="1" hidden="1">
      <c r="L4774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5" spans="12:16" ht="15" customHeight="1" hidden="1">
      <c r="L4775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6" spans="12:16" ht="15" customHeight="1" hidden="1">
      <c r="L4776" s="60" t="str">
        <f t="shared" si="329"/>
        <v>-</v>
      </c>
      <c s="28">
        <f t="shared" si="327"/>
        <v>0</v>
      </c>
      <c s="28">
        <f t="shared" si="326"/>
        <v>0</v>
      </c>
      <c s="28">
        <f t="shared" si="328"/>
        <v>0</v>
      </c>
      <c s="28"/>
    </row>
    <row r="4777" spans="12:16" ht="15" customHeight="1" hidden="1">
      <c r="L4777" s="60" t="str">
        <f t="shared" si="329"/>
        <v>-</v>
      </c>
      <c s="28">
        <f t="shared" si="327"/>
        <v>0</v>
      </c>
      <c s="28">
        <f t="shared" si="330" ref="N4777:N4840">IF(ISNUMBER(N4776),N4776-M4777,$E$8)</f>
        <v>0</v>
      </c>
      <c s="28">
        <f t="shared" si="328"/>
        <v>0</v>
      </c>
      <c s="28"/>
    </row>
    <row r="4778" spans="12:16" ht="15" customHeight="1" hidden="1">
      <c r="L4778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79" spans="12:16" ht="15" customHeight="1" hidden="1">
      <c r="L4779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0" spans="12:16" ht="15" customHeight="1" hidden="1">
      <c r="L4780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1" spans="12:16" ht="15" customHeight="1" hidden="1">
      <c r="L4781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2" spans="12:16" ht="15" customHeight="1" hidden="1">
      <c r="L4782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3" spans="12:16" ht="15" customHeight="1" hidden="1">
      <c r="L4783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4" spans="12:16" ht="15" customHeight="1" hidden="1">
      <c r="L4784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5" spans="12:16" ht="15" customHeight="1" hidden="1">
      <c r="L4785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6" spans="12:16" ht="15" customHeight="1" hidden="1">
      <c r="L4786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7" spans="12:16" ht="15" customHeight="1" hidden="1">
      <c r="L4787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8" spans="12:16" ht="15" customHeight="1" hidden="1">
      <c r="L4788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89" spans="12:16" ht="15" customHeight="1" hidden="1">
      <c r="L4789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0" spans="12:16" ht="15" customHeight="1" hidden="1">
      <c r="L4790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1" spans="12:16" ht="15" customHeight="1" hidden="1">
      <c r="L4791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2" spans="12:16" ht="15" customHeight="1" hidden="1">
      <c r="L4792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3" spans="12:16" ht="15" customHeight="1" hidden="1">
      <c r="L4793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4" spans="12:16" ht="15" customHeight="1" hidden="1">
      <c r="L4794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5" spans="12:16" ht="15" customHeight="1" hidden="1">
      <c r="L4795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6" spans="12:16" ht="15" customHeight="1" hidden="1">
      <c r="L4796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7" spans="12:16" ht="15" customHeight="1" hidden="1">
      <c r="L4797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8" spans="12:16" ht="15" customHeight="1" hidden="1">
      <c r="L4798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799" spans="12:16" ht="15" customHeight="1" hidden="1">
      <c r="L4799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0" spans="12:16" ht="15" customHeight="1" hidden="1">
      <c r="L4800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1" spans="12:16" ht="15" customHeight="1" hidden="1">
      <c r="L4801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2" spans="12:16" ht="15" customHeight="1" hidden="1">
      <c r="L4802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3" spans="12:16" ht="15" customHeight="1" hidden="1">
      <c r="L4803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4" spans="12:16" ht="15" customHeight="1" hidden="1">
      <c r="L4804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5" spans="12:16" ht="15" customHeight="1" hidden="1">
      <c r="L4805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6" spans="12:16" ht="15" customHeight="1" hidden="1">
      <c r="L4806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7" spans="12:16" ht="15" customHeight="1" hidden="1">
      <c r="L4807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8" spans="12:16" ht="15" customHeight="1" hidden="1">
      <c r="L4808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09" spans="12:16" ht="15" customHeight="1" hidden="1">
      <c r="L4809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0" spans="12:16" ht="15" customHeight="1" hidden="1">
      <c r="L4810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1" spans="12:16" ht="15" customHeight="1" hidden="1">
      <c r="L4811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2" spans="12:16" ht="15" customHeight="1" hidden="1">
      <c r="L4812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3" spans="12:16" ht="15" customHeight="1" hidden="1">
      <c r="L4813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4" spans="12:16" ht="15" customHeight="1" hidden="1">
      <c r="L4814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5" spans="12:16" ht="15" customHeight="1" hidden="1">
      <c r="L4815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6" spans="12:16" ht="15" customHeight="1" hidden="1">
      <c r="L4816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7" spans="12:16" ht="15" customHeight="1" hidden="1">
      <c r="L4817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8" spans="12:16" ht="15" customHeight="1" hidden="1">
      <c r="L4818" s="60" t="str">
        <f t="shared" si="329"/>
        <v>-</v>
      </c>
      <c s="28">
        <f t="shared" si="327"/>
        <v>0</v>
      </c>
      <c s="28">
        <f t="shared" si="330"/>
        <v>0</v>
      </c>
      <c s="28">
        <f t="shared" si="328"/>
        <v>0</v>
      </c>
      <c s="28"/>
    </row>
    <row r="4819" spans="12:16" ht="15" customHeight="1" hidden="1">
      <c r="L4819" s="60" t="str">
        <f t="shared" si="329"/>
        <v>-</v>
      </c>
      <c s="28">
        <f t="shared" si="331" ref="M4819:M4882">IFERROR(VLOOKUP(L4819,$B$19:$E$80,4,FALSE),0)</f>
        <v>0</v>
      </c>
      <c s="28">
        <f t="shared" si="330"/>
        <v>0</v>
      </c>
      <c s="28">
        <f t="shared" si="332" ref="O4819:O4882">IFERROR(IF(ISNUMBER(N4818),N4818,$E$8)*IF(L4819&gt;=$J$8,$E$12,$E$12)/IF(MOD(YEAR(L4819),4),365,366)*IF(ISBLANK(L4818),L4819-$F$5,L4819-L4818),0)</f>
        <v>0</v>
      </c>
      <c s="28"/>
    </row>
    <row r="4820" spans="12:16" ht="15" customHeight="1" hidden="1">
      <c r="L4820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1" spans="12:16" ht="15" customHeight="1" hidden="1">
      <c r="L4821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2" spans="12:16" ht="15" customHeight="1" hidden="1">
      <c r="L4822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3" spans="12:16" ht="15" customHeight="1" hidden="1">
      <c r="L4823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4" spans="12:16" ht="15" customHeight="1" hidden="1">
      <c r="L4824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5" spans="12:16" ht="15" customHeight="1" hidden="1">
      <c r="L4825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6" spans="12:16" ht="15" customHeight="1" hidden="1">
      <c r="L4826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7" spans="12:16" ht="15" customHeight="1" hidden="1">
      <c r="L4827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8" spans="12:16" ht="15" customHeight="1" hidden="1">
      <c r="L4828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29" spans="12:16" ht="15" customHeight="1" hidden="1">
      <c r="L4829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0" spans="12:16" ht="15" customHeight="1" hidden="1">
      <c r="L4830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1" spans="12:16" ht="15" customHeight="1" hidden="1">
      <c r="L4831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2" spans="12:16" ht="15" customHeight="1" hidden="1">
      <c r="L4832" s="60" t="str">
        <f t="shared" si="329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3" spans="12:16" ht="15" customHeight="1" hidden="1">
      <c r="L4833" s="60" t="str">
        <f t="shared" si="333" ref="L4833:L4896">IFERROR(IF(MAX(L4832+1,$F$5+1)&gt;Дата_погашения_Займа,"-",MAX(L4832+1,$F$5+1)),"-")</f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4" spans="12:16" ht="15" customHeight="1" hidden="1">
      <c r="L4834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5" spans="12:16" ht="15" customHeight="1" hidden="1">
      <c r="L4835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6" spans="12:16" ht="15" customHeight="1" hidden="1">
      <c r="L4836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7" spans="12:16" ht="15" customHeight="1" hidden="1">
      <c r="L4837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8" spans="12:16" ht="15" customHeight="1" hidden="1">
      <c r="L4838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39" spans="12:16" ht="15" customHeight="1" hidden="1">
      <c r="L4839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40" spans="12:16" ht="15" customHeight="1" hidden="1">
      <c r="L4840" s="60" t="str">
        <f t="shared" si="333"/>
        <v>-</v>
      </c>
      <c s="28">
        <f t="shared" si="331"/>
        <v>0</v>
      </c>
      <c s="28">
        <f t="shared" si="330"/>
        <v>0</v>
      </c>
      <c s="28">
        <f t="shared" si="332"/>
        <v>0</v>
      </c>
      <c s="28"/>
    </row>
    <row r="4841" spans="12:16" ht="15" customHeight="1" hidden="1">
      <c r="L4841" s="60" t="str">
        <f t="shared" si="333"/>
        <v>-</v>
      </c>
      <c s="28">
        <f t="shared" si="331"/>
        <v>0</v>
      </c>
      <c s="28">
        <f t="shared" si="334" ref="N4841:N4904">IF(ISNUMBER(N4840),N4840-M4841,$E$8)</f>
        <v>0</v>
      </c>
      <c s="28">
        <f t="shared" si="332"/>
        <v>0</v>
      </c>
      <c s="28"/>
    </row>
    <row r="4842" spans="12:16" ht="15" customHeight="1" hidden="1">
      <c r="L4842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3" spans="12:16" ht="15" customHeight="1" hidden="1">
      <c r="L4843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4" spans="12:16" ht="15" customHeight="1" hidden="1">
      <c r="L4844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5" spans="12:16" ht="15" customHeight="1" hidden="1">
      <c r="L4845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6" spans="12:16" ht="15" customHeight="1" hidden="1">
      <c r="L4846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7" spans="12:16" ht="15" customHeight="1" hidden="1">
      <c r="L4847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8" spans="12:16" ht="15" customHeight="1" hidden="1">
      <c r="L4848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49" spans="12:16" ht="15" customHeight="1" hidden="1">
      <c r="L4849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0" spans="12:16" ht="15" customHeight="1" hidden="1">
      <c r="L4850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1" spans="12:16" ht="15" customHeight="1" hidden="1">
      <c r="L4851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2" spans="12:16" ht="15" customHeight="1" hidden="1">
      <c r="L4852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3" spans="12:16" ht="15" customHeight="1" hidden="1">
      <c r="L4853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4" spans="12:16" ht="15" customHeight="1" hidden="1">
      <c r="L4854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5" spans="12:16" ht="15" customHeight="1" hidden="1">
      <c r="L4855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6" spans="12:16" ht="15" customHeight="1" hidden="1">
      <c r="L4856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7" spans="12:16" ht="15" customHeight="1" hidden="1">
      <c r="L4857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8" spans="12:16" ht="15" customHeight="1" hidden="1">
      <c r="L4858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59" spans="12:16" ht="15" customHeight="1" hidden="1">
      <c r="L4859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0" spans="12:16" ht="15" customHeight="1" hidden="1">
      <c r="L4860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1" spans="12:16" ht="15" customHeight="1" hidden="1">
      <c r="L4861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2" spans="12:16" ht="15" customHeight="1" hidden="1">
      <c r="L4862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3" spans="12:16" ht="15" customHeight="1" hidden="1">
      <c r="L4863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4" spans="12:16" ht="15" customHeight="1" hidden="1">
      <c r="L4864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5" spans="12:16" ht="15" customHeight="1" hidden="1">
      <c r="L4865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6" spans="12:16" ht="15" customHeight="1" hidden="1">
      <c r="L4866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7" spans="12:16" ht="15" customHeight="1" hidden="1">
      <c r="L4867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8" spans="12:16" ht="15" customHeight="1" hidden="1">
      <c r="L4868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69" spans="12:16" ht="15" customHeight="1" hidden="1">
      <c r="L4869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0" spans="12:16" ht="15" customHeight="1" hidden="1">
      <c r="L4870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1" spans="12:16" ht="15" customHeight="1" hidden="1">
      <c r="L4871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2" spans="12:16" ht="15" customHeight="1" hidden="1">
      <c r="L4872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3" spans="12:16" ht="15" customHeight="1" hidden="1">
      <c r="L4873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4" spans="12:16" ht="15" customHeight="1" hidden="1">
      <c r="L4874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5" spans="12:16" ht="15" customHeight="1" hidden="1">
      <c r="L4875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6" spans="12:16" ht="15" customHeight="1" hidden="1">
      <c r="L4876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7" spans="12:16" ht="15" customHeight="1" hidden="1">
      <c r="L4877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8" spans="12:16" ht="15" customHeight="1" hidden="1">
      <c r="L4878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79" spans="12:16" ht="15" customHeight="1" hidden="1">
      <c r="L4879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80" spans="12:16" ht="15" customHeight="1" hidden="1">
      <c r="L4880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81" spans="12:16" ht="15" customHeight="1" hidden="1">
      <c r="L4881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82" spans="12:16" ht="15" customHeight="1" hidden="1">
      <c r="L4882" s="60" t="str">
        <f t="shared" si="333"/>
        <v>-</v>
      </c>
      <c s="28">
        <f t="shared" si="331"/>
        <v>0</v>
      </c>
      <c s="28">
        <f t="shared" si="334"/>
        <v>0</v>
      </c>
      <c s="28">
        <f t="shared" si="332"/>
        <v>0</v>
      </c>
      <c s="28"/>
    </row>
    <row r="4883" spans="12:16" ht="15" customHeight="1" hidden="1">
      <c r="L4883" s="60" t="str">
        <f t="shared" si="333"/>
        <v>-</v>
      </c>
      <c s="28">
        <f t="shared" si="335" ref="M4883:M4946">IFERROR(VLOOKUP(L4883,$B$19:$E$80,4,FALSE),0)</f>
        <v>0</v>
      </c>
      <c s="28">
        <f t="shared" si="334"/>
        <v>0</v>
      </c>
      <c s="28">
        <f t="shared" si="336" ref="O4883:O4946">IFERROR(IF(ISNUMBER(N4882),N4882,$E$8)*IF(L4883&gt;=$J$8,$E$12,$E$12)/IF(MOD(YEAR(L4883),4),365,366)*IF(ISBLANK(L4882),L4883-$F$5,L4883-L4882),0)</f>
        <v>0</v>
      </c>
      <c s="28"/>
    </row>
    <row r="4884" spans="12:16" ht="15" customHeight="1" hidden="1">
      <c r="L4884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85" spans="12:16" ht="15" customHeight="1" hidden="1">
      <c r="L4885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86" spans="12:16" ht="15" customHeight="1" hidden="1">
      <c r="L4886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87" spans="12:16" ht="15" customHeight="1" hidden="1">
      <c r="L4887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88" spans="12:16" ht="15" customHeight="1" hidden="1">
      <c r="L4888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89" spans="12:16" ht="15" customHeight="1" hidden="1">
      <c r="L4889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0" spans="12:16" ht="15" customHeight="1" hidden="1">
      <c r="L4890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1" spans="12:16" ht="15" customHeight="1" hidden="1">
      <c r="L4891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2" spans="12:16" ht="15" customHeight="1" hidden="1">
      <c r="L4892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3" spans="12:16" ht="15" customHeight="1" hidden="1">
      <c r="L4893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4" spans="12:16" ht="15" customHeight="1" hidden="1">
      <c r="L4894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5" spans="12:16" ht="15" customHeight="1" hidden="1">
      <c r="L4895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6" spans="12:16" ht="15" customHeight="1" hidden="1">
      <c r="L4896" s="60" t="str">
        <f t="shared" si="333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7" spans="12:16" ht="15" customHeight="1" hidden="1">
      <c r="L4897" s="60" t="str">
        <f t="shared" si="337" ref="L4897:L4960">IFERROR(IF(MAX(L4896+1,$F$5+1)&gt;Дата_погашения_Займа,"-",MAX(L4896+1,$F$5+1)),"-")</f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8" spans="12:16" ht="15" customHeight="1" hidden="1">
      <c r="L4898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899" spans="12:16" ht="15" customHeight="1" hidden="1">
      <c r="L4899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900" spans="12:16" ht="15" customHeight="1" hidden="1">
      <c r="L4900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901" spans="12:16" ht="15" customHeight="1" hidden="1">
      <c r="L4901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902" spans="12:16" ht="15" customHeight="1" hidden="1">
      <c r="L4902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903" spans="12:16" ht="15" customHeight="1" hidden="1">
      <c r="L4903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904" spans="12:16" ht="15" customHeight="1" hidden="1">
      <c r="L4904" s="60" t="str">
        <f t="shared" si="337"/>
        <v>-</v>
      </c>
      <c s="28">
        <f t="shared" si="335"/>
        <v>0</v>
      </c>
      <c s="28">
        <f t="shared" si="334"/>
        <v>0</v>
      </c>
      <c s="28">
        <f t="shared" si="336"/>
        <v>0</v>
      </c>
      <c s="28"/>
    </row>
    <row r="4905" spans="12:16" ht="15" customHeight="1" hidden="1">
      <c r="L4905" s="60" t="str">
        <f t="shared" si="337"/>
        <v>-</v>
      </c>
      <c s="28">
        <f t="shared" si="335"/>
        <v>0</v>
      </c>
      <c s="28">
        <f t="shared" si="338" ref="N4905:N4968">IF(ISNUMBER(N4904),N4904-M4905,$E$8)</f>
        <v>0</v>
      </c>
      <c s="28">
        <f t="shared" si="336"/>
        <v>0</v>
      </c>
      <c s="28"/>
    </row>
    <row r="4906" spans="12:16" ht="15" customHeight="1" hidden="1">
      <c r="L4906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07" spans="12:16" ht="15" customHeight="1" hidden="1">
      <c r="L4907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08" spans="12:16" ht="15" customHeight="1" hidden="1">
      <c r="L4908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09" spans="12:16" ht="15" customHeight="1" hidden="1">
      <c r="L4909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0" spans="12:16" ht="15" customHeight="1" hidden="1">
      <c r="L4910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1" spans="12:16" ht="15" customHeight="1" hidden="1">
      <c r="L4911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2" spans="12:16" ht="15" customHeight="1" hidden="1">
      <c r="L4912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3" spans="12:16" ht="15" customHeight="1" hidden="1">
      <c r="L4913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4" spans="12:16" ht="15" customHeight="1" hidden="1">
      <c r="L4914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5" spans="12:16" ht="15" customHeight="1" hidden="1">
      <c r="L4915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6" spans="12:16" ht="15" customHeight="1" hidden="1">
      <c r="L4916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7" spans="12:16" ht="15" customHeight="1" hidden="1">
      <c r="L4917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8" spans="12:16" ht="15" customHeight="1" hidden="1">
      <c r="L4918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19" spans="12:16" ht="15" customHeight="1" hidden="1">
      <c r="L4919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0" spans="12:16" ht="15" customHeight="1" hidden="1">
      <c r="L4920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1" spans="12:16" ht="15" customHeight="1" hidden="1">
      <c r="L4921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2" spans="12:16" ht="15" customHeight="1" hidden="1">
      <c r="L4922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3" spans="12:16" ht="15" customHeight="1" hidden="1">
      <c r="L4923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4" spans="12:16" ht="15" customHeight="1" hidden="1">
      <c r="L4924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5" spans="12:16" ht="15" customHeight="1" hidden="1">
      <c r="L4925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6" spans="12:16" ht="15" customHeight="1" hidden="1">
      <c r="L4926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7" spans="12:16" ht="15" customHeight="1" hidden="1">
      <c r="L4927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8" spans="12:16" ht="15" customHeight="1" hidden="1">
      <c r="L4928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29" spans="12:16" ht="15" customHeight="1" hidden="1">
      <c r="L4929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0" spans="12:16" ht="15" customHeight="1" hidden="1">
      <c r="L4930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1" spans="12:16" ht="15" customHeight="1" hidden="1">
      <c r="L4931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2" spans="12:16" ht="15" customHeight="1" hidden="1">
      <c r="L4932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3" spans="12:16" ht="15" customHeight="1" hidden="1">
      <c r="L4933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4" spans="12:16" ht="15" customHeight="1" hidden="1">
      <c r="L4934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5" spans="12:16" ht="15" customHeight="1" hidden="1">
      <c r="L4935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6" spans="12:16" ht="15" customHeight="1" hidden="1">
      <c r="L4936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7" spans="12:16" ht="15" customHeight="1" hidden="1">
      <c r="L4937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8" spans="12:16" ht="15" customHeight="1" hidden="1">
      <c r="L4938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39" spans="12:16" ht="15" customHeight="1" hidden="1">
      <c r="L4939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0" spans="12:16" ht="15" customHeight="1" hidden="1">
      <c r="L4940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1" spans="12:16" ht="15" customHeight="1" hidden="1">
      <c r="L4941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2" spans="12:16" ht="15" customHeight="1" hidden="1">
      <c r="L4942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3" spans="12:16" ht="15" customHeight="1" hidden="1">
      <c r="L4943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4" spans="12:16" ht="15" customHeight="1" hidden="1">
      <c r="L4944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5" spans="12:16" ht="15" customHeight="1" hidden="1">
      <c r="L4945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6" spans="12:16" ht="15" customHeight="1" hidden="1">
      <c r="L4946" s="60" t="str">
        <f t="shared" si="337"/>
        <v>-</v>
      </c>
      <c s="28">
        <f t="shared" si="335"/>
        <v>0</v>
      </c>
      <c s="28">
        <f t="shared" si="338"/>
        <v>0</v>
      </c>
      <c s="28">
        <f t="shared" si="336"/>
        <v>0</v>
      </c>
      <c s="28"/>
    </row>
    <row r="4947" spans="12:16" ht="15" customHeight="1" hidden="1">
      <c r="L4947" s="60" t="str">
        <f t="shared" si="337"/>
        <v>-</v>
      </c>
      <c s="28">
        <f t="shared" si="339" ref="M4947:M5010">IFERROR(VLOOKUP(L4947,$B$19:$E$80,4,FALSE),0)</f>
        <v>0</v>
      </c>
      <c s="28">
        <f t="shared" si="338"/>
        <v>0</v>
      </c>
      <c s="28">
        <f t="shared" si="340" ref="O4947:O5010">IFERROR(IF(ISNUMBER(N4946),N4946,$E$8)*IF(L4947&gt;=$J$8,$E$12,$E$12)/IF(MOD(YEAR(L4947),4),365,366)*IF(ISBLANK(L4946),L4947-$F$5,L4947-L4946),0)</f>
        <v>0</v>
      </c>
      <c s="28"/>
    </row>
    <row r="4948" spans="12:16" ht="15" customHeight="1" hidden="1">
      <c r="L4948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49" spans="12:16" ht="15" customHeight="1" hidden="1">
      <c r="L4949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0" spans="12:16" ht="15" customHeight="1" hidden="1">
      <c r="L4950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1" spans="12:16" ht="15" customHeight="1" hidden="1">
      <c r="L4951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2" spans="12:16" ht="15" customHeight="1" hidden="1">
      <c r="L4952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3" spans="12:16" ht="15" customHeight="1" hidden="1">
      <c r="L4953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4" spans="12:16" ht="15" customHeight="1" hidden="1">
      <c r="L4954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5" spans="12:16" ht="15" customHeight="1" hidden="1">
      <c r="L4955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6" spans="12:16" ht="15" customHeight="1" hidden="1">
      <c r="L4956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7" spans="12:16" ht="15" customHeight="1" hidden="1">
      <c r="L4957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8" spans="12:16" ht="15" customHeight="1" hidden="1">
      <c r="L4958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59" spans="12:16" ht="15" customHeight="1" hidden="1">
      <c r="L4959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0" spans="12:16" ht="15" customHeight="1" hidden="1">
      <c r="L4960" s="60" t="str">
        <f t="shared" si="337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1" spans="12:16" ht="15" customHeight="1" hidden="1">
      <c r="L4961" s="60" t="str">
        <f t="shared" si="341" ref="L4961:L5024">IFERROR(IF(MAX(L4960+1,$F$5+1)&gt;Дата_погашения_Займа,"-",MAX(L4960+1,$F$5+1)),"-")</f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2" spans="12:16" ht="15" customHeight="1" hidden="1">
      <c r="L4962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3" spans="12:16" ht="15" customHeight="1" hidden="1">
      <c r="L4963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4" spans="12:16" ht="15" customHeight="1" hidden="1">
      <c r="L4964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5" spans="12:16" ht="15" customHeight="1" hidden="1">
      <c r="L4965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6" spans="12:16" ht="15" customHeight="1" hidden="1">
      <c r="L4966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7" spans="12:16" ht="15" customHeight="1" hidden="1">
      <c r="L4967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8" spans="12:16" ht="15" customHeight="1" hidden="1">
      <c r="L4968" s="60" t="str">
        <f t="shared" si="341"/>
        <v>-</v>
      </c>
      <c s="28">
        <f t="shared" si="339"/>
        <v>0</v>
      </c>
      <c s="28">
        <f t="shared" si="338"/>
        <v>0</v>
      </c>
      <c s="28">
        <f t="shared" si="340"/>
        <v>0</v>
      </c>
      <c s="28"/>
    </row>
    <row r="4969" spans="12:16" ht="15" customHeight="1" hidden="1">
      <c r="L4969" s="60" t="str">
        <f t="shared" si="341"/>
        <v>-</v>
      </c>
      <c s="28">
        <f t="shared" si="339"/>
        <v>0</v>
      </c>
      <c s="28">
        <f t="shared" si="342" ref="N4969:N5032">IF(ISNUMBER(N4968),N4968-M4969,$E$8)</f>
        <v>0</v>
      </c>
      <c s="28">
        <f t="shared" si="340"/>
        <v>0</v>
      </c>
      <c s="28"/>
    </row>
    <row r="4970" spans="12:16" ht="15" customHeight="1" hidden="1">
      <c r="L4970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1" spans="12:16" ht="15" customHeight="1" hidden="1">
      <c r="L4971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2" spans="12:16" ht="15" customHeight="1" hidden="1">
      <c r="L4972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3" spans="12:16" ht="15" customHeight="1" hidden="1">
      <c r="L4973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4" spans="12:16" ht="15" customHeight="1" hidden="1">
      <c r="L4974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5" spans="12:16" ht="15" customHeight="1" hidden="1">
      <c r="L4975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6" spans="12:16" ht="15" customHeight="1" hidden="1">
      <c r="L4976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7" spans="12:16" ht="15" customHeight="1" hidden="1">
      <c r="L4977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8" spans="12:16" ht="15" customHeight="1" hidden="1">
      <c r="L4978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79" spans="12:16" ht="15" customHeight="1" hidden="1">
      <c r="L4979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0" spans="12:16" ht="15" customHeight="1" hidden="1">
      <c r="L4980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1" spans="12:16" ht="15" customHeight="1" hidden="1">
      <c r="L4981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2" spans="12:16" ht="15" customHeight="1" hidden="1">
      <c r="L4982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3" spans="12:16" ht="15" customHeight="1" hidden="1">
      <c r="L4983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4" spans="12:16" ht="15" customHeight="1" hidden="1">
      <c r="L4984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5" spans="12:16" ht="15" customHeight="1" hidden="1">
      <c r="L4985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6" spans="12:16" ht="15" customHeight="1" hidden="1">
      <c r="L4986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7" spans="12:16" ht="15" customHeight="1" hidden="1">
      <c r="L4987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8" spans="12:16" ht="15" customHeight="1" hidden="1">
      <c r="L4988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89" spans="12:16" ht="15" customHeight="1" hidden="1">
      <c r="L4989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0" spans="12:16" ht="15" customHeight="1" hidden="1">
      <c r="L4990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1" spans="12:16" ht="15" customHeight="1" hidden="1">
      <c r="L4991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2" spans="12:16" ht="15" customHeight="1" hidden="1">
      <c r="L4992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3" spans="12:16" ht="15" customHeight="1" hidden="1">
      <c r="L4993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4" spans="12:16" ht="15" customHeight="1" hidden="1">
      <c r="L4994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5" spans="12:16" ht="15" customHeight="1" hidden="1">
      <c r="L4995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6" spans="12:16" ht="15" customHeight="1" hidden="1">
      <c r="L4996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7" spans="12:16" ht="15" customHeight="1" hidden="1">
      <c r="L4997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8" spans="12:16" ht="15" customHeight="1" hidden="1">
      <c r="L4998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4999" spans="12:16" ht="15" customHeight="1" hidden="1">
      <c r="L4999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0" spans="12:16" ht="15" customHeight="1" hidden="1">
      <c r="L5000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1" spans="12:16" ht="15" customHeight="1" hidden="1">
      <c r="L5001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2" spans="12:16" ht="15" customHeight="1" hidden="1">
      <c r="L5002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3" spans="12:16" ht="15" customHeight="1" hidden="1">
      <c r="L5003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4" spans="12:16" ht="15" customHeight="1" hidden="1">
      <c r="L5004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5" spans="12:16" ht="15" customHeight="1" hidden="1">
      <c r="L5005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6" spans="12:16" ht="15" customHeight="1" hidden="1">
      <c r="L5006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7" spans="12:16" ht="15" customHeight="1" hidden="1">
      <c r="L5007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8" spans="12:16" ht="15" customHeight="1" hidden="1">
      <c r="L5008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09" spans="12:16" ht="15" customHeight="1" hidden="1">
      <c r="L5009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10" spans="12:16" ht="15" customHeight="1" hidden="1">
      <c r="L5010" s="60" t="str">
        <f t="shared" si="341"/>
        <v>-</v>
      </c>
      <c s="28">
        <f t="shared" si="339"/>
        <v>0</v>
      </c>
      <c s="28">
        <f t="shared" si="342"/>
        <v>0</v>
      </c>
      <c s="28">
        <f t="shared" si="340"/>
        <v>0</v>
      </c>
      <c s="28"/>
    </row>
    <row r="5011" spans="12:16" ht="15" customHeight="1" hidden="1">
      <c r="L5011" s="60" t="str">
        <f t="shared" si="341"/>
        <v>-</v>
      </c>
      <c s="28">
        <f t="shared" si="343" ref="M5011:M5074">IFERROR(VLOOKUP(L5011,$B$19:$E$80,4,FALSE),0)</f>
        <v>0</v>
      </c>
      <c s="28">
        <f t="shared" si="342"/>
        <v>0</v>
      </c>
      <c s="28">
        <f t="shared" si="344" ref="O5011:O5074">IFERROR(IF(ISNUMBER(N5010),N5010,$E$8)*IF(L5011&gt;=$J$8,$E$12,$E$12)/IF(MOD(YEAR(L5011),4),365,366)*IF(ISBLANK(L5010),L5011-$F$5,L5011-L5010),0)</f>
        <v>0</v>
      </c>
      <c s="28"/>
    </row>
    <row r="5012" spans="12:16" ht="15" customHeight="1" hidden="1">
      <c r="L5012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3" spans="12:16" ht="15" customHeight="1" hidden="1">
      <c r="L5013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4" spans="12:16" ht="15" customHeight="1" hidden="1">
      <c r="L5014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5" spans="12:16" ht="15" customHeight="1" hidden="1">
      <c r="L5015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6" spans="12:16" ht="15" customHeight="1" hidden="1">
      <c r="L5016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7" spans="12:16" ht="15" customHeight="1" hidden="1">
      <c r="L5017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8" spans="12:16" ht="15" customHeight="1" hidden="1">
      <c r="L5018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19" spans="12:16" ht="15" customHeight="1" hidden="1">
      <c r="L5019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0" spans="12:16" ht="15" customHeight="1" hidden="1">
      <c r="L5020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1" spans="12:16" ht="15" customHeight="1" hidden="1">
      <c r="L5021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2" spans="12:16" ht="15" customHeight="1" hidden="1">
      <c r="L5022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3" spans="12:16" ht="15" customHeight="1" hidden="1">
      <c r="L5023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4" spans="12:16" ht="15" customHeight="1" hidden="1">
      <c r="L5024" s="60" t="str">
        <f t="shared" si="341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5" spans="12:16" ht="15" customHeight="1" hidden="1">
      <c r="L5025" s="60" t="str">
        <f t="shared" si="345" ref="L5025:L5088">IFERROR(IF(MAX(L5024+1,$F$5+1)&gt;Дата_погашения_Займа,"-",MAX(L5024+1,$F$5+1)),"-")</f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6" spans="12:16" ht="15" customHeight="1" hidden="1">
      <c r="L5026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7" spans="12:16" ht="15" customHeight="1" hidden="1">
      <c r="L5027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8" spans="12:16" ht="15" customHeight="1" hidden="1">
      <c r="L5028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29" spans="12:16" ht="15" customHeight="1" hidden="1">
      <c r="L5029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30" spans="12:16" ht="15" customHeight="1" hidden="1">
      <c r="L5030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31" spans="12:16" ht="15" customHeight="1" hidden="1">
      <c r="L5031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32" spans="12:16" ht="15" customHeight="1" hidden="1">
      <c r="L5032" s="60" t="str">
        <f t="shared" si="345"/>
        <v>-</v>
      </c>
      <c s="28">
        <f t="shared" si="343"/>
        <v>0</v>
      </c>
      <c s="28">
        <f t="shared" si="342"/>
        <v>0</v>
      </c>
      <c s="28">
        <f t="shared" si="344"/>
        <v>0</v>
      </c>
      <c s="28"/>
    </row>
    <row r="5033" spans="12:16" ht="15" customHeight="1" hidden="1">
      <c r="L5033" s="60" t="str">
        <f t="shared" si="345"/>
        <v>-</v>
      </c>
      <c s="28">
        <f t="shared" si="343"/>
        <v>0</v>
      </c>
      <c s="28">
        <f t="shared" si="346" ref="N5033:N5096">IF(ISNUMBER(N5032),N5032-M5033,$E$8)</f>
        <v>0</v>
      </c>
      <c s="28">
        <f t="shared" si="344"/>
        <v>0</v>
      </c>
      <c s="28"/>
    </row>
    <row r="5034" spans="12:16" ht="15" customHeight="1" hidden="1">
      <c r="L5034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35" spans="12:16" ht="15" customHeight="1" hidden="1">
      <c r="L5035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36" spans="12:16" ht="15" customHeight="1" hidden="1">
      <c r="L5036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37" spans="12:16" ht="15" customHeight="1" hidden="1">
      <c r="L5037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38" spans="12:16" ht="15" customHeight="1" hidden="1">
      <c r="L5038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39" spans="12:16" ht="15" customHeight="1" hidden="1">
      <c r="L5039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0" spans="12:16" ht="15" customHeight="1" hidden="1">
      <c r="L5040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1" spans="12:16" ht="15" customHeight="1" hidden="1">
      <c r="L5041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2" spans="12:16" ht="15" customHeight="1" hidden="1">
      <c r="L5042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3" spans="12:16" ht="15" customHeight="1" hidden="1">
      <c r="L5043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4" spans="12:16" ht="15" customHeight="1" hidden="1">
      <c r="L5044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5" spans="12:16" ht="15" customHeight="1" hidden="1">
      <c r="L5045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6" spans="12:16" ht="15" customHeight="1" hidden="1">
      <c r="L5046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7" spans="12:16" ht="15" customHeight="1" hidden="1">
      <c r="L5047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8" spans="12:16" ht="15" customHeight="1" hidden="1">
      <c r="L5048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49" spans="12:16" ht="15" customHeight="1" hidden="1">
      <c r="L5049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0" spans="12:16" ht="15" customHeight="1" hidden="1">
      <c r="L5050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1" spans="12:16" ht="15" customHeight="1" hidden="1">
      <c r="L5051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2" spans="12:16" ht="15" customHeight="1" hidden="1">
      <c r="L5052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3" spans="12:16" ht="15" customHeight="1" hidden="1">
      <c r="L5053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4" spans="12:16" ht="15" customHeight="1" hidden="1">
      <c r="L5054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5" spans="12:16" ht="15" customHeight="1" hidden="1">
      <c r="L5055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6" spans="12:16" ht="15" customHeight="1" hidden="1">
      <c r="L5056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7" spans="12:16" ht="15" customHeight="1" hidden="1">
      <c r="L5057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8" spans="12:16" ht="15" customHeight="1" hidden="1">
      <c r="L5058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59" spans="12:16" ht="15" customHeight="1" hidden="1">
      <c r="L5059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0" spans="12:16" ht="15" customHeight="1" hidden="1">
      <c r="L5060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1" spans="12:16" ht="15" customHeight="1" hidden="1">
      <c r="L5061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2" spans="12:16" ht="15" customHeight="1" hidden="1">
      <c r="L5062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3" spans="12:16" ht="15" customHeight="1" hidden="1">
      <c r="L5063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4" spans="12:16" ht="15" customHeight="1" hidden="1">
      <c r="L5064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5" spans="12:16" ht="15" customHeight="1" hidden="1">
      <c r="L5065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6" spans="12:16" ht="15" customHeight="1" hidden="1">
      <c r="L5066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7" spans="12:16" ht="15" customHeight="1" hidden="1">
      <c r="L5067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8" spans="12:16" ht="15" customHeight="1" hidden="1">
      <c r="L5068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69" spans="12:16" ht="15" customHeight="1" hidden="1">
      <c r="L5069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70" spans="12:16" ht="15" customHeight="1" hidden="1">
      <c r="L5070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71" spans="12:16" ht="15" customHeight="1" hidden="1">
      <c r="L5071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72" spans="12:16" ht="15" customHeight="1" hidden="1">
      <c r="L5072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73" spans="12:16" ht="15" customHeight="1" hidden="1">
      <c r="L5073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74" spans="12:16" ht="15" customHeight="1" hidden="1">
      <c r="L5074" s="60" t="str">
        <f t="shared" si="345"/>
        <v>-</v>
      </c>
      <c s="28">
        <f t="shared" si="343"/>
        <v>0</v>
      </c>
      <c s="28">
        <f t="shared" si="346"/>
        <v>0</v>
      </c>
      <c s="28">
        <f t="shared" si="344"/>
        <v>0</v>
      </c>
      <c s="28"/>
    </row>
    <row r="5075" spans="12:16" ht="15" customHeight="1" hidden="1">
      <c r="L5075" s="60" t="str">
        <f t="shared" si="345"/>
        <v>-</v>
      </c>
      <c s="28">
        <f t="shared" si="347" ref="M5075:M5138">IFERROR(VLOOKUP(L5075,$B$19:$E$80,4,FALSE),0)</f>
        <v>0</v>
      </c>
      <c s="28">
        <f t="shared" si="346"/>
        <v>0</v>
      </c>
      <c s="28">
        <f t="shared" si="348" ref="O5075:O5138">IFERROR(IF(ISNUMBER(N5074),N5074,$E$8)*IF(L5075&gt;=$J$8,$E$12,$E$12)/IF(MOD(YEAR(L5075),4),365,366)*IF(ISBLANK(L5074),L5075-$F$5,L5075-L5074),0)</f>
        <v>0</v>
      </c>
      <c s="28"/>
    </row>
    <row r="5076" spans="12:16" ht="15" customHeight="1" hidden="1">
      <c r="L5076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77" spans="12:16" ht="15" customHeight="1" hidden="1">
      <c r="L5077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78" spans="12:16" ht="15" customHeight="1" hidden="1">
      <c r="L5078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79" spans="12:16" ht="15" customHeight="1" hidden="1">
      <c r="L5079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0" spans="12:16" ht="15" customHeight="1" hidden="1">
      <c r="L5080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1" spans="12:16" ht="15" customHeight="1" hidden="1">
      <c r="L5081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2" spans="12:16" ht="15" customHeight="1" hidden="1">
      <c r="L5082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3" spans="12:16" ht="15" customHeight="1" hidden="1">
      <c r="L5083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4" spans="12:16" ht="15" customHeight="1" hidden="1">
      <c r="L5084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5" spans="12:16" ht="15" customHeight="1" hidden="1">
      <c r="L5085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6" spans="12:16" ht="15" customHeight="1" hidden="1">
      <c r="L5086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7" spans="12:16" ht="15" customHeight="1" hidden="1">
      <c r="L5087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8" spans="12:16" ht="15" customHeight="1" hidden="1">
      <c r="L5088" s="60" t="str">
        <f t="shared" si="345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89" spans="12:16" ht="15" customHeight="1" hidden="1">
      <c r="L5089" s="60" t="str">
        <f t="shared" si="349" ref="L5089:L5152">IFERROR(IF(MAX(L5088+1,$F$5+1)&gt;Дата_погашения_Займа,"-",MAX(L5088+1,$F$5+1)),"-")</f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0" spans="12:16" ht="15" customHeight="1" hidden="1">
      <c r="L5090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1" spans="12:16" ht="15" customHeight="1" hidden="1">
      <c r="L5091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2" spans="12:16" ht="15" customHeight="1" hidden="1">
      <c r="L5092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3" spans="12:16" ht="15" customHeight="1" hidden="1">
      <c r="L5093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4" spans="12:16" ht="15" customHeight="1" hidden="1">
      <c r="L5094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5" spans="12:16" ht="15" customHeight="1" hidden="1">
      <c r="L5095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6" spans="12:16" ht="15" customHeight="1" hidden="1">
      <c r="L5096" s="60" t="str">
        <f t="shared" si="349"/>
        <v>-</v>
      </c>
      <c s="28">
        <f t="shared" si="347"/>
        <v>0</v>
      </c>
      <c s="28">
        <f t="shared" si="346"/>
        <v>0</v>
      </c>
      <c s="28">
        <f t="shared" si="348"/>
        <v>0</v>
      </c>
      <c s="28"/>
    </row>
    <row r="5097" spans="12:16" ht="15" customHeight="1" hidden="1">
      <c r="L5097" s="60" t="str">
        <f t="shared" si="349"/>
        <v>-</v>
      </c>
      <c s="28">
        <f t="shared" si="347"/>
        <v>0</v>
      </c>
      <c s="28">
        <f t="shared" si="350" ref="N5097:N5160">IF(ISNUMBER(N5096),N5096-M5097,$E$8)</f>
        <v>0</v>
      </c>
      <c s="28">
        <f t="shared" si="348"/>
        <v>0</v>
      </c>
      <c s="28"/>
    </row>
    <row r="5098" spans="12:16" ht="15" customHeight="1" hidden="1">
      <c r="L5098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099" spans="12:16" ht="15" customHeight="1" hidden="1">
      <c r="L5099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0" spans="12:16" ht="15" customHeight="1" hidden="1">
      <c r="L5100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1" spans="12:16" ht="15" customHeight="1" hidden="1">
      <c r="L5101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2" spans="12:16" ht="15" customHeight="1" hidden="1">
      <c r="L5102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3" spans="12:16" ht="15" customHeight="1" hidden="1">
      <c r="L5103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4" spans="12:16" ht="15" customHeight="1" hidden="1">
      <c r="L5104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5" spans="12:16" ht="15" customHeight="1" hidden="1">
      <c r="L5105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6" spans="12:16" ht="15" customHeight="1" hidden="1">
      <c r="L5106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7" spans="12:16" ht="15" customHeight="1" hidden="1">
      <c r="L5107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8" spans="12:16" ht="15" customHeight="1" hidden="1">
      <c r="L5108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09" spans="12:16" ht="15" customHeight="1" hidden="1">
      <c r="L5109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0" spans="12:16" ht="15" customHeight="1" hidden="1">
      <c r="L5110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1" spans="12:16" ht="15" customHeight="1" hidden="1">
      <c r="L5111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2" spans="12:16" ht="15" customHeight="1" hidden="1">
      <c r="L5112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3" spans="12:16" ht="15" customHeight="1" hidden="1">
      <c r="L5113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4" spans="12:16" ht="15" customHeight="1" hidden="1">
      <c r="L5114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5" spans="12:16" ht="15" customHeight="1" hidden="1">
      <c r="L5115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6" spans="12:16" ht="15" customHeight="1" hidden="1">
      <c r="L5116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7" spans="12:16" ht="15" customHeight="1" hidden="1">
      <c r="L5117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8" spans="12:16" ht="15" customHeight="1" hidden="1">
      <c r="L5118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19" spans="12:16" ht="15" customHeight="1" hidden="1">
      <c r="L5119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0" spans="12:16" ht="15" customHeight="1" hidden="1">
      <c r="L5120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1" spans="12:16" ht="15" customHeight="1" hidden="1">
      <c r="L5121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2" spans="12:16" ht="15" customHeight="1" hidden="1">
      <c r="L5122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3" spans="12:16" ht="15" customHeight="1" hidden="1">
      <c r="L5123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4" spans="12:16" ht="15" customHeight="1" hidden="1">
      <c r="L5124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5" spans="12:16" ht="15" customHeight="1" hidden="1">
      <c r="L5125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6" spans="12:16" ht="15" customHeight="1" hidden="1">
      <c r="L5126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7" spans="12:16" ht="15" customHeight="1" hidden="1">
      <c r="L5127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8" spans="12:16" ht="15" customHeight="1" hidden="1">
      <c r="L5128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29" spans="12:16" ht="15" customHeight="1" hidden="1">
      <c r="L5129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0" spans="12:16" ht="15" customHeight="1" hidden="1">
      <c r="L5130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1" spans="12:16" ht="15" customHeight="1" hidden="1">
      <c r="L5131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2" spans="12:16" ht="15" customHeight="1" hidden="1">
      <c r="L5132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3" spans="12:16" ht="15" customHeight="1" hidden="1">
      <c r="L5133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4" spans="12:16" ht="15" customHeight="1" hidden="1">
      <c r="L5134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5" spans="12:16" ht="15" customHeight="1" hidden="1">
      <c r="L5135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6" spans="12:16" ht="15" customHeight="1" hidden="1">
      <c r="L5136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7" spans="12:16" ht="15" customHeight="1" hidden="1">
      <c r="L5137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8" spans="12:16" ht="15" customHeight="1" hidden="1">
      <c r="L5138" s="60" t="str">
        <f t="shared" si="349"/>
        <v>-</v>
      </c>
      <c s="28">
        <f t="shared" si="347"/>
        <v>0</v>
      </c>
      <c s="28">
        <f t="shared" si="350"/>
        <v>0</v>
      </c>
      <c s="28">
        <f t="shared" si="348"/>
        <v>0</v>
      </c>
      <c s="28"/>
    </row>
    <row r="5139" spans="12:16" ht="15" customHeight="1" hidden="1">
      <c r="L5139" s="60" t="str">
        <f t="shared" si="349"/>
        <v>-</v>
      </c>
      <c s="28">
        <f t="shared" si="351" ref="M5139:M5202">IFERROR(VLOOKUP(L5139,$B$19:$E$80,4,FALSE),0)</f>
        <v>0</v>
      </c>
      <c s="28">
        <f t="shared" si="350"/>
        <v>0</v>
      </c>
      <c s="28">
        <f t="shared" si="352" ref="O5139:O5202">IFERROR(IF(ISNUMBER(N5138),N5138,$E$8)*IF(L5139&gt;=$J$8,$E$12,$E$12)/IF(MOD(YEAR(L5139),4),365,366)*IF(ISBLANK(L5138),L5139-$F$5,L5139-L5138),0)</f>
        <v>0</v>
      </c>
      <c s="28"/>
    </row>
    <row r="5140" spans="12:16" ht="15" customHeight="1" hidden="1">
      <c r="L5140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1" spans="12:16" ht="15" customHeight="1" hidden="1">
      <c r="L5141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2" spans="12:16" ht="15" customHeight="1" hidden="1">
      <c r="L5142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3" spans="12:16" ht="15" customHeight="1" hidden="1">
      <c r="L5143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4" spans="12:16" ht="15" customHeight="1" hidden="1">
      <c r="L5144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5" spans="12:16" ht="15" customHeight="1" hidden="1">
      <c r="L5145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6" spans="12:16" ht="15" customHeight="1" hidden="1">
      <c r="L5146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7" spans="12:16" ht="15" customHeight="1" hidden="1">
      <c r="L5147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8" spans="12:16" ht="15" customHeight="1" hidden="1">
      <c r="L5148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49" spans="12:16" ht="15" customHeight="1" hidden="1">
      <c r="L5149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0" spans="12:16" ht="15" customHeight="1" hidden="1">
      <c r="L5150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1" spans="12:16" ht="15" customHeight="1" hidden="1">
      <c r="L5151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2" spans="12:16" ht="15" customHeight="1" hidden="1">
      <c r="L5152" s="60" t="str">
        <f t="shared" si="349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3" spans="12:16" ht="15" customHeight="1" hidden="1">
      <c r="L5153" s="60" t="str">
        <f t="shared" si="353" ref="L5153:L5216">IFERROR(IF(MAX(L5152+1,$F$5+1)&gt;Дата_погашения_Займа,"-",MAX(L5152+1,$F$5+1)),"-")</f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4" spans="12:16" ht="15" customHeight="1" hidden="1">
      <c r="L5154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5" spans="12:16" ht="15" customHeight="1" hidden="1">
      <c r="L5155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6" spans="12:16" ht="15" customHeight="1" hidden="1">
      <c r="L5156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7" spans="12:16" ht="15" customHeight="1" hidden="1">
      <c r="L5157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8" spans="12:16" ht="15" customHeight="1" hidden="1">
      <c r="L5158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59" spans="12:16" ht="15" customHeight="1" hidden="1">
      <c r="L5159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60" spans="12:16" ht="15" customHeight="1" hidden="1">
      <c r="L5160" s="60" t="str">
        <f t="shared" si="353"/>
        <v>-</v>
      </c>
      <c s="28">
        <f t="shared" si="351"/>
        <v>0</v>
      </c>
      <c s="28">
        <f t="shared" si="350"/>
        <v>0</v>
      </c>
      <c s="28">
        <f t="shared" si="352"/>
        <v>0</v>
      </c>
      <c s="28"/>
    </row>
    <row r="5161" spans="12:16" ht="15" customHeight="1" hidden="1">
      <c r="L5161" s="60" t="str">
        <f t="shared" si="353"/>
        <v>-</v>
      </c>
      <c s="28">
        <f t="shared" si="351"/>
        <v>0</v>
      </c>
      <c s="28">
        <f t="shared" si="354" ref="N5161:N5224">IF(ISNUMBER(N5160),N5160-M5161,$E$8)</f>
        <v>0</v>
      </c>
      <c s="28">
        <f t="shared" si="352"/>
        <v>0</v>
      </c>
      <c s="28"/>
    </row>
    <row r="5162" spans="12:16" ht="15" customHeight="1" hidden="1">
      <c r="L5162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3" spans="12:16" ht="15" customHeight="1" hidden="1">
      <c r="L5163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4" spans="12:16" ht="15" customHeight="1" hidden="1">
      <c r="L5164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5" spans="12:16" ht="15" customHeight="1" hidden="1">
      <c r="L5165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6" spans="12:16" ht="15" customHeight="1" hidden="1">
      <c r="L5166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7" spans="12:16" ht="15" customHeight="1" hidden="1">
      <c r="L5167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8" spans="12:16" ht="15" customHeight="1" hidden="1">
      <c r="L5168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69" spans="12:16" ht="15" customHeight="1" hidden="1">
      <c r="L5169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0" spans="12:16" ht="15" customHeight="1" hidden="1">
      <c r="L5170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1" spans="12:16" ht="15" customHeight="1" hidden="1">
      <c r="L5171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2" spans="12:16" ht="15" customHeight="1" hidden="1">
      <c r="L5172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3" spans="12:16" ht="15" customHeight="1" hidden="1">
      <c r="L5173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4" spans="12:16" ht="15" customHeight="1" hidden="1">
      <c r="L5174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5" spans="12:16" ht="15" customHeight="1" hidden="1">
      <c r="L5175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6" spans="12:16" ht="15" customHeight="1" hidden="1">
      <c r="L5176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7" spans="12:16" ht="15" customHeight="1" hidden="1">
      <c r="L5177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8" spans="12:16" ht="15" customHeight="1" hidden="1">
      <c r="L5178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79" spans="12:16" ht="15" customHeight="1" hidden="1">
      <c r="L5179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0" spans="12:16" ht="15" customHeight="1" hidden="1">
      <c r="L5180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1" spans="12:16" ht="15" customHeight="1" hidden="1">
      <c r="L5181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2" spans="12:16" ht="15" customHeight="1" hidden="1">
      <c r="L5182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3" spans="12:16" ht="15" customHeight="1" hidden="1">
      <c r="L5183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4" spans="12:16" ht="15" customHeight="1" hidden="1">
      <c r="L5184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5" spans="12:16" ht="15" customHeight="1" hidden="1">
      <c r="L5185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6" spans="12:16" ht="15" customHeight="1" hidden="1">
      <c r="L5186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7" spans="12:16" ht="15" customHeight="1" hidden="1">
      <c r="L5187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8" spans="12:16" ht="15" customHeight="1" hidden="1">
      <c r="L5188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89" spans="12:16" ht="15" customHeight="1" hidden="1">
      <c r="L5189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0" spans="12:16" ht="15" customHeight="1" hidden="1">
      <c r="L5190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1" spans="12:16" ht="15" customHeight="1" hidden="1">
      <c r="L5191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2" spans="12:16" ht="15" customHeight="1" hidden="1">
      <c r="L5192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3" spans="12:16" ht="15" customHeight="1" hidden="1">
      <c r="L5193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4" spans="12:16" ht="15" customHeight="1" hidden="1">
      <c r="L5194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5" spans="12:16" ht="15" customHeight="1" hidden="1">
      <c r="L5195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6" spans="12:16" ht="15" customHeight="1" hidden="1">
      <c r="L5196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7" spans="12:16" ht="15" customHeight="1" hidden="1">
      <c r="L5197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8" spans="12:16" ht="15" customHeight="1" hidden="1">
      <c r="L5198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199" spans="12:16" ht="15" customHeight="1" hidden="1">
      <c r="L5199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200" spans="12:16" ht="15" customHeight="1" hidden="1">
      <c r="L5200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201" spans="12:16" ht="15" customHeight="1" hidden="1">
      <c r="L5201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202" spans="12:16" ht="15" customHeight="1" hidden="1">
      <c r="L5202" s="60" t="str">
        <f t="shared" si="353"/>
        <v>-</v>
      </c>
      <c s="28">
        <f t="shared" si="351"/>
        <v>0</v>
      </c>
      <c s="28">
        <f t="shared" si="354"/>
        <v>0</v>
      </c>
      <c s="28">
        <f t="shared" si="352"/>
        <v>0</v>
      </c>
      <c s="28"/>
    </row>
    <row r="5203" spans="12:16" ht="15" customHeight="1" hidden="1">
      <c r="L5203" s="60" t="str">
        <f t="shared" si="353"/>
        <v>-</v>
      </c>
      <c s="28">
        <f t="shared" si="355" ref="M5203:M5266">IFERROR(VLOOKUP(L5203,$B$19:$E$80,4,FALSE),0)</f>
        <v>0</v>
      </c>
      <c s="28">
        <f t="shared" si="354"/>
        <v>0</v>
      </c>
      <c s="28">
        <f t="shared" si="356" ref="O5203:O5266">IFERROR(IF(ISNUMBER(N5202),N5202,$E$8)*IF(L5203&gt;=$J$8,$E$12,$E$12)/IF(MOD(YEAR(L5203),4),365,366)*IF(ISBLANK(L5202),L5203-$F$5,L5203-L5202),0)</f>
        <v>0</v>
      </c>
      <c s="28"/>
    </row>
    <row r="5204" spans="12:16" ht="15" customHeight="1" hidden="1">
      <c r="L5204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05" spans="12:16" ht="15" customHeight="1" hidden="1">
      <c r="L5205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06" spans="12:16" ht="15" customHeight="1" hidden="1">
      <c r="L5206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07" spans="12:16" ht="15" customHeight="1" hidden="1">
      <c r="L5207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08" spans="12:16" ht="15" customHeight="1" hidden="1">
      <c r="L5208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09" spans="12:16" ht="15" customHeight="1" hidden="1">
      <c r="L5209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0" spans="12:16" ht="15" customHeight="1" hidden="1">
      <c r="L5210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1" spans="12:16" ht="15" customHeight="1" hidden="1">
      <c r="L5211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2" spans="12:16" ht="15" customHeight="1" hidden="1">
      <c r="L5212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3" spans="12:16" ht="15" customHeight="1" hidden="1">
      <c r="L5213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4" spans="12:16" ht="15" customHeight="1" hidden="1">
      <c r="L5214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5" spans="12:16" ht="15" customHeight="1" hidden="1">
      <c r="L5215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6" spans="12:16" ht="15" customHeight="1" hidden="1">
      <c r="L5216" s="60" t="str">
        <f t="shared" si="353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7" spans="12:16" ht="15" customHeight="1" hidden="1">
      <c r="L5217" s="60" t="str">
        <f t="shared" si="357" ref="L5217:L5280">IFERROR(IF(MAX(L5216+1,$F$5+1)&gt;Дата_погашения_Займа,"-",MAX(L5216+1,$F$5+1)),"-")</f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8" spans="12:16" ht="15" customHeight="1" hidden="1">
      <c r="L5218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19" spans="12:16" ht="15" customHeight="1" hidden="1">
      <c r="L5219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20" spans="12:16" ht="15" customHeight="1" hidden="1">
      <c r="L5220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21" spans="12:16" ht="15" customHeight="1" hidden="1">
      <c r="L5221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22" spans="12:16" ht="15" customHeight="1" hidden="1">
      <c r="L5222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23" spans="12:16" ht="15" customHeight="1" hidden="1">
      <c r="L5223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24" spans="12:16" ht="15" customHeight="1" hidden="1">
      <c r="L5224" s="60" t="str">
        <f t="shared" si="357"/>
        <v>-</v>
      </c>
      <c s="28">
        <f t="shared" si="355"/>
        <v>0</v>
      </c>
      <c s="28">
        <f t="shared" si="354"/>
        <v>0</v>
      </c>
      <c s="28">
        <f t="shared" si="356"/>
        <v>0</v>
      </c>
      <c s="28"/>
    </row>
    <row r="5225" spans="12:16" ht="15" customHeight="1" hidden="1">
      <c r="L5225" s="60" t="str">
        <f t="shared" si="357"/>
        <v>-</v>
      </c>
      <c s="28">
        <f t="shared" si="355"/>
        <v>0</v>
      </c>
      <c s="28">
        <f t="shared" si="358" ref="N5225:N5288">IF(ISNUMBER(N5224),N5224-M5225,$E$8)</f>
        <v>0</v>
      </c>
      <c s="28">
        <f t="shared" si="356"/>
        <v>0</v>
      </c>
      <c s="28"/>
    </row>
    <row r="5226" spans="12:16" ht="15" customHeight="1" hidden="1">
      <c r="L5226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27" spans="12:16" ht="15" customHeight="1" hidden="1">
      <c r="L5227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28" spans="12:16" ht="15" customHeight="1" hidden="1">
      <c r="L5228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29" spans="12:16" ht="15" customHeight="1" hidden="1">
      <c r="L5229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0" spans="12:16" ht="15" customHeight="1" hidden="1">
      <c r="L5230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1" spans="12:16" ht="15" customHeight="1" hidden="1">
      <c r="L5231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2" spans="12:16" ht="15" customHeight="1" hidden="1">
      <c r="L5232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3" spans="12:16" ht="15" customHeight="1" hidden="1">
      <c r="L5233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4" spans="12:16" ht="15" customHeight="1" hidden="1">
      <c r="L5234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5" spans="12:16" ht="15" customHeight="1" hidden="1">
      <c r="L5235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6" spans="12:16" ht="15" customHeight="1" hidden="1">
      <c r="L5236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7" spans="12:16" ht="15" customHeight="1" hidden="1">
      <c r="L5237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8" spans="12:16" ht="15" customHeight="1" hidden="1">
      <c r="L5238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39" spans="12:16" ht="15" customHeight="1" hidden="1">
      <c r="L5239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0" spans="12:16" ht="15" customHeight="1" hidden="1">
      <c r="L5240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1" spans="12:16" ht="15" customHeight="1" hidden="1">
      <c r="L5241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2" spans="12:16" ht="15" customHeight="1" hidden="1">
      <c r="L5242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3" spans="12:16" ht="15" customHeight="1" hidden="1">
      <c r="L5243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4" spans="12:16" ht="15" customHeight="1" hidden="1">
      <c r="L5244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5" spans="12:16" ht="15" customHeight="1" hidden="1">
      <c r="L5245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6" spans="12:16" ht="15" customHeight="1" hidden="1">
      <c r="L5246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7" spans="12:16" ht="15" customHeight="1" hidden="1">
      <c r="L5247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8" spans="12:16" ht="15" customHeight="1" hidden="1">
      <c r="L5248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49" spans="12:16" ht="15" customHeight="1" hidden="1">
      <c r="L5249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0" spans="12:16" ht="15" customHeight="1" hidden="1">
      <c r="L5250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1" spans="12:16" ht="15" customHeight="1" hidden="1">
      <c r="L5251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2" spans="12:16" ht="15" customHeight="1" hidden="1">
      <c r="L5252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3" spans="12:16" ht="15" customHeight="1" hidden="1">
      <c r="L5253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4" spans="12:16" ht="15" customHeight="1" hidden="1">
      <c r="L5254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5" spans="12:16" ht="15" customHeight="1" hidden="1">
      <c r="L5255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6" spans="12:16" ht="15" customHeight="1" hidden="1">
      <c r="L5256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7" spans="12:16" ht="15" customHeight="1" hidden="1">
      <c r="L5257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8" spans="12:16" ht="15" customHeight="1" hidden="1">
      <c r="L5258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59" spans="12:16" ht="15" customHeight="1" hidden="1">
      <c r="L5259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0" spans="12:16" ht="15" customHeight="1" hidden="1">
      <c r="L5260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1" spans="12:16" ht="15" customHeight="1" hidden="1">
      <c r="L5261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2" spans="12:16" ht="15" customHeight="1" hidden="1">
      <c r="L5262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3" spans="12:16" ht="15" customHeight="1" hidden="1">
      <c r="L5263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4" spans="12:16" ht="15" customHeight="1" hidden="1">
      <c r="L5264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5" spans="12:16" ht="15" customHeight="1" hidden="1">
      <c r="L5265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6" spans="12:16" ht="15" customHeight="1" hidden="1">
      <c r="L5266" s="60" t="str">
        <f t="shared" si="357"/>
        <v>-</v>
      </c>
      <c s="28">
        <f t="shared" si="355"/>
        <v>0</v>
      </c>
      <c s="28">
        <f t="shared" si="358"/>
        <v>0</v>
      </c>
      <c s="28">
        <f t="shared" si="356"/>
        <v>0</v>
      </c>
      <c s="28"/>
    </row>
    <row r="5267" spans="12:16" ht="15" customHeight="1" hidden="1">
      <c r="L5267" s="60" t="str">
        <f t="shared" si="357"/>
        <v>-</v>
      </c>
      <c s="28">
        <f t="shared" si="359" ref="M5267:M5330">IFERROR(VLOOKUP(L5267,$B$19:$E$80,4,FALSE),0)</f>
        <v>0</v>
      </c>
      <c s="28">
        <f t="shared" si="358"/>
        <v>0</v>
      </c>
      <c s="28">
        <f t="shared" si="360" ref="O5267:O5330">IFERROR(IF(ISNUMBER(N5266),N5266,$E$8)*IF(L5267&gt;=$J$8,$E$12,$E$12)/IF(MOD(YEAR(L5267),4),365,366)*IF(ISBLANK(L5266),L5267-$F$5,L5267-L5266),0)</f>
        <v>0</v>
      </c>
      <c s="28"/>
    </row>
    <row r="5268" spans="12:16" ht="15" customHeight="1" hidden="1">
      <c r="L5268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69" spans="12:16" ht="15" customHeight="1" hidden="1">
      <c r="L5269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0" spans="12:16" ht="15" customHeight="1" hidden="1">
      <c r="L5270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1" spans="12:16" ht="15" customHeight="1" hidden="1">
      <c r="L5271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2" spans="12:16" ht="15" customHeight="1" hidden="1">
      <c r="L5272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3" spans="12:16" ht="15" customHeight="1" hidden="1">
      <c r="L5273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4" spans="12:16" ht="15" customHeight="1" hidden="1">
      <c r="L5274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5" spans="12:16" ht="15" customHeight="1" hidden="1">
      <c r="L5275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6" spans="12:16" ht="15" customHeight="1" hidden="1">
      <c r="L5276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7" spans="12:16" ht="15" customHeight="1" hidden="1">
      <c r="L5277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8" spans="12:16" ht="15" customHeight="1" hidden="1">
      <c r="L5278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79" spans="12:16" ht="15" customHeight="1" hidden="1">
      <c r="L5279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0" spans="12:16" ht="15" customHeight="1" hidden="1">
      <c r="L5280" s="60" t="str">
        <f t="shared" si="357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1" spans="12:16" ht="15" customHeight="1" hidden="1">
      <c r="L5281" s="60" t="str">
        <f t="shared" si="361" ref="L5281:L5344">IFERROR(IF(MAX(L5280+1,$F$5+1)&gt;Дата_погашения_Займа,"-",MAX(L5280+1,$F$5+1)),"-")</f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2" spans="12:16" ht="15" customHeight="1" hidden="1">
      <c r="L5282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3" spans="12:16" ht="15" customHeight="1" hidden="1">
      <c r="L5283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4" spans="12:16" ht="15" customHeight="1" hidden="1">
      <c r="L5284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5" spans="12:16" ht="15" customHeight="1" hidden="1">
      <c r="L5285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6" spans="12:16" ht="15" customHeight="1" hidden="1">
      <c r="L5286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7" spans="12:16" ht="15" customHeight="1" hidden="1">
      <c r="L5287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8" spans="12:16" ht="15" customHeight="1" hidden="1">
      <c r="L5288" s="60" t="str">
        <f t="shared" si="361"/>
        <v>-</v>
      </c>
      <c s="28">
        <f t="shared" si="359"/>
        <v>0</v>
      </c>
      <c s="28">
        <f t="shared" si="358"/>
        <v>0</v>
      </c>
      <c s="28">
        <f t="shared" si="360"/>
        <v>0</v>
      </c>
      <c s="28"/>
    </row>
    <row r="5289" spans="12:16" ht="15" customHeight="1" hidden="1">
      <c r="L5289" s="60" t="str">
        <f t="shared" si="361"/>
        <v>-</v>
      </c>
      <c s="28">
        <f t="shared" si="359"/>
        <v>0</v>
      </c>
      <c s="28">
        <f t="shared" si="362" ref="N5289:N5352">IF(ISNUMBER(N5288),N5288-M5289,$E$8)</f>
        <v>0</v>
      </c>
      <c s="28">
        <f t="shared" si="360"/>
        <v>0</v>
      </c>
      <c s="28"/>
    </row>
    <row r="5290" spans="12:16" ht="15" customHeight="1" hidden="1">
      <c r="L5290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1" spans="12:16" ht="15" customHeight="1" hidden="1">
      <c r="L5291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2" spans="12:16" ht="15" customHeight="1" hidden="1">
      <c r="L5292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3" spans="12:16" ht="15" customHeight="1" hidden="1">
      <c r="L5293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4" spans="12:16" ht="15" customHeight="1" hidden="1">
      <c r="L5294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5" spans="12:16" ht="15" customHeight="1" hidden="1">
      <c r="L5295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6" spans="12:16" ht="15" customHeight="1" hidden="1">
      <c r="L5296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7" spans="12:16" ht="15" customHeight="1" hidden="1">
      <c r="L5297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8" spans="12:16" ht="15" customHeight="1" hidden="1">
      <c r="L5298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299" spans="12:16" ht="15" customHeight="1" hidden="1">
      <c r="L5299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0" spans="12:16" ht="15" customHeight="1" hidden="1">
      <c r="L5300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1" spans="12:16" ht="15" customHeight="1" hidden="1">
      <c r="L5301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2" spans="12:16" ht="15" customHeight="1" hidden="1">
      <c r="L5302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3" spans="12:16" ht="15" customHeight="1" hidden="1">
      <c r="L5303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4" spans="12:16" ht="15" customHeight="1" hidden="1">
      <c r="L5304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5" spans="12:16" ht="15" customHeight="1" hidden="1">
      <c r="L5305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6" spans="12:16" ht="15" customHeight="1" hidden="1">
      <c r="L5306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7" spans="12:16" ht="15" customHeight="1" hidden="1">
      <c r="L5307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8" spans="12:16" ht="15" customHeight="1" hidden="1">
      <c r="L5308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09" spans="12:16" ht="15" customHeight="1" hidden="1">
      <c r="L5309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0" spans="12:16" ht="15" customHeight="1" hidden="1">
      <c r="L5310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1" spans="12:16" ht="15" customHeight="1" hidden="1">
      <c r="L5311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2" spans="12:16" ht="15" customHeight="1" hidden="1">
      <c r="L5312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3" spans="12:16" ht="15" customHeight="1" hidden="1">
      <c r="L5313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4" spans="12:16" ht="15" customHeight="1" hidden="1">
      <c r="L5314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5" spans="12:16" ht="15" customHeight="1" hidden="1">
      <c r="L5315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6" spans="12:16" ht="15" customHeight="1" hidden="1">
      <c r="L5316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7" spans="12:16" ht="15" customHeight="1" hidden="1">
      <c r="L5317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8" spans="12:16" ht="15" customHeight="1" hidden="1">
      <c r="L5318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19" spans="12:16" ht="15" customHeight="1" hidden="1">
      <c r="L5319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0" spans="12:16" ht="15" customHeight="1" hidden="1">
      <c r="L5320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1" spans="12:16" ht="15" customHeight="1" hidden="1">
      <c r="L5321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2" spans="12:16" ht="15" customHeight="1" hidden="1">
      <c r="L5322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3" spans="12:16" ht="15" customHeight="1" hidden="1">
      <c r="L5323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4" spans="12:16" ht="15" customHeight="1" hidden="1">
      <c r="L5324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5" spans="12:16" ht="15" customHeight="1" hidden="1">
      <c r="L5325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6" spans="12:16" ht="15" customHeight="1" hidden="1">
      <c r="L5326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7" spans="12:16" ht="15" customHeight="1" hidden="1">
      <c r="L5327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8" spans="12:16" ht="15" customHeight="1" hidden="1">
      <c r="L5328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29" spans="12:16" ht="15" customHeight="1" hidden="1">
      <c r="L5329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30" spans="12:16" ht="15" customHeight="1" hidden="1">
      <c r="L5330" s="60" t="str">
        <f t="shared" si="361"/>
        <v>-</v>
      </c>
      <c s="28">
        <f t="shared" si="359"/>
        <v>0</v>
      </c>
      <c s="28">
        <f t="shared" si="362"/>
        <v>0</v>
      </c>
      <c s="28">
        <f t="shared" si="360"/>
        <v>0</v>
      </c>
      <c s="28"/>
    </row>
    <row r="5331" spans="12:16" ht="15" customHeight="1" hidden="1">
      <c r="L5331" s="60" t="str">
        <f t="shared" si="361"/>
        <v>-</v>
      </c>
      <c s="28">
        <f t="shared" si="363" ref="M5331:M5394">IFERROR(VLOOKUP(L5331,$B$19:$E$80,4,FALSE),0)</f>
        <v>0</v>
      </c>
      <c s="28">
        <f t="shared" si="362"/>
        <v>0</v>
      </c>
      <c s="28">
        <f t="shared" si="364" ref="O5331:O5394">IFERROR(IF(ISNUMBER(N5330),N5330,$E$8)*IF(L5331&gt;=$J$8,$E$12,$E$12)/IF(MOD(YEAR(L5331),4),365,366)*IF(ISBLANK(L5330),L5331-$F$5,L5331-L5330),0)</f>
        <v>0</v>
      </c>
      <c s="28"/>
    </row>
    <row r="5332" spans="12:16" ht="15" customHeight="1" hidden="1">
      <c r="L5332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3" spans="12:16" ht="15" customHeight="1" hidden="1">
      <c r="L5333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4" spans="12:16" ht="15" customHeight="1" hidden="1">
      <c r="L5334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5" spans="12:16" ht="15" customHeight="1" hidden="1">
      <c r="L5335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6" spans="12:16" ht="15" customHeight="1" hidden="1">
      <c r="L5336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7" spans="12:16" ht="15" customHeight="1" hidden="1">
      <c r="L5337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8" spans="12:16" ht="15" customHeight="1" hidden="1">
      <c r="L5338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39" spans="12:16" ht="15" customHeight="1" hidden="1">
      <c r="L5339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0" spans="12:16" ht="15" customHeight="1" hidden="1">
      <c r="L5340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1" spans="12:16" ht="15" customHeight="1" hidden="1">
      <c r="L5341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2" spans="12:16" ht="15" customHeight="1" hidden="1">
      <c r="L5342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3" spans="12:16" ht="15" customHeight="1" hidden="1">
      <c r="L5343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4" spans="12:16" ht="15" customHeight="1" hidden="1">
      <c r="L5344" s="60" t="str">
        <f t="shared" si="361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5" spans="12:16" ht="15" customHeight="1" hidden="1">
      <c r="L5345" s="60" t="str">
        <f t="shared" si="365" ref="L5345:L5408">IFERROR(IF(MAX(L5344+1,$F$5+1)&gt;Дата_погашения_Займа,"-",MAX(L5344+1,$F$5+1)),"-")</f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6" spans="12:16" ht="15" customHeight="1" hidden="1">
      <c r="L5346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7" spans="12:16" ht="15" customHeight="1" hidden="1">
      <c r="L5347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8" spans="12:16" ht="15" customHeight="1" hidden="1">
      <c r="L5348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49" spans="12:16" ht="15" customHeight="1" hidden="1">
      <c r="L5349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50" spans="12:16" ht="15" customHeight="1" hidden="1">
      <c r="L5350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51" spans="12:16" ht="15" customHeight="1" hidden="1">
      <c r="L5351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52" spans="12:16" ht="15" customHeight="1" hidden="1">
      <c r="L5352" s="60" t="str">
        <f t="shared" si="365"/>
        <v>-</v>
      </c>
      <c s="28">
        <f t="shared" si="363"/>
        <v>0</v>
      </c>
      <c s="28">
        <f t="shared" si="362"/>
        <v>0</v>
      </c>
      <c s="28">
        <f t="shared" si="364"/>
        <v>0</v>
      </c>
      <c s="28"/>
    </row>
    <row r="5353" spans="12:16" ht="15" customHeight="1" hidden="1">
      <c r="L5353" s="60" t="str">
        <f t="shared" si="365"/>
        <v>-</v>
      </c>
      <c s="28">
        <f t="shared" si="363"/>
        <v>0</v>
      </c>
      <c s="28">
        <f t="shared" si="366" ref="N5353:N5416">IF(ISNUMBER(N5352),N5352-M5353,$E$8)</f>
        <v>0</v>
      </c>
      <c s="28">
        <f t="shared" si="364"/>
        <v>0</v>
      </c>
      <c s="28"/>
    </row>
    <row r="5354" spans="12:16" ht="15" customHeight="1" hidden="1">
      <c r="L5354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55" spans="12:16" ht="15" customHeight="1" hidden="1">
      <c r="L5355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56" spans="12:16" ht="15" customHeight="1" hidden="1">
      <c r="L5356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57" spans="12:16" ht="15" customHeight="1" hidden="1">
      <c r="L5357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58" spans="12:16" ht="15" customHeight="1" hidden="1">
      <c r="L5358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59" spans="12:16" ht="15" customHeight="1" hidden="1">
      <c r="L5359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0" spans="12:16" ht="15" customHeight="1" hidden="1">
      <c r="L5360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1" spans="12:16" ht="15" customHeight="1" hidden="1">
      <c r="L5361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2" spans="12:16" ht="15" customHeight="1" hidden="1">
      <c r="L5362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3" spans="12:16" ht="15" customHeight="1" hidden="1">
      <c r="L5363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4" spans="12:16" ht="15" customHeight="1" hidden="1">
      <c r="L5364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5" spans="12:16" ht="15" customHeight="1" hidden="1">
      <c r="L5365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6" spans="12:16" ht="15" customHeight="1" hidden="1">
      <c r="L5366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7" spans="12:16" ht="15" customHeight="1" hidden="1">
      <c r="L5367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8" spans="12:16" ht="15" customHeight="1" hidden="1">
      <c r="L5368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69" spans="12:16" ht="15" customHeight="1" hidden="1">
      <c r="L5369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0" spans="12:16" ht="15" customHeight="1" hidden="1">
      <c r="L5370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1" spans="12:16" ht="15" customHeight="1" hidden="1">
      <c r="L5371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2" spans="12:16" ht="15" customHeight="1" hidden="1">
      <c r="L5372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3" spans="12:16" ht="15" customHeight="1" hidden="1">
      <c r="L5373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4" spans="12:16" ht="15" customHeight="1" hidden="1">
      <c r="L5374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5" spans="12:16" ht="15" customHeight="1" hidden="1">
      <c r="L5375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6" spans="12:16" ht="15" customHeight="1" hidden="1">
      <c r="L5376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7" spans="12:16" ht="15" customHeight="1" hidden="1">
      <c r="L5377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8" spans="12:16" ht="15" customHeight="1" hidden="1">
      <c r="L5378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79" spans="12:16" ht="15" customHeight="1" hidden="1">
      <c r="L5379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0" spans="12:16" ht="15" customHeight="1" hidden="1">
      <c r="L5380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1" spans="12:16" ht="15" customHeight="1" hidden="1">
      <c r="L5381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2" spans="12:16" ht="15" customHeight="1" hidden="1">
      <c r="L5382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3" spans="12:16" ht="15" customHeight="1" hidden="1">
      <c r="L5383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4" spans="12:16" ht="15" customHeight="1" hidden="1">
      <c r="L5384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5" spans="12:16" ht="15" customHeight="1" hidden="1">
      <c r="L5385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6" spans="12:16" ht="15" customHeight="1" hidden="1">
      <c r="L5386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7" spans="12:16" ht="15" customHeight="1" hidden="1">
      <c r="L5387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8" spans="12:16" ht="15" customHeight="1" hidden="1">
      <c r="L5388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89" spans="12:16" ht="15" customHeight="1" hidden="1">
      <c r="L5389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90" spans="12:16" ht="15" customHeight="1" hidden="1">
      <c r="L5390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91" spans="12:16" ht="15" customHeight="1" hidden="1">
      <c r="L5391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92" spans="12:16" ht="15" customHeight="1" hidden="1">
      <c r="L5392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93" spans="12:16" ht="15" customHeight="1" hidden="1">
      <c r="L5393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94" spans="12:16" ht="15" customHeight="1" hidden="1">
      <c r="L5394" s="60" t="str">
        <f t="shared" si="365"/>
        <v>-</v>
      </c>
      <c s="28">
        <f t="shared" si="363"/>
        <v>0</v>
      </c>
      <c s="28">
        <f t="shared" si="366"/>
        <v>0</v>
      </c>
      <c s="28">
        <f t="shared" si="364"/>
        <v>0</v>
      </c>
      <c s="28"/>
    </row>
    <row r="5395" spans="12:16" ht="15" customHeight="1" hidden="1">
      <c r="L5395" s="60" t="str">
        <f t="shared" si="365"/>
        <v>-</v>
      </c>
      <c s="28">
        <f t="shared" si="367" ref="M5395:M5458">IFERROR(VLOOKUP(L5395,$B$19:$E$80,4,FALSE),0)</f>
        <v>0</v>
      </c>
      <c s="28">
        <f t="shared" si="366"/>
        <v>0</v>
      </c>
      <c s="28">
        <f t="shared" si="368" ref="O5395:O5458">IFERROR(IF(ISNUMBER(N5394),N5394,$E$8)*IF(L5395&gt;=$J$8,$E$12,$E$12)/IF(MOD(YEAR(L5395),4),365,366)*IF(ISBLANK(L5394),L5395-$F$5,L5395-L5394),0)</f>
        <v>0</v>
      </c>
      <c s="28"/>
    </row>
    <row r="5396" spans="12:16" ht="15" customHeight="1" hidden="1">
      <c r="L5396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397" spans="12:16" ht="15" customHeight="1" hidden="1">
      <c r="L5397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398" spans="12:16" ht="15" customHeight="1" hidden="1">
      <c r="L5398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399" spans="12:16" ht="15" customHeight="1" hidden="1">
      <c r="L5399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0" spans="12:16" ht="15" customHeight="1" hidden="1">
      <c r="L5400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1" spans="12:16" ht="15" customHeight="1" hidden="1">
      <c r="L5401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2" spans="12:16" ht="15" customHeight="1" hidden="1">
      <c r="L5402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3" spans="12:16" ht="15" customHeight="1" hidden="1">
      <c r="L5403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4" spans="12:16" ht="15" customHeight="1" hidden="1">
      <c r="L5404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5" spans="12:16" ht="15" customHeight="1" hidden="1">
      <c r="L5405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6" spans="12:16" ht="15" customHeight="1" hidden="1">
      <c r="L5406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7" spans="12:16" ht="15" customHeight="1" hidden="1">
      <c r="L5407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8" spans="12:16" ht="15" customHeight="1" hidden="1">
      <c r="L5408" s="60" t="str">
        <f t="shared" si="365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09" spans="12:16" ht="15" customHeight="1" hidden="1">
      <c r="L5409" s="60" t="str">
        <f t="shared" si="369" ref="L5409:L5472">IFERROR(IF(MAX(L5408+1,$F$5+1)&gt;Дата_погашения_Займа,"-",MAX(L5408+1,$F$5+1)),"-")</f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0" spans="12:16" ht="15" customHeight="1" hidden="1">
      <c r="L5410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1" spans="12:16" ht="15" customHeight="1" hidden="1">
      <c r="L5411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2" spans="12:16" ht="15" customHeight="1" hidden="1">
      <c r="L5412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3" spans="12:16" ht="15" customHeight="1" hidden="1">
      <c r="L5413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4" spans="12:16" ht="15" customHeight="1" hidden="1">
      <c r="L5414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5" spans="12:16" ht="15" customHeight="1" hidden="1">
      <c r="L5415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6" spans="12:16" ht="15" customHeight="1" hidden="1">
      <c r="L5416" s="60" t="str">
        <f t="shared" si="369"/>
        <v>-</v>
      </c>
      <c s="28">
        <f t="shared" si="367"/>
        <v>0</v>
      </c>
      <c s="28">
        <f t="shared" si="366"/>
        <v>0</v>
      </c>
      <c s="28">
        <f t="shared" si="368"/>
        <v>0</v>
      </c>
      <c s="28"/>
    </row>
    <row r="5417" spans="12:16" ht="15" customHeight="1" hidden="1">
      <c r="L5417" s="60" t="str">
        <f t="shared" si="369"/>
        <v>-</v>
      </c>
      <c s="28">
        <f t="shared" si="367"/>
        <v>0</v>
      </c>
      <c s="28">
        <f t="shared" si="370" ref="N5417:N5480">IF(ISNUMBER(N5416),N5416-M5417,$E$8)</f>
        <v>0</v>
      </c>
      <c s="28">
        <f t="shared" si="368"/>
        <v>0</v>
      </c>
      <c s="28"/>
    </row>
    <row r="5418" spans="12:16" ht="15" customHeight="1" hidden="1">
      <c r="L5418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19" spans="12:16" ht="15" customHeight="1" hidden="1">
      <c r="L5419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0" spans="12:16" ht="15" customHeight="1" hidden="1">
      <c r="L5420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1" spans="12:16" ht="15" customHeight="1" hidden="1">
      <c r="L5421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2" spans="12:16" ht="15" customHeight="1" hidden="1">
      <c r="L5422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3" spans="12:16" ht="15" customHeight="1" hidden="1">
      <c r="L5423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4" spans="12:16" ht="15" customHeight="1" hidden="1">
      <c r="L5424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5" spans="12:16" ht="15" customHeight="1" hidden="1">
      <c r="L5425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6" spans="12:16" ht="15" customHeight="1" hidden="1">
      <c r="L5426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7" spans="12:16" ht="15" customHeight="1" hidden="1">
      <c r="L5427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8" spans="12:16" ht="15" customHeight="1" hidden="1">
      <c r="L5428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29" spans="12:16" ht="15" customHeight="1" hidden="1">
      <c r="L5429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0" spans="12:16" ht="15" customHeight="1" hidden="1">
      <c r="L5430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1" spans="12:16" ht="15" customHeight="1" hidden="1">
      <c r="L5431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2" spans="12:16" ht="15" customHeight="1" hidden="1">
      <c r="L5432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3" spans="12:16" ht="15" customHeight="1" hidden="1">
      <c r="L5433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4" spans="12:16" ht="15" customHeight="1" hidden="1">
      <c r="L5434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5" spans="12:16" ht="15" customHeight="1" hidden="1">
      <c r="L5435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6" spans="12:16" ht="15" customHeight="1" hidden="1">
      <c r="L5436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7" spans="12:16" ht="15" customHeight="1" hidden="1">
      <c r="L5437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8" spans="12:16" ht="15" customHeight="1" hidden="1">
      <c r="L5438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39" spans="12:16" ht="15" customHeight="1" hidden="1">
      <c r="L5439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0" spans="12:16" ht="15" customHeight="1" hidden="1">
      <c r="L5440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1" spans="12:16" ht="15" customHeight="1" hidden="1">
      <c r="L5441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2" spans="12:16" ht="15" customHeight="1" hidden="1">
      <c r="L5442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3" spans="12:16" ht="15" customHeight="1" hidden="1">
      <c r="L5443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4" spans="12:16" ht="15" customHeight="1" hidden="1">
      <c r="L5444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5" spans="12:16" ht="15" customHeight="1" hidden="1">
      <c r="L5445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6" spans="12:16" ht="15" customHeight="1" hidden="1">
      <c r="L5446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7" spans="12:16" ht="15" customHeight="1" hidden="1">
      <c r="L5447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8" spans="12:16" ht="15" customHeight="1" hidden="1">
      <c r="L5448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49" spans="12:16" ht="15" customHeight="1" hidden="1">
      <c r="L5449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0" spans="12:16" ht="15" customHeight="1" hidden="1">
      <c r="L5450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1" spans="12:16" ht="15" customHeight="1" hidden="1">
      <c r="L5451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2" spans="12:16" ht="15" customHeight="1" hidden="1">
      <c r="L5452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3" spans="12:16" ht="15" customHeight="1" hidden="1">
      <c r="L5453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4" spans="12:16" ht="15" customHeight="1" hidden="1">
      <c r="L5454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5" spans="12:16" ht="15" customHeight="1" hidden="1">
      <c r="L5455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6" spans="12:16" ht="15" customHeight="1" hidden="1">
      <c r="L5456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7" spans="12:16" ht="15" customHeight="1" hidden="1">
      <c r="L5457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8" spans="12:16" ht="15" customHeight="1" hidden="1">
      <c r="L5458" s="60" t="str">
        <f t="shared" si="369"/>
        <v>-</v>
      </c>
      <c s="28">
        <f t="shared" si="367"/>
        <v>0</v>
      </c>
      <c s="28">
        <f t="shared" si="370"/>
        <v>0</v>
      </c>
      <c s="28">
        <f t="shared" si="368"/>
        <v>0</v>
      </c>
      <c s="28"/>
    </row>
    <row r="5459" spans="12:16" ht="15" customHeight="1" hidden="1">
      <c r="L5459" s="60" t="str">
        <f t="shared" si="369"/>
        <v>-</v>
      </c>
      <c s="28">
        <f t="shared" si="371" ref="M5459:M5497">IFERROR(VLOOKUP(L5459,$B$19:$E$80,4,FALSE),0)</f>
        <v>0</v>
      </c>
      <c s="28">
        <f t="shared" si="370"/>
        <v>0</v>
      </c>
      <c s="28">
        <f t="shared" si="372" ref="O5459:O5497">IFERROR(IF(ISNUMBER(N5458),N5458,$E$8)*IF(L5459&gt;=$J$8,$E$12,$E$12)/IF(MOD(YEAR(L5459),4),365,366)*IF(ISBLANK(L5458),L5459-$F$5,L5459-L5458),0)</f>
        <v>0</v>
      </c>
      <c s="28"/>
    </row>
    <row r="5460" spans="12:16" ht="15" customHeight="1" hidden="1">
      <c r="L5460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1" spans="12:16" ht="15" customHeight="1" hidden="1">
      <c r="L5461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2" spans="12:16" ht="15" customHeight="1" hidden="1">
      <c r="L5462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3" spans="12:16" ht="15" customHeight="1" hidden="1">
      <c r="L5463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4" spans="12:16" ht="15" customHeight="1" hidden="1">
      <c r="L5464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5" spans="12:16" ht="15" customHeight="1" hidden="1">
      <c r="L5465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6" spans="12:16" ht="15" customHeight="1" hidden="1">
      <c r="L5466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7" spans="12:16" ht="15" customHeight="1" hidden="1">
      <c r="L5467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8" spans="12:16" ht="15" customHeight="1" hidden="1">
      <c r="L5468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69" spans="12:16" ht="15" customHeight="1" hidden="1">
      <c r="L5469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0" spans="12:16" ht="15" customHeight="1" hidden="1">
      <c r="L5470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1" spans="12:16" ht="15" customHeight="1" hidden="1">
      <c r="L5471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2" spans="12:16" ht="15" customHeight="1" hidden="1">
      <c r="L5472" s="60" t="str">
        <f t="shared" si="369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3" spans="12:16" ht="15" customHeight="1" hidden="1">
      <c r="L5473" s="60" t="str">
        <f t="shared" si="373" ref="L5473:L5497">IFERROR(IF(MAX(L5472+1,$F$5+1)&gt;Дата_погашения_Займа,"-",MAX(L5472+1,$F$5+1)),"-")</f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4" spans="12:16" ht="15" customHeight="1" hidden="1">
      <c r="L5474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5" spans="12:16" ht="15" customHeight="1" hidden="1">
      <c r="L5475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6" spans="12:16" ht="15" customHeight="1" hidden="1">
      <c r="L5476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7" spans="12:16" ht="15" customHeight="1" hidden="1">
      <c r="L5477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8" spans="12:16" ht="15" customHeight="1" hidden="1">
      <c r="L5478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79" spans="12:16" ht="15" customHeight="1" hidden="1">
      <c r="L5479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80" spans="12:16" ht="15" customHeight="1" hidden="1">
      <c r="L5480" s="60" t="str">
        <f t="shared" si="373"/>
        <v>-</v>
      </c>
      <c s="28">
        <f t="shared" si="371"/>
        <v>0</v>
      </c>
      <c s="28">
        <f t="shared" si="370"/>
        <v>0</v>
      </c>
      <c s="28">
        <f t="shared" si="372"/>
        <v>0</v>
      </c>
      <c s="28"/>
    </row>
    <row r="5481" spans="12:16" ht="15" customHeight="1" hidden="1">
      <c r="L5481" s="60" t="str">
        <f t="shared" si="373"/>
        <v>-</v>
      </c>
      <c s="28">
        <f t="shared" si="371"/>
        <v>0</v>
      </c>
      <c s="28">
        <f t="shared" si="374" ref="N5481:N5497">IF(ISNUMBER(N5480),N5480-M5481,$E$8)</f>
        <v>0</v>
      </c>
      <c s="28">
        <f t="shared" si="372"/>
        <v>0</v>
      </c>
      <c s="28"/>
    </row>
    <row r="5482" spans="12:16" ht="15" customHeight="1" hidden="1">
      <c r="L5482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3" spans="12:16" ht="15" customHeight="1" hidden="1">
      <c r="L5483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4" spans="12:16" ht="15" customHeight="1" hidden="1">
      <c r="L5484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5" spans="12:16" ht="15" customHeight="1" hidden="1">
      <c r="L5485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6" spans="12:16" ht="15" customHeight="1" hidden="1">
      <c r="L5486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7" spans="12:16" ht="15" customHeight="1" hidden="1">
      <c r="L5487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8" spans="12:16" ht="15" customHeight="1" hidden="1">
      <c r="L5488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89" spans="12:16" ht="15" customHeight="1" hidden="1">
      <c r="L5489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0" spans="12:16" ht="15" customHeight="1" hidden="1">
      <c r="L5490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1" spans="12:16" ht="15" customHeight="1" hidden="1">
      <c r="L5491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2" spans="12:16" ht="15" customHeight="1" hidden="1">
      <c r="L5492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3" spans="12:16" ht="15" customHeight="1" hidden="1">
      <c r="L5493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4" spans="12:16" ht="15" customHeight="1" hidden="1">
      <c r="L5494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5" spans="12:16" ht="15" customHeight="1" hidden="1">
      <c r="L5495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6" spans="12:16" ht="15" customHeight="1" hidden="1">
      <c r="L5496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7" spans="12:16" ht="15" customHeight="1" hidden="1">
      <c r="L5497" s="60" t="str">
        <f t="shared" si="373"/>
        <v>-</v>
      </c>
      <c s="28">
        <f t="shared" si="371"/>
        <v>0</v>
      </c>
      <c s="28">
        <f t="shared" si="374"/>
        <v>0</v>
      </c>
      <c s="28">
        <f t="shared" si="372"/>
        <v>0</v>
      </c>
      <c s="28"/>
    </row>
    <row r="5498" spans="12:16" ht="15" customHeight="1" hidden="1">
      <c r="L5498" s="60"/>
      <c s="61">
        <f>SUM(M19:M5497)</f>
        <v>0</v>
      </c>
      <c r="O5498" s="61">
        <f>SUM(O19:O5497)</f>
        <v>0</v>
      </c>
      <c s="61"/>
    </row>
  </sheetData>
  <sheetProtection algorithmName="SHA-512" hashValue="LYCrTHOfgKR7yyIEoWp3ej5jPaKPbf1KBRUd9JXVQEbBN/D7yv8Vj+Ae1lf9XgvO4g6EMG2QGjmBaI5FXHmrtQ==" saltValue="EF8u3cmdqQfIJEsWksA9Lg==" spinCount="100000" sheet="1" objects="1" scenarios="1"/>
  <mergeCells count="19">
    <mergeCell ref="B12:B13"/>
    <mergeCell ref="E12:E13"/>
    <mergeCell ref="E17:E18"/>
    <mergeCell ref="B17:B18"/>
    <mergeCell ref="G17:G18"/>
    <mergeCell ref="B16:F16"/>
    <mergeCell ref="F17:F18"/>
    <mergeCell ref="D17:D18"/>
    <mergeCell ref="C17:C18"/>
    <mergeCell ref="H17:H18"/>
    <mergeCell ref="J5:J6"/>
    <mergeCell ref="P17:P18"/>
    <mergeCell ref="L17:L18"/>
    <mergeCell ref="M17:M18"/>
    <mergeCell ref="N17:N18"/>
    <mergeCell ref="O17:O18"/>
    <mergeCell ref="J17:J18"/>
    <mergeCell ref="G16:J16"/>
    <mergeCell ref="I17:I18"/>
  </mergeCells>
  <conditionalFormatting sqref="D12:D14">
    <cfRule type="cellIs" priority="8" dxfId="24" operator="equal">
      <formula>"Q"</formula>
    </cfRule>
    <cfRule type="cellIs" priority="9" dxfId="23" operator="equal">
      <formula>"R"</formula>
    </cfRule>
  </conditionalFormatting>
  <conditionalFormatting sqref="E15">
    <cfRule type="expression" priority="2" dxfId="138">
      <formula>$E14="нет"</formula>
    </cfRule>
  </conditionalFormatting>
  <dataValidations count="3">
    <dataValidation type="list" allowBlank="1" showInputMessage="1" showErrorMessage="1" sqref="E14">
      <formula1>"да,нет"</formula1>
    </dataValidation>
    <dataValidation type="list" allowBlank="1" showInputMessage="1" showErrorMessage="1" sqref="E12:E13">
      <formula1>'Программы финансирования'!$R$27:$R$29</formula1>
    </dataValidation>
    <dataValidation type="list" showInputMessage="1" showErrorMessage="1" sqref="E7">
      <formula1>'Программы финансирования'!$B$11:$B$20</formula1>
    </dataValidation>
  </dataValidations>
  <pageMargins left="0.7" right="0.7" top="0.75" bottom="0.75" header="0.3" footer="0.3"/>
  <pageSetup orientation="landscape" paperSize="9" scale="56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4">
    <tabColor rgb="FFFFF6DD"/>
    <pageSetUpPr fitToPage="1"/>
  </sheetPr>
  <dimension ref="A2:BV602"/>
  <sheetViews>
    <sheetView showGridLines="0" zoomScale="120" zoomScaleNormal="120" workbookViewId="0" topLeftCell="A1">
      <pane xSplit="2" ySplit="5" topLeftCell="C6" activePane="bottomRight" state="frozen"/>
      <selection pane="topLeft" activeCell="A1" sqref="A1"/>
      <selection pane="bottomLeft" activeCell="C12" sqref="C12:O13"/>
      <selection pane="topRight" activeCell="C12" sqref="C12:O13"/>
      <selection pane="bottomRight" activeCell="C12" sqref="C12"/>
    </sheetView>
  </sheetViews>
  <sheetFormatPr defaultColWidth="0" defaultRowHeight="15" customHeight="1" zeroHeight="1"/>
  <cols>
    <col min="1" max="1" width="2.71428571428571" customWidth="1"/>
    <col min="2" max="2" width="50.7142857142857" customWidth="1"/>
    <col min="3" max="3" width="20.2857142857143" customWidth="1"/>
    <col min="4" max="73" width="17.2857142857143" customWidth="1"/>
    <col min="74" max="74" width="13.1428571428571" customWidth="1"/>
    <col min="75" max="16384" width="17.2857142857143" hidden="1"/>
  </cols>
  <sheetData>
    <row r="1" ht="15" customHeight="1"/>
    <row r="2" spans="5:8" ht="15" customHeight="1">
      <c r="E2" s="566" t="s">
        <v>424</v>
      </c>
      <c s="566"/>
      <c s="566"/>
      <c s="566"/>
    </row>
    <row r="3" spans="5:13" ht="15" customHeight="1">
      <c r="E3" s="427" t="s">
        <v>8</v>
      </c>
      <c s="427" t="s">
        <v>9</v>
      </c>
      <c s="427" t="s">
        <v>10</v>
      </c>
      <c s="427" t="s">
        <v>24</v>
      </c>
      <c r="J3" s="6"/>
      <c s="6"/>
      <c s="6"/>
      <c s="6"/>
    </row>
    <row r="4" spans="5:8" ht="15" customHeight="1">
      <c r="E4" s="563" t="str">
        <f ca="1">IF(H4="R","Все расчёты корректны","Имеются некорректные данные")</f>
        <v>Имеются некорректные данные</v>
      </c>
      <c s="564"/>
      <c s="565"/>
      <c s="112" t="str">
        <f ca="1">Проверка</f>
        <v>Q</v>
      </c>
    </row>
    <row r="5" spans="2:31" ht="31.15">
      <c r="B5" s="7" t="s">
        <v>10</v>
      </c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  <c s="6"/>
    </row>
    <row r="6" spans="2:31" ht="14.45">
      <c r="B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" spans="2:31" ht="21">
      <c r="B7" s="23" t="s">
        <v>77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8" spans="2:31" ht="14.45">
      <c r="B8" s="545" t="s">
        <v>78</v>
      </c>
      <c s="546"/>
      <c s="546"/>
      <c s="546"/>
      <c s="546"/>
      <c s="546"/>
      <c s="547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9" spans="2:31" ht="14.45">
      <c r="B9" s="548"/>
      <c s="549"/>
      <c s="549"/>
      <c s="549"/>
      <c s="549"/>
      <c s="549"/>
      <c s="550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0" spans="2:31" ht="14.45">
      <c r="B10" s="8" t="s">
        <v>425</v>
      </c>
      <c s="317"/>
      <c s="5" t="s">
        <v>426</v>
      </c>
      <c s="560"/>
      <c s="531"/>
      <c s="531"/>
      <c s="532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" spans="2:31" ht="14.45">
      <c r="B11" s="8" t="s">
        <v>80</v>
      </c>
      <c s="530"/>
      <c s="531"/>
      <c s="531"/>
      <c s="531"/>
      <c s="531"/>
      <c s="532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" spans="2:31" ht="28.9">
      <c r="B12" s="8" t="s">
        <v>427</v>
      </c>
      <c s="317" t="s">
        <v>428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" spans="2:31" ht="15" customHeight="1">
      <c r="B13" s="8" t="s">
        <v>429</v>
      </c>
      <c s="164">
        <f>DATE(YEAR(Дата_получения_Займа),ROUNDUP(MONTH(Дата_получения_Займа)/Месяцев_в_квартале,0)*Месяцев_в_квартале-2,1)</f>
        <v>45658</v>
      </c>
      <c s="55"/>
      <c s="551" t="s">
        <v>430</v>
      </c>
      <c s="552"/>
      <c s="553"/>
      <c s="9" t="s">
        <v>431</v>
      </c>
      <c r="L13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" spans="2:31" ht="15" customHeight="1">
      <c r="B14" s="10" t="s">
        <v>432</v>
      </c>
      <c s="13">
        <f>IFERROR(ROUND((C15-C13)/(365/Кварталов_в_году),0),0)</f>
        <v>21</v>
      </c>
      <c s="51"/>
      <c s="554" t="str">
        <f>"Дополнительная валюта №1"&amp;IF(ISBLANK(H14),""," - ")&amp;IFERROR(INDEX(Источники!$B$226:$B$258,MATCH(H14,Источники!$C$226:$C$258,0)),"")</f>
        <v>Дополнительная валюта №1 - Доллар США</v>
      </c>
      <c s="555"/>
      <c s="556"/>
      <c s="317" t="s">
        <v>433</v>
      </c>
      <c r="L14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5" spans="2:31" ht="14.45">
      <c r="B15" s="8" t="s">
        <v>434</v>
      </c>
      <c s="165">
        <f>IFERROR(EOMONTH(DATE(YEAR(Дата_погашения_Займа),ROUNDUP(MONTH(Дата_погашения_Займа)/Месяцев_в_квартале,0)*Месяцев_в_квартале,1),0),0)</f>
        <v>47573</v>
      </c>
      <c s="56"/>
      <c s="221" t="str">
        <f>"Дополнительная валюта №2"&amp;IF(ISBLANK(H15),""," - ")&amp;IFERROR(INDEX(Источники!$B$226:$B$258,MATCH(H15,Источники!$C$226:$C$258,0)),"")</f>
        <v>Дополнительная валюта №2 - Китайский юань</v>
      </c>
      <c s="222"/>
      <c s="223"/>
      <c s="317" t="s">
        <v>435</v>
      </c>
      <c r="J1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6" spans="5:32" ht="14.45">
      <c r="E16" s="221" t="str">
        <f>"Дополнительная валюта №3"&amp;IF(ISBLANK(H16),""," - ")&amp;IFERROR(INDEX(Источники!$B$226:$B$258,MATCH(H16,Источники!$C$226:$C$258,0)),"")</f>
        <v>Дополнительная валюта №3 - Евро</v>
      </c>
      <c s="5"/>
      <c s="5"/>
      <c s="317" t="s">
        <v>436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" spans="2:32" ht="14.45" customHeight="1">
      <c r="B17" s="8" t="s">
        <v>437</v>
      </c>
      <c s="13" t="s">
        <v>438</v>
      </c>
      <c s="51"/>
      <c s="551" t="s">
        <v>439</v>
      </c>
      <c s="552"/>
      <c s="553"/>
      <c s="251"/>
      <c r="J17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8" spans="2:32" ht="14.45">
      <c r="B18" s="8" t="s">
        <v>440</v>
      </c>
      <c s="9">
        <v>12</v>
      </c>
      <c s="57"/>
      <c s="551" t="s">
        <v>441</v>
      </c>
      <c s="552"/>
      <c s="553"/>
      <c s="39"/>
      <c r="J1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" spans="2:32" ht="14.45" customHeight="1">
      <c r="B19" s="8" t="s">
        <v>442</v>
      </c>
      <c s="9">
        <v>3</v>
      </c>
      <c s="57"/>
      <c s="551" t="s">
        <v>443</v>
      </c>
      <c s="552"/>
      <c s="553"/>
      <c s="320"/>
      <c r="J19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0" spans="2:32" ht="14.45">
      <c r="B20" s="8" t="s">
        <v>444</v>
      </c>
      <c s="9">
        <v>4</v>
      </c>
      <c s="57"/>
      <c s="551" t="s">
        <v>445</v>
      </c>
      <c s="552"/>
      <c s="553"/>
      <c s="272"/>
      <c r="J20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1" spans="4:31" ht="14.45">
      <c r="D21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2" spans="2:31" ht="14.45">
      <c r="B22" s="579" t="s">
        <v>446</v>
      </c>
      <c s="567"/>
      <c s="568"/>
      <c s="568"/>
      <c s="568"/>
      <c s="568"/>
      <c s="56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3" spans="2:31" ht="14.45">
      <c r="B23" s="580"/>
      <c s="570"/>
      <c s="571"/>
      <c s="571"/>
      <c s="571"/>
      <c s="571"/>
      <c s="572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4" spans="4:31" ht="14.45">
      <c r="D24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5" spans="2:74" ht="21">
      <c r="B25" s="23" t="s">
        <v>12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6" spans="2:74" ht="15.6">
      <c r="B26" s="24" t="s">
        <v>90</v>
      </c>
      <c s="5"/>
      <c s="5"/>
      <c s="5"/>
      <c s="5"/>
      <c r="AI2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7" spans="2:74" ht="14.45" customHeight="1">
      <c r="B27" s="524" t="s">
        <v>91</v>
      </c>
      <c s="524" t="s">
        <v>93</v>
      </c>
      <c s="525" t="s">
        <v>96</v>
      </c>
      <c s="525" t="s">
        <v>98</v>
      </c>
      <c s="524" t="s">
        <v>447</v>
      </c>
      <c s="524" t="s">
        <v>102</v>
      </c>
      <c s="525" t="s">
        <v>448</v>
      </c>
      <c s="525" t="s">
        <v>449</v>
      </c>
      <c s="525" t="s">
        <v>450</v>
      </c>
      <c r="AG27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8" spans="2:74" ht="15" customHeight="1">
      <c r="B28" s="524"/>
      <c s="524"/>
      <c s="526"/>
      <c s="526"/>
      <c s="524"/>
      <c s="524"/>
      <c s="526"/>
      <c s="526"/>
      <c s="526"/>
      <c r="AG2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9" spans="2:74" ht="25.15" customHeight="1">
      <c r="B29" s="524"/>
      <c s="524"/>
      <c s="527"/>
      <c s="527"/>
      <c s="524"/>
      <c s="524"/>
      <c s="527"/>
      <c s="527"/>
      <c s="527"/>
      <c r="AG29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" spans="2:74" ht="17.45">
      <c r="B30" s="321"/>
      <c s="317"/>
      <c s="322"/>
      <c s="322"/>
      <c s="319"/>
      <c s="323"/>
      <c s="69">
        <f>IF(C30="нет",0,1)</f>
        <v>1</v>
      </c>
      <c s="71" t="str">
        <f>IF(ISERROR(HLOOKUP(D30,'Капитальные вложения'!$E$10:$BM$10,1,FALSE))=TRUE,IF(AND(ISBLANK(B30)=FALSE,ISBLANK(D30)=FALSE),"Q","R"),"R")</f>
        <v>R</v>
      </c>
      <c s="71" t="str">
        <f>IF(ISERROR(HLOOKUP(E30,'Капитальные вложения'!$E$10:$BM$10,1,FALSE))=TRUE,IF(AND(ISBLANK(B30)=FALSE,ISBLANK(E30)=FALSE),"Q","R"),"R")</f>
        <v>R</v>
      </c>
      <c r="AG30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1" spans="2:74" ht="17.45">
      <c r="B31" s="321"/>
      <c s="317"/>
      <c s="322"/>
      <c s="322"/>
      <c s="319"/>
      <c s="323"/>
      <c s="69">
        <f t="shared" si="0" ref="H31:H56">IF(C31="нет",0,1)</f>
        <v>1</v>
      </c>
      <c s="71" t="str">
        <f>IF(ISERROR(HLOOKUP(D31,'Капитальные вложения'!$E$10:$BM$10,1,FALSE))=TRUE,IF(AND(ISBLANK(B31)=FALSE,ISBLANK(D31)=FALSE),"Q","R"),"R")</f>
        <v>R</v>
      </c>
      <c s="71" t="str">
        <f>IF(ISERROR(HLOOKUP(E31,'Капитальные вложения'!$E$10:$BM$10,1,FALSE))=TRUE,IF(AND(ISBLANK(B31)=FALSE,ISBLANK(E31)=FALSE),"Q","R"),"R")</f>
        <v>R</v>
      </c>
      <c r="AG31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2" spans="2:74" ht="17.45">
      <c r="B32" s="321"/>
      <c s="317"/>
      <c s="322"/>
      <c s="322"/>
      <c s="319"/>
      <c s="323"/>
      <c s="69">
        <f t="shared" si="0"/>
        <v>1</v>
      </c>
      <c s="71" t="str">
        <f>IF(ISERROR(HLOOKUP(D32,'Капитальные вложения'!$E$10:$BM$10,1,FALSE))=TRUE,IF(AND(ISBLANK(B32)=FALSE,ISBLANK(D32)=FALSE),"Q","R"),"R")</f>
        <v>R</v>
      </c>
      <c s="71" t="str">
        <f>IF(ISERROR(HLOOKUP(E32,'Капитальные вложения'!$E$10:$BM$10,1,FALSE))=TRUE,IF(AND(ISBLANK(B32)=FALSE,ISBLANK(E32)=FALSE),"Q","R"),"R")</f>
        <v>R</v>
      </c>
      <c r="AG32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" spans="2:74" ht="17.45">
      <c r="B33" s="321"/>
      <c s="317"/>
      <c s="322"/>
      <c s="322"/>
      <c s="319"/>
      <c s="323"/>
      <c s="69">
        <f t="shared" si="0"/>
        <v>1</v>
      </c>
      <c s="71" t="str">
        <f>IF(ISERROR(HLOOKUP(D33,'Капитальные вложения'!$E$10:$BM$10,1,FALSE))=TRUE,IF(AND(ISBLANK(B33)=FALSE,ISBLANK(D33)=FALSE),"Q","R"),"R")</f>
        <v>R</v>
      </c>
      <c s="71" t="str">
        <f>IF(ISERROR(HLOOKUP(E33,'Капитальные вложения'!$E$10:$BM$10,1,FALSE))=TRUE,IF(AND(ISBLANK(B33)=FALSE,ISBLANK(E33)=FALSE),"Q","R"),"R")</f>
        <v>R</v>
      </c>
      <c r="AG33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4" spans="2:74" ht="17.45">
      <c r="B34" s="321"/>
      <c s="317"/>
      <c s="322"/>
      <c s="322"/>
      <c s="319"/>
      <c s="323"/>
      <c s="69">
        <f t="shared" si="0"/>
        <v>1</v>
      </c>
      <c s="71" t="str">
        <f>IF(ISERROR(HLOOKUP(D34,'Капитальные вложения'!$E$10:$BM$10,1,FALSE))=TRUE,IF(AND(ISBLANK(B34)=FALSE,ISBLANK(D34)=FALSE),"Q","R"),"R")</f>
        <v>R</v>
      </c>
      <c s="71" t="str">
        <f>IF(ISERROR(HLOOKUP(E34,'Капитальные вложения'!$E$10:$BM$10,1,FALSE))=TRUE,IF(AND(ISBLANK(B34)=FALSE,ISBLANK(E34)=FALSE),"Q","R"),"R")</f>
        <v>R</v>
      </c>
      <c r="AG34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5" spans="2:74" ht="17.45">
      <c r="B35" s="321"/>
      <c s="317"/>
      <c s="322"/>
      <c s="322"/>
      <c s="319"/>
      <c s="323"/>
      <c s="69">
        <f t="shared" si="0"/>
        <v>1</v>
      </c>
      <c s="71" t="str">
        <f>IF(ISERROR(HLOOKUP(D35,'Капитальные вложения'!$E$10:$BM$10,1,FALSE))=TRUE,IF(AND(ISBLANK(B35)=FALSE,ISBLANK(D35)=FALSE),"Q","R"),"R")</f>
        <v>R</v>
      </c>
      <c s="71" t="str">
        <f>IF(ISERROR(HLOOKUP(E35,'Капитальные вложения'!$E$10:$BM$10,1,FALSE))=TRUE,IF(AND(ISBLANK(B35)=FALSE,ISBLANK(E35)=FALSE),"Q","R"),"R")</f>
        <v>R</v>
      </c>
      <c r="AG3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6" spans="2:74" ht="17.45">
      <c r="B36" s="321"/>
      <c s="317"/>
      <c s="322"/>
      <c s="322"/>
      <c s="319"/>
      <c s="323"/>
      <c s="69">
        <f t="shared" si="0"/>
        <v>1</v>
      </c>
      <c s="71" t="str">
        <f>IF(ISERROR(HLOOKUP(D36,'Капитальные вложения'!$E$10:$BM$10,1,FALSE))=TRUE,IF(AND(ISBLANK(B36)=FALSE,ISBLANK(D36)=FALSE),"Q","R"),"R")</f>
        <v>R</v>
      </c>
      <c s="71" t="str">
        <f>IF(ISERROR(HLOOKUP(E36,'Капитальные вложения'!$E$10:$BM$10,1,FALSE))=TRUE,IF(AND(ISBLANK(B36)=FALSE,ISBLANK(E36)=FALSE),"Q","R"),"R")</f>
        <v>R</v>
      </c>
      <c r="AG3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7" spans="2:74" ht="17.45">
      <c r="B37" s="321"/>
      <c s="317"/>
      <c s="322"/>
      <c s="322"/>
      <c s="319"/>
      <c s="323"/>
      <c s="69">
        <f t="shared" si="0"/>
        <v>1</v>
      </c>
      <c s="71" t="str">
        <f>IF(ISERROR(HLOOKUP(D37,'Капитальные вложения'!$E$10:$BM$10,1,FALSE))=TRUE,IF(AND(ISBLANK(B37)=FALSE,ISBLANK(D37)=FALSE),"Q","R"),"R")</f>
        <v>R</v>
      </c>
      <c s="71" t="str">
        <f>IF(ISERROR(HLOOKUP(E37,'Капитальные вложения'!$E$10:$BM$10,1,FALSE))=TRUE,IF(AND(ISBLANK(B37)=FALSE,ISBLANK(E37)=FALSE),"Q","R"),"R")</f>
        <v>R</v>
      </c>
      <c r="AG37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" spans="2:74" ht="17.45">
      <c r="B38" s="321"/>
      <c s="317"/>
      <c s="322"/>
      <c s="322"/>
      <c s="319"/>
      <c s="323"/>
      <c s="69">
        <f t="shared" si="0"/>
        <v>1</v>
      </c>
      <c s="71" t="str">
        <f>IF(ISERROR(HLOOKUP(D38,'Капитальные вложения'!$E$10:$BM$10,1,FALSE))=TRUE,IF(AND(ISBLANK(B38)=FALSE,ISBLANK(D38)=FALSE),"Q","R"),"R")</f>
        <v>R</v>
      </c>
      <c s="71" t="str">
        <f>IF(ISERROR(HLOOKUP(E38,'Капитальные вложения'!$E$10:$BM$10,1,FALSE))=TRUE,IF(AND(ISBLANK(B38)=FALSE,ISBLANK(E38)=FALSE),"Q","R"),"R")</f>
        <v>R</v>
      </c>
      <c r="AG3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9" spans="2:74" ht="17.45">
      <c r="B39" s="321"/>
      <c s="317"/>
      <c s="322"/>
      <c s="322"/>
      <c s="319"/>
      <c s="323"/>
      <c s="69">
        <f t="shared" si="0"/>
        <v>1</v>
      </c>
      <c s="71" t="str">
        <f>IF(ISERROR(HLOOKUP(D39,'Капитальные вложения'!$E$10:$BM$10,1,FALSE))=TRUE,IF(AND(ISBLANK(B39)=FALSE,ISBLANK(D39)=FALSE),"Q","R"),"R")</f>
        <v>R</v>
      </c>
      <c s="71" t="str">
        <f>IF(ISERROR(HLOOKUP(E39,'Капитальные вложения'!$E$10:$BM$10,1,FALSE))=TRUE,IF(AND(ISBLANK(B39)=FALSE,ISBLANK(E39)=FALSE),"Q","R"),"R")</f>
        <v>R</v>
      </c>
      <c r="AG39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0" spans="2:74" ht="17.45">
      <c r="B40" s="321"/>
      <c s="317"/>
      <c s="322"/>
      <c s="322"/>
      <c s="319"/>
      <c s="323"/>
      <c s="69">
        <f t="shared" si="0"/>
        <v>1</v>
      </c>
      <c s="71" t="str">
        <f>IF(ISERROR(HLOOKUP(D40,'Капитальные вложения'!$E$10:$BM$10,1,FALSE))=TRUE,IF(AND(ISBLANK(B40)=FALSE,ISBLANK(D40)=FALSE),"Q","R"),"R")</f>
        <v>R</v>
      </c>
      <c s="71" t="str">
        <f>IF(ISERROR(HLOOKUP(E40,'Капитальные вложения'!$E$10:$BM$10,1,FALSE))=TRUE,IF(AND(ISBLANK(B40)=FALSE,ISBLANK(E40)=FALSE),"Q","R"),"R")</f>
        <v>R</v>
      </c>
      <c r="AG40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1" spans="2:74" ht="17.45">
      <c r="B41" s="321"/>
      <c s="317"/>
      <c s="322"/>
      <c s="322"/>
      <c s="319"/>
      <c s="323"/>
      <c s="69">
        <f t="shared" si="0"/>
        <v>1</v>
      </c>
      <c s="71" t="str">
        <f>IF(ISERROR(HLOOKUP(D41,'Капитальные вложения'!$E$10:$BM$10,1,FALSE))=TRUE,IF(AND(ISBLANK(B41)=FALSE,ISBLANK(D41)=FALSE),"Q","R"),"R")</f>
        <v>R</v>
      </c>
      <c s="71" t="str">
        <f>IF(ISERROR(HLOOKUP(E41,'Капитальные вложения'!$E$10:$BM$10,1,FALSE))=TRUE,IF(AND(ISBLANK(B41)=FALSE,ISBLANK(E41)=FALSE),"Q","R"),"R")</f>
        <v>R</v>
      </c>
      <c r="AG41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2" spans="2:74" ht="17.45">
      <c r="B42" s="321"/>
      <c s="317"/>
      <c s="322"/>
      <c s="322"/>
      <c s="319"/>
      <c s="323"/>
      <c s="69">
        <f t="shared" si="0"/>
        <v>1</v>
      </c>
      <c s="71" t="str">
        <f>IF(ISERROR(HLOOKUP(D42,'Капитальные вложения'!$E$10:$BM$10,1,FALSE))=TRUE,IF(AND(ISBLANK(B42)=FALSE,ISBLANK(D42)=FALSE),"Q","R"),"R")</f>
        <v>R</v>
      </c>
      <c s="71" t="str">
        <f>IF(ISERROR(HLOOKUP(E42,'Капитальные вложения'!$E$10:$BM$10,1,FALSE))=TRUE,IF(AND(ISBLANK(B42)=FALSE,ISBLANK(E42)=FALSE),"Q","R"),"R")</f>
        <v>R</v>
      </c>
      <c r="AG42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3" spans="2:74" ht="17.45">
      <c r="B43" s="321"/>
      <c s="317"/>
      <c s="322"/>
      <c s="322"/>
      <c s="319"/>
      <c s="323"/>
      <c s="69">
        <f t="shared" si="0"/>
        <v>1</v>
      </c>
      <c s="71" t="str">
        <f>IF(ISERROR(HLOOKUP(D43,'Капитальные вложения'!$E$10:$BM$10,1,FALSE))=TRUE,IF(AND(ISBLANK(B43)=FALSE,ISBLANK(D43)=FALSE),"Q","R"),"R")</f>
        <v>R</v>
      </c>
      <c s="71" t="str">
        <f>IF(ISERROR(HLOOKUP(E43,'Капитальные вложения'!$E$10:$BM$10,1,FALSE))=TRUE,IF(AND(ISBLANK(B43)=FALSE,ISBLANK(E43)=FALSE),"Q","R"),"R")</f>
        <v>R</v>
      </c>
      <c r="AG43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" spans="2:74" ht="17.45">
      <c r="B44" s="321"/>
      <c s="317"/>
      <c s="322"/>
      <c s="322"/>
      <c s="319"/>
      <c s="323"/>
      <c s="69">
        <f t="shared" si="0"/>
        <v>1</v>
      </c>
      <c s="71" t="str">
        <f>IF(ISERROR(HLOOKUP(D44,'Капитальные вложения'!$E$10:$BM$10,1,FALSE))=TRUE,IF(AND(ISBLANK(B44)=FALSE,ISBLANK(D44)=FALSE),"Q","R"),"R")</f>
        <v>R</v>
      </c>
      <c s="71" t="str">
        <f>IF(ISERROR(HLOOKUP(E44,'Капитальные вложения'!$E$10:$BM$10,1,FALSE))=TRUE,IF(AND(ISBLANK(B44)=FALSE,ISBLANK(E44)=FALSE),"Q","R"),"R")</f>
        <v>R</v>
      </c>
      <c r="AG44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5" spans="2:74" ht="17.45">
      <c r="B45" s="321"/>
      <c s="317"/>
      <c s="322"/>
      <c s="322"/>
      <c s="319"/>
      <c s="323"/>
      <c s="69">
        <f t="shared" si="0"/>
        <v>1</v>
      </c>
      <c s="71" t="str">
        <f>IF(ISERROR(HLOOKUP(D45,'Капитальные вложения'!$E$10:$BM$10,1,FALSE))=TRUE,IF(AND(ISBLANK(B45)=FALSE,ISBLANK(D45)=FALSE),"Q","R"),"R")</f>
        <v>R</v>
      </c>
      <c s="71" t="str">
        <f>IF(ISERROR(HLOOKUP(E45,'Капитальные вложения'!$E$10:$BM$10,1,FALSE))=TRUE,IF(AND(ISBLANK(B45)=FALSE,ISBLANK(E45)=FALSE),"Q","R"),"R")</f>
        <v>R</v>
      </c>
      <c r="AG4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6" spans="2:74" ht="17.45">
      <c r="B46" s="321"/>
      <c s="317"/>
      <c s="322"/>
      <c s="322"/>
      <c s="319"/>
      <c s="323"/>
      <c s="69">
        <f t="shared" si="0"/>
        <v>1</v>
      </c>
      <c s="71" t="str">
        <f>IF(ISERROR(HLOOKUP(D46,'Капитальные вложения'!$E$10:$BM$10,1,FALSE))=TRUE,IF(AND(ISBLANK(B46)=FALSE,ISBLANK(D46)=FALSE),"Q","R"),"R")</f>
        <v>R</v>
      </c>
      <c s="71" t="str">
        <f>IF(ISERROR(HLOOKUP(E46,'Капитальные вложения'!$E$10:$BM$10,1,FALSE))=TRUE,IF(AND(ISBLANK(B46)=FALSE,ISBLANK(E46)=FALSE),"Q","R"),"R")</f>
        <v>R</v>
      </c>
      <c r="AG4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7" spans="2:74" ht="17.45">
      <c r="B47" s="321"/>
      <c s="317"/>
      <c s="322"/>
      <c s="322"/>
      <c s="319"/>
      <c s="323"/>
      <c s="69">
        <f t="shared" si="0"/>
        <v>1</v>
      </c>
      <c s="71" t="str">
        <f>IF(ISERROR(HLOOKUP(D47,'Капитальные вложения'!$E$10:$BM$10,1,FALSE))=TRUE,IF(AND(ISBLANK(B47)=FALSE,ISBLANK(D47)=FALSE),"Q","R"),"R")</f>
        <v>R</v>
      </c>
      <c s="71" t="str">
        <f>IF(ISERROR(HLOOKUP(E47,'Капитальные вложения'!$E$10:$BM$10,1,FALSE))=TRUE,IF(AND(ISBLANK(B47)=FALSE,ISBLANK(E47)=FALSE),"Q","R"),"R")</f>
        <v>R</v>
      </c>
      <c r="AG47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8" spans="2:74" ht="17.45">
      <c r="B48" s="321"/>
      <c s="317"/>
      <c s="322"/>
      <c s="322"/>
      <c s="319"/>
      <c s="323"/>
      <c s="69">
        <f t="shared" si="0"/>
        <v>1</v>
      </c>
      <c s="71" t="str">
        <f>IF(ISERROR(HLOOKUP(D48,'Капитальные вложения'!$E$10:$BM$10,1,FALSE))=TRUE,IF(AND(ISBLANK(B48)=FALSE,ISBLANK(D48)=FALSE),"Q","R"),"R")</f>
        <v>R</v>
      </c>
      <c s="71" t="str">
        <f>IF(ISERROR(HLOOKUP(E48,'Капитальные вложения'!$E$10:$BM$10,1,FALSE))=TRUE,IF(AND(ISBLANK(B48)=FALSE,ISBLANK(E48)=FALSE),"Q","R"),"R")</f>
        <v>R</v>
      </c>
      <c r="AG4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9" spans="2:74" ht="17.45">
      <c r="B49" s="321"/>
      <c s="317"/>
      <c s="322"/>
      <c s="322"/>
      <c s="319"/>
      <c s="323"/>
      <c s="69">
        <f t="shared" si="0"/>
        <v>1</v>
      </c>
      <c s="71" t="str">
        <f>IF(ISERROR(HLOOKUP(D49,'Капитальные вложения'!$E$10:$BM$10,1,FALSE))=TRUE,IF(AND(ISBLANK(B49)=FALSE,ISBLANK(D49)=FALSE),"Q","R"),"R")</f>
        <v>R</v>
      </c>
      <c s="71" t="str">
        <f>IF(ISERROR(HLOOKUP(E49,'Капитальные вложения'!$E$10:$BM$10,1,FALSE))=TRUE,IF(AND(ISBLANK(B49)=FALSE,ISBLANK(E49)=FALSE),"Q","R"),"R")</f>
        <v>R</v>
      </c>
      <c r="AG49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0" spans="2:74" ht="17.45">
      <c r="B50" s="321"/>
      <c s="317"/>
      <c s="322"/>
      <c s="322"/>
      <c s="319"/>
      <c s="323"/>
      <c s="69">
        <f t="shared" si="0"/>
        <v>1</v>
      </c>
      <c s="71" t="str">
        <f>IF(ISERROR(HLOOKUP(D50,'Капитальные вложения'!$E$10:$BM$10,1,FALSE))=TRUE,IF(AND(ISBLANK(B50)=FALSE,ISBLANK(D50)=FALSE),"Q","R"),"R")</f>
        <v>R</v>
      </c>
      <c s="71" t="str">
        <f>IF(ISERROR(HLOOKUP(E50,'Капитальные вложения'!$E$10:$BM$10,1,FALSE))=TRUE,IF(AND(ISBLANK(B50)=FALSE,ISBLANK(E50)=FALSE),"Q","R"),"R")</f>
        <v>R</v>
      </c>
      <c r="AG50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1" spans="2:74" ht="17.45">
      <c r="B51" s="321"/>
      <c s="317"/>
      <c s="322"/>
      <c s="322"/>
      <c s="319"/>
      <c s="323"/>
      <c s="69">
        <f t="shared" si="0"/>
        <v>1</v>
      </c>
      <c s="71" t="str">
        <f>IF(ISERROR(HLOOKUP(D51,'Капитальные вложения'!$E$10:$BM$10,1,FALSE))=TRUE,IF(AND(ISBLANK(B51)=FALSE,ISBLANK(D51)=FALSE),"Q","R"),"R")</f>
        <v>R</v>
      </c>
      <c s="71" t="str">
        <f>IF(ISERROR(HLOOKUP(E51,'Капитальные вложения'!$E$10:$BM$10,1,FALSE))=TRUE,IF(AND(ISBLANK(B51)=FALSE,ISBLANK(E51)=FALSE),"Q","R"),"R")</f>
        <v>R</v>
      </c>
      <c r="AG51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2" spans="2:74" ht="17.45">
      <c r="B52" s="321"/>
      <c s="317"/>
      <c s="322"/>
      <c s="322"/>
      <c s="319"/>
      <c s="323"/>
      <c s="69">
        <f t="shared" si="0"/>
        <v>1</v>
      </c>
      <c s="71" t="str">
        <f>IF(ISERROR(HLOOKUP(D52,'Капитальные вложения'!$E$10:$BM$10,1,FALSE))=TRUE,IF(AND(ISBLANK(B52)=FALSE,ISBLANK(D52)=FALSE),"Q","R"),"R")</f>
        <v>R</v>
      </c>
      <c s="71" t="str">
        <f>IF(ISERROR(HLOOKUP(E52,'Капитальные вложения'!$E$10:$BM$10,1,FALSE))=TRUE,IF(AND(ISBLANK(B52)=FALSE,ISBLANK(E52)=FALSE),"Q","R"),"R")</f>
        <v>R</v>
      </c>
      <c r="AG52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3" spans="2:74" ht="17.45">
      <c r="B53" s="321"/>
      <c s="317"/>
      <c s="322"/>
      <c s="322"/>
      <c s="319"/>
      <c s="323"/>
      <c s="69">
        <f t="shared" si="0"/>
        <v>1</v>
      </c>
      <c s="71" t="str">
        <f>IF(ISERROR(HLOOKUP(D53,'Капитальные вложения'!$E$10:$BM$10,1,FALSE))=TRUE,IF(AND(ISBLANK(B53)=FALSE,ISBLANK(D53)=FALSE),"Q","R"),"R")</f>
        <v>R</v>
      </c>
      <c s="71" t="str">
        <f>IF(ISERROR(HLOOKUP(E53,'Капитальные вложения'!$E$10:$BM$10,1,FALSE))=TRUE,IF(AND(ISBLANK(B53)=FALSE,ISBLANK(E53)=FALSE),"Q","R"),"R")</f>
        <v>R</v>
      </c>
      <c r="AG53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4" spans="2:74" ht="17.45">
      <c r="B54" s="321"/>
      <c s="317"/>
      <c s="322"/>
      <c s="322"/>
      <c s="319"/>
      <c s="323"/>
      <c s="69">
        <f t="shared" si="0"/>
        <v>1</v>
      </c>
      <c s="71" t="str">
        <f>IF(ISERROR(HLOOKUP(D54,'Капитальные вложения'!$E$10:$BM$10,1,FALSE))=TRUE,IF(AND(ISBLANK(B54)=FALSE,ISBLANK(D54)=FALSE),"Q","R"),"R")</f>
        <v>R</v>
      </c>
      <c s="71" t="str">
        <f>IF(ISERROR(HLOOKUP(E54,'Капитальные вложения'!$E$10:$BM$10,1,FALSE))=TRUE,IF(AND(ISBLANK(B54)=FALSE,ISBLANK(E54)=FALSE),"Q","R"),"R")</f>
        <v>R</v>
      </c>
      <c r="AG54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5" spans="2:74" ht="17.45">
      <c r="B55" s="321"/>
      <c s="317"/>
      <c s="322"/>
      <c s="322"/>
      <c s="319"/>
      <c s="323"/>
      <c s="69">
        <f t="shared" si="0"/>
        <v>1</v>
      </c>
      <c s="71" t="str">
        <f>IF(ISERROR(HLOOKUP(D55,'Капитальные вложения'!$E$10:$BM$10,1,FALSE))=TRUE,IF(AND(ISBLANK(B55)=FALSE,ISBLANK(D55)=FALSE),"Q","R"),"R")</f>
        <v>R</v>
      </c>
      <c s="71" t="str">
        <f>IF(ISERROR(HLOOKUP(E55,'Капитальные вложения'!$E$10:$BM$10,1,FALSE))=TRUE,IF(AND(ISBLANK(B55)=FALSE,ISBLANK(E55)=FALSE),"Q","R"),"R")</f>
        <v>R</v>
      </c>
      <c r="AG5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6" spans="2:74" ht="17.45">
      <c r="B56" s="321"/>
      <c s="323"/>
      <c s="322"/>
      <c s="322"/>
      <c s="319"/>
      <c s="323"/>
      <c s="69">
        <f t="shared" si="0"/>
        <v>1</v>
      </c>
      <c s="71" t="str">
        <f>IF(ISERROR(HLOOKUP(D56,'Капитальные вложения'!$E$10:$BM$10,1,FALSE))=TRUE,IF(AND(ISBLANK(B56)=FALSE,ISBLANK(D56)=FALSE),"Q","R"),"R")</f>
        <v>R</v>
      </c>
      <c s="71" t="str">
        <f>IF(ISERROR(HLOOKUP(E56,'Капитальные вложения'!$E$10:$BM$10,1,FALSE))=TRUE,IF(AND(ISBLANK(B56)=FALSE,ISBLANK(E56)=FALSE),"Q","R"),"R")</f>
        <v>R</v>
      </c>
      <c r="AG5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7" spans="2:74" ht="17.45">
      <c r="B57" s="321"/>
      <c s="323"/>
      <c s="322"/>
      <c s="322"/>
      <c s="319"/>
      <c s="323"/>
      <c s="69">
        <f t="shared" si="1" ref="H57:H69">IF(C57="нет",0,1)</f>
        <v>1</v>
      </c>
      <c s="71" t="str">
        <f>IF(ISERROR(HLOOKUP(D57,'Капитальные вложения'!$E$10:$BM$10,1,FALSE))=TRUE,IF(AND(ISBLANK(B57)=FALSE,ISBLANK(D57)=FALSE),"Q","R"),"R")</f>
        <v>R</v>
      </c>
      <c s="71" t="str">
        <f>IF(ISERROR(HLOOKUP(E57,'Капитальные вложения'!$E$10:$BM$10,1,FALSE))=TRUE,IF(AND(ISBLANK(B57)=FALSE,ISBLANK(E57)=FALSE),"Q","R"),"R")</f>
        <v>R</v>
      </c>
      <c r="AG57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8" spans="2:74" ht="17.45">
      <c r="B58" s="321"/>
      <c s="323"/>
      <c s="322"/>
      <c s="322"/>
      <c s="319"/>
      <c s="323"/>
      <c s="69">
        <f t="shared" si="1"/>
        <v>1</v>
      </c>
      <c s="71" t="str">
        <f>IF(ISERROR(HLOOKUP(D58,'Капитальные вложения'!$E$10:$BM$10,1,FALSE))=TRUE,IF(AND(ISBLANK(B58)=FALSE,ISBLANK(D58)=FALSE),"Q","R"),"R")</f>
        <v>R</v>
      </c>
      <c s="71" t="str">
        <f>IF(ISERROR(HLOOKUP(E58,'Капитальные вложения'!$E$10:$BM$10,1,FALSE))=TRUE,IF(AND(ISBLANK(B58)=FALSE,ISBLANK(E58)=FALSE),"Q","R"),"R")</f>
        <v>R</v>
      </c>
      <c r="AG5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9" spans="2:74" ht="17.45">
      <c r="B59" s="321"/>
      <c s="323"/>
      <c s="322"/>
      <c s="322"/>
      <c s="319"/>
      <c s="323"/>
      <c s="69">
        <f t="shared" si="1"/>
        <v>1</v>
      </c>
      <c s="71" t="str">
        <f>IF(ISERROR(HLOOKUP(D59,'Капитальные вложения'!$E$10:$BM$10,1,FALSE))=TRUE,IF(AND(ISBLANK(B59)=FALSE,ISBLANK(D59)=FALSE),"Q","R"),"R")</f>
        <v>R</v>
      </c>
      <c s="71" t="str">
        <f>IF(ISERROR(HLOOKUP(E59,'Капитальные вложения'!$E$10:$BM$10,1,FALSE))=TRUE,IF(AND(ISBLANK(B59)=FALSE,ISBLANK(E59)=FALSE),"Q","R"),"R")</f>
        <v>R</v>
      </c>
      <c r="AG59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0" spans="2:74" ht="17.45">
      <c r="B60" s="321"/>
      <c s="323"/>
      <c s="322"/>
      <c s="322"/>
      <c s="319"/>
      <c s="323"/>
      <c s="69">
        <f t="shared" si="1"/>
        <v>1</v>
      </c>
      <c s="71" t="str">
        <f>IF(ISERROR(HLOOKUP(D60,'Капитальные вложения'!$E$10:$BM$10,1,FALSE))=TRUE,IF(AND(ISBLANK(B60)=FALSE,ISBLANK(D60)=FALSE),"Q","R"),"R")</f>
        <v>R</v>
      </c>
      <c s="71" t="str">
        <f>IF(ISERROR(HLOOKUP(E60,'Капитальные вложения'!$E$10:$BM$10,1,FALSE))=TRUE,IF(AND(ISBLANK(B60)=FALSE,ISBLANK(E60)=FALSE),"Q","R"),"R")</f>
        <v>R</v>
      </c>
      <c r="AG60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1" spans="2:74" ht="17.45">
      <c r="B61" s="321"/>
      <c s="323"/>
      <c s="322"/>
      <c s="322"/>
      <c s="319"/>
      <c s="323"/>
      <c s="69">
        <f t="shared" si="1"/>
        <v>1</v>
      </c>
      <c s="71" t="str">
        <f>IF(ISERROR(HLOOKUP(D61,'Капитальные вложения'!$E$10:$BM$10,1,FALSE))=TRUE,IF(AND(ISBLANK(B61)=FALSE,ISBLANK(D61)=FALSE),"Q","R"),"R")</f>
        <v>R</v>
      </c>
      <c s="71" t="str">
        <f>IF(ISERROR(HLOOKUP(E61,'Капитальные вложения'!$E$10:$BM$10,1,FALSE))=TRUE,IF(AND(ISBLANK(B61)=FALSE,ISBLANK(E61)=FALSE),"Q","R"),"R")</f>
        <v>R</v>
      </c>
      <c r="AG61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2" spans="2:74" ht="17.45">
      <c r="B62" s="321"/>
      <c s="323"/>
      <c s="322"/>
      <c s="322"/>
      <c s="319"/>
      <c s="323"/>
      <c s="69">
        <f t="shared" si="1"/>
        <v>1</v>
      </c>
      <c s="71" t="str">
        <f>IF(ISERROR(HLOOKUP(D62,'Капитальные вложения'!$E$10:$BM$10,1,FALSE))=TRUE,IF(AND(ISBLANK(B62)=FALSE,ISBLANK(D62)=FALSE),"Q","R"),"R")</f>
        <v>R</v>
      </c>
      <c s="71" t="str">
        <f>IF(ISERROR(HLOOKUP(E62,'Капитальные вложения'!$E$10:$BM$10,1,FALSE))=TRUE,IF(AND(ISBLANK(B62)=FALSE,ISBLANK(E62)=FALSE),"Q","R"),"R")</f>
        <v>R</v>
      </c>
      <c r="AG62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3" spans="2:74" ht="17.45">
      <c r="B63" s="321"/>
      <c s="323"/>
      <c s="322"/>
      <c s="322"/>
      <c s="319"/>
      <c s="323"/>
      <c s="69">
        <f t="shared" si="1"/>
        <v>1</v>
      </c>
      <c s="71" t="str">
        <f>IF(ISERROR(HLOOKUP(D63,'Капитальные вложения'!$E$10:$BM$10,1,FALSE))=TRUE,IF(AND(ISBLANK(B63)=FALSE,ISBLANK(D63)=FALSE),"Q","R"),"R")</f>
        <v>R</v>
      </c>
      <c s="71" t="str">
        <f>IF(ISERROR(HLOOKUP(E63,'Капитальные вложения'!$E$10:$BM$10,1,FALSE))=TRUE,IF(AND(ISBLANK(B63)=FALSE,ISBLANK(E63)=FALSE),"Q","R"),"R")</f>
        <v>R</v>
      </c>
      <c r="AG63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4" spans="2:74" ht="17.45">
      <c r="B64" s="321"/>
      <c s="317"/>
      <c s="322"/>
      <c s="322"/>
      <c s="319"/>
      <c s="323"/>
      <c s="69">
        <f t="shared" si="1"/>
        <v>1</v>
      </c>
      <c s="71" t="str">
        <f>IF(ISERROR(HLOOKUP(D64,'Капитальные вложения'!$E$10:$BM$10,1,FALSE))=TRUE,IF(AND(ISBLANK(B64)=FALSE,ISBLANK(D64)=FALSE),"Q","R"),"R")</f>
        <v>R</v>
      </c>
      <c s="71" t="str">
        <f>IF(ISERROR(HLOOKUP(E64,'Капитальные вложения'!$E$10:$BM$10,1,FALSE))=TRUE,IF(AND(ISBLANK(B64)=FALSE,ISBLANK(E64)=FALSE),"Q","R"),"R")</f>
        <v>R</v>
      </c>
      <c r="AG64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5" spans="2:74" ht="17.45">
      <c r="B65" s="321"/>
      <c s="323"/>
      <c s="322"/>
      <c s="322"/>
      <c s="319"/>
      <c s="323"/>
      <c s="69">
        <f t="shared" si="1"/>
        <v>1</v>
      </c>
      <c s="71" t="str">
        <f>IF(ISERROR(HLOOKUP(D65,'Капитальные вложения'!$E$10:$BM$10,1,FALSE))=TRUE,IF(AND(ISBLANK(B65)=FALSE,ISBLANK(D65)=FALSE),"Q","R"),"R")</f>
        <v>R</v>
      </c>
      <c s="71" t="str">
        <f>IF(ISERROR(HLOOKUP(E65,'Капитальные вложения'!$E$10:$BM$10,1,FALSE))=TRUE,IF(AND(ISBLANK(B65)=FALSE,ISBLANK(E65)=FALSE),"Q","R"),"R")</f>
        <v>R</v>
      </c>
      <c r="AG6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6" spans="2:74" ht="17.45">
      <c r="B66" s="321"/>
      <c s="323"/>
      <c s="322"/>
      <c s="322"/>
      <c s="319"/>
      <c s="323"/>
      <c s="69">
        <f t="shared" si="1"/>
        <v>1</v>
      </c>
      <c s="71" t="str">
        <f>IF(ISERROR(HLOOKUP(D66,'Капитальные вложения'!$E$10:$BM$10,1,FALSE))=TRUE,IF(AND(ISBLANK(B66)=FALSE,ISBLANK(D66)=FALSE),"Q","R"),"R")</f>
        <v>R</v>
      </c>
      <c s="71" t="str">
        <f>IF(ISERROR(HLOOKUP(E66,'Капитальные вложения'!$E$10:$BM$10,1,FALSE))=TRUE,IF(AND(ISBLANK(B66)=FALSE,ISBLANK(E66)=FALSE),"Q","R"),"R")</f>
        <v>R</v>
      </c>
      <c r="AG6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7" spans="2:74" ht="17.45">
      <c r="B67" s="321"/>
      <c s="323"/>
      <c s="322"/>
      <c s="322"/>
      <c s="319"/>
      <c s="323"/>
      <c s="69">
        <f t="shared" si="1"/>
        <v>1</v>
      </c>
      <c s="71" t="str">
        <f>IF(ISERROR(HLOOKUP(D67,'Капитальные вложения'!$E$10:$BM$10,1,FALSE))=TRUE,IF(AND(ISBLANK(B67)=FALSE,ISBLANK(D67)=FALSE),"Q","R"),"R")</f>
        <v>R</v>
      </c>
      <c s="71" t="str">
        <f>IF(ISERROR(HLOOKUP(E67,'Капитальные вложения'!$E$10:$BM$10,1,FALSE))=TRUE,IF(AND(ISBLANK(B67)=FALSE,ISBLANK(E67)=FALSE),"Q","R"),"R")</f>
        <v>R</v>
      </c>
      <c r="AG67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8" spans="2:74" ht="17.45">
      <c r="B68" s="321"/>
      <c s="323"/>
      <c s="322"/>
      <c s="322"/>
      <c s="319"/>
      <c s="323"/>
      <c s="69">
        <f t="shared" si="1"/>
        <v>1</v>
      </c>
      <c s="71" t="str">
        <f>IF(ISERROR(HLOOKUP(D68,'Капитальные вложения'!$E$10:$BM$10,1,FALSE))=TRUE,IF(AND(ISBLANK(B68)=FALSE,ISBLANK(D68)=FALSE),"Q","R"),"R")</f>
        <v>R</v>
      </c>
      <c s="71" t="str">
        <f>IF(ISERROR(HLOOKUP(E68,'Капитальные вложения'!$E$10:$BM$10,1,FALSE))=TRUE,IF(AND(ISBLANK(B68)=FALSE,ISBLANK(E68)=FALSE),"Q","R"),"R")</f>
        <v>R</v>
      </c>
      <c r="AG6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9" spans="2:74" ht="17.45">
      <c r="B69" s="321"/>
      <c s="323"/>
      <c s="322"/>
      <c s="322"/>
      <c s="319"/>
      <c s="323"/>
      <c s="69">
        <f t="shared" si="1"/>
        <v>1</v>
      </c>
      <c s="71" t="str">
        <f>IF(ISERROR(HLOOKUP(D69,'Капитальные вложения'!$E$10:$BM$10,1,FALSE))=TRUE,IF(AND(ISBLANK(B69)=FALSE,ISBLANK(D69)=FALSE),"Q","R"),"R")</f>
        <v>R</v>
      </c>
      <c s="71" t="str">
        <f>IF(ISERROR(HLOOKUP(E69,'Капитальные вложения'!$E$10:$BM$10,1,FALSE))=TRUE,IF(AND(ISBLANK(B69)=FALSE,ISBLANK(E69)=FALSE),"Q","R"),"R")</f>
        <v>R</v>
      </c>
      <c r="AG69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0" spans="2:2" ht="15" customHeight="1">
      <c r="B70" s="14"/>
    </row>
    <row r="71" spans="2:31" ht="15.6">
      <c r="B71" s="24" t="s">
        <v>105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2" spans="2:34" ht="14.45">
      <c r="B72" s="25" t="s">
        <v>106</v>
      </c>
      <c s="19"/>
      <c s="19"/>
      <c s="25" t="s">
        <v>110</v>
      </c>
      <c s="5"/>
      <c s="5"/>
      <c s="5"/>
      <c s="5"/>
      <c s="5"/>
      <c r="L72" s="25" t="s">
        <v>451</v>
      </c>
      <c r="N72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73" spans="2:74" ht="14.45">
      <c r="B73" s="524" t="s">
        <v>91</v>
      </c>
      <c s="524" t="str">
        <f>"Сумма, "&amp;Единица_измерения&amp;" в т.ч. НДС"</f>
        <v>Сумма, тыс. руб. в т.ч. НДС</v>
      </c>
      <c s="5"/>
      <c s="573" t="s">
        <v>91</v>
      </c>
      <c s="574"/>
      <c s="539"/>
      <c s="524" t="s">
        <v>111</v>
      </c>
      <c s="524" t="s">
        <v>452</v>
      </c>
      <c s="524" t="s">
        <v>453</v>
      </c>
      <c s="5"/>
      <c s="524" t="s">
        <v>454</v>
      </c>
      <c s="249">
        <f t="shared" si="2" ref="M73">SUM(L73,1)</f>
        <v>1</v>
      </c>
      <c s="249">
        <f t="shared" si="3" ref="N73">SUM(M73,1)</f>
        <v>2</v>
      </c>
      <c s="249">
        <f t="shared" si="4" ref="O73">SUM(N73,1)</f>
        <v>3</v>
      </c>
      <c s="249">
        <f t="shared" si="5" ref="P73">SUM(O73,1)</f>
        <v>4</v>
      </c>
      <c s="249">
        <f t="shared" si="6" ref="Q73">SUM(P73,1)</f>
        <v>5</v>
      </c>
      <c s="249">
        <f t="shared" si="7" ref="R73">SUM(Q73,1)</f>
        <v>6</v>
      </c>
      <c s="249">
        <f t="shared" si="8" ref="S73">SUM(R73,1)</f>
        <v>7</v>
      </c>
      <c s="249">
        <f t="shared" si="9" ref="T73">SUM(S73,1)</f>
        <v>8</v>
      </c>
      <c s="249">
        <f t="shared" si="10" ref="U73">SUM(T73,1)</f>
        <v>9</v>
      </c>
      <c s="249">
        <f t="shared" si="11" ref="V73">SUM(U73,1)</f>
        <v>10</v>
      </c>
      <c s="249">
        <f t="shared" si="12" ref="W73">SUM(V73,1)</f>
        <v>11</v>
      </c>
      <c s="249">
        <f t="shared" si="13" ref="X73">SUM(W73,1)</f>
        <v>12</v>
      </c>
      <c s="249">
        <f t="shared" si="14" ref="Y73">SUM(X73,1)</f>
        <v>13</v>
      </c>
      <c s="249">
        <f t="shared" si="15" ref="Z73">SUM(Y73,1)</f>
        <v>14</v>
      </c>
      <c s="249">
        <f t="shared" si="16" ref="AA73">SUM(Z73,1)</f>
        <v>15</v>
      </c>
      <c s="249">
        <f t="shared" si="17" ref="AB73">SUM(AA73,1)</f>
        <v>16</v>
      </c>
      <c s="249">
        <f t="shared" si="18" ref="AC73">SUM(AB73,1)</f>
        <v>17</v>
      </c>
      <c s="249">
        <f t="shared" si="19" ref="AD73">SUM(AC73,1)</f>
        <v>18</v>
      </c>
      <c s="249">
        <f t="shared" si="20" ref="AE73">SUM(AD73,1)</f>
        <v>19</v>
      </c>
      <c s="249">
        <f t="shared" si="21" ref="AF73">SUM(AE73,1)</f>
        <v>20</v>
      </c>
      <c s="249">
        <f t="shared" si="22" ref="AG73">SUM(AF73,1)</f>
        <v>21</v>
      </c>
      <c s="249">
        <f t="shared" si="23" ref="AH73">SUM(AG73,1)</f>
        <v>22</v>
      </c>
      <c s="249">
        <f t="shared" si="24" ref="AI73">SUM(AH73,1)</f>
        <v>23</v>
      </c>
      <c s="249">
        <f t="shared" si="25" ref="AJ73">SUM(AI73,1)</f>
        <v>24</v>
      </c>
      <c s="249">
        <f t="shared" si="26" ref="AK73">SUM(AJ73,1)</f>
        <v>25</v>
      </c>
      <c s="249">
        <f t="shared" si="27" ref="AL73">SUM(AK73,1)</f>
        <v>26</v>
      </c>
      <c s="249">
        <f t="shared" si="28" ref="AM73">SUM(AL73,1)</f>
        <v>27</v>
      </c>
      <c s="249">
        <f t="shared" si="29" ref="AN73">SUM(AM73,1)</f>
        <v>28</v>
      </c>
      <c s="249">
        <f t="shared" si="30" ref="AO73:BU73">SUM(AN73,1)</f>
        <v>29</v>
      </c>
      <c s="249">
        <f t="shared" si="30"/>
        <v>30</v>
      </c>
      <c s="249">
        <f t="shared" si="30"/>
        <v>31</v>
      </c>
      <c s="249">
        <f t="shared" si="30"/>
        <v>32</v>
      </c>
      <c s="249">
        <f t="shared" si="30"/>
        <v>33</v>
      </c>
      <c s="249">
        <f t="shared" si="30"/>
        <v>34</v>
      </c>
      <c s="249">
        <f t="shared" si="30"/>
        <v>35</v>
      </c>
      <c s="249">
        <f t="shared" si="30"/>
        <v>36</v>
      </c>
      <c s="249">
        <f t="shared" si="30"/>
        <v>37</v>
      </c>
      <c s="249">
        <f t="shared" si="30"/>
        <v>38</v>
      </c>
      <c s="249">
        <f t="shared" si="30"/>
        <v>39</v>
      </c>
      <c s="249">
        <f t="shared" si="30"/>
        <v>40</v>
      </c>
      <c s="249">
        <f t="shared" si="30"/>
        <v>41</v>
      </c>
      <c s="249">
        <f t="shared" si="30"/>
        <v>42</v>
      </c>
      <c s="249">
        <f t="shared" si="30"/>
        <v>43</v>
      </c>
      <c s="249">
        <f t="shared" si="30"/>
        <v>44</v>
      </c>
      <c s="249">
        <f t="shared" si="30"/>
        <v>45</v>
      </c>
      <c s="249">
        <f t="shared" si="30"/>
        <v>46</v>
      </c>
      <c s="249">
        <f t="shared" si="30"/>
        <v>47</v>
      </c>
      <c s="249">
        <f t="shared" si="30"/>
        <v>48</v>
      </c>
      <c s="249">
        <f t="shared" si="30"/>
        <v>49</v>
      </c>
      <c s="249">
        <f t="shared" si="30"/>
        <v>50</v>
      </c>
      <c s="249">
        <f t="shared" si="30"/>
        <v>51</v>
      </c>
      <c s="249">
        <f t="shared" si="30"/>
        <v>52</v>
      </c>
      <c s="249">
        <f t="shared" si="30"/>
        <v>53</v>
      </c>
      <c s="249">
        <f t="shared" si="30"/>
        <v>54</v>
      </c>
      <c s="249">
        <f t="shared" si="30"/>
        <v>55</v>
      </c>
      <c s="249">
        <f t="shared" si="30"/>
        <v>56</v>
      </c>
      <c s="249">
        <f t="shared" si="30"/>
        <v>57</v>
      </c>
      <c s="249">
        <f t="shared" si="30"/>
        <v>58</v>
      </c>
      <c s="249">
        <f t="shared" si="30"/>
        <v>59</v>
      </c>
      <c s="249">
        <f t="shared" si="30"/>
        <v>60</v>
      </c>
      <c s="249">
        <f t="shared" si="30"/>
        <v>61</v>
      </c>
      <c s="450" t="s">
        <v>455</v>
      </c>
    </row>
    <row r="74" spans="2:74" ht="14.45">
      <c r="B74" s="524"/>
      <c s="524"/>
      <c s="5"/>
      <c s="575"/>
      <c s="576"/>
      <c s="540"/>
      <c s="524"/>
      <c s="524"/>
      <c s="524"/>
      <c s="5"/>
      <c s="524"/>
      <c s="250">
        <f>IF(M73=1,$C$13,L75+1)</f>
        <v>45658</v>
      </c>
      <c s="250">
        <f t="shared" si="31" ref="N74:AF74">IF(N73=1,$C$13,M75+1)</f>
        <v>45748</v>
      </c>
      <c s="250">
        <f t="shared" si="31"/>
        <v>45839</v>
      </c>
      <c s="250">
        <f t="shared" si="31"/>
        <v>45931</v>
      </c>
      <c s="250">
        <f t="shared" si="31"/>
        <v>46023</v>
      </c>
      <c s="250">
        <f t="shared" si="31"/>
        <v>46113</v>
      </c>
      <c s="250">
        <f t="shared" si="31"/>
        <v>46204</v>
      </c>
      <c s="250">
        <f t="shared" si="31"/>
        <v>46296</v>
      </c>
      <c s="250">
        <f t="shared" si="31"/>
        <v>46388</v>
      </c>
      <c s="250">
        <f t="shared" si="31"/>
        <v>46478</v>
      </c>
      <c s="250">
        <f t="shared" si="31"/>
        <v>46569</v>
      </c>
      <c s="250">
        <f t="shared" si="31"/>
        <v>46661</v>
      </c>
      <c s="250">
        <f t="shared" si="31"/>
        <v>46753</v>
      </c>
      <c s="250">
        <f t="shared" si="31"/>
        <v>46844</v>
      </c>
      <c s="250">
        <f t="shared" si="31"/>
        <v>46935</v>
      </c>
      <c s="250">
        <f t="shared" si="31"/>
        <v>47027</v>
      </c>
      <c s="250">
        <f t="shared" si="31"/>
        <v>47119</v>
      </c>
      <c s="250">
        <f t="shared" si="31"/>
        <v>47209</v>
      </c>
      <c s="250">
        <f t="shared" si="31"/>
        <v>47300</v>
      </c>
      <c s="250">
        <f t="shared" si="31"/>
        <v>47392</v>
      </c>
      <c s="250">
        <f t="shared" si="32" ref="AG74">IF(AG73=1,$C$13,AF75+1)</f>
        <v>47484</v>
      </c>
      <c s="250">
        <f t="shared" si="33" ref="AH74">IF(AH73=1,$C$13,AG75+1)</f>
        <v>47574</v>
      </c>
      <c s="250">
        <f t="shared" si="34" ref="AI74">IF(AI73=1,$C$13,AH75+1)</f>
        <v>47665</v>
      </c>
      <c s="250">
        <f t="shared" si="35" ref="AJ74">IF(AJ73=1,$C$13,AI75+1)</f>
        <v>47757</v>
      </c>
      <c s="250">
        <f t="shared" si="36" ref="AK74">IF(AK73=1,$C$13,AJ75+1)</f>
        <v>47849</v>
      </c>
      <c s="250">
        <f t="shared" si="37" ref="AL74">IF(AL73=1,$C$13,AK75+1)</f>
        <v>47939</v>
      </c>
      <c s="250">
        <f t="shared" si="38" ref="AM74">IF(AM73=1,$C$13,AL75+1)</f>
        <v>48030</v>
      </c>
      <c s="250">
        <f t="shared" si="39" ref="AN74">IF(AN73=1,$C$13,AM75+1)</f>
        <v>48122</v>
      </c>
      <c s="250">
        <f t="shared" si="40" ref="AO74:BU74">IF(AO73=1,$C$13,AN75+1)</f>
        <v>48214</v>
      </c>
      <c s="250">
        <f t="shared" si="40"/>
        <v>48305</v>
      </c>
      <c s="250">
        <f t="shared" si="40"/>
        <v>48396</v>
      </c>
      <c s="250">
        <f t="shared" si="40"/>
        <v>48488</v>
      </c>
      <c s="250">
        <f t="shared" si="40"/>
        <v>48580</v>
      </c>
      <c s="250">
        <f t="shared" si="40"/>
        <v>48670</v>
      </c>
      <c s="250">
        <f t="shared" si="40"/>
        <v>48761</v>
      </c>
      <c s="250">
        <f t="shared" si="40"/>
        <v>48853</v>
      </c>
      <c s="250">
        <f t="shared" si="40"/>
        <v>48945</v>
      </c>
      <c s="250">
        <f t="shared" si="40"/>
        <v>49035</v>
      </c>
      <c s="250">
        <f t="shared" si="40"/>
        <v>49126</v>
      </c>
      <c s="250">
        <f t="shared" si="40"/>
        <v>49218</v>
      </c>
      <c s="250">
        <f t="shared" si="40"/>
        <v>49310</v>
      </c>
      <c s="250">
        <f t="shared" si="40"/>
        <v>49400</v>
      </c>
      <c s="250">
        <f t="shared" si="40"/>
        <v>49491</v>
      </c>
      <c s="250">
        <f t="shared" si="40"/>
        <v>49583</v>
      </c>
      <c s="250">
        <f t="shared" si="40"/>
        <v>49675</v>
      </c>
      <c s="250">
        <f t="shared" si="40"/>
        <v>49766</v>
      </c>
      <c s="250">
        <f t="shared" si="40"/>
        <v>49857</v>
      </c>
      <c s="250">
        <f t="shared" si="40"/>
        <v>49949</v>
      </c>
      <c s="250">
        <f t="shared" si="40"/>
        <v>50041</v>
      </c>
      <c s="250">
        <f t="shared" si="40"/>
        <v>50131</v>
      </c>
      <c s="250">
        <f t="shared" si="40"/>
        <v>50222</v>
      </c>
      <c s="250">
        <f t="shared" si="40"/>
        <v>50314</v>
      </c>
      <c s="250">
        <f t="shared" si="40"/>
        <v>50406</v>
      </c>
      <c s="250">
        <f t="shared" si="40"/>
        <v>50496</v>
      </c>
      <c s="250">
        <f t="shared" si="40"/>
        <v>50587</v>
      </c>
      <c s="250">
        <f t="shared" si="40"/>
        <v>50679</v>
      </c>
      <c s="250">
        <f t="shared" si="40"/>
        <v>50771</v>
      </c>
      <c s="250">
        <f t="shared" si="40"/>
        <v>50861</v>
      </c>
      <c s="250">
        <f t="shared" si="40"/>
        <v>50952</v>
      </c>
      <c s="250">
        <f t="shared" si="40"/>
        <v>51044</v>
      </c>
      <c s="250">
        <f t="shared" si="40"/>
        <v>51136</v>
      </c>
      <c s="528"/>
    </row>
    <row r="75" spans="2:74" ht="14.45">
      <c r="B75" s="524"/>
      <c s="524"/>
      <c s="5"/>
      <c s="577"/>
      <c s="578"/>
      <c s="541"/>
      <c s="524"/>
      <c s="524"/>
      <c s="524"/>
      <c s="5"/>
      <c s="524"/>
      <c s="250">
        <f>EOMONTH(M74,Месяцев_в_квартале-1)</f>
        <v>45747</v>
      </c>
      <c s="250">
        <f t="shared" si="41" ref="N75:AF75">EOMONTH(N74,Месяцев_в_квартале-1)</f>
        <v>45838</v>
      </c>
      <c s="250">
        <f t="shared" si="41"/>
        <v>45930</v>
      </c>
      <c s="250">
        <f t="shared" si="41"/>
        <v>46022</v>
      </c>
      <c s="250">
        <f t="shared" si="41"/>
        <v>46112</v>
      </c>
      <c s="250">
        <f t="shared" si="41"/>
        <v>46203</v>
      </c>
      <c s="250">
        <f t="shared" si="41"/>
        <v>46295</v>
      </c>
      <c s="250">
        <f t="shared" si="41"/>
        <v>46387</v>
      </c>
      <c s="250">
        <f t="shared" si="41"/>
        <v>46477</v>
      </c>
      <c s="250">
        <f t="shared" si="41"/>
        <v>46568</v>
      </c>
      <c s="250">
        <f t="shared" si="41"/>
        <v>46660</v>
      </c>
      <c s="250">
        <f t="shared" si="41"/>
        <v>46752</v>
      </c>
      <c s="250">
        <f t="shared" si="41"/>
        <v>46843</v>
      </c>
      <c s="250">
        <f t="shared" si="41"/>
        <v>46934</v>
      </c>
      <c s="250">
        <f t="shared" si="41"/>
        <v>47026</v>
      </c>
      <c s="250">
        <f t="shared" si="41"/>
        <v>47118</v>
      </c>
      <c s="250">
        <f t="shared" si="41"/>
        <v>47208</v>
      </c>
      <c s="250">
        <f t="shared" si="41"/>
        <v>47299</v>
      </c>
      <c s="250">
        <f t="shared" si="41"/>
        <v>47391</v>
      </c>
      <c s="250">
        <f t="shared" si="41"/>
        <v>47483</v>
      </c>
      <c s="250">
        <f t="shared" si="42" ref="AG75:AO75">EOMONTH(AG74,Месяцев_в_квартале-1)</f>
        <v>47573</v>
      </c>
      <c s="250">
        <f t="shared" si="42"/>
        <v>47664</v>
      </c>
      <c s="250">
        <f t="shared" si="42"/>
        <v>47756</v>
      </c>
      <c s="250">
        <f t="shared" si="42"/>
        <v>47848</v>
      </c>
      <c s="250">
        <f t="shared" si="42"/>
        <v>47938</v>
      </c>
      <c s="250">
        <f t="shared" si="42"/>
        <v>48029</v>
      </c>
      <c s="250">
        <f t="shared" si="42"/>
        <v>48121</v>
      </c>
      <c s="250">
        <f t="shared" si="42"/>
        <v>48213</v>
      </c>
      <c s="250">
        <f t="shared" si="42"/>
        <v>48304</v>
      </c>
      <c s="250">
        <f t="shared" si="43" ref="AP75:AS75">EOMONTH(AP74,Месяцев_в_квартале-1)</f>
        <v>48395</v>
      </c>
      <c s="250">
        <f t="shared" si="43"/>
        <v>48487</v>
      </c>
      <c s="250">
        <f t="shared" si="43"/>
        <v>48579</v>
      </c>
      <c s="250">
        <f t="shared" si="43"/>
        <v>48669</v>
      </c>
      <c s="250">
        <f t="shared" si="44" ref="AT75:AW75">EOMONTH(AT74,Месяцев_в_квартале-1)</f>
        <v>48760</v>
      </c>
      <c s="250">
        <f t="shared" si="44"/>
        <v>48852</v>
      </c>
      <c s="250">
        <f t="shared" si="44"/>
        <v>48944</v>
      </c>
      <c s="250">
        <f t="shared" si="44"/>
        <v>49034</v>
      </c>
      <c s="250">
        <f t="shared" si="45" ref="AX75:BE75">EOMONTH(AX74,Месяцев_в_квартале-1)</f>
        <v>49125</v>
      </c>
      <c s="250">
        <f t="shared" si="45"/>
        <v>49217</v>
      </c>
      <c s="250">
        <f t="shared" si="45"/>
        <v>49309</v>
      </c>
      <c s="250">
        <f t="shared" si="45"/>
        <v>49399</v>
      </c>
      <c s="250">
        <f t="shared" si="45"/>
        <v>49490</v>
      </c>
      <c s="250">
        <f t="shared" si="45"/>
        <v>49582</v>
      </c>
      <c s="250">
        <f t="shared" si="45"/>
        <v>49674</v>
      </c>
      <c s="250">
        <f t="shared" si="45"/>
        <v>49765</v>
      </c>
      <c s="250">
        <f t="shared" si="46" ref="BF75:BI75">EOMONTH(BF74,Месяцев_в_квартале-1)</f>
        <v>49856</v>
      </c>
      <c s="250">
        <f t="shared" si="46"/>
        <v>49948</v>
      </c>
      <c s="250">
        <f t="shared" si="46"/>
        <v>50040</v>
      </c>
      <c s="250">
        <f t="shared" si="46"/>
        <v>50130</v>
      </c>
      <c s="250">
        <f t="shared" si="47" ref="BJ75:BM75">EOMONTH(BJ74,Месяцев_в_квартале-1)</f>
        <v>50221</v>
      </c>
      <c s="250">
        <f t="shared" si="47"/>
        <v>50313</v>
      </c>
      <c s="250">
        <f t="shared" si="47"/>
        <v>50405</v>
      </c>
      <c s="250">
        <f t="shared" si="47"/>
        <v>50495</v>
      </c>
      <c s="250">
        <f t="shared" si="48" ref="BN75:BQ75">EOMONTH(BN74,Месяцев_в_квартале-1)</f>
        <v>50586</v>
      </c>
      <c s="250">
        <f t="shared" si="48"/>
        <v>50678</v>
      </c>
      <c s="250">
        <f t="shared" si="48"/>
        <v>50770</v>
      </c>
      <c s="250">
        <f t="shared" si="48"/>
        <v>50860</v>
      </c>
      <c s="250">
        <f t="shared" si="49" ref="BR75:BS75">EOMONTH(BR74,Месяцев_в_квартале-1)</f>
        <v>50951</v>
      </c>
      <c s="250">
        <f t="shared" si="49"/>
        <v>51043</v>
      </c>
      <c s="250">
        <f t="shared" si="50" ref="BT75:BU75">EOMONTH(BT74,Месяцев_в_квартале-1)</f>
        <v>51135</v>
      </c>
      <c s="250">
        <f t="shared" si="50"/>
        <v>51226</v>
      </c>
      <c s="529"/>
    </row>
    <row r="76" spans="2:74" ht="15" customHeight="1">
      <c r="B76" s="70" t="str">
        <f>IF(ISBLANK(Предпосылки!$B30),"-",Предпосылки!$B30)</f>
        <v>-</v>
      </c>
      <c s="324"/>
      <c s="5"/>
      <c s="533" t="str">
        <f>IF(ISBLANK(Предпосылки!$B30),"-",Предпосылки!$B30)</f>
        <v>-</v>
      </c>
      <c s="534"/>
      <c s="535"/>
      <c s="324"/>
      <c s="324"/>
      <c s="69">
        <f>IFERROR(MATCH(H76,$H$13:$H$16,0),1)</f>
        <v>1</v>
      </c>
      <c s="5"/>
      <c s="273">
        <f t="shared" si="51" ref="L76">SUM(M76:BX76)</f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>IF(I76=0,"R",IF(SUM(M76:BU76)=1,"R","Q"))</f>
        <v>R</v>
      </c>
    </row>
    <row r="77" spans="2:74" ht="15" customHeight="1">
      <c r="B77" s="70" t="str">
        <f>IF(ISBLANK(Предпосылки!$B31),"-",Предпосылки!$B31)</f>
        <v>-</v>
      </c>
      <c s="324"/>
      <c s="5"/>
      <c s="533" t="str">
        <f>IF(ISBLANK(Предпосылки!$B31),"-",Предпосылки!$B31)</f>
        <v>-</v>
      </c>
      <c s="534"/>
      <c s="535"/>
      <c s="324"/>
      <c s="324"/>
      <c s="69">
        <f t="shared" si="52" ref="J77:J115">IFERROR(MATCH(H77,$H$13:$H$16,0),1)</f>
        <v>1</v>
      </c>
      <c s="5"/>
      <c s="273">
        <f t="shared" si="53" ref="L77:L115">SUM(M77:BX77)</f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 ref="BV77:BV115">IF(I77=0,"R",IF(SUM(M77:BU77)=1,"R","Q"))</f>
        <v>R</v>
      </c>
    </row>
    <row r="78" spans="2:74" ht="15" customHeight="1">
      <c r="B78" s="70" t="str">
        <f>IF(ISBLANK(Предпосылки!$B32),"-",Предпосылки!$B32)</f>
        <v>-</v>
      </c>
      <c s="324"/>
      <c s="5"/>
      <c s="533" t="str">
        <f>IF(ISBLANK(Предпосылки!$B32),"-",Предпосылки!$B32)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79" spans="2:74" ht="15" customHeight="1">
      <c r="B79" s="70" t="str">
        <f>IF(ISBLANK(Предпосылки!$B33),"-",Предпосылки!$B33)</f>
        <v>-</v>
      </c>
      <c s="324"/>
      <c s="5"/>
      <c s="533" t="str">
        <f>IF(ISBLANK(Предпосылки!$B33),"-",Предпосылки!$B33)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0" spans="2:74" ht="15" customHeight="1">
      <c r="B80" s="70" t="str">
        <f>IF(ISBLANK(Предпосылки!$B34),"-",Предпосылки!$B34)</f>
        <v>-</v>
      </c>
      <c s="324"/>
      <c s="5"/>
      <c s="533" t="str">
        <f>IF(ISBLANK(Предпосылки!$B34),"-",Предпосылки!$B34)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4"/>
      <c s="324"/>
      <c s="324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1" spans="2:74" ht="15" customHeight="1">
      <c r="B81" s="70" t="str">
        <f>IF(ISBLANK(Предпосылки!$B35),"-",Предпосылки!$B35)</f>
        <v>-</v>
      </c>
      <c s="324"/>
      <c s="5"/>
      <c s="533" t="str">
        <f>IF(ISBLANK(Предпосылки!$B35),"-",Предпосылки!$B35)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2" spans="2:74" ht="15" customHeight="1">
      <c r="B82" s="70" t="str">
        <f>IF(ISBLANK(Предпосылки!$B36),"-",Предпосылки!$B36)</f>
        <v>-</v>
      </c>
      <c s="324"/>
      <c s="5"/>
      <c s="533" t="str">
        <f>IF(ISBLANK(Предпосылки!$B36),"-",Предпосылки!$B36)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4"/>
      <c s="324"/>
      <c s="324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3" spans="2:74" ht="15" customHeight="1">
      <c r="B83" s="70" t="str">
        <f>IF(ISBLANK(Предпосылки!$B37),"-",Предпосылки!$B37)</f>
        <v>-</v>
      </c>
      <c s="324"/>
      <c s="5"/>
      <c s="533" t="str">
        <f>IF(ISBLANK(Предпосылки!$B37),"-",Предпосылки!$B37)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4"/>
      <c s="324"/>
      <c s="324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4" spans="2:74" ht="15" customHeight="1">
      <c r="B84" s="70" t="str">
        <f>IF(ISBLANK(Предпосылки!$B38),"-",Предпосылки!$B38)</f>
        <v>-</v>
      </c>
      <c s="324"/>
      <c s="5"/>
      <c s="533" t="str">
        <f>IF(ISBLANK(Предпосылки!$B38),"-",Предпосылки!$B38)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5" spans="2:74" ht="15" customHeight="1">
      <c r="B85" s="70" t="str">
        <f>IF(ISBLANK(Предпосылки!$B39),"-",Предпосылки!$B39)</f>
        <v>-</v>
      </c>
      <c s="324"/>
      <c s="5"/>
      <c s="533" t="str">
        <f>IF(ISBLANK(Предпосылки!$B39),"-",Предпосылки!$B39)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6" spans="2:74" ht="15" customHeight="1">
      <c r="B86" s="70" t="str">
        <f>IF(ISBLANK(Предпосылки!$B40),"-",Предпосылки!$B40)</f>
        <v>-</v>
      </c>
      <c s="324"/>
      <c s="5"/>
      <c s="533" t="str">
        <f>IF(ISBLANK(Предпосылки!$B40),"-",Предпосылки!$B40)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7" spans="2:74" ht="15" customHeight="1">
      <c r="B87" s="70" t="str">
        <f>IF(ISBLANK(Предпосылки!$B41),"-",Предпосылки!$B41)</f>
        <v>-</v>
      </c>
      <c s="324"/>
      <c s="5"/>
      <c s="533" t="str">
        <f>IF(ISBLANK(Предпосылки!$B41),"-",Предпосылки!$B41)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8" spans="2:74" ht="15" customHeight="1">
      <c r="B88" s="70" t="str">
        <f>IF(ISBLANK(Предпосылки!$B42),"-",Предпосылки!$B42)</f>
        <v>-</v>
      </c>
      <c s="324"/>
      <c s="5"/>
      <c s="533" t="str">
        <f>IF(ISBLANK(Предпосылки!$B42),"-",Предпосылки!$B42)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89" spans="2:74" ht="15" customHeight="1">
      <c r="B89" s="70" t="str">
        <f>IF(ISBLANK(Предпосылки!$B43),"-",Предпосылки!$B43)</f>
        <v>-</v>
      </c>
      <c s="324"/>
      <c s="5"/>
      <c s="533" t="str">
        <f>IF(ISBLANK(Предпосылки!$B43),"-",Предпосылки!$B43)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0" spans="2:74" ht="15" customHeight="1">
      <c r="B90" s="70" t="str">
        <f>IF(ISBLANK(Предпосылки!$B44),"-",Предпосылки!$B44)</f>
        <v>-</v>
      </c>
      <c s="324"/>
      <c s="5"/>
      <c s="533" t="str">
        <f>IF(ISBLANK(Предпосылки!$B44),"-",Предпосылки!$B44)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1" spans="2:74" ht="15" customHeight="1">
      <c r="B91" s="70" t="str">
        <f>IF(ISBLANK(Предпосылки!$B45),"-",Предпосылки!$B45)</f>
        <v>-</v>
      </c>
      <c s="324"/>
      <c s="5"/>
      <c s="533" t="str">
        <f>IF(ISBLANK(Предпосылки!$B45),"-",Предпосылки!$B45)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2" spans="2:74" ht="15" customHeight="1">
      <c r="B92" s="70" t="str">
        <f>IF(ISBLANK(Предпосылки!$B46),"-",Предпосылки!$B46)</f>
        <v>-</v>
      </c>
      <c s="324"/>
      <c s="5"/>
      <c s="533" t="str">
        <f>IF(ISBLANK(Предпосылки!$B46),"-",Предпосылки!$B46)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3" spans="2:74" ht="15" customHeight="1">
      <c r="B93" s="70" t="str">
        <f>IF(ISBLANK(Предпосылки!$B47),"-",Предпосылки!$B47)</f>
        <v>-</v>
      </c>
      <c s="324"/>
      <c s="5"/>
      <c s="533" t="str">
        <f>IF(ISBLANK(Предпосылки!$B47),"-",Предпосылки!$B47)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4" spans="2:74" ht="15" customHeight="1">
      <c r="B94" s="70" t="str">
        <f>IF(ISBLANK(Предпосылки!$B48),"-",Предпосылки!$B48)</f>
        <v>-</v>
      </c>
      <c s="324"/>
      <c s="5"/>
      <c s="533" t="str">
        <f>IF(ISBLANK(Предпосылки!$B48),"-",Предпосылки!$B48)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5" spans="2:74" ht="15" customHeight="1">
      <c r="B95" s="70" t="str">
        <f>IF(ISBLANK(Предпосылки!$B49),"-",Предпосылки!$B49)</f>
        <v>-</v>
      </c>
      <c s="324"/>
      <c s="5"/>
      <c s="533" t="str">
        <f>IF(ISBLANK(Предпосылки!$B49),"-",Предпосылки!$B49)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25"/>
      <c s="325"/>
      <c s="325"/>
      <c s="325"/>
      <c s="325"/>
      <c s="325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6" spans="2:74" ht="15" customHeight="1">
      <c r="B96" s="70" t="str">
        <f>IF(ISBLANK(Предпосылки!$B50),"-",Предпосылки!$B50)</f>
        <v>-</v>
      </c>
      <c s="324"/>
      <c s="5"/>
      <c s="533" t="str">
        <f>IF(ISBLANK(Предпосылки!$B50),"-",Предпосылки!$B50)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7" spans="2:74" ht="15" customHeight="1">
      <c r="B97" s="70" t="str">
        <f>IF(ISBLANK(Предпосылки!$B51),"-",Предпосылки!$B51)</f>
        <v>-</v>
      </c>
      <c s="324"/>
      <c s="5"/>
      <c s="533" t="str">
        <f>IF(ISBLANK(Предпосылки!$B51),"-",Предпосылки!$B51)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8" spans="2:74" ht="15" customHeight="1">
      <c r="B98" s="70" t="str">
        <f>IF(ISBLANK(Предпосылки!$B52),"-",Предпосылки!$B52)</f>
        <v>-</v>
      </c>
      <c s="324"/>
      <c s="5"/>
      <c s="533" t="str">
        <f>IF(ISBLANK(Предпосылки!$B52),"-",Предпосылки!$B52)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99" spans="2:74" ht="15" customHeight="1">
      <c r="B99" s="70" t="str">
        <f>IF(ISBLANK(Предпосылки!$B53),"-",Предпосылки!$B53)</f>
        <v>-</v>
      </c>
      <c s="324"/>
      <c s="5"/>
      <c s="533" t="str">
        <f>IF(ISBLANK(Предпосылки!$B53),"-",Предпосылки!$B53)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0" spans="2:74" ht="15" customHeight="1">
      <c r="B100" s="70" t="str">
        <f>IF(ISBLANK(Предпосылки!$B54),"-",Предпосылки!$B54)</f>
        <v>-</v>
      </c>
      <c s="324"/>
      <c s="5"/>
      <c s="533" t="str">
        <f>IF(ISBLANK(Предпосылки!$B54),"-",Предпосылки!$B54)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1" spans="2:74" ht="15" customHeight="1">
      <c r="B101" s="70" t="str">
        <f>IF(ISBLANK(Предпосылки!$B55),"-",Предпосылки!$B55)</f>
        <v>-</v>
      </c>
      <c s="324"/>
      <c s="5"/>
      <c s="533" t="str">
        <f>IF(ISBLANK(Предпосылки!$B55),"-",Предпосылки!$B55)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2" spans="2:74" ht="15" customHeight="1">
      <c r="B102" s="70" t="str">
        <f>IF(ISBLANK(Предпосылки!$B56),"-",Предпосылки!$B56)</f>
        <v>-</v>
      </c>
      <c s="324"/>
      <c s="5"/>
      <c s="533" t="str">
        <f>IF(ISBLANK(Предпосылки!$B56),"-",Предпосылки!$B56)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3" spans="2:74" ht="15" customHeight="1">
      <c r="B103" s="70" t="str">
        <f>IF(ISBLANK(Предпосылки!$B57),"-",Предпосылки!$B57)</f>
        <v>-</v>
      </c>
      <c s="324"/>
      <c s="5"/>
      <c s="533" t="str">
        <f>IF(ISBLANK(Предпосылки!$B57),"-",Предпосылки!$B57)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4" spans="2:74" ht="15" customHeight="1">
      <c r="B104" s="70" t="str">
        <f>IF(ISBLANK(Предпосылки!$B58),"-",Предпосылки!$B58)</f>
        <v>-</v>
      </c>
      <c s="324"/>
      <c s="5"/>
      <c s="533" t="str">
        <f>IF(ISBLANK(Предпосылки!$B58),"-",Предпосылки!$B58)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5" spans="2:74" ht="15" customHeight="1">
      <c r="B105" s="70" t="str">
        <f>IF(ISBLANK(Предпосылки!$B59),"-",Предпосылки!$B59)</f>
        <v>-</v>
      </c>
      <c s="324"/>
      <c s="5"/>
      <c s="533" t="str">
        <f>IF(ISBLANK(Предпосылки!$B59),"-",Предпосылки!$B59)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6" spans="2:74" ht="15" customHeight="1">
      <c r="B106" s="70" t="str">
        <f>IF(ISBLANK(Предпосылки!$B60),"-",Предпосылки!$B60)</f>
        <v>-</v>
      </c>
      <c s="324"/>
      <c s="5"/>
      <c s="533" t="str">
        <f>IF(ISBLANK(Предпосылки!$B60),"-",Предпосылки!$B60)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7" spans="2:74" ht="15" customHeight="1">
      <c r="B107" s="70" t="str">
        <f>IF(ISBLANK(Предпосылки!$B61),"-",Предпосылки!$B61)</f>
        <v>-</v>
      </c>
      <c s="324"/>
      <c s="5"/>
      <c s="533" t="str">
        <f>IF(ISBLANK(Предпосылки!$B61),"-",Предпосылки!$B61)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8" spans="2:74" ht="15" customHeight="1">
      <c r="B108" s="70" t="str">
        <f>IF(ISBLANK(Предпосылки!$B62),"-",Предпосылки!$B62)</f>
        <v>-</v>
      </c>
      <c s="324"/>
      <c s="5"/>
      <c s="533" t="str">
        <f>IF(ISBLANK(Предпосылки!$B62),"-",Предпосылки!$B62)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09" spans="2:74" ht="15" customHeight="1">
      <c r="B109" s="70" t="str">
        <f>IF(ISBLANK(Предпосылки!$B63),"-",Предпосылки!$B63)</f>
        <v>-</v>
      </c>
      <c s="324"/>
      <c s="5"/>
      <c s="533" t="str">
        <f>IF(ISBLANK(Предпосылки!$B63),"-",Предпосылки!$B63)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0" spans="2:74" ht="15" customHeight="1">
      <c r="B110" s="70" t="str">
        <f>IF(ISBLANK(Предпосылки!$B64),"-",Предпосылки!$B64)</f>
        <v>-</v>
      </c>
      <c s="324"/>
      <c s="5"/>
      <c s="533" t="str">
        <f>IF(ISBLANK(Предпосылки!$B64),"-",Предпосылки!$B64)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1" spans="2:74" ht="15" customHeight="1">
      <c r="B111" s="70" t="str">
        <f>IF(ISBLANK(Предпосылки!$B65),"-",Предпосылки!$B65)</f>
        <v>-</v>
      </c>
      <c s="324"/>
      <c s="5"/>
      <c s="533" t="str">
        <f>IF(ISBLANK(Предпосылки!$B65),"-",Предпосылки!$B65)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2" spans="2:74" ht="15" customHeight="1">
      <c r="B112" s="70" t="str">
        <f>IF(ISBLANK(Предпосылки!$B66),"-",Предпосылки!$B66)</f>
        <v>-</v>
      </c>
      <c s="324"/>
      <c s="5"/>
      <c s="533" t="str">
        <f>IF(ISBLANK(Предпосылки!$B66),"-",Предпосылки!$B66)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3" spans="2:74" ht="15" customHeight="1">
      <c r="B113" s="70" t="str">
        <f>IF(ISBLANK(Предпосылки!$B67),"-",Предпосылки!$B67)</f>
        <v>-</v>
      </c>
      <c s="324"/>
      <c s="5"/>
      <c s="533" t="str">
        <f>IF(ISBLANK(Предпосылки!$B67),"-",Предпосылки!$B67)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4" spans="2:74" ht="15" customHeight="1">
      <c r="B114" s="70" t="str">
        <f>IF(ISBLANK(Предпосылки!$B68),"-",Предпосылки!$B68)</f>
        <v>-</v>
      </c>
      <c s="324"/>
      <c s="5"/>
      <c s="533" t="str">
        <f>IF(ISBLANK(Предпосылки!$B68),"-",Предпосылки!$B68)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5" spans="2:74" ht="15" customHeight="1">
      <c r="B115" s="70" t="str">
        <f>IF(ISBLANK(Предпосылки!$B69),"-",Предпосылки!$B69)</f>
        <v>-</v>
      </c>
      <c s="324"/>
      <c s="5"/>
      <c s="533" t="str">
        <f>IF(ISBLANK(Предпосылки!$B69),"-",Предпосылки!$B69)</f>
        <v>-</v>
      </c>
      <c s="534"/>
      <c s="535"/>
      <c s="324"/>
      <c s="324"/>
      <c s="69">
        <f t="shared" si="52"/>
        <v>1</v>
      </c>
      <c s="5"/>
      <c s="273">
        <f t="shared" si="53"/>
        <v>0</v>
      </c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319"/>
      <c s="71" t="str">
        <f t="shared" si="54"/>
        <v>R</v>
      </c>
    </row>
    <row r="116" spans="3:31" ht="14.45">
      <c r="C116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7" spans="2:31" ht="21">
      <c r="B117" s="23" t="s">
        <v>13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8" spans="2:31" ht="15.6">
      <c r="B118" s="24" t="s">
        <v>118</v>
      </c>
      <c s="5"/>
      <c s="5"/>
      <c s="5"/>
      <c s="5"/>
      <c s="11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19" spans="2:32" ht="15" customHeight="1">
      <c r="B119" s="524" t="s">
        <v>91</v>
      </c>
      <c s="525" t="s">
        <v>456</v>
      </c>
      <c s="524" t="s">
        <v>122</v>
      </c>
      <c s="525" t="s">
        <v>93</v>
      </c>
      <c s="525" t="s">
        <v>125</v>
      </c>
      <c s="525" t="s">
        <v>127</v>
      </c>
      <c s="525" t="s">
        <v>457</v>
      </c>
      <c s="525" t="s">
        <v>458</v>
      </c>
      <c s="524" t="s">
        <v>453</v>
      </c>
      <c s="525" t="s">
        <v>448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0" spans="2:32" ht="15" customHeight="1">
      <c r="B120" s="524"/>
      <c s="526"/>
      <c s="524"/>
      <c s="526"/>
      <c s="526"/>
      <c s="526"/>
      <c s="526"/>
      <c s="526"/>
      <c s="524"/>
      <c s="526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1" spans="2:32" ht="14.45">
      <c r="B121" s="524"/>
      <c s="527"/>
      <c s="524"/>
      <c s="527"/>
      <c s="527"/>
      <c s="527"/>
      <c s="527"/>
      <c s="527"/>
      <c s="524"/>
      <c s="527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2" spans="2:32" ht="14.45">
      <c r="B122" s="362" t="s">
        <v>459</v>
      </c>
      <c s="326"/>
      <c s="324"/>
      <c s="323"/>
      <c s="323"/>
      <c s="323"/>
      <c s="327"/>
      <c s="327"/>
      <c s="69">
        <f>IFERROR(MATCH(D122,$H$13:$H$16,0),1)</f>
        <v>1</v>
      </c>
      <c s="69">
        <f>IF(E122="нет",0,IF(F122="льготная",2,1))</f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3" spans="2:32" ht="14.45">
      <c r="B123" s="321" t="s">
        <v>460</v>
      </c>
      <c s="326"/>
      <c s="324"/>
      <c s="323"/>
      <c s="323"/>
      <c s="323"/>
      <c s="327"/>
      <c s="327"/>
      <c s="69">
        <f t="shared" si="55" ref="J123:J141">IFERROR(MATCH(D123,$H$13:$H$16,0),1)</f>
        <v>1</v>
      </c>
      <c s="69">
        <f t="shared" si="56" ref="K123:K141">IF(E123="нет",0,IF(F123="льготная",2,1))</f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4" spans="2:32" ht="14.45">
      <c r="B124" s="321" t="s">
        <v>461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5" spans="2:32" ht="14.45">
      <c r="B125" s="321" t="s">
        <v>462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6" spans="2:32" ht="14.45">
      <c r="B126" s="321" t="s">
        <v>463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7" spans="2:32" ht="14.45">
      <c r="B127" s="321" t="s">
        <v>464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8" spans="2:32" ht="14.45">
      <c r="B128" s="321" t="s">
        <v>465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29" spans="2:32" ht="14.45">
      <c r="B129" s="321" t="s">
        <v>466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0" spans="2:32" ht="14.45">
      <c r="B130" s="321" t="s">
        <v>467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1" spans="2:32" ht="14.45">
      <c r="B131" s="321" t="s">
        <v>468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2" spans="2:32" ht="14.45">
      <c r="B132" s="321" t="s">
        <v>469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3" spans="2:32" ht="14.45">
      <c r="B133" s="321" t="s">
        <v>470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4" spans="2:32" ht="14.45">
      <c r="B134" s="321" t="s">
        <v>471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5" spans="2:32" ht="14.45">
      <c r="B135" s="321" t="s">
        <v>472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6" spans="2:32" ht="14.45">
      <c r="B136" s="321" t="s">
        <v>473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7" spans="2:32" ht="14.45">
      <c r="B137" s="321" t="s">
        <v>474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8" spans="2:32" ht="14.45">
      <c r="B138" s="321" t="s">
        <v>475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39" spans="2:32" ht="14.45">
      <c r="B139" s="321" t="s">
        <v>476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0" spans="2:32" ht="14.45">
      <c r="B140" s="321" t="s">
        <v>477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1" spans="2:32" ht="14.45">
      <c r="B141" s="321" t="s">
        <v>478</v>
      </c>
      <c s="326"/>
      <c s="324"/>
      <c s="323"/>
      <c s="323"/>
      <c s="323"/>
      <c s="327"/>
      <c s="327"/>
      <c s="69">
        <f t="shared" si="55"/>
        <v>1</v>
      </c>
      <c s="69">
        <f t="shared" si="56"/>
        <v>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2" spans="2:2" ht="15" customHeight="1">
      <c r="B142" s="14"/>
    </row>
    <row r="143" spans="2:4" ht="15" customHeight="1">
      <c r="B143" s="646" t="s">
        <v>479</v>
      </c>
      <c s="647"/>
      <c s="47" t="str">
        <f>IFERROR(IF(OR(MIN(H122:H141)&lt;0,MAX(H122:H141)&gt;90),"Q","R"),"Q")</f>
        <v>R</v>
      </c>
    </row>
    <row r="144" spans="2:4" ht="15" customHeight="1">
      <c r="B144" s="646" t="s">
        <v>480</v>
      </c>
      <c s="647"/>
      <c s="47" t="str">
        <f>IFERROR(IF(OR(MIN(I122:I141)&lt;-90,MAX(I122:I141)&gt;90),"Q","R"),"Q")</f>
        <v>R</v>
      </c>
    </row>
    <row r="145" spans="2:31" ht="14.45">
      <c r="B14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6" spans="2:31" ht="15.6">
      <c r="B146" s="24" t="s">
        <v>481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47" spans="2:64" ht="14.45">
      <c r="B147" s="524" t="s">
        <v>91</v>
      </c>
      <c s="524" t="s">
        <v>122</v>
      </c>
      <c s="249">
        <f t="shared" si="57" ref="D147:W147">SUM(C147,1)</f>
        <v>1</v>
      </c>
      <c s="249">
        <f t="shared" si="57"/>
        <v>2</v>
      </c>
      <c s="249">
        <f t="shared" si="57"/>
        <v>3</v>
      </c>
      <c s="249">
        <f t="shared" si="57"/>
        <v>4</v>
      </c>
      <c s="249">
        <f t="shared" si="57"/>
        <v>5</v>
      </c>
      <c s="249">
        <f t="shared" si="57"/>
        <v>6</v>
      </c>
      <c s="249">
        <f t="shared" si="57"/>
        <v>7</v>
      </c>
      <c s="249">
        <f t="shared" si="57"/>
        <v>8</v>
      </c>
      <c s="249">
        <f t="shared" si="57"/>
        <v>9</v>
      </c>
      <c s="249">
        <f t="shared" si="57"/>
        <v>10</v>
      </c>
      <c s="249">
        <f t="shared" si="57"/>
        <v>11</v>
      </c>
      <c s="249">
        <f t="shared" si="57"/>
        <v>12</v>
      </c>
      <c s="249">
        <f t="shared" si="57"/>
        <v>13</v>
      </c>
      <c s="249">
        <f t="shared" si="57"/>
        <v>14</v>
      </c>
      <c s="249">
        <f t="shared" si="57"/>
        <v>15</v>
      </c>
      <c s="249">
        <f t="shared" si="57"/>
        <v>16</v>
      </c>
      <c s="249">
        <f t="shared" si="57"/>
        <v>17</v>
      </c>
      <c s="249">
        <f t="shared" si="57"/>
        <v>18</v>
      </c>
      <c s="249">
        <f t="shared" si="57"/>
        <v>19</v>
      </c>
      <c s="249">
        <f t="shared" si="57"/>
        <v>20</v>
      </c>
      <c s="249">
        <f t="shared" si="58" ref="X147">SUM(W147,1)</f>
        <v>21</v>
      </c>
      <c s="249">
        <f t="shared" si="59" ref="Y147">SUM(X147,1)</f>
        <v>22</v>
      </c>
      <c s="249">
        <f t="shared" si="60" ref="Z147">SUM(Y147,1)</f>
        <v>23</v>
      </c>
      <c s="249">
        <f t="shared" si="61" ref="AA147">SUM(Z147,1)</f>
        <v>24</v>
      </c>
      <c s="249">
        <f t="shared" si="62" ref="AB147">SUM(AA147,1)</f>
        <v>25</v>
      </c>
      <c s="249">
        <f t="shared" si="63" ref="AC147">SUM(AB147,1)</f>
        <v>26</v>
      </c>
      <c s="249">
        <f t="shared" si="64" ref="AD147">SUM(AC147,1)</f>
        <v>27</v>
      </c>
      <c s="249">
        <f t="shared" si="65" ref="AE147">SUM(AD147,1)</f>
        <v>28</v>
      </c>
      <c s="249">
        <f t="shared" si="66" ref="AF147:BL147">SUM(AE147,1)</f>
        <v>29</v>
      </c>
      <c s="249">
        <f t="shared" si="66"/>
        <v>30</v>
      </c>
      <c s="249">
        <f t="shared" si="66"/>
        <v>31</v>
      </c>
      <c s="249">
        <f t="shared" si="66"/>
        <v>32</v>
      </c>
      <c s="249">
        <f t="shared" si="66"/>
        <v>33</v>
      </c>
      <c s="249">
        <f t="shared" si="66"/>
        <v>34</v>
      </c>
      <c s="249">
        <f t="shared" si="66"/>
        <v>35</v>
      </c>
      <c s="249">
        <f t="shared" si="66"/>
        <v>36</v>
      </c>
      <c s="249">
        <f t="shared" si="66"/>
        <v>37</v>
      </c>
      <c s="249">
        <f t="shared" si="66"/>
        <v>38</v>
      </c>
      <c s="249">
        <f t="shared" si="66"/>
        <v>39</v>
      </c>
      <c s="249">
        <f t="shared" si="66"/>
        <v>40</v>
      </c>
      <c s="249">
        <f t="shared" si="66"/>
        <v>41</v>
      </c>
      <c s="249">
        <f t="shared" si="66"/>
        <v>42</v>
      </c>
      <c s="249">
        <f t="shared" si="66"/>
        <v>43</v>
      </c>
      <c s="249">
        <f t="shared" si="66"/>
        <v>44</v>
      </c>
      <c s="249">
        <f t="shared" si="66"/>
        <v>45</v>
      </c>
      <c s="249">
        <f t="shared" si="66"/>
        <v>46</v>
      </c>
      <c s="249">
        <f t="shared" si="66"/>
        <v>47</v>
      </c>
      <c s="249">
        <f t="shared" si="66"/>
        <v>48</v>
      </c>
      <c s="249">
        <f t="shared" si="66"/>
        <v>49</v>
      </c>
      <c s="249">
        <f t="shared" si="66"/>
        <v>50</v>
      </c>
      <c s="249">
        <f t="shared" si="66"/>
        <v>51</v>
      </c>
      <c s="249">
        <f t="shared" si="66"/>
        <v>52</v>
      </c>
      <c s="249">
        <f t="shared" si="66"/>
        <v>53</v>
      </c>
      <c s="249">
        <f t="shared" si="66"/>
        <v>54</v>
      </c>
      <c s="249">
        <f t="shared" si="66"/>
        <v>55</v>
      </c>
      <c s="249">
        <f t="shared" si="66"/>
        <v>56</v>
      </c>
      <c s="249">
        <f t="shared" si="66"/>
        <v>57</v>
      </c>
      <c s="249">
        <f t="shared" si="66"/>
        <v>58</v>
      </c>
      <c s="249">
        <f t="shared" si="66"/>
        <v>59</v>
      </c>
      <c s="249">
        <f t="shared" si="66"/>
        <v>60</v>
      </c>
      <c s="249">
        <f t="shared" si="66"/>
        <v>61</v>
      </c>
    </row>
    <row r="148" spans="2:64" ht="14.45">
      <c r="B148" s="524"/>
      <c s="524"/>
      <c s="250">
        <f t="shared" si="67" ref="D148:M149">M74</f>
        <v>45658</v>
      </c>
      <c s="250">
        <f t="shared" si="67"/>
        <v>45748</v>
      </c>
      <c s="250">
        <f t="shared" si="67"/>
        <v>45839</v>
      </c>
      <c s="250">
        <f t="shared" si="67"/>
        <v>45931</v>
      </c>
      <c s="250">
        <f t="shared" si="67"/>
        <v>46023</v>
      </c>
      <c s="250">
        <f t="shared" si="67"/>
        <v>46113</v>
      </c>
      <c s="250">
        <f t="shared" si="67"/>
        <v>46204</v>
      </c>
      <c s="250">
        <f t="shared" si="67"/>
        <v>46296</v>
      </c>
      <c s="250">
        <f t="shared" si="67"/>
        <v>46388</v>
      </c>
      <c s="250">
        <f t="shared" si="67"/>
        <v>46478</v>
      </c>
      <c s="250">
        <f t="shared" si="68" ref="N148:W149">W74</f>
        <v>46569</v>
      </c>
      <c s="250">
        <f t="shared" si="68"/>
        <v>46661</v>
      </c>
      <c s="250">
        <f t="shared" si="68"/>
        <v>46753</v>
      </c>
      <c s="250">
        <f t="shared" si="68"/>
        <v>46844</v>
      </c>
      <c s="250">
        <f t="shared" si="68"/>
        <v>46935</v>
      </c>
      <c s="250">
        <f t="shared" si="68"/>
        <v>47027</v>
      </c>
      <c s="250">
        <f t="shared" si="68"/>
        <v>47119</v>
      </c>
      <c s="250">
        <f t="shared" si="68"/>
        <v>47209</v>
      </c>
      <c s="250">
        <f t="shared" si="68"/>
        <v>47300</v>
      </c>
      <c s="250">
        <f t="shared" si="68"/>
        <v>47392</v>
      </c>
      <c s="250">
        <f t="shared" si="69" ref="X148:BL149">AG74</f>
        <v>47484</v>
      </c>
      <c s="250">
        <f t="shared" si="69"/>
        <v>47574</v>
      </c>
      <c s="250">
        <f t="shared" si="69"/>
        <v>47665</v>
      </c>
      <c s="250">
        <f t="shared" si="69"/>
        <v>47757</v>
      </c>
      <c s="250">
        <f t="shared" si="69"/>
        <v>47849</v>
      </c>
      <c s="250">
        <f t="shared" si="69"/>
        <v>47939</v>
      </c>
      <c s="250">
        <f t="shared" si="69"/>
        <v>48030</v>
      </c>
      <c s="250">
        <f t="shared" si="69"/>
        <v>48122</v>
      </c>
      <c s="250">
        <f t="shared" si="69"/>
        <v>48214</v>
      </c>
      <c s="250">
        <f t="shared" si="69"/>
        <v>48305</v>
      </c>
      <c s="250">
        <f t="shared" si="69"/>
        <v>48396</v>
      </c>
      <c s="250">
        <f t="shared" si="69"/>
        <v>48488</v>
      </c>
      <c s="250">
        <f t="shared" si="69"/>
        <v>48580</v>
      </c>
      <c s="250">
        <f t="shared" si="69"/>
        <v>48670</v>
      </c>
      <c s="250">
        <f t="shared" si="69"/>
        <v>48761</v>
      </c>
      <c s="250">
        <f t="shared" si="69"/>
        <v>48853</v>
      </c>
      <c s="250">
        <f t="shared" si="69"/>
        <v>48945</v>
      </c>
      <c s="250">
        <f t="shared" si="69"/>
        <v>49035</v>
      </c>
      <c s="250">
        <f t="shared" si="69"/>
        <v>49126</v>
      </c>
      <c s="250">
        <f t="shared" si="69"/>
        <v>49218</v>
      </c>
      <c s="250">
        <f t="shared" si="69"/>
        <v>49310</v>
      </c>
      <c s="250">
        <f t="shared" si="69"/>
        <v>49400</v>
      </c>
      <c s="250">
        <f t="shared" si="69"/>
        <v>49491</v>
      </c>
      <c s="250">
        <f t="shared" si="69"/>
        <v>49583</v>
      </c>
      <c s="250">
        <f t="shared" si="69"/>
        <v>49675</v>
      </c>
      <c s="250">
        <f t="shared" si="69"/>
        <v>49766</v>
      </c>
      <c s="250">
        <f t="shared" si="69"/>
        <v>49857</v>
      </c>
      <c s="250">
        <f t="shared" si="69"/>
        <v>49949</v>
      </c>
      <c s="250">
        <f t="shared" si="69"/>
        <v>50041</v>
      </c>
      <c s="250">
        <f t="shared" si="69"/>
        <v>50131</v>
      </c>
      <c s="250">
        <f t="shared" si="69"/>
        <v>50222</v>
      </c>
      <c s="250">
        <f t="shared" si="69"/>
        <v>50314</v>
      </c>
      <c s="250">
        <f t="shared" si="69"/>
        <v>50406</v>
      </c>
      <c s="250">
        <f t="shared" si="69"/>
        <v>50496</v>
      </c>
      <c s="250">
        <f t="shared" si="69"/>
        <v>50587</v>
      </c>
      <c s="250">
        <f t="shared" si="69"/>
        <v>50679</v>
      </c>
      <c s="250">
        <f t="shared" si="69"/>
        <v>50771</v>
      </c>
      <c s="250">
        <f t="shared" si="69"/>
        <v>50861</v>
      </c>
      <c s="250">
        <f t="shared" si="69"/>
        <v>50952</v>
      </c>
      <c s="250">
        <f t="shared" si="69"/>
        <v>51044</v>
      </c>
      <c s="250">
        <f t="shared" si="69"/>
        <v>51136</v>
      </c>
    </row>
    <row r="149" spans="2:64" ht="14.45">
      <c r="B149" s="524"/>
      <c s="524"/>
      <c s="250">
        <f t="shared" si="67"/>
        <v>45747</v>
      </c>
      <c s="250">
        <f t="shared" si="67"/>
        <v>45838</v>
      </c>
      <c s="250">
        <f t="shared" si="67"/>
        <v>45930</v>
      </c>
      <c s="250">
        <f t="shared" si="67"/>
        <v>46022</v>
      </c>
      <c s="250">
        <f t="shared" si="67"/>
        <v>46112</v>
      </c>
      <c s="250">
        <f t="shared" si="67"/>
        <v>46203</v>
      </c>
      <c s="250">
        <f t="shared" si="67"/>
        <v>46295</v>
      </c>
      <c s="250">
        <f t="shared" si="67"/>
        <v>46387</v>
      </c>
      <c s="250">
        <f t="shared" si="67"/>
        <v>46477</v>
      </c>
      <c s="250">
        <f t="shared" si="67"/>
        <v>46568</v>
      </c>
      <c s="250">
        <f t="shared" si="68"/>
        <v>46660</v>
      </c>
      <c s="250">
        <f t="shared" si="68"/>
        <v>46752</v>
      </c>
      <c s="250">
        <f t="shared" si="68"/>
        <v>46843</v>
      </c>
      <c s="250">
        <f t="shared" si="68"/>
        <v>46934</v>
      </c>
      <c s="250">
        <f t="shared" si="68"/>
        <v>47026</v>
      </c>
      <c s="250">
        <f t="shared" si="68"/>
        <v>47118</v>
      </c>
      <c s="250">
        <f t="shared" si="68"/>
        <v>47208</v>
      </c>
      <c s="250">
        <f t="shared" si="68"/>
        <v>47299</v>
      </c>
      <c s="250">
        <f t="shared" si="68"/>
        <v>47391</v>
      </c>
      <c s="250">
        <f t="shared" si="68"/>
        <v>47483</v>
      </c>
      <c s="250">
        <f t="shared" si="69"/>
        <v>47573</v>
      </c>
      <c s="250">
        <f t="shared" si="69"/>
        <v>47664</v>
      </c>
      <c s="250">
        <f t="shared" si="69"/>
        <v>47756</v>
      </c>
      <c s="250">
        <f t="shared" si="69"/>
        <v>47848</v>
      </c>
      <c s="250">
        <f t="shared" si="69"/>
        <v>47938</v>
      </c>
      <c s="250">
        <f t="shared" si="69"/>
        <v>48029</v>
      </c>
      <c s="250">
        <f t="shared" si="69"/>
        <v>48121</v>
      </c>
      <c s="250">
        <f t="shared" si="69"/>
        <v>48213</v>
      </c>
      <c s="250">
        <f t="shared" si="69"/>
        <v>48304</v>
      </c>
      <c s="250">
        <f t="shared" si="69"/>
        <v>48395</v>
      </c>
      <c s="250">
        <f t="shared" si="69"/>
        <v>48487</v>
      </c>
      <c s="250">
        <f t="shared" si="69"/>
        <v>48579</v>
      </c>
      <c s="250">
        <f t="shared" si="69"/>
        <v>48669</v>
      </c>
      <c s="250">
        <f t="shared" si="69"/>
        <v>48760</v>
      </c>
      <c s="250">
        <f t="shared" si="69"/>
        <v>48852</v>
      </c>
      <c s="250">
        <f t="shared" si="69"/>
        <v>48944</v>
      </c>
      <c s="250">
        <f t="shared" si="69"/>
        <v>49034</v>
      </c>
      <c s="250">
        <f t="shared" si="69"/>
        <v>49125</v>
      </c>
      <c s="250">
        <f t="shared" si="69"/>
        <v>49217</v>
      </c>
      <c s="250">
        <f t="shared" si="69"/>
        <v>49309</v>
      </c>
      <c s="250">
        <f t="shared" si="69"/>
        <v>49399</v>
      </c>
      <c s="250">
        <f t="shared" si="69"/>
        <v>49490</v>
      </c>
      <c s="250">
        <f t="shared" si="69"/>
        <v>49582</v>
      </c>
      <c s="250">
        <f t="shared" si="69"/>
        <v>49674</v>
      </c>
      <c s="250">
        <f t="shared" si="69"/>
        <v>49765</v>
      </c>
      <c s="250">
        <f t="shared" si="69"/>
        <v>49856</v>
      </c>
      <c s="250">
        <f t="shared" si="69"/>
        <v>49948</v>
      </c>
      <c s="250">
        <f t="shared" si="69"/>
        <v>50040</v>
      </c>
      <c s="250">
        <f t="shared" si="69"/>
        <v>50130</v>
      </c>
      <c s="250">
        <f t="shared" si="69"/>
        <v>50221</v>
      </c>
      <c s="250">
        <f t="shared" si="69"/>
        <v>50313</v>
      </c>
      <c s="250">
        <f t="shared" si="69"/>
        <v>50405</v>
      </c>
      <c s="250">
        <f t="shared" si="69"/>
        <v>50495</v>
      </c>
      <c s="250">
        <f t="shared" si="69"/>
        <v>50586</v>
      </c>
      <c s="250">
        <f t="shared" si="69"/>
        <v>50678</v>
      </c>
      <c s="250">
        <f t="shared" si="69"/>
        <v>50770</v>
      </c>
      <c s="250">
        <f t="shared" si="69"/>
        <v>50860</v>
      </c>
      <c s="250">
        <f t="shared" si="69"/>
        <v>50951</v>
      </c>
      <c s="250">
        <f t="shared" si="69"/>
        <v>51043</v>
      </c>
      <c s="250">
        <f t="shared" si="69"/>
        <v>51135</v>
      </c>
      <c s="250">
        <f t="shared" si="69"/>
        <v>51226</v>
      </c>
    </row>
    <row r="150" spans="2:64" ht="14.45">
      <c r="B150" s="72" t="str">
        <f>IF(ISBLANK(B122),"-",B122)</f>
        <v>Продукт 1</v>
      </c>
      <c s="73" t="str">
        <f>INDEX($H$13:$H$16,J122)</f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1" spans="2:64" ht="14.45">
      <c r="B151" s="72" t="str">
        <f t="shared" si="70" ref="B151:B169">IF(ISBLANK(B123),"-",B123)</f>
        <v>Продукт 2</v>
      </c>
      <c s="73" t="str">
        <f t="shared" si="71" ref="C151:C169">INDEX($H$13:$H$16,J123)</f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2" spans="2:64" ht="14.45">
      <c r="B152" s="72" t="str">
        <f t="shared" si="70"/>
        <v>Продукт 3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3" spans="2:64" ht="14.45">
      <c r="B153" s="72" t="str">
        <f t="shared" si="70"/>
        <v>Продукт 4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4" spans="2:64" ht="14.45">
      <c r="B154" s="72" t="str">
        <f t="shared" si="70"/>
        <v>Продукт 5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5" spans="2:64" ht="14.45">
      <c r="B155" s="72" t="str">
        <f t="shared" si="70"/>
        <v>Продукт 6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6" spans="2:64" ht="14.45">
      <c r="B156" s="72" t="str">
        <f t="shared" si="70"/>
        <v>Продукт 7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7" spans="2:64" ht="14.45">
      <c r="B157" s="72" t="str">
        <f t="shared" si="70"/>
        <v>Продукт 8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8" spans="2:64" ht="14.45">
      <c r="B158" s="72" t="str">
        <f t="shared" si="70"/>
        <v>Продукт 9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59" spans="2:64" ht="14.45">
      <c r="B159" s="72" t="str">
        <f t="shared" si="70"/>
        <v>Продукт 10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0" spans="2:64" ht="14.45">
      <c r="B160" s="72" t="str">
        <f t="shared" si="70"/>
        <v>Продукт 11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1" spans="2:64" ht="14.45">
      <c r="B161" s="72" t="str">
        <f t="shared" si="70"/>
        <v>Продукт 12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2" spans="2:64" ht="14.45">
      <c r="B162" s="72" t="str">
        <f t="shared" si="70"/>
        <v>Продукт 13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3" spans="2:64" ht="14.45">
      <c r="B163" s="72" t="str">
        <f t="shared" si="70"/>
        <v>Продукт 14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4" spans="2:64" ht="14.45">
      <c r="B164" s="72" t="str">
        <f t="shared" si="70"/>
        <v>Продукт 15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5" spans="2:64" ht="14.45">
      <c r="B165" s="72" t="str">
        <f t="shared" si="70"/>
        <v>Продукт 16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6" spans="2:64" ht="14.45">
      <c r="B166" s="72" t="str">
        <f t="shared" si="70"/>
        <v>Продукт 17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7" spans="2:64" ht="15" customHeight="1">
      <c r="B167" s="72" t="str">
        <f t="shared" si="70"/>
        <v>Продукт 18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8" spans="2:64" ht="15" customHeight="1">
      <c r="B168" s="72" t="str">
        <f t="shared" si="70"/>
        <v>Продукт 19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69" spans="2:64" ht="15" customHeight="1">
      <c r="B169" s="72" t="str">
        <f t="shared" si="70"/>
        <v>Продукт 20</v>
      </c>
      <c s="73" t="str">
        <f t="shared" si="71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70" spans="2:31" ht="14.45">
      <c r="B170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1" spans="2:31" ht="15.6">
      <c r="B171" s="24" t="s">
        <v>136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72" spans="2:64" ht="14.45">
      <c r="B172" s="524" t="s">
        <v>91</v>
      </c>
      <c s="524" t="s">
        <v>482</v>
      </c>
      <c s="249">
        <f>SUM(C172,1)</f>
        <v>1</v>
      </c>
      <c s="249">
        <f t="shared" si="72" ref="E172:W172">SUM(D172,1)</f>
        <v>2</v>
      </c>
      <c s="249">
        <f t="shared" si="72"/>
        <v>3</v>
      </c>
      <c s="249">
        <f t="shared" si="72"/>
        <v>4</v>
      </c>
      <c s="249">
        <f t="shared" si="72"/>
        <v>5</v>
      </c>
      <c s="249">
        <f t="shared" si="72"/>
        <v>6</v>
      </c>
      <c s="249">
        <f t="shared" si="72"/>
        <v>7</v>
      </c>
      <c s="249">
        <f t="shared" si="72"/>
        <v>8</v>
      </c>
      <c s="249">
        <f t="shared" si="72"/>
        <v>9</v>
      </c>
      <c s="249">
        <f t="shared" si="72"/>
        <v>10</v>
      </c>
      <c s="249">
        <f t="shared" si="72"/>
        <v>11</v>
      </c>
      <c s="249">
        <f t="shared" si="72"/>
        <v>12</v>
      </c>
      <c s="249">
        <f t="shared" si="72"/>
        <v>13</v>
      </c>
      <c s="249">
        <f t="shared" si="72"/>
        <v>14</v>
      </c>
      <c s="249">
        <f t="shared" si="72"/>
        <v>15</v>
      </c>
      <c s="249">
        <f t="shared" si="72"/>
        <v>16</v>
      </c>
      <c s="249">
        <f t="shared" si="72"/>
        <v>17</v>
      </c>
      <c s="249">
        <f t="shared" si="72"/>
        <v>18</v>
      </c>
      <c s="249">
        <f t="shared" si="72"/>
        <v>19</v>
      </c>
      <c s="249">
        <f t="shared" si="72"/>
        <v>20</v>
      </c>
      <c s="249">
        <f t="shared" si="73" ref="X172">SUM(W172,1)</f>
        <v>21</v>
      </c>
      <c s="249">
        <f t="shared" si="74" ref="Y172">SUM(X172,1)</f>
        <v>22</v>
      </c>
      <c s="249">
        <f t="shared" si="75" ref="Z172">SUM(Y172,1)</f>
        <v>23</v>
      </c>
      <c s="249">
        <f t="shared" si="76" ref="AA172">SUM(Z172,1)</f>
        <v>24</v>
      </c>
      <c s="249">
        <f t="shared" si="77" ref="AB172">SUM(AA172,1)</f>
        <v>25</v>
      </c>
      <c s="249">
        <f t="shared" si="78" ref="AC172">SUM(AB172,1)</f>
        <v>26</v>
      </c>
      <c s="249">
        <f t="shared" si="79" ref="AD172">SUM(AC172,1)</f>
        <v>27</v>
      </c>
      <c s="249">
        <f t="shared" si="80" ref="AE172">SUM(AD172,1)</f>
        <v>28</v>
      </c>
      <c s="249">
        <f t="shared" si="81" ref="AF172:BL172">SUM(AE172,1)</f>
        <v>29</v>
      </c>
      <c s="249">
        <f t="shared" si="81"/>
        <v>30</v>
      </c>
      <c s="249">
        <f t="shared" si="81"/>
        <v>31</v>
      </c>
      <c s="249">
        <f t="shared" si="81"/>
        <v>32</v>
      </c>
      <c s="249">
        <f t="shared" si="81"/>
        <v>33</v>
      </c>
      <c s="249">
        <f t="shared" si="81"/>
        <v>34</v>
      </c>
      <c s="249">
        <f t="shared" si="81"/>
        <v>35</v>
      </c>
      <c s="249">
        <f t="shared" si="81"/>
        <v>36</v>
      </c>
      <c s="249">
        <f t="shared" si="81"/>
        <v>37</v>
      </c>
      <c s="249">
        <f t="shared" si="81"/>
        <v>38</v>
      </c>
      <c s="249">
        <f t="shared" si="81"/>
        <v>39</v>
      </c>
      <c s="249">
        <f t="shared" si="81"/>
        <v>40</v>
      </c>
      <c s="249">
        <f t="shared" si="81"/>
        <v>41</v>
      </c>
      <c s="249">
        <f t="shared" si="81"/>
        <v>42</v>
      </c>
      <c s="249">
        <f t="shared" si="81"/>
        <v>43</v>
      </c>
      <c s="249">
        <f t="shared" si="81"/>
        <v>44</v>
      </c>
      <c s="249">
        <f t="shared" si="81"/>
        <v>45</v>
      </c>
      <c s="249">
        <f t="shared" si="81"/>
        <v>46</v>
      </c>
      <c s="249">
        <f t="shared" si="81"/>
        <v>47</v>
      </c>
      <c s="249">
        <f t="shared" si="81"/>
        <v>48</v>
      </c>
      <c s="249">
        <f t="shared" si="81"/>
        <v>49</v>
      </c>
      <c s="249">
        <f t="shared" si="81"/>
        <v>50</v>
      </c>
      <c s="249">
        <f t="shared" si="81"/>
        <v>51</v>
      </c>
      <c s="249">
        <f t="shared" si="81"/>
        <v>52</v>
      </c>
      <c s="249">
        <f t="shared" si="81"/>
        <v>53</v>
      </c>
      <c s="249">
        <f t="shared" si="81"/>
        <v>54</v>
      </c>
      <c s="249">
        <f t="shared" si="81"/>
        <v>55</v>
      </c>
      <c s="249">
        <f t="shared" si="81"/>
        <v>56</v>
      </c>
      <c s="249">
        <f t="shared" si="81"/>
        <v>57</v>
      </c>
      <c s="249">
        <f t="shared" si="81"/>
        <v>58</v>
      </c>
      <c s="249">
        <f t="shared" si="81"/>
        <v>59</v>
      </c>
      <c s="249">
        <f t="shared" si="81"/>
        <v>60</v>
      </c>
      <c s="249">
        <f t="shared" si="81"/>
        <v>61</v>
      </c>
    </row>
    <row r="173" spans="2:64" ht="14.45">
      <c r="B173" s="524"/>
      <c s="524"/>
      <c s="250">
        <f t="shared" si="82" ref="D173:M174">M74</f>
        <v>45658</v>
      </c>
      <c s="250">
        <f t="shared" si="82"/>
        <v>45748</v>
      </c>
      <c s="250">
        <f t="shared" si="82"/>
        <v>45839</v>
      </c>
      <c s="250">
        <f t="shared" si="82"/>
        <v>45931</v>
      </c>
      <c s="250">
        <f t="shared" si="82"/>
        <v>46023</v>
      </c>
      <c s="250">
        <f t="shared" si="82"/>
        <v>46113</v>
      </c>
      <c s="250">
        <f t="shared" si="82"/>
        <v>46204</v>
      </c>
      <c s="250">
        <f t="shared" si="82"/>
        <v>46296</v>
      </c>
      <c s="250">
        <f t="shared" si="82"/>
        <v>46388</v>
      </c>
      <c s="250">
        <f t="shared" si="82"/>
        <v>46478</v>
      </c>
      <c s="250">
        <f t="shared" si="83" ref="N173:W174">W74</f>
        <v>46569</v>
      </c>
      <c s="250">
        <f t="shared" si="83"/>
        <v>46661</v>
      </c>
      <c s="250">
        <f t="shared" si="83"/>
        <v>46753</v>
      </c>
      <c s="250">
        <f t="shared" si="83"/>
        <v>46844</v>
      </c>
      <c s="250">
        <f t="shared" si="83"/>
        <v>46935</v>
      </c>
      <c s="250">
        <f t="shared" si="83"/>
        <v>47027</v>
      </c>
      <c s="250">
        <f t="shared" si="83"/>
        <v>47119</v>
      </c>
      <c s="250">
        <f t="shared" si="83"/>
        <v>47209</v>
      </c>
      <c s="250">
        <f t="shared" si="83"/>
        <v>47300</v>
      </c>
      <c s="250">
        <f t="shared" si="83"/>
        <v>47392</v>
      </c>
      <c s="250">
        <f t="shared" si="84" ref="X173:BL174">AG74</f>
        <v>47484</v>
      </c>
      <c s="250">
        <f t="shared" si="84"/>
        <v>47574</v>
      </c>
      <c s="250">
        <f t="shared" si="84"/>
        <v>47665</v>
      </c>
      <c s="250">
        <f t="shared" si="84"/>
        <v>47757</v>
      </c>
      <c s="250">
        <f t="shared" si="84"/>
        <v>47849</v>
      </c>
      <c s="250">
        <f t="shared" si="84"/>
        <v>47939</v>
      </c>
      <c s="250">
        <f t="shared" si="84"/>
        <v>48030</v>
      </c>
      <c s="250">
        <f t="shared" si="84"/>
        <v>48122</v>
      </c>
      <c s="250">
        <f t="shared" si="84"/>
        <v>48214</v>
      </c>
      <c s="250">
        <f t="shared" si="84"/>
        <v>48305</v>
      </c>
      <c s="250">
        <f t="shared" si="84"/>
        <v>48396</v>
      </c>
      <c s="250">
        <f t="shared" si="84"/>
        <v>48488</v>
      </c>
      <c s="250">
        <f t="shared" si="84"/>
        <v>48580</v>
      </c>
      <c s="250">
        <f t="shared" si="84"/>
        <v>48670</v>
      </c>
      <c s="250">
        <f t="shared" si="84"/>
        <v>48761</v>
      </c>
      <c s="250">
        <f t="shared" si="84"/>
        <v>48853</v>
      </c>
      <c s="250">
        <f t="shared" si="84"/>
        <v>48945</v>
      </c>
      <c s="250">
        <f t="shared" si="84"/>
        <v>49035</v>
      </c>
      <c s="250">
        <f t="shared" si="84"/>
        <v>49126</v>
      </c>
      <c s="250">
        <f t="shared" si="84"/>
        <v>49218</v>
      </c>
      <c s="250">
        <f t="shared" si="84"/>
        <v>49310</v>
      </c>
      <c s="250">
        <f t="shared" si="84"/>
        <v>49400</v>
      </c>
      <c s="250">
        <f t="shared" si="84"/>
        <v>49491</v>
      </c>
      <c s="250">
        <f t="shared" si="84"/>
        <v>49583</v>
      </c>
      <c s="250">
        <f t="shared" si="84"/>
        <v>49675</v>
      </c>
      <c s="250">
        <f t="shared" si="84"/>
        <v>49766</v>
      </c>
      <c s="250">
        <f t="shared" si="84"/>
        <v>49857</v>
      </c>
      <c s="250">
        <f t="shared" si="84"/>
        <v>49949</v>
      </c>
      <c s="250">
        <f t="shared" si="84"/>
        <v>50041</v>
      </c>
      <c s="250">
        <f t="shared" si="84"/>
        <v>50131</v>
      </c>
      <c s="250">
        <f t="shared" si="84"/>
        <v>50222</v>
      </c>
      <c s="250">
        <f t="shared" si="84"/>
        <v>50314</v>
      </c>
      <c s="250">
        <f t="shared" si="84"/>
        <v>50406</v>
      </c>
      <c s="250">
        <f t="shared" si="84"/>
        <v>50496</v>
      </c>
      <c s="250">
        <f t="shared" si="84"/>
        <v>50587</v>
      </c>
      <c s="250">
        <f t="shared" si="84"/>
        <v>50679</v>
      </c>
      <c s="250">
        <f t="shared" si="84"/>
        <v>50771</v>
      </c>
      <c s="250">
        <f t="shared" si="84"/>
        <v>50861</v>
      </c>
      <c s="250">
        <f t="shared" si="84"/>
        <v>50952</v>
      </c>
      <c s="250">
        <f t="shared" si="84"/>
        <v>51044</v>
      </c>
      <c s="250">
        <f t="shared" si="84"/>
        <v>51136</v>
      </c>
    </row>
    <row r="174" spans="2:64" ht="14.45">
      <c r="B174" s="524"/>
      <c s="524"/>
      <c s="250">
        <f t="shared" si="82"/>
        <v>45747</v>
      </c>
      <c s="250">
        <f t="shared" si="82"/>
        <v>45838</v>
      </c>
      <c s="250">
        <f t="shared" si="82"/>
        <v>45930</v>
      </c>
      <c s="250">
        <f t="shared" si="82"/>
        <v>46022</v>
      </c>
      <c s="250">
        <f t="shared" si="82"/>
        <v>46112</v>
      </c>
      <c s="250">
        <f t="shared" si="82"/>
        <v>46203</v>
      </c>
      <c s="250">
        <f t="shared" si="82"/>
        <v>46295</v>
      </c>
      <c s="250">
        <f t="shared" si="82"/>
        <v>46387</v>
      </c>
      <c s="250">
        <f t="shared" si="82"/>
        <v>46477</v>
      </c>
      <c s="250">
        <f t="shared" si="82"/>
        <v>46568</v>
      </c>
      <c s="250">
        <f t="shared" si="83"/>
        <v>46660</v>
      </c>
      <c s="250">
        <f t="shared" si="83"/>
        <v>46752</v>
      </c>
      <c s="250">
        <f t="shared" si="83"/>
        <v>46843</v>
      </c>
      <c s="250">
        <f t="shared" si="83"/>
        <v>46934</v>
      </c>
      <c s="250">
        <f t="shared" si="83"/>
        <v>47026</v>
      </c>
      <c s="250">
        <f t="shared" si="83"/>
        <v>47118</v>
      </c>
      <c s="250">
        <f t="shared" si="83"/>
        <v>47208</v>
      </c>
      <c s="250">
        <f t="shared" si="83"/>
        <v>47299</v>
      </c>
      <c s="250">
        <f t="shared" si="83"/>
        <v>47391</v>
      </c>
      <c s="250">
        <f t="shared" si="83"/>
        <v>47483</v>
      </c>
      <c s="250">
        <f t="shared" si="84"/>
        <v>47573</v>
      </c>
      <c s="250">
        <f t="shared" si="84"/>
        <v>47664</v>
      </c>
      <c s="250">
        <f t="shared" si="84"/>
        <v>47756</v>
      </c>
      <c s="250">
        <f t="shared" si="84"/>
        <v>47848</v>
      </c>
      <c s="250">
        <f t="shared" si="84"/>
        <v>47938</v>
      </c>
      <c s="250">
        <f t="shared" si="84"/>
        <v>48029</v>
      </c>
      <c s="250">
        <f t="shared" si="84"/>
        <v>48121</v>
      </c>
      <c s="250">
        <f t="shared" si="84"/>
        <v>48213</v>
      </c>
      <c s="250">
        <f t="shared" si="84"/>
        <v>48304</v>
      </c>
      <c s="250">
        <f t="shared" si="84"/>
        <v>48395</v>
      </c>
      <c s="250">
        <f t="shared" si="84"/>
        <v>48487</v>
      </c>
      <c s="250">
        <f t="shared" si="84"/>
        <v>48579</v>
      </c>
      <c s="250">
        <f t="shared" si="84"/>
        <v>48669</v>
      </c>
      <c s="250">
        <f t="shared" si="84"/>
        <v>48760</v>
      </c>
      <c s="250">
        <f t="shared" si="84"/>
        <v>48852</v>
      </c>
      <c s="250">
        <f t="shared" si="84"/>
        <v>48944</v>
      </c>
      <c s="250">
        <f t="shared" si="84"/>
        <v>49034</v>
      </c>
      <c s="250">
        <f t="shared" si="84"/>
        <v>49125</v>
      </c>
      <c s="250">
        <f t="shared" si="84"/>
        <v>49217</v>
      </c>
      <c s="250">
        <f t="shared" si="84"/>
        <v>49309</v>
      </c>
      <c s="250">
        <f t="shared" si="84"/>
        <v>49399</v>
      </c>
      <c s="250">
        <f t="shared" si="84"/>
        <v>49490</v>
      </c>
      <c s="250">
        <f t="shared" si="84"/>
        <v>49582</v>
      </c>
      <c s="250">
        <f t="shared" si="84"/>
        <v>49674</v>
      </c>
      <c s="250">
        <f t="shared" si="84"/>
        <v>49765</v>
      </c>
      <c s="250">
        <f t="shared" si="84"/>
        <v>49856</v>
      </c>
      <c s="250">
        <f t="shared" si="84"/>
        <v>49948</v>
      </c>
      <c s="250">
        <f t="shared" si="84"/>
        <v>50040</v>
      </c>
      <c s="250">
        <f t="shared" si="84"/>
        <v>50130</v>
      </c>
      <c s="250">
        <f t="shared" si="84"/>
        <v>50221</v>
      </c>
      <c s="250">
        <f t="shared" si="84"/>
        <v>50313</v>
      </c>
      <c s="250">
        <f t="shared" si="84"/>
        <v>50405</v>
      </c>
      <c s="250">
        <f t="shared" si="84"/>
        <v>50495</v>
      </c>
      <c s="250">
        <f t="shared" si="84"/>
        <v>50586</v>
      </c>
      <c s="250">
        <f t="shared" si="84"/>
        <v>50678</v>
      </c>
      <c s="250">
        <f t="shared" si="84"/>
        <v>50770</v>
      </c>
      <c s="250">
        <f t="shared" si="84"/>
        <v>50860</v>
      </c>
      <c s="250">
        <f t="shared" si="84"/>
        <v>50951</v>
      </c>
      <c s="250">
        <f t="shared" si="84"/>
        <v>51043</v>
      </c>
      <c s="250">
        <f t="shared" si="84"/>
        <v>51135</v>
      </c>
      <c s="250">
        <f t="shared" si="84"/>
        <v>51226</v>
      </c>
    </row>
    <row r="175" spans="2:64" ht="14.45">
      <c r="B175" s="72" t="str">
        <f>B150</f>
        <v>Продукт 1</v>
      </c>
      <c s="74" t="str">
        <f>IF(ISBLANK(C122),"",C122)</f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76" spans="2:64" ht="14.45">
      <c r="B176" s="72" t="str">
        <f t="shared" si="85" ref="B176:B194">B151</f>
        <v>Продукт 2</v>
      </c>
      <c s="74" t="str">
        <f t="shared" si="86" ref="C176:C194">IF(ISBLANK(C123),"",C123)</f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77" spans="2:64" ht="14.45">
      <c r="B177" s="72" t="str">
        <f t="shared" si="85"/>
        <v>Продукт 3</v>
      </c>
      <c s="74" t="str">
        <f t="shared" si="86"/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78" spans="2:64" ht="14.45">
      <c r="B178" s="72" t="str">
        <f t="shared" si="85"/>
        <v>Продукт 4</v>
      </c>
      <c s="74" t="str">
        <f t="shared" si="86"/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79" spans="2:64" ht="14.45">
      <c r="B179" s="72" t="str">
        <f t="shared" si="85"/>
        <v>Продукт 5</v>
      </c>
      <c s="74" t="str">
        <f t="shared" si="86"/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0" spans="2:64" ht="14.45">
      <c r="B180" s="72" t="str">
        <f t="shared" si="85"/>
        <v>Продукт 6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1" spans="2:64" ht="14.45">
      <c r="B181" s="72" t="str">
        <f t="shared" si="85"/>
        <v>Продукт 7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2" spans="2:64" ht="14.45">
      <c r="B182" s="72" t="str">
        <f t="shared" si="85"/>
        <v>Продукт 8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3" spans="2:64" ht="14.45">
      <c r="B183" s="72" t="str">
        <f t="shared" si="85"/>
        <v>Продукт 9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4" spans="2:64" ht="14.45">
      <c r="B184" s="72" t="str">
        <f t="shared" si="85"/>
        <v>Продукт 10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5" spans="2:64" ht="14.45">
      <c r="B185" s="72" t="str">
        <f t="shared" si="85"/>
        <v>Продукт 11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6" spans="2:64" ht="14.45">
      <c r="B186" s="72" t="str">
        <f t="shared" si="85"/>
        <v>Продукт 12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7" spans="2:64" ht="14.45">
      <c r="B187" s="72" t="str">
        <f t="shared" si="85"/>
        <v>Продукт 13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8" spans="2:64" ht="14.45">
      <c r="B188" s="72" t="str">
        <f t="shared" si="85"/>
        <v>Продукт 14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89" spans="2:64" ht="14.45">
      <c r="B189" s="72" t="str">
        <f t="shared" si="85"/>
        <v>Продукт 15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90" spans="2:64" ht="14.45">
      <c r="B190" s="72" t="str">
        <f t="shared" si="85"/>
        <v>Продукт 16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91" spans="2:64" ht="14.45">
      <c r="B191" s="72" t="str">
        <f t="shared" si="85"/>
        <v>Продукт 17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92" spans="2:64" ht="15" customHeight="1">
      <c r="B192" s="72" t="str">
        <f t="shared" si="85"/>
        <v>Продукт 18</v>
      </c>
      <c s="74" t="str">
        <f t="shared" si="86"/>
        <v/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93" spans="2:64" ht="15" customHeight="1">
      <c r="B193" s="72" t="str">
        <f t="shared" si="85"/>
        <v>Продукт 19</v>
      </c>
      <c s="74" t="str">
        <f t="shared" si="86"/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94" spans="2:64" ht="15" customHeight="1">
      <c r="B194" s="72" t="str">
        <f t="shared" si="85"/>
        <v>Продукт 20</v>
      </c>
      <c s="74" t="str">
        <f t="shared" si="86"/>
        <v/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195" spans="2:31" ht="14.45">
      <c r="B19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6" spans="2:31" ht="21">
      <c r="B196" s="23" t="s">
        <v>14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197" spans="2:5" ht="15" customHeight="1">
      <c r="B197" s="24" t="s">
        <v>139</v>
      </c>
      <c s="5"/>
      <c s="5"/>
      <c s="5"/>
    </row>
    <row r="198" spans="2:9" ht="14.45" customHeight="1">
      <c r="B198" s="524" t="s">
        <v>91</v>
      </c>
      <c s="524" t="s">
        <v>482</v>
      </c>
      <c s="524" t="s">
        <v>111</v>
      </c>
      <c s="525" t="s">
        <v>93</v>
      </c>
      <c s="525" t="s">
        <v>125</v>
      </c>
      <c s="524" t="s">
        <v>483</v>
      </c>
      <c s="524" t="s">
        <v>453</v>
      </c>
      <c s="525" t="s">
        <v>448</v>
      </c>
    </row>
    <row r="199" spans="2:9" ht="14.45">
      <c r="B199" s="524"/>
      <c s="524"/>
      <c s="524"/>
      <c s="526"/>
      <c s="526"/>
      <c s="524"/>
      <c s="524"/>
      <c s="526"/>
    </row>
    <row r="200" spans="2:9" ht="48" customHeight="1">
      <c r="B200" s="524"/>
      <c s="524"/>
      <c s="524"/>
      <c s="527"/>
      <c s="527"/>
      <c s="524"/>
      <c s="524"/>
      <c s="527"/>
    </row>
    <row r="201" spans="2:9" ht="15" customHeight="1">
      <c r="B201" s="362" t="s">
        <v>484</v>
      </c>
      <c s="326"/>
      <c s="324"/>
      <c s="323"/>
      <c s="323"/>
      <c s="327"/>
      <c s="69">
        <f>IFERROR(MATCH(D201,$H$13:$H$16,0),1)</f>
        <v>1</v>
      </c>
      <c s="69">
        <f>IF(E201="нет",0,IF(F201="льготная",2,1))</f>
        <v>1</v>
      </c>
    </row>
    <row r="202" spans="2:9" ht="15" customHeight="1">
      <c r="B202" s="362" t="s">
        <v>485</v>
      </c>
      <c s="326"/>
      <c s="324"/>
      <c s="323"/>
      <c s="323"/>
      <c s="327"/>
      <c s="69">
        <f t="shared" si="87" ref="H202:H220">IFERROR(MATCH(D202,$H$13:$H$16,0),1)</f>
        <v>1</v>
      </c>
      <c s="69">
        <f t="shared" si="88" ref="I202:I220">IF(E202="нет",0,IF(F202="льготная",2,1))</f>
        <v>1</v>
      </c>
    </row>
    <row r="203" spans="2:9" ht="15" customHeight="1">
      <c r="B203" s="362" t="s">
        <v>486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04" spans="2:9" ht="15" customHeight="1">
      <c r="B204" s="362" t="s">
        <v>487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05" spans="2:9" ht="15" customHeight="1">
      <c r="B205" s="362" t="s">
        <v>488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06" spans="2:9" ht="15" customHeight="1">
      <c r="B206" s="362" t="s">
        <v>489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07" spans="2:9" ht="15" customHeight="1">
      <c r="B207" s="362" t="s">
        <v>490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08" spans="2:9" ht="15" customHeight="1">
      <c r="B208" s="362" t="s">
        <v>491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09" spans="2:9" ht="15" customHeight="1">
      <c r="B209" s="362" t="s">
        <v>492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0" spans="2:9" ht="15" customHeight="1">
      <c r="B210" s="362" t="s">
        <v>493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1" spans="2:9" ht="15" customHeight="1">
      <c r="B211" s="362" t="s">
        <v>494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2" spans="2:9" ht="15" customHeight="1">
      <c r="B212" s="362" t="s">
        <v>495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3" spans="2:9" ht="15" customHeight="1">
      <c r="B213" s="362" t="s">
        <v>496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4" spans="2:9" ht="15" customHeight="1">
      <c r="B214" s="362" t="s">
        <v>497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5" spans="2:9" ht="15" customHeight="1">
      <c r="B215" s="362" t="s">
        <v>498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6" spans="2:9" ht="15" customHeight="1">
      <c r="B216" s="362" t="s">
        <v>499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7" spans="2:9" ht="15" customHeight="1">
      <c r="B217" s="362" t="s">
        <v>500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8" spans="2:9" ht="15" customHeight="1">
      <c r="B218" s="362" t="s">
        <v>501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19" spans="2:9" ht="15" customHeight="1">
      <c r="B219" s="362" t="s">
        <v>502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20" spans="2:9" ht="15" customHeight="1">
      <c r="B220" s="362" t="s">
        <v>503</v>
      </c>
      <c s="326"/>
      <c s="324"/>
      <c s="323"/>
      <c s="323"/>
      <c s="327"/>
      <c s="69">
        <f t="shared" si="87"/>
        <v>1</v>
      </c>
      <c s="69">
        <f t="shared" si="88"/>
        <v>1</v>
      </c>
    </row>
    <row r="221" spans="2:2" ht="15" customHeight="1">
      <c r="B221" s="14"/>
    </row>
    <row r="222" spans="2:4" ht="15" customHeight="1">
      <c r="B222" s="646" t="s">
        <v>504</v>
      </c>
      <c s="647"/>
      <c s="47" t="str">
        <f>IFERROR(IF(OR(MIN(G201:G220)&lt;-90,MAX(G201:G220)&gt;90),"Q","R"),"Q")</f>
        <v>R</v>
      </c>
    </row>
    <row r="223" spans="2:31" ht="14.45">
      <c r="B223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24" spans="2:31" ht="15.6">
      <c r="B224" s="24" t="s">
        <v>505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25" spans="2:64" ht="14.45">
      <c r="B225" s="524" t="s">
        <v>91</v>
      </c>
      <c s="524" t="s">
        <v>122</v>
      </c>
      <c s="249">
        <f t="shared" si="89" ref="D225:W225">SUM(C225,1)</f>
        <v>1</v>
      </c>
      <c s="249">
        <f t="shared" si="89"/>
        <v>2</v>
      </c>
      <c s="249">
        <f t="shared" si="89"/>
        <v>3</v>
      </c>
      <c s="249">
        <f t="shared" si="89"/>
        <v>4</v>
      </c>
      <c s="249">
        <f t="shared" si="89"/>
        <v>5</v>
      </c>
      <c s="249">
        <f t="shared" si="89"/>
        <v>6</v>
      </c>
      <c s="249">
        <f t="shared" si="89"/>
        <v>7</v>
      </c>
      <c s="249">
        <f t="shared" si="89"/>
        <v>8</v>
      </c>
      <c s="249">
        <f t="shared" si="89"/>
        <v>9</v>
      </c>
      <c s="249">
        <f t="shared" si="89"/>
        <v>10</v>
      </c>
      <c s="249">
        <f t="shared" si="89"/>
        <v>11</v>
      </c>
      <c s="249">
        <f t="shared" si="89"/>
        <v>12</v>
      </c>
      <c s="249">
        <f t="shared" si="89"/>
        <v>13</v>
      </c>
      <c s="249">
        <f t="shared" si="89"/>
        <v>14</v>
      </c>
      <c s="249">
        <f t="shared" si="89"/>
        <v>15</v>
      </c>
      <c s="249">
        <f t="shared" si="89"/>
        <v>16</v>
      </c>
      <c s="249">
        <f t="shared" si="89"/>
        <v>17</v>
      </c>
      <c s="249">
        <f t="shared" si="89"/>
        <v>18</v>
      </c>
      <c s="249">
        <f t="shared" si="89"/>
        <v>19</v>
      </c>
      <c s="249">
        <f t="shared" si="89"/>
        <v>20</v>
      </c>
      <c s="249">
        <f t="shared" si="90" ref="X225">SUM(W225,1)</f>
        <v>21</v>
      </c>
      <c s="249">
        <f t="shared" si="91" ref="Y225">SUM(X225,1)</f>
        <v>22</v>
      </c>
      <c s="249">
        <f t="shared" si="92" ref="Z225">SUM(Y225,1)</f>
        <v>23</v>
      </c>
      <c s="249">
        <f t="shared" si="93" ref="AA225">SUM(Z225,1)</f>
        <v>24</v>
      </c>
      <c s="249">
        <f t="shared" si="94" ref="AB225">SUM(AA225,1)</f>
        <v>25</v>
      </c>
      <c s="249">
        <f t="shared" si="95" ref="AC225">SUM(AB225,1)</f>
        <v>26</v>
      </c>
      <c s="249">
        <f t="shared" si="96" ref="AD225">SUM(AC225,1)</f>
        <v>27</v>
      </c>
      <c s="249">
        <f t="shared" si="97" ref="AE225">SUM(AD225,1)</f>
        <v>28</v>
      </c>
      <c s="249">
        <f t="shared" si="98" ref="AF225">SUM(AE225,1)</f>
        <v>29</v>
      </c>
      <c s="249">
        <f t="shared" si="99" ref="AG225">SUM(AF225,1)</f>
        <v>30</v>
      </c>
      <c s="249">
        <f t="shared" si="100" ref="AH225">SUM(AG225,1)</f>
        <v>31</v>
      </c>
      <c s="249">
        <f t="shared" si="101" ref="AI225">SUM(AH225,1)</f>
        <v>32</v>
      </c>
      <c s="249">
        <f t="shared" si="102" ref="AJ225">SUM(AI225,1)</f>
        <v>33</v>
      </c>
      <c s="249">
        <f t="shared" si="103" ref="AK225">SUM(AJ225,1)</f>
        <v>34</v>
      </c>
      <c s="249">
        <f t="shared" si="104" ref="AL225">SUM(AK225,1)</f>
        <v>35</v>
      </c>
      <c s="249">
        <f t="shared" si="105" ref="AM225">SUM(AL225,1)</f>
        <v>36</v>
      </c>
      <c s="249">
        <f t="shared" si="106" ref="AN225">SUM(AM225,1)</f>
        <v>37</v>
      </c>
      <c s="249">
        <f t="shared" si="107" ref="AO225">SUM(AN225,1)</f>
        <v>38</v>
      </c>
      <c s="249">
        <f t="shared" si="108" ref="AP225">SUM(AO225,1)</f>
        <v>39</v>
      </c>
      <c s="249">
        <f t="shared" si="109" ref="AQ225">SUM(AP225,1)</f>
        <v>40</v>
      </c>
      <c s="249">
        <f t="shared" si="110" ref="AR225">SUM(AQ225,1)</f>
        <v>41</v>
      </c>
      <c s="249">
        <f t="shared" si="111" ref="AS225">SUM(AR225,1)</f>
        <v>42</v>
      </c>
      <c s="249">
        <f t="shared" si="112" ref="AT225">SUM(AS225,1)</f>
        <v>43</v>
      </c>
      <c s="249">
        <f t="shared" si="113" ref="AU225">SUM(AT225,1)</f>
        <v>44</v>
      </c>
      <c s="249">
        <f t="shared" si="114" ref="AV225">SUM(AU225,1)</f>
        <v>45</v>
      </c>
      <c s="249">
        <f t="shared" si="115" ref="AW225">SUM(AV225,1)</f>
        <v>46</v>
      </c>
      <c s="249">
        <f t="shared" si="116" ref="AX225">SUM(AW225,1)</f>
        <v>47</v>
      </c>
      <c s="249">
        <f t="shared" si="117" ref="AY225">SUM(AX225,1)</f>
        <v>48</v>
      </c>
      <c s="249">
        <f t="shared" si="118" ref="AZ225">SUM(AY225,1)</f>
        <v>49</v>
      </c>
      <c s="249">
        <f t="shared" si="119" ref="BA225">SUM(AZ225,1)</f>
        <v>50</v>
      </c>
      <c s="249">
        <f t="shared" si="120" ref="BB225">SUM(BA225,1)</f>
        <v>51</v>
      </c>
      <c s="249">
        <f t="shared" si="121" ref="BC225">SUM(BB225,1)</f>
        <v>52</v>
      </c>
      <c s="249">
        <f t="shared" si="122" ref="BD225">SUM(BC225,1)</f>
        <v>53</v>
      </c>
      <c s="249">
        <f t="shared" si="123" ref="BE225">SUM(BD225,1)</f>
        <v>54</v>
      </c>
      <c s="249">
        <f t="shared" si="124" ref="BF225">SUM(BE225,1)</f>
        <v>55</v>
      </c>
      <c s="249">
        <f t="shared" si="125" ref="BG225:BL225">SUM(BF225,1)</f>
        <v>56</v>
      </c>
      <c s="249">
        <f t="shared" si="125"/>
        <v>57</v>
      </c>
      <c s="249">
        <f t="shared" si="125"/>
        <v>58</v>
      </c>
      <c s="249">
        <f t="shared" si="125"/>
        <v>59</v>
      </c>
      <c s="249">
        <f t="shared" si="125"/>
        <v>60</v>
      </c>
      <c s="249">
        <f t="shared" si="125"/>
        <v>61</v>
      </c>
    </row>
    <row r="226" spans="2:64" ht="14.45">
      <c r="B226" s="524"/>
      <c s="524"/>
      <c s="250">
        <f t="shared" si="126" ref="D226:AF226">D173</f>
        <v>45658</v>
      </c>
      <c s="250">
        <f t="shared" si="126"/>
        <v>45748</v>
      </c>
      <c s="250">
        <f t="shared" si="126"/>
        <v>45839</v>
      </c>
      <c s="250">
        <f t="shared" si="126"/>
        <v>45931</v>
      </c>
      <c s="250">
        <f t="shared" si="126"/>
        <v>46023</v>
      </c>
      <c s="250">
        <f t="shared" si="126"/>
        <v>46113</v>
      </c>
      <c s="250">
        <f t="shared" si="126"/>
        <v>46204</v>
      </c>
      <c s="250">
        <f t="shared" si="126"/>
        <v>46296</v>
      </c>
      <c s="250">
        <f t="shared" si="126"/>
        <v>46388</v>
      </c>
      <c s="250">
        <f t="shared" si="126"/>
        <v>46478</v>
      </c>
      <c s="250">
        <f t="shared" si="126"/>
        <v>46569</v>
      </c>
      <c s="250">
        <f t="shared" si="126"/>
        <v>46661</v>
      </c>
      <c s="250">
        <f t="shared" si="126"/>
        <v>46753</v>
      </c>
      <c s="250">
        <f t="shared" si="126"/>
        <v>46844</v>
      </c>
      <c s="250">
        <f t="shared" si="126"/>
        <v>46935</v>
      </c>
      <c s="250">
        <f t="shared" si="126"/>
        <v>47027</v>
      </c>
      <c s="250">
        <f t="shared" si="126"/>
        <v>47119</v>
      </c>
      <c s="250">
        <f t="shared" si="126"/>
        <v>47209</v>
      </c>
      <c s="250">
        <f t="shared" si="126"/>
        <v>47300</v>
      </c>
      <c s="250">
        <f t="shared" si="126"/>
        <v>47392</v>
      </c>
      <c s="250">
        <f t="shared" si="126"/>
        <v>47484</v>
      </c>
      <c s="250">
        <f t="shared" si="126"/>
        <v>47574</v>
      </c>
      <c s="250">
        <f t="shared" si="126"/>
        <v>47665</v>
      </c>
      <c s="250">
        <f t="shared" si="126"/>
        <v>47757</v>
      </c>
      <c s="250">
        <f t="shared" si="126"/>
        <v>47849</v>
      </c>
      <c s="250">
        <f t="shared" si="126"/>
        <v>47939</v>
      </c>
      <c s="250">
        <f t="shared" si="126"/>
        <v>48030</v>
      </c>
      <c s="250">
        <f t="shared" si="126"/>
        <v>48122</v>
      </c>
      <c s="250">
        <f t="shared" si="126"/>
        <v>48214</v>
      </c>
      <c s="250">
        <f t="shared" si="127" ref="AG226:BG226">AG173</f>
        <v>48305</v>
      </c>
      <c s="250">
        <f t="shared" si="127"/>
        <v>48396</v>
      </c>
      <c s="250">
        <f t="shared" si="127"/>
        <v>48488</v>
      </c>
      <c s="250">
        <f t="shared" si="127"/>
        <v>48580</v>
      </c>
      <c s="250">
        <f t="shared" si="127"/>
        <v>48670</v>
      </c>
      <c s="250">
        <f t="shared" si="127"/>
        <v>48761</v>
      </c>
      <c s="250">
        <f t="shared" si="127"/>
        <v>48853</v>
      </c>
      <c s="250">
        <f t="shared" si="127"/>
        <v>48945</v>
      </c>
      <c s="250">
        <f t="shared" si="127"/>
        <v>49035</v>
      </c>
      <c s="250">
        <f t="shared" si="127"/>
        <v>49126</v>
      </c>
      <c s="250">
        <f t="shared" si="127"/>
        <v>49218</v>
      </c>
      <c s="250">
        <f t="shared" si="127"/>
        <v>49310</v>
      </c>
      <c s="250">
        <f t="shared" si="127"/>
        <v>49400</v>
      </c>
      <c s="250">
        <f t="shared" si="127"/>
        <v>49491</v>
      </c>
      <c s="250">
        <f t="shared" si="127"/>
        <v>49583</v>
      </c>
      <c s="250">
        <f t="shared" si="127"/>
        <v>49675</v>
      </c>
      <c s="250">
        <f t="shared" si="127"/>
        <v>49766</v>
      </c>
      <c s="250">
        <f t="shared" si="127"/>
        <v>49857</v>
      </c>
      <c s="250">
        <f t="shared" si="127"/>
        <v>49949</v>
      </c>
      <c s="250">
        <f t="shared" si="127"/>
        <v>50041</v>
      </c>
      <c s="250">
        <f t="shared" si="127"/>
        <v>50131</v>
      </c>
      <c s="250">
        <f t="shared" si="127"/>
        <v>50222</v>
      </c>
      <c s="250">
        <f t="shared" si="127"/>
        <v>50314</v>
      </c>
      <c s="250">
        <f t="shared" si="127"/>
        <v>50406</v>
      </c>
      <c s="250">
        <f t="shared" si="127"/>
        <v>50496</v>
      </c>
      <c s="250">
        <f t="shared" si="127"/>
        <v>50587</v>
      </c>
      <c s="250">
        <f t="shared" si="127"/>
        <v>50679</v>
      </c>
      <c s="250">
        <f t="shared" si="128" ref="BH226:BI226">BH173</f>
        <v>50771</v>
      </c>
      <c s="250">
        <f t="shared" si="128"/>
        <v>50861</v>
      </c>
      <c s="250">
        <f t="shared" si="129" ref="BJ226:BL226">BJ173</f>
        <v>50952</v>
      </c>
      <c s="250">
        <f t="shared" si="129"/>
        <v>51044</v>
      </c>
      <c s="250">
        <f t="shared" si="129"/>
        <v>51136</v>
      </c>
    </row>
    <row r="227" spans="2:64" ht="14.45">
      <c r="B227" s="524"/>
      <c s="524"/>
      <c s="250">
        <f t="shared" si="130" ref="D227:AF227">D174</f>
        <v>45747</v>
      </c>
      <c s="250">
        <f t="shared" si="130"/>
        <v>45838</v>
      </c>
      <c s="250">
        <f t="shared" si="130"/>
        <v>45930</v>
      </c>
      <c s="250">
        <f t="shared" si="130"/>
        <v>46022</v>
      </c>
      <c s="250">
        <f t="shared" si="130"/>
        <v>46112</v>
      </c>
      <c s="250">
        <f t="shared" si="130"/>
        <v>46203</v>
      </c>
      <c s="250">
        <f t="shared" si="130"/>
        <v>46295</v>
      </c>
      <c s="250">
        <f t="shared" si="130"/>
        <v>46387</v>
      </c>
      <c s="250">
        <f t="shared" si="130"/>
        <v>46477</v>
      </c>
      <c s="250">
        <f t="shared" si="130"/>
        <v>46568</v>
      </c>
      <c s="250">
        <f t="shared" si="130"/>
        <v>46660</v>
      </c>
      <c s="250">
        <f t="shared" si="130"/>
        <v>46752</v>
      </c>
      <c s="250">
        <f t="shared" si="130"/>
        <v>46843</v>
      </c>
      <c s="250">
        <f t="shared" si="130"/>
        <v>46934</v>
      </c>
      <c s="250">
        <f t="shared" si="130"/>
        <v>47026</v>
      </c>
      <c s="250">
        <f t="shared" si="130"/>
        <v>47118</v>
      </c>
      <c s="250">
        <f t="shared" si="130"/>
        <v>47208</v>
      </c>
      <c s="250">
        <f t="shared" si="130"/>
        <v>47299</v>
      </c>
      <c s="250">
        <f t="shared" si="130"/>
        <v>47391</v>
      </c>
      <c s="250">
        <f t="shared" si="130"/>
        <v>47483</v>
      </c>
      <c s="250">
        <f t="shared" si="130"/>
        <v>47573</v>
      </c>
      <c s="250">
        <f t="shared" si="130"/>
        <v>47664</v>
      </c>
      <c s="250">
        <f t="shared" si="130"/>
        <v>47756</v>
      </c>
      <c s="250">
        <f t="shared" si="130"/>
        <v>47848</v>
      </c>
      <c s="250">
        <f t="shared" si="130"/>
        <v>47938</v>
      </c>
      <c s="250">
        <f t="shared" si="130"/>
        <v>48029</v>
      </c>
      <c s="250">
        <f t="shared" si="130"/>
        <v>48121</v>
      </c>
      <c s="250">
        <f t="shared" si="130"/>
        <v>48213</v>
      </c>
      <c s="250">
        <f t="shared" si="130"/>
        <v>48304</v>
      </c>
      <c s="250">
        <f t="shared" si="131" ref="AG227:BG227">AG174</f>
        <v>48395</v>
      </c>
      <c s="250">
        <f t="shared" si="131"/>
        <v>48487</v>
      </c>
      <c s="250">
        <f t="shared" si="131"/>
        <v>48579</v>
      </c>
      <c s="250">
        <f t="shared" si="131"/>
        <v>48669</v>
      </c>
      <c s="250">
        <f t="shared" si="131"/>
        <v>48760</v>
      </c>
      <c s="250">
        <f t="shared" si="131"/>
        <v>48852</v>
      </c>
      <c s="250">
        <f t="shared" si="131"/>
        <v>48944</v>
      </c>
      <c s="250">
        <f t="shared" si="131"/>
        <v>49034</v>
      </c>
      <c s="250">
        <f t="shared" si="131"/>
        <v>49125</v>
      </c>
      <c s="250">
        <f t="shared" si="131"/>
        <v>49217</v>
      </c>
      <c s="250">
        <f t="shared" si="131"/>
        <v>49309</v>
      </c>
      <c s="250">
        <f t="shared" si="131"/>
        <v>49399</v>
      </c>
      <c s="250">
        <f t="shared" si="131"/>
        <v>49490</v>
      </c>
      <c s="250">
        <f t="shared" si="131"/>
        <v>49582</v>
      </c>
      <c s="250">
        <f t="shared" si="131"/>
        <v>49674</v>
      </c>
      <c s="250">
        <f t="shared" si="131"/>
        <v>49765</v>
      </c>
      <c s="250">
        <f t="shared" si="131"/>
        <v>49856</v>
      </c>
      <c s="250">
        <f t="shared" si="131"/>
        <v>49948</v>
      </c>
      <c s="250">
        <f t="shared" si="131"/>
        <v>50040</v>
      </c>
      <c s="250">
        <f t="shared" si="131"/>
        <v>50130</v>
      </c>
      <c s="250">
        <f t="shared" si="131"/>
        <v>50221</v>
      </c>
      <c s="250">
        <f t="shared" si="131"/>
        <v>50313</v>
      </c>
      <c s="250">
        <f t="shared" si="131"/>
        <v>50405</v>
      </c>
      <c s="250">
        <f t="shared" si="131"/>
        <v>50495</v>
      </c>
      <c s="250">
        <f t="shared" si="131"/>
        <v>50586</v>
      </c>
      <c s="250">
        <f t="shared" si="131"/>
        <v>50678</v>
      </c>
      <c s="250">
        <f t="shared" si="131"/>
        <v>50770</v>
      </c>
      <c s="250">
        <f t="shared" si="132" ref="BH227:BI227">BH174</f>
        <v>50860</v>
      </c>
      <c s="250">
        <f t="shared" si="132"/>
        <v>50951</v>
      </c>
      <c s="250">
        <f t="shared" si="133" ref="BJ227:BL227">BJ174</f>
        <v>51043</v>
      </c>
      <c s="250">
        <f t="shared" si="133"/>
        <v>51135</v>
      </c>
      <c s="250">
        <f t="shared" si="133"/>
        <v>51226</v>
      </c>
    </row>
    <row r="228" spans="2:64" ht="14.45">
      <c r="B228" s="72" t="str">
        <f>IF(ISBLANK(B201),"-",B201)</f>
        <v>Операционные затраты 1</v>
      </c>
      <c s="73" t="str">
        <f>INDEX($H$13:$H$16,H201)</f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29" spans="2:64" ht="14.45">
      <c r="B229" s="72" t="str">
        <f t="shared" si="134" ref="B229:B247">IF(ISBLANK(B202),"-",B202)</f>
        <v>Операционные затраты 2</v>
      </c>
      <c s="73" t="str">
        <f t="shared" si="135" ref="C229:C247">INDEX($H$13:$H$16,H202)</f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0" spans="2:64" ht="14.45">
      <c r="B230" s="72" t="str">
        <f t="shared" si="134"/>
        <v>Операционные затраты 3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1" spans="2:64" ht="14.45">
      <c r="B231" s="72" t="str">
        <f t="shared" si="134"/>
        <v>Операционные затраты 4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2" spans="2:64" ht="14.45">
      <c r="B232" s="72" t="str">
        <f t="shared" si="134"/>
        <v>Операционные затраты 5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3" spans="2:64" ht="14.45">
      <c r="B233" s="72" t="str">
        <f t="shared" si="134"/>
        <v>Операционные затраты 6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4" spans="2:64" ht="14.45">
      <c r="B234" s="72" t="str">
        <f t="shared" si="134"/>
        <v>Операционные затраты 7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5" spans="2:64" ht="14.45">
      <c r="B235" s="72" t="str">
        <f t="shared" si="134"/>
        <v>Операционные затраты 8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6" spans="2:64" ht="14.45">
      <c r="B236" s="72" t="str">
        <f t="shared" si="134"/>
        <v>Операционные затраты 9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7" spans="2:64" ht="14.45">
      <c r="B237" s="72" t="str">
        <f t="shared" si="134"/>
        <v>Операционные затраты 10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8" spans="2:64" ht="14.45">
      <c r="B238" s="72" t="str">
        <f t="shared" si="134"/>
        <v>Операционные затраты 11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39" spans="2:64" ht="14.45">
      <c r="B239" s="72" t="str">
        <f t="shared" si="134"/>
        <v>Операционные затраты 12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0" spans="2:64" ht="14.45">
      <c r="B240" s="72" t="str">
        <f t="shared" si="134"/>
        <v>Операционные затраты 13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1" spans="2:64" ht="14.45">
      <c r="B241" s="72" t="str">
        <f t="shared" si="134"/>
        <v>Операционные затраты 14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2" spans="2:64" ht="14.45">
      <c r="B242" s="72" t="str">
        <f t="shared" si="134"/>
        <v>Операционные затраты 15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3" spans="2:64" ht="14.45">
      <c r="B243" s="72" t="str">
        <f t="shared" si="134"/>
        <v>Операционные затраты 16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4" spans="2:64" ht="14.45">
      <c r="B244" s="72" t="str">
        <f t="shared" si="134"/>
        <v>Операционные затраты 17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5" spans="2:64" ht="15" customHeight="1">
      <c r="B245" s="72" t="str">
        <f t="shared" si="134"/>
        <v>Операционные затраты 18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6" spans="2:64" ht="15" customHeight="1">
      <c r="B246" s="72" t="str">
        <f t="shared" si="134"/>
        <v>Операционные затраты 19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7" spans="2:64" ht="15" customHeight="1">
      <c r="B247" s="72" t="str">
        <f t="shared" si="134"/>
        <v>Операционные затраты 20</v>
      </c>
      <c s="73" t="str">
        <f t="shared" si="135"/>
        <v>RUB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48" spans="2:31" ht="14.45">
      <c r="B248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249" spans="2:5" ht="15" customHeight="1">
      <c r="B249" s="24" t="s">
        <v>150</v>
      </c>
      <c s="5"/>
      <c s="5"/>
      <c s="5"/>
    </row>
    <row r="250" spans="2:23" ht="14.45">
      <c r="B250" s="524" t="s">
        <v>91</v>
      </c>
      <c s="524" t="s">
        <v>506</v>
      </c>
      <c s="445" t="str">
        <f ca="1" t="shared" si="136" ref="D250:M250">IF(ISBLANK(OFFSET($B201,COLUMN(D250)-COLUMN($D$250),0)),"пусто",OFFSET($B201,COLUMN(D250)-COLUMN($D$250),0))</f>
        <v>Операционные затраты 1</v>
      </c>
      <c s="445" t="str">
        <f t="shared" ca="1" si="136"/>
        <v>Операционные затраты 2</v>
      </c>
      <c s="445" t="str">
        <f t="shared" ca="1" si="136"/>
        <v>Операционные затраты 3</v>
      </c>
      <c s="445" t="str">
        <f t="shared" ca="1" si="136"/>
        <v>Операционные затраты 4</v>
      </c>
      <c s="445" t="str">
        <f t="shared" ca="1" si="136"/>
        <v>Операционные затраты 5</v>
      </c>
      <c s="445" t="str">
        <f t="shared" ca="1" si="136"/>
        <v>Операционные затраты 6</v>
      </c>
      <c s="445" t="str">
        <f t="shared" ca="1" si="136"/>
        <v>Операционные затраты 7</v>
      </c>
      <c s="445" t="str">
        <f t="shared" ca="1" si="136"/>
        <v>Операционные затраты 8</v>
      </c>
      <c s="445" t="str">
        <f t="shared" ca="1" si="136"/>
        <v>Операционные затраты 9</v>
      </c>
      <c s="445" t="str">
        <f t="shared" ca="1" si="136"/>
        <v>Операционные затраты 10</v>
      </c>
      <c s="445" t="str">
        <f ca="1" t="shared" si="137" ref="N250:W250">IF(ISBLANK(OFFSET($B201,COLUMN(N250)-COLUMN($D$250),0)),"пусто",OFFSET($B201,COLUMN(N250)-COLUMN($D$250),0))</f>
        <v>Операционные затраты 11</v>
      </c>
      <c s="445" t="str">
        <f t="shared" ca="1" si="137"/>
        <v>Операционные затраты 12</v>
      </c>
      <c s="445" t="str">
        <f t="shared" ca="1" si="137"/>
        <v>Операционные затраты 13</v>
      </c>
      <c s="445" t="str">
        <f t="shared" ca="1" si="137"/>
        <v>Операционные затраты 14</v>
      </c>
      <c s="445" t="str">
        <f t="shared" ca="1" si="137"/>
        <v>Операционные затраты 15</v>
      </c>
      <c s="445" t="str">
        <f t="shared" ca="1" si="137"/>
        <v>Операционные затраты 16</v>
      </c>
      <c s="445" t="str">
        <f t="shared" ca="1" si="137"/>
        <v>Операционные затраты 17</v>
      </c>
      <c s="445" t="str">
        <f t="shared" ca="1" si="137"/>
        <v>Операционные затраты 18</v>
      </c>
      <c s="445" t="str">
        <f t="shared" ca="1" si="137"/>
        <v>Операционные затраты 19</v>
      </c>
      <c s="445" t="str">
        <f t="shared" ca="1" si="137"/>
        <v>Операционные затраты 20</v>
      </c>
    </row>
    <row r="251" spans="2:23" ht="14.45">
      <c r="B251" s="524"/>
      <c s="524"/>
      <c s="445"/>
      <c s="445"/>
      <c s="445"/>
      <c s="445"/>
      <c s="445"/>
      <c s="445"/>
      <c s="445"/>
      <c s="445"/>
      <c s="445"/>
      <c s="445"/>
      <c s="445"/>
      <c s="445"/>
      <c s="445"/>
      <c s="445"/>
      <c s="445"/>
      <c s="445"/>
      <c s="445"/>
      <c s="445"/>
      <c s="445"/>
      <c s="445"/>
    </row>
    <row r="252" spans="2:23" ht="14.45">
      <c r="B252" s="524"/>
      <c s="251" t="s">
        <v>507</v>
      </c>
      <c s="249" t="str">
        <f ca="1" t="shared" si="138" ref="D252:M252">IF(ISBLANK(OFFSET($C201,COLUMN(D250)-COLUMN($D$250),0)),"усл. ед.",OFFSET($C201,COLUMN(D250)-COLUMN($D$250),0))</f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t="shared" ca="1" si="138"/>
        <v>усл. ед.</v>
      </c>
      <c s="249" t="str">
        <f ca="1" t="shared" si="139" ref="N252:W252">IF(ISBLANK(OFFSET($C201,COLUMN(N250)-COLUMN($D$250),0)),"усл. ед.",OFFSET($C201,COLUMN(N250)-COLUMN($D$250),0))</f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  <c s="249" t="str">
        <f t="shared" ca="1" si="139"/>
        <v>усл. ед.</v>
      </c>
    </row>
    <row r="253" spans="2:23" ht="15" customHeight="1">
      <c r="B253" s="75" t="str">
        <f>B175</f>
        <v>Продукт 1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54" spans="2:23" ht="15" customHeight="1">
      <c r="B254" s="75" t="str">
        <f t="shared" si="140" ref="B254:B272">B176</f>
        <v>Продукт 2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55" spans="2:23" ht="15" customHeight="1">
      <c r="B255" s="75" t="str">
        <f t="shared" si="140"/>
        <v>Продукт 3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56" spans="2:23" ht="15" customHeight="1">
      <c r="B256" s="75" t="str">
        <f t="shared" si="140"/>
        <v>Продукт 4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57" spans="2:23" ht="15" customHeight="1">
      <c r="B257" s="75" t="str">
        <f t="shared" si="140"/>
        <v>Продукт 5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58" spans="2:23" ht="15" customHeight="1">
      <c r="B258" s="75" t="str">
        <f t="shared" si="140"/>
        <v>Продукт 6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59" spans="2:23" ht="15" customHeight="1">
      <c r="B259" s="75" t="str">
        <f t="shared" si="140"/>
        <v>Продукт 7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0" spans="2:23" ht="15" customHeight="1">
      <c r="B260" s="75" t="str">
        <f t="shared" si="140"/>
        <v>Продукт 8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1" spans="2:23" ht="15" customHeight="1">
      <c r="B261" s="75" t="str">
        <f t="shared" si="140"/>
        <v>Продукт 9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2" spans="2:23" ht="15" customHeight="1">
      <c r="B262" s="75" t="str">
        <f t="shared" si="140"/>
        <v>Продукт 10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3" spans="2:23" ht="15" customHeight="1">
      <c r="B263" s="75" t="str">
        <f t="shared" si="140"/>
        <v>Продукт 11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4" spans="2:23" ht="15" customHeight="1">
      <c r="B264" s="75" t="str">
        <f t="shared" si="140"/>
        <v>Продукт 12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5" spans="2:23" ht="15" customHeight="1">
      <c r="B265" s="75" t="str">
        <f t="shared" si="140"/>
        <v>Продукт 13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6" spans="2:23" ht="15" customHeight="1">
      <c r="B266" s="75" t="str">
        <f t="shared" si="140"/>
        <v>Продукт 14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7" spans="2:23" ht="15" customHeight="1">
      <c r="B267" s="75" t="str">
        <f t="shared" si="140"/>
        <v>Продукт 15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8" spans="2:23" ht="15" customHeight="1">
      <c r="B268" s="75" t="str">
        <f t="shared" si="140"/>
        <v>Продукт 16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69" spans="2:23" ht="15" customHeight="1">
      <c r="B269" s="75" t="str">
        <f t="shared" si="140"/>
        <v>Продукт 17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70" spans="2:23" ht="15" customHeight="1">
      <c r="B270" s="75" t="str">
        <f t="shared" si="140"/>
        <v>Продукт 18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71" spans="2:23" ht="15" customHeight="1">
      <c r="B271" s="75" t="str">
        <f t="shared" si="140"/>
        <v>Продукт 19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72" spans="2:23" ht="15" customHeight="1">
      <c r="B272" s="75" t="str">
        <f t="shared" si="140"/>
        <v>Продукт 20</v>
      </c>
      <c s="21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273" ht="15" customHeight="1"/>
    <row r="274" spans="2:2" ht="15" customHeight="1">
      <c r="B274" s="24" t="s">
        <v>153</v>
      </c>
    </row>
    <row r="275" spans="2:10" ht="15" customHeight="1">
      <c r="B275" s="539" t="s">
        <v>91</v>
      </c>
      <c s="539" t="s">
        <v>155</v>
      </c>
      <c s="524" t="s">
        <v>111</v>
      </c>
      <c s="525" t="s">
        <v>93</v>
      </c>
      <c s="525" t="s">
        <v>125</v>
      </c>
      <c s="525" t="s">
        <v>160</v>
      </c>
      <c s="539" t="s">
        <v>483</v>
      </c>
      <c s="524" t="s">
        <v>453</v>
      </c>
      <c s="525" t="s">
        <v>448</v>
      </c>
    </row>
    <row r="276" spans="2:10" ht="14.45">
      <c r="B276" s="540"/>
      <c s="540"/>
      <c s="524"/>
      <c s="526"/>
      <c s="526"/>
      <c s="526"/>
      <c s="540"/>
      <c s="524"/>
      <c s="526"/>
    </row>
    <row r="277" spans="2:10" ht="14.45">
      <c r="B277" s="541"/>
      <c s="541"/>
      <c s="524"/>
      <c s="527"/>
      <c s="527"/>
      <c s="527"/>
      <c s="541"/>
      <c s="524"/>
      <c s="527"/>
    </row>
    <row r="278" spans="2:10" ht="15" customHeight="1">
      <c r="B278" s="287" t="s">
        <v>508</v>
      </c>
      <c s="287" t="s">
        <v>509</v>
      </c>
      <c s="287" t="s">
        <v>431</v>
      </c>
      <c s="323" t="s">
        <v>510</v>
      </c>
      <c s="323"/>
      <c s="287" t="s">
        <v>510</v>
      </c>
      <c s="287">
        <v>0</v>
      </c>
      <c s="69">
        <f>IFERROR(MATCH(D278,$H$13:$H$16,0),1)</f>
        <v>1</v>
      </c>
      <c s="69">
        <f t="shared" si="141" ref="J278:J302">IF(E278="нет",0,IF(F278="льготная",2,1))</f>
        <v>0</v>
      </c>
    </row>
    <row r="279" spans="2:10" ht="15" customHeight="1">
      <c r="B279" s="321"/>
      <c s="329"/>
      <c s="287"/>
      <c s="323"/>
      <c s="323"/>
      <c s="323"/>
      <c s="327"/>
      <c s="69">
        <f t="shared" si="142" ref="I279:I302">IFERROR(MATCH(D279,$H$13:$H$16,0),1)</f>
        <v>1</v>
      </c>
      <c s="69">
        <f t="shared" si="141"/>
        <v>1</v>
      </c>
    </row>
    <row r="280" spans="2:10" ht="15" customHeight="1">
      <c r="B280" s="321"/>
      <c s="329"/>
      <c s="287"/>
      <c s="323"/>
      <c s="323"/>
      <c s="323"/>
      <c s="327"/>
      <c s="69">
        <f t="shared" si="142"/>
        <v>1</v>
      </c>
      <c s="69">
        <f t="shared" si="141"/>
        <v>1</v>
      </c>
    </row>
    <row r="281" spans="2:10" ht="15" customHeight="1">
      <c r="B281" s="321"/>
      <c s="329"/>
      <c s="287"/>
      <c s="323"/>
      <c s="323"/>
      <c s="323"/>
      <c s="327"/>
      <c s="69">
        <f t="shared" si="142"/>
        <v>1</v>
      </c>
      <c s="69">
        <f t="shared" si="141"/>
        <v>1</v>
      </c>
    </row>
    <row r="282" spans="2:10" ht="15" customHeight="1">
      <c r="B282" s="321"/>
      <c s="329"/>
      <c s="287"/>
      <c s="323"/>
      <c s="323"/>
      <c s="323"/>
      <c s="327"/>
      <c s="69">
        <f t="shared" si="142"/>
        <v>1</v>
      </c>
      <c s="69">
        <f t="shared" si="141"/>
        <v>1</v>
      </c>
    </row>
    <row r="283" spans="2:10" ht="15" customHeight="1">
      <c r="B283" s="321"/>
      <c s="329"/>
      <c s="287"/>
      <c s="323"/>
      <c s="323"/>
      <c s="323"/>
      <c s="327"/>
      <c s="69">
        <f t="shared" si="142"/>
        <v>1</v>
      </c>
      <c s="69">
        <f t="shared" si="141"/>
        <v>1</v>
      </c>
    </row>
    <row r="284" spans="2:10" ht="15" customHeight="1">
      <c r="B284" s="321"/>
      <c s="329"/>
      <c s="287"/>
      <c s="317"/>
      <c s="323"/>
      <c s="317"/>
      <c s="327"/>
      <c s="69">
        <f t="shared" si="142"/>
        <v>1</v>
      </c>
      <c s="69">
        <f t="shared" si="141"/>
        <v>1</v>
      </c>
    </row>
    <row r="285" spans="2:10" ht="15" customHeight="1">
      <c r="B285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86" spans="2:10" ht="15" customHeight="1">
      <c r="B286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87" spans="2:10" ht="15" customHeight="1">
      <c r="B287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88" spans="2:10" ht="15" customHeight="1">
      <c r="B288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89" spans="2:10" ht="15" customHeight="1">
      <c r="B289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0" spans="2:10" ht="15" customHeight="1">
      <c r="B290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1" spans="2:10" ht="15" customHeight="1">
      <c r="B291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2" spans="2:10" ht="15" customHeight="1">
      <c r="B292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3" spans="2:10" ht="15" customHeight="1">
      <c r="B293" s="321"/>
      <c s="329"/>
      <c s="287"/>
      <c s="317"/>
      <c s="323"/>
      <c s="317"/>
      <c s="330"/>
      <c s="69">
        <f t="shared" si="142"/>
        <v>1</v>
      </c>
      <c s="69">
        <f t="shared" si="141"/>
        <v>1</v>
      </c>
    </row>
    <row r="294" spans="2:10" ht="15" customHeight="1">
      <c r="B294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5" spans="2:10" ht="15" customHeight="1">
      <c r="B295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6" spans="2:10" ht="15" customHeight="1">
      <c r="B296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7" spans="2:10" ht="15" customHeight="1">
      <c r="B297" s="321"/>
      <c s="329"/>
      <c s="287"/>
      <c s="323"/>
      <c s="323"/>
      <c s="323"/>
      <c s="330"/>
      <c s="69">
        <f t="shared" si="142"/>
        <v>1</v>
      </c>
      <c s="69">
        <f t="shared" si="141"/>
        <v>1</v>
      </c>
    </row>
    <row r="298" spans="2:10" ht="15" customHeight="1">
      <c r="B298" s="321"/>
      <c s="329"/>
      <c s="287"/>
      <c s="317"/>
      <c s="323"/>
      <c s="317"/>
      <c s="330"/>
      <c s="69">
        <f t="shared" si="142"/>
        <v>1</v>
      </c>
      <c s="69">
        <f t="shared" si="141"/>
        <v>1</v>
      </c>
    </row>
    <row r="299" spans="2:10" ht="15" customHeight="1">
      <c r="B299" s="321"/>
      <c s="329"/>
      <c s="287"/>
      <c s="317"/>
      <c s="323"/>
      <c s="317"/>
      <c s="330"/>
      <c s="69">
        <f t="shared" si="142"/>
        <v>1</v>
      </c>
      <c s="69">
        <f t="shared" si="141"/>
        <v>1</v>
      </c>
    </row>
    <row r="300" spans="2:10" ht="15" customHeight="1">
      <c r="B300" s="321"/>
      <c s="329"/>
      <c s="287"/>
      <c s="317"/>
      <c s="323"/>
      <c s="317"/>
      <c s="330"/>
      <c s="69">
        <f t="shared" si="142"/>
        <v>1</v>
      </c>
      <c s="69">
        <f t="shared" si="141"/>
        <v>1</v>
      </c>
    </row>
    <row r="301" spans="2:10" ht="15" customHeight="1">
      <c r="B301" s="321"/>
      <c s="329"/>
      <c s="287"/>
      <c s="317"/>
      <c s="323"/>
      <c s="317"/>
      <c s="330"/>
      <c s="69">
        <f t="shared" si="142"/>
        <v>1</v>
      </c>
      <c s="69">
        <f t="shared" si="141"/>
        <v>1</v>
      </c>
    </row>
    <row r="302" spans="2:10" ht="15" customHeight="1">
      <c r="B302" s="321"/>
      <c s="329"/>
      <c s="287"/>
      <c s="317"/>
      <c s="323"/>
      <c s="317"/>
      <c s="330"/>
      <c s="69">
        <f t="shared" si="142"/>
        <v>1</v>
      </c>
      <c s="69">
        <f t="shared" si="141"/>
        <v>1</v>
      </c>
    </row>
    <row r="303" spans="2:2" ht="15" customHeight="1">
      <c r="B303" s="14"/>
    </row>
    <row r="304" spans="2:4" ht="15" customHeight="1">
      <c r="B304" s="646" t="s">
        <v>511</v>
      </c>
      <c s="647"/>
      <c s="47" t="str">
        <f>IFERROR(IF(OR(MIN(H278:H302)&lt;-90,MAX(H278:H302)&gt;90),"Q","R"),"Q")</f>
        <v>R</v>
      </c>
    </row>
    <row r="305" spans="2:2" ht="15" customHeight="1">
      <c r="B305" s="14"/>
    </row>
    <row r="306" spans="2:31" ht="15.6">
      <c r="B306" s="24" t="s">
        <v>512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07" spans="2:73" ht="14.45">
      <c r="B307" s="539" t="s">
        <v>91</v>
      </c>
      <c s="524" t="s">
        <v>513</v>
      </c>
      <c s="447" t="s">
        <v>106</v>
      </c>
      <c s="249">
        <f>SUM(C307,1)</f>
        <v>1</v>
      </c>
      <c s="249">
        <f t="shared" si="143" ref="F307">SUM(E307,1)</f>
        <v>2</v>
      </c>
      <c s="249">
        <f t="shared" si="144" ref="G307">SUM(F307,1)</f>
        <v>3</v>
      </c>
      <c s="249">
        <f t="shared" si="145" ref="H307">SUM(G307,1)</f>
        <v>4</v>
      </c>
      <c s="249">
        <f t="shared" si="146" ref="I307">SUM(H307,1)</f>
        <v>5</v>
      </c>
      <c s="249">
        <f t="shared" si="147" ref="J307">SUM(I307,1)</f>
        <v>6</v>
      </c>
      <c s="249">
        <f t="shared" si="148" ref="K307">SUM(J307,1)</f>
        <v>7</v>
      </c>
      <c s="249">
        <f t="shared" si="149" ref="L307">SUM(K307,1)</f>
        <v>8</v>
      </c>
      <c s="249">
        <f t="shared" si="150" ref="M307">SUM(L307,1)</f>
        <v>9</v>
      </c>
      <c s="249">
        <f t="shared" si="151" ref="N307">SUM(M307,1)</f>
        <v>10</v>
      </c>
      <c s="249">
        <f t="shared" si="152" ref="O307">SUM(N307,1)</f>
        <v>11</v>
      </c>
      <c s="249">
        <f t="shared" si="153" ref="P307">SUM(O307,1)</f>
        <v>12</v>
      </c>
      <c s="249">
        <f t="shared" si="154" ref="Q307">SUM(P307,1)</f>
        <v>13</v>
      </c>
      <c s="249">
        <f t="shared" si="155" ref="R307">SUM(Q307,1)</f>
        <v>14</v>
      </c>
      <c s="249">
        <f t="shared" si="156" ref="S307">SUM(R307,1)</f>
        <v>15</v>
      </c>
      <c s="249">
        <f t="shared" si="157" ref="T307">SUM(S307,1)</f>
        <v>16</v>
      </c>
      <c s="249">
        <f t="shared" si="158" ref="U307">SUM(T307,1)</f>
        <v>17</v>
      </c>
      <c s="249">
        <f t="shared" si="159" ref="V307">SUM(U307,1)</f>
        <v>18</v>
      </c>
      <c s="249">
        <f t="shared" si="160" ref="W307">SUM(V307,1)</f>
        <v>19</v>
      </c>
      <c s="249">
        <f t="shared" si="161" ref="X307">SUM(W307,1)</f>
        <v>20</v>
      </c>
      <c s="249">
        <f t="shared" si="162" ref="Y307">SUM(X307,1)</f>
        <v>21</v>
      </c>
      <c s="249">
        <f t="shared" si="163" ref="Z307">SUM(Y307,1)</f>
        <v>22</v>
      </c>
      <c s="249">
        <f t="shared" si="164" ref="AA307">SUM(Z307,1)</f>
        <v>23</v>
      </c>
      <c s="249">
        <f t="shared" si="165" ref="AB307">SUM(AA307,1)</f>
        <v>24</v>
      </c>
      <c s="249">
        <f t="shared" si="166" ref="AC307">SUM(AB307,1)</f>
        <v>25</v>
      </c>
      <c s="249">
        <f t="shared" si="167" ref="AD307">SUM(AC307,1)</f>
        <v>26</v>
      </c>
      <c s="249">
        <f t="shared" si="168" ref="AE307">SUM(AD307,1)</f>
        <v>27</v>
      </c>
      <c s="249">
        <f t="shared" si="169" ref="AF307">SUM(AE307,1)</f>
        <v>28</v>
      </c>
      <c s="249">
        <f t="shared" si="170" ref="AG307">SUM(AF307,1)</f>
        <v>29</v>
      </c>
      <c s="249">
        <f t="shared" si="171" ref="AH307">SUM(AG307,1)</f>
        <v>30</v>
      </c>
      <c s="249">
        <f t="shared" si="172" ref="AI307">SUM(AH307,1)</f>
        <v>31</v>
      </c>
      <c s="249">
        <f t="shared" si="173" ref="AJ307">SUM(AI307,1)</f>
        <v>32</v>
      </c>
      <c s="249">
        <f t="shared" si="174" ref="AK307">SUM(AJ307,1)</f>
        <v>33</v>
      </c>
      <c s="249">
        <f t="shared" si="175" ref="AL307">SUM(AK307,1)</f>
        <v>34</v>
      </c>
      <c s="249">
        <f t="shared" si="176" ref="AM307">SUM(AL307,1)</f>
        <v>35</v>
      </c>
      <c s="249">
        <f t="shared" si="177" ref="AN307">SUM(AM307,1)</f>
        <v>36</v>
      </c>
      <c s="249">
        <f t="shared" si="178" ref="AO307">SUM(AN307,1)</f>
        <v>37</v>
      </c>
      <c s="249">
        <f t="shared" si="179" ref="AP307">SUM(AO307,1)</f>
        <v>38</v>
      </c>
      <c s="249">
        <f t="shared" si="180" ref="AQ307">SUM(AP307,1)</f>
        <v>39</v>
      </c>
      <c s="249">
        <f t="shared" si="181" ref="AR307">SUM(AQ307,1)</f>
        <v>40</v>
      </c>
      <c s="249">
        <f t="shared" si="182" ref="AS307">SUM(AR307,1)</f>
        <v>41</v>
      </c>
      <c s="249">
        <f t="shared" si="183" ref="AT307">SUM(AS307,1)</f>
        <v>42</v>
      </c>
      <c s="249">
        <f t="shared" si="184" ref="AU307">SUM(AT307,1)</f>
        <v>43</v>
      </c>
      <c s="249">
        <f t="shared" si="185" ref="AV307">SUM(AU307,1)</f>
        <v>44</v>
      </c>
      <c s="249">
        <f t="shared" si="186" ref="AW307">SUM(AV307,1)</f>
        <v>45</v>
      </c>
      <c s="249">
        <f t="shared" si="187" ref="AX307">SUM(AW307,1)</f>
        <v>46</v>
      </c>
      <c s="249">
        <f t="shared" si="188" ref="AY307">SUM(AX307,1)</f>
        <v>47</v>
      </c>
      <c s="249">
        <f t="shared" si="189" ref="AZ307">SUM(AY307,1)</f>
        <v>48</v>
      </c>
      <c s="249">
        <f t="shared" si="190" ref="BA307">SUM(AZ307,1)</f>
        <v>49</v>
      </c>
      <c s="249">
        <f t="shared" si="191" ref="BB307">SUM(BA307,1)</f>
        <v>50</v>
      </c>
      <c s="249">
        <f t="shared" si="192" ref="BC307">SUM(BB307,1)</f>
        <v>51</v>
      </c>
      <c s="249">
        <f t="shared" si="193" ref="BD307">SUM(BC307,1)</f>
        <v>52</v>
      </c>
      <c s="249">
        <f t="shared" si="194" ref="BE307">SUM(BD307,1)</f>
        <v>53</v>
      </c>
      <c s="249">
        <f t="shared" si="195" ref="BF307">SUM(BE307,1)</f>
        <v>54</v>
      </c>
      <c s="249">
        <f t="shared" si="196" ref="BG307">SUM(BF307,1)</f>
        <v>55</v>
      </c>
      <c s="249">
        <f t="shared" si="197" ref="BH307">SUM(BG307,1)</f>
        <v>56</v>
      </c>
      <c s="249">
        <f t="shared" si="198" ref="BI307">SUM(BH307,1)</f>
        <v>57</v>
      </c>
      <c s="249">
        <f t="shared" si="199" ref="BJ307:BM307">SUM(BI307,1)</f>
        <v>58</v>
      </c>
      <c s="249">
        <f t="shared" si="199"/>
        <v>59</v>
      </c>
      <c s="249">
        <f t="shared" si="199"/>
        <v>60</v>
      </c>
      <c s="249">
        <f t="shared" si="199"/>
        <v>61</v>
      </c>
      <c s="5"/>
      <c s="5"/>
      <c s="5"/>
      <c s="5"/>
      <c s="5"/>
      <c s="5"/>
      <c s="5"/>
      <c s="5"/>
    </row>
    <row r="308" spans="2:73" ht="14.45" customHeight="1">
      <c r="B308" s="540"/>
      <c s="524"/>
      <c s="448"/>
      <c s="250">
        <f t="shared" si="200" ref="E308:AG308">D226</f>
        <v>45658</v>
      </c>
      <c s="250">
        <f t="shared" si="200"/>
        <v>45748</v>
      </c>
      <c s="250">
        <f t="shared" si="200"/>
        <v>45839</v>
      </c>
      <c s="250">
        <f t="shared" si="200"/>
        <v>45931</v>
      </c>
      <c s="250">
        <f t="shared" si="200"/>
        <v>46023</v>
      </c>
      <c s="250">
        <f t="shared" si="200"/>
        <v>46113</v>
      </c>
      <c s="250">
        <f t="shared" si="200"/>
        <v>46204</v>
      </c>
      <c s="250">
        <f t="shared" si="200"/>
        <v>46296</v>
      </c>
      <c s="250">
        <f t="shared" si="200"/>
        <v>46388</v>
      </c>
      <c s="250">
        <f t="shared" si="200"/>
        <v>46478</v>
      </c>
      <c s="250">
        <f t="shared" si="200"/>
        <v>46569</v>
      </c>
      <c s="250">
        <f t="shared" si="200"/>
        <v>46661</v>
      </c>
      <c s="250">
        <f t="shared" si="200"/>
        <v>46753</v>
      </c>
      <c s="250">
        <f t="shared" si="200"/>
        <v>46844</v>
      </c>
      <c s="250">
        <f t="shared" si="200"/>
        <v>46935</v>
      </c>
      <c s="250">
        <f t="shared" si="200"/>
        <v>47027</v>
      </c>
      <c s="250">
        <f t="shared" si="200"/>
        <v>47119</v>
      </c>
      <c s="250">
        <f t="shared" si="200"/>
        <v>47209</v>
      </c>
      <c s="250">
        <f t="shared" si="200"/>
        <v>47300</v>
      </c>
      <c s="250">
        <f t="shared" si="200"/>
        <v>47392</v>
      </c>
      <c s="250">
        <f t="shared" si="200"/>
        <v>47484</v>
      </c>
      <c s="250">
        <f t="shared" si="200"/>
        <v>47574</v>
      </c>
      <c s="250">
        <f t="shared" si="200"/>
        <v>47665</v>
      </c>
      <c s="250">
        <f t="shared" si="200"/>
        <v>47757</v>
      </c>
      <c s="250">
        <f t="shared" si="200"/>
        <v>47849</v>
      </c>
      <c s="250">
        <f t="shared" si="200"/>
        <v>47939</v>
      </c>
      <c s="250">
        <f t="shared" si="200"/>
        <v>48030</v>
      </c>
      <c s="250">
        <f t="shared" si="200"/>
        <v>48122</v>
      </c>
      <c s="250">
        <f t="shared" si="200"/>
        <v>48214</v>
      </c>
      <c s="250">
        <f t="shared" si="201" ref="AH308:AH309">AG226</f>
        <v>48305</v>
      </c>
      <c s="250">
        <f t="shared" si="202" ref="AI308:AI309">AH226</f>
        <v>48396</v>
      </c>
      <c s="250">
        <f t="shared" si="203" ref="AJ308:AJ309">AI226</f>
        <v>48488</v>
      </c>
      <c s="250">
        <f t="shared" si="204" ref="AK308:AK309">AJ226</f>
        <v>48580</v>
      </c>
      <c s="250">
        <f t="shared" si="205" ref="AL308:AL309">AK226</f>
        <v>48670</v>
      </c>
      <c s="250">
        <f t="shared" si="206" ref="AM308:AM309">AL226</f>
        <v>48761</v>
      </c>
      <c s="250">
        <f t="shared" si="207" ref="AN308:AN309">AM226</f>
        <v>48853</v>
      </c>
      <c s="250">
        <f t="shared" si="208" ref="AO308:AO309">AN226</f>
        <v>48945</v>
      </c>
      <c s="250">
        <f t="shared" si="209" ref="AP308:AP309">AO226</f>
        <v>49035</v>
      </c>
      <c s="250">
        <f t="shared" si="210" ref="AQ308:AQ309">AP226</f>
        <v>49126</v>
      </c>
      <c s="250">
        <f t="shared" si="211" ref="AR308:AR309">AQ226</f>
        <v>49218</v>
      </c>
      <c s="250">
        <f t="shared" si="212" ref="AS308:AS309">AR226</f>
        <v>49310</v>
      </c>
      <c s="250">
        <f t="shared" si="213" ref="AT308:AT309">AS226</f>
        <v>49400</v>
      </c>
      <c s="250">
        <f t="shared" si="214" ref="AU308:AU309">AT226</f>
        <v>49491</v>
      </c>
      <c s="250">
        <f t="shared" si="215" ref="AV308:AV309">AU226</f>
        <v>49583</v>
      </c>
      <c s="250">
        <f t="shared" si="216" ref="AW308:AW309">AV226</f>
        <v>49675</v>
      </c>
      <c s="250">
        <f t="shared" si="217" ref="AX308:AX309">AW226</f>
        <v>49766</v>
      </c>
      <c s="250">
        <f t="shared" si="218" ref="AY308:AY309">AX226</f>
        <v>49857</v>
      </c>
      <c s="250">
        <f t="shared" si="219" ref="AZ308:AZ309">AY226</f>
        <v>49949</v>
      </c>
      <c s="250">
        <f t="shared" si="220" ref="BA308:BA309">AZ226</f>
        <v>50041</v>
      </c>
      <c s="250">
        <f t="shared" si="221" ref="BB308:BB309">BA226</f>
        <v>50131</v>
      </c>
      <c s="250">
        <f t="shared" si="222" ref="BC308:BC309">BB226</f>
        <v>50222</v>
      </c>
      <c s="250">
        <f t="shared" si="223" ref="BD308:BD309">BC226</f>
        <v>50314</v>
      </c>
      <c s="250">
        <f t="shared" si="224" ref="BE308:BE309">BD226</f>
        <v>50406</v>
      </c>
      <c s="250">
        <f t="shared" si="225" ref="BF308:BF309">BE226</f>
        <v>50496</v>
      </c>
      <c s="250">
        <f t="shared" si="226" ref="BG308:BG309">BF226</f>
        <v>50587</v>
      </c>
      <c s="250">
        <f t="shared" si="227" ref="BH308:BH309">BG226</f>
        <v>50679</v>
      </c>
      <c s="250">
        <f t="shared" si="228" ref="BI308:BI309">BH226</f>
        <v>50771</v>
      </c>
      <c s="250">
        <f t="shared" si="229" ref="BJ308:BM309">BI226</f>
        <v>50861</v>
      </c>
      <c s="250">
        <f t="shared" si="229"/>
        <v>50952</v>
      </c>
      <c s="250">
        <f t="shared" si="229"/>
        <v>51044</v>
      </c>
      <c s="250">
        <f t="shared" si="229"/>
        <v>51136</v>
      </c>
      <c s="5"/>
      <c s="5"/>
      <c s="5"/>
      <c s="5"/>
      <c s="5"/>
      <c s="5"/>
      <c s="5"/>
      <c s="5"/>
    </row>
    <row r="309" spans="2:73" ht="14.45">
      <c r="B309" s="541"/>
      <c s="524"/>
      <c s="449"/>
      <c s="250">
        <f t="shared" si="230" ref="E309:AG309">D227</f>
        <v>45747</v>
      </c>
      <c s="250">
        <f t="shared" si="230"/>
        <v>45838</v>
      </c>
      <c s="250">
        <f t="shared" si="230"/>
        <v>45930</v>
      </c>
      <c s="250">
        <f t="shared" si="230"/>
        <v>46022</v>
      </c>
      <c s="250">
        <f t="shared" si="230"/>
        <v>46112</v>
      </c>
      <c s="250">
        <f t="shared" si="230"/>
        <v>46203</v>
      </c>
      <c s="250">
        <f t="shared" si="230"/>
        <v>46295</v>
      </c>
      <c s="250">
        <f t="shared" si="230"/>
        <v>46387</v>
      </c>
      <c s="250">
        <f t="shared" si="230"/>
        <v>46477</v>
      </c>
      <c s="250">
        <f t="shared" si="230"/>
        <v>46568</v>
      </c>
      <c s="250">
        <f t="shared" si="230"/>
        <v>46660</v>
      </c>
      <c s="250">
        <f t="shared" si="230"/>
        <v>46752</v>
      </c>
      <c s="250">
        <f t="shared" si="230"/>
        <v>46843</v>
      </c>
      <c s="250">
        <f t="shared" si="230"/>
        <v>46934</v>
      </c>
      <c s="250">
        <f t="shared" si="230"/>
        <v>47026</v>
      </c>
      <c s="250">
        <f t="shared" si="230"/>
        <v>47118</v>
      </c>
      <c s="250">
        <f t="shared" si="230"/>
        <v>47208</v>
      </c>
      <c s="250">
        <f t="shared" si="230"/>
        <v>47299</v>
      </c>
      <c s="250">
        <f t="shared" si="230"/>
        <v>47391</v>
      </c>
      <c s="250">
        <f t="shared" si="230"/>
        <v>47483</v>
      </c>
      <c s="250">
        <f t="shared" si="230"/>
        <v>47573</v>
      </c>
      <c s="250">
        <f t="shared" si="230"/>
        <v>47664</v>
      </c>
      <c s="250">
        <f t="shared" si="230"/>
        <v>47756</v>
      </c>
      <c s="250">
        <f t="shared" si="230"/>
        <v>47848</v>
      </c>
      <c s="250">
        <f t="shared" si="230"/>
        <v>47938</v>
      </c>
      <c s="250">
        <f t="shared" si="230"/>
        <v>48029</v>
      </c>
      <c s="250">
        <f t="shared" si="230"/>
        <v>48121</v>
      </c>
      <c s="250">
        <f t="shared" si="230"/>
        <v>48213</v>
      </c>
      <c s="250">
        <f t="shared" si="230"/>
        <v>48304</v>
      </c>
      <c s="250">
        <f t="shared" si="201"/>
        <v>48395</v>
      </c>
      <c s="250">
        <f t="shared" si="202"/>
        <v>48487</v>
      </c>
      <c s="250">
        <f t="shared" si="203"/>
        <v>48579</v>
      </c>
      <c s="250">
        <f t="shared" si="204"/>
        <v>48669</v>
      </c>
      <c s="250">
        <f t="shared" si="205"/>
        <v>48760</v>
      </c>
      <c s="250">
        <f t="shared" si="206"/>
        <v>48852</v>
      </c>
      <c s="250">
        <f t="shared" si="207"/>
        <v>48944</v>
      </c>
      <c s="250">
        <f t="shared" si="208"/>
        <v>49034</v>
      </c>
      <c s="250">
        <f t="shared" si="209"/>
        <v>49125</v>
      </c>
      <c s="250">
        <f t="shared" si="210"/>
        <v>49217</v>
      </c>
      <c s="250">
        <f t="shared" si="211"/>
        <v>49309</v>
      </c>
      <c s="250">
        <f t="shared" si="212"/>
        <v>49399</v>
      </c>
      <c s="250">
        <f t="shared" si="213"/>
        <v>49490</v>
      </c>
      <c s="250">
        <f t="shared" si="214"/>
        <v>49582</v>
      </c>
      <c s="250">
        <f t="shared" si="215"/>
        <v>49674</v>
      </c>
      <c s="250">
        <f t="shared" si="216"/>
        <v>49765</v>
      </c>
      <c s="250">
        <f t="shared" si="217"/>
        <v>49856</v>
      </c>
      <c s="250">
        <f t="shared" si="218"/>
        <v>49948</v>
      </c>
      <c s="250">
        <f t="shared" si="219"/>
        <v>50040</v>
      </c>
      <c s="250">
        <f t="shared" si="220"/>
        <v>50130</v>
      </c>
      <c s="250">
        <f t="shared" si="221"/>
        <v>50221</v>
      </c>
      <c s="250">
        <f t="shared" si="222"/>
        <v>50313</v>
      </c>
      <c s="250">
        <f t="shared" si="223"/>
        <v>50405</v>
      </c>
      <c s="250">
        <f t="shared" si="224"/>
        <v>50495</v>
      </c>
      <c s="250">
        <f t="shared" si="225"/>
        <v>50586</v>
      </c>
      <c s="250">
        <f t="shared" si="226"/>
        <v>50678</v>
      </c>
      <c s="250">
        <f t="shared" si="227"/>
        <v>50770</v>
      </c>
      <c s="250">
        <f t="shared" si="228"/>
        <v>50860</v>
      </c>
      <c s="250">
        <f t="shared" si="229"/>
        <v>50951</v>
      </c>
      <c s="250">
        <f t="shared" si="229"/>
        <v>51043</v>
      </c>
      <c s="250">
        <f t="shared" si="229"/>
        <v>51135</v>
      </c>
      <c s="250">
        <f t="shared" si="229"/>
        <v>51226</v>
      </c>
      <c s="5"/>
      <c s="5"/>
      <c s="5"/>
      <c s="5"/>
      <c s="5"/>
      <c s="5"/>
      <c s="5"/>
      <c s="5"/>
    </row>
    <row r="310" spans="2:73" ht="14.45">
      <c r="B310" s="331" t="str">
        <f>IF(ISBLANK(B278),"-",B278)</f>
        <v>Комиссионное вознаграждение за банк. гарантию</v>
      </c>
      <c s="73" t="str">
        <f>INDEX($H$13:$H$16,I278)</f>
        <v>RUB</v>
      </c>
      <c s="332"/>
      <c s="333">
        <f>IF('Параметры займа'!$E$14="нет",0,('Параметры займа'!$J$14/4)*'Параметры займа'!$E$15)</f>
        <v>0</v>
      </c>
      <c s="333">
        <f ca="1">IF(F309&gt;$C$15,0,1)*IF('Параметры займа'!$E$14="нет",0,(('Параметры займа'!$J$14+SUM(Финансирование!$E$22:Финансирование!E22)+SUM(Финансирование!$E$16:Финансирование!E16))/4)*'Параметры займа'!$E$15)</f>
        <v>0</v>
      </c>
      <c s="333">
        <f ca="1">IF(G309&gt;$C$15,0,1)*IF('Параметры займа'!$E$14="нет",0,(('Параметры займа'!$J$14+SUM(Финансирование!$E$22:Финансирование!F22)+SUM(Финансирование!$E$16:Финансирование!F16))/4)*'Параметры займа'!$E$15)</f>
        <v>0</v>
      </c>
      <c s="333">
        <f ca="1">IF(H309&gt;$C$15,0,1)*IF('Параметры займа'!$E$14="нет",0,(('Параметры займа'!$J$14+SUM(Финансирование!$E$22:Финансирование!G22)+SUM(Финансирование!$E$16:Финансирование!G16))/4)*'Параметры займа'!$E$15)</f>
        <v>0</v>
      </c>
      <c s="333">
        <f ca="1">IF(I309&gt;$C$15,0,1)*IF('Параметры займа'!$E$14="нет",0,(('Параметры займа'!$J$14+SUM(Финансирование!$E$22:Финансирование!H22)+SUM(Финансирование!$E$16:Финансирование!H16))/4)*'Параметры займа'!$E$15)</f>
        <v>0</v>
      </c>
      <c s="333">
        <f ca="1">IF(J309&gt;$C$15,0,1)*IF('Параметры займа'!$E$14="нет",0,(('Параметры займа'!$J$14+SUM(Финансирование!$E$22:Финансирование!I22)+SUM(Финансирование!$E$16:Финансирование!I16))/4)*'Параметры займа'!$E$15)</f>
        <v>0</v>
      </c>
      <c s="333">
        <f ca="1">IF(K309&gt;$C$15,0,1)*IF('Параметры займа'!$E$14="нет",0,(('Параметры займа'!$J$14+SUM(Финансирование!$E$22:Финансирование!J22)+SUM(Финансирование!$E$16:Финансирование!J16))/4)*'Параметры займа'!$E$15)</f>
        <v>0</v>
      </c>
      <c s="333">
        <f ca="1">IF(L309&gt;$C$15,0,1)*IF('Параметры займа'!$E$14="нет",0,(('Параметры займа'!$J$14+SUM(Финансирование!$E$22:Финансирование!K22)+SUM(Финансирование!$E$16:Финансирование!K16))/4)*'Параметры займа'!$E$15)</f>
        <v>0</v>
      </c>
      <c s="333">
        <f ca="1">IF(M309&gt;$C$15,0,1)*IF('Параметры займа'!$E$14="нет",0,(('Параметры займа'!$J$14+SUM(Финансирование!$E$22:Финансирование!L22)+SUM(Финансирование!$E$16:Финансирование!L16))/4)*'Параметры займа'!$E$15)</f>
        <v>0</v>
      </c>
      <c s="333">
        <f ca="1">IF(N309&gt;$C$15,0,1)*IF('Параметры займа'!$E$14="нет",0,(('Параметры займа'!$J$14+SUM(Финансирование!$E$22:Финансирование!M22)+SUM(Финансирование!$E$16:Финансирование!M16))/4)*'Параметры займа'!$E$15)</f>
        <v>0</v>
      </c>
      <c s="333">
        <f ca="1">IF(O309&gt;$C$15,0,1)*IF('Параметры займа'!$E$14="нет",0,(('Параметры займа'!$J$14+SUM(Финансирование!$E$22:Финансирование!N22)+SUM(Финансирование!$E$16:Финансирование!N16))/4)*'Параметры займа'!$E$15)</f>
        <v>0</v>
      </c>
      <c s="333">
        <f ca="1">IF(P309&gt;$C$15,0,1)*IF('Параметры займа'!$E$14="нет",0,(('Параметры займа'!$J$14+SUM(Финансирование!$E$22:Финансирование!O22)+SUM(Финансирование!$E$16:Финансирование!O16))/4)*'Параметры займа'!$E$15)</f>
        <v>0</v>
      </c>
      <c s="333">
        <f ca="1">IF(Q309&gt;$C$15,0,1)*IF('Параметры займа'!$E$14="нет",0,(('Параметры займа'!$J$14+SUM(Финансирование!$E$22:Финансирование!P22)+SUM(Финансирование!$E$16:Финансирование!P16))/4)*'Параметры займа'!$E$15)</f>
        <v>0</v>
      </c>
      <c s="333">
        <f ca="1">IF(R309&gt;$C$15,0,1)*IF('Параметры займа'!$E$14="нет",0,(('Параметры займа'!$J$14+SUM(Финансирование!$E$22:Финансирование!Q22)+SUM(Финансирование!$E$16:Финансирование!Q16))/4)*'Параметры займа'!$E$15)</f>
        <v>0</v>
      </c>
      <c s="333">
        <f ca="1">IF(S309&gt;$C$15,0,1)*IF('Параметры займа'!$E$14="нет",0,(('Параметры займа'!$J$14+SUM(Финансирование!$E$22:Финансирование!R22)+SUM(Финансирование!$E$16:Финансирование!R16))/4)*'Параметры займа'!$E$15)</f>
        <v>0</v>
      </c>
      <c s="333">
        <f ca="1">IF(T309&gt;$C$15,0,1)*IF('Параметры займа'!$E$14="нет",0,(('Параметры займа'!$J$14+SUM(Финансирование!$E$22:Финансирование!S22)+SUM(Финансирование!$E$16:Финансирование!S16))/4)*'Параметры займа'!$E$15)</f>
        <v>0</v>
      </c>
      <c s="333">
        <f ca="1">IF(U309&gt;$C$15,0,1)*IF('Параметры займа'!$E$14="нет",0,(('Параметры займа'!$J$14+SUM(Финансирование!$E$22:Финансирование!T22)+SUM(Финансирование!$E$16:Финансирование!T16))/4)*'Параметры займа'!$E$15)</f>
        <v>0</v>
      </c>
      <c s="333">
        <f ca="1">IF(V309&gt;$C$15,0,1)*IF('Параметры займа'!$E$14="нет",0,(('Параметры займа'!$J$14+SUM(Финансирование!$E$22:Финансирование!U22)+SUM(Финансирование!$E$16:Финансирование!U16))/4)*'Параметры займа'!$E$15)</f>
        <v>0</v>
      </c>
      <c s="333">
        <f ca="1">IF(W309&gt;$C$15,0,1)*IF('Параметры займа'!$E$14="нет",0,(('Параметры займа'!$J$14+SUM(Финансирование!$E$22:Финансирование!V22)+SUM(Финансирование!$E$16:Финансирование!V16))/4)*'Параметры займа'!$E$15)</f>
        <v>0</v>
      </c>
      <c s="333">
        <f ca="1">IF(X309&gt;$C$15,0,1)*IF('Параметры займа'!$E$14="нет",0,(('Параметры займа'!$J$14+SUM(Финансирование!$E$22:Финансирование!W22)+SUM(Финансирование!$E$16:Финансирование!W16))/4)*'Параметры займа'!$E$15)</f>
        <v>0</v>
      </c>
      <c s="333">
        <f ca="1">IF(Y309&gt;$C$15,0,1)*IF('Параметры займа'!$E$14="нет",0,(('Параметры займа'!$J$14+SUM(Финансирование!$E$22:Финансирование!X22)+SUM(Финансирование!$E$16:Финансирование!X16))/4)*'Параметры займа'!$E$15)</f>
        <v>0</v>
      </c>
      <c s="333">
        <f ca="1">IF(Z309&gt;$C$15,0,1)*IF('Параметры займа'!$E$14="нет",0,(('Параметры займа'!$J$14+SUM(Финансирование!$E$22:Финансирование!Y22)+SUM(Финансирование!$E$16:Финансирование!Y16))/4)*'Параметры займа'!$E$15)</f>
        <v>0</v>
      </c>
      <c s="333">
        <f ca="1">IF(AA309&gt;$C$15,0,1)*IF('Параметры займа'!$E$14="нет",0,(('Параметры займа'!$J$14+SUM(Финансирование!$E$22:Финансирование!Z22)+SUM(Финансирование!$E$16:Финансирование!Z16))/4)*'Параметры займа'!$E$15)</f>
        <v>0</v>
      </c>
      <c s="333">
        <f ca="1">IF(AB309&gt;$C$15,0,1)*IF('Параметры займа'!$E$14="нет",0,(('Параметры займа'!$J$14+SUM(Финансирование!$E$22:Финансирование!AA22)+SUM(Финансирование!$E$16:Финансирование!AA16))/4)*'Параметры займа'!$E$15)</f>
        <v>0</v>
      </c>
      <c s="333">
        <f ca="1">IF(AC309&gt;$C$15,0,1)*IF('Параметры займа'!$E$14="нет",0,(('Параметры займа'!$J$14+SUM(Финансирование!$E$22:Финансирование!AB22)+SUM(Финансирование!$E$16:Финансирование!AB16))/4)*'Параметры займа'!$E$15)</f>
        <v>0</v>
      </c>
      <c s="333">
        <f ca="1">IF(AD309&gt;$C$15,0,1)*IF('Параметры займа'!$E$14="нет",0,(('Параметры займа'!$J$14+SUM(Финансирование!$E$22:Финансирование!AC22)+SUM(Финансирование!$E$16:Финансирование!AC16))/4)*'Параметры займа'!$E$15)</f>
        <v>0</v>
      </c>
      <c s="333">
        <f ca="1">IF(AE309&gt;$C$15,0,1)*IF('Параметры займа'!$E$14="нет",0,(('Параметры займа'!$J$14+SUM(Финансирование!$E$22:Финансирование!AD22)+SUM(Финансирование!$E$16:Финансирование!AD16))/4)*'Параметры займа'!$E$15)</f>
        <v>0</v>
      </c>
      <c s="333">
        <f ca="1">IF(AF309&gt;$C$15,0,1)*IF('Параметры займа'!$E$14="нет",0,(('Параметры займа'!$J$14+SUM(Финансирование!$E$22:Финансирование!AE22)+SUM(Финансирование!$E$16:Финансирование!AE16))/4)*'Параметры займа'!$E$15)</f>
        <v>0</v>
      </c>
      <c s="333">
        <f ca="1">IF(AG309&gt;$C$15,0,1)*IF('Параметры займа'!$E$14="нет",0,(('Параметры займа'!$J$14+SUM(Финансирование!$E$22:Финансирование!AF22)+SUM(Финансирование!$E$16:Финансирование!AF16))/4)*'Параметры займа'!$E$15)</f>
        <v>0</v>
      </c>
      <c s="333">
        <f ca="1">IF(AH309&gt;$C$15,0,1)*IF('Параметры займа'!$E$14="нет",0,(('Параметры займа'!$J$14+SUM(Финансирование!$E$22:Финансирование!AG22)+SUM(Финансирование!$E$16:Финансирование!AG16))/4)*'Параметры займа'!$E$15)</f>
        <v>0</v>
      </c>
      <c s="333">
        <f ca="1">IF(AI309&gt;$C$15,0,1)*IF('Параметры займа'!$E$14="нет",0,(('Параметры займа'!$J$14+SUM(Финансирование!$E$22:Финансирование!AH22)+SUM(Финансирование!$E$16:Финансирование!AH16))/4)*'Параметры займа'!$E$15)</f>
        <v>0</v>
      </c>
      <c s="333">
        <f ca="1">IF(AJ309&gt;$C$15,0,1)*IF('Параметры займа'!$E$14="нет",0,(('Параметры займа'!$J$14+SUM(Финансирование!$E$22:Финансирование!AI22)+SUM(Финансирование!$E$16:Финансирование!AI16))/4)*'Параметры займа'!$E$15)</f>
        <v>0</v>
      </c>
      <c s="333">
        <f ca="1">IF(AK309&gt;$C$15,0,1)*IF('Параметры займа'!$E$14="нет",0,(('Параметры займа'!$J$14+SUM(Финансирование!$E$22:Финансирование!AJ22)+SUM(Финансирование!$E$16:Финансирование!AJ16))/4)*'Параметры займа'!$E$15)</f>
        <v>0</v>
      </c>
      <c s="333">
        <f ca="1">IF(AL309&gt;$C$15,0,1)*IF('Параметры займа'!$E$14="нет",0,(('Параметры займа'!$J$14+SUM(Финансирование!$E$22:Финансирование!AK22)+SUM(Финансирование!$E$16:Финансирование!AK16))/4)*'Параметры займа'!$E$15)</f>
        <v>0</v>
      </c>
      <c s="333">
        <f ca="1">IF(AM309&gt;$C$15,0,1)*IF('Параметры займа'!$E$14="нет",0,(('Параметры займа'!$J$14+SUM(Финансирование!$E$22:Финансирование!AL22)+SUM(Финансирование!$E$16:Финансирование!AL16))/4)*'Параметры займа'!$E$15)</f>
        <v>0</v>
      </c>
      <c s="333">
        <f ca="1">IF(AN309&gt;$C$15,0,1)*IF('Параметры займа'!$E$14="нет",0,(('Параметры займа'!$J$14+SUM(Финансирование!$E$22:Финансирование!AM22)+SUM(Финансирование!$E$16:Финансирование!AM16))/4)*'Параметры займа'!$E$15)</f>
        <v>0</v>
      </c>
      <c s="333">
        <f ca="1">IF(AO309&gt;$C$15,0,1)*IF('Параметры займа'!$E$14="нет",0,(('Параметры займа'!$J$14+SUM(Финансирование!$E$22:Финансирование!AN22)+SUM(Финансирование!$E$16:Финансирование!AN16))/4)*'Параметры займа'!$E$15)</f>
        <v>0</v>
      </c>
      <c s="333">
        <f ca="1">IF(AP309&gt;$C$15,0,1)*IF('Параметры займа'!$E$14="нет",0,(('Параметры займа'!$J$14+SUM(Финансирование!$E$22:Финансирование!AO22)+SUM(Финансирование!$E$16:Финансирование!AO16))/4)*'Параметры займа'!$E$15)</f>
        <v>0</v>
      </c>
      <c s="333">
        <f ca="1">IF(AQ309&gt;$C$15,0,1)*IF('Параметры займа'!$E$14="нет",0,(('Параметры займа'!$J$14+SUM(Финансирование!$E$22:Финансирование!AP22)+SUM(Финансирование!$E$16:Финансирование!AP16))/4)*'Параметры займа'!$E$15)</f>
        <v>0</v>
      </c>
      <c s="333">
        <f ca="1">IF(AR309&gt;$C$15,0,1)*IF('Параметры займа'!$E$14="нет",0,(('Параметры займа'!$J$14+SUM(Финансирование!$E$22:Финансирование!AQ22)+SUM(Финансирование!$E$16:Финансирование!AQ16))/4)*'Параметры займа'!$E$15)</f>
        <v>0</v>
      </c>
      <c s="333">
        <f ca="1">IF(AS309&gt;$C$15,0,1)*IF('Параметры займа'!$E$14="нет",0,(('Параметры займа'!$J$14+SUM(Финансирование!$E$22:Финансирование!AR22)+SUM(Финансирование!$E$16:Финансирование!AR16))/4)*'Параметры займа'!$E$15)</f>
        <v>0</v>
      </c>
      <c s="333">
        <f ca="1">IF(AT309&gt;$C$15,0,1)*IF('Параметры займа'!$E$14="нет",0,(('Параметры займа'!$J$14+SUM(Финансирование!$E$22:Финансирование!AS22)+SUM(Финансирование!$E$16:Финансирование!AS16))/4)*'Параметры займа'!$E$15)</f>
        <v>0</v>
      </c>
      <c s="333">
        <f ca="1">IF(AU309&gt;$C$15,0,1)*IF('Параметры займа'!$E$14="нет",0,(('Параметры займа'!$J$14+SUM(Финансирование!$E$22:Финансирование!AT22)+SUM(Финансирование!$E$16:Финансирование!AT16))/4)*'Параметры займа'!$E$15)</f>
        <v>0</v>
      </c>
      <c s="333">
        <f ca="1">IF(AV309&gt;$C$15,0,1)*IF('Параметры займа'!$E$14="нет",0,(('Параметры займа'!$J$14+SUM(Финансирование!$E$22:Финансирование!AU22)+SUM(Финансирование!$E$16:Финансирование!AU16))/4)*'Параметры займа'!$E$15)</f>
        <v>0</v>
      </c>
      <c s="333">
        <f ca="1">IF(AW309&gt;$C$15,0,1)*IF('Параметры займа'!$E$14="нет",0,(('Параметры займа'!$J$14+SUM(Финансирование!$E$22:Финансирование!AV22)+SUM(Финансирование!$E$16:Финансирование!AV16))/4)*'Параметры займа'!$E$15)</f>
        <v>0</v>
      </c>
      <c s="333">
        <f ca="1">IF(AX309&gt;$C$15,0,1)*IF('Параметры займа'!$E$14="нет",0,(('Параметры займа'!$J$14+SUM(Финансирование!$E$22:Финансирование!AW22)+SUM(Финансирование!$E$16:Финансирование!AW16))/4)*'Параметры займа'!$E$15)</f>
        <v>0</v>
      </c>
      <c s="333">
        <f ca="1">IF(AY309&gt;$C$15,0,1)*IF('Параметры займа'!$E$14="нет",0,(('Параметры займа'!$J$14+SUM(Финансирование!$E$22:Финансирование!AX22)+SUM(Финансирование!$E$16:Финансирование!AX16))/4)*'Параметры займа'!$E$15)</f>
        <v>0</v>
      </c>
      <c s="333">
        <f ca="1">IF(AZ309&gt;$C$15,0,1)*IF('Параметры займа'!$E$14="нет",0,(('Параметры займа'!$J$14+SUM(Финансирование!$E$22:Финансирование!AY22)+SUM(Финансирование!$E$16:Финансирование!AY16))/4)*'Параметры займа'!$E$15)</f>
        <v>0</v>
      </c>
      <c s="333">
        <f ca="1">IF(BA309&gt;$C$15,0,1)*IF('Параметры займа'!$E$14="нет",0,(('Параметры займа'!$J$14+SUM(Финансирование!$E$22:Финансирование!AZ22)+SUM(Финансирование!$E$16:Финансирование!AZ16))/4)*'Параметры займа'!$E$15)</f>
        <v>0</v>
      </c>
      <c s="333">
        <f ca="1">IF(BB309&gt;$C$15,0,1)*IF('Параметры займа'!$E$14="нет",0,(('Параметры займа'!$J$14+SUM(Финансирование!$E$22:Финансирование!BA22)+SUM(Финансирование!$E$16:Финансирование!BA16))/4)*'Параметры займа'!$E$15)</f>
        <v>0</v>
      </c>
      <c s="333">
        <f ca="1">IF(BC309&gt;$C$15,0,1)*IF('Параметры займа'!$E$14="нет",0,(('Параметры займа'!$J$14+SUM(Финансирование!$E$22:Финансирование!BB22)+SUM(Финансирование!$E$16:Финансирование!BB16))/4)*'Параметры займа'!$E$15)</f>
        <v>0</v>
      </c>
      <c s="333">
        <f ca="1">IF(BD309&gt;$C$15,0,1)*IF('Параметры займа'!$E$14="нет",0,(('Параметры займа'!$J$14+SUM(Финансирование!$E$22:Финансирование!BC22)+SUM(Финансирование!$E$16:Финансирование!BC16))/4)*'Параметры займа'!$E$15)</f>
        <v>0</v>
      </c>
      <c s="333">
        <f ca="1">IF(BE309&gt;$C$15,0,1)*IF('Параметры займа'!$E$14="нет",0,(('Параметры займа'!$J$14+SUM(Финансирование!$E$22:Финансирование!BD22)+SUM(Финансирование!$E$16:Финансирование!BD16))/4)*'Параметры займа'!$E$15)</f>
        <v>0</v>
      </c>
      <c s="333">
        <f ca="1">IF(BF309&gt;$C$15,0,1)*IF('Параметры займа'!$E$14="нет",0,(('Параметры займа'!$J$14+SUM(Финансирование!$E$22:Финансирование!BE22)+SUM(Финансирование!$E$16:Финансирование!BE16))/4)*'Параметры займа'!$E$15)</f>
        <v>0</v>
      </c>
      <c s="333">
        <f ca="1">IF(BG309&gt;$C$15,0,1)*IF('Параметры займа'!$E$14="нет",0,(('Параметры займа'!$J$14+SUM(Финансирование!$E$22:Финансирование!BF22)+SUM(Финансирование!$E$16:Финансирование!BF16))/4)*'Параметры займа'!$E$15)</f>
        <v>0</v>
      </c>
      <c s="333">
        <f ca="1">IF(BH309&gt;$C$15,0,1)*IF('Параметры займа'!$E$14="нет",0,(('Параметры займа'!$J$14+SUM(Финансирование!$E$22:Финансирование!BG22)+SUM(Финансирование!$E$16:Финансирование!BG16))/4)*'Параметры займа'!$E$15)</f>
        <v>0</v>
      </c>
      <c s="333">
        <f ca="1">IF(BI309&gt;$C$15,0,1)*IF('Параметры займа'!$E$14="нет",0,(('Параметры займа'!$J$14+SUM(Финансирование!$E$22:Финансирование!BH22)+SUM(Финансирование!$E$16:Финансирование!BH16))/4)*'Параметры займа'!$E$15)</f>
        <v>0</v>
      </c>
      <c s="333">
        <f ca="1">IF(BJ309&gt;$C$15,0,1)*IF('Параметры займа'!$E$14="нет",0,(('Параметры займа'!$J$14+SUM(Финансирование!$E$22:Финансирование!BI22)+SUM(Финансирование!$E$16:Финансирование!BI16))/4)*'Параметры займа'!$E$15)</f>
        <v>0</v>
      </c>
      <c s="333">
        <f ca="1">IF(BK309&gt;$C$15,0,1)*IF('Параметры займа'!$E$14="нет",0,(('Параметры займа'!$J$14+SUM(Финансирование!$E$22:Финансирование!BJ22)+SUM(Финансирование!$E$16:Финансирование!BJ16))/4)*'Параметры займа'!$E$15)</f>
        <v>0</v>
      </c>
      <c s="333">
        <f ca="1">IF(BL309&gt;$C$15,0,1)*IF('Параметры займа'!$E$14="нет",0,(('Параметры займа'!$J$14+SUM(Финансирование!$E$22:Финансирование!BK22)+SUM(Финансирование!$E$16:Финансирование!BK16))/4)*'Параметры займа'!$E$15)</f>
        <v>0</v>
      </c>
      <c s="333">
        <f ca="1">IF(BM309&gt;$C$15,0,1)*IF('Параметры займа'!$E$14="нет",0,(('Параметры займа'!$J$14+SUM(Финансирование!$E$22:Финансирование!BL22)+SUM(Финансирование!$E$16:Финансирование!BL16))/4)*'Параметры займа'!$E$15)</f>
        <v>0</v>
      </c>
      <c s="5"/>
      <c s="5"/>
      <c s="5"/>
      <c s="5"/>
      <c s="5"/>
      <c s="5"/>
      <c s="5"/>
      <c s="5"/>
    </row>
    <row r="311" spans="2:73" ht="14.45">
      <c r="B311" s="72" t="str">
        <f t="shared" si="231" ref="B311:B334">IF(ISBLANK(B279),"-",B279)</f>
        <v>-</v>
      </c>
      <c s="73" t="str">
        <f t="shared" si="232" ref="C311:C334">INDEX($H$13:$H$16,I279)</f>
        <v>RUB</v>
      </c>
      <c s="332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5"/>
      <c s="5"/>
      <c s="5"/>
      <c s="5"/>
      <c s="5"/>
      <c s="5"/>
      <c s="5"/>
      <c s="5"/>
    </row>
    <row r="312" spans="2:73" ht="14.45">
      <c r="B312" s="72" t="str">
        <f t="shared" si="231"/>
        <v>-</v>
      </c>
      <c s="73" t="str">
        <f t="shared" si="232"/>
        <v>RUB</v>
      </c>
      <c s="332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5"/>
      <c s="5"/>
      <c s="5"/>
      <c s="5"/>
      <c s="5"/>
      <c s="5"/>
      <c s="5"/>
      <c s="5"/>
    </row>
    <row r="313" spans="2:73" ht="14.45">
      <c r="B313" s="72" t="str">
        <f t="shared" si="231"/>
        <v>-</v>
      </c>
      <c s="73" t="str">
        <f t="shared" si="232"/>
        <v>RUB</v>
      </c>
      <c s="332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5"/>
      <c s="5"/>
      <c s="5"/>
      <c s="5"/>
      <c s="5"/>
      <c s="5"/>
      <c s="5"/>
      <c s="5"/>
    </row>
    <row r="314" spans="2:73" ht="14.45">
      <c r="B314" s="72" t="str">
        <f t="shared" si="231"/>
        <v>-</v>
      </c>
      <c s="73" t="str">
        <f t="shared" si="232"/>
        <v>RUB</v>
      </c>
      <c s="332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5"/>
      <c s="5"/>
      <c s="5"/>
      <c s="5"/>
      <c s="5"/>
      <c s="5"/>
      <c s="5"/>
      <c s="5"/>
    </row>
    <row r="315" spans="2:73" ht="14.45">
      <c r="B315" s="72" t="str">
        <f t="shared" si="231"/>
        <v>-</v>
      </c>
      <c s="73" t="str">
        <f t="shared" si="232"/>
        <v>RUB</v>
      </c>
      <c s="332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5"/>
      <c s="5"/>
      <c s="5"/>
      <c s="5"/>
      <c s="5"/>
      <c s="5"/>
      <c s="5"/>
      <c s="5"/>
    </row>
    <row r="316" spans="2:65" ht="14.45">
      <c r="B316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17" spans="2:65" ht="15" customHeight="1">
      <c r="B317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18" spans="2:73" ht="14.45">
      <c r="B318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19" spans="2:73" ht="14.45">
      <c r="B319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0" spans="2:73" ht="14.45">
      <c r="B320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1" spans="2:73" ht="14.45">
      <c r="B321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2" spans="2:73" ht="14.45">
      <c r="B322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3" spans="2:65" ht="14.45">
      <c r="B323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24" spans="2:65" ht="15" customHeight="1">
      <c r="B324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25" spans="2:65" ht="15" customHeight="1">
      <c r="B325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26" spans="2:73" ht="14.45">
      <c r="B326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7" spans="2:73" ht="14.45">
      <c r="B327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8" spans="2:73" ht="14.45">
      <c r="B328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29" spans="2:73" ht="14.45">
      <c r="B329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30" spans="2:73" ht="14.45">
      <c r="B330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5"/>
      <c s="5"/>
      <c s="5"/>
      <c s="5"/>
      <c s="5"/>
      <c s="5"/>
      <c s="5"/>
      <c s="5"/>
    </row>
    <row r="331" spans="2:65" ht="14.45">
      <c r="B331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32" spans="2:65" ht="15" customHeight="1">
      <c r="B332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33" spans="2:65" ht="15" customHeight="1">
      <c r="B333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34" spans="2:65" ht="15" customHeight="1">
      <c r="B334" s="72" t="str">
        <f t="shared" si="231"/>
        <v>-</v>
      </c>
      <c s="73" t="str">
        <f t="shared" si="232"/>
        <v>RUB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335" spans="2:31" ht="14.45">
      <c r="B335"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6" spans="2:31" ht="15.6">
      <c r="B336" s="24" t="s">
        <v>514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37" spans="2:4" ht="14.45" customHeight="1">
      <c r="B337" s="524" t="s">
        <v>91</v>
      </c>
      <c s="524" t="s">
        <v>482</v>
      </c>
      <c s="524" t="s">
        <v>515</v>
      </c>
    </row>
    <row r="338" spans="2:4" ht="14.45">
      <c r="B338" s="524"/>
      <c s="524"/>
      <c s="524"/>
    </row>
    <row r="339" spans="2:4" ht="14.45">
      <c r="B339" s="524"/>
      <c s="524"/>
      <c s="524"/>
    </row>
    <row r="340" spans="2:4" ht="15" customHeight="1">
      <c r="B340" s="72" t="s">
        <v>309</v>
      </c>
      <c s="74" t="str">
        <f>Единица_измерения</f>
        <v>тыс. руб.</v>
      </c>
      <c s="163">
        <f>'Оборотный капитал'!$E$58</f>
        <v>0</v>
      </c>
    </row>
    <row r="341" spans="2:4" ht="15" customHeight="1">
      <c r="B341" s="72" t="s">
        <v>311</v>
      </c>
      <c s="74" t="str">
        <f>Единица_измерения</f>
        <v>тыс. руб.</v>
      </c>
      <c s="163">
        <f>-MIN(0,SUM('Оборотный капитал'!$E$229,'Оборотный капитал'!$E$352))</f>
        <v>0</v>
      </c>
    </row>
    <row r="342" spans="2:4" ht="15" customHeight="1">
      <c r="B342" s="72" t="s">
        <v>313</v>
      </c>
      <c s="74" t="str">
        <f>Единица_измерения</f>
        <v>тыс. руб.</v>
      </c>
      <c s="163">
        <f>-MIN(0,'Оборотный капитал'!$E$111)</f>
        <v>0</v>
      </c>
    </row>
    <row r="343" spans="2:4" ht="15" customHeight="1">
      <c r="B343" s="274" t="s">
        <v>516</v>
      </c>
      <c s="275" t="str">
        <f>Единица_измерения</f>
        <v>тыс. руб.</v>
      </c>
      <c s="276">
        <f>SUM(D340:D341,-D342)</f>
        <v>0</v>
      </c>
    </row>
    <row r="344" ht="15" customHeight="1"/>
    <row r="345" spans="2:31" ht="15.6">
      <c r="B345" s="24" t="s">
        <v>166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</row>
    <row r="346" spans="2:73" ht="15" customHeight="1">
      <c r="B346" s="525" t="s">
        <v>91</v>
      </c>
      <c s="539" t="s">
        <v>155</v>
      </c>
      <c s="525" t="str">
        <f>"Заработная плата, "&amp;Единица_измерения&amp;" в месяц"</f>
        <v>Заработная плата, тыс. руб. в месяц</v>
      </c>
      <c s="252">
        <f t="shared" si="233" ref="E346:X346">SUM(D346,1)</f>
        <v>1</v>
      </c>
      <c s="252">
        <f t="shared" si="233"/>
        <v>2</v>
      </c>
      <c s="252">
        <f t="shared" si="233"/>
        <v>3</v>
      </c>
      <c s="252">
        <f t="shared" si="233"/>
        <v>4</v>
      </c>
      <c s="252">
        <f t="shared" si="233"/>
        <v>5</v>
      </c>
      <c s="252">
        <f t="shared" si="233"/>
        <v>6</v>
      </c>
      <c s="252">
        <f t="shared" si="233"/>
        <v>7</v>
      </c>
      <c s="252">
        <f t="shared" si="233"/>
        <v>8</v>
      </c>
      <c s="252">
        <f t="shared" si="233"/>
        <v>9</v>
      </c>
      <c s="252">
        <f t="shared" si="233"/>
        <v>10</v>
      </c>
      <c s="252">
        <f t="shared" si="233"/>
        <v>11</v>
      </c>
      <c s="252">
        <f t="shared" si="233"/>
        <v>12</v>
      </c>
      <c s="252">
        <f t="shared" si="233"/>
        <v>13</v>
      </c>
      <c s="252">
        <f t="shared" si="233"/>
        <v>14</v>
      </c>
      <c s="252">
        <f t="shared" si="233"/>
        <v>15</v>
      </c>
      <c s="252">
        <f t="shared" si="233"/>
        <v>16</v>
      </c>
      <c s="252">
        <f t="shared" si="233"/>
        <v>17</v>
      </c>
      <c s="252">
        <f t="shared" si="233"/>
        <v>18</v>
      </c>
      <c s="252">
        <f t="shared" si="233"/>
        <v>19</v>
      </c>
      <c s="252">
        <f t="shared" si="233"/>
        <v>20</v>
      </c>
      <c s="252">
        <f t="shared" si="234" ref="Y346:AG346">SUM(X346,1)</f>
        <v>21</v>
      </c>
      <c s="252">
        <f t="shared" si="234"/>
        <v>22</v>
      </c>
      <c s="252">
        <f t="shared" si="234"/>
        <v>23</v>
      </c>
      <c s="252">
        <f t="shared" si="234"/>
        <v>24</v>
      </c>
      <c s="252">
        <f t="shared" si="234"/>
        <v>25</v>
      </c>
      <c s="252">
        <f t="shared" si="234"/>
        <v>26</v>
      </c>
      <c s="252">
        <f t="shared" si="234"/>
        <v>27</v>
      </c>
      <c s="252">
        <f t="shared" si="234"/>
        <v>28</v>
      </c>
      <c s="252">
        <f t="shared" si="234"/>
        <v>29</v>
      </c>
      <c s="252">
        <f t="shared" si="235" ref="AH346">SUM(AG346,1)</f>
        <v>30</v>
      </c>
      <c s="252">
        <f t="shared" si="236" ref="AI346">SUM(AH346,1)</f>
        <v>31</v>
      </c>
      <c s="252">
        <f t="shared" si="237" ref="AJ346">SUM(AI346,1)</f>
        <v>32</v>
      </c>
      <c s="252">
        <f t="shared" si="238" ref="AK346">SUM(AJ346,1)</f>
        <v>33</v>
      </c>
      <c s="252">
        <f t="shared" si="239" ref="AL346">SUM(AK346,1)</f>
        <v>34</v>
      </c>
      <c s="252">
        <f t="shared" si="240" ref="AM346">SUM(AL346,1)</f>
        <v>35</v>
      </c>
      <c s="252">
        <f t="shared" si="241" ref="AN346">SUM(AM346,1)</f>
        <v>36</v>
      </c>
      <c s="252">
        <f t="shared" si="242" ref="AO346">SUM(AN346,1)</f>
        <v>37</v>
      </c>
      <c s="252">
        <f t="shared" si="243" ref="AP346">SUM(AO346,1)</f>
        <v>38</v>
      </c>
      <c s="252">
        <f t="shared" si="244" ref="AQ346">SUM(AP346,1)</f>
        <v>39</v>
      </c>
      <c s="252">
        <f t="shared" si="245" ref="AR346">SUM(AQ346,1)</f>
        <v>40</v>
      </c>
      <c s="252">
        <f t="shared" si="246" ref="AS346">SUM(AR346,1)</f>
        <v>41</v>
      </c>
      <c s="252">
        <f t="shared" si="247" ref="AT346">SUM(AS346,1)</f>
        <v>42</v>
      </c>
      <c s="252">
        <f t="shared" si="248" ref="AU346">SUM(AT346,1)</f>
        <v>43</v>
      </c>
      <c s="252">
        <f t="shared" si="249" ref="AV346">SUM(AU346,1)</f>
        <v>44</v>
      </c>
      <c s="252">
        <f t="shared" si="250" ref="AW346">SUM(AV346,1)</f>
        <v>45</v>
      </c>
      <c s="252">
        <f t="shared" si="251" ref="AX346">SUM(AW346,1)</f>
        <v>46</v>
      </c>
      <c s="252">
        <f t="shared" si="252" ref="AY346">SUM(AX346,1)</f>
        <v>47</v>
      </c>
      <c s="252">
        <f t="shared" si="253" ref="AZ346">SUM(AY346,1)</f>
        <v>48</v>
      </c>
      <c s="252">
        <f t="shared" si="254" ref="BA346">SUM(AZ346,1)</f>
        <v>49</v>
      </c>
      <c s="252">
        <f t="shared" si="255" ref="BB346">SUM(BA346,1)</f>
        <v>50</v>
      </c>
      <c s="252">
        <f t="shared" si="256" ref="BC346">SUM(BB346,1)</f>
        <v>51</v>
      </c>
      <c s="252">
        <f t="shared" si="257" ref="BD346">SUM(BC346,1)</f>
        <v>52</v>
      </c>
      <c s="252">
        <f t="shared" si="258" ref="BE346">SUM(BD346,1)</f>
        <v>53</v>
      </c>
      <c s="252">
        <f t="shared" si="259" ref="BF346">SUM(BE346,1)</f>
        <v>54</v>
      </c>
      <c s="252">
        <f t="shared" si="260" ref="BG346">SUM(BF346,1)</f>
        <v>55</v>
      </c>
      <c s="252">
        <f t="shared" si="261" ref="BH346">SUM(BG346,1)</f>
        <v>56</v>
      </c>
      <c s="252">
        <f t="shared" si="262" ref="BI346">SUM(BH346,1)</f>
        <v>57</v>
      </c>
      <c s="252">
        <f t="shared" si="263" ref="BJ346:BM346">SUM(BI346,1)</f>
        <v>58</v>
      </c>
      <c s="252">
        <f t="shared" si="263"/>
        <v>59</v>
      </c>
      <c s="252">
        <f t="shared" si="263"/>
        <v>60</v>
      </c>
      <c s="252">
        <f t="shared" si="263"/>
        <v>61</v>
      </c>
      <c s="5"/>
      <c s="5"/>
      <c s="5"/>
      <c s="5"/>
      <c s="5"/>
      <c s="5"/>
      <c s="5"/>
      <c s="5"/>
    </row>
    <row r="347" spans="2:73" ht="14.45">
      <c r="B347" s="526"/>
      <c s="540"/>
      <c s="526"/>
      <c s="250">
        <f t="shared" si="264" ref="E347:AG347">D173</f>
        <v>45658</v>
      </c>
      <c s="250">
        <f t="shared" si="264"/>
        <v>45748</v>
      </c>
      <c s="250">
        <f t="shared" si="264"/>
        <v>45839</v>
      </c>
      <c s="250">
        <f t="shared" si="264"/>
        <v>45931</v>
      </c>
      <c s="250">
        <f t="shared" si="264"/>
        <v>46023</v>
      </c>
      <c s="250">
        <f t="shared" si="264"/>
        <v>46113</v>
      </c>
      <c s="250">
        <f t="shared" si="264"/>
        <v>46204</v>
      </c>
      <c s="250">
        <f t="shared" si="264"/>
        <v>46296</v>
      </c>
      <c s="250">
        <f t="shared" si="264"/>
        <v>46388</v>
      </c>
      <c s="250">
        <f t="shared" si="264"/>
        <v>46478</v>
      </c>
      <c s="250">
        <f t="shared" si="264"/>
        <v>46569</v>
      </c>
      <c s="250">
        <f t="shared" si="264"/>
        <v>46661</v>
      </c>
      <c s="250">
        <f t="shared" si="264"/>
        <v>46753</v>
      </c>
      <c s="250">
        <f t="shared" si="264"/>
        <v>46844</v>
      </c>
      <c s="250">
        <f t="shared" si="264"/>
        <v>46935</v>
      </c>
      <c s="250">
        <f t="shared" si="264"/>
        <v>47027</v>
      </c>
      <c s="250">
        <f t="shared" si="264"/>
        <v>47119</v>
      </c>
      <c s="250">
        <f t="shared" si="264"/>
        <v>47209</v>
      </c>
      <c s="250">
        <f t="shared" si="264"/>
        <v>47300</v>
      </c>
      <c s="250">
        <f t="shared" si="264"/>
        <v>47392</v>
      </c>
      <c s="250">
        <f t="shared" si="264"/>
        <v>47484</v>
      </c>
      <c s="250">
        <f t="shared" si="264"/>
        <v>47574</v>
      </c>
      <c s="250">
        <f t="shared" si="264"/>
        <v>47665</v>
      </c>
      <c s="250">
        <f t="shared" si="264"/>
        <v>47757</v>
      </c>
      <c s="250">
        <f t="shared" si="264"/>
        <v>47849</v>
      </c>
      <c s="250">
        <f t="shared" si="264"/>
        <v>47939</v>
      </c>
      <c s="250">
        <f t="shared" si="264"/>
        <v>48030</v>
      </c>
      <c s="250">
        <f t="shared" si="264"/>
        <v>48122</v>
      </c>
      <c s="250">
        <f t="shared" si="264"/>
        <v>48214</v>
      </c>
      <c s="250">
        <f t="shared" si="265" ref="AH347:AH348">AG173</f>
        <v>48305</v>
      </c>
      <c s="250">
        <f t="shared" si="266" ref="AI347:AI348">AH173</f>
        <v>48396</v>
      </c>
      <c s="250">
        <f t="shared" si="267" ref="AJ347:AJ348">AI173</f>
        <v>48488</v>
      </c>
      <c s="250">
        <f t="shared" si="268" ref="AK347:AK348">AJ173</f>
        <v>48580</v>
      </c>
      <c s="250">
        <f t="shared" si="269" ref="AL347:AL348">AK173</f>
        <v>48670</v>
      </c>
      <c s="250">
        <f t="shared" si="270" ref="AM347:AM348">AL173</f>
        <v>48761</v>
      </c>
      <c s="250">
        <f t="shared" si="271" ref="AN347:AN348">AM173</f>
        <v>48853</v>
      </c>
      <c s="250">
        <f t="shared" si="272" ref="AO347:AO348">AN173</f>
        <v>48945</v>
      </c>
      <c s="250">
        <f t="shared" si="273" ref="AP347:AP348">AO173</f>
        <v>49035</v>
      </c>
      <c s="250">
        <f t="shared" si="274" ref="AQ347:AQ348">AP173</f>
        <v>49126</v>
      </c>
      <c s="250">
        <f t="shared" si="275" ref="AR347:AR348">AQ173</f>
        <v>49218</v>
      </c>
      <c s="250">
        <f t="shared" si="276" ref="AS347:AS348">AR173</f>
        <v>49310</v>
      </c>
      <c s="250">
        <f t="shared" si="277" ref="AT347:AT348">AS173</f>
        <v>49400</v>
      </c>
      <c s="250">
        <f t="shared" si="278" ref="AU347:AU348">AT173</f>
        <v>49491</v>
      </c>
      <c s="250">
        <f t="shared" si="279" ref="AV347:AV348">AU173</f>
        <v>49583</v>
      </c>
      <c s="250">
        <f t="shared" si="280" ref="AW347:AW348">AV173</f>
        <v>49675</v>
      </c>
      <c s="250">
        <f t="shared" si="281" ref="AX347:AX348">AW173</f>
        <v>49766</v>
      </c>
      <c s="250">
        <f t="shared" si="282" ref="AY347:AY348">AX173</f>
        <v>49857</v>
      </c>
      <c s="250">
        <f t="shared" si="283" ref="AZ347:AZ348">AY173</f>
        <v>49949</v>
      </c>
      <c s="250">
        <f t="shared" si="284" ref="BA347:BA348">AZ173</f>
        <v>50041</v>
      </c>
      <c s="250">
        <f t="shared" si="285" ref="BB347:BB348">BA173</f>
        <v>50131</v>
      </c>
      <c s="250">
        <f t="shared" si="286" ref="BC347:BC348">BB173</f>
        <v>50222</v>
      </c>
      <c s="250">
        <f t="shared" si="287" ref="BD347:BD348">BC173</f>
        <v>50314</v>
      </c>
      <c s="250">
        <f t="shared" si="288" ref="BE347:BE348">BD173</f>
        <v>50406</v>
      </c>
      <c s="250">
        <f t="shared" si="289" ref="BF347:BF348">BE173</f>
        <v>50496</v>
      </c>
      <c s="250">
        <f t="shared" si="290" ref="BG347:BG348">BF173</f>
        <v>50587</v>
      </c>
      <c s="250">
        <f t="shared" si="291" ref="BH347:BH348">BG173</f>
        <v>50679</v>
      </c>
      <c s="250">
        <f t="shared" si="292" ref="BI347:BI348">BH173</f>
        <v>50771</v>
      </c>
      <c s="250">
        <f t="shared" si="293" ref="BJ347:BM348">BI173</f>
        <v>50861</v>
      </c>
      <c s="250">
        <f t="shared" si="293"/>
        <v>50952</v>
      </c>
      <c s="250">
        <f t="shared" si="293"/>
        <v>51044</v>
      </c>
      <c s="250">
        <f t="shared" si="293"/>
        <v>51136</v>
      </c>
      <c s="5"/>
      <c s="5"/>
      <c s="5"/>
      <c s="5"/>
      <c s="5"/>
      <c s="5"/>
      <c s="5"/>
      <c s="5"/>
    </row>
    <row r="348" spans="2:73" ht="14.45">
      <c r="B348" s="527"/>
      <c s="541"/>
      <c s="527"/>
      <c s="250">
        <f t="shared" si="294" ref="E348:AG348">D174</f>
        <v>45747</v>
      </c>
      <c s="250">
        <f t="shared" si="294"/>
        <v>45838</v>
      </c>
      <c s="250">
        <f t="shared" si="294"/>
        <v>45930</v>
      </c>
      <c s="250">
        <f t="shared" si="294"/>
        <v>46022</v>
      </c>
      <c s="250">
        <f t="shared" si="294"/>
        <v>46112</v>
      </c>
      <c s="250">
        <f t="shared" si="294"/>
        <v>46203</v>
      </c>
      <c s="250">
        <f t="shared" si="294"/>
        <v>46295</v>
      </c>
      <c s="250">
        <f t="shared" si="294"/>
        <v>46387</v>
      </c>
      <c s="250">
        <f t="shared" si="294"/>
        <v>46477</v>
      </c>
      <c s="250">
        <f t="shared" si="294"/>
        <v>46568</v>
      </c>
      <c s="250">
        <f t="shared" si="294"/>
        <v>46660</v>
      </c>
      <c s="250">
        <f t="shared" si="294"/>
        <v>46752</v>
      </c>
      <c s="250">
        <f t="shared" si="294"/>
        <v>46843</v>
      </c>
      <c s="250">
        <f t="shared" si="294"/>
        <v>46934</v>
      </c>
      <c s="250">
        <f t="shared" si="294"/>
        <v>47026</v>
      </c>
      <c s="250">
        <f t="shared" si="294"/>
        <v>47118</v>
      </c>
      <c s="250">
        <f t="shared" si="294"/>
        <v>47208</v>
      </c>
      <c s="250">
        <f t="shared" si="294"/>
        <v>47299</v>
      </c>
      <c s="250">
        <f t="shared" si="294"/>
        <v>47391</v>
      </c>
      <c s="250">
        <f t="shared" si="294"/>
        <v>47483</v>
      </c>
      <c s="250">
        <f t="shared" si="294"/>
        <v>47573</v>
      </c>
      <c s="250">
        <f t="shared" si="294"/>
        <v>47664</v>
      </c>
      <c s="250">
        <f t="shared" si="294"/>
        <v>47756</v>
      </c>
      <c s="250">
        <f t="shared" si="294"/>
        <v>47848</v>
      </c>
      <c s="250">
        <f t="shared" si="294"/>
        <v>47938</v>
      </c>
      <c s="250">
        <f t="shared" si="294"/>
        <v>48029</v>
      </c>
      <c s="250">
        <f t="shared" si="294"/>
        <v>48121</v>
      </c>
      <c s="250">
        <f t="shared" si="294"/>
        <v>48213</v>
      </c>
      <c s="250">
        <f t="shared" si="294"/>
        <v>48304</v>
      </c>
      <c s="250">
        <f t="shared" si="265"/>
        <v>48395</v>
      </c>
      <c s="250">
        <f t="shared" si="266"/>
        <v>48487</v>
      </c>
      <c s="250">
        <f t="shared" si="267"/>
        <v>48579</v>
      </c>
      <c s="250">
        <f t="shared" si="268"/>
        <v>48669</v>
      </c>
      <c s="250">
        <f t="shared" si="269"/>
        <v>48760</v>
      </c>
      <c s="250">
        <f t="shared" si="270"/>
        <v>48852</v>
      </c>
      <c s="250">
        <f t="shared" si="271"/>
        <v>48944</v>
      </c>
      <c s="250">
        <f t="shared" si="272"/>
        <v>49034</v>
      </c>
      <c s="250">
        <f t="shared" si="273"/>
        <v>49125</v>
      </c>
      <c s="250">
        <f t="shared" si="274"/>
        <v>49217</v>
      </c>
      <c s="250">
        <f t="shared" si="275"/>
        <v>49309</v>
      </c>
      <c s="250">
        <f t="shared" si="276"/>
        <v>49399</v>
      </c>
      <c s="250">
        <f t="shared" si="277"/>
        <v>49490</v>
      </c>
      <c s="250">
        <f t="shared" si="278"/>
        <v>49582</v>
      </c>
      <c s="250">
        <f t="shared" si="279"/>
        <v>49674</v>
      </c>
      <c s="250">
        <f t="shared" si="280"/>
        <v>49765</v>
      </c>
      <c s="250">
        <f t="shared" si="281"/>
        <v>49856</v>
      </c>
      <c s="250">
        <f t="shared" si="282"/>
        <v>49948</v>
      </c>
      <c s="250">
        <f t="shared" si="283"/>
        <v>50040</v>
      </c>
      <c s="250">
        <f t="shared" si="284"/>
        <v>50130</v>
      </c>
      <c s="250">
        <f t="shared" si="285"/>
        <v>50221</v>
      </c>
      <c s="250">
        <f t="shared" si="286"/>
        <v>50313</v>
      </c>
      <c s="250">
        <f t="shared" si="287"/>
        <v>50405</v>
      </c>
      <c s="250">
        <f t="shared" si="288"/>
        <v>50495</v>
      </c>
      <c s="250">
        <f t="shared" si="289"/>
        <v>50586</v>
      </c>
      <c s="250">
        <f t="shared" si="290"/>
        <v>50678</v>
      </c>
      <c s="250">
        <f t="shared" si="291"/>
        <v>50770</v>
      </c>
      <c s="250">
        <f t="shared" si="292"/>
        <v>50860</v>
      </c>
      <c s="250">
        <f t="shared" si="293"/>
        <v>50951</v>
      </c>
      <c s="250">
        <f t="shared" si="293"/>
        <v>51043</v>
      </c>
      <c s="250">
        <f t="shared" si="293"/>
        <v>51135</v>
      </c>
      <c s="250">
        <f t="shared" si="293"/>
        <v>51226</v>
      </c>
      <c s="5"/>
      <c s="5"/>
      <c s="5"/>
      <c s="5"/>
      <c s="5"/>
      <c s="5"/>
      <c s="5"/>
      <c s="5"/>
    </row>
    <row r="349" spans="2:73" ht="14.45">
      <c r="B349" s="362"/>
      <c s="329"/>
      <c s="334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50" spans="2:73" ht="14.45">
      <c r="B350" s="363"/>
      <c s="329"/>
      <c s="334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51" spans="2:73" ht="14.45">
      <c r="B351" s="363"/>
      <c s="329"/>
      <c s="334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52" spans="2:73" ht="14.45">
      <c r="B352" s="363"/>
      <c s="329"/>
      <c s="334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53" spans="2:73" ht="14.45">
      <c r="B353" s="363"/>
      <c s="329"/>
      <c s="334"/>
      <c s="328"/>
      <c s="328"/>
      <c s="328"/>
      <c s="328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5"/>
      <c s="5"/>
      <c s="5"/>
      <c s="5"/>
      <c s="5"/>
      <c s="5"/>
      <c s="5"/>
      <c s="5"/>
    </row>
    <row r="354" spans="2:73" ht="14.45">
      <c r="B354" s="335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5"/>
      <c s="5"/>
      <c s="5"/>
      <c s="5"/>
      <c s="5"/>
      <c s="5"/>
      <c s="5"/>
      <c s="5"/>
    </row>
    <row r="355" spans="2:65" ht="14.45">
      <c r="B355" s="335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56" spans="2:65" ht="15" customHeight="1">
      <c r="B356" s="335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57" spans="2:73" ht="14.45">
      <c r="B357" s="335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58" spans="2:73" ht="14.45">
      <c r="B358" s="335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59" spans="2:73" ht="14.45">
      <c r="B359" s="321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60" spans="2:73" ht="14.45">
      <c r="B360" s="321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61" spans="2:73" ht="14.45">
      <c r="B361" s="321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62" spans="2:65" ht="14.45">
      <c r="B362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63" spans="2:65" ht="15" customHeight="1">
      <c r="B363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64" spans="2:65" ht="15" customHeight="1">
      <c r="B364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65" spans="2:73" ht="14.45">
      <c r="B365" s="321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66" spans="2:73" ht="14.45">
      <c r="B366" s="335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67" spans="2:73" ht="14.45">
      <c r="B367" s="321"/>
      <c s="329"/>
      <c s="336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5"/>
      <c s="5"/>
      <c s="5"/>
      <c s="5"/>
      <c s="5"/>
      <c s="5"/>
      <c s="5"/>
      <c s="5"/>
    </row>
    <row r="368" spans="2:73" ht="14.45">
      <c r="B368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5"/>
      <c s="5"/>
      <c s="5"/>
      <c s="5"/>
      <c s="5"/>
      <c s="5"/>
      <c s="5"/>
      <c s="5"/>
    </row>
    <row r="369" spans="2:73" ht="14.45">
      <c r="B369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5"/>
      <c s="5"/>
      <c s="5"/>
      <c s="5"/>
      <c s="5"/>
      <c s="5"/>
      <c s="5"/>
      <c s="5"/>
    </row>
    <row r="370" spans="2:65" ht="14.45">
      <c r="B370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71" spans="2:65" ht="15" customHeight="1">
      <c r="B371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72" spans="2:65" ht="15" customHeight="1">
      <c r="B372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73" spans="2:65" ht="15" customHeight="1">
      <c r="B373" s="321"/>
      <c s="329"/>
      <c s="336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  <c s="301"/>
    </row>
    <row r="374" spans="2:31" ht="15.6">
      <c r="B374" s="24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75" spans="2:3" ht="15" customHeight="1">
      <c r="B375" s="17" t="s">
        <v>517</v>
      </c>
      <c s="337">
        <v>15</v>
      </c>
    </row>
    <row r="376" spans="2:31" ht="15.6">
      <c r="B376" s="24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77" spans="2:31" ht="15.6">
      <c r="B377" s="24" t="s">
        <v>174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</row>
    <row r="378" spans="2:31" ht="14.45">
      <c r="B378" s="253" t="s">
        <v>53</v>
      </c>
      <c s="252">
        <f t="shared" si="295" ref="C378:H378">IF(ISNUMBER(B378)=FALSE,YEAR($C$13),B378+1)</f>
        <v>2025</v>
      </c>
      <c s="252">
        <f t="shared" si="295"/>
        <v>2026</v>
      </c>
      <c s="252">
        <f t="shared" si="295"/>
        <v>2027</v>
      </c>
      <c s="252">
        <f t="shared" si="295"/>
        <v>2028</v>
      </c>
      <c s="252">
        <f t="shared" si="295"/>
        <v>2029</v>
      </c>
      <c s="252">
        <f t="shared" si="295"/>
        <v>2030</v>
      </c>
      <c s="252">
        <f t="shared" si="296" ref="I378">IF(ISNUMBER(H378)=FALSE,YEAR($C$13),H378+1)</f>
        <v>2031</v>
      </c>
      <c s="252">
        <f t="shared" si="297" ref="J378:R378">IF(ISNUMBER(I378)=FALSE,YEAR($C$13),I378+1)</f>
        <v>2032</v>
      </c>
      <c s="252">
        <f t="shared" si="297"/>
        <v>2033</v>
      </c>
      <c s="252">
        <f t="shared" si="297"/>
        <v>2034</v>
      </c>
      <c s="252">
        <f t="shared" si="297"/>
        <v>2035</v>
      </c>
      <c s="252">
        <f t="shared" si="297"/>
        <v>2036</v>
      </c>
      <c s="252">
        <f t="shared" si="297"/>
        <v>2037</v>
      </c>
      <c s="252">
        <f t="shared" si="297"/>
        <v>2038</v>
      </c>
      <c s="252">
        <f t="shared" si="297"/>
        <v>2039</v>
      </c>
      <c s="252">
        <f t="shared" si="297"/>
        <v>2040</v>
      </c>
      <c s="5"/>
      <c s="5"/>
      <c s="5"/>
      <c s="5"/>
      <c s="5"/>
      <c s="5"/>
      <c s="5"/>
      <c s="5"/>
      <c s="5"/>
      <c s="5"/>
      <c s="5"/>
      <c s="5"/>
      <c s="5"/>
    </row>
    <row r="379" spans="2:18" ht="15" customHeight="1">
      <c r="B379" s="68" t="s">
        <v>175</v>
      </c>
      <c s="287"/>
      <c s="287"/>
      <c s="287"/>
      <c s="287"/>
      <c s="287"/>
      <c s="287"/>
      <c s="287"/>
      <c s="287"/>
      <c s="287"/>
      <c s="287"/>
      <c s="287"/>
      <c s="287"/>
      <c s="287"/>
      <c s="287"/>
      <c s="287"/>
      <c s="287"/>
    </row>
    <row r="380" spans="2:31" ht="15.6">
      <c r="B380" s="24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1" spans="2:31" ht="21">
      <c r="B381" s="23" t="s">
        <v>18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2" spans="2:31" ht="15.6">
      <c r="B382" s="24" t="s">
        <v>177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3" spans="2:31" ht="14.45">
      <c r="B383" s="25" t="str">
        <f>"Ранее привлечено в проект, "&amp;Единица_измерения</f>
        <v>Ранее привлечено в проект, тыс. руб.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4" spans="2:31" ht="14.45">
      <c r="B384" s="17" t="s">
        <v>518</v>
      </c>
      <c s="33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5" spans="2:31" ht="14.45">
      <c r="B385" s="17" t="s">
        <v>519</v>
      </c>
      <c s="333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6" spans="2:31" ht="14.45">
      <c r="B386" s="277" t="s">
        <v>454</v>
      </c>
      <c s="278">
        <f>SUM(C384:C385)</f>
        <v>0</v>
      </c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7" spans="2:31" ht="15.6">
      <c r="B387" s="24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8" spans="2:31" ht="14.45">
      <c r="B388" s="25" t="str">
        <f>"График привлечения собственных средств в проект, "&amp;Единица_измерения</f>
        <v>График привлечения собственных средств в проект, тыс. руб.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89" spans="2:64" ht="15" customHeight="1">
      <c r="B389" s="525" t="s">
        <v>53</v>
      </c>
      <c s="557" t="s">
        <v>454</v>
      </c>
      <c s="252">
        <f t="shared" si="298" ref="D389:W389">SUM(C389,1)</f>
        <v>1</v>
      </c>
      <c s="252">
        <f t="shared" si="298"/>
        <v>2</v>
      </c>
      <c s="252">
        <f t="shared" si="298"/>
        <v>3</v>
      </c>
      <c s="252">
        <f t="shared" si="298"/>
        <v>4</v>
      </c>
      <c s="252">
        <f t="shared" si="298"/>
        <v>5</v>
      </c>
      <c s="252">
        <f t="shared" si="298"/>
        <v>6</v>
      </c>
      <c s="252">
        <f t="shared" si="298"/>
        <v>7</v>
      </c>
      <c s="252">
        <f t="shared" si="298"/>
        <v>8</v>
      </c>
      <c s="252">
        <f t="shared" si="298"/>
        <v>9</v>
      </c>
      <c s="252">
        <f t="shared" si="298"/>
        <v>10</v>
      </c>
      <c s="252">
        <f t="shared" si="298"/>
        <v>11</v>
      </c>
      <c s="252">
        <f t="shared" si="298"/>
        <v>12</v>
      </c>
      <c s="252">
        <f t="shared" si="298"/>
        <v>13</v>
      </c>
      <c s="252">
        <f t="shared" si="298"/>
        <v>14</v>
      </c>
      <c s="252">
        <f t="shared" si="298"/>
        <v>15</v>
      </c>
      <c s="252">
        <f t="shared" si="298"/>
        <v>16</v>
      </c>
      <c s="252">
        <f t="shared" si="298"/>
        <v>17</v>
      </c>
      <c s="252">
        <f t="shared" si="298"/>
        <v>18</v>
      </c>
      <c s="252">
        <f t="shared" si="298"/>
        <v>19</v>
      </c>
      <c s="252">
        <f t="shared" si="298"/>
        <v>20</v>
      </c>
      <c s="252">
        <f t="shared" si="299" ref="X389:AF389">SUM(W389,1)</f>
        <v>21</v>
      </c>
      <c s="252">
        <f t="shared" si="299"/>
        <v>22</v>
      </c>
      <c s="252">
        <f t="shared" si="299"/>
        <v>23</v>
      </c>
      <c s="252">
        <f t="shared" si="299"/>
        <v>24</v>
      </c>
      <c s="252">
        <f t="shared" si="299"/>
        <v>25</v>
      </c>
      <c s="252">
        <f t="shared" si="299"/>
        <v>26</v>
      </c>
      <c s="252">
        <f t="shared" si="299"/>
        <v>27</v>
      </c>
      <c s="252">
        <f t="shared" si="299"/>
        <v>28</v>
      </c>
      <c s="252">
        <f t="shared" si="299"/>
        <v>29</v>
      </c>
      <c s="252">
        <f t="shared" si="300" ref="AG389">SUM(AF389,1)</f>
        <v>30</v>
      </c>
      <c s="252">
        <f t="shared" si="301" ref="AH389">SUM(AG389,1)</f>
        <v>31</v>
      </c>
      <c s="252">
        <f t="shared" si="302" ref="AI389">SUM(AH389,1)</f>
        <v>32</v>
      </c>
      <c s="252">
        <f t="shared" si="303" ref="AJ389">SUM(AI389,1)</f>
        <v>33</v>
      </c>
      <c s="252">
        <f t="shared" si="304" ref="AK389">SUM(AJ389,1)</f>
        <v>34</v>
      </c>
      <c s="252">
        <f t="shared" si="305" ref="AL389">SUM(AK389,1)</f>
        <v>35</v>
      </c>
      <c s="252">
        <f t="shared" si="306" ref="AM389">SUM(AL389,1)</f>
        <v>36</v>
      </c>
      <c s="252">
        <f t="shared" si="307" ref="AN389">SUM(AM389,1)</f>
        <v>37</v>
      </c>
      <c s="252">
        <f t="shared" si="308" ref="AO389">SUM(AN389,1)</f>
        <v>38</v>
      </c>
      <c s="252">
        <f t="shared" si="309" ref="AP389">SUM(AO389,1)</f>
        <v>39</v>
      </c>
      <c s="252">
        <f t="shared" si="310" ref="AQ389">SUM(AP389,1)</f>
        <v>40</v>
      </c>
      <c s="252">
        <f t="shared" si="311" ref="AR389">SUM(AQ389,1)</f>
        <v>41</v>
      </c>
      <c s="252">
        <f t="shared" si="312" ref="AS389">SUM(AR389,1)</f>
        <v>42</v>
      </c>
      <c s="252">
        <f t="shared" si="313" ref="AT389">SUM(AS389,1)</f>
        <v>43</v>
      </c>
      <c s="252">
        <f t="shared" si="314" ref="AU389">SUM(AT389,1)</f>
        <v>44</v>
      </c>
      <c s="252">
        <f t="shared" si="315" ref="AV389">SUM(AU389,1)</f>
        <v>45</v>
      </c>
      <c s="252">
        <f t="shared" si="316" ref="AW389">SUM(AV389,1)</f>
        <v>46</v>
      </c>
      <c s="252">
        <f t="shared" si="317" ref="AX389">SUM(AW389,1)</f>
        <v>47</v>
      </c>
      <c s="252">
        <f t="shared" si="318" ref="AY389">SUM(AX389,1)</f>
        <v>48</v>
      </c>
      <c s="252">
        <f t="shared" si="319" ref="AZ389">SUM(AY389,1)</f>
        <v>49</v>
      </c>
      <c s="252">
        <f t="shared" si="320" ref="BA389">SUM(AZ389,1)</f>
        <v>50</v>
      </c>
      <c s="252">
        <f t="shared" si="321" ref="BB389">SUM(BA389,1)</f>
        <v>51</v>
      </c>
      <c s="252">
        <f t="shared" si="322" ref="BC389">SUM(BB389,1)</f>
        <v>52</v>
      </c>
      <c s="252">
        <f t="shared" si="323" ref="BD389">SUM(BC389,1)</f>
        <v>53</v>
      </c>
      <c s="252">
        <f t="shared" si="324" ref="BE389">SUM(BD389,1)</f>
        <v>54</v>
      </c>
      <c s="252">
        <f t="shared" si="325" ref="BF389">SUM(BE389,1)</f>
        <v>55</v>
      </c>
      <c s="252">
        <f t="shared" si="326" ref="BG389">SUM(BF389,1)</f>
        <v>56</v>
      </c>
      <c s="252">
        <f t="shared" si="327" ref="BH389">SUM(BG389,1)</f>
        <v>57</v>
      </c>
      <c s="252">
        <f t="shared" si="328" ref="BI389:BL389">SUM(BH389,1)</f>
        <v>58</v>
      </c>
      <c s="252">
        <f t="shared" si="328"/>
        <v>59</v>
      </c>
      <c s="252">
        <f t="shared" si="328"/>
        <v>60</v>
      </c>
      <c s="252">
        <f t="shared" si="328"/>
        <v>61</v>
      </c>
    </row>
    <row r="390" spans="2:64" ht="14.45">
      <c r="B390" s="526"/>
      <c s="558"/>
      <c s="250">
        <f t="shared" si="329" ref="D390:AF390">E347</f>
        <v>45658</v>
      </c>
      <c s="250">
        <f t="shared" si="329"/>
        <v>45748</v>
      </c>
      <c s="250">
        <f t="shared" si="329"/>
        <v>45839</v>
      </c>
      <c s="250">
        <f t="shared" si="329"/>
        <v>45931</v>
      </c>
      <c s="250">
        <f t="shared" si="329"/>
        <v>46023</v>
      </c>
      <c s="250">
        <f t="shared" si="329"/>
        <v>46113</v>
      </c>
      <c s="250">
        <f t="shared" si="329"/>
        <v>46204</v>
      </c>
      <c s="250">
        <f t="shared" si="329"/>
        <v>46296</v>
      </c>
      <c s="250">
        <f t="shared" si="329"/>
        <v>46388</v>
      </c>
      <c s="250">
        <f t="shared" si="329"/>
        <v>46478</v>
      </c>
      <c s="250">
        <f t="shared" si="329"/>
        <v>46569</v>
      </c>
      <c s="250">
        <f t="shared" si="329"/>
        <v>46661</v>
      </c>
      <c s="250">
        <f t="shared" si="329"/>
        <v>46753</v>
      </c>
      <c s="250">
        <f t="shared" si="329"/>
        <v>46844</v>
      </c>
      <c s="250">
        <f t="shared" si="329"/>
        <v>46935</v>
      </c>
      <c s="250">
        <f t="shared" si="329"/>
        <v>47027</v>
      </c>
      <c s="250">
        <f t="shared" si="329"/>
        <v>47119</v>
      </c>
      <c s="250">
        <f t="shared" si="329"/>
        <v>47209</v>
      </c>
      <c s="250">
        <f t="shared" si="329"/>
        <v>47300</v>
      </c>
      <c s="250">
        <f t="shared" si="329"/>
        <v>47392</v>
      </c>
      <c s="250">
        <f t="shared" si="329"/>
        <v>47484</v>
      </c>
      <c s="250">
        <f t="shared" si="329"/>
        <v>47574</v>
      </c>
      <c s="250">
        <f t="shared" si="329"/>
        <v>47665</v>
      </c>
      <c s="250">
        <f t="shared" si="329"/>
        <v>47757</v>
      </c>
      <c s="250">
        <f t="shared" si="329"/>
        <v>47849</v>
      </c>
      <c s="250">
        <f t="shared" si="329"/>
        <v>47939</v>
      </c>
      <c s="250">
        <f t="shared" si="329"/>
        <v>48030</v>
      </c>
      <c s="250">
        <f t="shared" si="329"/>
        <v>48122</v>
      </c>
      <c s="250">
        <f t="shared" si="329"/>
        <v>48214</v>
      </c>
      <c s="250">
        <f t="shared" si="330" ref="AG390:AG391">AH347</f>
        <v>48305</v>
      </c>
      <c s="250">
        <f t="shared" si="331" ref="AH390:AH391">AI347</f>
        <v>48396</v>
      </c>
      <c s="250">
        <f t="shared" si="332" ref="AI390:AI391">AJ347</f>
        <v>48488</v>
      </c>
      <c s="250">
        <f t="shared" si="333" ref="AJ390:AJ391">AK347</f>
        <v>48580</v>
      </c>
      <c s="250">
        <f t="shared" si="334" ref="AK390:AK391">AL347</f>
        <v>48670</v>
      </c>
      <c s="250">
        <f t="shared" si="335" ref="AL390:AL391">AM347</f>
        <v>48761</v>
      </c>
      <c s="250">
        <f t="shared" si="336" ref="AM390:AM391">AN347</f>
        <v>48853</v>
      </c>
      <c s="250">
        <f t="shared" si="337" ref="AN390:AN391">AO347</f>
        <v>48945</v>
      </c>
      <c s="250">
        <f t="shared" si="338" ref="AO390:AO391">AP347</f>
        <v>49035</v>
      </c>
      <c s="250">
        <f t="shared" si="339" ref="AP390:AP391">AQ347</f>
        <v>49126</v>
      </c>
      <c s="250">
        <f t="shared" si="340" ref="AQ390:AQ391">AR347</f>
        <v>49218</v>
      </c>
      <c s="250">
        <f t="shared" si="341" ref="AR390:AR391">AS347</f>
        <v>49310</v>
      </c>
      <c s="250">
        <f t="shared" si="342" ref="AS390:AS391">AT347</f>
        <v>49400</v>
      </c>
      <c s="250">
        <f t="shared" si="343" ref="AT390:AT391">AU347</f>
        <v>49491</v>
      </c>
      <c s="250">
        <f t="shared" si="344" ref="AU390:AU391">AV347</f>
        <v>49583</v>
      </c>
      <c s="250">
        <f t="shared" si="345" ref="AV390:AV391">AW347</f>
        <v>49675</v>
      </c>
      <c s="250">
        <f t="shared" si="346" ref="AW390:AW391">AX347</f>
        <v>49766</v>
      </c>
      <c s="250">
        <f t="shared" si="347" ref="AX390:AX391">AY347</f>
        <v>49857</v>
      </c>
      <c s="250">
        <f t="shared" si="348" ref="AY390:AY391">AZ347</f>
        <v>49949</v>
      </c>
      <c s="250">
        <f t="shared" si="349" ref="AZ390:AZ391">BA347</f>
        <v>50041</v>
      </c>
      <c s="250">
        <f t="shared" si="350" ref="BA390:BA391">BB347</f>
        <v>50131</v>
      </c>
      <c s="250">
        <f t="shared" si="351" ref="BB390:BB391">BC347</f>
        <v>50222</v>
      </c>
      <c s="250">
        <f t="shared" si="352" ref="BC390:BC391">BD347</f>
        <v>50314</v>
      </c>
      <c s="250">
        <f t="shared" si="353" ref="BD390:BD391">BE347</f>
        <v>50406</v>
      </c>
      <c s="250">
        <f t="shared" si="354" ref="BE390:BE391">BF347</f>
        <v>50496</v>
      </c>
      <c s="250">
        <f t="shared" si="355" ref="BF390:BF391">BG347</f>
        <v>50587</v>
      </c>
      <c s="250">
        <f t="shared" si="356" ref="BG390:BG391">BH347</f>
        <v>50679</v>
      </c>
      <c s="250">
        <f t="shared" si="357" ref="BH390:BH391">BI347</f>
        <v>50771</v>
      </c>
      <c s="250">
        <f t="shared" si="358" ref="BI390:BL391">BJ347</f>
        <v>50861</v>
      </c>
      <c s="250">
        <f t="shared" si="358"/>
        <v>50952</v>
      </c>
      <c s="250">
        <f t="shared" si="358"/>
        <v>51044</v>
      </c>
      <c s="250">
        <f t="shared" si="358"/>
        <v>51136</v>
      </c>
    </row>
    <row r="391" spans="2:64" ht="14.45">
      <c r="B391" s="527"/>
      <c s="559"/>
      <c s="250">
        <f t="shared" si="359" ref="D391:AF391">E348</f>
        <v>45747</v>
      </c>
      <c s="250">
        <f t="shared" si="359"/>
        <v>45838</v>
      </c>
      <c s="250">
        <f t="shared" si="359"/>
        <v>45930</v>
      </c>
      <c s="250">
        <f t="shared" si="359"/>
        <v>46022</v>
      </c>
      <c s="250">
        <f t="shared" si="359"/>
        <v>46112</v>
      </c>
      <c s="250">
        <f t="shared" si="359"/>
        <v>46203</v>
      </c>
      <c s="250">
        <f t="shared" si="359"/>
        <v>46295</v>
      </c>
      <c s="250">
        <f t="shared" si="359"/>
        <v>46387</v>
      </c>
      <c s="250">
        <f t="shared" si="359"/>
        <v>46477</v>
      </c>
      <c s="250">
        <f t="shared" si="359"/>
        <v>46568</v>
      </c>
      <c s="250">
        <f t="shared" si="359"/>
        <v>46660</v>
      </c>
      <c s="250">
        <f t="shared" si="359"/>
        <v>46752</v>
      </c>
      <c s="250">
        <f t="shared" si="359"/>
        <v>46843</v>
      </c>
      <c s="250">
        <f t="shared" si="359"/>
        <v>46934</v>
      </c>
      <c s="250">
        <f t="shared" si="359"/>
        <v>47026</v>
      </c>
      <c s="250">
        <f t="shared" si="359"/>
        <v>47118</v>
      </c>
      <c s="250">
        <f t="shared" si="359"/>
        <v>47208</v>
      </c>
      <c s="250">
        <f t="shared" si="359"/>
        <v>47299</v>
      </c>
      <c s="250">
        <f t="shared" si="359"/>
        <v>47391</v>
      </c>
      <c s="250">
        <f t="shared" si="359"/>
        <v>47483</v>
      </c>
      <c s="250">
        <f t="shared" si="359"/>
        <v>47573</v>
      </c>
      <c s="250">
        <f t="shared" si="359"/>
        <v>47664</v>
      </c>
      <c s="250">
        <f t="shared" si="359"/>
        <v>47756</v>
      </c>
      <c s="250">
        <f t="shared" si="359"/>
        <v>47848</v>
      </c>
      <c s="250">
        <f t="shared" si="359"/>
        <v>47938</v>
      </c>
      <c s="250">
        <f t="shared" si="359"/>
        <v>48029</v>
      </c>
      <c s="250">
        <f t="shared" si="359"/>
        <v>48121</v>
      </c>
      <c s="250">
        <f t="shared" si="359"/>
        <v>48213</v>
      </c>
      <c s="250">
        <f t="shared" si="359"/>
        <v>48304</v>
      </c>
      <c s="250">
        <f t="shared" si="330"/>
        <v>48395</v>
      </c>
      <c s="250">
        <f t="shared" si="331"/>
        <v>48487</v>
      </c>
      <c s="250">
        <f t="shared" si="332"/>
        <v>48579</v>
      </c>
      <c s="250">
        <f t="shared" si="333"/>
        <v>48669</v>
      </c>
      <c s="250">
        <f t="shared" si="334"/>
        <v>48760</v>
      </c>
      <c s="250">
        <f t="shared" si="335"/>
        <v>48852</v>
      </c>
      <c s="250">
        <f t="shared" si="336"/>
        <v>48944</v>
      </c>
      <c s="250">
        <f t="shared" si="337"/>
        <v>49034</v>
      </c>
      <c s="250">
        <f t="shared" si="338"/>
        <v>49125</v>
      </c>
      <c s="250">
        <f t="shared" si="339"/>
        <v>49217</v>
      </c>
      <c s="250">
        <f t="shared" si="340"/>
        <v>49309</v>
      </c>
      <c s="250">
        <f t="shared" si="341"/>
        <v>49399</v>
      </c>
      <c s="250">
        <f t="shared" si="342"/>
        <v>49490</v>
      </c>
      <c s="250">
        <f t="shared" si="343"/>
        <v>49582</v>
      </c>
      <c s="250">
        <f t="shared" si="344"/>
        <v>49674</v>
      </c>
      <c s="250">
        <f t="shared" si="345"/>
        <v>49765</v>
      </c>
      <c s="250">
        <f t="shared" si="346"/>
        <v>49856</v>
      </c>
      <c s="250">
        <f t="shared" si="347"/>
        <v>49948</v>
      </c>
      <c s="250">
        <f t="shared" si="348"/>
        <v>50040</v>
      </c>
      <c s="250">
        <f t="shared" si="349"/>
        <v>50130</v>
      </c>
      <c s="250">
        <f t="shared" si="350"/>
        <v>50221</v>
      </c>
      <c s="250">
        <f t="shared" si="351"/>
        <v>50313</v>
      </c>
      <c s="250">
        <f t="shared" si="352"/>
        <v>50405</v>
      </c>
      <c s="250">
        <f t="shared" si="353"/>
        <v>50495</v>
      </c>
      <c s="250">
        <f t="shared" si="354"/>
        <v>50586</v>
      </c>
      <c s="250">
        <f t="shared" si="355"/>
        <v>50678</v>
      </c>
      <c s="250">
        <f t="shared" si="356"/>
        <v>50770</v>
      </c>
      <c s="250">
        <f t="shared" si="357"/>
        <v>50860</v>
      </c>
      <c s="250">
        <f t="shared" si="358"/>
        <v>50951</v>
      </c>
      <c s="250">
        <f t="shared" si="358"/>
        <v>51043</v>
      </c>
      <c s="250">
        <f t="shared" si="358"/>
        <v>51135</v>
      </c>
      <c s="250">
        <f t="shared" si="358"/>
        <v>51226</v>
      </c>
    </row>
    <row r="392" spans="2:64" ht="14.45">
      <c r="B392" s="18" t="s">
        <v>520</v>
      </c>
      <c s="278">
        <f>SUM(D392:BL392)</f>
        <v>0</v>
      </c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</row>
    <row r="393" ht="15" customHeight="1"/>
    <row r="394" spans="2:39" ht="15.6">
      <c r="B394" s="24" t="s">
        <v>182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395" spans="2:2" ht="15" customHeight="1">
      <c r="B395" s="25" t="s">
        <v>183</v>
      </c>
    </row>
    <row r="396" spans="2:3" ht="15" customHeight="1">
      <c r="B396" s="17" t="s">
        <v>521</v>
      </c>
      <c s="338"/>
    </row>
    <row r="397" spans="2:3" ht="15" customHeight="1">
      <c r="B397" s="17" t="s">
        <v>522</v>
      </c>
      <c s="339"/>
    </row>
    <row r="398" spans="2:3" ht="15" customHeight="1">
      <c r="B398" s="17" t="str">
        <f>"Ранее привлечено в проект, "&amp;Единица_измерения</f>
        <v>Ранее привлечено в проект, тыс. руб.</v>
      </c>
      <c s="333"/>
    </row>
    <row r="399" ht="15" customHeight="1"/>
    <row r="400" spans="2:39" ht="14.45">
      <c r="B400" s="25" t="str">
        <f>"График привлечения и погашения средств источника в проект, "&amp;Единица_измерения</f>
        <v>График привлечения и погашения средств источника в проект, тыс. руб.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</row>
    <row r="401" spans="1:64" ht="15" customHeight="1">
      <c r="A401" s="20"/>
      <c s="525" t="s">
        <v>53</v>
      </c>
      <c s="525" t="s">
        <v>454</v>
      </c>
      <c s="252">
        <f t="shared" si="360" ref="D401:W401">SUM(C401,1)</f>
        <v>1</v>
      </c>
      <c s="252">
        <f t="shared" si="360"/>
        <v>2</v>
      </c>
      <c s="252">
        <f t="shared" si="360"/>
        <v>3</v>
      </c>
      <c s="252">
        <f t="shared" si="360"/>
        <v>4</v>
      </c>
      <c s="252">
        <f t="shared" si="360"/>
        <v>5</v>
      </c>
      <c s="252">
        <f t="shared" si="360"/>
        <v>6</v>
      </c>
      <c s="252">
        <f t="shared" si="360"/>
        <v>7</v>
      </c>
      <c s="252">
        <f t="shared" si="360"/>
        <v>8</v>
      </c>
      <c s="252">
        <f t="shared" si="360"/>
        <v>9</v>
      </c>
      <c s="252">
        <f t="shared" si="360"/>
        <v>10</v>
      </c>
      <c s="252">
        <f t="shared" si="360"/>
        <v>11</v>
      </c>
      <c s="252">
        <f t="shared" si="360"/>
        <v>12</v>
      </c>
      <c s="252">
        <f t="shared" si="360"/>
        <v>13</v>
      </c>
      <c s="252">
        <f t="shared" si="360"/>
        <v>14</v>
      </c>
      <c s="252">
        <f t="shared" si="360"/>
        <v>15</v>
      </c>
      <c s="252">
        <f t="shared" si="360"/>
        <v>16</v>
      </c>
      <c s="252">
        <f t="shared" si="360"/>
        <v>17</v>
      </c>
      <c s="252">
        <f t="shared" si="360"/>
        <v>18</v>
      </c>
      <c s="252">
        <f t="shared" si="360"/>
        <v>19</v>
      </c>
      <c s="252">
        <f t="shared" si="360"/>
        <v>20</v>
      </c>
      <c s="252">
        <f t="shared" si="361" ref="X401:AF401">SUM(W401,1)</f>
        <v>21</v>
      </c>
      <c s="252">
        <f t="shared" si="361"/>
        <v>22</v>
      </c>
      <c s="252">
        <f t="shared" si="361"/>
        <v>23</v>
      </c>
      <c s="252">
        <f t="shared" si="361"/>
        <v>24</v>
      </c>
      <c s="252">
        <f t="shared" si="361"/>
        <v>25</v>
      </c>
      <c s="252">
        <f t="shared" si="361"/>
        <v>26</v>
      </c>
      <c s="252">
        <f t="shared" si="361"/>
        <v>27</v>
      </c>
      <c s="252">
        <f t="shared" si="361"/>
        <v>28</v>
      </c>
      <c s="252">
        <f t="shared" si="361"/>
        <v>29</v>
      </c>
      <c s="252">
        <f t="shared" si="362" ref="AG401">SUM(AF401,1)</f>
        <v>30</v>
      </c>
      <c s="252">
        <f t="shared" si="363" ref="AH401">SUM(AG401,1)</f>
        <v>31</v>
      </c>
      <c s="252">
        <f t="shared" si="364" ref="AI401">SUM(AH401,1)</f>
        <v>32</v>
      </c>
      <c s="252">
        <f t="shared" si="365" ref="AJ401">SUM(AI401,1)</f>
        <v>33</v>
      </c>
      <c s="252">
        <f t="shared" si="366" ref="AK401">SUM(AJ401,1)</f>
        <v>34</v>
      </c>
      <c s="252">
        <f t="shared" si="367" ref="AL401">SUM(AK401,1)</f>
        <v>35</v>
      </c>
      <c s="252">
        <f t="shared" si="368" ref="AM401">SUM(AL401,1)</f>
        <v>36</v>
      </c>
      <c s="252">
        <f t="shared" si="369" ref="AN401">SUM(AM401,1)</f>
        <v>37</v>
      </c>
      <c s="252">
        <f t="shared" si="370" ref="AO401">SUM(AN401,1)</f>
        <v>38</v>
      </c>
      <c s="252">
        <f t="shared" si="371" ref="AP401">SUM(AO401,1)</f>
        <v>39</v>
      </c>
      <c s="252">
        <f t="shared" si="372" ref="AQ401">SUM(AP401,1)</f>
        <v>40</v>
      </c>
      <c s="252">
        <f t="shared" si="373" ref="AR401">SUM(AQ401,1)</f>
        <v>41</v>
      </c>
      <c s="252">
        <f t="shared" si="374" ref="AS401">SUM(AR401,1)</f>
        <v>42</v>
      </c>
      <c s="252">
        <f t="shared" si="375" ref="AT401">SUM(AS401,1)</f>
        <v>43</v>
      </c>
      <c s="252">
        <f t="shared" si="376" ref="AU401">SUM(AT401,1)</f>
        <v>44</v>
      </c>
      <c s="252">
        <f t="shared" si="377" ref="AV401">SUM(AU401,1)</f>
        <v>45</v>
      </c>
      <c s="252">
        <f t="shared" si="378" ref="AW401">SUM(AV401,1)</f>
        <v>46</v>
      </c>
      <c s="252">
        <f t="shared" si="379" ref="AX401">SUM(AW401,1)</f>
        <v>47</v>
      </c>
      <c s="252">
        <f t="shared" si="380" ref="AY401">SUM(AX401,1)</f>
        <v>48</v>
      </c>
      <c s="252">
        <f t="shared" si="381" ref="AZ401">SUM(AY401,1)</f>
        <v>49</v>
      </c>
      <c s="252">
        <f t="shared" si="382" ref="BA401">SUM(AZ401,1)</f>
        <v>50</v>
      </c>
      <c s="252">
        <f t="shared" si="383" ref="BB401">SUM(BA401,1)</f>
        <v>51</v>
      </c>
      <c s="252">
        <f t="shared" si="384" ref="BC401">SUM(BB401,1)</f>
        <v>52</v>
      </c>
      <c s="252">
        <f t="shared" si="385" ref="BD401">SUM(BC401,1)</f>
        <v>53</v>
      </c>
      <c s="252">
        <f t="shared" si="386" ref="BE401">SUM(BD401,1)</f>
        <v>54</v>
      </c>
      <c s="252">
        <f t="shared" si="387" ref="BF401">SUM(BE401,1)</f>
        <v>55</v>
      </c>
      <c s="252">
        <f t="shared" si="388" ref="BG401">SUM(BF401,1)</f>
        <v>56</v>
      </c>
      <c s="252">
        <f t="shared" si="389" ref="BH401">SUM(BG401,1)</f>
        <v>57</v>
      </c>
      <c s="252">
        <f t="shared" si="390" ref="BI401:BL401">SUM(BH401,1)</f>
        <v>58</v>
      </c>
      <c s="252">
        <f t="shared" si="390"/>
        <v>59</v>
      </c>
      <c s="252">
        <f t="shared" si="390"/>
        <v>60</v>
      </c>
      <c s="252">
        <f t="shared" si="390"/>
        <v>61</v>
      </c>
    </row>
    <row r="402" spans="1:64" ht="14.45">
      <c r="A402" s="20"/>
      <c s="526"/>
      <c s="526"/>
      <c s="250">
        <f t="shared" si="391" ref="D402:AF402">D390</f>
        <v>45658</v>
      </c>
      <c s="250">
        <f t="shared" si="391"/>
        <v>45748</v>
      </c>
      <c s="250">
        <f t="shared" si="391"/>
        <v>45839</v>
      </c>
      <c s="250">
        <f t="shared" si="391"/>
        <v>45931</v>
      </c>
      <c s="250">
        <f t="shared" si="391"/>
        <v>46023</v>
      </c>
      <c s="250">
        <f t="shared" si="391"/>
        <v>46113</v>
      </c>
      <c s="250">
        <f t="shared" si="391"/>
        <v>46204</v>
      </c>
      <c s="250">
        <f t="shared" si="391"/>
        <v>46296</v>
      </c>
      <c s="250">
        <f t="shared" si="391"/>
        <v>46388</v>
      </c>
      <c s="250">
        <f t="shared" si="391"/>
        <v>46478</v>
      </c>
      <c s="250">
        <f t="shared" si="391"/>
        <v>46569</v>
      </c>
      <c s="250">
        <f t="shared" si="391"/>
        <v>46661</v>
      </c>
      <c s="250">
        <f t="shared" si="391"/>
        <v>46753</v>
      </c>
      <c s="250">
        <f t="shared" si="391"/>
        <v>46844</v>
      </c>
      <c s="250">
        <f t="shared" si="391"/>
        <v>46935</v>
      </c>
      <c s="250">
        <f t="shared" si="391"/>
        <v>47027</v>
      </c>
      <c s="250">
        <f t="shared" si="391"/>
        <v>47119</v>
      </c>
      <c s="250">
        <f t="shared" si="391"/>
        <v>47209</v>
      </c>
      <c s="250">
        <f t="shared" si="391"/>
        <v>47300</v>
      </c>
      <c s="250">
        <f t="shared" si="391"/>
        <v>47392</v>
      </c>
      <c s="250">
        <f t="shared" si="391"/>
        <v>47484</v>
      </c>
      <c s="250">
        <f t="shared" si="391"/>
        <v>47574</v>
      </c>
      <c s="250">
        <f t="shared" si="391"/>
        <v>47665</v>
      </c>
      <c s="250">
        <f t="shared" si="391"/>
        <v>47757</v>
      </c>
      <c s="250">
        <f t="shared" si="391"/>
        <v>47849</v>
      </c>
      <c s="250">
        <f t="shared" si="391"/>
        <v>47939</v>
      </c>
      <c s="250">
        <f t="shared" si="391"/>
        <v>48030</v>
      </c>
      <c s="250">
        <f t="shared" si="391"/>
        <v>48122</v>
      </c>
      <c s="250">
        <f t="shared" si="391"/>
        <v>48214</v>
      </c>
      <c s="250">
        <f t="shared" si="392" ref="AG402:BI402">AG390</f>
        <v>48305</v>
      </c>
      <c s="250">
        <f t="shared" si="392"/>
        <v>48396</v>
      </c>
      <c s="250">
        <f t="shared" si="392"/>
        <v>48488</v>
      </c>
      <c s="250">
        <f t="shared" si="392"/>
        <v>48580</v>
      </c>
      <c s="250">
        <f t="shared" si="392"/>
        <v>48670</v>
      </c>
      <c s="250">
        <f t="shared" si="392"/>
        <v>48761</v>
      </c>
      <c s="250">
        <f t="shared" si="392"/>
        <v>48853</v>
      </c>
      <c s="250">
        <f t="shared" si="392"/>
        <v>48945</v>
      </c>
      <c s="250">
        <f t="shared" si="392"/>
        <v>49035</v>
      </c>
      <c s="250">
        <f t="shared" si="392"/>
        <v>49126</v>
      </c>
      <c s="250">
        <f t="shared" si="392"/>
        <v>49218</v>
      </c>
      <c s="250">
        <f t="shared" si="392"/>
        <v>49310</v>
      </c>
      <c s="250">
        <f t="shared" si="392"/>
        <v>49400</v>
      </c>
      <c s="250">
        <f t="shared" si="392"/>
        <v>49491</v>
      </c>
      <c s="250">
        <f t="shared" si="392"/>
        <v>49583</v>
      </c>
      <c s="250">
        <f t="shared" si="392"/>
        <v>49675</v>
      </c>
      <c s="250">
        <f t="shared" si="392"/>
        <v>49766</v>
      </c>
      <c s="250">
        <f t="shared" si="392"/>
        <v>49857</v>
      </c>
      <c s="250">
        <f t="shared" si="392"/>
        <v>49949</v>
      </c>
      <c s="250">
        <f t="shared" si="392"/>
        <v>50041</v>
      </c>
      <c s="250">
        <f t="shared" si="392"/>
        <v>50131</v>
      </c>
      <c s="250">
        <f t="shared" si="392"/>
        <v>50222</v>
      </c>
      <c s="250">
        <f t="shared" si="392"/>
        <v>50314</v>
      </c>
      <c s="250">
        <f t="shared" si="392"/>
        <v>50406</v>
      </c>
      <c s="250">
        <f t="shared" si="392"/>
        <v>50496</v>
      </c>
      <c s="250">
        <f t="shared" si="392"/>
        <v>50587</v>
      </c>
      <c s="250">
        <f t="shared" si="392"/>
        <v>50679</v>
      </c>
      <c s="250">
        <f t="shared" si="392"/>
        <v>50771</v>
      </c>
      <c s="250">
        <f t="shared" si="392"/>
        <v>50861</v>
      </c>
      <c s="250">
        <f t="shared" si="393" ref="BJ402:BL402">BJ390</f>
        <v>50952</v>
      </c>
      <c s="250">
        <f t="shared" si="393"/>
        <v>51044</v>
      </c>
      <c s="250">
        <f t="shared" si="393"/>
        <v>51136</v>
      </c>
    </row>
    <row r="403" spans="1:64" ht="14.45">
      <c r="A403" s="20"/>
      <c s="527"/>
      <c s="527"/>
      <c s="250">
        <f t="shared" si="394" ref="D403:AF403">D391</f>
        <v>45747</v>
      </c>
      <c s="250">
        <f t="shared" si="394"/>
        <v>45838</v>
      </c>
      <c s="250">
        <f t="shared" si="394"/>
        <v>45930</v>
      </c>
      <c s="250">
        <f t="shared" si="394"/>
        <v>46022</v>
      </c>
      <c s="250">
        <f t="shared" si="394"/>
        <v>46112</v>
      </c>
      <c s="250">
        <f t="shared" si="394"/>
        <v>46203</v>
      </c>
      <c s="250">
        <f t="shared" si="394"/>
        <v>46295</v>
      </c>
      <c s="250">
        <f t="shared" si="394"/>
        <v>46387</v>
      </c>
      <c s="250">
        <f t="shared" si="394"/>
        <v>46477</v>
      </c>
      <c s="250">
        <f t="shared" si="394"/>
        <v>46568</v>
      </c>
      <c s="250">
        <f t="shared" si="394"/>
        <v>46660</v>
      </c>
      <c s="250">
        <f t="shared" si="394"/>
        <v>46752</v>
      </c>
      <c s="250">
        <f t="shared" si="394"/>
        <v>46843</v>
      </c>
      <c s="250">
        <f t="shared" si="394"/>
        <v>46934</v>
      </c>
      <c s="250">
        <f t="shared" si="394"/>
        <v>47026</v>
      </c>
      <c s="250">
        <f t="shared" si="394"/>
        <v>47118</v>
      </c>
      <c s="250">
        <f t="shared" si="394"/>
        <v>47208</v>
      </c>
      <c s="250">
        <f t="shared" si="394"/>
        <v>47299</v>
      </c>
      <c s="250">
        <f t="shared" si="394"/>
        <v>47391</v>
      </c>
      <c s="250">
        <f t="shared" si="394"/>
        <v>47483</v>
      </c>
      <c s="250">
        <f t="shared" si="394"/>
        <v>47573</v>
      </c>
      <c s="250">
        <f t="shared" si="394"/>
        <v>47664</v>
      </c>
      <c s="250">
        <f t="shared" si="394"/>
        <v>47756</v>
      </c>
      <c s="250">
        <f t="shared" si="394"/>
        <v>47848</v>
      </c>
      <c s="250">
        <f t="shared" si="394"/>
        <v>47938</v>
      </c>
      <c s="250">
        <f t="shared" si="394"/>
        <v>48029</v>
      </c>
      <c s="250">
        <f t="shared" si="394"/>
        <v>48121</v>
      </c>
      <c s="250">
        <f t="shared" si="394"/>
        <v>48213</v>
      </c>
      <c s="250">
        <f t="shared" si="394"/>
        <v>48304</v>
      </c>
      <c s="250">
        <f t="shared" si="395" ref="AG403:BI403">AG391</f>
        <v>48395</v>
      </c>
      <c s="250">
        <f t="shared" si="395"/>
        <v>48487</v>
      </c>
      <c s="250">
        <f t="shared" si="395"/>
        <v>48579</v>
      </c>
      <c s="250">
        <f t="shared" si="395"/>
        <v>48669</v>
      </c>
      <c s="250">
        <f t="shared" si="395"/>
        <v>48760</v>
      </c>
      <c s="250">
        <f t="shared" si="395"/>
        <v>48852</v>
      </c>
      <c s="250">
        <f t="shared" si="395"/>
        <v>48944</v>
      </c>
      <c s="250">
        <f t="shared" si="395"/>
        <v>49034</v>
      </c>
      <c s="250">
        <f t="shared" si="395"/>
        <v>49125</v>
      </c>
      <c s="250">
        <f t="shared" si="395"/>
        <v>49217</v>
      </c>
      <c s="250">
        <f t="shared" si="395"/>
        <v>49309</v>
      </c>
      <c s="250">
        <f t="shared" si="395"/>
        <v>49399</v>
      </c>
      <c s="250">
        <f t="shared" si="395"/>
        <v>49490</v>
      </c>
      <c s="250">
        <f t="shared" si="395"/>
        <v>49582</v>
      </c>
      <c s="250">
        <f t="shared" si="395"/>
        <v>49674</v>
      </c>
      <c s="250">
        <f t="shared" si="395"/>
        <v>49765</v>
      </c>
      <c s="250">
        <f t="shared" si="395"/>
        <v>49856</v>
      </c>
      <c s="250">
        <f t="shared" si="395"/>
        <v>49948</v>
      </c>
      <c s="250">
        <f t="shared" si="395"/>
        <v>50040</v>
      </c>
      <c s="250">
        <f t="shared" si="395"/>
        <v>50130</v>
      </c>
      <c s="250">
        <f t="shared" si="395"/>
        <v>50221</v>
      </c>
      <c s="250">
        <f t="shared" si="395"/>
        <v>50313</v>
      </c>
      <c s="250">
        <f t="shared" si="395"/>
        <v>50405</v>
      </c>
      <c s="250">
        <f t="shared" si="395"/>
        <v>50495</v>
      </c>
      <c s="250">
        <f t="shared" si="395"/>
        <v>50586</v>
      </c>
      <c s="250">
        <f t="shared" si="395"/>
        <v>50678</v>
      </c>
      <c s="250">
        <f t="shared" si="395"/>
        <v>50770</v>
      </c>
      <c s="250">
        <f t="shared" si="395"/>
        <v>50860</v>
      </c>
      <c s="250">
        <f t="shared" si="395"/>
        <v>50951</v>
      </c>
      <c s="250">
        <f t="shared" si="396" ref="BJ403:BL403">BJ391</f>
        <v>51043</v>
      </c>
      <c s="250">
        <f t="shared" si="396"/>
        <v>51135</v>
      </c>
      <c s="250">
        <f t="shared" si="396"/>
        <v>51226</v>
      </c>
    </row>
    <row r="404" spans="2:64" ht="14.45">
      <c r="B404" s="18" t="s">
        <v>189</v>
      </c>
      <c s="278">
        <f>SUM(D404:BL404)</f>
        <v>0</v>
      </c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  <c s="332"/>
    </row>
    <row r="405" spans="2:64" ht="15" customHeight="1">
      <c r="B405" s="16" t="s">
        <v>191</v>
      </c>
      <c s="279">
        <f>SUM(D405:BL405)</f>
        <v>0</v>
      </c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  <c s="333"/>
    </row>
    <row r="406" ht="15" customHeight="1"/>
    <row r="407" spans="2:3" ht="15" customHeight="1">
      <c r="B407" s="648" t="s">
        <v>523</v>
      </c>
      <c s="47" t="str">
        <f>IFERROR(IF(C405&gt;SUM(C404,C398),"Q","R"),"Q")</f>
        <v>R</v>
      </c>
    </row>
    <row r="408" ht="15" customHeight="1"/>
    <row r="409" spans="2:39" ht="15.6">
      <c r="B409" s="24" t="s">
        <v>194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10" spans="2:2" ht="15" customHeight="1">
      <c r="B410" s="25" t="s">
        <v>183</v>
      </c>
    </row>
    <row r="411" spans="2:3" ht="15" customHeight="1">
      <c r="B411" s="17" t="s">
        <v>524</v>
      </c>
      <c s="297"/>
    </row>
    <row r="412" spans="2:3" ht="15" customHeight="1">
      <c r="B412" s="17" t="s">
        <v>522</v>
      </c>
      <c s="339"/>
    </row>
    <row r="413" spans="2:3" ht="15" customHeight="1">
      <c r="B413" s="17" t="str">
        <f>"Ранее привлечено в проект, "&amp;Единица_измерения</f>
        <v>Ранее привлечено в проект, тыс. руб.</v>
      </c>
      <c s="333"/>
    </row>
    <row r="414" ht="15" customHeight="1"/>
    <row r="415" spans="2:39" ht="14.45">
      <c r="B415" s="25" t="str">
        <f>"График привлечения и погашения средств источника в проект, "&amp;Единица_измерения</f>
        <v>График привлечения и погашения средств источника в проект, тыс. руб.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</row>
    <row r="416" spans="1:64" ht="15" customHeight="1">
      <c r="A416" s="20"/>
      <c s="525" t="s">
        <v>53</v>
      </c>
      <c s="525" t="s">
        <v>454</v>
      </c>
      <c s="252">
        <f>SUM(C416,1)</f>
        <v>1</v>
      </c>
      <c s="252">
        <f t="shared" si="397" ref="E416:W416">SUM(D416,1)</f>
        <v>2</v>
      </c>
      <c s="252">
        <f t="shared" si="397"/>
        <v>3</v>
      </c>
      <c s="252">
        <f t="shared" si="397"/>
        <v>4</v>
      </c>
      <c s="252">
        <f t="shared" si="397"/>
        <v>5</v>
      </c>
      <c s="252">
        <f t="shared" si="397"/>
        <v>6</v>
      </c>
      <c s="252">
        <f t="shared" si="397"/>
        <v>7</v>
      </c>
      <c s="252">
        <f t="shared" si="397"/>
        <v>8</v>
      </c>
      <c s="252">
        <f t="shared" si="397"/>
        <v>9</v>
      </c>
      <c s="252">
        <f t="shared" si="397"/>
        <v>10</v>
      </c>
      <c s="252">
        <f t="shared" si="397"/>
        <v>11</v>
      </c>
      <c s="252">
        <f t="shared" si="397"/>
        <v>12</v>
      </c>
      <c s="252">
        <f t="shared" si="397"/>
        <v>13</v>
      </c>
      <c s="252">
        <f t="shared" si="397"/>
        <v>14</v>
      </c>
      <c s="252">
        <f t="shared" si="397"/>
        <v>15</v>
      </c>
      <c s="252">
        <f t="shared" si="397"/>
        <v>16</v>
      </c>
      <c s="252">
        <f t="shared" si="397"/>
        <v>17</v>
      </c>
      <c s="252">
        <f t="shared" si="397"/>
        <v>18</v>
      </c>
      <c s="252">
        <f t="shared" si="397"/>
        <v>19</v>
      </c>
      <c s="252">
        <f t="shared" si="397"/>
        <v>20</v>
      </c>
      <c s="252">
        <f t="shared" si="398" ref="X416:AF416">SUM(W416,1)</f>
        <v>21</v>
      </c>
      <c s="252">
        <f t="shared" si="398"/>
        <v>22</v>
      </c>
      <c s="252">
        <f t="shared" si="398"/>
        <v>23</v>
      </c>
      <c s="252">
        <f t="shared" si="398"/>
        <v>24</v>
      </c>
      <c s="252">
        <f t="shared" si="398"/>
        <v>25</v>
      </c>
      <c s="252">
        <f t="shared" si="398"/>
        <v>26</v>
      </c>
      <c s="252">
        <f t="shared" si="398"/>
        <v>27</v>
      </c>
      <c s="252">
        <f t="shared" si="398"/>
        <v>28</v>
      </c>
      <c s="252">
        <f t="shared" si="398"/>
        <v>29</v>
      </c>
      <c s="252">
        <f t="shared" si="399" ref="AG416">SUM(AF416,1)</f>
        <v>30</v>
      </c>
      <c s="252">
        <f t="shared" si="400" ref="AH416">SUM(AG416,1)</f>
        <v>31</v>
      </c>
      <c s="252">
        <f t="shared" si="401" ref="AI416">SUM(AH416,1)</f>
        <v>32</v>
      </c>
      <c s="252">
        <f t="shared" si="402" ref="AJ416">SUM(AI416,1)</f>
        <v>33</v>
      </c>
      <c s="252">
        <f t="shared" si="403" ref="AK416">SUM(AJ416,1)</f>
        <v>34</v>
      </c>
      <c s="252">
        <f t="shared" si="404" ref="AL416">SUM(AK416,1)</f>
        <v>35</v>
      </c>
      <c s="252">
        <f t="shared" si="405" ref="AM416">SUM(AL416,1)</f>
        <v>36</v>
      </c>
      <c s="252">
        <f t="shared" si="406" ref="AN416">SUM(AM416,1)</f>
        <v>37</v>
      </c>
      <c s="252">
        <f t="shared" si="407" ref="AO416">SUM(AN416,1)</f>
        <v>38</v>
      </c>
      <c s="252">
        <f t="shared" si="408" ref="AP416">SUM(AO416,1)</f>
        <v>39</v>
      </c>
      <c s="252">
        <f t="shared" si="409" ref="AQ416">SUM(AP416,1)</f>
        <v>40</v>
      </c>
      <c s="252">
        <f t="shared" si="410" ref="AR416">SUM(AQ416,1)</f>
        <v>41</v>
      </c>
      <c s="252">
        <f t="shared" si="411" ref="AS416">SUM(AR416,1)</f>
        <v>42</v>
      </c>
      <c s="252">
        <f t="shared" si="412" ref="AT416">SUM(AS416,1)</f>
        <v>43</v>
      </c>
      <c s="252">
        <f t="shared" si="413" ref="AU416">SUM(AT416,1)</f>
        <v>44</v>
      </c>
      <c s="252">
        <f t="shared" si="414" ref="AV416">SUM(AU416,1)</f>
        <v>45</v>
      </c>
      <c s="252">
        <f t="shared" si="415" ref="AW416">SUM(AV416,1)</f>
        <v>46</v>
      </c>
      <c s="252">
        <f t="shared" si="416" ref="AX416">SUM(AW416,1)</f>
        <v>47</v>
      </c>
      <c s="252">
        <f t="shared" si="417" ref="AY416">SUM(AX416,1)</f>
        <v>48</v>
      </c>
      <c s="252">
        <f t="shared" si="418" ref="AZ416">SUM(AY416,1)</f>
        <v>49</v>
      </c>
      <c s="252">
        <f t="shared" si="419" ref="BA416">SUM(AZ416,1)</f>
        <v>50</v>
      </c>
      <c s="252">
        <f t="shared" si="420" ref="BB416">SUM(BA416,1)</f>
        <v>51</v>
      </c>
      <c s="252">
        <f t="shared" si="421" ref="BC416">SUM(BB416,1)</f>
        <v>52</v>
      </c>
      <c s="252">
        <f t="shared" si="422" ref="BD416">SUM(BC416,1)</f>
        <v>53</v>
      </c>
      <c s="252">
        <f t="shared" si="423" ref="BE416">SUM(BD416,1)</f>
        <v>54</v>
      </c>
      <c s="252">
        <f t="shared" si="424" ref="BF416">SUM(BE416,1)</f>
        <v>55</v>
      </c>
      <c s="252">
        <f t="shared" si="425" ref="BG416">SUM(BF416,1)</f>
        <v>56</v>
      </c>
      <c s="252">
        <f t="shared" si="426" ref="BH416">SUM(BG416,1)</f>
        <v>57</v>
      </c>
      <c s="252">
        <f t="shared" si="427" ref="BI416:BL416">SUM(BH416,1)</f>
        <v>58</v>
      </c>
      <c s="252">
        <f t="shared" si="427"/>
        <v>59</v>
      </c>
      <c s="252">
        <f t="shared" si="427"/>
        <v>60</v>
      </c>
      <c s="252">
        <f t="shared" si="427"/>
        <v>61</v>
      </c>
    </row>
    <row r="417" spans="1:64" ht="14.45">
      <c r="A417" s="20"/>
      <c s="526"/>
      <c s="526"/>
      <c s="250">
        <f t="shared" si="428" ref="D417:AF417">D427</f>
        <v>45658</v>
      </c>
      <c s="250">
        <f t="shared" si="428"/>
        <v>45748</v>
      </c>
      <c s="250">
        <f t="shared" si="428"/>
        <v>45839</v>
      </c>
      <c s="250">
        <f t="shared" si="428"/>
        <v>45931</v>
      </c>
      <c s="250">
        <f t="shared" si="428"/>
        <v>46023</v>
      </c>
      <c s="250">
        <f t="shared" si="428"/>
        <v>46113</v>
      </c>
      <c s="250">
        <f t="shared" si="428"/>
        <v>46204</v>
      </c>
      <c s="250">
        <f t="shared" si="428"/>
        <v>46296</v>
      </c>
      <c s="250">
        <f t="shared" si="428"/>
        <v>46388</v>
      </c>
      <c s="250">
        <f t="shared" si="428"/>
        <v>46478</v>
      </c>
      <c s="250">
        <f t="shared" si="428"/>
        <v>46569</v>
      </c>
      <c s="250">
        <f t="shared" si="428"/>
        <v>46661</v>
      </c>
      <c s="250">
        <f t="shared" si="428"/>
        <v>46753</v>
      </c>
      <c s="250">
        <f t="shared" si="428"/>
        <v>46844</v>
      </c>
      <c s="250">
        <f t="shared" si="428"/>
        <v>46935</v>
      </c>
      <c s="250">
        <f t="shared" si="428"/>
        <v>47027</v>
      </c>
      <c s="250">
        <f t="shared" si="428"/>
        <v>47119</v>
      </c>
      <c s="250">
        <f t="shared" si="428"/>
        <v>47209</v>
      </c>
      <c s="250">
        <f t="shared" si="428"/>
        <v>47300</v>
      </c>
      <c s="250">
        <f t="shared" si="428"/>
        <v>47392</v>
      </c>
      <c s="250">
        <f t="shared" si="428"/>
        <v>47484</v>
      </c>
      <c s="250">
        <f t="shared" si="428"/>
        <v>47574</v>
      </c>
      <c s="250">
        <f t="shared" si="428"/>
        <v>47665</v>
      </c>
      <c s="250">
        <f t="shared" si="428"/>
        <v>47757</v>
      </c>
      <c s="250">
        <f t="shared" si="428"/>
        <v>47849</v>
      </c>
      <c s="250">
        <f t="shared" si="428"/>
        <v>47939</v>
      </c>
      <c s="250">
        <f t="shared" si="428"/>
        <v>48030</v>
      </c>
      <c s="250">
        <f t="shared" si="428"/>
        <v>48122</v>
      </c>
      <c s="250">
        <f t="shared" si="428"/>
        <v>48214</v>
      </c>
      <c s="250">
        <f t="shared" si="429" ref="AG417:BI417">AG427</f>
        <v>48305</v>
      </c>
      <c s="250">
        <f t="shared" si="429"/>
        <v>48396</v>
      </c>
      <c s="250">
        <f t="shared" si="429"/>
        <v>48488</v>
      </c>
      <c s="250">
        <f t="shared" si="429"/>
        <v>48580</v>
      </c>
      <c s="250">
        <f t="shared" si="429"/>
        <v>48670</v>
      </c>
      <c s="250">
        <f t="shared" si="429"/>
        <v>48761</v>
      </c>
      <c s="250">
        <f t="shared" si="429"/>
        <v>48853</v>
      </c>
      <c s="250">
        <f t="shared" si="429"/>
        <v>48945</v>
      </c>
      <c s="250">
        <f t="shared" si="429"/>
        <v>49035</v>
      </c>
      <c s="250">
        <f t="shared" si="429"/>
        <v>49126</v>
      </c>
      <c s="250">
        <f t="shared" si="429"/>
        <v>49218</v>
      </c>
      <c s="250">
        <f t="shared" si="429"/>
        <v>49310</v>
      </c>
      <c s="250">
        <f t="shared" si="429"/>
        <v>49400</v>
      </c>
      <c s="250">
        <f t="shared" si="429"/>
        <v>49491</v>
      </c>
      <c s="250">
        <f t="shared" si="429"/>
        <v>49583</v>
      </c>
      <c s="250">
        <f t="shared" si="429"/>
        <v>49675</v>
      </c>
      <c s="250">
        <f t="shared" si="429"/>
        <v>49766</v>
      </c>
      <c s="250">
        <f t="shared" si="429"/>
        <v>49857</v>
      </c>
      <c s="250">
        <f t="shared" si="429"/>
        <v>49949</v>
      </c>
      <c s="250">
        <f t="shared" si="429"/>
        <v>50041</v>
      </c>
      <c s="250">
        <f t="shared" si="429"/>
        <v>50131</v>
      </c>
      <c s="250">
        <f t="shared" si="429"/>
        <v>50222</v>
      </c>
      <c s="250">
        <f t="shared" si="429"/>
        <v>50314</v>
      </c>
      <c s="250">
        <f t="shared" si="429"/>
        <v>50406</v>
      </c>
      <c s="250">
        <f t="shared" si="429"/>
        <v>50496</v>
      </c>
      <c s="250">
        <f t="shared" si="429"/>
        <v>50587</v>
      </c>
      <c s="250">
        <f t="shared" si="429"/>
        <v>50679</v>
      </c>
      <c s="250">
        <f t="shared" si="429"/>
        <v>50771</v>
      </c>
      <c s="250">
        <f t="shared" si="429"/>
        <v>50861</v>
      </c>
      <c s="250">
        <f t="shared" si="430" ref="BJ417:BL417">BJ427</f>
        <v>50952</v>
      </c>
      <c s="250">
        <f t="shared" si="430"/>
        <v>51044</v>
      </c>
      <c s="250">
        <f t="shared" si="430"/>
        <v>51136</v>
      </c>
    </row>
    <row r="418" spans="1:64" ht="14.45">
      <c r="A418" s="20"/>
      <c s="527"/>
      <c s="527"/>
      <c s="250">
        <f t="shared" si="431" ref="D418:AF418">D428</f>
        <v>45747</v>
      </c>
      <c s="250">
        <f t="shared" si="431"/>
        <v>45838</v>
      </c>
      <c s="250">
        <f t="shared" si="431"/>
        <v>45930</v>
      </c>
      <c s="250">
        <f t="shared" si="431"/>
        <v>46022</v>
      </c>
      <c s="250">
        <f t="shared" si="431"/>
        <v>46112</v>
      </c>
      <c s="250">
        <f t="shared" si="431"/>
        <v>46203</v>
      </c>
      <c s="250">
        <f t="shared" si="431"/>
        <v>46295</v>
      </c>
      <c s="250">
        <f t="shared" si="431"/>
        <v>46387</v>
      </c>
      <c s="250">
        <f t="shared" si="431"/>
        <v>46477</v>
      </c>
      <c s="250">
        <f t="shared" si="431"/>
        <v>46568</v>
      </c>
      <c s="250">
        <f t="shared" si="431"/>
        <v>46660</v>
      </c>
      <c s="250">
        <f t="shared" si="431"/>
        <v>46752</v>
      </c>
      <c s="250">
        <f t="shared" si="431"/>
        <v>46843</v>
      </c>
      <c s="250">
        <f t="shared" si="431"/>
        <v>46934</v>
      </c>
      <c s="250">
        <f t="shared" si="431"/>
        <v>47026</v>
      </c>
      <c s="250">
        <f t="shared" si="431"/>
        <v>47118</v>
      </c>
      <c s="250">
        <f t="shared" si="431"/>
        <v>47208</v>
      </c>
      <c s="250">
        <f t="shared" si="431"/>
        <v>47299</v>
      </c>
      <c s="250">
        <f t="shared" si="431"/>
        <v>47391</v>
      </c>
      <c s="250">
        <f t="shared" si="431"/>
        <v>47483</v>
      </c>
      <c s="250">
        <f t="shared" si="431"/>
        <v>47573</v>
      </c>
      <c s="250">
        <f t="shared" si="431"/>
        <v>47664</v>
      </c>
      <c s="250">
        <f t="shared" si="431"/>
        <v>47756</v>
      </c>
      <c s="250">
        <f t="shared" si="431"/>
        <v>47848</v>
      </c>
      <c s="250">
        <f t="shared" si="431"/>
        <v>47938</v>
      </c>
      <c s="250">
        <f t="shared" si="431"/>
        <v>48029</v>
      </c>
      <c s="250">
        <f t="shared" si="431"/>
        <v>48121</v>
      </c>
      <c s="250">
        <f t="shared" si="431"/>
        <v>48213</v>
      </c>
      <c s="250">
        <f t="shared" si="431"/>
        <v>48304</v>
      </c>
      <c s="250">
        <f t="shared" si="432" ref="AG418:BI418">AG428</f>
        <v>48395</v>
      </c>
      <c s="250">
        <f t="shared" si="432"/>
        <v>48487</v>
      </c>
      <c s="250">
        <f t="shared" si="432"/>
        <v>48579</v>
      </c>
      <c s="250">
        <f t="shared" si="432"/>
        <v>48669</v>
      </c>
      <c s="250">
        <f t="shared" si="432"/>
        <v>48760</v>
      </c>
      <c s="250">
        <f t="shared" si="432"/>
        <v>48852</v>
      </c>
      <c s="250">
        <f t="shared" si="432"/>
        <v>48944</v>
      </c>
      <c s="250">
        <f t="shared" si="432"/>
        <v>49034</v>
      </c>
      <c s="250">
        <f t="shared" si="432"/>
        <v>49125</v>
      </c>
      <c s="250">
        <f t="shared" si="432"/>
        <v>49217</v>
      </c>
      <c s="250">
        <f t="shared" si="432"/>
        <v>49309</v>
      </c>
      <c s="250">
        <f t="shared" si="432"/>
        <v>49399</v>
      </c>
      <c s="250">
        <f t="shared" si="432"/>
        <v>49490</v>
      </c>
      <c s="250">
        <f t="shared" si="432"/>
        <v>49582</v>
      </c>
      <c s="250">
        <f t="shared" si="432"/>
        <v>49674</v>
      </c>
      <c s="250">
        <f t="shared" si="432"/>
        <v>49765</v>
      </c>
      <c s="250">
        <f t="shared" si="432"/>
        <v>49856</v>
      </c>
      <c s="250">
        <f t="shared" si="432"/>
        <v>49948</v>
      </c>
      <c s="250">
        <f t="shared" si="432"/>
        <v>50040</v>
      </c>
      <c s="250">
        <f t="shared" si="432"/>
        <v>50130</v>
      </c>
      <c s="250">
        <f t="shared" si="432"/>
        <v>50221</v>
      </c>
      <c s="250">
        <f t="shared" si="432"/>
        <v>50313</v>
      </c>
      <c s="250">
        <f t="shared" si="432"/>
        <v>50405</v>
      </c>
      <c s="250">
        <f t="shared" si="432"/>
        <v>50495</v>
      </c>
      <c s="250">
        <f t="shared" si="432"/>
        <v>50586</v>
      </c>
      <c s="250">
        <f t="shared" si="432"/>
        <v>50678</v>
      </c>
      <c s="250">
        <f t="shared" si="432"/>
        <v>50770</v>
      </c>
      <c s="250">
        <f t="shared" si="432"/>
        <v>50860</v>
      </c>
      <c s="250">
        <f t="shared" si="432"/>
        <v>50951</v>
      </c>
      <c s="250">
        <f t="shared" si="433" ref="BJ418:BL418">BJ428</f>
        <v>51043</v>
      </c>
      <c s="250">
        <f t="shared" si="433"/>
        <v>51135</v>
      </c>
      <c s="250">
        <f t="shared" si="433"/>
        <v>51226</v>
      </c>
    </row>
    <row r="419" spans="2:64" ht="14.45">
      <c r="B419" s="18" t="s">
        <v>197</v>
      </c>
      <c s="280">
        <f>SUM(D419:BL419)</f>
        <v>0</v>
      </c>
      <c s="340"/>
      <c s="340"/>
      <c s="340"/>
      <c s="340"/>
      <c s="340"/>
      <c s="340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</row>
    <row r="420" spans="2:64" ht="15" customHeight="1">
      <c r="B420" s="16" t="s">
        <v>198</v>
      </c>
      <c s="280">
        <f>SUM(D420:BL420)</f>
        <v>0</v>
      </c>
      <c s="340"/>
      <c s="340"/>
      <c s="340"/>
      <c s="340"/>
      <c s="340"/>
      <c s="340"/>
      <c s="340"/>
      <c s="340"/>
      <c s="340"/>
      <c s="340"/>
      <c s="340"/>
      <c s="340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286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  <c s="340"/>
    </row>
    <row r="421" ht="15" customHeight="1"/>
    <row r="422" spans="2:3" ht="15" customHeight="1">
      <c r="B422" s="648" t="s">
        <v>523</v>
      </c>
      <c s="47" t="str">
        <f>IFERROR(IF(C420&gt;SUM(C419,C413),"Q","R"),"Q")</f>
        <v>R</v>
      </c>
    </row>
    <row r="423" ht="15" customHeight="1"/>
    <row r="424" spans="2:39" ht="15.6">
      <c r="B424" s="24" t="str">
        <f>"Заёмное финансирование: заём "&amp;IF(ISNUMBER(SEARCH("РФРП",Программа)),"ФРП и РФРП","ФРП")</f>
        <v>Заёмное финансирование: заём ФРП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25" spans="2:39" ht="14.45">
      <c r="B425" s="78" t="str">
        <f>"График привлечения и погашения средств "&amp;IF(ISNUMBER(SEARCH("РФРП",Программа)),"ФРП и РФРП","ФРП")&amp;" в проект, "&amp;Единица_измерения</f>
        <v>График привлечения и погашения средств ФРП в проект, тыс. руб.</v>
      </c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5"/>
      <c s="5"/>
      <c s="5"/>
      <c s="5"/>
      <c s="5"/>
      <c s="5"/>
      <c s="5"/>
    </row>
    <row r="426" spans="1:64" ht="15" customHeight="1">
      <c r="A426" s="20"/>
      <c s="525" t="s">
        <v>53</v>
      </c>
      <c s="525" t="s">
        <v>454</v>
      </c>
      <c s="252">
        <f t="shared" si="434" ref="D426:AF426">SUM(C426,1)</f>
        <v>1</v>
      </c>
      <c s="252">
        <f t="shared" si="434"/>
        <v>2</v>
      </c>
      <c s="252">
        <f t="shared" si="434"/>
        <v>3</v>
      </c>
      <c s="252">
        <f t="shared" si="434"/>
        <v>4</v>
      </c>
      <c s="252">
        <f t="shared" si="434"/>
        <v>5</v>
      </c>
      <c s="252">
        <f t="shared" si="434"/>
        <v>6</v>
      </c>
      <c s="252">
        <f t="shared" si="434"/>
        <v>7</v>
      </c>
      <c s="252">
        <f t="shared" si="434"/>
        <v>8</v>
      </c>
      <c s="252">
        <f t="shared" si="434"/>
        <v>9</v>
      </c>
      <c s="252">
        <f t="shared" si="434"/>
        <v>10</v>
      </c>
      <c s="252">
        <f t="shared" si="434"/>
        <v>11</v>
      </c>
      <c s="252">
        <f t="shared" si="434"/>
        <v>12</v>
      </c>
      <c s="252">
        <f t="shared" si="434"/>
        <v>13</v>
      </c>
      <c s="252">
        <f t="shared" si="434"/>
        <v>14</v>
      </c>
      <c s="252">
        <f t="shared" si="434"/>
        <v>15</v>
      </c>
      <c s="252">
        <f t="shared" si="434"/>
        <v>16</v>
      </c>
      <c s="252">
        <f t="shared" si="434"/>
        <v>17</v>
      </c>
      <c s="252">
        <f t="shared" si="434"/>
        <v>18</v>
      </c>
      <c s="252">
        <f t="shared" si="434"/>
        <v>19</v>
      </c>
      <c s="252">
        <f t="shared" si="434"/>
        <v>20</v>
      </c>
      <c s="252">
        <f t="shared" si="434"/>
        <v>21</v>
      </c>
      <c s="252">
        <f t="shared" si="434"/>
        <v>22</v>
      </c>
      <c s="252">
        <f t="shared" si="434"/>
        <v>23</v>
      </c>
      <c s="252">
        <f t="shared" si="434"/>
        <v>24</v>
      </c>
      <c s="252">
        <f t="shared" si="434"/>
        <v>25</v>
      </c>
      <c s="252">
        <f t="shared" si="434"/>
        <v>26</v>
      </c>
      <c s="252">
        <f t="shared" si="434"/>
        <v>27</v>
      </c>
      <c s="252">
        <f t="shared" si="434"/>
        <v>28</v>
      </c>
      <c s="252">
        <f t="shared" si="434"/>
        <v>29</v>
      </c>
      <c s="252">
        <f t="shared" si="435" ref="AG426">SUM(AF426,1)</f>
        <v>30</v>
      </c>
      <c s="252">
        <f t="shared" si="436" ref="AH426">SUM(AG426,1)</f>
        <v>31</v>
      </c>
      <c s="252">
        <f t="shared" si="437" ref="AI426">SUM(AH426,1)</f>
        <v>32</v>
      </c>
      <c s="252">
        <f t="shared" si="438" ref="AJ426">SUM(AI426,1)</f>
        <v>33</v>
      </c>
      <c s="252">
        <f t="shared" si="439" ref="AK426">SUM(AJ426,1)</f>
        <v>34</v>
      </c>
      <c s="252">
        <f t="shared" si="440" ref="AL426">SUM(AK426,1)</f>
        <v>35</v>
      </c>
      <c s="252">
        <f t="shared" si="441" ref="AM426">SUM(AL426,1)</f>
        <v>36</v>
      </c>
      <c s="252">
        <f t="shared" si="442" ref="AN426">SUM(AM426,1)</f>
        <v>37</v>
      </c>
      <c s="252">
        <f t="shared" si="443" ref="AO426">SUM(AN426,1)</f>
        <v>38</v>
      </c>
      <c s="252">
        <f t="shared" si="444" ref="AP426">SUM(AO426,1)</f>
        <v>39</v>
      </c>
      <c s="252">
        <f t="shared" si="445" ref="AQ426">SUM(AP426,1)</f>
        <v>40</v>
      </c>
      <c s="252">
        <f t="shared" si="446" ref="AR426">SUM(AQ426,1)</f>
        <v>41</v>
      </c>
      <c s="252">
        <f t="shared" si="447" ref="AS426">SUM(AR426,1)</f>
        <v>42</v>
      </c>
      <c s="252">
        <f t="shared" si="448" ref="AT426">SUM(AS426,1)</f>
        <v>43</v>
      </c>
      <c s="252">
        <f t="shared" si="449" ref="AU426">SUM(AT426,1)</f>
        <v>44</v>
      </c>
      <c s="252">
        <f t="shared" si="450" ref="AV426">SUM(AU426,1)</f>
        <v>45</v>
      </c>
      <c s="252">
        <f t="shared" si="451" ref="AW426">SUM(AV426,1)</f>
        <v>46</v>
      </c>
      <c s="252">
        <f t="shared" si="452" ref="AX426">SUM(AW426,1)</f>
        <v>47</v>
      </c>
      <c s="252">
        <f t="shared" si="453" ref="AY426">SUM(AX426,1)</f>
        <v>48</v>
      </c>
      <c s="252">
        <f t="shared" si="454" ref="AZ426">SUM(AY426,1)</f>
        <v>49</v>
      </c>
      <c s="252">
        <f t="shared" si="455" ref="BA426">SUM(AZ426,1)</f>
        <v>50</v>
      </c>
      <c s="252">
        <f t="shared" si="456" ref="BB426">SUM(BA426,1)</f>
        <v>51</v>
      </c>
      <c s="252">
        <f t="shared" si="457" ref="BC426">SUM(BB426,1)</f>
        <v>52</v>
      </c>
      <c s="252">
        <f t="shared" si="458" ref="BD426">SUM(BC426,1)</f>
        <v>53</v>
      </c>
      <c s="252">
        <f t="shared" si="459" ref="BE426">SUM(BD426,1)</f>
        <v>54</v>
      </c>
      <c s="252">
        <f t="shared" si="460" ref="BF426">SUM(BE426,1)</f>
        <v>55</v>
      </c>
      <c s="252">
        <f t="shared" si="461" ref="BG426">SUM(BF426,1)</f>
        <v>56</v>
      </c>
      <c s="252">
        <f t="shared" si="462" ref="BH426">SUM(BG426,1)</f>
        <v>57</v>
      </c>
      <c s="252">
        <f t="shared" si="463" ref="BI426:BL426">SUM(BH426,1)</f>
        <v>58</v>
      </c>
      <c s="252">
        <f t="shared" si="463"/>
        <v>59</v>
      </c>
      <c s="252">
        <f t="shared" si="463"/>
        <v>60</v>
      </c>
      <c s="252">
        <f t="shared" si="463"/>
        <v>61</v>
      </c>
    </row>
    <row r="427" spans="1:64" ht="14.45">
      <c r="A427" s="20"/>
      <c s="526"/>
      <c s="526"/>
      <c s="250">
        <f t="shared" si="464" ref="D427:AF427">D390</f>
        <v>45658</v>
      </c>
      <c s="250">
        <f t="shared" si="464"/>
        <v>45748</v>
      </c>
      <c s="250">
        <f t="shared" si="464"/>
        <v>45839</v>
      </c>
      <c s="250">
        <f t="shared" si="464"/>
        <v>45931</v>
      </c>
      <c s="250">
        <f t="shared" si="464"/>
        <v>46023</v>
      </c>
      <c s="250">
        <f t="shared" si="464"/>
        <v>46113</v>
      </c>
      <c s="250">
        <f t="shared" si="464"/>
        <v>46204</v>
      </c>
      <c s="250">
        <f t="shared" si="464"/>
        <v>46296</v>
      </c>
      <c s="250">
        <f t="shared" si="464"/>
        <v>46388</v>
      </c>
      <c s="250">
        <f t="shared" si="464"/>
        <v>46478</v>
      </c>
      <c s="250">
        <f t="shared" si="464"/>
        <v>46569</v>
      </c>
      <c s="250">
        <f t="shared" si="464"/>
        <v>46661</v>
      </c>
      <c s="250">
        <f t="shared" si="464"/>
        <v>46753</v>
      </c>
      <c s="250">
        <f t="shared" si="464"/>
        <v>46844</v>
      </c>
      <c s="250">
        <f t="shared" si="464"/>
        <v>46935</v>
      </c>
      <c s="250">
        <f t="shared" si="464"/>
        <v>47027</v>
      </c>
      <c s="250">
        <f t="shared" si="464"/>
        <v>47119</v>
      </c>
      <c s="250">
        <f t="shared" si="464"/>
        <v>47209</v>
      </c>
      <c s="250">
        <f t="shared" si="464"/>
        <v>47300</v>
      </c>
      <c s="250">
        <f t="shared" si="464"/>
        <v>47392</v>
      </c>
      <c s="250">
        <f t="shared" si="464"/>
        <v>47484</v>
      </c>
      <c s="250">
        <f t="shared" si="464"/>
        <v>47574</v>
      </c>
      <c s="250">
        <f t="shared" si="464"/>
        <v>47665</v>
      </c>
      <c s="250">
        <f t="shared" si="464"/>
        <v>47757</v>
      </c>
      <c s="250">
        <f t="shared" si="464"/>
        <v>47849</v>
      </c>
      <c s="250">
        <f t="shared" si="464"/>
        <v>47939</v>
      </c>
      <c s="250">
        <f t="shared" si="464"/>
        <v>48030</v>
      </c>
      <c s="250">
        <f t="shared" si="464"/>
        <v>48122</v>
      </c>
      <c s="250">
        <f t="shared" si="464"/>
        <v>48214</v>
      </c>
      <c s="250">
        <f t="shared" si="465" ref="AG427:BI427">AG390</f>
        <v>48305</v>
      </c>
      <c s="250">
        <f t="shared" si="465"/>
        <v>48396</v>
      </c>
      <c s="250">
        <f t="shared" si="465"/>
        <v>48488</v>
      </c>
      <c s="250">
        <f t="shared" si="465"/>
        <v>48580</v>
      </c>
      <c s="250">
        <f t="shared" si="465"/>
        <v>48670</v>
      </c>
      <c s="250">
        <f t="shared" si="465"/>
        <v>48761</v>
      </c>
      <c s="250">
        <f t="shared" si="465"/>
        <v>48853</v>
      </c>
      <c s="250">
        <f t="shared" si="465"/>
        <v>48945</v>
      </c>
      <c s="250">
        <f t="shared" si="465"/>
        <v>49035</v>
      </c>
      <c s="250">
        <f t="shared" si="465"/>
        <v>49126</v>
      </c>
      <c s="250">
        <f t="shared" si="465"/>
        <v>49218</v>
      </c>
      <c s="250">
        <f t="shared" si="465"/>
        <v>49310</v>
      </c>
      <c s="250">
        <f t="shared" si="465"/>
        <v>49400</v>
      </c>
      <c s="250">
        <f t="shared" si="465"/>
        <v>49491</v>
      </c>
      <c s="250">
        <f t="shared" si="465"/>
        <v>49583</v>
      </c>
      <c s="250">
        <f t="shared" si="465"/>
        <v>49675</v>
      </c>
      <c s="250">
        <f t="shared" si="465"/>
        <v>49766</v>
      </c>
      <c s="250">
        <f t="shared" si="465"/>
        <v>49857</v>
      </c>
      <c s="250">
        <f t="shared" si="465"/>
        <v>49949</v>
      </c>
      <c s="250">
        <f t="shared" si="465"/>
        <v>50041</v>
      </c>
      <c s="250">
        <f t="shared" si="465"/>
        <v>50131</v>
      </c>
      <c s="250">
        <f t="shared" si="465"/>
        <v>50222</v>
      </c>
      <c s="250">
        <f t="shared" si="465"/>
        <v>50314</v>
      </c>
      <c s="250">
        <f t="shared" si="465"/>
        <v>50406</v>
      </c>
      <c s="250">
        <f t="shared" si="465"/>
        <v>50496</v>
      </c>
      <c s="250">
        <f t="shared" si="465"/>
        <v>50587</v>
      </c>
      <c s="250">
        <f t="shared" si="465"/>
        <v>50679</v>
      </c>
      <c s="250">
        <f t="shared" si="465"/>
        <v>50771</v>
      </c>
      <c s="250">
        <f t="shared" si="465"/>
        <v>50861</v>
      </c>
      <c s="250">
        <f t="shared" si="466" ref="BJ427:BL427">BJ390</f>
        <v>50952</v>
      </c>
      <c s="250">
        <f t="shared" si="466"/>
        <v>51044</v>
      </c>
      <c s="250">
        <f t="shared" si="466"/>
        <v>51136</v>
      </c>
    </row>
    <row r="428" spans="1:64" ht="14.45">
      <c r="A428" s="20"/>
      <c s="527"/>
      <c s="527"/>
      <c s="250">
        <f t="shared" si="467" ref="D428:AF428">D391</f>
        <v>45747</v>
      </c>
      <c s="250">
        <f t="shared" si="467"/>
        <v>45838</v>
      </c>
      <c s="250">
        <f t="shared" si="467"/>
        <v>45930</v>
      </c>
      <c s="250">
        <f t="shared" si="467"/>
        <v>46022</v>
      </c>
      <c s="250">
        <f t="shared" si="467"/>
        <v>46112</v>
      </c>
      <c s="250">
        <f t="shared" si="467"/>
        <v>46203</v>
      </c>
      <c s="250">
        <f t="shared" si="467"/>
        <v>46295</v>
      </c>
      <c s="250">
        <f t="shared" si="467"/>
        <v>46387</v>
      </c>
      <c s="250">
        <f t="shared" si="467"/>
        <v>46477</v>
      </c>
      <c s="250">
        <f t="shared" si="467"/>
        <v>46568</v>
      </c>
      <c s="250">
        <f t="shared" si="467"/>
        <v>46660</v>
      </c>
      <c s="250">
        <f t="shared" si="467"/>
        <v>46752</v>
      </c>
      <c s="250">
        <f t="shared" si="467"/>
        <v>46843</v>
      </c>
      <c s="250">
        <f t="shared" si="467"/>
        <v>46934</v>
      </c>
      <c s="250">
        <f t="shared" si="467"/>
        <v>47026</v>
      </c>
      <c s="250">
        <f t="shared" si="467"/>
        <v>47118</v>
      </c>
      <c s="250">
        <f t="shared" si="467"/>
        <v>47208</v>
      </c>
      <c s="250">
        <f t="shared" si="467"/>
        <v>47299</v>
      </c>
      <c s="250">
        <f t="shared" si="467"/>
        <v>47391</v>
      </c>
      <c s="250">
        <f t="shared" si="467"/>
        <v>47483</v>
      </c>
      <c s="250">
        <f t="shared" si="467"/>
        <v>47573</v>
      </c>
      <c s="250">
        <f t="shared" si="467"/>
        <v>47664</v>
      </c>
      <c s="250">
        <f t="shared" si="467"/>
        <v>47756</v>
      </c>
      <c s="250">
        <f t="shared" si="467"/>
        <v>47848</v>
      </c>
      <c s="250">
        <f t="shared" si="467"/>
        <v>47938</v>
      </c>
      <c s="250">
        <f t="shared" si="467"/>
        <v>48029</v>
      </c>
      <c s="250">
        <f t="shared" si="467"/>
        <v>48121</v>
      </c>
      <c s="250">
        <f t="shared" si="467"/>
        <v>48213</v>
      </c>
      <c s="250">
        <f t="shared" si="467"/>
        <v>48304</v>
      </c>
      <c s="250">
        <f t="shared" si="468" ref="AG428:BI428">AG391</f>
        <v>48395</v>
      </c>
      <c s="250">
        <f t="shared" si="468"/>
        <v>48487</v>
      </c>
      <c s="250">
        <f t="shared" si="468"/>
        <v>48579</v>
      </c>
      <c s="250">
        <f t="shared" si="468"/>
        <v>48669</v>
      </c>
      <c s="250">
        <f t="shared" si="468"/>
        <v>48760</v>
      </c>
      <c s="250">
        <f t="shared" si="468"/>
        <v>48852</v>
      </c>
      <c s="250">
        <f t="shared" si="468"/>
        <v>48944</v>
      </c>
      <c s="250">
        <f t="shared" si="468"/>
        <v>49034</v>
      </c>
      <c s="250">
        <f t="shared" si="468"/>
        <v>49125</v>
      </c>
      <c s="250">
        <f t="shared" si="468"/>
        <v>49217</v>
      </c>
      <c s="250">
        <f t="shared" si="468"/>
        <v>49309</v>
      </c>
      <c s="250">
        <f t="shared" si="468"/>
        <v>49399</v>
      </c>
      <c s="250">
        <f t="shared" si="468"/>
        <v>49490</v>
      </c>
      <c s="250">
        <f t="shared" si="468"/>
        <v>49582</v>
      </c>
      <c s="250">
        <f t="shared" si="468"/>
        <v>49674</v>
      </c>
      <c s="250">
        <f t="shared" si="468"/>
        <v>49765</v>
      </c>
      <c s="250">
        <f t="shared" si="468"/>
        <v>49856</v>
      </c>
      <c s="250">
        <f t="shared" si="468"/>
        <v>49948</v>
      </c>
      <c s="250">
        <f t="shared" si="468"/>
        <v>50040</v>
      </c>
      <c s="250">
        <f t="shared" si="468"/>
        <v>50130</v>
      </c>
      <c s="250">
        <f t="shared" si="468"/>
        <v>50221</v>
      </c>
      <c s="250">
        <f t="shared" si="468"/>
        <v>50313</v>
      </c>
      <c s="250">
        <f t="shared" si="468"/>
        <v>50405</v>
      </c>
      <c s="250">
        <f t="shared" si="468"/>
        <v>50495</v>
      </c>
      <c s="250">
        <f t="shared" si="468"/>
        <v>50586</v>
      </c>
      <c s="250">
        <f t="shared" si="468"/>
        <v>50678</v>
      </c>
      <c s="250">
        <f t="shared" si="468"/>
        <v>50770</v>
      </c>
      <c s="250">
        <f t="shared" si="468"/>
        <v>50860</v>
      </c>
      <c s="250">
        <f t="shared" si="468"/>
        <v>50951</v>
      </c>
      <c s="250">
        <f t="shared" si="469" ref="BJ428:BL428">BJ391</f>
        <v>51043</v>
      </c>
      <c s="250">
        <f t="shared" si="469"/>
        <v>51135</v>
      </c>
      <c s="250">
        <f t="shared" si="469"/>
        <v>51226</v>
      </c>
    </row>
    <row r="429" spans="2:64" ht="14.45">
      <c r="B429" s="18" t="s">
        <v>189</v>
      </c>
      <c s="278">
        <f>SUM(D429:BL429)</f>
        <v>0</v>
      </c>
      <c s="163">
        <f>IF(AND('Параметры займа'!$E$10&gt;=D427,'Параметры займа'!$E$10&lt;=D428),'Параметры займа'!$E$8,0)</f>
        <v>0</v>
      </c>
      <c s="163">
        <f>IF(AND('Параметры займа'!$E$10&gt;=E427,'Параметры займа'!$E$10&lt;=E428),'Параметры займа'!$E$8,0)</f>
        <v>0</v>
      </c>
      <c s="163">
        <f>IF(AND('Параметры займа'!$E$10&gt;=F427,'Параметры займа'!$E$10&lt;=F428),'Параметры займа'!$E$8,0)</f>
        <v>0</v>
      </c>
      <c s="163">
        <f>IF(AND('Параметры займа'!$E$10&gt;=G427,'Параметры займа'!$E$10&lt;=G428),'Параметры займа'!$E$8,0)</f>
        <v>0</v>
      </c>
      <c s="163">
        <f>IF(AND('Параметры займа'!$E$10&gt;=H427,'Параметры займа'!$E$10&lt;=H428),'Параметры займа'!$E$8,0)</f>
        <v>0</v>
      </c>
      <c s="163">
        <f>IF(AND('Параметры займа'!$E$10&gt;=I427,'Параметры займа'!$E$10&lt;=I428),'Параметры займа'!$E$8,0)</f>
        <v>0</v>
      </c>
      <c s="163">
        <f>IF(AND('Параметры займа'!$E$10&gt;=J427,'Параметры займа'!$E$10&lt;=J428),'Параметры займа'!$E$8,0)</f>
        <v>0</v>
      </c>
      <c s="163">
        <f>IF(AND('Параметры займа'!$E$10&gt;=K427,'Параметры займа'!$E$10&lt;=K428),'Параметры займа'!$E$8,0)</f>
        <v>0</v>
      </c>
      <c s="163">
        <f>IF(AND('Параметры займа'!$E$10&gt;=L427,'Параметры займа'!$E$10&lt;=L428),'Параметры займа'!$E$8,0)</f>
        <v>0</v>
      </c>
      <c s="163">
        <f>IF(AND('Параметры займа'!$E$10&gt;=M427,'Параметры займа'!$E$10&lt;=M428),'Параметры займа'!$E$8,0)</f>
        <v>0</v>
      </c>
      <c s="163">
        <f>IF(AND('Параметры займа'!$E$10&gt;=N427,'Параметры займа'!$E$10&lt;=N428),'Параметры займа'!$E$8,0)</f>
        <v>0</v>
      </c>
      <c s="163">
        <f>IF(AND('Параметры займа'!$E$10&gt;=O427,'Параметры займа'!$E$10&lt;=O428),'Параметры займа'!$E$8,0)</f>
        <v>0</v>
      </c>
      <c s="163">
        <f>IF(AND('Параметры займа'!$E$10&gt;=P427,'Параметры займа'!$E$10&lt;=P428),'Параметры займа'!$E$8,0)</f>
        <v>0</v>
      </c>
      <c s="163">
        <f>IF(AND('Параметры займа'!$E$10&gt;=Q427,'Параметры займа'!$E$10&lt;=Q428),'Параметры займа'!$E$8,0)</f>
        <v>0</v>
      </c>
      <c s="163">
        <f>IF(AND('Параметры займа'!$E$10&gt;=R427,'Параметры займа'!$E$10&lt;=R428),'Параметры займа'!$E$8,0)</f>
        <v>0</v>
      </c>
      <c s="163">
        <f>IF(AND('Параметры займа'!$E$10&gt;=S427,'Параметры займа'!$E$10&lt;=S428),'Параметры займа'!$E$8,0)</f>
        <v>0</v>
      </c>
      <c s="163">
        <f>IF(AND('Параметры займа'!$E$10&gt;=T427,'Параметры займа'!$E$10&lt;=T428),'Параметры займа'!$E$8,0)</f>
        <v>0</v>
      </c>
      <c s="163">
        <f>IF(AND('Параметры займа'!$E$10&gt;=U427,'Параметры займа'!$E$10&lt;=U428),'Параметры займа'!$E$8,0)</f>
        <v>0</v>
      </c>
      <c s="163">
        <f>IF(AND('Параметры займа'!$E$10&gt;=V427,'Параметры займа'!$E$10&lt;=V428),'Параметры займа'!$E$8,0)</f>
        <v>0</v>
      </c>
      <c s="163">
        <f>IF(AND('Параметры займа'!$E$10&gt;=W427,'Параметры займа'!$E$10&lt;=W428),'Параметры займа'!$E$8,0)</f>
        <v>0</v>
      </c>
      <c s="163">
        <f>IF(AND('Параметры займа'!$E$10&gt;=X427,'Параметры займа'!$E$10&lt;=X428),'Параметры займа'!$E$8,0)</f>
        <v>0</v>
      </c>
      <c s="163">
        <f>IF(AND('Параметры займа'!$E$10&gt;=Y427,'Параметры займа'!$E$10&lt;=Y428),'Параметры займа'!$E$8,0)</f>
        <v>0</v>
      </c>
      <c s="163">
        <f>IF(AND('Параметры займа'!$E$10&gt;=Z427,'Параметры займа'!$E$10&lt;=Z428),'Параметры займа'!$E$8,0)</f>
        <v>0</v>
      </c>
      <c s="163">
        <f>IF(AND('Параметры займа'!$E$10&gt;=AA427,'Параметры займа'!$E$10&lt;=AA428),'Параметры займа'!$E$8,0)</f>
        <v>0</v>
      </c>
      <c s="163">
        <f>IF(AND('Параметры займа'!$E$10&gt;=AB427,'Параметры займа'!$E$10&lt;=AB428),'Параметры займа'!$E$8,0)</f>
        <v>0</v>
      </c>
      <c s="163">
        <f>IF(AND('Параметры займа'!$E$10&gt;=AC427,'Параметры займа'!$E$10&lt;=AC428),'Параметры займа'!$E$8,0)</f>
        <v>0</v>
      </c>
      <c s="163">
        <f>IF(AND('Параметры займа'!$E$10&gt;=AD427,'Параметры займа'!$E$10&lt;=AD428),'Параметры займа'!$E$8,0)</f>
        <v>0</v>
      </c>
      <c s="163">
        <f>IF(AND('Параметры займа'!$E$10&gt;=AE427,'Параметры займа'!$E$10&lt;=AE428),'Параметры займа'!$E$8,0)</f>
        <v>0</v>
      </c>
      <c s="163">
        <f>IF(AND('Параметры займа'!$E$10&gt;=AF427,'Параметры займа'!$E$10&lt;=AF428),'Параметры займа'!$E$8,0)</f>
        <v>0</v>
      </c>
      <c s="163">
        <f>IF(AND('Параметры займа'!$E$10&gt;=AG427,'Параметры займа'!$E$10&lt;=AG428),'Параметры займа'!$E$8,0)</f>
        <v>0</v>
      </c>
      <c s="163">
        <f>IF(AND('Параметры займа'!$E$10&gt;=AH427,'Параметры займа'!$E$10&lt;=AH428),'Параметры займа'!$E$8,0)</f>
        <v>0</v>
      </c>
      <c s="163">
        <f>IF(AND('Параметры займа'!$E$10&gt;=AI427,'Параметры займа'!$E$10&lt;=AI428),'Параметры займа'!$E$8,0)</f>
        <v>0</v>
      </c>
      <c s="163">
        <f>IF(AND('Параметры займа'!$E$10&gt;=AJ427,'Параметры займа'!$E$10&lt;=AJ428),'Параметры займа'!$E$8,0)</f>
        <v>0</v>
      </c>
      <c s="163">
        <f>IF(AND('Параметры займа'!$E$10&gt;=AK427,'Параметры займа'!$E$10&lt;=AK428),'Параметры займа'!$E$8,0)</f>
        <v>0</v>
      </c>
      <c s="163">
        <f>IF(AND('Параметры займа'!$E$10&gt;=AL427,'Параметры займа'!$E$10&lt;=AL428),'Параметры займа'!$E$8,0)</f>
        <v>0</v>
      </c>
      <c s="163">
        <f>IF(AND('Параметры займа'!$E$10&gt;=AM427,'Параметры займа'!$E$10&lt;=AM428),'Параметры займа'!$E$8,0)</f>
        <v>0</v>
      </c>
      <c s="163">
        <f>IF(AND('Параметры займа'!$E$10&gt;=AN427,'Параметры займа'!$E$10&lt;=AN428),'Параметры займа'!$E$8,0)</f>
        <v>0</v>
      </c>
      <c s="163">
        <f>IF(AND('Параметры займа'!$E$10&gt;=AO427,'Параметры займа'!$E$10&lt;=AO428),'Параметры займа'!$E$8,0)</f>
        <v>0</v>
      </c>
      <c s="163">
        <f>IF(AND('Параметры займа'!$E$10&gt;=AP427,'Параметры займа'!$E$10&lt;=AP428),'Параметры займа'!$E$8,0)</f>
        <v>0</v>
      </c>
      <c s="163">
        <f>IF(AND('Параметры займа'!$E$10&gt;=AQ427,'Параметры займа'!$E$10&lt;=AQ428),'Параметры займа'!$E$8,0)</f>
        <v>0</v>
      </c>
      <c s="163">
        <f>IF(AND('Параметры займа'!$E$10&gt;=AR427,'Параметры займа'!$E$10&lt;=AR428),'Параметры займа'!$E$8,0)</f>
        <v>0</v>
      </c>
      <c s="163">
        <f>IF(AND('Параметры займа'!$E$10&gt;=AS427,'Параметры займа'!$E$10&lt;=AS428),'Параметры займа'!$E$8,0)</f>
        <v>0</v>
      </c>
      <c s="163">
        <f>IF(AND('Параметры займа'!$E$10&gt;=AT427,'Параметры займа'!$E$10&lt;=AT428),'Параметры займа'!$E$8,0)</f>
        <v>0</v>
      </c>
      <c s="163">
        <f>IF(AND('Параметры займа'!$E$10&gt;=AU427,'Параметры займа'!$E$10&lt;=AU428),'Параметры займа'!$E$8,0)</f>
        <v>0</v>
      </c>
      <c s="163">
        <f>IF(AND('Параметры займа'!$E$10&gt;=AV427,'Параметры займа'!$E$10&lt;=AV428),'Параметры займа'!$E$8,0)</f>
        <v>0</v>
      </c>
      <c s="163">
        <f>IF(AND('Параметры займа'!$E$10&gt;=AW427,'Параметры займа'!$E$10&lt;=AW428),'Параметры займа'!$E$8,0)</f>
        <v>0</v>
      </c>
      <c s="163">
        <f>IF(AND('Параметры займа'!$E$10&gt;=AX427,'Параметры займа'!$E$10&lt;=AX428),'Параметры займа'!$E$8,0)</f>
        <v>0</v>
      </c>
      <c s="163">
        <f>IF(AND('Параметры займа'!$E$10&gt;=AY427,'Параметры займа'!$E$10&lt;=AY428),'Параметры займа'!$E$8,0)</f>
        <v>0</v>
      </c>
      <c s="163">
        <f>IF(AND('Параметры займа'!$E$10&gt;=AZ427,'Параметры займа'!$E$10&lt;=AZ428),'Параметры займа'!$E$8,0)</f>
        <v>0</v>
      </c>
      <c s="163">
        <f>IF(AND('Параметры займа'!$E$10&gt;=BA427,'Параметры займа'!$E$10&lt;=BA428),'Параметры займа'!$E$8,0)</f>
        <v>0</v>
      </c>
      <c s="163">
        <f>IF(AND('Параметры займа'!$E$10&gt;=BB427,'Параметры займа'!$E$10&lt;=BB428),'Параметры займа'!$E$8,0)</f>
        <v>0</v>
      </c>
      <c s="163">
        <f>IF(AND('Параметры займа'!$E$10&gt;=BC427,'Параметры займа'!$E$10&lt;=BC428),'Параметры займа'!$E$8,0)</f>
        <v>0</v>
      </c>
      <c s="163">
        <f>IF(AND('Параметры займа'!$E$10&gt;=BD427,'Параметры займа'!$E$10&lt;=BD428),'Параметры займа'!$E$8,0)</f>
        <v>0</v>
      </c>
      <c s="163">
        <f>IF(AND('Параметры займа'!$E$10&gt;=BE427,'Параметры займа'!$E$10&lt;=BE428),'Параметры займа'!$E$8,0)</f>
        <v>0</v>
      </c>
      <c s="163">
        <f>IF(AND('Параметры займа'!$E$10&gt;=BF427,'Параметры займа'!$E$10&lt;=BF428),'Параметры займа'!$E$8,0)</f>
        <v>0</v>
      </c>
      <c s="163">
        <f>IF(AND('Параметры займа'!$E$10&gt;=BG427,'Параметры займа'!$E$10&lt;=BG428),'Параметры займа'!$E$8,0)</f>
        <v>0</v>
      </c>
      <c s="163">
        <f>IF(AND('Параметры займа'!$E$10&gt;=BH427,'Параметры займа'!$E$10&lt;=BH428),'Параметры займа'!$E$8,0)</f>
        <v>0</v>
      </c>
      <c s="163">
        <f>IF(AND('Параметры займа'!$E$10&gt;=BI427,'Параметры займа'!$E$10&lt;=BI428),'Параметры займа'!$E$8,0)</f>
        <v>0</v>
      </c>
      <c s="163">
        <f>IF(AND('Параметры займа'!$E$10&gt;=BJ427,'Параметры займа'!$E$10&lt;=BJ428),'Параметры займа'!$E$8,0)</f>
        <v>0</v>
      </c>
      <c s="163">
        <f>IF(AND('Параметры займа'!$E$10&gt;=BK427,'Параметры займа'!$E$10&lt;=BK428),'Параметры займа'!$E$8,0)</f>
        <v>0</v>
      </c>
      <c s="163">
        <f>IF(AND('Параметры займа'!$E$10&gt;=BL427,'Параметры займа'!$E$10&lt;=BL428),'Параметры займа'!$E$8,0)</f>
        <v>0</v>
      </c>
    </row>
    <row r="430" spans="2:64" ht="15" customHeight="1">
      <c r="B430" s="16" t="s">
        <v>191</v>
      </c>
      <c s="279">
        <f>SUM(D430:BL430)</f>
        <v>0</v>
      </c>
      <c s="129">
        <f>SUMIFS('Параметры займа'!$E$19:$E$80,'Параметры займа'!$C$19:$C$80,YEAR(D428),'Параметры займа'!$D$19:$D$80,ROUNDUP(MONTH(D428)/Месяцев_в_квартале,0))</f>
        <v>0</v>
      </c>
      <c s="129">
        <f>SUMIFS('Параметры займа'!$E$19:$E$80,'Параметры займа'!$C$19:$C$80,YEAR(E428),'Параметры займа'!$D$19:$D$80,ROUNDUP(MONTH(E428)/Месяцев_в_квартале,0))</f>
        <v>0</v>
      </c>
      <c s="129">
        <f>SUMIFS('Параметры займа'!$E$19:$E$80,'Параметры займа'!$C$19:$C$80,YEAR(F428),'Параметры займа'!$D$19:$D$80,ROUNDUP(MONTH(F428)/Месяцев_в_квартале,0))</f>
        <v>0</v>
      </c>
      <c s="129">
        <f>SUMIFS('Параметры займа'!$E$19:$E$80,'Параметры займа'!$C$19:$C$80,YEAR(G428),'Параметры займа'!$D$19:$D$80,ROUNDUP(MONTH(G428)/Месяцев_в_квартале,0))</f>
        <v>0</v>
      </c>
      <c s="129">
        <f>SUMIFS('Параметры займа'!$E$19:$E$80,'Параметры займа'!$C$19:$C$80,YEAR(H428),'Параметры займа'!$D$19:$D$80,ROUNDUP(MONTH(H428)/Месяцев_в_квартале,0))</f>
        <v>0</v>
      </c>
      <c s="129">
        <f>SUMIFS('Параметры займа'!$E$19:$E$80,'Параметры займа'!$C$19:$C$80,YEAR(I428),'Параметры займа'!$D$19:$D$80,ROUNDUP(MONTH(I428)/Месяцев_в_квартале,0))</f>
        <v>0</v>
      </c>
      <c s="129">
        <f>SUMIFS('Параметры займа'!$E$19:$E$80,'Параметры займа'!$C$19:$C$80,YEAR(J428),'Параметры займа'!$D$19:$D$80,ROUNDUP(MONTH(J428)/Месяцев_в_квартале,0))</f>
        <v>0</v>
      </c>
      <c s="129">
        <f>SUMIFS('Параметры займа'!$E$19:$E$80,'Параметры займа'!$C$19:$C$80,YEAR(K428),'Параметры займа'!$D$19:$D$80,ROUNDUP(MONTH(K428)/Месяцев_в_квартале,0))</f>
        <v>0</v>
      </c>
      <c s="129">
        <f>SUMIFS('Параметры займа'!$E$19:$E$80,'Параметры займа'!$C$19:$C$80,YEAR(L428),'Параметры займа'!$D$19:$D$80,ROUNDUP(MONTH(L428)/Месяцев_в_квартале,0))</f>
        <v>0</v>
      </c>
      <c s="129">
        <f>SUMIFS('Параметры займа'!$E$19:$E$80,'Параметры займа'!$C$19:$C$80,YEAR(M428),'Параметры займа'!$D$19:$D$80,ROUNDUP(MONTH(M428)/Месяцев_в_квартале,0))</f>
        <v>0</v>
      </c>
      <c s="129">
        <f>SUMIFS('Параметры займа'!$E$19:$E$80,'Параметры займа'!$C$19:$C$80,YEAR(N428),'Параметры займа'!$D$19:$D$80,ROUNDUP(MONTH(N428)/Месяцев_в_квартале,0))</f>
        <v>0</v>
      </c>
      <c s="129">
        <f>SUMIFS('Параметры займа'!$E$19:$E$80,'Параметры займа'!$C$19:$C$80,YEAR(O428),'Параметры займа'!$D$19:$D$80,ROUNDUP(MONTH(O428)/Месяцев_в_квартале,0))</f>
        <v>0</v>
      </c>
      <c s="129">
        <f>SUMIFS('Параметры займа'!$E$19:$E$80,'Параметры займа'!$C$19:$C$80,YEAR(P428),'Параметры займа'!$D$19:$D$80,ROUNDUP(MONTH(P428)/Месяцев_в_квартале,0))</f>
        <v>0</v>
      </c>
      <c s="129">
        <f>SUMIFS('Параметры займа'!$E$19:$E$80,'Параметры займа'!$C$19:$C$80,YEAR(Q428),'Параметры займа'!$D$19:$D$80,ROUNDUP(MONTH(Q428)/Месяцев_в_квартале,0))</f>
        <v>0</v>
      </c>
      <c s="129">
        <f>SUMIFS('Параметры займа'!$E$19:$E$80,'Параметры займа'!$C$19:$C$80,YEAR(R428),'Параметры займа'!$D$19:$D$80,ROUNDUP(MONTH(R428)/Месяцев_в_квартале,0))</f>
        <v>0</v>
      </c>
      <c s="129">
        <f>SUMIFS('Параметры займа'!$E$19:$E$80,'Параметры займа'!$C$19:$C$80,YEAR(S428),'Параметры займа'!$D$19:$D$80,ROUNDUP(MONTH(S428)/Месяцев_в_квартале,0))</f>
        <v>0</v>
      </c>
      <c s="129">
        <f>SUMIFS('Параметры займа'!$E$19:$E$80,'Параметры займа'!$C$19:$C$80,YEAR(T428),'Параметры займа'!$D$19:$D$80,ROUNDUP(MONTH(T428)/Месяцев_в_квартале,0))</f>
        <v>0</v>
      </c>
      <c s="129">
        <f>SUMIFS('Параметры займа'!$E$19:$E$80,'Параметры займа'!$C$19:$C$80,YEAR(U428),'Параметры займа'!$D$19:$D$80,ROUNDUP(MONTH(U428)/Месяцев_в_квартале,0))</f>
        <v>0</v>
      </c>
      <c s="129">
        <f>SUMIFS('Параметры займа'!$E$19:$E$80,'Параметры займа'!$C$19:$C$80,YEAR(V428),'Параметры займа'!$D$19:$D$80,ROUNDUP(MONTH(V428)/Месяцев_в_квартале,0))</f>
        <v>0</v>
      </c>
      <c s="129">
        <f>SUMIFS('Параметры займа'!$E$19:$E$80,'Параметры займа'!$C$19:$C$80,YEAR(W428),'Параметры займа'!$D$19:$D$80,ROUNDUP(MONTH(W428)/Месяцев_в_квартале,0))</f>
        <v>0</v>
      </c>
      <c s="129">
        <f>SUMIFS('Параметры займа'!$E$19:$E$80,'Параметры займа'!$C$19:$C$80,YEAR(X428),'Параметры займа'!$D$19:$D$80,ROUNDUP(MONTH(X428)/Месяцев_в_квартале,0))</f>
        <v>0</v>
      </c>
      <c s="129">
        <f>SUMIFS('Параметры займа'!$E$19:$E$80,'Параметры займа'!$C$19:$C$80,YEAR(Y428),'Параметры займа'!$D$19:$D$80,ROUNDUP(MONTH(Y428)/Месяцев_в_квартале,0))</f>
        <v>0</v>
      </c>
      <c s="129">
        <f>SUMIFS('Параметры займа'!$E$19:$E$80,'Параметры займа'!$C$19:$C$80,YEAR(Z428),'Параметры займа'!$D$19:$D$80,ROUNDUP(MONTH(Z428)/Месяцев_в_квартале,0))</f>
        <v>0</v>
      </c>
      <c s="129">
        <f>SUMIFS('Параметры займа'!$E$19:$E$80,'Параметры займа'!$C$19:$C$80,YEAR(AA428),'Параметры займа'!$D$19:$D$80,ROUNDUP(MONTH(AA428)/Месяцев_в_квартале,0))</f>
        <v>0</v>
      </c>
      <c s="129">
        <f>SUMIFS('Параметры займа'!$E$19:$E$80,'Параметры займа'!$C$19:$C$80,YEAR(AB428),'Параметры займа'!$D$19:$D$80,ROUNDUP(MONTH(AB428)/Месяцев_в_квартале,0))</f>
        <v>0</v>
      </c>
      <c s="129">
        <f>SUMIFS('Параметры займа'!$E$19:$E$80,'Параметры займа'!$C$19:$C$80,YEAR(AC428),'Параметры займа'!$D$19:$D$80,ROUNDUP(MONTH(AC428)/Месяцев_в_квартале,0))</f>
        <v>0</v>
      </c>
      <c s="129">
        <f>SUMIFS('Параметры займа'!$E$19:$E$80,'Параметры займа'!$C$19:$C$80,YEAR(AD428),'Параметры займа'!$D$19:$D$80,ROUNDUP(MONTH(AD428)/Месяцев_в_квартале,0))</f>
        <v>0</v>
      </c>
      <c s="129">
        <f>SUMIFS('Параметры займа'!$E$19:$E$80,'Параметры займа'!$C$19:$C$80,YEAR(AE428),'Параметры займа'!$D$19:$D$80,ROUNDUP(MONTH(AE428)/Месяцев_в_квартале,0))</f>
        <v>0</v>
      </c>
      <c s="129">
        <f>SUMIFS('Параметры займа'!$E$19:$E$80,'Параметры займа'!$C$19:$C$80,YEAR(AF428),'Параметры займа'!$D$19:$D$80,ROUNDUP(MONTH(AF428)/Месяцев_в_квартале,0))</f>
        <v>0</v>
      </c>
      <c s="129">
        <f>SUMIFS('Параметры займа'!$E$19:$E$80,'Параметры займа'!$C$19:$C$80,YEAR(AG428),'Параметры займа'!$D$19:$D$80,ROUNDUP(MONTH(AG428)/Месяцев_в_квартале,0))</f>
        <v>0</v>
      </c>
      <c s="129">
        <f>SUMIFS('Параметры займа'!$E$19:$E$80,'Параметры займа'!$C$19:$C$80,YEAR(AH428),'Параметры займа'!$D$19:$D$80,ROUNDUP(MONTH(AH428)/Месяцев_в_квартале,0))</f>
        <v>0</v>
      </c>
      <c s="129">
        <f>SUMIFS('Параметры займа'!$E$19:$E$80,'Параметры займа'!$C$19:$C$80,YEAR(AI428),'Параметры займа'!$D$19:$D$80,ROUNDUP(MONTH(AI428)/Месяцев_в_квартале,0))</f>
        <v>0</v>
      </c>
      <c s="129">
        <f>SUMIFS('Параметры займа'!$E$19:$E$80,'Параметры займа'!$C$19:$C$80,YEAR(AJ428),'Параметры займа'!$D$19:$D$80,ROUNDUP(MONTH(AJ428)/Месяцев_в_квартале,0))</f>
        <v>0</v>
      </c>
      <c s="129">
        <f>SUMIFS('Параметры займа'!$E$19:$E$80,'Параметры займа'!$C$19:$C$80,YEAR(AK428),'Параметры займа'!$D$19:$D$80,ROUNDUP(MONTH(AK428)/Месяцев_в_квартале,0))</f>
        <v>0</v>
      </c>
      <c s="129">
        <f>SUMIFS('Параметры займа'!$E$19:$E$80,'Параметры займа'!$C$19:$C$80,YEAR(AL428),'Параметры займа'!$D$19:$D$80,ROUNDUP(MONTH(AL428)/Месяцев_в_квартале,0))</f>
        <v>0</v>
      </c>
      <c s="129">
        <f>SUMIFS('Параметры займа'!$E$19:$E$80,'Параметры займа'!$C$19:$C$80,YEAR(AM428),'Параметры займа'!$D$19:$D$80,ROUNDUP(MONTH(AM428)/Месяцев_в_квартале,0))</f>
        <v>0</v>
      </c>
      <c s="129">
        <f>SUMIFS('Параметры займа'!$E$19:$E$80,'Параметры займа'!$C$19:$C$80,YEAR(AN428),'Параметры займа'!$D$19:$D$80,ROUNDUP(MONTH(AN428)/Месяцев_в_квартале,0))</f>
        <v>0</v>
      </c>
      <c s="129">
        <f>SUMIFS('Параметры займа'!$E$19:$E$80,'Параметры займа'!$C$19:$C$80,YEAR(AO428),'Параметры займа'!$D$19:$D$80,ROUNDUP(MONTH(AO428)/Месяцев_в_квартале,0))</f>
        <v>0</v>
      </c>
      <c s="129">
        <f>SUMIFS('Параметры займа'!$E$19:$E$80,'Параметры займа'!$C$19:$C$80,YEAR(AP428),'Параметры займа'!$D$19:$D$80,ROUNDUP(MONTH(AP428)/Месяцев_в_квартале,0))</f>
        <v>0</v>
      </c>
      <c s="129">
        <f>SUMIFS('Параметры займа'!$E$19:$E$80,'Параметры займа'!$C$19:$C$80,YEAR(AQ428),'Параметры займа'!$D$19:$D$80,ROUNDUP(MONTH(AQ428)/Месяцев_в_квартале,0))</f>
        <v>0</v>
      </c>
      <c s="129">
        <f>SUMIFS('Параметры займа'!$E$19:$E$80,'Параметры займа'!$C$19:$C$80,YEAR(AR428),'Параметры займа'!$D$19:$D$80,ROUNDUP(MONTH(AR428)/Месяцев_в_квартале,0))</f>
        <v>0</v>
      </c>
      <c s="129">
        <f>SUMIFS('Параметры займа'!$E$19:$E$80,'Параметры займа'!$C$19:$C$80,YEAR(AS428),'Параметры займа'!$D$19:$D$80,ROUNDUP(MONTH(AS428)/Месяцев_в_квартале,0))</f>
        <v>0</v>
      </c>
      <c s="129">
        <f>SUMIFS('Параметры займа'!$E$19:$E$80,'Параметры займа'!$C$19:$C$80,YEAR(AT428),'Параметры займа'!$D$19:$D$80,ROUNDUP(MONTH(AT428)/Месяцев_в_квартале,0))</f>
        <v>0</v>
      </c>
      <c s="129">
        <f>SUMIFS('Параметры займа'!$E$19:$E$80,'Параметры займа'!$C$19:$C$80,YEAR(AU428),'Параметры займа'!$D$19:$D$80,ROUNDUP(MONTH(AU428)/Месяцев_в_квартале,0))</f>
        <v>0</v>
      </c>
      <c s="129">
        <f>SUMIFS('Параметры займа'!$E$19:$E$80,'Параметры займа'!$C$19:$C$80,YEAR(AV428),'Параметры займа'!$D$19:$D$80,ROUNDUP(MONTH(AV428)/Месяцев_в_квартале,0))</f>
        <v>0</v>
      </c>
      <c s="129">
        <f>SUMIFS('Параметры займа'!$E$19:$E$80,'Параметры займа'!$C$19:$C$80,YEAR(AW428),'Параметры займа'!$D$19:$D$80,ROUNDUP(MONTH(AW428)/Месяцев_в_квартале,0))</f>
        <v>0</v>
      </c>
      <c s="129">
        <f>SUMIFS('Параметры займа'!$E$19:$E$80,'Параметры займа'!$C$19:$C$80,YEAR(AX428),'Параметры займа'!$D$19:$D$80,ROUNDUP(MONTH(AX428)/Месяцев_в_квартале,0))</f>
        <v>0</v>
      </c>
      <c s="129">
        <f>SUMIFS('Параметры займа'!$E$19:$E$80,'Параметры займа'!$C$19:$C$80,YEAR(AY428),'Параметры займа'!$D$19:$D$80,ROUNDUP(MONTH(AY428)/Месяцев_в_квартале,0))</f>
        <v>0</v>
      </c>
      <c s="129">
        <f>SUMIFS('Параметры займа'!$E$19:$E$80,'Параметры займа'!$C$19:$C$80,YEAR(AZ428),'Параметры займа'!$D$19:$D$80,ROUNDUP(MONTH(AZ428)/Месяцев_в_квартале,0))</f>
        <v>0</v>
      </c>
      <c s="129">
        <f>SUMIFS('Параметры займа'!$E$19:$E$80,'Параметры займа'!$C$19:$C$80,YEAR(BA428),'Параметры займа'!$D$19:$D$80,ROUNDUP(MONTH(BA428)/Месяцев_в_квартале,0))</f>
        <v>0</v>
      </c>
      <c s="129">
        <f>SUMIFS('Параметры займа'!$E$19:$E$80,'Параметры займа'!$C$19:$C$80,YEAR(BB428),'Параметры займа'!$D$19:$D$80,ROUNDUP(MONTH(BB428)/Месяцев_в_квартале,0))</f>
        <v>0</v>
      </c>
      <c s="129">
        <f>SUMIFS('Параметры займа'!$E$19:$E$80,'Параметры займа'!$C$19:$C$80,YEAR(BC428),'Параметры займа'!$D$19:$D$80,ROUNDUP(MONTH(BC428)/Месяцев_в_квартале,0))</f>
        <v>0</v>
      </c>
      <c s="129">
        <f>SUMIFS('Параметры займа'!$E$19:$E$80,'Параметры займа'!$C$19:$C$80,YEAR(BD428),'Параметры займа'!$D$19:$D$80,ROUNDUP(MONTH(BD428)/Месяцев_в_квартале,0))</f>
        <v>0</v>
      </c>
      <c s="129">
        <f>SUMIFS('Параметры займа'!$E$19:$E$80,'Параметры займа'!$C$19:$C$80,YEAR(BE428),'Параметры займа'!$D$19:$D$80,ROUNDUP(MONTH(BE428)/Месяцев_в_квартале,0))</f>
        <v>0</v>
      </c>
      <c s="129">
        <f>SUMIFS('Параметры займа'!$E$19:$E$80,'Параметры займа'!$C$19:$C$80,YEAR(BF428),'Параметры займа'!$D$19:$D$80,ROUNDUP(MONTH(BF428)/Месяцев_в_квартале,0))</f>
        <v>0</v>
      </c>
      <c s="129">
        <f>SUMIFS('Параметры займа'!$E$19:$E$80,'Параметры займа'!$C$19:$C$80,YEAR(BG428),'Параметры займа'!$D$19:$D$80,ROUNDUP(MONTH(BG428)/Месяцев_в_квартале,0))</f>
        <v>0</v>
      </c>
      <c s="129">
        <f>SUMIFS('Параметры займа'!$E$19:$E$80,'Параметры займа'!$C$19:$C$80,YEAR(BH428),'Параметры займа'!$D$19:$D$80,ROUNDUP(MONTH(BH428)/Месяцев_в_квартале,0))</f>
        <v>0</v>
      </c>
      <c s="129">
        <f>SUMIFS('Параметры займа'!$E$19:$E$80,'Параметры займа'!$C$19:$C$80,YEAR(BI428),'Параметры займа'!$D$19:$D$80,ROUNDUP(MONTH(BI428)/Месяцев_в_квартале,0))</f>
        <v>0</v>
      </c>
      <c s="129">
        <f>SUMIFS('Параметры займа'!$E$19:$E$80,'Параметры займа'!$C$19:$C$80,YEAR(BJ428),'Параметры займа'!$D$19:$D$80,ROUNDUP(MONTH(BJ428)/Месяцев_в_квартале,0))</f>
        <v>0</v>
      </c>
      <c s="129">
        <f>SUMIFS('Параметры займа'!$E$19:$E$80,'Параметры займа'!$C$19:$C$80,YEAR(BK428),'Параметры займа'!$D$19:$D$80,ROUNDUP(MONTH(BK428)/Месяцев_в_квартале,0))</f>
        <v>0</v>
      </c>
      <c s="129">
        <f>SUMIFS('Параметры займа'!$E$19:$E$80,'Параметры займа'!$C$19:$C$80,YEAR(BL428),'Параметры займа'!$D$19:$D$80,ROUNDUP(MONTH(BL428)/Месяцев_в_квартале,0))</f>
        <v>0</v>
      </c>
    </row>
    <row r="431" ht="15" customHeight="1"/>
    <row r="432" spans="2:2" ht="15" customHeight="1">
      <c r="B432" s="24" t="s">
        <v>525</v>
      </c>
    </row>
    <row r="433" spans="2:6" ht="15" customHeight="1">
      <c r="B433" s="525" t="s">
        <v>526</v>
      </c>
      <c s="539" t="s">
        <v>527</v>
      </c>
      <c s="539" t="s">
        <v>528</v>
      </c>
      <c s="525" t="s">
        <v>454</v>
      </c>
      <c s="539" t="s">
        <v>529</v>
      </c>
    </row>
    <row r="434" spans="2:6" ht="15" customHeight="1">
      <c r="B434" s="526"/>
      <c s="540"/>
      <c s="540"/>
      <c s="526"/>
      <c s="540"/>
    </row>
    <row r="435" spans="2:6" ht="15" customHeight="1">
      <c r="B435" s="527"/>
      <c s="541"/>
      <c s="541"/>
      <c s="527"/>
      <c s="541"/>
    </row>
    <row r="436" spans="2:6" ht="15" customHeight="1">
      <c r="B436" s="70" t="s">
        <v>177</v>
      </c>
      <c s="160">
        <f>SUM($C$384:$C$385)</f>
        <v>0</v>
      </c>
      <c s="160">
        <f>$C$392</f>
        <v>0</v>
      </c>
      <c s="278">
        <f>SUM(C436:D436)</f>
        <v>0</v>
      </c>
      <c s="161" t="str">
        <f>IFERROR(E436/$E$440,"-")</f>
        <v>-</v>
      </c>
    </row>
    <row r="437" spans="2:6" ht="15" customHeight="1">
      <c r="B437" s="81" t="str">
        <f>IF(ISBLANK(C396),"Заём бенефициара/аффилированных лиц",C396)</f>
        <v>Заём бенефициара/аффилированных лиц</v>
      </c>
      <c s="160">
        <f>$C$398</f>
        <v>0</v>
      </c>
      <c s="160">
        <f>$C$404</f>
        <v>0</v>
      </c>
      <c s="279">
        <f>SUM(C437:D437)</f>
        <v>0</v>
      </c>
      <c s="161" t="str">
        <f>IFERROR(E437/$E$440,"-")</f>
        <v>-</v>
      </c>
    </row>
    <row r="438" spans="2:6" ht="15" customHeight="1">
      <c r="B438" s="81" t="str">
        <f>IF(ISBLANK(C411),"Кредит/заём (с графиком)",C411)</f>
        <v>Кредит/заём (с графиком)</v>
      </c>
      <c s="160">
        <f>$C$413</f>
        <v>0</v>
      </c>
      <c s="160">
        <f>$C$419</f>
        <v>0</v>
      </c>
      <c s="279">
        <f>SUM(C438:D438)</f>
        <v>0</v>
      </c>
      <c s="161" t="str">
        <f>IFERROR(E438/$E$440,"-")</f>
        <v>-</v>
      </c>
    </row>
    <row r="439" spans="2:6" ht="15" customHeight="1">
      <c r="B439" s="81" t="str">
        <f>"Заём "&amp;IF(ISNUMBER(SEARCH("РФРП",Программа)),"ФРП и РФРП","ФРП")</f>
        <v>Заём ФРП</v>
      </c>
      <c s="160">
        <v>0</v>
      </c>
      <c s="160">
        <f>$C$429</f>
        <v>0</v>
      </c>
      <c s="279">
        <f>SUM(C439:D439)</f>
        <v>0</v>
      </c>
      <c s="161" t="str">
        <f>IFERROR(E439/$E$440,"-")</f>
        <v>-</v>
      </c>
    </row>
    <row r="440" spans="2:6" ht="15" customHeight="1">
      <c r="B440" s="281" t="s">
        <v>454</v>
      </c>
      <c s="279">
        <f>SUM(C436:C439)</f>
        <v>0</v>
      </c>
      <c s="279">
        <f>SUM(D436:D439)</f>
        <v>0</v>
      </c>
      <c s="283">
        <f>SUM(E436:E439)</f>
        <v>0</v>
      </c>
      <c s="282">
        <f>SUM(F436:F439)</f>
        <v>0</v>
      </c>
    </row>
    <row r="441" ht="15" customHeight="1"/>
    <row r="442" spans="2:6" ht="15" customHeight="1">
      <c r="B442" s="646" t="s">
        <v>530</v>
      </c>
      <c s="649"/>
      <c s="649"/>
      <c s="647"/>
      <c s="47" t="str">
        <f>IFERROR(IF(SUM(C76:C115,D310:D334)&gt;C440,"Q","R"),"Q")</f>
        <v>R</v>
      </c>
    </row>
    <row r="443" ht="15" customHeight="1"/>
    <row r="444" spans="2:31" ht="15.6">
      <c r="B444" s="24" t="s">
        <v>531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5" spans="2:3" ht="15" customHeight="1">
      <c r="B445" s="17" t="str">
        <f>"Остаток д/с в проекте на "&amp;TEXT($C$13,"ДД.ММ.ГГГГ")</f>
        <v>Остаток д/с в проекте на 01.01.2025</v>
      </c>
      <c s="28">
        <f>MAX(0,C440-SUM(C76:C115)-SUM(D310:D334))</f>
        <v>0</v>
      </c>
    </row>
    <row r="446" ht="15" customHeight="1"/>
    <row r="447" spans="2:31" ht="21">
      <c r="B447" s="23" t="s">
        <v>201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48" spans="2:5" ht="15" customHeight="1">
      <c r="B448" s="24" t="s">
        <v>202</v>
      </c>
      <c r="E448" s="24" t="s">
        <v>214</v>
      </c>
    </row>
    <row r="449" spans="2:8" ht="15" customHeight="1">
      <c r="B449" s="40" t="s">
        <v>203</v>
      </c>
      <c s="341" t="s">
        <v>532</v>
      </c>
      <c r="E449" s="536" t="s">
        <v>215</v>
      </c>
      <c s="537"/>
      <c s="538"/>
      <c s="339"/>
    </row>
    <row r="450" spans="2:8" ht="15" customHeight="1">
      <c r="B450" s="40" t="s">
        <v>205</v>
      </c>
      <c s="339">
        <v>0.1555</v>
      </c>
      <c r="E450" s="536" t="s">
        <v>217</v>
      </c>
      <c s="537"/>
      <c s="538"/>
      <c s="339"/>
    </row>
    <row r="451" spans="2:8" ht="15" customHeight="1">
      <c r="B451" s="40" t="s">
        <v>533</v>
      </c>
      <c s="160">
        <f>IFERROR(VLOOKUP(C449,Источники!B33:C85,2,FALSE),"-")</f>
        <v>1.051815636189688</v>
      </c>
      <c r="E451" s="536" t="s">
        <v>218</v>
      </c>
      <c s="537"/>
      <c s="538"/>
      <c s="339"/>
    </row>
    <row r="452" spans="2:8" ht="15" customHeight="1">
      <c r="B452" s="40" t="s">
        <v>207</v>
      </c>
      <c s="339">
        <v>0.064199999999999993</v>
      </c>
      <c r="E452" s="536" t="s">
        <v>219</v>
      </c>
      <c s="537"/>
      <c s="538"/>
      <c s="339"/>
    </row>
    <row r="453" spans="2:8" ht="15" customHeight="1">
      <c r="B453" s="40" t="s">
        <v>209</v>
      </c>
      <c s="339">
        <v>0.063500000000000001</v>
      </c>
      <c r="E453" s="536" t="s">
        <v>220</v>
      </c>
      <c s="537"/>
      <c s="538"/>
      <c s="339"/>
    </row>
    <row r="454" spans="2:8" ht="15" customHeight="1">
      <c r="B454" s="40" t="s">
        <v>211</v>
      </c>
      <c s="339">
        <v>0.032099999999999997</v>
      </c>
      <c r="E454" s="536" t="s">
        <v>221</v>
      </c>
      <c s="537"/>
      <c s="538"/>
      <c s="339"/>
    </row>
    <row r="455" spans="2:8" ht="15" customHeight="1">
      <c r="B455" s="40" t="s">
        <v>214</v>
      </c>
      <c s="162">
        <f>H456</f>
        <v>0</v>
      </c>
      <c r="E455" s="536" t="s">
        <v>222</v>
      </c>
      <c s="537"/>
      <c s="538"/>
      <c s="339"/>
    </row>
    <row r="456" spans="2:8" ht="15" customHeight="1">
      <c r="B456" s="284" t="s">
        <v>534</v>
      </c>
      <c s="282">
        <f>SUM(C450,PRODUCT(C451,C452),C453,C454,C455)</f>
        <v>0.31862656384337795</v>
      </c>
      <c r="E456" s="542" t="s">
        <v>535</v>
      </c>
      <c s="543"/>
      <c s="544"/>
      <c s="282">
        <f>SUM(H449:H455)</f>
        <v>0</v>
      </c>
    </row>
    <row r="457" spans="2:2" ht="15" customHeight="1">
      <c r="B457" s="15"/>
    </row>
    <row r="458" spans="2:2" ht="15" customHeight="1">
      <c r="B458" s="24" t="s">
        <v>223</v>
      </c>
    </row>
    <row r="459" spans="2:3" ht="15" customHeight="1">
      <c r="B459" s="40" t="s">
        <v>536</v>
      </c>
      <c s="162">
        <f>C456</f>
        <v>0.31862656384337795</v>
      </c>
    </row>
    <row r="460" spans="2:3" ht="15" customHeight="1">
      <c r="B460" s="40" t="s">
        <v>224</v>
      </c>
      <c s="339">
        <v>0.20000000000000001</v>
      </c>
    </row>
    <row r="461" spans="2:3" ht="15" customHeight="1">
      <c r="B461" s="40" t="s">
        <v>226</v>
      </c>
      <c s="339">
        <v>0.20000000000000001</v>
      </c>
    </row>
    <row r="462" spans="2:3" ht="15" customHeight="1">
      <c r="B462" s="40" t="s">
        <v>537</v>
      </c>
      <c s="162">
        <f>1-C460</f>
        <v>0.80000000000000004</v>
      </c>
    </row>
    <row r="463" spans="2:3" ht="15" customHeight="1">
      <c r="B463" s="40" t="s">
        <v>538</v>
      </c>
      <c s="162">
        <v>0.20000000000000001</v>
      </c>
    </row>
    <row r="464" spans="2:3" ht="15" customHeight="1">
      <c r="B464" s="350" t="s">
        <v>539</v>
      </c>
      <c s="294">
        <f>C459*C460+C461*C462*(1-C463)</f>
        <v>0.1917253127686756</v>
      </c>
    </row>
    <row r="465" ht="15" customHeight="1"/>
    <row r="466" spans="2:31" ht="21">
      <c r="B466" s="23" t="s">
        <v>228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467" spans="2:2" ht="15" customHeight="1">
      <c r="B467" s="24" t="s">
        <v>229</v>
      </c>
    </row>
    <row r="468" spans="2:32" ht="14.45">
      <c r="B468" s="253" t="s">
        <v>53</v>
      </c>
      <c s="252">
        <f t="shared" si="470" ref="C468:H468">IF(ISNUMBER(B468)=FALSE,YEAR($C$13),B468+1)</f>
        <v>2025</v>
      </c>
      <c s="252">
        <f t="shared" si="470"/>
        <v>2026</v>
      </c>
      <c s="252">
        <f t="shared" si="470"/>
        <v>2027</v>
      </c>
      <c s="252">
        <f t="shared" si="470"/>
        <v>2028</v>
      </c>
      <c s="252">
        <f t="shared" si="470"/>
        <v>2029</v>
      </c>
      <c s="252">
        <f t="shared" si="470"/>
        <v>2030</v>
      </c>
      <c s="252">
        <f t="shared" si="471" ref="I468">IF(ISNUMBER(H468)=FALSE,YEAR($C$13),H468+1)</f>
        <v>2031</v>
      </c>
      <c s="252">
        <f t="shared" si="472" ref="J468:R468">IF(ISNUMBER(I468)=FALSE,YEAR($C$13),I468+1)</f>
        <v>2032</v>
      </c>
      <c s="252">
        <f t="shared" si="472"/>
        <v>2033</v>
      </c>
      <c s="252">
        <f t="shared" si="472"/>
        <v>2034</v>
      </c>
      <c s="252">
        <f t="shared" si="472"/>
        <v>2035</v>
      </c>
      <c s="252">
        <f t="shared" si="472"/>
        <v>2036</v>
      </c>
      <c s="252">
        <f t="shared" si="472"/>
        <v>2037</v>
      </c>
      <c s="252">
        <f t="shared" si="472"/>
        <v>2038</v>
      </c>
      <c s="252">
        <f t="shared" si="472"/>
        <v>2039</v>
      </c>
      <c s="252">
        <f t="shared" si="472"/>
        <v>2040</v>
      </c>
      <c s="5"/>
      <c s="5"/>
      <c s="5"/>
      <c s="5"/>
      <c s="5"/>
      <c s="5"/>
      <c s="5"/>
      <c s="5"/>
      <c s="5"/>
      <c s="5"/>
      <c s="5"/>
      <c s="5"/>
      <c s="5"/>
      <c s="5"/>
    </row>
    <row r="469" spans="2:18" ht="15" customHeight="1">
      <c r="B469" s="41" t="s">
        <v>230</v>
      </c>
      <c s="342">
        <v>0.065000000000000002</v>
      </c>
      <c s="342">
        <v>0.044999999999999998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</row>
    <row r="470" spans="2:18" ht="15" customHeight="1">
      <c r="B470" s="40" t="s">
        <v>139</v>
      </c>
      <c s="342">
        <v>0.065000000000000002</v>
      </c>
      <c s="342">
        <v>0.044999999999999998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</row>
    <row r="471" spans="2:18" ht="15" customHeight="1">
      <c r="B471" s="40" t="s">
        <v>164</v>
      </c>
      <c s="342">
        <v>0.065000000000000002</v>
      </c>
      <c s="342">
        <v>0.044999999999999998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  <c s="342">
        <v>0.040000000000000001</v>
      </c>
    </row>
    <row r="472" spans="2:18" ht="15" customHeight="1">
      <c r="B472" s="40" t="s">
        <v>234</v>
      </c>
      <c s="342">
        <v>0.083000000000000004</v>
      </c>
      <c s="342">
        <v>0.083000000000000004</v>
      </c>
      <c s="342">
        <v>0.069000000000000006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  <c s="342">
        <v>0.064000000000000001</v>
      </c>
    </row>
    <row r="473" ht="15" customHeight="1"/>
    <row r="474" spans="2:2" ht="15" customHeight="1">
      <c r="B474" s="24" t="s">
        <v>236</v>
      </c>
    </row>
    <row r="475" spans="2:32" ht="14.45">
      <c r="B475" s="253" t="s">
        <v>53</v>
      </c>
      <c s="252">
        <f t="shared" si="473" ref="C475:J475">IF(ISNUMBER(B475)=FALSE,YEAR($C$13),B475+1)</f>
        <v>2025</v>
      </c>
      <c s="252">
        <f t="shared" si="473"/>
        <v>2026</v>
      </c>
      <c s="252">
        <f t="shared" si="473"/>
        <v>2027</v>
      </c>
      <c s="252">
        <f t="shared" si="473"/>
        <v>2028</v>
      </c>
      <c s="252">
        <f t="shared" si="473"/>
        <v>2029</v>
      </c>
      <c s="252">
        <f t="shared" si="473"/>
        <v>2030</v>
      </c>
      <c s="252">
        <f t="shared" si="473"/>
        <v>2031</v>
      </c>
      <c s="252">
        <f t="shared" si="473"/>
        <v>2032</v>
      </c>
      <c s="252">
        <f t="shared" si="474" ref="K475">IF(ISNUMBER(J475)=FALSE,YEAR($C$13),J475+1)</f>
        <v>2033</v>
      </c>
      <c s="252">
        <f t="shared" si="475" ref="L475">IF(ISNUMBER(K475)=FALSE,YEAR($C$13),K475+1)</f>
        <v>2034</v>
      </c>
      <c s="252">
        <f t="shared" si="476" ref="M475">IF(ISNUMBER(L475)=FALSE,YEAR($C$13),L475+1)</f>
        <v>2035</v>
      </c>
      <c s="252">
        <f t="shared" si="477" ref="N475">IF(ISNUMBER(M475)=FALSE,YEAR($C$13),M475+1)</f>
        <v>2036</v>
      </c>
      <c s="252">
        <f t="shared" si="478" ref="O475">IF(ISNUMBER(N475)=FALSE,YEAR($C$13),N475+1)</f>
        <v>2037</v>
      </c>
      <c s="252">
        <f t="shared" si="479" ref="P475">IF(ISNUMBER(O475)=FALSE,YEAR($C$13),O475+1)</f>
        <v>2038</v>
      </c>
      <c s="252">
        <f t="shared" si="480" ref="Q475:R475">IF(ISNUMBER(P475)=FALSE,YEAR($C$13),P475+1)</f>
        <v>2039</v>
      </c>
      <c s="252">
        <f t="shared" si="480"/>
        <v>2040</v>
      </c>
      <c s="5"/>
      <c s="5"/>
      <c s="5"/>
      <c s="5"/>
      <c s="5"/>
      <c s="5"/>
      <c s="5"/>
      <c s="5"/>
      <c s="5"/>
      <c s="5"/>
      <c s="5"/>
      <c s="5"/>
      <c s="5"/>
      <c s="5"/>
    </row>
    <row r="476" spans="2:18" ht="15" customHeight="1">
      <c r="B476" s="92" t="str">
        <f>"Курс "&amp;H14&amp;"/"&amp;$H$13</f>
        <v>Курс USD/RUB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  <c s="332">
        <v>90</v>
      </c>
    </row>
    <row r="477" spans="2:18" ht="15" customHeight="1">
      <c r="B477" s="93" t="str">
        <f>"Курс "&amp;H15&amp;"/"&amp;$H$13</f>
        <v>Курс CNY/RUB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  <c s="333">
        <v>12.5</v>
      </c>
    </row>
    <row r="478" spans="2:18" ht="15" customHeight="1">
      <c r="B478" s="93" t="str">
        <f>"Курс "&amp;H16&amp;"/"&amp;$H$13</f>
        <v>Курс EUR/RUB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  <c s="333">
        <v>97</v>
      </c>
    </row>
    <row r="479" spans="2:2" ht="15" customHeight="1">
      <c r="B479" s="24" t="s">
        <v>17</v>
      </c>
    </row>
    <row r="480" spans="2:32" ht="14.45">
      <c r="B480" s="253" t="s">
        <v>53</v>
      </c>
      <c s="252">
        <f t="shared" si="481" ref="C480:H480">IF(ISNUMBER(B480)=FALSE,YEAR($C$13),B480+1)</f>
        <v>2025</v>
      </c>
      <c s="252">
        <f t="shared" si="481"/>
        <v>2026</v>
      </c>
      <c s="252">
        <f t="shared" si="481"/>
        <v>2027</v>
      </c>
      <c s="252">
        <f t="shared" si="481"/>
        <v>2028</v>
      </c>
      <c s="252">
        <f t="shared" si="481"/>
        <v>2029</v>
      </c>
      <c s="252">
        <f t="shared" si="481"/>
        <v>2030</v>
      </c>
      <c s="252">
        <f t="shared" si="482" ref="I480">IF(ISNUMBER(H480)=FALSE,YEAR($C$13),H480+1)</f>
        <v>2031</v>
      </c>
      <c s="252">
        <f t="shared" si="483" ref="J480">IF(ISNUMBER(I480)=FALSE,YEAR($C$13),I480+1)</f>
        <v>2032</v>
      </c>
      <c s="252">
        <f t="shared" si="484" ref="K480">IF(ISNUMBER(J480)=FALSE,YEAR($C$13),J480+1)</f>
        <v>2033</v>
      </c>
      <c s="252">
        <f t="shared" si="485" ref="L480">IF(ISNUMBER(K480)=FALSE,YEAR($C$13),K480+1)</f>
        <v>2034</v>
      </c>
      <c s="252">
        <f t="shared" si="486" ref="M480">IF(ISNUMBER(L480)=FALSE,YEAR($C$13),L480+1)</f>
        <v>2035</v>
      </c>
      <c s="252">
        <f t="shared" si="487" ref="N480">IF(ISNUMBER(M480)=FALSE,YEAR($C$13),M480+1)</f>
        <v>2036</v>
      </c>
      <c s="252">
        <f t="shared" si="488" ref="O480">IF(ISNUMBER(N480)=FALSE,YEAR($C$13),N480+1)</f>
        <v>2037</v>
      </c>
      <c s="252">
        <f t="shared" si="489" ref="P480">IF(ISNUMBER(O480)=FALSE,YEAR($C$13),O480+1)</f>
        <v>2038</v>
      </c>
      <c s="252">
        <f t="shared" si="490" ref="Q480:R480">IF(ISNUMBER(P480)=FALSE,YEAR($C$13),P480+1)</f>
        <v>2039</v>
      </c>
      <c s="252">
        <f t="shared" si="490"/>
        <v>2040</v>
      </c>
      <c s="5"/>
      <c s="5"/>
      <c s="5"/>
      <c s="5"/>
      <c s="5"/>
      <c s="5"/>
      <c s="5"/>
      <c s="5"/>
      <c s="5"/>
      <c s="5"/>
      <c s="5"/>
      <c s="5"/>
      <c s="5"/>
      <c s="5"/>
    </row>
    <row r="481" spans="2:18" ht="15" customHeight="1">
      <c r="B481" s="41" t="s">
        <v>240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  <c s="381">
        <v>0.20000000000000001</v>
      </c>
    </row>
    <row r="482" spans="2:18" ht="15" customHeight="1">
      <c r="B482" s="41" t="s">
        <v>242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  <c s="381">
        <v>0.10000000000000001</v>
      </c>
    </row>
    <row r="483" spans="2:18" ht="15" customHeight="1">
      <c r="B483" s="40" t="s">
        <v>244</v>
      </c>
      <c s="339">
        <v>0.20000000000000001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  <c s="339">
        <v>0.25</v>
      </c>
    </row>
    <row r="484" spans="2:18" ht="15" customHeight="1">
      <c r="B484" s="40" t="s">
        <v>246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  <c s="339">
        <v>0.021999999999999999</v>
      </c>
    </row>
    <row r="485" spans="2:18" ht="15" customHeight="1">
      <c r="B485" s="40" t="s">
        <v>540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  <c s="382">
        <v>0.13</v>
      </c>
    </row>
    <row r="486" spans="2:18" ht="14.45">
      <c r="B486" s="40" t="s">
        <v>541</v>
      </c>
      <c s="382">
        <v>0.13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  <c s="382">
        <v>0.14999999999999999</v>
      </c>
    </row>
    <row r="487" spans="2:18" ht="15" customHeight="1">
      <c r="B487" s="40" t="s">
        <v>542</v>
      </c>
      <c s="382">
        <v>0.13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  <c s="382">
        <v>0.17999999999999999</v>
      </c>
    </row>
    <row r="488" spans="2:18" ht="15" customHeight="1">
      <c r="B488" s="40" t="s">
        <v>543</v>
      </c>
      <c s="382">
        <v>0.13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  <c s="382">
        <v>0.20000000000000001</v>
      </c>
    </row>
    <row r="489" spans="2:18" ht="15" customHeight="1">
      <c r="B489" s="40" t="s">
        <v>544</v>
      </c>
      <c s="382">
        <v>0.13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  <c s="382">
        <v>0.22</v>
      </c>
    </row>
    <row r="490" spans="2:18" ht="15" customHeight="1">
      <c r="B490" s="365"/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</row>
    <row r="491" spans="2:18" ht="15" customHeight="1">
      <c r="B491" s="25" t="str">
        <f>"Предельная сумма, "&amp;Единица_измерения</f>
        <v>Предельная сумма, тыс. руб.</v>
      </c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</row>
    <row r="492" spans="2:18" ht="15" customHeight="1">
      <c r="B492" s="253" t="s">
        <v>53</v>
      </c>
      <c s="252">
        <f>IF(ISNUMBER(B520)=FALSE,YEAR($C$13),B520+1)</f>
        <v>2025</v>
      </c>
      <c s="252">
        <f t="shared" si="491" ref="D492:R492">IF(ISNUMBER(C520)=FALSE,YEAR($C$13),C520+1)</f>
        <v>2026</v>
      </c>
      <c s="252">
        <f t="shared" si="491"/>
        <v>2027</v>
      </c>
      <c s="252">
        <f t="shared" si="491"/>
        <v>2028</v>
      </c>
      <c s="252">
        <f t="shared" si="491"/>
        <v>2029</v>
      </c>
      <c s="252">
        <f t="shared" si="491"/>
        <v>2030</v>
      </c>
      <c s="252">
        <f t="shared" si="491"/>
        <v>2031</v>
      </c>
      <c s="252">
        <f t="shared" si="491"/>
        <v>2032</v>
      </c>
      <c s="252">
        <f t="shared" si="491"/>
        <v>2033</v>
      </c>
      <c s="252">
        <f t="shared" si="491"/>
        <v>2034</v>
      </c>
      <c s="252">
        <f t="shared" si="491"/>
        <v>2035</v>
      </c>
      <c s="252">
        <f t="shared" si="491"/>
        <v>2036</v>
      </c>
      <c s="252">
        <f t="shared" si="491"/>
        <v>2037</v>
      </c>
      <c s="252">
        <f t="shared" si="491"/>
        <v>2038</v>
      </c>
      <c s="252">
        <f t="shared" si="491"/>
        <v>2039</v>
      </c>
      <c s="252">
        <f t="shared" si="491"/>
        <v>2040</v>
      </c>
    </row>
    <row r="493" spans="2:18" ht="15" customHeight="1">
      <c r="B493" s="41" t="s">
        <v>545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  <c s="358">
        <v>2400</v>
      </c>
    </row>
    <row r="494" spans="2:18" ht="15" customHeight="1">
      <c r="B494" s="41" t="s">
        <v>546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  <c s="358">
        <v>5000</v>
      </c>
    </row>
    <row r="495" spans="2:18" ht="15" customHeight="1">
      <c r="B495" s="41" t="s">
        <v>547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  <c s="358">
        <v>20000</v>
      </c>
    </row>
    <row r="496" spans="2:18" ht="15" customHeight="1">
      <c r="B496" s="41" t="s">
        <v>548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  <c s="358">
        <v>50000</v>
      </c>
    </row>
    <row r="497" spans="2:18" ht="15" customHeight="1">
      <c r="B497" s="41" t="s">
        <v>549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  <c s="358" t="s">
        <v>550</v>
      </c>
    </row>
    <row r="498" ht="15" customHeight="1"/>
    <row r="499" spans="2:18" ht="15" customHeight="1">
      <c r="B499" s="42" t="s">
        <v>551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  <c s="339">
        <v>0.5</v>
      </c>
    </row>
    <row r="500" ht="15" customHeight="1"/>
    <row r="501" spans="2:3" ht="15" customHeight="1">
      <c r="B501" s="40" t="s">
        <v>552</v>
      </c>
      <c s="343">
        <v>2</v>
      </c>
    </row>
    <row r="502" spans="2:2" ht="15" customHeight="1">
      <c r="B502" s="365"/>
    </row>
    <row r="503" spans="2:4" ht="14.45">
      <c r="B503" s="40" t="s">
        <v>553</v>
      </c>
      <c s="380">
        <f>IF(C12="не входит в реестр субъектов МСП",1,2)</f>
        <v>1</v>
      </c>
      <c s="6" t="e">
        <f>VLOOKUP(C503,'Программы финансирования'!B134:C135,2,FALSE)</f>
        <v>#N/A</v>
      </c>
    </row>
    <row r="504" ht="15" customHeight="1"/>
    <row r="505" spans="2:6" ht="15" customHeight="1">
      <c r="B505" s="24" t="s">
        <v>554</v>
      </c>
      <c r="F505" s="29"/>
    </row>
    <row r="506" spans="2:32" ht="14.45">
      <c r="B506" s="25" t="s">
        <v>255</v>
      </c>
      <c s="19"/>
      <c s="19"/>
      <c s="5"/>
      <c s="2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07" spans="2:32" ht="14.45">
      <c r="B507" s="253" t="s">
        <v>53</v>
      </c>
      <c s="252">
        <f t="shared" si="492" ref="C507:H507">IF(ISNUMBER(B507)=FALSE,YEAR($C$13),B507+1)</f>
        <v>2025</v>
      </c>
      <c s="252">
        <f t="shared" si="492"/>
        <v>2026</v>
      </c>
      <c s="252">
        <f t="shared" si="492"/>
        <v>2027</v>
      </c>
      <c s="252">
        <f t="shared" si="492"/>
        <v>2028</v>
      </c>
      <c s="252">
        <f t="shared" si="492"/>
        <v>2029</v>
      </c>
      <c s="252">
        <f t="shared" si="492"/>
        <v>2030</v>
      </c>
      <c s="252">
        <f t="shared" si="493" ref="I507">IF(ISNUMBER(H507)=FALSE,YEAR($C$13),H507+1)</f>
        <v>2031</v>
      </c>
      <c s="252">
        <f t="shared" si="494" ref="J507">IF(ISNUMBER(I507)=FALSE,YEAR($C$13),I507+1)</f>
        <v>2032</v>
      </c>
      <c s="252">
        <f t="shared" si="495" ref="K507">IF(ISNUMBER(J507)=FALSE,YEAR($C$13),J507+1)</f>
        <v>2033</v>
      </c>
      <c s="252">
        <f t="shared" si="496" ref="L507">IF(ISNUMBER(K507)=FALSE,YEAR($C$13),K507+1)</f>
        <v>2034</v>
      </c>
      <c s="252">
        <f t="shared" si="497" ref="M507">IF(ISNUMBER(L507)=FALSE,YEAR($C$13),L507+1)</f>
        <v>2035</v>
      </c>
      <c s="252">
        <f t="shared" si="498" ref="N507">IF(ISNUMBER(M507)=FALSE,YEAR($C$13),M507+1)</f>
        <v>2036</v>
      </c>
      <c s="252">
        <f t="shared" si="499" ref="O507">IF(ISNUMBER(N507)=FALSE,YEAR($C$13),N507+1)</f>
        <v>2037</v>
      </c>
      <c s="252">
        <f t="shared" si="500" ref="P507">IF(ISNUMBER(O507)=FALSE,YEAR($C$13),O507+1)</f>
        <v>2038</v>
      </c>
      <c s="252">
        <f t="shared" si="501" ref="Q507:R507">IF(ISNUMBER(P507)=FALSE,YEAR($C$13),P507+1)</f>
        <v>2039</v>
      </c>
      <c s="252">
        <f t="shared" si="501"/>
        <v>2040</v>
      </c>
      <c s="5"/>
      <c s="5"/>
      <c s="5"/>
      <c s="5"/>
      <c s="5"/>
      <c s="5"/>
      <c s="5"/>
      <c s="5"/>
      <c s="5"/>
      <c s="5"/>
      <c s="5"/>
      <c s="5"/>
      <c s="5"/>
      <c s="5"/>
    </row>
    <row r="508" spans="2:18" ht="15" customHeight="1">
      <c r="B508" s="41" t="s">
        <v>555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</row>
    <row r="509" spans="2:18" ht="15" customHeight="1" hidden="1">
      <c r="B509" s="40"/>
      <c s="361"/>
      <c s="361"/>
      <c s="361"/>
      <c s="361"/>
      <c s="361"/>
      <c s="361"/>
      <c s="361"/>
      <c s="361"/>
      <c s="361"/>
      <c s="361"/>
      <c s="361"/>
      <c s="361"/>
      <c s="361"/>
      <c s="361"/>
      <c s="361"/>
      <c s="361"/>
    </row>
    <row r="510" spans="2:18" ht="15" customHeight="1" hidden="1">
      <c r="B510" s="40"/>
      <c s="361"/>
      <c s="361"/>
      <c s="361"/>
      <c s="361"/>
      <c s="361"/>
      <c s="361"/>
      <c s="361"/>
      <c s="361"/>
      <c s="361"/>
      <c s="361"/>
      <c s="361"/>
      <c s="361"/>
      <c s="361"/>
      <c s="361"/>
      <c s="361"/>
      <c s="361"/>
    </row>
    <row r="511" spans="2:18" ht="15" customHeight="1">
      <c r="B511" s="40" t="s">
        <v>262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  <c s="339">
        <v>0.002</v>
      </c>
    </row>
    <row r="512" spans="2:18" ht="15" customHeight="1">
      <c r="B512" s="365"/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</row>
    <row r="513" spans="2:18" ht="15" customHeight="1">
      <c r="B513" s="24" t="s">
        <v>556</v>
      </c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  <c s="366"/>
    </row>
    <row r="514" spans="2:18" ht="15" customHeight="1">
      <c r="B514" s="253" t="s">
        <v>53</v>
      </c>
      <c s="252">
        <f t="shared" si="502" ref="C514">IF(ISNUMBER(B514)=FALSE,YEAR($C$13),B514+1)</f>
        <v>2025</v>
      </c>
      <c s="252">
        <f t="shared" si="503" ref="D514">IF(ISNUMBER(C514)=FALSE,YEAR($C$13),C514+1)</f>
        <v>2026</v>
      </c>
      <c s="252">
        <f t="shared" si="504" ref="E514">IF(ISNUMBER(D514)=FALSE,YEAR($C$13),D514+1)</f>
        <v>2027</v>
      </c>
      <c s="252">
        <f t="shared" si="505" ref="F514">IF(ISNUMBER(E514)=FALSE,YEAR($C$13),E514+1)</f>
        <v>2028</v>
      </c>
      <c s="252">
        <f t="shared" si="506" ref="G514">IF(ISNUMBER(F514)=FALSE,YEAR($C$13),F514+1)</f>
        <v>2029</v>
      </c>
      <c s="252">
        <f t="shared" si="507" ref="H514">IF(ISNUMBER(G514)=FALSE,YEAR($C$13),G514+1)</f>
        <v>2030</v>
      </c>
      <c s="252">
        <f t="shared" si="508" ref="I514">IF(ISNUMBER(H514)=FALSE,YEAR($C$13),H514+1)</f>
        <v>2031</v>
      </c>
      <c s="252">
        <f t="shared" si="509" ref="J514">IF(ISNUMBER(I514)=FALSE,YEAR($C$13),I514+1)</f>
        <v>2032</v>
      </c>
      <c s="252">
        <f t="shared" si="510" ref="K514">IF(ISNUMBER(J514)=FALSE,YEAR($C$13),J514+1)</f>
        <v>2033</v>
      </c>
      <c s="252">
        <f t="shared" si="511" ref="L514">IF(ISNUMBER(K514)=FALSE,YEAR($C$13),K514+1)</f>
        <v>2034</v>
      </c>
      <c s="252">
        <f t="shared" si="512" ref="M514">IF(ISNUMBER(L514)=FALSE,YEAR($C$13),L514+1)</f>
        <v>2035</v>
      </c>
      <c s="252">
        <f t="shared" si="513" ref="N514">IF(ISNUMBER(M514)=FALSE,YEAR($C$13),M514+1)</f>
        <v>2036</v>
      </c>
      <c s="252">
        <f t="shared" si="514" ref="O514">IF(ISNUMBER(N514)=FALSE,YEAR($C$13),N514+1)</f>
        <v>2037</v>
      </c>
      <c s="252">
        <f t="shared" si="515" ref="P514">IF(ISNUMBER(O514)=FALSE,YEAR($C$13),O514+1)</f>
        <v>2038</v>
      </c>
      <c s="252">
        <f t="shared" si="516" ref="Q514">IF(ISNUMBER(P514)=FALSE,YEAR($C$13),P514+1)</f>
        <v>2039</v>
      </c>
      <c s="252">
        <f t="shared" si="517" ref="R514">IF(ISNUMBER(Q514)=FALSE,YEAR($C$13),Q514+1)</f>
        <v>2040</v>
      </c>
    </row>
    <row r="515" spans="2:18" ht="15" customHeight="1">
      <c r="B515" s="41" t="s">
        <v>557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  <c s="342">
        <v>0.29999999999999999</v>
      </c>
    </row>
    <row r="516" spans="2:18" ht="15" customHeight="1">
      <c r="B516" s="41" t="s">
        <v>558</v>
      </c>
      <c s="383">
        <v>19.242000000000001</v>
      </c>
      <c s="368">
        <f>C516*1.05</f>
        <v>20.2041</v>
      </c>
      <c s="384">
        <f>D516*1.05</f>
        <v>21.214305000000003</v>
      </c>
      <c s="384">
        <f t="shared" si="518" ref="F516:R516">E516*1.05</f>
        <v>22.275020250000004</v>
      </c>
      <c s="384">
        <f t="shared" si="518"/>
        <v>23.388771262500004</v>
      </c>
      <c s="384">
        <f t="shared" si="518"/>
        <v>24.558209825625006</v>
      </c>
      <c s="384">
        <f t="shared" si="518"/>
        <v>25.786120316906256</v>
      </c>
      <c s="384">
        <f t="shared" si="518"/>
        <v>27.075426332751569</v>
      </c>
      <c s="384">
        <f t="shared" si="518"/>
        <v>28.429197649389149</v>
      </c>
      <c s="384">
        <f t="shared" si="518"/>
        <v>29.850657531858609</v>
      </c>
      <c s="384">
        <f t="shared" si="518"/>
        <v>31.343190408451541</v>
      </c>
      <c s="384">
        <f t="shared" si="518"/>
        <v>32.910349928874119</v>
      </c>
      <c s="384">
        <f t="shared" si="518"/>
        <v>34.555867425317828</v>
      </c>
      <c s="384">
        <f t="shared" si="518"/>
        <v>36.283660796583725</v>
      </c>
      <c s="384">
        <f t="shared" si="518"/>
        <v>38.097843836412913</v>
      </c>
      <c s="384">
        <f t="shared" si="518"/>
        <v>40.002736028233564</v>
      </c>
    </row>
    <row r="517" spans="2:18" ht="27" customHeight="1">
      <c r="B517" s="41" t="s">
        <v>559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  <c s="342">
        <v>0.14999999999999999</v>
      </c>
    </row>
    <row r="518" spans="2:32" ht="14.45">
      <c r="B518" s="25"/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19" spans="2:32" ht="14.45">
      <c r="B519" s="25" t="str">
        <f>"Предельная сумма, "&amp;Единица_измерения</f>
        <v>Предельная сумма, тыс. руб.</v>
      </c>
      <c s="19"/>
      <c s="357"/>
      <c s="357"/>
      <c s="357"/>
      <c s="357"/>
      <c s="357"/>
      <c s="357"/>
      <c s="357"/>
      <c s="357"/>
      <c s="357"/>
      <c s="357"/>
      <c s="357"/>
      <c s="357"/>
      <c s="357"/>
      <c s="357"/>
      <c s="357"/>
      <c s="5"/>
      <c s="5"/>
      <c s="5"/>
      <c s="5"/>
      <c s="5"/>
      <c s="5"/>
      <c s="5"/>
      <c s="5"/>
      <c s="5"/>
      <c s="5"/>
      <c s="5"/>
      <c s="5"/>
      <c s="5"/>
      <c s="5"/>
    </row>
    <row r="520" spans="2:32" ht="14.45">
      <c r="B520" s="253" t="s">
        <v>53</v>
      </c>
      <c s="252">
        <f t="shared" si="519" ref="C520:H520">IF(ISNUMBER(B520)=FALSE,YEAR($C$13),B520+1)</f>
        <v>2025</v>
      </c>
      <c s="252">
        <f t="shared" si="519"/>
        <v>2026</v>
      </c>
      <c s="252">
        <f t="shared" si="519"/>
        <v>2027</v>
      </c>
      <c s="252">
        <f t="shared" si="519"/>
        <v>2028</v>
      </c>
      <c s="252">
        <f t="shared" si="519"/>
        <v>2029</v>
      </c>
      <c s="252">
        <f t="shared" si="519"/>
        <v>2030</v>
      </c>
      <c s="252">
        <f t="shared" si="520" ref="I520">IF(ISNUMBER(H520)=FALSE,YEAR($C$13),H520+1)</f>
        <v>2031</v>
      </c>
      <c s="252">
        <f t="shared" si="521" ref="J520">IF(ISNUMBER(I520)=FALSE,YEAR($C$13),I520+1)</f>
        <v>2032</v>
      </c>
      <c s="252">
        <f t="shared" si="522" ref="K520">IF(ISNUMBER(J520)=FALSE,YEAR($C$13),J520+1)</f>
        <v>2033</v>
      </c>
      <c s="252">
        <f t="shared" si="523" ref="L520">IF(ISNUMBER(K520)=FALSE,YEAR($C$13),K520+1)</f>
        <v>2034</v>
      </c>
      <c s="252">
        <f t="shared" si="524" ref="M520">IF(ISNUMBER(L520)=FALSE,YEAR($C$13),L520+1)</f>
        <v>2035</v>
      </c>
      <c s="252">
        <f t="shared" si="525" ref="N520">IF(ISNUMBER(M520)=FALSE,YEAR($C$13),M520+1)</f>
        <v>2036</v>
      </c>
      <c s="252">
        <f t="shared" si="526" ref="O520">IF(ISNUMBER(N520)=FALSE,YEAR($C$13),N520+1)</f>
        <v>2037</v>
      </c>
      <c s="252">
        <f t="shared" si="527" ref="P520">IF(ISNUMBER(O520)=FALSE,YEAR($C$13),O520+1)</f>
        <v>2038</v>
      </c>
      <c s="252">
        <f t="shared" si="528" ref="Q520:R520">IF(ISNUMBER(P520)=FALSE,YEAR($C$13),P520+1)</f>
        <v>2039</v>
      </c>
      <c s="252">
        <f t="shared" si="528"/>
        <v>2040</v>
      </c>
      <c s="5"/>
      <c s="5"/>
      <c s="5"/>
      <c s="5"/>
      <c s="5"/>
      <c s="5"/>
      <c s="5"/>
      <c s="5"/>
      <c s="5"/>
      <c s="5"/>
      <c s="5"/>
      <c s="5"/>
      <c s="5"/>
      <c s="5"/>
    </row>
    <row r="521" spans="2:18" ht="15" customHeight="1">
      <c r="B521" s="41" t="s">
        <v>555</v>
      </c>
      <c s="358">
        <v>2225</v>
      </c>
      <c s="358">
        <f>C521*1.05</f>
        <v>2336.25</v>
      </c>
      <c s="358">
        <f t="shared" si="529" ref="E521:R521">D521*1.05</f>
        <v>2453.0625</v>
      </c>
      <c s="358">
        <f t="shared" si="529"/>
        <v>2575.7156250000003</v>
      </c>
      <c s="358">
        <f t="shared" si="529"/>
        <v>2704.5014062500004</v>
      </c>
      <c s="358">
        <f t="shared" si="529"/>
        <v>2839.7264765625005</v>
      </c>
      <c s="358">
        <f t="shared" si="529"/>
        <v>2981.7128003906255</v>
      </c>
      <c s="358">
        <f t="shared" si="529"/>
        <v>3130.7984404101567</v>
      </c>
      <c s="358">
        <f t="shared" si="529"/>
        <v>3287.3383624306648</v>
      </c>
      <c s="358">
        <f t="shared" si="529"/>
        <v>3451.705280552198</v>
      </c>
      <c s="358">
        <f t="shared" si="529"/>
        <v>3624.2905445798083</v>
      </c>
      <c s="358">
        <f t="shared" si="529"/>
        <v>3805.5050718087987</v>
      </c>
      <c s="358">
        <f t="shared" si="529"/>
        <v>3995.7803253992388</v>
      </c>
      <c s="358">
        <f t="shared" si="529"/>
        <v>4195.5693416692011</v>
      </c>
      <c s="358">
        <f t="shared" si="529"/>
        <v>4405.347808752661</v>
      </c>
      <c s="358">
        <f t="shared" si="529"/>
        <v>4625.6151991902943</v>
      </c>
    </row>
    <row r="522" spans="2:18" ht="15" customHeight="1" hidden="1">
      <c r="B522" s="40"/>
      <c s="359"/>
      <c s="358"/>
      <c s="358"/>
      <c s="358"/>
      <c s="358"/>
      <c s="358"/>
      <c s="358"/>
      <c s="358"/>
      <c s="358"/>
      <c s="358"/>
      <c s="358"/>
      <c s="358"/>
      <c s="358"/>
      <c s="358"/>
      <c s="358"/>
      <c s="358"/>
    </row>
    <row r="523" spans="2:18" ht="15" customHeight="1" hidden="1">
      <c r="B523" s="40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</row>
    <row r="524" spans="2:18" ht="15" customHeight="1" hidden="1">
      <c r="B524" s="40"/>
      <c s="77"/>
      <c s="77"/>
      <c s="77"/>
      <c s="77"/>
      <c s="77"/>
      <c s="77"/>
      <c s="77"/>
      <c s="77"/>
      <c s="77"/>
      <c s="77"/>
      <c s="77"/>
      <c s="77"/>
      <c s="77"/>
      <c s="77"/>
      <c s="77"/>
      <c s="77"/>
    </row>
    <row r="525" ht="15" customHeight="1"/>
    <row r="526" spans="2:32" ht="14.45">
      <c r="B526" s="25" t="s">
        <v>267</v>
      </c>
      <c s="19"/>
      <c s="19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27" spans="2:32" ht="14.45">
      <c r="B527" s="253" t="s">
        <v>53</v>
      </c>
      <c s="252">
        <f t="shared" si="530" ref="C527:H527">IF(ISNUMBER(B527)=FALSE,YEAR($C$13),B527+1)</f>
        <v>2025</v>
      </c>
      <c s="252">
        <f t="shared" si="530"/>
        <v>2026</v>
      </c>
      <c s="252">
        <f t="shared" si="530"/>
        <v>2027</v>
      </c>
      <c s="252">
        <f t="shared" si="530"/>
        <v>2028</v>
      </c>
      <c s="252">
        <f t="shared" si="530"/>
        <v>2029</v>
      </c>
      <c s="252">
        <f t="shared" si="530"/>
        <v>2030</v>
      </c>
      <c s="252">
        <f t="shared" si="531" ref="I527">IF(ISNUMBER(H527)=FALSE,YEAR($C$13),H527+1)</f>
        <v>2031</v>
      </c>
      <c s="252">
        <f t="shared" si="532" ref="J527">IF(ISNUMBER(I527)=FALSE,YEAR($C$13),I527+1)</f>
        <v>2032</v>
      </c>
      <c s="252">
        <f t="shared" si="533" ref="K527">IF(ISNUMBER(J527)=FALSE,YEAR($C$13),J527+1)</f>
        <v>2033</v>
      </c>
      <c s="252">
        <f t="shared" si="534" ref="L527">IF(ISNUMBER(K527)=FALSE,YEAR($C$13),K527+1)</f>
        <v>2034</v>
      </c>
      <c s="252">
        <f t="shared" si="535" ref="M527">IF(ISNUMBER(L527)=FALSE,YEAR($C$13),L527+1)</f>
        <v>2035</v>
      </c>
      <c s="252">
        <f t="shared" si="536" ref="N527">IF(ISNUMBER(M527)=FALSE,YEAR($C$13),M527+1)</f>
        <v>2036</v>
      </c>
      <c s="252">
        <f t="shared" si="537" ref="O527">IF(ISNUMBER(N527)=FALSE,YEAR($C$13),N527+1)</f>
        <v>2037</v>
      </c>
      <c s="252">
        <f t="shared" si="538" ref="P527">IF(ISNUMBER(O527)=FALSE,YEAR($C$13),O527+1)</f>
        <v>2038</v>
      </c>
      <c s="252">
        <f t="shared" si="539" ref="Q527:R527">IF(ISNUMBER(P527)=FALSE,YEAR($C$13),P527+1)</f>
        <v>2039</v>
      </c>
      <c s="252">
        <f t="shared" si="539"/>
        <v>2040</v>
      </c>
      <c s="5"/>
      <c s="5"/>
      <c s="5"/>
      <c s="5"/>
      <c s="5"/>
      <c s="5"/>
      <c s="5"/>
      <c s="5"/>
      <c s="5"/>
      <c s="5"/>
      <c s="5"/>
      <c s="5"/>
      <c s="5"/>
      <c s="5"/>
    </row>
    <row r="528" spans="2:18" ht="37.5" customHeight="1">
      <c r="B528" s="41" t="s">
        <v>560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  <c s="342">
        <v>0.151</v>
      </c>
    </row>
    <row r="529" spans="2:18" ht="15" customHeight="1" hidden="1">
      <c r="B529" s="4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</row>
    <row r="530" spans="2:18" ht="15" customHeight="1" hidden="1">
      <c r="B530" s="40"/>
      <c s="162"/>
      <c s="162"/>
      <c s="162"/>
      <c s="162"/>
      <c s="162"/>
      <c s="162"/>
      <c s="162"/>
      <c s="162"/>
      <c s="162"/>
      <c s="162"/>
      <c s="162"/>
      <c s="162"/>
      <c s="162"/>
      <c s="162"/>
      <c s="162"/>
      <c s="162"/>
    </row>
    <row r="531" spans="2:18" ht="15" customHeight="1">
      <c r="B531" s="40" t="s">
        <v>262</v>
      </c>
      <c s="162">
        <f t="shared" si="540" ref="C531:J531">C511</f>
        <v>0.002</v>
      </c>
      <c s="162">
        <f t="shared" si="540"/>
        <v>0.002</v>
      </c>
      <c s="162">
        <f t="shared" si="540"/>
        <v>0.002</v>
      </c>
      <c s="162">
        <f t="shared" si="540"/>
        <v>0.002</v>
      </c>
      <c s="162">
        <f t="shared" si="540"/>
        <v>0.002</v>
      </c>
      <c s="162">
        <f t="shared" si="540"/>
        <v>0.002</v>
      </c>
      <c s="162">
        <f t="shared" si="540"/>
        <v>0.002</v>
      </c>
      <c s="162">
        <f t="shared" si="540"/>
        <v>0.002</v>
      </c>
      <c s="162">
        <f t="shared" si="541" ref="K531:Q531">K511</f>
        <v>0.002</v>
      </c>
      <c s="162">
        <f t="shared" si="541"/>
        <v>0.002</v>
      </c>
      <c s="162">
        <f t="shared" si="541"/>
        <v>0.002</v>
      </c>
      <c s="162">
        <f t="shared" si="541"/>
        <v>0.002</v>
      </c>
      <c s="162">
        <f t="shared" si="541"/>
        <v>0.002</v>
      </c>
      <c s="162">
        <f t="shared" si="541"/>
        <v>0.002</v>
      </c>
      <c s="162">
        <f t="shared" si="541"/>
        <v>0.002</v>
      </c>
      <c s="162">
        <f t="shared" si="542" ref="R531">R511</f>
        <v>0.002</v>
      </c>
    </row>
    <row r="532" ht="15" customHeight="1"/>
    <row r="533" spans="2:2" ht="21">
      <c r="B533" s="23" t="s">
        <v>271</v>
      </c>
    </row>
    <row r="534" spans="2:10" ht="28.15" customHeight="1">
      <c r="B534" s="25" t="s">
        <v>561</v>
      </c>
      <c s="388">
        <f>YEAR(C537)</f>
        <v>2024</v>
      </c>
      <c s="388">
        <f>YEAR(D537)</f>
        <v>2024</v>
      </c>
      <c s="388">
        <f>YEAR(E537)</f>
        <v>2024</v>
      </c>
      <c s="388">
        <f>YEAR(F537)</f>
        <v>2024</v>
      </c>
      <c r="H534" s="561"/>
      <c s="562"/>
      <c s="562"/>
    </row>
    <row r="535" spans="2:6" ht="15" customHeight="1">
      <c r="B535" s="526" t="s">
        <v>562</v>
      </c>
      <c s="252">
        <v>1</v>
      </c>
      <c s="252">
        <v>2</v>
      </c>
      <c s="252">
        <v>3</v>
      </c>
      <c s="252">
        <v>4</v>
      </c>
    </row>
    <row r="536" spans="2:6" ht="15" customHeight="1">
      <c r="B536" s="526"/>
      <c s="254">
        <f>IF($C$13=1,"-",EDATE($C$13,(C535-5)*Месяцев_в_квартале))</f>
        <v>45292</v>
      </c>
      <c s="254">
        <f>IF($C$13=1,"-",EDATE($C$13,(D535-5)*Месяцев_в_квартале))</f>
        <v>45383</v>
      </c>
      <c s="254">
        <f>IF($C$13=1,"-",EDATE($C$13,(E535-5)*Месяцев_в_квартале))</f>
        <v>45474</v>
      </c>
      <c s="254">
        <f>IF($C$13=1,"-",EDATE($C$13,(F535-5)*Месяцев_в_квартале))</f>
        <v>45566</v>
      </c>
    </row>
    <row r="537" spans="2:6" ht="15" customHeight="1">
      <c r="B537" s="527"/>
      <c s="254">
        <f>IF($C$13=1,"-",EOMONTH(C536,Месяцев_в_квартале-1))</f>
        <v>45382</v>
      </c>
      <c s="254">
        <f>IF($C$13=1,"-",EOMONTH(D536,Месяцев_в_квартале-1))</f>
        <v>45473</v>
      </c>
      <c s="254">
        <f>IF($C$13=1,"-",EOMONTH(E536,Месяцев_в_квартале-1))</f>
        <v>45565</v>
      </c>
      <c s="254">
        <f>IF($C$13=1,"-",EOMONTH(F536,Месяцев_в_квартале-1))</f>
        <v>45657</v>
      </c>
    </row>
    <row r="538" spans="2:6" ht="15" customHeight="1">
      <c r="B538" s="22" t="s">
        <v>273</v>
      </c>
      <c s="286"/>
      <c s="286"/>
      <c s="286"/>
      <c s="286"/>
    </row>
    <row r="539" spans="2:6" ht="15" customHeight="1">
      <c r="B539" s="22" t="s">
        <v>563</v>
      </c>
      <c s="286"/>
      <c s="286"/>
      <c s="286"/>
      <c s="286"/>
    </row>
    <row r="540" spans="2:6" ht="15" customHeight="1">
      <c r="B540" s="192" t="s">
        <v>564</v>
      </c>
      <c s="276">
        <f>SUM(C538,C539)</f>
        <v>0</v>
      </c>
      <c s="276">
        <f>SUM(D538,D539)</f>
        <v>0</v>
      </c>
      <c s="276">
        <f>SUM(E538,E539)</f>
        <v>0</v>
      </c>
      <c s="276">
        <f>SUM(F538,F539)</f>
        <v>0</v>
      </c>
    </row>
    <row r="541" spans="2:6" ht="15" customHeight="1">
      <c r="B541" s="12" t="s">
        <v>565</v>
      </c>
      <c s="286"/>
      <c s="286"/>
      <c s="286"/>
      <c s="286"/>
    </row>
    <row r="542" spans="2:6" ht="15" customHeight="1">
      <c r="B542" s="12" t="s">
        <v>566</v>
      </c>
      <c s="286"/>
      <c s="286"/>
      <c s="286"/>
      <c s="286"/>
    </row>
    <row r="543" spans="2:6" ht="15" customHeight="1">
      <c r="B543" s="192" t="s">
        <v>567</v>
      </c>
      <c s="276">
        <f>SUM(C540,C541,C542)</f>
        <v>0</v>
      </c>
      <c s="276">
        <f>SUM(D540,D541,D542)</f>
        <v>0</v>
      </c>
      <c s="276">
        <f>SUM(E540,E541,E542)</f>
        <v>0</v>
      </c>
      <c s="276">
        <f>SUM(F540,F541,F542)</f>
        <v>0</v>
      </c>
    </row>
    <row r="544" spans="2:6" ht="15" customHeight="1">
      <c r="B544" s="12" t="s">
        <v>568</v>
      </c>
      <c s="286"/>
      <c s="286"/>
      <c s="286"/>
      <c s="286"/>
    </row>
    <row r="545" spans="2:6" ht="15" customHeight="1">
      <c r="B545" s="12" t="s">
        <v>277</v>
      </c>
      <c s="286"/>
      <c s="286"/>
      <c s="286"/>
      <c s="286"/>
    </row>
    <row r="546" spans="2:6" ht="15" customHeight="1">
      <c r="B546" s="12" t="s">
        <v>569</v>
      </c>
      <c s="286"/>
      <c s="286"/>
      <c s="286"/>
      <c s="286"/>
    </row>
    <row r="547" spans="2:6" ht="15" customHeight="1">
      <c r="B547" s="12" t="s">
        <v>570</v>
      </c>
      <c s="286"/>
      <c s="286"/>
      <c s="286"/>
      <c s="286"/>
    </row>
    <row r="548" spans="2:6" ht="15" customHeight="1">
      <c r="B548" s="12" t="s">
        <v>571</v>
      </c>
      <c s="286"/>
      <c s="286"/>
      <c s="286"/>
      <c s="286"/>
    </row>
    <row r="549" spans="2:6" ht="15" customHeight="1">
      <c r="B549" s="192" t="s">
        <v>572</v>
      </c>
      <c s="276">
        <f>SUM(C543,C544,C545,C546,C547,C548)</f>
        <v>0</v>
      </c>
      <c s="276">
        <f>SUM(D543,D544,D545,D546,D547,D548)</f>
        <v>0</v>
      </c>
      <c s="276">
        <f>SUM(E543,E544,E545,E546,E547,E548)</f>
        <v>0</v>
      </c>
      <c s="276">
        <f>SUM(F543,F544,F545,F546,F547,F548)</f>
        <v>0</v>
      </c>
    </row>
    <row r="550" spans="2:6" ht="15" customHeight="1">
      <c r="B550" s="12" t="s">
        <v>573</v>
      </c>
      <c s="286"/>
      <c s="286"/>
      <c s="286"/>
      <c s="286"/>
    </row>
    <row r="551" spans="2:6" ht="15" customHeight="1">
      <c r="B551" s="192" t="s">
        <v>574</v>
      </c>
      <c s="276">
        <f>C549+C550</f>
        <v>0</v>
      </c>
      <c s="276">
        <f>D549+D550</f>
        <v>0</v>
      </c>
      <c s="276">
        <f>E549+E550</f>
        <v>0</v>
      </c>
      <c s="276">
        <f>F549+F550</f>
        <v>0</v>
      </c>
    </row>
    <row r="552" spans="2:6" ht="15" customHeight="1">
      <c r="B552" s="12" t="s">
        <v>575</v>
      </c>
      <c s="286"/>
      <c s="286"/>
      <c s="286"/>
      <c s="286"/>
    </row>
    <row r="553" spans="2:6" ht="15" customHeight="1">
      <c r="B553" s="281" t="s">
        <v>576</v>
      </c>
      <c s="276">
        <f>SUM(C549,-C545,-C546)</f>
        <v>0</v>
      </c>
      <c s="276">
        <f>SUM(D549,-D545,-D546)</f>
        <v>0</v>
      </c>
      <c s="276">
        <f>SUM(E549,-E545,-E546)</f>
        <v>0</v>
      </c>
      <c s="276">
        <f>SUM(F549,-F545,-F546)</f>
        <v>0</v>
      </c>
    </row>
    <row r="554" spans="2:6" ht="15" customHeight="1">
      <c r="B554" s="281" t="s">
        <v>577</v>
      </c>
      <c s="276">
        <f>SUM(C549,-C545,-C546,C552)</f>
        <v>0</v>
      </c>
      <c s="276">
        <f>SUM(D549,-D545,-D546,D552)</f>
        <v>0</v>
      </c>
      <c s="276">
        <f t="shared" si="543" ref="E554:F554">SUM(E549,-E545,-E546,E552)</f>
        <v>0</v>
      </c>
      <c s="276">
        <f t="shared" si="543"/>
        <v>0</v>
      </c>
    </row>
    <row r="555" ht="15" customHeight="1"/>
    <row r="556" spans="2:2" ht="15" customHeight="1">
      <c r="B556" s="25" t="s">
        <v>578</v>
      </c>
    </row>
    <row r="557" spans="2:6" ht="15" customHeight="1">
      <c r="B557" s="526" t="s">
        <v>562</v>
      </c>
      <c s="252">
        <v>1</v>
      </c>
      <c s="252">
        <v>2</v>
      </c>
      <c s="252">
        <v>3</v>
      </c>
      <c s="252">
        <v>4</v>
      </c>
    </row>
    <row r="558" spans="2:6" ht="15" customHeight="1">
      <c r="B558" s="526"/>
      <c s="254">
        <f>IF($C$13=1,"-",EDATE($C$13,(C557-5)*Месяцев_в_квартале))</f>
        <v>45292</v>
      </c>
      <c s="254">
        <f>IF($C$13=1,"-",EDATE($C$13,(D557-5)*Месяцев_в_квартале))</f>
        <v>45383</v>
      </c>
      <c s="254">
        <f>IF($C$13=1,"-",EDATE($C$13,(E557-5)*Месяцев_в_квартале))</f>
        <v>45474</v>
      </c>
      <c s="254">
        <f>IF($C$13=1,"-",EDATE($C$13,(F557-5)*Месяцев_в_квартале))</f>
        <v>45566</v>
      </c>
    </row>
    <row r="559" spans="2:6" ht="15" customHeight="1">
      <c r="B559" s="527"/>
      <c s="254">
        <f>IF($C$13=1,"-",EOMONTH(C558,Месяцев_в_квартале-1))</f>
        <v>45382</v>
      </c>
      <c s="254">
        <f>IF($C$13=1,"-",EOMONTH(D558,Месяцев_в_квартале-1))</f>
        <v>45473</v>
      </c>
      <c s="254">
        <f>IF($C$13=1,"-",EOMONTH(E558,Месяцев_в_квартале-1))</f>
        <v>45565</v>
      </c>
      <c s="254">
        <f>IF($C$13=1,"-",EOMONTH(F558,Месяцев_в_квартале-1))</f>
        <v>45657</v>
      </c>
    </row>
    <row r="560" spans="2:6" ht="15" customHeight="1">
      <c r="B560" s="22" t="s">
        <v>289</v>
      </c>
      <c s="286"/>
      <c s="286"/>
      <c s="286"/>
      <c s="286"/>
    </row>
    <row r="561" spans="2:6" ht="15" customHeight="1">
      <c r="B561" s="12" t="s">
        <v>291</v>
      </c>
      <c s="286"/>
      <c s="286"/>
      <c s="286"/>
      <c s="286"/>
    </row>
    <row r="562" spans="2:6" ht="15" customHeight="1">
      <c r="B562" s="12" t="s">
        <v>293</v>
      </c>
      <c s="286"/>
      <c s="286"/>
      <c s="286"/>
      <c s="286"/>
    </row>
    <row r="563" spans="2:6" ht="15" customHeight="1">
      <c r="B563" s="281" t="s">
        <v>579</v>
      </c>
      <c s="276">
        <f>SUM(C560:C562)</f>
        <v>0</v>
      </c>
      <c s="276">
        <f>SUM(D560:D562)</f>
        <v>0</v>
      </c>
      <c s="276">
        <f t="shared" si="544" ref="E563:F563">SUM(E560:E562)</f>
        <v>0</v>
      </c>
      <c s="276">
        <f t="shared" si="544"/>
        <v>0</v>
      </c>
    </row>
    <row r="564" ht="15" customHeight="1"/>
    <row r="565" spans="2:2" ht="15" customHeight="1">
      <c r="B565" s="25" t="s">
        <v>306</v>
      </c>
    </row>
    <row r="566" spans="2:3" ht="15" customHeight="1">
      <c r="B566" s="12" t="str">
        <f>"Выручка за "&amp;YEAR($C$13)-1&amp;" год"</f>
        <v>Выручка за 2024 год</v>
      </c>
      <c s="333"/>
    </row>
    <row r="567" ht="15" customHeight="1"/>
    <row r="568" spans="2:2" ht="15" customHeight="1">
      <c r="B568" s="25" t="s">
        <v>580</v>
      </c>
    </row>
    <row r="569" spans="2:6" ht="15" customHeight="1">
      <c r="B569" s="526" t="s">
        <v>562</v>
      </c>
      <c s="252">
        <v>1</v>
      </c>
      <c s="252">
        <v>2</v>
      </c>
      <c s="252">
        <v>3</v>
      </c>
      <c s="252">
        <v>4</v>
      </c>
    </row>
    <row r="570" spans="2:6" ht="15" customHeight="1">
      <c r="B570" s="526"/>
      <c s="254">
        <f>IF($C$13=1,"-",EDATE($C$13,(C569-5)*Месяцев_в_квартале))</f>
        <v>45292</v>
      </c>
      <c s="254">
        <f>IF($C$13=1,"-",EDATE($C$13,(D569-5)*Месяцев_в_квартале))</f>
        <v>45383</v>
      </c>
      <c s="254">
        <f>IF($C$13=1,"-",EDATE($C$13,(E569-5)*Месяцев_в_квартале))</f>
        <v>45474</v>
      </c>
      <c s="254">
        <f>IF($C$13=1,"-",EDATE($C$13,(F569-5)*Месяцев_в_квартале))</f>
        <v>45566</v>
      </c>
    </row>
    <row r="571" spans="2:6" ht="15" customHeight="1">
      <c r="B571" s="527"/>
      <c s="254">
        <f>IF($C$13=1,"-",EOMONTH(C570,Месяцев_в_квартале-1))</f>
        <v>45382</v>
      </c>
      <c s="254">
        <f>IF($C$13=1,"-",EOMONTH(D570,Месяцев_в_квартале-1))</f>
        <v>45473</v>
      </c>
      <c s="254">
        <f>IF($C$13=1,"-",EOMONTH(E570,Месяцев_в_квартале-1))</f>
        <v>45565</v>
      </c>
      <c s="254">
        <f>IF($C$13=1,"-",EOMONTH(F570,Месяцев_в_квартале-1))</f>
        <v>45657</v>
      </c>
    </row>
    <row r="572" spans="2:6" ht="15" customHeight="1">
      <c r="B572" s="22" t="s">
        <v>289</v>
      </c>
      <c s="122">
        <f t="shared" si="545" ref="C572:F573">C560</f>
        <v>0</v>
      </c>
      <c s="122">
        <f t="shared" si="545"/>
        <v>0</v>
      </c>
      <c s="122">
        <f t="shared" si="545"/>
        <v>0</v>
      </c>
      <c s="122">
        <f t="shared" si="545"/>
        <v>0</v>
      </c>
    </row>
    <row r="573" spans="2:6" ht="15" customHeight="1">
      <c r="B573" s="76" t="s">
        <v>291</v>
      </c>
      <c s="122">
        <f t="shared" si="545"/>
        <v>0</v>
      </c>
      <c s="122">
        <f t="shared" si="545"/>
        <v>0</v>
      </c>
      <c s="122">
        <f t="shared" si="545"/>
        <v>0</v>
      </c>
      <c s="122">
        <f t="shared" si="545"/>
        <v>0</v>
      </c>
    </row>
    <row r="574" spans="2:6" ht="15" customHeight="1">
      <c r="B574" s="12" t="s">
        <v>303</v>
      </c>
      <c s="122">
        <f>-C579</f>
        <v>0</v>
      </c>
      <c s="122">
        <f>-D579</f>
        <v>0</v>
      </c>
      <c s="122">
        <f t="shared" si="546" ref="E574:F574">-E579</f>
        <v>0</v>
      </c>
      <c s="122">
        <f t="shared" si="546"/>
        <v>0</v>
      </c>
    </row>
    <row r="575" spans="2:6" ht="15" customHeight="1">
      <c r="B575" s="76" t="s">
        <v>297</v>
      </c>
      <c s="286"/>
      <c s="286"/>
      <c s="286"/>
      <c s="286"/>
    </row>
    <row r="576" spans="2:6" ht="15" customHeight="1">
      <c r="B576" s="76" t="s">
        <v>299</v>
      </c>
      <c s="286"/>
      <c s="286"/>
      <c s="286"/>
      <c s="286"/>
    </row>
    <row r="577" spans="2:6" ht="15" customHeight="1">
      <c r="B577" s="281" t="s">
        <v>581</v>
      </c>
      <c s="276">
        <f>SUM(C572:C576)</f>
        <v>0</v>
      </c>
      <c s="276">
        <f>SUM(D572:D576)</f>
        <v>0</v>
      </c>
      <c s="276">
        <f t="shared" si="547" ref="E577:F577">SUM(E572:E576)</f>
        <v>0</v>
      </c>
      <c s="276">
        <f t="shared" si="547"/>
        <v>0</v>
      </c>
    </row>
    <row r="578" spans="2:6" ht="15" customHeight="1">
      <c r="B578" s="76" t="s">
        <v>582</v>
      </c>
      <c s="286"/>
      <c s="286"/>
      <c s="286"/>
      <c s="286"/>
    </row>
    <row r="579" spans="2:6" ht="15" customHeight="1">
      <c r="B579" s="12" t="s">
        <v>583</v>
      </c>
      <c s="286"/>
      <c s="286"/>
      <c s="286"/>
      <c s="286"/>
    </row>
    <row r="580" spans="2:6" ht="15" customHeight="1">
      <c r="B580" s="274" t="s">
        <v>584</v>
      </c>
      <c s="285" t="str">
        <f>IFERROR(C577/-SUM(C578:C579),"-")</f>
        <v>-</v>
      </c>
      <c s="285" t="str">
        <f>IFERROR(D577/-SUM(D578:D579),"-")</f>
        <v>-</v>
      </c>
      <c s="285" t="str">
        <f t="shared" si="548" ref="E580:F580">IFERROR(E577/-SUM(E578:E579),"-")</f>
        <v>-</v>
      </c>
      <c s="285" t="str">
        <f t="shared" si="548"/>
        <v>-</v>
      </c>
    </row>
    <row r="581" ht="15" customHeight="1"/>
    <row r="582" spans="2:2" ht="15" customHeight="1" hidden="1">
      <c r="B582" s="25"/>
    </row>
    <row r="583" spans="2:18" ht="14.45" hidden="1">
      <c r="B583" s="398"/>
      <c s="396"/>
      <c s="396"/>
      <c s="396"/>
      <c s="396"/>
      <c s="396"/>
      <c s="396"/>
      <c s="396"/>
      <c s="396"/>
      <c s="396"/>
      <c s="396"/>
      <c s="396"/>
      <c s="396"/>
      <c s="396"/>
      <c s="396"/>
      <c s="396"/>
      <c s="396"/>
    </row>
    <row r="584" spans="2:18" ht="14.45" hidden="1">
      <c r="B584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85" spans="2:18" ht="14.45" hidden="1">
      <c r="B585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86" spans="2:18" ht="14.45" hidden="1">
      <c r="B586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87" spans="2:18" ht="14.45" hidden="1">
      <c r="B587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88" spans="2:18" ht="14.45" hidden="1">
      <c r="B588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89" spans="2:18" ht="14.45" hidden="1">
      <c r="B589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90" spans="2:18" ht="14.45" hidden="1">
      <c r="B590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91" spans="2:18" ht="15" customHeight="1" hidden="1">
      <c r="B591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92" spans="2:18" ht="15" customHeight="1" hidden="1">
      <c r="B592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93" spans="2:18" ht="15" customHeight="1" hidden="1">
      <c r="B593" s="399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</row>
    <row r="594" spans="2:18" ht="15" customHeight="1" hidden="1">
      <c r="B594" s="401"/>
      <c s="402"/>
      <c s="402"/>
      <c s="402"/>
      <c s="402"/>
      <c s="402"/>
      <c s="402"/>
      <c s="402"/>
      <c s="402"/>
      <c s="402"/>
      <c s="402"/>
      <c s="402"/>
      <c s="402"/>
      <c s="402"/>
      <c s="402"/>
      <c s="402"/>
      <c s="402"/>
    </row>
    <row r="595" spans="2:18" ht="15" customHeight="1" hidden="1">
      <c r="B595" s="5"/>
      <c s="403"/>
      <c s="403"/>
      <c s="403"/>
      <c s="403"/>
      <c s="403"/>
      <c s="403"/>
      <c s="403"/>
      <c s="403"/>
      <c s="403"/>
      <c s="403"/>
      <c s="403"/>
      <c s="403"/>
      <c s="403"/>
      <c s="403"/>
      <c s="403"/>
      <c s="403"/>
    </row>
    <row r="597" spans="2:2" ht="21">
      <c r="B597" s="23" t="s">
        <v>585</v>
      </c>
    </row>
    <row r="598" spans="2:31" ht="15" customHeight="1">
      <c r="B598" s="118" t="s">
        <v>586</v>
      </c>
      <c s="71" t="str">
        <f>IF(ISBLANK(Программа),"",IF(ISERROR(MATCH(Программа,'Программы финансирования'!$B$74:$B$78,0)),"","R"))</f>
        <v>R</v>
      </c>
      <c s="84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599" spans="2:31" ht="14.45">
      <c r="B599" s="118" t="s">
        <v>319</v>
      </c>
      <c s="317"/>
      <c s="84" t="str">
        <f>IF(AND(C598="R",ISBLANK(C599)),"установите значение","")</f>
        <v>установите значение</v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00" spans="2:31" ht="14.45">
      <c r="B600" s="118" t="s">
        <v>587</v>
      </c>
      <c s="77" t="str">
        <f>IF(ISBLANK($C$599),"",LOOKUP($C$599+1,Выводы!$F$41:$M$42,Выводы!$F$43:$M$43))</f>
        <v/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01" spans="2:31" ht="14.45">
      <c r="B601" s="118" t="str">
        <f>"Доля выручки от суммы займа "&amp;IF(ISNUMBER(SEARCH("РФРП",Программа)),"ФРП и РФРП","ФРП")</f>
        <v>Доля выручки от суммы займа ФРП</v>
      </c>
      <c s="80" t="str">
        <f>IFERROR(C600/'Параметры займа'!$E$8,"")</f>
        <v/>
      </c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  <row r="602" spans="2:31" ht="15" customHeight="1">
      <c r="B602" s="118" t="s">
        <v>588</v>
      </c>
      <c s="71" t="str">
        <f>IF(AND($C$598="R",ISNUMBER($C$601)),IF($C$601&gt;VLOOKUP(Программа,'Программы финансирования'!$B$74:$C$78,2,FALSE),"R","Q"),"")</f>
        <v/>
      </c>
      <c s="84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  <c s="5"/>
    </row>
  </sheetData>
  <sheetProtection algorithmName="SHA-512" hashValue="vVUUi8MEb1GkGEyPiFb1Rmqgtbh/fMk4Z/0FL7wZ+1nHTyEb9JwL8d+0zoq3SbtJd6HmwjFafQw7jAA+iCRzUg==" saltValue="e9676ZCCgsQkqmjgPy06kQ==" spinCount="100000" sheet="1" objects="1" scenarios="1"/>
  <mergeCells count="165">
    <mergeCell ref="E10:H10"/>
    <mergeCell ref="H534:J534"/>
    <mergeCell ref="E4:G4"/>
    <mergeCell ref="E2:H2"/>
    <mergeCell ref="B557:B559"/>
    <mergeCell ref="B144:C144"/>
    <mergeCell ref="C22:H23"/>
    <mergeCell ref="H119:H121"/>
    <mergeCell ref="B307:B309"/>
    <mergeCell ref="C307:C309"/>
    <mergeCell ref="B143:C143"/>
    <mergeCell ref="B73:B75"/>
    <mergeCell ref="C73:C75"/>
    <mergeCell ref="E73:G75"/>
    <mergeCell ref="E27:E29"/>
    <mergeCell ref="D27:D29"/>
    <mergeCell ref="F27:F29"/>
    <mergeCell ref="G27:G29"/>
    <mergeCell ref="B27:B29"/>
    <mergeCell ref="B22:B23"/>
    <mergeCell ref="B346:B348"/>
    <mergeCell ref="D346:D348"/>
    <mergeCell ref="C346:C348"/>
    <mergeCell ref="B250:B252"/>
    <mergeCell ref="B225:B227"/>
    <mergeCell ref="B337:B339"/>
    <mergeCell ref="C250:C251"/>
    <mergeCell ref="D250:D251"/>
    <mergeCell ref="D307:D309"/>
    <mergeCell ref="B222:C222"/>
    <mergeCell ref="B198:B200"/>
    <mergeCell ref="B389:B391"/>
    <mergeCell ref="C389:C391"/>
    <mergeCell ref="C225:C227"/>
    <mergeCell ref="B275:B277"/>
    <mergeCell ref="C275:C277"/>
    <mergeCell ref="D198:D200"/>
    <mergeCell ref="D275:D277"/>
    <mergeCell ref="C337:C339"/>
    <mergeCell ref="E20:G20"/>
    <mergeCell ref="H27:H29"/>
    <mergeCell ref="C433:C435"/>
    <mergeCell ref="E433:E435"/>
    <mergeCell ref="C198:C200"/>
    <mergeCell ref="D433:D435"/>
    <mergeCell ref="C401:C403"/>
    <mergeCell ref="E76:G76"/>
    <mergeCell ref="E98:G98"/>
    <mergeCell ref="E111:G111"/>
    <mergeCell ref="E112:G112"/>
    <mergeCell ref="C119:C121"/>
    <mergeCell ref="D119:D121"/>
    <mergeCell ref="G275:G277"/>
    <mergeCell ref="H275:H277"/>
    <mergeCell ref="B119:B121"/>
    <mergeCell ref="B8:H8"/>
    <mergeCell ref="C172:C174"/>
    <mergeCell ref="G198:G200"/>
    <mergeCell ref="B9:H9"/>
    <mergeCell ref="E13:G13"/>
    <mergeCell ref="E14:G14"/>
    <mergeCell ref="E17:G17"/>
    <mergeCell ref="E18:G18"/>
    <mergeCell ref="E84:G84"/>
    <mergeCell ref="C147:C149"/>
    <mergeCell ref="E89:G89"/>
    <mergeCell ref="E90:G90"/>
    <mergeCell ref="E91:G91"/>
    <mergeCell ref="B172:B174"/>
    <mergeCell ref="E101:G101"/>
    <mergeCell ref="E102:G102"/>
    <mergeCell ref="E103:G103"/>
    <mergeCell ref="E104:G104"/>
    <mergeCell ref="E105:G105"/>
    <mergeCell ref="F119:F121"/>
    <mergeCell ref="C27:C29"/>
    <mergeCell ref="E99:G99"/>
    <mergeCell ref="E19:G19"/>
    <mergeCell ref="B569:B571"/>
    <mergeCell ref="B535:B537"/>
    <mergeCell ref="E455:G455"/>
    <mergeCell ref="E456:G456"/>
    <mergeCell ref="K119:K121"/>
    <mergeCell ref="E115:G115"/>
    <mergeCell ref="E275:E277"/>
    <mergeCell ref="E77:G77"/>
    <mergeCell ref="E78:G78"/>
    <mergeCell ref="E79:G79"/>
    <mergeCell ref="E80:G80"/>
    <mergeCell ref="E81:G81"/>
    <mergeCell ref="E87:G87"/>
    <mergeCell ref="E88:G88"/>
    <mergeCell ref="E83:G83"/>
    <mergeCell ref="E107:G107"/>
    <mergeCell ref="I198:I200"/>
    <mergeCell ref="F198:F200"/>
    <mergeCell ref="E85:G85"/>
    <mergeCell ref="J275:J277"/>
    <mergeCell ref="E100:G100"/>
    <mergeCell ref="B147:B149"/>
    <mergeCell ref="E86:G86"/>
    <mergeCell ref="E108:G108"/>
    <mergeCell ref="E449:G449"/>
    <mergeCell ref="E450:G450"/>
    <mergeCell ref="E451:G451"/>
    <mergeCell ref="E452:G452"/>
    <mergeCell ref="E453:G453"/>
    <mergeCell ref="B442:E442"/>
    <mergeCell ref="E454:G454"/>
    <mergeCell ref="F275:F277"/>
    <mergeCell ref="F433:F435"/>
    <mergeCell ref="B426:B428"/>
    <mergeCell ref="C426:C428"/>
    <mergeCell ref="B416:B418"/>
    <mergeCell ref="C416:C418"/>
    <mergeCell ref="B433:B435"/>
    <mergeCell ref="B401:B403"/>
    <mergeCell ref="D337:D339"/>
    <mergeCell ref="B304:C304"/>
    <mergeCell ref="M250:M251"/>
    <mergeCell ref="K250:K251"/>
    <mergeCell ref="I250:I251"/>
    <mergeCell ref="J250:J251"/>
    <mergeCell ref="G250:G251"/>
    <mergeCell ref="H250:H251"/>
    <mergeCell ref="L73:L75"/>
    <mergeCell ref="F250:F251"/>
    <mergeCell ref="E119:E121"/>
    <mergeCell ref="I119:I121"/>
    <mergeCell ref="I73:I75"/>
    <mergeCell ref="E198:E200"/>
    <mergeCell ref="H198:H200"/>
    <mergeCell ref="E250:E251"/>
    <mergeCell ref="J73:J75"/>
    <mergeCell ref="J119:J121"/>
    <mergeCell ref="G119:G121"/>
    <mergeCell ref="E113:G113"/>
    <mergeCell ref="E114:G114"/>
    <mergeCell ref="L250:L251"/>
    <mergeCell ref="E82:G82"/>
    <mergeCell ref="E97:G97"/>
    <mergeCell ref="I275:I277"/>
    <mergeCell ref="I27:I29"/>
    <mergeCell ref="J27:J29"/>
    <mergeCell ref="BV73:BV75"/>
    <mergeCell ref="C11:H11"/>
    <mergeCell ref="W250:W251"/>
    <mergeCell ref="N250:N251"/>
    <mergeCell ref="O250:O251"/>
    <mergeCell ref="P250:P251"/>
    <mergeCell ref="Q250:Q251"/>
    <mergeCell ref="R250:R251"/>
    <mergeCell ref="S250:S251"/>
    <mergeCell ref="T250:T251"/>
    <mergeCell ref="U250:U251"/>
    <mergeCell ref="V250:V251"/>
    <mergeCell ref="H73:H75"/>
    <mergeCell ref="E109:G109"/>
    <mergeCell ref="E110:G110"/>
    <mergeCell ref="E106:G106"/>
    <mergeCell ref="E92:G92"/>
    <mergeCell ref="E93:G93"/>
    <mergeCell ref="E94:G94"/>
    <mergeCell ref="E95:G95"/>
    <mergeCell ref="E96:G96"/>
  </mergeCells>
  <conditionalFormatting sqref="C407">
    <cfRule type="cellIs" priority="372" dxfId="24" operator="equal">
      <formula>"Q"</formula>
    </cfRule>
    <cfRule type="cellIs" priority="373" dxfId="23" operator="equal">
      <formula>"R"</formula>
    </cfRule>
  </conditionalFormatting>
  <conditionalFormatting sqref="C422">
    <cfRule type="cellIs" priority="374" dxfId="24" operator="equal">
      <formula>"Q"</formula>
    </cfRule>
    <cfRule type="cellIs" priority="375" dxfId="23" operator="equal">
      <formula>"R"</formula>
    </cfRule>
  </conditionalFormatting>
  <conditionalFormatting sqref="C598">
    <cfRule type="cellIs" priority="343" dxfId="24" operator="equal">
      <formula>"Q"</formula>
    </cfRule>
    <cfRule type="cellIs" priority="344" dxfId="23" operator="equal">
      <formula>"R"</formula>
    </cfRule>
  </conditionalFormatting>
  <conditionalFormatting sqref="C599:C601">
    <cfRule type="expression" priority="347" dxfId="126">
      <formula>$C$598&lt;&gt;"R"</formula>
    </cfRule>
  </conditionalFormatting>
  <conditionalFormatting sqref="C602">
    <cfRule type="cellIs" priority="339" dxfId="24" operator="equal">
      <formula>"Q"</formula>
    </cfRule>
    <cfRule type="cellIs" priority="340" dxfId="23" operator="equal">
      <formula>"R"</formula>
    </cfRule>
  </conditionalFormatting>
  <conditionalFormatting sqref="D143:D144">
    <cfRule type="cellIs" priority="366" dxfId="24" operator="equal">
      <formula>"Q"</formula>
    </cfRule>
    <cfRule type="cellIs" priority="367" dxfId="23" operator="equal">
      <formula>"R"</formula>
    </cfRule>
  </conditionalFormatting>
  <conditionalFormatting sqref="D222">
    <cfRule type="cellIs" priority="370" dxfId="24" operator="equal">
      <formula>"Q"</formula>
    </cfRule>
    <cfRule type="cellIs" priority="371" dxfId="23" operator="equal">
      <formula>"R"</formula>
    </cfRule>
  </conditionalFormatting>
  <conditionalFormatting sqref="D304">
    <cfRule type="cellIs" priority="364" dxfId="24" operator="equal">
      <formula>"Q"</formula>
    </cfRule>
    <cfRule type="cellIs" priority="365" dxfId="23" operator="equal">
      <formula>"R"</formula>
    </cfRule>
  </conditionalFormatting>
  <conditionalFormatting sqref="E4">
    <cfRule type="expression" priority="382" dxfId="24">
      <formula>$H$4="Q"</formula>
    </cfRule>
    <cfRule type="expression" priority="383" dxfId="23">
      <formula>$H$4="R"</formula>
    </cfRule>
  </conditionalFormatting>
  <conditionalFormatting sqref="F122:F141">
    <cfRule type="expression" priority="93" dxfId="138">
      <formula>$E122="нет"</formula>
    </cfRule>
  </conditionalFormatting>
  <conditionalFormatting sqref="F201:F220">
    <cfRule type="expression" priority="92" dxfId="138">
      <formula>$E201="нет"</formula>
    </cfRule>
  </conditionalFormatting>
  <conditionalFormatting sqref="F278:F302">
    <cfRule type="expression" priority="66" dxfId="138">
      <formula>$E278="нет"</formula>
    </cfRule>
  </conditionalFormatting>
  <conditionalFormatting sqref="F442">
    <cfRule type="cellIs" priority="380" dxfId="24" operator="equal">
      <formula>"Q"</formula>
    </cfRule>
    <cfRule type="cellIs" priority="381" dxfId="23" operator="equal">
      <formula>"R"</formula>
    </cfRule>
  </conditionalFormatting>
  <conditionalFormatting sqref="H4">
    <cfRule type="cellIs" priority="358" dxfId="24" operator="equal">
      <formula>"Q"</formula>
    </cfRule>
    <cfRule type="cellIs" priority="359" dxfId="23" operator="equal">
      <formula>"R"</formula>
    </cfRule>
  </conditionalFormatting>
  <conditionalFormatting sqref="I30:J69">
    <cfRule type="cellIs" priority="16" dxfId="24" operator="equal">
      <formula>"Q"</formula>
    </cfRule>
    <cfRule type="cellIs" priority="17" dxfId="23" operator="equal">
      <formula>"R"</formula>
    </cfRule>
  </conditionalFormatting>
  <conditionalFormatting sqref="BV76:BV115">
    <cfRule type="cellIs" priority="14" dxfId="24" operator="equal">
      <formula>"Q"</formula>
    </cfRule>
    <cfRule type="cellIs" priority="15" dxfId="23" operator="equal">
      <formula>"R"</formula>
    </cfRule>
  </conditionalFormatting>
  <conditionalFormatting sqref="B310">
    <cfRule type="expression" priority="71" dxfId="126">
      <formula>'Параметры займа'!$E$14&lt;&gt;"да"</formula>
    </cfRule>
  </conditionalFormatting>
  <conditionalFormatting sqref="B278:C278">
    <cfRule type="expression" priority="77" dxfId="126">
      <formula>'Параметры займа'!$E$14&lt;&gt;"да"</formula>
    </cfRule>
  </conditionalFormatting>
  <conditionalFormatting sqref="D278:D302">
    <cfRule type="expression" priority="76" dxfId="126">
      <formula>'Параметры займа'!$E$14&lt;&gt;"да"</formula>
    </cfRule>
  </conditionalFormatting>
  <conditionalFormatting sqref="G278:H278">
    <cfRule type="expression" priority="74" dxfId="126">
      <formula>'Параметры займа'!$E$14&lt;&gt;"да"</formula>
    </cfRule>
  </conditionalFormatting>
  <dataValidations count="15">
    <dataValidation type="list" allowBlank="1" showInputMessage="1" showErrorMessage="1" sqref="C30:C69 G278:G302 E122:E141 E201:E220 G122:G141 E278:E302 G30:G69">
      <formula1>"да,нет"</formula1>
    </dataValidation>
    <dataValidation type="list" allowBlank="1" showInputMessage="1" showErrorMessage="1" sqref="C278:C302 C349:C373">
      <formula1>"производственные,коммерческие,управленческие"</formula1>
    </dataValidation>
    <dataValidation allowBlank="1" showInputMessage="1" showErrorMessage="1" errorTitle="Некорректное значение" error="Установите значение в диапазоне от 0 до 100%" sqref="F30:F69"/>
    <dataValidation type="whole" allowBlank="1" showInputMessage="1" showErrorMessage="1" errorTitle="Некорректное значение" error="Установите число в диапазоне от 0 до 90." sqref="H122:H141">
      <formula1>0</formula1>
      <formula2>90</formula2>
    </dataValidation>
    <dataValidation type="whole" allowBlank="1" showInputMessage="1" showErrorMessage="1" errorTitle="Некорректное значение" error="Установите число в диапазоне от -90 до 90." sqref="I122:I141 G201:G220 H278:H302">
      <formula1>-90</formula1>
      <formula2>90</formula2>
    </dataValidation>
    <dataValidation type="list" allowBlank="1" showInputMessage="1" showErrorMessage="1" sqref="F122:F141 F201:F220 F278:F302">
      <formula1>"основная,льготная"</formula1>
    </dataValidation>
    <dataValidation type="whole" operator="lessThanOrEqual" allowBlank="1" showInputMessage="1" showErrorMessage="1" errorTitle="Некорректное значение" error="Значение показателя отражается с отрицательным знаком." sqref="C546:F546 C548:F548 C578:F579">
      <formula1>0</formula1>
    </dataValidation>
    <dataValidation type="list" allowBlank="1" showInputMessage="1" showErrorMessage="1" sqref="H76:H115 D122:D141 D201:D220 D278:D302">
      <formula1>$H$13:$H$16</formula1>
    </dataValidation>
    <dataValidation type="whole" operator="lessThanOrEqual" allowBlank="1" showInputMessage="1" showErrorMessage="1" sqref="C539:F539 C541:F542 C550:F550">
      <formula1>0</formula1>
    </dataValidation>
    <dataValidation operator="lessThanOrEqual" allowBlank="1" showInputMessage="1" showErrorMessage="1" errorTitle="Некорректное значение" error="Значение показателя отражается с отрицательным знаком." sqref="C547:F547"/>
    <dataValidation type="list" allowBlank="1" showInputMessage="1" showErrorMessage="1" sqref="C12">
      <formula1>"входит в реестр субъектов МСП,не входит в реестр субъектов МСП"</formula1>
    </dataValidation>
    <dataValidation type="list" allowBlank="1" showInputMessage="1" showErrorMessage="1" sqref="C449">
      <formula1>Источники!$B$35:$B$85</formula1>
    </dataValidation>
    <dataValidation type="list" allowBlank="1" showInputMessage="1" showErrorMessage="1" sqref="D30:E69">
      <formula1>'Капитальные вложения'!$E$10:$AG$10</formula1>
    </dataValidation>
    <dataValidation type="list" allowBlank="1" showInputMessage="1" showErrorMessage="1" sqref="H14:H16">
      <formula1>Источники!$C$226:$C$258</formula1>
    </dataValidation>
    <dataValidation type="list" allowBlank="1" showInputMessage="1" showErrorMessage="1" sqref="C11:H11">
      <formula1>Источники!$B$134:$B$222</formula1>
    </dataValidation>
  </dataValidations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</hyperlinks>
  <pageMargins left="0.7" right="0.7" top="0.75" bottom="0.75" header="0.3" footer="0.3"/>
  <pageSetup fitToHeight="0" orientation="landscape" paperSize="9" scale="10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6">
    <tabColor rgb="FFFFF6DD"/>
    <pageSetUpPr fitToPage="1"/>
  </sheetPr>
  <dimension ref="B2:O258"/>
  <sheetViews>
    <sheetView showGridLines="0" workbookViewId="0" topLeftCell="A1">
      <pane xSplit="2" ySplit="5" topLeftCell="C6" activePane="bottomRight" state="frozen"/>
      <selection pane="topLeft" activeCell="A1" sqref="A1"/>
      <selection pane="bottomLeft" activeCell="E12" sqref="E12:E13"/>
      <selection pane="topRight" activeCell="E12" sqref="E12:E13"/>
      <selection pane="bottomRight" activeCell="E2" sqref="E2:H2"/>
    </sheetView>
  </sheetViews>
  <sheetFormatPr defaultColWidth="0" defaultRowHeight="15" customHeight="1" zeroHeight="1"/>
  <cols>
    <col min="1" max="1" width="2.71428571428571" customWidth="1"/>
    <col min="2" max="2" width="50" customWidth="1"/>
    <col min="3" max="15" width="17.2857142857143" customWidth="1"/>
    <col min="16" max="16" width="2.71428571428571" customWidth="1"/>
    <col min="17" max="18" width="30" hidden="1" customWidth="1"/>
    <col min="19" max="19" width="45.7142857142857" hidden="1" customWidth="1"/>
    <col min="20" max="20" width="30" hidden="1" customWidth="1"/>
    <col min="21" max="21" width="2.85714285714286" hidden="1" customWidth="1"/>
    <col min="22" max="22" width="20" hidden="1" customWidth="1"/>
    <col min="23" max="42" width="15.7142857142857" hidden="1" customWidth="1"/>
    <col min="43" max="43" width="2.85714285714286" hidden="1" customWidth="1"/>
    <col min="44" max="51" width="0" hidden="1" customWidth="1"/>
    <col min="52" max="16384" width="9.14285714285714" hidden="1"/>
  </cols>
  <sheetData>
    <row r="1" ht="15" customHeight="1"/>
    <row r="2" spans="5:8" ht="15" customHeight="1">
      <c r="E2" s="566" t="s">
        <v>424</v>
      </c>
      <c s="566"/>
      <c s="566"/>
      <c s="566"/>
    </row>
    <row r="3" spans="5:8" ht="15" customHeight="1">
      <c r="E3" s="64" t="s">
        <v>8</v>
      </c>
      <c s="353" t="s">
        <v>9</v>
      </c>
      <c s="64" t="s">
        <v>10</v>
      </c>
      <c s="64" t="s">
        <v>24</v>
      </c>
    </row>
    <row r="4" spans="5:8" ht="15" customHeight="1">
      <c r="E4" s="590" t="str">
        <f ca="1">IF(H4="R","Все расчёты корректны","Имеются некорректные данные")</f>
        <v>Имеются некорректные данные</v>
      </c>
      <c s="591"/>
      <c s="592"/>
      <c s="91" t="str">
        <f ca="1">Проверка</f>
        <v>Q</v>
      </c>
    </row>
    <row r="5" spans="2:15" ht="31.15">
      <c r="B5" s="7" t="s">
        <v>11</v>
      </c>
      <c s="7"/>
      <c s="7"/>
      <c s="7"/>
      <c s="7"/>
      <c s="7"/>
      <c s="7"/>
      <c s="7"/>
      <c s="7"/>
      <c s="7"/>
      <c s="7"/>
      <c s="7"/>
      <c s="7"/>
      <c s="7"/>
    </row>
    <row r="6" ht="15" customHeight="1"/>
    <row r="7" spans="2:15" ht="21">
      <c r="B7" s="23" t="s">
        <v>201</v>
      </c>
      <c s="5"/>
      <c s="5"/>
      <c s="5"/>
      <c s="5"/>
      <c s="5"/>
      <c s="5"/>
      <c s="5"/>
      <c s="5"/>
      <c s="5"/>
      <c s="5"/>
      <c s="5"/>
      <c s="5"/>
      <c s="5"/>
    </row>
    <row r="8" spans="2:6" ht="15.6">
      <c r="B8" s="24" t="s">
        <v>202</v>
      </c>
      <c s="5"/>
      <c s="5"/>
      <c s="5"/>
      <c s="5"/>
    </row>
    <row r="9" spans="2:15" ht="15" customHeight="1">
      <c r="B9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10" spans="2:15" ht="14.45" customHeight="1">
      <c r="B10" s="18" t="s">
        <v>589</v>
      </c>
      <c s="593" t="s">
        <v>590</v>
      </c>
      <c s="594"/>
      <c s="594"/>
      <c s="594"/>
      <c s="594"/>
      <c s="594"/>
      <c s="594"/>
      <c s="594"/>
      <c s="594"/>
      <c s="594"/>
      <c s="594"/>
      <c s="594"/>
      <c s="595"/>
    </row>
    <row r="11" spans="2:15" ht="14.45">
      <c r="B11" s="16" t="s">
        <v>207</v>
      </c>
      <c s="587" t="s">
        <v>591</v>
      </c>
      <c s="588"/>
      <c s="588"/>
      <c s="588"/>
      <c s="588"/>
      <c s="588"/>
      <c s="588"/>
      <c s="588"/>
      <c s="588"/>
      <c s="588"/>
      <c s="588"/>
      <c s="588"/>
      <c s="589"/>
    </row>
    <row r="12" spans="2:15" ht="14.45">
      <c r="B12" s="16" t="s">
        <v>209</v>
      </c>
      <c s="587" t="s">
        <v>592</v>
      </c>
      <c s="588"/>
      <c s="588"/>
      <c s="588"/>
      <c s="588"/>
      <c s="588"/>
      <c s="588"/>
      <c s="588"/>
      <c s="588"/>
      <c s="588"/>
      <c s="588"/>
      <c s="588"/>
      <c s="589"/>
    </row>
    <row r="13" spans="2:15" ht="14.45">
      <c r="B13" s="16" t="s">
        <v>211</v>
      </c>
      <c s="587" t="s">
        <v>593</v>
      </c>
      <c s="588"/>
      <c s="588"/>
      <c s="588"/>
      <c s="588"/>
      <c s="588"/>
      <c s="588"/>
      <c s="588"/>
      <c s="588"/>
      <c s="588"/>
      <c s="588"/>
      <c s="588"/>
      <c s="589"/>
    </row>
    <row r="14" spans="2:2" ht="15" customHeight="1">
      <c r="B14" s="46"/>
    </row>
    <row r="15" spans="2:6" ht="15.6">
      <c r="B15" s="24" t="s">
        <v>202</v>
      </c>
      <c s="5"/>
      <c s="5"/>
      <c s="5"/>
      <c s="5"/>
    </row>
    <row r="16" spans="2:15" ht="15" customHeight="1">
      <c r="B16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17" spans="2:15" ht="14.45" customHeight="1">
      <c r="B17" s="18" t="s">
        <v>215</v>
      </c>
      <c s="584"/>
      <c s="585"/>
      <c s="585"/>
      <c s="585"/>
      <c s="585"/>
      <c s="585"/>
      <c s="585"/>
      <c s="585"/>
      <c s="585"/>
      <c s="585"/>
      <c s="585"/>
      <c s="585"/>
      <c s="586"/>
    </row>
    <row r="18" spans="2:15" ht="14.45">
      <c r="B18" s="16" t="s">
        <v>217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19" spans="2:15" ht="14.45">
      <c r="B19" s="16" t="s">
        <v>218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20" spans="2:15" ht="14.45">
      <c r="B20" s="16" t="s">
        <v>219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21" spans="2:15" ht="14.45">
      <c r="B21" s="16" t="s">
        <v>220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22" spans="2:15" ht="14.45">
      <c r="B22" s="16" t="s">
        <v>221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23" spans="2:15" ht="14.45">
      <c r="B23" s="16" t="s">
        <v>222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24" ht="15" customHeight="1"/>
    <row r="25" spans="2:6" ht="15.6">
      <c r="B25" s="24" t="s">
        <v>223</v>
      </c>
      <c s="5"/>
      <c s="5"/>
      <c s="5"/>
      <c s="5"/>
    </row>
    <row r="26" spans="2:15" ht="15" customHeight="1">
      <c r="B26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27" spans="2:15" ht="14.45" customHeight="1">
      <c r="B27" s="18" t="s">
        <v>224</v>
      </c>
      <c s="584" t="s">
        <v>594</v>
      </c>
      <c s="585"/>
      <c s="585"/>
      <c s="585"/>
      <c s="585"/>
      <c s="585"/>
      <c s="585"/>
      <c s="585"/>
      <c s="585"/>
      <c s="585"/>
      <c s="585"/>
      <c s="585"/>
      <c s="586"/>
    </row>
    <row r="28" spans="2:15" ht="14.45">
      <c r="B28" s="16" t="s">
        <v>226</v>
      </c>
      <c s="581" t="s">
        <v>595</v>
      </c>
      <c s="582"/>
      <c s="582"/>
      <c s="582"/>
      <c s="582"/>
      <c s="582"/>
      <c s="582"/>
      <c s="582"/>
      <c s="582"/>
      <c s="582"/>
      <c s="582"/>
      <c s="582"/>
      <c s="583"/>
    </row>
    <row r="29" ht="15" customHeight="1"/>
    <row r="30" spans="2:6" ht="15.6">
      <c r="B30" s="24" t="s">
        <v>596</v>
      </c>
      <c s="5"/>
      <c s="5"/>
      <c s="5"/>
      <c s="5"/>
    </row>
    <row r="31" spans="2:15" ht="15" customHeight="1">
      <c r="B31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32" spans="2:15" ht="14.45" customHeight="1">
      <c r="B32" s="18" t="s">
        <v>596</v>
      </c>
      <c s="584" t="s">
        <v>597</v>
      </c>
      <c s="585"/>
      <c s="585"/>
      <c s="585"/>
      <c s="585"/>
      <c s="585"/>
      <c s="585"/>
      <c s="585"/>
      <c s="585"/>
      <c s="585"/>
      <c s="585"/>
      <c s="585"/>
      <c s="586"/>
    </row>
    <row r="33" spans="2:15" ht="14.45">
      <c r="B33" s="50"/>
      <c s="48"/>
      <c s="48"/>
      <c s="48"/>
      <c s="48"/>
      <c s="48"/>
      <c s="48"/>
      <c s="48"/>
      <c s="48"/>
      <c s="48"/>
      <c s="48"/>
      <c s="48"/>
      <c s="48"/>
      <c s="48"/>
    </row>
    <row r="34" spans="2:15" ht="15" customHeight="1">
      <c r="B34" s="251" t="s">
        <v>598</v>
      </c>
      <c s="251" t="s">
        <v>599</v>
      </c>
      <c s="48"/>
      <c s="49"/>
      <c s="48"/>
      <c s="48"/>
      <c s="48"/>
      <c s="48"/>
      <c s="48"/>
      <c s="48"/>
      <c s="48"/>
      <c s="48"/>
      <c s="48"/>
      <c s="48"/>
    </row>
    <row r="35" spans="2:15" ht="15" customHeight="1">
      <c r="B35" s="105" t="s">
        <v>600</v>
      </c>
      <c s="106">
        <v>1.1123296263061822</v>
      </c>
      <c s="49"/>
      <c r="G35" s="49"/>
      <c s="49"/>
      <c s="49"/>
      <c s="49"/>
      <c s="49"/>
      <c s="49"/>
      <c s="49"/>
      <c s="49"/>
      <c s="49"/>
    </row>
    <row r="36" spans="2:15" ht="15" customHeight="1">
      <c r="B36" s="67" t="s">
        <v>601</v>
      </c>
      <c s="54">
        <v>1.2789712789022192</v>
      </c>
      <c s="49"/>
      <c r="G36" s="49"/>
      <c s="49"/>
      <c s="49"/>
      <c s="49"/>
      <c s="49"/>
      <c s="49"/>
      <c s="49"/>
      <c s="49"/>
      <c s="49"/>
    </row>
    <row r="37" spans="2:15" ht="15" customHeight="1">
      <c r="B37" s="67" t="s">
        <v>602</v>
      </c>
      <c s="54">
        <v>1.4173247670951763</v>
      </c>
      <c s="49"/>
      <c r="G37" s="49"/>
      <c s="49"/>
      <c s="49"/>
      <c s="49"/>
      <c s="49"/>
      <c s="49"/>
      <c s="49"/>
      <c s="49"/>
      <c s="49"/>
    </row>
    <row r="38" spans="2:15" ht="15" customHeight="1">
      <c r="B38" s="67" t="s">
        <v>603</v>
      </c>
      <c s="54">
        <v>1.4369095867810762</v>
      </c>
      <c s="49"/>
      <c r="G38" s="49"/>
      <c s="49"/>
      <c s="49"/>
      <c s="49"/>
      <c s="49"/>
      <c s="49"/>
      <c s="49"/>
      <c s="49"/>
      <c s="49"/>
    </row>
    <row r="39" spans="2:15" ht="15" customHeight="1">
      <c r="B39" s="67" t="s">
        <v>604</v>
      </c>
      <c s="54">
        <v>1.2233884460533799</v>
      </c>
      <c s="49"/>
      <c r="G39" s="49"/>
      <c s="49"/>
      <c s="49"/>
      <c s="49"/>
      <c s="49"/>
      <c s="49"/>
      <c s="49"/>
      <c s="49"/>
      <c s="49"/>
    </row>
    <row r="40" spans="2:15" ht="15" customHeight="1">
      <c r="B40" s="67" t="s">
        <v>605</v>
      </c>
      <c s="54">
        <v>1.0045231368785612</v>
      </c>
      <c s="49"/>
      <c r="G40" s="49"/>
      <c s="49"/>
      <c s="49"/>
      <c s="49"/>
      <c s="49"/>
      <c s="49"/>
      <c s="49"/>
      <c s="49"/>
      <c s="49"/>
    </row>
    <row r="41" spans="2:15" ht="15" customHeight="1">
      <c r="B41" s="67" t="s">
        <v>606</v>
      </c>
      <c s="54">
        <v>1.3083923947892326</v>
      </c>
      <c s="49"/>
      <c r="G41" s="49"/>
      <c s="49"/>
      <c s="49"/>
      <c s="49"/>
      <c s="49"/>
      <c s="49"/>
      <c s="49"/>
      <c s="49"/>
      <c s="49"/>
    </row>
    <row r="42" spans="2:15" ht="15" customHeight="1">
      <c r="B42" s="67" t="s">
        <v>607</v>
      </c>
      <c s="54">
        <v>1.0382117207939319</v>
      </c>
      <c s="49"/>
      <c r="G42" s="49"/>
      <c s="49"/>
      <c s="49"/>
      <c s="49"/>
      <c s="49"/>
      <c s="49"/>
      <c s="49"/>
      <c s="49"/>
      <c s="49"/>
    </row>
    <row r="43" spans="2:15" ht="15" customHeight="1">
      <c r="B43" s="67" t="s">
        <v>608</v>
      </c>
      <c s="54">
        <v>1.0445253069336815</v>
      </c>
      <c s="49"/>
      <c r="G43" s="49"/>
      <c s="49"/>
      <c s="49"/>
      <c s="49"/>
      <c s="49"/>
      <c s="49"/>
      <c s="49"/>
      <c s="49"/>
      <c s="49"/>
    </row>
    <row r="44" spans="2:15" ht="15" customHeight="1">
      <c r="B44" s="67" t="s">
        <v>609</v>
      </c>
      <c s="54">
        <v>0.96971792976662508</v>
      </c>
      <c s="49"/>
      <c r="G44" s="49"/>
      <c s="49"/>
      <c s="49"/>
      <c s="49"/>
      <c s="49"/>
      <c s="49"/>
      <c s="49"/>
      <c s="49"/>
      <c s="49"/>
    </row>
    <row r="45" spans="2:15" ht="15" customHeight="1">
      <c r="B45" s="67" t="s">
        <v>610</v>
      </c>
      <c s="54">
        <v>1.4168088845373268</v>
      </c>
      <c s="49"/>
      <c r="G45" s="49"/>
      <c s="49"/>
      <c s="49"/>
      <c s="49"/>
      <c s="49"/>
      <c s="49"/>
      <c s="49"/>
      <c s="49"/>
      <c s="49"/>
    </row>
    <row r="46" spans="2:15" ht="15" customHeight="1">
      <c r="B46" s="67" t="s">
        <v>611</v>
      </c>
      <c s="54">
        <v>1.4079565277654003</v>
      </c>
      <c s="49"/>
      <c r="G46" s="49"/>
      <c s="49"/>
      <c s="49"/>
      <c s="49"/>
      <c s="49"/>
      <c s="49"/>
      <c s="49"/>
      <c s="49"/>
      <c s="49"/>
    </row>
    <row r="47" spans="2:15" ht="15" customHeight="1">
      <c r="B47" s="67" t="s">
        <v>612</v>
      </c>
      <c s="54">
        <v>1.5436031819264355</v>
      </c>
      <c s="49"/>
      <c r="G47" s="49"/>
      <c s="49"/>
      <c s="49"/>
      <c s="49"/>
      <c s="49"/>
      <c s="49"/>
      <c s="49"/>
      <c s="49"/>
      <c s="49"/>
    </row>
    <row r="48" spans="2:15" ht="15" customHeight="1">
      <c r="B48" s="67" t="s">
        <v>613</v>
      </c>
      <c s="54">
        <v>1.1116591106928237</v>
      </c>
      <c s="49"/>
      <c r="G48" s="49"/>
      <c s="49"/>
      <c s="49"/>
      <c s="49"/>
      <c s="49"/>
      <c s="49"/>
      <c s="49"/>
      <c s="49"/>
      <c s="49"/>
    </row>
    <row r="49" spans="2:15" ht="15" customHeight="1">
      <c r="B49" s="67" t="s">
        <v>614</v>
      </c>
      <c s="54">
        <v>1.0493029605957931</v>
      </c>
      <c s="49"/>
      <c r="G49" s="49"/>
      <c s="49"/>
      <c s="49"/>
      <c s="49"/>
      <c s="49"/>
      <c s="49"/>
      <c s="49"/>
      <c s="49"/>
      <c s="49"/>
    </row>
    <row r="50" spans="2:15" ht="15" customHeight="1">
      <c r="B50" s="67" t="s">
        <v>532</v>
      </c>
      <c s="54">
        <v>1.051815636189688</v>
      </c>
      <c s="49"/>
      <c r="G50" s="49"/>
      <c s="49"/>
      <c s="49"/>
      <c s="49"/>
      <c s="49"/>
      <c s="49"/>
      <c s="49"/>
      <c s="49"/>
      <c s="49"/>
    </row>
    <row r="51" spans="2:15" ht="15" customHeight="1">
      <c r="B51" s="67" t="s">
        <v>615</v>
      </c>
      <c s="54">
        <v>1.075111341557748</v>
      </c>
      <c s="49"/>
      <c r="G51" s="49"/>
      <c s="49"/>
      <c s="49"/>
      <c s="49"/>
      <c s="49"/>
      <c s="49"/>
      <c s="49"/>
      <c s="49"/>
      <c s="49"/>
    </row>
    <row r="52" spans="2:15" ht="15" customHeight="1">
      <c r="B52" s="67" t="s">
        <v>616</v>
      </c>
      <c s="54">
        <v>1.4810412614330186</v>
      </c>
      <c s="49"/>
      <c r="G52" s="49"/>
      <c s="49"/>
      <c s="49"/>
      <c s="49"/>
      <c s="49"/>
      <c s="49"/>
      <c s="49"/>
      <c s="49"/>
      <c s="49"/>
    </row>
    <row r="53" spans="2:15" ht="15" customHeight="1">
      <c r="B53" s="67" t="s">
        <v>617</v>
      </c>
      <c s="54">
        <v>0.94855102060864704</v>
      </c>
      <c s="49"/>
      <c r="G53" s="49"/>
      <c s="49"/>
      <c s="49"/>
      <c s="49"/>
      <c s="49"/>
      <c s="49"/>
      <c s="49"/>
      <c s="49"/>
      <c s="49"/>
    </row>
    <row r="54" spans="2:15" ht="15" customHeight="1">
      <c r="B54" s="67" t="s">
        <v>618</v>
      </c>
      <c s="54">
        <v>1.0173038569205575</v>
      </c>
      <c s="49"/>
      <c r="G54" s="49"/>
      <c s="49"/>
      <c s="49"/>
      <c s="49"/>
      <c s="49"/>
      <c s="49"/>
      <c s="49"/>
      <c s="49"/>
      <c s="49"/>
    </row>
    <row r="55" spans="2:15" ht="15" customHeight="1">
      <c r="B55" s="67" t="s">
        <v>619</v>
      </c>
      <c s="54">
        <v>0.88345657702584712</v>
      </c>
      <c s="49"/>
      <c r="G55" s="49"/>
      <c s="49"/>
      <c s="49"/>
      <c s="49"/>
      <c s="49"/>
      <c s="49"/>
      <c s="49"/>
      <c s="49"/>
      <c s="49"/>
    </row>
    <row r="56" spans="2:15" ht="15" customHeight="1">
      <c r="B56" s="67" t="s">
        <v>620</v>
      </c>
      <c s="54">
        <v>0.95032332813034504</v>
      </c>
      <c s="49"/>
      <c r="G56" s="49"/>
      <c s="49"/>
      <c s="49"/>
      <c s="49"/>
      <c s="49"/>
      <c s="49"/>
      <c s="49"/>
      <c s="49"/>
      <c s="49"/>
    </row>
    <row r="57" spans="2:15" ht="15" customHeight="1">
      <c r="B57" s="67" t="s">
        <v>621</v>
      </c>
      <c s="54">
        <v>0.86660992379781421</v>
      </c>
      <c s="49"/>
      <c r="G57" s="49"/>
      <c s="49"/>
      <c s="49"/>
      <c s="49"/>
      <c s="49"/>
      <c s="49"/>
      <c s="49"/>
      <c s="49"/>
      <c s="49"/>
    </row>
    <row r="58" spans="2:15" ht="15" customHeight="1">
      <c r="B58" s="67" t="s">
        <v>622</v>
      </c>
      <c s="54">
        <v>0.96666536394553837</v>
      </c>
      <c s="49"/>
      <c r="G58" s="49"/>
      <c s="49"/>
      <c s="49"/>
      <c s="49"/>
      <c s="49"/>
      <c s="49"/>
      <c s="49"/>
      <c s="49"/>
      <c s="49"/>
    </row>
    <row r="59" spans="2:15" ht="15" customHeight="1">
      <c r="B59" s="67" t="s">
        <v>623</v>
      </c>
      <c s="54">
        <v>1.0898983946338689</v>
      </c>
      <c s="49"/>
      <c r="G59" s="49"/>
      <c s="49"/>
      <c s="49"/>
      <c s="49"/>
      <c s="49"/>
      <c s="49"/>
      <c s="49"/>
      <c s="49"/>
      <c s="49"/>
    </row>
    <row r="60" spans="2:15" ht="15" customHeight="1">
      <c r="B60" s="67" t="s">
        <v>624</v>
      </c>
      <c s="54">
        <v>0.85111507463415348</v>
      </c>
      <c s="49"/>
      <c r="G60" s="49"/>
      <c s="49"/>
      <c s="49"/>
      <c s="49"/>
      <c s="49"/>
      <c s="49"/>
      <c s="49"/>
      <c s="49"/>
      <c s="49"/>
    </row>
    <row r="61" spans="2:15" ht="15" customHeight="1">
      <c r="B61" s="67" t="s">
        <v>625</v>
      </c>
      <c s="54">
        <v>1.6983210334731236</v>
      </c>
      <c s="49"/>
      <c r="G61" s="49"/>
      <c s="49"/>
      <c s="49"/>
      <c s="49"/>
      <c s="49"/>
      <c s="49"/>
      <c s="49"/>
      <c s="49"/>
      <c s="49"/>
    </row>
    <row r="62" spans="2:15" ht="15" customHeight="1">
      <c r="B62" s="67" t="s">
        <v>626</v>
      </c>
      <c s="54">
        <v>1.3797690064299346</v>
      </c>
      <c s="49"/>
      <c r="G62" s="49"/>
      <c s="49"/>
      <c s="49"/>
      <c s="49"/>
      <c s="49"/>
      <c s="49"/>
      <c s="49"/>
      <c s="49"/>
      <c s="49"/>
    </row>
    <row r="63" spans="2:15" ht="15" customHeight="1">
      <c r="B63" s="67" t="s">
        <v>627</v>
      </c>
      <c s="54">
        <v>1.1000606706009237</v>
      </c>
      <c s="49"/>
      <c r="G63" s="49"/>
      <c s="49"/>
      <c s="49"/>
      <c s="49"/>
      <c s="49"/>
      <c s="49"/>
      <c s="49"/>
      <c s="49"/>
      <c s="49"/>
    </row>
    <row r="64" spans="2:15" ht="15" customHeight="1">
      <c r="B64" s="67" t="s">
        <v>628</v>
      </c>
      <c s="54">
        <v>1.285462842089373</v>
      </c>
      <c s="49"/>
      <c r="G64" s="49"/>
      <c s="49"/>
      <c s="49"/>
      <c s="49"/>
      <c s="49"/>
      <c s="49"/>
      <c s="49"/>
      <c s="49"/>
      <c s="49"/>
    </row>
    <row r="65" spans="2:15" ht="15" customHeight="1">
      <c r="B65" s="67" t="s">
        <v>629</v>
      </c>
      <c s="54">
        <v>1.1797294049028624</v>
      </c>
      <c s="49"/>
      <c r="G65" s="49"/>
      <c s="49"/>
      <c s="49"/>
      <c s="49"/>
      <c s="49"/>
      <c s="49"/>
      <c s="49"/>
      <c s="49"/>
      <c s="49"/>
    </row>
    <row r="66" spans="2:15" ht="15" customHeight="1">
      <c r="B66" s="67" t="s">
        <v>630</v>
      </c>
      <c s="54">
        <v>0.82414787698819414</v>
      </c>
      <c s="49"/>
      <c r="G66" s="49"/>
      <c s="49"/>
      <c s="49"/>
      <c s="49"/>
      <c s="49"/>
      <c s="49"/>
      <c s="49"/>
      <c s="49"/>
      <c s="49"/>
    </row>
    <row r="67" spans="2:15" ht="15" customHeight="1">
      <c r="B67" s="67" t="s">
        <v>631</v>
      </c>
      <c s="54">
        <v>1.2978265807100386</v>
      </c>
      <c s="49"/>
      <c r="G67" s="49"/>
      <c s="49"/>
      <c s="49"/>
      <c s="49"/>
      <c s="49"/>
      <c s="49"/>
      <c s="49"/>
      <c s="49"/>
      <c s="49"/>
    </row>
    <row r="68" spans="2:15" ht="15" customHeight="1">
      <c r="B68" s="67" t="s">
        <v>632</v>
      </c>
      <c s="54">
        <v>1.0919994363561338</v>
      </c>
      <c s="49"/>
      <c r="G68" s="49"/>
      <c s="49"/>
      <c s="49"/>
      <c s="49"/>
      <c s="49"/>
      <c s="49"/>
      <c s="49"/>
      <c s="49"/>
      <c s="49"/>
    </row>
    <row r="69" spans="2:15" ht="15" customHeight="1">
      <c r="B69" s="67" t="s">
        <v>633</v>
      </c>
      <c s="54">
        <v>1.0465065675031995</v>
      </c>
      <c s="49"/>
      <c r="G69" s="49"/>
      <c s="49"/>
      <c s="49"/>
      <c s="49"/>
      <c s="49"/>
      <c s="49"/>
      <c s="49"/>
      <c s="49"/>
      <c s="49"/>
    </row>
    <row r="70" spans="2:15" ht="15" customHeight="1">
      <c r="B70" s="67" t="s">
        <v>634</v>
      </c>
      <c s="54">
        <v>1.1291872939645089</v>
      </c>
      <c s="49"/>
      <c r="G70" s="49"/>
      <c s="49"/>
      <c s="49"/>
      <c s="49"/>
      <c s="49"/>
      <c s="49"/>
      <c s="49"/>
      <c s="49"/>
      <c s="49"/>
    </row>
    <row r="71" spans="2:15" ht="15" customHeight="1">
      <c r="B71" s="67" t="s">
        <v>635</v>
      </c>
      <c s="54">
        <v>0.74946487705120268</v>
      </c>
      <c s="49"/>
      <c s="53"/>
      <c s="49"/>
      <c s="49"/>
      <c s="49"/>
      <c s="49"/>
      <c s="49"/>
      <c s="49"/>
      <c s="49"/>
      <c s="49"/>
      <c s="49"/>
      <c s="49"/>
    </row>
    <row r="72" spans="2:15" ht="15" customHeight="1">
      <c r="B72" s="67" t="s">
        <v>636</v>
      </c>
      <c s="54">
        <v>1.2500150509082688</v>
      </c>
      <c s="49"/>
      <c s="53"/>
      <c s="49"/>
      <c s="49"/>
      <c s="49"/>
      <c s="49"/>
      <c s="49"/>
      <c s="49"/>
      <c s="49"/>
      <c s="49"/>
      <c s="49"/>
      <c s="49"/>
    </row>
    <row r="73" spans="2:15" ht="15" customHeight="1">
      <c r="B73" s="67" t="s">
        <v>637</v>
      </c>
      <c s="54">
        <v>0.81130465738480706</v>
      </c>
      <c s="49"/>
      <c s="53"/>
      <c s="49"/>
      <c s="49"/>
      <c s="49"/>
      <c s="49"/>
      <c s="49"/>
      <c s="49"/>
      <c s="49"/>
      <c s="49"/>
      <c s="49"/>
      <c s="49"/>
    </row>
    <row r="74" spans="2:15" ht="15" customHeight="1">
      <c r="B74" s="67" t="s">
        <v>638</v>
      </c>
      <c s="54">
        <v>1.0281190324619993</v>
      </c>
      <c s="49"/>
      <c s="53"/>
      <c s="49"/>
      <c s="49"/>
      <c s="49"/>
      <c s="49"/>
      <c s="49"/>
      <c s="49"/>
      <c s="49"/>
      <c s="49"/>
      <c s="49"/>
      <c s="49"/>
    </row>
    <row r="75" spans="2:15" ht="15" customHeight="1">
      <c r="B75" s="67" t="s">
        <v>639</v>
      </c>
      <c s="54">
        <v>0.65552309504745199</v>
      </c>
      <c s="49"/>
      <c s="53"/>
      <c s="49"/>
      <c s="49"/>
      <c s="49"/>
      <c s="49"/>
      <c s="49"/>
      <c s="49"/>
      <c s="49"/>
      <c s="49"/>
      <c s="49"/>
      <c s="49"/>
    </row>
    <row r="76" spans="2:15" ht="15" customHeight="1">
      <c r="B76" s="67" t="s">
        <v>640</v>
      </c>
      <c s="54">
        <v>0.97851126527577215</v>
      </c>
      <c s="49"/>
      <c s="53"/>
      <c s="49"/>
      <c s="49"/>
      <c s="49"/>
      <c s="49"/>
      <c s="49"/>
      <c s="49"/>
      <c s="49"/>
      <c s="49"/>
      <c s="49"/>
      <c s="49"/>
    </row>
    <row r="77" spans="2:15" ht="15" customHeight="1">
      <c r="B77" s="67" t="s">
        <v>641</v>
      </c>
      <c s="54">
        <v>0.86339721637075073</v>
      </c>
      <c s="49"/>
      <c s="53"/>
      <c s="49"/>
      <c s="49"/>
      <c s="49"/>
      <c s="49"/>
      <c s="49"/>
      <c s="49"/>
      <c s="49"/>
      <c s="49"/>
      <c s="49"/>
      <c s="49"/>
    </row>
    <row r="78" spans="2:15" ht="15" customHeight="1">
      <c r="B78" s="67" t="s">
        <v>642</v>
      </c>
      <c s="54">
        <v>0.83254069266822994</v>
      </c>
      <c s="49"/>
      <c s="53"/>
      <c s="49"/>
      <c s="49"/>
      <c s="49"/>
      <c s="49"/>
      <c s="49"/>
      <c s="49"/>
      <c s="49"/>
      <c s="49"/>
      <c s="49"/>
      <c s="49"/>
    </row>
    <row r="79" spans="2:15" ht="15" customHeight="1">
      <c r="B79" s="67" t="s">
        <v>643</v>
      </c>
      <c s="54">
        <v>1.1273169192040779</v>
      </c>
      <c s="49"/>
      <c s="53"/>
      <c s="49"/>
      <c s="49"/>
      <c s="49"/>
      <c s="49"/>
      <c s="49"/>
      <c s="49"/>
      <c s="49"/>
      <c s="49"/>
      <c s="49"/>
      <c s="49"/>
    </row>
    <row r="80" spans="2:15" ht="15" customHeight="1">
      <c r="B80" s="67" t="s">
        <v>644</v>
      </c>
      <c s="54">
        <v>0.94188893840474441</v>
      </c>
      <c s="49"/>
      <c s="53"/>
      <c s="49"/>
      <c s="49"/>
      <c s="49"/>
      <c s="49"/>
      <c s="49"/>
      <c s="49"/>
      <c s="49"/>
      <c s="49"/>
      <c s="49"/>
      <c s="49"/>
    </row>
    <row r="81" spans="2:15" ht="15" customHeight="1">
      <c r="B81" s="67" t="s">
        <v>645</v>
      </c>
      <c s="54">
        <v>1.1398696931998886</v>
      </c>
      <c s="49"/>
      <c s="53"/>
      <c s="49"/>
      <c s="49"/>
      <c s="49"/>
      <c s="49"/>
      <c s="49"/>
      <c s="49"/>
      <c s="49"/>
      <c s="49"/>
      <c s="49"/>
      <c s="49"/>
    </row>
    <row r="82" spans="2:15" ht="15" customHeight="1">
      <c r="B82" s="67" t="s">
        <v>646</v>
      </c>
      <c s="54">
        <v>0.99980011371738398</v>
      </c>
      <c s="49"/>
      <c s="53"/>
      <c s="49"/>
      <c s="49"/>
      <c s="49"/>
      <c s="49"/>
      <c s="49"/>
      <c s="49"/>
      <c s="49"/>
      <c s="49"/>
      <c s="49"/>
      <c s="49"/>
    </row>
    <row r="83" spans="2:15" ht="15" customHeight="1">
      <c r="B83" s="67" t="s">
        <v>647</v>
      </c>
      <c s="54">
        <v>1.3092515609997015</v>
      </c>
      <c s="49"/>
      <c s="53"/>
      <c s="49"/>
      <c s="49"/>
      <c s="49"/>
      <c s="49"/>
      <c s="49"/>
      <c s="49"/>
      <c s="49"/>
      <c s="49"/>
      <c s="49"/>
      <c s="49"/>
    </row>
    <row r="84" spans="2:15" ht="15" customHeight="1">
      <c r="B84" s="67" t="s">
        <v>648</v>
      </c>
      <c s="54">
        <v>1.0049343979183731</v>
      </c>
      <c s="49"/>
      <c s="53"/>
      <c s="49"/>
      <c s="49"/>
      <c s="49"/>
      <c s="49"/>
      <c s="49"/>
      <c s="49"/>
      <c s="49"/>
      <c s="49"/>
      <c s="49"/>
      <c s="49"/>
    </row>
    <row r="85" spans="2:15" ht="15" customHeight="1">
      <c r="B85" s="67" t="s">
        <v>649</v>
      </c>
      <c s="54">
        <v>0.74632184832970971</v>
      </c>
      <c s="49"/>
      <c s="53"/>
      <c s="49"/>
      <c s="49"/>
      <c s="49"/>
      <c s="49"/>
      <c s="49"/>
      <c s="49"/>
      <c s="49"/>
      <c s="49"/>
      <c s="49"/>
      <c s="49"/>
    </row>
    <row r="86" ht="15" customHeight="1"/>
    <row r="87" spans="2:15" ht="21">
      <c r="B87" s="23" t="s">
        <v>228</v>
      </c>
      <c s="5"/>
      <c s="5"/>
      <c s="5"/>
      <c s="5"/>
      <c s="5"/>
      <c s="5"/>
      <c s="5"/>
      <c s="5"/>
      <c s="5"/>
      <c s="5"/>
      <c s="5"/>
      <c s="5"/>
      <c s="5"/>
    </row>
    <row r="88" spans="2:6" ht="15.6">
      <c r="B88" s="24" t="s">
        <v>229</v>
      </c>
      <c s="5"/>
      <c s="5"/>
      <c s="5"/>
      <c s="5"/>
    </row>
    <row r="89" spans="2:15" ht="15" customHeight="1">
      <c r="B89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90" spans="2:15" ht="14.45" customHeight="1">
      <c r="B90" s="18" t="s">
        <v>230</v>
      </c>
      <c s="584" t="s">
        <v>650</v>
      </c>
      <c s="585"/>
      <c s="585"/>
      <c s="585"/>
      <c s="585"/>
      <c s="585"/>
      <c s="585"/>
      <c s="585"/>
      <c s="585"/>
      <c s="585"/>
      <c s="585"/>
      <c s="585"/>
      <c s="586"/>
    </row>
    <row r="91" spans="2:15" ht="14.45">
      <c r="B91" s="16" t="s">
        <v>139</v>
      </c>
      <c s="584" t="s">
        <v>650</v>
      </c>
      <c s="585"/>
      <c s="585"/>
      <c s="585"/>
      <c s="585"/>
      <c s="585"/>
      <c s="585"/>
      <c s="585"/>
      <c s="585"/>
      <c s="585"/>
      <c s="585"/>
      <c s="585"/>
      <c s="586"/>
    </row>
    <row r="92" spans="2:15" ht="14.45">
      <c r="B92" s="16" t="s">
        <v>164</v>
      </c>
      <c s="584" t="s">
        <v>650</v>
      </c>
      <c s="585"/>
      <c s="585"/>
      <c s="585"/>
      <c s="585"/>
      <c s="585"/>
      <c s="585"/>
      <c s="585"/>
      <c s="585"/>
      <c s="585"/>
      <c s="585"/>
      <c s="585"/>
      <c s="586"/>
    </row>
    <row r="93" spans="2:15" ht="14.45">
      <c r="B93" s="16" t="s">
        <v>234</v>
      </c>
      <c s="584" t="s">
        <v>650</v>
      </c>
      <c s="585"/>
      <c s="585"/>
      <c s="585"/>
      <c s="585"/>
      <c s="585"/>
      <c s="585"/>
      <c s="585"/>
      <c s="585"/>
      <c s="585"/>
      <c s="585"/>
      <c s="585"/>
      <c s="586"/>
    </row>
    <row r="94" ht="15" customHeight="1"/>
    <row r="95" spans="2:6" ht="15.6">
      <c r="B95" s="24" t="s">
        <v>236</v>
      </c>
      <c s="5"/>
      <c s="5"/>
      <c s="5"/>
      <c s="5"/>
    </row>
    <row r="96" spans="2:15" ht="15" customHeight="1">
      <c r="B96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97" spans="2:15" ht="14.45" customHeight="1">
      <c r="B97" s="18" t="str">
        <f>Предпосылки!B476</f>
        <v>Курс USD/RUB</v>
      </c>
      <c s="584"/>
      <c s="585"/>
      <c s="585"/>
      <c s="585"/>
      <c s="585"/>
      <c s="585"/>
      <c s="585"/>
      <c s="585"/>
      <c s="585"/>
      <c s="585"/>
      <c s="585"/>
      <c s="585"/>
      <c s="586"/>
    </row>
    <row r="98" spans="2:15" ht="14.45" customHeight="1">
      <c r="B98" s="18" t="str">
        <f>Предпосылки!B477</f>
        <v>Курс CNY/RUB</v>
      </c>
      <c s="385"/>
      <c s="386"/>
      <c s="386"/>
      <c s="386"/>
      <c s="386"/>
      <c s="386"/>
      <c s="386"/>
      <c s="386"/>
      <c s="386"/>
      <c s="386"/>
      <c s="386"/>
      <c s="386"/>
      <c s="387"/>
    </row>
    <row r="99" spans="2:15" ht="14.45">
      <c r="B99" s="18" t="str">
        <f>Предпосылки!B478</f>
        <v>Курс EUR/RUB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100" ht="15" customHeight="1"/>
    <row r="101" spans="2:6" ht="15.6">
      <c r="B101" s="24" t="s">
        <v>17</v>
      </c>
      <c s="5"/>
      <c s="5"/>
      <c s="5"/>
      <c s="5"/>
    </row>
    <row r="102" spans="2:15" ht="15" customHeight="1">
      <c r="B102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103" spans="2:15" ht="14.45" customHeight="1">
      <c r="B103" s="18" t="s">
        <v>651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04" spans="2:15" ht="14.45">
      <c r="B104" s="16" t="s">
        <v>244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05" spans="2:15" ht="14.45">
      <c r="B105" s="16" t="s">
        <v>246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06" spans="2:15" ht="14.45">
      <c r="B106" s="16" t="s">
        <v>248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07" ht="15" customHeight="1"/>
    <row r="108" spans="2:6" ht="15.6">
      <c r="B108" s="24" t="s">
        <v>254</v>
      </c>
      <c s="5"/>
      <c s="5"/>
      <c s="5"/>
      <c s="5"/>
    </row>
    <row r="109" spans="2:15" ht="14.45">
      <c r="B109" s="25" t="s">
        <v>255</v>
      </c>
      <c s="19"/>
      <c s="19"/>
      <c s="5"/>
      <c s="29"/>
      <c s="5"/>
      <c s="5"/>
      <c s="5"/>
      <c s="5"/>
      <c s="5"/>
      <c s="5"/>
      <c s="5"/>
      <c s="5"/>
      <c s="5"/>
    </row>
    <row r="110" spans="2:15" ht="15" customHeight="1">
      <c r="B110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111" spans="2:15" ht="14.45" customHeight="1">
      <c r="B111" s="18" t="s">
        <v>555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12" spans="2:15" ht="14.45">
      <c r="B112" s="16" t="s">
        <v>653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13" spans="2:15" ht="14.45" hidden="1">
      <c r="B113" s="16"/>
      <c s="581"/>
      <c s="582"/>
      <c s="582"/>
      <c s="582"/>
      <c s="582"/>
      <c s="582"/>
      <c s="582"/>
      <c s="582"/>
      <c s="582"/>
      <c s="582"/>
      <c s="582"/>
      <c s="582"/>
      <c s="583"/>
    </row>
    <row r="114" spans="2:15" ht="14.45" hidden="1">
      <c r="B114" s="16"/>
      <c s="581"/>
      <c s="582"/>
      <c s="582"/>
      <c s="582"/>
      <c s="582"/>
      <c s="582"/>
      <c s="582"/>
      <c s="582"/>
      <c s="582"/>
      <c s="582"/>
      <c s="582"/>
      <c s="582"/>
      <c s="583"/>
    </row>
    <row r="115" ht="15" customHeight="1"/>
    <row r="116" spans="2:15" ht="14.45">
      <c r="B116" s="25" t="s">
        <v>264</v>
      </c>
      <c s="19"/>
      <c s="19"/>
      <c s="5"/>
      <c s="29"/>
      <c s="5"/>
      <c s="5"/>
      <c s="5"/>
      <c s="5"/>
      <c s="5"/>
      <c s="5"/>
      <c s="5"/>
      <c s="5"/>
      <c s="5"/>
    </row>
    <row r="117" spans="2:15" ht="15" customHeight="1">
      <c r="B117" s="251" t="s">
        <v>53</v>
      </c>
      <c s="573" t="s">
        <v>526</v>
      </c>
      <c s="574"/>
      <c s="574"/>
      <c s="574"/>
      <c s="574"/>
      <c s="574"/>
      <c s="574"/>
      <c s="574"/>
      <c s="574"/>
      <c s="574"/>
      <c s="574"/>
      <c s="574"/>
      <c s="539"/>
    </row>
    <row r="118" spans="2:15" ht="14.45" customHeight="1">
      <c r="B118" s="18" t="s">
        <v>654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19" spans="2:15" ht="14.45">
      <c r="B119" s="16" t="s">
        <v>655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20" spans="2:15" ht="15" customHeight="1">
      <c r="B120" s="107"/>
      <c s="108"/>
      <c s="108"/>
      <c s="108"/>
      <c s="108"/>
      <c s="108"/>
      <c s="108"/>
      <c s="108"/>
      <c s="108"/>
      <c s="108"/>
      <c s="108"/>
      <c s="108"/>
      <c s="108"/>
      <c s="109"/>
    </row>
    <row r="121" spans="2:15" ht="14.45">
      <c r="B121" s="25" t="s">
        <v>267</v>
      </c>
      <c s="19"/>
      <c s="19"/>
      <c s="5"/>
      <c s="29"/>
      <c s="5"/>
      <c s="5"/>
      <c s="5"/>
      <c s="5"/>
      <c s="5"/>
      <c s="5"/>
      <c s="5"/>
      <c s="5"/>
      <c s="5"/>
    </row>
    <row r="122" spans="2:15" ht="15" customHeight="1">
      <c r="B122" s="251" t="s">
        <v>53</v>
      </c>
      <c s="545" t="s">
        <v>526</v>
      </c>
      <c s="546"/>
      <c s="546"/>
      <c s="546"/>
      <c s="546"/>
      <c s="546"/>
      <c s="546"/>
      <c s="546"/>
      <c s="546"/>
      <c s="546"/>
      <c s="546"/>
      <c s="546"/>
      <c s="547"/>
    </row>
    <row r="123" spans="2:15" ht="14.45" customHeight="1">
      <c r="B123" s="18" t="s">
        <v>248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24" spans="2:15" ht="14.45">
      <c r="B124" s="16" t="s">
        <v>254</v>
      </c>
      <c s="584" t="s">
        <v>652</v>
      </c>
      <c s="585"/>
      <c s="585"/>
      <c s="585"/>
      <c s="585"/>
      <c s="585"/>
      <c s="585"/>
      <c s="585"/>
      <c s="585"/>
      <c s="585"/>
      <c s="585"/>
      <c s="585"/>
      <c s="586"/>
    </row>
    <row r="125" ht="15" customHeight="1"/>
    <row r="126" spans="2:15" ht="21">
      <c r="B126" s="23" t="s">
        <v>656</v>
      </c>
      <c s="5"/>
      <c s="5"/>
      <c s="5"/>
      <c s="5"/>
      <c s="5"/>
      <c s="5"/>
      <c s="5"/>
      <c s="5"/>
      <c s="5"/>
      <c s="5"/>
      <c s="5"/>
      <c s="5"/>
      <c s="5"/>
    </row>
    <row r="127" spans="2:15" ht="15" customHeight="1">
      <c r="B127" s="251" t="s">
        <v>657</v>
      </c>
      <c s="545" t="s">
        <v>658</v>
      </c>
      <c s="546"/>
      <c s="546"/>
      <c s="546"/>
      <c s="546"/>
      <c s="546"/>
      <c s="546"/>
      <c s="546"/>
      <c s="546"/>
      <c s="546"/>
      <c s="546"/>
      <c s="546"/>
      <c s="547"/>
    </row>
    <row r="128" spans="2:15" ht="14.45" customHeight="1">
      <c r="B128" s="18" t="s">
        <v>326</v>
      </c>
      <c s="584"/>
      <c s="585"/>
      <c s="585"/>
      <c s="585"/>
      <c s="585"/>
      <c s="585"/>
      <c s="585"/>
      <c s="585"/>
      <c s="585"/>
      <c s="585"/>
      <c s="585"/>
      <c s="585"/>
      <c s="586"/>
    </row>
    <row r="129" spans="2:15" ht="14.45">
      <c r="B129" s="16" t="s">
        <v>330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130" spans="2:15" ht="14.45">
      <c r="B130" s="16" t="s">
        <v>335</v>
      </c>
      <c s="581"/>
      <c s="582"/>
      <c s="582"/>
      <c s="582"/>
      <c s="582"/>
      <c s="582"/>
      <c s="582"/>
      <c s="582"/>
      <c s="582"/>
      <c s="582"/>
      <c s="582"/>
      <c s="582"/>
      <c s="583"/>
    </row>
    <row r="131" ht="15" customHeight="1"/>
    <row r="132" spans="2:2" ht="21">
      <c r="B132" s="23" t="s">
        <v>659</v>
      </c>
    </row>
    <row r="133" spans="2:2" ht="15" customHeight="1">
      <c r="B133" s="251" t="s">
        <v>660</v>
      </c>
    </row>
    <row r="134" spans="2:2" ht="15" customHeight="1">
      <c r="B134" s="68" t="s">
        <v>661</v>
      </c>
    </row>
    <row r="135" spans="2:2" ht="15" customHeight="1">
      <c r="B135" s="16" t="s">
        <v>662</v>
      </c>
    </row>
    <row r="136" spans="2:2" ht="15" customHeight="1">
      <c r="B136" s="16" t="s">
        <v>663</v>
      </c>
    </row>
    <row r="137" spans="2:2" ht="15" customHeight="1">
      <c r="B137" s="16" t="s">
        <v>664</v>
      </c>
    </row>
    <row r="138" spans="2:2" ht="15" customHeight="1">
      <c r="B138" s="16" t="s">
        <v>665</v>
      </c>
    </row>
    <row r="139" spans="2:2" ht="15" customHeight="1">
      <c r="B139" s="16" t="s">
        <v>666</v>
      </c>
    </row>
    <row r="140" spans="2:2" ht="15" customHeight="1">
      <c r="B140" s="16" t="s">
        <v>667</v>
      </c>
    </row>
    <row r="141" spans="2:2" ht="15" customHeight="1">
      <c r="B141" s="16" t="s">
        <v>668</v>
      </c>
    </row>
    <row r="142" spans="2:2" ht="15" customHeight="1">
      <c r="B142" s="16" t="s">
        <v>669</v>
      </c>
    </row>
    <row r="143" spans="2:2" ht="15" customHeight="1">
      <c r="B143" s="16" t="s">
        <v>670</v>
      </c>
    </row>
    <row r="144" spans="2:2" ht="15" customHeight="1">
      <c r="B144" s="16" t="s">
        <v>671</v>
      </c>
    </row>
    <row r="145" spans="2:2" ht="15" customHeight="1">
      <c r="B145" s="16" t="s">
        <v>672</v>
      </c>
    </row>
    <row r="146" spans="2:2" ht="15" customHeight="1">
      <c r="B146" s="16" t="s">
        <v>673</v>
      </c>
    </row>
    <row r="147" spans="2:2" ht="15" customHeight="1">
      <c r="B147" s="16" t="s">
        <v>674</v>
      </c>
    </row>
    <row r="148" spans="2:2" ht="15" customHeight="1">
      <c r="B148" s="16" t="s">
        <v>675</v>
      </c>
    </row>
    <row r="149" spans="2:2" ht="15" customHeight="1">
      <c r="B149" s="16" t="s">
        <v>676</v>
      </c>
    </row>
    <row r="150" spans="2:2" ht="15" customHeight="1">
      <c r="B150" s="16" t="s">
        <v>677</v>
      </c>
    </row>
    <row r="151" spans="2:2" ht="15" customHeight="1">
      <c r="B151" s="16" t="s">
        <v>678</v>
      </c>
    </row>
    <row r="152" spans="2:2" ht="15" customHeight="1">
      <c r="B152" s="16" t="s">
        <v>679</v>
      </c>
    </row>
    <row r="153" spans="2:2" ht="15" customHeight="1">
      <c r="B153" s="16" t="s">
        <v>680</v>
      </c>
    </row>
    <row r="154" spans="2:2" ht="15" customHeight="1">
      <c r="B154" s="16" t="s">
        <v>681</v>
      </c>
    </row>
    <row r="155" spans="2:2" ht="15" customHeight="1">
      <c r="B155" s="16" t="s">
        <v>682</v>
      </c>
    </row>
    <row r="156" spans="2:2" ht="15" customHeight="1">
      <c r="B156" s="16" t="s">
        <v>683</v>
      </c>
    </row>
    <row r="157" spans="2:2" ht="15" customHeight="1">
      <c r="B157" s="16" t="s">
        <v>684</v>
      </c>
    </row>
    <row r="158" spans="2:2" ht="15" customHeight="1">
      <c r="B158" s="16" t="s">
        <v>685</v>
      </c>
    </row>
    <row r="159" spans="2:2" ht="15" customHeight="1">
      <c r="B159" s="16" t="s">
        <v>686</v>
      </c>
    </row>
    <row r="160" spans="2:2" ht="15" customHeight="1">
      <c r="B160" s="16" t="s">
        <v>687</v>
      </c>
    </row>
    <row r="161" spans="2:2" ht="15" customHeight="1">
      <c r="B161" s="16" t="s">
        <v>688</v>
      </c>
    </row>
    <row r="162" spans="2:2" ht="15" customHeight="1">
      <c r="B162" s="16" t="s">
        <v>689</v>
      </c>
    </row>
    <row r="163" spans="2:2" ht="15" customHeight="1">
      <c r="B163" s="16" t="s">
        <v>690</v>
      </c>
    </row>
    <row r="164" spans="2:2" ht="15" customHeight="1">
      <c r="B164" s="16" t="s">
        <v>691</v>
      </c>
    </row>
    <row r="165" spans="2:2" ht="15" customHeight="1">
      <c r="B165" s="16" t="s">
        <v>692</v>
      </c>
    </row>
    <row r="166" spans="2:2" ht="15" customHeight="1">
      <c r="B166" s="16" t="s">
        <v>693</v>
      </c>
    </row>
    <row r="167" spans="2:2" ht="15" customHeight="1">
      <c r="B167" s="16" t="s">
        <v>694</v>
      </c>
    </row>
    <row r="168" spans="2:2" ht="15" customHeight="1">
      <c r="B168" s="16" t="s">
        <v>695</v>
      </c>
    </row>
    <row r="169" spans="2:2" ht="15" customHeight="1">
      <c r="B169" s="16" t="s">
        <v>696</v>
      </c>
    </row>
    <row r="170" spans="2:2" ht="15" customHeight="1">
      <c r="B170" s="16" t="s">
        <v>697</v>
      </c>
    </row>
    <row r="171" spans="2:2" ht="15" customHeight="1">
      <c r="B171" s="16" t="s">
        <v>698</v>
      </c>
    </row>
    <row r="172" spans="2:2" ht="15" customHeight="1">
      <c r="B172" s="16" t="s">
        <v>699</v>
      </c>
    </row>
    <row r="173" spans="2:2" ht="15" customHeight="1">
      <c r="B173" s="16" t="s">
        <v>700</v>
      </c>
    </row>
    <row r="174" spans="2:2" ht="15" customHeight="1">
      <c r="B174" s="16" t="s">
        <v>701</v>
      </c>
    </row>
    <row r="175" spans="2:2" ht="15" customHeight="1">
      <c r="B175" s="16" t="s">
        <v>702</v>
      </c>
    </row>
    <row r="176" spans="2:2" ht="15" customHeight="1">
      <c r="B176" s="16" t="s">
        <v>703</v>
      </c>
    </row>
    <row r="177" spans="2:2" ht="15" customHeight="1">
      <c r="B177" s="16" t="s">
        <v>704</v>
      </c>
    </row>
    <row r="178" spans="2:2" ht="15" customHeight="1">
      <c r="B178" s="16" t="s">
        <v>705</v>
      </c>
    </row>
    <row r="179" spans="2:2" ht="15" customHeight="1">
      <c r="B179" s="16" t="s">
        <v>706</v>
      </c>
    </row>
    <row r="180" spans="2:2" ht="15" customHeight="1">
      <c r="B180" s="121" t="s">
        <v>707</v>
      </c>
    </row>
    <row r="181" spans="2:2" ht="15" customHeight="1">
      <c r="B181" s="16" t="s">
        <v>708</v>
      </c>
    </row>
    <row r="182" spans="2:2" ht="15" customHeight="1">
      <c r="B182" s="16" t="s">
        <v>709</v>
      </c>
    </row>
    <row r="183" spans="2:2" ht="15" customHeight="1">
      <c r="B183" s="16" t="s">
        <v>710</v>
      </c>
    </row>
    <row r="184" spans="2:2" ht="15" customHeight="1">
      <c r="B184" s="16" t="s">
        <v>711</v>
      </c>
    </row>
    <row r="185" spans="2:2" ht="15" customHeight="1">
      <c r="B185" s="16" t="s">
        <v>712</v>
      </c>
    </row>
    <row r="186" spans="2:2" ht="15" customHeight="1">
      <c r="B186" s="16" t="s">
        <v>713</v>
      </c>
    </row>
    <row r="187" spans="2:2" ht="15" customHeight="1">
      <c r="B187" s="16" t="s">
        <v>714</v>
      </c>
    </row>
    <row r="188" spans="2:2" ht="15" customHeight="1">
      <c r="B188" s="16" t="s">
        <v>715</v>
      </c>
    </row>
    <row r="189" spans="2:2" ht="15" customHeight="1">
      <c r="B189" s="16" t="s">
        <v>716</v>
      </c>
    </row>
    <row r="190" spans="2:2" ht="15" customHeight="1">
      <c r="B190" s="16" t="s">
        <v>717</v>
      </c>
    </row>
    <row r="191" spans="2:2" ht="15" customHeight="1">
      <c r="B191" s="16" t="s">
        <v>718</v>
      </c>
    </row>
    <row r="192" spans="2:2" ht="15" customHeight="1">
      <c r="B192" s="16" t="s">
        <v>719</v>
      </c>
    </row>
    <row r="193" spans="2:2" ht="15" customHeight="1">
      <c r="B193" s="16" t="s">
        <v>720</v>
      </c>
    </row>
    <row r="194" spans="2:2" ht="15" customHeight="1">
      <c r="B194" s="16" t="s">
        <v>721</v>
      </c>
    </row>
    <row r="195" spans="2:2" ht="15" customHeight="1">
      <c r="B195" s="16" t="s">
        <v>722</v>
      </c>
    </row>
    <row r="196" spans="2:2" ht="15" customHeight="1">
      <c r="B196" s="16" t="s">
        <v>723</v>
      </c>
    </row>
    <row r="197" spans="2:2" ht="15" customHeight="1">
      <c r="B197" s="16" t="s">
        <v>724</v>
      </c>
    </row>
    <row r="198" spans="2:2" ht="15" customHeight="1">
      <c r="B198" s="16" t="s">
        <v>725</v>
      </c>
    </row>
    <row r="199" spans="2:2" ht="15" customHeight="1">
      <c r="B199" s="16" t="s">
        <v>726</v>
      </c>
    </row>
    <row r="200" spans="2:2" ht="15" customHeight="1">
      <c r="B200" s="16" t="s">
        <v>727</v>
      </c>
    </row>
    <row r="201" spans="2:2" ht="15" customHeight="1">
      <c r="B201" s="16" t="s">
        <v>728</v>
      </c>
    </row>
    <row r="202" spans="2:2" ht="15" customHeight="1">
      <c r="B202" s="16" t="s">
        <v>729</v>
      </c>
    </row>
    <row r="203" spans="2:2" ht="15" customHeight="1">
      <c r="B203" s="16" t="s">
        <v>730</v>
      </c>
    </row>
    <row r="204" spans="2:2" ht="15" customHeight="1">
      <c r="B204" s="16" t="s">
        <v>731</v>
      </c>
    </row>
    <row r="205" spans="2:2" ht="15" customHeight="1">
      <c r="B205" s="16" t="s">
        <v>732</v>
      </c>
    </row>
    <row r="206" spans="2:2" ht="15" customHeight="1">
      <c r="B206" s="16" t="s">
        <v>733</v>
      </c>
    </row>
    <row r="207" spans="2:2" ht="15" customHeight="1">
      <c r="B207" s="16" t="s">
        <v>734</v>
      </c>
    </row>
    <row r="208" spans="2:2" ht="15" customHeight="1">
      <c r="B208" s="16" t="s">
        <v>735</v>
      </c>
    </row>
    <row r="209" spans="2:2" ht="15" customHeight="1">
      <c r="B209" s="16" t="s">
        <v>736</v>
      </c>
    </row>
    <row r="210" spans="2:2" ht="15" customHeight="1">
      <c r="B210" s="16" t="s">
        <v>737</v>
      </c>
    </row>
    <row r="211" spans="2:2" ht="15" customHeight="1">
      <c r="B211" s="16" t="s">
        <v>738</v>
      </c>
    </row>
    <row r="212" spans="2:2" ht="15" customHeight="1">
      <c r="B212" s="16" t="s">
        <v>739</v>
      </c>
    </row>
    <row r="213" spans="2:2" ht="15" customHeight="1">
      <c r="B213" s="16" t="s">
        <v>740</v>
      </c>
    </row>
    <row r="214" spans="2:2" ht="15" customHeight="1">
      <c r="B214" s="16" t="s">
        <v>741</v>
      </c>
    </row>
    <row r="215" spans="2:2" ht="15" customHeight="1">
      <c r="B215" s="16" t="s">
        <v>742</v>
      </c>
    </row>
    <row r="216" spans="2:2" ht="15" customHeight="1">
      <c r="B216" s="16" t="s">
        <v>743</v>
      </c>
    </row>
    <row r="217" spans="2:2" ht="15" customHeight="1">
      <c r="B217" s="16" t="s">
        <v>744</v>
      </c>
    </row>
    <row r="218" spans="2:2" ht="15" customHeight="1">
      <c r="B218" s="16" t="s">
        <v>745</v>
      </c>
    </row>
    <row r="219" spans="2:2" ht="15" customHeight="1">
      <c r="B219" s="16" t="s">
        <v>746</v>
      </c>
    </row>
    <row r="220" spans="2:2" ht="15" customHeight="1">
      <c r="B220" s="16" t="s">
        <v>747</v>
      </c>
    </row>
    <row r="221" spans="2:2" ht="15" customHeight="1">
      <c r="B221" s="16" t="s">
        <v>748</v>
      </c>
    </row>
    <row r="222" spans="2:2" ht="15" customHeight="1">
      <c r="B222" s="16" t="s">
        <v>749</v>
      </c>
    </row>
    <row r="223" ht="15" customHeight="1"/>
    <row r="224" spans="2:2" ht="21">
      <c r="B224" s="23" t="s">
        <v>750</v>
      </c>
    </row>
    <row r="225" spans="2:3" ht="15" customHeight="1">
      <c r="B225" s="251" t="s">
        <v>513</v>
      </c>
      <c s="251" t="s">
        <v>751</v>
      </c>
    </row>
    <row r="226" spans="2:3" ht="15" customHeight="1">
      <c r="B226" s="110" t="s">
        <v>752</v>
      </c>
      <c s="111" t="s">
        <v>433</v>
      </c>
    </row>
    <row r="227" spans="2:3" ht="15" customHeight="1">
      <c r="B227" s="27" t="s">
        <v>753</v>
      </c>
      <c s="94" t="s">
        <v>436</v>
      </c>
    </row>
    <row r="228" spans="2:3" ht="15" customHeight="1">
      <c r="B228" s="27" t="s">
        <v>754</v>
      </c>
      <c s="94" t="s">
        <v>435</v>
      </c>
    </row>
    <row r="229" spans="2:3" ht="15" customHeight="1">
      <c r="B229" s="27" t="s">
        <v>755</v>
      </c>
      <c s="94" t="s">
        <v>756</v>
      </c>
    </row>
    <row r="230" spans="2:3" ht="15" customHeight="1">
      <c r="B230" s="27" t="s">
        <v>757</v>
      </c>
      <c s="94" t="s">
        <v>758</v>
      </c>
    </row>
    <row r="231" spans="2:3" ht="15" customHeight="1">
      <c r="B231" s="27" t="s">
        <v>759</v>
      </c>
      <c s="94" t="s">
        <v>760</v>
      </c>
    </row>
    <row r="232" spans="2:3" ht="15" customHeight="1">
      <c r="B232" s="27" t="s">
        <v>761</v>
      </c>
      <c s="94" t="s">
        <v>762</v>
      </c>
    </row>
    <row r="233" spans="2:3" ht="15" customHeight="1">
      <c r="B233" s="27" t="s">
        <v>763</v>
      </c>
      <c s="94" t="s">
        <v>764</v>
      </c>
    </row>
    <row r="234" spans="2:3" ht="15" customHeight="1">
      <c r="B234" s="27" t="s">
        <v>765</v>
      </c>
      <c s="94" t="s">
        <v>766</v>
      </c>
    </row>
    <row r="235" spans="2:3" ht="15" customHeight="1">
      <c r="B235" s="27" t="s">
        <v>767</v>
      </c>
      <c s="94" t="s">
        <v>768</v>
      </c>
    </row>
    <row r="236" spans="2:3" ht="15" customHeight="1">
      <c r="B236" s="27" t="s">
        <v>769</v>
      </c>
      <c s="94" t="s">
        <v>770</v>
      </c>
    </row>
    <row r="237" spans="2:3" ht="15" customHeight="1">
      <c r="B237" s="27" t="s">
        <v>771</v>
      </c>
      <c s="94" t="s">
        <v>772</v>
      </c>
    </row>
    <row r="238" spans="2:3" ht="15" customHeight="1">
      <c r="B238" s="27" t="s">
        <v>773</v>
      </c>
      <c s="94" t="s">
        <v>774</v>
      </c>
    </row>
    <row r="239" spans="2:3" ht="15" customHeight="1">
      <c r="B239" s="27" t="s">
        <v>775</v>
      </c>
      <c s="94" t="s">
        <v>776</v>
      </c>
    </row>
    <row r="240" spans="2:3" ht="15" customHeight="1">
      <c r="B240" s="27" t="s">
        <v>777</v>
      </c>
      <c s="94" t="s">
        <v>778</v>
      </c>
    </row>
    <row r="241" spans="2:3" ht="15" customHeight="1">
      <c r="B241" s="27" t="s">
        <v>779</v>
      </c>
      <c s="94" t="s">
        <v>780</v>
      </c>
    </row>
    <row r="242" spans="2:3" ht="15" customHeight="1">
      <c r="B242" s="27" t="s">
        <v>781</v>
      </c>
      <c s="94" t="s">
        <v>782</v>
      </c>
    </row>
    <row r="243" spans="2:3" ht="15" customHeight="1">
      <c r="B243" s="27" t="s">
        <v>783</v>
      </c>
      <c s="94" t="s">
        <v>784</v>
      </c>
    </row>
    <row r="244" spans="2:3" ht="15" customHeight="1">
      <c r="B244" s="27" t="s">
        <v>785</v>
      </c>
      <c s="94" t="s">
        <v>786</v>
      </c>
    </row>
    <row r="245" spans="2:3" ht="15" customHeight="1">
      <c r="B245" s="27" t="s">
        <v>787</v>
      </c>
      <c s="94" t="s">
        <v>788</v>
      </c>
    </row>
    <row r="246" spans="2:3" ht="15" customHeight="1">
      <c r="B246" s="27" t="s">
        <v>789</v>
      </c>
      <c s="94" t="s">
        <v>790</v>
      </c>
    </row>
    <row r="247" spans="2:3" ht="15" customHeight="1">
      <c r="B247" s="27" t="s">
        <v>791</v>
      </c>
      <c s="94" t="s">
        <v>792</v>
      </c>
    </row>
    <row r="248" spans="2:3" ht="15" customHeight="1">
      <c r="B248" s="27" t="s">
        <v>793</v>
      </c>
      <c s="94" t="s">
        <v>794</v>
      </c>
    </row>
    <row r="249" spans="2:3" ht="15" customHeight="1">
      <c r="B249" s="27" t="s">
        <v>795</v>
      </c>
      <c s="94" t="s">
        <v>796</v>
      </c>
    </row>
    <row r="250" spans="2:3" ht="15" customHeight="1">
      <c r="B250" s="27" t="s">
        <v>797</v>
      </c>
      <c s="94" t="s">
        <v>798</v>
      </c>
    </row>
    <row r="251" spans="2:3" ht="15" customHeight="1">
      <c r="B251" s="27" t="s">
        <v>799</v>
      </c>
      <c s="94" t="s">
        <v>800</v>
      </c>
    </row>
    <row r="252" spans="2:3" ht="15" customHeight="1">
      <c r="B252" s="27" t="s">
        <v>801</v>
      </c>
      <c s="94" t="s">
        <v>802</v>
      </c>
    </row>
    <row r="253" spans="2:3" ht="15" customHeight="1">
      <c r="B253" s="27" t="s">
        <v>803</v>
      </c>
      <c s="94" t="s">
        <v>804</v>
      </c>
    </row>
    <row r="254" spans="2:3" ht="15" customHeight="1">
      <c r="B254" s="27" t="s">
        <v>805</v>
      </c>
      <c s="94" t="s">
        <v>806</v>
      </c>
    </row>
    <row r="255" spans="2:3" ht="15" customHeight="1">
      <c r="B255" s="27" t="s">
        <v>807</v>
      </c>
      <c s="94" t="s">
        <v>808</v>
      </c>
    </row>
    <row r="256" spans="2:3" ht="15" customHeight="1">
      <c r="B256" s="27" t="s">
        <v>809</v>
      </c>
      <c s="94" t="s">
        <v>810</v>
      </c>
    </row>
    <row r="257" spans="2:3" ht="15" customHeight="1">
      <c r="B257" s="27" t="s">
        <v>811</v>
      </c>
      <c s="94" t="s">
        <v>812</v>
      </c>
    </row>
    <row r="258" spans="2:3" ht="15" customHeight="1">
      <c r="B258" s="27" t="s">
        <v>813</v>
      </c>
      <c s="94" t="s">
        <v>814</v>
      </c>
    </row>
  </sheetData>
  <sheetProtection algorithmName="SHA-512" hashValue="1nhgAeBHLDpmbkE/Syf2HkkH+rf2q0kA90/JsyAMqxhIEq45foZn+LJZnkEr1yUB/+nyKetzZw+GB2aIROQ5Iw==" saltValue="dJ15z7dsdsiT/5JdtDRkJQ==" spinCount="100000" sheet="1" objects="1" scenarios="1"/>
  <sortState ref="B131:B215">
    <sortCondition sortBy="value" ref="B131:B215"/>
  </sortState>
  <mergeCells count="48">
    <mergeCell ref="E2:H2"/>
    <mergeCell ref="E4:G4"/>
    <mergeCell ref="C99:O99"/>
    <mergeCell ref="C89:O89"/>
    <mergeCell ref="C90:O90"/>
    <mergeCell ref="C91:O91"/>
    <mergeCell ref="C92:O92"/>
    <mergeCell ref="C93:O93"/>
    <mergeCell ref="C96:O96"/>
    <mergeCell ref="C26:O26"/>
    <mergeCell ref="C27:O27"/>
    <mergeCell ref="C31:O31"/>
    <mergeCell ref="C32:O32"/>
    <mergeCell ref="C97:O97"/>
    <mergeCell ref="C9:O9"/>
    <mergeCell ref="C10:O10"/>
    <mergeCell ref="C11:O11"/>
    <mergeCell ref="C12:O12"/>
    <mergeCell ref="C13:O13"/>
    <mergeCell ref="C127:O127"/>
    <mergeCell ref="C128:O128"/>
    <mergeCell ref="C117:O117"/>
    <mergeCell ref="C118:O118"/>
    <mergeCell ref="C119:O119"/>
    <mergeCell ref="C122:O122"/>
    <mergeCell ref="C123:O123"/>
    <mergeCell ref="C124:O124"/>
    <mergeCell ref="C19:O19"/>
    <mergeCell ref="C20:O20"/>
    <mergeCell ref="C21:O21"/>
    <mergeCell ref="C114:O114"/>
    <mergeCell ref="C106:O106"/>
    <mergeCell ref="C129:O129"/>
    <mergeCell ref="C130:O130"/>
    <mergeCell ref="C16:O16"/>
    <mergeCell ref="C17:O17"/>
    <mergeCell ref="C18:O18"/>
    <mergeCell ref="C22:O22"/>
    <mergeCell ref="C23:O23"/>
    <mergeCell ref="C110:O110"/>
    <mergeCell ref="C111:O111"/>
    <mergeCell ref="C112:O112"/>
    <mergeCell ref="C113:O113"/>
    <mergeCell ref="C102:O102"/>
    <mergeCell ref="C103:O103"/>
    <mergeCell ref="C28:O28"/>
    <mergeCell ref="C104:O104"/>
    <mergeCell ref="C105:O105"/>
  </mergeCells>
  <conditionalFormatting sqref="E4">
    <cfRule type="expression" priority="3" dxfId="24">
      <formula>$H$4="Q"</formula>
    </cfRule>
    <cfRule type="expression" priority="4" dxfId="23">
      <formula>$H$4="R"</formula>
    </cfRule>
  </conditionalFormatting>
  <conditionalFormatting sqref="H4">
    <cfRule type="cellIs" priority="1" dxfId="24" operator="equal">
      <formula>"Q"</formula>
    </cfRule>
    <cfRule type="cellIs" priority="2" dxfId="23" operator="equal">
      <formula>"R"</formula>
    </cfRule>
  </conditionalFormatting>
  <hyperlinks>
    <hyperlink ref="E4:G4" location="Проверка!A1" tooltip="Перейти на лист Проверка" display="Проверка!A1"/>
    <hyperlink ref="E3" location="Руководство!A1" tooltip="Перейти на лист Руководство" display="Руководство"/>
    <hyperlink ref="F3" location="'Параметры займа'!A1" tooltip="Перейти на лист Параметры займа" display="Параметры займа"/>
    <hyperlink ref="G3" location="Предпосылки!A1" tooltip="Перейти на лист Предпосылки" display="Предпосылки"/>
    <hyperlink ref="H3" location="Выводы!A1" tooltip="Перейти на лист Выводы" display="Выводы"/>
    <hyperlink ref="H4" location="Проверка!A1" tooltip="Перейти на лист Проверка" display="Проверка!A1"/>
    <hyperlink ref="C32" r:id="rId1" display="http://www.stern.nyu.edu/~adamodar/pc/datasets/"/>
  </hyperlinks>
  <pageMargins left="0.7" right="0.7" top="0.75" bottom="0.75" header="0.3" footer="0.3"/>
  <pageSetup fitToWidth="0" orientation="landscape" paperSize="9" scale="12" r:id="rId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2024-09-19T09:44:40Z</dcterms:created>
  <dcterms:modified xsi:type="dcterms:W3CDTF">2024-11-14T22:56:33Z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3022700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S10.3.1</vt:lpwstr>
  </property>
</Properties>
</file>